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7.xml" ContentType="application/vnd.openxmlformats-officedocument.drawing+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Models\SATIMGE\AFOLU\"/>
    </mc:Choice>
  </mc:AlternateContent>
  <xr:revisionPtr revIDLastSave="0" documentId="13_ncr:1_{6AC6231D-7F07-4C4D-BFFB-8B2C60763E4D}" xr6:coauthVersionLast="47" xr6:coauthVersionMax="47" xr10:uidLastSave="{00000000-0000-0000-0000-000000000000}"/>
  <bookViews>
    <workbookView xWindow="1536" yWindow="1536" windowWidth="17280" windowHeight="8964" firstSheet="1" activeTab="3" xr2:uid="{00000000-000D-0000-FFFF-FFFF00000000}"/>
  </bookViews>
  <sheets>
    <sheet name="Notes" sheetId="56" r:id="rId1"/>
    <sheet name="IndexG2E" sheetId="59" r:id="rId2"/>
    <sheet name="IndexE2G" sheetId="60" r:id="rId3"/>
    <sheet name="DriversCGE" sheetId="61" r:id="rId4"/>
    <sheet name="GHGSummary" sheetId="62" r:id="rId5"/>
    <sheet name="IPCC Categories" sheetId="35" r:id="rId6"/>
    <sheet name="Drivers" sheetId="47" r:id="rId7"/>
    <sheet name="Constants" sheetId="46" r:id="rId8"/>
    <sheet name="Levers &amp; variables" sheetId="58" r:id="rId9"/>
    <sheet name="Intermediate calculations" sheetId="50" r:id="rId10"/>
    <sheet name="Data" sheetId="57" r:id="rId11"/>
    <sheet name="BFAP verification" sheetId="55" state="hidden" r:id="rId12"/>
    <sheet name="Mitigation drivers" sheetId="51" state="hidden" r:id="rId13"/>
    <sheet name="Activity data" sheetId="36" r:id="rId14"/>
    <sheet name="EF" sheetId="33" r:id="rId15"/>
    <sheet name="Aggregated EF" sheetId="39" r:id="rId16"/>
    <sheet name="Emissions" sheetId="34" r:id="rId17"/>
    <sheet name="Emissions summary" sheetId="45" r:id="rId18"/>
    <sheet name="Net zero activities &amp; levers" sheetId="64" r:id="rId19"/>
    <sheet name="Net zero Activity data" sheetId="70" r:id="rId20"/>
    <sheet name="Net zero Intermediate calcs" sheetId="69" r:id="rId21"/>
    <sheet name="Net zero supporting data" sheetId="65" r:id="rId22"/>
    <sheet name="Net zero emission reductions" sheetId="67" r:id="rId23"/>
    <sheet name="Net zero emission summary" sheetId="68" r:id="rId24"/>
    <sheet name="Net zero outputs" sheetId="63" r:id="rId25"/>
    <sheet name="Lists" sheetId="66" r:id="rId26"/>
  </sheets>
  <externalReferences>
    <externalReference r:id="rId27"/>
    <externalReference r:id="rId28"/>
    <externalReference r:id="rId29"/>
    <externalReference r:id="rId30"/>
  </externalReferences>
  <definedNames>
    <definedName name="AllYears">OFFSET(#REF!,0,COUNTIF(#REF!,"a"),1,COUNTIF(#REF!,"x"))</definedName>
    <definedName name="CH4_GWP">'[1]Constants &amp; CF'!$E$8</definedName>
    <definedName name="CH4GWP">Constants!$B$3</definedName>
    <definedName name="CO2toC">Constants!$B$6</definedName>
    <definedName name="CoAccrate">'[2]Carbon stock data'!$H$91</definedName>
    <definedName name="CoFireloss">'[2]Carbon stock data'!$H$99</definedName>
    <definedName name="CompostN2O">EF!$H$78</definedName>
    <definedName name="CREF">EF!$H$194</definedName>
    <definedName name="CtoCO2">Constants!$B$5</definedName>
    <definedName name="CvAccrate">'[2]Carbon stock data'!$H$92</definedName>
    <definedName name="CvFireloss">'[2]Carbon stock data'!$H$100</definedName>
    <definedName name="DailyspreadN2O">EF!$H$77</definedName>
    <definedName name="DigesterN2OEF">EF!$H$82</definedName>
    <definedName name="DrylotN2O">EF!$H$75</definedName>
    <definedName name="FFCgain">'[2]Carbon stock data'!$H$4</definedName>
    <definedName name="FpCgain">'[2]Carbon stock data'!$H$7</definedName>
    <definedName name="FpDistloss">'[2]Carbon stock data'!$H$22</definedName>
    <definedName name="FpHarvestloss">'[2]Carbon stock data'!$H$14</definedName>
    <definedName name="FracGASF">EF!$H$196</definedName>
    <definedName name="FracGASM">EF!$H$197</definedName>
    <definedName name="FracLEACH">EF!$H$198</definedName>
    <definedName name="FracLEACHMM">EF!$H$203</definedName>
    <definedName name="FracLEACHUD">EF!$H$199</definedName>
    <definedName name="FSOMEF">EF!$H$193</definedName>
    <definedName name="FtCgain">'[2]Carbon stock data'!$H$5</definedName>
    <definedName name="FwCgain">'[2]Carbon stock data'!$H$6</definedName>
    <definedName name="FwFireloss">'[2]Carbon stock data'!$H$17</definedName>
    <definedName name="FwFuelloss">'[2]Carbon stock data'!$H$13</definedName>
    <definedName name="Ggtot">Constants!$B$13</definedName>
    <definedName name="GsAccrate">'[2]Carbon stock data'!$H$96</definedName>
    <definedName name="HistoricYears">OFFSET(#REF!,0,COUNTIF(#REF!,"a"),1,COUNTIF(#REF!,"x"))</definedName>
    <definedName name="InputData">OFFSET(#REF!,0,COUNTIF(#REF!,"a"),1,COUNTIF(#REF!,"x"))</definedName>
    <definedName name="kgtoGg">Constants!$B$9</definedName>
    <definedName name="kgtot">Constants!$B$10</definedName>
    <definedName name="LagoonN2O">EF!$H$73</definedName>
    <definedName name="LiquidN2O">EF!$H$74</definedName>
    <definedName name="ManureNEF">EF!$H$190</definedName>
    <definedName name="ManwithbedN2O">EF!$H$79</definedName>
    <definedName name="MMLeachEF">EF!$H$205</definedName>
    <definedName name="MMVolatEF">EF!$H$204</definedName>
    <definedName name="MSLeachEF">EF!$H$201</definedName>
    <definedName name="MSVolatEF">EF!$H$200</definedName>
    <definedName name="N2OGWP">Constants!$B$4</definedName>
    <definedName name="NtoN2O">Constants!$B$8</definedName>
    <definedName name="ONEF">EF!$H$189</definedName>
    <definedName name="PMwithlitterN2O">EF!$H$81</definedName>
    <definedName name="PMwithoutlitterN2O">EF!$H$80</definedName>
    <definedName name="ProjectedAD">OFFSET(#REF!,0,COUNTIF(#REF!,"a"),1,COUNTIF(#REF!,"x"))</definedName>
    <definedName name="Proxy1_historic">OFFSET(#REF!,0,COUNTIF(#REF!,"a"),1,COUNTIF(#REF!,"x"))</definedName>
    <definedName name="Proxy2_historic">OFFSET(#REF!,0,COUNTIF(#REF!,"a"),1,COUNTIF(#REF!,"x"))</definedName>
    <definedName name="Proxy3_historic">OFFSET(#REF!,0,COUNTIF(#REF!,"a"),1,COUNTIF(#REF!,"x"))</definedName>
    <definedName name="ProxyList">OFFSET(#REF!,0,0,COUNTA(#REF!,0)-1,1)</definedName>
    <definedName name="SNEF">EF!$H$188</definedName>
    <definedName name="SolidStorageN2O">EF!$H$76</definedName>
    <definedName name="SSAccrate">'[2]Carbon stock data'!$H$97</definedName>
    <definedName name="Test">OFFSET(#REF!,0,COUNTIF(#REF!,"a"),1,COUNTIF(#REF!,"x"))</definedName>
    <definedName name="tontoGg">[2]Constants!$B$8</definedName>
    <definedName name="tTest">OFFSET(#REF!,0,COUNTIF(#REF!,"a"),1,COUNTIF(#REF!,"x"))</definedName>
    <definedName name="ttoGg">Constants!$B$11</definedName>
    <definedName name="ttokg">Constants!$B$12</definedName>
    <definedName name="UDCPPEF">EF!$H$191</definedName>
    <definedName name="UDSOEF">EF!$H$192</definedName>
    <definedName name="WoodyCf">'[1]Constants &amp; CF'!$E$52</definedName>
    <definedName name="WoodyFraction">'[2]Carbon stock data'!$H$98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19" i="47" l="1"/>
  <c r="AB19" i="47"/>
  <c r="AC19" i="47"/>
  <c r="AD19" i="47"/>
  <c r="AE19" i="47"/>
  <c r="AF19" i="47"/>
  <c r="Z19" i="47"/>
  <c r="AH5" i="47"/>
  <c r="AI5" i="47"/>
  <c r="AJ5" i="47"/>
  <c r="AK5" i="47"/>
  <c r="AL5" i="47"/>
  <c r="AM5" i="47"/>
  <c r="AN5" i="47"/>
  <c r="AO5" i="47"/>
  <c r="AP5" i="47"/>
  <c r="AQ5" i="47"/>
  <c r="AR5" i="47"/>
  <c r="AS5" i="47"/>
  <c r="AT5" i="47"/>
  <c r="AU5" i="47"/>
  <c r="AV5" i="47"/>
  <c r="AW5" i="47"/>
  <c r="AX5" i="47"/>
  <c r="AY5" i="47"/>
  <c r="AZ5" i="47"/>
  <c r="BA5" i="47"/>
  <c r="BB5" i="47"/>
  <c r="BC5" i="47"/>
  <c r="BD5" i="47"/>
  <c r="BE5" i="47"/>
  <c r="BF5" i="47"/>
  <c r="BG5" i="47"/>
  <c r="BH5" i="47"/>
  <c r="BI5" i="47"/>
  <c r="BJ5" i="47"/>
  <c r="BK5" i="47"/>
  <c r="BL5" i="47"/>
  <c r="AH4" i="47"/>
  <c r="AI4" i="47"/>
  <c r="AJ4" i="47"/>
  <c r="AK4" i="47"/>
  <c r="AL4" i="47"/>
  <c r="AM4" i="47"/>
  <c r="AN4" i="47"/>
  <c r="AO4" i="47"/>
  <c r="AP4" i="47"/>
  <c r="AQ4" i="47"/>
  <c r="AR4" i="47"/>
  <c r="AS4" i="47"/>
  <c r="AT4" i="47"/>
  <c r="AU4" i="47"/>
  <c r="AV4" i="47"/>
  <c r="AW4" i="47"/>
  <c r="AX4" i="47"/>
  <c r="AY4" i="47"/>
  <c r="AZ4" i="47"/>
  <c r="BA4" i="47"/>
  <c r="BB4" i="47"/>
  <c r="BC4" i="47"/>
  <c r="BD4" i="47"/>
  <c r="BE4" i="47"/>
  <c r="BF4" i="47"/>
  <c r="BG4" i="47"/>
  <c r="BH4" i="47"/>
  <c r="BI4" i="47"/>
  <c r="BJ4" i="47"/>
  <c r="BK4" i="47"/>
  <c r="BL4" i="47"/>
  <c r="AG4" i="47"/>
  <c r="AG5" i="47"/>
  <c r="AF5" i="47" s="1"/>
  <c r="AE5" i="47" s="1"/>
  <c r="AD5" i="47" s="1"/>
  <c r="AC5" i="47" s="1"/>
  <c r="AB5" i="47" s="1"/>
  <c r="AA5" i="47" s="1"/>
  <c r="Z5" i="47" s="1"/>
  <c r="AB7" i="47"/>
  <c r="AC7" i="47"/>
  <c r="AD7" i="47"/>
  <c r="AE7" i="47"/>
  <c r="AF7" i="47"/>
  <c r="AG7" i="47"/>
  <c r="AA7" i="47"/>
  <c r="E11" i="62" l="1"/>
  <c r="F11" i="62"/>
  <c r="G11" i="62"/>
  <c r="H11" i="62"/>
  <c r="I11" i="62"/>
  <c r="J11" i="62"/>
  <c r="K11" i="62"/>
  <c r="L11" i="62"/>
  <c r="M11" i="62"/>
  <c r="N11" i="62"/>
  <c r="O11" i="62"/>
  <c r="P11" i="62"/>
  <c r="Q11" i="62"/>
  <c r="R11" i="62"/>
  <c r="S11" i="62"/>
  <c r="T11" i="62"/>
  <c r="U11" i="62"/>
  <c r="V11" i="62"/>
  <c r="W11" i="62"/>
  <c r="X11" i="62"/>
  <c r="Y11" i="62"/>
  <c r="Z11" i="62"/>
  <c r="AA11" i="62"/>
  <c r="AB11" i="62"/>
  <c r="AC11" i="62"/>
  <c r="AD11" i="62"/>
  <c r="AE11" i="62"/>
  <c r="AF11" i="62"/>
  <c r="AG11" i="62"/>
  <c r="AH11" i="62"/>
  <c r="AI11" i="62"/>
  <c r="AJ11" i="62"/>
  <c r="AK11" i="62"/>
  <c r="AL11" i="62"/>
  <c r="AM11" i="62"/>
  <c r="AN11" i="62"/>
  <c r="AO11" i="62"/>
  <c r="AP11" i="62"/>
  <c r="E17" i="62"/>
  <c r="F17" i="62"/>
  <c r="G17" i="62"/>
  <c r="H17" i="62"/>
  <c r="I17" i="62"/>
  <c r="J17" i="62"/>
  <c r="K17" i="62"/>
  <c r="L17" i="62"/>
  <c r="M17" i="62"/>
  <c r="N17" i="62"/>
  <c r="O17" i="62"/>
  <c r="P17" i="62"/>
  <c r="Q17" i="62"/>
  <c r="R17" i="62"/>
  <c r="S17" i="62"/>
  <c r="T17" i="62"/>
  <c r="U17" i="62"/>
  <c r="V17" i="62"/>
  <c r="W17" i="62"/>
  <c r="X17" i="62"/>
  <c r="Y17" i="62"/>
  <c r="Z17" i="62"/>
  <c r="AA17" i="62"/>
  <c r="AB17" i="62"/>
  <c r="AC17" i="62"/>
  <c r="AD17" i="62"/>
  <c r="AE17" i="62"/>
  <c r="AF17" i="62"/>
  <c r="AG17" i="62"/>
  <c r="AH17" i="62"/>
  <c r="AI17" i="62"/>
  <c r="AJ17" i="62"/>
  <c r="AK17" i="62"/>
  <c r="AL17" i="62"/>
  <c r="AM17" i="62"/>
  <c r="AN17" i="62"/>
  <c r="AO17" i="62"/>
  <c r="AP17" i="62"/>
  <c r="E25" i="62"/>
  <c r="F25" i="62"/>
  <c r="G25" i="62"/>
  <c r="H25" i="62"/>
  <c r="I25" i="62"/>
  <c r="J25" i="62"/>
  <c r="K25" i="62"/>
  <c r="L25" i="62"/>
  <c r="M25" i="62"/>
  <c r="N25" i="62"/>
  <c r="O25" i="62"/>
  <c r="P25" i="62"/>
  <c r="Q25" i="62"/>
  <c r="R25" i="62"/>
  <c r="S25" i="62"/>
  <c r="T25" i="62"/>
  <c r="U25" i="62"/>
  <c r="V25" i="62"/>
  <c r="W25" i="62"/>
  <c r="X25" i="62"/>
  <c r="Y25" i="62"/>
  <c r="Z25" i="62"/>
  <c r="AA25" i="62"/>
  <c r="AB25" i="62"/>
  <c r="AC25" i="62"/>
  <c r="AD25" i="62"/>
  <c r="AE25" i="62"/>
  <c r="AF25" i="62"/>
  <c r="AG25" i="62"/>
  <c r="AH25" i="62"/>
  <c r="AI25" i="62"/>
  <c r="AJ25" i="62"/>
  <c r="AK25" i="62"/>
  <c r="AL25" i="62"/>
  <c r="AM25" i="62"/>
  <c r="AN25" i="62"/>
  <c r="AO25" i="62"/>
  <c r="AP25" i="62"/>
  <c r="E26" i="62"/>
  <c r="F26" i="62"/>
  <c r="G26" i="62"/>
  <c r="H26" i="62"/>
  <c r="I26" i="62"/>
  <c r="J26" i="62"/>
  <c r="K26" i="62"/>
  <c r="L26" i="62"/>
  <c r="M26" i="62"/>
  <c r="N26" i="62"/>
  <c r="O26" i="62"/>
  <c r="P26" i="62"/>
  <c r="Q26" i="62"/>
  <c r="R26" i="62"/>
  <c r="S26" i="62"/>
  <c r="T26" i="62"/>
  <c r="U26" i="62"/>
  <c r="V26" i="62"/>
  <c r="W26" i="62"/>
  <c r="X26" i="62"/>
  <c r="Y26" i="62"/>
  <c r="Z26" i="62"/>
  <c r="AA26" i="62"/>
  <c r="AB26" i="62"/>
  <c r="AC26" i="62"/>
  <c r="AD26" i="62"/>
  <c r="AE26" i="62"/>
  <c r="AF26" i="62"/>
  <c r="AG26" i="62"/>
  <c r="AH26" i="62"/>
  <c r="AI26" i="62"/>
  <c r="AJ26" i="62"/>
  <c r="AK26" i="62"/>
  <c r="AL26" i="62"/>
  <c r="AM26" i="62"/>
  <c r="AN26" i="62"/>
  <c r="AO26" i="62"/>
  <c r="AP26" i="62"/>
  <c r="E27" i="62"/>
  <c r="F27" i="62"/>
  <c r="G27" i="62"/>
  <c r="H27" i="62"/>
  <c r="I27" i="62"/>
  <c r="J27" i="62"/>
  <c r="K27" i="62"/>
  <c r="L27" i="62"/>
  <c r="M27" i="62"/>
  <c r="N27" i="62"/>
  <c r="O27" i="62"/>
  <c r="P27" i="62"/>
  <c r="Q27" i="62"/>
  <c r="R27" i="62"/>
  <c r="S27" i="62"/>
  <c r="T27" i="62"/>
  <c r="U27" i="62"/>
  <c r="V27" i="62"/>
  <c r="W27" i="62"/>
  <c r="X27" i="62"/>
  <c r="Y27" i="62"/>
  <c r="Z27" i="62"/>
  <c r="AA27" i="62"/>
  <c r="AB27" i="62"/>
  <c r="AC27" i="62"/>
  <c r="AD27" i="62"/>
  <c r="AE27" i="62"/>
  <c r="AF27" i="62"/>
  <c r="AG27" i="62"/>
  <c r="AH27" i="62"/>
  <c r="AI27" i="62"/>
  <c r="AJ27" i="62"/>
  <c r="AK27" i="62"/>
  <c r="AL27" i="62"/>
  <c r="AM27" i="62"/>
  <c r="AN27" i="62"/>
  <c r="AO27" i="62"/>
  <c r="AP27" i="62"/>
  <c r="E28" i="62"/>
  <c r="F28" i="62"/>
  <c r="G28" i="62"/>
  <c r="H28" i="62"/>
  <c r="I28" i="62"/>
  <c r="J28" i="62"/>
  <c r="K28" i="62"/>
  <c r="L28" i="62"/>
  <c r="M28" i="62"/>
  <c r="N28" i="62"/>
  <c r="O28" i="62"/>
  <c r="P28" i="62"/>
  <c r="Q28" i="62"/>
  <c r="R28" i="62"/>
  <c r="S28" i="62"/>
  <c r="T28" i="62"/>
  <c r="U28" i="62"/>
  <c r="V28" i="62"/>
  <c r="W28" i="62"/>
  <c r="X28" i="62"/>
  <c r="Y28" i="62"/>
  <c r="Z28" i="62"/>
  <c r="AA28" i="62"/>
  <c r="AB28" i="62"/>
  <c r="AC28" i="62"/>
  <c r="AD28" i="62"/>
  <c r="AE28" i="62"/>
  <c r="AF28" i="62"/>
  <c r="AG28" i="62"/>
  <c r="AH28" i="62"/>
  <c r="AI28" i="62"/>
  <c r="AJ28" i="62"/>
  <c r="AK28" i="62"/>
  <c r="AL28" i="62"/>
  <c r="AM28" i="62"/>
  <c r="AN28" i="62"/>
  <c r="AO28" i="62"/>
  <c r="AP28" i="62"/>
  <c r="E29" i="62"/>
  <c r="F29" i="62"/>
  <c r="G29" i="62"/>
  <c r="H29" i="62"/>
  <c r="I29" i="62"/>
  <c r="J29" i="62"/>
  <c r="K29" i="62"/>
  <c r="L29" i="62"/>
  <c r="M29" i="62"/>
  <c r="N29" i="62"/>
  <c r="O29" i="62"/>
  <c r="P29" i="62"/>
  <c r="Q29" i="62"/>
  <c r="R29" i="62"/>
  <c r="S29" i="62"/>
  <c r="T29" i="62"/>
  <c r="U29" i="62"/>
  <c r="V29" i="62"/>
  <c r="W29" i="62"/>
  <c r="X29" i="62"/>
  <c r="Y29" i="62"/>
  <c r="Z29" i="62"/>
  <c r="AA29" i="62"/>
  <c r="AB29" i="62"/>
  <c r="AC29" i="62"/>
  <c r="AD29" i="62"/>
  <c r="AE29" i="62"/>
  <c r="AF29" i="62"/>
  <c r="AG29" i="62"/>
  <c r="AH29" i="62"/>
  <c r="AI29" i="62"/>
  <c r="AJ29" i="62"/>
  <c r="AK29" i="62"/>
  <c r="AL29" i="62"/>
  <c r="AM29" i="62"/>
  <c r="AN29" i="62"/>
  <c r="AO29" i="62"/>
  <c r="AP29" i="62"/>
  <c r="E30" i="62"/>
  <c r="F30" i="62"/>
  <c r="G30" i="62"/>
  <c r="H30" i="62"/>
  <c r="I30" i="62"/>
  <c r="J30" i="62"/>
  <c r="K30" i="62"/>
  <c r="L30" i="62"/>
  <c r="M30" i="62"/>
  <c r="N30" i="62"/>
  <c r="O30" i="62"/>
  <c r="P30" i="62"/>
  <c r="Q30" i="62"/>
  <c r="R30" i="62"/>
  <c r="S30" i="62"/>
  <c r="T30" i="62"/>
  <c r="U30" i="62"/>
  <c r="V30" i="62"/>
  <c r="W30" i="62"/>
  <c r="X30" i="62"/>
  <c r="Y30" i="62"/>
  <c r="Z30" i="62"/>
  <c r="AA30" i="62"/>
  <c r="AB30" i="62"/>
  <c r="AC30" i="62"/>
  <c r="AD30" i="62"/>
  <c r="AE30" i="62"/>
  <c r="AF30" i="62"/>
  <c r="AG30" i="62"/>
  <c r="AH30" i="62"/>
  <c r="AI30" i="62"/>
  <c r="AJ30" i="62"/>
  <c r="AK30" i="62"/>
  <c r="AL30" i="62"/>
  <c r="AM30" i="62"/>
  <c r="AN30" i="62"/>
  <c r="AO30" i="62"/>
  <c r="AP30" i="62"/>
  <c r="E31" i="62"/>
  <c r="F31" i="62"/>
  <c r="G31" i="62"/>
  <c r="H31" i="62"/>
  <c r="I31" i="62"/>
  <c r="J31" i="62"/>
  <c r="K31" i="62"/>
  <c r="L31" i="62"/>
  <c r="M31" i="62"/>
  <c r="N31" i="62"/>
  <c r="O31" i="62"/>
  <c r="P31" i="62"/>
  <c r="Q31" i="62"/>
  <c r="R31" i="62"/>
  <c r="S31" i="62"/>
  <c r="T31" i="62"/>
  <c r="U31" i="62"/>
  <c r="V31" i="62"/>
  <c r="W31" i="62"/>
  <c r="X31" i="62"/>
  <c r="Y31" i="62"/>
  <c r="Z31" i="62"/>
  <c r="AA31" i="62"/>
  <c r="AB31" i="62"/>
  <c r="AC31" i="62"/>
  <c r="AD31" i="62"/>
  <c r="AE31" i="62"/>
  <c r="AF31" i="62"/>
  <c r="AG31" i="62"/>
  <c r="AH31" i="62"/>
  <c r="AI31" i="62"/>
  <c r="AJ31" i="62"/>
  <c r="AK31" i="62"/>
  <c r="AL31" i="62"/>
  <c r="AM31" i="62"/>
  <c r="AN31" i="62"/>
  <c r="AO31" i="62"/>
  <c r="AP31" i="62"/>
  <c r="E32" i="62"/>
  <c r="F32" i="62"/>
  <c r="G32" i="62"/>
  <c r="H32" i="62"/>
  <c r="I32" i="62"/>
  <c r="J32" i="62"/>
  <c r="K32" i="62"/>
  <c r="L32" i="62"/>
  <c r="M32" i="62"/>
  <c r="N32" i="62"/>
  <c r="O32" i="62"/>
  <c r="P32" i="62"/>
  <c r="Q32" i="62"/>
  <c r="R32" i="62"/>
  <c r="S32" i="62"/>
  <c r="T32" i="62"/>
  <c r="U32" i="62"/>
  <c r="V32" i="62"/>
  <c r="W32" i="62"/>
  <c r="X32" i="62"/>
  <c r="Y32" i="62"/>
  <c r="Z32" i="62"/>
  <c r="AA32" i="62"/>
  <c r="AB32" i="62"/>
  <c r="AC32" i="62"/>
  <c r="AD32" i="62"/>
  <c r="AE32" i="62"/>
  <c r="AF32" i="62"/>
  <c r="AG32" i="62"/>
  <c r="AH32" i="62"/>
  <c r="AI32" i="62"/>
  <c r="AJ32" i="62"/>
  <c r="AK32" i="62"/>
  <c r="AL32" i="62"/>
  <c r="AM32" i="62"/>
  <c r="AN32" i="62"/>
  <c r="AO32" i="62"/>
  <c r="AP32" i="62"/>
  <c r="E33" i="62"/>
  <c r="F33" i="62"/>
  <c r="G33" i="62"/>
  <c r="H33" i="62"/>
  <c r="I33" i="62"/>
  <c r="J33" i="62"/>
  <c r="K33" i="62"/>
  <c r="L33" i="62"/>
  <c r="M33" i="62"/>
  <c r="N33" i="62"/>
  <c r="O33" i="62"/>
  <c r="P33" i="62"/>
  <c r="Q33" i="62"/>
  <c r="R33" i="62"/>
  <c r="S33" i="62"/>
  <c r="T33" i="62"/>
  <c r="U33" i="62"/>
  <c r="V33" i="62"/>
  <c r="W33" i="62"/>
  <c r="X33" i="62"/>
  <c r="Y33" i="62"/>
  <c r="Z33" i="62"/>
  <c r="AA33" i="62"/>
  <c r="AB33" i="62"/>
  <c r="AC33" i="62"/>
  <c r="AD33" i="62"/>
  <c r="AE33" i="62"/>
  <c r="AF33" i="62"/>
  <c r="AG33" i="62"/>
  <c r="AH33" i="62"/>
  <c r="AI33" i="62"/>
  <c r="AJ33" i="62"/>
  <c r="AK33" i="62"/>
  <c r="AL33" i="62"/>
  <c r="AM33" i="62"/>
  <c r="AN33" i="62"/>
  <c r="AO33" i="62"/>
  <c r="AP33" i="62"/>
  <c r="E34" i="62"/>
  <c r="F34" i="62"/>
  <c r="G34" i="62"/>
  <c r="H34" i="62"/>
  <c r="I34" i="62"/>
  <c r="J34" i="62"/>
  <c r="K34" i="62"/>
  <c r="L34" i="62"/>
  <c r="M34" i="62"/>
  <c r="N34" i="62"/>
  <c r="O34" i="62"/>
  <c r="P34" i="62"/>
  <c r="Q34" i="62"/>
  <c r="R34" i="62"/>
  <c r="S34" i="62"/>
  <c r="T34" i="62"/>
  <c r="U34" i="62"/>
  <c r="V34" i="62"/>
  <c r="W34" i="62"/>
  <c r="X34" i="62"/>
  <c r="Y34" i="62"/>
  <c r="Z34" i="62"/>
  <c r="AA34" i="62"/>
  <c r="AB34" i="62"/>
  <c r="AC34" i="62"/>
  <c r="AD34" i="62"/>
  <c r="AE34" i="62"/>
  <c r="AF34" i="62"/>
  <c r="AG34" i="62"/>
  <c r="AH34" i="62"/>
  <c r="AI34" i="62"/>
  <c r="AJ34" i="62"/>
  <c r="AK34" i="62"/>
  <c r="AL34" i="62"/>
  <c r="AM34" i="62"/>
  <c r="AN34" i="62"/>
  <c r="AO34" i="62"/>
  <c r="AP34" i="62"/>
  <c r="E35" i="62"/>
  <c r="F35" i="62"/>
  <c r="G35" i="62"/>
  <c r="H35" i="62"/>
  <c r="I35" i="62"/>
  <c r="J35" i="62"/>
  <c r="K35" i="62"/>
  <c r="L35" i="62"/>
  <c r="M35" i="62"/>
  <c r="N35" i="62"/>
  <c r="O35" i="62"/>
  <c r="P35" i="62"/>
  <c r="Q35" i="62"/>
  <c r="R35" i="62"/>
  <c r="S35" i="62"/>
  <c r="T35" i="62"/>
  <c r="U35" i="62"/>
  <c r="V35" i="62"/>
  <c r="W35" i="62"/>
  <c r="X35" i="62"/>
  <c r="Y35" i="62"/>
  <c r="Z35" i="62"/>
  <c r="AA35" i="62"/>
  <c r="AB35" i="62"/>
  <c r="AC35" i="62"/>
  <c r="AD35" i="62"/>
  <c r="AE35" i="62"/>
  <c r="AF35" i="62"/>
  <c r="AG35" i="62"/>
  <c r="AH35" i="62"/>
  <c r="AI35" i="62"/>
  <c r="AJ35" i="62"/>
  <c r="AK35" i="62"/>
  <c r="AL35" i="62"/>
  <c r="AM35" i="62"/>
  <c r="AN35" i="62"/>
  <c r="AO35" i="62"/>
  <c r="AP35" i="62"/>
  <c r="E36" i="62"/>
  <c r="F36" i="62"/>
  <c r="G36" i="62"/>
  <c r="H36" i="62"/>
  <c r="I36" i="62"/>
  <c r="J36" i="62"/>
  <c r="K36" i="62"/>
  <c r="L36" i="62"/>
  <c r="M36" i="62"/>
  <c r="N36" i="62"/>
  <c r="O36" i="62"/>
  <c r="P36" i="62"/>
  <c r="Q36" i="62"/>
  <c r="R36" i="62"/>
  <c r="S36" i="62"/>
  <c r="T36" i="62"/>
  <c r="U36" i="62"/>
  <c r="V36" i="62"/>
  <c r="W36" i="62"/>
  <c r="X36" i="62"/>
  <c r="Y36" i="62"/>
  <c r="Z36" i="62"/>
  <c r="AA36" i="62"/>
  <c r="AB36" i="62"/>
  <c r="AC36" i="62"/>
  <c r="AD36" i="62"/>
  <c r="AE36" i="62"/>
  <c r="AF36" i="62"/>
  <c r="AG36" i="62"/>
  <c r="AH36" i="62"/>
  <c r="AI36" i="62"/>
  <c r="AJ36" i="62"/>
  <c r="AK36" i="62"/>
  <c r="AL36" i="62"/>
  <c r="AM36" i="62"/>
  <c r="AN36" i="62"/>
  <c r="AO36" i="62"/>
  <c r="AP36" i="62"/>
  <c r="D36" i="62"/>
  <c r="D35" i="62"/>
  <c r="D34" i="62"/>
  <c r="D33" i="62"/>
  <c r="D32" i="62"/>
  <c r="D31" i="62"/>
  <c r="D30" i="62"/>
  <c r="D29" i="62"/>
  <c r="D28" i="62"/>
  <c r="D27" i="62"/>
  <c r="D26" i="62"/>
  <c r="D25" i="62"/>
  <c r="D17" i="62"/>
  <c r="D11" i="62"/>
  <c r="C1" i="64"/>
  <c r="C9" i="59"/>
  <c r="C12" i="64" l="1"/>
  <c r="C13" i="64"/>
  <c r="C14" i="64"/>
  <c r="C6" i="64"/>
  <c r="C5" i="64"/>
  <c r="C11" i="64"/>
  <c r="C10" i="64"/>
  <c r="C9" i="64"/>
  <c r="C8" i="64"/>
  <c r="C7" i="64"/>
  <c r="AA10" i="47" l="1"/>
  <c r="AB10" i="47"/>
  <c r="AC10" i="47"/>
  <c r="AD10" i="47"/>
  <c r="AE10" i="47"/>
  <c r="AF10" i="47"/>
  <c r="AG10" i="47"/>
  <c r="AH10" i="47"/>
  <c r="AI10" i="47"/>
  <c r="AJ10" i="47"/>
  <c r="AK10" i="47"/>
  <c r="AL10" i="47"/>
  <c r="AM10" i="47"/>
  <c r="AN10" i="47"/>
  <c r="AO10" i="47"/>
  <c r="AP10" i="47"/>
  <c r="AQ10" i="47"/>
  <c r="AR10" i="47"/>
  <c r="AS10" i="47"/>
  <c r="AT10" i="47"/>
  <c r="AU10" i="47"/>
  <c r="AV10" i="47"/>
  <c r="AW10" i="47"/>
  <c r="AX10" i="47"/>
  <c r="AY10" i="47"/>
  <c r="AZ10" i="47"/>
  <c r="BA10" i="47"/>
  <c r="BB10" i="47"/>
  <c r="BC10" i="47"/>
  <c r="BD10" i="47"/>
  <c r="BE10" i="47"/>
  <c r="BF10" i="47"/>
  <c r="BG10" i="47"/>
  <c r="BH10" i="47"/>
  <c r="BI10" i="47"/>
  <c r="BJ10" i="47"/>
  <c r="BK10" i="47"/>
  <c r="BL10" i="47"/>
  <c r="Z10" i="47"/>
  <c r="F79" i="64"/>
  <c r="E79" i="64"/>
  <c r="D79" i="64"/>
  <c r="D80" i="64" s="1"/>
  <c r="E80" i="64"/>
  <c r="F80" i="64"/>
  <c r="D83" i="64" l="1"/>
  <c r="T210" i="65" s="1"/>
  <c r="E83" i="64"/>
  <c r="AD210" i="65" s="1"/>
  <c r="F83" i="64"/>
  <c r="AN210" i="65" s="1"/>
  <c r="C83" i="64"/>
  <c r="B210" i="65" s="1"/>
  <c r="C210" i="65" s="1"/>
  <c r="D210" i="65" s="1"/>
  <c r="E210" i="65" s="1"/>
  <c r="F210" i="65" s="1"/>
  <c r="G210" i="65" s="1"/>
  <c r="H210" i="65" s="1"/>
  <c r="I210" i="65" s="1"/>
  <c r="J210" i="65" s="1"/>
  <c r="AD2" i="70"/>
  <c r="U210" i="65" l="1"/>
  <c r="V210" i="65" s="1"/>
  <c r="W210" i="65" s="1"/>
  <c r="X210" i="65" s="1"/>
  <c r="Y210" i="65" s="1"/>
  <c r="Z210" i="65" s="1"/>
  <c r="AA210" i="65" s="1"/>
  <c r="AB210" i="65" s="1"/>
  <c r="AC210" i="65" s="1"/>
  <c r="K210" i="65"/>
  <c r="L210" i="65" s="1"/>
  <c r="M210" i="65" s="1"/>
  <c r="N210" i="65" s="1"/>
  <c r="O210" i="65" s="1"/>
  <c r="P210" i="65" s="1"/>
  <c r="Q210" i="65" s="1"/>
  <c r="R210" i="65" s="1"/>
  <c r="S210" i="65" s="1"/>
  <c r="AE210" i="65"/>
  <c r="AF210" i="65" s="1"/>
  <c r="AG210" i="65" s="1"/>
  <c r="AH210" i="65" s="1"/>
  <c r="AI210" i="65" s="1"/>
  <c r="AJ210" i="65" s="1"/>
  <c r="AK210" i="65" s="1"/>
  <c r="AL210" i="65" s="1"/>
  <c r="AM210" i="65" s="1"/>
  <c r="A1065" i="67" l="1"/>
  <c r="A1064" i="67"/>
  <c r="A1063" i="67"/>
  <c r="A1062" i="67"/>
  <c r="A1061" i="67"/>
  <c r="A1060" i="67"/>
  <c r="A1059" i="67"/>
  <c r="A1058" i="67"/>
  <c r="A1057" i="67"/>
  <c r="A1056" i="67"/>
  <c r="A1055" i="67"/>
  <c r="A1054" i="67"/>
  <c r="A1053" i="67"/>
  <c r="A1052" i="67"/>
  <c r="A1051" i="67"/>
  <c r="A1050" i="67"/>
  <c r="A1049" i="67"/>
  <c r="A1048" i="67"/>
  <c r="A1047" i="67"/>
  <c r="A1046" i="67"/>
  <c r="A1045" i="67"/>
  <c r="A1044" i="67"/>
  <c r="A1043" i="67"/>
  <c r="A1042" i="67"/>
  <c r="A1041" i="67"/>
  <c r="A1040" i="67"/>
  <c r="A1039" i="67"/>
  <c r="A1038" i="67"/>
  <c r="A1037" i="67"/>
  <c r="A1036" i="67"/>
  <c r="A1035" i="67"/>
  <c r="A1034" i="67"/>
  <c r="A1033" i="67"/>
  <c r="A1032" i="67"/>
  <c r="A1031" i="67"/>
  <c r="A1030" i="67"/>
  <c r="A1029" i="67"/>
  <c r="A1028" i="67"/>
  <c r="A1027" i="67"/>
  <c r="A1026" i="67"/>
  <c r="A1025" i="67"/>
  <c r="A1024" i="67"/>
  <c r="A1023" i="67"/>
  <c r="A1022" i="67"/>
  <c r="A1021" i="67"/>
  <c r="A1020" i="67"/>
  <c r="A1019" i="67"/>
  <c r="A1018" i="67"/>
  <c r="A1017" i="67"/>
  <c r="A1016" i="67"/>
  <c r="A1015" i="67"/>
  <c r="A1014" i="67"/>
  <c r="A1013" i="67"/>
  <c r="A1012" i="67"/>
  <c r="A1011" i="67"/>
  <c r="A1010" i="67"/>
  <c r="A1009" i="67"/>
  <c r="A1008" i="67"/>
  <c r="A1007" i="67"/>
  <c r="A1006" i="67"/>
  <c r="A1005" i="67"/>
  <c r="A1004" i="67"/>
  <c r="A1003" i="67"/>
  <c r="A1002" i="67"/>
  <c r="A1001" i="67"/>
  <c r="A1000" i="67"/>
  <c r="A999" i="67"/>
  <c r="A998" i="67"/>
  <c r="A997" i="67"/>
  <c r="A996" i="67"/>
  <c r="A995" i="67"/>
  <c r="A994" i="67"/>
  <c r="A993" i="67"/>
  <c r="A992" i="67"/>
  <c r="A991" i="67"/>
  <c r="A990" i="67"/>
  <c r="A989" i="67"/>
  <c r="A988" i="67"/>
  <c r="A987" i="67"/>
  <c r="A986" i="67"/>
  <c r="A985" i="67"/>
  <c r="A984" i="67"/>
  <c r="A983" i="67"/>
  <c r="A982" i="67"/>
  <c r="A981" i="67"/>
  <c r="A980" i="67"/>
  <c r="A979" i="67"/>
  <c r="A978" i="67"/>
  <c r="A977" i="67"/>
  <c r="A976" i="67"/>
  <c r="A975" i="67"/>
  <c r="A974" i="67"/>
  <c r="A973" i="67"/>
  <c r="A972" i="67"/>
  <c r="A971" i="67"/>
  <c r="A970" i="67"/>
  <c r="A969" i="67"/>
  <c r="A968" i="67"/>
  <c r="A967" i="67"/>
  <c r="A966" i="67"/>
  <c r="A965" i="67"/>
  <c r="A964" i="67"/>
  <c r="A963" i="67"/>
  <c r="A962" i="67"/>
  <c r="A961" i="67"/>
  <c r="A960" i="67"/>
  <c r="A959" i="67"/>
  <c r="A958" i="67"/>
  <c r="A957" i="67"/>
  <c r="A956" i="67"/>
  <c r="A955" i="67"/>
  <c r="A954" i="67"/>
  <c r="A953" i="67"/>
  <c r="A952" i="67"/>
  <c r="A951" i="67"/>
  <c r="A950" i="67"/>
  <c r="A949" i="67"/>
  <c r="A948" i="67"/>
  <c r="A947" i="67"/>
  <c r="A946" i="67"/>
  <c r="A945" i="67"/>
  <c r="A944" i="67"/>
  <c r="A943" i="67"/>
  <c r="A942" i="67"/>
  <c r="A941" i="67"/>
  <c r="A940" i="67"/>
  <c r="A939" i="67"/>
  <c r="A938" i="67"/>
  <c r="A937" i="67"/>
  <c r="A936" i="67"/>
  <c r="A935" i="67"/>
  <c r="A934" i="67"/>
  <c r="A933" i="67"/>
  <c r="A932" i="67"/>
  <c r="A931" i="67"/>
  <c r="A930" i="67"/>
  <c r="A929" i="67"/>
  <c r="A928" i="67"/>
  <c r="A927" i="67"/>
  <c r="A926" i="67"/>
  <c r="A925" i="67"/>
  <c r="A924" i="67"/>
  <c r="A923" i="67"/>
  <c r="A922" i="67"/>
  <c r="A921" i="67"/>
  <c r="A920" i="67"/>
  <c r="A919" i="67"/>
  <c r="A918" i="67"/>
  <c r="A917" i="67"/>
  <c r="A916" i="67"/>
  <c r="B65" i="65"/>
  <c r="L1078" i="67"/>
  <c r="M1078" i="67"/>
  <c r="N1078" i="67"/>
  <c r="O1078" i="67"/>
  <c r="P1078" i="67"/>
  <c r="Q1078" i="67"/>
  <c r="R1078" i="67"/>
  <c r="S1078" i="67"/>
  <c r="T1078" i="67"/>
  <c r="U1078" i="67"/>
  <c r="V1078" i="67"/>
  <c r="W1078" i="67"/>
  <c r="X1078" i="67"/>
  <c r="Y1078" i="67"/>
  <c r="Z1078" i="67"/>
  <c r="AA1078" i="67"/>
  <c r="AB1078" i="67"/>
  <c r="AC1078" i="67"/>
  <c r="AD1078" i="67"/>
  <c r="AE1078" i="67"/>
  <c r="AF1078" i="67"/>
  <c r="AG1078" i="67"/>
  <c r="AH1078" i="67"/>
  <c r="AI1078" i="67"/>
  <c r="AJ1078" i="67"/>
  <c r="AK1078" i="67"/>
  <c r="AL1078" i="67"/>
  <c r="AM1078" i="67"/>
  <c r="AN1078" i="67"/>
  <c r="AO1078" i="67"/>
  <c r="AP1078" i="67"/>
  <c r="AQ1078" i="67"/>
  <c r="AR1078" i="67"/>
  <c r="AS1078" i="67"/>
  <c r="AT1078" i="67"/>
  <c r="AU1078" i="67"/>
  <c r="AV1078" i="67"/>
  <c r="AW1078" i="67"/>
  <c r="L1092" i="67"/>
  <c r="M1092" i="67"/>
  <c r="N1092" i="67"/>
  <c r="O1092" i="67"/>
  <c r="P1092" i="67"/>
  <c r="Q1092" i="67"/>
  <c r="R1092" i="67"/>
  <c r="S1092" i="67"/>
  <c r="T1092" i="67"/>
  <c r="U1092" i="67"/>
  <c r="V1092" i="67"/>
  <c r="W1092" i="67"/>
  <c r="X1092" i="67"/>
  <c r="Y1092" i="67"/>
  <c r="Z1092" i="67"/>
  <c r="AA1092" i="67"/>
  <c r="AB1092" i="67"/>
  <c r="AC1092" i="67"/>
  <c r="AD1092" i="67"/>
  <c r="AE1092" i="67"/>
  <c r="AF1092" i="67"/>
  <c r="AG1092" i="67"/>
  <c r="AH1092" i="67"/>
  <c r="AI1092" i="67"/>
  <c r="AJ1092" i="67"/>
  <c r="AK1092" i="67"/>
  <c r="AL1092" i="67"/>
  <c r="AM1092" i="67"/>
  <c r="AN1092" i="67"/>
  <c r="AO1092" i="67"/>
  <c r="AP1092" i="67"/>
  <c r="AQ1092" i="67"/>
  <c r="AR1092" i="67"/>
  <c r="AS1092" i="67"/>
  <c r="AT1092" i="67"/>
  <c r="AU1092" i="67"/>
  <c r="AV1092" i="67"/>
  <c r="AW1092" i="67"/>
  <c r="L1110" i="67"/>
  <c r="M1110" i="67"/>
  <c r="N1110" i="67"/>
  <c r="O1110" i="67"/>
  <c r="P1110" i="67"/>
  <c r="Q1110" i="67"/>
  <c r="R1110" i="67"/>
  <c r="S1110" i="67"/>
  <c r="T1110" i="67"/>
  <c r="U1110" i="67"/>
  <c r="V1110" i="67"/>
  <c r="W1110" i="67"/>
  <c r="X1110" i="67"/>
  <c r="Y1110" i="67"/>
  <c r="Z1110" i="67"/>
  <c r="AA1110" i="67"/>
  <c r="AB1110" i="67"/>
  <c r="AC1110" i="67"/>
  <c r="AD1110" i="67"/>
  <c r="AE1110" i="67"/>
  <c r="AF1110" i="67"/>
  <c r="AG1110" i="67"/>
  <c r="AH1110" i="67"/>
  <c r="AI1110" i="67"/>
  <c r="AJ1110" i="67"/>
  <c r="AK1110" i="67"/>
  <c r="AL1110" i="67"/>
  <c r="AM1110" i="67"/>
  <c r="AN1110" i="67"/>
  <c r="AO1110" i="67"/>
  <c r="AP1110" i="67"/>
  <c r="AQ1110" i="67"/>
  <c r="AR1110" i="67"/>
  <c r="AS1110" i="67"/>
  <c r="AT1110" i="67"/>
  <c r="AU1110" i="67"/>
  <c r="AV1110" i="67"/>
  <c r="AW1110" i="67"/>
  <c r="L1131" i="67"/>
  <c r="M1131" i="67"/>
  <c r="N1131" i="67"/>
  <c r="O1131" i="67"/>
  <c r="P1131" i="67"/>
  <c r="Q1131" i="67"/>
  <c r="R1131" i="67"/>
  <c r="S1131" i="67"/>
  <c r="T1131" i="67"/>
  <c r="U1131" i="67"/>
  <c r="V1131" i="67"/>
  <c r="W1131" i="67"/>
  <c r="X1131" i="67"/>
  <c r="Y1131" i="67"/>
  <c r="Z1131" i="67"/>
  <c r="AA1131" i="67"/>
  <c r="AB1131" i="67"/>
  <c r="AC1131" i="67"/>
  <c r="AD1131" i="67"/>
  <c r="AE1131" i="67"/>
  <c r="AF1131" i="67"/>
  <c r="AG1131" i="67"/>
  <c r="AH1131" i="67"/>
  <c r="AI1131" i="67"/>
  <c r="AJ1131" i="67"/>
  <c r="AK1131" i="67"/>
  <c r="AL1131" i="67"/>
  <c r="AM1131" i="67"/>
  <c r="AN1131" i="67"/>
  <c r="AO1131" i="67"/>
  <c r="AP1131" i="67"/>
  <c r="AQ1131" i="67"/>
  <c r="AR1131" i="67"/>
  <c r="AS1131" i="67"/>
  <c r="AT1131" i="67"/>
  <c r="AU1131" i="67"/>
  <c r="AV1131" i="67"/>
  <c r="AW1131" i="67"/>
  <c r="L1147" i="67"/>
  <c r="M1147" i="67"/>
  <c r="N1147" i="67"/>
  <c r="O1147" i="67"/>
  <c r="P1147" i="67"/>
  <c r="Q1147" i="67"/>
  <c r="R1147" i="67"/>
  <c r="S1147" i="67"/>
  <c r="T1147" i="67"/>
  <c r="U1147" i="67"/>
  <c r="V1147" i="67"/>
  <c r="W1147" i="67"/>
  <c r="X1147" i="67"/>
  <c r="Y1147" i="67"/>
  <c r="Z1147" i="67"/>
  <c r="AA1147" i="67"/>
  <c r="AB1147" i="67"/>
  <c r="AC1147" i="67"/>
  <c r="AD1147" i="67"/>
  <c r="AE1147" i="67"/>
  <c r="AF1147" i="67"/>
  <c r="AG1147" i="67"/>
  <c r="AH1147" i="67"/>
  <c r="AI1147" i="67"/>
  <c r="AJ1147" i="67"/>
  <c r="AK1147" i="67"/>
  <c r="AL1147" i="67"/>
  <c r="AM1147" i="67"/>
  <c r="AN1147" i="67"/>
  <c r="AO1147" i="67"/>
  <c r="AP1147" i="67"/>
  <c r="AQ1147" i="67"/>
  <c r="AR1147" i="67"/>
  <c r="AS1147" i="67"/>
  <c r="AT1147" i="67"/>
  <c r="AU1147" i="67"/>
  <c r="AV1147" i="67"/>
  <c r="AW1147" i="67"/>
  <c r="L1196" i="67"/>
  <c r="M1196" i="67"/>
  <c r="N1196" i="67"/>
  <c r="O1196" i="67"/>
  <c r="P1196" i="67"/>
  <c r="Q1196" i="67"/>
  <c r="R1196" i="67"/>
  <c r="S1196" i="67"/>
  <c r="T1196" i="67"/>
  <c r="U1196" i="67"/>
  <c r="V1196" i="67"/>
  <c r="W1196" i="67"/>
  <c r="X1196" i="67"/>
  <c r="Y1196" i="67"/>
  <c r="Z1196" i="67"/>
  <c r="AA1196" i="67"/>
  <c r="AB1196" i="67"/>
  <c r="AC1196" i="67"/>
  <c r="AD1196" i="67"/>
  <c r="AE1196" i="67"/>
  <c r="AF1196" i="67"/>
  <c r="AG1196" i="67"/>
  <c r="AH1196" i="67"/>
  <c r="AI1196" i="67"/>
  <c r="AJ1196" i="67"/>
  <c r="AK1196" i="67"/>
  <c r="AL1196" i="67"/>
  <c r="AM1196" i="67"/>
  <c r="AN1196" i="67"/>
  <c r="AO1196" i="67"/>
  <c r="AP1196" i="67"/>
  <c r="AQ1196" i="67"/>
  <c r="AR1196" i="67"/>
  <c r="AS1196" i="67"/>
  <c r="AT1196" i="67"/>
  <c r="AU1196" i="67"/>
  <c r="AV1196" i="67"/>
  <c r="AW1196" i="67"/>
  <c r="L1212" i="67"/>
  <c r="M1212" i="67"/>
  <c r="N1212" i="67"/>
  <c r="O1212" i="67"/>
  <c r="P1212" i="67"/>
  <c r="Q1212" i="67"/>
  <c r="R1212" i="67"/>
  <c r="S1212" i="67"/>
  <c r="T1212" i="67"/>
  <c r="U1212" i="67"/>
  <c r="V1212" i="67"/>
  <c r="W1212" i="67"/>
  <c r="X1212" i="67"/>
  <c r="Y1212" i="67"/>
  <c r="Z1212" i="67"/>
  <c r="AA1212" i="67"/>
  <c r="AB1212" i="67"/>
  <c r="AC1212" i="67"/>
  <c r="AD1212" i="67"/>
  <c r="AE1212" i="67"/>
  <c r="AF1212" i="67"/>
  <c r="AG1212" i="67"/>
  <c r="AH1212" i="67"/>
  <c r="AI1212" i="67"/>
  <c r="AJ1212" i="67"/>
  <c r="AK1212" i="67"/>
  <c r="AL1212" i="67"/>
  <c r="AM1212" i="67"/>
  <c r="AN1212" i="67"/>
  <c r="AO1212" i="67"/>
  <c r="AP1212" i="67"/>
  <c r="AQ1212" i="67"/>
  <c r="AR1212" i="67"/>
  <c r="AS1212" i="67"/>
  <c r="AT1212" i="67"/>
  <c r="AU1212" i="67"/>
  <c r="AV1212" i="67"/>
  <c r="AW1212" i="67"/>
  <c r="K1212" i="67"/>
  <c r="K1196" i="67"/>
  <c r="K1147" i="67"/>
  <c r="K1131" i="67"/>
  <c r="K1110" i="67"/>
  <c r="K1092" i="67"/>
  <c r="K1078" i="67"/>
  <c r="B101" i="65"/>
  <c r="B84" i="65" s="1"/>
  <c r="AN203" i="65" l="1"/>
  <c r="AN204" i="65"/>
  <c r="AN202" i="65"/>
  <c r="AD203" i="65"/>
  <c r="AD204" i="65"/>
  <c r="AD202" i="65"/>
  <c r="T203" i="65"/>
  <c r="T204" i="65"/>
  <c r="T202" i="65"/>
  <c r="B203" i="65"/>
  <c r="B204" i="65"/>
  <c r="C204" i="65" s="1"/>
  <c r="B202" i="65"/>
  <c r="C202" i="65" s="1"/>
  <c r="B35" i="65"/>
  <c r="B34" i="65"/>
  <c r="AN33" i="65"/>
  <c r="AN32" i="65"/>
  <c r="AD33" i="65"/>
  <c r="AD32" i="65"/>
  <c r="T33" i="65"/>
  <c r="T32" i="65"/>
  <c r="B33" i="65"/>
  <c r="C33" i="65" s="1"/>
  <c r="C35" i="65" s="1"/>
  <c r="B32" i="65"/>
  <c r="C32" i="65" s="1"/>
  <c r="C34" i="65" s="1"/>
  <c r="L1390" i="67"/>
  <c r="M1390" i="67"/>
  <c r="N1390" i="67"/>
  <c r="O1390" i="67"/>
  <c r="P1390" i="67"/>
  <c r="Q1390" i="67"/>
  <c r="R1390" i="67"/>
  <c r="S1390" i="67"/>
  <c r="T1390" i="67"/>
  <c r="U1390" i="67"/>
  <c r="V1390" i="67"/>
  <c r="W1390" i="67"/>
  <c r="X1390" i="67"/>
  <c r="Y1390" i="67"/>
  <c r="Z1390" i="67"/>
  <c r="AA1390" i="67"/>
  <c r="AB1390" i="67"/>
  <c r="AC1390" i="67"/>
  <c r="AD1390" i="67"/>
  <c r="AE1390" i="67"/>
  <c r="AF1390" i="67"/>
  <c r="AG1390" i="67"/>
  <c r="AH1390" i="67"/>
  <c r="AI1390" i="67"/>
  <c r="AJ1390" i="67"/>
  <c r="AK1390" i="67"/>
  <c r="AL1390" i="67"/>
  <c r="AM1390" i="67"/>
  <c r="AN1390" i="67"/>
  <c r="AO1390" i="67"/>
  <c r="AP1390" i="67"/>
  <c r="AQ1390" i="67"/>
  <c r="AR1390" i="67"/>
  <c r="AS1390" i="67"/>
  <c r="AT1390" i="67"/>
  <c r="AU1390" i="67"/>
  <c r="AV1390" i="67"/>
  <c r="AW1390" i="67"/>
  <c r="L1404" i="67"/>
  <c r="M1404" i="67"/>
  <c r="N1404" i="67"/>
  <c r="O1404" i="67"/>
  <c r="P1404" i="67"/>
  <c r="Q1404" i="67"/>
  <c r="R1404" i="67"/>
  <c r="S1404" i="67"/>
  <c r="T1404" i="67"/>
  <c r="U1404" i="67"/>
  <c r="V1404" i="67"/>
  <c r="W1404" i="67"/>
  <c r="X1404" i="67"/>
  <c r="Y1404" i="67"/>
  <c r="Z1404" i="67"/>
  <c r="AA1404" i="67"/>
  <c r="AB1404" i="67"/>
  <c r="AC1404" i="67"/>
  <c r="AD1404" i="67"/>
  <c r="AE1404" i="67"/>
  <c r="AF1404" i="67"/>
  <c r="AG1404" i="67"/>
  <c r="AH1404" i="67"/>
  <c r="AI1404" i="67"/>
  <c r="AJ1404" i="67"/>
  <c r="AK1404" i="67"/>
  <c r="AL1404" i="67"/>
  <c r="AM1404" i="67"/>
  <c r="AN1404" i="67"/>
  <c r="AO1404" i="67"/>
  <c r="AP1404" i="67"/>
  <c r="AQ1404" i="67"/>
  <c r="AR1404" i="67"/>
  <c r="AS1404" i="67"/>
  <c r="AT1404" i="67"/>
  <c r="AU1404" i="67"/>
  <c r="AV1404" i="67"/>
  <c r="AW1404" i="67"/>
  <c r="L1422" i="67"/>
  <c r="M1422" i="67"/>
  <c r="N1422" i="67"/>
  <c r="O1422" i="67"/>
  <c r="P1422" i="67"/>
  <c r="Q1422" i="67"/>
  <c r="R1422" i="67"/>
  <c r="S1422" i="67"/>
  <c r="T1422" i="67"/>
  <c r="U1422" i="67"/>
  <c r="V1422" i="67"/>
  <c r="W1422" i="67"/>
  <c r="X1422" i="67"/>
  <c r="Y1422" i="67"/>
  <c r="Z1422" i="67"/>
  <c r="AA1422" i="67"/>
  <c r="AB1422" i="67"/>
  <c r="AC1422" i="67"/>
  <c r="AD1422" i="67"/>
  <c r="AE1422" i="67"/>
  <c r="AF1422" i="67"/>
  <c r="AG1422" i="67"/>
  <c r="AH1422" i="67"/>
  <c r="AI1422" i="67"/>
  <c r="AJ1422" i="67"/>
  <c r="AK1422" i="67"/>
  <c r="AL1422" i="67"/>
  <c r="AM1422" i="67"/>
  <c r="AN1422" i="67"/>
  <c r="AO1422" i="67"/>
  <c r="AP1422" i="67"/>
  <c r="AQ1422" i="67"/>
  <c r="AR1422" i="67"/>
  <c r="AS1422" i="67"/>
  <c r="AT1422" i="67"/>
  <c r="AU1422" i="67"/>
  <c r="AV1422" i="67"/>
  <c r="AW1422" i="67"/>
  <c r="L1477" i="67"/>
  <c r="M1477" i="67"/>
  <c r="N1477" i="67"/>
  <c r="O1477" i="67"/>
  <c r="P1477" i="67"/>
  <c r="Q1477" i="67"/>
  <c r="R1477" i="67"/>
  <c r="S1477" i="67"/>
  <c r="T1477" i="67"/>
  <c r="U1477" i="67"/>
  <c r="V1477" i="67"/>
  <c r="W1477" i="67"/>
  <c r="X1477" i="67"/>
  <c r="Y1477" i="67"/>
  <c r="Z1477" i="67"/>
  <c r="AA1477" i="67"/>
  <c r="AB1477" i="67"/>
  <c r="AC1477" i="67"/>
  <c r="AD1477" i="67"/>
  <c r="AE1477" i="67"/>
  <c r="AF1477" i="67"/>
  <c r="AG1477" i="67"/>
  <c r="AH1477" i="67"/>
  <c r="AI1477" i="67"/>
  <c r="AJ1477" i="67"/>
  <c r="AK1477" i="67"/>
  <c r="AL1477" i="67"/>
  <c r="AM1477" i="67"/>
  <c r="AN1477" i="67"/>
  <c r="AO1477" i="67"/>
  <c r="AP1477" i="67"/>
  <c r="AQ1477" i="67"/>
  <c r="AR1477" i="67"/>
  <c r="AS1477" i="67"/>
  <c r="AT1477" i="67"/>
  <c r="AU1477" i="67"/>
  <c r="AV1477" i="67"/>
  <c r="AW1477" i="67"/>
  <c r="L1493" i="67"/>
  <c r="M1493" i="67"/>
  <c r="N1493" i="67"/>
  <c r="O1493" i="67"/>
  <c r="P1493" i="67"/>
  <c r="Q1493" i="67"/>
  <c r="R1493" i="67"/>
  <c r="S1493" i="67"/>
  <c r="T1493" i="67"/>
  <c r="U1493" i="67"/>
  <c r="V1493" i="67"/>
  <c r="W1493" i="67"/>
  <c r="X1493" i="67"/>
  <c r="Y1493" i="67"/>
  <c r="Z1493" i="67"/>
  <c r="AA1493" i="67"/>
  <c r="AB1493" i="67"/>
  <c r="AC1493" i="67"/>
  <c r="AD1493" i="67"/>
  <c r="AE1493" i="67"/>
  <c r="AF1493" i="67"/>
  <c r="AG1493" i="67"/>
  <c r="AH1493" i="67"/>
  <c r="AI1493" i="67"/>
  <c r="AJ1493" i="67"/>
  <c r="AK1493" i="67"/>
  <c r="AL1493" i="67"/>
  <c r="AM1493" i="67"/>
  <c r="AN1493" i="67"/>
  <c r="AO1493" i="67"/>
  <c r="AP1493" i="67"/>
  <c r="AQ1493" i="67"/>
  <c r="AR1493" i="67"/>
  <c r="AS1493" i="67"/>
  <c r="AT1493" i="67"/>
  <c r="AU1493" i="67"/>
  <c r="AV1493" i="67"/>
  <c r="AW1493" i="67"/>
  <c r="L1504" i="67"/>
  <c r="M1504" i="67"/>
  <c r="N1504" i="67"/>
  <c r="O1504" i="67"/>
  <c r="P1504" i="67"/>
  <c r="Q1504" i="67"/>
  <c r="R1504" i="67"/>
  <c r="S1504" i="67"/>
  <c r="T1504" i="67"/>
  <c r="U1504" i="67"/>
  <c r="V1504" i="67"/>
  <c r="W1504" i="67"/>
  <c r="X1504" i="67"/>
  <c r="Y1504" i="67"/>
  <c r="Z1504" i="67"/>
  <c r="AA1504" i="67"/>
  <c r="AB1504" i="67"/>
  <c r="AC1504" i="67"/>
  <c r="AD1504" i="67"/>
  <c r="AE1504" i="67"/>
  <c r="AF1504" i="67"/>
  <c r="AG1504" i="67"/>
  <c r="AH1504" i="67"/>
  <c r="AI1504" i="67"/>
  <c r="AJ1504" i="67"/>
  <c r="AK1504" i="67"/>
  <c r="AL1504" i="67"/>
  <c r="AM1504" i="67"/>
  <c r="AN1504" i="67"/>
  <c r="AO1504" i="67"/>
  <c r="AP1504" i="67"/>
  <c r="AQ1504" i="67"/>
  <c r="AR1504" i="67"/>
  <c r="AS1504" i="67"/>
  <c r="AT1504" i="67"/>
  <c r="AU1504" i="67"/>
  <c r="AV1504" i="67"/>
  <c r="AW1504" i="67"/>
  <c r="L1505" i="67"/>
  <c r="M1505" i="67"/>
  <c r="N1505" i="67"/>
  <c r="O1505" i="67"/>
  <c r="P1505" i="67"/>
  <c r="Q1505" i="67"/>
  <c r="R1505" i="67"/>
  <c r="S1505" i="67"/>
  <c r="T1505" i="67"/>
  <c r="U1505" i="67"/>
  <c r="V1505" i="67"/>
  <c r="W1505" i="67"/>
  <c r="X1505" i="67"/>
  <c r="Y1505" i="67"/>
  <c r="Z1505" i="67"/>
  <c r="AA1505" i="67"/>
  <c r="AB1505" i="67"/>
  <c r="AC1505" i="67"/>
  <c r="AD1505" i="67"/>
  <c r="AE1505" i="67"/>
  <c r="AF1505" i="67"/>
  <c r="AG1505" i="67"/>
  <c r="AH1505" i="67"/>
  <c r="AI1505" i="67"/>
  <c r="AJ1505" i="67"/>
  <c r="AK1505" i="67"/>
  <c r="AL1505" i="67"/>
  <c r="AM1505" i="67"/>
  <c r="AN1505" i="67"/>
  <c r="AO1505" i="67"/>
  <c r="AP1505" i="67"/>
  <c r="AQ1505" i="67"/>
  <c r="AR1505" i="67"/>
  <c r="AS1505" i="67"/>
  <c r="AT1505" i="67"/>
  <c r="AU1505" i="67"/>
  <c r="AV1505" i="67"/>
  <c r="AW1505" i="67"/>
  <c r="L1525" i="67"/>
  <c r="M1525" i="67"/>
  <c r="N1525" i="67"/>
  <c r="O1525" i="67"/>
  <c r="P1525" i="67"/>
  <c r="Q1525" i="67"/>
  <c r="R1525" i="67"/>
  <c r="S1525" i="67"/>
  <c r="T1525" i="67"/>
  <c r="U1525" i="67"/>
  <c r="V1525" i="67"/>
  <c r="W1525" i="67"/>
  <c r="X1525" i="67"/>
  <c r="Y1525" i="67"/>
  <c r="Z1525" i="67"/>
  <c r="AA1525" i="67"/>
  <c r="AB1525" i="67"/>
  <c r="AC1525" i="67"/>
  <c r="AD1525" i="67"/>
  <c r="AE1525" i="67"/>
  <c r="AF1525" i="67"/>
  <c r="AG1525" i="67"/>
  <c r="AH1525" i="67"/>
  <c r="AI1525" i="67"/>
  <c r="AJ1525" i="67"/>
  <c r="AK1525" i="67"/>
  <c r="AL1525" i="67"/>
  <c r="AM1525" i="67"/>
  <c r="AN1525" i="67"/>
  <c r="AO1525" i="67"/>
  <c r="AP1525" i="67"/>
  <c r="AQ1525" i="67"/>
  <c r="AR1525" i="67"/>
  <c r="AS1525" i="67"/>
  <c r="AT1525" i="67"/>
  <c r="AU1525" i="67"/>
  <c r="AV1525" i="67"/>
  <c r="AW1525" i="67"/>
  <c r="L1526" i="67"/>
  <c r="M1526" i="67"/>
  <c r="N1526" i="67"/>
  <c r="O1526" i="67"/>
  <c r="P1526" i="67"/>
  <c r="Q1526" i="67"/>
  <c r="R1526" i="67"/>
  <c r="S1526" i="67"/>
  <c r="T1526" i="67"/>
  <c r="U1526" i="67"/>
  <c r="V1526" i="67"/>
  <c r="W1526" i="67"/>
  <c r="X1526" i="67"/>
  <c r="Y1526" i="67"/>
  <c r="Z1526" i="67"/>
  <c r="AA1526" i="67"/>
  <c r="AB1526" i="67"/>
  <c r="AC1526" i="67"/>
  <c r="AD1526" i="67"/>
  <c r="AE1526" i="67"/>
  <c r="AF1526" i="67"/>
  <c r="AG1526" i="67"/>
  <c r="AH1526" i="67"/>
  <c r="AI1526" i="67"/>
  <c r="AJ1526" i="67"/>
  <c r="AK1526" i="67"/>
  <c r="AL1526" i="67"/>
  <c r="AM1526" i="67"/>
  <c r="AN1526" i="67"/>
  <c r="AO1526" i="67"/>
  <c r="AP1526" i="67"/>
  <c r="AQ1526" i="67"/>
  <c r="AR1526" i="67"/>
  <c r="AS1526" i="67"/>
  <c r="AT1526" i="67"/>
  <c r="AU1526" i="67"/>
  <c r="AV1526" i="67"/>
  <c r="AW1526" i="67"/>
  <c r="L1542" i="67"/>
  <c r="M1542" i="67"/>
  <c r="N1542" i="67"/>
  <c r="O1542" i="67"/>
  <c r="P1542" i="67"/>
  <c r="Q1542" i="67"/>
  <c r="R1542" i="67"/>
  <c r="S1542" i="67"/>
  <c r="T1542" i="67"/>
  <c r="U1542" i="67"/>
  <c r="V1542" i="67"/>
  <c r="W1542" i="67"/>
  <c r="X1542" i="67"/>
  <c r="Y1542" i="67"/>
  <c r="Z1542" i="67"/>
  <c r="AA1542" i="67"/>
  <c r="AB1542" i="67"/>
  <c r="AC1542" i="67"/>
  <c r="AD1542" i="67"/>
  <c r="AE1542" i="67"/>
  <c r="AF1542" i="67"/>
  <c r="AG1542" i="67"/>
  <c r="AH1542" i="67"/>
  <c r="AI1542" i="67"/>
  <c r="AJ1542" i="67"/>
  <c r="AK1542" i="67"/>
  <c r="AL1542" i="67"/>
  <c r="AM1542" i="67"/>
  <c r="AN1542" i="67"/>
  <c r="AO1542" i="67"/>
  <c r="AP1542" i="67"/>
  <c r="AQ1542" i="67"/>
  <c r="AR1542" i="67"/>
  <c r="AS1542" i="67"/>
  <c r="AT1542" i="67"/>
  <c r="AU1542" i="67"/>
  <c r="AV1542" i="67"/>
  <c r="AW1542" i="67"/>
  <c r="L1558" i="67"/>
  <c r="M1558" i="67"/>
  <c r="N1558" i="67"/>
  <c r="O1558" i="67"/>
  <c r="P1558" i="67"/>
  <c r="Q1558" i="67"/>
  <c r="R1558" i="67"/>
  <c r="S1558" i="67"/>
  <c r="T1558" i="67"/>
  <c r="U1558" i="67"/>
  <c r="V1558" i="67"/>
  <c r="W1558" i="67"/>
  <c r="X1558" i="67"/>
  <c r="Y1558" i="67"/>
  <c r="Z1558" i="67"/>
  <c r="AA1558" i="67"/>
  <c r="AB1558" i="67"/>
  <c r="AC1558" i="67"/>
  <c r="AD1558" i="67"/>
  <c r="AE1558" i="67"/>
  <c r="AF1558" i="67"/>
  <c r="AG1558" i="67"/>
  <c r="AH1558" i="67"/>
  <c r="AI1558" i="67"/>
  <c r="AJ1558" i="67"/>
  <c r="AK1558" i="67"/>
  <c r="AL1558" i="67"/>
  <c r="AM1558" i="67"/>
  <c r="AN1558" i="67"/>
  <c r="AO1558" i="67"/>
  <c r="AP1558" i="67"/>
  <c r="AQ1558" i="67"/>
  <c r="AR1558" i="67"/>
  <c r="AS1558" i="67"/>
  <c r="AT1558" i="67"/>
  <c r="AU1558" i="67"/>
  <c r="AV1558" i="67"/>
  <c r="AW1558" i="67"/>
  <c r="K1558" i="67"/>
  <c r="K1542" i="67"/>
  <c r="K1525" i="67"/>
  <c r="K1526" i="67"/>
  <c r="K1504" i="67"/>
  <c r="K1505" i="67"/>
  <c r="K1493" i="67"/>
  <c r="K1477" i="67"/>
  <c r="K1422" i="67"/>
  <c r="K1404" i="67"/>
  <c r="K1390" i="67"/>
  <c r="A1221" i="67"/>
  <c r="A1222" i="67"/>
  <c r="A1223" i="67"/>
  <c r="A1224" i="67"/>
  <c r="A1225" i="67"/>
  <c r="A1226" i="67"/>
  <c r="A1227" i="67"/>
  <c r="A1228" i="67"/>
  <c r="A1229" i="67"/>
  <c r="A1230" i="67"/>
  <c r="A1231" i="67"/>
  <c r="A1232" i="67"/>
  <c r="A1233" i="67"/>
  <c r="A1234" i="67"/>
  <c r="A1235" i="67"/>
  <c r="A1236" i="67"/>
  <c r="A1237" i="67"/>
  <c r="A1238" i="67"/>
  <c r="A1239" i="67"/>
  <c r="A1240" i="67"/>
  <c r="A1241" i="67"/>
  <c r="A1242" i="67"/>
  <c r="A1243" i="67"/>
  <c r="A1244" i="67"/>
  <c r="A1245" i="67"/>
  <c r="A1246" i="67"/>
  <c r="A1247" i="67"/>
  <c r="A1248" i="67"/>
  <c r="A1249" i="67"/>
  <c r="A1250" i="67"/>
  <c r="A1251" i="67"/>
  <c r="A1252" i="67"/>
  <c r="A1253" i="67"/>
  <c r="A1254" i="67"/>
  <c r="A1255" i="67"/>
  <c r="A1256" i="67"/>
  <c r="A1257" i="67"/>
  <c r="A1258" i="67"/>
  <c r="A1259" i="67"/>
  <c r="A1260" i="67"/>
  <c r="A1261" i="67"/>
  <c r="A1262" i="67"/>
  <c r="A1263" i="67"/>
  <c r="A1264" i="67"/>
  <c r="A1265" i="67"/>
  <c r="A1266" i="67"/>
  <c r="A1267" i="67"/>
  <c r="A1268" i="67"/>
  <c r="A1269" i="67"/>
  <c r="A1270" i="67"/>
  <c r="A1271" i="67"/>
  <c r="A1272" i="67"/>
  <c r="A1273" i="67"/>
  <c r="A1274" i="67"/>
  <c r="A1275" i="67"/>
  <c r="A1276" i="67"/>
  <c r="A1277" i="67"/>
  <c r="A1278" i="67"/>
  <c r="A1279" i="67"/>
  <c r="A1280" i="67"/>
  <c r="A1281" i="67"/>
  <c r="A1282" i="67"/>
  <c r="A1283" i="67"/>
  <c r="A1284" i="67"/>
  <c r="A1285" i="67"/>
  <c r="A1286" i="67"/>
  <c r="A1287" i="67"/>
  <c r="A1288" i="67"/>
  <c r="A1289" i="67"/>
  <c r="A1290" i="67"/>
  <c r="A1291" i="67"/>
  <c r="A1292" i="67"/>
  <c r="A1293" i="67"/>
  <c r="A1294" i="67"/>
  <c r="A1295" i="67"/>
  <c r="A1296" i="67"/>
  <c r="A1297" i="67"/>
  <c r="A1298" i="67"/>
  <c r="A1299" i="67"/>
  <c r="A1300" i="67"/>
  <c r="A1301" i="67"/>
  <c r="A1302" i="67"/>
  <c r="A1303" i="67"/>
  <c r="A1304" i="67"/>
  <c r="A1305" i="67"/>
  <c r="A1306" i="67"/>
  <c r="A1307" i="67"/>
  <c r="A1308" i="67"/>
  <c r="A1309" i="67"/>
  <c r="A1310" i="67"/>
  <c r="A1311" i="67"/>
  <c r="A1312" i="67"/>
  <c r="A1313" i="67"/>
  <c r="A1314" i="67"/>
  <c r="A1315" i="67"/>
  <c r="A1316" i="67"/>
  <c r="A1317" i="67"/>
  <c r="A1369" i="67"/>
  <c r="A1368" i="67"/>
  <c r="A1367" i="67"/>
  <c r="A1366" i="67"/>
  <c r="A1365" i="67"/>
  <c r="A1364" i="67"/>
  <c r="A1363" i="67"/>
  <c r="A1362" i="67"/>
  <c r="A1361" i="67"/>
  <c r="A1360" i="67"/>
  <c r="A1359" i="67"/>
  <c r="A1358" i="67"/>
  <c r="A1357" i="67"/>
  <c r="A1356" i="67"/>
  <c r="A1355" i="67"/>
  <c r="A1354" i="67"/>
  <c r="A1353" i="67"/>
  <c r="A1352" i="67"/>
  <c r="A1351" i="67"/>
  <c r="A1350" i="67"/>
  <c r="A1349" i="67"/>
  <c r="A1348" i="67"/>
  <c r="A1347" i="67"/>
  <c r="A1346" i="67"/>
  <c r="A1345" i="67"/>
  <c r="A1344" i="67"/>
  <c r="A1343" i="67"/>
  <c r="A1342" i="67"/>
  <c r="A1341" i="67"/>
  <c r="A1340" i="67"/>
  <c r="A1339" i="67"/>
  <c r="A1338" i="67"/>
  <c r="J1272" i="67"/>
  <c r="I1272" i="67"/>
  <c r="E1272" i="67"/>
  <c r="D1272" i="67"/>
  <c r="N33" i="66"/>
  <c r="N34" i="66"/>
  <c r="N31" i="66"/>
  <c r="N32" i="66"/>
  <c r="N30" i="66"/>
  <c r="N29" i="66"/>
  <c r="N24" i="66"/>
  <c r="N25" i="66"/>
  <c r="N26" i="66"/>
  <c r="N27" i="66"/>
  <c r="N28" i="66"/>
  <c r="N23" i="66"/>
  <c r="Y1" i="69"/>
  <c r="B99" i="65"/>
  <c r="AN62" i="65"/>
  <c r="AN61" i="65"/>
  <c r="AN63" i="65" s="1"/>
  <c r="AD62" i="65"/>
  <c r="AD61" i="65"/>
  <c r="T62" i="65"/>
  <c r="T61" i="65"/>
  <c r="T63" i="65" s="1"/>
  <c r="B62" i="65"/>
  <c r="B61" i="65"/>
  <c r="B63" i="65" s="1"/>
  <c r="A429" i="67"/>
  <c r="A430" i="67"/>
  <c r="A431" i="67"/>
  <c r="A432" i="67"/>
  <c r="A433" i="67"/>
  <c r="A434" i="67"/>
  <c r="A435" i="67"/>
  <c r="A436" i="67"/>
  <c r="A437" i="67"/>
  <c r="A438" i="67"/>
  <c r="A439" i="67"/>
  <c r="A440" i="67"/>
  <c r="A441" i="67"/>
  <c r="A442" i="67"/>
  <c r="A443" i="67"/>
  <c r="A444" i="67"/>
  <c r="A445" i="67"/>
  <c r="A446" i="67"/>
  <c r="A447" i="67"/>
  <c r="A448" i="67"/>
  <c r="A449" i="67"/>
  <c r="A450" i="67"/>
  <c r="A451" i="67"/>
  <c r="A452" i="67"/>
  <c r="A453" i="67"/>
  <c r="A454" i="67"/>
  <c r="A455" i="67"/>
  <c r="A456" i="67"/>
  <c r="A457" i="67"/>
  <c r="A458" i="67"/>
  <c r="A459" i="67"/>
  <c r="A428" i="67"/>
  <c r="A311" i="67"/>
  <c r="A312" i="67"/>
  <c r="A313" i="67"/>
  <c r="A314" i="67"/>
  <c r="A315" i="67"/>
  <c r="A316" i="67"/>
  <c r="A317" i="67"/>
  <c r="A318" i="67"/>
  <c r="A319" i="67"/>
  <c r="A320" i="67"/>
  <c r="A321" i="67"/>
  <c r="A322" i="67"/>
  <c r="A323" i="67"/>
  <c r="A324" i="67"/>
  <c r="A325" i="67"/>
  <c r="A326" i="67"/>
  <c r="A327" i="67"/>
  <c r="A328" i="67"/>
  <c r="A329" i="67"/>
  <c r="A330" i="67"/>
  <c r="A331" i="67"/>
  <c r="A332" i="67"/>
  <c r="A333" i="67"/>
  <c r="A334" i="67"/>
  <c r="A335" i="67"/>
  <c r="A336" i="67"/>
  <c r="A337" i="67"/>
  <c r="A338" i="67"/>
  <c r="A339" i="67"/>
  <c r="A340" i="67"/>
  <c r="A341" i="67"/>
  <c r="A342" i="67"/>
  <c r="A343" i="67"/>
  <c r="A344" i="67"/>
  <c r="A345" i="67"/>
  <c r="A346" i="67"/>
  <c r="A347" i="67"/>
  <c r="A348" i="67"/>
  <c r="A349" i="67"/>
  <c r="A350" i="67"/>
  <c r="A351" i="67"/>
  <c r="A352" i="67"/>
  <c r="A353" i="67"/>
  <c r="A354" i="67"/>
  <c r="A355" i="67"/>
  <c r="A356" i="67"/>
  <c r="A357" i="67"/>
  <c r="A358" i="67"/>
  <c r="A359" i="67"/>
  <c r="A360" i="67"/>
  <c r="A361" i="67"/>
  <c r="A362" i="67"/>
  <c r="A363" i="67"/>
  <c r="A364" i="67"/>
  <c r="A365" i="67"/>
  <c r="A366" i="67"/>
  <c r="A367" i="67"/>
  <c r="A368" i="67"/>
  <c r="A369" i="67"/>
  <c r="A370" i="67"/>
  <c r="A371" i="67"/>
  <c r="A372" i="67"/>
  <c r="A373" i="67"/>
  <c r="A374" i="67"/>
  <c r="A375" i="67"/>
  <c r="A376" i="67"/>
  <c r="A377" i="67"/>
  <c r="A378" i="67"/>
  <c r="A379" i="67"/>
  <c r="A380" i="67"/>
  <c r="A381" i="67"/>
  <c r="A382" i="67"/>
  <c r="A383" i="67"/>
  <c r="A384" i="67"/>
  <c r="A385" i="67"/>
  <c r="A386" i="67"/>
  <c r="A387" i="67"/>
  <c r="A388" i="67"/>
  <c r="A389" i="67"/>
  <c r="A390" i="67"/>
  <c r="A391" i="67"/>
  <c r="A392" i="67"/>
  <c r="A393" i="67"/>
  <c r="A394" i="67"/>
  <c r="A395" i="67"/>
  <c r="A396" i="67"/>
  <c r="A397" i="67"/>
  <c r="A398" i="67"/>
  <c r="A399" i="67"/>
  <c r="A400" i="67"/>
  <c r="A401" i="67"/>
  <c r="A402" i="67"/>
  <c r="A403" i="67"/>
  <c r="A404" i="67"/>
  <c r="A405" i="67"/>
  <c r="A406" i="67"/>
  <c r="A407" i="67"/>
  <c r="A408" i="67"/>
  <c r="A409" i="67"/>
  <c r="A410" i="67"/>
  <c r="A411" i="67"/>
  <c r="A412" i="67"/>
  <c r="A413" i="67"/>
  <c r="A414" i="67"/>
  <c r="A415" i="67"/>
  <c r="A416" i="67"/>
  <c r="A417" i="67"/>
  <c r="A418" i="67"/>
  <c r="A419" i="67"/>
  <c r="A420" i="67"/>
  <c r="A421" i="67"/>
  <c r="A422" i="67"/>
  <c r="A423" i="67"/>
  <c r="A424" i="67"/>
  <c r="A425" i="67"/>
  <c r="A426" i="67"/>
  <c r="A310" i="67"/>
  <c r="AN67" i="65"/>
  <c r="AN68" i="65"/>
  <c r="AN69" i="65"/>
  <c r="AN70" i="65"/>
  <c r="AN66" i="65"/>
  <c r="AD67" i="65"/>
  <c r="AD68" i="65"/>
  <c r="AD69" i="65"/>
  <c r="AD70" i="65"/>
  <c r="AD66" i="65"/>
  <c r="T67" i="65"/>
  <c r="T68" i="65"/>
  <c r="T69" i="65"/>
  <c r="T70" i="65"/>
  <c r="T66" i="65"/>
  <c r="B67" i="65"/>
  <c r="C67" i="65" s="1"/>
  <c r="D67" i="65" s="1"/>
  <c r="E67" i="65" s="1"/>
  <c r="F67" i="65" s="1"/>
  <c r="G67" i="65" s="1"/>
  <c r="H67" i="65" s="1"/>
  <c r="I67" i="65" s="1"/>
  <c r="J67" i="65" s="1"/>
  <c r="B68" i="65"/>
  <c r="C68" i="65" s="1"/>
  <c r="D68" i="65" s="1"/>
  <c r="E68" i="65" s="1"/>
  <c r="F68" i="65" s="1"/>
  <c r="G68" i="65" s="1"/>
  <c r="H68" i="65" s="1"/>
  <c r="I68" i="65" s="1"/>
  <c r="J68" i="65" s="1"/>
  <c r="B69" i="65"/>
  <c r="C69" i="65" s="1"/>
  <c r="D69" i="65" s="1"/>
  <c r="E69" i="65" s="1"/>
  <c r="F69" i="65" s="1"/>
  <c r="G69" i="65" s="1"/>
  <c r="H69" i="65" s="1"/>
  <c r="I69" i="65" s="1"/>
  <c r="J69" i="65" s="1"/>
  <c r="B70" i="65"/>
  <c r="C70" i="65" s="1"/>
  <c r="D70" i="65" s="1"/>
  <c r="E70" i="65" s="1"/>
  <c r="F70" i="65" s="1"/>
  <c r="G70" i="65" s="1"/>
  <c r="H70" i="65" s="1"/>
  <c r="I70" i="65" s="1"/>
  <c r="J70" i="65" s="1"/>
  <c r="B66" i="65"/>
  <c r="C66" i="65" s="1"/>
  <c r="D66" i="65" s="1"/>
  <c r="E66" i="65" s="1"/>
  <c r="F66" i="65" s="1"/>
  <c r="G66" i="65" s="1"/>
  <c r="H66" i="65" s="1"/>
  <c r="I66" i="65" s="1"/>
  <c r="J66" i="65" s="1"/>
  <c r="B55" i="65"/>
  <c r="B54" i="65"/>
  <c r="B59" i="65" s="1"/>
  <c r="B53" i="65"/>
  <c r="B58" i="65" s="1"/>
  <c r="B52" i="65"/>
  <c r="B57" i="65" s="1"/>
  <c r="B51" i="65"/>
  <c r="AN47" i="65"/>
  <c r="AN48" i="65"/>
  <c r="AN49" i="65"/>
  <c r="AN50" i="65"/>
  <c r="AN46" i="65"/>
  <c r="AD47" i="65"/>
  <c r="AD48" i="65"/>
  <c r="AD49" i="65"/>
  <c r="AD50" i="65"/>
  <c r="AD46" i="65"/>
  <c r="T47" i="65"/>
  <c r="T48" i="65"/>
  <c r="T49" i="65"/>
  <c r="T50" i="65"/>
  <c r="T46" i="65"/>
  <c r="B47" i="65"/>
  <c r="C47" i="65" s="1"/>
  <c r="D47" i="65" s="1"/>
  <c r="B48" i="65"/>
  <c r="C48" i="65" s="1"/>
  <c r="D48" i="65" s="1"/>
  <c r="E48" i="65" s="1"/>
  <c r="F48" i="65" s="1"/>
  <c r="G48" i="65" s="1"/>
  <c r="H48" i="65" s="1"/>
  <c r="I48" i="65" s="1"/>
  <c r="J48" i="65" s="1"/>
  <c r="B49" i="65"/>
  <c r="C49" i="65" s="1"/>
  <c r="D49" i="65" s="1"/>
  <c r="E49" i="65" s="1"/>
  <c r="F49" i="65" s="1"/>
  <c r="G49" i="65" s="1"/>
  <c r="H49" i="65" s="1"/>
  <c r="I49" i="65" s="1"/>
  <c r="J49" i="65" s="1"/>
  <c r="B50" i="65"/>
  <c r="C50" i="65" s="1"/>
  <c r="D50" i="65" s="1"/>
  <c r="E50" i="65" s="1"/>
  <c r="F50" i="65" s="1"/>
  <c r="G50" i="65" s="1"/>
  <c r="H50" i="65" s="1"/>
  <c r="I50" i="65" s="1"/>
  <c r="J50" i="65" s="1"/>
  <c r="B46" i="65"/>
  <c r="C46" i="65" s="1"/>
  <c r="D46" i="65" s="1"/>
  <c r="E46" i="65" s="1"/>
  <c r="A1163" i="67"/>
  <c r="A1162" i="67"/>
  <c r="A1161" i="67"/>
  <c r="A1160" i="67"/>
  <c r="A1159" i="67"/>
  <c r="A1158" i="67"/>
  <c r="A1157" i="67"/>
  <c r="A1156" i="67"/>
  <c r="A1155" i="67"/>
  <c r="A1154" i="67"/>
  <c r="A1153" i="67"/>
  <c r="A1152" i="67"/>
  <c r="A1119" i="67"/>
  <c r="A1117" i="67"/>
  <c r="A914" i="67"/>
  <c r="A913" i="67"/>
  <c r="A912" i="67"/>
  <c r="A911" i="67"/>
  <c r="A910" i="67"/>
  <c r="A909" i="67"/>
  <c r="A908" i="67"/>
  <c r="A907" i="67"/>
  <c r="A906" i="67"/>
  <c r="A905" i="67"/>
  <c r="A904" i="67"/>
  <c r="A903" i="67"/>
  <c r="A902" i="67"/>
  <c r="A901" i="67"/>
  <c r="A900" i="67"/>
  <c r="A899" i="67"/>
  <c r="A898" i="67"/>
  <c r="A897" i="67"/>
  <c r="A896" i="67"/>
  <c r="A895" i="67"/>
  <c r="A894" i="67"/>
  <c r="A893" i="67"/>
  <c r="A892" i="67"/>
  <c r="A891" i="67"/>
  <c r="A890" i="67"/>
  <c r="A889" i="67"/>
  <c r="A888" i="67"/>
  <c r="A887" i="67"/>
  <c r="A886" i="67"/>
  <c r="A885" i="67"/>
  <c r="A884" i="67"/>
  <c r="A883" i="67"/>
  <c r="A881" i="67"/>
  <c r="A880" i="67"/>
  <c r="A879" i="67"/>
  <c r="A878" i="67"/>
  <c r="A877" i="67"/>
  <c r="A876" i="67"/>
  <c r="A875" i="67"/>
  <c r="A874" i="67"/>
  <c r="A873" i="67"/>
  <c r="A872" i="67"/>
  <c r="A871" i="67"/>
  <c r="A870" i="67"/>
  <c r="A869" i="67"/>
  <c r="A868" i="67"/>
  <c r="A867" i="67"/>
  <c r="A866" i="67"/>
  <c r="A865" i="67"/>
  <c r="A864" i="67"/>
  <c r="A863" i="67"/>
  <c r="A862" i="67"/>
  <c r="A861" i="67"/>
  <c r="A860" i="67"/>
  <c r="A859" i="67"/>
  <c r="A858" i="67"/>
  <c r="A857" i="67"/>
  <c r="A856" i="67"/>
  <c r="A855" i="67"/>
  <c r="A854" i="67"/>
  <c r="A853" i="67"/>
  <c r="A852" i="67"/>
  <c r="A851" i="67"/>
  <c r="A850" i="67"/>
  <c r="A849" i="67"/>
  <c r="A848" i="67"/>
  <c r="A847" i="67"/>
  <c r="A846" i="67"/>
  <c r="A845" i="67"/>
  <c r="A844" i="67"/>
  <c r="A843" i="67"/>
  <c r="A842" i="67"/>
  <c r="A841" i="67"/>
  <c r="A840" i="67"/>
  <c r="A839" i="67"/>
  <c r="A838" i="67"/>
  <c r="A837" i="67"/>
  <c r="A836" i="67"/>
  <c r="A835" i="67"/>
  <c r="A834" i="67"/>
  <c r="A833" i="67"/>
  <c r="A832" i="67"/>
  <c r="A831" i="67"/>
  <c r="A830" i="67"/>
  <c r="A829" i="67"/>
  <c r="A828" i="67"/>
  <c r="A827" i="67"/>
  <c r="A826" i="67"/>
  <c r="A825" i="67"/>
  <c r="A824" i="67"/>
  <c r="A823" i="67"/>
  <c r="A822" i="67"/>
  <c r="A821" i="67"/>
  <c r="A820" i="67"/>
  <c r="A819" i="67"/>
  <c r="A818" i="67"/>
  <c r="A817" i="67"/>
  <c r="A816" i="67"/>
  <c r="A815" i="67"/>
  <c r="A814" i="67"/>
  <c r="A813" i="67"/>
  <c r="A812" i="67"/>
  <c r="A811" i="67"/>
  <c r="A810" i="67"/>
  <c r="A809" i="67"/>
  <c r="A808" i="67"/>
  <c r="A807" i="67"/>
  <c r="A806" i="67"/>
  <c r="A805" i="67"/>
  <c r="A804" i="67"/>
  <c r="A803" i="67"/>
  <c r="A802" i="67"/>
  <c r="A801" i="67"/>
  <c r="A800" i="67"/>
  <c r="A799" i="67"/>
  <c r="A798" i="67"/>
  <c r="A797" i="67"/>
  <c r="A796" i="67"/>
  <c r="A795" i="67"/>
  <c r="A794" i="67"/>
  <c r="A793" i="67"/>
  <c r="A792" i="67"/>
  <c r="A791" i="67"/>
  <c r="A790" i="67"/>
  <c r="A789" i="67"/>
  <c r="A788" i="67"/>
  <c r="A787" i="67"/>
  <c r="A786" i="67"/>
  <c r="A785" i="67"/>
  <c r="A784" i="67"/>
  <c r="A783" i="67"/>
  <c r="A782" i="67"/>
  <c r="A781" i="67"/>
  <c r="A780" i="67"/>
  <c r="A779" i="67"/>
  <c r="A778" i="67"/>
  <c r="A777" i="67"/>
  <c r="A776" i="67"/>
  <c r="A775" i="67"/>
  <c r="A774" i="67"/>
  <c r="A773" i="67"/>
  <c r="A772" i="67"/>
  <c r="A771" i="67"/>
  <c r="A770" i="67"/>
  <c r="A769" i="67"/>
  <c r="A768" i="67"/>
  <c r="A767" i="67"/>
  <c r="A766" i="67"/>
  <c r="A765" i="67"/>
  <c r="A730" i="67"/>
  <c r="A729" i="67"/>
  <c r="A728" i="67"/>
  <c r="A727" i="67"/>
  <c r="A726" i="67"/>
  <c r="A725" i="67"/>
  <c r="A724" i="67"/>
  <c r="A723" i="67"/>
  <c r="A722" i="67"/>
  <c r="A721" i="67"/>
  <c r="A720" i="67"/>
  <c r="A719" i="67"/>
  <c r="A718" i="67"/>
  <c r="A717" i="67"/>
  <c r="A716" i="67"/>
  <c r="A715" i="67"/>
  <c r="A714" i="67"/>
  <c r="A713" i="67"/>
  <c r="A712" i="67"/>
  <c r="A711" i="67"/>
  <c r="A710" i="67"/>
  <c r="A709" i="67"/>
  <c r="A708" i="67"/>
  <c r="A707" i="67"/>
  <c r="A706" i="67"/>
  <c r="A705" i="67"/>
  <c r="A704" i="67"/>
  <c r="A703" i="67"/>
  <c r="A702" i="67"/>
  <c r="A701" i="67"/>
  <c r="A700" i="67"/>
  <c r="A699" i="67"/>
  <c r="A698" i="67"/>
  <c r="A697" i="67"/>
  <c r="A696" i="67"/>
  <c r="A695" i="67"/>
  <c r="A694" i="67"/>
  <c r="A693" i="67"/>
  <c r="A692" i="67"/>
  <c r="A691" i="67"/>
  <c r="A690" i="67"/>
  <c r="A689" i="67"/>
  <c r="A688" i="67"/>
  <c r="A687" i="67"/>
  <c r="A686" i="67"/>
  <c r="A685" i="67"/>
  <c r="A684" i="67"/>
  <c r="A683" i="67"/>
  <c r="A682" i="67"/>
  <c r="A681" i="67"/>
  <c r="A680" i="67"/>
  <c r="A679" i="67"/>
  <c r="A678" i="67"/>
  <c r="A677" i="67"/>
  <c r="A676" i="67"/>
  <c r="A675" i="67"/>
  <c r="A674" i="67"/>
  <c r="A673" i="67"/>
  <c r="A672" i="67"/>
  <c r="A671" i="67"/>
  <c r="A670" i="67"/>
  <c r="A669" i="67"/>
  <c r="A668" i="67"/>
  <c r="A667" i="67"/>
  <c r="A666" i="67"/>
  <c r="A665" i="67"/>
  <c r="A664" i="67"/>
  <c r="A663" i="67"/>
  <c r="A662" i="67"/>
  <c r="A661" i="67"/>
  <c r="A660" i="67"/>
  <c r="A659" i="67"/>
  <c r="A658" i="67"/>
  <c r="A657" i="67"/>
  <c r="A656" i="67"/>
  <c r="A655" i="67"/>
  <c r="A654" i="67"/>
  <c r="A653" i="67"/>
  <c r="A652" i="67"/>
  <c r="A651" i="67"/>
  <c r="A650" i="67"/>
  <c r="A649" i="67"/>
  <c r="A648" i="67"/>
  <c r="A647" i="67"/>
  <c r="A646" i="67"/>
  <c r="A645" i="67"/>
  <c r="A644" i="67"/>
  <c r="A643" i="67"/>
  <c r="A642" i="67"/>
  <c r="A641" i="67"/>
  <c r="A640" i="67"/>
  <c r="A639" i="67"/>
  <c r="A638" i="67"/>
  <c r="A637" i="67"/>
  <c r="A636" i="67"/>
  <c r="A635" i="67"/>
  <c r="A634" i="67"/>
  <c r="A633" i="67"/>
  <c r="A632" i="67"/>
  <c r="A631" i="67"/>
  <c r="A630" i="67"/>
  <c r="A629" i="67"/>
  <c r="A628" i="67"/>
  <c r="A627" i="67"/>
  <c r="A626" i="67"/>
  <c r="A625" i="67"/>
  <c r="A624" i="67"/>
  <c r="A623" i="67"/>
  <c r="A622" i="67"/>
  <c r="A621" i="67"/>
  <c r="A620" i="67"/>
  <c r="A619" i="67"/>
  <c r="A618" i="67"/>
  <c r="A617" i="67"/>
  <c r="A616" i="67"/>
  <c r="A615" i="67"/>
  <c r="A614" i="67"/>
  <c r="A732" i="67"/>
  <c r="A763" i="67"/>
  <c r="A762" i="67"/>
  <c r="A761" i="67"/>
  <c r="A760" i="67"/>
  <c r="A759" i="67"/>
  <c r="A758" i="67"/>
  <c r="A757" i="67"/>
  <c r="A756" i="67"/>
  <c r="A755" i="67"/>
  <c r="A754" i="67"/>
  <c r="A753" i="67"/>
  <c r="A752" i="67"/>
  <c r="A751" i="67"/>
  <c r="A750" i="67"/>
  <c r="A749" i="67"/>
  <c r="A748" i="67"/>
  <c r="A747" i="67"/>
  <c r="A746" i="67"/>
  <c r="A745" i="67"/>
  <c r="A744" i="67"/>
  <c r="A743" i="67"/>
  <c r="A742" i="67"/>
  <c r="A741" i="67"/>
  <c r="A740" i="67"/>
  <c r="A739" i="67"/>
  <c r="A738" i="67"/>
  <c r="A737" i="67"/>
  <c r="A736" i="67"/>
  <c r="A735" i="67"/>
  <c r="A734" i="67"/>
  <c r="A733" i="67"/>
  <c r="J666" i="67"/>
  <c r="I666" i="67"/>
  <c r="E666" i="67"/>
  <c r="D666" i="67"/>
  <c r="A611" i="67"/>
  <c r="A610" i="67"/>
  <c r="A609" i="67"/>
  <c r="A608" i="67"/>
  <c r="A607" i="67"/>
  <c r="A606" i="67"/>
  <c r="A605" i="67"/>
  <c r="A604" i="67"/>
  <c r="A603" i="67"/>
  <c r="A602" i="67"/>
  <c r="A601" i="67"/>
  <c r="A600" i="67"/>
  <c r="A599" i="67"/>
  <c r="A598" i="67"/>
  <c r="A597" i="67"/>
  <c r="A596" i="67"/>
  <c r="A595" i="67"/>
  <c r="A594" i="67"/>
  <c r="A593" i="67"/>
  <c r="A592" i="67"/>
  <c r="A591" i="67"/>
  <c r="A590" i="67"/>
  <c r="A589" i="67"/>
  <c r="A588" i="67"/>
  <c r="A587" i="67"/>
  <c r="A586" i="67"/>
  <c r="A585" i="67"/>
  <c r="A584" i="67"/>
  <c r="A583" i="67"/>
  <c r="A582" i="67"/>
  <c r="A581" i="67"/>
  <c r="A580" i="67"/>
  <c r="A579" i="67"/>
  <c r="A578" i="67"/>
  <c r="A577" i="67"/>
  <c r="A576" i="67"/>
  <c r="A575" i="67"/>
  <c r="A574" i="67"/>
  <c r="A573" i="67"/>
  <c r="A572" i="67"/>
  <c r="A571" i="67"/>
  <c r="A570" i="67"/>
  <c r="A569" i="67"/>
  <c r="A568" i="67"/>
  <c r="A567" i="67"/>
  <c r="A566" i="67"/>
  <c r="A565" i="67"/>
  <c r="A564" i="67"/>
  <c r="A563" i="67"/>
  <c r="A562" i="67"/>
  <c r="A561" i="67"/>
  <c r="A560" i="67"/>
  <c r="A559" i="67"/>
  <c r="A558" i="67"/>
  <c r="A557" i="67"/>
  <c r="A556" i="67"/>
  <c r="A555" i="67"/>
  <c r="A554" i="67"/>
  <c r="A553" i="67"/>
  <c r="A552" i="67"/>
  <c r="A551" i="67"/>
  <c r="A550" i="67"/>
  <c r="A549" i="67"/>
  <c r="A548" i="67"/>
  <c r="A547" i="67"/>
  <c r="A546" i="67"/>
  <c r="A545" i="67"/>
  <c r="A544" i="67"/>
  <c r="A543" i="67"/>
  <c r="A542" i="67"/>
  <c r="A541" i="67"/>
  <c r="A540" i="67"/>
  <c r="A539" i="67"/>
  <c r="A538" i="67"/>
  <c r="A537" i="67"/>
  <c r="A536" i="67"/>
  <c r="A535" i="67"/>
  <c r="A534" i="67"/>
  <c r="A533" i="67"/>
  <c r="A532" i="67"/>
  <c r="A531" i="67"/>
  <c r="A530" i="67"/>
  <c r="A529" i="67"/>
  <c r="A528" i="67"/>
  <c r="A527" i="67"/>
  <c r="A526" i="67"/>
  <c r="A525" i="67"/>
  <c r="A524" i="67"/>
  <c r="A523" i="67"/>
  <c r="A522" i="67"/>
  <c r="A521" i="67"/>
  <c r="A520" i="67"/>
  <c r="A519" i="67"/>
  <c r="A518" i="67"/>
  <c r="A517" i="67"/>
  <c r="A516" i="67"/>
  <c r="A515" i="67"/>
  <c r="A514" i="67"/>
  <c r="A513" i="67"/>
  <c r="A512" i="67"/>
  <c r="A511" i="67"/>
  <c r="A510" i="67"/>
  <c r="A509" i="67"/>
  <c r="A508" i="67"/>
  <c r="A507" i="67"/>
  <c r="A506" i="67"/>
  <c r="A505" i="67"/>
  <c r="A504" i="67"/>
  <c r="A503" i="67"/>
  <c r="A502" i="67"/>
  <c r="A501" i="67"/>
  <c r="A500" i="67"/>
  <c r="A499" i="67"/>
  <c r="A498" i="67"/>
  <c r="A497" i="67"/>
  <c r="A496" i="67"/>
  <c r="A495" i="67"/>
  <c r="A494" i="67"/>
  <c r="A493" i="67"/>
  <c r="A492" i="67"/>
  <c r="A491" i="67"/>
  <c r="A490" i="67"/>
  <c r="A489" i="67"/>
  <c r="A488" i="67"/>
  <c r="A487" i="67"/>
  <c r="A486" i="67"/>
  <c r="A485" i="67"/>
  <c r="A484" i="67"/>
  <c r="A483" i="67"/>
  <c r="A482" i="67"/>
  <c r="A481" i="67"/>
  <c r="A480" i="67"/>
  <c r="A479" i="67"/>
  <c r="A478" i="67"/>
  <c r="A477" i="67"/>
  <c r="A476" i="67"/>
  <c r="A475" i="67"/>
  <c r="A474" i="67"/>
  <c r="A473" i="67"/>
  <c r="A472" i="67"/>
  <c r="A306" i="67"/>
  <c r="A305" i="67"/>
  <c r="A304" i="67"/>
  <c r="A303" i="67"/>
  <c r="A302" i="67"/>
  <c r="A301" i="67"/>
  <c r="A300" i="67"/>
  <c r="A299" i="67"/>
  <c r="A298" i="67"/>
  <c r="A297" i="67"/>
  <c r="A296" i="67"/>
  <c r="A295" i="67"/>
  <c r="A294" i="67"/>
  <c r="A293" i="67"/>
  <c r="A292" i="67"/>
  <c r="A291" i="67"/>
  <c r="A290" i="67"/>
  <c r="A289" i="67"/>
  <c r="A288" i="67"/>
  <c r="A287" i="67"/>
  <c r="A286" i="67"/>
  <c r="A285" i="67"/>
  <c r="A284" i="67"/>
  <c r="A283" i="67"/>
  <c r="A282" i="67"/>
  <c r="A281" i="67"/>
  <c r="A280" i="67"/>
  <c r="A279" i="67"/>
  <c r="A278" i="67"/>
  <c r="A277" i="67"/>
  <c r="A276" i="67"/>
  <c r="A275" i="67"/>
  <c r="A274" i="67"/>
  <c r="A273" i="67"/>
  <c r="A272" i="67"/>
  <c r="A271" i="67"/>
  <c r="A270" i="67"/>
  <c r="A269" i="67"/>
  <c r="A268" i="67"/>
  <c r="A267" i="67"/>
  <c r="A266" i="67"/>
  <c r="A265" i="67"/>
  <c r="A264" i="67"/>
  <c r="A263" i="67"/>
  <c r="A262" i="67"/>
  <c r="A261" i="67"/>
  <c r="A260" i="67"/>
  <c r="A259" i="67"/>
  <c r="A258" i="67"/>
  <c r="A257" i="67"/>
  <c r="A256" i="67"/>
  <c r="A255" i="67"/>
  <c r="A254" i="67"/>
  <c r="A253" i="67"/>
  <c r="A252" i="67"/>
  <c r="A251" i="67"/>
  <c r="A250" i="67"/>
  <c r="A249" i="67"/>
  <c r="A248" i="67"/>
  <c r="A247" i="67"/>
  <c r="A246" i="67"/>
  <c r="A245" i="67"/>
  <c r="A244" i="67"/>
  <c r="A243" i="67"/>
  <c r="A242" i="67"/>
  <c r="A241" i="67"/>
  <c r="A240" i="67"/>
  <c r="A239" i="67"/>
  <c r="A238" i="67"/>
  <c r="A237" i="67"/>
  <c r="A236" i="67"/>
  <c r="A235" i="67"/>
  <c r="A234" i="67"/>
  <c r="A233" i="67"/>
  <c r="A232" i="67"/>
  <c r="A231" i="67"/>
  <c r="A230" i="67"/>
  <c r="A229" i="67"/>
  <c r="A228" i="67"/>
  <c r="A227" i="67"/>
  <c r="A226" i="67"/>
  <c r="A225" i="67"/>
  <c r="A224" i="67"/>
  <c r="A223" i="67"/>
  <c r="A222" i="67"/>
  <c r="A221" i="67"/>
  <c r="A220" i="67"/>
  <c r="A219" i="67"/>
  <c r="A218" i="67"/>
  <c r="A217" i="67"/>
  <c r="A216" i="67"/>
  <c r="A215" i="67"/>
  <c r="A214" i="67"/>
  <c r="A213" i="67"/>
  <c r="A212" i="67"/>
  <c r="A211" i="67"/>
  <c r="A210" i="67"/>
  <c r="A209" i="67"/>
  <c r="A208" i="67"/>
  <c r="A207" i="67"/>
  <c r="A206" i="67"/>
  <c r="A205" i="67"/>
  <c r="A204" i="67"/>
  <c r="A203" i="67"/>
  <c r="A202" i="67"/>
  <c r="A201" i="67"/>
  <c r="A200" i="67"/>
  <c r="A199" i="67"/>
  <c r="A198" i="67"/>
  <c r="A197" i="67"/>
  <c r="A196" i="67"/>
  <c r="A195" i="67"/>
  <c r="A194" i="67"/>
  <c r="A193" i="67"/>
  <c r="A192" i="67"/>
  <c r="A191" i="67"/>
  <c r="A190" i="67"/>
  <c r="A189" i="67"/>
  <c r="A188" i="67"/>
  <c r="A187" i="67"/>
  <c r="A186" i="67"/>
  <c r="A185" i="67"/>
  <c r="A184" i="67"/>
  <c r="A183" i="67"/>
  <c r="A182" i="67"/>
  <c r="A181" i="67"/>
  <c r="A180" i="67"/>
  <c r="A179" i="67"/>
  <c r="A178" i="67"/>
  <c r="A177" i="67"/>
  <c r="A176" i="67"/>
  <c r="A175" i="67"/>
  <c r="A174" i="67"/>
  <c r="A173" i="67"/>
  <c r="A172" i="67"/>
  <c r="A171" i="67"/>
  <c r="A170" i="67"/>
  <c r="A169" i="67"/>
  <c r="A168" i="67"/>
  <c r="A167" i="67"/>
  <c r="A166" i="67"/>
  <c r="A165" i="67"/>
  <c r="B54" i="68"/>
  <c r="B53" i="68"/>
  <c r="B51" i="68"/>
  <c r="B50" i="68"/>
  <c r="B48" i="68"/>
  <c r="B47" i="68"/>
  <c r="B46" i="68"/>
  <c r="B45" i="68"/>
  <c r="B44" i="68"/>
  <c r="B26" i="68"/>
  <c r="B25" i="68"/>
  <c r="B24" i="68"/>
  <c r="B23" i="68"/>
  <c r="B22" i="68"/>
  <c r="B21" i="68"/>
  <c r="B20" i="68"/>
  <c r="B18" i="68"/>
  <c r="B17" i="68"/>
  <c r="B16" i="68"/>
  <c r="B15" i="68"/>
  <c r="B14" i="68"/>
  <c r="B13" i="68"/>
  <c r="B12" i="68"/>
  <c r="B10" i="68"/>
  <c r="B9" i="68"/>
  <c r="B8" i="68"/>
  <c r="B7" i="68"/>
  <c r="B6" i="68"/>
  <c r="A10" i="67"/>
  <c r="A11" i="67"/>
  <c r="A12" i="67"/>
  <c r="A13" i="67"/>
  <c r="A14" i="67"/>
  <c r="A15" i="67"/>
  <c r="A16" i="67"/>
  <c r="A17" i="67"/>
  <c r="A18" i="67"/>
  <c r="A19" i="67"/>
  <c r="A20" i="67"/>
  <c r="A21" i="67"/>
  <c r="A22" i="67"/>
  <c r="A23" i="67"/>
  <c r="A24" i="67"/>
  <c r="A25" i="67"/>
  <c r="A26" i="67"/>
  <c r="A27" i="67"/>
  <c r="A28" i="67"/>
  <c r="A29" i="67"/>
  <c r="A30" i="67"/>
  <c r="A31" i="67"/>
  <c r="A32" i="67"/>
  <c r="A33" i="67"/>
  <c r="A34" i="67"/>
  <c r="A35" i="67"/>
  <c r="A36" i="67"/>
  <c r="A37" i="67"/>
  <c r="A38" i="67"/>
  <c r="A39" i="67"/>
  <c r="A40" i="67"/>
  <c r="A41" i="67"/>
  <c r="A42" i="67"/>
  <c r="A43" i="67"/>
  <c r="A44" i="67"/>
  <c r="A45" i="67"/>
  <c r="A46" i="67"/>
  <c r="A47" i="67"/>
  <c r="A48" i="67"/>
  <c r="A49" i="67"/>
  <c r="A50" i="67"/>
  <c r="A51" i="67"/>
  <c r="A52" i="67"/>
  <c r="A53" i="67"/>
  <c r="A54" i="67"/>
  <c r="A55" i="67"/>
  <c r="A56" i="67"/>
  <c r="A57" i="67"/>
  <c r="A58" i="67"/>
  <c r="A59" i="67"/>
  <c r="A60" i="67"/>
  <c r="A61" i="67"/>
  <c r="A62" i="67"/>
  <c r="A63" i="67"/>
  <c r="A64" i="67"/>
  <c r="A65" i="67"/>
  <c r="A66" i="67"/>
  <c r="A67" i="67"/>
  <c r="A68" i="67"/>
  <c r="A69" i="67"/>
  <c r="A70" i="67"/>
  <c r="A71" i="67"/>
  <c r="A72" i="67"/>
  <c r="A73" i="67"/>
  <c r="A74" i="67"/>
  <c r="A75" i="67"/>
  <c r="A76" i="67"/>
  <c r="A77" i="67"/>
  <c r="A78" i="67"/>
  <c r="A79" i="67"/>
  <c r="A80" i="67"/>
  <c r="A81" i="67"/>
  <c r="A82" i="67"/>
  <c r="A83" i="67"/>
  <c r="A84" i="67"/>
  <c r="A85" i="67"/>
  <c r="A86" i="67"/>
  <c r="A87" i="67"/>
  <c r="A88" i="67"/>
  <c r="A89" i="67"/>
  <c r="A90" i="67"/>
  <c r="A91" i="67"/>
  <c r="A92" i="67"/>
  <c r="A93" i="67"/>
  <c r="A94" i="67"/>
  <c r="A95" i="67"/>
  <c r="A96" i="67"/>
  <c r="A97" i="67"/>
  <c r="A98" i="67"/>
  <c r="A99" i="67"/>
  <c r="A100" i="67"/>
  <c r="A101" i="67"/>
  <c r="A102" i="67"/>
  <c r="A103" i="67"/>
  <c r="A104" i="67"/>
  <c r="A105" i="67"/>
  <c r="A106" i="67"/>
  <c r="A107" i="67"/>
  <c r="A108" i="67"/>
  <c r="A109" i="67"/>
  <c r="A110" i="67"/>
  <c r="A111" i="67"/>
  <c r="A112" i="67"/>
  <c r="A113" i="67"/>
  <c r="A114" i="67"/>
  <c r="A115" i="67"/>
  <c r="A116" i="67"/>
  <c r="A117" i="67"/>
  <c r="A118" i="67"/>
  <c r="A119" i="67"/>
  <c r="A120" i="67"/>
  <c r="A121" i="67"/>
  <c r="A122" i="67"/>
  <c r="A123" i="67"/>
  <c r="A124" i="67"/>
  <c r="A125" i="67"/>
  <c r="A126" i="67"/>
  <c r="A127" i="67"/>
  <c r="A128" i="67"/>
  <c r="A129" i="67"/>
  <c r="A130" i="67"/>
  <c r="A131" i="67"/>
  <c r="A132" i="67"/>
  <c r="A133" i="67"/>
  <c r="A134" i="67"/>
  <c r="A135" i="67"/>
  <c r="A136" i="67"/>
  <c r="A137" i="67"/>
  <c r="A138" i="67"/>
  <c r="A139" i="67"/>
  <c r="A140" i="67"/>
  <c r="A141" i="67"/>
  <c r="A142" i="67"/>
  <c r="A143" i="67"/>
  <c r="A144" i="67"/>
  <c r="A145" i="67"/>
  <c r="A146" i="67"/>
  <c r="A147" i="67"/>
  <c r="A148" i="67"/>
  <c r="A149" i="67"/>
  <c r="A150" i="67"/>
  <c r="A151" i="67"/>
  <c r="A152" i="67"/>
  <c r="A153" i="67"/>
  <c r="K996" i="67" l="1"/>
  <c r="K1179" i="67"/>
  <c r="K1028" i="67"/>
  <c r="AU1061" i="67"/>
  <c r="AQ1061" i="67"/>
  <c r="AM1061" i="67"/>
  <c r="AI1061" i="67"/>
  <c r="AE1061" i="67"/>
  <c r="AA1061" i="67"/>
  <c r="W1061" i="67"/>
  <c r="S1061" i="67"/>
  <c r="O1061" i="67"/>
  <c r="AU1045" i="67"/>
  <c r="AQ1045" i="67"/>
  <c r="AM1045" i="67"/>
  <c r="AI1045" i="67"/>
  <c r="AE1045" i="67"/>
  <c r="AA1045" i="67"/>
  <c r="W1045" i="67"/>
  <c r="S1045" i="67"/>
  <c r="O1045" i="67"/>
  <c r="AU1180" i="67"/>
  <c r="AU1029" i="67"/>
  <c r="AQ1180" i="67"/>
  <c r="AQ1029" i="67"/>
  <c r="AM1180" i="67"/>
  <c r="AM1029" i="67"/>
  <c r="AI1180" i="67"/>
  <c r="AI1029" i="67"/>
  <c r="AE1180" i="67"/>
  <c r="AE1029" i="67"/>
  <c r="AA1180" i="67"/>
  <c r="AA1029" i="67"/>
  <c r="W1180" i="67"/>
  <c r="W1029" i="67"/>
  <c r="S1180" i="67"/>
  <c r="S1029" i="67"/>
  <c r="O1180" i="67"/>
  <c r="O1029" i="67"/>
  <c r="AW1179" i="67"/>
  <c r="AW1028" i="67"/>
  <c r="AS1179" i="67"/>
  <c r="AS1028" i="67"/>
  <c r="AO1179" i="67"/>
  <c r="AO1028" i="67"/>
  <c r="AK1179" i="67"/>
  <c r="AK1028" i="67"/>
  <c r="AG1179" i="67"/>
  <c r="AG1028" i="67"/>
  <c r="AC1179" i="67"/>
  <c r="AC1028" i="67"/>
  <c r="Y1179" i="67"/>
  <c r="Y1028" i="67"/>
  <c r="U1179" i="67"/>
  <c r="U1028" i="67"/>
  <c r="Q1179" i="67"/>
  <c r="Q1028" i="67"/>
  <c r="M1179" i="67"/>
  <c r="M1028" i="67"/>
  <c r="AW1159" i="67"/>
  <c r="AW1008" i="67"/>
  <c r="AS1159" i="67"/>
  <c r="AS1008" i="67"/>
  <c r="AO1159" i="67"/>
  <c r="AO1008" i="67"/>
  <c r="AK1159" i="67"/>
  <c r="AK1008" i="67"/>
  <c r="AG1159" i="67"/>
  <c r="AG1008" i="67"/>
  <c r="AC1159" i="67"/>
  <c r="AC1008" i="67"/>
  <c r="Y1159" i="67"/>
  <c r="Y1008" i="67"/>
  <c r="U1159" i="67"/>
  <c r="U1008" i="67"/>
  <c r="Q1159" i="67"/>
  <c r="Q1008" i="67"/>
  <c r="M1159" i="67"/>
  <c r="M1008" i="67"/>
  <c r="AU1158" i="67"/>
  <c r="AU1007" i="67"/>
  <c r="AQ1158" i="67"/>
  <c r="AQ1007" i="67"/>
  <c r="AM1158" i="67"/>
  <c r="AM1007" i="67"/>
  <c r="AI1158" i="67"/>
  <c r="AI1007" i="67"/>
  <c r="AE1158" i="67"/>
  <c r="AE1007" i="67"/>
  <c r="AA1158" i="67"/>
  <c r="AA1007" i="67"/>
  <c r="W1158" i="67"/>
  <c r="W1007" i="67"/>
  <c r="S1158" i="67"/>
  <c r="S1007" i="67"/>
  <c r="O1158" i="67"/>
  <c r="O1007" i="67"/>
  <c r="AW996" i="67"/>
  <c r="AS996" i="67"/>
  <c r="AO996" i="67"/>
  <c r="AK996" i="67"/>
  <c r="AG996" i="67"/>
  <c r="AC996" i="67"/>
  <c r="Y996" i="67"/>
  <c r="U996" i="67"/>
  <c r="Q996" i="67"/>
  <c r="M996" i="67"/>
  <c r="AW980" i="67"/>
  <c r="AS980" i="67"/>
  <c r="AO980" i="67"/>
  <c r="AK980" i="67"/>
  <c r="AG980" i="67"/>
  <c r="AC980" i="67"/>
  <c r="Y980" i="67"/>
  <c r="U980" i="67"/>
  <c r="Q980" i="67"/>
  <c r="M980" i="67"/>
  <c r="AU959" i="67"/>
  <c r="AQ959" i="67"/>
  <c r="AM959" i="67"/>
  <c r="AI959" i="67"/>
  <c r="AE959" i="67"/>
  <c r="AA959" i="67"/>
  <c r="W959" i="67"/>
  <c r="S959" i="67"/>
  <c r="O959" i="67"/>
  <c r="AU941" i="67"/>
  <c r="AQ941" i="67"/>
  <c r="AM941" i="67"/>
  <c r="AI941" i="67"/>
  <c r="AE941" i="67"/>
  <c r="AA941" i="67"/>
  <c r="W941" i="67"/>
  <c r="S941" i="67"/>
  <c r="O941" i="67"/>
  <c r="AU927" i="67"/>
  <c r="AQ927" i="67"/>
  <c r="AM927" i="67"/>
  <c r="AI927" i="67"/>
  <c r="AE927" i="67"/>
  <c r="AA927" i="67"/>
  <c r="W927" i="67"/>
  <c r="S927" i="67"/>
  <c r="O927" i="67"/>
  <c r="K927" i="67"/>
  <c r="K959" i="67"/>
  <c r="AT1061" i="67"/>
  <c r="AP1061" i="67"/>
  <c r="AL1061" i="67"/>
  <c r="AH1061" i="67"/>
  <c r="AD1061" i="67"/>
  <c r="Z1061" i="67"/>
  <c r="V1061" i="67"/>
  <c r="R1061" i="67"/>
  <c r="N1061" i="67"/>
  <c r="AT1045" i="67"/>
  <c r="AP1045" i="67"/>
  <c r="AL1045" i="67"/>
  <c r="AH1045" i="67"/>
  <c r="AD1045" i="67"/>
  <c r="Z1045" i="67"/>
  <c r="V1045" i="67"/>
  <c r="R1045" i="67"/>
  <c r="N1045" i="67"/>
  <c r="AT1180" i="67"/>
  <c r="AT1029" i="67"/>
  <c r="AP1180" i="67"/>
  <c r="AP1029" i="67"/>
  <c r="AL1180" i="67"/>
  <c r="AL1029" i="67"/>
  <c r="AH1180" i="67"/>
  <c r="AH1029" i="67"/>
  <c r="AD1180" i="67"/>
  <c r="AD1029" i="67"/>
  <c r="Z1180" i="67"/>
  <c r="Z1029" i="67"/>
  <c r="V1180" i="67"/>
  <c r="V1029" i="67"/>
  <c r="R1180" i="67"/>
  <c r="R1029" i="67"/>
  <c r="N1180" i="67"/>
  <c r="N1029" i="67"/>
  <c r="AV1179" i="67"/>
  <c r="AV1028" i="67"/>
  <c r="AR1179" i="67"/>
  <c r="AR1028" i="67"/>
  <c r="AN1179" i="67"/>
  <c r="AN1028" i="67"/>
  <c r="AJ1179" i="67"/>
  <c r="AJ1028" i="67"/>
  <c r="AF1179" i="67"/>
  <c r="AF1028" i="67"/>
  <c r="AB1179" i="67"/>
  <c r="AB1028" i="67"/>
  <c r="X1179" i="67"/>
  <c r="X1028" i="67"/>
  <c r="T1179" i="67"/>
  <c r="T1028" i="67"/>
  <c r="P1179" i="67"/>
  <c r="P1028" i="67"/>
  <c r="L1179" i="67"/>
  <c r="L1028" i="67"/>
  <c r="AV1159" i="67"/>
  <c r="AV1008" i="67"/>
  <c r="AR1159" i="67"/>
  <c r="AR1008" i="67"/>
  <c r="AN1159" i="67"/>
  <c r="AN1008" i="67"/>
  <c r="AJ1159" i="67"/>
  <c r="AJ1008" i="67"/>
  <c r="AF1159" i="67"/>
  <c r="AF1008" i="67"/>
  <c r="AB1159" i="67"/>
  <c r="AB1008" i="67"/>
  <c r="X1159" i="67"/>
  <c r="X1008" i="67"/>
  <c r="T1159" i="67"/>
  <c r="T1008" i="67"/>
  <c r="P1159" i="67"/>
  <c r="P1008" i="67"/>
  <c r="L1159" i="67"/>
  <c r="L1008" i="67"/>
  <c r="AT1158" i="67"/>
  <c r="AT1007" i="67"/>
  <c r="AP1158" i="67"/>
  <c r="AP1007" i="67"/>
  <c r="AL1158" i="67"/>
  <c r="AL1007" i="67"/>
  <c r="AH1158" i="67"/>
  <c r="AH1007" i="67"/>
  <c r="AD1158" i="67"/>
  <c r="AD1007" i="67"/>
  <c r="Z1158" i="67"/>
  <c r="Z1007" i="67"/>
  <c r="V1158" i="67"/>
  <c r="V1007" i="67"/>
  <c r="R1158" i="67"/>
  <c r="R1007" i="67"/>
  <c r="N1158" i="67"/>
  <c r="N1007" i="67"/>
  <c r="AV996" i="67"/>
  <c r="AR996" i="67"/>
  <c r="AN996" i="67"/>
  <c r="AJ996" i="67"/>
  <c r="AF996" i="67"/>
  <c r="AB996" i="67"/>
  <c r="X996" i="67"/>
  <c r="T996" i="67"/>
  <c r="P996" i="67"/>
  <c r="L996" i="67"/>
  <c r="AV980" i="67"/>
  <c r="AR980" i="67"/>
  <c r="AN980" i="67"/>
  <c r="AJ980" i="67"/>
  <c r="AF980" i="67"/>
  <c r="AB980" i="67"/>
  <c r="X980" i="67"/>
  <c r="T980" i="67"/>
  <c r="P980" i="67"/>
  <c r="L980" i="67"/>
  <c r="AT959" i="67"/>
  <c r="AP959" i="67"/>
  <c r="AL959" i="67"/>
  <c r="AH959" i="67"/>
  <c r="AD959" i="67"/>
  <c r="Z959" i="67"/>
  <c r="V959" i="67"/>
  <c r="R959" i="67"/>
  <c r="N959" i="67"/>
  <c r="AT941" i="67"/>
  <c r="AP941" i="67"/>
  <c r="AL941" i="67"/>
  <c r="AH941" i="67"/>
  <c r="AD941" i="67"/>
  <c r="Z941" i="67"/>
  <c r="V941" i="67"/>
  <c r="R941" i="67"/>
  <c r="N941" i="67"/>
  <c r="AT927" i="67"/>
  <c r="AP927" i="67"/>
  <c r="AL927" i="67"/>
  <c r="AH927" i="67"/>
  <c r="AD927" i="67"/>
  <c r="Z927" i="67"/>
  <c r="V927" i="67"/>
  <c r="R927" i="67"/>
  <c r="N927" i="67"/>
  <c r="K980" i="67"/>
  <c r="K1159" i="67"/>
  <c r="K1008" i="67"/>
  <c r="AW1061" i="67"/>
  <c r="AS1061" i="67"/>
  <c r="AO1061" i="67"/>
  <c r="AK1061" i="67"/>
  <c r="AG1061" i="67"/>
  <c r="AC1061" i="67"/>
  <c r="Y1061" i="67"/>
  <c r="U1061" i="67"/>
  <c r="Q1061" i="67"/>
  <c r="M1061" i="67"/>
  <c r="AW1045" i="67"/>
  <c r="AS1045" i="67"/>
  <c r="AO1045" i="67"/>
  <c r="AK1045" i="67"/>
  <c r="AG1045" i="67"/>
  <c r="AC1045" i="67"/>
  <c r="Y1045" i="67"/>
  <c r="U1045" i="67"/>
  <c r="Q1045" i="67"/>
  <c r="M1045" i="67"/>
  <c r="AW1180" i="67"/>
  <c r="AW1029" i="67"/>
  <c r="AS1180" i="67"/>
  <c r="AS1029" i="67"/>
  <c r="AO1180" i="67"/>
  <c r="AO1029" i="67"/>
  <c r="AK1180" i="67"/>
  <c r="AK1029" i="67"/>
  <c r="AG1180" i="67"/>
  <c r="AG1029" i="67"/>
  <c r="AC1180" i="67"/>
  <c r="AC1029" i="67"/>
  <c r="Y1180" i="67"/>
  <c r="Y1029" i="67"/>
  <c r="U1180" i="67"/>
  <c r="U1029" i="67"/>
  <c r="Q1180" i="67"/>
  <c r="Q1029" i="67"/>
  <c r="M1180" i="67"/>
  <c r="M1029" i="67"/>
  <c r="AU1179" i="67"/>
  <c r="AU1028" i="67"/>
  <c r="AQ1179" i="67"/>
  <c r="AQ1028" i="67"/>
  <c r="AM1179" i="67"/>
  <c r="AM1028" i="67"/>
  <c r="AI1179" i="67"/>
  <c r="AI1028" i="67"/>
  <c r="AE1179" i="67"/>
  <c r="AE1028" i="67"/>
  <c r="AA1179" i="67"/>
  <c r="AA1028" i="67"/>
  <c r="W1179" i="67"/>
  <c r="W1028" i="67"/>
  <c r="S1179" i="67"/>
  <c r="S1028" i="67"/>
  <c r="O1179" i="67"/>
  <c r="O1028" i="67"/>
  <c r="AU1159" i="67"/>
  <c r="AU1008" i="67"/>
  <c r="AQ1159" i="67"/>
  <c r="AQ1008" i="67"/>
  <c r="AM1159" i="67"/>
  <c r="AM1008" i="67"/>
  <c r="AI1159" i="67"/>
  <c r="AI1008" i="67"/>
  <c r="AE1159" i="67"/>
  <c r="AE1008" i="67"/>
  <c r="AA1159" i="67"/>
  <c r="AA1008" i="67"/>
  <c r="W1159" i="67"/>
  <c r="W1008" i="67"/>
  <c r="S1159" i="67"/>
  <c r="S1008" i="67"/>
  <c r="O1159" i="67"/>
  <c r="O1008" i="67"/>
  <c r="AW1158" i="67"/>
  <c r="AW1007" i="67"/>
  <c r="AS1158" i="67"/>
  <c r="AS1007" i="67"/>
  <c r="AO1158" i="67"/>
  <c r="AO1007" i="67"/>
  <c r="AK1158" i="67"/>
  <c r="AK1007" i="67"/>
  <c r="AG1158" i="67"/>
  <c r="AG1007" i="67"/>
  <c r="AC1158" i="67"/>
  <c r="AC1007" i="67"/>
  <c r="Y1158" i="67"/>
  <c r="Y1007" i="67"/>
  <c r="U1158" i="67"/>
  <c r="U1007" i="67"/>
  <c r="Q1158" i="67"/>
  <c r="Q1007" i="67"/>
  <c r="M1158" i="67"/>
  <c r="M1007" i="67"/>
  <c r="AU996" i="67"/>
  <c r="AQ996" i="67"/>
  <c r="AM996" i="67"/>
  <c r="AI996" i="67"/>
  <c r="AE996" i="67"/>
  <c r="AA996" i="67"/>
  <c r="W996" i="67"/>
  <c r="S996" i="67"/>
  <c r="O996" i="67"/>
  <c r="AU980" i="67"/>
  <c r="AQ980" i="67"/>
  <c r="AM980" i="67"/>
  <c r="AI980" i="67"/>
  <c r="AE980" i="67"/>
  <c r="AA980" i="67"/>
  <c r="W980" i="67"/>
  <c r="S980" i="67"/>
  <c r="O980" i="67"/>
  <c r="AW959" i="67"/>
  <c r="AS959" i="67"/>
  <c r="AO959" i="67"/>
  <c r="AK959" i="67"/>
  <c r="AG959" i="67"/>
  <c r="AC959" i="67"/>
  <c r="Y959" i="67"/>
  <c r="U959" i="67"/>
  <c r="Q959" i="67"/>
  <c r="M959" i="67"/>
  <c r="AW941" i="67"/>
  <c r="AS941" i="67"/>
  <c r="AO941" i="67"/>
  <c r="AK941" i="67"/>
  <c r="AG941" i="67"/>
  <c r="AC941" i="67"/>
  <c r="Y941" i="67"/>
  <c r="U941" i="67"/>
  <c r="Q941" i="67"/>
  <c r="M941" i="67"/>
  <c r="AW927" i="67"/>
  <c r="AS927" i="67"/>
  <c r="AO927" i="67"/>
  <c r="AK927" i="67"/>
  <c r="AG927" i="67"/>
  <c r="AC927" i="67"/>
  <c r="Y927" i="67"/>
  <c r="U927" i="67"/>
  <c r="Q927" i="67"/>
  <c r="M927" i="67"/>
  <c r="K941" i="67"/>
  <c r="K1158" i="67"/>
  <c r="K1007" i="67"/>
  <c r="K1180" i="67"/>
  <c r="K1029" i="67"/>
  <c r="K1045" i="67"/>
  <c r="K1061" i="67"/>
  <c r="AV1061" i="67"/>
  <c r="AR1061" i="67"/>
  <c r="AN1061" i="67"/>
  <c r="AJ1061" i="67"/>
  <c r="AF1061" i="67"/>
  <c r="AB1061" i="67"/>
  <c r="X1061" i="67"/>
  <c r="T1061" i="67"/>
  <c r="P1061" i="67"/>
  <c r="L1061" i="67"/>
  <c r="AV1045" i="67"/>
  <c r="AR1045" i="67"/>
  <c r="AN1045" i="67"/>
  <c r="AJ1045" i="67"/>
  <c r="AF1045" i="67"/>
  <c r="AB1045" i="67"/>
  <c r="X1045" i="67"/>
  <c r="T1045" i="67"/>
  <c r="P1045" i="67"/>
  <c r="L1045" i="67"/>
  <c r="AV1180" i="67"/>
  <c r="AV1029" i="67"/>
  <c r="AR1180" i="67"/>
  <c r="AR1029" i="67"/>
  <c r="AN1180" i="67"/>
  <c r="AN1029" i="67"/>
  <c r="AJ1180" i="67"/>
  <c r="AJ1029" i="67"/>
  <c r="AF1180" i="67"/>
  <c r="AF1029" i="67"/>
  <c r="AB1180" i="67"/>
  <c r="AB1029" i="67"/>
  <c r="X1180" i="67"/>
  <c r="X1029" i="67"/>
  <c r="T1180" i="67"/>
  <c r="T1029" i="67"/>
  <c r="P1180" i="67"/>
  <c r="P1029" i="67"/>
  <c r="L1180" i="67"/>
  <c r="L1029" i="67"/>
  <c r="AT1179" i="67"/>
  <c r="AT1028" i="67"/>
  <c r="AP1179" i="67"/>
  <c r="AP1028" i="67"/>
  <c r="AL1179" i="67"/>
  <c r="AL1028" i="67"/>
  <c r="AH1179" i="67"/>
  <c r="AH1028" i="67"/>
  <c r="AD1179" i="67"/>
  <c r="AD1028" i="67"/>
  <c r="Z1179" i="67"/>
  <c r="Z1028" i="67"/>
  <c r="V1179" i="67"/>
  <c r="V1028" i="67"/>
  <c r="R1179" i="67"/>
  <c r="R1028" i="67"/>
  <c r="N1179" i="67"/>
  <c r="N1028" i="67"/>
  <c r="AT1159" i="67"/>
  <c r="AT1008" i="67"/>
  <c r="AP1159" i="67"/>
  <c r="AP1008" i="67"/>
  <c r="AL1159" i="67"/>
  <c r="AL1008" i="67"/>
  <c r="AH1159" i="67"/>
  <c r="AH1008" i="67"/>
  <c r="AD1159" i="67"/>
  <c r="AD1008" i="67"/>
  <c r="Z1159" i="67"/>
  <c r="Z1008" i="67"/>
  <c r="V1159" i="67"/>
  <c r="V1008" i="67"/>
  <c r="R1159" i="67"/>
  <c r="R1008" i="67"/>
  <c r="N1159" i="67"/>
  <c r="N1008" i="67"/>
  <c r="AV1158" i="67"/>
  <c r="AV1007" i="67"/>
  <c r="AR1158" i="67"/>
  <c r="AR1007" i="67"/>
  <c r="AN1158" i="67"/>
  <c r="AN1007" i="67"/>
  <c r="AJ1158" i="67"/>
  <c r="AJ1007" i="67"/>
  <c r="AF1158" i="67"/>
  <c r="AF1007" i="67"/>
  <c r="AB1158" i="67"/>
  <c r="AB1007" i="67"/>
  <c r="X1158" i="67"/>
  <c r="X1007" i="67"/>
  <c r="T1158" i="67"/>
  <c r="T1007" i="67"/>
  <c r="P1158" i="67"/>
  <c r="P1007" i="67"/>
  <c r="L1158" i="67"/>
  <c r="L1007" i="67"/>
  <c r="AT996" i="67"/>
  <c r="AP996" i="67"/>
  <c r="AL996" i="67"/>
  <c r="AH996" i="67"/>
  <c r="AD996" i="67"/>
  <c r="Z996" i="67"/>
  <c r="V996" i="67"/>
  <c r="R996" i="67"/>
  <c r="N996" i="67"/>
  <c r="AT980" i="67"/>
  <c r="AP980" i="67"/>
  <c r="AL980" i="67"/>
  <c r="AH980" i="67"/>
  <c r="AD980" i="67"/>
  <c r="Z980" i="67"/>
  <c r="V980" i="67"/>
  <c r="R980" i="67"/>
  <c r="N980" i="67"/>
  <c r="AV959" i="67"/>
  <c r="AR959" i="67"/>
  <c r="AN959" i="67"/>
  <c r="AJ959" i="67"/>
  <c r="AF959" i="67"/>
  <c r="AB959" i="67"/>
  <c r="X959" i="67"/>
  <c r="T959" i="67"/>
  <c r="P959" i="67"/>
  <c r="L959" i="67"/>
  <c r="AV941" i="67"/>
  <c r="AR941" i="67"/>
  <c r="AN941" i="67"/>
  <c r="AJ941" i="67"/>
  <c r="AF941" i="67"/>
  <c r="AB941" i="67"/>
  <c r="X941" i="67"/>
  <c r="T941" i="67"/>
  <c r="P941" i="67"/>
  <c r="L941" i="67"/>
  <c r="AV927" i="67"/>
  <c r="AR927" i="67"/>
  <c r="AN927" i="67"/>
  <c r="AJ927" i="67"/>
  <c r="AF927" i="67"/>
  <c r="AB927" i="67"/>
  <c r="X927" i="67"/>
  <c r="T927" i="67"/>
  <c r="P927" i="67"/>
  <c r="L927" i="67"/>
  <c r="D202" i="65"/>
  <c r="D204" i="65"/>
  <c r="AE204" i="65"/>
  <c r="AE202" i="65"/>
  <c r="U202" i="65"/>
  <c r="Y64" i="69"/>
  <c r="U203" i="65"/>
  <c r="T65" i="65"/>
  <c r="AD65" i="65"/>
  <c r="AN65" i="65"/>
  <c r="C203" i="65"/>
  <c r="B82" i="65"/>
  <c r="U204" i="65"/>
  <c r="AE203" i="65"/>
  <c r="T52" i="65"/>
  <c r="J54" i="65"/>
  <c r="J59" i="65" s="1"/>
  <c r="AN52" i="65"/>
  <c r="AD54" i="65"/>
  <c r="U33" i="65"/>
  <c r="V33" i="65" s="1"/>
  <c r="V35" i="65" s="1"/>
  <c r="AE32" i="65"/>
  <c r="AF32" i="65" s="1"/>
  <c r="AG32" i="65" s="1"/>
  <c r="AH32" i="65" s="1"/>
  <c r="AI32" i="65" s="1"/>
  <c r="AJ32" i="65" s="1"/>
  <c r="AK32" i="65" s="1"/>
  <c r="AL32" i="65" s="1"/>
  <c r="AM32" i="65" s="1"/>
  <c r="AM34" i="65" s="1"/>
  <c r="I55" i="65"/>
  <c r="I60" i="65" s="1"/>
  <c r="AE33" i="65"/>
  <c r="AF33" i="65" s="1"/>
  <c r="AG33" i="65" s="1"/>
  <c r="AH33" i="65" s="1"/>
  <c r="AI33" i="65" s="1"/>
  <c r="C51" i="65"/>
  <c r="C56" i="65" s="1"/>
  <c r="G53" i="65"/>
  <c r="G58" i="65" s="1"/>
  <c r="F54" i="65"/>
  <c r="F59" i="65" s="1"/>
  <c r="AD35" i="65"/>
  <c r="W33" i="65"/>
  <c r="X33" i="65" s="1"/>
  <c r="Y33" i="65" s="1"/>
  <c r="Z33" i="65" s="1"/>
  <c r="C55" i="65"/>
  <c r="C60" i="65" s="1"/>
  <c r="E47" i="65"/>
  <c r="F47" i="65" s="1"/>
  <c r="G47" i="65" s="1"/>
  <c r="D52" i="65"/>
  <c r="D57" i="65" s="1"/>
  <c r="B56" i="65"/>
  <c r="AD51" i="65"/>
  <c r="E51" i="65"/>
  <c r="E56" i="65" s="1"/>
  <c r="D51" i="65"/>
  <c r="D56" i="65" s="1"/>
  <c r="T51" i="65"/>
  <c r="AN51" i="65"/>
  <c r="B60" i="65"/>
  <c r="F55" i="65"/>
  <c r="F60" i="65" s="1"/>
  <c r="J55" i="65"/>
  <c r="J60" i="65" s="1"/>
  <c r="AD55" i="65"/>
  <c r="G55" i="65"/>
  <c r="G60" i="65" s="1"/>
  <c r="D55" i="65"/>
  <c r="D60" i="65" s="1"/>
  <c r="H55" i="65"/>
  <c r="H60" i="65" s="1"/>
  <c r="T55" i="65"/>
  <c r="AN55" i="65"/>
  <c r="E55" i="65"/>
  <c r="E60" i="65" s="1"/>
  <c r="C52" i="65"/>
  <c r="C57" i="65" s="1"/>
  <c r="I54" i="65"/>
  <c r="I59" i="65" s="1"/>
  <c r="E54" i="65"/>
  <c r="E59" i="65" s="1"/>
  <c r="AD53" i="65"/>
  <c r="J53" i="65"/>
  <c r="J58" i="65" s="1"/>
  <c r="F53" i="65"/>
  <c r="F58" i="65" s="1"/>
  <c r="AD34" i="65"/>
  <c r="C53" i="65"/>
  <c r="C58" i="65" s="1"/>
  <c r="AN54" i="65"/>
  <c r="T54" i="65"/>
  <c r="H54" i="65"/>
  <c r="H59" i="65" s="1"/>
  <c r="D54" i="65"/>
  <c r="D59" i="65" s="1"/>
  <c r="I53" i="65"/>
  <c r="I58" i="65" s="1"/>
  <c r="E53" i="65"/>
  <c r="E58" i="65" s="1"/>
  <c r="AD52" i="65"/>
  <c r="AN35" i="65"/>
  <c r="T35" i="65"/>
  <c r="C54" i="65"/>
  <c r="C59" i="65" s="1"/>
  <c r="G54" i="65"/>
  <c r="G59" i="65" s="1"/>
  <c r="AN53" i="65"/>
  <c r="T53" i="65"/>
  <c r="H53" i="65"/>
  <c r="H58" i="65" s="1"/>
  <c r="D53" i="65"/>
  <c r="D58" i="65" s="1"/>
  <c r="AN34" i="65"/>
  <c r="T34" i="65"/>
  <c r="D32" i="65"/>
  <c r="E32" i="65" s="1"/>
  <c r="F32" i="65" s="1"/>
  <c r="G32" i="65" s="1"/>
  <c r="U32" i="65"/>
  <c r="V32" i="65" s="1"/>
  <c r="W32" i="65" s="1"/>
  <c r="D33" i="65"/>
  <c r="E33" i="65" s="1"/>
  <c r="F33" i="65" s="1"/>
  <c r="K69" i="65"/>
  <c r="L69" i="65" s="1"/>
  <c r="M69" i="65" s="1"/>
  <c r="N69" i="65" s="1"/>
  <c r="O69" i="65" s="1"/>
  <c r="P69" i="65" s="1"/>
  <c r="Q69" i="65" s="1"/>
  <c r="R69" i="65" s="1"/>
  <c r="S69" i="65" s="1"/>
  <c r="U70" i="65"/>
  <c r="V70" i="65" s="1"/>
  <c r="W70" i="65" s="1"/>
  <c r="X70" i="65" s="1"/>
  <c r="Y70" i="65" s="1"/>
  <c r="Z70" i="65" s="1"/>
  <c r="AA70" i="65" s="1"/>
  <c r="AB70" i="65" s="1"/>
  <c r="AC70" i="65" s="1"/>
  <c r="AE66" i="65"/>
  <c r="AF66" i="65" s="1"/>
  <c r="AG66" i="65" s="1"/>
  <c r="AH66" i="65" s="1"/>
  <c r="AI66" i="65" s="1"/>
  <c r="AJ66" i="65" s="1"/>
  <c r="AK66" i="65" s="1"/>
  <c r="AL66" i="65" s="1"/>
  <c r="AM66" i="65" s="1"/>
  <c r="AE67" i="65"/>
  <c r="AF67" i="65" s="1"/>
  <c r="AG67" i="65" s="1"/>
  <c r="AH67" i="65" s="1"/>
  <c r="AI67" i="65" s="1"/>
  <c r="AJ67" i="65" s="1"/>
  <c r="AK67" i="65" s="1"/>
  <c r="AL67" i="65" s="1"/>
  <c r="AM67" i="65" s="1"/>
  <c r="Y16" i="69"/>
  <c r="C61" i="65"/>
  <c r="AE62" i="65"/>
  <c r="C62" i="65"/>
  <c r="C65" i="65" s="1"/>
  <c r="AD63" i="65"/>
  <c r="AE61" i="65"/>
  <c r="U61" i="65"/>
  <c r="U62" i="65"/>
  <c r="U65" i="65" s="1"/>
  <c r="U66" i="65"/>
  <c r="V66" i="65" s="1"/>
  <c r="W66" i="65" s="1"/>
  <c r="X66" i="65" s="1"/>
  <c r="Y66" i="65" s="1"/>
  <c r="Z66" i="65" s="1"/>
  <c r="AA66" i="65" s="1"/>
  <c r="AB66" i="65" s="1"/>
  <c r="AC66" i="65" s="1"/>
  <c r="U67" i="65"/>
  <c r="V67" i="65" s="1"/>
  <c r="W67" i="65" s="1"/>
  <c r="X67" i="65" s="1"/>
  <c r="Y67" i="65" s="1"/>
  <c r="Z67" i="65" s="1"/>
  <c r="AA67" i="65" s="1"/>
  <c r="AB67" i="65" s="1"/>
  <c r="AC67" i="65" s="1"/>
  <c r="AE68" i="65"/>
  <c r="AF68" i="65" s="1"/>
  <c r="AG68" i="65" s="1"/>
  <c r="AH68" i="65" s="1"/>
  <c r="AI68" i="65" s="1"/>
  <c r="AJ68" i="65" s="1"/>
  <c r="AK68" i="65" s="1"/>
  <c r="AL68" i="65" s="1"/>
  <c r="AM68" i="65" s="1"/>
  <c r="K68" i="65"/>
  <c r="L68" i="65" s="1"/>
  <c r="M68" i="65" s="1"/>
  <c r="N68" i="65" s="1"/>
  <c r="O68" i="65" s="1"/>
  <c r="P68" i="65" s="1"/>
  <c r="Q68" i="65" s="1"/>
  <c r="R68" i="65" s="1"/>
  <c r="S68" i="65" s="1"/>
  <c r="K49" i="65"/>
  <c r="L49" i="65" s="1"/>
  <c r="M49" i="65" s="1"/>
  <c r="N49" i="65" s="1"/>
  <c r="U50" i="65"/>
  <c r="V50" i="65" s="1"/>
  <c r="W50" i="65" s="1"/>
  <c r="X50" i="65" s="1"/>
  <c r="Y50" i="65" s="1"/>
  <c r="Z50" i="65" s="1"/>
  <c r="AA50" i="65" s="1"/>
  <c r="AB50" i="65" s="1"/>
  <c r="AC50" i="65" s="1"/>
  <c r="AE46" i="65"/>
  <c r="AF46" i="65" s="1"/>
  <c r="AG46" i="65" s="1"/>
  <c r="AH46" i="65" s="1"/>
  <c r="AI46" i="65" s="1"/>
  <c r="AJ46" i="65" s="1"/>
  <c r="AK46" i="65" s="1"/>
  <c r="AL46" i="65" s="1"/>
  <c r="AM46" i="65" s="1"/>
  <c r="AE47" i="65"/>
  <c r="AF47" i="65" s="1"/>
  <c r="K70" i="65"/>
  <c r="L70" i="65" s="1"/>
  <c r="M70" i="65" s="1"/>
  <c r="N70" i="65" s="1"/>
  <c r="O70" i="65" s="1"/>
  <c r="P70" i="65" s="1"/>
  <c r="Q70" i="65" s="1"/>
  <c r="R70" i="65" s="1"/>
  <c r="S70" i="65" s="1"/>
  <c r="U49" i="65"/>
  <c r="V49" i="65" s="1"/>
  <c r="AE50" i="65"/>
  <c r="AF50" i="65" s="1"/>
  <c r="AG50" i="65" s="1"/>
  <c r="AH50" i="65" s="1"/>
  <c r="AI50" i="65" s="1"/>
  <c r="AJ50" i="65" s="1"/>
  <c r="AK50" i="65" s="1"/>
  <c r="AL50" i="65" s="1"/>
  <c r="AM50" i="65" s="1"/>
  <c r="K66" i="65"/>
  <c r="L66" i="65" s="1"/>
  <c r="M66" i="65" s="1"/>
  <c r="N66" i="65" s="1"/>
  <c r="O66" i="65" s="1"/>
  <c r="P66" i="65" s="1"/>
  <c r="Q66" i="65" s="1"/>
  <c r="R66" i="65" s="1"/>
  <c r="S66" i="65" s="1"/>
  <c r="K67" i="65"/>
  <c r="L67" i="65" s="1"/>
  <c r="M67" i="65" s="1"/>
  <c r="N67" i="65" s="1"/>
  <c r="O67" i="65" s="1"/>
  <c r="P67" i="65" s="1"/>
  <c r="Q67" i="65" s="1"/>
  <c r="R67" i="65" s="1"/>
  <c r="S67" i="65" s="1"/>
  <c r="AE70" i="65"/>
  <c r="AF70" i="65" s="1"/>
  <c r="AG70" i="65" s="1"/>
  <c r="AH70" i="65" s="1"/>
  <c r="AI70" i="65" s="1"/>
  <c r="AJ70" i="65" s="1"/>
  <c r="AK70" i="65" s="1"/>
  <c r="AL70" i="65" s="1"/>
  <c r="AM70" i="65" s="1"/>
  <c r="U48" i="65"/>
  <c r="V48" i="65" s="1"/>
  <c r="W48" i="65" s="1"/>
  <c r="AE49" i="65"/>
  <c r="AF49" i="65" s="1"/>
  <c r="AG49" i="65" s="1"/>
  <c r="AH49" i="65" s="1"/>
  <c r="U68" i="65"/>
  <c r="V68" i="65" s="1"/>
  <c r="W68" i="65" s="1"/>
  <c r="X68" i="65" s="1"/>
  <c r="Y68" i="65" s="1"/>
  <c r="Z68" i="65" s="1"/>
  <c r="AA68" i="65" s="1"/>
  <c r="AB68" i="65" s="1"/>
  <c r="AC68" i="65" s="1"/>
  <c r="AE69" i="65"/>
  <c r="AF69" i="65" s="1"/>
  <c r="AG69" i="65" s="1"/>
  <c r="AH69" i="65" s="1"/>
  <c r="AI69" i="65" s="1"/>
  <c r="AJ69" i="65" s="1"/>
  <c r="AK69" i="65" s="1"/>
  <c r="AL69" i="65" s="1"/>
  <c r="AM69" i="65" s="1"/>
  <c r="U69" i="65"/>
  <c r="V69" i="65" s="1"/>
  <c r="W69" i="65" s="1"/>
  <c r="X69" i="65" s="1"/>
  <c r="Y69" i="65" s="1"/>
  <c r="Z69" i="65" s="1"/>
  <c r="AA69" i="65" s="1"/>
  <c r="AB69" i="65" s="1"/>
  <c r="AC69" i="65" s="1"/>
  <c r="U46" i="65"/>
  <c r="V46" i="65" s="1"/>
  <c r="W46" i="65" s="1"/>
  <c r="X46" i="65" s="1"/>
  <c r="X51" i="65" s="1"/>
  <c r="AE48" i="65"/>
  <c r="F46" i="65"/>
  <c r="G46" i="65" s="1"/>
  <c r="H46" i="65" s="1"/>
  <c r="I46" i="65" s="1"/>
  <c r="I51" i="65" s="1"/>
  <c r="K48" i="65"/>
  <c r="U47" i="65"/>
  <c r="V47" i="65" s="1"/>
  <c r="W47" i="65" s="1"/>
  <c r="W52" i="65" s="1"/>
  <c r="K50" i="65"/>
  <c r="L50" i="65" s="1"/>
  <c r="M50" i="65" s="1"/>
  <c r="N50" i="65" s="1"/>
  <c r="O50" i="65" s="1"/>
  <c r="O55" i="65" s="1"/>
  <c r="A47" i="68"/>
  <c r="A53" i="68"/>
  <c r="A54" i="68"/>
  <c r="A51" i="68"/>
  <c r="A50" i="68"/>
  <c r="A48" i="68"/>
  <c r="A46" i="68"/>
  <c r="A45" i="68"/>
  <c r="A44" i="68"/>
  <c r="A26" i="68"/>
  <c r="A25" i="68"/>
  <c r="A24" i="68"/>
  <c r="A23" i="68"/>
  <c r="A22" i="68"/>
  <c r="A21" i="68"/>
  <c r="A20" i="68"/>
  <c r="A18" i="68"/>
  <c r="A17" i="68"/>
  <c r="A16" i="68"/>
  <c r="A15" i="68"/>
  <c r="A14" i="68"/>
  <c r="A13" i="68"/>
  <c r="A12" i="68"/>
  <c r="A6" i="68"/>
  <c r="A7" i="68"/>
  <c r="A8" i="68"/>
  <c r="A9" i="68"/>
  <c r="A10" i="68"/>
  <c r="A5" i="68"/>
  <c r="A1172" i="67"/>
  <c r="A1173" i="67"/>
  <c r="A1174" i="67"/>
  <c r="A1175" i="67"/>
  <c r="A1176" i="67"/>
  <c r="A1177" i="67"/>
  <c r="A1178" i="67"/>
  <c r="A1179" i="67"/>
  <c r="A1180" i="67"/>
  <c r="A1181" i="67"/>
  <c r="A1182" i="67"/>
  <c r="A1183" i="67"/>
  <c r="A1184" i="67"/>
  <c r="A1216" i="67"/>
  <c r="A1215" i="67"/>
  <c r="A1214" i="67"/>
  <c r="A1213" i="67"/>
  <c r="A1212" i="67"/>
  <c r="A1211" i="67"/>
  <c r="A1210" i="67"/>
  <c r="A1209" i="67"/>
  <c r="A1208" i="67"/>
  <c r="A1207" i="67"/>
  <c r="A1206" i="67"/>
  <c r="A1205" i="67"/>
  <c r="A1204" i="67"/>
  <c r="A1203" i="67"/>
  <c r="A1202" i="67"/>
  <c r="A1201" i="67"/>
  <c r="A1200" i="67"/>
  <c r="A1199" i="67"/>
  <c r="A1198" i="67"/>
  <c r="A1197" i="67"/>
  <c r="A1196" i="67"/>
  <c r="A1195" i="67"/>
  <c r="A1194" i="67"/>
  <c r="A1193" i="67"/>
  <c r="A1192" i="67"/>
  <c r="A1191" i="67"/>
  <c r="A1190" i="67"/>
  <c r="A1189" i="67"/>
  <c r="A1188" i="67"/>
  <c r="A1187" i="67"/>
  <c r="A1186" i="67"/>
  <c r="A1185" i="67"/>
  <c r="A1171" i="67"/>
  <c r="A1170" i="67"/>
  <c r="A1169" i="67"/>
  <c r="A1168" i="67"/>
  <c r="A1167" i="67"/>
  <c r="A1166" i="67"/>
  <c r="A1165" i="67"/>
  <c r="A1164" i="67"/>
  <c r="A1151" i="67"/>
  <c r="A1150" i="67"/>
  <c r="A1149" i="67"/>
  <c r="A1148" i="67"/>
  <c r="A1147" i="67"/>
  <c r="A1146" i="67"/>
  <c r="A1145" i="67"/>
  <c r="A1144" i="67"/>
  <c r="A1143" i="67"/>
  <c r="A1142" i="67"/>
  <c r="A1141" i="67"/>
  <c r="A1140" i="67"/>
  <c r="A1139" i="67"/>
  <c r="A1138" i="67"/>
  <c r="A1137" i="67"/>
  <c r="A1136" i="67"/>
  <c r="A1135" i="67"/>
  <c r="A1134" i="67"/>
  <c r="A1133" i="67"/>
  <c r="A1132" i="67"/>
  <c r="A1131" i="67"/>
  <c r="A1130" i="67"/>
  <c r="A1129" i="67"/>
  <c r="A1128" i="67"/>
  <c r="A1127" i="67"/>
  <c r="A1126" i="67"/>
  <c r="A1125" i="67"/>
  <c r="A1124" i="67"/>
  <c r="A1123" i="67"/>
  <c r="A1122" i="67"/>
  <c r="A1121" i="67"/>
  <c r="A1120" i="67"/>
  <c r="A1118" i="67"/>
  <c r="A1116" i="67"/>
  <c r="A1115" i="67"/>
  <c r="A1114" i="67"/>
  <c r="A1113" i="67"/>
  <c r="A1112" i="67"/>
  <c r="A1111" i="67"/>
  <c r="A1110" i="67"/>
  <c r="A1109" i="67"/>
  <c r="A1108" i="67"/>
  <c r="A1107" i="67"/>
  <c r="A1106" i="67"/>
  <c r="A1105" i="67"/>
  <c r="A1104" i="67"/>
  <c r="A1103" i="67"/>
  <c r="A1102" i="67"/>
  <c r="A1101" i="67"/>
  <c r="A1100" i="67"/>
  <c r="A1099" i="67"/>
  <c r="A1098" i="67"/>
  <c r="A1097" i="67"/>
  <c r="A1096" i="67"/>
  <c r="A1095" i="67"/>
  <c r="A1094" i="67"/>
  <c r="A1093" i="67"/>
  <c r="A1092" i="67"/>
  <c r="A1091" i="67"/>
  <c r="A1090" i="67"/>
  <c r="A1089" i="67"/>
  <c r="A1088" i="67"/>
  <c r="A1087" i="67"/>
  <c r="A1086" i="67"/>
  <c r="A1085" i="67"/>
  <c r="A1084" i="67"/>
  <c r="A1083" i="67"/>
  <c r="A1082" i="67"/>
  <c r="A1081" i="67"/>
  <c r="A1080" i="67"/>
  <c r="A1079" i="67"/>
  <c r="A1078" i="67"/>
  <c r="A1077" i="67"/>
  <c r="A1076" i="67"/>
  <c r="A1075" i="67"/>
  <c r="A1074" i="67"/>
  <c r="A1073" i="67"/>
  <c r="A1072" i="67"/>
  <c r="A1071" i="67"/>
  <c r="A1070" i="67"/>
  <c r="A1069" i="67"/>
  <c r="A1068" i="67"/>
  <c r="A1067" i="67"/>
  <c r="A1220" i="67"/>
  <c r="A1318" i="67"/>
  <c r="A1319" i="67"/>
  <c r="A1320" i="67"/>
  <c r="D1320" i="67"/>
  <c r="E1320" i="67"/>
  <c r="F1320" i="67"/>
  <c r="H1320" i="67" s="1"/>
  <c r="I1320" i="67"/>
  <c r="J1320" i="67"/>
  <c r="A1321" i="67"/>
  <c r="A1322" i="67"/>
  <c r="A1323" i="67"/>
  <c r="A1324" i="67"/>
  <c r="D1324" i="67"/>
  <c r="D1325" i="67" s="1"/>
  <c r="E1324" i="67"/>
  <c r="E1325" i="67" s="1"/>
  <c r="F1324" i="67"/>
  <c r="G1324" i="67"/>
  <c r="I1324" i="67"/>
  <c r="I1325" i="67" s="1"/>
  <c r="J1324" i="67"/>
  <c r="J1325" i="67" s="1"/>
  <c r="A1325" i="67"/>
  <c r="A1326" i="67"/>
  <c r="A1327" i="67"/>
  <c r="A1328" i="67"/>
  <c r="A1329" i="67"/>
  <c r="A1330" i="67"/>
  <c r="A1331" i="67"/>
  <c r="A1332" i="67"/>
  <c r="A1333" i="67"/>
  <c r="A1334" i="67"/>
  <c r="A1335" i="67"/>
  <c r="A1336" i="67"/>
  <c r="D1379" i="67"/>
  <c r="D1380" i="67" s="1"/>
  <c r="D1381" i="67" s="1"/>
  <c r="D1382" i="67" s="1"/>
  <c r="D1383" i="67" s="1"/>
  <c r="D1384" i="67" s="1"/>
  <c r="D1385" i="67" s="1"/>
  <c r="D1386" i="67" s="1"/>
  <c r="D1387" i="67" s="1"/>
  <c r="D1388" i="67" s="1"/>
  <c r="D1389" i="67" s="1"/>
  <c r="D1390" i="67" s="1"/>
  <c r="D1391" i="67" s="1"/>
  <c r="D1392" i="67" s="1"/>
  <c r="D1393" i="67" s="1"/>
  <c r="D1394" i="67" s="1"/>
  <c r="D1395" i="67" s="1"/>
  <c r="D1396" i="67" s="1"/>
  <c r="D1397" i="67" s="1"/>
  <c r="D1398" i="67" s="1"/>
  <c r="D1399" i="67" s="1"/>
  <c r="D1400" i="67" s="1"/>
  <c r="D1401" i="67" s="1"/>
  <c r="D1402" i="67" s="1"/>
  <c r="D1403" i="67" s="1"/>
  <c r="D1404" i="67" s="1"/>
  <c r="D1405" i="67" s="1"/>
  <c r="D1406" i="67" s="1"/>
  <c r="D1407" i="67" s="1"/>
  <c r="D1408" i="67" s="1"/>
  <c r="D1409" i="67" s="1"/>
  <c r="D1410" i="67" s="1"/>
  <c r="D1411" i="67" s="1"/>
  <c r="D1412" i="67" s="1"/>
  <c r="D1413" i="67" s="1"/>
  <c r="D1414" i="67" s="1"/>
  <c r="D1415" i="67" s="1"/>
  <c r="D1416" i="67" s="1"/>
  <c r="D1417" i="67" s="1"/>
  <c r="D1418" i="67" s="1"/>
  <c r="D1419" i="67" s="1"/>
  <c r="D1420" i="67" s="1"/>
  <c r="D1421" i="67" s="1"/>
  <c r="D1422" i="67" s="1"/>
  <c r="D1423" i="67" s="1"/>
  <c r="D1424" i="67" s="1"/>
  <c r="D1425" i="67" s="1"/>
  <c r="D1426" i="67" s="1"/>
  <c r="D1427" i="67" s="1"/>
  <c r="D1428" i="67" s="1"/>
  <c r="E1379" i="67"/>
  <c r="E1380" i="67" s="1"/>
  <c r="E1381" i="67" s="1"/>
  <c r="E1382" i="67" s="1"/>
  <c r="E1383" i="67" s="1"/>
  <c r="E1384" i="67" s="1"/>
  <c r="E1385" i="67" s="1"/>
  <c r="E1386" i="67" s="1"/>
  <c r="E1387" i="67" s="1"/>
  <c r="E1388" i="67" s="1"/>
  <c r="E1389" i="67" s="1"/>
  <c r="E1390" i="67" s="1"/>
  <c r="E1391" i="67" s="1"/>
  <c r="E1392" i="67" s="1"/>
  <c r="F1379" i="67"/>
  <c r="G1379" i="67"/>
  <c r="H1379" i="67"/>
  <c r="H1380" i="67" s="1"/>
  <c r="H1381" i="67" s="1"/>
  <c r="F1380" i="67"/>
  <c r="G1380" i="67"/>
  <c r="I1380" i="67"/>
  <c r="I1382" i="67" s="1"/>
  <c r="I1383" i="67" s="1"/>
  <c r="I1384" i="67" s="1"/>
  <c r="I1385" i="67" s="1"/>
  <c r="I1386" i="67" s="1"/>
  <c r="I1387" i="67" s="1"/>
  <c r="I1388" i="67" s="1"/>
  <c r="I1389" i="67" s="1"/>
  <c r="I1390" i="67" s="1"/>
  <c r="I1391" i="67" s="1"/>
  <c r="I1392" i="67" s="1"/>
  <c r="I1393" i="67" s="1"/>
  <c r="I1394" i="67" s="1"/>
  <c r="J1380" i="67"/>
  <c r="J1382" i="67" s="1"/>
  <c r="J1383" i="67" s="1"/>
  <c r="J1384" i="67" s="1"/>
  <c r="J1385" i="67" s="1"/>
  <c r="J1386" i="67" s="1"/>
  <c r="J1387" i="67" s="1"/>
  <c r="J1388" i="67" s="1"/>
  <c r="J1389" i="67" s="1"/>
  <c r="J1390" i="67" s="1"/>
  <c r="J1391" i="67" s="1"/>
  <c r="J1392" i="67" s="1"/>
  <c r="J1393" i="67" s="1"/>
  <c r="J1394" i="67" s="1"/>
  <c r="F1381" i="67"/>
  <c r="G1381" i="67"/>
  <c r="F1382" i="67"/>
  <c r="G1382" i="67"/>
  <c r="F1383" i="67"/>
  <c r="G1383" i="67"/>
  <c r="F1384" i="67"/>
  <c r="G1384" i="67"/>
  <c r="F1385" i="67"/>
  <c r="G1385" i="67"/>
  <c r="F1386" i="67"/>
  <c r="G1386" i="67"/>
  <c r="F1387" i="67"/>
  <c r="G1387" i="67"/>
  <c r="F1388" i="67"/>
  <c r="G1388" i="67"/>
  <c r="F1389" i="67"/>
  <c r="G1389" i="67"/>
  <c r="F1390" i="67"/>
  <c r="G1390" i="67"/>
  <c r="F1391" i="67"/>
  <c r="G1391" i="67"/>
  <c r="F1392" i="67"/>
  <c r="G1392" i="67"/>
  <c r="E1393" i="67"/>
  <c r="E1394" i="67" s="1"/>
  <c r="E1395" i="67" s="1"/>
  <c r="E1396" i="67" s="1"/>
  <c r="E1397" i="67" s="1"/>
  <c r="E1398" i="67" s="1"/>
  <c r="E1399" i="67" s="1"/>
  <c r="E1400" i="67" s="1"/>
  <c r="E1401" i="67" s="1"/>
  <c r="E1402" i="67" s="1"/>
  <c r="E1403" i="67" s="1"/>
  <c r="E1404" i="67" s="1"/>
  <c r="E1405" i="67" s="1"/>
  <c r="E1406" i="67" s="1"/>
  <c r="E1407" i="67" s="1"/>
  <c r="E1408" i="67" s="1"/>
  <c r="E1409" i="67" s="1"/>
  <c r="E1410" i="67" s="1"/>
  <c r="F1393" i="67"/>
  <c r="G1393" i="67"/>
  <c r="H1393" i="67"/>
  <c r="H1394" i="67" s="1"/>
  <c r="H1395" i="67" s="1"/>
  <c r="F1394" i="67"/>
  <c r="G1394" i="67"/>
  <c r="F1395" i="67"/>
  <c r="G1395" i="67"/>
  <c r="F1396" i="67"/>
  <c r="G1396" i="67"/>
  <c r="F1397" i="67"/>
  <c r="G1397" i="67"/>
  <c r="F1398" i="67"/>
  <c r="G1398" i="67"/>
  <c r="F1399" i="67"/>
  <c r="G1399" i="67"/>
  <c r="F1400" i="67"/>
  <c r="G1400" i="67"/>
  <c r="F1401" i="67"/>
  <c r="G1401" i="67"/>
  <c r="F1402" i="67"/>
  <c r="G1402" i="67"/>
  <c r="F1403" i="67"/>
  <c r="G1403" i="67"/>
  <c r="F1404" i="67"/>
  <c r="G1404" i="67"/>
  <c r="F1405" i="67"/>
  <c r="G1405" i="67"/>
  <c r="F1406" i="67"/>
  <c r="G1406" i="67"/>
  <c r="F1407" i="67"/>
  <c r="G1407" i="67"/>
  <c r="F1408" i="67"/>
  <c r="G1408" i="67"/>
  <c r="F1409" i="67"/>
  <c r="G1409" i="67"/>
  <c r="F1410" i="67"/>
  <c r="G1410" i="67"/>
  <c r="E1411" i="67"/>
  <c r="E1412" i="67" s="1"/>
  <c r="E1413" i="67" s="1"/>
  <c r="E1414" i="67" s="1"/>
  <c r="E1415" i="67" s="1"/>
  <c r="E1416" i="67" s="1"/>
  <c r="E1417" i="67" s="1"/>
  <c r="E1418" i="67" s="1"/>
  <c r="E1419" i="67" s="1"/>
  <c r="E1420" i="67" s="1"/>
  <c r="E1421" i="67" s="1"/>
  <c r="E1422" i="67" s="1"/>
  <c r="E1423" i="67" s="1"/>
  <c r="E1424" i="67" s="1"/>
  <c r="E1425" i="67" s="1"/>
  <c r="E1426" i="67" s="1"/>
  <c r="E1427" i="67" s="1"/>
  <c r="E1428" i="67" s="1"/>
  <c r="F1411" i="67"/>
  <c r="G1411" i="67"/>
  <c r="F1412" i="67"/>
  <c r="G1412" i="67"/>
  <c r="J1412" i="67"/>
  <c r="J1414" i="67" s="1"/>
  <c r="J1415" i="67" s="1"/>
  <c r="J1416" i="67" s="1"/>
  <c r="J1417" i="67" s="1"/>
  <c r="J1418" i="67" s="1"/>
  <c r="J1419" i="67" s="1"/>
  <c r="J1420" i="67" s="1"/>
  <c r="J1421" i="67" s="1"/>
  <c r="J1422" i="67" s="1"/>
  <c r="J1423" i="67" s="1"/>
  <c r="J1424" i="67" s="1"/>
  <c r="J1425" i="67" s="1"/>
  <c r="J1426" i="67" s="1"/>
  <c r="J1427" i="67" s="1"/>
  <c r="J1428" i="67" s="1"/>
  <c r="F1413" i="67"/>
  <c r="G1413" i="67"/>
  <c r="F1414" i="67"/>
  <c r="G1414" i="67"/>
  <c r="F1415" i="67"/>
  <c r="G1415" i="67"/>
  <c r="F1416" i="67"/>
  <c r="G1416" i="67"/>
  <c r="F1417" i="67"/>
  <c r="G1417" i="67"/>
  <c r="F1418" i="67"/>
  <c r="G1418" i="67"/>
  <c r="F1419" i="67"/>
  <c r="G1419" i="67"/>
  <c r="F1420" i="67"/>
  <c r="G1420" i="67"/>
  <c r="F1421" i="67"/>
  <c r="G1421" i="67"/>
  <c r="F1422" i="67"/>
  <c r="G1422" i="67"/>
  <c r="F1423" i="67"/>
  <c r="G1423" i="67"/>
  <c r="F1424" i="67"/>
  <c r="G1424" i="67"/>
  <c r="F1425" i="67"/>
  <c r="G1425" i="67"/>
  <c r="F1426" i="67"/>
  <c r="G1426" i="67"/>
  <c r="F1427" i="67"/>
  <c r="G1427" i="67"/>
  <c r="F1428" i="67"/>
  <c r="G1428" i="67"/>
  <c r="D1429" i="67"/>
  <c r="D1430" i="67" s="1"/>
  <c r="D1431" i="67" s="1"/>
  <c r="D1432" i="67" s="1"/>
  <c r="D1433" i="67" s="1"/>
  <c r="D1434" i="67" s="1"/>
  <c r="D1435" i="67" s="1"/>
  <c r="D1436" i="67" s="1"/>
  <c r="D1437" i="67" s="1"/>
  <c r="D1438" i="67" s="1"/>
  <c r="D1439" i="67" s="1"/>
  <c r="D1440" i="67" s="1"/>
  <c r="D1441" i="67" s="1"/>
  <c r="D1442" i="67" s="1"/>
  <c r="D1443" i="67" s="1"/>
  <c r="D1444" i="67" s="1"/>
  <c r="D1445" i="67" s="1"/>
  <c r="D1446" i="67" s="1"/>
  <c r="D1447" i="67" s="1"/>
  <c r="D1448" i="67" s="1"/>
  <c r="D1449" i="67" s="1"/>
  <c r="D1450" i="67" s="1"/>
  <c r="E1429" i="67"/>
  <c r="E1430" i="67" s="1"/>
  <c r="E1431" i="67" s="1"/>
  <c r="E1432" i="67" s="1"/>
  <c r="E1433" i="67" s="1"/>
  <c r="E1434" i="67" s="1"/>
  <c r="E1435" i="67" s="1"/>
  <c r="E1436" i="67" s="1"/>
  <c r="E1437" i="67" s="1"/>
  <c r="E1438" i="67" s="1"/>
  <c r="E1439" i="67" s="1"/>
  <c r="E1440" i="67" s="1"/>
  <c r="E1441" i="67" s="1"/>
  <c r="E1442" i="67" s="1"/>
  <c r="E1443" i="67" s="1"/>
  <c r="E1444" i="67" s="1"/>
  <c r="F1429" i="67"/>
  <c r="F1430" i="67" s="1"/>
  <c r="F1431" i="67" s="1"/>
  <c r="G1429" i="67"/>
  <c r="G1430" i="67"/>
  <c r="I1430" i="67"/>
  <c r="I1431" i="67" s="1"/>
  <c r="I1432" i="67" s="1"/>
  <c r="I1433" i="67" s="1"/>
  <c r="I1434" i="67" s="1"/>
  <c r="I1435" i="67" s="1"/>
  <c r="I1436" i="67" s="1"/>
  <c r="I1437" i="67" s="1"/>
  <c r="I1438" i="67" s="1"/>
  <c r="I1439" i="67" s="1"/>
  <c r="I1440" i="67" s="1"/>
  <c r="I1441" i="67" s="1"/>
  <c r="I1442" i="67" s="1"/>
  <c r="I1443" i="67" s="1"/>
  <c r="I1444" i="67" s="1"/>
  <c r="J1430" i="67"/>
  <c r="J1431" i="67" s="1"/>
  <c r="J1432" i="67" s="1"/>
  <c r="J1433" i="67" s="1"/>
  <c r="J1434" i="67" s="1"/>
  <c r="J1435" i="67" s="1"/>
  <c r="J1436" i="67" s="1"/>
  <c r="J1437" i="67" s="1"/>
  <c r="J1438" i="67" s="1"/>
  <c r="J1439" i="67" s="1"/>
  <c r="J1440" i="67" s="1"/>
  <c r="J1441" i="67" s="1"/>
  <c r="J1442" i="67" s="1"/>
  <c r="J1443" i="67" s="1"/>
  <c r="J1444" i="67" s="1"/>
  <c r="G1431" i="67"/>
  <c r="G1432" i="67"/>
  <c r="F1433" i="67"/>
  <c r="F1449" i="67" s="1"/>
  <c r="G1433" i="67"/>
  <c r="G1434" i="67"/>
  <c r="G1435" i="67"/>
  <c r="G1436" i="67"/>
  <c r="G1437" i="67"/>
  <c r="F1438" i="67"/>
  <c r="F1439" i="67" s="1"/>
  <c r="F1440" i="67" s="1"/>
  <c r="G1438" i="67"/>
  <c r="G1439" i="67"/>
  <c r="G1440" i="67"/>
  <c r="F1441" i="67"/>
  <c r="G1441" i="67"/>
  <c r="F1442" i="67"/>
  <c r="F1443" i="67" s="1"/>
  <c r="G1442" i="67"/>
  <c r="G1443" i="67"/>
  <c r="F1444" i="67"/>
  <c r="G1444" i="67"/>
  <c r="E1445" i="67"/>
  <c r="E1446" i="67" s="1"/>
  <c r="E1447" i="67" s="1"/>
  <c r="E1448" i="67" s="1"/>
  <c r="E1449" i="67" s="1"/>
  <c r="E1450" i="67" s="1"/>
  <c r="G1445" i="67"/>
  <c r="G1446" i="67"/>
  <c r="I1446" i="67"/>
  <c r="I1447" i="67" s="1"/>
  <c r="I1448" i="67" s="1"/>
  <c r="I1449" i="67" s="1"/>
  <c r="I1450" i="67" s="1"/>
  <c r="J1446" i="67"/>
  <c r="J1447" i="67" s="1"/>
  <c r="J1448" i="67" s="1"/>
  <c r="J1449" i="67" s="1"/>
  <c r="J1450" i="67" s="1"/>
  <c r="G1447" i="67"/>
  <c r="G1448" i="67"/>
  <c r="G1449" i="67"/>
  <c r="G1450" i="67"/>
  <c r="AN214" i="65"/>
  <c r="AN215" i="65"/>
  <c r="AN216" i="65"/>
  <c r="AN213" i="65"/>
  <c r="AD214" i="65"/>
  <c r="AD215" i="65"/>
  <c r="AD216" i="65"/>
  <c r="AD213" i="65"/>
  <c r="T214" i="65"/>
  <c r="T215" i="65"/>
  <c r="T216" i="65"/>
  <c r="T213" i="65"/>
  <c r="B214" i="65"/>
  <c r="B215" i="65"/>
  <c r="B216" i="65"/>
  <c r="B213" i="65"/>
  <c r="C213" i="65" s="1"/>
  <c r="D213" i="65" s="1"/>
  <c r="E213" i="65" s="1"/>
  <c r="F213" i="65" s="1"/>
  <c r="G213" i="65" s="1"/>
  <c r="H213" i="65" s="1"/>
  <c r="I213" i="65" s="1"/>
  <c r="J213" i="65" s="1"/>
  <c r="AN196" i="65"/>
  <c r="AD196" i="65"/>
  <c r="T196" i="65"/>
  <c r="B196" i="65"/>
  <c r="C196" i="65" s="1"/>
  <c r="D196" i="65" s="1"/>
  <c r="E196" i="65" s="1"/>
  <c r="F196" i="65" s="1"/>
  <c r="G196" i="65" s="1"/>
  <c r="H196" i="65" s="1"/>
  <c r="I196" i="65" s="1"/>
  <c r="J196" i="65" s="1"/>
  <c r="AE213" i="65" l="1"/>
  <c r="AF213" i="65" s="1"/>
  <c r="AG213" i="65" s="1"/>
  <c r="AH213" i="65" s="1"/>
  <c r="AI213" i="65" s="1"/>
  <c r="AJ213" i="65" s="1"/>
  <c r="AK213" i="65" s="1"/>
  <c r="AL213" i="65" s="1"/>
  <c r="AM213" i="65" s="1"/>
  <c r="K213" i="65"/>
  <c r="L213" i="65" s="1"/>
  <c r="M213" i="65" s="1"/>
  <c r="N213" i="65" s="1"/>
  <c r="O213" i="65" s="1"/>
  <c r="P213" i="65" s="1"/>
  <c r="Q213" i="65" s="1"/>
  <c r="R213" i="65" s="1"/>
  <c r="S213" i="65" s="1"/>
  <c r="AF34" i="65"/>
  <c r="AG34" i="65"/>
  <c r="AK34" i="65"/>
  <c r="AH34" i="65"/>
  <c r="AL34" i="65"/>
  <c r="E204" i="65"/>
  <c r="D203" i="65"/>
  <c r="E202" i="65"/>
  <c r="AF204" i="65"/>
  <c r="V203" i="65"/>
  <c r="AF202" i="65"/>
  <c r="V202" i="65"/>
  <c r="AF62" i="65"/>
  <c r="AF65" i="65" s="1"/>
  <c r="AE65" i="65"/>
  <c r="V204" i="65"/>
  <c r="U35" i="65"/>
  <c r="AF203" i="65"/>
  <c r="E52" i="65"/>
  <c r="E57" i="65" s="1"/>
  <c r="AN56" i="65"/>
  <c r="AJ34" i="65"/>
  <c r="AE34" i="65"/>
  <c r="AD60" i="65"/>
  <c r="AF35" i="65"/>
  <c r="AG35" i="65"/>
  <c r="AJ33" i="65"/>
  <c r="AI35" i="65"/>
  <c r="AH35" i="65"/>
  <c r="W35" i="65"/>
  <c r="AE35" i="65"/>
  <c r="X35" i="65"/>
  <c r="Y35" i="65"/>
  <c r="AI34" i="65"/>
  <c r="H47" i="65"/>
  <c r="I47" i="65" s="1"/>
  <c r="I52" i="65" s="1"/>
  <c r="I57" i="65" s="1"/>
  <c r="G52" i="65"/>
  <c r="G57" i="65" s="1"/>
  <c r="M54" i="65"/>
  <c r="M59" i="65" s="1"/>
  <c r="AN60" i="65"/>
  <c r="F34" i="65"/>
  <c r="U54" i="65"/>
  <c r="U59" i="65" s="1"/>
  <c r="E34" i="65"/>
  <c r="AE54" i="65"/>
  <c r="AE59" i="65" s="1"/>
  <c r="AF54" i="65"/>
  <c r="AF59" i="65" s="1"/>
  <c r="L55" i="65"/>
  <c r="L60" i="65" s="1"/>
  <c r="AG51" i="65"/>
  <c r="AG56" i="65" s="1"/>
  <c r="AF51" i="65"/>
  <c r="AF56" i="65" s="1"/>
  <c r="AI51" i="65"/>
  <c r="AI56" i="65" s="1"/>
  <c r="L48" i="65"/>
  <c r="K53" i="65"/>
  <c r="K58" i="65" s="1"/>
  <c r="X48" i="65"/>
  <c r="W53" i="65"/>
  <c r="W58" i="65" s="1"/>
  <c r="AG47" i="65"/>
  <c r="AF52" i="65"/>
  <c r="AF57" i="65" s="1"/>
  <c r="AG55" i="65"/>
  <c r="AG60" i="65" s="1"/>
  <c r="AB55" i="65"/>
  <c r="AB60" i="65" s="1"/>
  <c r="AI55" i="65"/>
  <c r="AI60" i="65" s="1"/>
  <c r="AL55" i="65"/>
  <c r="AL60" i="65" s="1"/>
  <c r="V55" i="65"/>
  <c r="V60" i="65" s="1"/>
  <c r="W49" i="65"/>
  <c r="V54" i="65"/>
  <c r="V59" i="65" s="1"/>
  <c r="G33" i="65"/>
  <c r="F35" i="65"/>
  <c r="U52" i="65"/>
  <c r="U57" i="65" s="1"/>
  <c r="K54" i="65"/>
  <c r="K59" i="65" s="1"/>
  <c r="F52" i="65"/>
  <c r="F57" i="65" s="1"/>
  <c r="V52" i="65"/>
  <c r="V57" i="65" s="1"/>
  <c r="L54" i="65"/>
  <c r="L59" i="65" s="1"/>
  <c r="V53" i="65"/>
  <c r="V58" i="65" s="1"/>
  <c r="AG54" i="65"/>
  <c r="AG59" i="65" s="1"/>
  <c r="U55" i="65"/>
  <c r="U60" i="65" s="1"/>
  <c r="X55" i="65"/>
  <c r="X60" i="65" s="1"/>
  <c r="AE55" i="65"/>
  <c r="AE60" i="65" s="1"/>
  <c r="AH55" i="65"/>
  <c r="AH60" i="65" s="1"/>
  <c r="U51" i="65"/>
  <c r="U56" i="65" s="1"/>
  <c r="AE51" i="65"/>
  <c r="AE56" i="65" s="1"/>
  <c r="AA33" i="65"/>
  <c r="Z35" i="65"/>
  <c r="X32" i="65"/>
  <c r="W34" i="65"/>
  <c r="U34" i="65"/>
  <c r="U53" i="65"/>
  <c r="U58" i="65" s="1"/>
  <c r="V34" i="65"/>
  <c r="AE52" i="65"/>
  <c r="AE57" i="65" s="1"/>
  <c r="AK55" i="65"/>
  <c r="AK60" i="65" s="1"/>
  <c r="AJ55" i="65"/>
  <c r="AJ60" i="65" s="1"/>
  <c r="AA55" i="65"/>
  <c r="AA60" i="65" s="1"/>
  <c r="K55" i="65"/>
  <c r="K60" i="65" s="1"/>
  <c r="N55" i="65"/>
  <c r="N60" i="65" s="1"/>
  <c r="AK51" i="65"/>
  <c r="AK56" i="65" s="1"/>
  <c r="H51" i="65"/>
  <c r="H56" i="65" s="1"/>
  <c r="AL51" i="65"/>
  <c r="AL56" i="65" s="1"/>
  <c r="V51" i="65"/>
  <c r="V56" i="65" s="1"/>
  <c r="F51" i="65"/>
  <c r="F56" i="65" s="1"/>
  <c r="Y55" i="65"/>
  <c r="Y60" i="65" s="1"/>
  <c r="M55" i="65"/>
  <c r="M60" i="65" s="1"/>
  <c r="AF48" i="65"/>
  <c r="AE53" i="65"/>
  <c r="AE58" i="65" s="1"/>
  <c r="AI49" i="65"/>
  <c r="AH54" i="65"/>
  <c r="AH59" i="65" s="1"/>
  <c r="O49" i="65"/>
  <c r="N54" i="65"/>
  <c r="N59" i="65" s="1"/>
  <c r="H32" i="65"/>
  <c r="G34" i="65"/>
  <c r="D35" i="65"/>
  <c r="E35" i="65"/>
  <c r="D34" i="65"/>
  <c r="AF55" i="65"/>
  <c r="AM55" i="65"/>
  <c r="AM60" i="65" s="1"/>
  <c r="W55" i="65"/>
  <c r="W60" i="65" s="1"/>
  <c r="Z55" i="65"/>
  <c r="Z60" i="65" s="1"/>
  <c r="AJ51" i="65"/>
  <c r="AM51" i="65"/>
  <c r="AM56" i="65" s="1"/>
  <c r="W51" i="65"/>
  <c r="W56" i="65" s="1"/>
  <c r="G51" i="65"/>
  <c r="G56" i="65" s="1"/>
  <c r="AH51" i="65"/>
  <c r="AH56" i="65" s="1"/>
  <c r="AC55" i="65"/>
  <c r="AC60" i="65" s="1"/>
  <c r="AU353" i="67"/>
  <c r="AQ353" i="67"/>
  <c r="AM353" i="67"/>
  <c r="AI353" i="67"/>
  <c r="AE353" i="67"/>
  <c r="AA353" i="67"/>
  <c r="W353" i="67"/>
  <c r="S353" i="67"/>
  <c r="O353" i="67"/>
  <c r="K353" i="67"/>
  <c r="AU335" i="67"/>
  <c r="AQ335" i="67"/>
  <c r="AM335" i="67"/>
  <c r="AI335" i="67"/>
  <c r="AE335" i="67"/>
  <c r="AA335" i="67"/>
  <c r="W335" i="67"/>
  <c r="S335" i="67"/>
  <c r="O335" i="67"/>
  <c r="K335" i="67"/>
  <c r="AW321" i="67"/>
  <c r="AS321" i="67"/>
  <c r="AO321" i="67"/>
  <c r="AK321" i="67"/>
  <c r="AG321" i="67"/>
  <c r="AC321" i="67"/>
  <c r="Y321" i="67"/>
  <c r="U321" i="67"/>
  <c r="Q321" i="67"/>
  <c r="M321" i="67"/>
  <c r="AT353" i="67"/>
  <c r="AP353" i="67"/>
  <c r="AL353" i="67"/>
  <c r="AH353" i="67"/>
  <c r="AD353" i="67"/>
  <c r="Z353" i="67"/>
  <c r="V353" i="67"/>
  <c r="R353" i="67"/>
  <c r="N353" i="67"/>
  <c r="AT335" i="67"/>
  <c r="AP335" i="67"/>
  <c r="AL335" i="67"/>
  <c r="AH335" i="67"/>
  <c r="AD335" i="67"/>
  <c r="Z335" i="67"/>
  <c r="V335" i="67"/>
  <c r="R335" i="67"/>
  <c r="N335" i="67"/>
  <c r="AV321" i="67"/>
  <c r="AR321" i="67"/>
  <c r="AN321" i="67"/>
  <c r="AJ321" i="67"/>
  <c r="AF321" i="67"/>
  <c r="AB321" i="67"/>
  <c r="X321" i="67"/>
  <c r="T321" i="67"/>
  <c r="P321" i="67"/>
  <c r="L321" i="67"/>
  <c r="AW353" i="67"/>
  <c r="AS353" i="67"/>
  <c r="AO353" i="67"/>
  <c r="AK353" i="67"/>
  <c r="AG353" i="67"/>
  <c r="AC353" i="67"/>
  <c r="Y353" i="67"/>
  <c r="U353" i="67"/>
  <c r="Q353" i="67"/>
  <c r="M353" i="67"/>
  <c r="AW335" i="67"/>
  <c r="AS335" i="67"/>
  <c r="AO335" i="67"/>
  <c r="AK335" i="67"/>
  <c r="AG335" i="67"/>
  <c r="AC335" i="67"/>
  <c r="Y335" i="67"/>
  <c r="U335" i="67"/>
  <c r="Q335" i="67"/>
  <c r="M335" i="67"/>
  <c r="AU321" i="67"/>
  <c r="AQ321" i="67"/>
  <c r="AM321" i="67"/>
  <c r="AI321" i="67"/>
  <c r="AE321" i="67"/>
  <c r="AA321" i="67"/>
  <c r="W321" i="67"/>
  <c r="S321" i="67"/>
  <c r="O321" i="67"/>
  <c r="K321" i="67"/>
  <c r="AV353" i="67"/>
  <c r="AR353" i="67"/>
  <c r="AN353" i="67"/>
  <c r="AJ353" i="67"/>
  <c r="AF353" i="67"/>
  <c r="AB353" i="67"/>
  <c r="X353" i="67"/>
  <c r="T353" i="67"/>
  <c r="P353" i="67"/>
  <c r="L353" i="67"/>
  <c r="AV335" i="67"/>
  <c r="AR335" i="67"/>
  <c r="AN335" i="67"/>
  <c r="AJ335" i="67"/>
  <c r="AF335" i="67"/>
  <c r="AB335" i="67"/>
  <c r="X335" i="67"/>
  <c r="T335" i="67"/>
  <c r="P335" i="67"/>
  <c r="L335" i="67"/>
  <c r="AT321" i="67"/>
  <c r="AP321" i="67"/>
  <c r="AL321" i="67"/>
  <c r="AH321" i="67"/>
  <c r="AD321" i="67"/>
  <c r="Z321" i="67"/>
  <c r="V321" i="67"/>
  <c r="R321" i="67"/>
  <c r="N321" i="67"/>
  <c r="U213" i="65"/>
  <c r="V213" i="65" s="1"/>
  <c r="W213" i="65" s="1"/>
  <c r="X213" i="65" s="1"/>
  <c r="Y213" i="65" s="1"/>
  <c r="Z213" i="65" s="1"/>
  <c r="AA213" i="65" s="1"/>
  <c r="AB213" i="65" s="1"/>
  <c r="AC213" i="65" s="1"/>
  <c r="C63" i="65"/>
  <c r="D61" i="65"/>
  <c r="D62" i="65"/>
  <c r="D65" i="65" s="1"/>
  <c r="V62" i="65"/>
  <c r="V65" i="65" s="1"/>
  <c r="AE63" i="65"/>
  <c r="AF61" i="65"/>
  <c r="V61" i="65"/>
  <c r="U63" i="65"/>
  <c r="AG62" i="65"/>
  <c r="AG65" i="65" s="1"/>
  <c r="X56" i="65"/>
  <c r="AJ56" i="65"/>
  <c r="AF60" i="65"/>
  <c r="Y46" i="65"/>
  <c r="Y51" i="65" s="1"/>
  <c r="Y56" i="65" s="1"/>
  <c r="U196" i="65"/>
  <c r="V196" i="65" s="1"/>
  <c r="W196" i="65" s="1"/>
  <c r="X196" i="65" s="1"/>
  <c r="Y196" i="65" s="1"/>
  <c r="Z196" i="65" s="1"/>
  <c r="AA196" i="65" s="1"/>
  <c r="AB196" i="65" s="1"/>
  <c r="AC196" i="65" s="1"/>
  <c r="O60" i="65"/>
  <c r="J46" i="65"/>
  <c r="J51" i="65" s="1"/>
  <c r="J56" i="65" s="1"/>
  <c r="X47" i="65"/>
  <c r="X52" i="65" s="1"/>
  <c r="X57" i="65" s="1"/>
  <c r="P50" i="65"/>
  <c r="P55" i="65" s="1"/>
  <c r="P60" i="65" s="1"/>
  <c r="W57" i="65"/>
  <c r="I56" i="65"/>
  <c r="C216" i="65"/>
  <c r="U216" i="65"/>
  <c r="C215" i="65"/>
  <c r="AE215" i="65"/>
  <c r="AF215" i="65" s="1"/>
  <c r="AE196" i="65"/>
  <c r="AF196" i="65" s="1"/>
  <c r="AG196" i="65" s="1"/>
  <c r="AH196" i="65" s="1"/>
  <c r="AI196" i="65" s="1"/>
  <c r="AJ196" i="65" s="1"/>
  <c r="AK196" i="65" s="1"/>
  <c r="AL196" i="65" s="1"/>
  <c r="AM196" i="65" s="1"/>
  <c r="C214" i="65"/>
  <c r="U214" i="65"/>
  <c r="AE214" i="65"/>
  <c r="AF214" i="65" s="1"/>
  <c r="AE216" i="65"/>
  <c r="AQ657" i="67"/>
  <c r="AQ808" i="67"/>
  <c r="AE657" i="67"/>
  <c r="AE808" i="67"/>
  <c r="S657" i="67"/>
  <c r="S808" i="67"/>
  <c r="AS639" i="67"/>
  <c r="AS790" i="67"/>
  <c r="AG639" i="67"/>
  <c r="AG790" i="67"/>
  <c r="Q639" i="67"/>
  <c r="Q790" i="67"/>
  <c r="AU625" i="67"/>
  <c r="AU776" i="67"/>
  <c r="AI625" i="67"/>
  <c r="AI776" i="67"/>
  <c r="W625" i="67"/>
  <c r="W776" i="67"/>
  <c r="AU657" i="67"/>
  <c r="AU808" i="67"/>
  <c r="AA657" i="67"/>
  <c r="AA808" i="67"/>
  <c r="AO639" i="67"/>
  <c r="AO790" i="67"/>
  <c r="Y639" i="67"/>
  <c r="Y790" i="67"/>
  <c r="AE625" i="67"/>
  <c r="AE776" i="67"/>
  <c r="O625" i="67"/>
  <c r="O776" i="67"/>
  <c r="AT657" i="67"/>
  <c r="AT808" i="67"/>
  <c r="AP657" i="67"/>
  <c r="AP808" i="67"/>
  <c r="AL657" i="67"/>
  <c r="AL808" i="67"/>
  <c r="AH657" i="67"/>
  <c r="AH808" i="67"/>
  <c r="AD657" i="67"/>
  <c r="AD808" i="67"/>
  <c r="Z657" i="67"/>
  <c r="Z808" i="67"/>
  <c r="V657" i="67"/>
  <c r="V808" i="67"/>
  <c r="R657" i="67"/>
  <c r="R808" i="67"/>
  <c r="N657" i="67"/>
  <c r="N808" i="67"/>
  <c r="AV639" i="67"/>
  <c r="AV790" i="67"/>
  <c r="AR639" i="67"/>
  <c r="AR790" i="67"/>
  <c r="AN639" i="67"/>
  <c r="AN790" i="67"/>
  <c r="AJ639" i="67"/>
  <c r="AJ790" i="67"/>
  <c r="AF639" i="67"/>
  <c r="AF790" i="67"/>
  <c r="AB639" i="67"/>
  <c r="AB790" i="67"/>
  <c r="X639" i="67"/>
  <c r="X790" i="67"/>
  <c r="T639" i="67"/>
  <c r="T790" i="67"/>
  <c r="P639" i="67"/>
  <c r="P790" i="67"/>
  <c r="L639" i="67"/>
  <c r="L790" i="67"/>
  <c r="AT625" i="67"/>
  <c r="AT776" i="67"/>
  <c r="AP625" i="67"/>
  <c r="AP776" i="67"/>
  <c r="AL625" i="67"/>
  <c r="AL776" i="67"/>
  <c r="AH625" i="67"/>
  <c r="AH776" i="67"/>
  <c r="AD625" i="67"/>
  <c r="AD776" i="67"/>
  <c r="Z625" i="67"/>
  <c r="Z776" i="67"/>
  <c r="V625" i="67"/>
  <c r="V776" i="67"/>
  <c r="R625" i="67"/>
  <c r="R776" i="67"/>
  <c r="N625" i="67"/>
  <c r="N776" i="67"/>
  <c r="AM657" i="67"/>
  <c r="AM808" i="67"/>
  <c r="W657" i="67"/>
  <c r="W808" i="67"/>
  <c r="O657" i="67"/>
  <c r="O808" i="67"/>
  <c r="AW639" i="67"/>
  <c r="AW790" i="67"/>
  <c r="AK639" i="67"/>
  <c r="AK790" i="67"/>
  <c r="U639" i="67"/>
  <c r="U790" i="67"/>
  <c r="AQ625" i="67"/>
  <c r="AQ776" i="67"/>
  <c r="AA625" i="67"/>
  <c r="AA776" i="67"/>
  <c r="K625" i="67"/>
  <c r="K776" i="67"/>
  <c r="AW657" i="67"/>
  <c r="AW808" i="67"/>
  <c r="AS657" i="67"/>
  <c r="AS808" i="67"/>
  <c r="AO657" i="67"/>
  <c r="AO808" i="67"/>
  <c r="AK657" i="67"/>
  <c r="AK808" i="67"/>
  <c r="AG657" i="67"/>
  <c r="AG808" i="67"/>
  <c r="AC657" i="67"/>
  <c r="AC808" i="67"/>
  <c r="Y657" i="67"/>
  <c r="Y808" i="67"/>
  <c r="U657" i="67"/>
  <c r="U808" i="67"/>
  <c r="Q657" i="67"/>
  <c r="Q808" i="67"/>
  <c r="M657" i="67"/>
  <c r="M808" i="67"/>
  <c r="AU639" i="67"/>
  <c r="AU790" i="67"/>
  <c r="AQ639" i="67"/>
  <c r="AQ790" i="67"/>
  <c r="AM639" i="67"/>
  <c r="AM790" i="67"/>
  <c r="AI639" i="67"/>
  <c r="AI790" i="67"/>
  <c r="AE639" i="67"/>
  <c r="AE790" i="67"/>
  <c r="AA639" i="67"/>
  <c r="AA790" i="67"/>
  <c r="W639" i="67"/>
  <c r="W790" i="67"/>
  <c r="S639" i="67"/>
  <c r="S790" i="67"/>
  <c r="O639" i="67"/>
  <c r="O790" i="67"/>
  <c r="K639" i="67"/>
  <c r="K790" i="67"/>
  <c r="AW625" i="67"/>
  <c r="AW776" i="67"/>
  <c r="AS625" i="67"/>
  <c r="AS776" i="67"/>
  <c r="AO625" i="67"/>
  <c r="AO776" i="67"/>
  <c r="AK625" i="67"/>
  <c r="AK776" i="67"/>
  <c r="AG625" i="67"/>
  <c r="AG776" i="67"/>
  <c r="AC625" i="67"/>
  <c r="AC776" i="67"/>
  <c r="Y625" i="67"/>
  <c r="Y776" i="67"/>
  <c r="U625" i="67"/>
  <c r="U776" i="67"/>
  <c r="Q625" i="67"/>
  <c r="Q776" i="67"/>
  <c r="M625" i="67"/>
  <c r="M776" i="67"/>
  <c r="AI657" i="67"/>
  <c r="AI808" i="67"/>
  <c r="K657" i="67"/>
  <c r="K808" i="67"/>
  <c r="AC639" i="67"/>
  <c r="AC790" i="67"/>
  <c r="M639" i="67"/>
  <c r="M790" i="67"/>
  <c r="AM625" i="67"/>
  <c r="AM776" i="67"/>
  <c r="S625" i="67"/>
  <c r="S776" i="67"/>
  <c r="AV657" i="67"/>
  <c r="AV808" i="67"/>
  <c r="AR657" i="67"/>
  <c r="AR808" i="67"/>
  <c r="AN657" i="67"/>
  <c r="AN808" i="67"/>
  <c r="AJ657" i="67"/>
  <c r="AJ808" i="67"/>
  <c r="AF657" i="67"/>
  <c r="AF808" i="67"/>
  <c r="AB657" i="67"/>
  <c r="AB808" i="67"/>
  <c r="X657" i="67"/>
  <c r="X808" i="67"/>
  <c r="T657" i="67"/>
  <c r="T808" i="67"/>
  <c r="P657" i="67"/>
  <c r="P808" i="67"/>
  <c r="L657" i="67"/>
  <c r="L808" i="67"/>
  <c r="AT639" i="67"/>
  <c r="AT790" i="67"/>
  <c r="AP639" i="67"/>
  <c r="AP790" i="67"/>
  <c r="AL639" i="67"/>
  <c r="AL790" i="67"/>
  <c r="AH639" i="67"/>
  <c r="AH790" i="67"/>
  <c r="AD639" i="67"/>
  <c r="AD790" i="67"/>
  <c r="Z639" i="67"/>
  <c r="Z790" i="67"/>
  <c r="V639" i="67"/>
  <c r="V790" i="67"/>
  <c r="R639" i="67"/>
  <c r="R790" i="67"/>
  <c r="N639" i="67"/>
  <c r="N790" i="67"/>
  <c r="AV625" i="67"/>
  <c r="AV776" i="67"/>
  <c r="AR625" i="67"/>
  <c r="AR776" i="67"/>
  <c r="AN625" i="67"/>
  <c r="AN776" i="67"/>
  <c r="AJ625" i="67"/>
  <c r="AJ776" i="67"/>
  <c r="AF625" i="67"/>
  <c r="AF776" i="67"/>
  <c r="AB625" i="67"/>
  <c r="AB776" i="67"/>
  <c r="X625" i="67"/>
  <c r="X776" i="67"/>
  <c r="T625" i="67"/>
  <c r="T776" i="67"/>
  <c r="P625" i="67"/>
  <c r="P776" i="67"/>
  <c r="L625" i="67"/>
  <c r="L776" i="67"/>
  <c r="AM505" i="67"/>
  <c r="AA505" i="67"/>
  <c r="S505" i="67"/>
  <c r="AW487" i="67"/>
  <c r="AO487" i="67"/>
  <c r="AC487" i="67"/>
  <c r="U487" i="67"/>
  <c r="AU473" i="67"/>
  <c r="AI473" i="67"/>
  <c r="W473" i="67"/>
  <c r="K473" i="67"/>
  <c r="AT505" i="67"/>
  <c r="AP505" i="67"/>
  <c r="AL505" i="67"/>
  <c r="AH505" i="67"/>
  <c r="AD505" i="67"/>
  <c r="Z505" i="67"/>
  <c r="V505" i="67"/>
  <c r="R505" i="67"/>
  <c r="N505" i="67"/>
  <c r="AV487" i="67"/>
  <c r="AR487" i="67"/>
  <c r="AN487" i="67"/>
  <c r="AJ487" i="67"/>
  <c r="AF487" i="67"/>
  <c r="AB487" i="67"/>
  <c r="X487" i="67"/>
  <c r="T487" i="67"/>
  <c r="P487" i="67"/>
  <c r="L487" i="67"/>
  <c r="AT473" i="67"/>
  <c r="AP473" i="67"/>
  <c r="AL473" i="67"/>
  <c r="AH473" i="67"/>
  <c r="AD473" i="67"/>
  <c r="Z473" i="67"/>
  <c r="V473" i="67"/>
  <c r="R473" i="67"/>
  <c r="N473" i="67"/>
  <c r="AQ505" i="67"/>
  <c r="AI505" i="67"/>
  <c r="W505" i="67"/>
  <c r="O505" i="67"/>
  <c r="AS487" i="67"/>
  <c r="AK487" i="67"/>
  <c r="Y487" i="67"/>
  <c r="M487" i="67"/>
  <c r="AM473" i="67"/>
  <c r="AA473" i="67"/>
  <c r="O473" i="67"/>
  <c r="AO505" i="67"/>
  <c r="AG505" i="67"/>
  <c r="Y505" i="67"/>
  <c r="U505" i="67"/>
  <c r="Q505" i="67"/>
  <c r="M505" i="67"/>
  <c r="AU487" i="67"/>
  <c r="AQ487" i="67"/>
  <c r="AM487" i="67"/>
  <c r="AI487" i="67"/>
  <c r="AE487" i="67"/>
  <c r="AA487" i="67"/>
  <c r="W487" i="67"/>
  <c r="S487" i="67"/>
  <c r="O487" i="67"/>
  <c r="K487" i="67"/>
  <c r="AW473" i="67"/>
  <c r="AS473" i="67"/>
  <c r="AO473" i="67"/>
  <c r="AK473" i="67"/>
  <c r="AG473" i="67"/>
  <c r="AC473" i="67"/>
  <c r="Y473" i="67"/>
  <c r="U473" i="67"/>
  <c r="Q473" i="67"/>
  <c r="M473" i="67"/>
  <c r="AU505" i="67"/>
  <c r="AE505" i="67"/>
  <c r="K505" i="67"/>
  <c r="AG487" i="67"/>
  <c r="Q487" i="67"/>
  <c r="AQ473" i="67"/>
  <c r="AE473" i="67"/>
  <c r="S473" i="67"/>
  <c r="AW505" i="67"/>
  <c r="AS505" i="67"/>
  <c r="AK505" i="67"/>
  <c r="AC505" i="67"/>
  <c r="AV505" i="67"/>
  <c r="AR505" i="67"/>
  <c r="AN505" i="67"/>
  <c r="AJ505" i="67"/>
  <c r="AF505" i="67"/>
  <c r="AB505" i="67"/>
  <c r="X505" i="67"/>
  <c r="T505" i="67"/>
  <c r="P505" i="67"/>
  <c r="L505" i="67"/>
  <c r="AT487" i="67"/>
  <c r="AP487" i="67"/>
  <c r="AL487" i="67"/>
  <c r="AH487" i="67"/>
  <c r="AD487" i="67"/>
  <c r="Z487" i="67"/>
  <c r="V487" i="67"/>
  <c r="R487" i="67"/>
  <c r="N487" i="67"/>
  <c r="AV473" i="67"/>
  <c r="AR473" i="67"/>
  <c r="AN473" i="67"/>
  <c r="AJ473" i="67"/>
  <c r="AF473" i="67"/>
  <c r="AB473" i="67"/>
  <c r="X473" i="67"/>
  <c r="T473" i="67"/>
  <c r="P473" i="67"/>
  <c r="L473" i="67"/>
  <c r="AI47" i="67"/>
  <c r="AI200" i="67"/>
  <c r="W47" i="67"/>
  <c r="W200" i="67"/>
  <c r="K47" i="67"/>
  <c r="K200" i="67"/>
  <c r="AW29" i="67"/>
  <c r="AW182" i="67"/>
  <c r="AO29" i="67"/>
  <c r="AO182" i="67"/>
  <c r="AG29" i="67"/>
  <c r="AG182" i="67"/>
  <c r="Y29" i="67"/>
  <c r="Y182" i="67"/>
  <c r="Q29" i="67"/>
  <c r="Q182" i="67"/>
  <c r="AQ15" i="67"/>
  <c r="AQ1231" i="67" s="1"/>
  <c r="AQ168" i="67"/>
  <c r="AI15" i="67"/>
  <c r="AI168" i="67"/>
  <c r="W15" i="67"/>
  <c r="W1231" i="67" s="1"/>
  <c r="W168" i="67"/>
  <c r="O15" i="67"/>
  <c r="O168" i="67"/>
  <c r="AT47" i="67"/>
  <c r="AT200" i="67"/>
  <c r="AD47" i="67"/>
  <c r="AD1263" i="67" s="1"/>
  <c r="AD200" i="67"/>
  <c r="R47" i="67"/>
  <c r="R200" i="67"/>
  <c r="AJ29" i="67"/>
  <c r="AJ1245" i="67" s="1"/>
  <c r="AJ182" i="67"/>
  <c r="T29" i="67"/>
  <c r="T1245" i="67" s="1"/>
  <c r="T182" i="67"/>
  <c r="L29" i="67"/>
  <c r="L1245" i="67" s="1"/>
  <c r="L182" i="67"/>
  <c r="AT15" i="67"/>
  <c r="AT1231" i="67" s="1"/>
  <c r="AT168" i="67"/>
  <c r="AL15" i="67"/>
  <c r="AL1231" i="67" s="1"/>
  <c r="AL168" i="67"/>
  <c r="AD15" i="67"/>
  <c r="AD1231" i="67" s="1"/>
  <c r="AD168" i="67"/>
  <c r="V15" i="67"/>
  <c r="V1231" i="67" s="1"/>
  <c r="V168" i="67"/>
  <c r="N15" i="67"/>
  <c r="N1231" i="67" s="1"/>
  <c r="N168" i="67"/>
  <c r="AW47" i="67"/>
  <c r="AW200" i="67"/>
  <c r="AS47" i="67"/>
  <c r="AS1263" i="67" s="1"/>
  <c r="AS200" i="67"/>
  <c r="AO47" i="67"/>
  <c r="AO1263" i="67" s="1"/>
  <c r="AO200" i="67"/>
  <c r="AK47" i="67"/>
  <c r="AK1263" i="67" s="1"/>
  <c r="AK200" i="67"/>
  <c r="AG47" i="67"/>
  <c r="AG1263" i="67" s="1"/>
  <c r="AG200" i="67"/>
  <c r="AC47" i="67"/>
  <c r="AC1263" i="67" s="1"/>
  <c r="AC200" i="67"/>
  <c r="Y47" i="67"/>
  <c r="Y1263" i="67" s="1"/>
  <c r="Y200" i="67"/>
  <c r="U47" i="67"/>
  <c r="U1263" i="67" s="1"/>
  <c r="U200" i="67"/>
  <c r="Q47" i="67"/>
  <c r="Q1263" i="67" s="1"/>
  <c r="Q200" i="67"/>
  <c r="M47" i="67"/>
  <c r="M1263" i="67" s="1"/>
  <c r="M200" i="67"/>
  <c r="AU29" i="67"/>
  <c r="AU1245" i="67" s="1"/>
  <c r="AU182" i="67"/>
  <c r="AQ29" i="67"/>
  <c r="AQ1245" i="67" s="1"/>
  <c r="AQ182" i="67"/>
  <c r="AM29" i="67"/>
  <c r="AM1245" i="67" s="1"/>
  <c r="AM182" i="67"/>
  <c r="AI29" i="67"/>
  <c r="AI1245" i="67" s="1"/>
  <c r="AI182" i="67"/>
  <c r="AE29" i="67"/>
  <c r="AE1245" i="67" s="1"/>
  <c r="AE182" i="67"/>
  <c r="AA29" i="67"/>
  <c r="AA1245" i="67" s="1"/>
  <c r="AA182" i="67"/>
  <c r="W29" i="67"/>
  <c r="W1245" i="67" s="1"/>
  <c r="W182" i="67"/>
  <c r="S29" i="67"/>
  <c r="S1245" i="67" s="1"/>
  <c r="S182" i="67"/>
  <c r="O29" i="67"/>
  <c r="O1245" i="67" s="1"/>
  <c r="O182" i="67"/>
  <c r="K29" i="67"/>
  <c r="K1245" i="67" s="1"/>
  <c r="K182" i="67"/>
  <c r="AW15" i="67"/>
  <c r="AW1231" i="67" s="1"/>
  <c r="AW168" i="67"/>
  <c r="AS15" i="67"/>
  <c r="AS1231" i="67" s="1"/>
  <c r="AS168" i="67"/>
  <c r="AO15" i="67"/>
  <c r="AO1231" i="67" s="1"/>
  <c r="AO168" i="67"/>
  <c r="AK15" i="67"/>
  <c r="AK1231" i="67" s="1"/>
  <c r="AK168" i="67"/>
  <c r="AG15" i="67"/>
  <c r="AG1231" i="67" s="1"/>
  <c r="AG168" i="67"/>
  <c r="AC15" i="67"/>
  <c r="AC1231" i="67" s="1"/>
  <c r="AC168" i="67"/>
  <c r="Y15" i="67"/>
  <c r="Y1231" i="67" s="1"/>
  <c r="Y168" i="67"/>
  <c r="U15" i="67"/>
  <c r="U1231" i="67" s="1"/>
  <c r="U168" i="67"/>
  <c r="Q15" i="67"/>
  <c r="Q1231" i="67" s="1"/>
  <c r="Q168" i="67"/>
  <c r="M15" i="67"/>
  <c r="M1231" i="67" s="1"/>
  <c r="M168" i="67"/>
  <c r="AU47" i="67"/>
  <c r="AU1263" i="67" s="1"/>
  <c r="AU200" i="67"/>
  <c r="AQ47" i="67"/>
  <c r="AQ1263" i="67" s="1"/>
  <c r="AQ200" i="67"/>
  <c r="AM47" i="67"/>
  <c r="AM1263" i="67" s="1"/>
  <c r="AM200" i="67"/>
  <c r="AE47" i="67"/>
  <c r="AE1263" i="67" s="1"/>
  <c r="AE200" i="67"/>
  <c r="AA47" i="67"/>
  <c r="AA1263" i="67" s="1"/>
  <c r="AA200" i="67"/>
  <c r="S47" i="67"/>
  <c r="S1263" i="67" s="1"/>
  <c r="S200" i="67"/>
  <c r="O47" i="67"/>
  <c r="O1263" i="67" s="1"/>
  <c r="O200" i="67"/>
  <c r="AS29" i="67"/>
  <c r="AS1245" i="67" s="1"/>
  <c r="AS182" i="67"/>
  <c r="AK29" i="67"/>
  <c r="AK1245" i="67" s="1"/>
  <c r="AK182" i="67"/>
  <c r="AC29" i="67"/>
  <c r="AC1245" i="67" s="1"/>
  <c r="AC182" i="67"/>
  <c r="U29" i="67"/>
  <c r="U1245" i="67" s="1"/>
  <c r="U182" i="67"/>
  <c r="M29" i="67"/>
  <c r="M1245" i="67" s="1"/>
  <c r="M182" i="67"/>
  <c r="AU15" i="67"/>
  <c r="AU1231" i="67" s="1"/>
  <c r="AU168" i="67"/>
  <c r="AM15" i="67"/>
  <c r="AM1231" i="67" s="1"/>
  <c r="AM168" i="67"/>
  <c r="AE15" i="67"/>
  <c r="AE1231" i="67" s="1"/>
  <c r="AE168" i="67"/>
  <c r="AA15" i="67"/>
  <c r="AA1231" i="67" s="1"/>
  <c r="AA168" i="67"/>
  <c r="S15" i="67"/>
  <c r="S1231" i="67" s="1"/>
  <c r="S168" i="67"/>
  <c r="K15" i="67"/>
  <c r="K1231" i="67" s="1"/>
  <c r="K168" i="67"/>
  <c r="AP47" i="67"/>
  <c r="AP1263" i="67" s="1"/>
  <c r="AP200" i="67"/>
  <c r="AL47" i="67"/>
  <c r="AL1263" i="67" s="1"/>
  <c r="AL200" i="67"/>
  <c r="AH47" i="67"/>
  <c r="AH1263" i="67" s="1"/>
  <c r="AH200" i="67"/>
  <c r="Z47" i="67"/>
  <c r="Z1263" i="67" s="1"/>
  <c r="Z200" i="67"/>
  <c r="V47" i="67"/>
  <c r="V1263" i="67" s="1"/>
  <c r="V200" i="67"/>
  <c r="N47" i="67"/>
  <c r="N1263" i="67" s="1"/>
  <c r="N200" i="67"/>
  <c r="AV29" i="67"/>
  <c r="AV1245" i="67" s="1"/>
  <c r="AV182" i="67"/>
  <c r="AR29" i="67"/>
  <c r="AR1245" i="67" s="1"/>
  <c r="AR182" i="67"/>
  <c r="AN29" i="67"/>
  <c r="AN1245" i="67" s="1"/>
  <c r="AN182" i="67"/>
  <c r="AF29" i="67"/>
  <c r="AF1245" i="67" s="1"/>
  <c r="AF182" i="67"/>
  <c r="AB29" i="67"/>
  <c r="AB1245" i="67" s="1"/>
  <c r="AB182" i="67"/>
  <c r="X29" i="67"/>
  <c r="X1245" i="67" s="1"/>
  <c r="X182" i="67"/>
  <c r="P29" i="67"/>
  <c r="P1245" i="67" s="1"/>
  <c r="P182" i="67"/>
  <c r="AP15" i="67"/>
  <c r="AP1231" i="67" s="1"/>
  <c r="AP168" i="67"/>
  <c r="AH15" i="67"/>
  <c r="AH1231" i="67" s="1"/>
  <c r="AH168" i="67"/>
  <c r="Z15" i="67"/>
  <c r="Z1231" i="67" s="1"/>
  <c r="Z168" i="67"/>
  <c r="R15" i="67"/>
  <c r="R1231" i="67" s="1"/>
  <c r="R168" i="67"/>
  <c r="AV47" i="67"/>
  <c r="AV1263" i="67" s="1"/>
  <c r="AV200" i="67"/>
  <c r="AR47" i="67"/>
  <c r="AR1263" i="67" s="1"/>
  <c r="AR200" i="67"/>
  <c r="AN47" i="67"/>
  <c r="AN1263" i="67" s="1"/>
  <c r="AN200" i="67"/>
  <c r="AJ47" i="67"/>
  <c r="AJ1263" i="67" s="1"/>
  <c r="AJ200" i="67"/>
  <c r="AF47" i="67"/>
  <c r="AF1263" i="67" s="1"/>
  <c r="AF200" i="67"/>
  <c r="AB47" i="67"/>
  <c r="AB1263" i="67" s="1"/>
  <c r="AB200" i="67"/>
  <c r="X47" i="67"/>
  <c r="X1263" i="67" s="1"/>
  <c r="X200" i="67"/>
  <c r="T47" i="67"/>
  <c r="T1263" i="67" s="1"/>
  <c r="T200" i="67"/>
  <c r="P47" i="67"/>
  <c r="P1263" i="67" s="1"/>
  <c r="P200" i="67"/>
  <c r="L47" i="67"/>
  <c r="L1263" i="67" s="1"/>
  <c r="L200" i="67"/>
  <c r="AT29" i="67"/>
  <c r="AT1245" i="67" s="1"/>
  <c r="AT182" i="67"/>
  <c r="AP29" i="67"/>
  <c r="AP1245" i="67" s="1"/>
  <c r="AP182" i="67"/>
  <c r="AL29" i="67"/>
  <c r="AL1245" i="67" s="1"/>
  <c r="AL182" i="67"/>
  <c r="AH29" i="67"/>
  <c r="AH1245" i="67" s="1"/>
  <c r="AH182" i="67"/>
  <c r="AD29" i="67"/>
  <c r="AD1245" i="67" s="1"/>
  <c r="AD182" i="67"/>
  <c r="Z29" i="67"/>
  <c r="Z1245" i="67" s="1"/>
  <c r="Z182" i="67"/>
  <c r="V29" i="67"/>
  <c r="V1245" i="67" s="1"/>
  <c r="V182" i="67"/>
  <c r="R29" i="67"/>
  <c r="R1245" i="67" s="1"/>
  <c r="R182" i="67"/>
  <c r="N29" i="67"/>
  <c r="N1245" i="67" s="1"/>
  <c r="N182" i="67"/>
  <c r="AV15" i="67"/>
  <c r="AV1231" i="67" s="1"/>
  <c r="AV168" i="67"/>
  <c r="AR15" i="67"/>
  <c r="AR1231" i="67" s="1"/>
  <c r="AR168" i="67"/>
  <c r="AN15" i="67"/>
  <c r="AN1231" i="67" s="1"/>
  <c r="AN168" i="67"/>
  <c r="AJ15" i="67"/>
  <c r="AJ1231" i="67" s="1"/>
  <c r="AJ168" i="67"/>
  <c r="AF15" i="67"/>
  <c r="AF1231" i="67" s="1"/>
  <c r="AF168" i="67"/>
  <c r="AB15" i="67"/>
  <c r="AB1231" i="67" s="1"/>
  <c r="AB168" i="67"/>
  <c r="X15" i="67"/>
  <c r="X1231" i="67" s="1"/>
  <c r="X168" i="67"/>
  <c r="T15" i="67"/>
  <c r="T1231" i="67" s="1"/>
  <c r="T168" i="67"/>
  <c r="P15" i="67"/>
  <c r="P1231" i="67" s="1"/>
  <c r="P168" i="67"/>
  <c r="L15" i="67"/>
  <c r="L1231" i="67" s="1"/>
  <c r="L168" i="67"/>
  <c r="J1381" i="67"/>
  <c r="I1381" i="67"/>
  <c r="U215" i="65"/>
  <c r="K196" i="65"/>
  <c r="L196" i="65" s="1"/>
  <c r="M196" i="65" s="1"/>
  <c r="N196" i="65" s="1"/>
  <c r="O196" i="65" s="1"/>
  <c r="P196" i="65" s="1"/>
  <c r="Q196" i="65" s="1"/>
  <c r="R196" i="65" s="1"/>
  <c r="S196" i="65" s="1"/>
  <c r="F1445" i="67"/>
  <c r="F1434" i="67"/>
  <c r="F1432" i="67"/>
  <c r="F1448" i="67" s="1"/>
  <c r="F1447" i="67"/>
  <c r="F1446" i="67"/>
  <c r="J1413" i="67"/>
  <c r="I1396" i="67"/>
  <c r="I1397" i="67" s="1"/>
  <c r="I1398" i="67" s="1"/>
  <c r="I1399" i="67" s="1"/>
  <c r="I1400" i="67" s="1"/>
  <c r="I1401" i="67" s="1"/>
  <c r="I1402" i="67" s="1"/>
  <c r="I1403" i="67" s="1"/>
  <c r="I1404" i="67" s="1"/>
  <c r="I1405" i="67" s="1"/>
  <c r="I1406" i="67" s="1"/>
  <c r="I1407" i="67" s="1"/>
  <c r="I1408" i="67" s="1"/>
  <c r="I1409" i="67" s="1"/>
  <c r="I1410" i="67" s="1"/>
  <c r="I1395" i="67"/>
  <c r="J1396" i="67"/>
  <c r="J1397" i="67" s="1"/>
  <c r="J1398" i="67" s="1"/>
  <c r="J1399" i="67" s="1"/>
  <c r="J1400" i="67" s="1"/>
  <c r="J1401" i="67" s="1"/>
  <c r="J1402" i="67" s="1"/>
  <c r="J1403" i="67" s="1"/>
  <c r="J1404" i="67" s="1"/>
  <c r="J1405" i="67" s="1"/>
  <c r="J1406" i="67" s="1"/>
  <c r="J1407" i="67" s="1"/>
  <c r="J1408" i="67" s="1"/>
  <c r="J1409" i="67" s="1"/>
  <c r="J1410" i="67" s="1"/>
  <c r="J1395" i="67"/>
  <c r="H1324" i="67"/>
  <c r="F1325" i="67"/>
  <c r="H1325" i="67" s="1"/>
  <c r="H1396" i="67"/>
  <c r="H1397" i="67" s="1"/>
  <c r="H1398" i="67" s="1"/>
  <c r="H1399" i="67" s="1"/>
  <c r="H1400" i="67" s="1"/>
  <c r="H1401" i="67" s="1"/>
  <c r="H1402" i="67" s="1"/>
  <c r="H1403" i="67" s="1"/>
  <c r="H1404" i="67" s="1"/>
  <c r="H1405" i="67" s="1"/>
  <c r="H1406" i="67" s="1"/>
  <c r="H1407" i="67" s="1"/>
  <c r="H1408" i="67" s="1"/>
  <c r="H1409" i="67" s="1"/>
  <c r="H1410" i="67" s="1"/>
  <c r="H1411" i="67" s="1"/>
  <c r="H1412" i="67" s="1"/>
  <c r="H1382" i="67"/>
  <c r="H1383" i="67" s="1"/>
  <c r="H1384" i="67" s="1"/>
  <c r="H1385" i="67" s="1"/>
  <c r="H1386" i="67" s="1"/>
  <c r="H1387" i="67" s="1"/>
  <c r="H1388" i="67" s="1"/>
  <c r="H1389" i="67" s="1"/>
  <c r="H1390" i="67" s="1"/>
  <c r="H1391" i="67" s="1"/>
  <c r="H1392" i="67" s="1"/>
  <c r="AI1231" i="67" l="1"/>
  <c r="Y1245" i="67"/>
  <c r="Q1245" i="67"/>
  <c r="AG1245" i="67"/>
  <c r="R1263" i="67"/>
  <c r="AT1263" i="67"/>
  <c r="O1231" i="67"/>
  <c r="AO1245" i="67"/>
  <c r="W1263" i="67"/>
  <c r="AW1263" i="67"/>
  <c r="AW1245" i="67"/>
  <c r="K1263" i="67"/>
  <c r="AI1263" i="67"/>
  <c r="E203" i="65"/>
  <c r="F202" i="65"/>
  <c r="F204" i="65"/>
  <c r="AG204" i="65"/>
  <c r="W203" i="65"/>
  <c r="AG202" i="65"/>
  <c r="W202" i="65"/>
  <c r="AG203" i="65"/>
  <c r="W204" i="65"/>
  <c r="H52" i="65"/>
  <c r="H57" i="65" s="1"/>
  <c r="AK33" i="65"/>
  <c r="AJ35" i="65"/>
  <c r="J47" i="65"/>
  <c r="J52" i="65" s="1"/>
  <c r="J57" i="65" s="1"/>
  <c r="X49" i="65"/>
  <c r="W54" i="65"/>
  <c r="W59" i="65" s="1"/>
  <c r="P49" i="65"/>
  <c r="O54" i="65"/>
  <c r="O59" i="65" s="1"/>
  <c r="Y32" i="65"/>
  <c r="X34" i="65"/>
  <c r="Y48" i="65"/>
  <c r="X53" i="65"/>
  <c r="X58" i="65" s="1"/>
  <c r="H33" i="65"/>
  <c r="G35" i="65"/>
  <c r="I32" i="65"/>
  <c r="H34" i="65"/>
  <c r="AJ49" i="65"/>
  <c r="AI54" i="65"/>
  <c r="AI59" i="65" s="1"/>
  <c r="AG48" i="65"/>
  <c r="AF53" i="65"/>
  <c r="AF58" i="65" s="1"/>
  <c r="AB33" i="65"/>
  <c r="AA35" i="65"/>
  <c r="AH47" i="65"/>
  <c r="AG52" i="65"/>
  <c r="AG57" i="65" s="1"/>
  <c r="M48" i="65"/>
  <c r="L53" i="65"/>
  <c r="L58" i="65" s="1"/>
  <c r="D63" i="65"/>
  <c r="E61" i="65"/>
  <c r="AH62" i="65"/>
  <c r="AH65" i="65" s="1"/>
  <c r="V63" i="65"/>
  <c r="W61" i="65"/>
  <c r="AG61" i="65"/>
  <c r="AF63" i="65"/>
  <c r="E62" i="65"/>
  <c r="E65" i="65" s="1"/>
  <c r="W62" i="65"/>
  <c r="W65" i="65" s="1"/>
  <c r="Z46" i="65"/>
  <c r="Z51" i="65" s="1"/>
  <c r="Z56" i="65" s="1"/>
  <c r="K46" i="65"/>
  <c r="K51" i="65" s="1"/>
  <c r="K56" i="65" s="1"/>
  <c r="Q50" i="65"/>
  <c r="Q55" i="65" s="1"/>
  <c r="Q60" i="65" s="1"/>
  <c r="Y47" i="65"/>
  <c r="Y52" i="65" s="1"/>
  <c r="Y57" i="65" s="1"/>
  <c r="V216" i="65"/>
  <c r="V214" i="65"/>
  <c r="V215" i="65"/>
  <c r="D214" i="65"/>
  <c r="D215" i="65"/>
  <c r="D216" i="65"/>
  <c r="AF216" i="65"/>
  <c r="AG215" i="65"/>
  <c r="AG214" i="65"/>
  <c r="F1435" i="67"/>
  <c r="F1436" i="67" s="1"/>
  <c r="F1437" i="67" s="1"/>
  <c r="F1450" i="67"/>
  <c r="H1413" i="67"/>
  <c r="H1414" i="67"/>
  <c r="H1415" i="67" s="1"/>
  <c r="H1416" i="67" s="1"/>
  <c r="H1417" i="67" s="1"/>
  <c r="H1418" i="67" s="1"/>
  <c r="H1419" i="67" s="1"/>
  <c r="H1420" i="67" s="1"/>
  <c r="H1421" i="67" s="1"/>
  <c r="H1422" i="67" s="1"/>
  <c r="H1423" i="67" s="1"/>
  <c r="H1424" i="67" s="1"/>
  <c r="H1425" i="67" s="1"/>
  <c r="H1426" i="67" s="1"/>
  <c r="H1427" i="67" s="1"/>
  <c r="H1428" i="67" s="1"/>
  <c r="G202" i="65" l="1"/>
  <c r="G204" i="65"/>
  <c r="F203" i="65"/>
  <c r="AH204" i="65"/>
  <c r="X203" i="65"/>
  <c r="AH202" i="65"/>
  <c r="X202" i="65"/>
  <c r="X204" i="65"/>
  <c r="AH203" i="65"/>
  <c r="K47" i="65"/>
  <c r="K52" i="65" s="1"/>
  <c r="K57" i="65" s="1"/>
  <c r="AL33" i="65"/>
  <c r="AK35" i="65"/>
  <c r="AI47" i="65"/>
  <c r="AH52" i="65"/>
  <c r="AH57" i="65" s="1"/>
  <c r="AH48" i="65"/>
  <c r="AG53" i="65"/>
  <c r="AG58" i="65" s="1"/>
  <c r="J32" i="65"/>
  <c r="I34" i="65"/>
  <c r="Z48" i="65"/>
  <c r="Y53" i="65"/>
  <c r="Y58" i="65" s="1"/>
  <c r="Q49" i="65"/>
  <c r="P54" i="65"/>
  <c r="P59" i="65" s="1"/>
  <c r="N48" i="65"/>
  <c r="M53" i="65"/>
  <c r="M58" i="65" s="1"/>
  <c r="AC33" i="65"/>
  <c r="AC35" i="65" s="1"/>
  <c r="AB35" i="65"/>
  <c r="AK49" i="65"/>
  <c r="AJ54" i="65"/>
  <c r="AJ59" i="65" s="1"/>
  <c r="I33" i="65"/>
  <c r="H35" i="65"/>
  <c r="Z32" i="65"/>
  <c r="Y34" i="65"/>
  <c r="Y49" i="65"/>
  <c r="X54" i="65"/>
  <c r="X59" i="65" s="1"/>
  <c r="E63" i="65"/>
  <c r="F61" i="65"/>
  <c r="X62" i="65"/>
  <c r="X65" i="65" s="1"/>
  <c r="F62" i="65"/>
  <c r="F65" i="65" s="1"/>
  <c r="X61" i="65"/>
  <c r="W63" i="65"/>
  <c r="AH61" i="65"/>
  <c r="AG63" i="65"/>
  <c r="AI62" i="65"/>
  <c r="AI65" i="65" s="1"/>
  <c r="AA46" i="65"/>
  <c r="AA51" i="65" s="1"/>
  <c r="AA56" i="65" s="1"/>
  <c r="Z47" i="65"/>
  <c r="Z52" i="65" s="1"/>
  <c r="Z57" i="65" s="1"/>
  <c r="R50" i="65"/>
  <c r="R55" i="65" s="1"/>
  <c r="R60" i="65" s="1"/>
  <c r="L46" i="65"/>
  <c r="L51" i="65" s="1"/>
  <c r="L56" i="65" s="1"/>
  <c r="E215" i="65"/>
  <c r="E216" i="65"/>
  <c r="E214" i="65"/>
  <c r="W214" i="65"/>
  <c r="W215" i="65"/>
  <c r="W216" i="65"/>
  <c r="AG216" i="65"/>
  <c r="AH215" i="65"/>
  <c r="AH214" i="65"/>
  <c r="H204" i="65" l="1"/>
  <c r="G203" i="65"/>
  <c r="H202" i="65"/>
  <c r="AI204" i="65"/>
  <c r="Y203" i="65"/>
  <c r="AI202" i="65"/>
  <c r="Y202" i="65"/>
  <c r="AI203" i="65"/>
  <c r="L47" i="65"/>
  <c r="L52" i="65" s="1"/>
  <c r="L57" i="65" s="1"/>
  <c r="Y204" i="65"/>
  <c r="AM33" i="65"/>
  <c r="AM35" i="65" s="1"/>
  <c r="AL35" i="65"/>
  <c r="AA32" i="65"/>
  <c r="Z34" i="65"/>
  <c r="AL49" i="65"/>
  <c r="AK54" i="65"/>
  <c r="AK59" i="65" s="1"/>
  <c r="O48" i="65"/>
  <c r="N53" i="65"/>
  <c r="N58" i="65" s="1"/>
  <c r="AA48" i="65"/>
  <c r="Z53" i="65"/>
  <c r="Z58" i="65" s="1"/>
  <c r="AI48" i="65"/>
  <c r="AH53" i="65"/>
  <c r="AH58" i="65" s="1"/>
  <c r="Z49" i="65"/>
  <c r="Y54" i="65"/>
  <c r="Y59" i="65" s="1"/>
  <c r="J33" i="65"/>
  <c r="I35" i="65"/>
  <c r="R49" i="65"/>
  <c r="Q54" i="65"/>
  <c r="Q59" i="65" s="1"/>
  <c r="K32" i="65"/>
  <c r="J34" i="65"/>
  <c r="AJ47" i="65"/>
  <c r="AI52" i="65"/>
  <c r="AI57" i="65" s="1"/>
  <c r="G61" i="65"/>
  <c r="F63" i="65"/>
  <c r="AJ62" i="65"/>
  <c r="AJ65" i="65" s="1"/>
  <c r="G62" i="65"/>
  <c r="G65" i="65" s="1"/>
  <c r="AI61" i="65"/>
  <c r="AH63" i="65"/>
  <c r="Y61" i="65"/>
  <c r="X63" i="65"/>
  <c r="Y62" i="65"/>
  <c r="Y65" i="65" s="1"/>
  <c r="AB46" i="65"/>
  <c r="AB51" i="65" s="1"/>
  <c r="AB56" i="65" s="1"/>
  <c r="S50" i="65"/>
  <c r="M46" i="65"/>
  <c r="M51" i="65" s="1"/>
  <c r="M56" i="65" s="1"/>
  <c r="AA47" i="65"/>
  <c r="AA52" i="65" s="1"/>
  <c r="AA57" i="65" s="1"/>
  <c r="X214" i="65"/>
  <c r="X216" i="65"/>
  <c r="F216" i="65"/>
  <c r="X215" i="65"/>
  <c r="F214" i="65"/>
  <c r="F215" i="65"/>
  <c r="AH216" i="65"/>
  <c r="AI215" i="65"/>
  <c r="AI214" i="65"/>
  <c r="M47" i="65" l="1"/>
  <c r="M52" i="65" s="1"/>
  <c r="M57" i="65" s="1"/>
  <c r="H203" i="65"/>
  <c r="I202" i="65"/>
  <c r="I204" i="65"/>
  <c r="AJ204" i="65"/>
  <c r="Z203" i="65"/>
  <c r="AJ202" i="65"/>
  <c r="Z202" i="65"/>
  <c r="Z204" i="65"/>
  <c r="AJ203" i="65"/>
  <c r="AK47" i="65"/>
  <c r="AJ52" i="65"/>
  <c r="AJ57" i="65" s="1"/>
  <c r="S49" i="65"/>
  <c r="R54" i="65"/>
  <c r="R59" i="65" s="1"/>
  <c r="AA49" i="65"/>
  <c r="Z54" i="65"/>
  <c r="Z59" i="65" s="1"/>
  <c r="AB48" i="65"/>
  <c r="AA53" i="65"/>
  <c r="AA58" i="65" s="1"/>
  <c r="AM49" i="65"/>
  <c r="AL54" i="65"/>
  <c r="AL59" i="65" s="1"/>
  <c r="T60" i="65"/>
  <c r="S55" i="65"/>
  <c r="S60" i="65" s="1"/>
  <c r="L32" i="65"/>
  <c r="K34" i="65"/>
  <c r="K33" i="65"/>
  <c r="J35" i="65"/>
  <c r="AJ48" i="65"/>
  <c r="AI53" i="65"/>
  <c r="AI58" i="65" s="1"/>
  <c r="O53" i="65"/>
  <c r="O58" i="65" s="1"/>
  <c r="P48" i="65"/>
  <c r="AB32" i="65"/>
  <c r="AA34" i="65"/>
  <c r="H61" i="65"/>
  <c r="G63" i="65"/>
  <c r="AJ61" i="65"/>
  <c r="AI63" i="65"/>
  <c r="Z62" i="65"/>
  <c r="Z65" i="65" s="1"/>
  <c r="Z61" i="65"/>
  <c r="Y63" i="65"/>
  <c r="H62" i="65"/>
  <c r="H65" i="65" s="1"/>
  <c r="AK62" i="65"/>
  <c r="AK65" i="65" s="1"/>
  <c r="AC46" i="65"/>
  <c r="AB47" i="65"/>
  <c r="AB52" i="65" s="1"/>
  <c r="AB57" i="65" s="1"/>
  <c r="N46" i="65"/>
  <c r="N51" i="65" s="1"/>
  <c r="N56" i="65" s="1"/>
  <c r="N47" i="65"/>
  <c r="N52" i="65" s="1"/>
  <c r="N57" i="65" s="1"/>
  <c r="G215" i="65"/>
  <c r="Y216" i="65"/>
  <c r="Y215" i="65"/>
  <c r="G214" i="65"/>
  <c r="G216" i="65"/>
  <c r="Y214" i="65"/>
  <c r="AI216" i="65"/>
  <c r="AJ215" i="65"/>
  <c r="AJ214" i="65"/>
  <c r="J202" i="65" l="1"/>
  <c r="I203" i="65"/>
  <c r="J204" i="65"/>
  <c r="AK204" i="65"/>
  <c r="AA203" i="65"/>
  <c r="AK202" i="65"/>
  <c r="AA202" i="65"/>
  <c r="AK203" i="65"/>
  <c r="AA204" i="65"/>
  <c r="AD56" i="65"/>
  <c r="AC51" i="65"/>
  <c r="AC56" i="65" s="1"/>
  <c r="AC48" i="65"/>
  <c r="AB53" i="65"/>
  <c r="AB58" i="65" s="1"/>
  <c r="P53" i="65"/>
  <c r="P58" i="65" s="1"/>
  <c r="Q48" i="65"/>
  <c r="L33" i="65"/>
  <c r="K35" i="65"/>
  <c r="T59" i="65"/>
  <c r="S54" i="65"/>
  <c r="S59" i="65" s="1"/>
  <c r="AC32" i="65"/>
  <c r="AC34" i="65" s="1"/>
  <c r="AB34" i="65"/>
  <c r="AK48" i="65"/>
  <c r="AJ53" i="65"/>
  <c r="AJ58" i="65" s="1"/>
  <c r="M32" i="65"/>
  <c r="L34" i="65"/>
  <c r="AN59" i="65"/>
  <c r="AM54" i="65"/>
  <c r="AM59" i="65" s="1"/>
  <c r="AB49" i="65"/>
  <c r="AA54" i="65"/>
  <c r="AA59" i="65" s="1"/>
  <c r="AL47" i="65"/>
  <c r="AK52" i="65"/>
  <c r="AK57" i="65" s="1"/>
  <c r="I61" i="65"/>
  <c r="H63" i="65"/>
  <c r="AA62" i="65"/>
  <c r="AA65" i="65" s="1"/>
  <c r="AL62" i="65"/>
  <c r="AL65" i="65" s="1"/>
  <c r="AA61" i="65"/>
  <c r="Z63" i="65"/>
  <c r="I62" i="65"/>
  <c r="I65" i="65" s="1"/>
  <c r="AK61" i="65"/>
  <c r="AJ63" i="65"/>
  <c r="O46" i="65"/>
  <c r="O51" i="65" s="1"/>
  <c r="O56" i="65" s="1"/>
  <c r="O47" i="65"/>
  <c r="O52" i="65" s="1"/>
  <c r="O57" i="65" s="1"/>
  <c r="AC47" i="65"/>
  <c r="Z214" i="65"/>
  <c r="H214" i="65"/>
  <c r="Z216" i="65"/>
  <c r="H216" i="65"/>
  <c r="Z215" i="65"/>
  <c r="H215" i="65"/>
  <c r="AJ216" i="65"/>
  <c r="AK215" i="65"/>
  <c r="AK214" i="65"/>
  <c r="J203" i="65" l="1"/>
  <c r="K204" i="65"/>
  <c r="K202" i="65"/>
  <c r="AL204" i="65"/>
  <c r="AB203" i="65"/>
  <c r="AL202" i="65"/>
  <c r="AB202" i="65"/>
  <c r="AB204" i="65"/>
  <c r="AL203" i="65"/>
  <c r="AD57" i="65"/>
  <c r="AC52" i="65"/>
  <c r="AC57" i="65" s="1"/>
  <c r="AC49" i="65"/>
  <c r="AB54" i="65"/>
  <c r="AB59" i="65" s="1"/>
  <c r="N32" i="65"/>
  <c r="M34" i="65"/>
  <c r="M33" i="65"/>
  <c r="L35" i="65"/>
  <c r="AD58" i="65"/>
  <c r="AC53" i="65"/>
  <c r="AC58" i="65" s="1"/>
  <c r="Q53" i="65"/>
  <c r="Q58" i="65" s="1"/>
  <c r="R48" i="65"/>
  <c r="AM47" i="65"/>
  <c r="AL52" i="65"/>
  <c r="AL57" i="65" s="1"/>
  <c r="AL48" i="65"/>
  <c r="AK53" i="65"/>
  <c r="AK58" i="65" s="1"/>
  <c r="I63" i="65"/>
  <c r="J61" i="65"/>
  <c r="AL61" i="65"/>
  <c r="AK63" i="65"/>
  <c r="AM62" i="65"/>
  <c r="J62" i="65"/>
  <c r="J65" i="65" s="1"/>
  <c r="AB61" i="65"/>
  <c r="AA63" i="65"/>
  <c r="AB62" i="65"/>
  <c r="AB65" i="65" s="1"/>
  <c r="P47" i="65"/>
  <c r="P52" i="65" s="1"/>
  <c r="P57" i="65" s="1"/>
  <c r="P46" i="65"/>
  <c r="P51" i="65" s="1"/>
  <c r="P56" i="65" s="1"/>
  <c r="I215" i="65"/>
  <c r="I216" i="65"/>
  <c r="I214" i="65"/>
  <c r="AA215" i="65"/>
  <c r="AA216" i="65"/>
  <c r="AA214" i="65"/>
  <c r="AK216" i="65"/>
  <c r="AL215" i="65"/>
  <c r="AL214" i="65"/>
  <c r="L204" i="65" l="1"/>
  <c r="L202" i="65"/>
  <c r="K203" i="65"/>
  <c r="AM204" i="65"/>
  <c r="AC203" i="65"/>
  <c r="AM202" i="65"/>
  <c r="AC202" i="65"/>
  <c r="AM65" i="65"/>
  <c r="AM203" i="65"/>
  <c r="AC204" i="65"/>
  <c r="R53" i="65"/>
  <c r="R58" i="65" s="1"/>
  <c r="S48" i="65"/>
  <c r="AM48" i="65"/>
  <c r="AL53" i="65"/>
  <c r="AL58" i="65" s="1"/>
  <c r="N33" i="65"/>
  <c r="M35" i="65"/>
  <c r="AD59" i="65"/>
  <c r="AC54" i="65"/>
  <c r="AC59" i="65" s="1"/>
  <c r="AN57" i="65"/>
  <c r="AM52" i="65"/>
  <c r="AM57" i="65" s="1"/>
  <c r="O32" i="65"/>
  <c r="N34" i="65"/>
  <c r="K61" i="65"/>
  <c r="J63" i="65"/>
  <c r="AC62" i="65"/>
  <c r="AC61" i="65"/>
  <c r="AC63" i="65" s="1"/>
  <c r="AB63" i="65"/>
  <c r="K62" i="65"/>
  <c r="K65" i="65" s="1"/>
  <c r="AM61" i="65"/>
  <c r="AM63" i="65" s="1"/>
  <c r="AL63" i="65"/>
  <c r="Q46" i="65"/>
  <c r="Q51" i="65" s="1"/>
  <c r="Q56" i="65" s="1"/>
  <c r="Q47" i="65"/>
  <c r="Q52" i="65" s="1"/>
  <c r="Q57" i="65" s="1"/>
  <c r="AB214" i="65"/>
  <c r="AB215" i="65"/>
  <c r="J216" i="65"/>
  <c r="AB216" i="65"/>
  <c r="J214" i="65"/>
  <c r="J215" i="65"/>
  <c r="AL216" i="65"/>
  <c r="AM215" i="65"/>
  <c r="AM214" i="65"/>
  <c r="M202" i="65" l="1"/>
  <c r="L203" i="65"/>
  <c r="M204" i="65"/>
  <c r="AC65" i="65"/>
  <c r="P32" i="65"/>
  <c r="O34" i="65"/>
  <c r="AN58" i="65"/>
  <c r="AM53" i="65"/>
  <c r="AM58" i="65" s="1"/>
  <c r="T58" i="65"/>
  <c r="S53" i="65"/>
  <c r="S58" i="65" s="1"/>
  <c r="O33" i="65"/>
  <c r="N35" i="65"/>
  <c r="K63" i="65"/>
  <c r="L61" i="65"/>
  <c r="L62" i="65"/>
  <c r="L65" i="65" s="1"/>
  <c r="R47" i="65"/>
  <c r="R52" i="65" s="1"/>
  <c r="R57" i="65" s="1"/>
  <c r="R46" i="65"/>
  <c r="R51" i="65" s="1"/>
  <c r="R56" i="65" s="1"/>
  <c r="K215" i="65"/>
  <c r="AC216" i="65"/>
  <c r="AC215" i="65"/>
  <c r="K214" i="65"/>
  <c r="K216" i="65"/>
  <c r="AC214" i="65"/>
  <c r="AM216" i="65"/>
  <c r="M203" i="65" l="1"/>
  <c r="N204" i="65"/>
  <c r="N202" i="65"/>
  <c r="Q32" i="65"/>
  <c r="P34" i="65"/>
  <c r="P33" i="65"/>
  <c r="O35" i="65"/>
  <c r="L63" i="65"/>
  <c r="M61" i="65"/>
  <c r="M62" i="65"/>
  <c r="M65" i="65" s="1"/>
  <c r="S46" i="65"/>
  <c r="S47" i="65"/>
  <c r="L214" i="65"/>
  <c r="L216" i="65"/>
  <c r="L215" i="65"/>
  <c r="O204" i="65" l="1"/>
  <c r="N203" i="65"/>
  <c r="O202" i="65"/>
  <c r="T56" i="65"/>
  <c r="S51" i="65"/>
  <c r="S56" i="65" s="1"/>
  <c r="R32" i="65"/>
  <c r="Q34" i="65"/>
  <c r="T57" i="65"/>
  <c r="S52" i="65"/>
  <c r="S57" i="65" s="1"/>
  <c r="Q33" i="65"/>
  <c r="P35" i="65"/>
  <c r="N61" i="65"/>
  <c r="M63" i="65"/>
  <c r="N62" i="65"/>
  <c r="N65" i="65" s="1"/>
  <c r="M216" i="65"/>
  <c r="M215" i="65"/>
  <c r="M214" i="65"/>
  <c r="O203" i="65" l="1"/>
  <c r="P202" i="65"/>
  <c r="P204" i="65"/>
  <c r="R33" i="65"/>
  <c r="Q35" i="65"/>
  <c r="S32" i="65"/>
  <c r="S34" i="65" s="1"/>
  <c r="R34" i="65"/>
  <c r="N63" i="65"/>
  <c r="O61" i="65"/>
  <c r="O62" i="65"/>
  <c r="O65" i="65" s="1"/>
  <c r="N215" i="65"/>
  <c r="N214" i="65"/>
  <c r="N216" i="65"/>
  <c r="Q202" i="65" l="1"/>
  <c r="P203" i="65"/>
  <c r="Q204" i="65"/>
  <c r="S33" i="65"/>
  <c r="S35" i="65" s="1"/>
  <c r="R35" i="65"/>
  <c r="P61" i="65"/>
  <c r="O63" i="65"/>
  <c r="P62" i="65"/>
  <c r="P65" i="65" s="1"/>
  <c r="O214" i="65"/>
  <c r="O216" i="65"/>
  <c r="O215" i="65"/>
  <c r="Q203" i="65" l="1"/>
  <c r="R204" i="65"/>
  <c r="R202" i="65"/>
  <c r="Q61" i="65"/>
  <c r="P63" i="65"/>
  <c r="Q62" i="65"/>
  <c r="Q65" i="65" s="1"/>
  <c r="P216" i="65"/>
  <c r="P215" i="65"/>
  <c r="P214" i="65"/>
  <c r="S204" i="65" l="1"/>
  <c r="R203" i="65"/>
  <c r="S202" i="65"/>
  <c r="R61" i="65"/>
  <c r="Q63" i="65"/>
  <c r="R62" i="65"/>
  <c r="R65" i="65" s="1"/>
  <c r="Q215" i="65"/>
  <c r="Q214" i="65"/>
  <c r="Q216" i="65"/>
  <c r="S203" i="65" l="1"/>
  <c r="S61" i="65"/>
  <c r="S63" i="65" s="1"/>
  <c r="R63" i="65"/>
  <c r="S62" i="65"/>
  <c r="R214" i="65"/>
  <c r="R216" i="65"/>
  <c r="R215" i="65"/>
  <c r="S65" i="65" l="1"/>
  <c r="S216" i="65"/>
  <c r="S215" i="65"/>
  <c r="S214" i="65"/>
  <c r="AN189" i="65" l="1"/>
  <c r="AN188" i="65"/>
  <c r="AD189" i="65"/>
  <c r="AD188" i="65"/>
  <c r="T189" i="65"/>
  <c r="T188" i="65"/>
  <c r="B189" i="65"/>
  <c r="C189" i="65" s="1"/>
  <c r="D189" i="65" s="1"/>
  <c r="E189" i="65" s="1"/>
  <c r="F189" i="65" s="1"/>
  <c r="G189" i="65" s="1"/>
  <c r="H189" i="65" s="1"/>
  <c r="I189" i="65" s="1"/>
  <c r="J189" i="65" s="1"/>
  <c r="B188" i="65"/>
  <c r="C188" i="65" l="1"/>
  <c r="B191" i="65"/>
  <c r="B190" i="65"/>
  <c r="AN191" i="65"/>
  <c r="AN190" i="65"/>
  <c r="AD190" i="65"/>
  <c r="AD191" i="65"/>
  <c r="T191" i="65"/>
  <c r="T190" i="65"/>
  <c r="AE189" i="65"/>
  <c r="AF189" i="65" s="1"/>
  <c r="AG189" i="65" s="1"/>
  <c r="AH189" i="65" s="1"/>
  <c r="AI189" i="65" s="1"/>
  <c r="AJ189" i="65" s="1"/>
  <c r="AK189" i="65" s="1"/>
  <c r="AL189" i="65" s="1"/>
  <c r="AM189" i="65" s="1"/>
  <c r="U189" i="65"/>
  <c r="V189" i="65" s="1"/>
  <c r="W189" i="65" s="1"/>
  <c r="X189" i="65" s="1"/>
  <c r="Y189" i="65" s="1"/>
  <c r="Z189" i="65" s="1"/>
  <c r="AA189" i="65" s="1"/>
  <c r="AB189" i="65" s="1"/>
  <c r="AC189" i="65" s="1"/>
  <c r="AE188" i="65"/>
  <c r="K189" i="65"/>
  <c r="L189" i="65" s="1"/>
  <c r="M189" i="65" s="1"/>
  <c r="N189" i="65" s="1"/>
  <c r="O189" i="65" s="1"/>
  <c r="P189" i="65" s="1"/>
  <c r="Q189" i="65" s="1"/>
  <c r="R189" i="65" s="1"/>
  <c r="S189" i="65" s="1"/>
  <c r="C192" i="65"/>
  <c r="C193" i="65"/>
  <c r="C194" i="65"/>
  <c r="C195" i="65"/>
  <c r="D188" i="65"/>
  <c r="T194" i="65"/>
  <c r="T192" i="65"/>
  <c r="T193" i="65"/>
  <c r="T195" i="65"/>
  <c r="U188" i="65"/>
  <c r="AD192" i="65"/>
  <c r="AD193" i="65"/>
  <c r="AD194" i="65"/>
  <c r="AD195" i="65"/>
  <c r="AN194" i="65"/>
  <c r="AN192" i="65"/>
  <c r="AN193" i="65"/>
  <c r="AN195" i="65"/>
  <c r="B195" i="65"/>
  <c r="B193" i="65"/>
  <c r="B194" i="65"/>
  <c r="B192" i="65"/>
  <c r="AF16" i="68"/>
  <c r="AG16" i="68"/>
  <c r="AH16" i="68"/>
  <c r="AI16" i="68"/>
  <c r="AJ16" i="68"/>
  <c r="AK16" i="68"/>
  <c r="AL16" i="68"/>
  <c r="AM16" i="68"/>
  <c r="AN16" i="68"/>
  <c r="AO16" i="68"/>
  <c r="AP16" i="68"/>
  <c r="AQ16" i="68"/>
  <c r="AR16" i="68"/>
  <c r="AS16" i="68"/>
  <c r="AT16" i="68"/>
  <c r="AU16" i="68"/>
  <c r="AV16" i="68"/>
  <c r="AW16" i="68"/>
  <c r="AX16" i="68"/>
  <c r="AY16" i="68"/>
  <c r="AZ16" i="68"/>
  <c r="BA16" i="68"/>
  <c r="BB16" i="68"/>
  <c r="BC16" i="68"/>
  <c r="BD16" i="68"/>
  <c r="BE16" i="68"/>
  <c r="BF16" i="68"/>
  <c r="BG16" i="68"/>
  <c r="BH16" i="68"/>
  <c r="BI16" i="68"/>
  <c r="BJ16" i="68"/>
  <c r="BK16" i="68"/>
  <c r="BL16" i="68"/>
  <c r="BM16" i="68"/>
  <c r="BN16" i="68"/>
  <c r="BO16" i="68"/>
  <c r="BP16" i="68"/>
  <c r="BQ16" i="68"/>
  <c r="AF24" i="68"/>
  <c r="AG24" i="68"/>
  <c r="AH24" i="68"/>
  <c r="AJ24" i="68"/>
  <c r="AK24" i="68"/>
  <c r="AL24" i="68"/>
  <c r="AN24" i="68"/>
  <c r="AO24" i="68"/>
  <c r="AP24" i="68"/>
  <c r="AR24" i="68"/>
  <c r="AS24" i="68"/>
  <c r="AT24" i="68"/>
  <c r="AW24" i="68"/>
  <c r="AX24" i="68"/>
  <c r="AZ24" i="68"/>
  <c r="BA24" i="68"/>
  <c r="BB24" i="68"/>
  <c r="BD24" i="68"/>
  <c r="BE24" i="68"/>
  <c r="BF24" i="68"/>
  <c r="BI24" i="68"/>
  <c r="BM24" i="68"/>
  <c r="BN24" i="68"/>
  <c r="BP24" i="68"/>
  <c r="BQ24" i="68"/>
  <c r="L390" i="67"/>
  <c r="M390" i="67"/>
  <c r="N390" i="67"/>
  <c r="O390" i="67"/>
  <c r="P390" i="67"/>
  <c r="Q390" i="67"/>
  <c r="R390" i="67"/>
  <c r="S390" i="67"/>
  <c r="T390" i="67"/>
  <c r="U390" i="67"/>
  <c r="V390" i="67"/>
  <c r="W390" i="67"/>
  <c r="X390" i="67"/>
  <c r="Y390" i="67"/>
  <c r="Z390" i="67"/>
  <c r="AA390" i="67"/>
  <c r="AB390" i="67"/>
  <c r="AC390" i="67"/>
  <c r="AD390" i="67"/>
  <c r="AE390" i="67"/>
  <c r="AF390" i="67"/>
  <c r="AG390" i="67"/>
  <c r="AH390" i="67"/>
  <c r="AI390" i="67"/>
  <c r="AJ390" i="67"/>
  <c r="AK390" i="67"/>
  <c r="AL390" i="67"/>
  <c r="AM390" i="67"/>
  <c r="AN390" i="67"/>
  <c r="AO390" i="67"/>
  <c r="AP390" i="67"/>
  <c r="AQ390" i="67"/>
  <c r="AR390" i="67"/>
  <c r="AS390" i="67"/>
  <c r="AT390" i="67"/>
  <c r="AU390" i="67"/>
  <c r="AV390" i="67"/>
  <c r="AW390" i="67"/>
  <c r="L401" i="67"/>
  <c r="M401" i="67"/>
  <c r="N401" i="67"/>
  <c r="O401" i="67"/>
  <c r="P401" i="67"/>
  <c r="Q401" i="67"/>
  <c r="R401" i="67"/>
  <c r="S401" i="67"/>
  <c r="T401" i="67"/>
  <c r="U401" i="67"/>
  <c r="V401" i="67"/>
  <c r="W401" i="67"/>
  <c r="X401" i="67"/>
  <c r="Y401" i="67"/>
  <c r="Z401" i="67"/>
  <c r="AA401" i="67"/>
  <c r="AB401" i="67"/>
  <c r="AC401" i="67"/>
  <c r="AD401" i="67"/>
  <c r="AE401" i="67"/>
  <c r="AF401" i="67"/>
  <c r="AG401" i="67"/>
  <c r="AH401" i="67"/>
  <c r="AI401" i="67"/>
  <c r="AJ401" i="67"/>
  <c r="AK401" i="67"/>
  <c r="AL401" i="67"/>
  <c r="AM401" i="67"/>
  <c r="AN401" i="67"/>
  <c r="AO401" i="67"/>
  <c r="AP401" i="67"/>
  <c r="AQ401" i="67"/>
  <c r="AR401" i="67"/>
  <c r="AS401" i="67"/>
  <c r="AT401" i="67"/>
  <c r="AU401" i="67"/>
  <c r="AV401" i="67"/>
  <c r="AW401" i="67"/>
  <c r="L402" i="67"/>
  <c r="M402" i="67"/>
  <c r="N402" i="67"/>
  <c r="O402" i="67"/>
  <c r="P402" i="67"/>
  <c r="Q402" i="67"/>
  <c r="R402" i="67"/>
  <c r="S402" i="67"/>
  <c r="T402" i="67"/>
  <c r="U402" i="67"/>
  <c r="V402" i="67"/>
  <c r="W402" i="67"/>
  <c r="X402" i="67"/>
  <c r="Y402" i="67"/>
  <c r="Z402" i="67"/>
  <c r="AA402" i="67"/>
  <c r="AB402" i="67"/>
  <c r="AC402" i="67"/>
  <c r="AD402" i="67"/>
  <c r="AE402" i="67"/>
  <c r="AF402" i="67"/>
  <c r="AG402" i="67"/>
  <c r="AH402" i="67"/>
  <c r="AI402" i="67"/>
  <c r="AJ402" i="67"/>
  <c r="AK402" i="67"/>
  <c r="AL402" i="67"/>
  <c r="AM402" i="67"/>
  <c r="AN402" i="67"/>
  <c r="AO402" i="67"/>
  <c r="AP402" i="67"/>
  <c r="AQ402" i="67"/>
  <c r="AR402" i="67"/>
  <c r="AS402" i="67"/>
  <c r="AT402" i="67"/>
  <c r="AU402" i="67"/>
  <c r="AV402" i="67"/>
  <c r="AW402" i="67"/>
  <c r="AF9" i="68"/>
  <c r="AG9" i="68"/>
  <c r="AH9" i="68"/>
  <c r="AI9" i="68"/>
  <c r="AJ9" i="68"/>
  <c r="AK9" i="68"/>
  <c r="AL9" i="68"/>
  <c r="AM9" i="68"/>
  <c r="AN9" i="68"/>
  <c r="AO9" i="68"/>
  <c r="AP9" i="68"/>
  <c r="AQ9" i="68"/>
  <c r="AR9" i="68"/>
  <c r="AS9" i="68"/>
  <c r="AT9" i="68"/>
  <c r="AU9" i="68"/>
  <c r="AV9" i="68"/>
  <c r="AW9" i="68"/>
  <c r="AX9" i="68"/>
  <c r="AY9" i="68"/>
  <c r="AZ9" i="68"/>
  <c r="BA9" i="68"/>
  <c r="BB9" i="68"/>
  <c r="BC9" i="68"/>
  <c r="BD9" i="68"/>
  <c r="BE9" i="68"/>
  <c r="BF9" i="68"/>
  <c r="BG9" i="68"/>
  <c r="BH9" i="68"/>
  <c r="BI9" i="68"/>
  <c r="BJ9" i="68"/>
  <c r="BK9" i="68"/>
  <c r="BL9" i="68"/>
  <c r="BM9" i="68"/>
  <c r="BN9" i="68"/>
  <c r="BO9" i="68"/>
  <c r="BP9" i="68"/>
  <c r="BQ9" i="68"/>
  <c r="AI24" i="68"/>
  <c r="AM24" i="68"/>
  <c r="AQ24" i="68"/>
  <c r="AU24" i="68"/>
  <c r="AV24" i="68"/>
  <c r="AY24" i="68"/>
  <c r="BC24" i="68"/>
  <c r="BG24" i="68"/>
  <c r="BH24" i="68"/>
  <c r="BJ24" i="68"/>
  <c r="BK24" i="68"/>
  <c r="BL24" i="68"/>
  <c r="BO24" i="68"/>
  <c r="K402" i="67"/>
  <c r="K401" i="67"/>
  <c r="K390" i="67"/>
  <c r="AE24" i="68"/>
  <c r="AE16" i="68"/>
  <c r="AE9" i="68"/>
  <c r="AE16" i="70"/>
  <c r="AF16" i="70"/>
  <c r="AG16" i="70" s="1"/>
  <c r="AH16" i="70" s="1"/>
  <c r="AI16" i="70" s="1"/>
  <c r="AJ16" i="70" s="1"/>
  <c r="AK16" i="70" s="1"/>
  <c r="AL16" i="70" s="1"/>
  <c r="AM16" i="70" s="1"/>
  <c r="AN16" i="70" s="1"/>
  <c r="AO16" i="70" s="1"/>
  <c r="AP16" i="70" s="1"/>
  <c r="AQ16" i="70" s="1"/>
  <c r="AR16" i="70" s="1"/>
  <c r="AS16" i="70" s="1"/>
  <c r="AT16" i="70" s="1"/>
  <c r="AU16" i="70" s="1"/>
  <c r="AV16" i="70" s="1"/>
  <c r="AW16" i="70" s="1"/>
  <c r="AX16" i="70" s="1"/>
  <c r="AY16" i="70" s="1"/>
  <c r="AZ16" i="70" s="1"/>
  <c r="BA16" i="70" s="1"/>
  <c r="BB16" i="70" s="1"/>
  <c r="BC16" i="70" s="1"/>
  <c r="BD16" i="70" s="1"/>
  <c r="BE16" i="70" s="1"/>
  <c r="BF16" i="70" s="1"/>
  <c r="BG16" i="70" s="1"/>
  <c r="BH16" i="70" s="1"/>
  <c r="BI16" i="70" s="1"/>
  <c r="BJ16" i="70" s="1"/>
  <c r="BK16" i="70" s="1"/>
  <c r="BL16" i="70" s="1"/>
  <c r="BM16" i="70" s="1"/>
  <c r="BN16" i="70" s="1"/>
  <c r="BO16" i="70" s="1"/>
  <c r="BP16" i="70" s="1"/>
  <c r="J718" i="67"/>
  <c r="J719" i="67" s="1"/>
  <c r="I718" i="67"/>
  <c r="I719" i="67" s="1"/>
  <c r="G718" i="67"/>
  <c r="F718" i="67"/>
  <c r="F719" i="67" s="1"/>
  <c r="E718" i="67"/>
  <c r="E719" i="67" s="1"/>
  <c r="D718" i="67"/>
  <c r="D719" i="67" s="1"/>
  <c r="J714" i="67"/>
  <c r="I714" i="67"/>
  <c r="F714" i="67"/>
  <c r="H714" i="67" s="1"/>
  <c r="E714" i="67"/>
  <c r="D714" i="67"/>
  <c r="C181" i="65"/>
  <c r="D181" i="65"/>
  <c r="E181" i="65"/>
  <c r="F181" i="65"/>
  <c r="G181" i="65"/>
  <c r="H181" i="65"/>
  <c r="I181" i="65"/>
  <c r="J181" i="65"/>
  <c r="K181" i="65"/>
  <c r="L181" i="65"/>
  <c r="M181" i="65"/>
  <c r="N181" i="65"/>
  <c r="O181" i="65"/>
  <c r="P181" i="65"/>
  <c r="Q181" i="65"/>
  <c r="R181" i="65"/>
  <c r="S181" i="65"/>
  <c r="T181" i="65"/>
  <c r="U181" i="65"/>
  <c r="V181" i="65"/>
  <c r="W181" i="65"/>
  <c r="X181" i="65"/>
  <c r="Y181" i="65"/>
  <c r="Z181" i="65"/>
  <c r="AA181" i="65"/>
  <c r="AB181" i="65"/>
  <c r="AC181" i="65"/>
  <c r="AD181" i="65"/>
  <c r="AE181" i="65"/>
  <c r="AF181" i="65"/>
  <c r="AG181" i="65"/>
  <c r="AH181" i="65"/>
  <c r="AI181" i="65"/>
  <c r="AJ181" i="65"/>
  <c r="AK181" i="65"/>
  <c r="AL181" i="65"/>
  <c r="AM181" i="65"/>
  <c r="AN181" i="65"/>
  <c r="B181" i="65"/>
  <c r="AN155" i="65"/>
  <c r="AN156" i="65"/>
  <c r="AN154" i="65"/>
  <c r="AD155" i="65"/>
  <c r="AD156" i="65"/>
  <c r="AD154" i="65"/>
  <c r="T155" i="65"/>
  <c r="T156" i="65"/>
  <c r="T154" i="65"/>
  <c r="B156" i="65"/>
  <c r="B155" i="65"/>
  <c r="C155" i="65" s="1"/>
  <c r="D155" i="65" s="1"/>
  <c r="E155" i="65" s="1"/>
  <c r="F155" i="65" s="1"/>
  <c r="G155" i="65" s="1"/>
  <c r="H155" i="65" s="1"/>
  <c r="I155" i="65" s="1"/>
  <c r="J155" i="65" s="1"/>
  <c r="K155" i="65" s="1"/>
  <c r="L155" i="65" s="1"/>
  <c r="M155" i="65" s="1"/>
  <c r="N155" i="65" s="1"/>
  <c r="O155" i="65" s="1"/>
  <c r="P155" i="65" s="1"/>
  <c r="Q155" i="65" s="1"/>
  <c r="R155" i="65" s="1"/>
  <c r="S155" i="65" s="1"/>
  <c r="B154" i="65"/>
  <c r="C154" i="65" s="1"/>
  <c r="D154" i="65" s="1"/>
  <c r="E154" i="65" s="1"/>
  <c r="F154" i="65" s="1"/>
  <c r="G154" i="65" s="1"/>
  <c r="H154" i="65" s="1"/>
  <c r="I154" i="65" s="1"/>
  <c r="J154" i="65" s="1"/>
  <c r="C182" i="65"/>
  <c r="D182" i="65"/>
  <c r="E182" i="65"/>
  <c r="F182" i="65"/>
  <c r="G182" i="65"/>
  <c r="H182" i="65"/>
  <c r="I182" i="65"/>
  <c r="J182" i="65"/>
  <c r="K182" i="65"/>
  <c r="L182" i="65"/>
  <c r="M182" i="65"/>
  <c r="N182" i="65"/>
  <c r="O182" i="65"/>
  <c r="P182" i="65"/>
  <c r="Q182" i="65"/>
  <c r="R182" i="65"/>
  <c r="S182" i="65"/>
  <c r="T182" i="65"/>
  <c r="U182" i="65"/>
  <c r="V182" i="65"/>
  <c r="W182" i="65"/>
  <c r="X182" i="65"/>
  <c r="Y182" i="65"/>
  <c r="Z182" i="65"/>
  <c r="AA182" i="65"/>
  <c r="AB182" i="65"/>
  <c r="AC182" i="65"/>
  <c r="AD182" i="65"/>
  <c r="AE182" i="65"/>
  <c r="AF182" i="65"/>
  <c r="AG182" i="65"/>
  <c r="AH182" i="65"/>
  <c r="AI182" i="65"/>
  <c r="AJ182" i="65"/>
  <c r="AK182" i="65"/>
  <c r="AL182" i="65"/>
  <c r="AM182" i="65"/>
  <c r="AN182" i="65"/>
  <c r="C183" i="65"/>
  <c r="D183" i="65"/>
  <c r="E183" i="65"/>
  <c r="F183" i="65"/>
  <c r="G183" i="65"/>
  <c r="H183" i="65"/>
  <c r="I183" i="65"/>
  <c r="J183" i="65"/>
  <c r="K183" i="65"/>
  <c r="L183" i="65"/>
  <c r="M183" i="65"/>
  <c r="N183" i="65"/>
  <c r="O183" i="65"/>
  <c r="P183" i="65"/>
  <c r="Q183" i="65"/>
  <c r="R183" i="65"/>
  <c r="S183" i="65"/>
  <c r="T183" i="65"/>
  <c r="U183" i="65"/>
  <c r="V183" i="65"/>
  <c r="W183" i="65"/>
  <c r="X183" i="65"/>
  <c r="Y183" i="65"/>
  <c r="Z183" i="65"/>
  <c r="AA183" i="65"/>
  <c r="AB183" i="65"/>
  <c r="AC183" i="65"/>
  <c r="AD183" i="65"/>
  <c r="AE183" i="65"/>
  <c r="AF183" i="65"/>
  <c r="AG183" i="65"/>
  <c r="AH183" i="65"/>
  <c r="AI183" i="65"/>
  <c r="AJ183" i="65"/>
  <c r="AK183" i="65"/>
  <c r="AL183" i="65"/>
  <c r="AM183" i="65"/>
  <c r="AN183" i="65"/>
  <c r="C184" i="65"/>
  <c r="D184" i="65"/>
  <c r="E184" i="65"/>
  <c r="F184" i="65"/>
  <c r="G184" i="65"/>
  <c r="H184" i="65"/>
  <c r="I184" i="65"/>
  <c r="J184" i="65"/>
  <c r="K184" i="65"/>
  <c r="L184" i="65"/>
  <c r="M184" i="65"/>
  <c r="N184" i="65"/>
  <c r="O184" i="65"/>
  <c r="P184" i="65"/>
  <c r="Q184" i="65"/>
  <c r="R184" i="65"/>
  <c r="S184" i="65"/>
  <c r="T184" i="65"/>
  <c r="U184" i="65"/>
  <c r="V184" i="65"/>
  <c r="W184" i="65"/>
  <c r="X184" i="65"/>
  <c r="Y184" i="65"/>
  <c r="Z184" i="65"/>
  <c r="AA184" i="65"/>
  <c r="AB184" i="65"/>
  <c r="AC184" i="65"/>
  <c r="AD184" i="65"/>
  <c r="AE184" i="65"/>
  <c r="AF184" i="65"/>
  <c r="AG184" i="65"/>
  <c r="AH184" i="65"/>
  <c r="AI184" i="65"/>
  <c r="AJ184" i="65"/>
  <c r="AK184" i="65"/>
  <c r="AL184" i="65"/>
  <c r="AM184" i="65"/>
  <c r="AN184" i="65"/>
  <c r="C185" i="65"/>
  <c r="D185" i="65"/>
  <c r="E185" i="65"/>
  <c r="F185" i="65"/>
  <c r="G185" i="65"/>
  <c r="H185" i="65"/>
  <c r="I185" i="65"/>
  <c r="J185" i="65"/>
  <c r="K185" i="65"/>
  <c r="L185" i="65"/>
  <c r="M185" i="65"/>
  <c r="N185" i="65"/>
  <c r="O185" i="65"/>
  <c r="P185" i="65"/>
  <c r="Q185" i="65"/>
  <c r="R185" i="65"/>
  <c r="S185" i="65"/>
  <c r="T185" i="65"/>
  <c r="U185" i="65"/>
  <c r="V185" i="65"/>
  <c r="W185" i="65"/>
  <c r="X185" i="65"/>
  <c r="Y185" i="65"/>
  <c r="Z185" i="65"/>
  <c r="AA185" i="65"/>
  <c r="AB185" i="65"/>
  <c r="AC185" i="65"/>
  <c r="AD185" i="65"/>
  <c r="AE185" i="65"/>
  <c r="AF185" i="65"/>
  <c r="AG185" i="65"/>
  <c r="AH185" i="65"/>
  <c r="AI185" i="65"/>
  <c r="AJ185" i="65"/>
  <c r="AK185" i="65"/>
  <c r="AL185" i="65"/>
  <c r="AM185" i="65"/>
  <c r="AN185" i="65"/>
  <c r="B185" i="65"/>
  <c r="B184" i="65"/>
  <c r="B183" i="65"/>
  <c r="B182" i="65"/>
  <c r="BP98" i="70"/>
  <c r="BO98" i="70"/>
  <c r="BN98" i="70"/>
  <c r="BM98" i="70"/>
  <c r="BL98" i="70"/>
  <c r="BK98" i="70"/>
  <c r="BJ98" i="70"/>
  <c r="BI98" i="70"/>
  <c r="BH98" i="70"/>
  <c r="BG98" i="70"/>
  <c r="BF98" i="70"/>
  <c r="BE98" i="70"/>
  <c r="BD98" i="70"/>
  <c r="BC98" i="70"/>
  <c r="BB98" i="70"/>
  <c r="BA98" i="70"/>
  <c r="AZ98" i="70"/>
  <c r="AY98" i="70"/>
  <c r="AX98" i="70"/>
  <c r="AW98" i="70"/>
  <c r="AV98" i="70"/>
  <c r="AU98" i="70"/>
  <c r="AT98" i="70"/>
  <c r="AS98" i="70"/>
  <c r="AR98" i="70"/>
  <c r="AQ98" i="70"/>
  <c r="AP98" i="70"/>
  <c r="AO98" i="70"/>
  <c r="AN98" i="70"/>
  <c r="AM98" i="70"/>
  <c r="AL98" i="70"/>
  <c r="AK98" i="70"/>
  <c r="AJ98" i="70"/>
  <c r="AI98" i="70"/>
  <c r="AH98" i="70"/>
  <c r="AG98" i="70"/>
  <c r="AF98" i="70"/>
  <c r="AE98" i="70"/>
  <c r="AD98" i="70"/>
  <c r="BP97" i="70"/>
  <c r="BO97" i="70"/>
  <c r="BN97" i="70"/>
  <c r="BM97" i="70"/>
  <c r="BL97" i="70"/>
  <c r="BK97" i="70"/>
  <c r="BJ97" i="70"/>
  <c r="BI97" i="70"/>
  <c r="BH97" i="70"/>
  <c r="BG97" i="70"/>
  <c r="BF97" i="70"/>
  <c r="BE97" i="70"/>
  <c r="BD97" i="70"/>
  <c r="BC97" i="70"/>
  <c r="BB97" i="70"/>
  <c r="BA97" i="70"/>
  <c r="AZ97" i="70"/>
  <c r="AY97" i="70"/>
  <c r="AX97" i="70"/>
  <c r="AW97" i="70"/>
  <c r="AV97" i="70"/>
  <c r="AU97" i="70"/>
  <c r="AT97" i="70"/>
  <c r="AS97" i="70"/>
  <c r="AR97" i="70"/>
  <c r="AQ97" i="70"/>
  <c r="AP97" i="70"/>
  <c r="AO97" i="70"/>
  <c r="AN97" i="70"/>
  <c r="AM97" i="70"/>
  <c r="AL97" i="70"/>
  <c r="AK97" i="70"/>
  <c r="AJ97" i="70"/>
  <c r="AI97" i="70"/>
  <c r="AH97" i="70"/>
  <c r="AG97" i="70"/>
  <c r="AF97" i="70"/>
  <c r="AE97" i="70"/>
  <c r="AD97" i="70"/>
  <c r="AC97" i="70"/>
  <c r="AB97" i="70"/>
  <c r="AA97" i="70"/>
  <c r="Z97" i="70"/>
  <c r="Y97" i="70"/>
  <c r="X97" i="70"/>
  <c r="W97" i="70"/>
  <c r="V97" i="70"/>
  <c r="U97" i="70"/>
  <c r="T97" i="70"/>
  <c r="S97" i="70"/>
  <c r="R97" i="70"/>
  <c r="Q97" i="70"/>
  <c r="P97" i="70"/>
  <c r="O97" i="70"/>
  <c r="N97" i="70"/>
  <c r="M97" i="70"/>
  <c r="L97" i="70"/>
  <c r="K97" i="70"/>
  <c r="J97" i="70"/>
  <c r="I97" i="70"/>
  <c r="H97" i="70"/>
  <c r="BP96" i="70"/>
  <c r="BO96" i="70"/>
  <c r="BN96" i="70"/>
  <c r="BM96" i="70"/>
  <c r="BL96" i="70"/>
  <c r="BK96" i="70"/>
  <c r="BJ96" i="70"/>
  <c r="BI96" i="70"/>
  <c r="BH96" i="70"/>
  <c r="BG96" i="70"/>
  <c r="BF96" i="70"/>
  <c r="BE96" i="70"/>
  <c r="BD96" i="70"/>
  <c r="BC96" i="70"/>
  <c r="BB96" i="70"/>
  <c r="BA96" i="70"/>
  <c r="AZ96" i="70"/>
  <c r="AY96" i="70"/>
  <c r="AX96" i="70"/>
  <c r="AW96" i="70"/>
  <c r="AV96" i="70"/>
  <c r="AU96" i="70"/>
  <c r="AT96" i="70"/>
  <c r="AS96" i="70"/>
  <c r="AR96" i="70"/>
  <c r="AQ96" i="70"/>
  <c r="AP96" i="70"/>
  <c r="AO96" i="70"/>
  <c r="AN96" i="70"/>
  <c r="AM96" i="70"/>
  <c r="AL96" i="70"/>
  <c r="AK96" i="70"/>
  <c r="AJ96" i="70"/>
  <c r="AI96" i="70"/>
  <c r="AH96" i="70"/>
  <c r="AG96" i="70"/>
  <c r="AF96" i="70"/>
  <c r="AE96" i="70"/>
  <c r="AD96" i="70"/>
  <c r="BP95" i="70"/>
  <c r="BO95" i="70"/>
  <c r="BN95" i="70"/>
  <c r="BM95" i="70"/>
  <c r="BL95" i="70"/>
  <c r="BK95" i="70"/>
  <c r="BJ95" i="70"/>
  <c r="BI95" i="70"/>
  <c r="BH95" i="70"/>
  <c r="BG95" i="70"/>
  <c r="BF95" i="70"/>
  <c r="BE95" i="70"/>
  <c r="BD95" i="70"/>
  <c r="BC95" i="70"/>
  <c r="BB95" i="70"/>
  <c r="BA95" i="70"/>
  <c r="AZ95" i="70"/>
  <c r="AY95" i="70"/>
  <c r="AX95" i="70"/>
  <c r="AW95" i="70"/>
  <c r="AV95" i="70"/>
  <c r="AU95" i="70"/>
  <c r="AT95" i="70"/>
  <c r="AS95" i="70"/>
  <c r="AR95" i="70"/>
  <c r="AQ95" i="70"/>
  <c r="AP95" i="70"/>
  <c r="AO95" i="70"/>
  <c r="AN95" i="70"/>
  <c r="AM95" i="70"/>
  <c r="AL95" i="70"/>
  <c r="AK95" i="70"/>
  <c r="AJ95" i="70"/>
  <c r="AI95" i="70"/>
  <c r="AH95" i="70"/>
  <c r="AG95" i="70"/>
  <c r="AF95" i="70"/>
  <c r="AE95" i="70"/>
  <c r="AD95" i="70"/>
  <c r="BP92" i="70"/>
  <c r="BO92" i="70"/>
  <c r="BN92" i="70"/>
  <c r="BM92" i="70"/>
  <c r="BL92" i="70"/>
  <c r="BK92" i="70"/>
  <c r="BJ92" i="70"/>
  <c r="BI92" i="70"/>
  <c r="BH92" i="70"/>
  <c r="BG92" i="70"/>
  <c r="BF92" i="70"/>
  <c r="BE92" i="70"/>
  <c r="BD92" i="70"/>
  <c r="BC92" i="70"/>
  <c r="BB92" i="70"/>
  <c r="BA92" i="70"/>
  <c r="AZ92" i="70"/>
  <c r="AY92" i="70"/>
  <c r="AX92" i="70"/>
  <c r="AW92" i="70"/>
  <c r="AV92" i="70"/>
  <c r="AU92" i="70"/>
  <c r="AT92" i="70"/>
  <c r="AS92" i="70"/>
  <c r="AR92" i="70"/>
  <c r="AQ92" i="70"/>
  <c r="AP92" i="70"/>
  <c r="AO92" i="70"/>
  <c r="AN92" i="70"/>
  <c r="AM92" i="70"/>
  <c r="AL92" i="70"/>
  <c r="AK92" i="70"/>
  <c r="AJ92" i="70"/>
  <c r="AI92" i="70"/>
  <c r="AH92" i="70"/>
  <c r="AG92" i="70"/>
  <c r="AF92" i="70"/>
  <c r="AE92" i="70"/>
  <c r="AD92" i="70"/>
  <c r="BP91" i="70"/>
  <c r="BO91" i="70"/>
  <c r="BN91" i="70"/>
  <c r="BM91" i="70"/>
  <c r="BL91" i="70"/>
  <c r="BK91" i="70"/>
  <c r="BJ91" i="70"/>
  <c r="BI91" i="70"/>
  <c r="BH91" i="70"/>
  <c r="BG91" i="70"/>
  <c r="BF91" i="70"/>
  <c r="BE91" i="70"/>
  <c r="BD91" i="70"/>
  <c r="BC91" i="70"/>
  <c r="BB91" i="70"/>
  <c r="BA91" i="70"/>
  <c r="AZ91" i="70"/>
  <c r="AY91" i="70"/>
  <c r="AX91" i="70"/>
  <c r="AW91" i="70"/>
  <c r="AV91" i="70"/>
  <c r="AU91" i="70"/>
  <c r="AT91" i="70"/>
  <c r="AS91" i="70"/>
  <c r="AR91" i="70"/>
  <c r="AQ91" i="70"/>
  <c r="AP91" i="70"/>
  <c r="AO91" i="70"/>
  <c r="AN91" i="70"/>
  <c r="AM91" i="70"/>
  <c r="AL91" i="70"/>
  <c r="AK91" i="70"/>
  <c r="AJ91" i="70"/>
  <c r="AI91" i="70"/>
  <c r="AH91" i="70"/>
  <c r="AG91" i="70"/>
  <c r="AF91" i="70"/>
  <c r="AE91" i="70"/>
  <c r="AD91" i="70"/>
  <c r="BP90" i="70"/>
  <c r="BO90" i="70"/>
  <c r="BN90" i="70"/>
  <c r="BM90" i="70"/>
  <c r="BL90" i="70"/>
  <c r="BK90" i="70"/>
  <c r="BJ90" i="70"/>
  <c r="BI90" i="70"/>
  <c r="BH90" i="70"/>
  <c r="BG90" i="70"/>
  <c r="BF90" i="70"/>
  <c r="BE90" i="70"/>
  <c r="BD90" i="70"/>
  <c r="BC90" i="70"/>
  <c r="BB90" i="70"/>
  <c r="BA90" i="70"/>
  <c r="AZ90" i="70"/>
  <c r="AY90" i="70"/>
  <c r="AX90" i="70"/>
  <c r="AW90" i="70"/>
  <c r="AV90" i="70"/>
  <c r="AU90" i="70"/>
  <c r="AT90" i="70"/>
  <c r="AS90" i="70"/>
  <c r="AR90" i="70"/>
  <c r="AQ90" i="70"/>
  <c r="AP90" i="70"/>
  <c r="AO90" i="70"/>
  <c r="AN90" i="70"/>
  <c r="AM90" i="70"/>
  <c r="AL90" i="70"/>
  <c r="AK90" i="70"/>
  <c r="AJ90" i="70"/>
  <c r="AI90" i="70"/>
  <c r="AH90" i="70"/>
  <c r="AG90" i="70"/>
  <c r="AF90" i="70"/>
  <c r="AE90" i="70"/>
  <c r="AD90" i="70"/>
  <c r="BP89" i="70"/>
  <c r="BO89" i="70"/>
  <c r="BN89" i="70"/>
  <c r="BM89" i="70"/>
  <c r="BL89" i="70"/>
  <c r="BK89" i="70"/>
  <c r="BJ89" i="70"/>
  <c r="BI89" i="70"/>
  <c r="BH89" i="70"/>
  <c r="BG89" i="70"/>
  <c r="BF89" i="70"/>
  <c r="BE89" i="70"/>
  <c r="BD89" i="70"/>
  <c r="BC89" i="70"/>
  <c r="BB89" i="70"/>
  <c r="BA89" i="70"/>
  <c r="AZ89" i="70"/>
  <c r="AY89" i="70"/>
  <c r="AX89" i="70"/>
  <c r="AW89" i="70"/>
  <c r="AV89" i="70"/>
  <c r="AU89" i="70"/>
  <c r="AT89" i="70"/>
  <c r="AS89" i="70"/>
  <c r="AR89" i="70"/>
  <c r="AQ89" i="70"/>
  <c r="AP89" i="70"/>
  <c r="AO89" i="70"/>
  <c r="AN89" i="70"/>
  <c r="AM89" i="70"/>
  <c r="AL89" i="70"/>
  <c r="AK89" i="70"/>
  <c r="AJ89" i="70"/>
  <c r="AI89" i="70"/>
  <c r="AH89" i="70"/>
  <c r="AG89" i="70"/>
  <c r="AF89" i="70"/>
  <c r="AE89" i="70"/>
  <c r="AD89" i="70"/>
  <c r="BP88" i="70"/>
  <c r="BO88" i="70"/>
  <c r="BN88" i="70"/>
  <c r="BM88" i="70"/>
  <c r="BL88" i="70"/>
  <c r="BK88" i="70"/>
  <c r="BJ88" i="70"/>
  <c r="BI88" i="70"/>
  <c r="BH88" i="70"/>
  <c r="BG88" i="70"/>
  <c r="BF88" i="70"/>
  <c r="BE88" i="70"/>
  <c r="BD88" i="70"/>
  <c r="BC88" i="70"/>
  <c r="BB88" i="70"/>
  <c r="BA88" i="70"/>
  <c r="AZ88" i="70"/>
  <c r="AY88" i="70"/>
  <c r="AX88" i="70"/>
  <c r="AW88" i="70"/>
  <c r="AV88" i="70"/>
  <c r="AU88" i="70"/>
  <c r="AT88" i="70"/>
  <c r="AS88" i="70"/>
  <c r="AR88" i="70"/>
  <c r="AQ88" i="70"/>
  <c r="AP88" i="70"/>
  <c r="AO88" i="70"/>
  <c r="AN88" i="70"/>
  <c r="AM88" i="70"/>
  <c r="AL88" i="70"/>
  <c r="AK88" i="70"/>
  <c r="AJ88" i="70"/>
  <c r="AI88" i="70"/>
  <c r="AH88" i="70"/>
  <c r="AG88" i="70"/>
  <c r="AF88" i="70"/>
  <c r="AE88" i="70"/>
  <c r="AD88" i="70"/>
  <c r="BP87" i="70"/>
  <c r="BO87" i="70"/>
  <c r="BN87" i="70"/>
  <c r="BM87" i="70"/>
  <c r="BL87" i="70"/>
  <c r="BK87" i="70"/>
  <c r="BJ87" i="70"/>
  <c r="BI87" i="70"/>
  <c r="BH87" i="70"/>
  <c r="BG87" i="70"/>
  <c r="BF87" i="70"/>
  <c r="BE87" i="70"/>
  <c r="BD87" i="70"/>
  <c r="BC87" i="70"/>
  <c r="BB87" i="70"/>
  <c r="BA87" i="70"/>
  <c r="AZ87" i="70"/>
  <c r="AY87" i="70"/>
  <c r="AX87" i="70"/>
  <c r="AW87" i="70"/>
  <c r="AV87" i="70"/>
  <c r="AU87" i="70"/>
  <c r="AT87" i="70"/>
  <c r="AS87" i="70"/>
  <c r="AR87" i="70"/>
  <c r="AQ87" i="70"/>
  <c r="AP87" i="70"/>
  <c r="AO87" i="70"/>
  <c r="AN87" i="70"/>
  <c r="AM87" i="70"/>
  <c r="AL87" i="70"/>
  <c r="AK87" i="70"/>
  <c r="AJ87" i="70"/>
  <c r="AI87" i="70"/>
  <c r="AH87" i="70"/>
  <c r="AG87" i="70"/>
  <c r="AF87" i="70"/>
  <c r="AE87" i="70"/>
  <c r="AD87" i="70"/>
  <c r="B87" i="70"/>
  <c r="B95" i="70" s="1"/>
  <c r="B97" i="70" s="1"/>
  <c r="A87" i="70"/>
  <c r="AC85" i="70"/>
  <c r="AB85" i="70"/>
  <c r="AA85" i="70"/>
  <c r="Z85" i="70"/>
  <c r="Y85" i="70"/>
  <c r="X85" i="70"/>
  <c r="W85" i="70"/>
  <c r="V85" i="70"/>
  <c r="U85" i="70"/>
  <c r="T85" i="70"/>
  <c r="S85" i="70"/>
  <c r="R85" i="70"/>
  <c r="Q85" i="70"/>
  <c r="P85" i="70"/>
  <c r="O85" i="70"/>
  <c r="N85" i="70"/>
  <c r="M85" i="70"/>
  <c r="L85" i="70"/>
  <c r="K85" i="70"/>
  <c r="J85" i="70"/>
  <c r="I85" i="70"/>
  <c r="H85" i="70"/>
  <c r="C84" i="70"/>
  <c r="C83" i="70"/>
  <c r="E83" i="70" s="1"/>
  <c r="E82" i="70"/>
  <c r="AC81" i="70"/>
  <c r="AB81" i="70"/>
  <c r="AA81" i="70"/>
  <c r="Z81" i="70"/>
  <c r="Y81" i="70"/>
  <c r="X81" i="70"/>
  <c r="W81" i="70"/>
  <c r="V81" i="70"/>
  <c r="U81" i="70"/>
  <c r="T81" i="70"/>
  <c r="S81" i="70"/>
  <c r="R81" i="70"/>
  <c r="Q81" i="70"/>
  <c r="P81" i="70"/>
  <c r="O81" i="70"/>
  <c r="N81" i="70"/>
  <c r="M81" i="70"/>
  <c r="L81" i="70"/>
  <c r="K81" i="70"/>
  <c r="J81" i="70"/>
  <c r="I81" i="70"/>
  <c r="H81" i="70"/>
  <c r="AC80" i="70"/>
  <c r="AB80" i="70"/>
  <c r="AA80" i="70"/>
  <c r="Z80" i="70"/>
  <c r="Y80" i="70"/>
  <c r="X80" i="70"/>
  <c r="W80" i="70"/>
  <c r="V80" i="70"/>
  <c r="U80" i="70"/>
  <c r="T80" i="70"/>
  <c r="S80" i="70"/>
  <c r="R80" i="70"/>
  <c r="Q80" i="70"/>
  <c r="P80" i="70"/>
  <c r="O80" i="70"/>
  <c r="N80" i="70"/>
  <c r="M80" i="70"/>
  <c r="L80" i="70"/>
  <c r="K80" i="70"/>
  <c r="J80" i="70"/>
  <c r="I80" i="70"/>
  <c r="H80" i="70"/>
  <c r="AC79" i="70"/>
  <c r="AB79" i="70"/>
  <c r="AA79" i="70"/>
  <c r="Z79" i="70"/>
  <c r="Y79" i="70"/>
  <c r="X79" i="70"/>
  <c r="W79" i="70"/>
  <c r="V79" i="70"/>
  <c r="U79" i="70"/>
  <c r="T79" i="70"/>
  <c r="S79" i="70"/>
  <c r="R79" i="70"/>
  <c r="Q79" i="70"/>
  <c r="P79" i="70"/>
  <c r="O79" i="70"/>
  <c r="N79" i="70"/>
  <c r="M79" i="70"/>
  <c r="L79" i="70"/>
  <c r="K79" i="70"/>
  <c r="J79" i="70"/>
  <c r="I79" i="70"/>
  <c r="H79" i="70"/>
  <c r="AC78" i="70"/>
  <c r="AB78" i="70"/>
  <c r="AA78" i="70"/>
  <c r="Z78" i="70"/>
  <c r="Y78" i="70"/>
  <c r="X78" i="70"/>
  <c r="W78" i="70"/>
  <c r="V78" i="70"/>
  <c r="U78" i="70"/>
  <c r="T78" i="70"/>
  <c r="S78" i="70"/>
  <c r="R78" i="70"/>
  <c r="Q78" i="70"/>
  <c r="P78" i="70"/>
  <c r="O78" i="70"/>
  <c r="N78" i="70"/>
  <c r="M78" i="70"/>
  <c r="L78" i="70"/>
  <c r="K78" i="70"/>
  <c r="J78" i="70"/>
  <c r="I78" i="70"/>
  <c r="H78" i="70"/>
  <c r="AC77" i="70"/>
  <c r="AB77" i="70"/>
  <c r="AA77" i="70"/>
  <c r="Z77" i="70"/>
  <c r="Y77" i="70"/>
  <c r="X77" i="70"/>
  <c r="W77" i="70"/>
  <c r="V77" i="70"/>
  <c r="U77" i="70"/>
  <c r="T77" i="70"/>
  <c r="S77" i="70"/>
  <c r="R77" i="70"/>
  <c r="Q77" i="70"/>
  <c r="P77" i="70"/>
  <c r="O77" i="70"/>
  <c r="N77" i="70"/>
  <c r="M77" i="70"/>
  <c r="L77" i="70"/>
  <c r="K77" i="70"/>
  <c r="J77" i="70"/>
  <c r="I77" i="70"/>
  <c r="H77" i="70"/>
  <c r="AC76" i="70"/>
  <c r="AB76" i="70"/>
  <c r="AA76" i="70"/>
  <c r="Z76" i="70"/>
  <c r="Y76" i="70"/>
  <c r="X76" i="70"/>
  <c r="W76" i="70"/>
  <c r="V76" i="70"/>
  <c r="U76" i="70"/>
  <c r="T76" i="70"/>
  <c r="S76" i="70"/>
  <c r="R76" i="70"/>
  <c r="Q76" i="70"/>
  <c r="P76" i="70"/>
  <c r="O76" i="70"/>
  <c r="N76" i="70"/>
  <c r="M76" i="70"/>
  <c r="L76" i="70"/>
  <c r="K76" i="70"/>
  <c r="J76" i="70"/>
  <c r="I76" i="70"/>
  <c r="H76" i="70"/>
  <c r="AC75" i="70"/>
  <c r="AB75" i="70"/>
  <c r="AA75" i="70"/>
  <c r="Z75" i="70"/>
  <c r="Y75" i="70"/>
  <c r="X75" i="70"/>
  <c r="W75" i="70"/>
  <c r="V75" i="70"/>
  <c r="U75" i="70"/>
  <c r="T75" i="70"/>
  <c r="S75" i="70"/>
  <c r="R75" i="70"/>
  <c r="Q75" i="70"/>
  <c r="P75" i="70"/>
  <c r="O75" i="70"/>
  <c r="N75" i="70"/>
  <c r="M75" i="70"/>
  <c r="L75" i="70"/>
  <c r="K75" i="70"/>
  <c r="J75" i="70"/>
  <c r="I75" i="70"/>
  <c r="H75" i="70"/>
  <c r="AC74" i="70"/>
  <c r="AB74" i="70"/>
  <c r="AA74" i="70"/>
  <c r="Z74" i="70"/>
  <c r="Y74" i="70"/>
  <c r="X74" i="70"/>
  <c r="W74" i="70"/>
  <c r="V74" i="70"/>
  <c r="U74" i="70"/>
  <c r="T74" i="70"/>
  <c r="S74" i="70"/>
  <c r="R74" i="70"/>
  <c r="Q74" i="70"/>
  <c r="P74" i="70"/>
  <c r="O74" i="70"/>
  <c r="N74" i="70"/>
  <c r="M74" i="70"/>
  <c r="L74" i="70"/>
  <c r="K74" i="70"/>
  <c r="J74" i="70"/>
  <c r="I74" i="70"/>
  <c r="H74" i="70"/>
  <c r="AC73" i="70"/>
  <c r="AB73" i="70"/>
  <c r="AA73" i="70"/>
  <c r="Z73" i="70"/>
  <c r="Y73" i="70"/>
  <c r="X73" i="70"/>
  <c r="W73" i="70"/>
  <c r="V73" i="70"/>
  <c r="U73" i="70"/>
  <c r="T73" i="70"/>
  <c r="S73" i="70"/>
  <c r="R73" i="70"/>
  <c r="Q73" i="70"/>
  <c r="P73" i="70"/>
  <c r="O73" i="70"/>
  <c r="N73" i="70"/>
  <c r="M73" i="70"/>
  <c r="L73" i="70"/>
  <c r="K73" i="70"/>
  <c r="J73" i="70"/>
  <c r="I73" i="70"/>
  <c r="H73" i="70"/>
  <c r="AC72" i="70"/>
  <c r="AB72" i="70"/>
  <c r="AA72" i="70"/>
  <c r="Z72" i="70"/>
  <c r="Y72" i="70"/>
  <c r="X72" i="70"/>
  <c r="W72" i="70"/>
  <c r="V72" i="70"/>
  <c r="U72" i="70"/>
  <c r="T72" i="70"/>
  <c r="S72" i="70"/>
  <c r="R72" i="70"/>
  <c r="Q72" i="70"/>
  <c r="P72" i="70"/>
  <c r="O72" i="70"/>
  <c r="N72" i="70"/>
  <c r="M72" i="70"/>
  <c r="L72" i="70"/>
  <c r="K72" i="70"/>
  <c r="J72" i="70"/>
  <c r="I72" i="70"/>
  <c r="H72" i="70"/>
  <c r="AC71" i="70"/>
  <c r="AB71" i="70"/>
  <c r="AA71" i="70"/>
  <c r="Z71" i="70"/>
  <c r="Y71" i="70"/>
  <c r="X71" i="70"/>
  <c r="W71" i="70"/>
  <c r="V71" i="70"/>
  <c r="U71" i="70"/>
  <c r="T71" i="70"/>
  <c r="S71" i="70"/>
  <c r="R71" i="70"/>
  <c r="Q71" i="70"/>
  <c r="P71" i="70"/>
  <c r="O71" i="70"/>
  <c r="N71" i="70"/>
  <c r="M71" i="70"/>
  <c r="L71" i="70"/>
  <c r="K71" i="70"/>
  <c r="J71" i="70"/>
  <c r="I71" i="70"/>
  <c r="H71" i="70"/>
  <c r="AC65" i="70"/>
  <c r="AB65" i="70"/>
  <c r="AA65" i="70"/>
  <c r="Z65" i="70"/>
  <c r="Y65" i="70"/>
  <c r="X65" i="70"/>
  <c r="W65" i="70"/>
  <c r="V65" i="70"/>
  <c r="U65" i="70"/>
  <c r="T65" i="70"/>
  <c r="S65" i="70"/>
  <c r="R65" i="70"/>
  <c r="Q65" i="70"/>
  <c r="P65" i="70"/>
  <c r="O65" i="70"/>
  <c r="N65" i="70"/>
  <c r="M65" i="70"/>
  <c r="L65" i="70"/>
  <c r="K65" i="70"/>
  <c r="J65" i="70"/>
  <c r="I65" i="70"/>
  <c r="H65" i="70"/>
  <c r="D65" i="70"/>
  <c r="AC64" i="70"/>
  <c r="AB64" i="70"/>
  <c r="AA64" i="70"/>
  <c r="Z64" i="70"/>
  <c r="Y64" i="70"/>
  <c r="X64" i="70"/>
  <c r="W64" i="70"/>
  <c r="V64" i="70"/>
  <c r="U64" i="70"/>
  <c r="T64" i="70"/>
  <c r="S64" i="70"/>
  <c r="R64" i="70"/>
  <c r="Q64" i="70"/>
  <c r="P64" i="70"/>
  <c r="O64" i="70"/>
  <c r="N64" i="70"/>
  <c r="M64" i="70"/>
  <c r="L64" i="70"/>
  <c r="K64" i="70"/>
  <c r="J64" i="70"/>
  <c r="I64" i="70"/>
  <c r="H64" i="70"/>
  <c r="D64" i="70"/>
  <c r="D80" i="70" s="1"/>
  <c r="E80" i="70" s="1"/>
  <c r="AC63" i="70"/>
  <c r="AB63" i="70"/>
  <c r="AA63" i="70"/>
  <c r="Z63" i="70"/>
  <c r="Y63" i="70"/>
  <c r="X63" i="70"/>
  <c r="W63" i="70"/>
  <c r="V63" i="70"/>
  <c r="U63" i="70"/>
  <c r="T63" i="70"/>
  <c r="S63" i="70"/>
  <c r="R63" i="70"/>
  <c r="Q63" i="70"/>
  <c r="P63" i="70"/>
  <c r="O63" i="70"/>
  <c r="N63" i="70"/>
  <c r="M63" i="70"/>
  <c r="L63" i="70"/>
  <c r="K63" i="70"/>
  <c r="J63" i="70"/>
  <c r="I63" i="70"/>
  <c r="H63" i="70"/>
  <c r="D63" i="70"/>
  <c r="AC62" i="70"/>
  <c r="AB62" i="70"/>
  <c r="AA62" i="70"/>
  <c r="Z62" i="70"/>
  <c r="Y62" i="70"/>
  <c r="X62" i="70"/>
  <c r="W62" i="70"/>
  <c r="V62" i="70"/>
  <c r="U62" i="70"/>
  <c r="T62" i="70"/>
  <c r="S62" i="70"/>
  <c r="R62" i="70"/>
  <c r="Q62" i="70"/>
  <c r="P62" i="70"/>
  <c r="O62" i="70"/>
  <c r="N62" i="70"/>
  <c r="M62" i="70"/>
  <c r="L62" i="70"/>
  <c r="K62" i="70"/>
  <c r="J62" i="70"/>
  <c r="I62" i="70"/>
  <c r="H62" i="70"/>
  <c r="D62" i="70"/>
  <c r="D78" i="70" s="1"/>
  <c r="E78" i="70" s="1"/>
  <c r="AC61" i="70"/>
  <c r="AB61" i="70"/>
  <c r="AA61" i="70"/>
  <c r="Z61" i="70"/>
  <c r="Y61" i="70"/>
  <c r="X61" i="70"/>
  <c r="W61" i="70"/>
  <c r="V61" i="70"/>
  <c r="U61" i="70"/>
  <c r="T61" i="70"/>
  <c r="S61" i="70"/>
  <c r="R61" i="70"/>
  <c r="Q61" i="70"/>
  <c r="P61" i="70"/>
  <c r="O61" i="70"/>
  <c r="N61" i="70"/>
  <c r="M61" i="70"/>
  <c r="L61" i="70"/>
  <c r="K61" i="70"/>
  <c r="J61" i="70"/>
  <c r="I61" i="70"/>
  <c r="H61" i="70"/>
  <c r="E61" i="70"/>
  <c r="D61" i="70"/>
  <c r="D77" i="70" s="1"/>
  <c r="E77" i="70" s="1"/>
  <c r="AC60" i="70"/>
  <c r="AB60" i="70"/>
  <c r="AA60" i="70"/>
  <c r="Z60" i="70"/>
  <c r="Y60" i="70"/>
  <c r="X60" i="70"/>
  <c r="W60" i="70"/>
  <c r="V60" i="70"/>
  <c r="U60" i="70"/>
  <c r="T60" i="70"/>
  <c r="S60" i="70"/>
  <c r="R60" i="70"/>
  <c r="Q60" i="70"/>
  <c r="P60" i="70"/>
  <c r="O60" i="70"/>
  <c r="N60" i="70"/>
  <c r="M60" i="70"/>
  <c r="L60" i="70"/>
  <c r="K60" i="70"/>
  <c r="J60" i="70"/>
  <c r="I60" i="70"/>
  <c r="H60" i="70"/>
  <c r="D60" i="70"/>
  <c r="AC59" i="70"/>
  <c r="AB59" i="70"/>
  <c r="AA59" i="70"/>
  <c r="Z59" i="70"/>
  <c r="Y59" i="70"/>
  <c r="X59" i="70"/>
  <c r="W59" i="70"/>
  <c r="V59" i="70"/>
  <c r="U59" i="70"/>
  <c r="T59" i="70"/>
  <c r="S59" i="70"/>
  <c r="R59" i="70"/>
  <c r="Q59" i="70"/>
  <c r="P59" i="70"/>
  <c r="O59" i="70"/>
  <c r="N59" i="70"/>
  <c r="M59" i="70"/>
  <c r="L59" i="70"/>
  <c r="K59" i="70"/>
  <c r="J59" i="70"/>
  <c r="I59" i="70"/>
  <c r="H59" i="70"/>
  <c r="E59" i="70"/>
  <c r="D59" i="70"/>
  <c r="D75" i="70" s="1"/>
  <c r="E75" i="70" s="1"/>
  <c r="AC58" i="70"/>
  <c r="AB58" i="70"/>
  <c r="AA58" i="70"/>
  <c r="Z58" i="70"/>
  <c r="Y58" i="70"/>
  <c r="X58" i="70"/>
  <c r="W58" i="70"/>
  <c r="V58" i="70"/>
  <c r="U58" i="70"/>
  <c r="T58" i="70"/>
  <c r="S58" i="70"/>
  <c r="R58" i="70"/>
  <c r="Q58" i="70"/>
  <c r="P58" i="70"/>
  <c r="O58" i="70"/>
  <c r="N58" i="70"/>
  <c r="M58" i="70"/>
  <c r="L58" i="70"/>
  <c r="K58" i="70"/>
  <c r="J58" i="70"/>
  <c r="I58" i="70"/>
  <c r="H58" i="70"/>
  <c r="E58" i="70"/>
  <c r="D58" i="70"/>
  <c r="D74" i="70" s="1"/>
  <c r="E74" i="70" s="1"/>
  <c r="AC57" i="70"/>
  <c r="AB57" i="70"/>
  <c r="AA57" i="70"/>
  <c r="Z57" i="70"/>
  <c r="Y57" i="70"/>
  <c r="X57" i="70"/>
  <c r="W57" i="70"/>
  <c r="V57" i="70"/>
  <c r="U57" i="70"/>
  <c r="T57" i="70"/>
  <c r="S57" i="70"/>
  <c r="R57" i="70"/>
  <c r="Q57" i="70"/>
  <c r="P57" i="70"/>
  <c r="O57" i="70"/>
  <c r="N57" i="70"/>
  <c r="M57" i="70"/>
  <c r="L57" i="70"/>
  <c r="K57" i="70"/>
  <c r="J57" i="70"/>
  <c r="I57" i="70"/>
  <c r="H57" i="70"/>
  <c r="E57" i="70"/>
  <c r="D57" i="70"/>
  <c r="D73" i="70" s="1"/>
  <c r="E73" i="70" s="1"/>
  <c r="AC56" i="70"/>
  <c r="AB56" i="70"/>
  <c r="AA56" i="70"/>
  <c r="Z56" i="70"/>
  <c r="Y56" i="70"/>
  <c r="X56" i="70"/>
  <c r="W56" i="70"/>
  <c r="V56" i="70"/>
  <c r="U56" i="70"/>
  <c r="T56" i="70"/>
  <c r="S56" i="70"/>
  <c r="R56" i="70"/>
  <c r="Q56" i="70"/>
  <c r="P56" i="70"/>
  <c r="O56" i="70"/>
  <c r="N56" i="70"/>
  <c r="M56" i="70"/>
  <c r="L56" i="70"/>
  <c r="K56" i="70"/>
  <c r="J56" i="70"/>
  <c r="I56" i="70"/>
  <c r="H56" i="70"/>
  <c r="D56" i="70"/>
  <c r="D72" i="70" s="1"/>
  <c r="E72" i="70" s="1"/>
  <c r="AC55" i="70"/>
  <c r="AB55" i="70"/>
  <c r="AA55" i="70"/>
  <c r="Z55" i="70"/>
  <c r="Y55" i="70"/>
  <c r="X55" i="70"/>
  <c r="W55" i="70"/>
  <c r="V55" i="70"/>
  <c r="U55" i="70"/>
  <c r="T55" i="70"/>
  <c r="S55" i="70"/>
  <c r="R55" i="70"/>
  <c r="Q55" i="70"/>
  <c r="P55" i="70"/>
  <c r="O55" i="70"/>
  <c r="N55" i="70"/>
  <c r="M55" i="70"/>
  <c r="L55" i="70"/>
  <c r="K55" i="70"/>
  <c r="J55" i="70"/>
  <c r="I55" i="70"/>
  <c r="H55" i="70"/>
  <c r="E55" i="70"/>
  <c r="D55" i="70"/>
  <c r="D71" i="70" s="1"/>
  <c r="E71" i="70" s="1"/>
  <c r="E54" i="70"/>
  <c r="D54" i="70"/>
  <c r="D70" i="70" s="1"/>
  <c r="E70" i="70" s="1"/>
  <c r="E53" i="70"/>
  <c r="D53" i="70"/>
  <c r="D69" i="70" s="1"/>
  <c r="E69" i="70" s="1"/>
  <c r="E52" i="70"/>
  <c r="D52" i="70"/>
  <c r="D68" i="70" s="1"/>
  <c r="E68" i="70" s="1"/>
  <c r="F51" i="70"/>
  <c r="F52" i="70" s="1"/>
  <c r="F53" i="70" s="1"/>
  <c r="F54" i="70" s="1"/>
  <c r="F55" i="70" s="1"/>
  <c r="F56" i="70" s="1"/>
  <c r="F57" i="70" s="1"/>
  <c r="F58" i="70" s="1"/>
  <c r="F59" i="70" s="1"/>
  <c r="F60" i="70" s="1"/>
  <c r="F61" i="70" s="1"/>
  <c r="F62" i="70" s="1"/>
  <c r="F63" i="70" s="1"/>
  <c r="F64" i="70" s="1"/>
  <c r="F65" i="70" s="1"/>
  <c r="F66" i="70" s="1"/>
  <c r="F67" i="70" s="1"/>
  <c r="F68" i="70" s="1"/>
  <c r="F69" i="70" s="1"/>
  <c r="F70" i="70" s="1"/>
  <c r="F71" i="70" s="1"/>
  <c r="F72" i="70" s="1"/>
  <c r="F73" i="70" s="1"/>
  <c r="F74" i="70" s="1"/>
  <c r="F75" i="70" s="1"/>
  <c r="F76" i="70" s="1"/>
  <c r="F77" i="70" s="1"/>
  <c r="F78" i="70" s="1"/>
  <c r="F79" i="70" s="1"/>
  <c r="F80" i="70" s="1"/>
  <c r="F81" i="70" s="1"/>
  <c r="F82" i="70" s="1"/>
  <c r="F83" i="70" s="1"/>
  <c r="F84" i="70" s="1"/>
  <c r="F85" i="70" s="1"/>
  <c r="E51" i="70"/>
  <c r="D51" i="70"/>
  <c r="D67" i="70" s="1"/>
  <c r="E67" i="70" s="1"/>
  <c r="D50" i="70"/>
  <c r="B50" i="70"/>
  <c r="B51" i="70" s="1"/>
  <c r="B52" i="70" s="1"/>
  <c r="B53" i="70" s="1"/>
  <c r="B54" i="70" s="1"/>
  <c r="B55" i="70" s="1"/>
  <c r="B56" i="70" s="1"/>
  <c r="B57" i="70" s="1"/>
  <c r="B58" i="70" s="1"/>
  <c r="B59" i="70" s="1"/>
  <c r="B60" i="70" s="1"/>
  <c r="B61" i="70" s="1"/>
  <c r="B62" i="70" s="1"/>
  <c r="B63" i="70" s="1"/>
  <c r="B64" i="70" s="1"/>
  <c r="B65" i="70" s="1"/>
  <c r="B66" i="70" s="1"/>
  <c r="B67" i="70" s="1"/>
  <c r="B68" i="70" s="1"/>
  <c r="B69" i="70" s="1"/>
  <c r="B70" i="70" s="1"/>
  <c r="B71" i="70" s="1"/>
  <c r="B72" i="70" s="1"/>
  <c r="B73" i="70" s="1"/>
  <c r="B74" i="70" s="1"/>
  <c r="B75" i="70" s="1"/>
  <c r="B76" i="70" s="1"/>
  <c r="B77" i="70" s="1"/>
  <c r="B78" i="70" s="1"/>
  <c r="B79" i="70" s="1"/>
  <c r="B80" i="70" s="1"/>
  <c r="B81" i="70" s="1"/>
  <c r="B82" i="70" s="1"/>
  <c r="B83" i="70" s="1"/>
  <c r="B84" i="70" s="1"/>
  <c r="B85" i="70" s="1"/>
  <c r="A50" i="70"/>
  <c r="A51" i="70" s="1"/>
  <c r="A52" i="70" s="1"/>
  <c r="A53" i="70" s="1"/>
  <c r="A54" i="70" s="1"/>
  <c r="A55" i="70" s="1"/>
  <c r="A56" i="70" s="1"/>
  <c r="A57" i="70" s="1"/>
  <c r="A58" i="70" s="1"/>
  <c r="A59" i="70" s="1"/>
  <c r="A60" i="70" s="1"/>
  <c r="A61" i="70" s="1"/>
  <c r="A62" i="70" s="1"/>
  <c r="A63" i="70" s="1"/>
  <c r="A64" i="70" s="1"/>
  <c r="A65" i="70" s="1"/>
  <c r="A66" i="70" s="1"/>
  <c r="A67" i="70" s="1"/>
  <c r="A68" i="70" s="1"/>
  <c r="A69" i="70" s="1"/>
  <c r="A70" i="70" s="1"/>
  <c r="A71" i="70" s="1"/>
  <c r="A72" i="70" s="1"/>
  <c r="A73" i="70" s="1"/>
  <c r="A74" i="70" s="1"/>
  <c r="A75" i="70" s="1"/>
  <c r="A76" i="70" s="1"/>
  <c r="A77" i="70" s="1"/>
  <c r="A78" i="70" s="1"/>
  <c r="A79" i="70" s="1"/>
  <c r="A80" i="70" s="1"/>
  <c r="A81" i="70" s="1"/>
  <c r="A82" i="70" s="1"/>
  <c r="A83" i="70" s="1"/>
  <c r="A84" i="70" s="1"/>
  <c r="A85" i="70" s="1"/>
  <c r="AC48" i="70"/>
  <c r="AB48" i="70"/>
  <c r="AA48" i="70"/>
  <c r="Z48" i="70"/>
  <c r="Y48" i="70"/>
  <c r="X48" i="70"/>
  <c r="W48" i="70"/>
  <c r="V48" i="70"/>
  <c r="U48" i="70"/>
  <c r="T48" i="70"/>
  <c r="S48" i="70"/>
  <c r="R48" i="70"/>
  <c r="Q48" i="70"/>
  <c r="P48" i="70"/>
  <c r="O48" i="70"/>
  <c r="N48" i="70"/>
  <c r="M48" i="70"/>
  <c r="L48" i="70"/>
  <c r="K48" i="70"/>
  <c r="J48" i="70"/>
  <c r="I48" i="70"/>
  <c r="H48" i="70"/>
  <c r="E48" i="70"/>
  <c r="B48" i="70"/>
  <c r="E47" i="70"/>
  <c r="B47" i="70"/>
  <c r="E46" i="70"/>
  <c r="B46" i="70"/>
  <c r="A46" i="70"/>
  <c r="E45" i="70"/>
  <c r="B45" i="70"/>
  <c r="A45" i="70"/>
  <c r="A47" i="70" s="1"/>
  <c r="A48" i="70" s="1"/>
  <c r="BP43" i="70"/>
  <c r="BP84" i="70" s="1"/>
  <c r="BO43" i="70"/>
  <c r="BO84" i="70" s="1"/>
  <c r="BN43" i="70"/>
  <c r="BN84" i="70" s="1"/>
  <c r="BM43" i="70"/>
  <c r="BM84" i="70" s="1"/>
  <c r="BL43" i="70"/>
  <c r="BL84" i="70" s="1"/>
  <c r="BK43" i="70"/>
  <c r="BK84" i="70" s="1"/>
  <c r="BJ43" i="70"/>
  <c r="BJ84" i="70" s="1"/>
  <c r="BI43" i="70"/>
  <c r="BI84" i="70" s="1"/>
  <c r="BH43" i="70"/>
  <c r="BH84" i="70" s="1"/>
  <c r="BG43" i="70"/>
  <c r="BG84" i="70" s="1"/>
  <c r="BF43" i="70"/>
  <c r="BF84" i="70" s="1"/>
  <c r="BE43" i="70"/>
  <c r="BE84" i="70" s="1"/>
  <c r="BD43" i="70"/>
  <c r="BD84" i="70" s="1"/>
  <c r="BC43" i="70"/>
  <c r="BC84" i="70" s="1"/>
  <c r="BB43" i="70"/>
  <c r="BB84" i="70" s="1"/>
  <c r="BA43" i="70"/>
  <c r="BA84" i="70" s="1"/>
  <c r="AZ43" i="70"/>
  <c r="AZ84" i="70" s="1"/>
  <c r="AY43" i="70"/>
  <c r="AY84" i="70" s="1"/>
  <c r="AX43" i="70"/>
  <c r="AX84" i="70" s="1"/>
  <c r="AW43" i="70"/>
  <c r="AW84" i="70" s="1"/>
  <c r="AV43" i="70"/>
  <c r="AV84" i="70" s="1"/>
  <c r="AU43" i="70"/>
  <c r="AU84" i="70" s="1"/>
  <c r="AT43" i="70"/>
  <c r="AT84" i="70" s="1"/>
  <c r="AS43" i="70"/>
  <c r="AS84" i="70" s="1"/>
  <c r="AR43" i="70"/>
  <c r="AR84" i="70" s="1"/>
  <c r="AQ43" i="70"/>
  <c r="AQ84" i="70" s="1"/>
  <c r="AP43" i="70"/>
  <c r="AP84" i="70" s="1"/>
  <c r="AO43" i="70"/>
  <c r="AO84" i="70" s="1"/>
  <c r="AN43" i="70"/>
  <c r="AN84" i="70" s="1"/>
  <c r="AM43" i="70"/>
  <c r="AM84" i="70" s="1"/>
  <c r="AL43" i="70"/>
  <c r="AL84" i="70" s="1"/>
  <c r="AK43" i="70"/>
  <c r="AK84" i="70" s="1"/>
  <c r="AJ43" i="70"/>
  <c r="AJ84" i="70" s="1"/>
  <c r="AI43" i="70"/>
  <c r="AI84" i="70" s="1"/>
  <c r="AH43" i="70"/>
  <c r="AH84" i="70" s="1"/>
  <c r="AG43" i="70"/>
  <c r="AG84" i="70" s="1"/>
  <c r="AF43" i="70"/>
  <c r="AF84" i="70" s="1"/>
  <c r="AE43" i="70"/>
  <c r="AE84" i="70" s="1"/>
  <c r="AD43" i="70"/>
  <c r="AD84" i="70" s="1"/>
  <c r="AF42" i="70"/>
  <c r="AE42" i="70"/>
  <c r="AE83" i="70" s="1"/>
  <c r="AD42" i="70"/>
  <c r="AD83" i="70" s="1"/>
  <c r="A41" i="70"/>
  <c r="A42" i="70" s="1"/>
  <c r="A43" i="70" s="1"/>
  <c r="BP39" i="70"/>
  <c r="AW1444" i="67" s="1"/>
  <c r="BO39" i="70"/>
  <c r="AV1444" i="67" s="1"/>
  <c r="BN39" i="70"/>
  <c r="AU1444" i="67" s="1"/>
  <c r="BM39" i="70"/>
  <c r="AT1444" i="67" s="1"/>
  <c r="BL39" i="70"/>
  <c r="AS1444" i="67" s="1"/>
  <c r="BK39" i="70"/>
  <c r="AR1444" i="67" s="1"/>
  <c r="BJ39" i="70"/>
  <c r="AQ1444" i="67" s="1"/>
  <c r="BI39" i="70"/>
  <c r="AP1444" i="67" s="1"/>
  <c r="BH39" i="70"/>
  <c r="AO1444" i="67" s="1"/>
  <c r="BG39" i="70"/>
  <c r="AN1444" i="67" s="1"/>
  <c r="BF39" i="70"/>
  <c r="AM1444" i="67" s="1"/>
  <c r="BE39" i="70"/>
  <c r="AL1444" i="67" s="1"/>
  <c r="BD39" i="70"/>
  <c r="AK1444" i="67" s="1"/>
  <c r="BC39" i="70"/>
  <c r="AJ1444" i="67" s="1"/>
  <c r="BB39" i="70"/>
  <c r="AI1444" i="67" s="1"/>
  <c r="BA39" i="70"/>
  <c r="AH1444" i="67" s="1"/>
  <c r="AZ39" i="70"/>
  <c r="AG1444" i="67" s="1"/>
  <c r="AY39" i="70"/>
  <c r="AF1444" i="67" s="1"/>
  <c r="AX39" i="70"/>
  <c r="AE1444" i="67" s="1"/>
  <c r="AW39" i="70"/>
  <c r="AD1444" i="67" s="1"/>
  <c r="AV39" i="70"/>
  <c r="AC1444" i="67" s="1"/>
  <c r="AU39" i="70"/>
  <c r="AB1444" i="67" s="1"/>
  <c r="AT39" i="70"/>
  <c r="AA1444" i="67" s="1"/>
  <c r="AS39" i="70"/>
  <c r="Z1444" i="67" s="1"/>
  <c r="AR39" i="70"/>
  <c r="Y1444" i="67" s="1"/>
  <c r="AQ39" i="70"/>
  <c r="X1444" i="67" s="1"/>
  <c r="AP39" i="70"/>
  <c r="W1444" i="67" s="1"/>
  <c r="AO39" i="70"/>
  <c r="V1444" i="67" s="1"/>
  <c r="AN39" i="70"/>
  <c r="U1444" i="67" s="1"/>
  <c r="AM39" i="70"/>
  <c r="T1444" i="67" s="1"/>
  <c r="AL39" i="70"/>
  <c r="S1444" i="67" s="1"/>
  <c r="AK39" i="70"/>
  <c r="R1444" i="67" s="1"/>
  <c r="AJ39" i="70"/>
  <c r="Q1444" i="67" s="1"/>
  <c r="AI39" i="70"/>
  <c r="P1444" i="67" s="1"/>
  <c r="AH39" i="70"/>
  <c r="O1444" i="67" s="1"/>
  <c r="AG39" i="70"/>
  <c r="N1444" i="67" s="1"/>
  <c r="AF39" i="70"/>
  <c r="M1444" i="67" s="1"/>
  <c r="AE39" i="70"/>
  <c r="L1444" i="67" s="1"/>
  <c r="AD39" i="70"/>
  <c r="K1444" i="67" s="1"/>
  <c r="E39" i="70"/>
  <c r="C39" i="70"/>
  <c r="C35" i="70" s="1"/>
  <c r="BP38" i="70"/>
  <c r="AW1443" i="67" s="1"/>
  <c r="BO38" i="70"/>
  <c r="AV1443" i="67" s="1"/>
  <c r="BN38" i="70"/>
  <c r="AU1443" i="67" s="1"/>
  <c r="BM38" i="70"/>
  <c r="AT1443" i="67" s="1"/>
  <c r="BL38" i="70"/>
  <c r="AS1443" i="67" s="1"/>
  <c r="BK38" i="70"/>
  <c r="AR1443" i="67" s="1"/>
  <c r="BJ38" i="70"/>
  <c r="AQ1443" i="67" s="1"/>
  <c r="BI38" i="70"/>
  <c r="AP1443" i="67" s="1"/>
  <c r="BH38" i="70"/>
  <c r="AO1443" i="67" s="1"/>
  <c r="BG38" i="70"/>
  <c r="AN1443" i="67" s="1"/>
  <c r="BF38" i="70"/>
  <c r="AM1443" i="67" s="1"/>
  <c r="BE38" i="70"/>
  <c r="AL1443" i="67" s="1"/>
  <c r="BD38" i="70"/>
  <c r="AK1443" i="67" s="1"/>
  <c r="BC38" i="70"/>
  <c r="AJ1443" i="67" s="1"/>
  <c r="BB38" i="70"/>
  <c r="AI1443" i="67" s="1"/>
  <c r="BA38" i="70"/>
  <c r="AH1443" i="67" s="1"/>
  <c r="AZ38" i="70"/>
  <c r="AG1443" i="67" s="1"/>
  <c r="AY38" i="70"/>
  <c r="AF1443" i="67" s="1"/>
  <c r="AX38" i="70"/>
  <c r="AE1443" i="67" s="1"/>
  <c r="AW38" i="70"/>
  <c r="AD1443" i="67" s="1"/>
  <c r="AV38" i="70"/>
  <c r="AC1443" i="67" s="1"/>
  <c r="AU38" i="70"/>
  <c r="AB1443" i="67" s="1"/>
  <c r="AT38" i="70"/>
  <c r="AA1443" i="67" s="1"/>
  <c r="AS38" i="70"/>
  <c r="Z1443" i="67" s="1"/>
  <c r="AR38" i="70"/>
  <c r="Y1443" i="67" s="1"/>
  <c r="AQ38" i="70"/>
  <c r="X1443" i="67" s="1"/>
  <c r="AP38" i="70"/>
  <c r="W1443" i="67" s="1"/>
  <c r="AO38" i="70"/>
  <c r="V1443" i="67" s="1"/>
  <c r="AN38" i="70"/>
  <c r="U1443" i="67" s="1"/>
  <c r="AM38" i="70"/>
  <c r="T1443" i="67" s="1"/>
  <c r="AL38" i="70"/>
  <c r="S1443" i="67" s="1"/>
  <c r="AK38" i="70"/>
  <c r="R1443" i="67" s="1"/>
  <c r="AJ38" i="70"/>
  <c r="Q1443" i="67" s="1"/>
  <c r="AI38" i="70"/>
  <c r="P1443" i="67" s="1"/>
  <c r="AH38" i="70"/>
  <c r="O1443" i="67" s="1"/>
  <c r="AG38" i="70"/>
  <c r="N1443" i="67" s="1"/>
  <c r="AF38" i="70"/>
  <c r="M1443" i="67" s="1"/>
  <c r="AE38" i="70"/>
  <c r="L1443" i="67" s="1"/>
  <c r="AD38" i="70"/>
  <c r="K1443" i="67" s="1"/>
  <c r="E38" i="70"/>
  <c r="BP37" i="70"/>
  <c r="AW1442" i="67" s="1"/>
  <c r="BO37" i="70"/>
  <c r="AV1442" i="67" s="1"/>
  <c r="BN37" i="70"/>
  <c r="AU1442" i="67" s="1"/>
  <c r="BM37" i="70"/>
  <c r="AT1442" i="67" s="1"/>
  <c r="BL37" i="70"/>
  <c r="AS1442" i="67" s="1"/>
  <c r="BK37" i="70"/>
  <c r="AR1442" i="67" s="1"/>
  <c r="BJ37" i="70"/>
  <c r="AQ1442" i="67" s="1"/>
  <c r="BI37" i="70"/>
  <c r="AP1442" i="67" s="1"/>
  <c r="BH37" i="70"/>
  <c r="AO1442" i="67" s="1"/>
  <c r="BG37" i="70"/>
  <c r="AN1442" i="67" s="1"/>
  <c r="BF37" i="70"/>
  <c r="AM1442" i="67" s="1"/>
  <c r="BE37" i="70"/>
  <c r="AL1442" i="67" s="1"/>
  <c r="BD37" i="70"/>
  <c r="AK1442" i="67" s="1"/>
  <c r="BC37" i="70"/>
  <c r="AJ1442" i="67" s="1"/>
  <c r="BB37" i="70"/>
  <c r="AI1442" i="67" s="1"/>
  <c r="BA37" i="70"/>
  <c r="AH1442" i="67" s="1"/>
  <c r="AZ37" i="70"/>
  <c r="AG1442" i="67" s="1"/>
  <c r="AY37" i="70"/>
  <c r="AF1442" i="67" s="1"/>
  <c r="AX37" i="70"/>
  <c r="AE1442" i="67" s="1"/>
  <c r="AW37" i="70"/>
  <c r="AD1442" i="67" s="1"/>
  <c r="AV37" i="70"/>
  <c r="AC1442" i="67" s="1"/>
  <c r="AU37" i="70"/>
  <c r="AB1442" i="67" s="1"/>
  <c r="AT37" i="70"/>
  <c r="AA1442" i="67" s="1"/>
  <c r="AS37" i="70"/>
  <c r="Z1442" i="67" s="1"/>
  <c r="AR37" i="70"/>
  <c r="Y1442" i="67" s="1"/>
  <c r="AQ37" i="70"/>
  <c r="X1442" i="67" s="1"/>
  <c r="AP37" i="70"/>
  <c r="W1442" i="67" s="1"/>
  <c r="AO37" i="70"/>
  <c r="V1442" i="67" s="1"/>
  <c r="AN37" i="70"/>
  <c r="U1442" i="67" s="1"/>
  <c r="AM37" i="70"/>
  <c r="T1442" i="67" s="1"/>
  <c r="AL37" i="70"/>
  <c r="S1442" i="67" s="1"/>
  <c r="AK37" i="70"/>
  <c r="R1442" i="67" s="1"/>
  <c r="AJ37" i="70"/>
  <c r="Q1442" i="67" s="1"/>
  <c r="AI37" i="70"/>
  <c r="P1442" i="67" s="1"/>
  <c r="AH37" i="70"/>
  <c r="O1442" i="67" s="1"/>
  <c r="AG37" i="70"/>
  <c r="N1442" i="67" s="1"/>
  <c r="AF37" i="70"/>
  <c r="M1442" i="67" s="1"/>
  <c r="AE37" i="70"/>
  <c r="L1442" i="67" s="1"/>
  <c r="AD37" i="70"/>
  <c r="K1442" i="67" s="1"/>
  <c r="E37" i="70"/>
  <c r="C37" i="70"/>
  <c r="C38" i="70" s="1"/>
  <c r="BP36" i="70"/>
  <c r="AW1441" i="67" s="1"/>
  <c r="BO36" i="70"/>
  <c r="AV1441" i="67" s="1"/>
  <c r="BN36" i="70"/>
  <c r="AU1441" i="67" s="1"/>
  <c r="BM36" i="70"/>
  <c r="AT1441" i="67" s="1"/>
  <c r="BL36" i="70"/>
  <c r="AS1441" i="67" s="1"/>
  <c r="BK36" i="70"/>
  <c r="AR1441" i="67" s="1"/>
  <c r="BJ36" i="70"/>
  <c r="AQ1441" i="67" s="1"/>
  <c r="BI36" i="70"/>
  <c r="AP1441" i="67" s="1"/>
  <c r="BH36" i="70"/>
  <c r="AO1441" i="67" s="1"/>
  <c r="BG36" i="70"/>
  <c r="AN1441" i="67" s="1"/>
  <c r="BF36" i="70"/>
  <c r="AM1441" i="67" s="1"/>
  <c r="BE36" i="70"/>
  <c r="AL1441" i="67" s="1"/>
  <c r="BD36" i="70"/>
  <c r="AK1441" i="67" s="1"/>
  <c r="BC36" i="70"/>
  <c r="AJ1441" i="67" s="1"/>
  <c r="BB36" i="70"/>
  <c r="AI1441" i="67" s="1"/>
  <c r="BA36" i="70"/>
  <c r="AH1441" i="67" s="1"/>
  <c r="AZ36" i="70"/>
  <c r="AG1441" i="67" s="1"/>
  <c r="AY36" i="70"/>
  <c r="AF1441" i="67" s="1"/>
  <c r="AX36" i="70"/>
  <c r="AE1441" i="67" s="1"/>
  <c r="AW36" i="70"/>
  <c r="AD1441" i="67" s="1"/>
  <c r="AV36" i="70"/>
  <c r="AC1441" i="67" s="1"/>
  <c r="AU36" i="70"/>
  <c r="AB1441" i="67" s="1"/>
  <c r="AT36" i="70"/>
  <c r="AA1441" i="67" s="1"/>
  <c r="AS36" i="70"/>
  <c r="Z1441" i="67" s="1"/>
  <c r="AR36" i="70"/>
  <c r="Y1441" i="67" s="1"/>
  <c r="AQ36" i="70"/>
  <c r="X1441" i="67" s="1"/>
  <c r="AP36" i="70"/>
  <c r="W1441" i="67" s="1"/>
  <c r="AO36" i="70"/>
  <c r="V1441" i="67" s="1"/>
  <c r="AN36" i="70"/>
  <c r="U1441" i="67" s="1"/>
  <c r="AM36" i="70"/>
  <c r="T1441" i="67" s="1"/>
  <c r="AL36" i="70"/>
  <c r="S1441" i="67" s="1"/>
  <c r="AK36" i="70"/>
  <c r="R1441" i="67" s="1"/>
  <c r="AJ36" i="70"/>
  <c r="Q1441" i="67" s="1"/>
  <c r="AI36" i="70"/>
  <c r="P1441" i="67" s="1"/>
  <c r="AH36" i="70"/>
  <c r="O1441" i="67" s="1"/>
  <c r="AG36" i="70"/>
  <c r="N1441" i="67" s="1"/>
  <c r="AF36" i="70"/>
  <c r="M1441" i="67" s="1"/>
  <c r="AE36" i="70"/>
  <c r="L1441" i="67" s="1"/>
  <c r="AD36" i="70"/>
  <c r="K1441" i="67" s="1"/>
  <c r="E36" i="70"/>
  <c r="C36" i="70"/>
  <c r="BP35" i="70"/>
  <c r="AW1440" i="67" s="1"/>
  <c r="BO35" i="70"/>
  <c r="AV1440" i="67" s="1"/>
  <c r="BN35" i="70"/>
  <c r="AU1440" i="67" s="1"/>
  <c r="BM35" i="70"/>
  <c r="AT1440" i="67" s="1"/>
  <c r="BL35" i="70"/>
  <c r="AS1440" i="67" s="1"/>
  <c r="BK35" i="70"/>
  <c r="AR1440" i="67" s="1"/>
  <c r="BJ35" i="70"/>
  <c r="AQ1440" i="67" s="1"/>
  <c r="BI35" i="70"/>
  <c r="AP1440" i="67" s="1"/>
  <c r="BH35" i="70"/>
  <c r="AO1440" i="67" s="1"/>
  <c r="BG35" i="70"/>
  <c r="AN1440" i="67" s="1"/>
  <c r="BF35" i="70"/>
  <c r="AM1440" i="67" s="1"/>
  <c r="BE35" i="70"/>
  <c r="AL1440" i="67" s="1"/>
  <c r="BD35" i="70"/>
  <c r="AK1440" i="67" s="1"/>
  <c r="BC35" i="70"/>
  <c r="AJ1440" i="67" s="1"/>
  <c r="BB35" i="70"/>
  <c r="AI1440" i="67" s="1"/>
  <c r="BA35" i="70"/>
  <c r="AH1440" i="67" s="1"/>
  <c r="AZ35" i="70"/>
  <c r="AG1440" i="67" s="1"/>
  <c r="AY35" i="70"/>
  <c r="AF1440" i="67" s="1"/>
  <c r="AX35" i="70"/>
  <c r="AE1440" i="67" s="1"/>
  <c r="AW35" i="70"/>
  <c r="AD1440" i="67" s="1"/>
  <c r="AV35" i="70"/>
  <c r="AC1440" i="67" s="1"/>
  <c r="AU35" i="70"/>
  <c r="AB1440" i="67" s="1"/>
  <c r="AT35" i="70"/>
  <c r="AA1440" i="67" s="1"/>
  <c r="AS35" i="70"/>
  <c r="Z1440" i="67" s="1"/>
  <c r="AR35" i="70"/>
  <c r="Y1440" i="67" s="1"/>
  <c r="AQ35" i="70"/>
  <c r="X1440" i="67" s="1"/>
  <c r="AP35" i="70"/>
  <c r="W1440" i="67" s="1"/>
  <c r="AO35" i="70"/>
  <c r="V1440" i="67" s="1"/>
  <c r="AN35" i="70"/>
  <c r="U1440" i="67" s="1"/>
  <c r="AM35" i="70"/>
  <c r="T1440" i="67" s="1"/>
  <c r="AL35" i="70"/>
  <c r="S1440" i="67" s="1"/>
  <c r="AK35" i="70"/>
  <c r="R1440" i="67" s="1"/>
  <c r="AJ35" i="70"/>
  <c r="Q1440" i="67" s="1"/>
  <c r="AI35" i="70"/>
  <c r="P1440" i="67" s="1"/>
  <c r="AH35" i="70"/>
  <c r="O1440" i="67" s="1"/>
  <c r="AG35" i="70"/>
  <c r="N1440" i="67" s="1"/>
  <c r="AF35" i="70"/>
  <c r="M1440" i="67" s="1"/>
  <c r="AE35" i="70"/>
  <c r="L1440" i="67" s="1"/>
  <c r="AD35" i="70"/>
  <c r="K1440" i="67" s="1"/>
  <c r="E35" i="70"/>
  <c r="BP34" i="70"/>
  <c r="AW1439" i="67" s="1"/>
  <c r="BO34" i="70"/>
  <c r="AV1439" i="67" s="1"/>
  <c r="BN34" i="70"/>
  <c r="AU1439" i="67" s="1"/>
  <c r="BM34" i="70"/>
  <c r="AT1439" i="67" s="1"/>
  <c r="BL34" i="70"/>
  <c r="AS1439" i="67" s="1"/>
  <c r="BK34" i="70"/>
  <c r="AR1439" i="67" s="1"/>
  <c r="BJ34" i="70"/>
  <c r="AQ1439" i="67" s="1"/>
  <c r="BI34" i="70"/>
  <c r="AP1439" i="67" s="1"/>
  <c r="BH34" i="70"/>
  <c r="AO1439" i="67" s="1"/>
  <c r="BG34" i="70"/>
  <c r="AN1439" i="67" s="1"/>
  <c r="BF34" i="70"/>
  <c r="AM1439" i="67" s="1"/>
  <c r="BE34" i="70"/>
  <c r="AL1439" i="67" s="1"/>
  <c r="BD34" i="70"/>
  <c r="AK1439" i="67" s="1"/>
  <c r="BC34" i="70"/>
  <c r="AJ1439" i="67" s="1"/>
  <c r="BB34" i="70"/>
  <c r="AI1439" i="67" s="1"/>
  <c r="BA34" i="70"/>
  <c r="AH1439" i="67" s="1"/>
  <c r="AZ34" i="70"/>
  <c r="AG1439" i="67" s="1"/>
  <c r="AY34" i="70"/>
  <c r="AF1439" i="67" s="1"/>
  <c r="AX34" i="70"/>
  <c r="AE1439" i="67" s="1"/>
  <c r="AW34" i="70"/>
  <c r="AD1439" i="67" s="1"/>
  <c r="AV34" i="70"/>
  <c r="AC1439" i="67" s="1"/>
  <c r="AU34" i="70"/>
  <c r="AB1439" i="67" s="1"/>
  <c r="AT34" i="70"/>
  <c r="AA1439" i="67" s="1"/>
  <c r="AS34" i="70"/>
  <c r="Z1439" i="67" s="1"/>
  <c r="AR34" i="70"/>
  <c r="Y1439" i="67" s="1"/>
  <c r="AQ34" i="70"/>
  <c r="X1439" i="67" s="1"/>
  <c r="AP34" i="70"/>
  <c r="W1439" i="67" s="1"/>
  <c r="AO34" i="70"/>
  <c r="V1439" i="67" s="1"/>
  <c r="AN34" i="70"/>
  <c r="U1439" i="67" s="1"/>
  <c r="AM34" i="70"/>
  <c r="T1439" i="67" s="1"/>
  <c r="AL34" i="70"/>
  <c r="S1439" i="67" s="1"/>
  <c r="AK34" i="70"/>
  <c r="R1439" i="67" s="1"/>
  <c r="AJ34" i="70"/>
  <c r="Q1439" i="67" s="1"/>
  <c r="AI34" i="70"/>
  <c r="P1439" i="67" s="1"/>
  <c r="AH34" i="70"/>
  <c r="O1439" i="67" s="1"/>
  <c r="AG34" i="70"/>
  <c r="N1439" i="67" s="1"/>
  <c r="AF34" i="70"/>
  <c r="M1439" i="67" s="1"/>
  <c r="AE34" i="70"/>
  <c r="L1439" i="67" s="1"/>
  <c r="AD34" i="70"/>
  <c r="K1439" i="67" s="1"/>
  <c r="E34" i="70"/>
  <c r="BP33" i="70"/>
  <c r="AW1438" i="67" s="1"/>
  <c r="BO33" i="70"/>
  <c r="AV1438" i="67" s="1"/>
  <c r="BN33" i="70"/>
  <c r="AU1438" i="67" s="1"/>
  <c r="BM33" i="70"/>
  <c r="AT1438" i="67" s="1"/>
  <c r="BL33" i="70"/>
  <c r="AS1438" i="67" s="1"/>
  <c r="BK33" i="70"/>
  <c r="AR1438" i="67" s="1"/>
  <c r="BJ33" i="70"/>
  <c r="AQ1438" i="67" s="1"/>
  <c r="BI33" i="70"/>
  <c r="AP1438" i="67" s="1"/>
  <c r="BH33" i="70"/>
  <c r="AO1438" i="67" s="1"/>
  <c r="BG33" i="70"/>
  <c r="AN1438" i="67" s="1"/>
  <c r="BF33" i="70"/>
  <c r="AM1438" i="67" s="1"/>
  <c r="BE33" i="70"/>
  <c r="AL1438" i="67" s="1"/>
  <c r="BD33" i="70"/>
  <c r="AK1438" i="67" s="1"/>
  <c r="BC33" i="70"/>
  <c r="AJ1438" i="67" s="1"/>
  <c r="BB33" i="70"/>
  <c r="AI1438" i="67" s="1"/>
  <c r="BA33" i="70"/>
  <c r="AH1438" i="67" s="1"/>
  <c r="AZ33" i="70"/>
  <c r="AG1438" i="67" s="1"/>
  <c r="AY33" i="70"/>
  <c r="AF1438" i="67" s="1"/>
  <c r="AX33" i="70"/>
  <c r="AE1438" i="67" s="1"/>
  <c r="AW33" i="70"/>
  <c r="AD1438" i="67" s="1"/>
  <c r="AV33" i="70"/>
  <c r="AC1438" i="67" s="1"/>
  <c r="AU33" i="70"/>
  <c r="AB1438" i="67" s="1"/>
  <c r="AT33" i="70"/>
  <c r="AA1438" i="67" s="1"/>
  <c r="AS33" i="70"/>
  <c r="Z1438" i="67" s="1"/>
  <c r="AR33" i="70"/>
  <c r="Y1438" i="67" s="1"/>
  <c r="AQ33" i="70"/>
  <c r="X1438" i="67" s="1"/>
  <c r="AP33" i="70"/>
  <c r="W1438" i="67" s="1"/>
  <c r="AO33" i="70"/>
  <c r="V1438" i="67" s="1"/>
  <c r="AN33" i="70"/>
  <c r="U1438" i="67" s="1"/>
  <c r="AM33" i="70"/>
  <c r="T1438" i="67" s="1"/>
  <c r="AL33" i="70"/>
  <c r="S1438" i="67" s="1"/>
  <c r="AK33" i="70"/>
  <c r="R1438" i="67" s="1"/>
  <c r="AJ33" i="70"/>
  <c r="Q1438" i="67" s="1"/>
  <c r="AI33" i="70"/>
  <c r="P1438" i="67" s="1"/>
  <c r="AH33" i="70"/>
  <c r="O1438" i="67" s="1"/>
  <c r="AG33" i="70"/>
  <c r="N1438" i="67" s="1"/>
  <c r="AF33" i="70"/>
  <c r="M1438" i="67" s="1"/>
  <c r="AE33" i="70"/>
  <c r="L1438" i="67" s="1"/>
  <c r="AD33" i="70"/>
  <c r="K1438" i="67" s="1"/>
  <c r="E33" i="70"/>
  <c r="C33" i="70"/>
  <c r="C34" i="70" s="1"/>
  <c r="BP32" i="70"/>
  <c r="AW1437" i="67" s="1"/>
  <c r="BO32" i="70"/>
  <c r="AV1437" i="67" s="1"/>
  <c r="BN32" i="70"/>
  <c r="AU1437" i="67" s="1"/>
  <c r="BM32" i="70"/>
  <c r="AT1437" i="67" s="1"/>
  <c r="BL32" i="70"/>
  <c r="AS1437" i="67" s="1"/>
  <c r="BK32" i="70"/>
  <c r="AR1437" i="67" s="1"/>
  <c r="BJ32" i="70"/>
  <c r="AQ1437" i="67" s="1"/>
  <c r="BI32" i="70"/>
  <c r="AP1437" i="67" s="1"/>
  <c r="BH32" i="70"/>
  <c r="AO1437" i="67" s="1"/>
  <c r="BG32" i="70"/>
  <c r="AN1437" i="67" s="1"/>
  <c r="BF32" i="70"/>
  <c r="AM1437" i="67" s="1"/>
  <c r="BE32" i="70"/>
  <c r="AL1437" i="67" s="1"/>
  <c r="BD32" i="70"/>
  <c r="AK1437" i="67" s="1"/>
  <c r="BC32" i="70"/>
  <c r="AJ1437" i="67" s="1"/>
  <c r="BB32" i="70"/>
  <c r="AI1437" i="67" s="1"/>
  <c r="BA32" i="70"/>
  <c r="AH1437" i="67" s="1"/>
  <c r="AZ32" i="70"/>
  <c r="AG1437" i="67" s="1"/>
  <c r="AY32" i="70"/>
  <c r="AF1437" i="67" s="1"/>
  <c r="AX32" i="70"/>
  <c r="AE1437" i="67" s="1"/>
  <c r="AW32" i="70"/>
  <c r="AD1437" i="67" s="1"/>
  <c r="AV32" i="70"/>
  <c r="AC1437" i="67" s="1"/>
  <c r="AU32" i="70"/>
  <c r="AB1437" i="67" s="1"/>
  <c r="AT32" i="70"/>
  <c r="AA1437" i="67" s="1"/>
  <c r="AS32" i="70"/>
  <c r="Z1437" i="67" s="1"/>
  <c r="AR32" i="70"/>
  <c r="Y1437" i="67" s="1"/>
  <c r="AQ32" i="70"/>
  <c r="X1437" i="67" s="1"/>
  <c r="AP32" i="70"/>
  <c r="W1437" i="67" s="1"/>
  <c r="AO32" i="70"/>
  <c r="V1437" i="67" s="1"/>
  <c r="AN32" i="70"/>
  <c r="U1437" i="67" s="1"/>
  <c r="AM32" i="70"/>
  <c r="T1437" i="67" s="1"/>
  <c r="AL32" i="70"/>
  <c r="S1437" i="67" s="1"/>
  <c r="AK32" i="70"/>
  <c r="R1437" i="67" s="1"/>
  <c r="AJ32" i="70"/>
  <c r="Q1437" i="67" s="1"/>
  <c r="AI32" i="70"/>
  <c r="P1437" i="67" s="1"/>
  <c r="AH32" i="70"/>
  <c r="O1437" i="67" s="1"/>
  <c r="AG32" i="70"/>
  <c r="N1437" i="67" s="1"/>
  <c r="AF32" i="70"/>
  <c r="M1437" i="67" s="1"/>
  <c r="AE32" i="70"/>
  <c r="L1437" i="67" s="1"/>
  <c r="AD32" i="70"/>
  <c r="K1437" i="67" s="1"/>
  <c r="E32" i="70"/>
  <c r="BP31" i="70"/>
  <c r="AW1436" i="67" s="1"/>
  <c r="BO31" i="70"/>
  <c r="AV1436" i="67" s="1"/>
  <c r="BN31" i="70"/>
  <c r="AU1436" i="67" s="1"/>
  <c r="BM31" i="70"/>
  <c r="AT1436" i="67" s="1"/>
  <c r="BL31" i="70"/>
  <c r="AS1436" i="67" s="1"/>
  <c r="BK31" i="70"/>
  <c r="AR1436" i="67" s="1"/>
  <c r="BJ31" i="70"/>
  <c r="AQ1436" i="67" s="1"/>
  <c r="BI31" i="70"/>
  <c r="AP1436" i="67" s="1"/>
  <c r="BH31" i="70"/>
  <c r="AO1436" i="67" s="1"/>
  <c r="BG31" i="70"/>
  <c r="AN1436" i="67" s="1"/>
  <c r="BF31" i="70"/>
  <c r="AM1436" i="67" s="1"/>
  <c r="BE31" i="70"/>
  <c r="AL1436" i="67" s="1"/>
  <c r="BD31" i="70"/>
  <c r="AK1436" i="67" s="1"/>
  <c r="BC31" i="70"/>
  <c r="AJ1436" i="67" s="1"/>
  <c r="BB31" i="70"/>
  <c r="AI1436" i="67" s="1"/>
  <c r="BA31" i="70"/>
  <c r="AH1436" i="67" s="1"/>
  <c r="AZ31" i="70"/>
  <c r="AG1436" i="67" s="1"/>
  <c r="AY31" i="70"/>
  <c r="AF1436" i="67" s="1"/>
  <c r="AX31" i="70"/>
  <c r="AE1436" i="67" s="1"/>
  <c r="AW31" i="70"/>
  <c r="AD1436" i="67" s="1"/>
  <c r="AV31" i="70"/>
  <c r="AC1436" i="67" s="1"/>
  <c r="AU31" i="70"/>
  <c r="AB1436" i="67" s="1"/>
  <c r="AT31" i="70"/>
  <c r="AA1436" i="67" s="1"/>
  <c r="AS31" i="70"/>
  <c r="Z1436" i="67" s="1"/>
  <c r="AR31" i="70"/>
  <c r="Y1436" i="67" s="1"/>
  <c r="AQ31" i="70"/>
  <c r="X1436" i="67" s="1"/>
  <c r="AP31" i="70"/>
  <c r="W1436" i="67" s="1"/>
  <c r="AO31" i="70"/>
  <c r="V1436" i="67" s="1"/>
  <c r="AN31" i="70"/>
  <c r="U1436" i="67" s="1"/>
  <c r="AM31" i="70"/>
  <c r="T1436" i="67" s="1"/>
  <c r="AL31" i="70"/>
  <c r="S1436" i="67" s="1"/>
  <c r="AK31" i="70"/>
  <c r="R1436" i="67" s="1"/>
  <c r="AJ31" i="70"/>
  <c r="Q1436" i="67" s="1"/>
  <c r="AI31" i="70"/>
  <c r="P1436" i="67" s="1"/>
  <c r="AH31" i="70"/>
  <c r="O1436" i="67" s="1"/>
  <c r="AG31" i="70"/>
  <c r="N1436" i="67" s="1"/>
  <c r="AF31" i="70"/>
  <c r="M1436" i="67" s="1"/>
  <c r="AE31" i="70"/>
  <c r="L1436" i="67" s="1"/>
  <c r="AD31" i="70"/>
  <c r="K1436" i="67" s="1"/>
  <c r="E31" i="70"/>
  <c r="BP30" i="70"/>
  <c r="AW1435" i="67" s="1"/>
  <c r="BO30" i="70"/>
  <c r="AV1435" i="67" s="1"/>
  <c r="BN30" i="70"/>
  <c r="AU1435" i="67" s="1"/>
  <c r="BM30" i="70"/>
  <c r="AT1435" i="67" s="1"/>
  <c r="BL30" i="70"/>
  <c r="AS1435" i="67" s="1"/>
  <c r="BK30" i="70"/>
  <c r="AR1435" i="67" s="1"/>
  <c r="BJ30" i="70"/>
  <c r="AQ1435" i="67" s="1"/>
  <c r="BI30" i="70"/>
  <c r="AP1435" i="67" s="1"/>
  <c r="BH30" i="70"/>
  <c r="AO1435" i="67" s="1"/>
  <c r="BG30" i="70"/>
  <c r="AN1435" i="67" s="1"/>
  <c r="BF30" i="70"/>
  <c r="AM1435" i="67" s="1"/>
  <c r="BE30" i="70"/>
  <c r="AL1435" i="67" s="1"/>
  <c r="BD30" i="70"/>
  <c r="AK1435" i="67" s="1"/>
  <c r="BC30" i="70"/>
  <c r="AJ1435" i="67" s="1"/>
  <c r="BB30" i="70"/>
  <c r="AI1435" i="67" s="1"/>
  <c r="BA30" i="70"/>
  <c r="AH1435" i="67" s="1"/>
  <c r="AZ30" i="70"/>
  <c r="AG1435" i="67" s="1"/>
  <c r="AY30" i="70"/>
  <c r="AF1435" i="67" s="1"/>
  <c r="AX30" i="70"/>
  <c r="AE1435" i="67" s="1"/>
  <c r="AW30" i="70"/>
  <c r="AD1435" i="67" s="1"/>
  <c r="AV30" i="70"/>
  <c r="AC1435" i="67" s="1"/>
  <c r="AU30" i="70"/>
  <c r="AB1435" i="67" s="1"/>
  <c r="AT30" i="70"/>
  <c r="AA1435" i="67" s="1"/>
  <c r="AS30" i="70"/>
  <c r="Z1435" i="67" s="1"/>
  <c r="AR30" i="70"/>
  <c r="Y1435" i="67" s="1"/>
  <c r="AQ30" i="70"/>
  <c r="X1435" i="67" s="1"/>
  <c r="AP30" i="70"/>
  <c r="W1435" i="67" s="1"/>
  <c r="AO30" i="70"/>
  <c r="V1435" i="67" s="1"/>
  <c r="AN30" i="70"/>
  <c r="U1435" i="67" s="1"/>
  <c r="AM30" i="70"/>
  <c r="T1435" i="67" s="1"/>
  <c r="AL30" i="70"/>
  <c r="S1435" i="67" s="1"/>
  <c r="AK30" i="70"/>
  <c r="R1435" i="67" s="1"/>
  <c r="AJ30" i="70"/>
  <c r="Q1435" i="67" s="1"/>
  <c r="AI30" i="70"/>
  <c r="P1435" i="67" s="1"/>
  <c r="AH30" i="70"/>
  <c r="O1435" i="67" s="1"/>
  <c r="AG30" i="70"/>
  <c r="N1435" i="67" s="1"/>
  <c r="AF30" i="70"/>
  <c r="M1435" i="67" s="1"/>
  <c r="AE30" i="70"/>
  <c r="L1435" i="67" s="1"/>
  <c r="AD30" i="70"/>
  <c r="K1435" i="67" s="1"/>
  <c r="E30" i="70"/>
  <c r="BP29" i="70"/>
  <c r="BO29" i="70"/>
  <c r="BN29" i="70"/>
  <c r="BM29" i="70"/>
  <c r="BL29" i="70"/>
  <c r="BK29" i="70"/>
  <c r="BJ29" i="70"/>
  <c r="BI29" i="70"/>
  <c r="BH29" i="70"/>
  <c r="BG29" i="70"/>
  <c r="BF29" i="70"/>
  <c r="BE29" i="70"/>
  <c r="BD29" i="70"/>
  <c r="BC29" i="70"/>
  <c r="BB29" i="70"/>
  <c r="BA29" i="70"/>
  <c r="AZ29" i="70"/>
  <c r="AY29" i="70"/>
  <c r="AX29" i="70"/>
  <c r="AW29" i="70"/>
  <c r="AV29" i="70"/>
  <c r="AU29" i="70"/>
  <c r="AT29" i="70"/>
  <c r="AS29" i="70"/>
  <c r="AR29" i="70"/>
  <c r="AQ29" i="70"/>
  <c r="AP29" i="70"/>
  <c r="AO29" i="70"/>
  <c r="AN29" i="70"/>
  <c r="AM29" i="70"/>
  <c r="AL29" i="70"/>
  <c r="AK29" i="70"/>
  <c r="AJ29" i="70"/>
  <c r="AI29" i="70"/>
  <c r="AH29" i="70"/>
  <c r="AG29" i="70"/>
  <c r="AF29" i="70"/>
  <c r="AE29" i="70"/>
  <c r="AD29" i="70"/>
  <c r="E29" i="70"/>
  <c r="BP28" i="70"/>
  <c r="BO28" i="70"/>
  <c r="BN28" i="70"/>
  <c r="BM28" i="70"/>
  <c r="BL28" i="70"/>
  <c r="BK28" i="70"/>
  <c r="BJ28" i="70"/>
  <c r="BI28" i="70"/>
  <c r="BH28" i="70"/>
  <c r="BG28" i="70"/>
  <c r="BF28" i="70"/>
  <c r="BE28" i="70"/>
  <c r="BD28" i="70"/>
  <c r="BC28" i="70"/>
  <c r="BB28" i="70"/>
  <c r="BA28" i="70"/>
  <c r="AZ28" i="70"/>
  <c r="AY28" i="70"/>
  <c r="AX28" i="70"/>
  <c r="AW28" i="70"/>
  <c r="AV28" i="70"/>
  <c r="AU28" i="70"/>
  <c r="AT28" i="70"/>
  <c r="AS28" i="70"/>
  <c r="AR28" i="70"/>
  <c r="AQ28" i="70"/>
  <c r="AP28" i="70"/>
  <c r="AO28" i="70"/>
  <c r="AN28" i="70"/>
  <c r="AM28" i="70"/>
  <c r="AL28" i="70"/>
  <c r="AK28" i="70"/>
  <c r="AJ28" i="70"/>
  <c r="AI28" i="70"/>
  <c r="AH28" i="70"/>
  <c r="AG28" i="70"/>
  <c r="AF28" i="70"/>
  <c r="AE28" i="70"/>
  <c r="AD28" i="70"/>
  <c r="E28" i="70"/>
  <c r="C28" i="70"/>
  <c r="C29" i="70" s="1"/>
  <c r="C30" i="70" s="1"/>
  <c r="C31" i="70" s="1"/>
  <c r="C32" i="70" s="1"/>
  <c r="BP27" i="70"/>
  <c r="BO27" i="70"/>
  <c r="BN27" i="70"/>
  <c r="BM27" i="70"/>
  <c r="BL27" i="70"/>
  <c r="BK27" i="70"/>
  <c r="BJ27" i="70"/>
  <c r="BI27" i="70"/>
  <c r="BH27" i="70"/>
  <c r="BG27" i="70"/>
  <c r="BF27" i="70"/>
  <c r="BE27" i="70"/>
  <c r="BD27" i="70"/>
  <c r="BC27" i="70"/>
  <c r="BB27" i="70"/>
  <c r="BA27" i="70"/>
  <c r="AZ27" i="70"/>
  <c r="AY27" i="70"/>
  <c r="AX27" i="70"/>
  <c r="AW27" i="70"/>
  <c r="AV27" i="70"/>
  <c r="AU27" i="70"/>
  <c r="AT27" i="70"/>
  <c r="AS27" i="70"/>
  <c r="AR27" i="70"/>
  <c r="AQ27" i="70"/>
  <c r="AP27" i="70"/>
  <c r="AO27" i="70"/>
  <c r="AN27" i="70"/>
  <c r="AM27" i="70"/>
  <c r="AL27" i="70"/>
  <c r="AK27" i="70"/>
  <c r="AJ27" i="70"/>
  <c r="AI27" i="70"/>
  <c r="AH27" i="70"/>
  <c r="AG27" i="70"/>
  <c r="AF27" i="70"/>
  <c r="AE27" i="70"/>
  <c r="AD27" i="70"/>
  <c r="E27" i="70"/>
  <c r="BP26" i="70"/>
  <c r="BO26" i="70"/>
  <c r="BN26" i="70"/>
  <c r="BM26" i="70"/>
  <c r="BL26" i="70"/>
  <c r="BK26" i="70"/>
  <c r="BJ26" i="70"/>
  <c r="BI26" i="70"/>
  <c r="BH26" i="70"/>
  <c r="BG26" i="70"/>
  <c r="BF26" i="70"/>
  <c r="BE26" i="70"/>
  <c r="BD26" i="70"/>
  <c r="BC26" i="70"/>
  <c r="BB26" i="70"/>
  <c r="BA26" i="70"/>
  <c r="AZ26" i="70"/>
  <c r="AY26" i="70"/>
  <c r="AX26" i="70"/>
  <c r="AW26" i="70"/>
  <c r="AV26" i="70"/>
  <c r="AU26" i="70"/>
  <c r="AT26" i="70"/>
  <c r="AS26" i="70"/>
  <c r="AR26" i="70"/>
  <c r="AQ26" i="70"/>
  <c r="AP26" i="70"/>
  <c r="AO26" i="70"/>
  <c r="AN26" i="70"/>
  <c r="AM26" i="70"/>
  <c r="AL26" i="70"/>
  <c r="AK26" i="70"/>
  <c r="AJ26" i="70"/>
  <c r="AI26" i="70"/>
  <c r="AH26" i="70"/>
  <c r="AG26" i="70"/>
  <c r="AF26" i="70"/>
  <c r="AE26" i="70"/>
  <c r="AD26" i="70"/>
  <c r="E26" i="70"/>
  <c r="BP25" i="70"/>
  <c r="AW1446" i="67" s="1"/>
  <c r="BO25" i="70"/>
  <c r="AV1446" i="67" s="1"/>
  <c r="BN25" i="70"/>
  <c r="AU1446" i="67" s="1"/>
  <c r="BM25" i="70"/>
  <c r="AT1446" i="67" s="1"/>
  <c r="BL25" i="70"/>
  <c r="AS1446" i="67" s="1"/>
  <c r="BK25" i="70"/>
  <c r="AR1446" i="67" s="1"/>
  <c r="BJ25" i="70"/>
  <c r="AQ1446" i="67" s="1"/>
  <c r="BI25" i="70"/>
  <c r="AP1446" i="67" s="1"/>
  <c r="BH25" i="70"/>
  <c r="AO1446" i="67" s="1"/>
  <c r="BG25" i="70"/>
  <c r="AN1446" i="67" s="1"/>
  <c r="BF25" i="70"/>
  <c r="AM1446" i="67" s="1"/>
  <c r="BE25" i="70"/>
  <c r="AL1446" i="67" s="1"/>
  <c r="BD25" i="70"/>
  <c r="AK1446" i="67" s="1"/>
  <c r="BC25" i="70"/>
  <c r="AJ1446" i="67" s="1"/>
  <c r="BB25" i="70"/>
  <c r="AI1446" i="67" s="1"/>
  <c r="BA25" i="70"/>
  <c r="AH1446" i="67" s="1"/>
  <c r="AZ25" i="70"/>
  <c r="AG1446" i="67" s="1"/>
  <c r="AY25" i="70"/>
  <c r="AF1446" i="67" s="1"/>
  <c r="AX25" i="70"/>
  <c r="AE1446" i="67" s="1"/>
  <c r="AW25" i="70"/>
  <c r="AD1446" i="67" s="1"/>
  <c r="AV25" i="70"/>
  <c r="AC1446" i="67" s="1"/>
  <c r="AU25" i="70"/>
  <c r="AB1446" i="67" s="1"/>
  <c r="AT25" i="70"/>
  <c r="AA1446" i="67" s="1"/>
  <c r="AS25" i="70"/>
  <c r="Z1446" i="67" s="1"/>
  <c r="AR25" i="70"/>
  <c r="Y1446" i="67" s="1"/>
  <c r="AQ25" i="70"/>
  <c r="X1446" i="67" s="1"/>
  <c r="AP25" i="70"/>
  <c r="W1446" i="67" s="1"/>
  <c r="AO25" i="70"/>
  <c r="V1446" i="67" s="1"/>
  <c r="AN25" i="70"/>
  <c r="U1446" i="67" s="1"/>
  <c r="AM25" i="70"/>
  <c r="T1446" i="67" s="1"/>
  <c r="AL25" i="70"/>
  <c r="S1446" i="67" s="1"/>
  <c r="AK25" i="70"/>
  <c r="R1446" i="67" s="1"/>
  <c r="AJ25" i="70"/>
  <c r="Q1446" i="67" s="1"/>
  <c r="AI25" i="70"/>
  <c r="P1446" i="67" s="1"/>
  <c r="AH25" i="70"/>
  <c r="O1446" i="67" s="1"/>
  <c r="AG25" i="70"/>
  <c r="N1446" i="67" s="1"/>
  <c r="AF25" i="70"/>
  <c r="M1446" i="67" s="1"/>
  <c r="AE25" i="70"/>
  <c r="L1446" i="67" s="1"/>
  <c r="AD25" i="70"/>
  <c r="K1446" i="67" s="1"/>
  <c r="E25" i="70"/>
  <c r="A25" i="70"/>
  <c r="A26" i="70" s="1"/>
  <c r="A27" i="70" s="1"/>
  <c r="A28" i="70" s="1"/>
  <c r="A29" i="70" s="1"/>
  <c r="A30" i="70" s="1"/>
  <c r="A31" i="70" s="1"/>
  <c r="A32" i="70" s="1"/>
  <c r="A33" i="70" s="1"/>
  <c r="A34" i="70" s="1"/>
  <c r="A36" i="70" s="1"/>
  <c r="A37" i="70" s="1"/>
  <c r="A38" i="70" s="1"/>
  <c r="A39" i="70" s="1"/>
  <c r="A35" i="70" s="1"/>
  <c r="BP24" i="70"/>
  <c r="AW1445" i="67" s="1"/>
  <c r="BO24" i="70"/>
  <c r="AV1445" i="67" s="1"/>
  <c r="BN24" i="70"/>
  <c r="AU1445" i="67" s="1"/>
  <c r="BM24" i="70"/>
  <c r="AT1445" i="67" s="1"/>
  <c r="BL24" i="70"/>
  <c r="AS1445" i="67" s="1"/>
  <c r="BK24" i="70"/>
  <c r="AR1445" i="67" s="1"/>
  <c r="BJ24" i="70"/>
  <c r="AQ1445" i="67" s="1"/>
  <c r="BI24" i="70"/>
  <c r="AP1445" i="67" s="1"/>
  <c r="BH24" i="70"/>
  <c r="AO1445" i="67" s="1"/>
  <c r="BG24" i="70"/>
  <c r="AN1445" i="67" s="1"/>
  <c r="BF24" i="70"/>
  <c r="AM1445" i="67" s="1"/>
  <c r="BE24" i="70"/>
  <c r="AL1445" i="67" s="1"/>
  <c r="BD24" i="70"/>
  <c r="AK1445" i="67" s="1"/>
  <c r="BC24" i="70"/>
  <c r="AJ1445" i="67" s="1"/>
  <c r="BB24" i="70"/>
  <c r="AI1445" i="67" s="1"/>
  <c r="BA24" i="70"/>
  <c r="AH1445" i="67" s="1"/>
  <c r="AZ24" i="70"/>
  <c r="AG1445" i="67" s="1"/>
  <c r="AY24" i="70"/>
  <c r="AF1445" i="67" s="1"/>
  <c r="AX24" i="70"/>
  <c r="AE1445" i="67" s="1"/>
  <c r="AW24" i="70"/>
  <c r="AD1445" i="67" s="1"/>
  <c r="AV24" i="70"/>
  <c r="AC1445" i="67" s="1"/>
  <c r="AU24" i="70"/>
  <c r="AB1445" i="67" s="1"/>
  <c r="AT24" i="70"/>
  <c r="AA1445" i="67" s="1"/>
  <c r="AS24" i="70"/>
  <c r="Z1445" i="67" s="1"/>
  <c r="AR24" i="70"/>
  <c r="Y1445" i="67" s="1"/>
  <c r="AQ24" i="70"/>
  <c r="X1445" i="67" s="1"/>
  <c r="AP24" i="70"/>
  <c r="W1445" i="67" s="1"/>
  <c r="AO24" i="70"/>
  <c r="V1445" i="67" s="1"/>
  <c r="AN24" i="70"/>
  <c r="U1445" i="67" s="1"/>
  <c r="AM24" i="70"/>
  <c r="T1445" i="67" s="1"/>
  <c r="AL24" i="70"/>
  <c r="S1445" i="67" s="1"/>
  <c r="AK24" i="70"/>
  <c r="R1445" i="67" s="1"/>
  <c r="AJ24" i="70"/>
  <c r="Q1445" i="67" s="1"/>
  <c r="AI24" i="70"/>
  <c r="P1445" i="67" s="1"/>
  <c r="AH24" i="70"/>
  <c r="O1445" i="67" s="1"/>
  <c r="AG24" i="70"/>
  <c r="N1445" i="67" s="1"/>
  <c r="AF24" i="70"/>
  <c r="M1445" i="67" s="1"/>
  <c r="AE24" i="70"/>
  <c r="L1445" i="67" s="1"/>
  <c r="AD24" i="70"/>
  <c r="K1445" i="67" s="1"/>
  <c r="E24" i="70"/>
  <c r="C24" i="70"/>
  <c r="C25" i="70" s="1"/>
  <c r="C26" i="70" s="1"/>
  <c r="C27" i="70" s="1"/>
  <c r="B24" i="70"/>
  <c r="B25" i="70" s="1"/>
  <c r="B26" i="70" s="1"/>
  <c r="B27" i="70" s="1"/>
  <c r="B28" i="70" s="1"/>
  <c r="B29" i="70" s="1"/>
  <c r="B30" i="70" s="1"/>
  <c r="B31" i="70" s="1"/>
  <c r="B32" i="70" s="1"/>
  <c r="B33" i="70" s="1"/>
  <c r="B34" i="70" s="1"/>
  <c r="B36" i="70" s="1"/>
  <c r="B37" i="70" s="1"/>
  <c r="B38" i="70" s="1"/>
  <c r="B39" i="70" s="1"/>
  <c r="B35" i="70" s="1"/>
  <c r="A24" i="70"/>
  <c r="D22" i="70"/>
  <c r="D21" i="70"/>
  <c r="D20" i="70"/>
  <c r="D19" i="70"/>
  <c r="C19" i="70"/>
  <c r="C20" i="70" s="1"/>
  <c r="C21" i="70" s="1"/>
  <c r="C22" i="70" s="1"/>
  <c r="D18" i="70"/>
  <c r="D17" i="70"/>
  <c r="C17" i="70"/>
  <c r="C18" i="70" s="1"/>
  <c r="AD16" i="70"/>
  <c r="D16" i="70"/>
  <c r="C16" i="70"/>
  <c r="D15" i="70"/>
  <c r="C15" i="70"/>
  <c r="D13" i="70"/>
  <c r="C13" i="70"/>
  <c r="C14" i="70" s="1"/>
  <c r="D12" i="70"/>
  <c r="D14" i="70" s="1"/>
  <c r="C12" i="70"/>
  <c r="D11" i="70"/>
  <c r="C11" i="70"/>
  <c r="D10" i="70"/>
  <c r="AC9" i="70"/>
  <c r="AB9" i="70"/>
  <c r="AA9" i="70"/>
  <c r="Z9" i="70"/>
  <c r="Y9" i="70"/>
  <c r="Y70" i="70" s="1"/>
  <c r="X9" i="70"/>
  <c r="W9" i="70"/>
  <c r="V9" i="70"/>
  <c r="U9" i="70"/>
  <c r="T9" i="70"/>
  <c r="S9" i="70"/>
  <c r="R9" i="70"/>
  <c r="Q9" i="70"/>
  <c r="Q70" i="70" s="1"/>
  <c r="P9" i="70"/>
  <c r="O9" i="70"/>
  <c r="N9" i="70"/>
  <c r="M9" i="70"/>
  <c r="L9" i="70"/>
  <c r="K9" i="70"/>
  <c r="J9" i="70"/>
  <c r="I9" i="70"/>
  <c r="I70" i="70" s="1"/>
  <c r="H9" i="70"/>
  <c r="D9" i="70"/>
  <c r="AC8" i="70"/>
  <c r="AB8" i="70"/>
  <c r="AA8" i="70"/>
  <c r="AA69" i="70" s="1"/>
  <c r="Z8" i="70"/>
  <c r="Y8" i="70"/>
  <c r="X8" i="70"/>
  <c r="W8" i="70"/>
  <c r="V8" i="70"/>
  <c r="U8" i="70"/>
  <c r="T8" i="70"/>
  <c r="S8" i="70"/>
  <c r="S69" i="70" s="1"/>
  <c r="R8" i="70"/>
  <c r="Q8" i="70"/>
  <c r="P8" i="70"/>
  <c r="O8" i="70"/>
  <c r="N8" i="70"/>
  <c r="M8" i="70"/>
  <c r="L8" i="70"/>
  <c r="K8" i="70"/>
  <c r="K69" i="70" s="1"/>
  <c r="J8" i="70"/>
  <c r="I8" i="70"/>
  <c r="H8" i="70"/>
  <c r="D8" i="70"/>
  <c r="AC7" i="70"/>
  <c r="AB7" i="70"/>
  <c r="AA7" i="70"/>
  <c r="Z7" i="70"/>
  <c r="Y7" i="70"/>
  <c r="Y68" i="70" s="1"/>
  <c r="X7" i="70"/>
  <c r="W7" i="70"/>
  <c r="V7" i="70"/>
  <c r="U7" i="70"/>
  <c r="T7" i="70"/>
  <c r="S7" i="70"/>
  <c r="R7" i="70"/>
  <c r="Q7" i="70"/>
  <c r="Q68" i="70" s="1"/>
  <c r="P7" i="70"/>
  <c r="O7" i="70"/>
  <c r="N7" i="70"/>
  <c r="M7" i="70"/>
  <c r="L7" i="70"/>
  <c r="K7" i="70"/>
  <c r="J7" i="70"/>
  <c r="I7" i="70"/>
  <c r="I68" i="70" s="1"/>
  <c r="H7" i="70"/>
  <c r="D7" i="70"/>
  <c r="C7" i="70"/>
  <c r="C8" i="70" s="1"/>
  <c r="C9" i="70" s="1"/>
  <c r="C10" i="70" s="1"/>
  <c r="AC6" i="70"/>
  <c r="AB6" i="70"/>
  <c r="AA6" i="70"/>
  <c r="AA67" i="70" s="1"/>
  <c r="Z6" i="70"/>
  <c r="Y6" i="70"/>
  <c r="X6" i="70"/>
  <c r="W6" i="70"/>
  <c r="V6" i="70"/>
  <c r="V67" i="70" s="1"/>
  <c r="U6" i="70"/>
  <c r="T6" i="70"/>
  <c r="S6" i="70"/>
  <c r="R6" i="70"/>
  <c r="Q6" i="70"/>
  <c r="P6" i="70"/>
  <c r="P67" i="70" s="1"/>
  <c r="O6" i="70"/>
  <c r="N6" i="70"/>
  <c r="M6" i="70"/>
  <c r="L6" i="70"/>
  <c r="K6" i="70"/>
  <c r="K67" i="70" s="1"/>
  <c r="J6" i="70"/>
  <c r="I6" i="70"/>
  <c r="H6" i="70"/>
  <c r="F6" i="70"/>
  <c r="F8" i="70" s="1"/>
  <c r="F9" i="70" s="1"/>
  <c r="F10" i="70" s="1"/>
  <c r="F11" i="70" s="1"/>
  <c r="F12" i="70" s="1"/>
  <c r="F13" i="70" s="1"/>
  <c r="F14" i="70" s="1"/>
  <c r="F15" i="70" s="1"/>
  <c r="F16" i="70" s="1"/>
  <c r="F17" i="70" s="1"/>
  <c r="F18" i="70" s="1"/>
  <c r="F19" i="70" s="1"/>
  <c r="F20" i="70" s="1"/>
  <c r="F21" i="70" s="1"/>
  <c r="F22" i="70" s="1"/>
  <c r="E6" i="70"/>
  <c r="E8" i="70" s="1"/>
  <c r="E9" i="70" s="1"/>
  <c r="E10" i="70" s="1"/>
  <c r="E11" i="70" s="1"/>
  <c r="E12" i="70" s="1"/>
  <c r="E13" i="70" s="1"/>
  <c r="E14" i="70" s="1"/>
  <c r="E15" i="70" s="1"/>
  <c r="E16" i="70" s="1"/>
  <c r="E17" i="70" s="1"/>
  <c r="E18" i="70" s="1"/>
  <c r="E19" i="70" s="1"/>
  <c r="E20" i="70" s="1"/>
  <c r="E21" i="70" s="1"/>
  <c r="E22" i="70" s="1"/>
  <c r="D6" i="70"/>
  <c r="AC5" i="70"/>
  <c r="AB5" i="70"/>
  <c r="AA5" i="70"/>
  <c r="Z5" i="70"/>
  <c r="Y5" i="70"/>
  <c r="Y66" i="70" s="1"/>
  <c r="X5" i="70"/>
  <c r="W5" i="70"/>
  <c r="V5" i="70"/>
  <c r="U5" i="70"/>
  <c r="T5" i="70"/>
  <c r="T66" i="70" s="1"/>
  <c r="S5" i="70"/>
  <c r="R5" i="70"/>
  <c r="Q5" i="70"/>
  <c r="P5" i="70"/>
  <c r="O5" i="70"/>
  <c r="N5" i="70"/>
  <c r="N66" i="70" s="1"/>
  <c r="M5" i="70"/>
  <c r="L5" i="70"/>
  <c r="K5" i="70"/>
  <c r="J5" i="70"/>
  <c r="I5" i="70"/>
  <c r="I66" i="70" s="1"/>
  <c r="H5" i="70"/>
  <c r="E5" i="70"/>
  <c r="D5" i="70"/>
  <c r="C5" i="70"/>
  <c r="C6" i="70" s="1"/>
  <c r="A5" i="70"/>
  <c r="A6" i="70" s="1"/>
  <c r="A7" i="70" s="1"/>
  <c r="A8" i="70" s="1"/>
  <c r="A9" i="70" s="1"/>
  <c r="A10" i="70" s="1"/>
  <c r="A11" i="70" s="1"/>
  <c r="A12" i="70" s="1"/>
  <c r="A13" i="70" s="1"/>
  <c r="A14" i="70" s="1"/>
  <c r="A15" i="70" s="1"/>
  <c r="A16" i="70" s="1"/>
  <c r="A17" i="70" s="1"/>
  <c r="A18" i="70" s="1"/>
  <c r="A19" i="70" s="1"/>
  <c r="A20" i="70" s="1"/>
  <c r="A21" i="70" s="1"/>
  <c r="A22" i="70" s="1"/>
  <c r="Y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K65" i="69"/>
  <c r="BE65" i="69"/>
  <c r="BF65" i="69" s="1"/>
  <c r="BG65" i="69" s="1"/>
  <c r="BH65" i="69" s="1"/>
  <c r="BI65" i="69" s="1"/>
  <c r="BJ65" i="69" s="1"/>
  <c r="BA65" i="69"/>
  <c r="BB65" i="69" s="1"/>
  <c r="BC65" i="69" s="1"/>
  <c r="BD65" i="69" s="1"/>
  <c r="AS65" i="69"/>
  <c r="AT65" i="69" s="1"/>
  <c r="AU65" i="69" s="1"/>
  <c r="AV65" i="69" s="1"/>
  <c r="AW65" i="69" s="1"/>
  <c r="AX65" i="69" s="1"/>
  <c r="AY65" i="69" s="1"/>
  <c r="AZ65" i="69" s="1"/>
  <c r="AR65" i="69"/>
  <c r="AQ65" i="69"/>
  <c r="AK65" i="69"/>
  <c r="AL65" i="69" s="1"/>
  <c r="AM65" i="69" s="1"/>
  <c r="AN65" i="69" s="1"/>
  <c r="AO65" i="69" s="1"/>
  <c r="AP65" i="69" s="1"/>
  <c r="AJ65" i="69"/>
  <c r="AG65" i="69"/>
  <c r="AH65" i="69" s="1"/>
  <c r="AI65" i="69" s="1"/>
  <c r="AC65" i="69"/>
  <c r="AD65" i="69" s="1"/>
  <c r="AE65" i="69" s="1"/>
  <c r="AF65" i="69" s="1"/>
  <c r="AB65" i="69"/>
  <c r="Y65" i="69"/>
  <c r="Z65" i="69" s="1"/>
  <c r="AA65" i="69" s="1"/>
  <c r="BK63" i="69"/>
  <c r="BB63" i="69"/>
  <c r="BC63" i="69" s="1"/>
  <c r="BD63" i="69" s="1"/>
  <c r="BE63" i="69" s="1"/>
  <c r="BF63" i="69" s="1"/>
  <c r="BG63" i="69" s="1"/>
  <c r="BH63" i="69" s="1"/>
  <c r="BI63" i="69" s="1"/>
  <c r="BJ63" i="69" s="1"/>
  <c r="BA63" i="69"/>
  <c r="AQ63" i="69"/>
  <c r="AG63" i="69"/>
  <c r="Z63" i="69"/>
  <c r="AA63" i="69" s="1"/>
  <c r="AB63" i="69" s="1"/>
  <c r="AC63" i="69" s="1"/>
  <c r="AD63" i="69" s="1"/>
  <c r="AE63" i="69" s="1"/>
  <c r="AF63" i="69" s="1"/>
  <c r="Y63" i="69"/>
  <c r="X55" i="69"/>
  <c r="W55" i="69"/>
  <c r="V55" i="69"/>
  <c r="U55" i="69"/>
  <c r="T55" i="69"/>
  <c r="S55" i="69"/>
  <c r="R55" i="69"/>
  <c r="Q55" i="69"/>
  <c r="P55" i="69"/>
  <c r="O55" i="69"/>
  <c r="N55" i="69"/>
  <c r="M55" i="69"/>
  <c r="L55" i="69"/>
  <c r="K55" i="69"/>
  <c r="J55" i="69"/>
  <c r="I55" i="69"/>
  <c r="H55" i="69"/>
  <c r="G55" i="69"/>
  <c r="F55" i="69"/>
  <c r="E55" i="69"/>
  <c r="D55" i="69"/>
  <c r="C55" i="69"/>
  <c r="X54" i="69"/>
  <c r="W54" i="69"/>
  <c r="V54" i="69"/>
  <c r="U54" i="69"/>
  <c r="T54" i="69"/>
  <c r="S54" i="69"/>
  <c r="R54" i="69"/>
  <c r="Q54" i="69"/>
  <c r="P54" i="69"/>
  <c r="O54" i="69"/>
  <c r="N54" i="69"/>
  <c r="M54" i="69"/>
  <c r="L54" i="69"/>
  <c r="K54" i="69"/>
  <c r="J54" i="69"/>
  <c r="I54" i="69"/>
  <c r="H54" i="69"/>
  <c r="G54" i="69"/>
  <c r="F54" i="69"/>
  <c r="E54" i="69"/>
  <c r="D54" i="69"/>
  <c r="C54" i="69"/>
  <c r="X53" i="69"/>
  <c r="W53" i="69"/>
  <c r="V53" i="69"/>
  <c r="U53" i="69"/>
  <c r="T53" i="69"/>
  <c r="S53" i="69"/>
  <c r="R53" i="69"/>
  <c r="Q53" i="69"/>
  <c r="P53" i="69"/>
  <c r="O53" i="69"/>
  <c r="N53" i="69"/>
  <c r="M53" i="69"/>
  <c r="L53" i="69"/>
  <c r="K53" i="69"/>
  <c r="J53" i="69"/>
  <c r="I53" i="69"/>
  <c r="H53" i="69"/>
  <c r="G53" i="69"/>
  <c r="F53" i="69"/>
  <c r="E53" i="69"/>
  <c r="D53" i="69"/>
  <c r="C53" i="69"/>
  <c r="X51" i="69"/>
  <c r="W51" i="69"/>
  <c r="V51" i="69"/>
  <c r="U51" i="69"/>
  <c r="T51" i="69"/>
  <c r="S51" i="69"/>
  <c r="R51" i="69"/>
  <c r="Q51" i="69"/>
  <c r="P51" i="69"/>
  <c r="O51" i="69"/>
  <c r="N51" i="69"/>
  <c r="M51" i="69"/>
  <c r="L51" i="69"/>
  <c r="K51" i="69"/>
  <c r="J51" i="69"/>
  <c r="I51" i="69"/>
  <c r="H51" i="69"/>
  <c r="G51" i="69"/>
  <c r="F51" i="69"/>
  <c r="E51" i="69"/>
  <c r="D51" i="69"/>
  <c r="C51" i="69"/>
  <c r="X50" i="69"/>
  <c r="W50" i="69"/>
  <c r="V50" i="69"/>
  <c r="U50" i="69"/>
  <c r="T50" i="69"/>
  <c r="S50" i="69"/>
  <c r="R50" i="69"/>
  <c r="Q50" i="69"/>
  <c r="P50" i="69"/>
  <c r="O50" i="69"/>
  <c r="N50" i="69"/>
  <c r="M50" i="69"/>
  <c r="L50" i="69"/>
  <c r="K50" i="69"/>
  <c r="J50" i="69"/>
  <c r="I50" i="69"/>
  <c r="H50" i="69"/>
  <c r="G50" i="69"/>
  <c r="F50" i="69"/>
  <c r="E50" i="69"/>
  <c r="D50" i="69"/>
  <c r="C50" i="69"/>
  <c r="X48" i="69"/>
  <c r="W48" i="69"/>
  <c r="V48" i="69"/>
  <c r="U48" i="69"/>
  <c r="T48" i="69"/>
  <c r="S48" i="69"/>
  <c r="R48" i="69"/>
  <c r="Q48" i="69"/>
  <c r="P48" i="69"/>
  <c r="O48" i="69"/>
  <c r="N48" i="69"/>
  <c r="M48" i="69"/>
  <c r="L48" i="69"/>
  <c r="K48" i="69"/>
  <c r="J48" i="69"/>
  <c r="I48" i="69"/>
  <c r="H48" i="69"/>
  <c r="G48" i="69"/>
  <c r="F48" i="69"/>
  <c r="E48" i="69"/>
  <c r="D48" i="69"/>
  <c r="C48" i="69"/>
  <c r="BK43" i="69"/>
  <c r="BJ43" i="69"/>
  <c r="BI43" i="69"/>
  <c r="BH43" i="69"/>
  <c r="BG43" i="69"/>
  <c r="BF43" i="69"/>
  <c r="BE43" i="69"/>
  <c r="BD43" i="69"/>
  <c r="BC43" i="69"/>
  <c r="BB43" i="69"/>
  <c r="BA43" i="69"/>
  <c r="AZ43" i="69"/>
  <c r="AY43" i="69"/>
  <c r="AX43" i="69"/>
  <c r="AW43" i="69"/>
  <c r="AV43" i="69"/>
  <c r="AU43" i="69"/>
  <c r="AT43" i="69"/>
  <c r="AS43" i="69"/>
  <c r="AR43" i="69"/>
  <c r="AQ43" i="69"/>
  <c r="AP43" i="69"/>
  <c r="AO43" i="69"/>
  <c r="AN43" i="69"/>
  <c r="AM43" i="69"/>
  <c r="AL43" i="69"/>
  <c r="AK43"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E43" i="69"/>
  <c r="D43" i="69"/>
  <c r="C43" i="69"/>
  <c r="X41" i="69"/>
  <c r="W41" i="69"/>
  <c r="V41" i="69"/>
  <c r="U41" i="69"/>
  <c r="T41" i="69"/>
  <c r="S41" i="69"/>
  <c r="R41" i="69"/>
  <c r="Q41" i="69"/>
  <c r="P41" i="69"/>
  <c r="O41" i="69"/>
  <c r="N41" i="69"/>
  <c r="M41" i="69"/>
  <c r="L41" i="69"/>
  <c r="K41" i="69"/>
  <c r="J41" i="69"/>
  <c r="I41" i="69"/>
  <c r="H41" i="69"/>
  <c r="G41" i="69"/>
  <c r="F41" i="69"/>
  <c r="E41" i="69"/>
  <c r="D41" i="69"/>
  <c r="C41" i="69"/>
  <c r="X40" i="69"/>
  <c r="W40" i="69"/>
  <c r="V40" i="69"/>
  <c r="U40" i="69"/>
  <c r="T40" i="69"/>
  <c r="S40" i="69"/>
  <c r="R40" i="69"/>
  <c r="Q40" i="69"/>
  <c r="P40" i="69"/>
  <c r="O40" i="69"/>
  <c r="N40" i="69"/>
  <c r="M40" i="69"/>
  <c r="L40" i="69"/>
  <c r="K40" i="69"/>
  <c r="J40" i="69"/>
  <c r="I40" i="69"/>
  <c r="H40" i="69"/>
  <c r="G40" i="69"/>
  <c r="F40" i="69"/>
  <c r="E40" i="69"/>
  <c r="D40" i="69"/>
  <c r="C40" i="69"/>
  <c r="BK38" i="69"/>
  <c r="BJ38" i="69"/>
  <c r="BI38" i="69"/>
  <c r="BH38" i="69"/>
  <c r="BG38" i="69"/>
  <c r="BF38" i="69"/>
  <c r="BE38" i="69"/>
  <c r="BD38" i="69"/>
  <c r="BC38" i="69"/>
  <c r="BB38" i="69"/>
  <c r="BA38" i="69"/>
  <c r="AZ38" i="69"/>
  <c r="AY38" i="69"/>
  <c r="AX38" i="69"/>
  <c r="AW38" i="69"/>
  <c r="AV38" i="69"/>
  <c r="AU38" i="69"/>
  <c r="AT38" i="69"/>
  <c r="AS38" i="69"/>
  <c r="AR38" i="69"/>
  <c r="AQ38" i="69"/>
  <c r="AP38" i="69"/>
  <c r="AO38" i="69"/>
  <c r="AN38" i="69"/>
  <c r="AM38" i="69"/>
  <c r="AL38" i="69"/>
  <c r="AK38"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E38" i="69"/>
  <c r="D38" i="69"/>
  <c r="C38" i="69"/>
  <c r="X36" i="69"/>
  <c r="W36" i="69"/>
  <c r="V36" i="69"/>
  <c r="U36" i="69"/>
  <c r="T36" i="69"/>
  <c r="S36" i="69"/>
  <c r="R36" i="69"/>
  <c r="Q36" i="69"/>
  <c r="P36" i="69"/>
  <c r="O36" i="69"/>
  <c r="N36" i="69"/>
  <c r="M36" i="69"/>
  <c r="L36" i="69"/>
  <c r="K36" i="69"/>
  <c r="J36" i="69"/>
  <c r="I36" i="69"/>
  <c r="H36" i="69"/>
  <c r="G36" i="69"/>
  <c r="F36" i="69"/>
  <c r="E36" i="69"/>
  <c r="D36" i="69"/>
  <c r="C36" i="69"/>
  <c r="X35" i="69"/>
  <c r="W35" i="69"/>
  <c r="V35" i="69"/>
  <c r="U35" i="69"/>
  <c r="T35" i="69"/>
  <c r="S35" i="69"/>
  <c r="R35" i="69"/>
  <c r="Q35" i="69"/>
  <c r="P35" i="69"/>
  <c r="O35" i="69"/>
  <c r="N35" i="69"/>
  <c r="M35" i="69"/>
  <c r="L35" i="69"/>
  <c r="K35" i="69"/>
  <c r="J35" i="69"/>
  <c r="I35" i="69"/>
  <c r="H35" i="69"/>
  <c r="G35" i="69"/>
  <c r="F35" i="69"/>
  <c r="E35" i="69"/>
  <c r="D35" i="69"/>
  <c r="C35" i="69"/>
  <c r="BK33" i="69"/>
  <c r="BJ33" i="69"/>
  <c r="BI33" i="69"/>
  <c r="BH33" i="69"/>
  <c r="BG33" i="69"/>
  <c r="BF33" i="69"/>
  <c r="BE33" i="69"/>
  <c r="BD33" i="69"/>
  <c r="BC33" i="69"/>
  <c r="BB33" i="69"/>
  <c r="BA33" i="69"/>
  <c r="AZ33" i="69"/>
  <c r="AY33" i="69"/>
  <c r="AX33" i="69"/>
  <c r="AW33" i="69"/>
  <c r="AV33" i="69"/>
  <c r="AU33" i="69"/>
  <c r="AT33" i="69"/>
  <c r="AS33" i="69"/>
  <c r="AR33" i="69"/>
  <c r="AQ33" i="69"/>
  <c r="AP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O33" i="69"/>
  <c r="N33" i="69"/>
  <c r="M33" i="69"/>
  <c r="L33" i="69"/>
  <c r="K33" i="69"/>
  <c r="J33" i="69"/>
  <c r="I33" i="69"/>
  <c r="H33" i="69"/>
  <c r="G33" i="69"/>
  <c r="F33" i="69"/>
  <c r="E33" i="69"/>
  <c r="D33" i="69"/>
  <c r="C33" i="69"/>
  <c r="X31" i="69"/>
  <c r="W31" i="69"/>
  <c r="V31" i="69"/>
  <c r="U31" i="69"/>
  <c r="T31" i="69"/>
  <c r="S31" i="69"/>
  <c r="R31" i="69"/>
  <c r="Q31" i="69"/>
  <c r="P31" i="69"/>
  <c r="O31" i="69"/>
  <c r="N31" i="69"/>
  <c r="M31" i="69"/>
  <c r="L31" i="69"/>
  <c r="K31" i="69"/>
  <c r="J31" i="69"/>
  <c r="I31" i="69"/>
  <c r="H31" i="69"/>
  <c r="G31" i="69"/>
  <c r="F31" i="69"/>
  <c r="E31" i="69"/>
  <c r="D31" i="69"/>
  <c r="C31" i="69"/>
  <c r="X30" i="69"/>
  <c r="W30" i="69"/>
  <c r="V30" i="69"/>
  <c r="U30" i="69"/>
  <c r="T30" i="69"/>
  <c r="S30" i="69"/>
  <c r="R30" i="69"/>
  <c r="Q30" i="69"/>
  <c r="P30" i="69"/>
  <c r="O30" i="69"/>
  <c r="N30" i="69"/>
  <c r="M30" i="69"/>
  <c r="L30" i="69"/>
  <c r="K30" i="69"/>
  <c r="J30" i="69"/>
  <c r="I30" i="69"/>
  <c r="H30" i="69"/>
  <c r="G30" i="69"/>
  <c r="F30" i="69"/>
  <c r="E30" i="69"/>
  <c r="D30" i="69"/>
  <c r="C30" i="69"/>
  <c r="BK28" i="69"/>
  <c r="BJ28" i="69"/>
  <c r="BI28" i="69"/>
  <c r="BH28" i="69"/>
  <c r="BG28" i="69"/>
  <c r="BF28" i="69"/>
  <c r="BE28" i="69"/>
  <c r="BD28" i="69"/>
  <c r="BC28" i="69"/>
  <c r="BB28" i="69"/>
  <c r="BA28" i="69"/>
  <c r="AZ28" i="69"/>
  <c r="AY28" i="69"/>
  <c r="AX28" i="69"/>
  <c r="AW28" i="69"/>
  <c r="AV28" i="69"/>
  <c r="AU28" i="69"/>
  <c r="AT28" i="69"/>
  <c r="AS28" i="69"/>
  <c r="AR28" i="69"/>
  <c r="AQ28" i="69"/>
  <c r="AP28" i="69"/>
  <c r="AO28" i="69"/>
  <c r="AN28" i="69"/>
  <c r="AM28" i="69"/>
  <c r="AL28" i="69"/>
  <c r="AK28" i="69"/>
  <c r="AJ28" i="69"/>
  <c r="AI28" i="69"/>
  <c r="AH28" i="69"/>
  <c r="AG28" i="69"/>
  <c r="AF28" i="69"/>
  <c r="AE28" i="69"/>
  <c r="AD28" i="69"/>
  <c r="AC28" i="69"/>
  <c r="AB28" i="69"/>
  <c r="AA28" i="69"/>
  <c r="Z28" i="69"/>
  <c r="Y28" i="69"/>
  <c r="X28" i="69"/>
  <c r="W28" i="69"/>
  <c r="V28" i="69"/>
  <c r="U28" i="69"/>
  <c r="T28" i="69"/>
  <c r="S28" i="69"/>
  <c r="R28" i="69"/>
  <c r="Q28" i="69"/>
  <c r="P28" i="69"/>
  <c r="O28" i="69"/>
  <c r="N28" i="69"/>
  <c r="M28" i="69"/>
  <c r="L28" i="69"/>
  <c r="K28" i="69"/>
  <c r="J28" i="69"/>
  <c r="I28" i="69"/>
  <c r="H28" i="69"/>
  <c r="G28" i="69"/>
  <c r="F28" i="69"/>
  <c r="E28" i="69"/>
  <c r="D28" i="69"/>
  <c r="C28" i="69"/>
  <c r="BK25" i="69"/>
  <c r="BJ25" i="69"/>
  <c r="BI25" i="69"/>
  <c r="BH25" i="69"/>
  <c r="BG25" i="69"/>
  <c r="BF25" i="69"/>
  <c r="BE25" i="69"/>
  <c r="BD25" i="69"/>
  <c r="BC25" i="69"/>
  <c r="BB25" i="69"/>
  <c r="BA25" i="69"/>
  <c r="AZ25" i="69"/>
  <c r="AY25" i="69"/>
  <c r="AX25" i="69"/>
  <c r="AW25" i="69"/>
  <c r="AV25" i="69"/>
  <c r="AU25" i="69"/>
  <c r="AT25" i="69"/>
  <c r="AS25" i="69"/>
  <c r="AR25" i="69"/>
  <c r="AQ25" i="69"/>
  <c r="AP25" i="69"/>
  <c r="AO25" i="69"/>
  <c r="AN25" i="69"/>
  <c r="AM25" i="69"/>
  <c r="AL25" i="69"/>
  <c r="AK25" i="69"/>
  <c r="AJ25" i="69"/>
  <c r="AI25" i="69"/>
  <c r="AH25" i="69"/>
  <c r="AG25" i="69"/>
  <c r="AF25" i="69"/>
  <c r="AE25" i="69"/>
  <c r="AD25" i="69"/>
  <c r="AC25" i="69"/>
  <c r="AB25" i="69"/>
  <c r="AA25" i="69"/>
  <c r="Z25" i="69"/>
  <c r="Y25" i="69"/>
  <c r="X25" i="69"/>
  <c r="W25" i="69"/>
  <c r="V25" i="69"/>
  <c r="U25" i="69"/>
  <c r="T25" i="69"/>
  <c r="S25" i="69"/>
  <c r="R25" i="69"/>
  <c r="Q25" i="69"/>
  <c r="P25" i="69"/>
  <c r="O25" i="69"/>
  <c r="N25" i="69"/>
  <c r="M25" i="69"/>
  <c r="L25" i="69"/>
  <c r="K25" i="69"/>
  <c r="J25" i="69"/>
  <c r="I25" i="69"/>
  <c r="H25" i="69"/>
  <c r="G25" i="69"/>
  <c r="F25" i="69"/>
  <c r="E25" i="69"/>
  <c r="D25" i="69"/>
  <c r="C25" i="69"/>
  <c r="X22" i="69"/>
  <c r="W22" i="69"/>
  <c r="W23" i="69" s="1"/>
  <c r="W24" i="69" s="1"/>
  <c r="V22" i="69"/>
  <c r="V23" i="69" s="1"/>
  <c r="V24" i="69" s="1"/>
  <c r="U22" i="69"/>
  <c r="U23" i="69" s="1"/>
  <c r="U24" i="69" s="1"/>
  <c r="T22" i="69"/>
  <c r="S22" i="69"/>
  <c r="S23" i="69" s="1"/>
  <c r="S24" i="69" s="1"/>
  <c r="R22" i="69"/>
  <c r="R23" i="69" s="1"/>
  <c r="R24" i="69" s="1"/>
  <c r="Q22" i="69"/>
  <c r="Q23" i="69" s="1"/>
  <c r="Q24" i="69" s="1"/>
  <c r="P22" i="69"/>
  <c r="O22" i="69"/>
  <c r="O23" i="69" s="1"/>
  <c r="O24" i="69" s="1"/>
  <c r="N22" i="69"/>
  <c r="N23" i="69" s="1"/>
  <c r="N24" i="69" s="1"/>
  <c r="M22" i="69"/>
  <c r="M23" i="69" s="1"/>
  <c r="M24" i="69" s="1"/>
  <c r="L22" i="69"/>
  <c r="K22" i="69"/>
  <c r="K19" i="69" s="1"/>
  <c r="K20" i="69" s="1"/>
  <c r="K21" i="69" s="1"/>
  <c r="J22" i="69"/>
  <c r="J19" i="69" s="1"/>
  <c r="J26" i="69" s="1"/>
  <c r="I22" i="69"/>
  <c r="I23" i="69" s="1"/>
  <c r="I24" i="69" s="1"/>
  <c r="H22" i="69"/>
  <c r="G22" i="69"/>
  <c r="G23" i="69" s="1"/>
  <c r="G24" i="69" s="1"/>
  <c r="F22" i="69"/>
  <c r="F23" i="69" s="1"/>
  <c r="F24" i="69" s="1"/>
  <c r="E22" i="69"/>
  <c r="E23" i="69" s="1"/>
  <c r="E24" i="69" s="1"/>
  <c r="D22" i="69"/>
  <c r="C22" i="69"/>
  <c r="C23" i="69" s="1"/>
  <c r="C24" i="69" s="1"/>
  <c r="S19" i="69"/>
  <c r="R19" i="69"/>
  <c r="R26" i="69" s="1"/>
  <c r="N19" i="69"/>
  <c r="N26" i="69" s="1"/>
  <c r="F19" i="69"/>
  <c r="F26" i="69" s="1"/>
  <c r="D19" i="69"/>
  <c r="C19" i="69"/>
  <c r="C20" i="69" s="1"/>
  <c r="C21" i="69" s="1"/>
  <c r="U18" i="69"/>
  <c r="U52" i="69" s="1"/>
  <c r="S18" i="69"/>
  <c r="S52" i="69" s="1"/>
  <c r="R18" i="69"/>
  <c r="R52" i="69" s="1"/>
  <c r="Q18" i="69"/>
  <c r="Q52" i="69" s="1"/>
  <c r="O18" i="69"/>
  <c r="O52" i="69" s="1"/>
  <c r="N18" i="69"/>
  <c r="N52" i="69" s="1"/>
  <c r="M18" i="69"/>
  <c r="M52" i="69" s="1"/>
  <c r="I18" i="69"/>
  <c r="I52" i="69" s="1"/>
  <c r="G18" i="69"/>
  <c r="G52" i="69" s="1"/>
  <c r="F18" i="69"/>
  <c r="F52" i="69" s="1"/>
  <c r="E18" i="69"/>
  <c r="E52" i="69" s="1"/>
  <c r="C18" i="69"/>
  <c r="C52" i="69" s="1"/>
  <c r="X16" i="69"/>
  <c r="W16" i="69"/>
  <c r="V16" i="69"/>
  <c r="U16" i="69"/>
  <c r="T16" i="69"/>
  <c r="S16" i="69"/>
  <c r="R16" i="69"/>
  <c r="Q16" i="69"/>
  <c r="P16" i="69"/>
  <c r="O16" i="69"/>
  <c r="N16" i="69"/>
  <c r="M16" i="69"/>
  <c r="L16" i="69"/>
  <c r="K16" i="69"/>
  <c r="J16" i="69"/>
  <c r="I16" i="69"/>
  <c r="H16" i="69"/>
  <c r="G16" i="69"/>
  <c r="F16" i="69"/>
  <c r="E16" i="69"/>
  <c r="D16" i="69"/>
  <c r="C16" i="69"/>
  <c r="X14" i="69"/>
  <c r="W14" i="69"/>
  <c r="V14" i="69"/>
  <c r="U14" i="69"/>
  <c r="T14" i="69"/>
  <c r="S14" i="69"/>
  <c r="R14" i="69"/>
  <c r="Q14" i="69"/>
  <c r="P14" i="69"/>
  <c r="O14" i="69"/>
  <c r="N14" i="69"/>
  <c r="M14" i="69"/>
  <c r="L14" i="69"/>
  <c r="K14" i="69"/>
  <c r="J14" i="69"/>
  <c r="I14" i="69"/>
  <c r="H14" i="69"/>
  <c r="G14" i="69"/>
  <c r="F14" i="69"/>
  <c r="E14" i="69"/>
  <c r="D14" i="69"/>
  <c r="C14" i="69"/>
  <c r="X13" i="69"/>
  <c r="W13" i="69"/>
  <c r="V13" i="69"/>
  <c r="U13" i="69"/>
  <c r="T13" i="69"/>
  <c r="S13" i="69"/>
  <c r="R13" i="69"/>
  <c r="Q13" i="69"/>
  <c r="P13" i="69"/>
  <c r="O13" i="69"/>
  <c r="N13" i="69"/>
  <c r="M13" i="69"/>
  <c r="L13" i="69"/>
  <c r="K13" i="69"/>
  <c r="J13" i="69"/>
  <c r="I13" i="69"/>
  <c r="H13" i="69"/>
  <c r="G13" i="69"/>
  <c r="F13" i="69"/>
  <c r="E13" i="69"/>
  <c r="D13" i="69"/>
  <c r="C13" i="69"/>
  <c r="X11" i="69"/>
  <c r="W11" i="69"/>
  <c r="V11" i="69"/>
  <c r="U11" i="69"/>
  <c r="T11" i="69"/>
  <c r="S11" i="69"/>
  <c r="R11" i="69"/>
  <c r="Q11" i="69"/>
  <c r="P11" i="69"/>
  <c r="O11" i="69"/>
  <c r="N11" i="69"/>
  <c r="M11" i="69"/>
  <c r="L11" i="69"/>
  <c r="K11" i="69"/>
  <c r="J11" i="69"/>
  <c r="I11" i="69"/>
  <c r="H11" i="69"/>
  <c r="G11" i="69"/>
  <c r="F11" i="69"/>
  <c r="E11" i="69"/>
  <c r="D11" i="69"/>
  <c r="C11" i="69"/>
  <c r="W10" i="69"/>
  <c r="V10" i="69"/>
  <c r="R10" i="69"/>
  <c r="N10" i="69"/>
  <c r="K10" i="69"/>
  <c r="J10" i="69"/>
  <c r="G10" i="69"/>
  <c r="F10" i="69"/>
  <c r="X9" i="69"/>
  <c r="X10" i="69" s="1"/>
  <c r="W9" i="69"/>
  <c r="V9" i="69"/>
  <c r="U9" i="69"/>
  <c r="U10" i="69" s="1"/>
  <c r="T9" i="69"/>
  <c r="T10" i="69" s="1"/>
  <c r="S9" i="69"/>
  <c r="S10" i="69" s="1"/>
  <c r="R9" i="69"/>
  <c r="Q9" i="69"/>
  <c r="Q10" i="69" s="1"/>
  <c r="P9" i="69"/>
  <c r="P10" i="69" s="1"/>
  <c r="O9" i="69"/>
  <c r="O10" i="69" s="1"/>
  <c r="N9" i="69"/>
  <c r="M9" i="69"/>
  <c r="M10" i="69" s="1"/>
  <c r="L9" i="69"/>
  <c r="L10" i="69" s="1"/>
  <c r="K9" i="69"/>
  <c r="J9" i="69"/>
  <c r="I9" i="69"/>
  <c r="I10" i="69" s="1"/>
  <c r="H9" i="69"/>
  <c r="H10" i="69" s="1"/>
  <c r="G9" i="69"/>
  <c r="F9" i="69"/>
  <c r="E9" i="69"/>
  <c r="E10" i="69" s="1"/>
  <c r="D9" i="69"/>
  <c r="D10" i="69" s="1"/>
  <c r="C9" i="69"/>
  <c r="C10" i="69" s="1"/>
  <c r="X7" i="69"/>
  <c r="W7" i="69"/>
  <c r="V7" i="69"/>
  <c r="U7" i="69"/>
  <c r="T7" i="69"/>
  <c r="S7" i="69"/>
  <c r="R7" i="69"/>
  <c r="Q7" i="69"/>
  <c r="P7" i="69"/>
  <c r="O7" i="69"/>
  <c r="N7" i="69"/>
  <c r="M7" i="69"/>
  <c r="L7" i="69"/>
  <c r="K7" i="69"/>
  <c r="J7" i="69"/>
  <c r="I7" i="69"/>
  <c r="H7" i="69"/>
  <c r="G7" i="69"/>
  <c r="F7" i="69"/>
  <c r="E7" i="69"/>
  <c r="D7" i="69"/>
  <c r="C7" i="69"/>
  <c r="X6" i="69"/>
  <c r="W6" i="69"/>
  <c r="V6" i="69"/>
  <c r="U6" i="69"/>
  <c r="T6" i="69"/>
  <c r="S6" i="69"/>
  <c r="R6" i="69"/>
  <c r="Q6" i="69"/>
  <c r="P6" i="69"/>
  <c r="O6" i="69"/>
  <c r="N6" i="69"/>
  <c r="M6" i="69"/>
  <c r="L6" i="69"/>
  <c r="K6" i="69"/>
  <c r="J6" i="69"/>
  <c r="I6" i="69"/>
  <c r="H6" i="69"/>
  <c r="G6" i="69"/>
  <c r="F6" i="69"/>
  <c r="E6" i="69"/>
  <c r="D6" i="69"/>
  <c r="C6" i="69"/>
  <c r="A471" i="67"/>
  <c r="A470" i="67"/>
  <c r="A469" i="67"/>
  <c r="A468" i="67"/>
  <c r="A467" i="67"/>
  <c r="A466" i="67"/>
  <c r="A465" i="67"/>
  <c r="A464" i="67"/>
  <c r="A463" i="67"/>
  <c r="A462" i="67"/>
  <c r="A164" i="67"/>
  <c r="A163" i="67"/>
  <c r="A162" i="67"/>
  <c r="A161" i="67"/>
  <c r="A160" i="67"/>
  <c r="A159" i="67"/>
  <c r="A158" i="67"/>
  <c r="A157" i="67"/>
  <c r="A5" i="67"/>
  <c r="A6" i="67"/>
  <c r="A7" i="67"/>
  <c r="A8" i="67"/>
  <c r="A9" i="67"/>
  <c r="A4" i="67"/>
  <c r="AN113" i="65"/>
  <c r="AN114" i="65"/>
  <c r="AN115" i="65"/>
  <c r="AN116" i="65"/>
  <c r="AN117" i="65"/>
  <c r="AN118" i="65"/>
  <c r="AN119" i="65"/>
  <c r="AN120" i="65"/>
  <c r="AN121" i="65"/>
  <c r="AN112" i="65"/>
  <c r="AD113" i="65"/>
  <c r="AD114" i="65"/>
  <c r="AD115" i="65"/>
  <c r="AD116" i="65"/>
  <c r="AD117" i="65"/>
  <c r="AD118" i="65"/>
  <c r="AD119" i="65"/>
  <c r="AD120" i="65"/>
  <c r="AD121" i="65"/>
  <c r="AD112" i="65"/>
  <c r="T113" i="65"/>
  <c r="T114" i="65"/>
  <c r="T115" i="65"/>
  <c r="T116" i="65"/>
  <c r="T117" i="65"/>
  <c r="T118" i="65"/>
  <c r="T119" i="65"/>
  <c r="T120" i="65"/>
  <c r="T121" i="65"/>
  <c r="T112" i="65"/>
  <c r="B113" i="65"/>
  <c r="B114" i="65"/>
  <c r="B115" i="65"/>
  <c r="B116" i="65"/>
  <c r="C116" i="65" s="1"/>
  <c r="B117" i="65"/>
  <c r="B118" i="65"/>
  <c r="B119" i="65"/>
  <c r="B120" i="65"/>
  <c r="C120" i="65" s="1"/>
  <c r="B121" i="65"/>
  <c r="B112" i="65"/>
  <c r="AN88" i="65"/>
  <c r="AN89" i="65"/>
  <c r="AN90" i="65"/>
  <c r="AN91" i="65"/>
  <c r="AN92" i="65"/>
  <c r="AN93" i="65"/>
  <c r="AN94" i="65"/>
  <c r="AN95" i="65"/>
  <c r="AN96" i="65"/>
  <c r="AN87" i="65"/>
  <c r="AD87" i="65"/>
  <c r="AD88" i="65"/>
  <c r="AD89" i="65"/>
  <c r="AD90" i="65"/>
  <c r="AD91" i="65"/>
  <c r="AD92" i="65"/>
  <c r="AD93" i="65"/>
  <c r="AD94" i="65"/>
  <c r="AD95" i="65"/>
  <c r="AD96" i="65"/>
  <c r="T88" i="65"/>
  <c r="T89" i="65"/>
  <c r="T90" i="65"/>
  <c r="T91" i="65"/>
  <c r="T92" i="65"/>
  <c r="T93" i="65"/>
  <c r="T94" i="65"/>
  <c r="T95" i="65"/>
  <c r="T96" i="65"/>
  <c r="T87" i="65"/>
  <c r="B88" i="65"/>
  <c r="C88" i="65" s="1"/>
  <c r="D88" i="65" s="1"/>
  <c r="E88" i="65" s="1"/>
  <c r="F88" i="65" s="1"/>
  <c r="G88" i="65" s="1"/>
  <c r="H88" i="65" s="1"/>
  <c r="I88" i="65" s="1"/>
  <c r="J88" i="65" s="1"/>
  <c r="B89" i="65"/>
  <c r="B104" i="65" s="1"/>
  <c r="B144" i="65" s="1"/>
  <c r="B90" i="65"/>
  <c r="B91" i="65"/>
  <c r="B106" i="65" s="1"/>
  <c r="B92" i="65"/>
  <c r="C92" i="65" s="1"/>
  <c r="D92" i="65" s="1"/>
  <c r="E92" i="65" s="1"/>
  <c r="F92" i="65" s="1"/>
  <c r="G92" i="65" s="1"/>
  <c r="H92" i="65" s="1"/>
  <c r="I92" i="65" s="1"/>
  <c r="J92" i="65" s="1"/>
  <c r="B93" i="65"/>
  <c r="B108" i="65" s="1"/>
  <c r="B148" i="65" s="1"/>
  <c r="B94" i="65"/>
  <c r="C94" i="65" s="1"/>
  <c r="D94" i="65" s="1"/>
  <c r="E94" i="65" s="1"/>
  <c r="F94" i="65" s="1"/>
  <c r="G94" i="65" s="1"/>
  <c r="H94" i="65" s="1"/>
  <c r="I94" i="65" s="1"/>
  <c r="J94" i="65" s="1"/>
  <c r="B95" i="65"/>
  <c r="C95" i="65" s="1"/>
  <c r="D95" i="65" s="1"/>
  <c r="E95" i="65" s="1"/>
  <c r="F95" i="65" s="1"/>
  <c r="G95" i="65" s="1"/>
  <c r="H95" i="65" s="1"/>
  <c r="I95" i="65" s="1"/>
  <c r="J95" i="65" s="1"/>
  <c r="B96" i="65"/>
  <c r="C96" i="65" s="1"/>
  <c r="D96" i="65" s="1"/>
  <c r="E96" i="65" s="1"/>
  <c r="F96" i="65" s="1"/>
  <c r="G96" i="65" s="1"/>
  <c r="H96" i="65" s="1"/>
  <c r="I96" i="65" s="1"/>
  <c r="J96" i="65" s="1"/>
  <c r="B87" i="65"/>
  <c r="C87" i="65" s="1"/>
  <c r="D87" i="65" s="1"/>
  <c r="E87" i="65" s="1"/>
  <c r="F87" i="65" s="1"/>
  <c r="G87" i="65" s="1"/>
  <c r="H87" i="65" s="1"/>
  <c r="I87" i="65" s="1"/>
  <c r="J87" i="65" s="1"/>
  <c r="L4" i="33"/>
  <c r="N4" i="33"/>
  <c r="AN37" i="65"/>
  <c r="AN36" i="65"/>
  <c r="AD37" i="65"/>
  <c r="AD36" i="65"/>
  <c r="T37" i="65"/>
  <c r="T36" i="65"/>
  <c r="B37" i="65"/>
  <c r="C37" i="65" s="1"/>
  <c r="B36" i="65"/>
  <c r="AN43" i="65"/>
  <c r="AN42" i="65"/>
  <c r="U43" i="65"/>
  <c r="U42" i="65"/>
  <c r="T43" i="65"/>
  <c r="T42" i="65"/>
  <c r="J43" i="65"/>
  <c r="B42" i="65"/>
  <c r="P4" i="33"/>
  <c r="N6" i="33"/>
  <c r="N7" i="33"/>
  <c r="N8" i="33"/>
  <c r="N9" i="33"/>
  <c r="N10" i="33"/>
  <c r="N11" i="33"/>
  <c r="N12" i="33"/>
  <c r="N13" i="33"/>
  <c r="N14" i="33"/>
  <c r="N15" i="33"/>
  <c r="N16" i="33"/>
  <c r="N17" i="33"/>
  <c r="N5" i="33"/>
  <c r="F20" i="69" l="1"/>
  <c r="F21" i="69" s="1"/>
  <c r="V18" i="69"/>
  <c r="V52" i="69" s="1"/>
  <c r="N20" i="69"/>
  <c r="N21" i="69" s="1"/>
  <c r="W18" i="69"/>
  <c r="W52" i="69" s="1"/>
  <c r="J23" i="69"/>
  <c r="J24" i="69" s="1"/>
  <c r="J18" i="69"/>
  <c r="J52" i="69" s="1"/>
  <c r="K23" i="69"/>
  <c r="K24" i="69" s="1"/>
  <c r="K18" i="69"/>
  <c r="K52" i="69" s="1"/>
  <c r="V19" i="69"/>
  <c r="R1447" i="67"/>
  <c r="R1431" i="67"/>
  <c r="AL1447" i="67"/>
  <c r="AL1431" i="67"/>
  <c r="K1447" i="67"/>
  <c r="K1431" i="67"/>
  <c r="O1431" i="67"/>
  <c r="O1447" i="67"/>
  <c r="S1431" i="67"/>
  <c r="S1447" i="67"/>
  <c r="W1431" i="67"/>
  <c r="W1447" i="67"/>
  <c r="AA1447" i="67"/>
  <c r="AA1431" i="67"/>
  <c r="AE1431" i="67"/>
  <c r="AE1447" i="67"/>
  <c r="AI1431" i="67"/>
  <c r="AI1447" i="67"/>
  <c r="AM1447" i="67"/>
  <c r="AM1431" i="67"/>
  <c r="AQ1447" i="67"/>
  <c r="AQ1431" i="67"/>
  <c r="AU1431" i="67"/>
  <c r="AU1447" i="67"/>
  <c r="K1448" i="67"/>
  <c r="K1432" i="67"/>
  <c r="O1432" i="67"/>
  <c r="O1448" i="67"/>
  <c r="S1448" i="67"/>
  <c r="S1432" i="67"/>
  <c r="AA1432" i="67"/>
  <c r="AA1448" i="67"/>
  <c r="AE1432" i="67"/>
  <c r="AE1448" i="67"/>
  <c r="AI1448" i="67"/>
  <c r="AI1432" i="67"/>
  <c r="AM1448" i="67"/>
  <c r="AM1432" i="67"/>
  <c r="AQ1432" i="67"/>
  <c r="AQ1448" i="67"/>
  <c r="AU1432" i="67"/>
  <c r="AU1448" i="67"/>
  <c r="N1433" i="67"/>
  <c r="N1449" i="67"/>
  <c r="R1433" i="67"/>
  <c r="R1449" i="67"/>
  <c r="V1449" i="67"/>
  <c r="V1433" i="67"/>
  <c r="Z1433" i="67"/>
  <c r="Z1449" i="67"/>
  <c r="AD1433" i="67"/>
  <c r="AD1449" i="67"/>
  <c r="AH1433" i="67"/>
  <c r="AH1449" i="67"/>
  <c r="AL1433" i="67"/>
  <c r="AL1449" i="67"/>
  <c r="AP1433" i="67"/>
  <c r="AP1449" i="67"/>
  <c r="AT1433" i="67"/>
  <c r="AT1449" i="67"/>
  <c r="N1450" i="67"/>
  <c r="N1434" i="67"/>
  <c r="R1434" i="67"/>
  <c r="R1450" i="67"/>
  <c r="V1450" i="67"/>
  <c r="V1434" i="67"/>
  <c r="Z1450" i="67"/>
  <c r="Z1434" i="67"/>
  <c r="AD1450" i="67"/>
  <c r="AD1434" i="67"/>
  <c r="AH1434" i="67"/>
  <c r="AH1450" i="67"/>
  <c r="AL1450" i="67"/>
  <c r="AL1434" i="67"/>
  <c r="AP1450" i="67"/>
  <c r="AP1434" i="67"/>
  <c r="AT1450" i="67"/>
  <c r="AT1434" i="67"/>
  <c r="N1431" i="67"/>
  <c r="N1447" i="67"/>
  <c r="Z1431" i="67"/>
  <c r="Z1447" i="67"/>
  <c r="AH1447" i="67"/>
  <c r="AH1431" i="67"/>
  <c r="AT1431" i="67"/>
  <c r="AT1447" i="67"/>
  <c r="N1432" i="67"/>
  <c r="N1448" i="67"/>
  <c r="R1432" i="67"/>
  <c r="R1448" i="67"/>
  <c r="V1432" i="67"/>
  <c r="V1448" i="67"/>
  <c r="AD1432" i="67"/>
  <c r="AD1448" i="67"/>
  <c r="AH1432" i="67"/>
  <c r="AH1448" i="67"/>
  <c r="AL1448" i="67"/>
  <c r="AL1432" i="67"/>
  <c r="AP1448" i="67"/>
  <c r="AP1432" i="67"/>
  <c r="AT1432" i="67"/>
  <c r="AT1448" i="67"/>
  <c r="M1433" i="67"/>
  <c r="M1449" i="67"/>
  <c r="Q1433" i="67"/>
  <c r="Q1449" i="67"/>
  <c r="U1433" i="67"/>
  <c r="U1449" i="67"/>
  <c r="Y1433" i="67"/>
  <c r="Y1449" i="67"/>
  <c r="AC1433" i="67"/>
  <c r="AC1449" i="67"/>
  <c r="AG1433" i="67"/>
  <c r="AG1449" i="67"/>
  <c r="AK1433" i="67"/>
  <c r="AK1449" i="67"/>
  <c r="AO1433" i="67"/>
  <c r="AO1449" i="67"/>
  <c r="AS1449" i="67"/>
  <c r="AS1433" i="67"/>
  <c r="AW1433" i="67"/>
  <c r="AW1449" i="67"/>
  <c r="M1450" i="67"/>
  <c r="M1434" i="67"/>
  <c r="Q1450" i="67"/>
  <c r="Q1434" i="67"/>
  <c r="U1450" i="67"/>
  <c r="U1434" i="67"/>
  <c r="Y1434" i="67"/>
  <c r="Y1450" i="67"/>
  <c r="AC1450" i="67"/>
  <c r="AC1434" i="67"/>
  <c r="AG1450" i="67"/>
  <c r="AG1434" i="67"/>
  <c r="AK1450" i="67"/>
  <c r="AK1434" i="67"/>
  <c r="AO1434" i="67"/>
  <c r="AO1450" i="67"/>
  <c r="AS1450" i="67"/>
  <c r="AS1434" i="67"/>
  <c r="AW1450" i="67"/>
  <c r="AW1434" i="67"/>
  <c r="W1448" i="67"/>
  <c r="W1432" i="67"/>
  <c r="L1431" i="67"/>
  <c r="L1447" i="67"/>
  <c r="P1431" i="67"/>
  <c r="P1447" i="67"/>
  <c r="T1447" i="67"/>
  <c r="T1431" i="67"/>
  <c r="X1431" i="67"/>
  <c r="X1447" i="67"/>
  <c r="AB1431" i="67"/>
  <c r="AB1447" i="67"/>
  <c r="AF1447" i="67"/>
  <c r="AF1431" i="67"/>
  <c r="AJ1447" i="67"/>
  <c r="AJ1431" i="67"/>
  <c r="AN1431" i="67"/>
  <c r="AN1447" i="67"/>
  <c r="AR1431" i="67"/>
  <c r="AR1447" i="67"/>
  <c r="AV1447" i="67"/>
  <c r="AV1431" i="67"/>
  <c r="L1448" i="67"/>
  <c r="L1432" i="67"/>
  <c r="P1448" i="67"/>
  <c r="P1432" i="67"/>
  <c r="T1432" i="67"/>
  <c r="T1448" i="67"/>
  <c r="X1432" i="67"/>
  <c r="X1448" i="67"/>
  <c r="AB1448" i="67"/>
  <c r="AB1432" i="67"/>
  <c r="AF1448" i="67"/>
  <c r="AF1432" i="67"/>
  <c r="AJ1432" i="67"/>
  <c r="AJ1448" i="67"/>
  <c r="AN1432" i="67"/>
  <c r="AN1448" i="67"/>
  <c r="AR1448" i="67"/>
  <c r="AR1432" i="67"/>
  <c r="AV1448" i="67"/>
  <c r="AV1432" i="67"/>
  <c r="K1433" i="67"/>
  <c r="K1449" i="67"/>
  <c r="O1433" i="67"/>
  <c r="O1449" i="67"/>
  <c r="S1433" i="67"/>
  <c r="S1449" i="67"/>
  <c r="W1433" i="67"/>
  <c r="W1449" i="67"/>
  <c r="AA1433" i="67"/>
  <c r="AA1449" i="67"/>
  <c r="AE1433" i="67"/>
  <c r="AE1449" i="67"/>
  <c r="AI1433" i="67"/>
  <c r="AI1449" i="67"/>
  <c r="AM1433" i="67"/>
  <c r="AM1449" i="67"/>
  <c r="AQ1433" i="67"/>
  <c r="AQ1449" i="67"/>
  <c r="AU1433" i="67"/>
  <c r="AU1449" i="67"/>
  <c r="K1450" i="67"/>
  <c r="K1434" i="67"/>
  <c r="O1450" i="67"/>
  <c r="O1434" i="67"/>
  <c r="S1450" i="67"/>
  <c r="S1434" i="67"/>
  <c r="W1450" i="67"/>
  <c r="W1434" i="67"/>
  <c r="AA1450" i="67"/>
  <c r="AA1434" i="67"/>
  <c r="AE1450" i="67"/>
  <c r="AE1434" i="67"/>
  <c r="AI1450" i="67"/>
  <c r="AI1434" i="67"/>
  <c r="AM1450" i="67"/>
  <c r="AM1434" i="67"/>
  <c r="AQ1450" i="67"/>
  <c r="AQ1434" i="67"/>
  <c r="AU1450" i="67"/>
  <c r="AU1434" i="67"/>
  <c r="V1447" i="67"/>
  <c r="V1431" i="67"/>
  <c r="AD1431" i="67"/>
  <c r="AD1447" i="67"/>
  <c r="AP1431" i="67"/>
  <c r="AP1447" i="67"/>
  <c r="Z1448" i="67"/>
  <c r="Z1432" i="67"/>
  <c r="M1447" i="67"/>
  <c r="M1431" i="67"/>
  <c r="Q1431" i="67"/>
  <c r="Q1447" i="67"/>
  <c r="U1431" i="67"/>
  <c r="U1447" i="67"/>
  <c r="Y1447" i="67"/>
  <c r="Y1431" i="67"/>
  <c r="AC1447" i="67"/>
  <c r="AC1431" i="67"/>
  <c r="AG1431" i="67"/>
  <c r="AG1447" i="67"/>
  <c r="AK1431" i="67"/>
  <c r="AK1447" i="67"/>
  <c r="AO1447" i="67"/>
  <c r="AO1431" i="67"/>
  <c r="AS1447" i="67"/>
  <c r="AS1431" i="67"/>
  <c r="AW1431" i="67"/>
  <c r="AW1447" i="67"/>
  <c r="M1448" i="67"/>
  <c r="M1432" i="67"/>
  <c r="Q1448" i="67"/>
  <c r="Q1432" i="67"/>
  <c r="U1448" i="67"/>
  <c r="U1432" i="67"/>
  <c r="Y1448" i="67"/>
  <c r="Y1432" i="67"/>
  <c r="AC1448" i="67"/>
  <c r="AC1432" i="67"/>
  <c r="AG1448" i="67"/>
  <c r="AG1432" i="67"/>
  <c r="AK1448" i="67"/>
  <c r="AK1432" i="67"/>
  <c r="AO1448" i="67"/>
  <c r="AO1432" i="67"/>
  <c r="AS1448" i="67"/>
  <c r="AS1432" i="67"/>
  <c r="AW1448" i="67"/>
  <c r="AW1432" i="67"/>
  <c r="L1433" i="67"/>
  <c r="L1449" i="67"/>
  <c r="P1433" i="67"/>
  <c r="P1449" i="67"/>
  <c r="T1449" i="67"/>
  <c r="T1433" i="67"/>
  <c r="X1433" i="67"/>
  <c r="X1449" i="67"/>
  <c r="AB1433" i="67"/>
  <c r="AB1449" i="67"/>
  <c r="AF1433" i="67"/>
  <c r="AF1449" i="67"/>
  <c r="AJ1449" i="67"/>
  <c r="AJ1433" i="67"/>
  <c r="AN1433" i="67"/>
  <c r="AN1449" i="67"/>
  <c r="AR1433" i="67"/>
  <c r="AR1449" i="67"/>
  <c r="AV1433" i="67"/>
  <c r="AV1449" i="67"/>
  <c r="L1450" i="67"/>
  <c r="L1434" i="67"/>
  <c r="P1434" i="67"/>
  <c r="P1450" i="67"/>
  <c r="T1450" i="67"/>
  <c r="T1434" i="67"/>
  <c r="X1450" i="67"/>
  <c r="X1434" i="67"/>
  <c r="AB1450" i="67"/>
  <c r="AB1434" i="67"/>
  <c r="AF1450" i="67"/>
  <c r="AF1434" i="67"/>
  <c r="AJ1450" i="67"/>
  <c r="AJ1434" i="67"/>
  <c r="AN1450" i="67"/>
  <c r="AN1434" i="67"/>
  <c r="AR1450" i="67"/>
  <c r="AR1434" i="67"/>
  <c r="AV1450" i="67"/>
  <c r="AV1434" i="67"/>
  <c r="U37" i="65"/>
  <c r="V37" i="65" s="1"/>
  <c r="W37" i="65" s="1"/>
  <c r="X37" i="65" s="1"/>
  <c r="Y37" i="65" s="1"/>
  <c r="Z37" i="65" s="1"/>
  <c r="AA37" i="65" s="1"/>
  <c r="AB37" i="65" s="1"/>
  <c r="AC37" i="65" s="1"/>
  <c r="U36" i="65"/>
  <c r="V36" i="65" s="1"/>
  <c r="W36" i="65" s="1"/>
  <c r="X36" i="65" s="1"/>
  <c r="Y36" i="65" s="1"/>
  <c r="Z36" i="65" s="1"/>
  <c r="AA36" i="65" s="1"/>
  <c r="AB36" i="65" s="1"/>
  <c r="AC36" i="65" s="1"/>
  <c r="U191" i="65"/>
  <c r="U190" i="65"/>
  <c r="AE195" i="65"/>
  <c r="AE191" i="65"/>
  <c r="AE190" i="65"/>
  <c r="D191" i="65"/>
  <c r="D190" i="65"/>
  <c r="C191" i="65"/>
  <c r="C190" i="65"/>
  <c r="K374" i="67"/>
  <c r="AU455" i="67"/>
  <c r="AQ455" i="67"/>
  <c r="AM455" i="67"/>
  <c r="AI455" i="67"/>
  <c r="AE455" i="67"/>
  <c r="AA455" i="67"/>
  <c r="W455" i="67"/>
  <c r="S455" i="67"/>
  <c r="O455" i="67"/>
  <c r="AW439" i="67"/>
  <c r="AS439" i="67"/>
  <c r="AO439" i="67"/>
  <c r="AK439" i="67"/>
  <c r="AG439" i="67"/>
  <c r="AC439" i="67"/>
  <c r="Y439" i="67"/>
  <c r="U439" i="67"/>
  <c r="Q439" i="67"/>
  <c r="M439" i="67"/>
  <c r="AW423" i="67"/>
  <c r="AS423" i="67"/>
  <c r="AO423" i="67"/>
  <c r="AK423" i="67"/>
  <c r="AG423" i="67"/>
  <c r="AC423" i="67"/>
  <c r="Y423" i="67"/>
  <c r="U423" i="67"/>
  <c r="Q423" i="67"/>
  <c r="M423" i="67"/>
  <c r="AU422" i="67"/>
  <c r="AQ422" i="67"/>
  <c r="AM422" i="67"/>
  <c r="AI422" i="67"/>
  <c r="AE422" i="67"/>
  <c r="AA422" i="67"/>
  <c r="W422" i="67"/>
  <c r="S422" i="67"/>
  <c r="O422" i="67"/>
  <c r="AW374" i="67"/>
  <c r="AS374" i="67"/>
  <c r="AO374" i="67"/>
  <c r="AK374" i="67"/>
  <c r="AG374" i="67"/>
  <c r="AC374" i="67"/>
  <c r="Y374" i="67"/>
  <c r="U374" i="67"/>
  <c r="Q374" i="67"/>
  <c r="M374" i="67"/>
  <c r="K422" i="67"/>
  <c r="AT455" i="67"/>
  <c r="AP455" i="67"/>
  <c r="AL455" i="67"/>
  <c r="AH455" i="67"/>
  <c r="AD455" i="67"/>
  <c r="Z455" i="67"/>
  <c r="V455" i="67"/>
  <c r="R455" i="67"/>
  <c r="N455" i="67"/>
  <c r="AV439" i="67"/>
  <c r="AR439" i="67"/>
  <c r="AN439" i="67"/>
  <c r="AJ439" i="67"/>
  <c r="AF439" i="67"/>
  <c r="AB439" i="67"/>
  <c r="X439" i="67"/>
  <c r="T439" i="67"/>
  <c r="P439" i="67"/>
  <c r="L439" i="67"/>
  <c r="AV423" i="67"/>
  <c r="AR423" i="67"/>
  <c r="AN423" i="67"/>
  <c r="AJ423" i="67"/>
  <c r="AF423" i="67"/>
  <c r="AB423" i="67"/>
  <c r="X423" i="67"/>
  <c r="T423" i="67"/>
  <c r="P423" i="67"/>
  <c r="L423" i="67"/>
  <c r="AT422" i="67"/>
  <c r="AP422" i="67"/>
  <c r="AL422" i="67"/>
  <c r="AH422" i="67"/>
  <c r="AD422" i="67"/>
  <c r="Z422" i="67"/>
  <c r="V422" i="67"/>
  <c r="R422" i="67"/>
  <c r="N422" i="67"/>
  <c r="AV374" i="67"/>
  <c r="AR374" i="67"/>
  <c r="AN374" i="67"/>
  <c r="AJ374" i="67"/>
  <c r="AF374" i="67"/>
  <c r="AB374" i="67"/>
  <c r="X374" i="67"/>
  <c r="T374" i="67"/>
  <c r="P374" i="67"/>
  <c r="L374" i="67"/>
  <c r="K423" i="67"/>
  <c r="K439" i="67"/>
  <c r="AW455" i="67"/>
  <c r="AS455" i="67"/>
  <c r="AO455" i="67"/>
  <c r="AK455" i="67"/>
  <c r="AG455" i="67"/>
  <c r="AC455" i="67"/>
  <c r="Y455" i="67"/>
  <c r="U455" i="67"/>
  <c r="Q455" i="67"/>
  <c r="M455" i="67"/>
  <c r="AU439" i="67"/>
  <c r="AQ439" i="67"/>
  <c r="AM439" i="67"/>
  <c r="AI439" i="67"/>
  <c r="AE439" i="67"/>
  <c r="AA439" i="67"/>
  <c r="W439" i="67"/>
  <c r="S439" i="67"/>
  <c r="O439" i="67"/>
  <c r="AU423" i="67"/>
  <c r="AQ423" i="67"/>
  <c r="AM423" i="67"/>
  <c r="AI423" i="67"/>
  <c r="AE423" i="67"/>
  <c r="AA423" i="67"/>
  <c r="W423" i="67"/>
  <c r="S423" i="67"/>
  <c r="O423" i="67"/>
  <c r="AW422" i="67"/>
  <c r="AS422" i="67"/>
  <c r="AO422" i="67"/>
  <c r="AK422" i="67"/>
  <c r="AG422" i="67"/>
  <c r="AC422" i="67"/>
  <c r="Y422" i="67"/>
  <c r="U422" i="67"/>
  <c r="Q422" i="67"/>
  <c r="M422" i="67"/>
  <c r="AU374" i="67"/>
  <c r="AQ374" i="67"/>
  <c r="AM374" i="67"/>
  <c r="AI374" i="67"/>
  <c r="AE374" i="67"/>
  <c r="AA374" i="67"/>
  <c r="W374" i="67"/>
  <c r="S374" i="67"/>
  <c r="O374" i="67"/>
  <c r="K455" i="67"/>
  <c r="AV455" i="67"/>
  <c r="AR455" i="67"/>
  <c r="AN455" i="67"/>
  <c r="AJ455" i="67"/>
  <c r="AF455" i="67"/>
  <c r="AB455" i="67"/>
  <c r="X455" i="67"/>
  <c r="T455" i="67"/>
  <c r="P455" i="67"/>
  <c r="L455" i="67"/>
  <c r="AT439" i="67"/>
  <c r="AP439" i="67"/>
  <c r="AL439" i="67"/>
  <c r="AH439" i="67"/>
  <c r="AD439" i="67"/>
  <c r="Z439" i="67"/>
  <c r="V439" i="67"/>
  <c r="R439" i="67"/>
  <c r="N439" i="67"/>
  <c r="AT423" i="67"/>
  <c r="AP423" i="67"/>
  <c r="AL423" i="67"/>
  <c r="AH423" i="67"/>
  <c r="AD423" i="67"/>
  <c r="Z423" i="67"/>
  <c r="V423" i="67"/>
  <c r="R423" i="67"/>
  <c r="N423" i="67"/>
  <c r="AV422" i="67"/>
  <c r="AR422" i="67"/>
  <c r="AN422" i="67"/>
  <c r="AJ422" i="67"/>
  <c r="AF422" i="67"/>
  <c r="AB422" i="67"/>
  <c r="X422" i="67"/>
  <c r="T422" i="67"/>
  <c r="P422" i="67"/>
  <c r="L422" i="67"/>
  <c r="AT374" i="67"/>
  <c r="AP374" i="67"/>
  <c r="AL374" i="67"/>
  <c r="AH374" i="67"/>
  <c r="AD374" i="67"/>
  <c r="Z374" i="67"/>
  <c r="V374" i="67"/>
  <c r="R374" i="67"/>
  <c r="N374" i="67"/>
  <c r="K857" i="67"/>
  <c r="AW857" i="67"/>
  <c r="AS857" i="67"/>
  <c r="AO857" i="67"/>
  <c r="AK857" i="67"/>
  <c r="AG857" i="67"/>
  <c r="AC857" i="67"/>
  <c r="Y857" i="67"/>
  <c r="U857" i="67"/>
  <c r="Q857" i="67"/>
  <c r="M857" i="67"/>
  <c r="AU856" i="67"/>
  <c r="AQ856" i="67"/>
  <c r="AM856" i="67"/>
  <c r="AI856" i="67"/>
  <c r="AE856" i="67"/>
  <c r="AA856" i="67"/>
  <c r="W856" i="67"/>
  <c r="S856" i="67"/>
  <c r="O856" i="67"/>
  <c r="AU845" i="67"/>
  <c r="AQ845" i="67"/>
  <c r="AM845" i="67"/>
  <c r="AI845" i="67"/>
  <c r="AE845" i="67"/>
  <c r="AA845" i="67"/>
  <c r="W845" i="67"/>
  <c r="S845" i="67"/>
  <c r="O845" i="67"/>
  <c r="K845" i="67"/>
  <c r="AV857" i="67"/>
  <c r="AR857" i="67"/>
  <c r="AN857" i="67"/>
  <c r="AJ857" i="67"/>
  <c r="AF857" i="67"/>
  <c r="AB857" i="67"/>
  <c r="X857" i="67"/>
  <c r="T857" i="67"/>
  <c r="P857" i="67"/>
  <c r="L857" i="67"/>
  <c r="AT856" i="67"/>
  <c r="AP856" i="67"/>
  <c r="AL856" i="67"/>
  <c r="AH856" i="67"/>
  <c r="AD856" i="67"/>
  <c r="Z856" i="67"/>
  <c r="V856" i="67"/>
  <c r="R856" i="67"/>
  <c r="N856" i="67"/>
  <c r="AT845" i="67"/>
  <c r="AP845" i="67"/>
  <c r="AL845" i="67"/>
  <c r="AH845" i="67"/>
  <c r="AD845" i="67"/>
  <c r="Z845" i="67"/>
  <c r="V845" i="67"/>
  <c r="R845" i="67"/>
  <c r="N845" i="67"/>
  <c r="AU857" i="67"/>
  <c r="AQ857" i="67"/>
  <c r="AM857" i="67"/>
  <c r="AI857" i="67"/>
  <c r="AE857" i="67"/>
  <c r="AA857" i="67"/>
  <c r="W857" i="67"/>
  <c r="S857" i="67"/>
  <c r="O857" i="67"/>
  <c r="AW856" i="67"/>
  <c r="AS856" i="67"/>
  <c r="AO856" i="67"/>
  <c r="AK856" i="67"/>
  <c r="AG856" i="67"/>
  <c r="AC856" i="67"/>
  <c r="Y856" i="67"/>
  <c r="U856" i="67"/>
  <c r="Q856" i="67"/>
  <c r="M856" i="67"/>
  <c r="AW845" i="67"/>
  <c r="AS845" i="67"/>
  <c r="AO845" i="67"/>
  <c r="AK845" i="67"/>
  <c r="AG845" i="67"/>
  <c r="AC845" i="67"/>
  <c r="Y845" i="67"/>
  <c r="U845" i="67"/>
  <c r="Q845" i="67"/>
  <c r="M845" i="67"/>
  <c r="K856" i="67"/>
  <c r="AT857" i="67"/>
  <c r="AP857" i="67"/>
  <c r="AL857" i="67"/>
  <c r="AH857" i="67"/>
  <c r="AD857" i="67"/>
  <c r="Z857" i="67"/>
  <c r="V857" i="67"/>
  <c r="R857" i="67"/>
  <c r="N857" i="67"/>
  <c r="AV856" i="67"/>
  <c r="AR856" i="67"/>
  <c r="AN856" i="67"/>
  <c r="AJ856" i="67"/>
  <c r="AF856" i="67"/>
  <c r="AB856" i="67"/>
  <c r="X856" i="67"/>
  <c r="T856" i="67"/>
  <c r="P856" i="67"/>
  <c r="L856" i="67"/>
  <c r="AV845" i="67"/>
  <c r="AR845" i="67"/>
  <c r="AN845" i="67"/>
  <c r="AJ845" i="67"/>
  <c r="AF845" i="67"/>
  <c r="AB845" i="67"/>
  <c r="X845" i="67"/>
  <c r="T845" i="67"/>
  <c r="P845" i="67"/>
  <c r="L845" i="67"/>
  <c r="AE193" i="65"/>
  <c r="AF188" i="65"/>
  <c r="AE192" i="65"/>
  <c r="AE194" i="65"/>
  <c r="K526" i="67"/>
  <c r="K829" i="67"/>
  <c r="K743" i="67"/>
  <c r="K894" i="67"/>
  <c r="K574" i="67"/>
  <c r="K877" i="67"/>
  <c r="AT759" i="67"/>
  <c r="AT910" i="67"/>
  <c r="AP759" i="67"/>
  <c r="AP910" i="67"/>
  <c r="K575" i="67"/>
  <c r="K878" i="67"/>
  <c r="K759" i="67"/>
  <c r="K910" i="67"/>
  <c r="AU759" i="67"/>
  <c r="AU910" i="67"/>
  <c r="AQ759" i="67"/>
  <c r="AQ910" i="67"/>
  <c r="AM759" i="67"/>
  <c r="AM910" i="67"/>
  <c r="AI759" i="67"/>
  <c r="AI910" i="67"/>
  <c r="AE759" i="67"/>
  <c r="AE910" i="67"/>
  <c r="AA759" i="67"/>
  <c r="AA910" i="67"/>
  <c r="W759" i="67"/>
  <c r="W910" i="67"/>
  <c r="S759" i="67"/>
  <c r="S910" i="67"/>
  <c r="O759" i="67"/>
  <c r="O910" i="67"/>
  <c r="AU743" i="67"/>
  <c r="AU894" i="67"/>
  <c r="AQ743" i="67"/>
  <c r="AQ894" i="67"/>
  <c r="AM743" i="67"/>
  <c r="AM894" i="67"/>
  <c r="AI743" i="67"/>
  <c r="AI894" i="67"/>
  <c r="AE743" i="67"/>
  <c r="AE894" i="67"/>
  <c r="AA743" i="67"/>
  <c r="AA894" i="67"/>
  <c r="W743" i="67"/>
  <c r="W894" i="67"/>
  <c r="S743" i="67"/>
  <c r="S894" i="67"/>
  <c r="O743" i="67"/>
  <c r="O894" i="67"/>
  <c r="AU575" i="67"/>
  <c r="AU878" i="67"/>
  <c r="AQ575" i="67"/>
  <c r="AQ878" i="67"/>
  <c r="AM575" i="67"/>
  <c r="AM878" i="67"/>
  <c r="AI575" i="67"/>
  <c r="AI878" i="67"/>
  <c r="AE575" i="67"/>
  <c r="AE878" i="67"/>
  <c r="AA575" i="67"/>
  <c r="AA878" i="67"/>
  <c r="W575" i="67"/>
  <c r="W878" i="67"/>
  <c r="S575" i="67"/>
  <c r="S878" i="67"/>
  <c r="O575" i="67"/>
  <c r="O878" i="67"/>
  <c r="AW574" i="67"/>
  <c r="AW877" i="67"/>
  <c r="AS574" i="67"/>
  <c r="AS877" i="67"/>
  <c r="AO574" i="67"/>
  <c r="AO877" i="67"/>
  <c r="AK574" i="67"/>
  <c r="AK877" i="67"/>
  <c r="AG574" i="67"/>
  <c r="AG877" i="67"/>
  <c r="AC574" i="67"/>
  <c r="AC877" i="67"/>
  <c r="Y574" i="67"/>
  <c r="Y877" i="67"/>
  <c r="U574" i="67"/>
  <c r="U877" i="67"/>
  <c r="Q574" i="67"/>
  <c r="Q877" i="67"/>
  <c r="M574" i="67"/>
  <c r="M877" i="67"/>
  <c r="AU526" i="67"/>
  <c r="AU829" i="67"/>
  <c r="AQ526" i="67"/>
  <c r="AQ829" i="67"/>
  <c r="AM526" i="67"/>
  <c r="AM829" i="67"/>
  <c r="AI526" i="67"/>
  <c r="AI829" i="67"/>
  <c r="AE526" i="67"/>
  <c r="AE829" i="67"/>
  <c r="AA526" i="67"/>
  <c r="AA829" i="67"/>
  <c r="W526" i="67"/>
  <c r="W829" i="67"/>
  <c r="S526" i="67"/>
  <c r="S829" i="67"/>
  <c r="O526" i="67"/>
  <c r="O829" i="67"/>
  <c r="AL759" i="67"/>
  <c r="AL910" i="67"/>
  <c r="AH759" i="67"/>
  <c r="AH910" i="67"/>
  <c r="AD759" i="67"/>
  <c r="AD910" i="67"/>
  <c r="Z759" i="67"/>
  <c r="Z910" i="67"/>
  <c r="V759" i="67"/>
  <c r="V910" i="67"/>
  <c r="R759" i="67"/>
  <c r="R910" i="67"/>
  <c r="N759" i="67"/>
  <c r="N910" i="67"/>
  <c r="AT743" i="67"/>
  <c r="AT894" i="67"/>
  <c r="AP743" i="67"/>
  <c r="AP894" i="67"/>
  <c r="AL743" i="67"/>
  <c r="AL894" i="67"/>
  <c r="AH743" i="67"/>
  <c r="AH894" i="67"/>
  <c r="AD743" i="67"/>
  <c r="AD894" i="67"/>
  <c r="Z743" i="67"/>
  <c r="Z894" i="67"/>
  <c r="V743" i="67"/>
  <c r="V894" i="67"/>
  <c r="R743" i="67"/>
  <c r="R894" i="67"/>
  <c r="N743" i="67"/>
  <c r="N894" i="67"/>
  <c r="AT575" i="67"/>
  <c r="AT878" i="67"/>
  <c r="AP575" i="67"/>
  <c r="AP878" i="67"/>
  <c r="AL575" i="67"/>
  <c r="AL878" i="67"/>
  <c r="AH575" i="67"/>
  <c r="AH878" i="67"/>
  <c r="AD575" i="67"/>
  <c r="AD878" i="67"/>
  <c r="Z575" i="67"/>
  <c r="Z878" i="67"/>
  <c r="V575" i="67"/>
  <c r="V878" i="67"/>
  <c r="R575" i="67"/>
  <c r="R878" i="67"/>
  <c r="N575" i="67"/>
  <c r="N878" i="67"/>
  <c r="AV574" i="67"/>
  <c r="AV877" i="67"/>
  <c r="AR574" i="67"/>
  <c r="AR877" i="67"/>
  <c r="AN574" i="67"/>
  <c r="AN877" i="67"/>
  <c r="AJ574" i="67"/>
  <c r="AJ877" i="67"/>
  <c r="AF574" i="67"/>
  <c r="AF877" i="67"/>
  <c r="AB574" i="67"/>
  <c r="AB877" i="67"/>
  <c r="X574" i="67"/>
  <c r="X877" i="67"/>
  <c r="T574" i="67"/>
  <c r="T877" i="67"/>
  <c r="P574" i="67"/>
  <c r="P877" i="67"/>
  <c r="L574" i="67"/>
  <c r="L877" i="67"/>
  <c r="AT526" i="67"/>
  <c r="AT829" i="67"/>
  <c r="AP526" i="67"/>
  <c r="AP829" i="67"/>
  <c r="AL526" i="67"/>
  <c r="AL829" i="67"/>
  <c r="AH526" i="67"/>
  <c r="AH829" i="67"/>
  <c r="AD526" i="67"/>
  <c r="AD829" i="67"/>
  <c r="Z526" i="67"/>
  <c r="Z829" i="67"/>
  <c r="V526" i="67"/>
  <c r="V829" i="67"/>
  <c r="R526" i="67"/>
  <c r="R829" i="67"/>
  <c r="N526" i="67"/>
  <c r="N829" i="67"/>
  <c r="AW759" i="67"/>
  <c r="AW910" i="67"/>
  <c r="AS759" i="67"/>
  <c r="AS910" i="67"/>
  <c r="AO759" i="67"/>
  <c r="AO910" i="67"/>
  <c r="AK759" i="67"/>
  <c r="AK910" i="67"/>
  <c r="AG759" i="67"/>
  <c r="AG910" i="67"/>
  <c r="AC759" i="67"/>
  <c r="AC910" i="67"/>
  <c r="Y759" i="67"/>
  <c r="Y910" i="67"/>
  <c r="U759" i="67"/>
  <c r="U910" i="67"/>
  <c r="Q759" i="67"/>
  <c r="Q910" i="67"/>
  <c r="M759" i="67"/>
  <c r="M910" i="67"/>
  <c r="AW743" i="67"/>
  <c r="AW894" i="67"/>
  <c r="AS743" i="67"/>
  <c r="AS894" i="67"/>
  <c r="AO743" i="67"/>
  <c r="AO894" i="67"/>
  <c r="AK743" i="67"/>
  <c r="AK894" i="67"/>
  <c r="AG743" i="67"/>
  <c r="AG894" i="67"/>
  <c r="AC743" i="67"/>
  <c r="AC894" i="67"/>
  <c r="Y743" i="67"/>
  <c r="Y894" i="67"/>
  <c r="U743" i="67"/>
  <c r="U894" i="67"/>
  <c r="Q743" i="67"/>
  <c r="Q894" i="67"/>
  <c r="M743" i="67"/>
  <c r="M894" i="67"/>
  <c r="AW575" i="67"/>
  <c r="AW878" i="67"/>
  <c r="AS575" i="67"/>
  <c r="AS878" i="67"/>
  <c r="AO575" i="67"/>
  <c r="AO878" i="67"/>
  <c r="AK575" i="67"/>
  <c r="AK878" i="67"/>
  <c r="AG575" i="67"/>
  <c r="AG878" i="67"/>
  <c r="AC575" i="67"/>
  <c r="AC878" i="67"/>
  <c r="Y575" i="67"/>
  <c r="Y878" i="67"/>
  <c r="U575" i="67"/>
  <c r="U878" i="67"/>
  <c r="Q575" i="67"/>
  <c r="Q878" i="67"/>
  <c r="M575" i="67"/>
  <c r="M878" i="67"/>
  <c r="AU574" i="67"/>
  <c r="AU877" i="67"/>
  <c r="AQ574" i="67"/>
  <c r="AQ877" i="67"/>
  <c r="AM574" i="67"/>
  <c r="AM877" i="67"/>
  <c r="AI574" i="67"/>
  <c r="AI877" i="67"/>
  <c r="AE574" i="67"/>
  <c r="AE877" i="67"/>
  <c r="AA574" i="67"/>
  <c r="AA877" i="67"/>
  <c r="W574" i="67"/>
  <c r="W877" i="67"/>
  <c r="S574" i="67"/>
  <c r="S877" i="67"/>
  <c r="O574" i="67"/>
  <c r="O877" i="67"/>
  <c r="AW526" i="67"/>
  <c r="AW829" i="67"/>
  <c r="AS526" i="67"/>
  <c r="AS829" i="67"/>
  <c r="AO526" i="67"/>
  <c r="AO829" i="67"/>
  <c r="AK526" i="67"/>
  <c r="AK829" i="67"/>
  <c r="AG526" i="67"/>
  <c r="AG829" i="67"/>
  <c r="AC526" i="67"/>
  <c r="AC829" i="67"/>
  <c r="Y526" i="67"/>
  <c r="Y829" i="67"/>
  <c r="U526" i="67"/>
  <c r="U829" i="67"/>
  <c r="Q526" i="67"/>
  <c r="Q829" i="67"/>
  <c r="M526" i="67"/>
  <c r="M829" i="67"/>
  <c r="AV759" i="67"/>
  <c r="AV910" i="67"/>
  <c r="AR759" i="67"/>
  <c r="AR910" i="67"/>
  <c r="AN759" i="67"/>
  <c r="AN910" i="67"/>
  <c r="AJ759" i="67"/>
  <c r="AJ910" i="67"/>
  <c r="AF759" i="67"/>
  <c r="AF910" i="67"/>
  <c r="AB759" i="67"/>
  <c r="AB910" i="67"/>
  <c r="X759" i="67"/>
  <c r="X910" i="67"/>
  <c r="T759" i="67"/>
  <c r="T910" i="67"/>
  <c r="P759" i="67"/>
  <c r="P910" i="67"/>
  <c r="L759" i="67"/>
  <c r="L910" i="67"/>
  <c r="AV743" i="67"/>
  <c r="AV894" i="67"/>
  <c r="AR743" i="67"/>
  <c r="AR894" i="67"/>
  <c r="AN743" i="67"/>
  <c r="AN894" i="67"/>
  <c r="AJ743" i="67"/>
  <c r="AJ894" i="67"/>
  <c r="AF743" i="67"/>
  <c r="AF894" i="67"/>
  <c r="AB743" i="67"/>
  <c r="AB894" i="67"/>
  <c r="X743" i="67"/>
  <c r="X894" i="67"/>
  <c r="T743" i="67"/>
  <c r="T894" i="67"/>
  <c r="P743" i="67"/>
  <c r="P894" i="67"/>
  <c r="L743" i="67"/>
  <c r="L894" i="67"/>
  <c r="AV575" i="67"/>
  <c r="AV878" i="67"/>
  <c r="AR575" i="67"/>
  <c r="AR878" i="67"/>
  <c r="AN575" i="67"/>
  <c r="AN878" i="67"/>
  <c r="AJ575" i="67"/>
  <c r="AJ878" i="67"/>
  <c r="AF575" i="67"/>
  <c r="AF878" i="67"/>
  <c r="AB575" i="67"/>
  <c r="AB878" i="67"/>
  <c r="X575" i="67"/>
  <c r="X878" i="67"/>
  <c r="T575" i="67"/>
  <c r="T878" i="67"/>
  <c r="P575" i="67"/>
  <c r="P878" i="67"/>
  <c r="L575" i="67"/>
  <c r="L878" i="67"/>
  <c r="AT574" i="67"/>
  <c r="AT877" i="67"/>
  <c r="AP574" i="67"/>
  <c r="AP877" i="67"/>
  <c r="AL574" i="67"/>
  <c r="AL877" i="67"/>
  <c r="AH574" i="67"/>
  <c r="AH877" i="67"/>
  <c r="AD574" i="67"/>
  <c r="AD877" i="67"/>
  <c r="Z574" i="67"/>
  <c r="Z877" i="67"/>
  <c r="V574" i="67"/>
  <c r="V877" i="67"/>
  <c r="R574" i="67"/>
  <c r="R877" i="67"/>
  <c r="N574" i="67"/>
  <c r="N877" i="67"/>
  <c r="AV526" i="67"/>
  <c r="AV829" i="67"/>
  <c r="AR526" i="67"/>
  <c r="AR829" i="67"/>
  <c r="AN526" i="67"/>
  <c r="AN829" i="67"/>
  <c r="AJ526" i="67"/>
  <c r="AJ829" i="67"/>
  <c r="AF526" i="67"/>
  <c r="AF829" i="67"/>
  <c r="AB526" i="67"/>
  <c r="AB829" i="67"/>
  <c r="X526" i="67"/>
  <c r="X829" i="67"/>
  <c r="T526" i="67"/>
  <c r="T829" i="67"/>
  <c r="P526" i="67"/>
  <c r="P829" i="67"/>
  <c r="L526" i="67"/>
  <c r="L829" i="67"/>
  <c r="K554" i="67"/>
  <c r="K706" i="67"/>
  <c r="AU554" i="67"/>
  <c r="AU706" i="67"/>
  <c r="AQ554" i="67"/>
  <c r="AQ706" i="67"/>
  <c r="AM554" i="67"/>
  <c r="AM706" i="67"/>
  <c r="AI554" i="67"/>
  <c r="AI706" i="67"/>
  <c r="AE554" i="67"/>
  <c r="AE706" i="67"/>
  <c r="AA554" i="67"/>
  <c r="AA706" i="67"/>
  <c r="W554" i="67"/>
  <c r="W706" i="67"/>
  <c r="S554" i="67"/>
  <c r="S706" i="67"/>
  <c r="O554" i="67"/>
  <c r="O706" i="67"/>
  <c r="AW553" i="67"/>
  <c r="AW705" i="67"/>
  <c r="AS553" i="67"/>
  <c r="AS705" i="67"/>
  <c r="AO553" i="67"/>
  <c r="AO705" i="67"/>
  <c r="AK553" i="67"/>
  <c r="AK705" i="67"/>
  <c r="AG553" i="67"/>
  <c r="AG705" i="67"/>
  <c r="AC553" i="67"/>
  <c r="AC705" i="67"/>
  <c r="Y553" i="67"/>
  <c r="Y705" i="67"/>
  <c r="U553" i="67"/>
  <c r="U705" i="67"/>
  <c r="Q553" i="67"/>
  <c r="Q705" i="67"/>
  <c r="M553" i="67"/>
  <c r="M705" i="67"/>
  <c r="AU542" i="67"/>
  <c r="AU694" i="67"/>
  <c r="AQ542" i="67"/>
  <c r="AQ694" i="67"/>
  <c r="AM542" i="67"/>
  <c r="AM694" i="67"/>
  <c r="AI542" i="67"/>
  <c r="AI694" i="67"/>
  <c r="AE542" i="67"/>
  <c r="AE694" i="67"/>
  <c r="AA542" i="67"/>
  <c r="AA694" i="67"/>
  <c r="W542" i="67"/>
  <c r="W694" i="67"/>
  <c r="S542" i="67"/>
  <c r="S694" i="67"/>
  <c r="O542" i="67"/>
  <c r="O694" i="67"/>
  <c r="AT554" i="67"/>
  <c r="AT706" i="67"/>
  <c r="AP554" i="67"/>
  <c r="AP706" i="67"/>
  <c r="AL554" i="67"/>
  <c r="AL706" i="67"/>
  <c r="AH554" i="67"/>
  <c r="AH706" i="67"/>
  <c r="AD554" i="67"/>
  <c r="AD706" i="67"/>
  <c r="Z554" i="67"/>
  <c r="Z706" i="67"/>
  <c r="V554" i="67"/>
  <c r="V706" i="67"/>
  <c r="R554" i="67"/>
  <c r="R706" i="67"/>
  <c r="N554" i="67"/>
  <c r="N706" i="67"/>
  <c r="AV553" i="67"/>
  <c r="AV705" i="67"/>
  <c r="AR553" i="67"/>
  <c r="AR705" i="67"/>
  <c r="AN553" i="67"/>
  <c r="AN705" i="67"/>
  <c r="AJ553" i="67"/>
  <c r="AJ705" i="67"/>
  <c r="AF553" i="67"/>
  <c r="AF705" i="67"/>
  <c r="AB553" i="67"/>
  <c r="AB705" i="67"/>
  <c r="X553" i="67"/>
  <c r="X705" i="67"/>
  <c r="T553" i="67"/>
  <c r="T705" i="67"/>
  <c r="P553" i="67"/>
  <c r="P705" i="67"/>
  <c r="L553" i="67"/>
  <c r="L705" i="67"/>
  <c r="AT542" i="67"/>
  <c r="AT694" i="67"/>
  <c r="AP542" i="67"/>
  <c r="AP694" i="67"/>
  <c r="AL542" i="67"/>
  <c r="AL694" i="67"/>
  <c r="AH542" i="67"/>
  <c r="AH694" i="67"/>
  <c r="AD542" i="67"/>
  <c r="AD694" i="67"/>
  <c r="Z542" i="67"/>
  <c r="Z694" i="67"/>
  <c r="V542" i="67"/>
  <c r="V694" i="67"/>
  <c r="R542" i="67"/>
  <c r="R694" i="67"/>
  <c r="N542" i="67"/>
  <c r="N694" i="67"/>
  <c r="K542" i="67"/>
  <c r="K694" i="67"/>
  <c r="AW554" i="67"/>
  <c r="AW706" i="67"/>
  <c r="AS554" i="67"/>
  <c r="AS706" i="67"/>
  <c r="AO554" i="67"/>
  <c r="AO706" i="67"/>
  <c r="AK554" i="67"/>
  <c r="AK706" i="67"/>
  <c r="AG554" i="67"/>
  <c r="AG706" i="67"/>
  <c r="AC554" i="67"/>
  <c r="AC706" i="67"/>
  <c r="Y554" i="67"/>
  <c r="Y706" i="67"/>
  <c r="U554" i="67"/>
  <c r="U706" i="67"/>
  <c r="Q554" i="67"/>
  <c r="Q706" i="67"/>
  <c r="M554" i="67"/>
  <c r="M706" i="67"/>
  <c r="AU553" i="67"/>
  <c r="AU705" i="67"/>
  <c r="AQ553" i="67"/>
  <c r="AQ705" i="67"/>
  <c r="AM553" i="67"/>
  <c r="AM705" i="67"/>
  <c r="AI553" i="67"/>
  <c r="AI705" i="67"/>
  <c r="AE553" i="67"/>
  <c r="AE705" i="67"/>
  <c r="AA553" i="67"/>
  <c r="AA705" i="67"/>
  <c r="W553" i="67"/>
  <c r="W705" i="67"/>
  <c r="S553" i="67"/>
  <c r="S705" i="67"/>
  <c r="O553" i="67"/>
  <c r="O705" i="67"/>
  <c r="AW542" i="67"/>
  <c r="AW694" i="67"/>
  <c r="AS542" i="67"/>
  <c r="AS694" i="67"/>
  <c r="AO542" i="67"/>
  <c r="AO694" i="67"/>
  <c r="AK542" i="67"/>
  <c r="AK694" i="67"/>
  <c r="AG542" i="67"/>
  <c r="AG694" i="67"/>
  <c r="AC542" i="67"/>
  <c r="AC694" i="67"/>
  <c r="Y542" i="67"/>
  <c r="Y694" i="67"/>
  <c r="U542" i="67"/>
  <c r="U694" i="67"/>
  <c r="Q542" i="67"/>
  <c r="Q694" i="67"/>
  <c r="M542" i="67"/>
  <c r="M694" i="67"/>
  <c r="K553" i="67"/>
  <c r="K705" i="67"/>
  <c r="AV554" i="67"/>
  <c r="AV706" i="67"/>
  <c r="AR554" i="67"/>
  <c r="AR706" i="67"/>
  <c r="AN554" i="67"/>
  <c r="AN706" i="67"/>
  <c r="AJ554" i="67"/>
  <c r="AJ706" i="67"/>
  <c r="AF554" i="67"/>
  <c r="AF706" i="67"/>
  <c r="AB554" i="67"/>
  <c r="AB706" i="67"/>
  <c r="X554" i="67"/>
  <c r="X706" i="67"/>
  <c r="T554" i="67"/>
  <c r="T706" i="67"/>
  <c r="P554" i="67"/>
  <c r="P706" i="67"/>
  <c r="L554" i="67"/>
  <c r="L706" i="67"/>
  <c r="AT553" i="67"/>
  <c r="AT705" i="67"/>
  <c r="AP553" i="67"/>
  <c r="AP705" i="67"/>
  <c r="AL553" i="67"/>
  <c r="AL705" i="67"/>
  <c r="AH553" i="67"/>
  <c r="AH705" i="67"/>
  <c r="AD553" i="67"/>
  <c r="AD705" i="67"/>
  <c r="Z553" i="67"/>
  <c r="Z705" i="67"/>
  <c r="V553" i="67"/>
  <c r="V705" i="67"/>
  <c r="R553" i="67"/>
  <c r="R705" i="67"/>
  <c r="N553" i="67"/>
  <c r="N705" i="67"/>
  <c r="AV542" i="67"/>
  <c r="AV694" i="67"/>
  <c r="AR542" i="67"/>
  <c r="AR694" i="67"/>
  <c r="AN542" i="67"/>
  <c r="AN694" i="67"/>
  <c r="AJ542" i="67"/>
  <c r="AJ694" i="67"/>
  <c r="AF542" i="67"/>
  <c r="AF694" i="67"/>
  <c r="AB542" i="67"/>
  <c r="AB694" i="67"/>
  <c r="X542" i="67"/>
  <c r="X694" i="67"/>
  <c r="T542" i="67"/>
  <c r="T694" i="67"/>
  <c r="P542" i="67"/>
  <c r="P694" i="67"/>
  <c r="L542" i="67"/>
  <c r="L694" i="67"/>
  <c r="K286" i="67"/>
  <c r="K591" i="67"/>
  <c r="AU607" i="67"/>
  <c r="AQ607" i="67"/>
  <c r="AM607" i="67"/>
  <c r="AI607" i="67"/>
  <c r="AE607" i="67"/>
  <c r="AA607" i="67"/>
  <c r="W607" i="67"/>
  <c r="S607" i="67"/>
  <c r="O607" i="67"/>
  <c r="AU286" i="67"/>
  <c r="AU591" i="67"/>
  <c r="AQ286" i="67"/>
  <c r="AQ591" i="67"/>
  <c r="AM286" i="67"/>
  <c r="AM591" i="67"/>
  <c r="AI286" i="67"/>
  <c r="AI591" i="67"/>
  <c r="AE286" i="67"/>
  <c r="AE591" i="67"/>
  <c r="AA286" i="67"/>
  <c r="AA591" i="67"/>
  <c r="W286" i="67"/>
  <c r="W591" i="67"/>
  <c r="S286" i="67"/>
  <c r="S591" i="67"/>
  <c r="O286" i="67"/>
  <c r="O591" i="67"/>
  <c r="AT607" i="67"/>
  <c r="AP607" i="67"/>
  <c r="AL607" i="67"/>
  <c r="AH607" i="67"/>
  <c r="AD607" i="67"/>
  <c r="Z607" i="67"/>
  <c r="V607" i="67"/>
  <c r="R607" i="67"/>
  <c r="N607" i="67"/>
  <c r="AT286" i="67"/>
  <c r="AT591" i="67"/>
  <c r="AP286" i="67"/>
  <c r="AP591" i="67"/>
  <c r="AL286" i="67"/>
  <c r="AL591" i="67"/>
  <c r="AH286" i="67"/>
  <c r="AH591" i="67"/>
  <c r="AD286" i="67"/>
  <c r="AD591" i="67"/>
  <c r="Z286" i="67"/>
  <c r="Z591" i="67"/>
  <c r="V286" i="67"/>
  <c r="V591" i="67"/>
  <c r="R286" i="67"/>
  <c r="R591" i="67"/>
  <c r="N286" i="67"/>
  <c r="N591" i="67"/>
  <c r="K607" i="67"/>
  <c r="AW607" i="67"/>
  <c r="AS607" i="67"/>
  <c r="AO607" i="67"/>
  <c r="AK607" i="67"/>
  <c r="AG607" i="67"/>
  <c r="AC607" i="67"/>
  <c r="Y607" i="67"/>
  <c r="U607" i="67"/>
  <c r="Q607" i="67"/>
  <c r="M607" i="67"/>
  <c r="AW286" i="67"/>
  <c r="AW591" i="67"/>
  <c r="AS286" i="67"/>
  <c r="AS591" i="67"/>
  <c r="AO286" i="67"/>
  <c r="AO591" i="67"/>
  <c r="AK286" i="67"/>
  <c r="AK591" i="67"/>
  <c r="AG286" i="67"/>
  <c r="AG591" i="67"/>
  <c r="AC286" i="67"/>
  <c r="AC591" i="67"/>
  <c r="Y286" i="67"/>
  <c r="Y591" i="67"/>
  <c r="U286" i="67"/>
  <c r="U591" i="67"/>
  <c r="Q286" i="67"/>
  <c r="Q591" i="67"/>
  <c r="M286" i="67"/>
  <c r="M591" i="67"/>
  <c r="AV607" i="67"/>
  <c r="AR607" i="67"/>
  <c r="AN607" i="67"/>
  <c r="AJ607" i="67"/>
  <c r="AF607" i="67"/>
  <c r="AB607" i="67"/>
  <c r="X607" i="67"/>
  <c r="T607" i="67"/>
  <c r="P607" i="67"/>
  <c r="L607" i="67"/>
  <c r="AV286" i="67"/>
  <c r="AV591" i="67"/>
  <c r="AR286" i="67"/>
  <c r="AR591" i="67"/>
  <c r="AN286" i="67"/>
  <c r="AN591" i="67"/>
  <c r="AJ286" i="67"/>
  <c r="AJ591" i="67"/>
  <c r="AF286" i="67"/>
  <c r="AF591" i="67"/>
  <c r="AB286" i="67"/>
  <c r="AB591" i="67"/>
  <c r="X286" i="67"/>
  <c r="X591" i="67"/>
  <c r="T286" i="67"/>
  <c r="T591" i="67"/>
  <c r="P286" i="67"/>
  <c r="P591" i="67"/>
  <c r="L286" i="67"/>
  <c r="L591" i="67"/>
  <c r="AQ302" i="67"/>
  <c r="AE302" i="67"/>
  <c r="S302" i="67"/>
  <c r="AT302" i="67"/>
  <c r="AP302" i="67"/>
  <c r="AL302" i="67"/>
  <c r="AH302" i="67"/>
  <c r="AD302" i="67"/>
  <c r="Z302" i="67"/>
  <c r="V302" i="67"/>
  <c r="R302" i="67"/>
  <c r="N302" i="67"/>
  <c r="AM302" i="67"/>
  <c r="AA302" i="67"/>
  <c r="O302" i="67"/>
  <c r="K302" i="67"/>
  <c r="AW302" i="67"/>
  <c r="AS302" i="67"/>
  <c r="AO302" i="67"/>
  <c r="AK302" i="67"/>
  <c r="AG302" i="67"/>
  <c r="AC302" i="67"/>
  <c r="Y302" i="67"/>
  <c r="U302" i="67"/>
  <c r="Q302" i="67"/>
  <c r="M302" i="67"/>
  <c r="AU302" i="67"/>
  <c r="AI302" i="67"/>
  <c r="W302" i="67"/>
  <c r="AV302" i="67"/>
  <c r="AR302" i="67"/>
  <c r="AN302" i="67"/>
  <c r="AJ302" i="67"/>
  <c r="AF302" i="67"/>
  <c r="AB302" i="67"/>
  <c r="X302" i="67"/>
  <c r="T302" i="67"/>
  <c r="P302" i="67"/>
  <c r="L302" i="67"/>
  <c r="K68" i="67"/>
  <c r="K221" i="67"/>
  <c r="AQ117" i="67"/>
  <c r="AQ270" i="67"/>
  <c r="AE117" i="67"/>
  <c r="AE270" i="67"/>
  <c r="S117" i="67"/>
  <c r="S270" i="67"/>
  <c r="AW116" i="67"/>
  <c r="AW269" i="67"/>
  <c r="AK116" i="67"/>
  <c r="AK269" i="67"/>
  <c r="Y116" i="67"/>
  <c r="Y269" i="67"/>
  <c r="M116" i="67"/>
  <c r="M269" i="67"/>
  <c r="AU96" i="67"/>
  <c r="AU249" i="67"/>
  <c r="AE96" i="67"/>
  <c r="AE1312" i="67" s="1"/>
  <c r="AE249" i="67"/>
  <c r="S96" i="67"/>
  <c r="S249" i="67"/>
  <c r="AW95" i="67"/>
  <c r="AW248" i="67"/>
  <c r="AK95" i="67"/>
  <c r="AK248" i="67"/>
  <c r="AC95" i="67"/>
  <c r="AC1311" i="67" s="1"/>
  <c r="AC248" i="67"/>
  <c r="U95" i="67"/>
  <c r="U248" i="67"/>
  <c r="AU84" i="67"/>
  <c r="AU1300" i="67" s="1"/>
  <c r="AU237" i="67"/>
  <c r="AM84" i="67"/>
  <c r="AM237" i="67"/>
  <c r="AA84" i="67"/>
  <c r="AA1300" i="67" s="1"/>
  <c r="AA237" i="67"/>
  <c r="S84" i="67"/>
  <c r="S237" i="67"/>
  <c r="AQ68" i="67"/>
  <c r="AQ221" i="67"/>
  <c r="AE68" i="67"/>
  <c r="AE221" i="67"/>
  <c r="W68" i="67"/>
  <c r="W221" i="67"/>
  <c r="K116" i="67"/>
  <c r="K269" i="67"/>
  <c r="K96" i="67"/>
  <c r="K1312" i="67" s="1"/>
  <c r="K249" i="67"/>
  <c r="AM117" i="67"/>
  <c r="AM270" i="67"/>
  <c r="AA117" i="67"/>
  <c r="AA270" i="67"/>
  <c r="AS116" i="67"/>
  <c r="AS269" i="67"/>
  <c r="AG116" i="67"/>
  <c r="AG269" i="67"/>
  <c r="U116" i="67"/>
  <c r="U269" i="67"/>
  <c r="AM96" i="67"/>
  <c r="AM1312" i="67" s="1"/>
  <c r="AM249" i="67"/>
  <c r="AA96" i="67"/>
  <c r="AA1312" i="67" s="1"/>
  <c r="AA249" i="67"/>
  <c r="AS95" i="67"/>
  <c r="AS1311" i="67" s="1"/>
  <c r="AS248" i="67"/>
  <c r="AG95" i="67"/>
  <c r="AG1311" i="67" s="1"/>
  <c r="AG248" i="67"/>
  <c r="Q95" i="67"/>
  <c r="Q1311" i="67" s="1"/>
  <c r="Q248" i="67"/>
  <c r="AQ84" i="67"/>
  <c r="AQ1300" i="67" s="1"/>
  <c r="AQ237" i="67"/>
  <c r="AE84" i="67"/>
  <c r="AE1300" i="67" s="1"/>
  <c r="AE237" i="67"/>
  <c r="AI68" i="67"/>
  <c r="AI221" i="67"/>
  <c r="S68" i="67"/>
  <c r="S221" i="67"/>
  <c r="K84" i="67"/>
  <c r="K1300" i="67" s="1"/>
  <c r="K237" i="67"/>
  <c r="K117" i="67"/>
  <c r="K270" i="67"/>
  <c r="AU117" i="67"/>
  <c r="AU270" i="67"/>
  <c r="AI117" i="67"/>
  <c r="AI270" i="67"/>
  <c r="W117" i="67"/>
  <c r="W270" i="67"/>
  <c r="O117" i="67"/>
  <c r="O270" i="67"/>
  <c r="AO116" i="67"/>
  <c r="AO269" i="67"/>
  <c r="AC116" i="67"/>
  <c r="AC269" i="67"/>
  <c r="Q116" i="67"/>
  <c r="Q269" i="67"/>
  <c r="AQ96" i="67"/>
  <c r="AQ1312" i="67" s="1"/>
  <c r="AQ249" i="67"/>
  <c r="AI96" i="67"/>
  <c r="AI1312" i="67" s="1"/>
  <c r="AI249" i="67"/>
  <c r="W96" i="67"/>
  <c r="W1312" i="67" s="1"/>
  <c r="W249" i="67"/>
  <c r="O96" i="67"/>
  <c r="O1312" i="67" s="1"/>
  <c r="O249" i="67"/>
  <c r="AO95" i="67"/>
  <c r="AO1311" i="67" s="1"/>
  <c r="AO248" i="67"/>
  <c r="Y95" i="67"/>
  <c r="Y1311" i="67" s="1"/>
  <c r="Y248" i="67"/>
  <c r="M95" i="67"/>
  <c r="M1311" i="67" s="1"/>
  <c r="M248" i="67"/>
  <c r="AI84" i="67"/>
  <c r="AI1300" i="67" s="1"/>
  <c r="AI237" i="67"/>
  <c r="W84" i="67"/>
  <c r="W1300" i="67" s="1"/>
  <c r="W237" i="67"/>
  <c r="O84" i="67"/>
  <c r="O1300" i="67" s="1"/>
  <c r="O237" i="67"/>
  <c r="AU68" i="67"/>
  <c r="AU221" i="67"/>
  <c r="AM68" i="67"/>
  <c r="AM221" i="67"/>
  <c r="AA68" i="67"/>
  <c r="AA221" i="67"/>
  <c r="O68" i="67"/>
  <c r="O221" i="67"/>
  <c r="K95" i="67"/>
  <c r="K1311" i="67" s="1"/>
  <c r="K248" i="67"/>
  <c r="AT117" i="67"/>
  <c r="AT270" i="67"/>
  <c r="AP117" i="67"/>
  <c r="AP270" i="67"/>
  <c r="AL117" i="67"/>
  <c r="AL270" i="67"/>
  <c r="AH117" i="67"/>
  <c r="AH270" i="67"/>
  <c r="AD117" i="67"/>
  <c r="AD270" i="67"/>
  <c r="Z117" i="67"/>
  <c r="Z270" i="67"/>
  <c r="V117" i="67"/>
  <c r="V270" i="67"/>
  <c r="R117" i="67"/>
  <c r="R270" i="67"/>
  <c r="N117" i="67"/>
  <c r="N270" i="67"/>
  <c r="AV116" i="67"/>
  <c r="AV269" i="67"/>
  <c r="AR116" i="67"/>
  <c r="AR269" i="67"/>
  <c r="AN116" i="67"/>
  <c r="AN269" i="67"/>
  <c r="AJ116" i="67"/>
  <c r="AJ269" i="67"/>
  <c r="AF116" i="67"/>
  <c r="AF269" i="67"/>
  <c r="AB116" i="67"/>
  <c r="AB269" i="67"/>
  <c r="X116" i="67"/>
  <c r="X269" i="67"/>
  <c r="T116" i="67"/>
  <c r="T269" i="67"/>
  <c r="P116" i="67"/>
  <c r="P269" i="67"/>
  <c r="L116" i="67"/>
  <c r="L269" i="67"/>
  <c r="AT96" i="67"/>
  <c r="AT1312" i="67" s="1"/>
  <c r="AT249" i="67"/>
  <c r="AP96" i="67"/>
  <c r="AP1312" i="67" s="1"/>
  <c r="AP249" i="67"/>
  <c r="AL96" i="67"/>
  <c r="AL1312" i="67" s="1"/>
  <c r="AL249" i="67"/>
  <c r="AH96" i="67"/>
  <c r="AH1312" i="67" s="1"/>
  <c r="AH249" i="67"/>
  <c r="AD96" i="67"/>
  <c r="AD1312" i="67" s="1"/>
  <c r="AD249" i="67"/>
  <c r="Z96" i="67"/>
  <c r="Z1312" i="67" s="1"/>
  <c r="Z249" i="67"/>
  <c r="V96" i="67"/>
  <c r="V1312" i="67" s="1"/>
  <c r="V249" i="67"/>
  <c r="R96" i="67"/>
  <c r="R1312" i="67" s="1"/>
  <c r="R249" i="67"/>
  <c r="N96" i="67"/>
  <c r="N1312" i="67" s="1"/>
  <c r="N249" i="67"/>
  <c r="AV95" i="67"/>
  <c r="AV1311" i="67" s="1"/>
  <c r="AV248" i="67"/>
  <c r="AR95" i="67"/>
  <c r="AR1311" i="67" s="1"/>
  <c r="AR248" i="67"/>
  <c r="AN95" i="67"/>
  <c r="AN1311" i="67" s="1"/>
  <c r="AN248" i="67"/>
  <c r="AJ95" i="67"/>
  <c r="AJ1311" i="67" s="1"/>
  <c r="AJ248" i="67"/>
  <c r="AF95" i="67"/>
  <c r="AF1311" i="67" s="1"/>
  <c r="AF248" i="67"/>
  <c r="AB95" i="67"/>
  <c r="AB1311" i="67" s="1"/>
  <c r="AB248" i="67"/>
  <c r="X95" i="67"/>
  <c r="X1311" i="67" s="1"/>
  <c r="X248" i="67"/>
  <c r="T95" i="67"/>
  <c r="T1311" i="67" s="1"/>
  <c r="T248" i="67"/>
  <c r="P95" i="67"/>
  <c r="P1311" i="67" s="1"/>
  <c r="P248" i="67"/>
  <c r="L95" i="67"/>
  <c r="L1311" i="67" s="1"/>
  <c r="L248" i="67"/>
  <c r="AT84" i="67"/>
  <c r="AT1300" i="67" s="1"/>
  <c r="AT237" i="67"/>
  <c r="AP84" i="67"/>
  <c r="AP1300" i="67" s="1"/>
  <c r="AP237" i="67"/>
  <c r="AL84" i="67"/>
  <c r="AL1300" i="67" s="1"/>
  <c r="AL237" i="67"/>
  <c r="AH84" i="67"/>
  <c r="AH1300" i="67" s="1"/>
  <c r="AH237" i="67"/>
  <c r="AD84" i="67"/>
  <c r="AD1300" i="67" s="1"/>
  <c r="AD237" i="67"/>
  <c r="Z84" i="67"/>
  <c r="Z1300" i="67" s="1"/>
  <c r="Z237" i="67"/>
  <c r="V84" i="67"/>
  <c r="V1300" i="67" s="1"/>
  <c r="V237" i="67"/>
  <c r="R84" i="67"/>
  <c r="R1300" i="67" s="1"/>
  <c r="R237" i="67"/>
  <c r="N84" i="67"/>
  <c r="N1300" i="67" s="1"/>
  <c r="N237" i="67"/>
  <c r="AT68" i="67"/>
  <c r="AT221" i="67"/>
  <c r="AP68" i="67"/>
  <c r="AP221" i="67"/>
  <c r="AL68" i="67"/>
  <c r="AL221" i="67"/>
  <c r="AH68" i="67"/>
  <c r="AH221" i="67"/>
  <c r="AD68" i="67"/>
  <c r="AD221" i="67"/>
  <c r="Z68" i="67"/>
  <c r="Z221" i="67"/>
  <c r="V68" i="67"/>
  <c r="V221" i="67"/>
  <c r="R68" i="67"/>
  <c r="R221" i="67"/>
  <c r="N68" i="67"/>
  <c r="N221" i="67"/>
  <c r="AW117" i="67"/>
  <c r="AW270" i="67"/>
  <c r="AS117" i="67"/>
  <c r="AS1333" i="67" s="1"/>
  <c r="AS270" i="67"/>
  <c r="AO117" i="67"/>
  <c r="AO270" i="67"/>
  <c r="AK117" i="67"/>
  <c r="AK1333" i="67" s="1"/>
  <c r="AK270" i="67"/>
  <c r="AG117" i="67"/>
  <c r="AG270" i="67"/>
  <c r="AC117" i="67"/>
  <c r="AC1333" i="67" s="1"/>
  <c r="AC270" i="67"/>
  <c r="Y117" i="67"/>
  <c r="Y270" i="67"/>
  <c r="U117" i="67"/>
  <c r="U1333" i="67" s="1"/>
  <c r="U270" i="67"/>
  <c r="Q117" i="67"/>
  <c r="Q270" i="67"/>
  <c r="M117" i="67"/>
  <c r="M1333" i="67" s="1"/>
  <c r="M270" i="67"/>
  <c r="AU116" i="67"/>
  <c r="AU269" i="67"/>
  <c r="AQ116" i="67"/>
  <c r="AQ1332" i="67" s="1"/>
  <c r="AQ269" i="67"/>
  <c r="AM116" i="67"/>
  <c r="AM269" i="67"/>
  <c r="AI116" i="67"/>
  <c r="AI1332" i="67" s="1"/>
  <c r="AI269" i="67"/>
  <c r="AE116" i="67"/>
  <c r="AE269" i="67"/>
  <c r="AA116" i="67"/>
  <c r="AA1332" i="67" s="1"/>
  <c r="AA269" i="67"/>
  <c r="W116" i="67"/>
  <c r="W269" i="67"/>
  <c r="S116" i="67"/>
  <c r="S1332" i="67" s="1"/>
  <c r="S269" i="67"/>
  <c r="O116" i="67"/>
  <c r="O269" i="67"/>
  <c r="AW96" i="67"/>
  <c r="AW249" i="67"/>
  <c r="AS96" i="67"/>
  <c r="AS1312" i="67" s="1"/>
  <c r="AS249" i="67"/>
  <c r="AO96" i="67"/>
  <c r="AO1312" i="67" s="1"/>
  <c r="AO249" i="67"/>
  <c r="AK96" i="67"/>
  <c r="AK1312" i="67" s="1"/>
  <c r="AK249" i="67"/>
  <c r="AG96" i="67"/>
  <c r="AG1312" i="67" s="1"/>
  <c r="AG249" i="67"/>
  <c r="AC96" i="67"/>
  <c r="AC1312" i="67" s="1"/>
  <c r="AC249" i="67"/>
  <c r="Y96" i="67"/>
  <c r="Y1312" i="67" s="1"/>
  <c r="Y249" i="67"/>
  <c r="U96" i="67"/>
  <c r="U1312" i="67" s="1"/>
  <c r="U249" i="67"/>
  <c r="Q96" i="67"/>
  <c r="Q1312" i="67" s="1"/>
  <c r="Q249" i="67"/>
  <c r="M96" i="67"/>
  <c r="M1312" i="67" s="1"/>
  <c r="M249" i="67"/>
  <c r="AU95" i="67"/>
  <c r="AU1311" i="67" s="1"/>
  <c r="AU248" i="67"/>
  <c r="AQ95" i="67"/>
  <c r="AQ1311" i="67" s="1"/>
  <c r="AQ248" i="67"/>
  <c r="AM95" i="67"/>
  <c r="AM1311" i="67" s="1"/>
  <c r="AM248" i="67"/>
  <c r="AI95" i="67"/>
  <c r="AI1311" i="67" s="1"/>
  <c r="AI248" i="67"/>
  <c r="AE95" i="67"/>
  <c r="AE1311" i="67" s="1"/>
  <c r="AE248" i="67"/>
  <c r="AA95" i="67"/>
  <c r="AA1311" i="67" s="1"/>
  <c r="AA248" i="67"/>
  <c r="W95" i="67"/>
  <c r="W1311" i="67" s="1"/>
  <c r="W248" i="67"/>
  <c r="S95" i="67"/>
  <c r="S1311" i="67" s="1"/>
  <c r="S248" i="67"/>
  <c r="O95" i="67"/>
  <c r="O1311" i="67" s="1"/>
  <c r="O248" i="67"/>
  <c r="AW84" i="67"/>
  <c r="AW237" i="67"/>
  <c r="AS84" i="67"/>
  <c r="AS1300" i="67" s="1"/>
  <c r="AS237" i="67"/>
  <c r="AO84" i="67"/>
  <c r="AO1300" i="67" s="1"/>
  <c r="AO237" i="67"/>
  <c r="AK84" i="67"/>
  <c r="AK1300" i="67" s="1"/>
  <c r="AK237" i="67"/>
  <c r="AG84" i="67"/>
  <c r="AG1300" i="67" s="1"/>
  <c r="AG237" i="67"/>
  <c r="AC84" i="67"/>
  <c r="AC1300" i="67" s="1"/>
  <c r="AC237" i="67"/>
  <c r="Y84" i="67"/>
  <c r="Y1300" i="67" s="1"/>
  <c r="Y237" i="67"/>
  <c r="U84" i="67"/>
  <c r="U1300" i="67" s="1"/>
  <c r="U237" i="67"/>
  <c r="Q84" i="67"/>
  <c r="Q1300" i="67" s="1"/>
  <c r="Q237" i="67"/>
  <c r="M84" i="67"/>
  <c r="M1300" i="67" s="1"/>
  <c r="M237" i="67"/>
  <c r="AW68" i="67"/>
  <c r="AW221" i="67"/>
  <c r="AS68" i="67"/>
  <c r="AS221" i="67"/>
  <c r="AO68" i="67"/>
  <c r="AO221" i="67"/>
  <c r="AK68" i="67"/>
  <c r="AK221" i="67"/>
  <c r="AG68" i="67"/>
  <c r="AG221" i="67"/>
  <c r="AC68" i="67"/>
  <c r="AC221" i="67"/>
  <c r="Y68" i="67"/>
  <c r="Y221" i="67"/>
  <c r="U68" i="67"/>
  <c r="U221" i="67"/>
  <c r="Q68" i="67"/>
  <c r="Q221" i="67"/>
  <c r="M68" i="67"/>
  <c r="M221" i="67"/>
  <c r="AV117" i="67"/>
  <c r="AV270" i="67"/>
  <c r="AR117" i="67"/>
  <c r="AR1333" i="67" s="1"/>
  <c r="AR270" i="67"/>
  <c r="AN117" i="67"/>
  <c r="AN270" i="67"/>
  <c r="AJ117" i="67"/>
  <c r="AJ1333" i="67" s="1"/>
  <c r="AJ270" i="67"/>
  <c r="AF117" i="67"/>
  <c r="AF270" i="67"/>
  <c r="AB117" i="67"/>
  <c r="AB1333" i="67" s="1"/>
  <c r="AB270" i="67"/>
  <c r="X117" i="67"/>
  <c r="X270" i="67"/>
  <c r="T117" i="67"/>
  <c r="T1333" i="67" s="1"/>
  <c r="T270" i="67"/>
  <c r="P117" i="67"/>
  <c r="P270" i="67"/>
  <c r="L117" i="67"/>
  <c r="L1333" i="67" s="1"/>
  <c r="L270" i="67"/>
  <c r="AT116" i="67"/>
  <c r="AT269" i="67"/>
  <c r="AP116" i="67"/>
  <c r="AP1332" i="67" s="1"/>
  <c r="AP269" i="67"/>
  <c r="AL116" i="67"/>
  <c r="AL269" i="67"/>
  <c r="AH116" i="67"/>
  <c r="AH1332" i="67" s="1"/>
  <c r="AH269" i="67"/>
  <c r="AD116" i="67"/>
  <c r="AD269" i="67"/>
  <c r="Z116" i="67"/>
  <c r="Z1332" i="67" s="1"/>
  <c r="Z269" i="67"/>
  <c r="V116" i="67"/>
  <c r="V269" i="67"/>
  <c r="R116" i="67"/>
  <c r="R1332" i="67" s="1"/>
  <c r="R269" i="67"/>
  <c r="N116" i="67"/>
  <c r="N269" i="67"/>
  <c r="AV96" i="67"/>
  <c r="AV1312" i="67" s="1"/>
  <c r="AV249" i="67"/>
  <c r="AR96" i="67"/>
  <c r="AR1312" i="67" s="1"/>
  <c r="AR249" i="67"/>
  <c r="AN96" i="67"/>
  <c r="AN1312" i="67" s="1"/>
  <c r="AN249" i="67"/>
  <c r="AJ96" i="67"/>
  <c r="AJ1312" i="67" s="1"/>
  <c r="AJ249" i="67"/>
  <c r="AF96" i="67"/>
  <c r="AF1312" i="67" s="1"/>
  <c r="AF249" i="67"/>
  <c r="AB96" i="67"/>
  <c r="AB1312" i="67" s="1"/>
  <c r="AB249" i="67"/>
  <c r="X96" i="67"/>
  <c r="X1312" i="67" s="1"/>
  <c r="X249" i="67"/>
  <c r="T96" i="67"/>
  <c r="T1312" i="67" s="1"/>
  <c r="T249" i="67"/>
  <c r="P96" i="67"/>
  <c r="P1312" i="67" s="1"/>
  <c r="P249" i="67"/>
  <c r="L96" i="67"/>
  <c r="L1312" i="67" s="1"/>
  <c r="L249" i="67"/>
  <c r="AT95" i="67"/>
  <c r="AT1311" i="67" s="1"/>
  <c r="AT248" i="67"/>
  <c r="AP95" i="67"/>
  <c r="AP1311" i="67" s="1"/>
  <c r="AP248" i="67"/>
  <c r="AL95" i="67"/>
  <c r="AL1311" i="67" s="1"/>
  <c r="AL248" i="67"/>
  <c r="AH95" i="67"/>
  <c r="AH1311" i="67" s="1"/>
  <c r="AH248" i="67"/>
  <c r="AD95" i="67"/>
  <c r="AD1311" i="67" s="1"/>
  <c r="AD248" i="67"/>
  <c r="Z95" i="67"/>
  <c r="Z1311" i="67" s="1"/>
  <c r="Z248" i="67"/>
  <c r="V95" i="67"/>
  <c r="V1311" i="67" s="1"/>
  <c r="V248" i="67"/>
  <c r="R95" i="67"/>
  <c r="R1311" i="67" s="1"/>
  <c r="R248" i="67"/>
  <c r="N95" i="67"/>
  <c r="N1311" i="67" s="1"/>
  <c r="N248" i="67"/>
  <c r="AV84" i="67"/>
  <c r="AV1300" i="67" s="1"/>
  <c r="AV237" i="67"/>
  <c r="AR84" i="67"/>
  <c r="AR1300" i="67" s="1"/>
  <c r="AR237" i="67"/>
  <c r="AN84" i="67"/>
  <c r="AN1300" i="67" s="1"/>
  <c r="AN237" i="67"/>
  <c r="AJ84" i="67"/>
  <c r="AJ1300" i="67" s="1"/>
  <c r="AJ237" i="67"/>
  <c r="AF84" i="67"/>
  <c r="AF1300" i="67" s="1"/>
  <c r="AF237" i="67"/>
  <c r="AB84" i="67"/>
  <c r="AB1300" i="67" s="1"/>
  <c r="AB237" i="67"/>
  <c r="X84" i="67"/>
  <c r="X1300" i="67" s="1"/>
  <c r="X237" i="67"/>
  <c r="T84" i="67"/>
  <c r="T1300" i="67" s="1"/>
  <c r="T237" i="67"/>
  <c r="P84" i="67"/>
  <c r="P1300" i="67" s="1"/>
  <c r="P237" i="67"/>
  <c r="L84" i="67"/>
  <c r="L1300" i="67" s="1"/>
  <c r="L237" i="67"/>
  <c r="AV68" i="67"/>
  <c r="AV221" i="67"/>
  <c r="AR68" i="67"/>
  <c r="AR221" i="67"/>
  <c r="AN68" i="67"/>
  <c r="AN221" i="67"/>
  <c r="AJ68" i="67"/>
  <c r="AJ221" i="67"/>
  <c r="AF68" i="67"/>
  <c r="AF221" i="67"/>
  <c r="AB68" i="67"/>
  <c r="AB221" i="67"/>
  <c r="X68" i="67"/>
  <c r="X221" i="67"/>
  <c r="T68" i="67"/>
  <c r="T221" i="67"/>
  <c r="P68" i="67"/>
  <c r="P221" i="67"/>
  <c r="L68" i="67"/>
  <c r="L221" i="67"/>
  <c r="K133" i="67"/>
  <c r="K1349" i="67" s="1"/>
  <c r="AU149" i="67"/>
  <c r="AU1365" i="67" s="1"/>
  <c r="AQ149" i="67"/>
  <c r="AQ1365" i="67" s="1"/>
  <c r="AM149" i="67"/>
  <c r="AM1365" i="67" s="1"/>
  <c r="AI149" i="67"/>
  <c r="AI1365" i="67" s="1"/>
  <c r="AE149" i="67"/>
  <c r="AE1365" i="67" s="1"/>
  <c r="AA149" i="67"/>
  <c r="AA1365" i="67" s="1"/>
  <c r="W149" i="67"/>
  <c r="W1365" i="67" s="1"/>
  <c r="S149" i="67"/>
  <c r="S1365" i="67" s="1"/>
  <c r="O149" i="67"/>
  <c r="O1365" i="67" s="1"/>
  <c r="AU133" i="67"/>
  <c r="AU1349" i="67" s="1"/>
  <c r="AQ133" i="67"/>
  <c r="AQ1349" i="67" s="1"/>
  <c r="AM133" i="67"/>
  <c r="AM1349" i="67" s="1"/>
  <c r="AI133" i="67"/>
  <c r="AI1349" i="67" s="1"/>
  <c r="AE133" i="67"/>
  <c r="AE1349" i="67" s="1"/>
  <c r="AA133" i="67"/>
  <c r="AA1349" i="67" s="1"/>
  <c r="W133" i="67"/>
  <c r="W1349" i="67" s="1"/>
  <c r="S133" i="67"/>
  <c r="S1349" i="67" s="1"/>
  <c r="O133" i="67"/>
  <c r="O1349" i="67" s="1"/>
  <c r="AT149" i="67"/>
  <c r="AT1365" i="67" s="1"/>
  <c r="AP149" i="67"/>
  <c r="AP1365" i="67" s="1"/>
  <c r="AL149" i="67"/>
  <c r="AL1365" i="67" s="1"/>
  <c r="AH149" i="67"/>
  <c r="AH1365" i="67" s="1"/>
  <c r="AD149" i="67"/>
  <c r="AD1365" i="67" s="1"/>
  <c r="Z149" i="67"/>
  <c r="Z1365" i="67" s="1"/>
  <c r="V149" i="67"/>
  <c r="V1365" i="67" s="1"/>
  <c r="R149" i="67"/>
  <c r="R1365" i="67" s="1"/>
  <c r="N149" i="67"/>
  <c r="N1365" i="67" s="1"/>
  <c r="AT133" i="67"/>
  <c r="AT1349" i="67" s="1"/>
  <c r="AP133" i="67"/>
  <c r="AP1349" i="67" s="1"/>
  <c r="AL133" i="67"/>
  <c r="AL1349" i="67" s="1"/>
  <c r="AH133" i="67"/>
  <c r="AH1349" i="67" s="1"/>
  <c r="AD133" i="67"/>
  <c r="AD1349" i="67" s="1"/>
  <c r="Z133" i="67"/>
  <c r="Z1349" i="67" s="1"/>
  <c r="V133" i="67"/>
  <c r="V1349" i="67" s="1"/>
  <c r="R133" i="67"/>
  <c r="R1349" i="67" s="1"/>
  <c r="N133" i="67"/>
  <c r="N1349" i="67" s="1"/>
  <c r="K149" i="67"/>
  <c r="K1365" i="67" s="1"/>
  <c r="AW149" i="67"/>
  <c r="AS149" i="67"/>
  <c r="AS1365" i="67" s="1"/>
  <c r="AO149" i="67"/>
  <c r="AO1365" i="67" s="1"/>
  <c r="AK149" i="67"/>
  <c r="AK1365" i="67" s="1"/>
  <c r="AG149" i="67"/>
  <c r="AG1365" i="67" s="1"/>
  <c r="AC149" i="67"/>
  <c r="AC1365" i="67" s="1"/>
  <c r="Y149" i="67"/>
  <c r="Y1365" i="67" s="1"/>
  <c r="U149" i="67"/>
  <c r="U1365" i="67" s="1"/>
  <c r="Q149" i="67"/>
  <c r="Q1365" i="67" s="1"/>
  <c r="M149" i="67"/>
  <c r="M1365" i="67" s="1"/>
  <c r="AW133" i="67"/>
  <c r="AW1349" i="67" s="1"/>
  <c r="AS133" i="67"/>
  <c r="AS1349" i="67" s="1"/>
  <c r="AO133" i="67"/>
  <c r="AO1349" i="67" s="1"/>
  <c r="AK133" i="67"/>
  <c r="AK1349" i="67" s="1"/>
  <c r="AG133" i="67"/>
  <c r="AG1349" i="67" s="1"/>
  <c r="AC133" i="67"/>
  <c r="AC1349" i="67" s="1"/>
  <c r="Y133" i="67"/>
  <c r="Y1349" i="67" s="1"/>
  <c r="U133" i="67"/>
  <c r="U1349" i="67" s="1"/>
  <c r="Q133" i="67"/>
  <c r="Q1349" i="67" s="1"/>
  <c r="M133" i="67"/>
  <c r="M1349" i="67" s="1"/>
  <c r="AV149" i="67"/>
  <c r="AV1365" i="67" s="1"/>
  <c r="AR149" i="67"/>
  <c r="AR1365" i="67" s="1"/>
  <c r="AN149" i="67"/>
  <c r="AN1365" i="67" s="1"/>
  <c r="AJ149" i="67"/>
  <c r="AJ1365" i="67" s="1"/>
  <c r="AF149" i="67"/>
  <c r="AF1365" i="67" s="1"/>
  <c r="AB149" i="67"/>
  <c r="AB1365" i="67" s="1"/>
  <c r="X149" i="67"/>
  <c r="X1365" i="67" s="1"/>
  <c r="T149" i="67"/>
  <c r="T1365" i="67" s="1"/>
  <c r="P149" i="67"/>
  <c r="P1365" i="67" s="1"/>
  <c r="L149" i="67"/>
  <c r="L1365" i="67" s="1"/>
  <c r="AV133" i="67"/>
  <c r="AV1349" i="67" s="1"/>
  <c r="AR133" i="67"/>
  <c r="AR1349" i="67" s="1"/>
  <c r="AN133" i="67"/>
  <c r="AN1349" i="67" s="1"/>
  <c r="AJ133" i="67"/>
  <c r="AJ1349" i="67" s="1"/>
  <c r="AF133" i="67"/>
  <c r="AF1349" i="67" s="1"/>
  <c r="AB133" i="67"/>
  <c r="AB1349" i="67" s="1"/>
  <c r="X133" i="67"/>
  <c r="X1349" i="67" s="1"/>
  <c r="T133" i="67"/>
  <c r="T1349" i="67" s="1"/>
  <c r="P133" i="67"/>
  <c r="P1349" i="67" s="1"/>
  <c r="L133" i="67"/>
  <c r="L1349" i="67" s="1"/>
  <c r="AU727" i="67"/>
  <c r="AQ727" i="67"/>
  <c r="AM727" i="67"/>
  <c r="AI727" i="67"/>
  <c r="AE727" i="67"/>
  <c r="AA727" i="67"/>
  <c r="W727" i="67"/>
  <c r="S727" i="67"/>
  <c r="O727" i="67"/>
  <c r="AW726" i="67"/>
  <c r="AS726" i="67"/>
  <c r="AO726" i="67"/>
  <c r="AK726" i="67"/>
  <c r="AG726" i="67"/>
  <c r="AC726" i="67"/>
  <c r="Y726" i="67"/>
  <c r="U726" i="67"/>
  <c r="Q726" i="67"/>
  <c r="M726" i="67"/>
  <c r="K726" i="67"/>
  <c r="AT727" i="67"/>
  <c r="AP727" i="67"/>
  <c r="AL727" i="67"/>
  <c r="AH727" i="67"/>
  <c r="AD727" i="67"/>
  <c r="Z727" i="67"/>
  <c r="V727" i="67"/>
  <c r="R727" i="67"/>
  <c r="N727" i="67"/>
  <c r="AV726" i="67"/>
  <c r="AR726" i="67"/>
  <c r="AN726" i="67"/>
  <c r="AJ726" i="67"/>
  <c r="AF726" i="67"/>
  <c r="AB726" i="67"/>
  <c r="X726" i="67"/>
  <c r="T726" i="67"/>
  <c r="P726" i="67"/>
  <c r="L726" i="67"/>
  <c r="K727" i="67"/>
  <c r="AW727" i="67"/>
  <c r="AS727" i="67"/>
  <c r="AO727" i="67"/>
  <c r="AK727" i="67"/>
  <c r="AG727" i="67"/>
  <c r="AC727" i="67"/>
  <c r="Y727" i="67"/>
  <c r="U727" i="67"/>
  <c r="Q727" i="67"/>
  <c r="M727" i="67"/>
  <c r="AU726" i="67"/>
  <c r="AQ726" i="67"/>
  <c r="AM726" i="67"/>
  <c r="AI726" i="67"/>
  <c r="AE726" i="67"/>
  <c r="AA726" i="67"/>
  <c r="W726" i="67"/>
  <c r="S726" i="67"/>
  <c r="O726" i="67"/>
  <c r="AV727" i="67"/>
  <c r="AR727" i="67"/>
  <c r="AN727" i="67"/>
  <c r="AJ727" i="67"/>
  <c r="AF727" i="67"/>
  <c r="AB727" i="67"/>
  <c r="X727" i="67"/>
  <c r="T727" i="67"/>
  <c r="P727" i="67"/>
  <c r="L727" i="67"/>
  <c r="AT726" i="67"/>
  <c r="AP726" i="67"/>
  <c r="AL726" i="67"/>
  <c r="AH726" i="67"/>
  <c r="AD726" i="67"/>
  <c r="Z726" i="67"/>
  <c r="V726" i="67"/>
  <c r="R726" i="67"/>
  <c r="N726" i="67"/>
  <c r="H718" i="67"/>
  <c r="E188" i="65"/>
  <c r="D192" i="65"/>
  <c r="D193" i="65"/>
  <c r="D194" i="65"/>
  <c r="D195" i="65"/>
  <c r="U193" i="65"/>
  <c r="U194" i="65"/>
  <c r="U195" i="65"/>
  <c r="U192" i="65"/>
  <c r="V188" i="65"/>
  <c r="H719" i="67"/>
  <c r="C156" i="65"/>
  <c r="U156" i="65"/>
  <c r="AE155" i="65"/>
  <c r="AF155" i="65" s="1"/>
  <c r="U155" i="65"/>
  <c r="V155" i="65" s="1"/>
  <c r="W155" i="65" s="1"/>
  <c r="X155" i="65" s="1"/>
  <c r="AE154" i="65"/>
  <c r="AF154" i="65" s="1"/>
  <c r="AG154" i="65" s="1"/>
  <c r="AH154" i="65" s="1"/>
  <c r="AI154" i="65" s="1"/>
  <c r="AJ154" i="65" s="1"/>
  <c r="AK154" i="65" s="1"/>
  <c r="AL154" i="65" s="1"/>
  <c r="AM154" i="65" s="1"/>
  <c r="K154" i="65"/>
  <c r="AE156" i="65"/>
  <c r="U154" i="65"/>
  <c r="L66" i="70"/>
  <c r="L50" i="70"/>
  <c r="X66" i="70"/>
  <c r="X50" i="70"/>
  <c r="J67" i="70"/>
  <c r="J51" i="70"/>
  <c r="R67" i="70"/>
  <c r="R51" i="70"/>
  <c r="L68" i="70"/>
  <c r="L52" i="70"/>
  <c r="T68" i="70"/>
  <c r="T52" i="70"/>
  <c r="AB68" i="70"/>
  <c r="AB52" i="70"/>
  <c r="J69" i="70"/>
  <c r="J53" i="70"/>
  <c r="V69" i="70"/>
  <c r="V53" i="70"/>
  <c r="Z69" i="70"/>
  <c r="Z53" i="70"/>
  <c r="T70" i="70"/>
  <c r="T54" i="70"/>
  <c r="X70" i="70"/>
  <c r="X54" i="70"/>
  <c r="AF77" i="70"/>
  <c r="AF61" i="70"/>
  <c r="J66" i="70"/>
  <c r="J50" i="70"/>
  <c r="R66" i="70"/>
  <c r="R50" i="70"/>
  <c r="V66" i="70"/>
  <c r="V50" i="70"/>
  <c r="Z66" i="70"/>
  <c r="Z50" i="70"/>
  <c r="H67" i="70"/>
  <c r="H51" i="70"/>
  <c r="L67" i="70"/>
  <c r="L51" i="70"/>
  <c r="T67" i="70"/>
  <c r="T51" i="70"/>
  <c r="X67" i="70"/>
  <c r="X51" i="70"/>
  <c r="AB67" i="70"/>
  <c r="AB51" i="70"/>
  <c r="E7" i="70"/>
  <c r="J68" i="70"/>
  <c r="J52" i="70"/>
  <c r="N68" i="70"/>
  <c r="N52" i="70"/>
  <c r="R68" i="70"/>
  <c r="R52" i="70"/>
  <c r="V68" i="70"/>
  <c r="V52" i="70"/>
  <c r="Z68" i="70"/>
  <c r="Z52" i="70"/>
  <c r="H69" i="70"/>
  <c r="H53" i="70"/>
  <c r="L69" i="70"/>
  <c r="L53" i="70"/>
  <c r="P69" i="70"/>
  <c r="P53" i="70"/>
  <c r="T69" i="70"/>
  <c r="T53" i="70"/>
  <c r="X69" i="70"/>
  <c r="X53" i="70"/>
  <c r="AB69" i="70"/>
  <c r="AB53" i="70"/>
  <c r="J70" i="70"/>
  <c r="J54" i="70"/>
  <c r="N70" i="70"/>
  <c r="N54" i="70"/>
  <c r="R70" i="70"/>
  <c r="R54" i="70"/>
  <c r="V70" i="70"/>
  <c r="V54" i="70"/>
  <c r="Z70" i="70"/>
  <c r="Z54" i="70"/>
  <c r="AD77" i="70"/>
  <c r="AD61" i="70"/>
  <c r="T50" i="70"/>
  <c r="AA51" i="70"/>
  <c r="S53" i="70"/>
  <c r="H66" i="70"/>
  <c r="H50" i="70"/>
  <c r="P66" i="70"/>
  <c r="P50" i="70"/>
  <c r="Z67" i="70"/>
  <c r="Z51" i="70"/>
  <c r="P68" i="70"/>
  <c r="P52" i="70"/>
  <c r="R69" i="70"/>
  <c r="R53" i="70"/>
  <c r="H70" i="70"/>
  <c r="H54" i="70"/>
  <c r="P70" i="70"/>
  <c r="P54" i="70"/>
  <c r="AB70" i="70"/>
  <c r="AB54" i="70"/>
  <c r="K66" i="70"/>
  <c r="K50" i="70"/>
  <c r="O66" i="70"/>
  <c r="O50" i="70"/>
  <c r="S66" i="70"/>
  <c r="S50" i="70"/>
  <c r="W66" i="70"/>
  <c r="W50" i="70"/>
  <c r="AA66" i="70"/>
  <c r="AA50" i="70"/>
  <c r="I67" i="70"/>
  <c r="I51" i="70"/>
  <c r="M67" i="70"/>
  <c r="M51" i="70"/>
  <c r="Q67" i="70"/>
  <c r="Q51" i="70"/>
  <c r="U67" i="70"/>
  <c r="U51" i="70"/>
  <c r="Y67" i="70"/>
  <c r="Y51" i="70"/>
  <c r="AC67" i="70"/>
  <c r="AC51" i="70"/>
  <c r="F7" i="70"/>
  <c r="K68" i="70"/>
  <c r="K52" i="70"/>
  <c r="O68" i="70"/>
  <c r="O52" i="70"/>
  <c r="S68" i="70"/>
  <c r="S52" i="70"/>
  <c r="W68" i="70"/>
  <c r="W52" i="70"/>
  <c r="AA68" i="70"/>
  <c r="AA52" i="70"/>
  <c r="I69" i="70"/>
  <c r="I53" i="70"/>
  <c r="M69" i="70"/>
  <c r="M53" i="70"/>
  <c r="Q69" i="70"/>
  <c r="Q53" i="70"/>
  <c r="U69" i="70"/>
  <c r="U53" i="70"/>
  <c r="Y69" i="70"/>
  <c r="Y53" i="70"/>
  <c r="AC69" i="70"/>
  <c r="AC53" i="70"/>
  <c r="K70" i="70"/>
  <c r="K54" i="70"/>
  <c r="O70" i="70"/>
  <c r="O54" i="70"/>
  <c r="S70" i="70"/>
  <c r="S54" i="70"/>
  <c r="W70" i="70"/>
  <c r="W54" i="70"/>
  <c r="AA70" i="70"/>
  <c r="AA54" i="70"/>
  <c r="AE77" i="70"/>
  <c r="AE61" i="70"/>
  <c r="AF83" i="70"/>
  <c r="AG42" i="70"/>
  <c r="Y50" i="70"/>
  <c r="K51" i="70"/>
  <c r="I52" i="70"/>
  <c r="AA53" i="70"/>
  <c r="I54" i="70"/>
  <c r="I50" i="70"/>
  <c r="P51" i="70"/>
  <c r="Q52" i="70"/>
  <c r="Q54" i="70"/>
  <c r="D79" i="70"/>
  <c r="E79" i="70" s="1"/>
  <c r="E63" i="70"/>
  <c r="AB66" i="70"/>
  <c r="AB50" i="70"/>
  <c r="N67" i="70"/>
  <c r="N51" i="70"/>
  <c r="H68" i="70"/>
  <c r="H52" i="70"/>
  <c r="X68" i="70"/>
  <c r="X52" i="70"/>
  <c r="N69" i="70"/>
  <c r="N53" i="70"/>
  <c r="L70" i="70"/>
  <c r="L54" i="70"/>
  <c r="M66" i="70"/>
  <c r="M50" i="70"/>
  <c r="Q66" i="70"/>
  <c r="Q50" i="70"/>
  <c r="U66" i="70"/>
  <c r="U50" i="70"/>
  <c r="AC66" i="70"/>
  <c r="AC50" i="70"/>
  <c r="O67" i="70"/>
  <c r="O51" i="70"/>
  <c r="S67" i="70"/>
  <c r="S51" i="70"/>
  <c r="W67" i="70"/>
  <c r="W51" i="70"/>
  <c r="M68" i="70"/>
  <c r="M52" i="70"/>
  <c r="U68" i="70"/>
  <c r="U52" i="70"/>
  <c r="AC68" i="70"/>
  <c r="AC52" i="70"/>
  <c r="O69" i="70"/>
  <c r="O53" i="70"/>
  <c r="W69" i="70"/>
  <c r="W53" i="70"/>
  <c r="M70" i="70"/>
  <c r="M54" i="70"/>
  <c r="U70" i="70"/>
  <c r="U54" i="70"/>
  <c r="AC70" i="70"/>
  <c r="AC54" i="70"/>
  <c r="N50" i="70"/>
  <c r="V51" i="70"/>
  <c r="Y52" i="70"/>
  <c r="K53" i="70"/>
  <c r="Y54" i="70"/>
  <c r="D66" i="70"/>
  <c r="E66" i="70" s="1"/>
  <c r="E50" i="70"/>
  <c r="E56" i="70"/>
  <c r="D76" i="70"/>
  <c r="E76" i="70" s="1"/>
  <c r="E60" i="70"/>
  <c r="E62" i="70"/>
  <c r="E64" i="70"/>
  <c r="D81" i="70"/>
  <c r="E81" i="70" s="1"/>
  <c r="E65" i="70"/>
  <c r="A93" i="70"/>
  <c r="A89" i="70"/>
  <c r="A91" i="70"/>
  <c r="A95" i="70"/>
  <c r="A97" i="70" s="1"/>
  <c r="E84" i="70"/>
  <c r="C85" i="70"/>
  <c r="E85" i="70" s="1"/>
  <c r="B89" i="70"/>
  <c r="B91" i="70"/>
  <c r="B93" i="70"/>
  <c r="C91" i="65"/>
  <c r="D91" i="65" s="1"/>
  <c r="E91" i="65" s="1"/>
  <c r="F91" i="65" s="1"/>
  <c r="G91" i="65" s="1"/>
  <c r="H91" i="65" s="1"/>
  <c r="I91" i="65" s="1"/>
  <c r="J91" i="65" s="1"/>
  <c r="K91" i="65" s="1"/>
  <c r="L91" i="65" s="1"/>
  <c r="M91" i="65" s="1"/>
  <c r="N91" i="65" s="1"/>
  <c r="O91" i="65" s="1"/>
  <c r="P91" i="65" s="1"/>
  <c r="Q91" i="65" s="1"/>
  <c r="R91" i="65" s="1"/>
  <c r="S91" i="65" s="1"/>
  <c r="C119" i="65"/>
  <c r="D119" i="65" s="1"/>
  <c r="U115" i="65"/>
  <c r="AE117" i="65"/>
  <c r="C89" i="65"/>
  <c r="D89" i="65" s="1"/>
  <c r="E89" i="65" s="1"/>
  <c r="F89" i="65" s="1"/>
  <c r="G89" i="65" s="1"/>
  <c r="H89" i="65" s="1"/>
  <c r="I89" i="65" s="1"/>
  <c r="J89" i="65" s="1"/>
  <c r="K89" i="65" s="1"/>
  <c r="L89" i="65" s="1"/>
  <c r="M89" i="65" s="1"/>
  <c r="N89" i="65" s="1"/>
  <c r="O89" i="65" s="1"/>
  <c r="P89" i="65" s="1"/>
  <c r="Q89" i="65" s="1"/>
  <c r="R89" i="65" s="1"/>
  <c r="S89" i="65" s="1"/>
  <c r="U96" i="65"/>
  <c r="V96" i="65" s="1"/>
  <c r="W96" i="65" s="1"/>
  <c r="X96" i="65" s="1"/>
  <c r="Y96" i="65" s="1"/>
  <c r="Z96" i="65" s="1"/>
  <c r="AA96" i="65" s="1"/>
  <c r="AB96" i="65" s="1"/>
  <c r="AC96" i="65" s="1"/>
  <c r="U92" i="65"/>
  <c r="V92" i="65" s="1"/>
  <c r="W92" i="65" s="1"/>
  <c r="X92" i="65" s="1"/>
  <c r="Y92" i="65" s="1"/>
  <c r="Z92" i="65" s="1"/>
  <c r="AA92" i="65" s="1"/>
  <c r="AB92" i="65" s="1"/>
  <c r="AC92" i="65" s="1"/>
  <c r="U88" i="65"/>
  <c r="AE94" i="65"/>
  <c r="AF94" i="65" s="1"/>
  <c r="AG94" i="65" s="1"/>
  <c r="AH94" i="65" s="1"/>
  <c r="AI94" i="65" s="1"/>
  <c r="AJ94" i="65" s="1"/>
  <c r="AK94" i="65" s="1"/>
  <c r="AL94" i="65" s="1"/>
  <c r="AM94" i="65" s="1"/>
  <c r="AE90" i="65"/>
  <c r="K94" i="65"/>
  <c r="L94" i="65" s="1"/>
  <c r="M94" i="65" s="1"/>
  <c r="N94" i="65" s="1"/>
  <c r="O94" i="65" s="1"/>
  <c r="P94" i="65" s="1"/>
  <c r="Q94" i="65" s="1"/>
  <c r="R94" i="65" s="1"/>
  <c r="S94" i="65" s="1"/>
  <c r="AE93" i="65"/>
  <c r="AF93" i="65" s="1"/>
  <c r="AG93" i="65" s="1"/>
  <c r="AH93" i="65" s="1"/>
  <c r="AI93" i="65" s="1"/>
  <c r="AJ93" i="65" s="1"/>
  <c r="AK93" i="65" s="1"/>
  <c r="AL93" i="65" s="1"/>
  <c r="AM93" i="65" s="1"/>
  <c r="AE89" i="65"/>
  <c r="AF89" i="65" s="1"/>
  <c r="AG89" i="65" s="1"/>
  <c r="AH89" i="65" s="1"/>
  <c r="AI89" i="65" s="1"/>
  <c r="AJ89" i="65" s="1"/>
  <c r="AK89" i="65" s="1"/>
  <c r="AL89" i="65" s="1"/>
  <c r="AM89" i="65" s="1"/>
  <c r="K87" i="65"/>
  <c r="L87" i="65" s="1"/>
  <c r="M87" i="65" s="1"/>
  <c r="N87" i="65" s="1"/>
  <c r="O87" i="65" s="1"/>
  <c r="P87" i="65" s="1"/>
  <c r="Q87" i="65" s="1"/>
  <c r="R87" i="65" s="1"/>
  <c r="S87" i="65" s="1"/>
  <c r="U95" i="65"/>
  <c r="V95" i="65" s="1"/>
  <c r="W95" i="65" s="1"/>
  <c r="X95" i="65" s="1"/>
  <c r="Y95" i="65" s="1"/>
  <c r="Z95" i="65" s="1"/>
  <c r="AA95" i="65" s="1"/>
  <c r="AB95" i="65" s="1"/>
  <c r="AC95" i="65" s="1"/>
  <c r="U91" i="65"/>
  <c r="V91" i="65" s="1"/>
  <c r="W91" i="65" s="1"/>
  <c r="X91" i="65" s="1"/>
  <c r="Y91" i="65" s="1"/>
  <c r="Z91" i="65" s="1"/>
  <c r="AA91" i="65" s="1"/>
  <c r="AB91" i="65" s="1"/>
  <c r="AC91" i="65" s="1"/>
  <c r="AE92" i="65"/>
  <c r="AF92" i="65" s="1"/>
  <c r="AG92" i="65" s="1"/>
  <c r="AH92" i="65" s="1"/>
  <c r="AI92" i="65" s="1"/>
  <c r="AJ92" i="65" s="1"/>
  <c r="AK92" i="65" s="1"/>
  <c r="AL92" i="65" s="1"/>
  <c r="AM92" i="65" s="1"/>
  <c r="AE88" i="65"/>
  <c r="U89" i="65"/>
  <c r="V89" i="65" s="1"/>
  <c r="W89" i="65" s="1"/>
  <c r="X89" i="65" s="1"/>
  <c r="Y89" i="65" s="1"/>
  <c r="Z89" i="65" s="1"/>
  <c r="AA89" i="65" s="1"/>
  <c r="AB89" i="65" s="1"/>
  <c r="AC89" i="65" s="1"/>
  <c r="AE96" i="65"/>
  <c r="AF96" i="65" s="1"/>
  <c r="AG96" i="65" s="1"/>
  <c r="AH96" i="65" s="1"/>
  <c r="AI96" i="65" s="1"/>
  <c r="AJ96" i="65" s="1"/>
  <c r="AK96" i="65" s="1"/>
  <c r="AL96" i="65" s="1"/>
  <c r="AM96" i="65" s="1"/>
  <c r="AE95" i="65"/>
  <c r="AF95" i="65" s="1"/>
  <c r="AG95" i="65" s="1"/>
  <c r="AH95" i="65" s="1"/>
  <c r="AI95" i="65" s="1"/>
  <c r="AJ95" i="65" s="1"/>
  <c r="AK95" i="65" s="1"/>
  <c r="AL95" i="65" s="1"/>
  <c r="AM95" i="65" s="1"/>
  <c r="AE91" i="65"/>
  <c r="AF91" i="65" s="1"/>
  <c r="AG91" i="65" s="1"/>
  <c r="AH91" i="65" s="1"/>
  <c r="AI91" i="65" s="1"/>
  <c r="AJ91" i="65" s="1"/>
  <c r="AK91" i="65" s="1"/>
  <c r="AL91" i="65" s="1"/>
  <c r="AM91" i="65" s="1"/>
  <c r="AE115" i="65"/>
  <c r="B105" i="65"/>
  <c r="C90" i="65"/>
  <c r="U116" i="65"/>
  <c r="AE114" i="65"/>
  <c r="AE118" i="65"/>
  <c r="B109" i="65"/>
  <c r="C115" i="65"/>
  <c r="AE112" i="65"/>
  <c r="AF112" i="65" s="1"/>
  <c r="U93" i="65"/>
  <c r="V93" i="65" s="1"/>
  <c r="W93" i="65" s="1"/>
  <c r="X93" i="65" s="1"/>
  <c r="Y93" i="65" s="1"/>
  <c r="Z93" i="65" s="1"/>
  <c r="AA93" i="65" s="1"/>
  <c r="AB93" i="65" s="1"/>
  <c r="AC93" i="65" s="1"/>
  <c r="K96" i="65"/>
  <c r="L96" i="65" s="1"/>
  <c r="M96" i="65" s="1"/>
  <c r="N96" i="65" s="1"/>
  <c r="O96" i="65" s="1"/>
  <c r="P96" i="65" s="1"/>
  <c r="Q96" i="65" s="1"/>
  <c r="R96" i="65" s="1"/>
  <c r="S96" i="65" s="1"/>
  <c r="K92" i="65"/>
  <c r="L92" i="65" s="1"/>
  <c r="M92" i="65" s="1"/>
  <c r="N92" i="65" s="1"/>
  <c r="O92" i="65" s="1"/>
  <c r="P92" i="65" s="1"/>
  <c r="Q92" i="65" s="1"/>
  <c r="R92" i="65" s="1"/>
  <c r="S92" i="65" s="1"/>
  <c r="K88" i="65"/>
  <c r="U94" i="65"/>
  <c r="V94" i="65" s="1"/>
  <c r="W94" i="65" s="1"/>
  <c r="X94" i="65" s="1"/>
  <c r="Y94" i="65" s="1"/>
  <c r="Z94" i="65" s="1"/>
  <c r="AA94" i="65" s="1"/>
  <c r="AB94" i="65" s="1"/>
  <c r="AC94" i="65" s="1"/>
  <c r="U90" i="65"/>
  <c r="C118" i="65"/>
  <c r="U114" i="65"/>
  <c r="K95" i="65"/>
  <c r="L95" i="65" s="1"/>
  <c r="M95" i="65" s="1"/>
  <c r="N95" i="65" s="1"/>
  <c r="O95" i="65" s="1"/>
  <c r="P95" i="65" s="1"/>
  <c r="Q95" i="65" s="1"/>
  <c r="R95" i="65" s="1"/>
  <c r="S95" i="65" s="1"/>
  <c r="U87" i="65"/>
  <c r="V87" i="65" s="1"/>
  <c r="W87" i="65" s="1"/>
  <c r="X87" i="65" s="1"/>
  <c r="Y87" i="65" s="1"/>
  <c r="Z87" i="65" s="1"/>
  <c r="AA87" i="65" s="1"/>
  <c r="AB87" i="65" s="1"/>
  <c r="AC87" i="65" s="1"/>
  <c r="C112" i="65"/>
  <c r="C114" i="65"/>
  <c r="U113" i="65"/>
  <c r="U121" i="65"/>
  <c r="B146" i="65"/>
  <c r="D20" i="69"/>
  <c r="D21" i="69" s="1"/>
  <c r="D26" i="69"/>
  <c r="K26" i="69"/>
  <c r="S20" i="69"/>
  <c r="S21" i="69" s="1"/>
  <c r="S26" i="69"/>
  <c r="D23" i="69"/>
  <c r="D24" i="69" s="1"/>
  <c r="D18" i="69"/>
  <c r="D52" i="69" s="1"/>
  <c r="D56" i="69" s="1"/>
  <c r="D58" i="69" s="1"/>
  <c r="D59" i="69" s="1"/>
  <c r="D60" i="69" s="1"/>
  <c r="D61" i="69" s="1"/>
  <c r="H23" i="69"/>
  <c r="H24" i="69" s="1"/>
  <c r="H19" i="69"/>
  <c r="H18" i="69"/>
  <c r="H52" i="69" s="1"/>
  <c r="L23" i="69"/>
  <c r="L24" i="69" s="1"/>
  <c r="L19" i="69"/>
  <c r="L18" i="69"/>
  <c r="L52" i="69" s="1"/>
  <c r="L56" i="69" s="1"/>
  <c r="L58" i="69" s="1"/>
  <c r="L59" i="69" s="1"/>
  <c r="L60" i="69" s="1"/>
  <c r="L61" i="69" s="1"/>
  <c r="P23" i="69"/>
  <c r="P24" i="69" s="1"/>
  <c r="P19" i="69"/>
  <c r="P18" i="69"/>
  <c r="P52" i="69" s="1"/>
  <c r="T23" i="69"/>
  <c r="T24" i="69" s="1"/>
  <c r="T19" i="69"/>
  <c r="T18" i="69"/>
  <c r="T52" i="69" s="1"/>
  <c r="T56" i="69" s="1"/>
  <c r="T58" i="69" s="1"/>
  <c r="T59" i="69" s="1"/>
  <c r="T60" i="69" s="1"/>
  <c r="T61" i="69" s="1"/>
  <c r="X23" i="69"/>
  <c r="X24" i="69" s="1"/>
  <c r="X19" i="69"/>
  <c r="X18" i="69"/>
  <c r="X52" i="69" s="1"/>
  <c r="G19" i="69"/>
  <c r="O19" i="69"/>
  <c r="W19" i="69"/>
  <c r="J20" i="69"/>
  <c r="J21" i="69" s="1"/>
  <c r="R20" i="69"/>
  <c r="R21" i="69" s="1"/>
  <c r="C26" i="69"/>
  <c r="F56" i="69"/>
  <c r="F58" i="69" s="1"/>
  <c r="F59" i="69" s="1"/>
  <c r="F60" i="69" s="1"/>
  <c r="F61" i="69" s="1"/>
  <c r="J56" i="69"/>
  <c r="J58" i="69" s="1"/>
  <c r="J59" i="69" s="1"/>
  <c r="J60" i="69" s="1"/>
  <c r="J61" i="69" s="1"/>
  <c r="N56" i="69"/>
  <c r="N58" i="69" s="1"/>
  <c r="N59" i="69" s="1"/>
  <c r="N60" i="69" s="1"/>
  <c r="N61" i="69" s="1"/>
  <c r="R56" i="69"/>
  <c r="R58" i="69" s="1"/>
  <c r="R59" i="69" s="1"/>
  <c r="R60" i="69" s="1"/>
  <c r="R61" i="69" s="1"/>
  <c r="V56" i="69"/>
  <c r="V58" i="69" s="1"/>
  <c r="V59" i="69" s="1"/>
  <c r="V60" i="69" s="1"/>
  <c r="V61" i="69" s="1"/>
  <c r="E19" i="69"/>
  <c r="I19" i="69"/>
  <c r="M19" i="69"/>
  <c r="Q19" i="69"/>
  <c r="U19" i="69"/>
  <c r="C56" i="69"/>
  <c r="C58" i="69" s="1"/>
  <c r="C59" i="69" s="1"/>
  <c r="C60" i="69" s="1"/>
  <c r="C61" i="69" s="1"/>
  <c r="G56" i="69"/>
  <c r="G58" i="69" s="1"/>
  <c r="G59" i="69" s="1"/>
  <c r="G60" i="69" s="1"/>
  <c r="G61" i="69" s="1"/>
  <c r="K56" i="69"/>
  <c r="K58" i="69" s="1"/>
  <c r="K59" i="69" s="1"/>
  <c r="K60" i="69" s="1"/>
  <c r="K61" i="69" s="1"/>
  <c r="O56" i="69"/>
  <c r="O58" i="69" s="1"/>
  <c r="O59" i="69" s="1"/>
  <c r="O60" i="69" s="1"/>
  <c r="O61" i="69" s="1"/>
  <c r="S56" i="69"/>
  <c r="S58" i="69" s="1"/>
  <c r="S59" i="69" s="1"/>
  <c r="S60" i="69" s="1"/>
  <c r="S61" i="69" s="1"/>
  <c r="W56" i="69"/>
  <c r="W58" i="69" s="1"/>
  <c r="W59" i="69" s="1"/>
  <c r="W60" i="69" s="1"/>
  <c r="W61" i="69" s="1"/>
  <c r="H56" i="69"/>
  <c r="H58" i="69" s="1"/>
  <c r="H59" i="69" s="1"/>
  <c r="H60" i="69" s="1"/>
  <c r="H61" i="69" s="1"/>
  <c r="P56" i="69"/>
  <c r="P58" i="69" s="1"/>
  <c r="P59" i="69" s="1"/>
  <c r="P60" i="69" s="1"/>
  <c r="P61" i="69" s="1"/>
  <c r="X56" i="69"/>
  <c r="X58" i="69" s="1"/>
  <c r="X59" i="69" s="1"/>
  <c r="X60" i="69" s="1"/>
  <c r="E56" i="69"/>
  <c r="E58" i="69" s="1"/>
  <c r="E59" i="69" s="1"/>
  <c r="E60" i="69" s="1"/>
  <c r="E61" i="69" s="1"/>
  <c r="I56" i="69"/>
  <c r="I58" i="69" s="1"/>
  <c r="I59" i="69" s="1"/>
  <c r="I60" i="69" s="1"/>
  <c r="I61" i="69" s="1"/>
  <c r="M56" i="69"/>
  <c r="M58" i="69" s="1"/>
  <c r="M59" i="69" s="1"/>
  <c r="M60" i="69" s="1"/>
  <c r="M61" i="69" s="1"/>
  <c r="Q56" i="69"/>
  <c r="Q58" i="69" s="1"/>
  <c r="Q59" i="69" s="1"/>
  <c r="Q60" i="69" s="1"/>
  <c r="Q61" i="69" s="1"/>
  <c r="U56" i="69"/>
  <c r="U58" i="69" s="1"/>
  <c r="U59" i="69" s="1"/>
  <c r="U60" i="69" s="1"/>
  <c r="U61" i="69" s="1"/>
  <c r="AR63" i="69"/>
  <c r="AS63" i="69" s="1"/>
  <c r="AT63" i="69" s="1"/>
  <c r="AU63" i="69" s="1"/>
  <c r="AV63" i="69" s="1"/>
  <c r="AW63" i="69" s="1"/>
  <c r="AX63" i="69" s="1"/>
  <c r="AY63" i="69" s="1"/>
  <c r="AZ63" i="69" s="1"/>
  <c r="AH63" i="69"/>
  <c r="AI63" i="69" s="1"/>
  <c r="AJ63" i="69" s="1"/>
  <c r="AK63" i="69" s="1"/>
  <c r="AL63" i="69" s="1"/>
  <c r="AM63" i="69" s="1"/>
  <c r="AN63" i="69" s="1"/>
  <c r="AO63" i="69" s="1"/>
  <c r="AP63" i="69" s="1"/>
  <c r="D120" i="65"/>
  <c r="D116" i="65"/>
  <c r="C93" i="65"/>
  <c r="D93" i="65" s="1"/>
  <c r="E93" i="65" s="1"/>
  <c r="F93" i="65" s="1"/>
  <c r="G93" i="65" s="1"/>
  <c r="H93" i="65" s="1"/>
  <c r="I93" i="65" s="1"/>
  <c r="J93" i="65" s="1"/>
  <c r="K93" i="65" s="1"/>
  <c r="L93" i="65" s="1"/>
  <c r="M93" i="65" s="1"/>
  <c r="N93" i="65" s="1"/>
  <c r="O93" i="65" s="1"/>
  <c r="P93" i="65" s="1"/>
  <c r="Q93" i="65" s="1"/>
  <c r="R93" i="65" s="1"/>
  <c r="S93" i="65" s="1"/>
  <c r="B102" i="65"/>
  <c r="AE120" i="65"/>
  <c r="B110" i="65"/>
  <c r="C121" i="65"/>
  <c r="C117" i="65"/>
  <c r="C113" i="65"/>
  <c r="U117" i="65"/>
  <c r="AE113" i="65"/>
  <c r="AE121" i="65"/>
  <c r="AE87" i="65"/>
  <c r="AF87" i="65" s="1"/>
  <c r="AG87" i="65" s="1"/>
  <c r="AH87" i="65" s="1"/>
  <c r="AI87" i="65" s="1"/>
  <c r="AJ87" i="65" s="1"/>
  <c r="AK87" i="65" s="1"/>
  <c r="AL87" i="65" s="1"/>
  <c r="AM87" i="65" s="1"/>
  <c r="U119" i="65"/>
  <c r="B103" i="65"/>
  <c r="B107" i="65"/>
  <c r="B111" i="65"/>
  <c r="U120" i="65"/>
  <c r="AE116" i="65"/>
  <c r="U112" i="65"/>
  <c r="U118" i="65"/>
  <c r="AE119" i="65"/>
  <c r="I43" i="65"/>
  <c r="E43" i="65"/>
  <c r="AB42" i="65"/>
  <c r="AE36" i="65"/>
  <c r="X42" i="65"/>
  <c r="J42" i="65"/>
  <c r="AC43" i="65"/>
  <c r="AA42" i="65"/>
  <c r="W42" i="65"/>
  <c r="AB43" i="65"/>
  <c r="X43" i="65"/>
  <c r="H43" i="65"/>
  <c r="D43" i="65"/>
  <c r="Y43" i="65"/>
  <c r="AD42" i="65"/>
  <c r="Z42" i="65"/>
  <c r="V42" i="65"/>
  <c r="AA43" i="65"/>
  <c r="W43" i="65"/>
  <c r="G43" i="65"/>
  <c r="C43" i="65"/>
  <c r="AC42" i="65"/>
  <c r="Y42" i="65"/>
  <c r="AD43" i="65"/>
  <c r="Z43" i="65"/>
  <c r="V43" i="65"/>
  <c r="F43" i="65"/>
  <c r="B43" i="65"/>
  <c r="C36" i="65"/>
  <c r="D36" i="65" s="1"/>
  <c r="E36" i="65" s="1"/>
  <c r="D37" i="65"/>
  <c r="AE37" i="65"/>
  <c r="AE42" i="65"/>
  <c r="V26" i="69" l="1"/>
  <c r="V20" i="69"/>
  <c r="V21" i="69" s="1"/>
  <c r="S1300" i="67"/>
  <c r="AM1300" i="67"/>
  <c r="U1311" i="67"/>
  <c r="AK1311" i="67"/>
  <c r="S1312" i="67"/>
  <c r="AU1312" i="67"/>
  <c r="O1332" i="67"/>
  <c r="W1332" i="67"/>
  <c r="AE1332" i="67"/>
  <c r="AM1332" i="67"/>
  <c r="AU1332" i="67"/>
  <c r="Q1333" i="67"/>
  <c r="Y1333" i="67"/>
  <c r="AG1333" i="67"/>
  <c r="AO1333" i="67"/>
  <c r="AW1333" i="67"/>
  <c r="V1332" i="67"/>
  <c r="AD1332" i="67"/>
  <c r="AT1332" i="67"/>
  <c r="X1333" i="67"/>
  <c r="AV1333" i="67"/>
  <c r="AW1312" i="67"/>
  <c r="P1332" i="67"/>
  <c r="X1332" i="67"/>
  <c r="AF1332" i="67"/>
  <c r="AN1332" i="67"/>
  <c r="AV1332" i="67"/>
  <c r="R1333" i="67"/>
  <c r="Z1333" i="67"/>
  <c r="AH1333" i="67"/>
  <c r="AP1333" i="67"/>
  <c r="AC1332" i="67"/>
  <c r="O1333" i="67"/>
  <c r="AI1333" i="67"/>
  <c r="AG1332" i="67"/>
  <c r="AA1333" i="67"/>
  <c r="K1332" i="67"/>
  <c r="AW1311" i="67"/>
  <c r="M1332" i="67"/>
  <c r="AK1332" i="67"/>
  <c r="S1333" i="67"/>
  <c r="AQ1333" i="67"/>
  <c r="AW1365" i="67"/>
  <c r="N1332" i="67"/>
  <c r="AL1332" i="67"/>
  <c r="P1333" i="67"/>
  <c r="AF1333" i="67"/>
  <c r="AN1333" i="67"/>
  <c r="AW1300" i="67"/>
  <c r="L1332" i="67"/>
  <c r="T1332" i="67"/>
  <c r="AB1332" i="67"/>
  <c r="AJ1332" i="67"/>
  <c r="AR1332" i="67"/>
  <c r="N1333" i="67"/>
  <c r="V1333" i="67"/>
  <c r="AD1333" i="67"/>
  <c r="AL1333" i="67"/>
  <c r="AT1333" i="67"/>
  <c r="Q1332" i="67"/>
  <c r="AO1332" i="67"/>
  <c r="W1333" i="67"/>
  <c r="AU1333" i="67"/>
  <c r="K1333" i="67"/>
  <c r="U1332" i="67"/>
  <c r="AS1332" i="67"/>
  <c r="AM1333" i="67"/>
  <c r="Y1332" i="67"/>
  <c r="AW1332" i="67"/>
  <c r="AE1333" i="67"/>
  <c r="AF194" i="65"/>
  <c r="AF191" i="65"/>
  <c r="AF190" i="65"/>
  <c r="V190" i="65"/>
  <c r="V191" i="65"/>
  <c r="E191" i="65"/>
  <c r="E190" i="65"/>
  <c r="AG188" i="65"/>
  <c r="AF193" i="65"/>
  <c r="AF192" i="65"/>
  <c r="AF195" i="65"/>
  <c r="V192" i="65"/>
  <c r="V193" i="65"/>
  <c r="V194" i="65"/>
  <c r="V195" i="65"/>
  <c r="W188" i="65"/>
  <c r="F188" i="65"/>
  <c r="E192" i="65"/>
  <c r="E193" i="65"/>
  <c r="E194" i="65"/>
  <c r="E195" i="65"/>
  <c r="X61" i="69"/>
  <c r="AD41" i="70"/>
  <c r="D156" i="65"/>
  <c r="E156" i="65" s="1"/>
  <c r="V156" i="65"/>
  <c r="AF156" i="65"/>
  <c r="Y155" i="65"/>
  <c r="AG155" i="65"/>
  <c r="V154" i="65"/>
  <c r="L154" i="65"/>
  <c r="C106" i="65"/>
  <c r="D106" i="65" s="1"/>
  <c r="D90" i="65"/>
  <c r="E90" i="65" s="1"/>
  <c r="F90" i="65" s="1"/>
  <c r="G90" i="65" s="1"/>
  <c r="H90" i="65" s="1"/>
  <c r="I90" i="65" s="1"/>
  <c r="J90" i="65" s="1"/>
  <c r="K90" i="65" s="1"/>
  <c r="L90" i="65" s="1"/>
  <c r="C98" i="65"/>
  <c r="D115" i="65"/>
  <c r="AF115" i="65"/>
  <c r="AF117" i="65"/>
  <c r="AF114" i="65"/>
  <c r="AG114" i="65" s="1"/>
  <c r="V113" i="65"/>
  <c r="W113" i="65" s="1"/>
  <c r="V114" i="65"/>
  <c r="V115" i="65"/>
  <c r="AG83" i="70"/>
  <c r="AH42" i="70"/>
  <c r="AG77" i="70"/>
  <c r="AG61" i="70"/>
  <c r="V88" i="65"/>
  <c r="L88" i="65"/>
  <c r="AF88" i="65"/>
  <c r="AF90" i="65"/>
  <c r="V90" i="65"/>
  <c r="C104" i="65"/>
  <c r="C144" i="65" s="1"/>
  <c r="V116" i="65"/>
  <c r="AF118" i="65"/>
  <c r="C110" i="65"/>
  <c r="B150" i="65"/>
  <c r="C102" i="65"/>
  <c r="B142" i="65"/>
  <c r="C105" i="65"/>
  <c r="B145" i="65"/>
  <c r="C107" i="65"/>
  <c r="B147" i="65"/>
  <c r="D118" i="65"/>
  <c r="C111" i="65"/>
  <c r="B151" i="65"/>
  <c r="C103" i="65"/>
  <c r="B143" i="65"/>
  <c r="V121" i="65"/>
  <c r="D114" i="65"/>
  <c r="D112" i="65"/>
  <c r="C109" i="65"/>
  <c r="B149" i="65"/>
  <c r="U26" i="69"/>
  <c r="U20" i="69"/>
  <c r="U21" i="69" s="1"/>
  <c r="E26" i="69"/>
  <c r="E20" i="69"/>
  <c r="E21" i="69" s="1"/>
  <c r="W20" i="69"/>
  <c r="W21" i="69" s="1"/>
  <c r="W26" i="69"/>
  <c r="L20" i="69"/>
  <c r="L21" i="69" s="1"/>
  <c r="L26" i="69"/>
  <c r="Q26" i="69"/>
  <c r="Q20" i="69"/>
  <c r="Q21" i="69" s="1"/>
  <c r="O20" i="69"/>
  <c r="O21" i="69" s="1"/>
  <c r="O26" i="69"/>
  <c r="P20" i="69"/>
  <c r="P21" i="69" s="1"/>
  <c r="P26" i="69"/>
  <c r="M26" i="69"/>
  <c r="M20" i="69"/>
  <c r="M21" i="69" s="1"/>
  <c r="G20" i="69"/>
  <c r="G21" i="69" s="1"/>
  <c r="G26" i="69"/>
  <c r="T20" i="69"/>
  <c r="T21" i="69" s="1"/>
  <c r="T26" i="69"/>
  <c r="I26" i="69"/>
  <c r="I20" i="69"/>
  <c r="I21" i="69" s="1"/>
  <c r="X20" i="69"/>
  <c r="X21" i="69" s="1"/>
  <c r="X26" i="69"/>
  <c r="H20" i="69"/>
  <c r="H21" i="69" s="1"/>
  <c r="H26" i="69"/>
  <c r="AF116" i="65"/>
  <c r="V120" i="65"/>
  <c r="V118" i="65"/>
  <c r="V117" i="65"/>
  <c r="D113" i="65"/>
  <c r="C108" i="65"/>
  <c r="D121" i="65"/>
  <c r="AG112" i="65"/>
  <c r="E116" i="65"/>
  <c r="AF121" i="65"/>
  <c r="AF113" i="65"/>
  <c r="E119" i="65"/>
  <c r="E120" i="65"/>
  <c r="K42" i="65"/>
  <c r="AF36" i="65"/>
  <c r="AG36" i="65" s="1"/>
  <c r="G42" i="65"/>
  <c r="D42" i="65"/>
  <c r="AF119" i="65"/>
  <c r="V112" i="65"/>
  <c r="V119" i="65"/>
  <c r="D117" i="65"/>
  <c r="AF120" i="65"/>
  <c r="H42" i="65"/>
  <c r="E42" i="65"/>
  <c r="C42" i="65"/>
  <c r="F42" i="65"/>
  <c r="I42" i="65"/>
  <c r="K43" i="65"/>
  <c r="AE43" i="65"/>
  <c r="AF42" i="65"/>
  <c r="F36" i="65"/>
  <c r="E37" i="65"/>
  <c r="AF37" i="65"/>
  <c r="W191" i="65" l="1"/>
  <c r="W190" i="65"/>
  <c r="AG193" i="65"/>
  <c r="AG191" i="65"/>
  <c r="AG190" i="65"/>
  <c r="F190" i="65"/>
  <c r="F191" i="65"/>
  <c r="C101" i="65"/>
  <c r="AH188" i="65"/>
  <c r="AH192" i="65" s="1"/>
  <c r="AG192" i="65"/>
  <c r="AG194" i="65"/>
  <c r="AG195" i="65"/>
  <c r="G188" i="65"/>
  <c r="F192" i="65"/>
  <c r="F193" i="65"/>
  <c r="F194" i="65"/>
  <c r="F195" i="65"/>
  <c r="W195" i="65"/>
  <c r="W192" i="65"/>
  <c r="W193" i="65"/>
  <c r="W194" i="65"/>
  <c r="X188" i="65"/>
  <c r="AD47" i="70"/>
  <c r="AD45" i="70"/>
  <c r="AD82" i="70"/>
  <c r="AD85" i="70" s="1"/>
  <c r="W156" i="65"/>
  <c r="F156" i="65"/>
  <c r="AG156" i="65"/>
  <c r="C146" i="65"/>
  <c r="W115" i="65"/>
  <c r="AG117" i="65"/>
  <c r="AH155" i="65"/>
  <c r="Z155" i="65"/>
  <c r="M154" i="65"/>
  <c r="W154" i="65"/>
  <c r="D98" i="65"/>
  <c r="W121" i="65"/>
  <c r="W116" i="65"/>
  <c r="W114" i="65"/>
  <c r="AG115" i="65"/>
  <c r="AG118" i="65"/>
  <c r="E115" i="65"/>
  <c r="AH77" i="70"/>
  <c r="AH61" i="70"/>
  <c r="AH83" i="70"/>
  <c r="AI42" i="70"/>
  <c r="W90" i="65"/>
  <c r="AG88" i="65"/>
  <c r="M88" i="65"/>
  <c r="AG90" i="65"/>
  <c r="E114" i="65"/>
  <c r="F114" i="65" s="1"/>
  <c r="M90" i="65"/>
  <c r="W88" i="65"/>
  <c r="D104" i="65"/>
  <c r="E104" i="65" s="1"/>
  <c r="E144" i="65" s="1"/>
  <c r="L42" i="65"/>
  <c r="D103" i="65"/>
  <c r="C143" i="65"/>
  <c r="E118" i="65"/>
  <c r="E112" i="65"/>
  <c r="D111" i="65"/>
  <c r="C151" i="65"/>
  <c r="D107" i="65"/>
  <c r="C147" i="65"/>
  <c r="D109" i="65"/>
  <c r="C149" i="65"/>
  <c r="D105" i="65"/>
  <c r="C145" i="65"/>
  <c r="D102" i="65"/>
  <c r="C142" i="65"/>
  <c r="D108" i="65"/>
  <c r="C148" i="65"/>
  <c r="E106" i="65"/>
  <c r="D146" i="65"/>
  <c r="D110" i="65"/>
  <c r="C150" i="65"/>
  <c r="W112" i="65"/>
  <c r="AH114" i="65"/>
  <c r="X113" i="65"/>
  <c r="W117" i="65"/>
  <c r="AG119" i="65"/>
  <c r="F116" i="65"/>
  <c r="E117" i="65"/>
  <c r="W119" i="65"/>
  <c r="F119" i="65"/>
  <c r="AG121" i="65"/>
  <c r="AH112" i="65"/>
  <c r="E113" i="65"/>
  <c r="AG116" i="65"/>
  <c r="W120" i="65"/>
  <c r="AG120" i="65"/>
  <c r="F120" i="65"/>
  <c r="AG113" i="65"/>
  <c r="E121" i="65"/>
  <c r="W118" i="65"/>
  <c r="AF43" i="65"/>
  <c r="L43" i="65"/>
  <c r="AG42" i="65"/>
  <c r="AG37" i="65"/>
  <c r="G36" i="65"/>
  <c r="F37" i="65"/>
  <c r="AH36" i="65"/>
  <c r="C84" i="65" l="1"/>
  <c r="Z64" i="69"/>
  <c r="AH195" i="65"/>
  <c r="AH193" i="65"/>
  <c r="X191" i="65"/>
  <c r="X190" i="65"/>
  <c r="G191" i="65"/>
  <c r="G190" i="65"/>
  <c r="AH190" i="65"/>
  <c r="AH191" i="65"/>
  <c r="D101" i="65"/>
  <c r="AH194" i="65"/>
  <c r="AI188" i="65"/>
  <c r="AI194" i="65" s="1"/>
  <c r="X121" i="65"/>
  <c r="X115" i="65"/>
  <c r="Y115" i="65" s="1"/>
  <c r="AI195" i="65"/>
  <c r="Y188" i="65"/>
  <c r="X194" i="65"/>
  <c r="X192" i="65"/>
  <c r="X193" i="65"/>
  <c r="X195" i="65"/>
  <c r="H188" i="65"/>
  <c r="G192" i="65"/>
  <c r="G193" i="65"/>
  <c r="G194" i="65"/>
  <c r="G195" i="65"/>
  <c r="B157" i="65"/>
  <c r="B169" i="65" s="1"/>
  <c r="AD46" i="70"/>
  <c r="AD48" i="70"/>
  <c r="AH117" i="65"/>
  <c r="AH156" i="65"/>
  <c r="X156" i="65"/>
  <c r="AH118" i="65"/>
  <c r="G156" i="65"/>
  <c r="AI155" i="65"/>
  <c r="X116" i="65"/>
  <c r="D144" i="65"/>
  <c r="AA155" i="65"/>
  <c r="X154" i="65"/>
  <c r="N154" i="65"/>
  <c r="E98" i="65"/>
  <c r="X114" i="65"/>
  <c r="F115" i="65"/>
  <c r="AH115" i="65"/>
  <c r="AI77" i="70"/>
  <c r="AI61" i="70"/>
  <c r="AI83" i="70"/>
  <c r="AJ42" i="70"/>
  <c r="X88" i="65"/>
  <c r="AH88" i="65"/>
  <c r="N90" i="65"/>
  <c r="AH90" i="65"/>
  <c r="F104" i="65"/>
  <c r="G104" i="65" s="1"/>
  <c r="N88" i="65"/>
  <c r="X90" i="65"/>
  <c r="M42" i="65"/>
  <c r="E102" i="65"/>
  <c r="D142" i="65"/>
  <c r="E108" i="65"/>
  <c r="D148" i="65"/>
  <c r="E109" i="65"/>
  <c r="D149" i="65"/>
  <c r="F112" i="65"/>
  <c r="E103" i="65"/>
  <c r="D143" i="65"/>
  <c r="E110" i="65"/>
  <c r="D150" i="65"/>
  <c r="F106" i="65"/>
  <c r="E146" i="65"/>
  <c r="E111" i="65"/>
  <c r="D151" i="65"/>
  <c r="E105" i="65"/>
  <c r="D145" i="65"/>
  <c r="E107" i="65"/>
  <c r="D147" i="65"/>
  <c r="F118" i="65"/>
  <c r="G120" i="65"/>
  <c r="X120" i="65"/>
  <c r="F113" i="65"/>
  <c r="F117" i="65"/>
  <c r="G114" i="65"/>
  <c r="AH119" i="65"/>
  <c r="Y113" i="65"/>
  <c r="AI114" i="65"/>
  <c r="X112" i="65"/>
  <c r="AH116" i="65"/>
  <c r="F121" i="65"/>
  <c r="G119" i="65"/>
  <c r="X118" i="65"/>
  <c r="AH113" i="65"/>
  <c r="AH120" i="65"/>
  <c r="AI112" i="65"/>
  <c r="AH121" i="65"/>
  <c r="X119" i="65"/>
  <c r="G116" i="65"/>
  <c r="X117" i="65"/>
  <c r="M43" i="65"/>
  <c r="AG43" i="65"/>
  <c r="AH42" i="65"/>
  <c r="G37" i="65"/>
  <c r="H36" i="65"/>
  <c r="AI36" i="65"/>
  <c r="AH37" i="65"/>
  <c r="D84" i="65" l="1"/>
  <c r="AA64" i="69"/>
  <c r="AI192" i="65"/>
  <c r="H191" i="65"/>
  <c r="H190" i="65"/>
  <c r="AJ188" i="65"/>
  <c r="AJ192" i="65" s="1"/>
  <c r="AI191" i="65"/>
  <c r="AI190" i="65"/>
  <c r="Y191" i="65"/>
  <c r="Y190" i="65"/>
  <c r="AI193" i="65"/>
  <c r="E101" i="65"/>
  <c r="Y121" i="65"/>
  <c r="Z188" i="65"/>
  <c r="Y193" i="65"/>
  <c r="Y194" i="65"/>
  <c r="Y195" i="65"/>
  <c r="Y192" i="65"/>
  <c r="I188" i="65"/>
  <c r="H193" i="65"/>
  <c r="H195" i="65"/>
  <c r="H192" i="65"/>
  <c r="H194" i="65"/>
  <c r="AK188" i="65"/>
  <c r="AJ194" i="65"/>
  <c r="B158" i="65"/>
  <c r="B170" i="65" s="1"/>
  <c r="AI117" i="65"/>
  <c r="H156" i="65"/>
  <c r="Y156" i="65"/>
  <c r="AI118" i="65"/>
  <c r="AI156" i="65"/>
  <c r="Y116" i="65"/>
  <c r="AB155" i="65"/>
  <c r="AJ155" i="65"/>
  <c r="O154" i="65"/>
  <c r="Y154" i="65"/>
  <c r="F98" i="65"/>
  <c r="N42" i="65"/>
  <c r="G115" i="65"/>
  <c r="Y114" i="65"/>
  <c r="AI115" i="65"/>
  <c r="F144" i="65"/>
  <c r="AJ77" i="70"/>
  <c r="AJ61" i="70"/>
  <c r="AJ83" i="70"/>
  <c r="AK42" i="70"/>
  <c r="O88" i="65"/>
  <c r="Y90" i="65"/>
  <c r="AI90" i="65"/>
  <c r="AI88" i="65"/>
  <c r="O90" i="65"/>
  <c r="Y88" i="65"/>
  <c r="F105" i="65"/>
  <c r="E145" i="65"/>
  <c r="F111" i="65"/>
  <c r="E151" i="65"/>
  <c r="F110" i="65"/>
  <c r="E150" i="65"/>
  <c r="F108" i="65"/>
  <c r="E148" i="65"/>
  <c r="F107" i="65"/>
  <c r="E147" i="65"/>
  <c r="H104" i="65"/>
  <c r="G144" i="65"/>
  <c r="G106" i="65"/>
  <c r="F146" i="65"/>
  <c r="F103" i="65"/>
  <c r="E143" i="65"/>
  <c r="F109" i="65"/>
  <c r="E149" i="65"/>
  <c r="F102" i="65"/>
  <c r="E142" i="65"/>
  <c r="G118" i="65"/>
  <c r="G112" i="65"/>
  <c r="Z115" i="65"/>
  <c r="AI120" i="65"/>
  <c r="Y112" i="65"/>
  <c r="Z113" i="65"/>
  <c r="H114" i="65"/>
  <c r="G117" i="65"/>
  <c r="H120" i="65"/>
  <c r="AI119" i="65"/>
  <c r="H116" i="65"/>
  <c r="AI121" i="65"/>
  <c r="H119" i="65"/>
  <c r="G113" i="65"/>
  <c r="Y117" i="65"/>
  <c r="Y119" i="65"/>
  <c r="AJ112" i="65"/>
  <c r="AI113" i="65"/>
  <c r="Y118" i="65"/>
  <c r="G121" i="65"/>
  <c r="AI116" i="65"/>
  <c r="AJ114" i="65"/>
  <c r="Y120" i="65"/>
  <c r="AH43" i="65"/>
  <c r="N43" i="65"/>
  <c r="AI42" i="65"/>
  <c r="AI37" i="65"/>
  <c r="H37" i="65"/>
  <c r="AJ36" i="65"/>
  <c r="I36" i="65"/>
  <c r="E84" i="65" l="1"/>
  <c r="AB64" i="69"/>
  <c r="AJ195" i="65"/>
  <c r="AJ193" i="65"/>
  <c r="AK191" i="65"/>
  <c r="AK190" i="65"/>
  <c r="AJ191" i="65"/>
  <c r="AJ190" i="65"/>
  <c r="I191" i="65"/>
  <c r="I190" i="65"/>
  <c r="Z190" i="65"/>
  <c r="Z191" i="65"/>
  <c r="F101" i="65"/>
  <c r="Z121" i="65"/>
  <c r="AJ118" i="65"/>
  <c r="AJ117" i="65"/>
  <c r="Z116" i="65"/>
  <c r="AA116" i="65" s="1"/>
  <c r="J188" i="65"/>
  <c r="I192" i="65"/>
  <c r="I193" i="65"/>
  <c r="I194" i="65"/>
  <c r="I195" i="65"/>
  <c r="AL188" i="65"/>
  <c r="AK193" i="65"/>
  <c r="AK194" i="65"/>
  <c r="AK195" i="65"/>
  <c r="AK192" i="65"/>
  <c r="AA188" i="65"/>
  <c r="Z192" i="65"/>
  <c r="Z193" i="65"/>
  <c r="Z194" i="65"/>
  <c r="Z195" i="65"/>
  <c r="I156" i="65"/>
  <c r="AJ156" i="65"/>
  <c r="Z156" i="65"/>
  <c r="AC155" i="65"/>
  <c r="AK155" i="65"/>
  <c r="Z154" i="65"/>
  <c r="P154" i="65"/>
  <c r="O42" i="65"/>
  <c r="G98" i="65"/>
  <c r="AJ115" i="65"/>
  <c r="H115" i="65"/>
  <c r="Z114" i="65"/>
  <c r="AK77" i="70"/>
  <c r="AK61" i="70"/>
  <c r="AK83" i="70"/>
  <c r="AL42" i="70"/>
  <c r="Z88" i="65"/>
  <c r="AJ88" i="65"/>
  <c r="Z90" i="65"/>
  <c r="P90" i="65"/>
  <c r="AJ90" i="65"/>
  <c r="P88" i="65"/>
  <c r="H118" i="65"/>
  <c r="G105" i="65"/>
  <c r="F145" i="65"/>
  <c r="G103" i="65"/>
  <c r="F143" i="65"/>
  <c r="G111" i="65"/>
  <c r="F151" i="65"/>
  <c r="G110" i="65"/>
  <c r="F150" i="65"/>
  <c r="H112" i="65"/>
  <c r="G102" i="65"/>
  <c r="F142" i="65"/>
  <c r="I104" i="65"/>
  <c r="H144" i="65"/>
  <c r="G108" i="65"/>
  <c r="F148" i="65"/>
  <c r="G109" i="65"/>
  <c r="F149" i="65"/>
  <c r="H106" i="65"/>
  <c r="G146" i="65"/>
  <c r="G107" i="65"/>
  <c r="F147" i="65"/>
  <c r="AJ113" i="65"/>
  <c r="Z119" i="65"/>
  <c r="AJ119" i="65"/>
  <c r="H117" i="65"/>
  <c r="AA113" i="65"/>
  <c r="AK114" i="65"/>
  <c r="H121" i="65"/>
  <c r="Z117" i="65"/>
  <c r="H113" i="65"/>
  <c r="I116" i="65"/>
  <c r="Z120" i="65"/>
  <c r="AJ116" i="65"/>
  <c r="Z118" i="65"/>
  <c r="AK112" i="65"/>
  <c r="I119" i="65"/>
  <c r="AJ121" i="65"/>
  <c r="I120" i="65"/>
  <c r="I114" i="65"/>
  <c r="Z112" i="65"/>
  <c r="AJ120" i="65"/>
  <c r="AA115" i="65"/>
  <c r="O43" i="65"/>
  <c r="AI43" i="65"/>
  <c r="AJ42" i="65"/>
  <c r="AK36" i="65"/>
  <c r="J36" i="65"/>
  <c r="I37" i="65"/>
  <c r="AJ37" i="65"/>
  <c r="F84" i="65" l="1"/>
  <c r="AC64" i="69"/>
  <c r="J190" i="65"/>
  <c r="J191" i="65"/>
  <c r="AA191" i="65"/>
  <c r="AA190" i="65"/>
  <c r="AL190" i="65"/>
  <c r="AL191" i="65"/>
  <c r="G101" i="65"/>
  <c r="AA121" i="65"/>
  <c r="AK118" i="65"/>
  <c r="AK117" i="65"/>
  <c r="AM188" i="65"/>
  <c r="AL192" i="65"/>
  <c r="AL193" i="65"/>
  <c r="AL194" i="65"/>
  <c r="AL195" i="65"/>
  <c r="AB188" i="65"/>
  <c r="AA195" i="65"/>
  <c r="AA192" i="65"/>
  <c r="AA193" i="65"/>
  <c r="AA194" i="65"/>
  <c r="J192" i="65"/>
  <c r="J193" i="65"/>
  <c r="J194" i="65"/>
  <c r="J195" i="65"/>
  <c r="K188" i="65"/>
  <c r="P42" i="65"/>
  <c r="J156" i="65"/>
  <c r="AK156" i="65"/>
  <c r="AA156" i="65"/>
  <c r="AL155" i="65"/>
  <c r="Q154" i="65"/>
  <c r="AA154" i="65"/>
  <c r="H98" i="65"/>
  <c r="I115" i="65"/>
  <c r="AA114" i="65"/>
  <c r="AK115" i="65"/>
  <c r="AL77" i="70"/>
  <c r="AL61" i="70"/>
  <c r="AL83" i="70"/>
  <c r="AM42" i="70"/>
  <c r="Q88" i="65"/>
  <c r="Q90" i="65"/>
  <c r="AK88" i="65"/>
  <c r="AK90" i="65"/>
  <c r="AA90" i="65"/>
  <c r="AA88" i="65"/>
  <c r="H103" i="65"/>
  <c r="G143" i="65"/>
  <c r="H105" i="65"/>
  <c r="G145" i="65"/>
  <c r="I106" i="65"/>
  <c r="H146" i="65"/>
  <c r="H110" i="65"/>
  <c r="G150" i="65"/>
  <c r="H102" i="65"/>
  <c r="G142" i="65"/>
  <c r="J104" i="65"/>
  <c r="I144" i="65"/>
  <c r="I112" i="65"/>
  <c r="H107" i="65"/>
  <c r="G147" i="65"/>
  <c r="H109" i="65"/>
  <c r="G149" i="65"/>
  <c r="H108" i="65"/>
  <c r="G148" i="65"/>
  <c r="I118" i="65"/>
  <c r="H111" i="65"/>
  <c r="G151" i="65"/>
  <c r="AB115" i="65"/>
  <c r="J120" i="65"/>
  <c r="AK121" i="65"/>
  <c r="AL112" i="65"/>
  <c r="AA120" i="65"/>
  <c r="AA117" i="65"/>
  <c r="AL114" i="65"/>
  <c r="AB113" i="65"/>
  <c r="AK119" i="65"/>
  <c r="AA112" i="65"/>
  <c r="AB121" i="65"/>
  <c r="AK116" i="65"/>
  <c r="J116" i="65"/>
  <c r="AA119" i="65"/>
  <c r="AK120" i="65"/>
  <c r="J114" i="65"/>
  <c r="J119" i="65"/>
  <c r="AA118" i="65"/>
  <c r="AB116" i="65"/>
  <c r="I113" i="65"/>
  <c r="I121" i="65"/>
  <c r="I117" i="65"/>
  <c r="AK113" i="65"/>
  <c r="AJ43" i="65"/>
  <c r="P43" i="65"/>
  <c r="AK42" i="65"/>
  <c r="AK37" i="65"/>
  <c r="K36" i="65"/>
  <c r="J37" i="65"/>
  <c r="AL36" i="65"/>
  <c r="G84" i="65" l="1"/>
  <c r="AD64" i="69"/>
  <c r="K191" i="65"/>
  <c r="K190" i="65"/>
  <c r="AB191" i="65"/>
  <c r="AB190" i="65"/>
  <c r="AM191" i="65"/>
  <c r="AM190" i="65"/>
  <c r="H101" i="65"/>
  <c r="AL118" i="65"/>
  <c r="AL117" i="65"/>
  <c r="Q42" i="65"/>
  <c r="AC188" i="65"/>
  <c r="AB194" i="65"/>
  <c r="AB192" i="65"/>
  <c r="AB193" i="65"/>
  <c r="AB195" i="65"/>
  <c r="L188" i="65"/>
  <c r="K192" i="65"/>
  <c r="K194" i="65"/>
  <c r="K195" i="65"/>
  <c r="K193" i="65"/>
  <c r="AM195" i="65"/>
  <c r="AM192" i="65"/>
  <c r="AM193" i="65"/>
  <c r="AM194" i="65"/>
  <c r="AB156" i="65"/>
  <c r="K156" i="65"/>
  <c r="AL156" i="65"/>
  <c r="AM155" i="65"/>
  <c r="AB154" i="65"/>
  <c r="R154" i="65"/>
  <c r="I98" i="65"/>
  <c r="AB114" i="65"/>
  <c r="AL115" i="65"/>
  <c r="J115" i="65"/>
  <c r="AM77" i="70"/>
  <c r="AM61" i="70"/>
  <c r="AM83" i="70"/>
  <c r="AN42" i="70"/>
  <c r="AB88" i="65"/>
  <c r="AL90" i="65"/>
  <c r="R90" i="65"/>
  <c r="AB90" i="65"/>
  <c r="AL88" i="65"/>
  <c r="R88" i="65"/>
  <c r="I107" i="65"/>
  <c r="H147" i="65"/>
  <c r="K104" i="65"/>
  <c r="J144" i="65"/>
  <c r="I102" i="65"/>
  <c r="H142" i="65"/>
  <c r="I105" i="65"/>
  <c r="H145" i="65"/>
  <c r="I111" i="65"/>
  <c r="H151" i="65"/>
  <c r="J106" i="65"/>
  <c r="I146" i="65"/>
  <c r="I103" i="65"/>
  <c r="H143" i="65"/>
  <c r="I108" i="65"/>
  <c r="H148" i="65"/>
  <c r="I110" i="65"/>
  <c r="H150" i="65"/>
  <c r="J118" i="65"/>
  <c r="I109" i="65"/>
  <c r="H149" i="65"/>
  <c r="J112" i="65"/>
  <c r="J113" i="65"/>
  <c r="AL120" i="65"/>
  <c r="AC121" i="65"/>
  <c r="AC113" i="65"/>
  <c r="AB117" i="65"/>
  <c r="K120" i="65"/>
  <c r="AC116" i="65"/>
  <c r="AM118" i="65"/>
  <c r="K116" i="65"/>
  <c r="AM112" i="65"/>
  <c r="AL113" i="65"/>
  <c r="J117" i="65"/>
  <c r="J121" i="65"/>
  <c r="AB118" i="65"/>
  <c r="K119" i="65"/>
  <c r="K114" i="65"/>
  <c r="AB119" i="65"/>
  <c r="AL116" i="65"/>
  <c r="AB112" i="65"/>
  <c r="AL119" i="65"/>
  <c r="AM114" i="65"/>
  <c r="AB120" i="65"/>
  <c r="AL121" i="65"/>
  <c r="AC115" i="65"/>
  <c r="Q43" i="65"/>
  <c r="AK43" i="65"/>
  <c r="AL42" i="65"/>
  <c r="L36" i="65"/>
  <c r="AM36" i="65"/>
  <c r="K37" i="65"/>
  <c r="AL37" i="65"/>
  <c r="H84" i="65" l="1"/>
  <c r="AE64" i="69"/>
  <c r="L191" i="65"/>
  <c r="L190" i="65"/>
  <c r="AC191" i="65"/>
  <c r="AC190" i="65"/>
  <c r="I101" i="65"/>
  <c r="AM117" i="65"/>
  <c r="R42" i="65"/>
  <c r="M188" i="65"/>
  <c r="L194" i="65"/>
  <c r="L195" i="65"/>
  <c r="L192" i="65"/>
  <c r="L193" i="65"/>
  <c r="AC193" i="65"/>
  <c r="AC194" i="65"/>
  <c r="AC195" i="65"/>
  <c r="AC192" i="65"/>
  <c r="L156" i="65"/>
  <c r="AC156" i="65"/>
  <c r="AM156" i="65"/>
  <c r="S154" i="65"/>
  <c r="AC154" i="65"/>
  <c r="J98" i="65"/>
  <c r="AM115" i="65"/>
  <c r="K115" i="65"/>
  <c r="AC114" i="65"/>
  <c r="AN83" i="70"/>
  <c r="AO42" i="70"/>
  <c r="AN77" i="70"/>
  <c r="AN61" i="70"/>
  <c r="S88" i="65"/>
  <c r="AC90" i="65"/>
  <c r="AM90" i="65"/>
  <c r="AM88" i="65"/>
  <c r="S90" i="65"/>
  <c r="AC88" i="65"/>
  <c r="K112" i="65"/>
  <c r="K118" i="65"/>
  <c r="J111" i="65"/>
  <c r="I151" i="65"/>
  <c r="J110" i="65"/>
  <c r="I150" i="65"/>
  <c r="J109" i="65"/>
  <c r="I149" i="65"/>
  <c r="J146" i="65"/>
  <c r="K106" i="65"/>
  <c r="J102" i="65"/>
  <c r="I142" i="65"/>
  <c r="J107" i="65"/>
  <c r="I147" i="65"/>
  <c r="J103" i="65"/>
  <c r="I143" i="65"/>
  <c r="J105" i="65"/>
  <c r="I145" i="65"/>
  <c r="L104" i="65"/>
  <c r="K144" i="65"/>
  <c r="J108" i="65"/>
  <c r="I148" i="65"/>
  <c r="L114" i="65"/>
  <c r="AC120" i="65"/>
  <c r="AM116" i="65"/>
  <c r="AC118" i="65"/>
  <c r="K117" i="65"/>
  <c r="AC117" i="65"/>
  <c r="L119" i="65"/>
  <c r="L116" i="65"/>
  <c r="L120" i="65"/>
  <c r="AM119" i="65"/>
  <c r="AM121" i="65"/>
  <c r="AC112" i="65"/>
  <c r="AC119" i="65"/>
  <c r="K121" i="65"/>
  <c r="AM113" i="65"/>
  <c r="AM120" i="65"/>
  <c r="K113" i="65"/>
  <c r="AM43" i="65"/>
  <c r="AL43" i="65"/>
  <c r="S43" i="65"/>
  <c r="R43" i="65"/>
  <c r="AM42" i="65"/>
  <c r="S42" i="65"/>
  <c r="AM37" i="65"/>
  <c r="L37" i="65"/>
  <c r="M36" i="65"/>
  <c r="I84" i="65" l="1"/>
  <c r="AF64" i="69"/>
  <c r="M191" i="65"/>
  <c r="M190" i="65"/>
  <c r="J101" i="65"/>
  <c r="N188" i="65"/>
  <c r="M193" i="65"/>
  <c r="M194" i="65"/>
  <c r="M195" i="65"/>
  <c r="M192" i="65"/>
  <c r="M156" i="65"/>
  <c r="K98" i="65"/>
  <c r="L115" i="65"/>
  <c r="AO83" i="70"/>
  <c r="AP42" i="70"/>
  <c r="AO77" i="70"/>
  <c r="AO61" i="70"/>
  <c r="K103" i="65"/>
  <c r="J143" i="65"/>
  <c r="M104" i="65"/>
  <c r="L144" i="65"/>
  <c r="K102" i="65"/>
  <c r="J142" i="65"/>
  <c r="K109" i="65"/>
  <c r="J149" i="65"/>
  <c r="L118" i="65"/>
  <c r="L106" i="65"/>
  <c r="K146" i="65"/>
  <c r="K110" i="65"/>
  <c r="J150" i="65"/>
  <c r="L112" i="65"/>
  <c r="K108" i="65"/>
  <c r="J148" i="65"/>
  <c r="K105" i="65"/>
  <c r="J145" i="65"/>
  <c r="K107" i="65"/>
  <c r="J147" i="65"/>
  <c r="K111" i="65"/>
  <c r="J151" i="65"/>
  <c r="L121" i="65"/>
  <c r="L117" i="65"/>
  <c r="M120" i="65"/>
  <c r="M119" i="65"/>
  <c r="L113" i="65"/>
  <c r="M116" i="65"/>
  <c r="M114" i="65"/>
  <c r="N36" i="65"/>
  <c r="M37" i="65"/>
  <c r="J84" i="65" l="1"/>
  <c r="AG64" i="69"/>
  <c r="N190" i="65"/>
  <c r="N191" i="65"/>
  <c r="K101" i="65"/>
  <c r="O188" i="65"/>
  <c r="N192" i="65"/>
  <c r="N193" i="65"/>
  <c r="N194" i="65"/>
  <c r="N195" i="65"/>
  <c r="N156" i="65"/>
  <c r="L98" i="65"/>
  <c r="M115" i="65"/>
  <c r="AP77" i="70"/>
  <c r="AP61" i="70"/>
  <c r="AP83" i="70"/>
  <c r="AQ42" i="70"/>
  <c r="N104" i="65"/>
  <c r="M144" i="65"/>
  <c r="L111" i="65"/>
  <c r="K151" i="65"/>
  <c r="L105" i="65"/>
  <c r="K145" i="65"/>
  <c r="L110" i="65"/>
  <c r="K150" i="65"/>
  <c r="M118" i="65"/>
  <c r="L102" i="65"/>
  <c r="K142" i="65"/>
  <c r="M106" i="65"/>
  <c r="L146" i="65"/>
  <c r="L109" i="65"/>
  <c r="K149" i="65"/>
  <c r="L103" i="65"/>
  <c r="K143" i="65"/>
  <c r="L107" i="65"/>
  <c r="K147" i="65"/>
  <c r="L108" i="65"/>
  <c r="K148" i="65"/>
  <c r="M112" i="65"/>
  <c r="M117" i="65"/>
  <c r="N114" i="65"/>
  <c r="M113" i="65"/>
  <c r="N120" i="65"/>
  <c r="N116" i="65"/>
  <c r="N119" i="65"/>
  <c r="M121" i="65"/>
  <c r="N37" i="65"/>
  <c r="O36" i="65"/>
  <c r="K84" i="65" l="1"/>
  <c r="AH64" i="69"/>
  <c r="O191" i="65"/>
  <c r="O190" i="65"/>
  <c r="L101" i="65"/>
  <c r="P188" i="65"/>
  <c r="O195" i="65"/>
  <c r="O192" i="65"/>
  <c r="O193" i="65"/>
  <c r="O194" i="65"/>
  <c r="O156" i="65"/>
  <c r="M98" i="65"/>
  <c r="N115" i="65"/>
  <c r="AQ77" i="70"/>
  <c r="AQ61" i="70"/>
  <c r="AQ83" i="70"/>
  <c r="AR42" i="70"/>
  <c r="N112" i="65"/>
  <c r="M107" i="65"/>
  <c r="L147" i="65"/>
  <c r="M109" i="65"/>
  <c r="L149" i="65"/>
  <c r="M111" i="65"/>
  <c r="L151" i="65"/>
  <c r="M103" i="65"/>
  <c r="L143" i="65"/>
  <c r="N106" i="65"/>
  <c r="M146" i="65"/>
  <c r="M102" i="65"/>
  <c r="L142" i="65"/>
  <c r="M110" i="65"/>
  <c r="L150" i="65"/>
  <c r="M105" i="65"/>
  <c r="L145" i="65"/>
  <c r="M108" i="65"/>
  <c r="L148" i="65"/>
  <c r="N118" i="65"/>
  <c r="O104" i="65"/>
  <c r="N144" i="65"/>
  <c r="O119" i="65"/>
  <c r="O116" i="65"/>
  <c r="O114" i="65"/>
  <c r="N121" i="65"/>
  <c r="N113" i="65"/>
  <c r="O120" i="65"/>
  <c r="N117" i="65"/>
  <c r="P36" i="65"/>
  <c r="O37" i="65"/>
  <c r="L84" i="65" l="1"/>
  <c r="AI64" i="69"/>
  <c r="P191" i="65"/>
  <c r="P190" i="65"/>
  <c r="M101" i="65"/>
  <c r="Q188" i="65"/>
  <c r="P194" i="65"/>
  <c r="P195" i="65"/>
  <c r="P192" i="65"/>
  <c r="P193" i="65"/>
  <c r="P156" i="65"/>
  <c r="N98" i="65"/>
  <c r="O115" i="65"/>
  <c r="AR83" i="70"/>
  <c r="AS42" i="70"/>
  <c r="AR77" i="70"/>
  <c r="AR61" i="70"/>
  <c r="O106" i="65"/>
  <c r="N146" i="65"/>
  <c r="P104" i="65"/>
  <c r="O144" i="65"/>
  <c r="N108" i="65"/>
  <c r="M148" i="65"/>
  <c r="N105" i="65"/>
  <c r="M145" i="65"/>
  <c r="N102" i="65"/>
  <c r="M142" i="65"/>
  <c r="N103" i="65"/>
  <c r="M143" i="65"/>
  <c r="N109" i="65"/>
  <c r="M149" i="65"/>
  <c r="N110" i="65"/>
  <c r="M150" i="65"/>
  <c r="N111" i="65"/>
  <c r="M151" i="65"/>
  <c r="N107" i="65"/>
  <c r="M147" i="65"/>
  <c r="O118" i="65"/>
  <c r="O112" i="65"/>
  <c r="P120" i="65"/>
  <c r="O121" i="65"/>
  <c r="P116" i="65"/>
  <c r="O117" i="65"/>
  <c r="O113" i="65"/>
  <c r="P114" i="65"/>
  <c r="P119" i="65"/>
  <c r="P37" i="65"/>
  <c r="Q36" i="65"/>
  <c r="M84" i="65" l="1"/>
  <c r="AJ64" i="69"/>
  <c r="Q191" i="65"/>
  <c r="Q190" i="65"/>
  <c r="N101" i="65"/>
  <c r="R188" i="65"/>
  <c r="Q193" i="65"/>
  <c r="Q194" i="65"/>
  <c r="Q195" i="65"/>
  <c r="Q192" i="65"/>
  <c r="Q156" i="65"/>
  <c r="O98" i="65"/>
  <c r="P115" i="65"/>
  <c r="AS83" i="70"/>
  <c r="AT42" i="70"/>
  <c r="AS77" i="70"/>
  <c r="AS61" i="70"/>
  <c r="P118" i="65"/>
  <c r="O110" i="65"/>
  <c r="N150" i="65"/>
  <c r="O109" i="65"/>
  <c r="N149" i="65"/>
  <c r="O102" i="65"/>
  <c r="N142" i="65"/>
  <c r="P106" i="65"/>
  <c r="O146" i="65"/>
  <c r="O107" i="65"/>
  <c r="N147" i="65"/>
  <c r="O108" i="65"/>
  <c r="N148" i="65"/>
  <c r="P112" i="65"/>
  <c r="O111" i="65"/>
  <c r="N151" i="65"/>
  <c r="O103" i="65"/>
  <c r="N143" i="65"/>
  <c r="O105" i="65"/>
  <c r="N145" i="65"/>
  <c r="Q104" i="65"/>
  <c r="P144" i="65"/>
  <c r="Q119" i="65"/>
  <c r="P113" i="65"/>
  <c r="P121" i="65"/>
  <c r="P117" i="65"/>
  <c r="Q114" i="65"/>
  <c r="Q116" i="65"/>
  <c r="Q120" i="65"/>
  <c r="R36" i="65"/>
  <c r="Q37" i="65"/>
  <c r="N84" i="65" l="1"/>
  <c r="AK64" i="69"/>
  <c r="R190" i="65"/>
  <c r="R191" i="65"/>
  <c r="O101" i="65"/>
  <c r="S188" i="65"/>
  <c r="R192" i="65"/>
  <c r="R193" i="65"/>
  <c r="R194" i="65"/>
  <c r="R195" i="65"/>
  <c r="R156" i="65"/>
  <c r="P98" i="65"/>
  <c r="Q115" i="65"/>
  <c r="AT83" i="70"/>
  <c r="AU42" i="70"/>
  <c r="AT77" i="70"/>
  <c r="AT61" i="70"/>
  <c r="P107" i="65"/>
  <c r="O147" i="65"/>
  <c r="P102" i="65"/>
  <c r="O142" i="65"/>
  <c r="P110" i="65"/>
  <c r="O150" i="65"/>
  <c r="P108" i="65"/>
  <c r="O148" i="65"/>
  <c r="Q106" i="65"/>
  <c r="P146" i="65"/>
  <c r="P109" i="65"/>
  <c r="O149" i="65"/>
  <c r="Q118" i="65"/>
  <c r="R104" i="65"/>
  <c r="Q144" i="65"/>
  <c r="P103" i="65"/>
  <c r="O143" i="65"/>
  <c r="Q112" i="65"/>
  <c r="P105" i="65"/>
  <c r="O145" i="65"/>
  <c r="P111" i="65"/>
  <c r="O151" i="65"/>
  <c r="R114" i="65"/>
  <c r="Q113" i="65"/>
  <c r="R120" i="65"/>
  <c r="Q121" i="65"/>
  <c r="R116" i="65"/>
  <c r="Q117" i="65"/>
  <c r="R119" i="65"/>
  <c r="R37" i="65"/>
  <c r="S36" i="65"/>
  <c r="O84" i="65" l="1"/>
  <c r="AL64" i="69"/>
  <c r="S191" i="65"/>
  <c r="S190" i="65"/>
  <c r="P101" i="65"/>
  <c r="S195" i="65"/>
  <c r="S192" i="65"/>
  <c r="S193" i="65"/>
  <c r="S194" i="65"/>
  <c r="S156" i="65"/>
  <c r="Q98" i="65"/>
  <c r="R115" i="65"/>
  <c r="AU83" i="70"/>
  <c r="AV42" i="70"/>
  <c r="AU77" i="70"/>
  <c r="AU61" i="70"/>
  <c r="Q103" i="65"/>
  <c r="P143" i="65"/>
  <c r="Q107" i="65"/>
  <c r="P147" i="65"/>
  <c r="R112" i="65"/>
  <c r="S104" i="65"/>
  <c r="R144" i="65"/>
  <c r="R118" i="65"/>
  <c r="R106" i="65"/>
  <c r="Q146" i="65"/>
  <c r="Q109" i="65"/>
  <c r="P149" i="65"/>
  <c r="Q108" i="65"/>
  <c r="P148" i="65"/>
  <c r="Q111" i="65"/>
  <c r="P151" i="65"/>
  <c r="Q110" i="65"/>
  <c r="P150" i="65"/>
  <c r="Q105" i="65"/>
  <c r="P145" i="65"/>
  <c r="Q102" i="65"/>
  <c r="P142" i="65"/>
  <c r="S119" i="65"/>
  <c r="R117" i="65"/>
  <c r="S116" i="65"/>
  <c r="S114" i="65"/>
  <c r="S120" i="65"/>
  <c r="R121" i="65"/>
  <c r="R113" i="65"/>
  <c r="S37" i="65"/>
  <c r="P84" i="65" l="1"/>
  <c r="AM64" i="69"/>
  <c r="Q101" i="65"/>
  <c r="R98" i="65"/>
  <c r="S115" i="65"/>
  <c r="AV83" i="70"/>
  <c r="AW42" i="70"/>
  <c r="AV77" i="70"/>
  <c r="AV61" i="70"/>
  <c r="R111" i="65"/>
  <c r="Q151" i="65"/>
  <c r="S118" i="65"/>
  <c r="S112" i="65"/>
  <c r="R107" i="65"/>
  <c r="Q147" i="65"/>
  <c r="R103" i="65"/>
  <c r="Q143" i="65"/>
  <c r="R105" i="65"/>
  <c r="Q145" i="65"/>
  <c r="R108" i="65"/>
  <c r="Q148" i="65"/>
  <c r="S106" i="65"/>
  <c r="R146" i="65"/>
  <c r="T104" i="65"/>
  <c r="S144" i="65"/>
  <c r="R102" i="65"/>
  <c r="Q142" i="65"/>
  <c r="R110" i="65"/>
  <c r="Q150" i="65"/>
  <c r="R109" i="65"/>
  <c r="Q149" i="65"/>
  <c r="S121" i="65"/>
  <c r="S117" i="65"/>
  <c r="S113" i="65"/>
  <c r="Q84" i="65" l="1"/>
  <c r="AN64" i="69"/>
  <c r="R101" i="65"/>
  <c r="S98" i="65"/>
  <c r="AW83" i="70"/>
  <c r="AX42" i="70"/>
  <c r="AW77" i="70"/>
  <c r="AW61" i="70"/>
  <c r="S110" i="65"/>
  <c r="R150" i="65"/>
  <c r="T106" i="65"/>
  <c r="S146" i="65"/>
  <c r="S103" i="65"/>
  <c r="R143" i="65"/>
  <c r="S111" i="65"/>
  <c r="R151" i="65"/>
  <c r="S105" i="65"/>
  <c r="R145" i="65"/>
  <c r="S109" i="65"/>
  <c r="R149" i="65"/>
  <c r="S102" i="65"/>
  <c r="R142" i="65"/>
  <c r="U104" i="65"/>
  <c r="T144" i="65"/>
  <c r="S108" i="65"/>
  <c r="R148" i="65"/>
  <c r="S107" i="65"/>
  <c r="R147" i="65"/>
  <c r="R84" i="65" l="1"/>
  <c r="AO64" i="69"/>
  <c r="S101" i="65"/>
  <c r="T98" i="65"/>
  <c r="AX83" i="70"/>
  <c r="AY42" i="70"/>
  <c r="AX77" i="70"/>
  <c r="AX61" i="70"/>
  <c r="T102" i="65"/>
  <c r="S142" i="65"/>
  <c r="T110" i="65"/>
  <c r="S150" i="65"/>
  <c r="T107" i="65"/>
  <c r="S147" i="65"/>
  <c r="V104" i="65"/>
  <c r="U144" i="65"/>
  <c r="T109" i="65"/>
  <c r="S149" i="65"/>
  <c r="T108" i="65"/>
  <c r="S148" i="65"/>
  <c r="T103" i="65"/>
  <c r="S143" i="65"/>
  <c r="T105" i="65"/>
  <c r="S145" i="65"/>
  <c r="T111" i="65"/>
  <c r="S151" i="65"/>
  <c r="U106" i="65"/>
  <c r="T146" i="65"/>
  <c r="S84" i="65" l="1"/>
  <c r="AP64" i="69"/>
  <c r="T101" i="65"/>
  <c r="U98" i="65"/>
  <c r="AY83" i="70"/>
  <c r="AZ42" i="70"/>
  <c r="AY77" i="70"/>
  <c r="AY61" i="70"/>
  <c r="V106" i="65"/>
  <c r="U146" i="65"/>
  <c r="T145" i="65"/>
  <c r="U105" i="65"/>
  <c r="U108" i="65"/>
  <c r="T148" i="65"/>
  <c r="W104" i="65"/>
  <c r="V144" i="65"/>
  <c r="U110" i="65"/>
  <c r="T150" i="65"/>
  <c r="U111" i="65"/>
  <c r="T151" i="65"/>
  <c r="U103" i="65"/>
  <c r="T143" i="65"/>
  <c r="T149" i="65"/>
  <c r="U109" i="65"/>
  <c r="U107" i="65"/>
  <c r="T147" i="65"/>
  <c r="U102" i="65"/>
  <c r="T142" i="65"/>
  <c r="T84" i="65" l="1"/>
  <c r="AQ64" i="69"/>
  <c r="U101" i="65"/>
  <c r="V98" i="65"/>
  <c r="AZ83" i="70"/>
  <c r="BA42" i="70"/>
  <c r="AZ77" i="70"/>
  <c r="AZ61" i="70"/>
  <c r="V109" i="65"/>
  <c r="U149" i="65"/>
  <c r="V102" i="65"/>
  <c r="U142" i="65"/>
  <c r="X104" i="65"/>
  <c r="W144" i="65"/>
  <c r="V105" i="65"/>
  <c r="U145" i="65"/>
  <c r="V111" i="65"/>
  <c r="U151" i="65"/>
  <c r="V107" i="65"/>
  <c r="U147" i="65"/>
  <c r="V103" i="65"/>
  <c r="U143" i="65"/>
  <c r="V110" i="65"/>
  <c r="U150" i="65"/>
  <c r="V108" i="65"/>
  <c r="U148" i="65"/>
  <c r="W106" i="65"/>
  <c r="V146" i="65"/>
  <c r="U84" i="65" l="1"/>
  <c r="AR64" i="69"/>
  <c r="V101" i="65"/>
  <c r="W98" i="65"/>
  <c r="BA83" i="70"/>
  <c r="BB42" i="70"/>
  <c r="BA77" i="70"/>
  <c r="BA61" i="70"/>
  <c r="W110" i="65"/>
  <c r="V150" i="65"/>
  <c r="W102" i="65"/>
  <c r="V142" i="65"/>
  <c r="X106" i="65"/>
  <c r="W146" i="65"/>
  <c r="W107" i="65"/>
  <c r="V147" i="65"/>
  <c r="W105" i="65"/>
  <c r="V145" i="65"/>
  <c r="W108" i="65"/>
  <c r="V148" i="65"/>
  <c r="W103" i="65"/>
  <c r="V143" i="65"/>
  <c r="W111" i="65"/>
  <c r="V151" i="65"/>
  <c r="Y104" i="65"/>
  <c r="X144" i="65"/>
  <c r="W109" i="65"/>
  <c r="V149" i="65"/>
  <c r="V84" i="65" l="1"/>
  <c r="AS64" i="69"/>
  <c r="W101" i="65"/>
  <c r="X98" i="65"/>
  <c r="BB83" i="70"/>
  <c r="BC42" i="70"/>
  <c r="BB77" i="70"/>
  <c r="BB61" i="70"/>
  <c r="X109" i="65"/>
  <c r="W149" i="65"/>
  <c r="X108" i="65"/>
  <c r="W148" i="65"/>
  <c r="X102" i="65"/>
  <c r="W142" i="65"/>
  <c r="X111" i="65"/>
  <c r="W151" i="65"/>
  <c r="X107" i="65"/>
  <c r="W147" i="65"/>
  <c r="Z104" i="65"/>
  <c r="Y144" i="65"/>
  <c r="X103" i="65"/>
  <c r="W143" i="65"/>
  <c r="X105" i="65"/>
  <c r="W145" i="65"/>
  <c r="Y106" i="65"/>
  <c r="X146" i="65"/>
  <c r="X110" i="65"/>
  <c r="W150" i="65"/>
  <c r="W84" i="65" l="1"/>
  <c r="AT64" i="69"/>
  <c r="X101" i="65"/>
  <c r="Y98" i="65"/>
  <c r="BC83" i="70"/>
  <c r="BD42" i="70"/>
  <c r="BC77" i="70"/>
  <c r="BC61" i="70"/>
  <c r="Y105" i="65"/>
  <c r="X145" i="65"/>
  <c r="Y111" i="65"/>
  <c r="X151" i="65"/>
  <c r="Y110" i="65"/>
  <c r="X150" i="65"/>
  <c r="AA104" i="65"/>
  <c r="Z144" i="65"/>
  <c r="Y108" i="65"/>
  <c r="X148" i="65"/>
  <c r="Z106" i="65"/>
  <c r="Y146" i="65"/>
  <c r="Y103" i="65"/>
  <c r="X143" i="65"/>
  <c r="Y107" i="65"/>
  <c r="X147" i="65"/>
  <c r="Y102" i="65"/>
  <c r="X142" i="65"/>
  <c r="Y109" i="65"/>
  <c r="X149" i="65"/>
  <c r="X84" i="65" l="1"/>
  <c r="AU64" i="69"/>
  <c r="Y101" i="65"/>
  <c r="Z98" i="65"/>
  <c r="BD83" i="70"/>
  <c r="BE42" i="70"/>
  <c r="BD77" i="70"/>
  <c r="BD61" i="70"/>
  <c r="Z109" i="65"/>
  <c r="Y149" i="65"/>
  <c r="Z107" i="65"/>
  <c r="Y147" i="65"/>
  <c r="AB104" i="65"/>
  <c r="AA144" i="65"/>
  <c r="AA106" i="65"/>
  <c r="Z146" i="65"/>
  <c r="Z111" i="65"/>
  <c r="Y151" i="65"/>
  <c r="Z102" i="65"/>
  <c r="Y142" i="65"/>
  <c r="Z103" i="65"/>
  <c r="Y143" i="65"/>
  <c r="Z108" i="65"/>
  <c r="Y148" i="65"/>
  <c r="Z110" i="65"/>
  <c r="Y150" i="65"/>
  <c r="Z105" i="65"/>
  <c r="Y145" i="65"/>
  <c r="Y84" i="65" l="1"/>
  <c r="AV64" i="69"/>
  <c r="Z101" i="65"/>
  <c r="AA98" i="65"/>
  <c r="BE83" i="70"/>
  <c r="BF42" i="70"/>
  <c r="BE77" i="70"/>
  <c r="BE61" i="70"/>
  <c r="AA108" i="65"/>
  <c r="Z148" i="65"/>
  <c r="AA102" i="65"/>
  <c r="Z142" i="65"/>
  <c r="AB106" i="65"/>
  <c r="AA146" i="65"/>
  <c r="AA107" i="65"/>
  <c r="Z147" i="65"/>
  <c r="AA105" i="65"/>
  <c r="Z145" i="65"/>
  <c r="AA110" i="65"/>
  <c r="Z150" i="65"/>
  <c r="AA103" i="65"/>
  <c r="Z143" i="65"/>
  <c r="AA111" i="65"/>
  <c r="Z151" i="65"/>
  <c r="AC104" i="65"/>
  <c r="AB144" i="65"/>
  <c r="AA109" i="65"/>
  <c r="Z149" i="65"/>
  <c r="Z84" i="65" l="1"/>
  <c r="AW64" i="69"/>
  <c r="AA101" i="65"/>
  <c r="AB98" i="65"/>
  <c r="BF83" i="70"/>
  <c r="BG42" i="70"/>
  <c r="BF77" i="70"/>
  <c r="BF61" i="70"/>
  <c r="AB111" i="65"/>
  <c r="AA151" i="65"/>
  <c r="AB109" i="65"/>
  <c r="AA149" i="65"/>
  <c r="AB110" i="65"/>
  <c r="AA150" i="65"/>
  <c r="AB107" i="65"/>
  <c r="AA147" i="65"/>
  <c r="AB102" i="65"/>
  <c r="AA142" i="65"/>
  <c r="AD104" i="65"/>
  <c r="AC144" i="65"/>
  <c r="AB103" i="65"/>
  <c r="AA143" i="65"/>
  <c r="AB105" i="65"/>
  <c r="AA145" i="65"/>
  <c r="AC106" i="65"/>
  <c r="AB146" i="65"/>
  <c r="AB108" i="65"/>
  <c r="AA148" i="65"/>
  <c r="AA84" i="65" l="1"/>
  <c r="AX64" i="69"/>
  <c r="AB101" i="65"/>
  <c r="AC98" i="65"/>
  <c r="BG83" i="70"/>
  <c r="BH42" i="70"/>
  <c r="BG77" i="70"/>
  <c r="BG61" i="70"/>
  <c r="AC108" i="65"/>
  <c r="AB148" i="65"/>
  <c r="AC105" i="65"/>
  <c r="AB145" i="65"/>
  <c r="AE104" i="65"/>
  <c r="AD144" i="65"/>
  <c r="AC107" i="65"/>
  <c r="AB147" i="65"/>
  <c r="AC109" i="65"/>
  <c r="AB149" i="65"/>
  <c r="AD106" i="65"/>
  <c r="AC146" i="65"/>
  <c r="AC103" i="65"/>
  <c r="AB143" i="65"/>
  <c r="AC102" i="65"/>
  <c r="AB142" i="65"/>
  <c r="AC110" i="65"/>
  <c r="AB150" i="65"/>
  <c r="AC111" i="65"/>
  <c r="AB151" i="65"/>
  <c r="AB84" i="65" l="1"/>
  <c r="AY64" i="69"/>
  <c r="AC101" i="65"/>
  <c r="AD98" i="65"/>
  <c r="BH83" i="70"/>
  <c r="BI42" i="70"/>
  <c r="BH77" i="70"/>
  <c r="BH61" i="70"/>
  <c r="AD111" i="65"/>
  <c r="AC151" i="65"/>
  <c r="AD102" i="65"/>
  <c r="AC142" i="65"/>
  <c r="AE106" i="65"/>
  <c r="AD146" i="65"/>
  <c r="AD107" i="65"/>
  <c r="AC147" i="65"/>
  <c r="AD105" i="65"/>
  <c r="AC145" i="65"/>
  <c r="AD110" i="65"/>
  <c r="AC150" i="65"/>
  <c r="AD103" i="65"/>
  <c r="AC143" i="65"/>
  <c r="AD109" i="65"/>
  <c r="AC149" i="65"/>
  <c r="AF104" i="65"/>
  <c r="AE144" i="65"/>
  <c r="AD108" i="65"/>
  <c r="AC148" i="65"/>
  <c r="AC84" i="65" l="1"/>
  <c r="AZ64" i="69"/>
  <c r="AD101" i="65"/>
  <c r="AE98" i="65"/>
  <c r="BI83" i="70"/>
  <c r="BJ42" i="70"/>
  <c r="BI77" i="70"/>
  <c r="BI61" i="70"/>
  <c r="AE108" i="65"/>
  <c r="AD148" i="65"/>
  <c r="AE109" i="65"/>
  <c r="AD149" i="65"/>
  <c r="AE110" i="65"/>
  <c r="AD150" i="65"/>
  <c r="AE107" i="65"/>
  <c r="AD147" i="65"/>
  <c r="AE102" i="65"/>
  <c r="AD142" i="65"/>
  <c r="AG104" i="65"/>
  <c r="AF144" i="65"/>
  <c r="AE103" i="65"/>
  <c r="AD143" i="65"/>
  <c r="AE105" i="65"/>
  <c r="AD145" i="65"/>
  <c r="AF106" i="65"/>
  <c r="AE146" i="65"/>
  <c r="AE111" i="65"/>
  <c r="AD151" i="65"/>
  <c r="AD84" i="65" l="1"/>
  <c r="BA64" i="69"/>
  <c r="AE101" i="65"/>
  <c r="AF98" i="65"/>
  <c r="BJ83" i="70"/>
  <c r="BK42" i="70"/>
  <c r="BJ77" i="70"/>
  <c r="BJ61" i="70"/>
  <c r="AF105" i="65"/>
  <c r="AE145" i="65"/>
  <c r="AF109" i="65"/>
  <c r="AE149" i="65"/>
  <c r="AF111" i="65"/>
  <c r="AE151" i="65"/>
  <c r="AH104" i="65"/>
  <c r="AG144" i="65"/>
  <c r="AF107" i="65"/>
  <c r="AE147" i="65"/>
  <c r="AG106" i="65"/>
  <c r="AF146" i="65"/>
  <c r="AF103" i="65"/>
  <c r="AE143" i="65"/>
  <c r="AF102" i="65"/>
  <c r="AE142" i="65"/>
  <c r="AF110" i="65"/>
  <c r="AE150" i="65"/>
  <c r="AF108" i="65"/>
  <c r="AE148" i="65"/>
  <c r="AE84" i="65" l="1"/>
  <c r="BB64" i="69"/>
  <c r="AF101" i="65"/>
  <c r="AG98" i="65"/>
  <c r="BK83" i="70"/>
  <c r="BL42" i="70"/>
  <c r="BK77" i="70"/>
  <c r="BK61" i="70"/>
  <c r="AG108" i="65"/>
  <c r="AF148" i="65"/>
  <c r="AG102" i="65"/>
  <c r="AF142" i="65"/>
  <c r="AH106" i="65"/>
  <c r="AG146" i="65"/>
  <c r="AI104" i="65"/>
  <c r="AH144" i="65"/>
  <c r="AG109" i="65"/>
  <c r="AF149" i="65"/>
  <c r="AG110" i="65"/>
  <c r="AF150" i="65"/>
  <c r="AG103" i="65"/>
  <c r="AF143" i="65"/>
  <c r="AG107" i="65"/>
  <c r="AF147" i="65"/>
  <c r="AG111" i="65"/>
  <c r="AF151" i="65"/>
  <c r="AG105" i="65"/>
  <c r="AF145" i="65"/>
  <c r="AF84" i="65" l="1"/>
  <c r="BC64" i="69"/>
  <c r="AG101" i="65"/>
  <c r="AH98" i="65"/>
  <c r="BL83" i="70"/>
  <c r="BM42" i="70"/>
  <c r="BL77" i="70"/>
  <c r="BL61" i="70"/>
  <c r="AH107" i="65"/>
  <c r="AG147" i="65"/>
  <c r="AH110" i="65"/>
  <c r="AG150" i="65"/>
  <c r="AJ104" i="65"/>
  <c r="AI144" i="65"/>
  <c r="AH102" i="65"/>
  <c r="AG142" i="65"/>
  <c r="AH105" i="65"/>
  <c r="AG145" i="65"/>
  <c r="AH111" i="65"/>
  <c r="AG151" i="65"/>
  <c r="AH103" i="65"/>
  <c r="AG143" i="65"/>
  <c r="AH109" i="65"/>
  <c r="AG149" i="65"/>
  <c r="AI106" i="65"/>
  <c r="AH146" i="65"/>
  <c r="AH108" i="65"/>
  <c r="AG148" i="65"/>
  <c r="AG84" i="65" l="1"/>
  <c r="BD64" i="69"/>
  <c r="AH101" i="65"/>
  <c r="AI98" i="65"/>
  <c r="BM83" i="70"/>
  <c r="BN42" i="70"/>
  <c r="BM77" i="70"/>
  <c r="BM61" i="70"/>
  <c r="AI109" i="65"/>
  <c r="AH149" i="65"/>
  <c r="AI110" i="65"/>
  <c r="AH150" i="65"/>
  <c r="AI108" i="65"/>
  <c r="AH148" i="65"/>
  <c r="AI111" i="65"/>
  <c r="AH151" i="65"/>
  <c r="AI102" i="65"/>
  <c r="AH142" i="65"/>
  <c r="AJ106" i="65"/>
  <c r="AI146" i="65"/>
  <c r="AI103" i="65"/>
  <c r="AH143" i="65"/>
  <c r="AI105" i="65"/>
  <c r="AH145" i="65"/>
  <c r="AK104" i="65"/>
  <c r="AJ144" i="65"/>
  <c r="AI107" i="65"/>
  <c r="AH147" i="65"/>
  <c r="AH84" i="65" l="1"/>
  <c r="BE64" i="69"/>
  <c r="AI101" i="65"/>
  <c r="AJ98" i="65"/>
  <c r="BN83" i="70"/>
  <c r="BO42" i="70"/>
  <c r="BN77" i="70"/>
  <c r="BN61" i="70"/>
  <c r="AJ105" i="65"/>
  <c r="AI145" i="65"/>
  <c r="AJ111" i="65"/>
  <c r="AI151" i="65"/>
  <c r="AJ107" i="65"/>
  <c r="AI147" i="65"/>
  <c r="AK106" i="65"/>
  <c r="AJ146" i="65"/>
  <c r="AJ110" i="65"/>
  <c r="AI150" i="65"/>
  <c r="AL104" i="65"/>
  <c r="AK144" i="65"/>
  <c r="AJ103" i="65"/>
  <c r="AI143" i="65"/>
  <c r="AJ102" i="65"/>
  <c r="AI142" i="65"/>
  <c r="AJ108" i="65"/>
  <c r="AI148" i="65"/>
  <c r="AJ109" i="65"/>
  <c r="AI149" i="65"/>
  <c r="AI84" i="65" l="1"/>
  <c r="BF64" i="69"/>
  <c r="AJ101" i="65"/>
  <c r="AK98" i="65"/>
  <c r="BO83" i="70"/>
  <c r="BP42" i="70"/>
  <c r="BP83" i="70" s="1"/>
  <c r="BO77" i="70"/>
  <c r="BO61" i="70"/>
  <c r="AK109" i="65"/>
  <c r="AJ149" i="65"/>
  <c r="AK102" i="65"/>
  <c r="AJ142" i="65"/>
  <c r="AM104" i="65"/>
  <c r="AL144" i="65"/>
  <c r="AL106" i="65"/>
  <c r="AK146" i="65"/>
  <c r="AK111" i="65"/>
  <c r="AJ151" i="65"/>
  <c r="AK108" i="65"/>
  <c r="AJ148" i="65"/>
  <c r="AK103" i="65"/>
  <c r="AJ143" i="65"/>
  <c r="AK110" i="65"/>
  <c r="AJ150" i="65"/>
  <c r="AK107" i="65"/>
  <c r="AJ147" i="65"/>
  <c r="AK105" i="65"/>
  <c r="AJ145" i="65"/>
  <c r="AJ84" i="65" l="1"/>
  <c r="BG64" i="69"/>
  <c r="AK101" i="65"/>
  <c r="AL98" i="65"/>
  <c r="BP77" i="70"/>
  <c r="BP61" i="70"/>
  <c r="AL110" i="65"/>
  <c r="AK150" i="65"/>
  <c r="AL102" i="65"/>
  <c r="AK142" i="65"/>
  <c r="AL105" i="65"/>
  <c r="AK145" i="65"/>
  <c r="AL108" i="65"/>
  <c r="AK148" i="65"/>
  <c r="AM106" i="65"/>
  <c r="AL146" i="65"/>
  <c r="AL107" i="65"/>
  <c r="AK147" i="65"/>
  <c r="AL103" i="65"/>
  <c r="AK143" i="65"/>
  <c r="AL111" i="65"/>
  <c r="AK151" i="65"/>
  <c r="AN104" i="65"/>
  <c r="AN144" i="65" s="1"/>
  <c r="AM144" i="65"/>
  <c r="AL109" i="65"/>
  <c r="AK149" i="65"/>
  <c r="AK84" i="65" l="1"/>
  <c r="BH64" i="69"/>
  <c r="AL101" i="65"/>
  <c r="AM98" i="65"/>
  <c r="AM109" i="65"/>
  <c r="AL149" i="65"/>
  <c r="AM111" i="65"/>
  <c r="AL151" i="65"/>
  <c r="AM107" i="65"/>
  <c r="AL147" i="65"/>
  <c r="AM108" i="65"/>
  <c r="AL148" i="65"/>
  <c r="AM102" i="65"/>
  <c r="AL142" i="65"/>
  <c r="AM103" i="65"/>
  <c r="AL143" i="65"/>
  <c r="AN106" i="65"/>
  <c r="AN146" i="65" s="1"/>
  <c r="AM146" i="65"/>
  <c r="AM105" i="65"/>
  <c r="AL145" i="65"/>
  <c r="AM110" i="65"/>
  <c r="AL150" i="65"/>
  <c r="AL84" i="65" l="1"/>
  <c r="BI64" i="69"/>
  <c r="AM101" i="65"/>
  <c r="AN98" i="65"/>
  <c r="AN105" i="65"/>
  <c r="AN145" i="65" s="1"/>
  <c r="AM145" i="65"/>
  <c r="AN103" i="65"/>
  <c r="AN143" i="65" s="1"/>
  <c r="AM143" i="65"/>
  <c r="AN108" i="65"/>
  <c r="AN148" i="65" s="1"/>
  <c r="AM148" i="65"/>
  <c r="AN111" i="65"/>
  <c r="AN151" i="65" s="1"/>
  <c r="AM151" i="65"/>
  <c r="AN110" i="65"/>
  <c r="AN150" i="65" s="1"/>
  <c r="AM150" i="65"/>
  <c r="AN102" i="65"/>
  <c r="AN142" i="65" s="1"/>
  <c r="AM142" i="65"/>
  <c r="AN107" i="65"/>
  <c r="AN147" i="65" s="1"/>
  <c r="AM147" i="65"/>
  <c r="AN109" i="65"/>
  <c r="AN149" i="65" s="1"/>
  <c r="AM149" i="65"/>
  <c r="AM84" i="65" l="1"/>
  <c r="BJ64" i="69"/>
  <c r="AN101" i="65"/>
  <c r="P5" i="33"/>
  <c r="P6" i="33"/>
  <c r="P7" i="33"/>
  <c r="P8" i="33"/>
  <c r="P9" i="33"/>
  <c r="P10" i="33"/>
  <c r="P11" i="33"/>
  <c r="P12" i="33"/>
  <c r="P13" i="33"/>
  <c r="P14" i="33"/>
  <c r="R14" i="33" s="1"/>
  <c r="T14" i="33" s="1"/>
  <c r="P15" i="33"/>
  <c r="P16" i="33"/>
  <c r="P17" i="33"/>
  <c r="L5" i="33"/>
  <c r="L6" i="33"/>
  <c r="L7" i="33"/>
  <c r="L8" i="33"/>
  <c r="L9" i="33"/>
  <c r="L10" i="33"/>
  <c r="L11" i="33"/>
  <c r="L12" i="33"/>
  <c r="L13" i="33"/>
  <c r="L14" i="33"/>
  <c r="L15" i="33"/>
  <c r="L16" i="33"/>
  <c r="L17" i="33"/>
  <c r="B25" i="65"/>
  <c r="I18" i="66"/>
  <c r="I17" i="66"/>
  <c r="I16" i="66"/>
  <c r="I14" i="66"/>
  <c r="I13" i="66"/>
  <c r="I12" i="66"/>
  <c r="I11" i="66"/>
  <c r="I10" i="66"/>
  <c r="J158" i="67"/>
  <c r="I158" i="67"/>
  <c r="AN14" i="65"/>
  <c r="AN13" i="65"/>
  <c r="AN12" i="65"/>
  <c r="AD14" i="65"/>
  <c r="AD13" i="65"/>
  <c r="AD12" i="65"/>
  <c r="T14" i="65"/>
  <c r="T13" i="65"/>
  <c r="T12" i="65"/>
  <c r="B14" i="65"/>
  <c r="B13" i="65"/>
  <c r="B12" i="65"/>
  <c r="F8" i="67"/>
  <c r="AN84" i="65" l="1"/>
  <c r="BK64" i="69"/>
  <c r="C13" i="65"/>
  <c r="C14" i="65"/>
  <c r="C12" i="65"/>
  <c r="R4" i="33"/>
  <c r="T4" i="33" s="1"/>
  <c r="R9" i="33"/>
  <c r="T9" i="33" s="1"/>
  <c r="R5" i="33"/>
  <c r="T5" i="33" s="1"/>
  <c r="R11" i="33"/>
  <c r="T11" i="33" s="1"/>
  <c r="R16" i="33"/>
  <c r="T16" i="33" s="1"/>
  <c r="R7" i="33"/>
  <c r="T7" i="33" s="1"/>
  <c r="R15" i="33"/>
  <c r="T15" i="33" s="1"/>
  <c r="R13" i="33"/>
  <c r="T13" i="33" s="1"/>
  <c r="R10" i="33"/>
  <c r="T10" i="33" s="1"/>
  <c r="R8" i="33"/>
  <c r="T8" i="33" s="1"/>
  <c r="R12" i="33"/>
  <c r="T12" i="33" s="1"/>
  <c r="R17" i="33"/>
  <c r="T17" i="33" s="1"/>
  <c r="R6" i="33"/>
  <c r="T6" i="33" s="1"/>
  <c r="I159" i="67"/>
  <c r="J159" i="67"/>
  <c r="U13" i="65"/>
  <c r="AE14" i="65"/>
  <c r="AE13" i="65"/>
  <c r="AE12" i="65"/>
  <c r="U14" i="65"/>
  <c r="U12" i="65"/>
  <c r="G9" i="67"/>
  <c r="F9" i="67"/>
  <c r="G7" i="67"/>
  <c r="F7" i="67"/>
  <c r="G6" i="67"/>
  <c r="F6" i="67"/>
  <c r="J5" i="67"/>
  <c r="I5" i="67"/>
  <c r="G5" i="67"/>
  <c r="F5" i="67"/>
  <c r="H4" i="67"/>
  <c r="H5" i="67" s="1"/>
  <c r="H6" i="67" s="1"/>
  <c r="G4" i="67"/>
  <c r="F4" i="67"/>
  <c r="E4" i="67"/>
  <c r="E5" i="67" s="1"/>
  <c r="E6" i="67" s="1"/>
  <c r="E7" i="67" s="1"/>
  <c r="E8" i="67" s="1"/>
  <c r="E157" i="67" s="1"/>
  <c r="E159" i="67" s="1"/>
  <c r="E161" i="67" s="1"/>
  <c r="D4" i="67"/>
  <c r="D5" i="67" s="1"/>
  <c r="D6" i="67" s="1"/>
  <c r="D7" i="67" s="1"/>
  <c r="AJ76" i="68"/>
  <c r="AI76" i="68"/>
  <c r="AH76" i="68"/>
  <c r="AG76" i="68"/>
  <c r="AF76" i="68"/>
  <c r="AE76" i="68"/>
  <c r="AD76" i="68"/>
  <c r="AC76" i="68"/>
  <c r="AB76" i="68"/>
  <c r="AA76" i="68"/>
  <c r="Z76" i="68"/>
  <c r="Y76" i="68"/>
  <c r="X76" i="68"/>
  <c r="W76" i="68"/>
  <c r="V76" i="68"/>
  <c r="U76" i="68"/>
  <c r="T76" i="68"/>
  <c r="S76" i="68"/>
  <c r="R76" i="68"/>
  <c r="Q76" i="68"/>
  <c r="P76" i="68"/>
  <c r="O76" i="68"/>
  <c r="N76" i="68"/>
  <c r="M76" i="68"/>
  <c r="L76" i="68"/>
  <c r="K76" i="68"/>
  <c r="J76" i="68"/>
  <c r="I76" i="68"/>
  <c r="G65" i="68"/>
  <c r="G63" i="68"/>
  <c r="G62" i="68"/>
  <c r="G61" i="68"/>
  <c r="F54" i="68"/>
  <c r="F53" i="68"/>
  <c r="E53" i="68"/>
  <c r="E54" i="68" s="1"/>
  <c r="E52" i="68"/>
  <c r="E67" i="68" s="1"/>
  <c r="F51" i="68"/>
  <c r="F50" i="68"/>
  <c r="E50" i="68"/>
  <c r="E51" i="68" s="1"/>
  <c r="E49" i="68"/>
  <c r="E66" i="68" s="1"/>
  <c r="F48" i="68"/>
  <c r="F47" i="68"/>
  <c r="F46" i="68"/>
  <c r="H45" i="68"/>
  <c r="H46" i="68" s="1"/>
  <c r="H47" i="68" s="1"/>
  <c r="H48" i="68" s="1"/>
  <c r="G45" i="68"/>
  <c r="G46" i="68" s="1"/>
  <c r="G47" i="68" s="1"/>
  <c r="G48" i="68" s="1"/>
  <c r="F45" i="68"/>
  <c r="F44" i="68"/>
  <c r="E44" i="68"/>
  <c r="E45" i="68" s="1"/>
  <c r="E46" i="68" s="1"/>
  <c r="E47" i="68" s="1"/>
  <c r="E48" i="68" s="1"/>
  <c r="E43" i="68"/>
  <c r="E65" i="68" s="1"/>
  <c r="H42" i="68"/>
  <c r="G42" i="68"/>
  <c r="G64" i="68" s="1"/>
  <c r="E42" i="68"/>
  <c r="E64" i="68" s="1"/>
  <c r="E41" i="68"/>
  <c r="E63" i="68" s="1"/>
  <c r="F40" i="68"/>
  <c r="F39" i="68"/>
  <c r="F38" i="68"/>
  <c r="F37" i="68"/>
  <c r="H36" i="68"/>
  <c r="H37" i="68" s="1"/>
  <c r="H38" i="68" s="1"/>
  <c r="H39" i="68" s="1"/>
  <c r="H40" i="68" s="1"/>
  <c r="G36" i="68"/>
  <c r="G37" i="68" s="1"/>
  <c r="G38" i="68" s="1"/>
  <c r="G39" i="68" s="1"/>
  <c r="G40" i="68" s="1"/>
  <c r="F36" i="68"/>
  <c r="F35" i="68"/>
  <c r="E35" i="68"/>
  <c r="E36" i="68" s="1"/>
  <c r="E37" i="68" s="1"/>
  <c r="E38" i="68" s="1"/>
  <c r="E39" i="68" s="1"/>
  <c r="E40" i="68" s="1"/>
  <c r="E34" i="68"/>
  <c r="E62" i="68" s="1"/>
  <c r="F33" i="68"/>
  <c r="F32" i="68"/>
  <c r="F31" i="68"/>
  <c r="F30" i="68"/>
  <c r="H29" i="68"/>
  <c r="H30" i="68" s="1"/>
  <c r="H31" i="68" s="1"/>
  <c r="H32" i="68" s="1"/>
  <c r="H33" i="68" s="1"/>
  <c r="G29" i="68"/>
  <c r="G30" i="68" s="1"/>
  <c r="G31" i="68" s="1"/>
  <c r="G32" i="68" s="1"/>
  <c r="G33" i="68" s="1"/>
  <c r="F29" i="68"/>
  <c r="F28" i="68"/>
  <c r="E28" i="68"/>
  <c r="E29" i="68" s="1"/>
  <c r="E30" i="68" s="1"/>
  <c r="E31" i="68" s="1"/>
  <c r="E32" i="68" s="1"/>
  <c r="E33" i="68" s="1"/>
  <c r="D28" i="68"/>
  <c r="D29" i="68" s="1"/>
  <c r="D30" i="68" s="1"/>
  <c r="D31" i="68" s="1"/>
  <c r="D32" i="68" s="1"/>
  <c r="D33" i="68" s="1"/>
  <c r="E27" i="68"/>
  <c r="E61" i="68" s="1"/>
  <c r="D27" i="68"/>
  <c r="D61" i="68" s="1"/>
  <c r="H21" i="68"/>
  <c r="H22" i="68" s="1"/>
  <c r="H23" i="68" s="1"/>
  <c r="H24" i="68" s="1"/>
  <c r="H25" i="68" s="1"/>
  <c r="H26" i="68" s="1"/>
  <c r="H19" i="68" s="1"/>
  <c r="G21" i="68"/>
  <c r="G22" i="68" s="1"/>
  <c r="G23" i="68" s="1"/>
  <c r="G24" i="68" s="1"/>
  <c r="G25" i="68" s="1"/>
  <c r="G26" i="68" s="1"/>
  <c r="G19" i="68" s="1"/>
  <c r="G60" i="68" s="1"/>
  <c r="E20" i="68"/>
  <c r="E21" i="68" s="1"/>
  <c r="E22" i="68" s="1"/>
  <c r="E23" i="68" s="1"/>
  <c r="E24" i="68" s="1"/>
  <c r="E25" i="68" s="1"/>
  <c r="E26" i="68" s="1"/>
  <c r="E19" i="68" s="1"/>
  <c r="E60" i="68" s="1"/>
  <c r="F18" i="68"/>
  <c r="F26" i="68" s="1"/>
  <c r="F17" i="68"/>
  <c r="F25" i="68" s="1"/>
  <c r="F16" i="68"/>
  <c r="F24" i="68" s="1"/>
  <c r="F15" i="68"/>
  <c r="F23" i="68" s="1"/>
  <c r="F14" i="68"/>
  <c r="F22" i="68" s="1"/>
  <c r="F13" i="68"/>
  <c r="F21" i="68" s="1"/>
  <c r="F12" i="68"/>
  <c r="F20" i="68" s="1"/>
  <c r="E12" i="68"/>
  <c r="E13" i="68" s="1"/>
  <c r="E14" i="68" s="1"/>
  <c r="E15" i="68" s="1"/>
  <c r="E16" i="68" s="1"/>
  <c r="E17" i="68" s="1"/>
  <c r="E18" i="68" s="1"/>
  <c r="E11" i="68" s="1"/>
  <c r="E59" i="68" s="1"/>
  <c r="F10" i="68"/>
  <c r="F9" i="68"/>
  <c r="F8" i="68"/>
  <c r="F7" i="68"/>
  <c r="H6" i="68"/>
  <c r="H7" i="68" s="1"/>
  <c r="H8" i="68" s="1"/>
  <c r="H9" i="68" s="1"/>
  <c r="H10" i="68" s="1"/>
  <c r="G6" i="68"/>
  <c r="G7" i="68" s="1"/>
  <c r="G8" i="68" s="1"/>
  <c r="G9" i="68" s="1"/>
  <c r="G10" i="68" s="1"/>
  <c r="F6" i="68"/>
  <c r="F5" i="68"/>
  <c r="E5" i="68"/>
  <c r="E6" i="68" s="1"/>
  <c r="E7" i="68" s="1"/>
  <c r="E8" i="68" s="1"/>
  <c r="E9" i="68" s="1"/>
  <c r="E10" i="68" s="1"/>
  <c r="E4" i="68" s="1"/>
  <c r="E58" i="68" s="1"/>
  <c r="D5" i="68"/>
  <c r="D6" i="68" s="1"/>
  <c r="D7" i="68" s="1"/>
  <c r="D8" i="68" s="1"/>
  <c r="D9" i="68" s="1"/>
  <c r="D10" i="68" s="1"/>
  <c r="F1547" i="67"/>
  <c r="F1548" i="67" s="1"/>
  <c r="G1546" i="67"/>
  <c r="G1562" i="67" s="1"/>
  <c r="G1545" i="67"/>
  <c r="G1561" i="67" s="1"/>
  <c r="G1544" i="67"/>
  <c r="G1560" i="67" s="1"/>
  <c r="G1543" i="67"/>
  <c r="G1559" i="67" s="1"/>
  <c r="G1542" i="67"/>
  <c r="G1558" i="67" s="1"/>
  <c r="G1541" i="67"/>
  <c r="G1557" i="67" s="1"/>
  <c r="G1540" i="67"/>
  <c r="G1556" i="67" s="1"/>
  <c r="G1539" i="67"/>
  <c r="G1555" i="67" s="1"/>
  <c r="G1538" i="67"/>
  <c r="G1554" i="67" s="1"/>
  <c r="G1537" i="67"/>
  <c r="G1553" i="67" s="1"/>
  <c r="G1536" i="67"/>
  <c r="G1552" i="67" s="1"/>
  <c r="G1535" i="67"/>
  <c r="G1551" i="67" s="1"/>
  <c r="G1534" i="67"/>
  <c r="G1550" i="67" s="1"/>
  <c r="G1533" i="67"/>
  <c r="G1549" i="67" s="1"/>
  <c r="G1532" i="67"/>
  <c r="G1548" i="67" s="1"/>
  <c r="G1531" i="67"/>
  <c r="G1547" i="67" s="1"/>
  <c r="F1531" i="67"/>
  <c r="E1531" i="67"/>
  <c r="E1532" i="67" s="1"/>
  <c r="E1533" i="67" s="1"/>
  <c r="E1534" i="67" s="1"/>
  <c r="E1535" i="67" s="1"/>
  <c r="E1536" i="67" s="1"/>
  <c r="E1537" i="67" s="1"/>
  <c r="E1538" i="67" s="1"/>
  <c r="E1539" i="67" s="1"/>
  <c r="E1540" i="67" s="1"/>
  <c r="E1541" i="67" s="1"/>
  <c r="E1542" i="67" s="1"/>
  <c r="E1543" i="67" s="1"/>
  <c r="E1544" i="67" s="1"/>
  <c r="E1545" i="67" s="1"/>
  <c r="E1546" i="67" s="1"/>
  <c r="E1547" i="67" s="1"/>
  <c r="E1548" i="67" s="1"/>
  <c r="E1549" i="67" s="1"/>
  <c r="E1550" i="67" s="1"/>
  <c r="E1551" i="67" s="1"/>
  <c r="E1552" i="67" s="1"/>
  <c r="E1553" i="67" s="1"/>
  <c r="E1554" i="67" s="1"/>
  <c r="E1555" i="67" s="1"/>
  <c r="E1556" i="67" s="1"/>
  <c r="E1557" i="67" s="1"/>
  <c r="E1558" i="67" s="1"/>
  <c r="E1559" i="67" s="1"/>
  <c r="E1560" i="67" s="1"/>
  <c r="E1561" i="67" s="1"/>
  <c r="E1562" i="67" s="1"/>
  <c r="G1530" i="67"/>
  <c r="G1529" i="67"/>
  <c r="G1528" i="67"/>
  <c r="G1527" i="67"/>
  <c r="G1526" i="67"/>
  <c r="G1525" i="67"/>
  <c r="G1524" i="67"/>
  <c r="G1523" i="67"/>
  <c r="G1522" i="67"/>
  <c r="G1521" i="67"/>
  <c r="G1520" i="67"/>
  <c r="G1519" i="67"/>
  <c r="E1519" i="67"/>
  <c r="E1520" i="67" s="1"/>
  <c r="E1521" i="67" s="1"/>
  <c r="E1522" i="67" s="1"/>
  <c r="E1523" i="67" s="1"/>
  <c r="E1524" i="67" s="1"/>
  <c r="E1525" i="67" s="1"/>
  <c r="E1526" i="67" s="1"/>
  <c r="E1527" i="67" s="1"/>
  <c r="E1528" i="67" s="1"/>
  <c r="E1529" i="67" s="1"/>
  <c r="E1530" i="67" s="1"/>
  <c r="G1517" i="67"/>
  <c r="G1516" i="67"/>
  <c r="G1515" i="67"/>
  <c r="G1514" i="67"/>
  <c r="F1514" i="67"/>
  <c r="F1515" i="67" s="1"/>
  <c r="F1510" i="67"/>
  <c r="F1511" i="67" s="1"/>
  <c r="E1510" i="67"/>
  <c r="E1511" i="67" s="1"/>
  <c r="E1512" i="67" s="1"/>
  <c r="E1513" i="67" s="1"/>
  <c r="E1514" i="67" s="1"/>
  <c r="E1515" i="67" s="1"/>
  <c r="E1516" i="67" s="1"/>
  <c r="E1517" i="67" s="1"/>
  <c r="E1518" i="67" s="1"/>
  <c r="G1509" i="67"/>
  <c r="H1509" i="67" s="1"/>
  <c r="G1508" i="67"/>
  <c r="H1508" i="67" s="1"/>
  <c r="G1507" i="67"/>
  <c r="H1507" i="67" s="1"/>
  <c r="G1506" i="67"/>
  <c r="H1506" i="67" s="1"/>
  <c r="G1505" i="67"/>
  <c r="H1505" i="67" s="1"/>
  <c r="G1504" i="67"/>
  <c r="H1504" i="67" s="1"/>
  <c r="G1503" i="67"/>
  <c r="H1503" i="67" s="1"/>
  <c r="G1502" i="67"/>
  <c r="H1502" i="67" s="1"/>
  <c r="G1501" i="67"/>
  <c r="H1501" i="67" s="1"/>
  <c r="G1500" i="67"/>
  <c r="H1500" i="67" s="1"/>
  <c r="G1499" i="67"/>
  <c r="H1499" i="67" s="1"/>
  <c r="G1498" i="67"/>
  <c r="H1498" i="67" s="1"/>
  <c r="G1481" i="67"/>
  <c r="G1497" i="67" s="1"/>
  <c r="H1497" i="67" s="1"/>
  <c r="G1480" i="67"/>
  <c r="G1496" i="67" s="1"/>
  <c r="H1496" i="67" s="1"/>
  <c r="G1479" i="67"/>
  <c r="G1495" i="67" s="1"/>
  <c r="H1495" i="67" s="1"/>
  <c r="G1478" i="67"/>
  <c r="G1494" i="67" s="1"/>
  <c r="H1494" i="67" s="1"/>
  <c r="AW678" i="67"/>
  <c r="AW1284" i="67" s="1"/>
  <c r="AV678" i="67"/>
  <c r="AV1284" i="67" s="1"/>
  <c r="AU678" i="67"/>
  <c r="AU1284" i="67" s="1"/>
  <c r="AT678" i="67"/>
  <c r="AT1284" i="67" s="1"/>
  <c r="AS678" i="67"/>
  <c r="AS1284" i="67" s="1"/>
  <c r="AR678" i="67"/>
  <c r="AR1284" i="67" s="1"/>
  <c r="AQ678" i="67"/>
  <c r="AQ1284" i="67" s="1"/>
  <c r="AP678" i="67"/>
  <c r="AP1284" i="67" s="1"/>
  <c r="AO678" i="67"/>
  <c r="AO1284" i="67" s="1"/>
  <c r="AN678" i="67"/>
  <c r="AN1284" i="67" s="1"/>
  <c r="AM678" i="67"/>
  <c r="AM1284" i="67" s="1"/>
  <c r="AL678" i="67"/>
  <c r="AL1284" i="67" s="1"/>
  <c r="AK678" i="67"/>
  <c r="AK1284" i="67" s="1"/>
  <c r="AJ678" i="67"/>
  <c r="AJ1284" i="67" s="1"/>
  <c r="AI678" i="67"/>
  <c r="AI1284" i="67" s="1"/>
  <c r="AH678" i="67"/>
  <c r="AH1284" i="67" s="1"/>
  <c r="AG678" i="67"/>
  <c r="AG1284" i="67" s="1"/>
  <c r="AF678" i="67"/>
  <c r="AF1284" i="67" s="1"/>
  <c r="AE678" i="67"/>
  <c r="AE1284" i="67" s="1"/>
  <c r="AD678" i="67"/>
  <c r="AD1284" i="67" s="1"/>
  <c r="AC678" i="67"/>
  <c r="AC1284" i="67" s="1"/>
  <c r="AB678" i="67"/>
  <c r="AB1284" i="67" s="1"/>
  <c r="AA678" i="67"/>
  <c r="AA1284" i="67" s="1"/>
  <c r="Z678" i="67"/>
  <c r="Z1284" i="67" s="1"/>
  <c r="Y678" i="67"/>
  <c r="Y1284" i="67" s="1"/>
  <c r="X678" i="67"/>
  <c r="X1284" i="67" s="1"/>
  <c r="W678" i="67"/>
  <c r="W1284" i="67" s="1"/>
  <c r="V678" i="67"/>
  <c r="V1284" i="67" s="1"/>
  <c r="U678" i="67"/>
  <c r="U1284" i="67" s="1"/>
  <c r="T678" i="67"/>
  <c r="T1284" i="67" s="1"/>
  <c r="S678" i="67"/>
  <c r="S1284" i="67" s="1"/>
  <c r="R678" i="67"/>
  <c r="R1284" i="67" s="1"/>
  <c r="Q678" i="67"/>
  <c r="Q1284" i="67" s="1"/>
  <c r="P678" i="67"/>
  <c r="P1284" i="67" s="1"/>
  <c r="O678" i="67"/>
  <c r="O1284" i="67" s="1"/>
  <c r="N678" i="67"/>
  <c r="N1284" i="67" s="1"/>
  <c r="M678" i="67"/>
  <c r="M1284" i="67" s="1"/>
  <c r="L678" i="67"/>
  <c r="L1284" i="67" s="1"/>
  <c r="K678" i="67"/>
  <c r="K1284" i="67" s="1"/>
  <c r="G1477" i="67"/>
  <c r="G1493" i="67" s="1"/>
  <c r="H1493" i="67" s="1"/>
  <c r="G1476" i="67"/>
  <c r="G1492" i="67" s="1"/>
  <c r="H1492" i="67" s="1"/>
  <c r="G1475" i="67"/>
  <c r="G1491" i="67" s="1"/>
  <c r="H1491" i="67" s="1"/>
  <c r="G1474" i="67"/>
  <c r="G1490" i="67" s="1"/>
  <c r="H1490" i="67" s="1"/>
  <c r="G1473" i="67"/>
  <c r="G1489" i="67" s="1"/>
  <c r="H1489" i="67" s="1"/>
  <c r="G1472" i="67"/>
  <c r="G1488" i="67" s="1"/>
  <c r="H1488" i="67" s="1"/>
  <c r="G1471" i="67"/>
  <c r="G1487" i="67" s="1"/>
  <c r="H1487" i="67" s="1"/>
  <c r="G1470" i="67"/>
  <c r="G1486" i="67" s="1"/>
  <c r="H1486" i="67" s="1"/>
  <c r="G1469" i="67"/>
  <c r="G1485" i="67" s="1"/>
  <c r="H1485" i="67" s="1"/>
  <c r="G1468" i="67"/>
  <c r="G1484" i="67" s="1"/>
  <c r="H1484" i="67" s="1"/>
  <c r="G1467" i="67"/>
  <c r="G1483" i="67" s="1"/>
  <c r="H1483" i="67" s="1"/>
  <c r="F1467" i="67"/>
  <c r="G1466" i="67"/>
  <c r="H1466" i="67" s="1"/>
  <c r="J1464" i="67"/>
  <c r="J1465" i="67" s="1"/>
  <c r="I1464" i="67"/>
  <c r="I1465" i="67" s="1"/>
  <c r="E1463" i="67"/>
  <c r="E1464" i="67" s="1"/>
  <c r="E1462" i="67"/>
  <c r="E1461" i="67"/>
  <c r="G1460" i="67"/>
  <c r="G1459" i="67"/>
  <c r="G1458" i="67"/>
  <c r="G1457" i="67"/>
  <c r="G1456" i="67"/>
  <c r="G1455" i="67"/>
  <c r="G1454" i="67"/>
  <c r="G1453" i="67"/>
  <c r="G1452" i="67"/>
  <c r="G1451" i="67"/>
  <c r="J1451" i="67"/>
  <c r="J1452" i="67" s="1"/>
  <c r="J1453" i="67" s="1"/>
  <c r="J1454" i="67" s="1"/>
  <c r="J1455" i="67" s="1"/>
  <c r="J1456" i="67" s="1"/>
  <c r="J1457" i="67" s="1"/>
  <c r="J1458" i="67" s="1"/>
  <c r="J1459" i="67" s="1"/>
  <c r="J1460" i="67" s="1"/>
  <c r="I1451" i="67"/>
  <c r="I1452" i="67" s="1"/>
  <c r="I1453" i="67" s="1"/>
  <c r="I1454" i="67" s="1"/>
  <c r="I1455" i="67" s="1"/>
  <c r="I1456" i="67" s="1"/>
  <c r="I1457" i="67" s="1"/>
  <c r="I1458" i="67" s="1"/>
  <c r="I1459" i="67" s="1"/>
  <c r="I1460" i="67" s="1"/>
  <c r="E1451" i="67"/>
  <c r="E1452" i="67" s="1"/>
  <c r="E1453" i="67" s="1"/>
  <c r="E1454" i="67" s="1"/>
  <c r="E1455" i="67" s="1"/>
  <c r="E1456" i="67" s="1"/>
  <c r="E1457" i="67" s="1"/>
  <c r="E1458" i="67" s="1"/>
  <c r="E1459" i="67" s="1"/>
  <c r="E1460" i="67" s="1"/>
  <c r="F1460" i="67"/>
  <c r="F1458" i="67"/>
  <c r="F1457" i="67"/>
  <c r="D1451" i="67"/>
  <c r="D1452" i="67" s="1"/>
  <c r="D1453" i="67" s="1"/>
  <c r="D1454" i="67" s="1"/>
  <c r="D1455" i="67" s="1"/>
  <c r="D1456" i="67" s="1"/>
  <c r="D1457" i="67" s="1"/>
  <c r="D1458" i="67" s="1"/>
  <c r="D1459" i="67" s="1"/>
  <c r="D1460" i="67" s="1"/>
  <c r="D1461" i="67" s="1"/>
  <c r="D1462" i="67" s="1"/>
  <c r="D1463" i="67" s="1"/>
  <c r="D1464" i="67" s="1"/>
  <c r="B29" i="65"/>
  <c r="B26" i="65"/>
  <c r="B27" i="65"/>
  <c r="B28" i="65"/>
  <c r="AN8" i="65"/>
  <c r="AN7" i="65"/>
  <c r="AN6" i="65"/>
  <c r="AD8" i="65"/>
  <c r="AD7" i="65"/>
  <c r="AD6" i="65"/>
  <c r="T8" i="65"/>
  <c r="T7" i="65"/>
  <c r="T6" i="65"/>
  <c r="C7" i="65"/>
  <c r="D7" i="65"/>
  <c r="E7" i="65"/>
  <c r="F7" i="65"/>
  <c r="G7" i="65"/>
  <c r="H7" i="65"/>
  <c r="I7" i="65"/>
  <c r="J7" i="65"/>
  <c r="B7" i="65"/>
  <c r="C8" i="65"/>
  <c r="D8" i="65"/>
  <c r="E8" i="65"/>
  <c r="F8" i="65"/>
  <c r="G8" i="65"/>
  <c r="H8" i="65"/>
  <c r="I8" i="65"/>
  <c r="J8" i="65"/>
  <c r="B8" i="65"/>
  <c r="C6" i="65"/>
  <c r="D6" i="65"/>
  <c r="E6" i="65"/>
  <c r="F6" i="65"/>
  <c r="G6" i="65"/>
  <c r="H6" i="65"/>
  <c r="I6" i="65"/>
  <c r="J6" i="65"/>
  <c r="B6" i="65"/>
  <c r="AE24" i="36"/>
  <c r="L1429" i="67" s="1"/>
  <c r="AF24" i="36"/>
  <c r="M1429" i="67" s="1"/>
  <c r="AG24" i="36"/>
  <c r="N1429" i="67" s="1"/>
  <c r="AH24" i="36"/>
  <c r="O1429" i="67" s="1"/>
  <c r="AI24" i="36"/>
  <c r="P1429" i="67" s="1"/>
  <c r="AJ24" i="36"/>
  <c r="Q1429" i="67" s="1"/>
  <c r="AK24" i="36"/>
  <c r="R1429" i="67" s="1"/>
  <c r="AL24" i="36"/>
  <c r="S1429" i="67" s="1"/>
  <c r="AM24" i="36"/>
  <c r="T1429" i="67" s="1"/>
  <c r="AN24" i="36"/>
  <c r="U1429" i="67" s="1"/>
  <c r="AO24" i="36"/>
  <c r="V1429" i="67" s="1"/>
  <c r="AP24" i="36"/>
  <c r="W1429" i="67" s="1"/>
  <c r="AQ24" i="36"/>
  <c r="X1429" i="67" s="1"/>
  <c r="AR24" i="36"/>
  <c r="Y1429" i="67" s="1"/>
  <c r="AS24" i="36"/>
  <c r="Z1429" i="67" s="1"/>
  <c r="AT24" i="36"/>
  <c r="AA1429" i="67" s="1"/>
  <c r="AU24" i="36"/>
  <c r="AB1429" i="67" s="1"/>
  <c r="AV24" i="36"/>
  <c r="AC1429" i="67" s="1"/>
  <c r="AW24" i="36"/>
  <c r="AD1429" i="67" s="1"/>
  <c r="AX24" i="36"/>
  <c r="AE1429" i="67" s="1"/>
  <c r="AY24" i="36"/>
  <c r="AF1429" i="67" s="1"/>
  <c r="AZ24" i="36"/>
  <c r="AG1429" i="67" s="1"/>
  <c r="BA24" i="36"/>
  <c r="AH1429" i="67" s="1"/>
  <c r="BB24" i="36"/>
  <c r="AI1429" i="67" s="1"/>
  <c r="BC24" i="36"/>
  <c r="AJ1429" i="67" s="1"/>
  <c r="BD24" i="36"/>
  <c r="AK1429" i="67" s="1"/>
  <c r="BE24" i="36"/>
  <c r="AL1429" i="67" s="1"/>
  <c r="BF24" i="36"/>
  <c r="AM1429" i="67" s="1"/>
  <c r="BG24" i="36"/>
  <c r="AN1429" i="67" s="1"/>
  <c r="BH24" i="36"/>
  <c r="AO1429" i="67" s="1"/>
  <c r="BI24" i="36"/>
  <c r="AP1429" i="67" s="1"/>
  <c r="BJ24" i="36"/>
  <c r="AQ1429" i="67" s="1"/>
  <c r="BK24" i="36"/>
  <c r="AR1429" i="67" s="1"/>
  <c r="BL24" i="36"/>
  <c r="AS1429" i="67" s="1"/>
  <c r="BM24" i="36"/>
  <c r="AT1429" i="67" s="1"/>
  <c r="BN24" i="36"/>
  <c r="AU1429" i="67" s="1"/>
  <c r="BO24" i="36"/>
  <c r="AV1429" i="67" s="1"/>
  <c r="BP24" i="36"/>
  <c r="AW1429" i="67" s="1"/>
  <c r="AE25" i="36"/>
  <c r="L1430" i="67" s="1"/>
  <c r="AF25" i="36"/>
  <c r="M1430" i="67" s="1"/>
  <c r="AG25" i="36"/>
  <c r="N1430" i="67" s="1"/>
  <c r="AH25" i="36"/>
  <c r="O1430" i="67" s="1"/>
  <c r="AI25" i="36"/>
  <c r="P1430" i="67" s="1"/>
  <c r="AJ25" i="36"/>
  <c r="Q1430" i="67" s="1"/>
  <c r="AK25" i="36"/>
  <c r="R1430" i="67" s="1"/>
  <c r="AL25" i="36"/>
  <c r="S1430" i="67" s="1"/>
  <c r="AM25" i="36"/>
  <c r="T1430" i="67" s="1"/>
  <c r="AN25" i="36"/>
  <c r="U1430" i="67" s="1"/>
  <c r="AO25" i="36"/>
  <c r="V1430" i="67" s="1"/>
  <c r="AP25" i="36"/>
  <c r="W1430" i="67" s="1"/>
  <c r="AQ25" i="36"/>
  <c r="X1430" i="67" s="1"/>
  <c r="AR25" i="36"/>
  <c r="Y1430" i="67" s="1"/>
  <c r="AS25" i="36"/>
  <c r="Z1430" i="67" s="1"/>
  <c r="AT25" i="36"/>
  <c r="AA1430" i="67" s="1"/>
  <c r="AU25" i="36"/>
  <c r="AB1430" i="67" s="1"/>
  <c r="AV25" i="36"/>
  <c r="AC1430" i="67" s="1"/>
  <c r="AW25" i="36"/>
  <c r="AD1430" i="67" s="1"/>
  <c r="AX25" i="36"/>
  <c r="AE1430" i="67" s="1"/>
  <c r="AY25" i="36"/>
  <c r="AF1430" i="67" s="1"/>
  <c r="AZ25" i="36"/>
  <c r="AG1430" i="67" s="1"/>
  <c r="BA25" i="36"/>
  <c r="AH1430" i="67" s="1"/>
  <c r="BB25" i="36"/>
  <c r="AI1430" i="67" s="1"/>
  <c r="BC25" i="36"/>
  <c r="AJ1430" i="67" s="1"/>
  <c r="BD25" i="36"/>
  <c r="AK1430" i="67" s="1"/>
  <c r="BE25" i="36"/>
  <c r="AL1430" i="67" s="1"/>
  <c r="BF25" i="36"/>
  <c r="AM1430" i="67" s="1"/>
  <c r="BG25" i="36"/>
  <c r="AN1430" i="67" s="1"/>
  <c r="BH25" i="36"/>
  <c r="AO1430" i="67" s="1"/>
  <c r="BI25" i="36"/>
  <c r="AP1430" i="67" s="1"/>
  <c r="BJ25" i="36"/>
  <c r="AQ1430" i="67" s="1"/>
  <c r="BK25" i="36"/>
  <c r="AR1430" i="67" s="1"/>
  <c r="BL25" i="36"/>
  <c r="AS1430" i="67" s="1"/>
  <c r="BM25" i="36"/>
  <c r="AT1430" i="67" s="1"/>
  <c r="BN25" i="36"/>
  <c r="AU1430" i="67" s="1"/>
  <c r="BO25" i="36"/>
  <c r="AV1430" i="67" s="1"/>
  <c r="BP25" i="36"/>
  <c r="AW1430" i="67" s="1"/>
  <c r="AE26" i="36"/>
  <c r="AF26" i="36"/>
  <c r="AG26" i="36"/>
  <c r="AH26" i="36"/>
  <c r="AI26" i="36"/>
  <c r="AJ26" i="36"/>
  <c r="AK26" i="36"/>
  <c r="AL26" i="36"/>
  <c r="AM26" i="36"/>
  <c r="AN26" i="36"/>
  <c r="AO26" i="36"/>
  <c r="AP26" i="36"/>
  <c r="AQ26" i="36"/>
  <c r="AR26" i="36"/>
  <c r="AS26" i="36"/>
  <c r="AT26" i="36"/>
  <c r="AU26" i="36"/>
  <c r="AV26" i="36"/>
  <c r="AW26" i="36"/>
  <c r="AX26" i="36"/>
  <c r="AY26" i="36"/>
  <c r="AZ26" i="36"/>
  <c r="BA26" i="36"/>
  <c r="BB26" i="36"/>
  <c r="BC26" i="36"/>
  <c r="BD26" i="36"/>
  <c r="BE26" i="36"/>
  <c r="BF26" i="36"/>
  <c r="BG26" i="36"/>
  <c r="BH26" i="36"/>
  <c r="BI26" i="36"/>
  <c r="BJ26" i="36"/>
  <c r="BK26" i="36"/>
  <c r="BL26" i="36"/>
  <c r="BM26" i="36"/>
  <c r="BN26" i="36"/>
  <c r="BO26" i="36"/>
  <c r="BP26" i="36"/>
  <c r="AE27" i="36"/>
  <c r="AF27" i="36"/>
  <c r="AG27" i="36"/>
  <c r="AH27" i="36"/>
  <c r="AI27" i="36"/>
  <c r="AJ27" i="36"/>
  <c r="AK27" i="36"/>
  <c r="AL27" i="36"/>
  <c r="AM27" i="36"/>
  <c r="AN27" i="36"/>
  <c r="AO27" i="36"/>
  <c r="AP27" i="36"/>
  <c r="AQ27" i="36"/>
  <c r="AR27" i="36"/>
  <c r="AS27" i="36"/>
  <c r="AT27" i="36"/>
  <c r="AU27" i="36"/>
  <c r="AV27" i="36"/>
  <c r="AW27" i="36"/>
  <c r="AX27" i="36"/>
  <c r="AY27" i="36"/>
  <c r="AZ27" i="36"/>
  <c r="BA27" i="36"/>
  <c r="BB27" i="36"/>
  <c r="BC27" i="36"/>
  <c r="BD27" i="36"/>
  <c r="BE27" i="36"/>
  <c r="BF27" i="36"/>
  <c r="BG27" i="36"/>
  <c r="BH27" i="36"/>
  <c r="BI27" i="36"/>
  <c r="BJ27" i="36"/>
  <c r="BK27" i="36"/>
  <c r="BL27" i="36"/>
  <c r="BM27" i="36"/>
  <c r="BN27" i="36"/>
  <c r="BO27" i="36"/>
  <c r="BP27" i="36"/>
  <c r="AE28" i="36"/>
  <c r="AF28" i="36"/>
  <c r="AG28" i="36"/>
  <c r="AH28" i="36"/>
  <c r="AI28" i="36"/>
  <c r="AJ28" i="36"/>
  <c r="AK28" i="36"/>
  <c r="AL28" i="36"/>
  <c r="AM28" i="36"/>
  <c r="AN28" i="36"/>
  <c r="AO28" i="36"/>
  <c r="AP28" i="36"/>
  <c r="AQ28" i="36"/>
  <c r="AR28" i="36"/>
  <c r="AS28" i="36"/>
  <c r="AT28" i="36"/>
  <c r="AU28" i="36"/>
  <c r="AV28" i="36"/>
  <c r="AW28" i="36"/>
  <c r="AX28" i="36"/>
  <c r="AY28" i="36"/>
  <c r="AZ28" i="36"/>
  <c r="BA28" i="36"/>
  <c r="BB28" i="36"/>
  <c r="BC28" i="36"/>
  <c r="BD28" i="36"/>
  <c r="BE28" i="36"/>
  <c r="BF28" i="36"/>
  <c r="BG28" i="36"/>
  <c r="BH28" i="36"/>
  <c r="BI28" i="36"/>
  <c r="BJ28" i="36"/>
  <c r="BK28" i="36"/>
  <c r="BL28" i="36"/>
  <c r="BM28" i="36"/>
  <c r="BN28" i="36"/>
  <c r="BO28" i="36"/>
  <c r="BP28" i="36"/>
  <c r="AE29" i="36"/>
  <c r="AF29" i="36"/>
  <c r="AG29" i="36"/>
  <c r="AH29" i="36"/>
  <c r="AI29" i="36"/>
  <c r="AJ29" i="36"/>
  <c r="AK29" i="36"/>
  <c r="AL29" i="36"/>
  <c r="AM29" i="36"/>
  <c r="AN29" i="36"/>
  <c r="AO29" i="36"/>
  <c r="AP29" i="36"/>
  <c r="AQ29" i="36"/>
  <c r="AR29" i="36"/>
  <c r="AS29" i="36"/>
  <c r="AT29" i="36"/>
  <c r="AU29" i="36"/>
  <c r="AV29" i="36"/>
  <c r="AW29" i="36"/>
  <c r="AX29" i="36"/>
  <c r="AY29" i="36"/>
  <c r="AZ29" i="36"/>
  <c r="BA29" i="36"/>
  <c r="BB29" i="36"/>
  <c r="BC29" i="36"/>
  <c r="BD29" i="36"/>
  <c r="BE29" i="36"/>
  <c r="BF29" i="36"/>
  <c r="BG29" i="36"/>
  <c r="BH29" i="36"/>
  <c r="BI29" i="36"/>
  <c r="BJ29" i="36"/>
  <c r="BK29" i="36"/>
  <c r="BL29" i="36"/>
  <c r="BM29" i="36"/>
  <c r="BN29" i="36"/>
  <c r="BO29" i="36"/>
  <c r="BP29" i="36"/>
  <c r="AE30" i="36"/>
  <c r="AF30" i="36"/>
  <c r="AG30" i="36"/>
  <c r="AH30" i="36"/>
  <c r="AI30" i="36"/>
  <c r="AJ30" i="36"/>
  <c r="AK30" i="36"/>
  <c r="AL30" i="36"/>
  <c r="AM30" i="36"/>
  <c r="AN30" i="36"/>
  <c r="AO30" i="36"/>
  <c r="AP30" i="36"/>
  <c r="AQ30" i="36"/>
  <c r="AR30" i="36"/>
  <c r="AS30" i="36"/>
  <c r="AT30" i="36"/>
  <c r="AU30" i="36"/>
  <c r="AV30" i="36"/>
  <c r="AW30" i="36"/>
  <c r="AX30" i="36"/>
  <c r="AY30" i="36"/>
  <c r="AZ30" i="36"/>
  <c r="BA30" i="36"/>
  <c r="BB30" i="36"/>
  <c r="BC30" i="36"/>
  <c r="BD30" i="36"/>
  <c r="BE30" i="36"/>
  <c r="BF30" i="36"/>
  <c r="BG30" i="36"/>
  <c r="BH30" i="36"/>
  <c r="BI30" i="36"/>
  <c r="BJ30" i="36"/>
  <c r="BK30" i="36"/>
  <c r="BL30" i="36"/>
  <c r="BM30" i="36"/>
  <c r="BN30" i="36"/>
  <c r="BO30" i="36"/>
  <c r="BP30" i="36"/>
  <c r="AE31" i="36"/>
  <c r="AF31" i="36"/>
  <c r="AG31" i="36"/>
  <c r="AH31" i="36"/>
  <c r="AI31" i="36"/>
  <c r="AJ31" i="36"/>
  <c r="AK31" i="36"/>
  <c r="AL31" i="36"/>
  <c r="AM31" i="36"/>
  <c r="AN31" i="36"/>
  <c r="AO31" i="36"/>
  <c r="AP31" i="36"/>
  <c r="AQ31" i="36"/>
  <c r="AR31" i="36"/>
  <c r="AS31" i="36"/>
  <c r="AT31" i="36"/>
  <c r="AU31" i="36"/>
  <c r="AV31" i="36"/>
  <c r="AW31" i="36"/>
  <c r="AX31" i="36"/>
  <c r="AY31" i="36"/>
  <c r="AZ31" i="36"/>
  <c r="BA31" i="36"/>
  <c r="BB31" i="36"/>
  <c r="BC31" i="36"/>
  <c r="BD31" i="36"/>
  <c r="BE31" i="36"/>
  <c r="BF31" i="36"/>
  <c r="BG31" i="36"/>
  <c r="BH31" i="36"/>
  <c r="BI31" i="36"/>
  <c r="BJ31" i="36"/>
  <c r="BK31" i="36"/>
  <c r="BL31" i="36"/>
  <c r="BM31" i="36"/>
  <c r="BN31" i="36"/>
  <c r="BO31" i="36"/>
  <c r="BP31" i="36"/>
  <c r="AE32" i="36"/>
  <c r="AF32" i="36"/>
  <c r="AG32" i="36"/>
  <c r="AH32" i="36"/>
  <c r="AI32" i="36"/>
  <c r="AJ32" i="36"/>
  <c r="AK32" i="36"/>
  <c r="AL32" i="36"/>
  <c r="AM32" i="36"/>
  <c r="AN32" i="36"/>
  <c r="AO32" i="36"/>
  <c r="AP32" i="36"/>
  <c r="AQ32" i="36"/>
  <c r="AR32" i="36"/>
  <c r="AS32" i="36"/>
  <c r="AT32" i="36"/>
  <c r="AU32" i="36"/>
  <c r="AV32" i="36"/>
  <c r="AW32" i="36"/>
  <c r="AX32" i="36"/>
  <c r="AY32" i="36"/>
  <c r="AZ32" i="36"/>
  <c r="BA32" i="36"/>
  <c r="BB32" i="36"/>
  <c r="BC32" i="36"/>
  <c r="BD32" i="36"/>
  <c r="BE32" i="36"/>
  <c r="BF32" i="36"/>
  <c r="BG32" i="36"/>
  <c r="BH32" i="36"/>
  <c r="BI32" i="36"/>
  <c r="BJ32" i="36"/>
  <c r="BK32" i="36"/>
  <c r="BL32" i="36"/>
  <c r="BM32" i="36"/>
  <c r="BN32" i="36"/>
  <c r="BO32" i="36"/>
  <c r="BP32" i="36"/>
  <c r="AE33" i="36"/>
  <c r="AF33" i="36"/>
  <c r="AG33" i="36"/>
  <c r="AH33" i="36"/>
  <c r="AI33" i="36"/>
  <c r="AJ33" i="36"/>
  <c r="AK33" i="36"/>
  <c r="AL33" i="36"/>
  <c r="AM33" i="36"/>
  <c r="AN33" i="36"/>
  <c r="AO33" i="36"/>
  <c r="AP33" i="36"/>
  <c r="AQ33" i="36"/>
  <c r="AR33" i="36"/>
  <c r="AS33" i="36"/>
  <c r="AT33" i="36"/>
  <c r="AU33" i="36"/>
  <c r="AV33" i="36"/>
  <c r="AW33" i="36"/>
  <c r="AX33" i="36"/>
  <c r="AY33" i="36"/>
  <c r="AZ33" i="36"/>
  <c r="BA33" i="36"/>
  <c r="BB33" i="36"/>
  <c r="BC33" i="36"/>
  <c r="BD33" i="36"/>
  <c r="BE33" i="36"/>
  <c r="BF33" i="36"/>
  <c r="BG33" i="36"/>
  <c r="BH33" i="36"/>
  <c r="BI33" i="36"/>
  <c r="BJ33" i="36"/>
  <c r="BK33" i="36"/>
  <c r="BL33" i="36"/>
  <c r="BM33" i="36"/>
  <c r="BN33" i="36"/>
  <c r="BO33" i="36"/>
  <c r="BP33" i="36"/>
  <c r="AE34" i="36"/>
  <c r="AF34" i="36"/>
  <c r="AG34" i="36"/>
  <c r="AH34" i="36"/>
  <c r="AI34" i="36"/>
  <c r="AJ34" i="36"/>
  <c r="AK34" i="36"/>
  <c r="AL34" i="36"/>
  <c r="AM34" i="36"/>
  <c r="AN34" i="36"/>
  <c r="AO34" i="36"/>
  <c r="AP34" i="36"/>
  <c r="AQ34" i="36"/>
  <c r="AR34" i="36"/>
  <c r="AS34" i="36"/>
  <c r="AT34" i="36"/>
  <c r="AU34" i="36"/>
  <c r="AV34" i="36"/>
  <c r="AW34" i="36"/>
  <c r="AX34" i="36"/>
  <c r="AY34" i="36"/>
  <c r="AZ34" i="36"/>
  <c r="BA34" i="36"/>
  <c r="BB34" i="36"/>
  <c r="BC34" i="36"/>
  <c r="BD34" i="36"/>
  <c r="BE34" i="36"/>
  <c r="BF34" i="36"/>
  <c r="BG34" i="36"/>
  <c r="BH34" i="36"/>
  <c r="BI34" i="36"/>
  <c r="BJ34" i="36"/>
  <c r="BK34" i="36"/>
  <c r="BL34" i="36"/>
  <c r="BM34" i="36"/>
  <c r="BN34" i="36"/>
  <c r="BO34" i="36"/>
  <c r="BP34" i="36"/>
  <c r="AE35" i="36"/>
  <c r="AF35" i="36"/>
  <c r="AG35" i="36"/>
  <c r="AH35" i="36"/>
  <c r="AI35" i="36"/>
  <c r="AJ35" i="36"/>
  <c r="AK35" i="36"/>
  <c r="AL35" i="36"/>
  <c r="AM35" i="36"/>
  <c r="AN35" i="36"/>
  <c r="AO35" i="36"/>
  <c r="AP35" i="36"/>
  <c r="AQ35" i="36"/>
  <c r="AR35" i="36"/>
  <c r="AS35" i="36"/>
  <c r="AT35" i="36"/>
  <c r="AU35" i="36"/>
  <c r="AV35" i="36"/>
  <c r="AW35" i="36"/>
  <c r="AX35" i="36"/>
  <c r="AY35" i="36"/>
  <c r="AZ35" i="36"/>
  <c r="BA35" i="36"/>
  <c r="BB35" i="36"/>
  <c r="BC35" i="36"/>
  <c r="BD35" i="36"/>
  <c r="BE35" i="36"/>
  <c r="BF35" i="36"/>
  <c r="BG35" i="36"/>
  <c r="BH35" i="36"/>
  <c r="BI35" i="36"/>
  <c r="BJ35" i="36"/>
  <c r="BK35" i="36"/>
  <c r="BL35" i="36"/>
  <c r="BM35" i="36"/>
  <c r="BN35" i="36"/>
  <c r="BO35" i="36"/>
  <c r="BP35" i="36"/>
  <c r="AE36" i="36"/>
  <c r="AF36" i="36"/>
  <c r="AG36" i="36"/>
  <c r="AH36" i="36"/>
  <c r="AI36" i="36"/>
  <c r="AJ36" i="36"/>
  <c r="AK36" i="36"/>
  <c r="AL36" i="36"/>
  <c r="AM36" i="36"/>
  <c r="AN36" i="36"/>
  <c r="AO36" i="36"/>
  <c r="AP36" i="36"/>
  <c r="AQ36" i="36"/>
  <c r="AR36" i="36"/>
  <c r="AS36" i="36"/>
  <c r="AT36" i="36"/>
  <c r="AU36" i="36"/>
  <c r="AV36" i="36"/>
  <c r="AW36" i="36"/>
  <c r="AX36" i="36"/>
  <c r="AY36" i="36"/>
  <c r="AZ36" i="36"/>
  <c r="BA36" i="36"/>
  <c r="BB36" i="36"/>
  <c r="BC36" i="36"/>
  <c r="BD36" i="36"/>
  <c r="BE36" i="36"/>
  <c r="BF36" i="36"/>
  <c r="BG36" i="36"/>
  <c r="BH36" i="36"/>
  <c r="BI36" i="36"/>
  <c r="BJ36" i="36"/>
  <c r="BK36" i="36"/>
  <c r="BL36" i="36"/>
  <c r="BM36" i="36"/>
  <c r="BN36" i="36"/>
  <c r="BO36" i="36"/>
  <c r="BP36" i="36"/>
  <c r="AE37" i="36"/>
  <c r="AF37" i="36"/>
  <c r="AG37" i="36"/>
  <c r="AH37" i="36"/>
  <c r="AI37" i="36"/>
  <c r="AJ37" i="36"/>
  <c r="AK37" i="36"/>
  <c r="AL37" i="36"/>
  <c r="AM37" i="36"/>
  <c r="AN37" i="36"/>
  <c r="AO37" i="36"/>
  <c r="AP37" i="36"/>
  <c r="AQ37" i="36"/>
  <c r="AR37" i="36"/>
  <c r="AS37" i="36"/>
  <c r="AT37" i="36"/>
  <c r="AU37" i="36"/>
  <c r="AV37" i="36"/>
  <c r="AW37" i="36"/>
  <c r="AX37" i="36"/>
  <c r="AY37" i="36"/>
  <c r="AZ37" i="36"/>
  <c r="BA37" i="36"/>
  <c r="BB37" i="36"/>
  <c r="BC37" i="36"/>
  <c r="BD37" i="36"/>
  <c r="BE37" i="36"/>
  <c r="BF37" i="36"/>
  <c r="BG37" i="36"/>
  <c r="BH37" i="36"/>
  <c r="BI37" i="36"/>
  <c r="BJ37" i="36"/>
  <c r="BK37" i="36"/>
  <c r="BL37" i="36"/>
  <c r="BM37" i="36"/>
  <c r="BN37" i="36"/>
  <c r="BO37" i="36"/>
  <c r="BP37" i="36"/>
  <c r="AE38" i="36"/>
  <c r="AF38" i="36"/>
  <c r="AG38" i="36"/>
  <c r="AH38" i="36"/>
  <c r="AI38" i="36"/>
  <c r="AJ38" i="36"/>
  <c r="AK38" i="36"/>
  <c r="AL38" i="36"/>
  <c r="AM38" i="36"/>
  <c r="AN38" i="36"/>
  <c r="AO38" i="36"/>
  <c r="AP38" i="36"/>
  <c r="AQ38" i="36"/>
  <c r="AR38" i="36"/>
  <c r="AS38" i="36"/>
  <c r="AT38" i="36"/>
  <c r="AU38" i="36"/>
  <c r="AV38" i="36"/>
  <c r="AW38" i="36"/>
  <c r="AX38" i="36"/>
  <c r="AY38" i="36"/>
  <c r="AZ38" i="36"/>
  <c r="BA38" i="36"/>
  <c r="BB38" i="36"/>
  <c r="BC38" i="36"/>
  <c r="BD38" i="36"/>
  <c r="BE38" i="36"/>
  <c r="BF38" i="36"/>
  <c r="BG38" i="36"/>
  <c r="BH38" i="36"/>
  <c r="BI38" i="36"/>
  <c r="BJ38" i="36"/>
  <c r="BK38" i="36"/>
  <c r="BL38" i="36"/>
  <c r="BM38" i="36"/>
  <c r="BN38" i="36"/>
  <c r="BO38" i="36"/>
  <c r="BP38" i="36"/>
  <c r="AE39" i="36"/>
  <c r="AF39" i="36"/>
  <c r="AG39" i="36"/>
  <c r="AH39" i="36"/>
  <c r="AI39" i="36"/>
  <c r="AJ39" i="36"/>
  <c r="AK39" i="36"/>
  <c r="AL39" i="36"/>
  <c r="AM39" i="36"/>
  <c r="AN39" i="36"/>
  <c r="AO39" i="36"/>
  <c r="AP39" i="36"/>
  <c r="AQ39" i="36"/>
  <c r="AR39" i="36"/>
  <c r="AS39" i="36"/>
  <c r="AT39" i="36"/>
  <c r="AU39" i="36"/>
  <c r="AV39" i="36"/>
  <c r="AW39" i="36"/>
  <c r="AX39" i="36"/>
  <c r="AY39" i="36"/>
  <c r="AZ39" i="36"/>
  <c r="BA39" i="36"/>
  <c r="BB39" i="36"/>
  <c r="BC39" i="36"/>
  <c r="BD39" i="36"/>
  <c r="BE39" i="36"/>
  <c r="BF39" i="36"/>
  <c r="BG39" i="36"/>
  <c r="BH39" i="36"/>
  <c r="BI39" i="36"/>
  <c r="BJ39" i="36"/>
  <c r="BK39" i="36"/>
  <c r="BL39" i="36"/>
  <c r="BM39" i="36"/>
  <c r="BN39" i="36"/>
  <c r="BO39" i="36"/>
  <c r="BP39" i="36"/>
  <c r="AD25" i="36"/>
  <c r="K1430" i="67" s="1"/>
  <c r="AD26" i="36"/>
  <c r="AD27" i="36"/>
  <c r="AD28" i="36"/>
  <c r="AD29" i="36"/>
  <c r="AD30" i="36"/>
  <c r="AD31" i="36"/>
  <c r="AD32" i="36"/>
  <c r="AD33" i="36"/>
  <c r="AD34" i="36"/>
  <c r="AD35" i="36"/>
  <c r="AD36" i="36"/>
  <c r="AD37" i="36"/>
  <c r="AD38" i="36"/>
  <c r="AD39" i="36"/>
  <c r="AD24" i="36"/>
  <c r="K1429" i="67" s="1"/>
  <c r="M1451" i="67" l="1"/>
  <c r="Q1451" i="67"/>
  <c r="U1451" i="67"/>
  <c r="Y1451" i="67"/>
  <c r="AC1451" i="67"/>
  <c r="AG1451" i="67"/>
  <c r="AK1451" i="67"/>
  <c r="AO1451" i="67"/>
  <c r="AS1451" i="67"/>
  <c r="AW1451" i="67"/>
  <c r="N1451" i="67"/>
  <c r="R1451" i="67"/>
  <c r="V1451" i="67"/>
  <c r="Z1451" i="67"/>
  <c r="AD1451" i="67"/>
  <c r="AH1451" i="67"/>
  <c r="AL1451" i="67"/>
  <c r="AP1451" i="67"/>
  <c r="AT1451" i="67"/>
  <c r="K1451" i="67"/>
  <c r="O1451" i="67"/>
  <c r="S1451" i="67"/>
  <c r="W1451" i="67"/>
  <c r="AA1451" i="67"/>
  <c r="AE1451" i="67"/>
  <c r="AI1451" i="67"/>
  <c r="AM1451" i="67"/>
  <c r="AQ1451" i="67"/>
  <c r="AU1451" i="67"/>
  <c r="L1451" i="67"/>
  <c r="P1451" i="67"/>
  <c r="T1451" i="67"/>
  <c r="X1451" i="67"/>
  <c r="AB1451" i="67"/>
  <c r="AF1451" i="67"/>
  <c r="AJ1451" i="67"/>
  <c r="AN1451" i="67"/>
  <c r="AR1451" i="67"/>
  <c r="AV1451" i="67"/>
  <c r="M1455" i="67"/>
  <c r="Q1455" i="67"/>
  <c r="U1455" i="67"/>
  <c r="Y1455" i="67"/>
  <c r="AC1455" i="67"/>
  <c r="AG1455" i="67"/>
  <c r="AK1455" i="67"/>
  <c r="AO1455" i="67"/>
  <c r="AS1455" i="67"/>
  <c r="AW1455" i="67"/>
  <c r="N1455" i="67"/>
  <c r="R1455" i="67"/>
  <c r="V1455" i="67"/>
  <c r="Z1455" i="67"/>
  <c r="AD1455" i="67"/>
  <c r="AH1455" i="67"/>
  <c r="AL1455" i="67"/>
  <c r="AP1455" i="67"/>
  <c r="AT1455" i="67"/>
  <c r="K1455" i="67"/>
  <c r="O1455" i="67"/>
  <c r="S1455" i="67"/>
  <c r="W1455" i="67"/>
  <c r="AA1455" i="67"/>
  <c r="AE1455" i="67"/>
  <c r="AI1455" i="67"/>
  <c r="AM1455" i="67"/>
  <c r="AQ1455" i="67"/>
  <c r="AU1455" i="67"/>
  <c r="L1455" i="67"/>
  <c r="P1455" i="67"/>
  <c r="T1455" i="67"/>
  <c r="X1455" i="67"/>
  <c r="AB1455" i="67"/>
  <c r="AF1455" i="67"/>
  <c r="AJ1455" i="67"/>
  <c r="AN1455" i="67"/>
  <c r="AR1455" i="67"/>
  <c r="AV1455" i="67"/>
  <c r="M1459" i="67"/>
  <c r="Q1459" i="67"/>
  <c r="U1459" i="67"/>
  <c r="Y1459" i="67"/>
  <c r="AC1459" i="67"/>
  <c r="AG1459" i="67"/>
  <c r="AK1459" i="67"/>
  <c r="AO1459" i="67"/>
  <c r="AS1459" i="67"/>
  <c r="AW1459" i="67"/>
  <c r="N1459" i="67"/>
  <c r="R1459" i="67"/>
  <c r="V1459" i="67"/>
  <c r="Z1459" i="67"/>
  <c r="AD1459" i="67"/>
  <c r="AH1459" i="67"/>
  <c r="AL1459" i="67"/>
  <c r="AP1459" i="67"/>
  <c r="AT1459" i="67"/>
  <c r="K1459" i="67"/>
  <c r="O1459" i="67"/>
  <c r="S1459" i="67"/>
  <c r="W1459" i="67"/>
  <c r="AA1459" i="67"/>
  <c r="AE1459" i="67"/>
  <c r="AI1459" i="67"/>
  <c r="AM1459" i="67"/>
  <c r="AQ1459" i="67"/>
  <c r="AU1459" i="67"/>
  <c r="L1459" i="67"/>
  <c r="P1459" i="67"/>
  <c r="T1459" i="67"/>
  <c r="X1459" i="67"/>
  <c r="AB1459" i="67"/>
  <c r="AF1459" i="67"/>
  <c r="AJ1459" i="67"/>
  <c r="AN1459" i="67"/>
  <c r="AR1459" i="67"/>
  <c r="AV1459" i="67"/>
  <c r="O1452" i="67"/>
  <c r="S1452" i="67"/>
  <c r="W1452" i="67"/>
  <c r="AA1452" i="67"/>
  <c r="AE1452" i="67"/>
  <c r="AI1452" i="67"/>
  <c r="AM1452" i="67"/>
  <c r="AQ1452" i="67"/>
  <c r="AU1452" i="67"/>
  <c r="L1452" i="67"/>
  <c r="P1452" i="67"/>
  <c r="T1452" i="67"/>
  <c r="X1452" i="67"/>
  <c r="AB1452" i="67"/>
  <c r="AF1452" i="67"/>
  <c r="AJ1452" i="67"/>
  <c r="AN1452" i="67"/>
  <c r="AR1452" i="67"/>
  <c r="AV1452" i="67"/>
  <c r="M1452" i="67"/>
  <c r="Q1452" i="67"/>
  <c r="U1452" i="67"/>
  <c r="Y1452" i="67"/>
  <c r="AC1452" i="67"/>
  <c r="AG1452" i="67"/>
  <c r="AK1452" i="67"/>
  <c r="AO1452" i="67"/>
  <c r="AS1452" i="67"/>
  <c r="AW1452" i="67"/>
  <c r="K1452" i="67"/>
  <c r="N1452" i="67"/>
  <c r="R1452" i="67"/>
  <c r="V1452" i="67"/>
  <c r="Z1452" i="67"/>
  <c r="AD1452" i="67"/>
  <c r="AH1452" i="67"/>
  <c r="AL1452" i="67"/>
  <c r="AP1452" i="67"/>
  <c r="AT1452" i="67"/>
  <c r="O1456" i="67"/>
  <c r="S1456" i="67"/>
  <c r="W1456" i="67"/>
  <c r="AA1456" i="67"/>
  <c r="AE1456" i="67"/>
  <c r="AI1456" i="67"/>
  <c r="AM1456" i="67"/>
  <c r="AQ1456" i="67"/>
  <c r="AU1456" i="67"/>
  <c r="L1456" i="67"/>
  <c r="P1456" i="67"/>
  <c r="T1456" i="67"/>
  <c r="X1456" i="67"/>
  <c r="AB1456" i="67"/>
  <c r="AF1456" i="67"/>
  <c r="AJ1456" i="67"/>
  <c r="AN1456" i="67"/>
  <c r="AR1456" i="67"/>
  <c r="AV1456" i="67"/>
  <c r="M1456" i="67"/>
  <c r="Q1456" i="67"/>
  <c r="U1456" i="67"/>
  <c r="Y1456" i="67"/>
  <c r="AC1456" i="67"/>
  <c r="AG1456" i="67"/>
  <c r="AK1456" i="67"/>
  <c r="AO1456" i="67"/>
  <c r="AS1456" i="67"/>
  <c r="AW1456" i="67"/>
  <c r="K1456" i="67"/>
  <c r="N1456" i="67"/>
  <c r="R1456" i="67"/>
  <c r="V1456" i="67"/>
  <c r="Z1456" i="67"/>
  <c r="AD1456" i="67"/>
  <c r="AH1456" i="67"/>
  <c r="AL1456" i="67"/>
  <c r="AP1456" i="67"/>
  <c r="AT1456" i="67"/>
  <c r="O1460" i="67"/>
  <c r="S1460" i="67"/>
  <c r="W1460" i="67"/>
  <c r="AA1460" i="67"/>
  <c r="AE1460" i="67"/>
  <c r="AY40" i="68" s="1"/>
  <c r="AI1460" i="67"/>
  <c r="AM1460" i="67"/>
  <c r="AQ1460" i="67"/>
  <c r="BK40" i="68" s="1"/>
  <c r="AU1460" i="67"/>
  <c r="L1460" i="67"/>
  <c r="P1460" i="67"/>
  <c r="T1460" i="67"/>
  <c r="X1460" i="67"/>
  <c r="AB1460" i="67"/>
  <c r="AF1460" i="67"/>
  <c r="AJ1460" i="67"/>
  <c r="BD40" i="68" s="1"/>
  <c r="AN1460" i="67"/>
  <c r="BH40" i="68" s="1"/>
  <c r="AR1460" i="67"/>
  <c r="AV1460" i="67"/>
  <c r="M1460" i="67"/>
  <c r="AG40" i="68" s="1"/>
  <c r="Q1460" i="67"/>
  <c r="AK40" i="68" s="1"/>
  <c r="U1460" i="67"/>
  <c r="Y1460" i="67"/>
  <c r="AC1460" i="67"/>
  <c r="AG1460" i="67"/>
  <c r="BA40" i="68" s="1"/>
  <c r="AK1460" i="67"/>
  <c r="AO1460" i="67"/>
  <c r="AS1460" i="67"/>
  <c r="BM40" i="68" s="1"/>
  <c r="AW1460" i="67"/>
  <c r="BQ40" i="68" s="1"/>
  <c r="K1460" i="67"/>
  <c r="N1460" i="67"/>
  <c r="R1460" i="67"/>
  <c r="AL40" i="68" s="1"/>
  <c r="V1460" i="67"/>
  <c r="AP40" i="68" s="1"/>
  <c r="Z1460" i="67"/>
  <c r="AD1460" i="67"/>
  <c r="AH1460" i="67"/>
  <c r="BB40" i="68" s="1"/>
  <c r="AL1460" i="67"/>
  <c r="AP1460" i="67"/>
  <c r="AT1460" i="67"/>
  <c r="M1453" i="67"/>
  <c r="Q1453" i="67"/>
  <c r="U1453" i="67"/>
  <c r="Y1453" i="67"/>
  <c r="AC1453" i="67"/>
  <c r="AG1453" i="67"/>
  <c r="AK1453" i="67"/>
  <c r="AO1453" i="67"/>
  <c r="AS1453" i="67"/>
  <c r="AW1453" i="67"/>
  <c r="K1453" i="67"/>
  <c r="N1453" i="67"/>
  <c r="R1453" i="67"/>
  <c r="V1453" i="67"/>
  <c r="Z1453" i="67"/>
  <c r="AD1453" i="67"/>
  <c r="AH1453" i="67"/>
  <c r="AL1453" i="67"/>
  <c r="AP1453" i="67"/>
  <c r="AT1453" i="67"/>
  <c r="O1453" i="67"/>
  <c r="S1453" i="67"/>
  <c r="W1453" i="67"/>
  <c r="AA1453" i="67"/>
  <c r="AE1453" i="67"/>
  <c r="AI1453" i="67"/>
  <c r="AM1453" i="67"/>
  <c r="AQ1453" i="67"/>
  <c r="AU1453" i="67"/>
  <c r="L1453" i="67"/>
  <c r="P1453" i="67"/>
  <c r="T1453" i="67"/>
  <c r="X1453" i="67"/>
  <c r="AB1453" i="67"/>
  <c r="AF1453" i="67"/>
  <c r="AJ1453" i="67"/>
  <c r="AN1453" i="67"/>
  <c r="AR1453" i="67"/>
  <c r="AV1453" i="67"/>
  <c r="M1457" i="67"/>
  <c r="AG38" i="68" s="1"/>
  <c r="Q1457" i="67"/>
  <c r="AK38" i="68" s="1"/>
  <c r="U1457" i="67"/>
  <c r="Y1457" i="67"/>
  <c r="AC1457" i="67"/>
  <c r="AG1457" i="67"/>
  <c r="AK1457" i="67"/>
  <c r="AO1457" i="67"/>
  <c r="AS1457" i="67"/>
  <c r="BM38" i="68" s="1"/>
  <c r="AW1457" i="67"/>
  <c r="BQ38" i="68" s="1"/>
  <c r="N1457" i="67"/>
  <c r="R1457" i="67"/>
  <c r="V1457" i="67"/>
  <c r="AP38" i="68" s="1"/>
  <c r="Z1457" i="67"/>
  <c r="AT38" i="68" s="1"/>
  <c r="AD1457" i="67"/>
  <c r="AH1457" i="67"/>
  <c r="AL1457" i="67"/>
  <c r="AP1457" i="67"/>
  <c r="BJ38" i="68" s="1"/>
  <c r="AT1457" i="67"/>
  <c r="O1457" i="67"/>
  <c r="S1457" i="67"/>
  <c r="AM38" i="68" s="1"/>
  <c r="W1457" i="67"/>
  <c r="AQ38" i="68" s="1"/>
  <c r="AA1457" i="67"/>
  <c r="AE1457" i="67"/>
  <c r="AI1457" i="67"/>
  <c r="BC38" i="68" s="1"/>
  <c r="AM1457" i="67"/>
  <c r="BG38" i="68" s="1"/>
  <c r="AQ1457" i="67"/>
  <c r="AU1457" i="67"/>
  <c r="K1457" i="67"/>
  <c r="AE38" i="68" s="1"/>
  <c r="L1457" i="67"/>
  <c r="P1457" i="67"/>
  <c r="T1457" i="67"/>
  <c r="X1457" i="67"/>
  <c r="AR38" i="68" s="1"/>
  <c r="AB1457" i="67"/>
  <c r="AV38" i="68" s="1"/>
  <c r="AF1457" i="67"/>
  <c r="AJ1457" i="67"/>
  <c r="AN1457" i="67"/>
  <c r="BH38" i="68" s="1"/>
  <c r="AR1457" i="67"/>
  <c r="AV1457" i="67"/>
  <c r="O1454" i="67"/>
  <c r="S1454" i="67"/>
  <c r="W1454" i="67"/>
  <c r="AA1454" i="67"/>
  <c r="AE1454" i="67"/>
  <c r="AI1454" i="67"/>
  <c r="AM1454" i="67"/>
  <c r="AQ1454" i="67"/>
  <c r="AU1454" i="67"/>
  <c r="K1454" i="67"/>
  <c r="L1454" i="67"/>
  <c r="P1454" i="67"/>
  <c r="T1454" i="67"/>
  <c r="X1454" i="67"/>
  <c r="AB1454" i="67"/>
  <c r="AF1454" i="67"/>
  <c r="AJ1454" i="67"/>
  <c r="AN1454" i="67"/>
  <c r="AR1454" i="67"/>
  <c r="AV1454" i="67"/>
  <c r="M1454" i="67"/>
  <c r="Q1454" i="67"/>
  <c r="U1454" i="67"/>
  <c r="Y1454" i="67"/>
  <c r="AC1454" i="67"/>
  <c r="AG1454" i="67"/>
  <c r="AK1454" i="67"/>
  <c r="AO1454" i="67"/>
  <c r="AS1454" i="67"/>
  <c r="AW1454" i="67"/>
  <c r="N1454" i="67"/>
  <c r="R1454" i="67"/>
  <c r="V1454" i="67"/>
  <c r="Z1454" i="67"/>
  <c r="AD1454" i="67"/>
  <c r="AH1454" i="67"/>
  <c r="AL1454" i="67"/>
  <c r="AP1454" i="67"/>
  <c r="AT1454" i="67"/>
  <c r="O1458" i="67"/>
  <c r="S1458" i="67"/>
  <c r="W1458" i="67"/>
  <c r="AA1458" i="67"/>
  <c r="AE1458" i="67"/>
  <c r="AI1458" i="67"/>
  <c r="AM1458" i="67"/>
  <c r="AQ1458" i="67"/>
  <c r="AU1458" i="67"/>
  <c r="K1458" i="67"/>
  <c r="L1458" i="67"/>
  <c r="P1458" i="67"/>
  <c r="T1458" i="67"/>
  <c r="X1458" i="67"/>
  <c r="AB1458" i="67"/>
  <c r="AF1458" i="67"/>
  <c r="AJ1458" i="67"/>
  <c r="AN1458" i="67"/>
  <c r="AR1458" i="67"/>
  <c r="AV1458" i="67"/>
  <c r="M1458" i="67"/>
  <c r="Q1458" i="67"/>
  <c r="U1458" i="67"/>
  <c r="Y1458" i="67"/>
  <c r="AC1458" i="67"/>
  <c r="AG1458" i="67"/>
  <c r="AK1458" i="67"/>
  <c r="AO1458" i="67"/>
  <c r="AS1458" i="67"/>
  <c r="AW1458" i="67"/>
  <c r="N1458" i="67"/>
  <c r="R1458" i="67"/>
  <c r="V1458" i="67"/>
  <c r="Z1458" i="67"/>
  <c r="AD1458" i="67"/>
  <c r="AX39" i="68" s="1"/>
  <c r="AH1458" i="67"/>
  <c r="AL1458" i="67"/>
  <c r="BF39" i="68" s="1"/>
  <c r="AP1458" i="67"/>
  <c r="AT1458" i="67"/>
  <c r="D13" i="65"/>
  <c r="AK31" i="68"/>
  <c r="AS31" i="68"/>
  <c r="BA31" i="68"/>
  <c r="BI31" i="68"/>
  <c r="AG31" i="68"/>
  <c r="AO31" i="68"/>
  <c r="AW31" i="68"/>
  <c r="BE31" i="68"/>
  <c r="BM31" i="68"/>
  <c r="BQ31" i="68"/>
  <c r="AI31" i="68"/>
  <c r="AQ31" i="68"/>
  <c r="AY31" i="68"/>
  <c r="BG31" i="68"/>
  <c r="BO31" i="68"/>
  <c r="AH31" i="68"/>
  <c r="AP31" i="68"/>
  <c r="AX31" i="68"/>
  <c r="BF31" i="68"/>
  <c r="BN31" i="68"/>
  <c r="AU31" i="68"/>
  <c r="BK31" i="68"/>
  <c r="AE31" i="68"/>
  <c r="AL31" i="68"/>
  <c r="AT31" i="68"/>
  <c r="BB31" i="68"/>
  <c r="BJ31" i="68"/>
  <c r="AM31" i="68"/>
  <c r="BC31" i="68"/>
  <c r="AF31" i="68"/>
  <c r="AN31" i="68"/>
  <c r="AV31" i="68"/>
  <c r="BD31" i="68"/>
  <c r="BL31" i="68"/>
  <c r="AJ31" i="68"/>
  <c r="AR31" i="68"/>
  <c r="AZ31" i="68"/>
  <c r="BH31" i="68"/>
  <c r="BP31" i="68"/>
  <c r="AE40" i="68"/>
  <c r="AM40" i="68"/>
  <c r="AU40" i="68"/>
  <c r="BC40" i="68"/>
  <c r="AI40" i="68"/>
  <c r="AQ40" i="68"/>
  <c r="BG40" i="68"/>
  <c r="BO40" i="68"/>
  <c r="AF40" i="68"/>
  <c r="AN40" i="68"/>
  <c r="AV40" i="68"/>
  <c r="BL40" i="68"/>
  <c r="AJ40" i="68"/>
  <c r="AS40" i="68"/>
  <c r="BI40" i="68"/>
  <c r="AR40" i="68"/>
  <c r="AZ40" i="68"/>
  <c r="BP40" i="68"/>
  <c r="AO40" i="68"/>
  <c r="AW40" i="68"/>
  <c r="BE40" i="68"/>
  <c r="AT40" i="68"/>
  <c r="BJ40" i="68"/>
  <c r="AH40" i="68"/>
  <c r="AX40" i="68"/>
  <c r="BF40" i="68"/>
  <c r="BN40" i="68"/>
  <c r="BP32" i="68"/>
  <c r="AF32" i="68"/>
  <c r="BD32" i="68"/>
  <c r="BL32" i="68"/>
  <c r="AV32" i="68"/>
  <c r="AR32" i="68"/>
  <c r="AZ32" i="68"/>
  <c r="BH32" i="68"/>
  <c r="AG32" i="68"/>
  <c r="AE32" i="68"/>
  <c r="AL32" i="68"/>
  <c r="AT32" i="68"/>
  <c r="BB32" i="68"/>
  <c r="AK32" i="68"/>
  <c r="AS32" i="68"/>
  <c r="BI32" i="68"/>
  <c r="BQ32" i="68"/>
  <c r="AH32" i="68"/>
  <c r="AP32" i="68"/>
  <c r="AX32" i="68"/>
  <c r="BF32" i="68"/>
  <c r="AW32" i="68"/>
  <c r="BE32" i="68"/>
  <c r="BM32" i="68"/>
  <c r="AI32" i="68"/>
  <c r="AQ32" i="68"/>
  <c r="AY32" i="68"/>
  <c r="BO32" i="68"/>
  <c r="AM32" i="68"/>
  <c r="AU32" i="68"/>
  <c r="BC32" i="68"/>
  <c r="BK32" i="68"/>
  <c r="AI33" i="68"/>
  <c r="AQ33" i="68"/>
  <c r="AY33" i="68"/>
  <c r="BG33" i="68"/>
  <c r="BO33" i="68"/>
  <c r="AM33" i="68"/>
  <c r="AU33" i="68"/>
  <c r="BC33" i="68"/>
  <c r="BK33" i="68"/>
  <c r="AR33" i="68"/>
  <c r="AZ33" i="68"/>
  <c r="BH33" i="68"/>
  <c r="BP33" i="68"/>
  <c r="AJ33" i="68"/>
  <c r="AG33" i="68"/>
  <c r="AO33" i="68"/>
  <c r="AW33" i="68"/>
  <c r="BE33" i="68"/>
  <c r="BM33" i="68"/>
  <c r="AF33" i="68"/>
  <c r="AN33" i="68"/>
  <c r="AV33" i="68"/>
  <c r="BD33" i="68"/>
  <c r="BL33" i="68"/>
  <c r="AK33" i="68"/>
  <c r="BQ33" i="68"/>
  <c r="AE33" i="68"/>
  <c r="AS33" i="68"/>
  <c r="AH33" i="68"/>
  <c r="AP33" i="68"/>
  <c r="AX33" i="68"/>
  <c r="BF33" i="68"/>
  <c r="BN33" i="68"/>
  <c r="BA33" i="68"/>
  <c r="BI33" i="68"/>
  <c r="AL33" i="68"/>
  <c r="AT33" i="68"/>
  <c r="BB33" i="68"/>
  <c r="BJ33" i="68"/>
  <c r="AS38" i="68"/>
  <c r="BA38" i="68"/>
  <c r="BI38" i="68"/>
  <c r="AO38" i="68"/>
  <c r="AW38" i="68"/>
  <c r="BE38" i="68"/>
  <c r="AL38" i="68"/>
  <c r="BB38" i="68"/>
  <c r="AI38" i="68"/>
  <c r="AY38" i="68"/>
  <c r="BO38" i="68"/>
  <c r="AH38" i="68"/>
  <c r="AX38" i="68"/>
  <c r="BF38" i="68"/>
  <c r="BN38" i="68"/>
  <c r="AU38" i="68"/>
  <c r="BK38" i="68"/>
  <c r="AJ38" i="68"/>
  <c r="AZ38" i="68"/>
  <c r="BP38" i="68"/>
  <c r="AF38" i="68"/>
  <c r="AN38" i="68"/>
  <c r="BD38" i="68"/>
  <c r="BL38" i="68"/>
  <c r="D12" i="65"/>
  <c r="E12" i="65" s="1"/>
  <c r="D14" i="65"/>
  <c r="H9" i="67"/>
  <c r="H7" i="67"/>
  <c r="H8" i="67" s="1"/>
  <c r="J162" i="67"/>
  <c r="J160" i="67"/>
  <c r="J161" i="67" s="1"/>
  <c r="I162" i="67"/>
  <c r="I160" i="67"/>
  <c r="I161" i="67" s="1"/>
  <c r="V14" i="65"/>
  <c r="AF13" i="65"/>
  <c r="V13" i="65"/>
  <c r="E13" i="65"/>
  <c r="AF12" i="65"/>
  <c r="V12" i="65"/>
  <c r="AF14" i="65"/>
  <c r="D8" i="67"/>
  <c r="D157" i="67" s="1"/>
  <c r="D159" i="67" s="1"/>
  <c r="D161" i="67" s="1"/>
  <c r="D9" i="67"/>
  <c r="D158" i="67" s="1"/>
  <c r="D160" i="67" s="1"/>
  <c r="D162" i="67" s="1"/>
  <c r="D163" i="67" s="1"/>
  <c r="D164" i="67" s="1"/>
  <c r="E9" i="67"/>
  <c r="E158" i="67" s="1"/>
  <c r="E160" i="67" s="1"/>
  <c r="E162" i="67" s="1"/>
  <c r="E163" i="67" s="1"/>
  <c r="E164" i="67" s="1"/>
  <c r="I6" i="67"/>
  <c r="J6" i="67"/>
  <c r="F1459" i="67"/>
  <c r="F1532" i="67"/>
  <c r="F1533" i="67" s="1"/>
  <c r="F1534" i="67" s="1"/>
  <c r="H1534" i="67" s="1"/>
  <c r="H1531" i="67"/>
  <c r="H1467" i="67"/>
  <c r="H1547" i="67"/>
  <c r="G12" i="68"/>
  <c r="G13" i="68" s="1"/>
  <c r="G14" i="68" s="1"/>
  <c r="G15" i="68" s="1"/>
  <c r="G16" i="68" s="1"/>
  <c r="G17" i="68" s="1"/>
  <c r="G18" i="68" s="1"/>
  <c r="G11" i="68" s="1"/>
  <c r="G59" i="68" s="1"/>
  <c r="G4" i="68"/>
  <c r="G58" i="68" s="1"/>
  <c r="D12" i="68"/>
  <c r="D13" i="68" s="1"/>
  <c r="D14" i="68" s="1"/>
  <c r="D15" i="68" s="1"/>
  <c r="D16" i="68" s="1"/>
  <c r="D17" i="68" s="1"/>
  <c r="D18" i="68" s="1"/>
  <c r="D4" i="68"/>
  <c r="D58" i="68" s="1"/>
  <c r="H12" i="68"/>
  <c r="H13" i="68" s="1"/>
  <c r="H14" i="68" s="1"/>
  <c r="H15" i="68" s="1"/>
  <c r="H16" i="68" s="1"/>
  <c r="H17" i="68" s="1"/>
  <c r="H18" i="68" s="1"/>
  <c r="H11" i="68" s="1"/>
  <c r="H4" i="68"/>
  <c r="D34" i="68"/>
  <c r="D62" i="68" s="1"/>
  <c r="D35" i="68"/>
  <c r="D36" i="68" s="1"/>
  <c r="D37" i="68" s="1"/>
  <c r="D38" i="68" s="1"/>
  <c r="D39" i="68" s="1"/>
  <c r="D40" i="68" s="1"/>
  <c r="D41" i="68" s="1"/>
  <c r="H49" i="68"/>
  <c r="H50" i="68"/>
  <c r="H51" i="68" s="1"/>
  <c r="G50" i="68"/>
  <c r="G51" i="68" s="1"/>
  <c r="G49" i="68"/>
  <c r="G66" i="68" s="1"/>
  <c r="D1465" i="67"/>
  <c r="D1466" i="67"/>
  <c r="D1467" i="67" s="1"/>
  <c r="D1468" i="67" s="1"/>
  <c r="D1469" i="67" s="1"/>
  <c r="D1470" i="67" s="1"/>
  <c r="D1471" i="67" s="1"/>
  <c r="D1472" i="67" s="1"/>
  <c r="D1473" i="67" s="1"/>
  <c r="D1474" i="67" s="1"/>
  <c r="D1475" i="67" s="1"/>
  <c r="D1476" i="67" s="1"/>
  <c r="D1477" i="67" s="1"/>
  <c r="D1478" i="67" s="1"/>
  <c r="D1479" i="67" s="1"/>
  <c r="D1480" i="67" s="1"/>
  <c r="D1481" i="67" s="1"/>
  <c r="D1482" i="67" s="1"/>
  <c r="D1483" i="67" s="1"/>
  <c r="D1484" i="67" s="1"/>
  <c r="D1485" i="67" s="1"/>
  <c r="D1486" i="67" s="1"/>
  <c r="D1487" i="67" s="1"/>
  <c r="D1488" i="67" s="1"/>
  <c r="D1489" i="67" s="1"/>
  <c r="D1490" i="67" s="1"/>
  <c r="D1491" i="67" s="1"/>
  <c r="D1492" i="67" s="1"/>
  <c r="D1493" i="67" s="1"/>
  <c r="D1494" i="67" s="1"/>
  <c r="D1495" i="67" s="1"/>
  <c r="D1496" i="67" s="1"/>
  <c r="D1497" i="67" s="1"/>
  <c r="F1516" i="67"/>
  <c r="H1515" i="67"/>
  <c r="F1454" i="67"/>
  <c r="E1466" i="67"/>
  <c r="E1467" i="67" s="1"/>
  <c r="E1468" i="67" s="1"/>
  <c r="E1469" i="67" s="1"/>
  <c r="E1470" i="67" s="1"/>
  <c r="E1471" i="67" s="1"/>
  <c r="E1472" i="67" s="1"/>
  <c r="E1473" i="67" s="1"/>
  <c r="E1474" i="67" s="1"/>
  <c r="E1475" i="67" s="1"/>
  <c r="E1476" i="67" s="1"/>
  <c r="E1477" i="67" s="1"/>
  <c r="E1478" i="67" s="1"/>
  <c r="E1479" i="67" s="1"/>
  <c r="E1480" i="67" s="1"/>
  <c r="E1481" i="67" s="1"/>
  <c r="E1482" i="67" s="1"/>
  <c r="E1483" i="67" s="1"/>
  <c r="E1484" i="67" s="1"/>
  <c r="E1485" i="67" s="1"/>
  <c r="E1486" i="67" s="1"/>
  <c r="E1487" i="67" s="1"/>
  <c r="E1488" i="67" s="1"/>
  <c r="E1489" i="67" s="1"/>
  <c r="E1490" i="67" s="1"/>
  <c r="E1491" i="67" s="1"/>
  <c r="E1492" i="67" s="1"/>
  <c r="E1493" i="67" s="1"/>
  <c r="E1494" i="67" s="1"/>
  <c r="E1495" i="67" s="1"/>
  <c r="E1496" i="67" s="1"/>
  <c r="E1497" i="67" s="1"/>
  <c r="E1498" i="67" s="1"/>
  <c r="E1499" i="67" s="1"/>
  <c r="E1500" i="67" s="1"/>
  <c r="E1501" i="67" s="1"/>
  <c r="E1502" i="67" s="1"/>
  <c r="E1503" i="67" s="1"/>
  <c r="E1504" i="67" s="1"/>
  <c r="E1505" i="67" s="1"/>
  <c r="E1506" i="67" s="1"/>
  <c r="E1507" i="67" s="1"/>
  <c r="E1508" i="67" s="1"/>
  <c r="E1509" i="67" s="1"/>
  <c r="E1465" i="67"/>
  <c r="I1466" i="67"/>
  <c r="I1467" i="67" s="1"/>
  <c r="I1468" i="67" s="1"/>
  <c r="I1469" i="67" s="1"/>
  <c r="I1470" i="67" s="1"/>
  <c r="I1471" i="67" s="1"/>
  <c r="I1472" i="67" s="1"/>
  <c r="I1473" i="67" s="1"/>
  <c r="I1474" i="67" s="1"/>
  <c r="I1475" i="67" s="1"/>
  <c r="I1476" i="67" s="1"/>
  <c r="I1477" i="67" s="1"/>
  <c r="I1478" i="67" s="1"/>
  <c r="I1479" i="67" s="1"/>
  <c r="I1480" i="67" s="1"/>
  <c r="I1481" i="67" s="1"/>
  <c r="I1482" i="67" s="1"/>
  <c r="I1483" i="67" s="1"/>
  <c r="I1484" i="67" s="1"/>
  <c r="I1485" i="67" s="1"/>
  <c r="I1486" i="67" s="1"/>
  <c r="I1487" i="67" s="1"/>
  <c r="I1488" i="67" s="1"/>
  <c r="I1489" i="67" s="1"/>
  <c r="I1490" i="67" s="1"/>
  <c r="I1491" i="67" s="1"/>
  <c r="I1492" i="67" s="1"/>
  <c r="I1493" i="67" s="1"/>
  <c r="I1494" i="67" s="1"/>
  <c r="I1495" i="67" s="1"/>
  <c r="I1496" i="67" s="1"/>
  <c r="I1497" i="67" s="1"/>
  <c r="I1510" i="67" s="1"/>
  <c r="I1511" i="67" s="1"/>
  <c r="I1512" i="67" s="1"/>
  <c r="I1513" i="67" s="1"/>
  <c r="I1514" i="67" s="1"/>
  <c r="I1515" i="67" s="1"/>
  <c r="I1516" i="67" s="1"/>
  <c r="I1517" i="67" s="1"/>
  <c r="I1518" i="67" s="1"/>
  <c r="I1519" i="67" s="1"/>
  <c r="I1520" i="67" s="1"/>
  <c r="I1521" i="67" s="1"/>
  <c r="I1522" i="67" s="1"/>
  <c r="I1523" i="67" s="1"/>
  <c r="I1524" i="67" s="1"/>
  <c r="I1525" i="67" s="1"/>
  <c r="I1526" i="67" s="1"/>
  <c r="I1527" i="67" s="1"/>
  <c r="I1528" i="67" s="1"/>
  <c r="I1529" i="67" s="1"/>
  <c r="I1530" i="67" s="1"/>
  <c r="I1531" i="67" s="1"/>
  <c r="I1532" i="67" s="1"/>
  <c r="I1533" i="67" s="1"/>
  <c r="I1534" i="67" s="1"/>
  <c r="I1535" i="67" s="1"/>
  <c r="I1536" i="67" s="1"/>
  <c r="I1537" i="67" s="1"/>
  <c r="I1538" i="67" s="1"/>
  <c r="I1539" i="67" s="1"/>
  <c r="I1540" i="67" s="1"/>
  <c r="I1541" i="67" s="1"/>
  <c r="I1542" i="67" s="1"/>
  <c r="I1543" i="67" s="1"/>
  <c r="I1544" i="67" s="1"/>
  <c r="I1545" i="67" s="1"/>
  <c r="I1546" i="67" s="1"/>
  <c r="I1547" i="67" s="1"/>
  <c r="I1548" i="67" s="1"/>
  <c r="I1549" i="67" s="1"/>
  <c r="I1550" i="67" s="1"/>
  <c r="I1551" i="67" s="1"/>
  <c r="I1552" i="67" s="1"/>
  <c r="I1553" i="67" s="1"/>
  <c r="I1554" i="67" s="1"/>
  <c r="I1555" i="67" s="1"/>
  <c r="I1556" i="67" s="1"/>
  <c r="I1557" i="67" s="1"/>
  <c r="I1558" i="67" s="1"/>
  <c r="I1559" i="67" s="1"/>
  <c r="I1560" i="67" s="1"/>
  <c r="I1561" i="67" s="1"/>
  <c r="I1562" i="67" s="1"/>
  <c r="J1466" i="67"/>
  <c r="J1467" i="67" s="1"/>
  <c r="J1468" i="67" s="1"/>
  <c r="J1469" i="67" s="1"/>
  <c r="J1470" i="67" s="1"/>
  <c r="J1471" i="67" s="1"/>
  <c r="J1472" i="67" s="1"/>
  <c r="J1473" i="67" s="1"/>
  <c r="J1474" i="67" s="1"/>
  <c r="J1475" i="67" s="1"/>
  <c r="J1476" i="67" s="1"/>
  <c r="J1477" i="67" s="1"/>
  <c r="J1478" i="67" s="1"/>
  <c r="J1479" i="67" s="1"/>
  <c r="J1480" i="67" s="1"/>
  <c r="J1481" i="67" s="1"/>
  <c r="J1482" i="67" s="1"/>
  <c r="J1483" i="67" s="1"/>
  <c r="J1484" i="67" s="1"/>
  <c r="J1485" i="67" s="1"/>
  <c r="J1486" i="67" s="1"/>
  <c r="J1487" i="67" s="1"/>
  <c r="J1488" i="67" s="1"/>
  <c r="J1489" i="67" s="1"/>
  <c r="J1490" i="67" s="1"/>
  <c r="J1491" i="67" s="1"/>
  <c r="J1492" i="67" s="1"/>
  <c r="J1493" i="67" s="1"/>
  <c r="J1494" i="67" s="1"/>
  <c r="J1495" i="67" s="1"/>
  <c r="J1496" i="67" s="1"/>
  <c r="J1497" i="67" s="1"/>
  <c r="F1468" i="67"/>
  <c r="G1482" i="67"/>
  <c r="H1482" i="67" s="1"/>
  <c r="H1511" i="67"/>
  <c r="F1512" i="67"/>
  <c r="H1510" i="67"/>
  <c r="H1514" i="67"/>
  <c r="F1549" i="67"/>
  <c r="H1548" i="67"/>
  <c r="AE8" i="65"/>
  <c r="AF8" i="65" s="1"/>
  <c r="J9" i="65"/>
  <c r="F9" i="65"/>
  <c r="G11" i="65"/>
  <c r="H10" i="65"/>
  <c r="D10" i="65"/>
  <c r="H9" i="65"/>
  <c r="D9" i="65"/>
  <c r="U6" i="65"/>
  <c r="U9" i="65" s="1"/>
  <c r="F11" i="65"/>
  <c r="G10" i="65"/>
  <c r="B11" i="65"/>
  <c r="I11" i="65"/>
  <c r="E11" i="65"/>
  <c r="J10" i="65"/>
  <c r="I9" i="65"/>
  <c r="E9" i="65"/>
  <c r="K8" i="65"/>
  <c r="K11" i="65" s="1"/>
  <c r="C10" i="65"/>
  <c r="AE6" i="65"/>
  <c r="AE9" i="65" s="1"/>
  <c r="C11" i="65"/>
  <c r="C29" i="65" s="1"/>
  <c r="F10" i="65"/>
  <c r="J11" i="65"/>
  <c r="G9" i="65"/>
  <c r="C9" i="65"/>
  <c r="C25" i="65" s="1"/>
  <c r="H11" i="65"/>
  <c r="D11" i="65"/>
  <c r="I10" i="65"/>
  <c r="E10" i="65"/>
  <c r="K6" i="65"/>
  <c r="L6" i="65" s="1"/>
  <c r="M6" i="65" s="1"/>
  <c r="B9" i="65"/>
  <c r="K7" i="65"/>
  <c r="U7" i="65"/>
  <c r="B10" i="65"/>
  <c r="U8" i="65"/>
  <c r="AE7" i="65"/>
  <c r="D33" i="57"/>
  <c r="E33" i="57"/>
  <c r="F33" i="57"/>
  <c r="G33" i="57"/>
  <c r="G35" i="57" s="1"/>
  <c r="H33" i="57"/>
  <c r="I33" i="57"/>
  <c r="J33" i="57"/>
  <c r="K33" i="57"/>
  <c r="K35" i="57" s="1"/>
  <c r="L33" i="57"/>
  <c r="M33" i="57"/>
  <c r="N33" i="57"/>
  <c r="N35" i="57" s="1"/>
  <c r="O33" i="57"/>
  <c r="O35" i="57" s="1"/>
  <c r="P33" i="57"/>
  <c r="Q33" i="57"/>
  <c r="R33" i="57"/>
  <c r="R35" i="57" s="1"/>
  <c r="S33" i="57"/>
  <c r="S35" i="57" s="1"/>
  <c r="T33" i="57"/>
  <c r="U33" i="57"/>
  <c r="V33" i="57"/>
  <c r="W33" i="57"/>
  <c r="W35" i="57" s="1"/>
  <c r="X33" i="57"/>
  <c r="Y33" i="57"/>
  <c r="Z33" i="57"/>
  <c r="AA33" i="57"/>
  <c r="AA35" i="57" s="1"/>
  <c r="AB33" i="57"/>
  <c r="AC33" i="57"/>
  <c r="AD33" i="57"/>
  <c r="AD35" i="57" s="1"/>
  <c r="C33" i="57"/>
  <c r="C35" i="57" s="1"/>
  <c r="D35" i="57"/>
  <c r="E35" i="57"/>
  <c r="F35" i="57"/>
  <c r="H35" i="57"/>
  <c r="I35" i="57"/>
  <c r="J35" i="57"/>
  <c r="L35" i="57"/>
  <c r="M35" i="57"/>
  <c r="P35" i="57"/>
  <c r="Q35" i="57"/>
  <c r="T35" i="57"/>
  <c r="U35" i="57"/>
  <c r="V35" i="57"/>
  <c r="X35" i="57"/>
  <c r="Y35" i="57"/>
  <c r="Z35" i="57"/>
  <c r="AB35" i="57"/>
  <c r="AC35" i="57"/>
  <c r="BJ39" i="68" l="1"/>
  <c r="AY39" i="68"/>
  <c r="AP39" i="68"/>
  <c r="BO39" i="68"/>
  <c r="AI39" i="68"/>
  <c r="AQ39" i="68"/>
  <c r="BF36" i="68"/>
  <c r="AP36" i="68"/>
  <c r="AV36" i="68"/>
  <c r="AL36" i="68"/>
  <c r="AR36" i="68"/>
  <c r="BG36" i="68"/>
  <c r="BK36" i="68"/>
  <c r="AE36" i="68"/>
  <c r="AH36" i="68"/>
  <c r="BI30" i="68"/>
  <c r="AG30" i="68"/>
  <c r="AY30" i="68"/>
  <c r="BK30" i="68"/>
  <c r="BL30" i="68"/>
  <c r="AF30" i="68"/>
  <c r="AL30" i="68"/>
  <c r="AP30" i="68"/>
  <c r="BE37" i="68"/>
  <c r="BQ37" i="68"/>
  <c r="AK37" i="68"/>
  <c r="AR37" i="68"/>
  <c r="AU37" i="68"/>
  <c r="AV37" i="68"/>
  <c r="BJ37" i="68"/>
  <c r="BN37" i="68"/>
  <c r="AH37" i="68"/>
  <c r="AN28" i="68"/>
  <c r="AY28" i="68"/>
  <c r="BA28" i="68"/>
  <c r="AT39" i="68"/>
  <c r="AV39" i="68"/>
  <c r="AJ39" i="68"/>
  <c r="AE35" i="68"/>
  <c r="AN35" i="68"/>
  <c r="BH35" i="68"/>
  <c r="BN35" i="68"/>
  <c r="AH35" i="68"/>
  <c r="BA35" i="68"/>
  <c r="AT35" i="68"/>
  <c r="AM28" i="68"/>
  <c r="AX28" i="68"/>
  <c r="AY36" i="68"/>
  <c r="BC36" i="68"/>
  <c r="AW30" i="68"/>
  <c r="AI37" i="68"/>
  <c r="AY35" i="68"/>
  <c r="BK35" i="68"/>
  <c r="AW35" i="68"/>
  <c r="BP28" i="68"/>
  <c r="AJ28" i="68"/>
  <c r="BI28" i="68"/>
  <c r="AT28" i="68"/>
  <c r="AW28" i="68"/>
  <c r="AS39" i="68"/>
  <c r="BE39" i="68"/>
  <c r="BL39" i="68"/>
  <c r="BQ29" i="68"/>
  <c r="AL29" i="68"/>
  <c r="AK29" i="68"/>
  <c r="AR29" i="68"/>
  <c r="AH29" i="68"/>
  <c r="AG29" i="68"/>
  <c r="AN29" i="68"/>
  <c r="AY29" i="68"/>
  <c r="AY27" i="68" s="1"/>
  <c r="BK29" i="68"/>
  <c r="AO36" i="68"/>
  <c r="BQ36" i="68"/>
  <c r="AG36" i="68"/>
  <c r="AN36" i="68"/>
  <c r="BI36" i="68"/>
  <c r="BP36" i="68"/>
  <c r="AF36" i="68"/>
  <c r="BJ32" i="68"/>
  <c r="BA30" i="68"/>
  <c r="BM30" i="68"/>
  <c r="AE30" i="68"/>
  <c r="AQ30" i="68"/>
  <c r="AZ30" i="68"/>
  <c r="BC30" i="68"/>
  <c r="BD30" i="68"/>
  <c r="BJ30" i="68"/>
  <c r="BN30" i="68"/>
  <c r="AH30" i="68"/>
  <c r="AO37" i="68"/>
  <c r="BI37" i="68"/>
  <c r="BP37" i="68"/>
  <c r="AJ37" i="68"/>
  <c r="AM37" i="68"/>
  <c r="AN37" i="68"/>
  <c r="BB37" i="68"/>
  <c r="BF37" i="68"/>
  <c r="AE37" i="68"/>
  <c r="BG39" i="68"/>
  <c r="AH39" i="68"/>
  <c r="BL35" i="68"/>
  <c r="AF35" i="68"/>
  <c r="AQ35" i="68"/>
  <c r="AZ35" i="68"/>
  <c r="BC35" i="68"/>
  <c r="BF35" i="68"/>
  <c r="BQ35" i="68"/>
  <c r="AK35" i="68"/>
  <c r="AL35" i="68"/>
  <c r="AO35" i="68"/>
  <c r="BH28" i="68"/>
  <c r="BK28" i="68"/>
  <c r="BL28" i="68"/>
  <c r="AF28" i="68"/>
  <c r="AQ28" i="68"/>
  <c r="AK28" i="68"/>
  <c r="AP28" i="68"/>
  <c r="AS28" i="68"/>
  <c r="AL28" i="68"/>
  <c r="AO28" i="68"/>
  <c r="BC39" i="68"/>
  <c r="AG39" i="68"/>
  <c r="AK39" i="68"/>
  <c r="AL39" i="68"/>
  <c r="AW39" i="68"/>
  <c r="BD39" i="68"/>
  <c r="BH39" i="68"/>
  <c r="AE39" i="68"/>
  <c r="BN29" i="68"/>
  <c r="BM29" i="68"/>
  <c r="BI29" i="68"/>
  <c r="BP29" i="68"/>
  <c r="AF29" i="68"/>
  <c r="BE29" i="68"/>
  <c r="BL29" i="68"/>
  <c r="AJ29" i="68"/>
  <c r="AQ29" i="68"/>
  <c r="BC29" i="68"/>
  <c r="AK36" i="68"/>
  <c r="BJ36" i="68"/>
  <c r="BM36" i="68"/>
  <c r="BE36" i="68"/>
  <c r="BL36" i="68"/>
  <c r="BB36" i="68"/>
  <c r="BA36" i="68"/>
  <c r="BH36" i="68"/>
  <c r="AJ36" i="68"/>
  <c r="AQ36" i="68"/>
  <c r="AU36" i="68"/>
  <c r="AO32" i="68"/>
  <c r="BA32" i="68"/>
  <c r="AJ32" i="68"/>
  <c r="AN32" i="68"/>
  <c r="AS30" i="68"/>
  <c r="BE30" i="68"/>
  <c r="BO30" i="68"/>
  <c r="AI30" i="68"/>
  <c r="AR30" i="68"/>
  <c r="AU30" i="68"/>
  <c r="AV30" i="68"/>
  <c r="BB30" i="68"/>
  <c r="BF30" i="68"/>
  <c r="AG37" i="68"/>
  <c r="BA37" i="68"/>
  <c r="BH37" i="68"/>
  <c r="BK37" i="68"/>
  <c r="BL37" i="68"/>
  <c r="AF37" i="68"/>
  <c r="AT37" i="68"/>
  <c r="AX37" i="68"/>
  <c r="BN39" i="68"/>
  <c r="BG37" i="68"/>
  <c r="BO37" i="68"/>
  <c r="BD35" i="68"/>
  <c r="BO35" i="68"/>
  <c r="AI35" i="68"/>
  <c r="AR35" i="68"/>
  <c r="AU35" i="68"/>
  <c r="AX35" i="68"/>
  <c r="BI35" i="68"/>
  <c r="BJ35" i="68"/>
  <c r="BM35" i="68"/>
  <c r="AG35" i="68"/>
  <c r="AZ28" i="68"/>
  <c r="BC28" i="68"/>
  <c r="BD28" i="68"/>
  <c r="BO28" i="68"/>
  <c r="AI28" i="68"/>
  <c r="BN28" i="68"/>
  <c r="AH28" i="68"/>
  <c r="BJ28" i="68"/>
  <c r="BM28" i="68"/>
  <c r="AG28" i="68"/>
  <c r="AU39" i="68"/>
  <c r="BI39" i="68"/>
  <c r="BQ39" i="68"/>
  <c r="AO39" i="68"/>
  <c r="AN39" i="68"/>
  <c r="AZ39" i="68"/>
  <c r="BF29" i="68"/>
  <c r="BB29" i="68"/>
  <c r="BA29" i="68"/>
  <c r="BH29" i="68"/>
  <c r="AX29" i="68"/>
  <c r="AW29" i="68"/>
  <c r="BD29" i="68"/>
  <c r="BO29" i="68"/>
  <c r="AI29" i="68"/>
  <c r="AU29" i="68"/>
  <c r="BH30" i="68"/>
  <c r="BN36" i="68"/>
  <c r="AX36" i="68"/>
  <c r="AW36" i="68"/>
  <c r="BD36" i="68"/>
  <c r="AT36" i="68"/>
  <c r="AS36" i="68"/>
  <c r="AZ36" i="68"/>
  <c r="BO36" i="68"/>
  <c r="AI36" i="68"/>
  <c r="AM36" i="68"/>
  <c r="BG32" i="68"/>
  <c r="BN32" i="68"/>
  <c r="BQ30" i="68"/>
  <c r="AK30" i="68"/>
  <c r="AO30" i="68"/>
  <c r="BG30" i="68"/>
  <c r="BP30" i="68"/>
  <c r="AJ30" i="68"/>
  <c r="AM30" i="68"/>
  <c r="AN30" i="68"/>
  <c r="AT30" i="68"/>
  <c r="AX30" i="68"/>
  <c r="BM37" i="68"/>
  <c r="AW37" i="68"/>
  <c r="AS37" i="68"/>
  <c r="AZ37" i="68"/>
  <c r="BC37" i="68"/>
  <c r="BD37" i="68"/>
  <c r="AL37" i="68"/>
  <c r="AP37" i="68"/>
  <c r="BK39" i="68"/>
  <c r="AY37" i="68"/>
  <c r="AQ37" i="68"/>
  <c r="AV35" i="68"/>
  <c r="BG35" i="68"/>
  <c r="BP35" i="68"/>
  <c r="AJ35" i="68"/>
  <c r="AM35" i="68"/>
  <c r="AP35" i="68"/>
  <c r="AS35" i="68"/>
  <c r="BB35" i="68"/>
  <c r="BE35" i="68"/>
  <c r="AR28" i="68"/>
  <c r="AU28" i="68"/>
  <c r="AV28" i="68"/>
  <c r="BG28" i="68"/>
  <c r="AE28" i="68"/>
  <c r="BF28" i="68"/>
  <c r="BQ28" i="68"/>
  <c r="BB28" i="68"/>
  <c r="BE28" i="68"/>
  <c r="AM39" i="68"/>
  <c r="BA39" i="68"/>
  <c r="BB39" i="68"/>
  <c r="BM39" i="68"/>
  <c r="BP39" i="68"/>
  <c r="AF39" i="68"/>
  <c r="AR39" i="68"/>
  <c r="BJ29" i="68"/>
  <c r="AT29" i="68"/>
  <c r="AS29" i="68"/>
  <c r="AZ29" i="68"/>
  <c r="AP29" i="68"/>
  <c r="AO29" i="68"/>
  <c r="AV29" i="68"/>
  <c r="BG29" i="68"/>
  <c r="AE29" i="68"/>
  <c r="AM29" i="68"/>
  <c r="E14" i="65"/>
  <c r="F1535" i="67"/>
  <c r="H1535" i="67" s="1"/>
  <c r="F1451" i="67"/>
  <c r="D25" i="65"/>
  <c r="E25" i="65" s="1"/>
  <c r="F25" i="65" s="1"/>
  <c r="G25" i="65" s="1"/>
  <c r="H25" i="65" s="1"/>
  <c r="I25" i="65" s="1"/>
  <c r="J25" i="65" s="1"/>
  <c r="I9" i="67"/>
  <c r="I7" i="67"/>
  <c r="I8" i="67" s="1"/>
  <c r="J9" i="67"/>
  <c r="J7" i="67"/>
  <c r="J8" i="67" s="1"/>
  <c r="AG14" i="65"/>
  <c r="F12" i="65"/>
  <c r="W12" i="65"/>
  <c r="AG12" i="65"/>
  <c r="AG13" i="65"/>
  <c r="F13" i="65"/>
  <c r="W13" i="65"/>
  <c r="W14" i="65"/>
  <c r="AE11" i="65"/>
  <c r="H1532" i="67"/>
  <c r="H1533" i="67"/>
  <c r="G52" i="68"/>
  <c r="G67" i="68" s="1"/>
  <c r="G53" i="68"/>
  <c r="G54" i="68" s="1"/>
  <c r="H53" i="68"/>
  <c r="H54" i="68" s="1"/>
  <c r="H52" i="68"/>
  <c r="D20" i="68"/>
  <c r="D21" i="68" s="1"/>
  <c r="D22" i="68" s="1"/>
  <c r="D23" i="68" s="1"/>
  <c r="D24" i="68" s="1"/>
  <c r="D25" i="68" s="1"/>
  <c r="D26" i="68" s="1"/>
  <c r="D19" i="68" s="1"/>
  <c r="D60" i="68" s="1"/>
  <c r="D11" i="68"/>
  <c r="D59" i="68" s="1"/>
  <c r="D63" i="68"/>
  <c r="D42" i="68"/>
  <c r="F1456" i="67"/>
  <c r="F1455" i="67"/>
  <c r="D1510" i="67"/>
  <c r="D1511" i="67" s="1"/>
  <c r="D1512" i="67" s="1"/>
  <c r="D1513" i="67" s="1"/>
  <c r="D1514" i="67" s="1"/>
  <c r="D1515" i="67" s="1"/>
  <c r="D1516" i="67" s="1"/>
  <c r="D1517" i="67" s="1"/>
  <c r="D1518" i="67" s="1"/>
  <c r="D1519" i="67" s="1"/>
  <c r="D1520" i="67" s="1"/>
  <c r="D1521" i="67" s="1"/>
  <c r="D1522" i="67" s="1"/>
  <c r="D1523" i="67" s="1"/>
  <c r="D1524" i="67" s="1"/>
  <c r="D1525" i="67" s="1"/>
  <c r="D1526" i="67" s="1"/>
  <c r="D1527" i="67" s="1"/>
  <c r="D1528" i="67" s="1"/>
  <c r="D1529" i="67" s="1"/>
  <c r="D1530" i="67" s="1"/>
  <c r="D1531" i="67" s="1"/>
  <c r="D1532" i="67" s="1"/>
  <c r="D1533" i="67" s="1"/>
  <c r="D1534" i="67" s="1"/>
  <c r="D1535" i="67" s="1"/>
  <c r="D1536" i="67" s="1"/>
  <c r="D1537" i="67" s="1"/>
  <c r="D1538" i="67" s="1"/>
  <c r="D1539" i="67" s="1"/>
  <c r="D1540" i="67" s="1"/>
  <c r="D1541" i="67" s="1"/>
  <c r="D1542" i="67" s="1"/>
  <c r="D1543" i="67" s="1"/>
  <c r="D1544" i="67" s="1"/>
  <c r="D1545" i="67" s="1"/>
  <c r="D1546" i="67" s="1"/>
  <c r="D1547" i="67" s="1"/>
  <c r="D1548" i="67" s="1"/>
  <c r="D1549" i="67" s="1"/>
  <c r="D1550" i="67" s="1"/>
  <c r="D1551" i="67" s="1"/>
  <c r="D1552" i="67" s="1"/>
  <c r="D1553" i="67" s="1"/>
  <c r="D1554" i="67" s="1"/>
  <c r="D1555" i="67" s="1"/>
  <c r="D1556" i="67" s="1"/>
  <c r="D1557" i="67" s="1"/>
  <c r="D1558" i="67" s="1"/>
  <c r="D1559" i="67" s="1"/>
  <c r="D1560" i="67" s="1"/>
  <c r="D1561" i="67" s="1"/>
  <c r="D1562" i="67" s="1"/>
  <c r="D1498" i="67"/>
  <c r="D1499" i="67" s="1"/>
  <c r="D1500" i="67" s="1"/>
  <c r="D1501" i="67" s="1"/>
  <c r="D1502" i="67" s="1"/>
  <c r="D1503" i="67" s="1"/>
  <c r="D1504" i="67" s="1"/>
  <c r="D1505" i="67" s="1"/>
  <c r="D1506" i="67" s="1"/>
  <c r="D1507" i="67" s="1"/>
  <c r="D1508" i="67" s="1"/>
  <c r="D1509" i="67" s="1"/>
  <c r="F1550" i="67"/>
  <c r="H1549" i="67"/>
  <c r="H1468" i="67"/>
  <c r="F1469" i="67"/>
  <c r="H1512" i="67"/>
  <c r="F1513" i="67"/>
  <c r="H1513" i="67" s="1"/>
  <c r="J1510" i="67"/>
  <c r="J1511" i="67" s="1"/>
  <c r="J1512" i="67" s="1"/>
  <c r="J1513" i="67" s="1"/>
  <c r="J1514" i="67" s="1"/>
  <c r="J1515" i="67" s="1"/>
  <c r="J1516" i="67" s="1"/>
  <c r="J1517" i="67" s="1"/>
  <c r="J1518" i="67" s="1"/>
  <c r="J1519" i="67" s="1"/>
  <c r="J1520" i="67" s="1"/>
  <c r="J1521" i="67" s="1"/>
  <c r="J1522" i="67" s="1"/>
  <c r="J1523" i="67" s="1"/>
  <c r="J1524" i="67" s="1"/>
  <c r="J1525" i="67" s="1"/>
  <c r="J1526" i="67" s="1"/>
  <c r="J1527" i="67" s="1"/>
  <c r="J1528" i="67" s="1"/>
  <c r="J1529" i="67" s="1"/>
  <c r="J1530" i="67" s="1"/>
  <c r="J1531" i="67" s="1"/>
  <c r="J1532" i="67" s="1"/>
  <c r="J1533" i="67" s="1"/>
  <c r="J1534" i="67" s="1"/>
  <c r="J1535" i="67" s="1"/>
  <c r="J1536" i="67" s="1"/>
  <c r="J1537" i="67" s="1"/>
  <c r="J1538" i="67" s="1"/>
  <c r="J1539" i="67" s="1"/>
  <c r="J1540" i="67" s="1"/>
  <c r="J1541" i="67" s="1"/>
  <c r="J1542" i="67" s="1"/>
  <c r="J1543" i="67" s="1"/>
  <c r="J1544" i="67" s="1"/>
  <c r="J1545" i="67" s="1"/>
  <c r="J1546" i="67" s="1"/>
  <c r="J1547" i="67" s="1"/>
  <c r="J1548" i="67" s="1"/>
  <c r="J1549" i="67" s="1"/>
  <c r="J1550" i="67" s="1"/>
  <c r="J1551" i="67" s="1"/>
  <c r="J1552" i="67" s="1"/>
  <c r="J1553" i="67" s="1"/>
  <c r="J1554" i="67" s="1"/>
  <c r="J1555" i="67" s="1"/>
  <c r="J1556" i="67" s="1"/>
  <c r="J1557" i="67" s="1"/>
  <c r="J1558" i="67" s="1"/>
  <c r="J1559" i="67" s="1"/>
  <c r="J1560" i="67" s="1"/>
  <c r="J1561" i="67" s="1"/>
  <c r="J1562" i="67" s="1"/>
  <c r="J1498" i="67"/>
  <c r="J1499" i="67" s="1"/>
  <c r="J1500" i="67" s="1"/>
  <c r="J1501" i="67" s="1"/>
  <c r="J1502" i="67" s="1"/>
  <c r="J1503" i="67" s="1"/>
  <c r="J1504" i="67" s="1"/>
  <c r="J1505" i="67" s="1"/>
  <c r="J1506" i="67" s="1"/>
  <c r="J1507" i="67" s="1"/>
  <c r="J1508" i="67" s="1"/>
  <c r="J1509" i="67" s="1"/>
  <c r="F1517" i="67"/>
  <c r="H1516" i="67"/>
  <c r="D29" i="65"/>
  <c r="E29" i="65" s="1"/>
  <c r="F29" i="65" s="1"/>
  <c r="G29" i="65" s="1"/>
  <c r="H29" i="65" s="1"/>
  <c r="I29" i="65" s="1"/>
  <c r="J29" i="65" s="1"/>
  <c r="L8" i="65"/>
  <c r="M8" i="65" s="1"/>
  <c r="C26" i="65"/>
  <c r="D26" i="65" s="1"/>
  <c r="E26" i="65" s="1"/>
  <c r="F26" i="65" s="1"/>
  <c r="G26" i="65" s="1"/>
  <c r="H26" i="65" s="1"/>
  <c r="I26" i="65" s="1"/>
  <c r="J26" i="65" s="1"/>
  <c r="C28" i="65"/>
  <c r="C27" i="65"/>
  <c r="D27" i="65" s="1"/>
  <c r="E27" i="65" s="1"/>
  <c r="F27" i="65" s="1"/>
  <c r="G27" i="65" s="1"/>
  <c r="H27" i="65" s="1"/>
  <c r="I27" i="65" s="1"/>
  <c r="J27" i="65" s="1"/>
  <c r="AF6" i="65"/>
  <c r="AG6" i="65" s="1"/>
  <c r="V6" i="65"/>
  <c r="W6" i="65" s="1"/>
  <c r="L9" i="65"/>
  <c r="K9" i="65"/>
  <c r="U11" i="65"/>
  <c r="V8" i="65"/>
  <c r="V7" i="65"/>
  <c r="U10" i="65"/>
  <c r="K10" i="65"/>
  <c r="L7" i="65"/>
  <c r="N6" i="65"/>
  <c r="M9" i="65"/>
  <c r="AE10" i="65"/>
  <c r="AF7" i="65"/>
  <c r="AG8" i="65"/>
  <c r="AF11" i="65"/>
  <c r="AJ35" i="57"/>
  <c r="AK35" i="57"/>
  <c r="Y43" i="50" s="1"/>
  <c r="BQ27" i="68" l="1"/>
  <c r="BF27" i="68"/>
  <c r="AG27" i="68"/>
  <c r="F1536" i="67"/>
  <c r="AP34" i="68"/>
  <c r="D28" i="65"/>
  <c r="E28" i="65" s="1"/>
  <c r="F28" i="65" s="1"/>
  <c r="G28" i="65" s="1"/>
  <c r="H28" i="65" s="1"/>
  <c r="I28" i="65" s="1"/>
  <c r="J28" i="65" s="1"/>
  <c r="K28" i="65" s="1"/>
  <c r="AV34" i="68"/>
  <c r="AH34" i="68"/>
  <c r="BJ34" i="68"/>
  <c r="AV27" i="68"/>
  <c r="BN34" i="68"/>
  <c r="AG34" i="68"/>
  <c r="AL27" i="68"/>
  <c r="BE27" i="68"/>
  <c r="AR27" i="68"/>
  <c r="BG34" i="68"/>
  <c r="BC27" i="68"/>
  <c r="BA34" i="68"/>
  <c r="AF27" i="68"/>
  <c r="AS34" i="68"/>
  <c r="BA27" i="68"/>
  <c r="BK27" i="68"/>
  <c r="BK34" i="68"/>
  <c r="BB27" i="68"/>
  <c r="BE34" i="68"/>
  <c r="AX27" i="68"/>
  <c r="BM27" i="68"/>
  <c r="AJ34" i="68"/>
  <c r="AT34" i="68"/>
  <c r="BL27" i="68"/>
  <c r="AN34" i="68"/>
  <c r="AM27" i="68"/>
  <c r="AU27" i="68"/>
  <c r="AH27" i="68"/>
  <c r="BH34" i="68"/>
  <c r="BF34" i="68"/>
  <c r="BP34" i="68"/>
  <c r="BD27" i="68"/>
  <c r="BM34" i="68"/>
  <c r="BD34" i="68"/>
  <c r="AS27" i="68"/>
  <c r="AO34" i="68"/>
  <c r="AF34" i="68"/>
  <c r="AT27" i="68"/>
  <c r="AW34" i="68"/>
  <c r="BN27" i="68"/>
  <c r="AR34" i="68"/>
  <c r="AU34" i="68"/>
  <c r="AP27" i="68"/>
  <c r="AL34" i="68"/>
  <c r="BC34" i="68"/>
  <c r="BL34" i="68"/>
  <c r="AN27" i="68"/>
  <c r="BI27" i="68"/>
  <c r="BG27" i="68"/>
  <c r="AM34" i="68"/>
  <c r="AI27" i="68"/>
  <c r="AZ27" i="68"/>
  <c r="BI34" i="68"/>
  <c r="AI34" i="68"/>
  <c r="AO27" i="68"/>
  <c r="AK27" i="68"/>
  <c r="AK34" i="68"/>
  <c r="AZ34" i="68"/>
  <c r="AJ27" i="68"/>
  <c r="BB34" i="68"/>
  <c r="BJ27" i="68"/>
  <c r="BO27" i="68"/>
  <c r="AX34" i="68"/>
  <c r="BO34" i="68"/>
  <c r="AQ27" i="68"/>
  <c r="BH27" i="68"/>
  <c r="BQ34" i="68"/>
  <c r="AQ34" i="68"/>
  <c r="AW27" i="68"/>
  <c r="BP27" i="68"/>
  <c r="AY34" i="68"/>
  <c r="F1453" i="67"/>
  <c r="F14" i="65"/>
  <c r="K25" i="65"/>
  <c r="L25" i="65" s="1"/>
  <c r="M25" i="65" s="1"/>
  <c r="X13" i="65"/>
  <c r="G12" i="65"/>
  <c r="AH13" i="65"/>
  <c r="AH12" i="65"/>
  <c r="X14" i="65"/>
  <c r="G13" i="65"/>
  <c r="X12" i="65"/>
  <c r="AH14" i="65"/>
  <c r="K29" i="65"/>
  <c r="L11" i="65"/>
  <c r="D64" i="68"/>
  <c r="D43" i="68"/>
  <c r="D65" i="68" s="1"/>
  <c r="D44" i="68"/>
  <c r="D45" i="68" s="1"/>
  <c r="D46" i="68" s="1"/>
  <c r="D47" i="68" s="1"/>
  <c r="D48" i="68" s="1"/>
  <c r="H1469" i="67"/>
  <c r="F1470" i="67"/>
  <c r="F1452" i="67"/>
  <c r="F1551" i="67"/>
  <c r="H1550" i="67"/>
  <c r="F1518" i="67"/>
  <c r="H1517" i="67"/>
  <c r="F1537" i="67"/>
  <c r="H1536" i="67"/>
  <c r="K26" i="65"/>
  <c r="AF9" i="65"/>
  <c r="K27" i="65"/>
  <c r="V9" i="65"/>
  <c r="AH6" i="65"/>
  <c r="AG9" i="65"/>
  <c r="AH8" i="65"/>
  <c r="AG11" i="65"/>
  <c r="O6" i="65"/>
  <c r="N9" i="65"/>
  <c r="W7" i="65"/>
  <c r="V10" i="65"/>
  <c r="N8" i="65"/>
  <c r="M11" i="65"/>
  <c r="AF10" i="65"/>
  <c r="AG7" i="65"/>
  <c r="L10" i="65"/>
  <c r="M7" i="65"/>
  <c r="W8" i="65"/>
  <c r="V11" i="65"/>
  <c r="X6" i="65"/>
  <c r="W9" i="65"/>
  <c r="C31" i="57"/>
  <c r="D31" i="57"/>
  <c r="E31" i="57"/>
  <c r="F31" i="57"/>
  <c r="G31" i="57"/>
  <c r="H31" i="57"/>
  <c r="I31" i="57"/>
  <c r="J31" i="57"/>
  <c r="K31" i="57"/>
  <c r="L31" i="57"/>
  <c r="M31" i="57"/>
  <c r="N31" i="57"/>
  <c r="O31" i="57"/>
  <c r="P31" i="57"/>
  <c r="Q31" i="57"/>
  <c r="R31" i="57"/>
  <c r="S31" i="57"/>
  <c r="T31" i="57"/>
  <c r="U31" i="57"/>
  <c r="V31" i="57"/>
  <c r="W31" i="57"/>
  <c r="X31" i="57"/>
  <c r="Y31" i="57"/>
  <c r="Z31" i="57"/>
  <c r="AA31" i="57"/>
  <c r="AB31" i="57"/>
  <c r="AC31" i="57"/>
  <c r="AD31" i="57"/>
  <c r="BK64" i="50"/>
  <c r="BA64" i="50"/>
  <c r="AQ64" i="50"/>
  <c r="AG64" i="50"/>
  <c r="Y64" i="50"/>
  <c r="D124" i="34"/>
  <c r="D125" i="34"/>
  <c r="D126" i="34"/>
  <c r="D127" i="34"/>
  <c r="D128" i="34"/>
  <c r="D129" i="34"/>
  <c r="D130" i="34"/>
  <c r="D131" i="34"/>
  <c r="D132" i="34"/>
  <c r="D133" i="34"/>
  <c r="D134" i="34"/>
  <c r="C69" i="57"/>
  <c r="G14" i="65" l="1"/>
  <c r="N25" i="65"/>
  <c r="H12" i="65"/>
  <c r="AI13" i="65"/>
  <c r="H13" i="65"/>
  <c r="AI12" i="65"/>
  <c r="Y13" i="65"/>
  <c r="Y14" i="65"/>
  <c r="AI14" i="65"/>
  <c r="Y12" i="65"/>
  <c r="L26" i="65"/>
  <c r="L29" i="65"/>
  <c r="D50" i="68"/>
  <c r="D51" i="68" s="1"/>
  <c r="D49" i="68"/>
  <c r="D66" i="68" s="1"/>
  <c r="F1552" i="67"/>
  <c r="H1551" i="67"/>
  <c r="H1518" i="67"/>
  <c r="F1519" i="67"/>
  <c r="H1470" i="67"/>
  <c r="F1471" i="67"/>
  <c r="F1538" i="67"/>
  <c r="H1537" i="67"/>
  <c r="L27" i="65"/>
  <c r="L28" i="65"/>
  <c r="AH7" i="65"/>
  <c r="AG10" i="65"/>
  <c r="X8" i="65"/>
  <c r="W11" i="65"/>
  <c r="X7" i="65"/>
  <c r="W10" i="65"/>
  <c r="AI8" i="65"/>
  <c r="AH11" i="65"/>
  <c r="M10" i="65"/>
  <c r="N7" i="65"/>
  <c r="Y6" i="65"/>
  <c r="X9" i="65"/>
  <c r="O8" i="65"/>
  <c r="N11" i="65"/>
  <c r="P6" i="65"/>
  <c r="O9" i="65"/>
  <c r="AI6" i="65"/>
  <c r="AH9" i="65"/>
  <c r="I5" i="36"/>
  <c r="J5" i="36"/>
  <c r="K5" i="36"/>
  <c r="L5" i="36"/>
  <c r="M5" i="36"/>
  <c r="N5" i="36"/>
  <c r="O5" i="36"/>
  <c r="P5" i="36"/>
  <c r="Q5" i="36"/>
  <c r="R5" i="36"/>
  <c r="S5" i="36"/>
  <c r="T5" i="36"/>
  <c r="U5" i="36"/>
  <c r="V5" i="36"/>
  <c r="W5" i="36"/>
  <c r="X5" i="36"/>
  <c r="Y5" i="36"/>
  <c r="Z5" i="36"/>
  <c r="AA5" i="36"/>
  <c r="AB5" i="36"/>
  <c r="AC5" i="36"/>
  <c r="I6" i="36"/>
  <c r="J6" i="36"/>
  <c r="K6" i="36"/>
  <c r="L6" i="36"/>
  <c r="M6" i="36"/>
  <c r="N6" i="36"/>
  <c r="O6" i="36"/>
  <c r="P6" i="36"/>
  <c r="Q6" i="36"/>
  <c r="R6" i="36"/>
  <c r="S6" i="36"/>
  <c r="T6" i="36"/>
  <c r="U6" i="36"/>
  <c r="V6" i="36"/>
  <c r="W6" i="36"/>
  <c r="X6" i="36"/>
  <c r="Y6" i="36"/>
  <c r="Z6" i="36"/>
  <c r="AA6" i="36"/>
  <c r="AB6" i="36"/>
  <c r="AC6" i="36"/>
  <c r="I8" i="36"/>
  <c r="J8" i="36"/>
  <c r="K8" i="36"/>
  <c r="L8" i="36"/>
  <c r="M8" i="36"/>
  <c r="N8" i="36"/>
  <c r="O8" i="36"/>
  <c r="P8" i="36"/>
  <c r="Q8" i="36"/>
  <c r="R8" i="36"/>
  <c r="S8" i="36"/>
  <c r="T8" i="36"/>
  <c r="U8" i="36"/>
  <c r="V8" i="36"/>
  <c r="W8" i="36"/>
  <c r="X8" i="36"/>
  <c r="Y8" i="36"/>
  <c r="Z8" i="36"/>
  <c r="AA8" i="36"/>
  <c r="AB8" i="36"/>
  <c r="AC8" i="36"/>
  <c r="I9" i="36"/>
  <c r="J9" i="36"/>
  <c r="K9" i="36"/>
  <c r="L9" i="36"/>
  <c r="M9" i="36"/>
  <c r="N9" i="36"/>
  <c r="O9" i="36"/>
  <c r="P9" i="36"/>
  <c r="Q9" i="36"/>
  <c r="R9" i="36"/>
  <c r="S9" i="36"/>
  <c r="T9" i="36"/>
  <c r="U9" i="36"/>
  <c r="V9" i="36"/>
  <c r="W9" i="36"/>
  <c r="X9" i="36"/>
  <c r="Y9" i="36"/>
  <c r="Z9" i="36"/>
  <c r="AA9" i="36"/>
  <c r="AB9" i="36"/>
  <c r="AC9" i="36"/>
  <c r="H8" i="36"/>
  <c r="H9" i="36"/>
  <c r="H6" i="36"/>
  <c r="H5" i="36"/>
  <c r="K7" i="36"/>
  <c r="L7" i="36"/>
  <c r="O7" i="36"/>
  <c r="P7" i="36"/>
  <c r="S7" i="36"/>
  <c r="T7" i="36"/>
  <c r="W7" i="36"/>
  <c r="X7" i="36"/>
  <c r="AA7" i="36"/>
  <c r="AB7" i="36"/>
  <c r="I7" i="36"/>
  <c r="M7" i="36"/>
  <c r="Q7" i="36"/>
  <c r="U7" i="36"/>
  <c r="Y7" i="36"/>
  <c r="AC7" i="36"/>
  <c r="J7" i="36"/>
  <c r="N7" i="36"/>
  <c r="R7" i="36"/>
  <c r="V7" i="36"/>
  <c r="Z7" i="36"/>
  <c r="C70" i="57"/>
  <c r="H14" i="65" l="1"/>
  <c r="O25" i="65"/>
  <c r="I13" i="65"/>
  <c r="Z12" i="65"/>
  <c r="Z14" i="65"/>
  <c r="AJ12" i="65"/>
  <c r="I12" i="65"/>
  <c r="AJ14" i="65"/>
  <c r="Z13" i="65"/>
  <c r="AJ13" i="65"/>
  <c r="M27" i="65"/>
  <c r="M29" i="65"/>
  <c r="M26" i="65"/>
  <c r="D53" i="68"/>
  <c r="D54" i="68" s="1"/>
  <c r="D52" i="68"/>
  <c r="D67" i="68" s="1"/>
  <c r="H1519" i="67"/>
  <c r="F1520" i="67"/>
  <c r="F1539" i="67"/>
  <c r="H1538" i="67"/>
  <c r="H1471" i="67"/>
  <c r="F1472" i="67"/>
  <c r="F1553" i="67"/>
  <c r="H1552" i="67"/>
  <c r="M28" i="65"/>
  <c r="Q6" i="65"/>
  <c r="P9" i="65"/>
  <c r="Z6" i="65"/>
  <c r="Y9" i="65"/>
  <c r="AJ8" i="65"/>
  <c r="AI11" i="65"/>
  <c r="Y8" i="65"/>
  <c r="X11" i="65"/>
  <c r="N10" i="65"/>
  <c r="O7" i="65"/>
  <c r="AJ6" i="65"/>
  <c r="AI9" i="65"/>
  <c r="P8" i="65"/>
  <c r="O11" i="65"/>
  <c r="Y7" i="65"/>
  <c r="X10" i="65"/>
  <c r="AI7" i="65"/>
  <c r="AH10" i="65"/>
  <c r="H7" i="36"/>
  <c r="H85" i="36"/>
  <c r="I85" i="36"/>
  <c r="J85" i="36"/>
  <c r="K85" i="36"/>
  <c r="L85" i="36"/>
  <c r="M85" i="36"/>
  <c r="N85" i="36"/>
  <c r="O85" i="36"/>
  <c r="P85" i="36"/>
  <c r="Q85" i="36"/>
  <c r="R85" i="36"/>
  <c r="S85" i="36"/>
  <c r="T85" i="36"/>
  <c r="U85" i="36"/>
  <c r="V85" i="36"/>
  <c r="W85" i="36"/>
  <c r="X85" i="36"/>
  <c r="Y85" i="36"/>
  <c r="Z85" i="36"/>
  <c r="AA85" i="36"/>
  <c r="AB85" i="36"/>
  <c r="AC85" i="36"/>
  <c r="AE43" i="36"/>
  <c r="AE84" i="36" s="1"/>
  <c r="AF43" i="36"/>
  <c r="AF84" i="36" s="1"/>
  <c r="AG43" i="36"/>
  <c r="AG84" i="36" s="1"/>
  <c r="AH43" i="36"/>
  <c r="AH84" i="36" s="1"/>
  <c r="AI43" i="36"/>
  <c r="AI84" i="36" s="1"/>
  <c r="AJ43" i="36"/>
  <c r="AJ84" i="36" s="1"/>
  <c r="AK43" i="36"/>
  <c r="AK84" i="36" s="1"/>
  <c r="AL43" i="36"/>
  <c r="AL84" i="36" s="1"/>
  <c r="AM43" i="36"/>
  <c r="AM84" i="36" s="1"/>
  <c r="AN43" i="36"/>
  <c r="AN84" i="36" s="1"/>
  <c r="AO43" i="36"/>
  <c r="AO84" i="36" s="1"/>
  <c r="AP43" i="36"/>
  <c r="AP84" i="36" s="1"/>
  <c r="AQ43" i="36"/>
  <c r="AQ84" i="36" s="1"/>
  <c r="AR43" i="36"/>
  <c r="AR84" i="36" s="1"/>
  <c r="AS43" i="36"/>
  <c r="AS84" i="36" s="1"/>
  <c r="AT43" i="36"/>
  <c r="AT84" i="36" s="1"/>
  <c r="AU43" i="36"/>
  <c r="AU84" i="36" s="1"/>
  <c r="AV43" i="36"/>
  <c r="AV84" i="36" s="1"/>
  <c r="AW43" i="36"/>
  <c r="AW84" i="36" s="1"/>
  <c r="AX43" i="36"/>
  <c r="AX84" i="36" s="1"/>
  <c r="AY43" i="36"/>
  <c r="AY84" i="36" s="1"/>
  <c r="AZ43" i="36"/>
  <c r="AZ84" i="36" s="1"/>
  <c r="BA43" i="36"/>
  <c r="BA84" i="36" s="1"/>
  <c r="BB43" i="36"/>
  <c r="BB84" i="36" s="1"/>
  <c r="BC43" i="36"/>
  <c r="BC84" i="36" s="1"/>
  <c r="BD43" i="36"/>
  <c r="BD84" i="36" s="1"/>
  <c r="BE43" i="36"/>
  <c r="BE84" i="36" s="1"/>
  <c r="BF43" i="36"/>
  <c r="BF84" i="36" s="1"/>
  <c r="BG43" i="36"/>
  <c r="BG84" i="36" s="1"/>
  <c r="BH43" i="36"/>
  <c r="BH84" i="36" s="1"/>
  <c r="BI43" i="36"/>
  <c r="BI84" i="36" s="1"/>
  <c r="BJ43" i="36"/>
  <c r="BJ84" i="36" s="1"/>
  <c r="BK43" i="36"/>
  <c r="BK84" i="36" s="1"/>
  <c r="BL43" i="36"/>
  <c r="BL84" i="36" s="1"/>
  <c r="BM43" i="36"/>
  <c r="BM84" i="36" s="1"/>
  <c r="BN43" i="36"/>
  <c r="BN84" i="36" s="1"/>
  <c r="BO43" i="36"/>
  <c r="BO84" i="36" s="1"/>
  <c r="BP43" i="36"/>
  <c r="BP84" i="36" s="1"/>
  <c r="AD43" i="36"/>
  <c r="AD84" i="36" s="1"/>
  <c r="AD42" i="36"/>
  <c r="AD83" i="36" s="1"/>
  <c r="I14" i="65" l="1"/>
  <c r="P25" i="65"/>
  <c r="N27" i="65"/>
  <c r="AK14" i="65"/>
  <c r="J13" i="65"/>
  <c r="AK13" i="65"/>
  <c r="AA13" i="65"/>
  <c r="J12" i="65"/>
  <c r="AK12" i="65"/>
  <c r="AA14" i="65"/>
  <c r="AA12" i="65"/>
  <c r="N29" i="65"/>
  <c r="N26" i="65"/>
  <c r="F1554" i="67"/>
  <c r="H1553" i="67"/>
  <c r="F1540" i="67"/>
  <c r="H1539" i="67"/>
  <c r="H1472" i="67"/>
  <c r="F1473" i="67"/>
  <c r="H1520" i="67"/>
  <c r="F1521" i="67"/>
  <c r="N28" i="65"/>
  <c r="Z7" i="65"/>
  <c r="Y10" i="65"/>
  <c r="AK6" i="65"/>
  <c r="AJ9" i="65"/>
  <c r="Z8" i="65"/>
  <c r="Y11" i="65"/>
  <c r="AA6" i="65"/>
  <c r="Z9" i="65"/>
  <c r="P7" i="65"/>
  <c r="O10" i="65"/>
  <c r="AJ7" i="65"/>
  <c r="AI10" i="65"/>
  <c r="Q8" i="65"/>
  <c r="P11" i="65"/>
  <c r="AK8" i="65"/>
  <c r="AJ11" i="65"/>
  <c r="R6" i="65"/>
  <c r="Q9" i="65"/>
  <c r="C37" i="62"/>
  <c r="J14" i="65" l="1"/>
  <c r="Q25" i="65"/>
  <c r="AB13" i="65"/>
  <c r="AB12" i="65"/>
  <c r="AL14" i="65"/>
  <c r="AB14" i="65"/>
  <c r="AL12" i="65"/>
  <c r="K12" i="65"/>
  <c r="AL13" i="65"/>
  <c r="K13" i="65"/>
  <c r="O29" i="65"/>
  <c r="P29" i="65" s="1"/>
  <c r="O26" i="65"/>
  <c r="O28" i="65"/>
  <c r="F1522" i="67"/>
  <c r="H1521" i="67"/>
  <c r="F1541" i="67"/>
  <c r="H1540" i="67"/>
  <c r="H1473" i="67"/>
  <c r="F1474" i="67"/>
  <c r="F1555" i="67"/>
  <c r="H1554" i="67"/>
  <c r="O27" i="65"/>
  <c r="AL8" i="65"/>
  <c r="AK11" i="65"/>
  <c r="AK7" i="65"/>
  <c r="AJ10" i="65"/>
  <c r="AB6" i="65"/>
  <c r="AA9" i="65"/>
  <c r="AL6" i="65"/>
  <c r="AK9" i="65"/>
  <c r="S6" i="65"/>
  <c r="R9" i="65"/>
  <c r="R8" i="65"/>
  <c r="Q11" i="65"/>
  <c r="Q7" i="65"/>
  <c r="P10" i="65"/>
  <c r="AA8" i="65"/>
  <c r="Z11" i="65"/>
  <c r="AA7" i="65"/>
  <c r="Z10" i="65"/>
  <c r="C14" i="45"/>
  <c r="C15" i="45"/>
  <c r="C16" i="45"/>
  <c r="C17" i="45"/>
  <c r="C18" i="45"/>
  <c r="C13" i="45"/>
  <c r="C12" i="45"/>
  <c r="K14" i="65" l="1"/>
  <c r="R25" i="65"/>
  <c r="L13" i="65"/>
  <c r="L12" i="65"/>
  <c r="AC13" i="65"/>
  <c r="AC12" i="65"/>
  <c r="AM13" i="65"/>
  <c r="AM12" i="65"/>
  <c r="AM14" i="65"/>
  <c r="AC14" i="65"/>
  <c r="P28" i="65"/>
  <c r="Q29" i="65"/>
  <c r="P26" i="65"/>
  <c r="H1522" i="67"/>
  <c r="F1523" i="67"/>
  <c r="H1474" i="67"/>
  <c r="F1475" i="67"/>
  <c r="F1556" i="67"/>
  <c r="H1555" i="67"/>
  <c r="F1542" i="67"/>
  <c r="H1541" i="67"/>
  <c r="P27" i="65"/>
  <c r="AB8" i="65"/>
  <c r="AA11" i="65"/>
  <c r="AM6" i="65"/>
  <c r="AL9" i="65"/>
  <c r="S8" i="65"/>
  <c r="R11" i="65"/>
  <c r="AL7" i="65"/>
  <c r="AK10" i="65"/>
  <c r="AB7" i="65"/>
  <c r="AA10" i="65"/>
  <c r="R7" i="65"/>
  <c r="Q10" i="65"/>
  <c r="S9" i="65"/>
  <c r="T9" i="65"/>
  <c r="AC6" i="65"/>
  <c r="AB9" i="65"/>
  <c r="AM8" i="65"/>
  <c r="AL11" i="65"/>
  <c r="A13" i="62"/>
  <c r="B13" i="62" s="1"/>
  <c r="A14" i="62"/>
  <c r="B14" i="62" s="1"/>
  <c r="A15" i="62"/>
  <c r="B15" i="62" s="1"/>
  <c r="A16" i="62"/>
  <c r="B16" i="62" s="1"/>
  <c r="A17" i="62"/>
  <c r="B17" i="62" s="1"/>
  <c r="A18" i="62"/>
  <c r="B18" i="62" s="1"/>
  <c r="A19" i="62"/>
  <c r="B19" i="62" s="1"/>
  <c r="C20" i="62"/>
  <c r="C25" i="62"/>
  <c r="C31" i="62"/>
  <c r="C39" i="62"/>
  <c r="C7" i="62"/>
  <c r="L14" i="65" l="1"/>
  <c r="S25" i="65"/>
  <c r="T25" i="65" s="1"/>
  <c r="Q28" i="65"/>
  <c r="M12" i="65"/>
  <c r="M13" i="65"/>
  <c r="R29" i="65"/>
  <c r="Q26" i="65"/>
  <c r="F1557" i="67"/>
  <c r="H1556" i="67"/>
  <c r="H1475" i="67"/>
  <c r="F1476" i="67"/>
  <c r="F1543" i="67"/>
  <c r="H1542" i="67"/>
  <c r="H1523" i="67"/>
  <c r="F1524" i="67"/>
  <c r="Q27" i="65"/>
  <c r="S7" i="65"/>
  <c r="R10" i="65"/>
  <c r="AM7" i="65"/>
  <c r="AL10" i="65"/>
  <c r="AC9" i="65"/>
  <c r="AD9" i="65"/>
  <c r="AM9" i="65"/>
  <c r="AN9" i="65"/>
  <c r="AM11" i="65"/>
  <c r="AN11" i="65"/>
  <c r="AC7" i="65"/>
  <c r="AB10" i="65"/>
  <c r="S11" i="65"/>
  <c r="T11" i="65"/>
  <c r="AC8" i="65"/>
  <c r="AB11" i="65"/>
  <c r="Z4" i="69"/>
  <c r="AA4" i="69"/>
  <c r="AB4" i="69"/>
  <c r="AC4" i="69"/>
  <c r="AD4" i="69"/>
  <c r="AE4" i="69"/>
  <c r="AF4" i="69"/>
  <c r="AG4" i="69"/>
  <c r="AH4" i="69"/>
  <c r="AI4" i="69"/>
  <c r="AJ4" i="69"/>
  <c r="AK4" i="69"/>
  <c r="AL4" i="69"/>
  <c r="AM4" i="69"/>
  <c r="AN4" i="69"/>
  <c r="AO4" i="69"/>
  <c r="AP4" i="69"/>
  <c r="AQ4" i="69"/>
  <c r="AR4" i="69"/>
  <c r="AS4" i="69"/>
  <c r="AT4" i="69"/>
  <c r="AU4" i="69"/>
  <c r="AV4" i="69"/>
  <c r="AW4" i="69"/>
  <c r="AX4" i="69"/>
  <c r="AY4" i="69"/>
  <c r="AZ4" i="69"/>
  <c r="BA4" i="69"/>
  <c r="BB4" i="69"/>
  <c r="BC4" i="69"/>
  <c r="BD4" i="69"/>
  <c r="BE4" i="69"/>
  <c r="BF4" i="69"/>
  <c r="BG4" i="69"/>
  <c r="BH4" i="69"/>
  <c r="BI4" i="69"/>
  <c r="BJ4" i="69"/>
  <c r="BK4" i="69"/>
  <c r="Y4" i="69"/>
  <c r="C8" i="59"/>
  <c r="M14" i="65" l="1"/>
  <c r="U25" i="65"/>
  <c r="R28" i="65"/>
  <c r="N12" i="65"/>
  <c r="N13" i="65"/>
  <c r="S29" i="65"/>
  <c r="T29" i="65" s="1"/>
  <c r="R26" i="65"/>
  <c r="H1524" i="67"/>
  <c r="F1525" i="67"/>
  <c r="H1476" i="67"/>
  <c r="F1477" i="67"/>
  <c r="F1544" i="67"/>
  <c r="H1543" i="67"/>
  <c r="F1558" i="67"/>
  <c r="H1557" i="67"/>
  <c r="R27" i="65"/>
  <c r="AC10" i="65"/>
  <c r="AD10" i="65"/>
  <c r="AM10" i="65"/>
  <c r="AN10" i="65"/>
  <c r="AC11" i="65"/>
  <c r="AD11" i="65"/>
  <c r="S10" i="65"/>
  <c r="T10" i="65"/>
  <c r="E6" i="62"/>
  <c r="F6" i="62" s="1"/>
  <c r="G6" i="62" s="1"/>
  <c r="H6" i="62" s="1"/>
  <c r="I6" i="62" s="1"/>
  <c r="J6" i="62" s="1"/>
  <c r="K6" i="62" s="1"/>
  <c r="L6" i="62" s="1"/>
  <c r="M6" i="62" s="1"/>
  <c r="N6" i="62" s="1"/>
  <c r="O6" i="62" s="1"/>
  <c r="P6" i="62" s="1"/>
  <c r="Q6" i="62" s="1"/>
  <c r="R6" i="62" s="1"/>
  <c r="S6" i="62" s="1"/>
  <c r="T6" i="62" s="1"/>
  <c r="U6" i="62" s="1"/>
  <c r="V6" i="62" s="1"/>
  <c r="W6" i="62" s="1"/>
  <c r="X6" i="62" s="1"/>
  <c r="Y6" i="62" s="1"/>
  <c r="Z6" i="62" s="1"/>
  <c r="AA6" i="62" s="1"/>
  <c r="AB6" i="62" s="1"/>
  <c r="AC6" i="62" s="1"/>
  <c r="AD6" i="62" s="1"/>
  <c r="AE6" i="62" s="1"/>
  <c r="AF6" i="62" s="1"/>
  <c r="AG6" i="62" s="1"/>
  <c r="AH6" i="62" s="1"/>
  <c r="AI6" i="62" s="1"/>
  <c r="AJ6" i="62" s="1"/>
  <c r="AK6" i="62" s="1"/>
  <c r="AL6" i="62" s="1"/>
  <c r="AM6" i="62" s="1"/>
  <c r="AN6" i="62" s="1"/>
  <c r="AO6" i="62" s="1"/>
  <c r="AP6" i="62" s="1"/>
  <c r="C7" i="60"/>
  <c r="C7" i="59"/>
  <c r="N14" i="65" l="1"/>
  <c r="V25" i="65"/>
  <c r="S28" i="65"/>
  <c r="T28" i="65" s="1"/>
  <c r="O12" i="65"/>
  <c r="O13" i="65"/>
  <c r="U29" i="65"/>
  <c r="S26" i="65"/>
  <c r="H1525" i="67"/>
  <c r="F1526" i="67"/>
  <c r="H1477" i="67"/>
  <c r="F1478" i="67"/>
  <c r="F1559" i="67"/>
  <c r="H1558" i="67"/>
  <c r="F1545" i="67"/>
  <c r="H1544" i="67"/>
  <c r="S27" i="65"/>
  <c r="C59" i="46"/>
  <c r="C60" i="46" s="1"/>
  <c r="C61" i="46" s="1"/>
  <c r="C62" i="46" s="1"/>
  <c r="AJ49" i="57"/>
  <c r="D38" i="57"/>
  <c r="E38" i="57"/>
  <c r="F38" i="57"/>
  <c r="G38" i="57"/>
  <c r="H38" i="57"/>
  <c r="I38" i="57"/>
  <c r="J38" i="57"/>
  <c r="K38" i="57"/>
  <c r="L38" i="57"/>
  <c r="M38" i="57"/>
  <c r="N38" i="57"/>
  <c r="O38" i="57"/>
  <c r="P38" i="57"/>
  <c r="Q38" i="57"/>
  <c r="R38" i="57"/>
  <c r="S38" i="57"/>
  <c r="T38" i="57"/>
  <c r="U38" i="57"/>
  <c r="V38" i="57"/>
  <c r="W38" i="57"/>
  <c r="X38" i="57"/>
  <c r="Y38" i="57"/>
  <c r="Z38" i="57"/>
  <c r="AA38" i="57"/>
  <c r="AB38" i="57"/>
  <c r="AC38" i="57"/>
  <c r="AD38" i="57"/>
  <c r="C38" i="57"/>
  <c r="O14" i="65" l="1"/>
  <c r="W25" i="65"/>
  <c r="P13" i="65"/>
  <c r="P12" i="65"/>
  <c r="T27" i="65"/>
  <c r="V29" i="65"/>
  <c r="U28" i="65"/>
  <c r="T26" i="65"/>
  <c r="F1546" i="67"/>
  <c r="H1546" i="67" s="1"/>
  <c r="H1545" i="67"/>
  <c r="H1478" i="67"/>
  <c r="F1479" i="67"/>
  <c r="H1526" i="67"/>
  <c r="F1527" i="67"/>
  <c r="F1560" i="67"/>
  <c r="H1559" i="67"/>
  <c r="C6" i="58"/>
  <c r="A6" i="58"/>
  <c r="P14" i="65" l="1"/>
  <c r="X25" i="65"/>
  <c r="Q13" i="65"/>
  <c r="Q12" i="65"/>
  <c r="U26" i="65"/>
  <c r="W29" i="65"/>
  <c r="V28" i="65"/>
  <c r="U27" i="65"/>
  <c r="F1561" i="67"/>
  <c r="H1560" i="67"/>
  <c r="H1479" i="67"/>
  <c r="F1480" i="67"/>
  <c r="H1527" i="67"/>
  <c r="F1528" i="67"/>
  <c r="U6" i="50"/>
  <c r="V6" i="50"/>
  <c r="W6" i="50"/>
  <c r="X6" i="50"/>
  <c r="U7" i="50"/>
  <c r="V7" i="50"/>
  <c r="W7" i="50"/>
  <c r="X7" i="50"/>
  <c r="U9" i="50"/>
  <c r="U10" i="50" s="1"/>
  <c r="V9" i="50"/>
  <c r="V10" i="50" s="1"/>
  <c r="W9" i="50"/>
  <c r="W10" i="50" s="1"/>
  <c r="X9" i="50"/>
  <c r="X10" i="50" s="1"/>
  <c r="U13" i="50"/>
  <c r="V13" i="50"/>
  <c r="W13" i="50"/>
  <c r="X13" i="50"/>
  <c r="U14" i="50"/>
  <c r="V14" i="50"/>
  <c r="W14" i="50"/>
  <c r="X14" i="50"/>
  <c r="U22" i="50"/>
  <c r="U18" i="50" s="1"/>
  <c r="V22" i="50"/>
  <c r="V18" i="50" s="1"/>
  <c r="W22" i="50"/>
  <c r="W18" i="50" s="1"/>
  <c r="X22" i="50"/>
  <c r="X18" i="50" s="1"/>
  <c r="U30" i="50"/>
  <c r="V30" i="50"/>
  <c r="W30" i="50"/>
  <c r="X30" i="50"/>
  <c r="U31" i="50"/>
  <c r="V31" i="50"/>
  <c r="W31" i="50"/>
  <c r="X31" i="50"/>
  <c r="U35" i="50"/>
  <c r="V35" i="50"/>
  <c r="W35" i="50"/>
  <c r="X35" i="50"/>
  <c r="U36" i="50"/>
  <c r="V36" i="50"/>
  <c r="W36" i="50"/>
  <c r="X36" i="50"/>
  <c r="U40" i="50"/>
  <c r="V40" i="50"/>
  <c r="W40" i="50"/>
  <c r="X40" i="50"/>
  <c r="U41" i="50"/>
  <c r="V41" i="50"/>
  <c r="W41" i="50"/>
  <c r="X41" i="50"/>
  <c r="U48" i="50"/>
  <c r="V48" i="50"/>
  <c r="W48" i="50"/>
  <c r="X48" i="50"/>
  <c r="R6" i="50"/>
  <c r="S6" i="50"/>
  <c r="T6" i="50"/>
  <c r="R7" i="50"/>
  <c r="S7" i="50"/>
  <c r="T7" i="50"/>
  <c r="R9" i="50"/>
  <c r="R10" i="50" s="1"/>
  <c r="S9" i="50"/>
  <c r="S10" i="50" s="1"/>
  <c r="T9" i="50"/>
  <c r="T10" i="50" s="1"/>
  <c r="R13" i="50"/>
  <c r="S13" i="50"/>
  <c r="T13" i="50"/>
  <c r="R14" i="50"/>
  <c r="S14" i="50"/>
  <c r="T14" i="50"/>
  <c r="R22" i="50"/>
  <c r="R18" i="50" s="1"/>
  <c r="S22" i="50"/>
  <c r="S18" i="50" s="1"/>
  <c r="T22" i="50"/>
  <c r="T19" i="50" s="1"/>
  <c r="R30" i="50"/>
  <c r="S30" i="50"/>
  <c r="T30" i="50"/>
  <c r="R31" i="50"/>
  <c r="S31" i="50"/>
  <c r="T31" i="50"/>
  <c r="R35" i="50"/>
  <c r="S35" i="50"/>
  <c r="T35" i="50"/>
  <c r="R36" i="50"/>
  <c r="S36" i="50"/>
  <c r="T36" i="50"/>
  <c r="R40" i="50"/>
  <c r="S40" i="50"/>
  <c r="T40" i="50"/>
  <c r="R41" i="50"/>
  <c r="S41" i="50"/>
  <c r="T41" i="50"/>
  <c r="R48" i="50"/>
  <c r="S48" i="50"/>
  <c r="T48" i="50"/>
  <c r="M6" i="50"/>
  <c r="N6" i="50"/>
  <c r="O6" i="50"/>
  <c r="P6" i="50"/>
  <c r="Q6" i="50"/>
  <c r="M7" i="50"/>
  <c r="N7" i="50"/>
  <c r="O7" i="50"/>
  <c r="P7" i="50"/>
  <c r="Q7" i="50"/>
  <c r="M9" i="50"/>
  <c r="M10" i="50" s="1"/>
  <c r="N9" i="50"/>
  <c r="N10" i="50" s="1"/>
  <c r="O9" i="50"/>
  <c r="P9" i="50"/>
  <c r="P10" i="50" s="1"/>
  <c r="Q9" i="50"/>
  <c r="Q10" i="50" s="1"/>
  <c r="O10" i="50"/>
  <c r="M13" i="50"/>
  <c r="N13" i="50"/>
  <c r="O13" i="50"/>
  <c r="P13" i="50"/>
  <c r="Q13" i="50"/>
  <c r="M14" i="50"/>
  <c r="N14" i="50"/>
  <c r="O14" i="50"/>
  <c r="P14" i="50"/>
  <c r="Q14" i="50"/>
  <c r="M22" i="50"/>
  <c r="M18" i="50" s="1"/>
  <c r="N22" i="50"/>
  <c r="N18" i="50" s="1"/>
  <c r="O22" i="50"/>
  <c r="O19" i="50" s="1"/>
  <c r="P22" i="50"/>
  <c r="P18" i="50" s="1"/>
  <c r="Q22" i="50"/>
  <c r="Q18" i="50" s="1"/>
  <c r="M30" i="50"/>
  <c r="N30" i="50"/>
  <c r="O30" i="50"/>
  <c r="P30" i="50"/>
  <c r="Q30" i="50"/>
  <c r="M31" i="50"/>
  <c r="N31" i="50"/>
  <c r="O31" i="50"/>
  <c r="P31" i="50"/>
  <c r="Q31" i="50"/>
  <c r="M35" i="50"/>
  <c r="N35" i="50"/>
  <c r="O35" i="50"/>
  <c r="P35" i="50"/>
  <c r="Q35" i="50"/>
  <c r="M36" i="50"/>
  <c r="N36" i="50"/>
  <c r="O36" i="50"/>
  <c r="P36" i="50"/>
  <c r="Q36" i="50"/>
  <c r="M40" i="50"/>
  <c r="N40" i="50"/>
  <c r="O40" i="50"/>
  <c r="P40" i="50"/>
  <c r="Q40" i="50"/>
  <c r="M41" i="50"/>
  <c r="N41" i="50"/>
  <c r="O41" i="50"/>
  <c r="P41" i="50"/>
  <c r="Q41" i="50"/>
  <c r="M48" i="50"/>
  <c r="N48" i="50"/>
  <c r="O48" i="50"/>
  <c r="P48" i="50"/>
  <c r="Q48" i="50"/>
  <c r="U23" i="50" l="1"/>
  <c r="U24" i="50" s="1"/>
  <c r="Q14" i="65"/>
  <c r="Y25" i="65"/>
  <c r="R12" i="65"/>
  <c r="R13" i="65"/>
  <c r="X29" i="65"/>
  <c r="V27" i="65"/>
  <c r="W28" i="65"/>
  <c r="V26" i="65"/>
  <c r="H1480" i="67"/>
  <c r="F1481" i="67"/>
  <c r="H1481" i="67" s="1"/>
  <c r="H1528" i="67"/>
  <c r="F1529" i="67"/>
  <c r="F1562" i="67"/>
  <c r="H1562" i="67" s="1"/>
  <c r="H1561" i="67"/>
  <c r="W23" i="50"/>
  <c r="W24" i="50" s="1"/>
  <c r="X23" i="50"/>
  <c r="X24" i="50" s="1"/>
  <c r="V23" i="50"/>
  <c r="V24" i="50" s="1"/>
  <c r="M19" i="50"/>
  <c r="M26" i="50" s="1"/>
  <c r="Q23" i="50"/>
  <c r="Q24" i="50" s="1"/>
  <c r="N23" i="50"/>
  <c r="N24" i="50" s="1"/>
  <c r="T23" i="50"/>
  <c r="T24" i="50" s="1"/>
  <c r="S23" i="50"/>
  <c r="S24" i="50" s="1"/>
  <c r="P23" i="50"/>
  <c r="P24" i="50" s="1"/>
  <c r="S19" i="50"/>
  <c r="S26" i="50" s="1"/>
  <c r="N19" i="50"/>
  <c r="N20" i="50" s="1"/>
  <c r="N21" i="50" s="1"/>
  <c r="M23" i="50"/>
  <c r="M24" i="50" s="1"/>
  <c r="Q19" i="50"/>
  <c r="X19" i="50"/>
  <c r="W19" i="50"/>
  <c r="V19" i="50"/>
  <c r="U19" i="50"/>
  <c r="T26" i="50"/>
  <c r="T20" i="50"/>
  <c r="T21" i="50" s="1"/>
  <c r="R23" i="50"/>
  <c r="R24" i="50" s="1"/>
  <c r="R19" i="50"/>
  <c r="T18" i="50"/>
  <c r="O20" i="50"/>
  <c r="O21" i="50" s="1"/>
  <c r="O26" i="50"/>
  <c r="O18" i="50"/>
  <c r="P19" i="50"/>
  <c r="O23" i="50"/>
  <c r="O24" i="50" s="1"/>
  <c r="AG63" i="50"/>
  <c r="AG65" i="50"/>
  <c r="R14" i="65" l="1"/>
  <c r="Z25" i="65"/>
  <c r="S13" i="65"/>
  <c r="S12" i="65"/>
  <c r="W27" i="65"/>
  <c r="Y29" i="65"/>
  <c r="W26" i="65"/>
  <c r="X28" i="65"/>
  <c r="H1529" i="67"/>
  <c r="F1530" i="67"/>
  <c r="H1530" i="67" s="1"/>
  <c r="M20" i="50"/>
  <c r="M21" i="50" s="1"/>
  <c r="S20" i="50"/>
  <c r="S21" i="50" s="1"/>
  <c r="N26" i="50"/>
  <c r="Q26" i="50"/>
  <c r="Q20" i="50"/>
  <c r="Q21" i="50" s="1"/>
  <c r="V20" i="50"/>
  <c r="V21" i="50" s="1"/>
  <c r="V26" i="50"/>
  <c r="W20" i="50"/>
  <c r="W21" i="50" s="1"/>
  <c r="W26" i="50"/>
  <c r="U20" i="50"/>
  <c r="U21" i="50" s="1"/>
  <c r="U26" i="50"/>
  <c r="X20" i="50"/>
  <c r="X21" i="50" s="1"/>
  <c r="X26" i="50"/>
  <c r="R20" i="50"/>
  <c r="R21" i="50" s="1"/>
  <c r="R26" i="50"/>
  <c r="P26" i="50"/>
  <c r="P20" i="50"/>
  <c r="P21" i="50" s="1"/>
  <c r="S14" i="65" l="1"/>
  <c r="AA25" i="65"/>
  <c r="Z29" i="65"/>
  <c r="Y28" i="65"/>
  <c r="X26" i="65"/>
  <c r="X27" i="65"/>
  <c r="C20" i="46"/>
  <c r="C21" i="46" s="1"/>
  <c r="BK63" i="50"/>
  <c r="BK65" i="50"/>
  <c r="BA63" i="50"/>
  <c r="BA65" i="50"/>
  <c r="AQ63" i="50"/>
  <c r="AH63" i="50" s="1"/>
  <c r="AI63" i="50" s="1"/>
  <c r="AJ63" i="50" s="1"/>
  <c r="AK63" i="50" s="1"/>
  <c r="AL63" i="50" s="1"/>
  <c r="AM63" i="50" s="1"/>
  <c r="AN63" i="50" s="1"/>
  <c r="AO63" i="50" s="1"/>
  <c r="AP63" i="50" s="1"/>
  <c r="AH64" i="50"/>
  <c r="AI64" i="50" s="1"/>
  <c r="AJ64" i="50" s="1"/>
  <c r="AK64" i="50" s="1"/>
  <c r="AL64" i="50" s="1"/>
  <c r="AM64" i="50" s="1"/>
  <c r="AN64" i="50" s="1"/>
  <c r="AO64" i="50" s="1"/>
  <c r="AP64" i="50" s="1"/>
  <c r="AQ65" i="50"/>
  <c r="Y63" i="50"/>
  <c r="Z63" i="50" s="1"/>
  <c r="AA63" i="50" s="1"/>
  <c r="AB63" i="50" s="1"/>
  <c r="AC63" i="50" s="1"/>
  <c r="AD63" i="50" s="1"/>
  <c r="AE63" i="50" s="1"/>
  <c r="AF63" i="50" s="1"/>
  <c r="Z64" i="50"/>
  <c r="AA64" i="50" s="1"/>
  <c r="AB64" i="50" s="1"/>
  <c r="AC64" i="50" s="1"/>
  <c r="AD64" i="50" s="1"/>
  <c r="AE64" i="50" s="1"/>
  <c r="AF64" i="50" s="1"/>
  <c r="Y65" i="50"/>
  <c r="AB25" i="65" l="1"/>
  <c r="AA29" i="65"/>
  <c r="Y27" i="65"/>
  <c r="Y26" i="65"/>
  <c r="Z28" i="65"/>
  <c r="AH65" i="50"/>
  <c r="Z65" i="50"/>
  <c r="BB65" i="50"/>
  <c r="BB64" i="50"/>
  <c r="AR64" i="50"/>
  <c r="AR63" i="50"/>
  <c r="AS63" i="50" s="1"/>
  <c r="AT63" i="50" s="1"/>
  <c r="AU63" i="50" s="1"/>
  <c r="AV63" i="50" s="1"/>
  <c r="AW63" i="50" s="1"/>
  <c r="AX63" i="50" s="1"/>
  <c r="AY63" i="50" s="1"/>
  <c r="AZ63" i="50" s="1"/>
  <c r="BB63" i="50"/>
  <c r="BC63" i="50" s="1"/>
  <c r="BD63" i="50" s="1"/>
  <c r="BE63" i="50" s="1"/>
  <c r="BF63" i="50" s="1"/>
  <c r="BG63" i="50" s="1"/>
  <c r="BH63" i="50" s="1"/>
  <c r="BI63" i="50" s="1"/>
  <c r="BJ63" i="50" s="1"/>
  <c r="AR65" i="50"/>
  <c r="AK42" i="57"/>
  <c r="AJ42" i="57"/>
  <c r="D50" i="50"/>
  <c r="E50" i="50"/>
  <c r="F50" i="50"/>
  <c r="G50" i="50"/>
  <c r="H50" i="50"/>
  <c r="I50" i="50"/>
  <c r="J50" i="50"/>
  <c r="K50" i="50"/>
  <c r="L50" i="50"/>
  <c r="M50" i="50"/>
  <c r="N50" i="50"/>
  <c r="O50" i="50"/>
  <c r="P50" i="50"/>
  <c r="Q50" i="50"/>
  <c r="R50" i="50"/>
  <c r="S50" i="50"/>
  <c r="T50" i="50"/>
  <c r="U50" i="50"/>
  <c r="V50" i="50"/>
  <c r="W50" i="50"/>
  <c r="X50" i="50"/>
  <c r="D51" i="50"/>
  <c r="E51" i="50"/>
  <c r="F51" i="50"/>
  <c r="G51" i="50"/>
  <c r="H51" i="50"/>
  <c r="I51" i="50"/>
  <c r="J51" i="50"/>
  <c r="K51" i="50"/>
  <c r="L51" i="50"/>
  <c r="M51" i="50"/>
  <c r="N51" i="50"/>
  <c r="O51" i="50"/>
  <c r="P51" i="50"/>
  <c r="Q51" i="50"/>
  <c r="R51" i="50"/>
  <c r="S51" i="50"/>
  <c r="T51" i="50"/>
  <c r="U51" i="50"/>
  <c r="V51" i="50"/>
  <c r="W51" i="50"/>
  <c r="X51" i="50"/>
  <c r="D53" i="50"/>
  <c r="E53" i="50"/>
  <c r="F53" i="50"/>
  <c r="G53" i="50"/>
  <c r="H53" i="50"/>
  <c r="I53" i="50"/>
  <c r="J53" i="50"/>
  <c r="K53" i="50"/>
  <c r="L53" i="50"/>
  <c r="M53" i="50"/>
  <c r="N53" i="50"/>
  <c r="O53" i="50"/>
  <c r="P53" i="50"/>
  <c r="Q53" i="50"/>
  <c r="R53" i="50"/>
  <c r="S53" i="50"/>
  <c r="T53" i="50"/>
  <c r="U53" i="50"/>
  <c r="V53" i="50"/>
  <c r="W53" i="50"/>
  <c r="X53" i="50"/>
  <c r="D54" i="50"/>
  <c r="E54" i="50"/>
  <c r="F54" i="50"/>
  <c r="G54" i="50"/>
  <c r="H54" i="50"/>
  <c r="I54" i="50"/>
  <c r="J54" i="50"/>
  <c r="K54" i="50"/>
  <c r="L54" i="50"/>
  <c r="M54" i="50"/>
  <c r="N54" i="50"/>
  <c r="O54" i="50"/>
  <c r="P54" i="50"/>
  <c r="Q54" i="50"/>
  <c r="R54" i="50"/>
  <c r="S54" i="50"/>
  <c r="T54" i="50"/>
  <c r="U54" i="50"/>
  <c r="V54" i="50"/>
  <c r="W54" i="50"/>
  <c r="X54" i="50"/>
  <c r="D55" i="50"/>
  <c r="E55" i="50"/>
  <c r="F55" i="50"/>
  <c r="G55" i="50"/>
  <c r="H55" i="50"/>
  <c r="I55" i="50"/>
  <c r="J55" i="50"/>
  <c r="K55" i="50"/>
  <c r="L55" i="50"/>
  <c r="M55" i="50"/>
  <c r="N55" i="50"/>
  <c r="O55" i="50"/>
  <c r="P55" i="50"/>
  <c r="Q55" i="50"/>
  <c r="R55" i="50"/>
  <c r="S55" i="50"/>
  <c r="T55" i="50"/>
  <c r="U55" i="50"/>
  <c r="V55" i="50"/>
  <c r="W55" i="50"/>
  <c r="X55" i="50"/>
  <c r="C55" i="50"/>
  <c r="C54" i="50"/>
  <c r="C53" i="50"/>
  <c r="C51" i="50"/>
  <c r="C50" i="50"/>
  <c r="C29" i="46"/>
  <c r="C30" i="46" s="1"/>
  <c r="C31" i="46" s="1"/>
  <c r="C32" i="46" s="1"/>
  <c r="C33" i="46" s="1"/>
  <c r="C34" i="46" s="1"/>
  <c r="C35" i="46" s="1"/>
  <c r="C36" i="46" s="1"/>
  <c r="C37" i="46" s="1"/>
  <c r="C38" i="46" s="1"/>
  <c r="C39" i="46" s="1"/>
  <c r="C40" i="46" s="1"/>
  <c r="D37" i="57"/>
  <c r="E37" i="57"/>
  <c r="F37" i="57"/>
  <c r="G37" i="57"/>
  <c r="H37" i="57"/>
  <c r="I37" i="57"/>
  <c r="J37" i="57"/>
  <c r="K37" i="57"/>
  <c r="L37" i="57"/>
  <c r="M37" i="57"/>
  <c r="N37" i="57"/>
  <c r="O37" i="57"/>
  <c r="P37" i="57"/>
  <c r="Q37" i="57"/>
  <c r="R37" i="57"/>
  <c r="S37" i="57"/>
  <c r="T37" i="57"/>
  <c r="U37" i="57"/>
  <c r="V37" i="57"/>
  <c r="W37" i="57"/>
  <c r="X37" i="57"/>
  <c r="Y37" i="57"/>
  <c r="Z37" i="57"/>
  <c r="AA37" i="57"/>
  <c r="AB37" i="57"/>
  <c r="AC37" i="57"/>
  <c r="AD37" i="57"/>
  <c r="C37" i="57"/>
  <c r="M15" i="57"/>
  <c r="M11" i="50" s="1"/>
  <c r="N15" i="57"/>
  <c r="N11" i="50" s="1"/>
  <c r="O15" i="57"/>
  <c r="O11" i="50" s="1"/>
  <c r="P15" i="57"/>
  <c r="P11" i="50" s="1"/>
  <c r="Q15" i="57"/>
  <c r="Q11" i="50" s="1"/>
  <c r="R15" i="57"/>
  <c r="R11" i="50" s="1"/>
  <c r="S15" i="57"/>
  <c r="S11" i="50" s="1"/>
  <c r="T15" i="57"/>
  <c r="T11" i="50" s="1"/>
  <c r="U15" i="57"/>
  <c r="U11" i="50" s="1"/>
  <c r="V15" i="57"/>
  <c r="V11" i="50" s="1"/>
  <c r="W15" i="57"/>
  <c r="W11" i="50" s="1"/>
  <c r="X15" i="57"/>
  <c r="X11" i="50" s="1"/>
  <c r="D9" i="50"/>
  <c r="D10" i="50" s="1"/>
  <c r="D15" i="57" s="1"/>
  <c r="D11" i="50" s="1"/>
  <c r="E9" i="50"/>
  <c r="E10" i="50" s="1"/>
  <c r="E15" i="57" s="1"/>
  <c r="E11" i="50" s="1"/>
  <c r="F9" i="50"/>
  <c r="F10" i="50" s="1"/>
  <c r="F15" i="57" s="1"/>
  <c r="F11" i="50" s="1"/>
  <c r="G9" i="50"/>
  <c r="G10" i="50" s="1"/>
  <c r="G15" i="57" s="1"/>
  <c r="G11" i="50" s="1"/>
  <c r="H9" i="50"/>
  <c r="H10" i="50" s="1"/>
  <c r="H15" i="57" s="1"/>
  <c r="H11" i="50" s="1"/>
  <c r="I9" i="50"/>
  <c r="I10" i="50" s="1"/>
  <c r="I15" i="57" s="1"/>
  <c r="I11" i="50" s="1"/>
  <c r="J9" i="50"/>
  <c r="J10" i="50" s="1"/>
  <c r="J15" i="57" s="1"/>
  <c r="J11" i="50" s="1"/>
  <c r="K9" i="50"/>
  <c r="K10" i="50" s="1"/>
  <c r="K15" i="57" s="1"/>
  <c r="K11" i="50" s="1"/>
  <c r="L9" i="50"/>
  <c r="L10" i="50" s="1"/>
  <c r="L15" i="57" s="1"/>
  <c r="L11" i="50" s="1"/>
  <c r="C9" i="50"/>
  <c r="C10" i="50" s="1"/>
  <c r="D43" i="50"/>
  <c r="E43" i="50"/>
  <c r="F43" i="50"/>
  <c r="G43" i="50"/>
  <c r="H43" i="50"/>
  <c r="I43" i="50"/>
  <c r="J43" i="50"/>
  <c r="K43" i="50"/>
  <c r="L43" i="50"/>
  <c r="M43" i="50"/>
  <c r="N43" i="50"/>
  <c r="O43" i="50"/>
  <c r="P43" i="50"/>
  <c r="Q43" i="50"/>
  <c r="R43" i="50"/>
  <c r="S43" i="50"/>
  <c r="T43" i="50"/>
  <c r="U43" i="50"/>
  <c r="V43" i="50"/>
  <c r="W43" i="50"/>
  <c r="X43" i="50"/>
  <c r="C43" i="50"/>
  <c r="D30" i="57"/>
  <c r="D38" i="50" s="1"/>
  <c r="E30" i="57"/>
  <c r="E38" i="50" s="1"/>
  <c r="F30" i="57"/>
  <c r="F38" i="50" s="1"/>
  <c r="G30" i="57"/>
  <c r="G38" i="50" s="1"/>
  <c r="H30" i="57"/>
  <c r="H38" i="50" s="1"/>
  <c r="I30" i="57"/>
  <c r="I38" i="50" s="1"/>
  <c r="J30" i="57"/>
  <c r="J38" i="50" s="1"/>
  <c r="K30" i="57"/>
  <c r="L30" i="57"/>
  <c r="L38" i="50" s="1"/>
  <c r="M30" i="57"/>
  <c r="M38" i="50" s="1"/>
  <c r="N30" i="57"/>
  <c r="N38" i="50" s="1"/>
  <c r="O30" i="57"/>
  <c r="O38" i="50" s="1"/>
  <c r="P30" i="57"/>
  <c r="P38" i="50" s="1"/>
  <c r="Q30" i="57"/>
  <c r="Q38" i="50" s="1"/>
  <c r="R30" i="57"/>
  <c r="R38" i="50" s="1"/>
  <c r="S30" i="57"/>
  <c r="S38" i="50" s="1"/>
  <c r="T30" i="57"/>
  <c r="T38" i="50" s="1"/>
  <c r="U30" i="57"/>
  <c r="U38" i="50" s="1"/>
  <c r="V30" i="57"/>
  <c r="V38" i="50" s="1"/>
  <c r="W30" i="57"/>
  <c r="W38" i="50" s="1"/>
  <c r="X30" i="57"/>
  <c r="X38" i="50" s="1"/>
  <c r="Y30" i="57"/>
  <c r="Z30" i="57"/>
  <c r="AA30" i="57"/>
  <c r="AB30" i="57"/>
  <c r="AC30" i="57"/>
  <c r="AD30" i="57"/>
  <c r="C30" i="57"/>
  <c r="C38" i="50" s="1"/>
  <c r="D27" i="57"/>
  <c r="D33" i="50" s="1"/>
  <c r="E27" i="57"/>
  <c r="E33" i="50" s="1"/>
  <c r="F27" i="57"/>
  <c r="F33" i="50" s="1"/>
  <c r="G27" i="57"/>
  <c r="G33" i="50" s="1"/>
  <c r="H27" i="57"/>
  <c r="H33" i="50" s="1"/>
  <c r="I27" i="57"/>
  <c r="I33" i="50" s="1"/>
  <c r="J27" i="57"/>
  <c r="J33" i="50" s="1"/>
  <c r="K27" i="57"/>
  <c r="L27" i="57"/>
  <c r="L33" i="50" s="1"/>
  <c r="M27" i="57"/>
  <c r="M33" i="50" s="1"/>
  <c r="N27" i="57"/>
  <c r="N33" i="50" s="1"/>
  <c r="O27" i="57"/>
  <c r="O33" i="50" s="1"/>
  <c r="P27" i="57"/>
  <c r="P33" i="50" s="1"/>
  <c r="Q27" i="57"/>
  <c r="Q33" i="50" s="1"/>
  <c r="R27" i="57"/>
  <c r="R33" i="50" s="1"/>
  <c r="S27" i="57"/>
  <c r="S33" i="50" s="1"/>
  <c r="T27" i="57"/>
  <c r="T33" i="50" s="1"/>
  <c r="U27" i="57"/>
  <c r="U33" i="50" s="1"/>
  <c r="V27" i="57"/>
  <c r="V33" i="50" s="1"/>
  <c r="W27" i="57"/>
  <c r="W33" i="50" s="1"/>
  <c r="X27" i="57"/>
  <c r="X33" i="50" s="1"/>
  <c r="Y27" i="57"/>
  <c r="Z27" i="57"/>
  <c r="AA27" i="57"/>
  <c r="AB27" i="57"/>
  <c r="AC27" i="57"/>
  <c r="AD27" i="57"/>
  <c r="C27" i="57"/>
  <c r="C33" i="50" s="1"/>
  <c r="D24" i="57"/>
  <c r="D28" i="50" s="1"/>
  <c r="E24" i="57"/>
  <c r="E28" i="50" s="1"/>
  <c r="F24" i="57"/>
  <c r="F28" i="50" s="1"/>
  <c r="G24" i="57"/>
  <c r="G28" i="50" s="1"/>
  <c r="H24" i="57"/>
  <c r="H28" i="50" s="1"/>
  <c r="I24" i="57"/>
  <c r="I28" i="50" s="1"/>
  <c r="J24" i="57"/>
  <c r="J28" i="50" s="1"/>
  <c r="K24" i="57"/>
  <c r="L24" i="57"/>
  <c r="L28" i="50" s="1"/>
  <c r="M24" i="57"/>
  <c r="M28" i="50" s="1"/>
  <c r="N24" i="57"/>
  <c r="N28" i="50" s="1"/>
  <c r="O24" i="57"/>
  <c r="O28" i="50" s="1"/>
  <c r="P24" i="57"/>
  <c r="P28" i="50" s="1"/>
  <c r="Q24" i="57"/>
  <c r="Q28" i="50" s="1"/>
  <c r="R24" i="57"/>
  <c r="R28" i="50" s="1"/>
  <c r="S24" i="57"/>
  <c r="S28" i="50" s="1"/>
  <c r="T24" i="57"/>
  <c r="T28" i="50" s="1"/>
  <c r="U24" i="57"/>
  <c r="U28" i="50" s="1"/>
  <c r="V24" i="57"/>
  <c r="V28" i="50" s="1"/>
  <c r="W24" i="57"/>
  <c r="W28" i="50" s="1"/>
  <c r="X24" i="57"/>
  <c r="X28" i="50" s="1"/>
  <c r="Y24" i="57"/>
  <c r="Z24" i="57"/>
  <c r="AA24" i="57"/>
  <c r="AB24" i="57"/>
  <c r="AC24" i="57"/>
  <c r="AD24" i="57"/>
  <c r="C24" i="57"/>
  <c r="C28" i="50" s="1"/>
  <c r="AC25" i="65" l="1"/>
  <c r="Z27" i="65"/>
  <c r="Z26" i="65"/>
  <c r="AA28" i="65"/>
  <c r="AB29" i="65"/>
  <c r="AK24" i="57"/>
  <c r="AJ24" i="57"/>
  <c r="AI65" i="50"/>
  <c r="AJ65" i="50" s="1"/>
  <c r="BC65" i="50"/>
  <c r="AS65" i="50"/>
  <c r="AA65" i="50"/>
  <c r="C15" i="57"/>
  <c r="C11" i="50" s="1"/>
  <c r="AK37" i="57"/>
  <c r="AS64" i="50"/>
  <c r="BC64" i="50"/>
  <c r="AJ37" i="57"/>
  <c r="AK30" i="57"/>
  <c r="AK27" i="57"/>
  <c r="K28" i="50"/>
  <c r="K38" i="50"/>
  <c r="AJ27" i="57"/>
  <c r="K33" i="50"/>
  <c r="AJ30" i="57"/>
  <c r="D18" i="57"/>
  <c r="D16" i="50" s="1"/>
  <c r="E18" i="57"/>
  <c r="E16" i="50" s="1"/>
  <c r="F18" i="57"/>
  <c r="F16" i="50" s="1"/>
  <c r="G18" i="57"/>
  <c r="G16" i="50" s="1"/>
  <c r="H18" i="57"/>
  <c r="H16" i="50" s="1"/>
  <c r="I18" i="57"/>
  <c r="I16" i="50" s="1"/>
  <c r="J18" i="57"/>
  <c r="J16" i="50" s="1"/>
  <c r="K18" i="57"/>
  <c r="K16" i="50" s="1"/>
  <c r="L18" i="57"/>
  <c r="L16" i="50" s="1"/>
  <c r="M18" i="57"/>
  <c r="M16" i="50" s="1"/>
  <c r="N18" i="57"/>
  <c r="N16" i="50" s="1"/>
  <c r="O18" i="57"/>
  <c r="O16" i="50" s="1"/>
  <c r="P18" i="57"/>
  <c r="P16" i="50" s="1"/>
  <c r="Q18" i="57"/>
  <c r="Q16" i="50" s="1"/>
  <c r="R18" i="57"/>
  <c r="R16" i="50" s="1"/>
  <c r="S18" i="57"/>
  <c r="S16" i="50" s="1"/>
  <c r="T18" i="57"/>
  <c r="T16" i="50" s="1"/>
  <c r="U18" i="57"/>
  <c r="U16" i="50" s="1"/>
  <c r="V18" i="57"/>
  <c r="V16" i="50" s="1"/>
  <c r="W18" i="57"/>
  <c r="W16" i="50" s="1"/>
  <c r="X18" i="57"/>
  <c r="X16" i="50" s="1"/>
  <c r="Y18" i="57"/>
  <c r="Z18" i="57"/>
  <c r="AA18" i="57"/>
  <c r="AB18" i="57"/>
  <c r="AC18" i="57"/>
  <c r="AD18" i="57"/>
  <c r="C18" i="57"/>
  <c r="C16" i="50" s="1"/>
  <c r="AD25" i="65" l="1"/>
  <c r="AB28" i="65"/>
  <c r="AC29" i="65"/>
  <c r="AA27" i="65"/>
  <c r="AA26" i="65"/>
  <c r="BD65" i="50"/>
  <c r="AT65" i="50"/>
  <c r="AK65" i="50"/>
  <c r="AB65" i="50"/>
  <c r="Y28" i="50"/>
  <c r="BE33" i="50"/>
  <c r="AG33" i="50"/>
  <c r="BD64" i="50"/>
  <c r="AT64" i="50"/>
  <c r="AA33" i="50"/>
  <c r="AR33" i="50"/>
  <c r="AY33" i="50"/>
  <c r="Z33" i="50"/>
  <c r="BI28" i="50"/>
  <c r="AE28" i="50"/>
  <c r="AA28" i="50"/>
  <c r="AH28" i="50"/>
  <c r="AQ28" i="50"/>
  <c r="AW28" i="50"/>
  <c r="AM28" i="50"/>
  <c r="AV28" i="50"/>
  <c r="AL28" i="50"/>
  <c r="BF28" i="50"/>
  <c r="BC28" i="50"/>
  <c r="Z28" i="50"/>
  <c r="AH33" i="50"/>
  <c r="BH33" i="50"/>
  <c r="AR28" i="50"/>
  <c r="AK28" i="50"/>
  <c r="BK28" i="50"/>
  <c r="BH28" i="50"/>
  <c r="AX28" i="50"/>
  <c r="AJ28" i="50"/>
  <c r="AS28" i="50"/>
  <c r="AF28" i="50"/>
  <c r="BB28" i="50"/>
  <c r="AZ28" i="50"/>
  <c r="AG28" i="50"/>
  <c r="BA28" i="50"/>
  <c r="BG28" i="50"/>
  <c r="BD28" i="50"/>
  <c r="AP28" i="50"/>
  <c r="AB28" i="50"/>
  <c r="AI33" i="50"/>
  <c r="AX33" i="50"/>
  <c r="AO33" i="50"/>
  <c r="AM33" i="50"/>
  <c r="BC33" i="50"/>
  <c r="BA33" i="50"/>
  <c r="AL33" i="50"/>
  <c r="BB33" i="50"/>
  <c r="AF33" i="50"/>
  <c r="AV33" i="50"/>
  <c r="Y33" i="50"/>
  <c r="AS33" i="50"/>
  <c r="AB33" i="50"/>
  <c r="AQ33" i="50"/>
  <c r="BG33" i="50"/>
  <c r="BI33" i="50"/>
  <c r="AP33" i="50"/>
  <c r="BF33" i="50"/>
  <c r="AJ33" i="50"/>
  <c r="AZ33" i="50"/>
  <c r="AC33" i="50"/>
  <c r="AW33" i="50"/>
  <c r="AO28" i="50"/>
  <c r="BE28" i="50"/>
  <c r="AY28" i="50"/>
  <c r="AN28" i="50"/>
  <c r="AD28" i="50"/>
  <c r="AT28" i="50"/>
  <c r="BJ28" i="50"/>
  <c r="AU28" i="50"/>
  <c r="AE33" i="50"/>
  <c r="AU33" i="50"/>
  <c r="BK33" i="50"/>
  <c r="AD33" i="50"/>
  <c r="AT33" i="50"/>
  <c r="BJ33" i="50"/>
  <c r="AN33" i="50"/>
  <c r="BD33" i="50"/>
  <c r="AK33" i="50"/>
  <c r="AC28" i="50"/>
  <c r="AB43" i="50"/>
  <c r="AF43" i="50"/>
  <c r="AJ43" i="50"/>
  <c r="AN43" i="50"/>
  <c r="AR43" i="50"/>
  <c r="AV43" i="50"/>
  <c r="AZ43" i="50"/>
  <c r="BD43" i="50"/>
  <c r="BH43" i="50"/>
  <c r="BG43" i="50"/>
  <c r="AC43" i="50"/>
  <c r="AG43" i="50"/>
  <c r="AK43" i="50"/>
  <c r="AO43" i="50"/>
  <c r="AS43" i="50"/>
  <c r="AW43" i="50"/>
  <c r="BA43" i="50"/>
  <c r="BE43" i="50"/>
  <c r="BI43" i="50"/>
  <c r="AA43" i="50"/>
  <c r="AQ43" i="50"/>
  <c r="BC43" i="50"/>
  <c r="Z43" i="50"/>
  <c r="AD43" i="50"/>
  <c r="AH43" i="50"/>
  <c r="AL43" i="50"/>
  <c r="AP43" i="50"/>
  <c r="AT43" i="50"/>
  <c r="AX43" i="50"/>
  <c r="BB43" i="50"/>
  <c r="BF43" i="50"/>
  <c r="BJ43" i="50"/>
  <c r="AE43" i="50"/>
  <c r="AI43" i="50"/>
  <c r="AM43" i="50"/>
  <c r="AU43" i="50"/>
  <c r="AY43" i="50"/>
  <c r="BK43" i="50"/>
  <c r="AJ18" i="57"/>
  <c r="AK18" i="57"/>
  <c r="Z38" i="50"/>
  <c r="AD38" i="50"/>
  <c r="AH38" i="50"/>
  <c r="AL38" i="50"/>
  <c r="AP38" i="50"/>
  <c r="AT38" i="50"/>
  <c r="AX38" i="50"/>
  <c r="BB38" i="50"/>
  <c r="BF38" i="50"/>
  <c r="BJ38" i="50"/>
  <c r="AA38" i="50"/>
  <c r="AE38" i="50"/>
  <c r="AI38" i="50"/>
  <c r="AM38" i="50"/>
  <c r="AQ38" i="50"/>
  <c r="AU38" i="50"/>
  <c r="AY38" i="50"/>
  <c r="BC38" i="50"/>
  <c r="BG38" i="50"/>
  <c r="BK38" i="50"/>
  <c r="AC38" i="50"/>
  <c r="AG38" i="50"/>
  <c r="AK38" i="50"/>
  <c r="AS38" i="50"/>
  <c r="BA38" i="50"/>
  <c r="BI38" i="50"/>
  <c r="AB38" i="50"/>
  <c r="AF38" i="50"/>
  <c r="AJ38" i="50"/>
  <c r="AN38" i="50"/>
  <c r="AR38" i="50"/>
  <c r="AV38" i="50"/>
  <c r="AZ38" i="50"/>
  <c r="BD38" i="50"/>
  <c r="BH38" i="50"/>
  <c r="Y38" i="50"/>
  <c r="AO38" i="50"/>
  <c r="AW38" i="50"/>
  <c r="BE38" i="50"/>
  <c r="AI28" i="50"/>
  <c r="AE25" i="65" l="1"/>
  <c r="AC28" i="65"/>
  <c r="AB27" i="65"/>
  <c r="AB26" i="65"/>
  <c r="AD29" i="65"/>
  <c r="BE65" i="50"/>
  <c r="AU65" i="50"/>
  <c r="AL65" i="50"/>
  <c r="AC65" i="50"/>
  <c r="AU64" i="50"/>
  <c r="BE64" i="50"/>
  <c r="AF16" i="50"/>
  <c r="AC16" i="50"/>
  <c r="AE16" i="50"/>
  <c r="AB16" i="50"/>
  <c r="Z16" i="50"/>
  <c r="AA16" i="50"/>
  <c r="AD16" i="50"/>
  <c r="AF25" i="65" l="1"/>
  <c r="AE29" i="65"/>
  <c r="AC27" i="65"/>
  <c r="AD28" i="65"/>
  <c r="AC26" i="65"/>
  <c r="BF65" i="50"/>
  <c r="AV65" i="50"/>
  <c r="AM65" i="50"/>
  <c r="AD65" i="50"/>
  <c r="BF64" i="50"/>
  <c r="AV64" i="50"/>
  <c r="AJ17" i="57"/>
  <c r="AK17" i="57"/>
  <c r="AG25" i="65" l="1"/>
  <c r="AE28" i="65"/>
  <c r="AF29" i="65"/>
  <c r="AD26" i="65"/>
  <c r="AD27" i="65"/>
  <c r="BG65" i="50"/>
  <c r="AW65" i="50"/>
  <c r="AN65" i="50"/>
  <c r="AE65" i="50"/>
  <c r="AW64" i="50"/>
  <c r="BG64" i="50"/>
  <c r="AH25" i="65" l="1"/>
  <c r="AE27" i="65"/>
  <c r="AG29" i="65"/>
  <c r="AE26" i="65"/>
  <c r="AF28" i="65"/>
  <c r="BH65" i="50"/>
  <c r="AX65" i="50"/>
  <c r="AO65" i="50"/>
  <c r="AF65" i="50"/>
  <c r="BH64" i="50"/>
  <c r="AX64" i="50"/>
  <c r="C7" i="58"/>
  <c r="C8" i="58" s="1"/>
  <c r="AI25" i="65" l="1"/>
  <c r="AF26" i="65"/>
  <c r="AH29" i="65"/>
  <c r="AG28" i="65"/>
  <c r="AF27" i="65"/>
  <c r="BI65" i="50"/>
  <c r="AY65" i="50"/>
  <c r="AP65" i="50"/>
  <c r="AY64" i="50"/>
  <c r="BI64" i="50"/>
  <c r="X52" i="50"/>
  <c r="X56" i="50" s="1"/>
  <c r="AJ25" i="65" l="1"/>
  <c r="AI29" i="65"/>
  <c r="AG27" i="65"/>
  <c r="AH28" i="65"/>
  <c r="AG26" i="65"/>
  <c r="BJ65" i="50"/>
  <c r="AZ65" i="50"/>
  <c r="BJ64" i="50"/>
  <c r="AZ64" i="50"/>
  <c r="X58" i="50"/>
  <c r="X59" i="50" s="1"/>
  <c r="Y4" i="50"/>
  <c r="Y4" i="57" s="1"/>
  <c r="Z4" i="50"/>
  <c r="Z4" i="57" s="1"/>
  <c r="AA4" i="50"/>
  <c r="AA4" i="57" s="1"/>
  <c r="AB4" i="50"/>
  <c r="AB4" i="57" s="1"/>
  <c r="AC4" i="50"/>
  <c r="AC4" i="57" s="1"/>
  <c r="AD4" i="50"/>
  <c r="AD4" i="57" s="1"/>
  <c r="AE4" i="50"/>
  <c r="AF4" i="50"/>
  <c r="AG4" i="50"/>
  <c r="AE4" i="57" s="1"/>
  <c r="AH4" i="50"/>
  <c r="AI4" i="50"/>
  <c r="AJ4" i="50"/>
  <c r="AK4" i="50"/>
  <c r="AL4" i="50"/>
  <c r="AM4" i="50"/>
  <c r="AN4" i="50"/>
  <c r="AO4" i="50"/>
  <c r="AP4" i="50"/>
  <c r="AQ4" i="50"/>
  <c r="AF4" i="57" s="1"/>
  <c r="AR4" i="50"/>
  <c r="AS4" i="50"/>
  <c r="AT4" i="50"/>
  <c r="AU4" i="50"/>
  <c r="AV4" i="50"/>
  <c r="AW4" i="50"/>
  <c r="AX4" i="50"/>
  <c r="AY4" i="50"/>
  <c r="AZ4" i="50"/>
  <c r="BA4" i="50"/>
  <c r="AG4" i="57" s="1"/>
  <c r="BB4" i="50"/>
  <c r="BC4" i="50"/>
  <c r="BD4" i="50"/>
  <c r="BE4" i="50"/>
  <c r="BF4" i="50"/>
  <c r="BG4" i="50"/>
  <c r="BH4" i="50"/>
  <c r="BI4" i="50"/>
  <c r="BJ4" i="50"/>
  <c r="BK4" i="50"/>
  <c r="AH4" i="57" s="1"/>
  <c r="AK25" i="65" l="1"/>
  <c r="AH26" i="65"/>
  <c r="AI28" i="65"/>
  <c r="AJ29" i="65"/>
  <c r="AH27" i="65"/>
  <c r="AK44" i="57"/>
  <c r="AJ44" i="57"/>
  <c r="AL25" i="65" l="1"/>
  <c r="AI27" i="65"/>
  <c r="AJ28" i="65"/>
  <c r="AK29" i="65"/>
  <c r="AI26" i="65"/>
  <c r="AJ57" i="57"/>
  <c r="AK57" i="57"/>
  <c r="AK63" i="57"/>
  <c r="AJ63" i="57"/>
  <c r="AK14" i="57"/>
  <c r="AJ14" i="57"/>
  <c r="AK54" i="57"/>
  <c r="AJ54" i="57"/>
  <c r="AE42" i="36"/>
  <c r="AD16" i="36"/>
  <c r="AE16" i="36" s="1"/>
  <c r="AF16" i="36" s="1"/>
  <c r="AG16" i="36" s="1"/>
  <c r="AH16" i="36" s="1"/>
  <c r="AI16" i="36" s="1"/>
  <c r="AK55" i="57"/>
  <c r="AJ60" i="57"/>
  <c r="AK65" i="57"/>
  <c r="AK66" i="57"/>
  <c r="AJ66" i="57"/>
  <c r="AK26" i="57"/>
  <c r="AJ26" i="57"/>
  <c r="W52" i="50"/>
  <c r="W56" i="50" s="1"/>
  <c r="AK56" i="57"/>
  <c r="AJ56" i="57"/>
  <c r="D12" i="57"/>
  <c r="E12" i="57"/>
  <c r="F12" i="57"/>
  <c r="G12" i="57"/>
  <c r="H12" i="57"/>
  <c r="I12" i="57"/>
  <c r="J12" i="57"/>
  <c r="K12" i="57"/>
  <c r="L12" i="57"/>
  <c r="M12" i="57"/>
  <c r="N12" i="57"/>
  <c r="O12" i="57"/>
  <c r="P12" i="57"/>
  <c r="Q12" i="57"/>
  <c r="R12" i="57"/>
  <c r="S12" i="57"/>
  <c r="T12" i="57"/>
  <c r="U12" i="57"/>
  <c r="V12" i="57"/>
  <c r="W12" i="57"/>
  <c r="X12" i="57"/>
  <c r="Y12" i="57"/>
  <c r="Z12" i="57"/>
  <c r="AA12" i="57"/>
  <c r="AB12" i="57"/>
  <c r="AC12" i="57"/>
  <c r="AD12" i="57"/>
  <c r="C12" i="57"/>
  <c r="D11" i="57"/>
  <c r="E11" i="57"/>
  <c r="F11" i="57"/>
  <c r="G11" i="57"/>
  <c r="H11" i="57"/>
  <c r="I11" i="57"/>
  <c r="J11" i="57"/>
  <c r="K11" i="57"/>
  <c r="L11" i="57"/>
  <c r="M11" i="57"/>
  <c r="N11" i="57"/>
  <c r="O11" i="57"/>
  <c r="P11" i="57"/>
  <c r="Q11" i="57"/>
  <c r="R11" i="57"/>
  <c r="S11" i="57"/>
  <c r="T11" i="57"/>
  <c r="U11" i="57"/>
  <c r="V11" i="57"/>
  <c r="W11" i="57"/>
  <c r="X11" i="57"/>
  <c r="Y11" i="57"/>
  <c r="Z11" i="57"/>
  <c r="AA11" i="57"/>
  <c r="AB11" i="57"/>
  <c r="AC11" i="57"/>
  <c r="AD11" i="57"/>
  <c r="C11" i="57"/>
  <c r="D10" i="57"/>
  <c r="E10" i="57"/>
  <c r="F10" i="57"/>
  <c r="G10" i="57"/>
  <c r="H10" i="57"/>
  <c r="I10" i="57"/>
  <c r="J10" i="57"/>
  <c r="K10" i="57"/>
  <c r="L10" i="57"/>
  <c r="M10" i="57"/>
  <c r="N10" i="57"/>
  <c r="O10" i="57"/>
  <c r="P10" i="57"/>
  <c r="Q10" i="57"/>
  <c r="R10" i="57"/>
  <c r="S10" i="57"/>
  <c r="T10" i="57"/>
  <c r="U10" i="57"/>
  <c r="V10" i="57"/>
  <c r="W10" i="57"/>
  <c r="X10" i="57"/>
  <c r="Y10" i="57"/>
  <c r="Z10" i="57"/>
  <c r="AA10" i="57"/>
  <c r="AB10" i="57"/>
  <c r="AC10" i="57"/>
  <c r="AD10" i="57"/>
  <c r="C10" i="57"/>
  <c r="D9" i="57"/>
  <c r="E9" i="57"/>
  <c r="F9" i="57"/>
  <c r="G9" i="57"/>
  <c r="H9" i="57"/>
  <c r="I9" i="57"/>
  <c r="J9" i="57"/>
  <c r="K9" i="57"/>
  <c r="L9" i="57"/>
  <c r="M9" i="57"/>
  <c r="N9" i="57"/>
  <c r="O9" i="57"/>
  <c r="P9" i="57"/>
  <c r="Q9" i="57"/>
  <c r="R9" i="57"/>
  <c r="S9" i="57"/>
  <c r="T9" i="57"/>
  <c r="U9" i="57"/>
  <c r="V9" i="57"/>
  <c r="W9" i="57"/>
  <c r="X9" i="57"/>
  <c r="Y9" i="57"/>
  <c r="Z9" i="57"/>
  <c r="AA9" i="57"/>
  <c r="AB9" i="57"/>
  <c r="AC9" i="57"/>
  <c r="AD9" i="57"/>
  <c r="C9" i="57"/>
  <c r="A20" i="57"/>
  <c r="B20" i="57"/>
  <c r="C20" i="57"/>
  <c r="D20" i="57"/>
  <c r="E20" i="57"/>
  <c r="F20" i="57"/>
  <c r="G20" i="57"/>
  <c r="H20" i="57"/>
  <c r="I20" i="57"/>
  <c r="J20" i="57"/>
  <c r="K20" i="57"/>
  <c r="K21" i="57" s="1"/>
  <c r="L20" i="57"/>
  <c r="M20" i="57"/>
  <c r="N20" i="57"/>
  <c r="O20" i="57"/>
  <c r="P20" i="57"/>
  <c r="Q20" i="57"/>
  <c r="R20" i="57"/>
  <c r="S20" i="57"/>
  <c r="T20" i="57"/>
  <c r="U20" i="57"/>
  <c r="V20" i="57"/>
  <c r="W20" i="57"/>
  <c r="X20" i="57"/>
  <c r="Y20" i="57"/>
  <c r="Z20" i="57"/>
  <c r="AA20" i="57"/>
  <c r="AB20" i="57"/>
  <c r="AC20" i="57"/>
  <c r="AD20" i="57"/>
  <c r="G22" i="57"/>
  <c r="G7" i="57" s="1"/>
  <c r="G5" i="57"/>
  <c r="K5" i="57"/>
  <c r="O5" i="57"/>
  <c r="S5" i="57"/>
  <c r="W5" i="57"/>
  <c r="AA5" i="57"/>
  <c r="C5" i="57"/>
  <c r="B19" i="57"/>
  <c r="A19" i="57"/>
  <c r="B44" i="57"/>
  <c r="A44" i="57"/>
  <c r="B43" i="57"/>
  <c r="A43" i="57"/>
  <c r="B41" i="57"/>
  <c r="A41" i="57"/>
  <c r="B39" i="57"/>
  <c r="B40" i="57"/>
  <c r="A39" i="57"/>
  <c r="A40" i="57"/>
  <c r="A13" i="57"/>
  <c r="B13" i="57"/>
  <c r="D5" i="57"/>
  <c r="E5" i="57"/>
  <c r="F5" i="57"/>
  <c r="H5" i="57"/>
  <c r="I5" i="57"/>
  <c r="J5" i="57"/>
  <c r="L5" i="57"/>
  <c r="M5" i="57"/>
  <c r="N5" i="57"/>
  <c r="P5" i="57"/>
  <c r="Q5" i="57"/>
  <c r="R5" i="57"/>
  <c r="T5" i="57"/>
  <c r="U5" i="57"/>
  <c r="V5" i="57"/>
  <c r="X5" i="57"/>
  <c r="Y5" i="57"/>
  <c r="Z5" i="57"/>
  <c r="AB5" i="57"/>
  <c r="AC5" i="57"/>
  <c r="AD5" i="57"/>
  <c r="B16" i="57"/>
  <c r="C6" i="57"/>
  <c r="D6" i="57"/>
  <c r="E6" i="57"/>
  <c r="F6" i="57"/>
  <c r="G6" i="57"/>
  <c r="H6" i="57"/>
  <c r="I6" i="57"/>
  <c r="J6" i="57"/>
  <c r="K6" i="57"/>
  <c r="L6" i="57"/>
  <c r="M6" i="57"/>
  <c r="N6" i="57"/>
  <c r="O6" i="57"/>
  <c r="P6" i="57"/>
  <c r="Q6" i="57"/>
  <c r="R6" i="57"/>
  <c r="S6" i="57"/>
  <c r="T6" i="57"/>
  <c r="U6" i="57"/>
  <c r="V6" i="57"/>
  <c r="W6" i="57"/>
  <c r="X6" i="57"/>
  <c r="Y6" i="57"/>
  <c r="Z6" i="57"/>
  <c r="AA6" i="57"/>
  <c r="AB6" i="57"/>
  <c r="AC6" i="57"/>
  <c r="B17" i="57"/>
  <c r="B22" i="57"/>
  <c r="B23" i="57"/>
  <c r="B25" i="57"/>
  <c r="B26" i="57"/>
  <c r="B28" i="57"/>
  <c r="B29" i="57"/>
  <c r="B31" i="57"/>
  <c r="B33" i="57"/>
  <c r="B36" i="57"/>
  <c r="A36" i="57"/>
  <c r="A33" i="57"/>
  <c r="A31" i="57"/>
  <c r="A29" i="57"/>
  <c r="A28" i="57"/>
  <c r="A26" i="57"/>
  <c r="A25" i="57"/>
  <c r="A23" i="57"/>
  <c r="A22" i="57"/>
  <c r="A17" i="57"/>
  <c r="A16" i="57"/>
  <c r="A14" i="57"/>
  <c r="B5" i="57"/>
  <c r="B6" i="57"/>
  <c r="B7" i="57"/>
  <c r="B8" i="57"/>
  <c r="B9" i="57"/>
  <c r="B10" i="57"/>
  <c r="B11" i="57"/>
  <c r="B12" i="57"/>
  <c r="A12" i="57"/>
  <c r="A11" i="57"/>
  <c r="A10" i="57"/>
  <c r="A9" i="57"/>
  <c r="A8" i="57"/>
  <c r="A7" i="57"/>
  <c r="A6" i="57"/>
  <c r="A5" i="57"/>
  <c r="B4" i="57"/>
  <c r="A4" i="57"/>
  <c r="AM25" i="65" l="1"/>
  <c r="AJ26" i="65"/>
  <c r="AJ27" i="65"/>
  <c r="AL29" i="65"/>
  <c r="AK28" i="65"/>
  <c r="AF42" i="36"/>
  <c r="AE83" i="36"/>
  <c r="W58" i="50"/>
  <c r="W59" i="50" s="1"/>
  <c r="V52" i="50"/>
  <c r="V56" i="50" s="1"/>
  <c r="U52" i="50"/>
  <c r="U56" i="50" s="1"/>
  <c r="N8" i="57"/>
  <c r="N21" i="57"/>
  <c r="N25" i="50" s="1"/>
  <c r="V8" i="57"/>
  <c r="V21" i="57"/>
  <c r="V25" i="50" s="1"/>
  <c r="J8" i="57"/>
  <c r="J21" i="57"/>
  <c r="J25" i="50" s="1"/>
  <c r="AC8" i="57"/>
  <c r="AC21" i="57"/>
  <c r="Y8" i="57"/>
  <c r="Y21" i="57"/>
  <c r="U8" i="57"/>
  <c r="U21" i="57"/>
  <c r="U25" i="50" s="1"/>
  <c r="Q8" i="57"/>
  <c r="Q21" i="57"/>
  <c r="Q25" i="50" s="1"/>
  <c r="M8" i="57"/>
  <c r="M21" i="57"/>
  <c r="M25" i="50" s="1"/>
  <c r="I8" i="57"/>
  <c r="I21" i="57"/>
  <c r="I25" i="50" s="1"/>
  <c r="E8" i="57"/>
  <c r="E21" i="57"/>
  <c r="E25" i="50" s="1"/>
  <c r="Z8" i="57"/>
  <c r="Z21" i="57"/>
  <c r="AB22" i="57"/>
  <c r="AB7" i="57" s="1"/>
  <c r="AB21" i="57"/>
  <c r="X22" i="57"/>
  <c r="X7" i="57" s="1"/>
  <c r="X21" i="57"/>
  <c r="X25" i="50" s="1"/>
  <c r="T22" i="57"/>
  <c r="T7" i="57" s="1"/>
  <c r="T21" i="57"/>
  <c r="T25" i="50" s="1"/>
  <c r="P22" i="57"/>
  <c r="P7" i="57" s="1"/>
  <c r="P21" i="57"/>
  <c r="P25" i="50" s="1"/>
  <c r="L22" i="57"/>
  <c r="L7" i="57" s="1"/>
  <c r="L21" i="57"/>
  <c r="L25" i="50" s="1"/>
  <c r="H22" i="57"/>
  <c r="H7" i="57" s="1"/>
  <c r="H21" i="57"/>
  <c r="H25" i="50" s="1"/>
  <c r="D22" i="57"/>
  <c r="D7" i="57" s="1"/>
  <c r="D21" i="57"/>
  <c r="D25" i="50" s="1"/>
  <c r="AD8" i="57"/>
  <c r="AD21" i="57"/>
  <c r="R8" i="57"/>
  <c r="R21" i="57"/>
  <c r="R25" i="50" s="1"/>
  <c r="F8" i="57"/>
  <c r="F21" i="57"/>
  <c r="F25" i="50" s="1"/>
  <c r="AA8" i="57"/>
  <c r="AA21" i="57"/>
  <c r="W8" i="57"/>
  <c r="W21" i="57"/>
  <c r="W25" i="50" s="1"/>
  <c r="S8" i="57"/>
  <c r="S21" i="57"/>
  <c r="S25" i="50" s="1"/>
  <c r="O8" i="57"/>
  <c r="O21" i="57"/>
  <c r="O25" i="50" s="1"/>
  <c r="K8" i="57"/>
  <c r="G8" i="57"/>
  <c r="G21" i="57"/>
  <c r="G25" i="50" s="1"/>
  <c r="C8" i="57"/>
  <c r="C21" i="57"/>
  <c r="C25" i="50" s="1"/>
  <c r="AJ59" i="57"/>
  <c r="S22" i="57"/>
  <c r="Z22" i="57"/>
  <c r="Z7" i="57" s="1"/>
  <c r="I22" i="57"/>
  <c r="I7" i="57" s="1"/>
  <c r="U22" i="57"/>
  <c r="U7" i="57" s="1"/>
  <c r="AK60" i="57"/>
  <c r="AJ55" i="57"/>
  <c r="AJ65" i="57"/>
  <c r="W22" i="57"/>
  <c r="W7" i="57" s="1"/>
  <c r="V22" i="57"/>
  <c r="V7" i="57" s="1"/>
  <c r="N22" i="57"/>
  <c r="N7" i="57" s="1"/>
  <c r="O22" i="57"/>
  <c r="O7" i="57" s="1"/>
  <c r="AD22" i="57"/>
  <c r="C22" i="57"/>
  <c r="C7" i="57" s="1"/>
  <c r="AA22" i="57"/>
  <c r="AA7" i="57" s="1"/>
  <c r="K22" i="57"/>
  <c r="K7" i="57" s="1"/>
  <c r="AK59" i="57"/>
  <c r="Y22" i="57"/>
  <c r="Y7" i="57" s="1"/>
  <c r="AC22" i="57"/>
  <c r="AC7" i="57" s="1"/>
  <c r="R22" i="57"/>
  <c r="R7" i="57" s="1"/>
  <c r="M22" i="57"/>
  <c r="M7" i="57" s="1"/>
  <c r="F22" i="57"/>
  <c r="F7" i="57" s="1"/>
  <c r="Q22" i="57"/>
  <c r="Q7" i="57" s="1"/>
  <c r="J22" i="57"/>
  <c r="J7" i="57" s="1"/>
  <c r="E22" i="57"/>
  <c r="E7" i="57" s="1"/>
  <c r="AB8" i="57"/>
  <c r="X8" i="57"/>
  <c r="T8" i="57"/>
  <c r="P8" i="57"/>
  <c r="L8" i="57"/>
  <c r="H8" i="57"/>
  <c r="D8" i="57"/>
  <c r="AN25" i="65" l="1"/>
  <c r="AK27" i="65"/>
  <c r="AL28" i="65"/>
  <c r="AK26" i="65"/>
  <c r="AM29" i="65"/>
  <c r="S7" i="57"/>
  <c r="AJ23" i="57"/>
  <c r="AK23" i="57"/>
  <c r="AG42" i="36"/>
  <c r="AF83" i="36"/>
  <c r="U58" i="50"/>
  <c r="U59" i="50" s="1"/>
  <c r="V58" i="50"/>
  <c r="V59" i="50" s="1"/>
  <c r="AK21" i="57"/>
  <c r="K25" i="50"/>
  <c r="AJ21" i="57"/>
  <c r="AD6" i="57"/>
  <c r="AN29" i="65" l="1"/>
  <c r="AM28" i="65"/>
  <c r="AL26" i="65"/>
  <c r="AL27" i="65"/>
  <c r="AH42" i="36"/>
  <c r="AG83" i="36"/>
  <c r="AA25" i="50"/>
  <c r="AE25" i="50"/>
  <c r="AI25" i="50"/>
  <c r="AM25" i="50"/>
  <c r="AQ25" i="50"/>
  <c r="AU25" i="50"/>
  <c r="AY25" i="50"/>
  <c r="BC25" i="50"/>
  <c r="BG25" i="50"/>
  <c r="BK25" i="50"/>
  <c r="AG25" i="50"/>
  <c r="AO25" i="50"/>
  <c r="AW25" i="50"/>
  <c r="BE25" i="50"/>
  <c r="Z25" i="50"/>
  <c r="AH25" i="50"/>
  <c r="AP25" i="50"/>
  <c r="AX25" i="50"/>
  <c r="BF25" i="50"/>
  <c r="AB25" i="50"/>
  <c r="AF25" i="50"/>
  <c r="AJ25" i="50"/>
  <c r="AN25" i="50"/>
  <c r="AR25" i="50"/>
  <c r="AV25" i="50"/>
  <c r="AZ25" i="50"/>
  <c r="BD25" i="50"/>
  <c r="BH25" i="50"/>
  <c r="Y25" i="50"/>
  <c r="AC25" i="50"/>
  <c r="AK25" i="50"/>
  <c r="AS25" i="50"/>
  <c r="BA25" i="50"/>
  <c r="BI25" i="50"/>
  <c r="AD25" i="50"/>
  <c r="AL25" i="50"/>
  <c r="AT25" i="50"/>
  <c r="BB25" i="50"/>
  <c r="BJ25" i="50"/>
  <c r="AD7" i="57"/>
  <c r="AM27" i="65" l="1"/>
  <c r="AN28" i="65"/>
  <c r="AM26" i="65"/>
  <c r="AI42" i="36"/>
  <c r="AI83" i="36" s="1"/>
  <c r="AH83" i="36"/>
  <c r="AJ16" i="36"/>
  <c r="AK16" i="36" s="1"/>
  <c r="AL16" i="36" s="1"/>
  <c r="AM16" i="36" s="1"/>
  <c r="AN16" i="36" s="1"/>
  <c r="AO16" i="36" s="1"/>
  <c r="AP16" i="36" s="1"/>
  <c r="AQ16" i="36" s="1"/>
  <c r="AR16" i="36" s="1"/>
  <c r="AS16" i="36" s="1"/>
  <c r="AT16" i="36" s="1"/>
  <c r="AU16" i="36" s="1"/>
  <c r="AV16" i="36" s="1"/>
  <c r="AW16" i="36" s="1"/>
  <c r="AX16" i="36" s="1"/>
  <c r="AY16" i="36" s="1"/>
  <c r="AZ16" i="36" s="1"/>
  <c r="BA16" i="36" s="1"/>
  <c r="BB16" i="36" s="1"/>
  <c r="BC16" i="36" s="1"/>
  <c r="BD16" i="36" s="1"/>
  <c r="BE16" i="36" s="1"/>
  <c r="BF16" i="36" s="1"/>
  <c r="BG16" i="36" s="1"/>
  <c r="BH16" i="36" s="1"/>
  <c r="BI16" i="36" s="1"/>
  <c r="BJ16" i="36" s="1"/>
  <c r="BK16" i="36" s="1"/>
  <c r="BL16" i="36" s="1"/>
  <c r="BM16" i="36" s="1"/>
  <c r="BN16" i="36" s="1"/>
  <c r="BO16" i="36" s="1"/>
  <c r="BP16" i="36" s="1"/>
  <c r="AN26" i="65" l="1"/>
  <c r="AN27" i="65"/>
  <c r="Y5" i="47"/>
  <c r="X4" i="50" l="1"/>
  <c r="X4" i="57" s="1"/>
  <c r="X4" i="69"/>
  <c r="X5" i="47"/>
  <c r="W4" i="50" l="1"/>
  <c r="W4" i="57" s="1"/>
  <c r="W4" i="69"/>
  <c r="W5" i="47"/>
  <c r="V4" i="50" l="1"/>
  <c r="V4" i="57" s="1"/>
  <c r="V4" i="69"/>
  <c r="V5" i="47"/>
  <c r="D145" i="34"/>
  <c r="D146" i="34"/>
  <c r="D147" i="34"/>
  <c r="D148" i="34"/>
  <c r="D149" i="34"/>
  <c r="D150" i="34"/>
  <c r="D151" i="34"/>
  <c r="D152" i="34"/>
  <c r="D153" i="34"/>
  <c r="D154" i="34"/>
  <c r="D155" i="34"/>
  <c r="D144" i="34"/>
  <c r="E130" i="34"/>
  <c r="E131" i="34"/>
  <c r="E132" i="34"/>
  <c r="E133" i="34"/>
  <c r="E134" i="34"/>
  <c r="E124" i="34"/>
  <c r="E125" i="34"/>
  <c r="E126" i="34"/>
  <c r="E127" i="34"/>
  <c r="E128" i="34"/>
  <c r="U4" i="50" l="1"/>
  <c r="U4" i="57" s="1"/>
  <c r="U4" i="69"/>
  <c r="U5" i="47"/>
  <c r="B6" i="46"/>
  <c r="T4" i="50" l="1"/>
  <c r="T4" i="57" s="1"/>
  <c r="T4" i="69"/>
  <c r="AD89" i="36"/>
  <c r="AH89" i="36"/>
  <c r="AG89" i="36"/>
  <c r="AE89" i="36"/>
  <c r="AI89" i="36"/>
  <c r="AJ89" i="36"/>
  <c r="AF89" i="36"/>
  <c r="AE87" i="36"/>
  <c r="AI87" i="36"/>
  <c r="AM87" i="36"/>
  <c r="AQ87" i="36"/>
  <c r="AU87" i="36"/>
  <c r="AY87" i="36"/>
  <c r="BC87" i="36"/>
  <c r="BG87" i="36"/>
  <c r="BK87" i="36"/>
  <c r="BO87" i="36"/>
  <c r="AG88" i="36"/>
  <c r="AK88" i="36"/>
  <c r="AO88" i="36"/>
  <c r="AS88" i="36"/>
  <c r="AW88" i="36"/>
  <c r="BA88" i="36"/>
  <c r="BE88" i="36"/>
  <c r="BI88" i="36"/>
  <c r="BM88" i="36"/>
  <c r="AK89" i="36"/>
  <c r="AO89" i="36"/>
  <c r="AS89" i="36"/>
  <c r="AW89" i="36"/>
  <c r="BA89" i="36"/>
  <c r="BE89" i="36"/>
  <c r="BI89" i="36"/>
  <c r="BM89" i="36"/>
  <c r="AE90" i="36"/>
  <c r="AI90" i="36"/>
  <c r="AM90" i="36"/>
  <c r="AQ90" i="36"/>
  <c r="AU90" i="36"/>
  <c r="AY90" i="36"/>
  <c r="BC90" i="36"/>
  <c r="BG90" i="36"/>
  <c r="BK90" i="36"/>
  <c r="BO90" i="36"/>
  <c r="AG91" i="36"/>
  <c r="AK91" i="36"/>
  <c r="AO91" i="36"/>
  <c r="AS91" i="36"/>
  <c r="AW91" i="36"/>
  <c r="BA91" i="36"/>
  <c r="BE91" i="36"/>
  <c r="BI91" i="36"/>
  <c r="BM91" i="36"/>
  <c r="AE92" i="36"/>
  <c r="AI92" i="36"/>
  <c r="AM92" i="36"/>
  <c r="AQ92" i="36"/>
  <c r="AU92" i="36"/>
  <c r="AY92" i="36"/>
  <c r="BC92" i="36"/>
  <c r="BG92" i="36"/>
  <c r="BK92" i="36"/>
  <c r="BO92" i="36"/>
  <c r="AG95" i="36"/>
  <c r="AK95" i="36"/>
  <c r="AO95" i="36"/>
  <c r="AS95" i="36"/>
  <c r="AW95" i="36"/>
  <c r="BA95" i="36"/>
  <c r="BE95" i="36"/>
  <c r="BI95" i="36"/>
  <c r="BM95" i="36"/>
  <c r="AE96" i="36"/>
  <c r="AI96" i="36"/>
  <c r="AM96" i="36"/>
  <c r="AQ96" i="36"/>
  <c r="AU96" i="36"/>
  <c r="AY96" i="36"/>
  <c r="BC96" i="36"/>
  <c r="BG96" i="36"/>
  <c r="BK96" i="36"/>
  <c r="BO96" i="36"/>
  <c r="AG97" i="36"/>
  <c r="AK97" i="36"/>
  <c r="AO97" i="36"/>
  <c r="AS97" i="36"/>
  <c r="AW97" i="36"/>
  <c r="BA97" i="36"/>
  <c r="BE97" i="36"/>
  <c r="BI97" i="36"/>
  <c r="BM97" i="36"/>
  <c r="AE98" i="36"/>
  <c r="AF87" i="36"/>
  <c r="AJ87" i="36"/>
  <c r="AN87" i="36"/>
  <c r="AR87" i="36"/>
  <c r="AV87" i="36"/>
  <c r="AZ87" i="36"/>
  <c r="BD87" i="36"/>
  <c r="BH87" i="36"/>
  <c r="BL87" i="36"/>
  <c r="BP87" i="36"/>
  <c r="AH88" i="36"/>
  <c r="AL88" i="36"/>
  <c r="AP88" i="36"/>
  <c r="AT88" i="36"/>
  <c r="AX88" i="36"/>
  <c r="BB88" i="36"/>
  <c r="BF88" i="36"/>
  <c r="BJ88" i="36"/>
  <c r="BN88" i="36"/>
  <c r="AL89" i="36"/>
  <c r="AP89" i="36"/>
  <c r="AT89" i="36"/>
  <c r="AX89" i="36"/>
  <c r="BB89" i="36"/>
  <c r="BF89" i="36"/>
  <c r="BJ89" i="36"/>
  <c r="BN89" i="36"/>
  <c r="AF90" i="36"/>
  <c r="AJ90" i="36"/>
  <c r="AN90" i="36"/>
  <c r="AR90" i="36"/>
  <c r="AV90" i="36"/>
  <c r="AZ90" i="36"/>
  <c r="BD90" i="36"/>
  <c r="BH90" i="36"/>
  <c r="BL90" i="36"/>
  <c r="BP90" i="36"/>
  <c r="AH91" i="36"/>
  <c r="AL91" i="36"/>
  <c r="AP91" i="36"/>
  <c r="AT91" i="36"/>
  <c r="AX91" i="36"/>
  <c r="BB91" i="36"/>
  <c r="BF91" i="36"/>
  <c r="BJ91" i="36"/>
  <c r="BN91" i="36"/>
  <c r="AF92" i="36"/>
  <c r="AJ92" i="36"/>
  <c r="AN92" i="36"/>
  <c r="AR92" i="36"/>
  <c r="AV92" i="36"/>
  <c r="AZ92" i="36"/>
  <c r="BD92" i="36"/>
  <c r="BH92" i="36"/>
  <c r="BL92" i="36"/>
  <c r="BP92" i="36"/>
  <c r="AH95" i="36"/>
  <c r="AL95" i="36"/>
  <c r="AP95" i="36"/>
  <c r="AT95" i="36"/>
  <c r="AX95" i="36"/>
  <c r="BB95" i="36"/>
  <c r="BF95" i="36"/>
  <c r="BJ95" i="36"/>
  <c r="BN95" i="36"/>
  <c r="AF96" i="36"/>
  <c r="AJ96" i="36"/>
  <c r="AN96" i="36"/>
  <c r="AR96" i="36"/>
  <c r="AV96" i="36"/>
  <c r="AZ96" i="36"/>
  <c r="BD96" i="36"/>
  <c r="BH96" i="36"/>
  <c r="BL96" i="36"/>
  <c r="BP96" i="36"/>
  <c r="AH97" i="36"/>
  <c r="AL97" i="36"/>
  <c r="AP97" i="36"/>
  <c r="AT97" i="36"/>
  <c r="AG87" i="36"/>
  <c r="AK87" i="36"/>
  <c r="AO87" i="36"/>
  <c r="AS87" i="36"/>
  <c r="AW87" i="36"/>
  <c r="BA87" i="36"/>
  <c r="BE87" i="36"/>
  <c r="BI87" i="36"/>
  <c r="BM87" i="36"/>
  <c r="AE88" i="36"/>
  <c r="AI88" i="36"/>
  <c r="AM88" i="36"/>
  <c r="AQ88" i="36"/>
  <c r="AU88" i="36"/>
  <c r="AY88" i="36"/>
  <c r="BC88" i="36"/>
  <c r="BG88" i="36"/>
  <c r="BK88" i="36"/>
  <c r="BO88" i="36"/>
  <c r="AM89" i="36"/>
  <c r="AQ89" i="36"/>
  <c r="AU89" i="36"/>
  <c r="AY89" i="36"/>
  <c r="BC89" i="36"/>
  <c r="BG89" i="36"/>
  <c r="BK89" i="36"/>
  <c r="BO89" i="36"/>
  <c r="AG90" i="36"/>
  <c r="AK90" i="36"/>
  <c r="AO90" i="36"/>
  <c r="AS90" i="36"/>
  <c r="AW90" i="36"/>
  <c r="BA90" i="36"/>
  <c r="BE90" i="36"/>
  <c r="BI90" i="36"/>
  <c r="BM90" i="36"/>
  <c r="AE91" i="36"/>
  <c r="AI91" i="36"/>
  <c r="AM91" i="36"/>
  <c r="AQ91" i="36"/>
  <c r="AU91" i="36"/>
  <c r="AY91" i="36"/>
  <c r="BC91" i="36"/>
  <c r="BG91" i="36"/>
  <c r="BK91" i="36"/>
  <c r="BO91" i="36"/>
  <c r="AG92" i="36"/>
  <c r="AK92" i="36"/>
  <c r="AO92" i="36"/>
  <c r="AS92" i="36"/>
  <c r="AW92" i="36"/>
  <c r="BA92" i="36"/>
  <c r="BE92" i="36"/>
  <c r="BI92" i="36"/>
  <c r="BM92" i="36"/>
  <c r="AE95" i="36"/>
  <c r="AI95" i="36"/>
  <c r="AM95" i="36"/>
  <c r="AQ95" i="36"/>
  <c r="AU95" i="36"/>
  <c r="AY95" i="36"/>
  <c r="BC95" i="36"/>
  <c r="BG95" i="36"/>
  <c r="BK95" i="36"/>
  <c r="BO95" i="36"/>
  <c r="AG96" i="36"/>
  <c r="AK96" i="36"/>
  <c r="AO96" i="36"/>
  <c r="AS96" i="36"/>
  <c r="AW96" i="36"/>
  <c r="BA96" i="36"/>
  <c r="BE96" i="36"/>
  <c r="BI96" i="36"/>
  <c r="BM96" i="36"/>
  <c r="AE97" i="36"/>
  <c r="AI97" i="36"/>
  <c r="AM97" i="36"/>
  <c r="AQ97" i="36"/>
  <c r="AU97" i="36"/>
  <c r="AY97" i="36"/>
  <c r="BC97" i="36"/>
  <c r="BG97" i="36"/>
  <c r="BK97" i="36"/>
  <c r="AH87" i="36"/>
  <c r="AX87" i="36"/>
  <c r="BN87" i="36"/>
  <c r="AR88" i="36"/>
  <c r="BH88" i="36"/>
  <c r="AR89" i="36"/>
  <c r="BH89" i="36"/>
  <c r="AL90" i="36"/>
  <c r="BB90" i="36"/>
  <c r="AF91" i="36"/>
  <c r="AV91" i="36"/>
  <c r="BL91" i="36"/>
  <c r="AP92" i="36"/>
  <c r="BF92" i="36"/>
  <c r="AJ95" i="36"/>
  <c r="AZ95" i="36"/>
  <c r="BP95" i="36"/>
  <c r="AT96" i="36"/>
  <c r="BJ96" i="36"/>
  <c r="AN97" i="36"/>
  <c r="AZ97" i="36"/>
  <c r="BH97" i="36"/>
  <c r="BO97" i="36"/>
  <c r="AH98" i="36"/>
  <c r="AL98" i="36"/>
  <c r="AP98" i="36"/>
  <c r="AT98" i="36"/>
  <c r="AX98" i="36"/>
  <c r="BB98" i="36"/>
  <c r="BF98" i="36"/>
  <c r="BJ98" i="36"/>
  <c r="BN98" i="36"/>
  <c r="AD97" i="36"/>
  <c r="AD91" i="36"/>
  <c r="BK98" i="36"/>
  <c r="AD90" i="36"/>
  <c r="AT87" i="36"/>
  <c r="AP96" i="36"/>
  <c r="AK98" i="36"/>
  <c r="BE98" i="36"/>
  <c r="AD98" i="36"/>
  <c r="AL87" i="36"/>
  <c r="BB87" i="36"/>
  <c r="AF88" i="36"/>
  <c r="AV88" i="36"/>
  <c r="BL88" i="36"/>
  <c r="AV89" i="36"/>
  <c r="BL89" i="36"/>
  <c r="AP90" i="36"/>
  <c r="BF90" i="36"/>
  <c r="AJ91" i="36"/>
  <c r="AZ91" i="36"/>
  <c r="BP91" i="36"/>
  <c r="AT92" i="36"/>
  <c r="BJ92" i="36"/>
  <c r="AN95" i="36"/>
  <c r="BD95" i="36"/>
  <c r="AH96" i="36"/>
  <c r="AX96" i="36"/>
  <c r="BN96" i="36"/>
  <c r="AR97" i="36"/>
  <c r="BB97" i="36"/>
  <c r="BJ97" i="36"/>
  <c r="BP97" i="36"/>
  <c r="AI98" i="36"/>
  <c r="AM98" i="36"/>
  <c r="AQ98" i="36"/>
  <c r="AU98" i="36"/>
  <c r="AY98" i="36"/>
  <c r="BC98" i="36"/>
  <c r="BG98" i="36"/>
  <c r="BO98" i="36"/>
  <c r="AD96" i="36"/>
  <c r="AD88" i="36"/>
  <c r="AN88" i="36"/>
  <c r="BD88" i="36"/>
  <c r="BD89" i="36"/>
  <c r="AX90" i="36"/>
  <c r="AR91" i="36"/>
  <c r="AL92" i="36"/>
  <c r="AF95" i="36"/>
  <c r="BL95" i="36"/>
  <c r="AJ97" i="36"/>
  <c r="BF97" i="36"/>
  <c r="AG98" i="36"/>
  <c r="AS98" i="36"/>
  <c r="BA98" i="36"/>
  <c r="BM98" i="36"/>
  <c r="AD87" i="36"/>
  <c r="AP87" i="36"/>
  <c r="BF87" i="36"/>
  <c r="AJ88" i="36"/>
  <c r="AZ88" i="36"/>
  <c r="BP88" i="36"/>
  <c r="AZ89" i="36"/>
  <c r="BP89" i="36"/>
  <c r="AT90" i="36"/>
  <c r="BJ90" i="36"/>
  <c r="AN91" i="36"/>
  <c r="BD91" i="36"/>
  <c r="AH92" i="36"/>
  <c r="AX92" i="36"/>
  <c r="BN92" i="36"/>
  <c r="AR95" i="36"/>
  <c r="BH95" i="36"/>
  <c r="AL96" i="36"/>
  <c r="BB96" i="36"/>
  <c r="AF97" i="36"/>
  <c r="AV97" i="36"/>
  <c r="BD97" i="36"/>
  <c r="BL97" i="36"/>
  <c r="AF98" i="36"/>
  <c r="AJ98" i="36"/>
  <c r="AN98" i="36"/>
  <c r="AR98" i="36"/>
  <c r="AV98" i="36"/>
  <c r="AZ98" i="36"/>
  <c r="BD98" i="36"/>
  <c r="BH98" i="36"/>
  <c r="BL98" i="36"/>
  <c r="BP98" i="36"/>
  <c r="AD95" i="36"/>
  <c r="BJ87" i="36"/>
  <c r="AN89" i="36"/>
  <c r="AH90" i="36"/>
  <c r="BN90" i="36"/>
  <c r="BH91" i="36"/>
  <c r="BB92" i="36"/>
  <c r="AV95" i="36"/>
  <c r="BF96" i="36"/>
  <c r="AX97" i="36"/>
  <c r="BN97" i="36"/>
  <c r="AO98" i="36"/>
  <c r="AW98" i="36"/>
  <c r="BI98" i="36"/>
  <c r="AD92" i="36"/>
  <c r="H97" i="36"/>
  <c r="Z97" i="36"/>
  <c r="V97" i="36"/>
  <c r="R97" i="36"/>
  <c r="N97" i="36"/>
  <c r="J97" i="36"/>
  <c r="AC97" i="36"/>
  <c r="Y97" i="36"/>
  <c r="U97" i="36"/>
  <c r="Q97" i="36"/>
  <c r="M97" i="36"/>
  <c r="I97" i="36"/>
  <c r="AB97" i="36"/>
  <c r="X97" i="36"/>
  <c r="T97" i="36"/>
  <c r="P97" i="36"/>
  <c r="L97" i="36"/>
  <c r="AA97" i="36"/>
  <c r="W97" i="36"/>
  <c r="S97" i="36"/>
  <c r="O97" i="36"/>
  <c r="K97" i="36"/>
  <c r="T5" i="47"/>
  <c r="AJ232" i="51"/>
  <c r="AI232" i="51"/>
  <c r="AH232" i="51"/>
  <c r="AG232" i="51"/>
  <c r="AF232" i="51"/>
  <c r="AE232" i="51"/>
  <c r="AD232" i="51"/>
  <c r="AC232" i="51"/>
  <c r="AB232" i="51"/>
  <c r="AA232" i="51"/>
  <c r="Z232" i="51"/>
  <c r="Y232" i="51"/>
  <c r="X232" i="51"/>
  <c r="W232" i="51"/>
  <c r="V232" i="51"/>
  <c r="U232" i="51"/>
  <c r="T232" i="51"/>
  <c r="S232" i="51"/>
  <c r="R232" i="51"/>
  <c r="Q232" i="51"/>
  <c r="P232" i="51"/>
  <c r="O232" i="51"/>
  <c r="N232" i="51"/>
  <c r="M232" i="51"/>
  <c r="L232" i="51"/>
  <c r="K232" i="51"/>
  <c r="J232" i="51"/>
  <c r="I232" i="51"/>
  <c r="H232" i="51"/>
  <c r="G232" i="51"/>
  <c r="F232" i="51"/>
  <c r="E232" i="51"/>
  <c r="D232" i="51"/>
  <c r="C232" i="51"/>
  <c r="AJ220" i="51"/>
  <c r="AI220" i="51"/>
  <c r="AH220" i="51"/>
  <c r="AG220" i="51"/>
  <c r="AF220" i="51"/>
  <c r="AE220" i="51"/>
  <c r="AD220" i="51"/>
  <c r="AC220" i="51"/>
  <c r="AB220" i="51"/>
  <c r="AA220" i="51"/>
  <c r="Z220" i="51"/>
  <c r="Y220" i="51"/>
  <c r="X220" i="51"/>
  <c r="W220" i="51"/>
  <c r="V220" i="51"/>
  <c r="U220" i="51"/>
  <c r="T220" i="51"/>
  <c r="S220" i="51"/>
  <c r="R220" i="51"/>
  <c r="Q220" i="51"/>
  <c r="P220" i="51"/>
  <c r="O220" i="51"/>
  <c r="N220" i="51"/>
  <c r="M220" i="51"/>
  <c r="L220" i="51"/>
  <c r="K220" i="51"/>
  <c r="J220" i="51"/>
  <c r="I220" i="51"/>
  <c r="H220" i="51"/>
  <c r="G220" i="51"/>
  <c r="F220" i="51"/>
  <c r="E220" i="51"/>
  <c r="D220" i="51"/>
  <c r="C220" i="51"/>
  <c r="AJ208" i="51"/>
  <c r="AI208" i="51"/>
  <c r="AH208" i="51"/>
  <c r="AG208" i="51"/>
  <c r="AF208" i="51"/>
  <c r="AE208" i="51"/>
  <c r="AD208" i="51"/>
  <c r="AC208" i="51"/>
  <c r="AB208" i="51"/>
  <c r="AA208" i="51"/>
  <c r="Z208" i="51"/>
  <c r="Y208" i="51"/>
  <c r="X208" i="51"/>
  <c r="W208" i="51"/>
  <c r="V208" i="51"/>
  <c r="U208" i="51"/>
  <c r="T208" i="51"/>
  <c r="S208" i="51"/>
  <c r="R208" i="51"/>
  <c r="Q208" i="51"/>
  <c r="P208" i="51"/>
  <c r="O208" i="51"/>
  <c r="N208" i="51"/>
  <c r="M208" i="51"/>
  <c r="L208" i="51"/>
  <c r="K208" i="51"/>
  <c r="J208" i="51"/>
  <c r="I208" i="51"/>
  <c r="H208" i="51"/>
  <c r="G208" i="51"/>
  <c r="F208" i="51"/>
  <c r="E208" i="51"/>
  <c r="D208" i="51"/>
  <c r="C208" i="51"/>
  <c r="AJ196" i="51"/>
  <c r="AI196" i="51"/>
  <c r="AH196" i="51"/>
  <c r="AG196" i="51"/>
  <c r="AF196" i="51"/>
  <c r="AE196" i="51"/>
  <c r="AD196" i="51"/>
  <c r="AC196" i="51"/>
  <c r="AB196" i="51"/>
  <c r="AA196" i="51"/>
  <c r="Z196" i="51"/>
  <c r="Y196" i="51"/>
  <c r="X196" i="51"/>
  <c r="W196" i="51"/>
  <c r="V196" i="51"/>
  <c r="U196" i="51"/>
  <c r="T196" i="51"/>
  <c r="S196" i="51"/>
  <c r="R196" i="51"/>
  <c r="Q196" i="51"/>
  <c r="P196" i="51"/>
  <c r="O196" i="51"/>
  <c r="N196" i="51"/>
  <c r="M196" i="51"/>
  <c r="L196" i="51"/>
  <c r="K196" i="51"/>
  <c r="J196" i="51"/>
  <c r="I196" i="51"/>
  <c r="H196" i="51"/>
  <c r="G196" i="51"/>
  <c r="F196" i="51"/>
  <c r="E196" i="51"/>
  <c r="D196" i="51"/>
  <c r="C196" i="51"/>
  <c r="AJ183" i="51"/>
  <c r="AI183" i="51"/>
  <c r="AH183" i="51"/>
  <c r="AG183" i="51"/>
  <c r="AF183" i="51"/>
  <c r="AE183" i="51"/>
  <c r="AD183" i="51"/>
  <c r="AC183" i="51"/>
  <c r="AB183" i="51"/>
  <c r="AA183" i="51"/>
  <c r="Z183" i="51"/>
  <c r="Y183" i="51"/>
  <c r="X183" i="51"/>
  <c r="W183" i="51"/>
  <c r="V183" i="51"/>
  <c r="U183" i="51"/>
  <c r="T183" i="51"/>
  <c r="S183" i="51"/>
  <c r="R183" i="51"/>
  <c r="Q183" i="51"/>
  <c r="P183" i="51"/>
  <c r="O183" i="51"/>
  <c r="N183" i="51"/>
  <c r="M183" i="51"/>
  <c r="L183" i="51"/>
  <c r="K183" i="51"/>
  <c r="J183" i="51"/>
  <c r="I183" i="51"/>
  <c r="H183" i="51"/>
  <c r="G183" i="51"/>
  <c r="F183" i="51"/>
  <c r="E183" i="51"/>
  <c r="D183" i="51"/>
  <c r="C183" i="51"/>
  <c r="AJ171" i="51"/>
  <c r="AI171" i="51"/>
  <c r="AH171" i="51"/>
  <c r="AG171" i="51"/>
  <c r="AF171" i="51"/>
  <c r="AE171" i="51"/>
  <c r="AD171" i="51"/>
  <c r="AC171" i="51"/>
  <c r="AB171" i="51"/>
  <c r="AA171" i="51"/>
  <c r="Z171" i="51"/>
  <c r="Y171" i="51"/>
  <c r="X171" i="51"/>
  <c r="W171" i="51"/>
  <c r="V171" i="51"/>
  <c r="U171" i="51"/>
  <c r="T171" i="51"/>
  <c r="S171" i="51"/>
  <c r="R171" i="51"/>
  <c r="Q171" i="51"/>
  <c r="P171" i="51"/>
  <c r="O171" i="51"/>
  <c r="N171" i="51"/>
  <c r="M171" i="51"/>
  <c r="L171" i="51"/>
  <c r="K171" i="51"/>
  <c r="J171" i="51"/>
  <c r="I171" i="51"/>
  <c r="H171" i="51"/>
  <c r="G171" i="51"/>
  <c r="F171" i="51"/>
  <c r="E171" i="51"/>
  <c r="D171" i="51"/>
  <c r="C171" i="51"/>
  <c r="AJ158" i="51"/>
  <c r="AI158" i="51"/>
  <c r="AH158" i="51"/>
  <c r="AG158" i="51"/>
  <c r="AF158" i="51"/>
  <c r="AE158" i="51"/>
  <c r="AD158" i="51"/>
  <c r="AC158" i="51"/>
  <c r="AB158" i="51"/>
  <c r="AA158" i="51"/>
  <c r="Z158" i="51"/>
  <c r="Y158" i="51"/>
  <c r="X158" i="51"/>
  <c r="W158" i="51"/>
  <c r="V158" i="51"/>
  <c r="U158" i="51"/>
  <c r="T158" i="51"/>
  <c r="S158" i="51"/>
  <c r="R158" i="51"/>
  <c r="Q158" i="51"/>
  <c r="P158" i="51"/>
  <c r="O158" i="51"/>
  <c r="N158" i="51"/>
  <c r="M158" i="51"/>
  <c r="L158" i="51"/>
  <c r="K158" i="51"/>
  <c r="J158" i="51"/>
  <c r="I158" i="51"/>
  <c r="H158" i="51"/>
  <c r="G158" i="51"/>
  <c r="F158" i="51"/>
  <c r="E158" i="51"/>
  <c r="D158" i="51"/>
  <c r="C158" i="51"/>
  <c r="AJ146" i="51"/>
  <c r="AI146" i="51"/>
  <c r="AH146" i="51"/>
  <c r="AG146" i="51"/>
  <c r="AF146" i="51"/>
  <c r="AE146" i="51"/>
  <c r="AD146" i="51"/>
  <c r="AC146" i="51"/>
  <c r="AB146" i="51"/>
  <c r="AA146" i="51"/>
  <c r="Z146" i="51"/>
  <c r="Y146" i="51"/>
  <c r="X146" i="51"/>
  <c r="W146" i="51"/>
  <c r="V146" i="51"/>
  <c r="U146" i="51"/>
  <c r="T146" i="51"/>
  <c r="S146" i="51"/>
  <c r="R146" i="51"/>
  <c r="Q146" i="51"/>
  <c r="P146" i="51"/>
  <c r="O146" i="51"/>
  <c r="N146" i="51"/>
  <c r="M146" i="51"/>
  <c r="L146" i="51"/>
  <c r="K146" i="51"/>
  <c r="J146" i="51"/>
  <c r="I146" i="51"/>
  <c r="H146" i="51"/>
  <c r="G146" i="51"/>
  <c r="F146" i="51"/>
  <c r="E146" i="51"/>
  <c r="D146" i="51"/>
  <c r="C146" i="51"/>
  <c r="AJ133" i="51"/>
  <c r="AI133" i="51"/>
  <c r="AH133" i="51"/>
  <c r="AG133" i="51"/>
  <c r="AF133" i="51"/>
  <c r="AE133" i="51"/>
  <c r="AD133" i="51"/>
  <c r="AC133" i="51"/>
  <c r="AB133" i="51"/>
  <c r="AA133" i="51"/>
  <c r="Z133" i="51"/>
  <c r="Y133" i="51"/>
  <c r="X133" i="51"/>
  <c r="W133" i="51"/>
  <c r="V133" i="51"/>
  <c r="U133" i="51"/>
  <c r="T133" i="51"/>
  <c r="S133" i="51"/>
  <c r="R133" i="51"/>
  <c r="Q133" i="51"/>
  <c r="P133" i="51"/>
  <c r="O133" i="51"/>
  <c r="N133" i="51"/>
  <c r="M133" i="51"/>
  <c r="L133" i="51"/>
  <c r="K133" i="51"/>
  <c r="J133" i="51"/>
  <c r="I133" i="51"/>
  <c r="H133" i="51"/>
  <c r="G133" i="51"/>
  <c r="F133" i="51"/>
  <c r="E133" i="51"/>
  <c r="D133" i="51"/>
  <c r="C133" i="51"/>
  <c r="AJ121" i="51"/>
  <c r="AI121" i="51"/>
  <c r="AH121" i="51"/>
  <c r="AG121" i="51"/>
  <c r="AF121" i="51"/>
  <c r="AE121" i="51"/>
  <c r="AD121" i="51"/>
  <c r="AC121" i="51"/>
  <c r="AB121" i="51"/>
  <c r="AA121" i="51"/>
  <c r="Z121" i="51"/>
  <c r="Y121" i="51"/>
  <c r="X121" i="51"/>
  <c r="W121" i="51"/>
  <c r="V121" i="51"/>
  <c r="U121" i="51"/>
  <c r="T121" i="51"/>
  <c r="S121" i="51"/>
  <c r="R121" i="51"/>
  <c r="Q121" i="51"/>
  <c r="P121" i="51"/>
  <c r="O121" i="51"/>
  <c r="N121" i="51"/>
  <c r="M121" i="51"/>
  <c r="L121" i="51"/>
  <c r="K121" i="51"/>
  <c r="J121" i="51"/>
  <c r="I121" i="51"/>
  <c r="H121" i="51"/>
  <c r="G121" i="51"/>
  <c r="F121" i="51"/>
  <c r="E121" i="51"/>
  <c r="D121" i="51"/>
  <c r="C121" i="51"/>
  <c r="AJ108" i="51"/>
  <c r="AI108" i="51"/>
  <c r="AH108" i="51"/>
  <c r="AG108" i="51"/>
  <c r="AF108" i="51"/>
  <c r="AE108" i="51"/>
  <c r="AD108" i="51"/>
  <c r="AC108" i="51"/>
  <c r="AB108" i="51"/>
  <c r="AA108" i="51"/>
  <c r="Z108" i="51"/>
  <c r="Y108" i="51"/>
  <c r="X108" i="51"/>
  <c r="W108" i="51"/>
  <c r="V108" i="51"/>
  <c r="U108" i="51"/>
  <c r="T108" i="51"/>
  <c r="S108" i="51"/>
  <c r="R108" i="51"/>
  <c r="Q108" i="51"/>
  <c r="P108" i="51"/>
  <c r="O108" i="51"/>
  <c r="N108" i="51"/>
  <c r="M108" i="51"/>
  <c r="L108" i="51"/>
  <c r="K108" i="51"/>
  <c r="J108" i="51"/>
  <c r="I108" i="51"/>
  <c r="H108" i="51"/>
  <c r="G108" i="51"/>
  <c r="F108" i="51"/>
  <c r="E108" i="51"/>
  <c r="D108" i="51"/>
  <c r="C108" i="51"/>
  <c r="AJ84" i="51"/>
  <c r="AI84" i="51"/>
  <c r="AH84" i="51"/>
  <c r="AG84" i="51"/>
  <c r="AF84" i="51"/>
  <c r="AE84" i="51"/>
  <c r="AD84" i="51"/>
  <c r="AC84" i="51"/>
  <c r="AB84" i="51"/>
  <c r="AA84" i="51"/>
  <c r="Z84" i="51"/>
  <c r="Y84" i="51"/>
  <c r="X84" i="51"/>
  <c r="W84" i="51"/>
  <c r="V84" i="51"/>
  <c r="U84" i="51"/>
  <c r="T84" i="51"/>
  <c r="S84" i="51"/>
  <c r="R84" i="51"/>
  <c r="Q84" i="51"/>
  <c r="P84" i="51"/>
  <c r="O84" i="51"/>
  <c r="N84" i="51"/>
  <c r="M84" i="51"/>
  <c r="L84" i="51"/>
  <c r="K84" i="51"/>
  <c r="J84" i="51"/>
  <c r="I84" i="51"/>
  <c r="H84" i="51"/>
  <c r="G84" i="51"/>
  <c r="F84" i="51"/>
  <c r="E84" i="51"/>
  <c r="D84" i="51"/>
  <c r="C84" i="51"/>
  <c r="AJ72" i="51"/>
  <c r="AI72" i="51"/>
  <c r="AH72"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J60" i="51"/>
  <c r="AI60" i="51"/>
  <c r="AH60"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J47" i="51"/>
  <c r="AI47" i="51"/>
  <c r="AH47"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J35" i="51"/>
  <c r="AI35" i="51"/>
  <c r="AH35"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D23" i="51"/>
  <c r="E23" i="51"/>
  <c r="F23" i="51"/>
  <c r="G23" i="51"/>
  <c r="H23" i="51"/>
  <c r="I23"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C23" i="51"/>
  <c r="AJ54" i="33"/>
  <c r="AK54" i="33"/>
  <c r="AL54" i="33"/>
  <c r="AM54" i="33"/>
  <c r="AN54" i="33"/>
  <c r="AO54" i="33"/>
  <c r="AJ55" i="33"/>
  <c r="AK55" i="33"/>
  <c r="AL55" i="33"/>
  <c r="AM55" i="33"/>
  <c r="AN55" i="33"/>
  <c r="AO55" i="33"/>
  <c r="AJ56" i="33"/>
  <c r="AK56" i="33"/>
  <c r="AL56" i="33"/>
  <c r="AM56" i="33"/>
  <c r="AN56" i="33"/>
  <c r="AO56" i="33"/>
  <c r="AJ57" i="33"/>
  <c r="AK57" i="33"/>
  <c r="AL57" i="33"/>
  <c r="AM57" i="33"/>
  <c r="AN57" i="33"/>
  <c r="AO57" i="33"/>
  <c r="AJ58" i="33"/>
  <c r="AK58" i="33"/>
  <c r="AL58" i="33"/>
  <c r="AM58" i="33"/>
  <c r="AN58" i="33"/>
  <c r="AO58" i="33"/>
  <c r="AJ59" i="33"/>
  <c r="AK59" i="33"/>
  <c r="AL59" i="33"/>
  <c r="AM59" i="33"/>
  <c r="AN59" i="33"/>
  <c r="AO59" i="33"/>
  <c r="AJ60" i="33"/>
  <c r="AK60" i="33"/>
  <c r="AL60" i="33"/>
  <c r="AM60" i="33"/>
  <c r="AN60" i="33"/>
  <c r="AO60" i="33"/>
  <c r="AJ61" i="33"/>
  <c r="AK61" i="33"/>
  <c r="AL61" i="33"/>
  <c r="AM61" i="33"/>
  <c r="AN61" i="33"/>
  <c r="AO61" i="33"/>
  <c r="AJ62" i="33"/>
  <c r="AK62" i="33"/>
  <c r="AL62" i="33"/>
  <c r="AM62" i="33"/>
  <c r="AN62" i="33"/>
  <c r="AO62" i="33"/>
  <c r="AJ63" i="33"/>
  <c r="AK63" i="33"/>
  <c r="AL63" i="33"/>
  <c r="AM63" i="33"/>
  <c r="AN63" i="33"/>
  <c r="AO63" i="33"/>
  <c r="AJ64" i="33"/>
  <c r="AK64" i="33"/>
  <c r="AL64" i="33"/>
  <c r="AM64" i="33"/>
  <c r="AN64" i="33"/>
  <c r="AO64" i="33"/>
  <c r="AJ65" i="33"/>
  <c r="AK65" i="33"/>
  <c r="AL65" i="33"/>
  <c r="AM65" i="33"/>
  <c r="AN65" i="33"/>
  <c r="AO65" i="33"/>
  <c r="AJ66" i="33"/>
  <c r="AK66" i="33"/>
  <c r="AL66" i="33"/>
  <c r="AM66" i="33"/>
  <c r="AN66" i="33"/>
  <c r="AO66" i="33"/>
  <c r="AJ67" i="33"/>
  <c r="AK67" i="33"/>
  <c r="AL67" i="33"/>
  <c r="AM67" i="33"/>
  <c r="AN67" i="33"/>
  <c r="AO67" i="33"/>
  <c r="AJ68" i="33"/>
  <c r="AK68" i="33"/>
  <c r="AL68" i="33"/>
  <c r="AM68" i="33"/>
  <c r="AN68" i="33"/>
  <c r="AO68" i="33"/>
  <c r="AJ69" i="33"/>
  <c r="AK69" i="33"/>
  <c r="AL69" i="33"/>
  <c r="AM69" i="33"/>
  <c r="AN69" i="33"/>
  <c r="AO69" i="33"/>
  <c r="AJ70" i="33"/>
  <c r="AK70" i="33"/>
  <c r="AL70" i="33"/>
  <c r="AM70" i="33"/>
  <c r="AN70" i="33"/>
  <c r="AO70" i="33"/>
  <c r="AJ71" i="33"/>
  <c r="AK71" i="33"/>
  <c r="AL71" i="33"/>
  <c r="AM71" i="33"/>
  <c r="AN71" i="33"/>
  <c r="AO71" i="33"/>
  <c r="I54" i="33"/>
  <c r="J54" i="33"/>
  <c r="K54" i="33"/>
  <c r="L54" i="33"/>
  <c r="M54" i="33"/>
  <c r="N54" i="33"/>
  <c r="O54" i="33"/>
  <c r="P54" i="33"/>
  <c r="Q54" i="33"/>
  <c r="R54" i="33"/>
  <c r="S54" i="33"/>
  <c r="T54" i="33"/>
  <c r="U54" i="33"/>
  <c r="V54" i="33"/>
  <c r="W54" i="33"/>
  <c r="X54" i="33"/>
  <c r="Y54" i="33"/>
  <c r="Z54" i="33"/>
  <c r="AA54" i="33"/>
  <c r="AB54" i="33"/>
  <c r="AC54" i="33"/>
  <c r="AD54" i="33"/>
  <c r="AE54" i="33"/>
  <c r="AF54" i="33"/>
  <c r="AG54" i="33"/>
  <c r="AH54" i="33"/>
  <c r="AI54" i="33"/>
  <c r="I55" i="33"/>
  <c r="J55" i="33"/>
  <c r="K55" i="33"/>
  <c r="L55" i="33"/>
  <c r="M55" i="33"/>
  <c r="N55" i="33"/>
  <c r="O55" i="33"/>
  <c r="P55" i="33"/>
  <c r="Q55" i="33"/>
  <c r="R55" i="33"/>
  <c r="S55" i="33"/>
  <c r="T55" i="33"/>
  <c r="U55" i="33"/>
  <c r="V55" i="33"/>
  <c r="W55" i="33"/>
  <c r="X55" i="33"/>
  <c r="Y55" i="33"/>
  <c r="Z55" i="33"/>
  <c r="AA55" i="33"/>
  <c r="AB55" i="33"/>
  <c r="AC55" i="33"/>
  <c r="AD55" i="33"/>
  <c r="AE55" i="33"/>
  <c r="AF55" i="33"/>
  <c r="AG55" i="33"/>
  <c r="AH55" i="33"/>
  <c r="AI55" i="33"/>
  <c r="I56" i="33"/>
  <c r="J56" i="33"/>
  <c r="K56" i="33"/>
  <c r="L56" i="33"/>
  <c r="M56" i="33"/>
  <c r="N56" i="33"/>
  <c r="O56" i="33"/>
  <c r="P56" i="33"/>
  <c r="Q56" i="33"/>
  <c r="R56" i="33"/>
  <c r="S56" i="33"/>
  <c r="T56" i="33"/>
  <c r="U56" i="33"/>
  <c r="V56" i="33"/>
  <c r="W56" i="33"/>
  <c r="X56" i="33"/>
  <c r="Y56" i="33"/>
  <c r="Z56" i="33"/>
  <c r="AA56" i="33"/>
  <c r="AB56" i="33"/>
  <c r="AC56" i="33"/>
  <c r="AD56" i="33"/>
  <c r="AE56" i="33"/>
  <c r="AF56" i="33"/>
  <c r="AG56" i="33"/>
  <c r="AH56" i="33"/>
  <c r="AI56" i="33"/>
  <c r="I57" i="33"/>
  <c r="J57" i="33"/>
  <c r="K57" i="33"/>
  <c r="L57" i="33"/>
  <c r="M57" i="33"/>
  <c r="N57" i="33"/>
  <c r="O57" i="33"/>
  <c r="P57" i="33"/>
  <c r="Q57" i="33"/>
  <c r="R57" i="33"/>
  <c r="S57" i="33"/>
  <c r="T57" i="33"/>
  <c r="U57" i="33"/>
  <c r="V57" i="33"/>
  <c r="W57" i="33"/>
  <c r="X57" i="33"/>
  <c r="Y57" i="33"/>
  <c r="Z57" i="33"/>
  <c r="AA57" i="33"/>
  <c r="AB57" i="33"/>
  <c r="AC57" i="33"/>
  <c r="AD57" i="33"/>
  <c r="AE57" i="33"/>
  <c r="AF57" i="33"/>
  <c r="AG57" i="33"/>
  <c r="AH57" i="33"/>
  <c r="AI57" i="33"/>
  <c r="I58" i="33"/>
  <c r="J58" i="33"/>
  <c r="K58" i="33"/>
  <c r="L58" i="33"/>
  <c r="M58" i="33"/>
  <c r="N58" i="33"/>
  <c r="O58" i="33"/>
  <c r="P58" i="33"/>
  <c r="Q58" i="33"/>
  <c r="R58" i="33"/>
  <c r="S58" i="33"/>
  <c r="T58" i="33"/>
  <c r="U58" i="33"/>
  <c r="V58" i="33"/>
  <c r="W58" i="33"/>
  <c r="X58" i="33"/>
  <c r="Y58" i="33"/>
  <c r="Z58" i="33"/>
  <c r="AA58" i="33"/>
  <c r="AB58" i="33"/>
  <c r="AC58" i="33"/>
  <c r="AD58" i="33"/>
  <c r="AE58" i="33"/>
  <c r="AF58" i="33"/>
  <c r="AG58" i="33"/>
  <c r="AH58" i="33"/>
  <c r="AI58" i="33"/>
  <c r="I59" i="33"/>
  <c r="J59" i="33"/>
  <c r="K59" i="33"/>
  <c r="L59" i="33"/>
  <c r="M59" i="33"/>
  <c r="N59" i="33"/>
  <c r="O59" i="33"/>
  <c r="P59" i="33"/>
  <c r="Q59" i="33"/>
  <c r="R59" i="33"/>
  <c r="S59" i="33"/>
  <c r="T59" i="33"/>
  <c r="U59" i="33"/>
  <c r="V59" i="33"/>
  <c r="W59" i="33"/>
  <c r="X59" i="33"/>
  <c r="Y59" i="33"/>
  <c r="Z59" i="33"/>
  <c r="AA59" i="33"/>
  <c r="AB59" i="33"/>
  <c r="AC59" i="33"/>
  <c r="AD59" i="33"/>
  <c r="AE59" i="33"/>
  <c r="AF59" i="33"/>
  <c r="AG59" i="33"/>
  <c r="AH59" i="33"/>
  <c r="AI59" i="33"/>
  <c r="I60" i="33"/>
  <c r="J60" i="33"/>
  <c r="K60" i="33"/>
  <c r="L60" i="33"/>
  <c r="M60" i="33"/>
  <c r="N60" i="33"/>
  <c r="O60" i="33"/>
  <c r="P60" i="33"/>
  <c r="Q60" i="33"/>
  <c r="R60" i="33"/>
  <c r="S60" i="33"/>
  <c r="T60" i="33"/>
  <c r="U60" i="33"/>
  <c r="V60" i="33"/>
  <c r="W60" i="33"/>
  <c r="X60" i="33"/>
  <c r="Y60" i="33"/>
  <c r="Z60" i="33"/>
  <c r="AA60" i="33"/>
  <c r="AB60" i="33"/>
  <c r="AC60" i="33"/>
  <c r="AD60" i="33"/>
  <c r="AE60" i="33"/>
  <c r="AF60" i="33"/>
  <c r="AG60" i="33"/>
  <c r="AH60" i="33"/>
  <c r="AI60" i="33"/>
  <c r="I61" i="33"/>
  <c r="J61" i="33"/>
  <c r="K61" i="33"/>
  <c r="L61" i="33"/>
  <c r="M61" i="33"/>
  <c r="N61" i="33"/>
  <c r="O61" i="33"/>
  <c r="P61" i="33"/>
  <c r="Q61" i="33"/>
  <c r="R61" i="33"/>
  <c r="S61" i="33"/>
  <c r="T61" i="33"/>
  <c r="U61" i="33"/>
  <c r="V61" i="33"/>
  <c r="W61" i="33"/>
  <c r="X61" i="33"/>
  <c r="Y61" i="33"/>
  <c r="Z61" i="33"/>
  <c r="AA61" i="33"/>
  <c r="AB61" i="33"/>
  <c r="AC61" i="33"/>
  <c r="AD61" i="33"/>
  <c r="AE61" i="33"/>
  <c r="AF61" i="33"/>
  <c r="AG61" i="33"/>
  <c r="AH61" i="33"/>
  <c r="AI61" i="33"/>
  <c r="I62" i="33"/>
  <c r="J62" i="33"/>
  <c r="K62" i="33"/>
  <c r="L62" i="33"/>
  <c r="M62" i="33"/>
  <c r="N62" i="33"/>
  <c r="O62" i="33"/>
  <c r="P62" i="33"/>
  <c r="Q62" i="33"/>
  <c r="R62" i="33"/>
  <c r="S62" i="33"/>
  <c r="T62" i="33"/>
  <c r="U62" i="33"/>
  <c r="V62" i="33"/>
  <c r="W62" i="33"/>
  <c r="X62" i="33"/>
  <c r="Y62" i="33"/>
  <c r="Z62" i="33"/>
  <c r="AA62" i="33"/>
  <c r="AB62" i="33"/>
  <c r="AC62" i="33"/>
  <c r="AD62" i="33"/>
  <c r="AE62" i="33"/>
  <c r="AF62" i="33"/>
  <c r="AG62" i="33"/>
  <c r="AH62" i="33"/>
  <c r="AI62" i="33"/>
  <c r="I63" i="33"/>
  <c r="J63" i="33"/>
  <c r="K63" i="33"/>
  <c r="L63" i="33"/>
  <c r="M63" i="33"/>
  <c r="N63" i="33"/>
  <c r="O63" i="33"/>
  <c r="P63" i="33"/>
  <c r="Q63" i="33"/>
  <c r="R63" i="33"/>
  <c r="S63" i="33"/>
  <c r="T63" i="33"/>
  <c r="U63" i="33"/>
  <c r="V63" i="33"/>
  <c r="W63" i="33"/>
  <c r="X63" i="33"/>
  <c r="Y63" i="33"/>
  <c r="Z63" i="33"/>
  <c r="AA63" i="33"/>
  <c r="AB63" i="33"/>
  <c r="AC63" i="33"/>
  <c r="AD63" i="33"/>
  <c r="AE63" i="33"/>
  <c r="AF63" i="33"/>
  <c r="AG63" i="33"/>
  <c r="AH63" i="33"/>
  <c r="AI63" i="33"/>
  <c r="I64" i="33"/>
  <c r="J64" i="33"/>
  <c r="K64" i="33"/>
  <c r="L64" i="33"/>
  <c r="M64" i="33"/>
  <c r="N64" i="33"/>
  <c r="O64" i="33"/>
  <c r="P64" i="33"/>
  <c r="Q64" i="33"/>
  <c r="R64" i="33"/>
  <c r="S64" i="33"/>
  <c r="T64" i="33"/>
  <c r="U64" i="33"/>
  <c r="V64" i="33"/>
  <c r="W64" i="33"/>
  <c r="X64" i="33"/>
  <c r="Y64" i="33"/>
  <c r="Z64" i="33"/>
  <c r="AA64" i="33"/>
  <c r="AB64" i="33"/>
  <c r="AC64" i="33"/>
  <c r="AD64" i="33"/>
  <c r="AE64" i="33"/>
  <c r="AF64" i="33"/>
  <c r="AG64" i="33"/>
  <c r="AH64" i="33"/>
  <c r="AI64" i="33"/>
  <c r="I65" i="33"/>
  <c r="J65" i="33"/>
  <c r="K65" i="33"/>
  <c r="L65" i="33"/>
  <c r="M65" i="33"/>
  <c r="N65" i="33"/>
  <c r="O65" i="33"/>
  <c r="P65" i="33"/>
  <c r="Q65" i="33"/>
  <c r="R65" i="33"/>
  <c r="S65" i="33"/>
  <c r="T65" i="33"/>
  <c r="U65" i="33"/>
  <c r="V65" i="33"/>
  <c r="W65" i="33"/>
  <c r="X65" i="33"/>
  <c r="Y65" i="33"/>
  <c r="Z65" i="33"/>
  <c r="AA65" i="33"/>
  <c r="AB65" i="33"/>
  <c r="AC65" i="33"/>
  <c r="AD65" i="33"/>
  <c r="AE65" i="33"/>
  <c r="AF65" i="33"/>
  <c r="AG65" i="33"/>
  <c r="AH65" i="33"/>
  <c r="AI65" i="33"/>
  <c r="I66" i="33"/>
  <c r="J66" i="33"/>
  <c r="K66" i="33"/>
  <c r="L66" i="33"/>
  <c r="M66" i="33"/>
  <c r="N66" i="33"/>
  <c r="O66" i="33"/>
  <c r="P66" i="33"/>
  <c r="Q66" i="33"/>
  <c r="R66" i="33"/>
  <c r="S66" i="33"/>
  <c r="T66" i="33"/>
  <c r="U66" i="33"/>
  <c r="V66" i="33"/>
  <c r="W66" i="33"/>
  <c r="X66" i="33"/>
  <c r="Y66" i="33"/>
  <c r="Z66" i="33"/>
  <c r="AA66" i="33"/>
  <c r="AB66" i="33"/>
  <c r="AC66" i="33"/>
  <c r="AD66" i="33"/>
  <c r="AE66" i="33"/>
  <c r="AF66" i="33"/>
  <c r="AG66" i="33"/>
  <c r="AH66" i="33"/>
  <c r="AI66" i="33"/>
  <c r="I67" i="33"/>
  <c r="J67" i="33"/>
  <c r="K67" i="33"/>
  <c r="L67" i="33"/>
  <c r="M67" i="33"/>
  <c r="N67" i="33"/>
  <c r="O67" i="33"/>
  <c r="P67" i="33"/>
  <c r="Q67" i="33"/>
  <c r="R67" i="33"/>
  <c r="S67" i="33"/>
  <c r="T67" i="33"/>
  <c r="U67" i="33"/>
  <c r="V67" i="33"/>
  <c r="W67" i="33"/>
  <c r="X67" i="33"/>
  <c r="Y67" i="33"/>
  <c r="Z67" i="33"/>
  <c r="AA67" i="33"/>
  <c r="AB67" i="33"/>
  <c r="AC67" i="33"/>
  <c r="AD67" i="33"/>
  <c r="AE67" i="33"/>
  <c r="AF67" i="33"/>
  <c r="AG67" i="33"/>
  <c r="AH67" i="33"/>
  <c r="AI67" i="33"/>
  <c r="I68" i="33"/>
  <c r="J68" i="33"/>
  <c r="K68" i="33"/>
  <c r="L68" i="33"/>
  <c r="M68" i="33"/>
  <c r="N68" i="33"/>
  <c r="O68" i="33"/>
  <c r="P68" i="33"/>
  <c r="Q68" i="33"/>
  <c r="R68" i="33"/>
  <c r="S68" i="33"/>
  <c r="T68" i="33"/>
  <c r="U68" i="33"/>
  <c r="V68" i="33"/>
  <c r="W68" i="33"/>
  <c r="X68" i="33"/>
  <c r="Y68" i="33"/>
  <c r="Z68" i="33"/>
  <c r="AA68" i="33"/>
  <c r="AB68" i="33"/>
  <c r="AC68" i="33"/>
  <c r="AD68" i="33"/>
  <c r="AE68" i="33"/>
  <c r="AF68" i="33"/>
  <c r="AG68" i="33"/>
  <c r="AH68" i="33"/>
  <c r="AI68" i="33"/>
  <c r="I69" i="33"/>
  <c r="J69" i="33"/>
  <c r="K69" i="33"/>
  <c r="L69" i="33"/>
  <c r="M69" i="33"/>
  <c r="N69" i="33"/>
  <c r="O69" i="33"/>
  <c r="P69" i="33"/>
  <c r="Q69" i="33"/>
  <c r="R69" i="33"/>
  <c r="S69" i="33"/>
  <c r="T69" i="33"/>
  <c r="U69" i="33"/>
  <c r="V69" i="33"/>
  <c r="W69" i="33"/>
  <c r="X69" i="33"/>
  <c r="Y69" i="33"/>
  <c r="Z69" i="33"/>
  <c r="AA69" i="33"/>
  <c r="AB69" i="33"/>
  <c r="AC69" i="33"/>
  <c r="AD69" i="33"/>
  <c r="AE69" i="33"/>
  <c r="AF69" i="33"/>
  <c r="AG69" i="33"/>
  <c r="AH69" i="33"/>
  <c r="AI69" i="33"/>
  <c r="I70" i="33"/>
  <c r="J70" i="33"/>
  <c r="K70" i="33"/>
  <c r="L70" i="33"/>
  <c r="M70" i="33"/>
  <c r="N70" i="33"/>
  <c r="O70" i="33"/>
  <c r="P70" i="33"/>
  <c r="Q70" i="33"/>
  <c r="R70" i="33"/>
  <c r="S70" i="33"/>
  <c r="T70" i="33"/>
  <c r="U70" i="33"/>
  <c r="V70" i="33"/>
  <c r="W70" i="33"/>
  <c r="X70" i="33"/>
  <c r="Y70" i="33"/>
  <c r="Z70" i="33"/>
  <c r="AA70" i="33"/>
  <c r="AB70" i="33"/>
  <c r="AC70" i="33"/>
  <c r="AD70" i="33"/>
  <c r="AE70" i="33"/>
  <c r="AF70" i="33"/>
  <c r="AG70" i="33"/>
  <c r="AH70" i="33"/>
  <c r="AI70" i="33"/>
  <c r="I71" i="33"/>
  <c r="J71" i="33"/>
  <c r="K71" i="33"/>
  <c r="L71" i="33"/>
  <c r="M71" i="33"/>
  <c r="N71" i="33"/>
  <c r="O71" i="33"/>
  <c r="P71" i="33"/>
  <c r="Q71" i="33"/>
  <c r="R71" i="33"/>
  <c r="S71" i="33"/>
  <c r="T71" i="33"/>
  <c r="U71" i="33"/>
  <c r="V71" i="33"/>
  <c r="W71" i="33"/>
  <c r="X71" i="33"/>
  <c r="Y71" i="33"/>
  <c r="Z71" i="33"/>
  <c r="AA71" i="33"/>
  <c r="AB71" i="33"/>
  <c r="AC71" i="33"/>
  <c r="AD71" i="33"/>
  <c r="AE71" i="33"/>
  <c r="AF71" i="33"/>
  <c r="AG71" i="33"/>
  <c r="AH71" i="33"/>
  <c r="AI71" i="33"/>
  <c r="H71" i="33"/>
  <c r="H70" i="33"/>
  <c r="H69" i="33"/>
  <c r="H68" i="33"/>
  <c r="H67" i="33"/>
  <c r="H66" i="33"/>
  <c r="H65" i="33"/>
  <c r="H64" i="33"/>
  <c r="H63" i="33"/>
  <c r="H62" i="33"/>
  <c r="AD1509" i="67" l="1"/>
  <c r="AD1530" i="67"/>
  <c r="K1506" i="67"/>
  <c r="K1527" i="67"/>
  <c r="AQ1501" i="67"/>
  <c r="AQ1522" i="67"/>
  <c r="K1503" i="67"/>
  <c r="K1524" i="67"/>
  <c r="AU1508" i="67"/>
  <c r="AU1529" i="67"/>
  <c r="AI1503" i="67"/>
  <c r="AI1524" i="67"/>
  <c r="U1500" i="67"/>
  <c r="U1521" i="67"/>
  <c r="AS1509" i="67"/>
  <c r="AS1530" i="67"/>
  <c r="AC1509" i="67"/>
  <c r="AC1530" i="67"/>
  <c r="M1509" i="67"/>
  <c r="M1530" i="67"/>
  <c r="M1508" i="67"/>
  <c r="M1529" i="67"/>
  <c r="Y1506" i="67"/>
  <c r="Y1527" i="67"/>
  <c r="AK1502" i="67"/>
  <c r="AK1523" i="67"/>
  <c r="AW1500" i="67"/>
  <c r="AW1521" i="67"/>
  <c r="Q1520" i="67"/>
  <c r="Q1499" i="67"/>
  <c r="AT1509" i="67"/>
  <c r="AT1530" i="67"/>
  <c r="AM1508" i="67"/>
  <c r="AM1529" i="67"/>
  <c r="S1503" i="67"/>
  <c r="S1524" i="67"/>
  <c r="AK1520" i="67"/>
  <c r="AK1499" i="67"/>
  <c r="AV1530" i="67"/>
  <c r="AV1509" i="67"/>
  <c r="AB1509" i="67"/>
  <c r="AB1530" i="67"/>
  <c r="AW1508" i="67"/>
  <c r="AW1529" i="67"/>
  <c r="AU1507" i="67"/>
  <c r="AU1528" i="67"/>
  <c r="U1506" i="67"/>
  <c r="U1527" i="67"/>
  <c r="AG1502" i="67"/>
  <c r="AG1523" i="67"/>
  <c r="AS1500" i="67"/>
  <c r="AS1521" i="67"/>
  <c r="M1520" i="67"/>
  <c r="M1499" i="67"/>
  <c r="AL1509" i="67"/>
  <c r="AL1530" i="67"/>
  <c r="K1522" i="67"/>
  <c r="K1501" i="67"/>
  <c r="AU1509" i="67"/>
  <c r="AU1530" i="67"/>
  <c r="AE1509" i="67"/>
  <c r="AE1530" i="67"/>
  <c r="O1509" i="67"/>
  <c r="O1530" i="67"/>
  <c r="U1508" i="67"/>
  <c r="U1529" i="67"/>
  <c r="AG1506" i="67"/>
  <c r="AG1527" i="67"/>
  <c r="AS1502" i="67"/>
  <c r="AS1523" i="67"/>
  <c r="S1501" i="67"/>
  <c r="S1522" i="67"/>
  <c r="Y1499" i="67"/>
  <c r="Y1520" i="67"/>
  <c r="AR1508" i="67"/>
  <c r="AR1529" i="67"/>
  <c r="AB1508" i="67"/>
  <c r="AB1529" i="67"/>
  <c r="L1508" i="67"/>
  <c r="L1529" i="67"/>
  <c r="AH1507" i="67"/>
  <c r="AH1528" i="67"/>
  <c r="R1507" i="67"/>
  <c r="R1528" i="67"/>
  <c r="AN1506" i="67"/>
  <c r="AN1527" i="67"/>
  <c r="X1506" i="67"/>
  <c r="X1527" i="67"/>
  <c r="AT1503" i="67"/>
  <c r="AT1524" i="67"/>
  <c r="AD1503" i="67"/>
  <c r="AD1524" i="67"/>
  <c r="N1503" i="67"/>
  <c r="N1524" i="67"/>
  <c r="AJ1502" i="67"/>
  <c r="AJ1523" i="67"/>
  <c r="T1502" i="67"/>
  <c r="T1523" i="67"/>
  <c r="AP1501" i="67"/>
  <c r="AP1522" i="67"/>
  <c r="Z1501" i="67"/>
  <c r="Z1522" i="67"/>
  <c r="AV1500" i="67"/>
  <c r="AV1521" i="67"/>
  <c r="AF1500" i="67"/>
  <c r="AF1521" i="67"/>
  <c r="AV1499" i="67"/>
  <c r="AV1520" i="67"/>
  <c r="AF1499" i="67"/>
  <c r="AF1520" i="67"/>
  <c r="P1499" i="67"/>
  <c r="P1520" i="67"/>
  <c r="AL1498" i="67"/>
  <c r="AL1519" i="67"/>
  <c r="V1498" i="67"/>
  <c r="V1519" i="67"/>
  <c r="W1508" i="67"/>
  <c r="W1529" i="67"/>
  <c r="AS1507" i="67"/>
  <c r="AS1528" i="67"/>
  <c r="AC1507" i="67"/>
  <c r="AC1528" i="67"/>
  <c r="M1507" i="67"/>
  <c r="M1528" i="67"/>
  <c r="AI1506" i="67"/>
  <c r="AI1527" i="67"/>
  <c r="S1506" i="67"/>
  <c r="S1527" i="67"/>
  <c r="AO1503" i="67"/>
  <c r="AO1524" i="67"/>
  <c r="Y1524" i="67"/>
  <c r="Y1503" i="67"/>
  <c r="AU1523" i="67"/>
  <c r="AU1502" i="67"/>
  <c r="AE1523" i="67"/>
  <c r="AE1502" i="67"/>
  <c r="O1523" i="67"/>
  <c r="O1502" i="67"/>
  <c r="AK1522" i="67"/>
  <c r="AK1501" i="67"/>
  <c r="U1522" i="67"/>
  <c r="U1501" i="67"/>
  <c r="AQ1521" i="67"/>
  <c r="AQ1500" i="67"/>
  <c r="AA1521" i="67"/>
  <c r="AA1500" i="67"/>
  <c r="AQ1499" i="67"/>
  <c r="AQ1520" i="67"/>
  <c r="AA1499" i="67"/>
  <c r="AA1520" i="67"/>
  <c r="AW1498" i="67"/>
  <c r="AW1519" i="67"/>
  <c r="AG1498" i="67"/>
  <c r="AG1519" i="67"/>
  <c r="Q1498" i="67"/>
  <c r="Q1519" i="67"/>
  <c r="AP1508" i="67"/>
  <c r="AP1529" i="67"/>
  <c r="Z1508" i="67"/>
  <c r="Z1529" i="67"/>
  <c r="AV1507" i="67"/>
  <c r="AV1528" i="67"/>
  <c r="AF1507" i="67"/>
  <c r="AF1528" i="67"/>
  <c r="P1507" i="67"/>
  <c r="P1528" i="67"/>
  <c r="AL1506" i="67"/>
  <c r="AL1527" i="67"/>
  <c r="V1506" i="67"/>
  <c r="V1527" i="67"/>
  <c r="AR1503" i="67"/>
  <c r="AR1524" i="67"/>
  <c r="AB1503" i="67"/>
  <c r="AB1524" i="67"/>
  <c r="L1503" i="67"/>
  <c r="L1524" i="67"/>
  <c r="AH1502" i="67"/>
  <c r="AH1523" i="67"/>
  <c r="R1502" i="67"/>
  <c r="R1523" i="67"/>
  <c r="AN1501" i="67"/>
  <c r="AN1522" i="67"/>
  <c r="X1501" i="67"/>
  <c r="X1522" i="67"/>
  <c r="AT1500" i="67"/>
  <c r="AT1521" i="67"/>
  <c r="AD1500" i="67"/>
  <c r="AD1521" i="67"/>
  <c r="AT1499" i="67"/>
  <c r="AT1520" i="67"/>
  <c r="AD1499" i="67"/>
  <c r="AD1520" i="67"/>
  <c r="N1499" i="67"/>
  <c r="N1520" i="67"/>
  <c r="AJ1498" i="67"/>
  <c r="AJ1519" i="67"/>
  <c r="T1498" i="67"/>
  <c r="T1519" i="67"/>
  <c r="Q1500" i="67"/>
  <c r="Q1521" i="67"/>
  <c r="O1521" i="67"/>
  <c r="O1500" i="67"/>
  <c r="AP1509" i="67"/>
  <c r="AP1530" i="67"/>
  <c r="AE1508" i="67"/>
  <c r="AE1529" i="67"/>
  <c r="AO1502" i="67"/>
  <c r="AO1523" i="67"/>
  <c r="AQ1519" i="67"/>
  <c r="AQ1498" i="67"/>
  <c r="AO1509" i="67"/>
  <c r="AO1530" i="67"/>
  <c r="Y1509" i="67"/>
  <c r="Y1530" i="67"/>
  <c r="AS1508" i="67"/>
  <c r="AS1529" i="67"/>
  <c r="AI1507" i="67"/>
  <c r="AI1528" i="67"/>
  <c r="AU1503" i="67"/>
  <c r="AU1524" i="67"/>
  <c r="U1502" i="67"/>
  <c r="U1523" i="67"/>
  <c r="AG1500" i="67"/>
  <c r="AG1521" i="67"/>
  <c r="AM1519" i="67"/>
  <c r="AM1498" i="67"/>
  <c r="AH1509" i="67"/>
  <c r="AH1530" i="67"/>
  <c r="Q1508" i="67"/>
  <c r="Q1529" i="67"/>
  <c r="Y1502" i="67"/>
  <c r="Y1523" i="67"/>
  <c r="U1520" i="67"/>
  <c r="U1499" i="67"/>
  <c r="AN1509" i="67"/>
  <c r="AN1530" i="67"/>
  <c r="X1509" i="67"/>
  <c r="X1530" i="67"/>
  <c r="AQ1508" i="67"/>
  <c r="AQ1529" i="67"/>
  <c r="AE1507" i="67"/>
  <c r="AE1528" i="67"/>
  <c r="AQ1503" i="67"/>
  <c r="AQ1524" i="67"/>
  <c r="Q1502" i="67"/>
  <c r="Q1523" i="67"/>
  <c r="AC1500" i="67"/>
  <c r="AC1521" i="67"/>
  <c r="AI1519" i="67"/>
  <c r="AI1498" i="67"/>
  <c r="R1509" i="67"/>
  <c r="R1530" i="67"/>
  <c r="AR1509" i="67"/>
  <c r="AR1530" i="67"/>
  <c r="AQ1509" i="67"/>
  <c r="AQ1530" i="67"/>
  <c r="AA1509" i="67"/>
  <c r="AA1530" i="67"/>
  <c r="AV1508" i="67"/>
  <c r="AV1529" i="67"/>
  <c r="AQ1507" i="67"/>
  <c r="AQ1528" i="67"/>
  <c r="Q1506" i="67"/>
  <c r="Q1527" i="67"/>
  <c r="AC1502" i="67"/>
  <c r="AC1523" i="67"/>
  <c r="AO1500" i="67"/>
  <c r="AO1521" i="67"/>
  <c r="AU1498" i="67"/>
  <c r="AU1519" i="67"/>
  <c r="AN1508" i="67"/>
  <c r="AN1529" i="67"/>
  <c r="X1508" i="67"/>
  <c r="X1529" i="67"/>
  <c r="AT1507" i="67"/>
  <c r="AT1528" i="67"/>
  <c r="AD1507" i="67"/>
  <c r="AD1528" i="67"/>
  <c r="N1507" i="67"/>
  <c r="N1528" i="67"/>
  <c r="AJ1506" i="67"/>
  <c r="AJ1527" i="67"/>
  <c r="T1506" i="67"/>
  <c r="T1527" i="67"/>
  <c r="AP1503" i="67"/>
  <c r="AP1524" i="67"/>
  <c r="Z1503" i="67"/>
  <c r="Z1524" i="67"/>
  <c r="AV1502" i="67"/>
  <c r="AV1523" i="67"/>
  <c r="AF1502" i="67"/>
  <c r="AF1523" i="67"/>
  <c r="P1502" i="67"/>
  <c r="P1523" i="67"/>
  <c r="AL1501" i="67"/>
  <c r="AL1522" i="67"/>
  <c r="V1501" i="67"/>
  <c r="V1522" i="67"/>
  <c r="AR1500" i="67"/>
  <c r="AR1521" i="67"/>
  <c r="AB1500" i="67"/>
  <c r="AB1521" i="67"/>
  <c r="AR1499" i="67"/>
  <c r="AR1520" i="67"/>
  <c r="AB1499" i="67"/>
  <c r="AB1520" i="67"/>
  <c r="L1499" i="67"/>
  <c r="L1520" i="67"/>
  <c r="AH1498" i="67"/>
  <c r="AH1519" i="67"/>
  <c r="R1498" i="67"/>
  <c r="R1519" i="67"/>
  <c r="S1508" i="67"/>
  <c r="S1529" i="67"/>
  <c r="AO1507" i="67"/>
  <c r="AO1528" i="67"/>
  <c r="Y1507" i="67"/>
  <c r="Y1528" i="67"/>
  <c r="AU1506" i="67"/>
  <c r="AU1527" i="67"/>
  <c r="AE1506" i="67"/>
  <c r="AE1527" i="67"/>
  <c r="O1506" i="67"/>
  <c r="O1527" i="67"/>
  <c r="AK1503" i="67"/>
  <c r="AK1524" i="67"/>
  <c r="U1524" i="67"/>
  <c r="U1503" i="67"/>
  <c r="AQ1523" i="67"/>
  <c r="AQ1502" i="67"/>
  <c r="AA1523" i="67"/>
  <c r="AA1502" i="67"/>
  <c r="AW1522" i="67"/>
  <c r="AW1501" i="67"/>
  <c r="AG1522" i="67"/>
  <c r="AG1501" i="67"/>
  <c r="Q1522" i="67"/>
  <c r="Q1501" i="67"/>
  <c r="AM1521" i="67"/>
  <c r="AM1500" i="67"/>
  <c r="W1521" i="67"/>
  <c r="W1500" i="67"/>
  <c r="AM1499" i="67"/>
  <c r="AM1520" i="67"/>
  <c r="W1499" i="67"/>
  <c r="W1520" i="67"/>
  <c r="AS1498" i="67"/>
  <c r="AS1519" i="67"/>
  <c r="AC1498" i="67"/>
  <c r="AC1519" i="67"/>
  <c r="M1498" i="67"/>
  <c r="M1519" i="67"/>
  <c r="AL1508" i="67"/>
  <c r="AL1529" i="67"/>
  <c r="V1508" i="67"/>
  <c r="V1529" i="67"/>
  <c r="AR1507" i="67"/>
  <c r="AR1528" i="67"/>
  <c r="AB1507" i="67"/>
  <c r="AB1528" i="67"/>
  <c r="L1507" i="67"/>
  <c r="L1528" i="67"/>
  <c r="AH1506" i="67"/>
  <c r="AH1527" i="67"/>
  <c r="R1506" i="67"/>
  <c r="R1527" i="67"/>
  <c r="AN1503" i="67"/>
  <c r="AN1524" i="67"/>
  <c r="X1503" i="67"/>
  <c r="X1524" i="67"/>
  <c r="AT1502" i="67"/>
  <c r="AT1523" i="67"/>
  <c r="AD1502" i="67"/>
  <c r="AD1523" i="67"/>
  <c r="N1502" i="67"/>
  <c r="N1523" i="67"/>
  <c r="AJ1501" i="67"/>
  <c r="AJ1522" i="67"/>
  <c r="T1501" i="67"/>
  <c r="T1522" i="67"/>
  <c r="AP1500" i="67"/>
  <c r="AP1521" i="67"/>
  <c r="Z1500" i="67"/>
  <c r="Z1521" i="67"/>
  <c r="AP1499" i="67"/>
  <c r="AP1520" i="67"/>
  <c r="Z1499" i="67"/>
  <c r="Z1520" i="67"/>
  <c r="AV1498" i="67"/>
  <c r="AV1519" i="67"/>
  <c r="AF1498" i="67"/>
  <c r="AF1519" i="67"/>
  <c r="P1498" i="67"/>
  <c r="P1519" i="67"/>
  <c r="P1500" i="67"/>
  <c r="P1521" i="67"/>
  <c r="K1521" i="67"/>
  <c r="K1500" i="67"/>
  <c r="AU1501" i="67"/>
  <c r="AU1522" i="67"/>
  <c r="U1509" i="67"/>
  <c r="U1530" i="67"/>
  <c r="AK1508" i="67"/>
  <c r="AK1529" i="67"/>
  <c r="S1507" i="67"/>
  <c r="S1528" i="67"/>
  <c r="AE1503" i="67"/>
  <c r="AE1524" i="67"/>
  <c r="W1519" i="67"/>
  <c r="W1498" i="67"/>
  <c r="Z1509" i="67"/>
  <c r="Z1530" i="67"/>
  <c r="AS1506" i="67"/>
  <c r="AS1527" i="67"/>
  <c r="AE1501" i="67"/>
  <c r="AE1522" i="67"/>
  <c r="K1499" i="67"/>
  <c r="K1520" i="67"/>
  <c r="AJ1530" i="67"/>
  <c r="AJ1509" i="67"/>
  <c r="T1530" i="67"/>
  <c r="T1509" i="67"/>
  <c r="AI1508" i="67"/>
  <c r="AI1529" i="67"/>
  <c r="O1507" i="67"/>
  <c r="O1528" i="67"/>
  <c r="AA1503" i="67"/>
  <c r="AA1524" i="67"/>
  <c r="AM1501" i="67"/>
  <c r="AM1522" i="67"/>
  <c r="AS1520" i="67"/>
  <c r="AS1499" i="67"/>
  <c r="S1519" i="67"/>
  <c r="S1498" i="67"/>
  <c r="W1507" i="67"/>
  <c r="W1528" i="67"/>
  <c r="K1502" i="67"/>
  <c r="K1523" i="67"/>
  <c r="AM1509" i="67"/>
  <c r="AM1530" i="67"/>
  <c r="W1509" i="67"/>
  <c r="W1530" i="67"/>
  <c r="AO1508" i="67"/>
  <c r="AO1529" i="67"/>
  <c r="AA1507" i="67"/>
  <c r="AA1528" i="67"/>
  <c r="AM1503" i="67"/>
  <c r="AM1524" i="67"/>
  <c r="M1502" i="67"/>
  <c r="M1523" i="67"/>
  <c r="Y1500" i="67"/>
  <c r="Y1521" i="67"/>
  <c r="AE1498" i="67"/>
  <c r="AE1519" i="67"/>
  <c r="AJ1508" i="67"/>
  <c r="AJ1529" i="67"/>
  <c r="T1508" i="67"/>
  <c r="T1529" i="67"/>
  <c r="AP1507" i="67"/>
  <c r="AP1528" i="67"/>
  <c r="Z1507" i="67"/>
  <c r="Z1528" i="67"/>
  <c r="AV1506" i="67"/>
  <c r="AV1527" i="67"/>
  <c r="AF1506" i="67"/>
  <c r="AF1527" i="67"/>
  <c r="P1506" i="67"/>
  <c r="P1527" i="67"/>
  <c r="AL1503" i="67"/>
  <c r="AL1524" i="67"/>
  <c r="V1503" i="67"/>
  <c r="V1524" i="67"/>
  <c r="AR1502" i="67"/>
  <c r="AR1523" i="67"/>
  <c r="AB1502" i="67"/>
  <c r="AB1523" i="67"/>
  <c r="L1502" i="67"/>
  <c r="L1523" i="67"/>
  <c r="AH1501" i="67"/>
  <c r="AH1522" i="67"/>
  <c r="R1501" i="67"/>
  <c r="R1522" i="67"/>
  <c r="AN1500" i="67"/>
  <c r="AN1521" i="67"/>
  <c r="X1500" i="67"/>
  <c r="X1521" i="67"/>
  <c r="AN1499" i="67"/>
  <c r="AN1520" i="67"/>
  <c r="X1499" i="67"/>
  <c r="X1520" i="67"/>
  <c r="AT1498" i="67"/>
  <c r="AT1519" i="67"/>
  <c r="AD1498" i="67"/>
  <c r="AD1519" i="67"/>
  <c r="N1498" i="67"/>
  <c r="N1519" i="67"/>
  <c r="O1508" i="67"/>
  <c r="O1529" i="67"/>
  <c r="AK1507" i="67"/>
  <c r="AK1528" i="67"/>
  <c r="U1507" i="67"/>
  <c r="U1528" i="67"/>
  <c r="AQ1506" i="67"/>
  <c r="AQ1527" i="67"/>
  <c r="AA1506" i="67"/>
  <c r="AA1527" i="67"/>
  <c r="AW1503" i="67"/>
  <c r="AW1524" i="67"/>
  <c r="AG1503" i="67"/>
  <c r="AG1524" i="67"/>
  <c r="Q1503" i="67"/>
  <c r="Q1524" i="67"/>
  <c r="AM1502" i="67"/>
  <c r="AM1523" i="67"/>
  <c r="W1502" i="67"/>
  <c r="W1523" i="67"/>
  <c r="AS1501" i="67"/>
  <c r="AS1522" i="67"/>
  <c r="AC1501" i="67"/>
  <c r="AC1522" i="67"/>
  <c r="M1501" i="67"/>
  <c r="M1522" i="67"/>
  <c r="AI1500" i="67"/>
  <c r="AI1521" i="67"/>
  <c r="S1500" i="67"/>
  <c r="S1521" i="67"/>
  <c r="AI1499" i="67"/>
  <c r="AI1520" i="67"/>
  <c r="S1499" i="67"/>
  <c r="S1520" i="67"/>
  <c r="AO1498" i="67"/>
  <c r="AO1519" i="67"/>
  <c r="Y1498" i="67"/>
  <c r="Y1519" i="67"/>
  <c r="L1509" i="67"/>
  <c r="L1530" i="67"/>
  <c r="AH1508" i="67"/>
  <c r="AH1529" i="67"/>
  <c r="R1508" i="67"/>
  <c r="R1529" i="67"/>
  <c r="AN1507" i="67"/>
  <c r="AN1528" i="67"/>
  <c r="X1507" i="67"/>
  <c r="X1528" i="67"/>
  <c r="AT1506" i="67"/>
  <c r="AT1527" i="67"/>
  <c r="AD1506" i="67"/>
  <c r="AD1527" i="67"/>
  <c r="N1506" i="67"/>
  <c r="N1527" i="67"/>
  <c r="AJ1503" i="67"/>
  <c r="AJ1524" i="67"/>
  <c r="T1503" i="67"/>
  <c r="T1524" i="67"/>
  <c r="AP1502" i="67"/>
  <c r="AP1523" i="67"/>
  <c r="Z1502" i="67"/>
  <c r="Z1523" i="67"/>
  <c r="AV1501" i="67"/>
  <c r="AV1522" i="67"/>
  <c r="AF1501" i="67"/>
  <c r="AF1522" i="67"/>
  <c r="P1501" i="67"/>
  <c r="P1522" i="67"/>
  <c r="AL1500" i="67"/>
  <c r="AL1521" i="67"/>
  <c r="V1500" i="67"/>
  <c r="V1521" i="67"/>
  <c r="AL1499" i="67"/>
  <c r="AL1520" i="67"/>
  <c r="V1499" i="67"/>
  <c r="V1520" i="67"/>
  <c r="AR1498" i="67"/>
  <c r="AR1519" i="67"/>
  <c r="AB1498" i="67"/>
  <c r="AB1519" i="67"/>
  <c r="L1498" i="67"/>
  <c r="L1519" i="67"/>
  <c r="L1500" i="67"/>
  <c r="L1521" i="67"/>
  <c r="AM1507" i="67"/>
  <c r="AM1528" i="67"/>
  <c r="AK1509" i="67"/>
  <c r="AK1530" i="67"/>
  <c r="AW1520" i="67"/>
  <c r="AW1499" i="67"/>
  <c r="V1509" i="67"/>
  <c r="V1530" i="67"/>
  <c r="AC1506" i="67"/>
  <c r="AC1527" i="67"/>
  <c r="O1501" i="67"/>
  <c r="O1522" i="67"/>
  <c r="AW1509" i="67"/>
  <c r="AW1530" i="67"/>
  <c r="AG1509" i="67"/>
  <c r="AG1530" i="67"/>
  <c r="Q1509" i="67"/>
  <c r="Q1530" i="67"/>
  <c r="AC1508" i="67"/>
  <c r="AC1529" i="67"/>
  <c r="AO1506" i="67"/>
  <c r="AO1527" i="67"/>
  <c r="O1503" i="67"/>
  <c r="O1524" i="67"/>
  <c r="AA1501" i="67"/>
  <c r="AA1522" i="67"/>
  <c r="AG1520" i="67"/>
  <c r="AG1499" i="67"/>
  <c r="K1519" i="67"/>
  <c r="K1498" i="67"/>
  <c r="N1509" i="67"/>
  <c r="N1530" i="67"/>
  <c r="M1506" i="67"/>
  <c r="M1527" i="67"/>
  <c r="AK1500" i="67"/>
  <c r="AK1521" i="67"/>
  <c r="K1507" i="67"/>
  <c r="K1528" i="67"/>
  <c r="AF1530" i="67"/>
  <c r="AF1509" i="67"/>
  <c r="P1530" i="67"/>
  <c r="P1509" i="67"/>
  <c r="Y1508" i="67"/>
  <c r="Y1529" i="67"/>
  <c r="AK1506" i="67"/>
  <c r="AK1527" i="67"/>
  <c r="AW1502" i="67"/>
  <c r="AW1523" i="67"/>
  <c r="W1501" i="67"/>
  <c r="W1522" i="67"/>
  <c r="AC1520" i="67"/>
  <c r="AC1499" i="67"/>
  <c r="K1530" i="67"/>
  <c r="K1509" i="67"/>
  <c r="AA1519" i="67"/>
  <c r="AA1498" i="67"/>
  <c r="K1529" i="67"/>
  <c r="K1508" i="67"/>
  <c r="AI1509" i="67"/>
  <c r="AI1530" i="67"/>
  <c r="S1509" i="67"/>
  <c r="S1530" i="67"/>
  <c r="AG1508" i="67"/>
  <c r="AG1529" i="67"/>
  <c r="AW1506" i="67"/>
  <c r="AW1527" i="67"/>
  <c r="W1503" i="67"/>
  <c r="W1524" i="67"/>
  <c r="AI1501" i="67"/>
  <c r="AI1522" i="67"/>
  <c r="AO1499" i="67"/>
  <c r="AO1520" i="67"/>
  <c r="O1498" i="67"/>
  <c r="O1519" i="67"/>
  <c r="AF1508" i="67"/>
  <c r="AF1529" i="67"/>
  <c r="P1508" i="67"/>
  <c r="P1529" i="67"/>
  <c r="AL1507" i="67"/>
  <c r="AL1528" i="67"/>
  <c r="V1507" i="67"/>
  <c r="V1528" i="67"/>
  <c r="AR1506" i="67"/>
  <c r="AR1527" i="67"/>
  <c r="AB1506" i="67"/>
  <c r="AB1527" i="67"/>
  <c r="L1506" i="67"/>
  <c r="L1527" i="67"/>
  <c r="AH1503" i="67"/>
  <c r="AH1524" i="67"/>
  <c r="R1503" i="67"/>
  <c r="R1524" i="67"/>
  <c r="AN1502" i="67"/>
  <c r="AN1523" i="67"/>
  <c r="X1502" i="67"/>
  <c r="X1523" i="67"/>
  <c r="AT1501" i="67"/>
  <c r="AT1522" i="67"/>
  <c r="AD1501" i="67"/>
  <c r="AD1522" i="67"/>
  <c r="N1501" i="67"/>
  <c r="N1522" i="67"/>
  <c r="AJ1500" i="67"/>
  <c r="AJ1521" i="67"/>
  <c r="T1500" i="67"/>
  <c r="T1521" i="67"/>
  <c r="AJ1499" i="67"/>
  <c r="AJ1520" i="67"/>
  <c r="T1499" i="67"/>
  <c r="T1520" i="67"/>
  <c r="AP1498" i="67"/>
  <c r="AP1519" i="67"/>
  <c r="Z1498" i="67"/>
  <c r="Z1519" i="67"/>
  <c r="AA1529" i="67"/>
  <c r="AA1508" i="67"/>
  <c r="AW1528" i="67"/>
  <c r="AW1507" i="67"/>
  <c r="AG1528" i="67"/>
  <c r="AG1507" i="67"/>
  <c r="Q1507" i="67"/>
  <c r="Q1528" i="67"/>
  <c r="AM1527" i="67"/>
  <c r="AM1506" i="67"/>
  <c r="W1527" i="67"/>
  <c r="W1506" i="67"/>
  <c r="AS1524" i="67"/>
  <c r="AS1503" i="67"/>
  <c r="AC1524" i="67"/>
  <c r="AC1503" i="67"/>
  <c r="M1524" i="67"/>
  <c r="M1503" i="67"/>
  <c r="AI1523" i="67"/>
  <c r="AI1502" i="67"/>
  <c r="S1523" i="67"/>
  <c r="S1502" i="67"/>
  <c r="AO1522" i="67"/>
  <c r="AO1501" i="67"/>
  <c r="Y1522" i="67"/>
  <c r="Y1501" i="67"/>
  <c r="AU1521" i="67"/>
  <c r="AU1500" i="67"/>
  <c r="AE1521" i="67"/>
  <c r="AE1500" i="67"/>
  <c r="AU1499" i="67"/>
  <c r="AU1520" i="67"/>
  <c r="AE1499" i="67"/>
  <c r="AE1520" i="67"/>
  <c r="O1499" i="67"/>
  <c r="O1520" i="67"/>
  <c r="AK1498" i="67"/>
  <c r="AK1519" i="67"/>
  <c r="U1498" i="67"/>
  <c r="U1519" i="67"/>
  <c r="AT1508" i="67"/>
  <c r="AT1529" i="67"/>
  <c r="AD1508" i="67"/>
  <c r="AD1529" i="67"/>
  <c r="N1508" i="67"/>
  <c r="N1529" i="67"/>
  <c r="AJ1507" i="67"/>
  <c r="AJ1528" i="67"/>
  <c r="T1507" i="67"/>
  <c r="T1528" i="67"/>
  <c r="AP1506" i="67"/>
  <c r="AP1527" i="67"/>
  <c r="Z1506" i="67"/>
  <c r="Z1527" i="67"/>
  <c r="AV1503" i="67"/>
  <c r="AV1524" i="67"/>
  <c r="AF1503" i="67"/>
  <c r="AF1524" i="67"/>
  <c r="P1503" i="67"/>
  <c r="P1524" i="67"/>
  <c r="AL1502" i="67"/>
  <c r="AL1523" i="67"/>
  <c r="V1502" i="67"/>
  <c r="V1523" i="67"/>
  <c r="AR1501" i="67"/>
  <c r="AR1522" i="67"/>
  <c r="AB1501" i="67"/>
  <c r="AB1522" i="67"/>
  <c r="L1501" i="67"/>
  <c r="L1522" i="67"/>
  <c r="AH1500" i="67"/>
  <c r="AH1521" i="67"/>
  <c r="R1500" i="67"/>
  <c r="R1521" i="67"/>
  <c r="AH1499" i="67"/>
  <c r="AH1520" i="67"/>
  <c r="R1499" i="67"/>
  <c r="R1520" i="67"/>
  <c r="AN1498" i="67"/>
  <c r="AN1519" i="67"/>
  <c r="X1498" i="67"/>
  <c r="X1519" i="67"/>
  <c r="M1500" i="67"/>
  <c r="M1521" i="67"/>
  <c r="N1500" i="67"/>
  <c r="N1521" i="67"/>
  <c r="S4" i="50"/>
  <c r="S4" i="57" s="1"/>
  <c r="S4" i="69"/>
  <c r="S5" i="47"/>
  <c r="H61" i="33"/>
  <c r="H60" i="33"/>
  <c r="H59" i="33"/>
  <c r="H58" i="33"/>
  <c r="H57" i="33"/>
  <c r="H56" i="33"/>
  <c r="H55" i="33"/>
  <c r="H54" i="33"/>
  <c r="AN1022" i="67" l="1"/>
  <c r="AN1173" i="67"/>
  <c r="AN416" i="67"/>
  <c r="AN568" i="67"/>
  <c r="AN871" i="67"/>
  <c r="AN110" i="67"/>
  <c r="AN263" i="67"/>
  <c r="AN720" i="67"/>
  <c r="AN1326" i="67"/>
  <c r="N1024" i="67"/>
  <c r="N1175" i="67"/>
  <c r="N418" i="67"/>
  <c r="N873" i="67"/>
  <c r="N570" i="67"/>
  <c r="N112" i="67"/>
  <c r="N265" i="67"/>
  <c r="N722" i="67"/>
  <c r="R1023" i="67"/>
  <c r="R1174" i="67"/>
  <c r="R417" i="67"/>
  <c r="R872" i="67"/>
  <c r="R569" i="67"/>
  <c r="R111" i="67"/>
  <c r="R264" i="67"/>
  <c r="R1327" i="67" s="1"/>
  <c r="R721" i="67"/>
  <c r="L1025" i="67"/>
  <c r="L1176" i="67"/>
  <c r="L419" i="67"/>
  <c r="L571" i="67"/>
  <c r="L874" i="67"/>
  <c r="L113" i="67"/>
  <c r="L1329" i="67" s="1"/>
  <c r="L266" i="67"/>
  <c r="L723" i="67"/>
  <c r="AF1027" i="67"/>
  <c r="AF1178" i="67"/>
  <c r="AF421" i="67"/>
  <c r="AF573" i="67"/>
  <c r="AF876" i="67"/>
  <c r="AF115" i="67"/>
  <c r="AF1331" i="67" s="1"/>
  <c r="AF268" i="67"/>
  <c r="AF725" i="67"/>
  <c r="T1182" i="67"/>
  <c r="T1031" i="67"/>
  <c r="T425" i="67"/>
  <c r="T577" i="67"/>
  <c r="T880" i="67"/>
  <c r="T119" i="67"/>
  <c r="T272" i="67"/>
  <c r="T729" i="67"/>
  <c r="AT1183" i="67"/>
  <c r="AT1032" i="67"/>
  <c r="AT426" i="67"/>
  <c r="AT578" i="67"/>
  <c r="AT881" i="67"/>
  <c r="AT120" i="67"/>
  <c r="AT273" i="67"/>
  <c r="AT730" i="67"/>
  <c r="AT1336" i="67"/>
  <c r="AE1174" i="67"/>
  <c r="AE1023" i="67"/>
  <c r="AE417" i="67"/>
  <c r="AE569" i="67"/>
  <c r="AE1327" i="67" s="1"/>
  <c r="AE872" i="67"/>
  <c r="AE264" i="67"/>
  <c r="AE111" i="67"/>
  <c r="AE721" i="67"/>
  <c r="AE1003" i="67"/>
  <c r="AE1154" i="67"/>
  <c r="AE397" i="67"/>
  <c r="AE1307" i="67" s="1"/>
  <c r="AE852" i="67"/>
  <c r="AE91" i="67"/>
  <c r="AE244" i="67"/>
  <c r="AE549" i="67"/>
  <c r="AE701" i="67"/>
  <c r="Y1004" i="67"/>
  <c r="Y1155" i="67"/>
  <c r="Y398" i="67"/>
  <c r="Y853" i="67"/>
  <c r="Y702" i="67"/>
  <c r="Y550" i="67"/>
  <c r="Y92" i="67"/>
  <c r="Y1308" i="67" s="1"/>
  <c r="Y245" i="67"/>
  <c r="S1005" i="67"/>
  <c r="S1156" i="67"/>
  <c r="S399" i="67"/>
  <c r="S854" i="67"/>
  <c r="S551" i="67"/>
  <c r="S703" i="67"/>
  <c r="S93" i="67"/>
  <c r="S246" i="67"/>
  <c r="M1006" i="67"/>
  <c r="M1157" i="67"/>
  <c r="M400" i="67"/>
  <c r="M855" i="67"/>
  <c r="M704" i="67"/>
  <c r="M552" i="67"/>
  <c r="M247" i="67"/>
  <c r="M94" i="67"/>
  <c r="AS1006" i="67"/>
  <c r="AS1157" i="67"/>
  <c r="AS400" i="67"/>
  <c r="AS855" i="67"/>
  <c r="AS704" i="67"/>
  <c r="AS552" i="67"/>
  <c r="AS247" i="67"/>
  <c r="AS94" i="67"/>
  <c r="AM1160" i="67"/>
  <c r="AM1009" i="67"/>
  <c r="AM403" i="67"/>
  <c r="AM858" i="67"/>
  <c r="AM97" i="67"/>
  <c r="AM250" i="67"/>
  <c r="AM555" i="67"/>
  <c r="AM707" i="67"/>
  <c r="AM1313" i="67"/>
  <c r="AG1161" i="67"/>
  <c r="AG1010" i="67"/>
  <c r="AG404" i="67"/>
  <c r="AG859" i="67"/>
  <c r="AG708" i="67"/>
  <c r="AG556" i="67"/>
  <c r="AG98" i="67"/>
  <c r="AG251" i="67"/>
  <c r="AG1314" i="67" s="1"/>
  <c r="AA1162" i="67"/>
  <c r="AA1011" i="67"/>
  <c r="AA405" i="67"/>
  <c r="AA1315" i="67" s="1"/>
  <c r="AA860" i="67"/>
  <c r="AA99" i="67"/>
  <c r="AA252" i="67"/>
  <c r="AA557" i="67"/>
  <c r="AA709" i="67"/>
  <c r="AP1022" i="67"/>
  <c r="AP1173" i="67"/>
  <c r="AP416" i="67"/>
  <c r="AP871" i="67"/>
  <c r="AP568" i="67"/>
  <c r="AP110" i="67"/>
  <c r="AP1326" i="67" s="1"/>
  <c r="AP263" i="67"/>
  <c r="AP720" i="67"/>
  <c r="AJ1023" i="67"/>
  <c r="AJ1174" i="67"/>
  <c r="AJ417" i="67"/>
  <c r="AJ872" i="67"/>
  <c r="AJ569" i="67"/>
  <c r="AJ111" i="67"/>
  <c r="AJ264" i="67"/>
  <c r="AJ721" i="67"/>
  <c r="AJ1024" i="67"/>
  <c r="AJ1175" i="67"/>
  <c r="AJ418" i="67"/>
  <c r="AJ570" i="67"/>
  <c r="AJ873" i="67"/>
  <c r="AJ112" i="67"/>
  <c r="AJ265" i="67"/>
  <c r="AJ722" i="67"/>
  <c r="AD1025" i="67"/>
  <c r="AD1176" i="67"/>
  <c r="AD419" i="67"/>
  <c r="AD874" i="67"/>
  <c r="AD571" i="67"/>
  <c r="AD113" i="67"/>
  <c r="AD266" i="67"/>
  <c r="AD723" i="67"/>
  <c r="AD1329" i="67"/>
  <c r="X1026" i="67"/>
  <c r="X1177" i="67"/>
  <c r="X420" i="67"/>
  <c r="X572" i="67"/>
  <c r="X875" i="67"/>
  <c r="X267" i="67"/>
  <c r="X724" i="67"/>
  <c r="X114" i="67"/>
  <c r="X1330" i="67" s="1"/>
  <c r="R1027" i="67"/>
  <c r="R1178" i="67"/>
  <c r="R421" i="67"/>
  <c r="R573" i="67"/>
  <c r="R1331" i="67" s="1"/>
  <c r="R876" i="67"/>
  <c r="R115" i="67"/>
  <c r="R268" i="67"/>
  <c r="R725" i="67"/>
  <c r="L1181" i="67"/>
  <c r="L1030" i="67"/>
  <c r="L424" i="67"/>
  <c r="L879" i="67"/>
  <c r="L576" i="67"/>
  <c r="L118" i="67"/>
  <c r="L271" i="67"/>
  <c r="L728" i="67"/>
  <c r="AR1181" i="67"/>
  <c r="AR1030" i="67"/>
  <c r="AR424" i="67"/>
  <c r="AR879" i="67"/>
  <c r="AR576" i="67"/>
  <c r="AR118" i="67"/>
  <c r="AR271" i="67"/>
  <c r="AR1334" i="67" s="1"/>
  <c r="AR728" i="67"/>
  <c r="AL1182" i="67"/>
  <c r="AL1031" i="67"/>
  <c r="AL425" i="67"/>
  <c r="AL577" i="67"/>
  <c r="AL880" i="67"/>
  <c r="AL119" i="67"/>
  <c r="AL1335" i="67" s="1"/>
  <c r="AL272" i="67"/>
  <c r="AL729" i="67"/>
  <c r="AF1183" i="67"/>
  <c r="AF1032" i="67"/>
  <c r="AF426" i="67"/>
  <c r="AF881" i="67"/>
  <c r="AF578" i="67"/>
  <c r="AF273" i="67"/>
  <c r="AF730" i="67"/>
  <c r="AF120" i="67"/>
  <c r="AO1174" i="67"/>
  <c r="AO1023" i="67"/>
  <c r="AO417" i="67"/>
  <c r="AO872" i="67"/>
  <c r="AO569" i="67"/>
  <c r="AO111" i="67"/>
  <c r="AO264" i="67"/>
  <c r="AO721" i="67"/>
  <c r="W1178" i="67"/>
  <c r="W1027" i="67"/>
  <c r="W421" i="67"/>
  <c r="W876" i="67"/>
  <c r="W573" i="67"/>
  <c r="W268" i="67"/>
  <c r="W725" i="67"/>
  <c r="W115" i="67"/>
  <c r="AG1183" i="67"/>
  <c r="AG1032" i="67"/>
  <c r="AG426" i="67"/>
  <c r="AG578" i="67"/>
  <c r="AG881" i="67"/>
  <c r="AG120" i="67"/>
  <c r="AG273" i="67"/>
  <c r="AG730" i="67"/>
  <c r="AG1336" i="67"/>
  <c r="AI1184" i="67"/>
  <c r="AI1033" i="67"/>
  <c r="AI427" i="67"/>
  <c r="AI882" i="67"/>
  <c r="AI579" i="67"/>
  <c r="AI121" i="67"/>
  <c r="AI731" i="67"/>
  <c r="AI274" i="67"/>
  <c r="AA1001" i="67"/>
  <c r="AA1152" i="67"/>
  <c r="AA395" i="67"/>
  <c r="AA850" i="67"/>
  <c r="AA547" i="67"/>
  <c r="AA699" i="67"/>
  <c r="AA89" i="67"/>
  <c r="AA242" i="67"/>
  <c r="AU48" i="68"/>
  <c r="AC1002" i="67"/>
  <c r="AC1153" i="67"/>
  <c r="AC396" i="67"/>
  <c r="AC851" i="67"/>
  <c r="AC548" i="67"/>
  <c r="AC700" i="67"/>
  <c r="AC90" i="67"/>
  <c r="AC1306" i="67" s="1"/>
  <c r="AC243" i="67"/>
  <c r="AW1026" i="67"/>
  <c r="AW1177" i="67"/>
  <c r="AW420" i="67"/>
  <c r="AW875" i="67"/>
  <c r="AW572" i="67"/>
  <c r="AW114" i="67"/>
  <c r="AW267" i="67"/>
  <c r="AW724" i="67"/>
  <c r="Y1183" i="67"/>
  <c r="Y1032" i="67"/>
  <c r="Y426" i="67"/>
  <c r="Y881" i="67"/>
  <c r="Y578" i="67"/>
  <c r="Y120" i="67"/>
  <c r="Y273" i="67"/>
  <c r="Y730" i="67"/>
  <c r="AF1012" i="67"/>
  <c r="AF1163" i="67"/>
  <c r="AF406" i="67"/>
  <c r="AF861" i="67"/>
  <c r="AF558" i="67"/>
  <c r="AF710" i="67"/>
  <c r="AF253" i="67"/>
  <c r="AF100" i="67"/>
  <c r="AK1024" i="67"/>
  <c r="AK1175" i="67"/>
  <c r="AK418" i="67"/>
  <c r="AK873" i="67"/>
  <c r="AK570" i="67"/>
  <c r="AK112" i="67"/>
  <c r="AK265" i="67"/>
  <c r="AK722" i="67"/>
  <c r="AK1328" i="67"/>
  <c r="N1033" i="67"/>
  <c r="N1184" i="67"/>
  <c r="N427" i="67"/>
  <c r="N882" i="67"/>
  <c r="N579" i="67"/>
  <c r="N121" i="67"/>
  <c r="N731" i="67"/>
  <c r="N274" i="67"/>
  <c r="AG1153" i="67"/>
  <c r="AG1002" i="67"/>
  <c r="AG396" i="67"/>
  <c r="AG851" i="67"/>
  <c r="AG548" i="67"/>
  <c r="AG700" i="67"/>
  <c r="AG90" i="67"/>
  <c r="AG243" i="67"/>
  <c r="AG1306" i="67" s="1"/>
  <c r="O1178" i="67"/>
  <c r="O1027" i="67"/>
  <c r="O421" i="67"/>
  <c r="O876" i="67"/>
  <c r="O573" i="67"/>
  <c r="O115" i="67"/>
  <c r="O268" i="67"/>
  <c r="O1331" i="67" s="1"/>
  <c r="O725" i="67"/>
  <c r="AC1032" i="67"/>
  <c r="AC1183" i="67"/>
  <c r="AC426" i="67"/>
  <c r="AC578" i="67"/>
  <c r="AC881" i="67"/>
  <c r="AC120" i="67"/>
  <c r="AC1336" i="67" s="1"/>
  <c r="AC273" i="67"/>
  <c r="AC730" i="67"/>
  <c r="AG1033" i="67"/>
  <c r="AG1184" i="67"/>
  <c r="AG427" i="67"/>
  <c r="AG579" i="67"/>
  <c r="AG731" i="67"/>
  <c r="AG882" i="67"/>
  <c r="AG121" i="67"/>
  <c r="AG274" i="67"/>
  <c r="AG1337" i="67"/>
  <c r="O1025" i="67"/>
  <c r="O1176" i="67"/>
  <c r="O419" i="67"/>
  <c r="O571" i="67"/>
  <c r="O874" i="67"/>
  <c r="O113" i="67"/>
  <c r="O723" i="67"/>
  <c r="O266" i="67"/>
  <c r="O1329" i="67" s="1"/>
  <c r="V1033" i="67"/>
  <c r="V1184" i="67"/>
  <c r="V427" i="67"/>
  <c r="V882" i="67"/>
  <c r="V579" i="67"/>
  <c r="V121" i="67"/>
  <c r="V731" i="67"/>
  <c r="V274" i="67"/>
  <c r="V1337" i="67" s="1"/>
  <c r="AK1033" i="67"/>
  <c r="AK1184" i="67"/>
  <c r="AK427" i="67"/>
  <c r="AK882" i="67"/>
  <c r="AK579" i="67"/>
  <c r="AK731" i="67"/>
  <c r="AK121" i="67"/>
  <c r="AK274" i="67"/>
  <c r="L1024" i="67"/>
  <c r="L1175" i="67"/>
  <c r="L418" i="67"/>
  <c r="L873" i="67"/>
  <c r="L570" i="67"/>
  <c r="L112" i="67"/>
  <c r="L1328" i="67" s="1"/>
  <c r="L265" i="67"/>
  <c r="L722" i="67"/>
  <c r="AB1173" i="67"/>
  <c r="AB1022" i="67"/>
  <c r="AB416" i="67"/>
  <c r="AB568" i="67"/>
  <c r="AB871" i="67"/>
  <c r="AB110" i="67"/>
  <c r="AB263" i="67"/>
  <c r="AB720" i="67"/>
  <c r="AB1326" i="67"/>
  <c r="V1174" i="67"/>
  <c r="V1023" i="67"/>
  <c r="V417" i="67"/>
  <c r="V569" i="67"/>
  <c r="V872" i="67"/>
  <c r="V111" i="67"/>
  <c r="V264" i="67"/>
  <c r="V721" i="67"/>
  <c r="V1024" i="67"/>
  <c r="V1175" i="67"/>
  <c r="V418" i="67"/>
  <c r="V570" i="67"/>
  <c r="V873" i="67"/>
  <c r="V112" i="67"/>
  <c r="V265" i="67"/>
  <c r="V722" i="67"/>
  <c r="P1025" i="67"/>
  <c r="P1176" i="67"/>
  <c r="P419" i="67"/>
  <c r="P571" i="67"/>
  <c r="P874" i="67"/>
  <c r="P113" i="67"/>
  <c r="P1329" i="67" s="1"/>
  <c r="P266" i="67"/>
  <c r="P723" i="67"/>
  <c r="AV1025" i="67"/>
  <c r="AV1176" i="67"/>
  <c r="AV419" i="67"/>
  <c r="AV571" i="67"/>
  <c r="AV874" i="67"/>
  <c r="AV113" i="67"/>
  <c r="AV266" i="67"/>
  <c r="AV1329" i="67" s="1"/>
  <c r="AV723" i="67"/>
  <c r="AP1026" i="67"/>
  <c r="AP1177" i="67"/>
  <c r="AP420" i="67"/>
  <c r="AP572" i="67"/>
  <c r="AP875" i="67"/>
  <c r="AP267" i="67"/>
  <c r="AP114" i="67"/>
  <c r="AP1330" i="67" s="1"/>
  <c r="AP724" i="67"/>
  <c r="AJ1027" i="67"/>
  <c r="AJ1178" i="67"/>
  <c r="AJ421" i="67"/>
  <c r="AJ573" i="67"/>
  <c r="AJ876" i="67"/>
  <c r="AJ115" i="67"/>
  <c r="AJ268" i="67"/>
  <c r="AJ725" i="67"/>
  <c r="AD1030" i="67"/>
  <c r="AD1181" i="67"/>
  <c r="AD424" i="67"/>
  <c r="AD576" i="67"/>
  <c r="AD879" i="67"/>
  <c r="AD118" i="67"/>
  <c r="AD271" i="67"/>
  <c r="AD728" i="67"/>
  <c r="X1031" i="67"/>
  <c r="X1182" i="67"/>
  <c r="X425" i="67"/>
  <c r="X577" i="67"/>
  <c r="X880" i="67"/>
  <c r="X272" i="67"/>
  <c r="X729" i="67"/>
  <c r="X119" i="67"/>
  <c r="X1335" i="67"/>
  <c r="R1032" i="67"/>
  <c r="R1183" i="67"/>
  <c r="R426" i="67"/>
  <c r="R578" i="67"/>
  <c r="R1336" i="67" s="1"/>
  <c r="R881" i="67"/>
  <c r="R120" i="67"/>
  <c r="R273" i="67"/>
  <c r="R730" i="67"/>
  <c r="L1033" i="67"/>
  <c r="L1184" i="67"/>
  <c r="L427" i="67"/>
  <c r="L882" i="67"/>
  <c r="L579" i="67"/>
  <c r="L731" i="67"/>
  <c r="L121" i="67"/>
  <c r="L1337" i="67" s="1"/>
  <c r="L274" i="67"/>
  <c r="AO1022" i="67"/>
  <c r="AO1173" i="67"/>
  <c r="AO416" i="67"/>
  <c r="AO871" i="67"/>
  <c r="AO568" i="67"/>
  <c r="AO263" i="67"/>
  <c r="AO720" i="67"/>
  <c r="AO110" i="67"/>
  <c r="AI1023" i="67"/>
  <c r="AI1174" i="67"/>
  <c r="AI417" i="67"/>
  <c r="AI872" i="67"/>
  <c r="AI569" i="67"/>
  <c r="AI111" i="67"/>
  <c r="AI264" i="67"/>
  <c r="AI1327" i="67" s="1"/>
  <c r="AI721" i="67"/>
  <c r="AI1024" i="67"/>
  <c r="AI1175" i="67"/>
  <c r="AI418" i="67"/>
  <c r="AI570" i="67"/>
  <c r="AI873" i="67"/>
  <c r="AI112" i="67"/>
  <c r="AI1328" i="67" s="1"/>
  <c r="AI265" i="67"/>
  <c r="AI722" i="67"/>
  <c r="AC1025" i="67"/>
  <c r="AC1176" i="67"/>
  <c r="AC419" i="67"/>
  <c r="AC874" i="67"/>
  <c r="AC571" i="67"/>
  <c r="AC113" i="67"/>
  <c r="AC1329" i="67" s="1"/>
  <c r="AC266" i="67"/>
  <c r="AC723" i="67"/>
  <c r="W1026" i="67"/>
  <c r="W1177" i="67"/>
  <c r="W420" i="67"/>
  <c r="W572" i="67"/>
  <c r="W875" i="67"/>
  <c r="W114" i="67"/>
  <c r="W1330" i="67" s="1"/>
  <c r="W267" i="67"/>
  <c r="W724" i="67"/>
  <c r="Q1027" i="67"/>
  <c r="Q1178" i="67"/>
  <c r="Q421" i="67"/>
  <c r="Q573" i="67"/>
  <c r="Q876" i="67"/>
  <c r="Q115" i="67"/>
  <c r="Q268" i="67"/>
  <c r="Q725" i="67"/>
  <c r="Q1331" i="67"/>
  <c r="AW1027" i="67"/>
  <c r="AW1178" i="67"/>
  <c r="AW421" i="67"/>
  <c r="AW573" i="67"/>
  <c r="AW876" i="67"/>
  <c r="AW115" i="67"/>
  <c r="AW268" i="67"/>
  <c r="AW725" i="67"/>
  <c r="AQ1030" i="67"/>
  <c r="AQ1181" i="67"/>
  <c r="AQ424" i="67"/>
  <c r="AQ576" i="67"/>
  <c r="AQ879" i="67"/>
  <c r="AQ118" i="67"/>
  <c r="AQ271" i="67"/>
  <c r="AQ728" i="67"/>
  <c r="AK1031" i="67"/>
  <c r="AK1182" i="67"/>
  <c r="AK425" i="67"/>
  <c r="AK880" i="67"/>
  <c r="AK577" i="67"/>
  <c r="AK119" i="67"/>
  <c r="AK272" i="67"/>
  <c r="AK729" i="67"/>
  <c r="N1022" i="67"/>
  <c r="N1173" i="67"/>
  <c r="N416" i="67"/>
  <c r="N568" i="67"/>
  <c r="N871" i="67"/>
  <c r="N110" i="67"/>
  <c r="N263" i="67"/>
  <c r="N1326" i="67" s="1"/>
  <c r="N720" i="67"/>
  <c r="AT1022" i="67"/>
  <c r="AT1173" i="67"/>
  <c r="AT416" i="67"/>
  <c r="AT568" i="67"/>
  <c r="AT871" i="67"/>
  <c r="AT110" i="67"/>
  <c r="AT1326" i="67" s="1"/>
  <c r="AT263" i="67"/>
  <c r="AT720" i="67"/>
  <c r="AN1023" i="67"/>
  <c r="AN1174" i="67"/>
  <c r="AN417" i="67"/>
  <c r="AN569" i="67"/>
  <c r="AN872" i="67"/>
  <c r="AN111" i="67"/>
  <c r="AN1327" i="67" s="1"/>
  <c r="AN264" i="67"/>
  <c r="AN721" i="67"/>
  <c r="AN1175" i="67"/>
  <c r="AN1024" i="67"/>
  <c r="AN418" i="67"/>
  <c r="AN873" i="67"/>
  <c r="AN570" i="67"/>
  <c r="AN265" i="67"/>
  <c r="AN722" i="67"/>
  <c r="AN112" i="67"/>
  <c r="AH1176" i="67"/>
  <c r="AH1025" i="67"/>
  <c r="AH419" i="67"/>
  <c r="AH874" i="67"/>
  <c r="AH571" i="67"/>
  <c r="AH113" i="67"/>
  <c r="AH266" i="67"/>
  <c r="AH723" i="67"/>
  <c r="AB1177" i="67"/>
  <c r="AB1026" i="67"/>
  <c r="AB420" i="67"/>
  <c r="AB875" i="67"/>
  <c r="AB572" i="67"/>
  <c r="AB114" i="67"/>
  <c r="AB267" i="67"/>
  <c r="AB724" i="67"/>
  <c r="V1178" i="67"/>
  <c r="V1027" i="67"/>
  <c r="V421" i="67"/>
  <c r="V573" i="67"/>
  <c r="V876" i="67"/>
  <c r="V115" i="67"/>
  <c r="V268" i="67"/>
  <c r="V725" i="67"/>
  <c r="V1331" i="67"/>
  <c r="P1030" i="67"/>
  <c r="P1181" i="67"/>
  <c r="P424" i="67"/>
  <c r="P879" i="67"/>
  <c r="P576" i="67"/>
  <c r="P271" i="67"/>
  <c r="P728" i="67"/>
  <c r="P118" i="67"/>
  <c r="P1334" i="67" s="1"/>
  <c r="AV1030" i="67"/>
  <c r="AV1181" i="67"/>
  <c r="AV424" i="67"/>
  <c r="AV879" i="67"/>
  <c r="AV576" i="67"/>
  <c r="AV271" i="67"/>
  <c r="AV728" i="67"/>
  <c r="AV118" i="67"/>
  <c r="AV1334" i="67" s="1"/>
  <c r="AP1031" i="67"/>
  <c r="AP1182" i="67"/>
  <c r="AP425" i="67"/>
  <c r="AP577" i="67"/>
  <c r="AP880" i="67"/>
  <c r="AP119" i="67"/>
  <c r="AP272" i="67"/>
  <c r="AP729" i="67"/>
  <c r="AJ1032" i="67"/>
  <c r="AJ1183" i="67"/>
  <c r="AJ426" i="67"/>
  <c r="AJ578" i="67"/>
  <c r="AJ1336" i="67" s="1"/>
  <c r="AJ881" i="67"/>
  <c r="AJ120" i="67"/>
  <c r="AJ273" i="67"/>
  <c r="AJ730" i="67"/>
  <c r="Y1175" i="67"/>
  <c r="Y1024" i="67"/>
  <c r="Y418" i="67"/>
  <c r="Y873" i="67"/>
  <c r="Y570" i="67"/>
  <c r="Y112" i="67"/>
  <c r="Y265" i="67"/>
  <c r="Y1328" i="67" s="1"/>
  <c r="Y722" i="67"/>
  <c r="AM1178" i="67"/>
  <c r="AM1027" i="67"/>
  <c r="AM421" i="67"/>
  <c r="AM573" i="67"/>
  <c r="AM876" i="67"/>
  <c r="AM268" i="67"/>
  <c r="AM115" i="67"/>
  <c r="AM1331" i="67" s="1"/>
  <c r="AM725" i="67"/>
  <c r="AO1183" i="67"/>
  <c r="AO1032" i="67"/>
  <c r="AO426" i="67"/>
  <c r="AO881" i="67"/>
  <c r="AO578" i="67"/>
  <c r="AO120" i="67"/>
  <c r="AO273" i="67"/>
  <c r="AO730" i="67"/>
  <c r="AO1336" i="67"/>
  <c r="AM1033" i="67"/>
  <c r="AM1184" i="67"/>
  <c r="AM427" i="67"/>
  <c r="AM882" i="67"/>
  <c r="AM731" i="67"/>
  <c r="AM579" i="67"/>
  <c r="AM121" i="67"/>
  <c r="AM274" i="67"/>
  <c r="AM1337" i="67" s="1"/>
  <c r="W1182" i="67"/>
  <c r="W1031" i="67"/>
  <c r="W425" i="67"/>
  <c r="W577" i="67"/>
  <c r="W880" i="67"/>
  <c r="W119" i="67"/>
  <c r="W272" i="67"/>
  <c r="W1335" i="67" s="1"/>
  <c r="W729" i="67"/>
  <c r="AS1002" i="67"/>
  <c r="AS1153" i="67"/>
  <c r="AS396" i="67"/>
  <c r="AS851" i="67"/>
  <c r="AS548" i="67"/>
  <c r="AS700" i="67"/>
  <c r="AS90" i="67"/>
  <c r="AS1306" i="67" s="1"/>
  <c r="AS243" i="67"/>
  <c r="AA1027" i="67"/>
  <c r="AA1178" i="67"/>
  <c r="AA421" i="67"/>
  <c r="AA573" i="67"/>
  <c r="AA876" i="67"/>
  <c r="AA115" i="67"/>
  <c r="AA268" i="67"/>
  <c r="AA725" i="67"/>
  <c r="AA1331" i="67"/>
  <c r="AI1032" i="67"/>
  <c r="AI1183" i="67"/>
  <c r="AI426" i="67"/>
  <c r="AI578" i="67"/>
  <c r="AI1336" i="67" s="1"/>
  <c r="AI881" i="67"/>
  <c r="AI120" i="67"/>
  <c r="AI273" i="67"/>
  <c r="AI730" i="67"/>
  <c r="AJ1163" i="67"/>
  <c r="AJ1012" i="67"/>
  <c r="AJ406" i="67"/>
  <c r="AJ1316" i="67" s="1"/>
  <c r="AJ861" i="67"/>
  <c r="AJ100" i="67"/>
  <c r="AJ253" i="67"/>
  <c r="AJ558" i="67"/>
  <c r="AJ710" i="67"/>
  <c r="AE1025" i="67"/>
  <c r="AE1176" i="67"/>
  <c r="AE419" i="67"/>
  <c r="AE571" i="67"/>
  <c r="AE874" i="67"/>
  <c r="AE266" i="67"/>
  <c r="AE113" i="67"/>
  <c r="AE1329" i="67" s="1"/>
  <c r="AE723" i="67"/>
  <c r="Z1184" i="67"/>
  <c r="Z1033" i="67"/>
  <c r="Z427" i="67"/>
  <c r="Z882" i="67"/>
  <c r="Z731" i="67"/>
  <c r="Z579" i="67"/>
  <c r="Z121" i="67"/>
  <c r="Z274" i="67"/>
  <c r="Z1337" i="67"/>
  <c r="AE1178" i="67"/>
  <c r="AE1027" i="67"/>
  <c r="AE421" i="67"/>
  <c r="AE573" i="67"/>
  <c r="AE876" i="67"/>
  <c r="AE725" i="67"/>
  <c r="AE115" i="67"/>
  <c r="AE268" i="67"/>
  <c r="AE1331" i="67" s="1"/>
  <c r="AK1032" i="67"/>
  <c r="AK1183" i="67"/>
  <c r="AK426" i="67"/>
  <c r="AK578" i="67"/>
  <c r="AK881" i="67"/>
  <c r="AK120" i="67"/>
  <c r="AK273" i="67"/>
  <c r="AK730" i="67"/>
  <c r="AU1025" i="67"/>
  <c r="AU1176" i="67"/>
  <c r="AU419" i="67"/>
  <c r="AU571" i="67"/>
  <c r="AU874" i="67"/>
  <c r="AU113" i="67"/>
  <c r="AU266" i="67"/>
  <c r="AU1329" i="67" s="1"/>
  <c r="AU723" i="67"/>
  <c r="P1175" i="67"/>
  <c r="P1024" i="67"/>
  <c r="P418" i="67"/>
  <c r="P570" i="67"/>
  <c r="P873" i="67"/>
  <c r="P722" i="67"/>
  <c r="P112" i="67"/>
  <c r="P1328" i="67" s="1"/>
  <c r="P265" i="67"/>
  <c r="AF1022" i="67"/>
  <c r="AF1173" i="67"/>
  <c r="AF416" i="67"/>
  <c r="AF871" i="67"/>
  <c r="AF568" i="67"/>
  <c r="AF110" i="67"/>
  <c r="AF263" i="67"/>
  <c r="AF720" i="67"/>
  <c r="Z1023" i="67"/>
  <c r="Z1174" i="67"/>
  <c r="Z417" i="67"/>
  <c r="Z569" i="67"/>
  <c r="Z872" i="67"/>
  <c r="Z111" i="67"/>
  <c r="Z264" i="67"/>
  <c r="Z721" i="67"/>
  <c r="Z1024" i="67"/>
  <c r="Z1175" i="67"/>
  <c r="Z418" i="67"/>
  <c r="Z570" i="67"/>
  <c r="Z873" i="67"/>
  <c r="Z112" i="67"/>
  <c r="Z265" i="67"/>
  <c r="Z722" i="67"/>
  <c r="Z1328" i="67"/>
  <c r="T1025" i="67"/>
  <c r="T1176" i="67"/>
  <c r="T419" i="67"/>
  <c r="T874" i="67"/>
  <c r="T571" i="67"/>
  <c r="T113" i="67"/>
  <c r="T266" i="67"/>
  <c r="T723" i="67"/>
  <c r="T1329" i="67" s="1"/>
  <c r="N1026" i="67"/>
  <c r="N1177" i="67"/>
  <c r="N420" i="67"/>
  <c r="N572" i="67"/>
  <c r="N875" i="67"/>
  <c r="N114" i="67"/>
  <c r="N267" i="67"/>
  <c r="N1330" i="67" s="1"/>
  <c r="N724" i="67"/>
  <c r="AT1026" i="67"/>
  <c r="AT1177" i="67"/>
  <c r="AT420" i="67"/>
  <c r="AT572" i="67"/>
  <c r="AT875" i="67"/>
  <c r="AT114" i="67"/>
  <c r="AT1330" i="67" s="1"/>
  <c r="AT267" i="67"/>
  <c r="AT724" i="67"/>
  <c r="AN1027" i="67"/>
  <c r="AN1178" i="67"/>
  <c r="AN421" i="67"/>
  <c r="AN876" i="67"/>
  <c r="AN573" i="67"/>
  <c r="AN115" i="67"/>
  <c r="AN268" i="67"/>
  <c r="AN725" i="67"/>
  <c r="AN1331" i="67"/>
  <c r="AH1030" i="67"/>
  <c r="AH1181" i="67"/>
  <c r="AH424" i="67"/>
  <c r="AH879" i="67"/>
  <c r="AH576" i="67"/>
  <c r="AH118" i="67"/>
  <c r="AH271" i="67"/>
  <c r="AH728" i="67"/>
  <c r="AH1334" i="67" s="1"/>
  <c r="AB1182" i="67"/>
  <c r="AB1031" i="67"/>
  <c r="AB425" i="67"/>
  <c r="AB880" i="67"/>
  <c r="AB577" i="67"/>
  <c r="AB119" i="67"/>
  <c r="AB272" i="67"/>
  <c r="AB1335" i="67" s="1"/>
  <c r="AB729" i="67"/>
  <c r="V1183" i="67"/>
  <c r="V1032" i="67"/>
  <c r="V426" i="67"/>
  <c r="V881" i="67"/>
  <c r="V578" i="67"/>
  <c r="V120" i="67"/>
  <c r="V1336" i="67" s="1"/>
  <c r="V273" i="67"/>
  <c r="V730" i="67"/>
  <c r="M1173" i="67"/>
  <c r="M1022" i="67"/>
  <c r="M416" i="67"/>
  <c r="M568" i="67"/>
  <c r="M871" i="67"/>
  <c r="M110" i="67"/>
  <c r="M1326" i="67" s="1"/>
  <c r="M263" i="67"/>
  <c r="M720" i="67"/>
  <c r="AS1173" i="67"/>
  <c r="AS1022" i="67"/>
  <c r="AS416" i="67"/>
  <c r="AS568" i="67"/>
  <c r="AS871" i="67"/>
  <c r="AS110" i="67"/>
  <c r="AS1326" i="67" s="1"/>
  <c r="AS263" i="67"/>
  <c r="AS720" i="67"/>
  <c r="AM1174" i="67"/>
  <c r="AM1023" i="67"/>
  <c r="AM417" i="67"/>
  <c r="AM872" i="67"/>
  <c r="AM569" i="67"/>
  <c r="AM111" i="67"/>
  <c r="AM1327" i="67" s="1"/>
  <c r="AM264" i="67"/>
  <c r="AM721" i="67"/>
  <c r="AM1003" i="67"/>
  <c r="AM1154" i="67"/>
  <c r="AM397" i="67"/>
  <c r="AM852" i="67"/>
  <c r="AM549" i="67"/>
  <c r="AM701" i="67"/>
  <c r="AM91" i="67"/>
  <c r="AM244" i="67"/>
  <c r="AG1004" i="67"/>
  <c r="AG1155" i="67"/>
  <c r="AG398" i="67"/>
  <c r="AG853" i="67"/>
  <c r="AG550" i="67"/>
  <c r="AG702" i="67"/>
  <c r="AG92" i="67"/>
  <c r="AG245" i="67"/>
  <c r="AA1005" i="67"/>
  <c r="AA1156" i="67"/>
  <c r="AA399" i="67"/>
  <c r="AA854" i="67"/>
  <c r="AA93" i="67"/>
  <c r="AA246" i="67"/>
  <c r="AA551" i="67"/>
  <c r="AA703" i="67"/>
  <c r="AA1309" i="67"/>
  <c r="U1006" i="67"/>
  <c r="U1157" i="67"/>
  <c r="U400" i="67"/>
  <c r="U855" i="67"/>
  <c r="U552" i="67"/>
  <c r="U704" i="67"/>
  <c r="U94" i="67"/>
  <c r="U247" i="67"/>
  <c r="U1310" i="67" s="1"/>
  <c r="O1030" i="67"/>
  <c r="O1181" i="67"/>
  <c r="O424" i="67"/>
  <c r="O576" i="67"/>
  <c r="O879" i="67"/>
  <c r="O118" i="67"/>
  <c r="O271" i="67"/>
  <c r="O1334" i="67" s="1"/>
  <c r="O728" i="67"/>
  <c r="AU1030" i="67"/>
  <c r="AU1181" i="67"/>
  <c r="AU424" i="67"/>
  <c r="AU576" i="67"/>
  <c r="AU879" i="67"/>
  <c r="AU118" i="67"/>
  <c r="AU1334" i="67" s="1"/>
  <c r="AU271" i="67"/>
  <c r="AU728" i="67"/>
  <c r="AO1031" i="67"/>
  <c r="AO1182" i="67"/>
  <c r="AO425" i="67"/>
  <c r="AO880" i="67"/>
  <c r="AO577" i="67"/>
  <c r="AO272" i="67"/>
  <c r="AO729" i="67"/>
  <c r="AO119" i="67"/>
  <c r="R1022" i="67"/>
  <c r="R1173" i="67"/>
  <c r="R416" i="67"/>
  <c r="R871" i="67"/>
  <c r="R568" i="67"/>
  <c r="R263" i="67"/>
  <c r="R720" i="67"/>
  <c r="R110" i="67"/>
  <c r="L1023" i="67"/>
  <c r="L1174" i="67"/>
  <c r="L417" i="67"/>
  <c r="L569" i="67"/>
  <c r="L872" i="67"/>
  <c r="L111" i="67"/>
  <c r="L264" i="67"/>
  <c r="L721" i="67"/>
  <c r="L1327" i="67"/>
  <c r="AR1023" i="67"/>
  <c r="AR1174" i="67"/>
  <c r="AR417" i="67"/>
  <c r="AR569" i="67"/>
  <c r="AR1327" i="67" s="1"/>
  <c r="AR872" i="67"/>
  <c r="AR111" i="67"/>
  <c r="AR264" i="67"/>
  <c r="AR721" i="67"/>
  <c r="AR1024" i="67"/>
  <c r="AR1175" i="67"/>
  <c r="AR418" i="67"/>
  <c r="AR873" i="67"/>
  <c r="AR570" i="67"/>
  <c r="AR112" i="67"/>
  <c r="AR265" i="67"/>
  <c r="AR1328" i="67" s="1"/>
  <c r="AR722" i="67"/>
  <c r="AL1025" i="67"/>
  <c r="AL1176" i="67"/>
  <c r="AL419" i="67"/>
  <c r="AL571" i="67"/>
  <c r="AL874" i="67"/>
  <c r="AL113" i="67"/>
  <c r="AL1329" i="67" s="1"/>
  <c r="AL266" i="67"/>
  <c r="AL723" i="67"/>
  <c r="AF1026" i="67"/>
  <c r="AF1177" i="67"/>
  <c r="AF420" i="67"/>
  <c r="AF875" i="67"/>
  <c r="AF572" i="67"/>
  <c r="AF114" i="67"/>
  <c r="AF267" i="67"/>
  <c r="AF724" i="67"/>
  <c r="AF1330" i="67"/>
  <c r="Z1027" i="67"/>
  <c r="Z1178" i="67"/>
  <c r="Z421" i="67"/>
  <c r="Z876" i="67"/>
  <c r="Z573" i="67"/>
  <c r="Z115" i="67"/>
  <c r="Z268" i="67"/>
  <c r="Z725" i="67"/>
  <c r="Z1331" i="67" s="1"/>
  <c r="T1181" i="67"/>
  <c r="T1030" i="67"/>
  <c r="T424" i="67"/>
  <c r="T576" i="67"/>
  <c r="T879" i="67"/>
  <c r="T118" i="67"/>
  <c r="T271" i="67"/>
  <c r="T1334" i="67" s="1"/>
  <c r="T728" i="67"/>
  <c r="N1182" i="67"/>
  <c r="N1031" i="67"/>
  <c r="N425" i="67"/>
  <c r="N880" i="67"/>
  <c r="N577" i="67"/>
  <c r="N119" i="67"/>
  <c r="N1335" i="67" s="1"/>
  <c r="N272" i="67"/>
  <c r="N729" i="67"/>
  <c r="AT1182" i="67"/>
  <c r="AT1031" i="67"/>
  <c r="AT425" i="67"/>
  <c r="AT880" i="67"/>
  <c r="AT577" i="67"/>
  <c r="AT119" i="67"/>
  <c r="AT272" i="67"/>
  <c r="AT729" i="67"/>
  <c r="AT1335" i="67"/>
  <c r="AN1183" i="67"/>
  <c r="AN1032" i="67"/>
  <c r="AN426" i="67"/>
  <c r="AN578" i="67"/>
  <c r="AN881" i="67"/>
  <c r="AN730" i="67"/>
  <c r="AN120" i="67"/>
  <c r="AN273" i="67"/>
  <c r="AN1336" i="67" s="1"/>
  <c r="AO1175" i="67"/>
  <c r="AO1024" i="67"/>
  <c r="AO418" i="67"/>
  <c r="AO570" i="67"/>
  <c r="AO873" i="67"/>
  <c r="AO112" i="67"/>
  <c r="AO265" i="67"/>
  <c r="AO722" i="67"/>
  <c r="Q1030" i="67"/>
  <c r="Q1181" i="67"/>
  <c r="Q424" i="67"/>
  <c r="Q879" i="67"/>
  <c r="Q576" i="67"/>
  <c r="Q118" i="67"/>
  <c r="Q271" i="67"/>
  <c r="Q728" i="67"/>
  <c r="AV1183" i="67"/>
  <c r="AV1032" i="67"/>
  <c r="AV426" i="67"/>
  <c r="AV578" i="67"/>
  <c r="AV881" i="67"/>
  <c r="AV273" i="67"/>
  <c r="AV120" i="67"/>
  <c r="AV1336" i="67" s="1"/>
  <c r="AV730" i="67"/>
  <c r="AQ1184" i="67"/>
  <c r="AQ1033" i="67"/>
  <c r="AQ427" i="67"/>
  <c r="AQ882" i="67"/>
  <c r="AQ579" i="67"/>
  <c r="AQ731" i="67"/>
  <c r="AQ121" i="67"/>
  <c r="AQ1337" i="67" s="1"/>
  <c r="AQ274" i="67"/>
  <c r="R1184" i="67"/>
  <c r="R1033" i="67"/>
  <c r="R427" i="67"/>
  <c r="R882" i="67"/>
  <c r="R731" i="67"/>
  <c r="R579" i="67"/>
  <c r="R121" i="67"/>
  <c r="R274" i="67"/>
  <c r="AC1024" i="67"/>
  <c r="AC1175" i="67"/>
  <c r="AC418" i="67"/>
  <c r="AC570" i="67"/>
  <c r="AC873" i="67"/>
  <c r="AC112" i="67"/>
  <c r="AC265" i="67"/>
  <c r="AC722" i="67"/>
  <c r="AC1328" i="67"/>
  <c r="AQ1027" i="67"/>
  <c r="AQ1178" i="67"/>
  <c r="AQ421" i="67"/>
  <c r="AQ573" i="67"/>
  <c r="AQ876" i="67"/>
  <c r="AQ115" i="67"/>
  <c r="AQ1331" i="67" s="1"/>
  <c r="AQ268" i="67"/>
  <c r="AQ725" i="67"/>
  <c r="AQ1032" i="67"/>
  <c r="AQ1183" i="67"/>
  <c r="AQ426" i="67"/>
  <c r="AQ881" i="67"/>
  <c r="AQ578" i="67"/>
  <c r="AQ120" i="67"/>
  <c r="AQ273" i="67"/>
  <c r="AQ1336" i="67" s="1"/>
  <c r="AQ730" i="67"/>
  <c r="AN1184" i="67"/>
  <c r="AN1033" i="67"/>
  <c r="AN427" i="67"/>
  <c r="AN882" i="67"/>
  <c r="AN579" i="67"/>
  <c r="AN121" i="67"/>
  <c r="AN1337" i="67" s="1"/>
  <c r="AN731" i="67"/>
  <c r="AN274" i="67"/>
  <c r="Y1026" i="67"/>
  <c r="Y1177" i="67"/>
  <c r="Y420" i="67"/>
  <c r="Y875" i="67"/>
  <c r="Y572" i="67"/>
  <c r="Y114" i="67"/>
  <c r="Y1330" i="67" s="1"/>
  <c r="Y267" i="67"/>
  <c r="Y724" i="67"/>
  <c r="AH1184" i="67"/>
  <c r="AH1033" i="67"/>
  <c r="AH427" i="67"/>
  <c r="AH882" i="67"/>
  <c r="AH579" i="67"/>
  <c r="AH731" i="67"/>
  <c r="AH121" i="67"/>
  <c r="AH274" i="67"/>
  <c r="AG1175" i="67"/>
  <c r="AG1024" i="67"/>
  <c r="AG418" i="67"/>
  <c r="AG570" i="67"/>
  <c r="AG873" i="67"/>
  <c r="AG112" i="67"/>
  <c r="AG1328" i="67" s="1"/>
  <c r="AG265" i="67"/>
  <c r="AG722" i="67"/>
  <c r="AU1178" i="67"/>
  <c r="AU1027" i="67"/>
  <c r="AU421" i="67"/>
  <c r="AU876" i="67"/>
  <c r="AU573" i="67"/>
  <c r="AU115" i="67"/>
  <c r="AU268" i="67"/>
  <c r="AU725" i="67"/>
  <c r="AU1331" i="67"/>
  <c r="AS1032" i="67"/>
  <c r="AS1183" i="67"/>
  <c r="AS426" i="67"/>
  <c r="AS578" i="67"/>
  <c r="AS1336" i="67" s="1"/>
  <c r="AS881" i="67"/>
  <c r="AS120" i="67"/>
  <c r="AS273" i="67"/>
  <c r="AS730" i="67"/>
  <c r="AO1033" i="67"/>
  <c r="AO1184" i="67"/>
  <c r="AO427" i="67"/>
  <c r="AO731" i="67"/>
  <c r="AO882" i="67"/>
  <c r="AO579" i="67"/>
  <c r="AO274" i="67"/>
  <c r="AO121" i="67"/>
  <c r="AO1026" i="67"/>
  <c r="AO1177" i="67"/>
  <c r="AO420" i="67"/>
  <c r="AO572" i="67"/>
  <c r="AO875" i="67"/>
  <c r="AO114" i="67"/>
  <c r="AO267" i="67"/>
  <c r="AO724" i="67"/>
  <c r="AP1184" i="67"/>
  <c r="AP1033" i="67"/>
  <c r="AP427" i="67"/>
  <c r="AP882" i="67"/>
  <c r="AP731" i="67"/>
  <c r="AP579" i="67"/>
  <c r="AP121" i="67"/>
  <c r="AP1337" i="67" s="1"/>
  <c r="AP274" i="67"/>
  <c r="Q1175" i="67"/>
  <c r="Q1024" i="67"/>
  <c r="Q418" i="67"/>
  <c r="Q873" i="67"/>
  <c r="Q570" i="67"/>
  <c r="Q112" i="67"/>
  <c r="Q1328" i="67" s="1"/>
  <c r="Q265" i="67"/>
  <c r="Q722" i="67"/>
  <c r="AJ1173" i="67"/>
  <c r="AJ1022" i="67"/>
  <c r="AJ416" i="67"/>
  <c r="AJ568" i="67"/>
  <c r="AJ871" i="67"/>
  <c r="AJ110" i="67"/>
  <c r="AJ263" i="67"/>
  <c r="AJ720" i="67"/>
  <c r="AD1174" i="67"/>
  <c r="AD1023" i="67"/>
  <c r="AD417" i="67"/>
  <c r="AD872" i="67"/>
  <c r="AD569" i="67"/>
  <c r="AD111" i="67"/>
  <c r="AD264" i="67"/>
  <c r="AD721" i="67"/>
  <c r="AD1327" i="67"/>
  <c r="AD1024" i="67"/>
  <c r="AD1175" i="67"/>
  <c r="AD418" i="67"/>
  <c r="AD873" i="67"/>
  <c r="AD570" i="67"/>
  <c r="AD112" i="67"/>
  <c r="AD265" i="67"/>
  <c r="AD722" i="67"/>
  <c r="AD1328" i="67" s="1"/>
  <c r="X1025" i="67"/>
  <c r="X1176" i="67"/>
  <c r="X419" i="67"/>
  <c r="X874" i="67"/>
  <c r="X571" i="67"/>
  <c r="X266" i="67"/>
  <c r="X113" i="67"/>
  <c r="X1329" i="67" s="1"/>
  <c r="X723" i="67"/>
  <c r="R1026" i="67"/>
  <c r="R1177" i="67"/>
  <c r="R420" i="67"/>
  <c r="R875" i="67"/>
  <c r="R572" i="67"/>
  <c r="R114" i="67"/>
  <c r="R1330" i="67" s="1"/>
  <c r="R267" i="67"/>
  <c r="R724" i="67"/>
  <c r="L1027" i="67"/>
  <c r="L1178" i="67"/>
  <c r="L421" i="67"/>
  <c r="L876" i="67"/>
  <c r="L573" i="67"/>
  <c r="L115" i="67"/>
  <c r="L268" i="67"/>
  <c r="L725" i="67"/>
  <c r="AR1027" i="67"/>
  <c r="AR1178" i="67"/>
  <c r="AR421" i="67"/>
  <c r="AR876" i="67"/>
  <c r="AR573" i="67"/>
  <c r="AR115" i="67"/>
  <c r="AR268" i="67"/>
  <c r="AR725" i="67"/>
  <c r="AR1331" i="67"/>
  <c r="AL1030" i="67"/>
  <c r="AL1181" i="67"/>
  <c r="AL424" i="67"/>
  <c r="AL879" i="67"/>
  <c r="AL576" i="67"/>
  <c r="AL118" i="67"/>
  <c r="AL271" i="67"/>
  <c r="AL728" i="67"/>
  <c r="AL1334" i="67" s="1"/>
  <c r="AF1031" i="67"/>
  <c r="AF1182" i="67"/>
  <c r="AF425" i="67"/>
  <c r="AF880" i="67"/>
  <c r="AF577" i="67"/>
  <c r="AF119" i="67"/>
  <c r="AF272" i="67"/>
  <c r="AF1335" i="67" s="1"/>
  <c r="AF729" i="67"/>
  <c r="Z1032" i="67"/>
  <c r="Z1183" i="67"/>
  <c r="Z426" i="67"/>
  <c r="Z881" i="67"/>
  <c r="Z578" i="67"/>
  <c r="Z120" i="67"/>
  <c r="Z1336" i="67" s="1"/>
  <c r="Z273" i="67"/>
  <c r="Z730" i="67"/>
  <c r="Q1022" i="67"/>
  <c r="Q1173" i="67"/>
  <c r="Q416" i="67"/>
  <c r="Q568" i="67"/>
  <c r="Q871" i="67"/>
  <c r="Q110" i="67"/>
  <c r="Q263" i="67"/>
  <c r="Q720" i="67"/>
  <c r="AW1022" i="67"/>
  <c r="AW1173" i="67"/>
  <c r="AW416" i="67"/>
  <c r="AW568" i="67"/>
  <c r="AW871" i="67"/>
  <c r="AW110" i="67"/>
  <c r="AW263" i="67"/>
  <c r="AW720" i="67"/>
  <c r="AW1326" i="67"/>
  <c r="AQ1023" i="67"/>
  <c r="AQ1174" i="67"/>
  <c r="AQ417" i="67"/>
  <c r="AQ569" i="67"/>
  <c r="AQ872" i="67"/>
  <c r="AQ111" i="67"/>
  <c r="AQ264" i="67"/>
  <c r="AQ721" i="67"/>
  <c r="AQ1154" i="67"/>
  <c r="AQ1003" i="67"/>
  <c r="AQ397" i="67"/>
  <c r="AQ852" i="67"/>
  <c r="AQ549" i="67"/>
  <c r="AQ701" i="67"/>
  <c r="AQ244" i="67"/>
  <c r="AQ91" i="67"/>
  <c r="AQ1307" i="67" s="1"/>
  <c r="AK1155" i="67"/>
  <c r="AK1004" i="67"/>
  <c r="AK398" i="67"/>
  <c r="AK853" i="67"/>
  <c r="AK92" i="67"/>
  <c r="AK245" i="67"/>
  <c r="AK550" i="67"/>
  <c r="AK702" i="67"/>
  <c r="AK1308" i="67" s="1"/>
  <c r="AE1156" i="67"/>
  <c r="AE1005" i="67"/>
  <c r="AE399" i="67"/>
  <c r="AE551" i="67"/>
  <c r="AE703" i="67"/>
  <c r="AE854" i="67"/>
  <c r="AE93" i="67"/>
  <c r="AE1309" i="67" s="1"/>
  <c r="AE246" i="67"/>
  <c r="Y1157" i="67"/>
  <c r="Y1006" i="67"/>
  <c r="Y400" i="67"/>
  <c r="Y855" i="67"/>
  <c r="Y704" i="67"/>
  <c r="Y552" i="67"/>
  <c r="Y94" i="67"/>
  <c r="Y247" i="67"/>
  <c r="S1030" i="67"/>
  <c r="S1181" i="67"/>
  <c r="S424" i="67"/>
  <c r="S879" i="67"/>
  <c r="S576" i="67"/>
  <c r="S118" i="67"/>
  <c r="S1334" i="67" s="1"/>
  <c r="S271" i="67"/>
  <c r="S728" i="67"/>
  <c r="M1031" i="67"/>
  <c r="M1182" i="67"/>
  <c r="M425" i="67"/>
  <c r="M577" i="67"/>
  <c r="M880" i="67"/>
  <c r="M119" i="67"/>
  <c r="M272" i="67"/>
  <c r="M729" i="67"/>
  <c r="M1335" i="67"/>
  <c r="AS1031" i="67"/>
  <c r="AS1182" i="67"/>
  <c r="AS425" i="67"/>
  <c r="AS577" i="67"/>
  <c r="AS1335" i="67" s="1"/>
  <c r="AS880" i="67"/>
  <c r="AS119" i="67"/>
  <c r="AS272" i="67"/>
  <c r="AS729" i="67"/>
  <c r="V1022" i="67"/>
  <c r="V1173" i="67"/>
  <c r="V416" i="67"/>
  <c r="V871" i="67"/>
  <c r="V568" i="67"/>
  <c r="V110" i="67"/>
  <c r="V263" i="67"/>
  <c r="V1326" i="67" s="1"/>
  <c r="V720" i="67"/>
  <c r="P1023" i="67"/>
  <c r="P1174" i="67"/>
  <c r="P417" i="67"/>
  <c r="P872" i="67"/>
  <c r="P569" i="67"/>
  <c r="P111" i="67"/>
  <c r="P1327" i="67" s="1"/>
  <c r="P264" i="67"/>
  <c r="P721" i="67"/>
  <c r="AV1023" i="67"/>
  <c r="AV1174" i="67"/>
  <c r="AV417" i="67"/>
  <c r="AV569" i="67"/>
  <c r="AV872" i="67"/>
  <c r="AV111" i="67"/>
  <c r="AV1327" i="67" s="1"/>
  <c r="AV264" i="67"/>
  <c r="AV721" i="67"/>
  <c r="AV1175" i="67"/>
  <c r="AV1024" i="67"/>
  <c r="AV418" i="67"/>
  <c r="AV570" i="67"/>
  <c r="AV873" i="67"/>
  <c r="AV722" i="67"/>
  <c r="AV112" i="67"/>
  <c r="AV1328" i="67" s="1"/>
  <c r="AV265" i="67"/>
  <c r="AP1176" i="67"/>
  <c r="AP1025" i="67"/>
  <c r="AP419" i="67"/>
  <c r="AP571" i="67"/>
  <c r="AP874" i="67"/>
  <c r="AP113" i="67"/>
  <c r="AP266" i="67"/>
  <c r="AP723" i="67"/>
  <c r="AP1329" i="67"/>
  <c r="AJ1177" i="67"/>
  <c r="AJ1026" i="67"/>
  <c r="AJ420" i="67"/>
  <c r="AJ572" i="67"/>
  <c r="AJ1330" i="67" s="1"/>
  <c r="AJ875" i="67"/>
  <c r="AJ114" i="67"/>
  <c r="AJ267" i="67"/>
  <c r="AJ724" i="67"/>
  <c r="AD1178" i="67"/>
  <c r="AD1027" i="67"/>
  <c r="AD421" i="67"/>
  <c r="AD573" i="67"/>
  <c r="AD876" i="67"/>
  <c r="AD115" i="67"/>
  <c r="AD268" i="67"/>
  <c r="AD725" i="67"/>
  <c r="X1030" i="67"/>
  <c r="X1181" i="67"/>
  <c r="X424" i="67"/>
  <c r="X576" i="67"/>
  <c r="X879" i="67"/>
  <c r="X728" i="67"/>
  <c r="X118" i="67"/>
  <c r="X1334" i="67" s="1"/>
  <c r="X271" i="67"/>
  <c r="R1031" i="67"/>
  <c r="R1182" i="67"/>
  <c r="R425" i="67"/>
  <c r="R880" i="67"/>
  <c r="R577" i="67"/>
  <c r="R119" i="67"/>
  <c r="R1335" i="67" s="1"/>
  <c r="R272" i="67"/>
  <c r="R729" i="67"/>
  <c r="L1032" i="67"/>
  <c r="L1183" i="67"/>
  <c r="L426" i="67"/>
  <c r="L881" i="67"/>
  <c r="L578" i="67"/>
  <c r="L120" i="67"/>
  <c r="L273" i="67"/>
  <c r="L730" i="67"/>
  <c r="L1336" i="67"/>
  <c r="AR1032" i="67"/>
  <c r="AR1183" i="67"/>
  <c r="AR426" i="67"/>
  <c r="AR881" i="67"/>
  <c r="AR578" i="67"/>
  <c r="AR120" i="67"/>
  <c r="AR273" i="67"/>
  <c r="AR730" i="67"/>
  <c r="S1176" i="67"/>
  <c r="S1025" i="67"/>
  <c r="S419" i="67"/>
  <c r="S571" i="67"/>
  <c r="S874" i="67"/>
  <c r="S113" i="67"/>
  <c r="S266" i="67"/>
  <c r="S723" i="67"/>
  <c r="AG1030" i="67"/>
  <c r="AG1181" i="67"/>
  <c r="AG424" i="67"/>
  <c r="AG576" i="67"/>
  <c r="AG879" i="67"/>
  <c r="AG118" i="67"/>
  <c r="AG1334" i="67" s="1"/>
  <c r="AG271" i="67"/>
  <c r="AG728" i="67"/>
  <c r="O1033" i="67"/>
  <c r="O1184" i="67"/>
  <c r="O427" i="67"/>
  <c r="O882" i="67"/>
  <c r="O579" i="67"/>
  <c r="O731" i="67"/>
  <c r="O121" i="67"/>
  <c r="O1337" i="67" s="1"/>
  <c r="O274" i="67"/>
  <c r="AU1033" i="67"/>
  <c r="AU1184" i="67"/>
  <c r="AU427" i="67"/>
  <c r="AU882" i="67"/>
  <c r="AU579" i="67"/>
  <c r="AU731" i="67"/>
  <c r="AU121" i="67"/>
  <c r="AU1337" i="67" s="1"/>
  <c r="AU274" i="67"/>
  <c r="AL1033" i="67"/>
  <c r="AL1184" i="67"/>
  <c r="AL427" i="67"/>
  <c r="AL1337" i="67" s="1"/>
  <c r="AL882" i="67"/>
  <c r="AL579" i="67"/>
  <c r="AL121" i="67"/>
  <c r="AL731" i="67"/>
  <c r="AL274" i="67"/>
  <c r="AS1024" i="67"/>
  <c r="AS1175" i="67"/>
  <c r="AS418" i="67"/>
  <c r="AS570" i="67"/>
  <c r="AS873" i="67"/>
  <c r="AS112" i="67"/>
  <c r="AS1328" i="67" s="1"/>
  <c r="AS265" i="67"/>
  <c r="AS722" i="67"/>
  <c r="U1181" i="67"/>
  <c r="U1030" i="67"/>
  <c r="U424" i="67"/>
  <c r="U879" i="67"/>
  <c r="U576" i="67"/>
  <c r="U118" i="67"/>
  <c r="U271" i="67"/>
  <c r="U728" i="67"/>
  <c r="U1334" i="67"/>
  <c r="AW1183" i="67"/>
  <c r="AW1032" i="67"/>
  <c r="AW426" i="67"/>
  <c r="AW578" i="67"/>
  <c r="AW881" i="67"/>
  <c r="AW120" i="67"/>
  <c r="AW273" i="67"/>
  <c r="AW730" i="67"/>
  <c r="AV1012" i="67"/>
  <c r="AV1163" i="67"/>
  <c r="AV406" i="67"/>
  <c r="AV558" i="67"/>
  <c r="AV710" i="67"/>
  <c r="AV861" i="67"/>
  <c r="AV253" i="67"/>
  <c r="AV100" i="67"/>
  <c r="S1027" i="67"/>
  <c r="S1178" i="67"/>
  <c r="S421" i="67"/>
  <c r="S876" i="67"/>
  <c r="S573" i="67"/>
  <c r="S115" i="67"/>
  <c r="S268" i="67"/>
  <c r="S725" i="67"/>
  <c r="AT1184" i="67"/>
  <c r="AT1033" i="67"/>
  <c r="AT427" i="67"/>
  <c r="AT882" i="67"/>
  <c r="AT579" i="67"/>
  <c r="AT121" i="67"/>
  <c r="AT731" i="67"/>
  <c r="AT274" i="67"/>
  <c r="AW1175" i="67"/>
  <c r="AW1024" i="67"/>
  <c r="AW418" i="67"/>
  <c r="AW570" i="67"/>
  <c r="AW873" i="67"/>
  <c r="AW112" i="67"/>
  <c r="AW265" i="67"/>
  <c r="AW722" i="67"/>
  <c r="Y1030" i="67"/>
  <c r="Y1181" i="67"/>
  <c r="Y424" i="67"/>
  <c r="Y576" i="67"/>
  <c r="Y879" i="67"/>
  <c r="Y118" i="67"/>
  <c r="Y1334" i="67" s="1"/>
  <c r="Y271" i="67"/>
  <c r="Y728" i="67"/>
  <c r="M1033" i="67"/>
  <c r="M1184" i="67"/>
  <c r="M427" i="67"/>
  <c r="M882" i="67"/>
  <c r="M121" i="67"/>
  <c r="M274" i="67"/>
  <c r="M579" i="67"/>
  <c r="M731" i="67"/>
  <c r="M1337" i="67"/>
  <c r="AS1033" i="67"/>
  <c r="AS1184" i="67"/>
  <c r="AS427" i="67"/>
  <c r="AS882" i="67"/>
  <c r="AS121" i="67"/>
  <c r="AS274" i="67"/>
  <c r="AS579" i="67"/>
  <c r="AS731" i="67"/>
  <c r="AS1337" i="67" s="1"/>
  <c r="AI1027" i="67"/>
  <c r="AI1178" i="67"/>
  <c r="AI421" i="67"/>
  <c r="AI876" i="67"/>
  <c r="AI573" i="67"/>
  <c r="AI115" i="67"/>
  <c r="AI268" i="67"/>
  <c r="AI725" i="67"/>
  <c r="K1027" i="67"/>
  <c r="K1178" i="67"/>
  <c r="K725" i="67"/>
  <c r="K573" i="67"/>
  <c r="K115" i="67"/>
  <c r="K421" i="67"/>
  <c r="K876" i="67"/>
  <c r="K268" i="67"/>
  <c r="K1331" i="67" s="1"/>
  <c r="K1181" i="67"/>
  <c r="K1030" i="67"/>
  <c r="K271" i="67"/>
  <c r="K576" i="67"/>
  <c r="K879" i="67"/>
  <c r="K728" i="67"/>
  <c r="K424" i="67"/>
  <c r="K118" i="67"/>
  <c r="K1334" i="67" s="1"/>
  <c r="AH1024" i="67"/>
  <c r="AH1175" i="67"/>
  <c r="AH418" i="67"/>
  <c r="AH873" i="67"/>
  <c r="AH570" i="67"/>
  <c r="AH112" i="67"/>
  <c r="AH265" i="67"/>
  <c r="AH722" i="67"/>
  <c r="X1022" i="67"/>
  <c r="X1173" i="67"/>
  <c r="X416" i="67"/>
  <c r="X568" i="67"/>
  <c r="X871" i="67"/>
  <c r="X110" i="67"/>
  <c r="X263" i="67"/>
  <c r="X720" i="67"/>
  <c r="R1024" i="67"/>
  <c r="R1175" i="67"/>
  <c r="R418" i="67"/>
  <c r="R873" i="67"/>
  <c r="R570" i="67"/>
  <c r="R112" i="67"/>
  <c r="R265" i="67"/>
  <c r="R722" i="67"/>
  <c r="R1328" i="67"/>
  <c r="AR1025" i="67"/>
  <c r="AR1176" i="67"/>
  <c r="AR419" i="67"/>
  <c r="AR571" i="67"/>
  <c r="AR874" i="67"/>
  <c r="AR113" i="67"/>
  <c r="AR266" i="67"/>
  <c r="AR723" i="67"/>
  <c r="AL1026" i="67"/>
  <c r="AL1177" i="67"/>
  <c r="AL420" i="67"/>
  <c r="AL875" i="67"/>
  <c r="AL572" i="67"/>
  <c r="AL114" i="67"/>
  <c r="AL267" i="67"/>
  <c r="AL724" i="67"/>
  <c r="AL1330" i="67" s="1"/>
  <c r="Z1030" i="67"/>
  <c r="Z1181" i="67"/>
  <c r="Z424" i="67"/>
  <c r="Z576" i="67"/>
  <c r="Z879" i="67"/>
  <c r="Z118" i="67"/>
  <c r="Z271" i="67"/>
  <c r="Z1334" i="67" s="1"/>
  <c r="Z728" i="67"/>
  <c r="N1183" i="67"/>
  <c r="N1032" i="67"/>
  <c r="N426" i="67"/>
  <c r="N881" i="67"/>
  <c r="N578" i="67"/>
  <c r="N120" i="67"/>
  <c r="N1336" i="67" s="1"/>
  <c r="N273" i="67"/>
  <c r="N730" i="67"/>
  <c r="AK1173" i="67"/>
  <c r="AK1022" i="67"/>
  <c r="AK416" i="67"/>
  <c r="AK871" i="67"/>
  <c r="AK568" i="67"/>
  <c r="AK110" i="67"/>
  <c r="AK263" i="67"/>
  <c r="AK720" i="67"/>
  <c r="AK1326" i="67"/>
  <c r="N1003" i="67"/>
  <c r="N1154" i="67"/>
  <c r="N397" i="67"/>
  <c r="N852" i="67"/>
  <c r="N701" i="67"/>
  <c r="N549" i="67"/>
  <c r="N244" i="67"/>
  <c r="N91" i="67"/>
  <c r="N1307" i="67" s="1"/>
  <c r="X1152" i="67"/>
  <c r="X1001" i="67"/>
  <c r="X395" i="67"/>
  <c r="X850" i="67"/>
  <c r="X547" i="67"/>
  <c r="X699" i="67"/>
  <c r="X89" i="67"/>
  <c r="X242" i="67"/>
  <c r="AR48" i="68"/>
  <c r="R1153" i="67"/>
  <c r="R1002" i="67"/>
  <c r="R396" i="67"/>
  <c r="R1306" i="67" s="1"/>
  <c r="R851" i="67"/>
  <c r="R90" i="67"/>
  <c r="R243" i="67"/>
  <c r="R548" i="67"/>
  <c r="R700" i="67"/>
  <c r="R1154" i="67"/>
  <c r="R1003" i="67"/>
  <c r="R397" i="67"/>
  <c r="R852" i="67"/>
  <c r="R701" i="67"/>
  <c r="R549" i="67"/>
  <c r="R91" i="67"/>
  <c r="R1307" i="67" s="1"/>
  <c r="R244" i="67"/>
  <c r="L1155" i="67"/>
  <c r="L1004" i="67"/>
  <c r="L398" i="67"/>
  <c r="L853" i="67"/>
  <c r="L702" i="67"/>
  <c r="L550" i="67"/>
  <c r="L92" i="67"/>
  <c r="L245" i="67"/>
  <c r="L1308" i="67"/>
  <c r="AR1155" i="67"/>
  <c r="AR1004" i="67"/>
  <c r="AR398" i="67"/>
  <c r="AR853" i="67"/>
  <c r="AR702" i="67"/>
  <c r="AR550" i="67"/>
  <c r="AR92" i="67"/>
  <c r="AR245" i="67"/>
  <c r="AR1308" i="67" s="1"/>
  <c r="AL1156" i="67"/>
  <c r="AL1005" i="67"/>
  <c r="AL399" i="67"/>
  <c r="AL854" i="67"/>
  <c r="AL551" i="67"/>
  <c r="AL703" i="67"/>
  <c r="AL93" i="67"/>
  <c r="AL1309" i="67" s="1"/>
  <c r="AL246" i="67"/>
  <c r="AF1157" i="67"/>
  <c r="AF1006" i="67"/>
  <c r="AF400" i="67"/>
  <c r="AF704" i="67"/>
  <c r="AF855" i="67"/>
  <c r="AF552" i="67"/>
  <c r="AF247" i="67"/>
  <c r="AF94" i="67"/>
  <c r="Z1009" i="67"/>
  <c r="Z1160" i="67"/>
  <c r="Z403" i="67"/>
  <c r="Z858" i="67"/>
  <c r="Z555" i="67"/>
  <c r="Z707" i="67"/>
  <c r="Z97" i="67"/>
  <c r="Z1313" i="67" s="1"/>
  <c r="Z250" i="67"/>
  <c r="T1010" i="67"/>
  <c r="T1161" i="67"/>
  <c r="T404" i="67"/>
  <c r="T859" i="67"/>
  <c r="T708" i="67"/>
  <c r="T556" i="67"/>
  <c r="T98" i="67"/>
  <c r="T1314" i="67" s="1"/>
  <c r="T251" i="67"/>
  <c r="N1011" i="67"/>
  <c r="N1162" i="67"/>
  <c r="N405" i="67"/>
  <c r="N860" i="67"/>
  <c r="N709" i="67"/>
  <c r="N557" i="67"/>
  <c r="N252" i="67"/>
  <c r="N99" i="67"/>
  <c r="AT1011" i="67"/>
  <c r="AT1162" i="67"/>
  <c r="AT405" i="67"/>
  <c r="AT860" i="67"/>
  <c r="AT709" i="67"/>
  <c r="AT557" i="67"/>
  <c r="AT252" i="67"/>
  <c r="AT99" i="67"/>
  <c r="AK1152" i="67"/>
  <c r="AK1001" i="67"/>
  <c r="AK395" i="67"/>
  <c r="AK547" i="67"/>
  <c r="AK699" i="67"/>
  <c r="AK850" i="67"/>
  <c r="AK242" i="67"/>
  <c r="BE48" i="68"/>
  <c r="AK89" i="67"/>
  <c r="AK1305" i="67" s="1"/>
  <c r="AE1153" i="67"/>
  <c r="AE1002" i="67"/>
  <c r="AE396" i="67"/>
  <c r="AE851" i="67"/>
  <c r="AE548" i="67"/>
  <c r="AE700" i="67"/>
  <c r="AE90" i="67"/>
  <c r="AE243" i="67"/>
  <c r="AE1024" i="67"/>
  <c r="AE1175" i="67"/>
  <c r="AE418" i="67"/>
  <c r="AE873" i="67"/>
  <c r="AE570" i="67"/>
  <c r="AE112" i="67"/>
  <c r="AE265" i="67"/>
  <c r="AE722" i="67"/>
  <c r="Y1025" i="67"/>
  <c r="Y1176" i="67"/>
  <c r="Y419" i="67"/>
  <c r="Y874" i="67"/>
  <c r="Y571" i="67"/>
  <c r="Y113" i="67"/>
  <c r="Y1329" i="67" s="1"/>
  <c r="Y266" i="67"/>
  <c r="Y723" i="67"/>
  <c r="S1026" i="67"/>
  <c r="S1177" i="67"/>
  <c r="S420" i="67"/>
  <c r="S875" i="67"/>
  <c r="S572" i="67"/>
  <c r="S114" i="67"/>
  <c r="S267" i="67"/>
  <c r="S1330" i="67" s="1"/>
  <c r="S724" i="67"/>
  <c r="M1027" i="67"/>
  <c r="M1178" i="67"/>
  <c r="M421" i="67"/>
  <c r="M876" i="67"/>
  <c r="M573" i="67"/>
  <c r="M115" i="67"/>
  <c r="M1331" i="67" s="1"/>
  <c r="M268" i="67"/>
  <c r="M725" i="67"/>
  <c r="AS1027" i="67"/>
  <c r="AS1178" i="67"/>
  <c r="AS421" i="67"/>
  <c r="AS876" i="67"/>
  <c r="AS573" i="67"/>
  <c r="AS115" i="67"/>
  <c r="AS268" i="67"/>
  <c r="AS725" i="67"/>
  <c r="AS1331" i="67"/>
  <c r="AM1030" i="67"/>
  <c r="AM1181" i="67"/>
  <c r="AM424" i="67"/>
  <c r="AM879" i="67"/>
  <c r="AM576" i="67"/>
  <c r="AM118" i="67"/>
  <c r="AM271" i="67"/>
  <c r="AM728" i="67"/>
  <c r="AM1334" i="67" s="1"/>
  <c r="AG1031" i="67"/>
  <c r="AG1182" i="67"/>
  <c r="AG425" i="67"/>
  <c r="AG880" i="67"/>
  <c r="AG577" i="67"/>
  <c r="AG119" i="67"/>
  <c r="AG272" i="67"/>
  <c r="AG1335" i="67" s="1"/>
  <c r="AG729" i="67"/>
  <c r="AA1032" i="67"/>
  <c r="AA1183" i="67"/>
  <c r="AA426" i="67"/>
  <c r="AA881" i="67"/>
  <c r="AA578" i="67"/>
  <c r="AA120" i="67"/>
  <c r="AA1336" i="67" s="1"/>
  <c r="AA273" i="67"/>
  <c r="AA730" i="67"/>
  <c r="AP1001" i="67"/>
  <c r="AP1152" i="67"/>
  <c r="AP395" i="67"/>
  <c r="AP850" i="67"/>
  <c r="AP699" i="67"/>
  <c r="AP547" i="67"/>
  <c r="AP89" i="67"/>
  <c r="AP242" i="67"/>
  <c r="BJ48" i="68"/>
  <c r="AJ1002" i="67"/>
  <c r="AJ1153" i="67"/>
  <c r="AJ396" i="67"/>
  <c r="AJ851" i="67"/>
  <c r="AJ548" i="67"/>
  <c r="AJ700" i="67"/>
  <c r="AJ90" i="67"/>
  <c r="AJ243" i="67"/>
  <c r="AJ1154" i="67"/>
  <c r="AJ1003" i="67"/>
  <c r="AJ397" i="67"/>
  <c r="AJ852" i="67"/>
  <c r="AJ549" i="67"/>
  <c r="AJ91" i="67"/>
  <c r="AJ701" i="67"/>
  <c r="AJ244" i="67"/>
  <c r="AD1155" i="67"/>
  <c r="AD1004" i="67"/>
  <c r="AD398" i="67"/>
  <c r="AD853" i="67"/>
  <c r="AD550" i="67"/>
  <c r="AD702" i="67"/>
  <c r="AD92" i="67"/>
  <c r="AD245" i="67"/>
  <c r="X1156" i="67"/>
  <c r="X1005" i="67"/>
  <c r="X399" i="67"/>
  <c r="X854" i="67"/>
  <c r="X703" i="67"/>
  <c r="X551" i="67"/>
  <c r="X93" i="67"/>
  <c r="X246" i="67"/>
  <c r="X1309" i="67"/>
  <c r="R1157" i="67"/>
  <c r="R1006" i="67"/>
  <c r="R400" i="67"/>
  <c r="R855" i="67"/>
  <c r="R552" i="67"/>
  <c r="R704" i="67"/>
  <c r="R94" i="67"/>
  <c r="R247" i="67"/>
  <c r="L1160" i="67"/>
  <c r="L1009" i="67"/>
  <c r="L403" i="67"/>
  <c r="L858" i="67"/>
  <c r="L555" i="67"/>
  <c r="L707" i="67"/>
  <c r="L97" i="67"/>
  <c r="L250" i="67"/>
  <c r="AR1009" i="67"/>
  <c r="AR1160" i="67"/>
  <c r="AR403" i="67"/>
  <c r="AR858" i="67"/>
  <c r="AR555" i="67"/>
  <c r="AR707" i="67"/>
  <c r="AR97" i="67"/>
  <c r="AR250" i="67"/>
  <c r="AL1010" i="67"/>
  <c r="AL1161" i="67"/>
  <c r="AL404" i="67"/>
  <c r="AL859" i="67"/>
  <c r="AL556" i="67"/>
  <c r="AL708" i="67"/>
  <c r="AL251" i="67"/>
  <c r="AL98" i="67"/>
  <c r="AL1314" i="67" s="1"/>
  <c r="AF1011" i="67"/>
  <c r="AF1162" i="67"/>
  <c r="AF405" i="67"/>
  <c r="AF860" i="67"/>
  <c r="AF557" i="67"/>
  <c r="AF709" i="67"/>
  <c r="AF99" i="67"/>
  <c r="AF252" i="67"/>
  <c r="AO1153" i="67"/>
  <c r="AO1002" i="67"/>
  <c r="AO396" i="67"/>
  <c r="AO851" i="67"/>
  <c r="AO700" i="67"/>
  <c r="AO548" i="67"/>
  <c r="AO243" i="67"/>
  <c r="AO90" i="67"/>
  <c r="AO1306" i="67" s="1"/>
  <c r="W1157" i="67"/>
  <c r="W1006" i="67"/>
  <c r="W400" i="67"/>
  <c r="W855" i="67"/>
  <c r="W552" i="67"/>
  <c r="W704" i="67"/>
  <c r="W94" i="67"/>
  <c r="W247" i="67"/>
  <c r="AG1162" i="67"/>
  <c r="AG1011" i="67"/>
  <c r="AG405" i="67"/>
  <c r="AG860" i="67"/>
  <c r="AG709" i="67"/>
  <c r="AG557" i="67"/>
  <c r="AG252" i="67"/>
  <c r="AG99" i="67"/>
  <c r="AG1315" i="67" s="1"/>
  <c r="AI1163" i="67"/>
  <c r="AI1012" i="67"/>
  <c r="AI406" i="67"/>
  <c r="AI861" i="67"/>
  <c r="AI558" i="67"/>
  <c r="AI710" i="67"/>
  <c r="AI100" i="67"/>
  <c r="AI253" i="67"/>
  <c r="AI1316" i="67" s="1"/>
  <c r="AA1173" i="67"/>
  <c r="AA1022" i="67"/>
  <c r="AA416" i="67"/>
  <c r="AA871" i="67"/>
  <c r="AA568" i="67"/>
  <c r="AA110" i="67"/>
  <c r="AA263" i="67"/>
  <c r="AA1326" i="67" s="1"/>
  <c r="AA720" i="67"/>
  <c r="AC1174" i="67"/>
  <c r="AC1023" i="67"/>
  <c r="AC417" i="67"/>
  <c r="AC569" i="67"/>
  <c r="AC872" i="67"/>
  <c r="AC111" i="67"/>
  <c r="AC1327" i="67" s="1"/>
  <c r="AC264" i="67"/>
  <c r="AC721" i="67"/>
  <c r="AW1156" i="67"/>
  <c r="AW1005" i="67"/>
  <c r="AW399" i="67"/>
  <c r="AW854" i="67"/>
  <c r="AW93" i="67"/>
  <c r="AW246" i="67"/>
  <c r="AW551" i="67"/>
  <c r="AW703" i="67"/>
  <c r="Y1162" i="67"/>
  <c r="Y1011" i="67"/>
  <c r="Y405" i="67"/>
  <c r="Y860" i="67"/>
  <c r="Y99" i="67"/>
  <c r="Y557" i="67"/>
  <c r="Y252" i="67"/>
  <c r="Y709" i="67"/>
  <c r="Y1315" i="67"/>
  <c r="AF1184" i="67"/>
  <c r="AF1033" i="67"/>
  <c r="AF427" i="67"/>
  <c r="AF882" i="67"/>
  <c r="AF579" i="67"/>
  <c r="AF121" i="67"/>
  <c r="AF731" i="67"/>
  <c r="AF274" i="67"/>
  <c r="AF1337" i="67" s="1"/>
  <c r="AK1154" i="67"/>
  <c r="AK1003" i="67"/>
  <c r="AK397" i="67"/>
  <c r="AK852" i="67"/>
  <c r="AK549" i="67"/>
  <c r="AK701" i="67"/>
  <c r="AK91" i="67"/>
  <c r="AK1307" i="67" s="1"/>
  <c r="AK244" i="67"/>
  <c r="N1012" i="67"/>
  <c r="N1163" i="67"/>
  <c r="N406" i="67"/>
  <c r="N861" i="67"/>
  <c r="N558" i="67"/>
  <c r="N710" i="67"/>
  <c r="N100" i="67"/>
  <c r="N1316" i="67" s="1"/>
  <c r="N253" i="67"/>
  <c r="AG1174" i="67"/>
  <c r="AG1023" i="67"/>
  <c r="AG417" i="67"/>
  <c r="AG569" i="67"/>
  <c r="AG872" i="67"/>
  <c r="AG111" i="67"/>
  <c r="AG1327" i="67" s="1"/>
  <c r="AG264" i="67"/>
  <c r="AG721" i="67"/>
  <c r="O1157" i="67"/>
  <c r="O1006" i="67"/>
  <c r="O400" i="67"/>
  <c r="O855" i="67"/>
  <c r="O704" i="67"/>
  <c r="O552" i="67"/>
  <c r="O94" i="67"/>
  <c r="O247" i="67"/>
  <c r="O1310" i="67"/>
  <c r="AC1162" i="67"/>
  <c r="AC1011" i="67"/>
  <c r="AC405" i="67"/>
  <c r="AC860" i="67"/>
  <c r="AC709" i="67"/>
  <c r="AC557" i="67"/>
  <c r="AC252" i="67"/>
  <c r="AC99" i="67"/>
  <c r="AC1315" i="67" s="1"/>
  <c r="AG1012" i="67"/>
  <c r="AG1163" i="67"/>
  <c r="AG406" i="67"/>
  <c r="AG861" i="67"/>
  <c r="AG710" i="67"/>
  <c r="AG558" i="67"/>
  <c r="AG100" i="67"/>
  <c r="AG253" i="67"/>
  <c r="AG1316" i="67" s="1"/>
  <c r="O1155" i="67"/>
  <c r="O1004" i="67"/>
  <c r="O398" i="67"/>
  <c r="O853" i="67"/>
  <c r="O702" i="67"/>
  <c r="O550" i="67"/>
  <c r="O92" i="67"/>
  <c r="O1308" i="67" s="1"/>
  <c r="O245" i="67"/>
  <c r="V1012" i="67"/>
  <c r="V1163" i="67"/>
  <c r="V406" i="67"/>
  <c r="V861" i="67"/>
  <c r="V710" i="67"/>
  <c r="V558" i="67"/>
  <c r="V253" i="67"/>
  <c r="V100" i="67"/>
  <c r="AK1163" i="67"/>
  <c r="AK1012" i="67"/>
  <c r="AK406" i="67"/>
  <c r="AK861" i="67"/>
  <c r="AK558" i="67"/>
  <c r="AK710" i="67"/>
  <c r="AK100" i="67"/>
  <c r="AK253" i="67"/>
  <c r="L1154" i="67"/>
  <c r="L1003" i="67"/>
  <c r="L397" i="67"/>
  <c r="L852" i="67"/>
  <c r="L549" i="67"/>
  <c r="L91" i="67"/>
  <c r="L1307" i="67" s="1"/>
  <c r="L701" i="67"/>
  <c r="L244" i="67"/>
  <c r="AB1152" i="67"/>
  <c r="AB1001" i="67"/>
  <c r="AB395" i="67"/>
  <c r="AB850" i="67"/>
  <c r="AB699" i="67"/>
  <c r="AB547" i="67"/>
  <c r="AB242" i="67"/>
  <c r="AV48" i="68"/>
  <c r="AB89" i="67"/>
  <c r="AB1305" i="67" s="1"/>
  <c r="V1153" i="67"/>
  <c r="V1002" i="67"/>
  <c r="V396" i="67"/>
  <c r="V851" i="67"/>
  <c r="V700" i="67"/>
  <c r="V548" i="67"/>
  <c r="V90" i="67"/>
  <c r="V243" i="67"/>
  <c r="V1306" i="67" s="1"/>
  <c r="V1003" i="67"/>
  <c r="V1154" i="67"/>
  <c r="V397" i="67"/>
  <c r="V852" i="67"/>
  <c r="V549" i="67"/>
  <c r="V701" i="67"/>
  <c r="V91" i="67"/>
  <c r="V1307" i="67" s="1"/>
  <c r="V244" i="67"/>
  <c r="P1004" i="67"/>
  <c r="P1155" i="67"/>
  <c r="P398" i="67"/>
  <c r="P853" i="67"/>
  <c r="P550" i="67"/>
  <c r="P702" i="67"/>
  <c r="P92" i="67"/>
  <c r="P245" i="67"/>
  <c r="AV1004" i="67"/>
  <c r="AV1155" i="67"/>
  <c r="AV398" i="67"/>
  <c r="AV853" i="67"/>
  <c r="AV550" i="67"/>
  <c r="AV702" i="67"/>
  <c r="AV92" i="67"/>
  <c r="AV245" i="67"/>
  <c r="AP1005" i="67"/>
  <c r="AP1156" i="67"/>
  <c r="AP399" i="67"/>
  <c r="AP854" i="67"/>
  <c r="AP551" i="67"/>
  <c r="AP703" i="67"/>
  <c r="AP246" i="67"/>
  <c r="AP1309" i="67" s="1"/>
  <c r="AP93" i="67"/>
  <c r="AJ1006" i="67"/>
  <c r="AJ1157" i="67"/>
  <c r="AJ400" i="67"/>
  <c r="AJ855" i="67"/>
  <c r="AJ94" i="67"/>
  <c r="AJ247" i="67"/>
  <c r="AJ552" i="67"/>
  <c r="AJ704" i="67"/>
  <c r="AJ1310" i="67"/>
  <c r="AD1160" i="67"/>
  <c r="AD1009" i="67"/>
  <c r="AD403" i="67"/>
  <c r="AD858" i="67"/>
  <c r="AD555" i="67"/>
  <c r="AD707" i="67"/>
  <c r="AD97" i="67"/>
  <c r="AD250" i="67"/>
  <c r="AD1313" i="67" s="1"/>
  <c r="X1161" i="67"/>
  <c r="X1010" i="67"/>
  <c r="X404" i="67"/>
  <c r="X859" i="67"/>
  <c r="X556" i="67"/>
  <c r="X708" i="67"/>
  <c r="X98" i="67"/>
  <c r="X1314" i="67" s="1"/>
  <c r="X251" i="67"/>
  <c r="R1162" i="67"/>
  <c r="R1011" i="67"/>
  <c r="R405" i="67"/>
  <c r="R860" i="67"/>
  <c r="R557" i="67"/>
  <c r="R709" i="67"/>
  <c r="R99" i="67"/>
  <c r="R1315" i="67" s="1"/>
  <c r="R252" i="67"/>
  <c r="L1163" i="67"/>
  <c r="L1012" i="67"/>
  <c r="L406" i="67"/>
  <c r="L861" i="67"/>
  <c r="L558" i="67"/>
  <c r="L710" i="67"/>
  <c r="L100" i="67"/>
  <c r="L1316" i="67" s="1"/>
  <c r="L253" i="67"/>
  <c r="AO1152" i="67"/>
  <c r="AO1001" i="67"/>
  <c r="AO395" i="67"/>
  <c r="AO1305" i="67" s="1"/>
  <c r="AO850" i="67"/>
  <c r="AO89" i="67"/>
  <c r="AO242" i="67"/>
  <c r="AO547" i="67"/>
  <c r="AO699" i="67"/>
  <c r="BI48" i="68"/>
  <c r="AI1153" i="67"/>
  <c r="AI1002" i="67"/>
  <c r="AI396" i="67"/>
  <c r="AI851" i="67"/>
  <c r="AI548" i="67"/>
  <c r="AI90" i="67"/>
  <c r="AI700" i="67"/>
  <c r="AI243" i="67"/>
  <c r="AI1306" i="67"/>
  <c r="AI1154" i="67"/>
  <c r="AI1003" i="67"/>
  <c r="AI397" i="67"/>
  <c r="AI701" i="67"/>
  <c r="AI852" i="67"/>
  <c r="AI549" i="67"/>
  <c r="AI91" i="67"/>
  <c r="AI1307" i="67" s="1"/>
  <c r="AI244" i="67"/>
  <c r="AC1155" i="67"/>
  <c r="AC1004" i="67"/>
  <c r="AC398" i="67"/>
  <c r="AC853" i="67"/>
  <c r="AC550" i="67"/>
  <c r="AC702" i="67"/>
  <c r="AC92" i="67"/>
  <c r="AC1308" i="67" s="1"/>
  <c r="AC245" i="67"/>
  <c r="W1156" i="67"/>
  <c r="W1005" i="67"/>
  <c r="W399" i="67"/>
  <c r="W854" i="67"/>
  <c r="W703" i="67"/>
  <c r="W551" i="67"/>
  <c r="W246" i="67"/>
  <c r="W93" i="67"/>
  <c r="Q1157" i="67"/>
  <c r="Q1006" i="67"/>
  <c r="Q400" i="67"/>
  <c r="Q855" i="67"/>
  <c r="Q552" i="67"/>
  <c r="Q704" i="67"/>
  <c r="Q247" i="67"/>
  <c r="Q94" i="67"/>
  <c r="AW1157" i="67"/>
  <c r="AW1006" i="67"/>
  <c r="AW400" i="67"/>
  <c r="AW855" i="67"/>
  <c r="AW552" i="67"/>
  <c r="AW704" i="67"/>
  <c r="AW247" i="67"/>
  <c r="AW94" i="67"/>
  <c r="AQ1009" i="67"/>
  <c r="AQ1160" i="67"/>
  <c r="AQ403" i="67"/>
  <c r="AQ707" i="67"/>
  <c r="AQ858" i="67"/>
  <c r="AQ555" i="67"/>
  <c r="AQ97" i="67"/>
  <c r="AQ1313" i="67" s="1"/>
  <c r="AQ250" i="67"/>
  <c r="AK1010" i="67"/>
  <c r="AK1161" i="67"/>
  <c r="AK404" i="67"/>
  <c r="AK859" i="67"/>
  <c r="AK556" i="67"/>
  <c r="AK708" i="67"/>
  <c r="AK98" i="67"/>
  <c r="AK251" i="67"/>
  <c r="N1152" i="67"/>
  <c r="N1001" i="67"/>
  <c r="N395" i="67"/>
  <c r="N850" i="67"/>
  <c r="N547" i="67"/>
  <c r="N89" i="67"/>
  <c r="N699" i="67"/>
  <c r="N242" i="67"/>
  <c r="AH48" i="68"/>
  <c r="AT1152" i="67"/>
  <c r="AT1001" i="67"/>
  <c r="AT395" i="67"/>
  <c r="AT850" i="67"/>
  <c r="AT547" i="67"/>
  <c r="AT89" i="67"/>
  <c r="AT699" i="67"/>
  <c r="AT242" i="67"/>
  <c r="BN48" i="68"/>
  <c r="AN1153" i="67"/>
  <c r="AN1002" i="67"/>
  <c r="AN396" i="67"/>
  <c r="AN851" i="67"/>
  <c r="AN700" i="67"/>
  <c r="AN548" i="67"/>
  <c r="AN243" i="67"/>
  <c r="AN90" i="67"/>
  <c r="AN1154" i="67"/>
  <c r="AN1003" i="67"/>
  <c r="AN397" i="67"/>
  <c r="AN852" i="67"/>
  <c r="AN549" i="67"/>
  <c r="AN701" i="67"/>
  <c r="AN244" i="67"/>
  <c r="AN91" i="67"/>
  <c r="AN1307" i="67" s="1"/>
  <c r="AH1155" i="67"/>
  <c r="AH1004" i="67"/>
  <c r="AH398" i="67"/>
  <c r="AH550" i="67"/>
  <c r="AH702" i="67"/>
  <c r="AH853" i="67"/>
  <c r="AH92" i="67"/>
  <c r="AH1308" i="67" s="1"/>
  <c r="AH245" i="67"/>
  <c r="AB1156" i="67"/>
  <c r="AB1005" i="67"/>
  <c r="AB399" i="67"/>
  <c r="AB854" i="67"/>
  <c r="AB551" i="67"/>
  <c r="AB703" i="67"/>
  <c r="AB93" i="67"/>
  <c r="AB246" i="67"/>
  <c r="AB1309" i="67"/>
  <c r="V1157" i="67"/>
  <c r="V1006" i="67"/>
  <c r="V400" i="67"/>
  <c r="V855" i="67"/>
  <c r="V552" i="67"/>
  <c r="V704" i="67"/>
  <c r="V247" i="67"/>
  <c r="V94" i="67"/>
  <c r="V1310" i="67" s="1"/>
  <c r="P1009" i="67"/>
  <c r="P1160" i="67"/>
  <c r="P403" i="67"/>
  <c r="P858" i="67"/>
  <c r="P555" i="67"/>
  <c r="P707" i="67"/>
  <c r="P97" i="67"/>
  <c r="P250" i="67"/>
  <c r="AV1009" i="67"/>
  <c r="AV1160" i="67"/>
  <c r="AV403" i="67"/>
  <c r="AV858" i="67"/>
  <c r="AV555" i="67"/>
  <c r="AV707" i="67"/>
  <c r="AV250" i="67"/>
  <c r="AV97" i="67"/>
  <c r="AV1313" i="67" s="1"/>
  <c r="AP1010" i="67"/>
  <c r="AP1161" i="67"/>
  <c r="AP404" i="67"/>
  <c r="AP556" i="67"/>
  <c r="AP708" i="67"/>
  <c r="AP859" i="67"/>
  <c r="AP98" i="67"/>
  <c r="AP1314" i="67" s="1"/>
  <c r="AP251" i="67"/>
  <c r="AJ1011" i="67"/>
  <c r="AJ1162" i="67"/>
  <c r="AJ405" i="67"/>
  <c r="AJ860" i="67"/>
  <c r="AJ99" i="67"/>
  <c r="AJ252" i="67"/>
  <c r="AJ1315" i="67" s="1"/>
  <c r="AJ557" i="67"/>
  <c r="AJ709" i="67"/>
  <c r="Y1154" i="67"/>
  <c r="Y1003" i="67"/>
  <c r="Y397" i="67"/>
  <c r="Y852" i="67"/>
  <c r="Y549" i="67"/>
  <c r="Y701" i="67"/>
  <c r="Y91" i="67"/>
  <c r="Y244" i="67"/>
  <c r="Y1307" i="67"/>
  <c r="AM1157" i="67"/>
  <c r="AM1006" i="67"/>
  <c r="AM400" i="67"/>
  <c r="AM855" i="67"/>
  <c r="AM552" i="67"/>
  <c r="AM704" i="67"/>
  <c r="AM247" i="67"/>
  <c r="AM94" i="67"/>
  <c r="AM1310" i="67" s="1"/>
  <c r="AO1162" i="67"/>
  <c r="AO1011" i="67"/>
  <c r="AO405" i="67"/>
  <c r="AO860" i="67"/>
  <c r="AO557" i="67"/>
  <c r="AO99" i="67"/>
  <c r="AO709" i="67"/>
  <c r="AO252" i="67"/>
  <c r="AM1163" i="67"/>
  <c r="AM1012" i="67"/>
  <c r="AM406" i="67"/>
  <c r="AM861" i="67"/>
  <c r="AM710" i="67"/>
  <c r="AM558" i="67"/>
  <c r="AM100" i="67"/>
  <c r="AM1316" i="67" s="1"/>
  <c r="AM253" i="67"/>
  <c r="W1161" i="67"/>
  <c r="W1010" i="67"/>
  <c r="W404" i="67"/>
  <c r="W859" i="67"/>
  <c r="W556" i="67"/>
  <c r="W708" i="67"/>
  <c r="W98" i="67"/>
  <c r="W1314" i="67" s="1"/>
  <c r="W251" i="67"/>
  <c r="AS1174" i="67"/>
  <c r="AS1023" i="67"/>
  <c r="AS417" i="67"/>
  <c r="AS569" i="67"/>
  <c r="AS872" i="67"/>
  <c r="AS111" i="67"/>
  <c r="AS264" i="67"/>
  <c r="AS721" i="67"/>
  <c r="AA1157" i="67"/>
  <c r="AA1006" i="67"/>
  <c r="AA400" i="67"/>
  <c r="AA855" i="67"/>
  <c r="AA94" i="67"/>
  <c r="AA247" i="67"/>
  <c r="AA552" i="67"/>
  <c r="AA704" i="67"/>
  <c r="AA1310" i="67"/>
  <c r="AI1162" i="67"/>
  <c r="AI1011" i="67"/>
  <c r="AI405" i="67"/>
  <c r="AI860" i="67"/>
  <c r="AI557" i="67"/>
  <c r="AI709" i="67"/>
  <c r="AI99" i="67"/>
  <c r="AI252" i="67"/>
  <c r="AJ1033" i="67"/>
  <c r="AJ1184" i="67"/>
  <c r="AJ427" i="67"/>
  <c r="AJ882" i="67"/>
  <c r="AJ731" i="67"/>
  <c r="AJ579" i="67"/>
  <c r="AJ274" i="67"/>
  <c r="AJ121" i="67"/>
  <c r="AJ1337" i="67" s="1"/>
  <c r="AE1155" i="67"/>
  <c r="AE1004" i="67"/>
  <c r="AE398" i="67"/>
  <c r="AE853" i="67"/>
  <c r="AE550" i="67"/>
  <c r="AE702" i="67"/>
  <c r="AE92" i="67"/>
  <c r="AE1308" i="67" s="1"/>
  <c r="AE245" i="67"/>
  <c r="Z1012" i="67"/>
  <c r="Z1163" i="67"/>
  <c r="Z406" i="67"/>
  <c r="Z861" i="67"/>
  <c r="Z710" i="67"/>
  <c r="Z558" i="67"/>
  <c r="Z253" i="67"/>
  <c r="Z100" i="67"/>
  <c r="AE1157" i="67"/>
  <c r="AE1006" i="67"/>
  <c r="AE400" i="67"/>
  <c r="AE855" i="67"/>
  <c r="AE704" i="67"/>
  <c r="AE552" i="67"/>
  <c r="AE94" i="67"/>
  <c r="AE1310" i="67" s="1"/>
  <c r="AE247" i="67"/>
  <c r="AK1162" i="67"/>
  <c r="AK1011" i="67"/>
  <c r="AK405" i="67"/>
  <c r="AK557" i="67"/>
  <c r="AK709" i="67"/>
  <c r="AK860" i="67"/>
  <c r="AK99" i="67"/>
  <c r="AK252" i="67"/>
  <c r="AK1315" i="67"/>
  <c r="AU1155" i="67"/>
  <c r="AU1004" i="67"/>
  <c r="AU398" i="67"/>
  <c r="AU853" i="67"/>
  <c r="AU550" i="67"/>
  <c r="AU702" i="67"/>
  <c r="AU92" i="67"/>
  <c r="AU245" i="67"/>
  <c r="AU1308" i="67" s="1"/>
  <c r="P1154" i="67"/>
  <c r="P1003" i="67"/>
  <c r="P397" i="67"/>
  <c r="P852" i="67"/>
  <c r="P701" i="67"/>
  <c r="P549" i="67"/>
  <c r="P91" i="67"/>
  <c r="P1307" i="67" s="1"/>
  <c r="P244" i="67"/>
  <c r="AF1152" i="67"/>
  <c r="AF1001" i="67"/>
  <c r="AF395" i="67"/>
  <c r="AF850" i="67"/>
  <c r="AF699" i="67"/>
  <c r="AF547" i="67"/>
  <c r="AF89" i="67"/>
  <c r="AF1305" i="67" s="1"/>
  <c r="AF242" i="67"/>
  <c r="AZ48" i="68"/>
  <c r="Z1153" i="67"/>
  <c r="Z1002" i="67"/>
  <c r="Z396" i="67"/>
  <c r="Z851" i="67"/>
  <c r="Z548" i="67"/>
  <c r="Z700" i="67"/>
  <c r="Z90" i="67"/>
  <c r="Z243" i="67"/>
  <c r="Z1154" i="67"/>
  <c r="Z1003" i="67"/>
  <c r="Z397" i="67"/>
  <c r="Z852" i="67"/>
  <c r="Z549" i="67"/>
  <c r="Z701" i="67"/>
  <c r="Z91" i="67"/>
  <c r="Z244" i="67"/>
  <c r="Z1307" i="67"/>
  <c r="T1155" i="67"/>
  <c r="T1004" i="67"/>
  <c r="T398" i="67"/>
  <c r="T550" i="67"/>
  <c r="T702" i="67"/>
  <c r="T853" i="67"/>
  <c r="T245" i="67"/>
  <c r="T92" i="67"/>
  <c r="T1308" i="67" s="1"/>
  <c r="N1156" i="67"/>
  <c r="N1005" i="67"/>
  <c r="N399" i="67"/>
  <c r="N854" i="67"/>
  <c r="N93" i="67"/>
  <c r="N246" i="67"/>
  <c r="N1309" i="67" s="1"/>
  <c r="N551" i="67"/>
  <c r="N703" i="67"/>
  <c r="AT1156" i="67"/>
  <c r="AT1005" i="67"/>
  <c r="AT399" i="67"/>
  <c r="AT1309" i="67" s="1"/>
  <c r="AT854" i="67"/>
  <c r="AT93" i="67"/>
  <c r="AT246" i="67"/>
  <c r="AT551" i="67"/>
  <c r="AT703" i="67"/>
  <c r="AN1157" i="67"/>
  <c r="AN1006" i="67"/>
  <c r="AN400" i="67"/>
  <c r="AN855" i="67"/>
  <c r="AN552" i="67"/>
  <c r="AN704" i="67"/>
  <c r="AN94" i="67"/>
  <c r="AN1310" i="67" s="1"/>
  <c r="AN247" i="67"/>
  <c r="AH1009" i="67"/>
  <c r="AH1160" i="67"/>
  <c r="AH403" i="67"/>
  <c r="AH858" i="67"/>
  <c r="AH707" i="67"/>
  <c r="AH555" i="67"/>
  <c r="AH97" i="67"/>
  <c r="AH250" i="67"/>
  <c r="AH1313" i="67"/>
  <c r="AB1010" i="67"/>
  <c r="AB1161" i="67"/>
  <c r="AB404" i="67"/>
  <c r="AB556" i="67"/>
  <c r="AB708" i="67"/>
  <c r="AB859" i="67"/>
  <c r="AB251" i="67"/>
  <c r="AB98" i="67"/>
  <c r="AB1314" i="67" s="1"/>
  <c r="V1011" i="67"/>
  <c r="V1162" i="67"/>
  <c r="V405" i="67"/>
  <c r="V860" i="67"/>
  <c r="V557" i="67"/>
  <c r="V709" i="67"/>
  <c r="V99" i="67"/>
  <c r="V252" i="67"/>
  <c r="V1315" i="67" s="1"/>
  <c r="M1152" i="67"/>
  <c r="M1001" i="67"/>
  <c r="M395" i="67"/>
  <c r="M699" i="67"/>
  <c r="M850" i="67"/>
  <c r="M547" i="67"/>
  <c r="M89" i="67"/>
  <c r="M1305" i="67" s="1"/>
  <c r="M242" i="67"/>
  <c r="AG48" i="68"/>
  <c r="AS1152" i="67"/>
  <c r="AS1001" i="67"/>
  <c r="AS395" i="67"/>
  <c r="AS699" i="67"/>
  <c r="AS850" i="67"/>
  <c r="AS547" i="67"/>
  <c r="AS89" i="67"/>
  <c r="AS1305" i="67" s="1"/>
  <c r="AS242" i="67"/>
  <c r="BM48" i="68"/>
  <c r="AM1153" i="67"/>
  <c r="AM1002" i="67"/>
  <c r="AM396" i="67"/>
  <c r="AM851" i="67"/>
  <c r="AM700" i="67"/>
  <c r="AM548" i="67"/>
  <c r="AM243" i="67"/>
  <c r="AM1306" i="67" s="1"/>
  <c r="AM90" i="67"/>
  <c r="AM1024" i="67"/>
  <c r="AM1175" i="67"/>
  <c r="AM418" i="67"/>
  <c r="AM570" i="67"/>
  <c r="AM873" i="67"/>
  <c r="AM112" i="67"/>
  <c r="AM1328" i="67" s="1"/>
  <c r="AM722" i="67"/>
  <c r="AM265" i="67"/>
  <c r="AG1025" i="67"/>
  <c r="AG1176" i="67"/>
  <c r="AG419" i="67"/>
  <c r="AG874" i="67"/>
  <c r="AG571" i="67"/>
  <c r="AG266" i="67"/>
  <c r="AG723" i="67"/>
  <c r="AG113" i="67"/>
  <c r="AA1026" i="67"/>
  <c r="AA1177" i="67"/>
  <c r="AA420" i="67"/>
  <c r="AA572" i="67"/>
  <c r="AA875" i="67"/>
  <c r="AA114" i="67"/>
  <c r="AA267" i="67"/>
  <c r="AA724" i="67"/>
  <c r="AA1330" i="67"/>
  <c r="U1027" i="67"/>
  <c r="U1178" i="67"/>
  <c r="U421" i="67"/>
  <c r="U876" i="67"/>
  <c r="U573" i="67"/>
  <c r="U115" i="67"/>
  <c r="U268" i="67"/>
  <c r="U725" i="67"/>
  <c r="O1160" i="67"/>
  <c r="O1009" i="67"/>
  <c r="O403" i="67"/>
  <c r="O858" i="67"/>
  <c r="O555" i="67"/>
  <c r="O707" i="67"/>
  <c r="O97" i="67"/>
  <c r="O250" i="67"/>
  <c r="AU1160" i="67"/>
  <c r="AU1009" i="67"/>
  <c r="AU403" i="67"/>
  <c r="AU858" i="67"/>
  <c r="AU555" i="67"/>
  <c r="AU707" i="67"/>
  <c r="AU97" i="67"/>
  <c r="AU250" i="67"/>
  <c r="AO1161" i="67"/>
  <c r="AO1010" i="67"/>
  <c r="AO404" i="67"/>
  <c r="AO859" i="67"/>
  <c r="AO556" i="67"/>
  <c r="AO708" i="67"/>
  <c r="AO98" i="67"/>
  <c r="AO251" i="67"/>
  <c r="R1001" i="67"/>
  <c r="R1152" i="67"/>
  <c r="R395" i="67"/>
  <c r="R850" i="67"/>
  <c r="R547" i="67"/>
  <c r="R699" i="67"/>
  <c r="R89" i="67"/>
  <c r="R242" i="67"/>
  <c r="AL48" i="68"/>
  <c r="L1002" i="67"/>
  <c r="L1153" i="67"/>
  <c r="L396" i="67"/>
  <c r="L851" i="67"/>
  <c r="L90" i="67"/>
  <c r="L243" i="67"/>
  <c r="L1306" i="67" s="1"/>
  <c r="L548" i="67"/>
  <c r="L700" i="67"/>
  <c r="AR1002" i="67"/>
  <c r="AR1153" i="67"/>
  <c r="AR396" i="67"/>
  <c r="AR851" i="67"/>
  <c r="AR90" i="67"/>
  <c r="AR243" i="67"/>
  <c r="AR1306" i="67" s="1"/>
  <c r="AR548" i="67"/>
  <c r="AR700" i="67"/>
  <c r="AR1154" i="67"/>
  <c r="AR1003" i="67"/>
  <c r="AR397" i="67"/>
  <c r="AR852" i="67"/>
  <c r="AR549" i="67"/>
  <c r="AR91" i="67"/>
  <c r="AR701" i="67"/>
  <c r="AR244" i="67"/>
  <c r="AR1307" i="67"/>
  <c r="AL1155" i="67"/>
  <c r="AL1004" i="67"/>
  <c r="AL398" i="67"/>
  <c r="AL853" i="67"/>
  <c r="AL702" i="67"/>
  <c r="AL550" i="67"/>
  <c r="AL92" i="67"/>
  <c r="AL245" i="67"/>
  <c r="AF1156" i="67"/>
  <c r="AF1005" i="67"/>
  <c r="AF399" i="67"/>
  <c r="AF854" i="67"/>
  <c r="AF703" i="67"/>
  <c r="AF551" i="67"/>
  <c r="AF93" i="67"/>
  <c r="AF246" i="67"/>
  <c r="Z1157" i="67"/>
  <c r="Z1006" i="67"/>
  <c r="Z400" i="67"/>
  <c r="Z1310" i="67" s="1"/>
  <c r="Z855" i="67"/>
  <c r="Z94" i="67"/>
  <c r="Z247" i="67"/>
  <c r="Z552" i="67"/>
  <c r="Z704" i="67"/>
  <c r="T1009" i="67"/>
  <c r="T1160" i="67"/>
  <c r="T403" i="67"/>
  <c r="T858" i="67"/>
  <c r="T97" i="67"/>
  <c r="T250" i="67"/>
  <c r="T1313" i="67" s="1"/>
  <c r="T555" i="67"/>
  <c r="T707" i="67"/>
  <c r="N1010" i="67"/>
  <c r="N1161" i="67"/>
  <c r="N404" i="67"/>
  <c r="N859" i="67"/>
  <c r="N556" i="67"/>
  <c r="N708" i="67"/>
  <c r="N98" i="67"/>
  <c r="N251" i="67"/>
  <c r="AT1010" i="67"/>
  <c r="AT1161" i="67"/>
  <c r="AT404" i="67"/>
  <c r="AT859" i="67"/>
  <c r="AT556" i="67"/>
  <c r="AT708" i="67"/>
  <c r="AT98" i="67"/>
  <c r="AT251" i="67"/>
  <c r="AN1011" i="67"/>
  <c r="AN1162" i="67"/>
  <c r="AN405" i="67"/>
  <c r="AN860" i="67"/>
  <c r="AN709" i="67"/>
  <c r="AN557" i="67"/>
  <c r="AN99" i="67"/>
  <c r="AN252" i="67"/>
  <c r="AO1154" i="67"/>
  <c r="AO1003" i="67"/>
  <c r="AO397" i="67"/>
  <c r="AO549" i="67"/>
  <c r="AO701" i="67"/>
  <c r="AO852" i="67"/>
  <c r="AO1307" i="67" s="1"/>
  <c r="AO91" i="67"/>
  <c r="AO244" i="67"/>
  <c r="Q1160" i="67"/>
  <c r="Q1009" i="67"/>
  <c r="Q403" i="67"/>
  <c r="Q555" i="67"/>
  <c r="Q707" i="67"/>
  <c r="Q858" i="67"/>
  <c r="Q97" i="67"/>
  <c r="Q250" i="67"/>
  <c r="Q1313" i="67"/>
  <c r="AV1011" i="67"/>
  <c r="AV1162" i="67"/>
  <c r="AV405" i="67"/>
  <c r="AV860" i="67"/>
  <c r="AV557" i="67"/>
  <c r="AV709" i="67"/>
  <c r="AV99" i="67"/>
  <c r="AV252" i="67"/>
  <c r="AQ1163" i="67"/>
  <c r="AQ1012" i="67"/>
  <c r="AQ406" i="67"/>
  <c r="AQ861" i="67"/>
  <c r="AQ710" i="67"/>
  <c r="AQ558" i="67"/>
  <c r="AQ253" i="67"/>
  <c r="AQ100" i="67"/>
  <c r="AQ1316" i="67" s="1"/>
  <c r="R1012" i="67"/>
  <c r="R1163" i="67"/>
  <c r="R406" i="67"/>
  <c r="R861" i="67"/>
  <c r="R558" i="67"/>
  <c r="R710" i="67"/>
  <c r="R100" i="67"/>
  <c r="R1316" i="67" s="1"/>
  <c r="R253" i="67"/>
  <c r="AC1154" i="67"/>
  <c r="AC1003" i="67"/>
  <c r="AC397" i="67"/>
  <c r="AC852" i="67"/>
  <c r="AC701" i="67"/>
  <c r="AC549" i="67"/>
  <c r="AC91" i="67"/>
  <c r="AC1307" i="67" s="1"/>
  <c r="AC244" i="67"/>
  <c r="AQ1157" i="67"/>
  <c r="AQ1006" i="67"/>
  <c r="AQ400" i="67"/>
  <c r="AQ855" i="67"/>
  <c r="AQ94" i="67"/>
  <c r="AQ247" i="67"/>
  <c r="AQ1310" i="67" s="1"/>
  <c r="AQ552" i="67"/>
  <c r="AQ704" i="67"/>
  <c r="AQ1162" i="67"/>
  <c r="AQ1011" i="67"/>
  <c r="AQ405" i="67"/>
  <c r="AQ860" i="67"/>
  <c r="AQ99" i="67"/>
  <c r="AQ252" i="67"/>
  <c r="AQ1315" i="67" s="1"/>
  <c r="AQ557" i="67"/>
  <c r="AQ709" i="67"/>
  <c r="AN1012" i="67"/>
  <c r="AN1163" i="67"/>
  <c r="AN406" i="67"/>
  <c r="AN861" i="67"/>
  <c r="AN710" i="67"/>
  <c r="AN558" i="67"/>
  <c r="AN100" i="67"/>
  <c r="AN253" i="67"/>
  <c r="AN1316" i="67"/>
  <c r="Y1156" i="67"/>
  <c r="Y1005" i="67"/>
  <c r="Y399" i="67"/>
  <c r="Y854" i="67"/>
  <c r="Y703" i="67"/>
  <c r="Y551" i="67"/>
  <c r="Y93" i="67"/>
  <c r="Y1309" i="67" s="1"/>
  <c r="Y246" i="67"/>
  <c r="AH1012" i="67"/>
  <c r="AH1163" i="67"/>
  <c r="AH406" i="67"/>
  <c r="AH861" i="67"/>
  <c r="AH558" i="67"/>
  <c r="AH710" i="67"/>
  <c r="AH100" i="67"/>
  <c r="AH1316" i="67" s="1"/>
  <c r="AH253" i="67"/>
  <c r="AG1154" i="67"/>
  <c r="AG1003" i="67"/>
  <c r="AG397" i="67"/>
  <c r="AG852" i="67"/>
  <c r="AG701" i="67"/>
  <c r="AG549" i="67"/>
  <c r="AG244" i="67"/>
  <c r="AG91" i="67"/>
  <c r="AU1157" i="67"/>
  <c r="AU1006" i="67"/>
  <c r="AU400" i="67"/>
  <c r="AU855" i="67"/>
  <c r="AU704" i="67"/>
  <c r="AU552" i="67"/>
  <c r="AU94" i="67"/>
  <c r="AU1310" i="67" s="1"/>
  <c r="AU247" i="67"/>
  <c r="AS1162" i="67"/>
  <c r="AS1011" i="67"/>
  <c r="AS405" i="67"/>
  <c r="AS709" i="67"/>
  <c r="AS860" i="67"/>
  <c r="AS557" i="67"/>
  <c r="AS252" i="67"/>
  <c r="AS99" i="67"/>
  <c r="AO1012" i="67"/>
  <c r="AO1163" i="67"/>
  <c r="AO406" i="67"/>
  <c r="AO861" i="67"/>
  <c r="AO558" i="67"/>
  <c r="AO710" i="67"/>
  <c r="AO100" i="67"/>
  <c r="AO1316" i="67" s="1"/>
  <c r="AO253" i="67"/>
  <c r="AO1156" i="67"/>
  <c r="AO1005" i="67"/>
  <c r="AO399" i="67"/>
  <c r="AO854" i="67"/>
  <c r="AO551" i="67"/>
  <c r="AO703" i="67"/>
  <c r="AO93" i="67"/>
  <c r="AO1309" i="67" s="1"/>
  <c r="AO246" i="67"/>
  <c r="AP1012" i="67"/>
  <c r="AP1163" i="67"/>
  <c r="AP406" i="67"/>
  <c r="AP861" i="67"/>
  <c r="AP710" i="67"/>
  <c r="AP558" i="67"/>
  <c r="AP100" i="67"/>
  <c r="AP1316" i="67" s="1"/>
  <c r="AP253" i="67"/>
  <c r="Q1154" i="67"/>
  <c r="Q1003" i="67"/>
  <c r="Q397" i="67"/>
  <c r="Q701" i="67"/>
  <c r="Q852" i="67"/>
  <c r="Q549" i="67"/>
  <c r="Q244" i="67"/>
  <c r="Q91" i="67"/>
  <c r="AJ1152" i="67"/>
  <c r="AJ1001" i="67"/>
  <c r="AJ395" i="67"/>
  <c r="AJ850" i="67"/>
  <c r="AJ547" i="67"/>
  <c r="AJ699" i="67"/>
  <c r="BD48" i="68"/>
  <c r="AJ89" i="67"/>
  <c r="AJ242" i="67"/>
  <c r="AJ1305" i="67"/>
  <c r="AD1153" i="67"/>
  <c r="AD1002" i="67"/>
  <c r="AD396" i="67"/>
  <c r="AD548" i="67"/>
  <c r="AD700" i="67"/>
  <c r="AD851" i="67"/>
  <c r="AD243" i="67"/>
  <c r="AD90" i="67"/>
  <c r="AD1306" i="67" s="1"/>
  <c r="AD1003" i="67"/>
  <c r="AD1154" i="67"/>
  <c r="AD397" i="67"/>
  <c r="AD852" i="67"/>
  <c r="AD701" i="67"/>
  <c r="AD549" i="67"/>
  <c r="AD244" i="67"/>
  <c r="AD91" i="67"/>
  <c r="AD1307" i="67" s="1"/>
  <c r="X1004" i="67"/>
  <c r="X1155" i="67"/>
  <c r="X398" i="67"/>
  <c r="X1308" i="67" s="1"/>
  <c r="X853" i="67"/>
  <c r="X92" i="67"/>
  <c r="X245" i="67"/>
  <c r="X550" i="67"/>
  <c r="X702" i="67"/>
  <c r="R1005" i="67"/>
  <c r="R1156" i="67"/>
  <c r="R399" i="67"/>
  <c r="R854" i="67"/>
  <c r="R703" i="67"/>
  <c r="R551" i="67"/>
  <c r="R93" i="67"/>
  <c r="R1309" i="67" s="1"/>
  <c r="R246" i="67"/>
  <c r="L1006" i="67"/>
  <c r="L1157" i="67"/>
  <c r="L400" i="67"/>
  <c r="L855" i="67"/>
  <c r="L552" i="67"/>
  <c r="L704" i="67"/>
  <c r="L94" i="67"/>
  <c r="L1310" i="67" s="1"/>
  <c r="L247" i="67"/>
  <c r="AR1006" i="67"/>
  <c r="AR1157" i="67"/>
  <c r="AR400" i="67"/>
  <c r="AR855" i="67"/>
  <c r="AR552" i="67"/>
  <c r="AR704" i="67"/>
  <c r="AR94" i="67"/>
  <c r="AR1310" i="67" s="1"/>
  <c r="AR247" i="67"/>
  <c r="AL1160" i="67"/>
  <c r="AL1009" i="67"/>
  <c r="AL403" i="67"/>
  <c r="AL858" i="67"/>
  <c r="AL707" i="67"/>
  <c r="AL555" i="67"/>
  <c r="AL250" i="67"/>
  <c r="AL97" i="67"/>
  <c r="AF1161" i="67"/>
  <c r="AF1010" i="67"/>
  <c r="AF404" i="67"/>
  <c r="AF859" i="67"/>
  <c r="AF98" i="67"/>
  <c r="AF251" i="67"/>
  <c r="AF1314" i="67" s="1"/>
  <c r="AF556" i="67"/>
  <c r="AF708" i="67"/>
  <c r="Z1162" i="67"/>
  <c r="Z1011" i="67"/>
  <c r="Z405" i="67"/>
  <c r="Z860" i="67"/>
  <c r="Z709" i="67"/>
  <c r="Z557" i="67"/>
  <c r="Z1315" i="67" s="1"/>
  <c r="Z99" i="67"/>
  <c r="Z252" i="67"/>
  <c r="Q1152" i="67"/>
  <c r="Q1001" i="67"/>
  <c r="Q395" i="67"/>
  <c r="Q850" i="67"/>
  <c r="Q547" i="67"/>
  <c r="Q699" i="67"/>
  <c r="Q89" i="67"/>
  <c r="Q242" i="67"/>
  <c r="AK48" i="68"/>
  <c r="AW1152" i="67"/>
  <c r="AW1001" i="67"/>
  <c r="AW395" i="67"/>
  <c r="AW850" i="67"/>
  <c r="AW547" i="67"/>
  <c r="AW699" i="67"/>
  <c r="AW89" i="67"/>
  <c r="AW242" i="67"/>
  <c r="BQ48" i="68"/>
  <c r="AQ1153" i="67"/>
  <c r="AQ1002" i="67"/>
  <c r="AQ396" i="67"/>
  <c r="AQ851" i="67"/>
  <c r="AQ548" i="67"/>
  <c r="AQ90" i="67"/>
  <c r="AQ1306" i="67" s="1"/>
  <c r="AQ700" i="67"/>
  <c r="AQ243" i="67"/>
  <c r="AQ1024" i="67"/>
  <c r="AQ1175" i="67"/>
  <c r="AQ418" i="67"/>
  <c r="AQ873" i="67"/>
  <c r="AQ570" i="67"/>
  <c r="AQ112" i="67"/>
  <c r="AQ1328" i="67" s="1"/>
  <c r="AQ265" i="67"/>
  <c r="AQ722" i="67"/>
  <c r="AK1025" i="67"/>
  <c r="AK1176" i="67"/>
  <c r="AK419" i="67"/>
  <c r="AK571" i="67"/>
  <c r="AK874" i="67"/>
  <c r="AK113" i="67"/>
  <c r="AK266" i="67"/>
  <c r="AK723" i="67"/>
  <c r="AK1329" i="67"/>
  <c r="AE1026" i="67"/>
  <c r="AE1177" i="67"/>
  <c r="AE420" i="67"/>
  <c r="AE875" i="67"/>
  <c r="AE572" i="67"/>
  <c r="AE114" i="67"/>
  <c r="AE267" i="67"/>
  <c r="AE724" i="67"/>
  <c r="Y1027" i="67"/>
  <c r="Y1178" i="67"/>
  <c r="Y421" i="67"/>
  <c r="Y876" i="67"/>
  <c r="Y573" i="67"/>
  <c r="Y115" i="67"/>
  <c r="Y1331" i="67" s="1"/>
  <c r="Y268" i="67"/>
  <c r="Y725" i="67"/>
  <c r="S1009" i="67"/>
  <c r="S1160" i="67"/>
  <c r="S403" i="67"/>
  <c r="S858" i="67"/>
  <c r="S555" i="67"/>
  <c r="S707" i="67"/>
  <c r="S250" i="67"/>
  <c r="S97" i="67"/>
  <c r="M1010" i="67"/>
  <c r="M1161" i="67"/>
  <c r="M404" i="67"/>
  <c r="M859" i="67"/>
  <c r="M98" i="67"/>
  <c r="M251" i="67"/>
  <c r="M1314" i="67" s="1"/>
  <c r="M556" i="67"/>
  <c r="M708" i="67"/>
  <c r="AS1010" i="67"/>
  <c r="AS1161" i="67"/>
  <c r="AS404" i="67"/>
  <c r="AS859" i="67"/>
  <c r="AS98" i="67"/>
  <c r="AS251" i="67"/>
  <c r="AS1314" i="67" s="1"/>
  <c r="AS556" i="67"/>
  <c r="AS708" i="67"/>
  <c r="V1152" i="67"/>
  <c r="V1001" i="67"/>
  <c r="V395" i="67"/>
  <c r="V850" i="67"/>
  <c r="V547" i="67"/>
  <c r="V89" i="67"/>
  <c r="V699" i="67"/>
  <c r="V242" i="67"/>
  <c r="V1305" i="67" s="1"/>
  <c r="AP48" i="68"/>
  <c r="P1153" i="67"/>
  <c r="P1002" i="67"/>
  <c r="P396" i="67"/>
  <c r="P548" i="67"/>
  <c r="P700" i="67"/>
  <c r="P851" i="67"/>
  <c r="P90" i="67"/>
  <c r="P1306" i="67" s="1"/>
  <c r="P243" i="67"/>
  <c r="AV1153" i="67"/>
  <c r="AV1002" i="67"/>
  <c r="AV396" i="67"/>
  <c r="AV548" i="67"/>
  <c r="AV700" i="67"/>
  <c r="AV851" i="67"/>
  <c r="AV1306" i="67" s="1"/>
  <c r="AV90" i="67"/>
  <c r="AV243" i="67"/>
  <c r="AV1154" i="67"/>
  <c r="AV1003" i="67"/>
  <c r="AV397" i="67"/>
  <c r="AV852" i="67"/>
  <c r="AV701" i="67"/>
  <c r="AV549" i="67"/>
  <c r="AV91" i="67"/>
  <c r="AV244" i="67"/>
  <c r="AV1307" i="67"/>
  <c r="AP1155" i="67"/>
  <c r="AP1004" i="67"/>
  <c r="AP398" i="67"/>
  <c r="AP702" i="67"/>
  <c r="AP853" i="67"/>
  <c r="AP550" i="67"/>
  <c r="AP245" i="67"/>
  <c r="AP92" i="67"/>
  <c r="AP1308" i="67" s="1"/>
  <c r="AJ1156" i="67"/>
  <c r="AJ1005" i="67"/>
  <c r="AJ399" i="67"/>
  <c r="AJ854" i="67"/>
  <c r="AJ703" i="67"/>
  <c r="AJ551" i="67"/>
  <c r="AJ246" i="67"/>
  <c r="AJ93" i="67"/>
  <c r="AJ1309" i="67" s="1"/>
  <c r="AD1157" i="67"/>
  <c r="AD1006" i="67"/>
  <c r="AD400" i="67"/>
  <c r="AD855" i="67"/>
  <c r="AD704" i="67"/>
  <c r="AD552" i="67"/>
  <c r="AD94" i="67"/>
  <c r="AD1310" i="67" s="1"/>
  <c r="AD247" i="67"/>
  <c r="X1009" i="67"/>
  <c r="X1160" i="67"/>
  <c r="X403" i="67"/>
  <c r="X858" i="67"/>
  <c r="X707" i="67"/>
  <c r="X555" i="67"/>
  <c r="X97" i="67"/>
  <c r="X1313" i="67" s="1"/>
  <c r="X250" i="67"/>
  <c r="R1010" i="67"/>
  <c r="R1161" i="67"/>
  <c r="R404" i="67"/>
  <c r="R708" i="67"/>
  <c r="R859" i="67"/>
  <c r="R556" i="67"/>
  <c r="R251" i="67"/>
  <c r="R98" i="67"/>
  <c r="L1011" i="67"/>
  <c r="L1162" i="67"/>
  <c r="L405" i="67"/>
  <c r="L860" i="67"/>
  <c r="L557" i="67"/>
  <c r="L709" i="67"/>
  <c r="L99" i="67"/>
  <c r="L252" i="67"/>
  <c r="AR1011" i="67"/>
  <c r="AR1162" i="67"/>
  <c r="AR405" i="67"/>
  <c r="AR860" i="67"/>
  <c r="AR557" i="67"/>
  <c r="AR709" i="67"/>
  <c r="AR99" i="67"/>
  <c r="AR252" i="67"/>
  <c r="S1155" i="67"/>
  <c r="S1004" i="67"/>
  <c r="S398" i="67"/>
  <c r="S853" i="67"/>
  <c r="S550" i="67"/>
  <c r="S702" i="67"/>
  <c r="S1308" i="67" s="1"/>
  <c r="S92" i="67"/>
  <c r="S245" i="67"/>
  <c r="AG1160" i="67"/>
  <c r="AG1009" i="67"/>
  <c r="AG403" i="67"/>
  <c r="AG858" i="67"/>
  <c r="AG555" i="67"/>
  <c r="AG707" i="67"/>
  <c r="AG97" i="67"/>
  <c r="AG250" i="67"/>
  <c r="AG1313" i="67"/>
  <c r="O1163" i="67"/>
  <c r="O1012" i="67"/>
  <c r="O406" i="67"/>
  <c r="O861" i="67"/>
  <c r="O558" i="67"/>
  <c r="O710" i="67"/>
  <c r="O100" i="67"/>
  <c r="O1316" i="67" s="1"/>
  <c r="O253" i="67"/>
  <c r="AU1163" i="67"/>
  <c r="AU1012" i="67"/>
  <c r="AU406" i="67"/>
  <c r="AU861" i="67"/>
  <c r="AU558" i="67"/>
  <c r="AU710" i="67"/>
  <c r="AU100" i="67"/>
  <c r="AU1316" i="67" s="1"/>
  <c r="AU253" i="67"/>
  <c r="AL1012" i="67"/>
  <c r="AL1163" i="67"/>
  <c r="AL406" i="67"/>
  <c r="AL861" i="67"/>
  <c r="AL710" i="67"/>
  <c r="AL558" i="67"/>
  <c r="AL253" i="67"/>
  <c r="AL100" i="67"/>
  <c r="AS1154" i="67"/>
  <c r="AS1003" i="67"/>
  <c r="AS397" i="67"/>
  <c r="AS852" i="67"/>
  <c r="AS701" i="67"/>
  <c r="AS549" i="67"/>
  <c r="AS1307" i="67" s="1"/>
  <c r="AS91" i="67"/>
  <c r="AS244" i="67"/>
  <c r="U1160" i="67"/>
  <c r="U1009" i="67"/>
  <c r="U403" i="67"/>
  <c r="U858" i="67"/>
  <c r="U555" i="67"/>
  <c r="U707" i="67"/>
  <c r="U97" i="67"/>
  <c r="U250" i="67"/>
  <c r="AW1162" i="67"/>
  <c r="AW1011" i="67"/>
  <c r="AW405" i="67"/>
  <c r="AW860" i="67"/>
  <c r="AW709" i="67"/>
  <c r="AW557" i="67"/>
  <c r="AW99" i="67"/>
  <c r="AW252" i="67"/>
  <c r="AW1315" i="67"/>
  <c r="AV1184" i="67"/>
  <c r="AV1033" i="67"/>
  <c r="AV427" i="67"/>
  <c r="AV882" i="67"/>
  <c r="AV579" i="67"/>
  <c r="AV121" i="67"/>
  <c r="AV1337" i="67" s="1"/>
  <c r="AV731" i="67"/>
  <c r="AV274" i="67"/>
  <c r="S1157" i="67"/>
  <c r="S1006" i="67"/>
  <c r="S400" i="67"/>
  <c r="S855" i="67"/>
  <c r="S552" i="67"/>
  <c r="S704" i="67"/>
  <c r="S94" i="67"/>
  <c r="S1310" i="67" s="1"/>
  <c r="S247" i="67"/>
  <c r="AT1012" i="67"/>
  <c r="AT1163" i="67"/>
  <c r="AT406" i="67"/>
  <c r="AT861" i="67"/>
  <c r="AT558" i="67"/>
  <c r="AT710" i="67"/>
  <c r="AT100" i="67"/>
  <c r="AT1316" i="67" s="1"/>
  <c r="AT253" i="67"/>
  <c r="AW1154" i="67"/>
  <c r="AW1003" i="67"/>
  <c r="AW397" i="67"/>
  <c r="AW701" i="67"/>
  <c r="AW852" i="67"/>
  <c r="AW549" i="67"/>
  <c r="AW244" i="67"/>
  <c r="AW91" i="67"/>
  <c r="Y1160" i="67"/>
  <c r="Y1009" i="67"/>
  <c r="Y403" i="67"/>
  <c r="Y707" i="67"/>
  <c r="Y858" i="67"/>
  <c r="Y555" i="67"/>
  <c r="Y250" i="67"/>
  <c r="Y97" i="67"/>
  <c r="M1163" i="67"/>
  <c r="M1012" i="67"/>
  <c r="M406" i="67"/>
  <c r="M861" i="67"/>
  <c r="M100" i="67"/>
  <c r="M253" i="67"/>
  <c r="M1316" i="67" s="1"/>
  <c r="M558" i="67"/>
  <c r="M710" i="67"/>
  <c r="AS1163" i="67"/>
  <c r="AS1012" i="67"/>
  <c r="AS406" i="67"/>
  <c r="AS861" i="67"/>
  <c r="AS100" i="67"/>
  <c r="AS253" i="67"/>
  <c r="AS558" i="67"/>
  <c r="AS710" i="67"/>
  <c r="AS1316" i="67"/>
  <c r="AI1157" i="67"/>
  <c r="AI1006" i="67"/>
  <c r="AI400" i="67"/>
  <c r="AI855" i="67"/>
  <c r="AI552" i="67"/>
  <c r="AI704" i="67"/>
  <c r="AI94" i="67"/>
  <c r="AI247" i="67"/>
  <c r="K1006" i="67"/>
  <c r="K1157" i="67"/>
  <c r="K400" i="67"/>
  <c r="K855" i="67"/>
  <c r="K552" i="67"/>
  <c r="K704" i="67"/>
  <c r="K94" i="67"/>
  <c r="K247" i="67"/>
  <c r="K1160" i="67"/>
  <c r="K1009" i="67"/>
  <c r="K403" i="67"/>
  <c r="K707" i="67"/>
  <c r="K858" i="67"/>
  <c r="K555" i="67"/>
  <c r="K97" i="67"/>
  <c r="K1313" i="67" s="1"/>
  <c r="K250" i="67"/>
  <c r="M1024" i="67"/>
  <c r="M1175" i="67"/>
  <c r="M418" i="67"/>
  <c r="M873" i="67"/>
  <c r="M570" i="67"/>
  <c r="M112" i="67"/>
  <c r="M1328" i="67" s="1"/>
  <c r="M265" i="67"/>
  <c r="M722" i="67"/>
  <c r="AB1025" i="67"/>
  <c r="AB1176" i="67"/>
  <c r="AB419" i="67"/>
  <c r="AB571" i="67"/>
  <c r="AB874" i="67"/>
  <c r="AB113" i="67"/>
  <c r="AB1329" i="67" s="1"/>
  <c r="AB266" i="67"/>
  <c r="AB723" i="67"/>
  <c r="P1027" i="67"/>
  <c r="P1178" i="67"/>
  <c r="P421" i="67"/>
  <c r="P573" i="67"/>
  <c r="P876" i="67"/>
  <c r="P115" i="67"/>
  <c r="P1331" i="67" s="1"/>
  <c r="P268" i="67"/>
  <c r="P725" i="67"/>
  <c r="AP1030" i="67"/>
  <c r="AP1181" i="67"/>
  <c r="AP424" i="67"/>
  <c r="AP576" i="67"/>
  <c r="AP879" i="67"/>
  <c r="AP118" i="67"/>
  <c r="AP271" i="67"/>
  <c r="AP728" i="67"/>
  <c r="AP1334" i="67"/>
  <c r="AJ1182" i="67"/>
  <c r="AJ1031" i="67"/>
  <c r="AJ425" i="67"/>
  <c r="AJ577" i="67"/>
  <c r="AJ880" i="67"/>
  <c r="AJ119" i="67"/>
  <c r="AJ272" i="67"/>
  <c r="AJ729" i="67"/>
  <c r="U1173" i="67"/>
  <c r="U1022" i="67"/>
  <c r="U416" i="67"/>
  <c r="U871" i="67"/>
  <c r="U568" i="67"/>
  <c r="U110" i="67"/>
  <c r="U1326" i="67" s="1"/>
  <c r="U263" i="67"/>
  <c r="U720" i="67"/>
  <c r="O1174" i="67"/>
  <c r="O1023" i="67"/>
  <c r="O417" i="67"/>
  <c r="O872" i="67"/>
  <c r="O569" i="67"/>
  <c r="O264" i="67"/>
  <c r="O721" i="67"/>
  <c r="O111" i="67"/>
  <c r="AU1174" i="67"/>
  <c r="AU1023" i="67"/>
  <c r="AU417" i="67"/>
  <c r="AU872" i="67"/>
  <c r="AU569" i="67"/>
  <c r="AU264" i="67"/>
  <c r="AU721" i="67"/>
  <c r="AU111" i="67"/>
  <c r="AU1003" i="67"/>
  <c r="AU1154" i="67"/>
  <c r="AU397" i="67"/>
  <c r="AU852" i="67"/>
  <c r="AU91" i="67"/>
  <c r="AU244" i="67"/>
  <c r="AU1307" i="67" s="1"/>
  <c r="AU549" i="67"/>
  <c r="AU701" i="67"/>
  <c r="AO1004" i="67"/>
  <c r="AO1155" i="67"/>
  <c r="AO398" i="67"/>
  <c r="AO853" i="67"/>
  <c r="AO702" i="67"/>
  <c r="AO550" i="67"/>
  <c r="AO1308" i="67" s="1"/>
  <c r="AO245" i="67"/>
  <c r="AO92" i="67"/>
  <c r="AI1005" i="67"/>
  <c r="AI1156" i="67"/>
  <c r="AI399" i="67"/>
  <c r="AI854" i="67"/>
  <c r="AI551" i="67"/>
  <c r="AI703" i="67"/>
  <c r="AI93" i="67"/>
  <c r="AI246" i="67"/>
  <c r="AC1006" i="67"/>
  <c r="AC1157" i="67"/>
  <c r="AC400" i="67"/>
  <c r="AC855" i="67"/>
  <c r="AC704" i="67"/>
  <c r="AC552" i="67"/>
  <c r="AC247" i="67"/>
  <c r="AC94" i="67"/>
  <c r="W1160" i="67"/>
  <c r="W1009" i="67"/>
  <c r="W403" i="67"/>
  <c r="W858" i="67"/>
  <c r="W97" i="67"/>
  <c r="W250" i="67"/>
  <c r="W555" i="67"/>
  <c r="W707" i="67"/>
  <c r="W1313" i="67"/>
  <c r="Q1031" i="67"/>
  <c r="Q1182" i="67"/>
  <c r="Q425" i="67"/>
  <c r="Q577" i="67"/>
  <c r="Q880" i="67"/>
  <c r="Q729" i="67"/>
  <c r="Q119" i="67"/>
  <c r="Q1335" i="67" s="1"/>
  <c r="Q272" i="67"/>
  <c r="AW1161" i="67"/>
  <c r="AW1010" i="67"/>
  <c r="AW404" i="67"/>
  <c r="AW859" i="67"/>
  <c r="AW708" i="67"/>
  <c r="AW556" i="67"/>
  <c r="AW98" i="67"/>
  <c r="AW251" i="67"/>
  <c r="Z1022" i="67"/>
  <c r="Z1173" i="67"/>
  <c r="Z416" i="67"/>
  <c r="Z568" i="67"/>
  <c r="Z871" i="67"/>
  <c r="Z720" i="67"/>
  <c r="Z110" i="67"/>
  <c r="Z1326" i="67" s="1"/>
  <c r="Z263" i="67"/>
  <c r="T1023" i="67"/>
  <c r="T1174" i="67"/>
  <c r="T417" i="67"/>
  <c r="T872" i="67"/>
  <c r="T569" i="67"/>
  <c r="T111" i="67"/>
  <c r="T1327" i="67" s="1"/>
  <c r="T264" i="67"/>
  <c r="T721" i="67"/>
  <c r="T1024" i="67"/>
  <c r="T1175" i="67"/>
  <c r="T418" i="67"/>
  <c r="T570" i="67"/>
  <c r="T873" i="67"/>
  <c r="T112" i="67"/>
  <c r="T265" i="67"/>
  <c r="T722" i="67"/>
  <c r="N1025" i="67"/>
  <c r="N1176" i="67"/>
  <c r="N419" i="67"/>
  <c r="N874" i="67"/>
  <c r="N571" i="67"/>
  <c r="N113" i="67"/>
  <c r="N266" i="67"/>
  <c r="N723" i="67"/>
  <c r="N1329" i="67"/>
  <c r="AT1025" i="67"/>
  <c r="AT1176" i="67"/>
  <c r="AT419" i="67"/>
  <c r="AT874" i="67"/>
  <c r="AT571" i="67"/>
  <c r="AT113" i="67"/>
  <c r="AT266" i="67"/>
  <c r="AT1329" i="67" s="1"/>
  <c r="AT723" i="67"/>
  <c r="AN1026" i="67"/>
  <c r="AN1177" i="67"/>
  <c r="AN420" i="67"/>
  <c r="AN572" i="67"/>
  <c r="AN875" i="67"/>
  <c r="AN114" i="67"/>
  <c r="AN1330" i="67" s="1"/>
  <c r="AN267" i="67"/>
  <c r="AN724" i="67"/>
  <c r="AH1027" i="67"/>
  <c r="AH1178" i="67"/>
  <c r="AH421" i="67"/>
  <c r="AH573" i="67"/>
  <c r="AH876" i="67"/>
  <c r="AH268" i="67"/>
  <c r="AH725" i="67"/>
  <c r="AH115" i="67"/>
  <c r="AB1181" i="67"/>
  <c r="AB1030" i="67"/>
  <c r="AB424" i="67"/>
  <c r="AB879" i="67"/>
  <c r="AB576" i="67"/>
  <c r="AB118" i="67"/>
  <c r="AB1334" i="67" s="1"/>
  <c r="AB271" i="67"/>
  <c r="AB728" i="67"/>
  <c r="V1182" i="67"/>
  <c r="V1031" i="67"/>
  <c r="V425" i="67"/>
  <c r="V577" i="67"/>
  <c r="V880" i="67"/>
  <c r="V119" i="67"/>
  <c r="V1335" i="67" s="1"/>
  <c r="V272" i="67"/>
  <c r="V729" i="67"/>
  <c r="P1183" i="67"/>
  <c r="P1032" i="67"/>
  <c r="P426" i="67"/>
  <c r="P578" i="67"/>
  <c r="P881" i="67"/>
  <c r="P273" i="67"/>
  <c r="P1336" i="67" s="1"/>
  <c r="P120" i="67"/>
  <c r="P730" i="67"/>
  <c r="O1173" i="67"/>
  <c r="O1022" i="67"/>
  <c r="O416" i="67"/>
  <c r="O871" i="67"/>
  <c r="O568" i="67"/>
  <c r="O110" i="67"/>
  <c r="O263" i="67"/>
  <c r="O720" i="67"/>
  <c r="O1326" i="67"/>
  <c r="AI1176" i="67"/>
  <c r="AI1025" i="67"/>
  <c r="AI419" i="67"/>
  <c r="AI874" i="67"/>
  <c r="AI571" i="67"/>
  <c r="AI113" i="67"/>
  <c r="AI266" i="67"/>
  <c r="AI723" i="67"/>
  <c r="AW1030" i="67"/>
  <c r="AW1181" i="67"/>
  <c r="AW424" i="67"/>
  <c r="AW879" i="67"/>
  <c r="AW576" i="67"/>
  <c r="AW118" i="67"/>
  <c r="AW271" i="67"/>
  <c r="AW728" i="67"/>
  <c r="S1184" i="67"/>
  <c r="S1033" i="67"/>
  <c r="S427" i="67"/>
  <c r="S882" i="67"/>
  <c r="S579" i="67"/>
  <c r="S731" i="67"/>
  <c r="S121" i="67"/>
  <c r="S1337" i="67" s="1"/>
  <c r="S274" i="67"/>
  <c r="K1011" i="67"/>
  <c r="K1162" i="67"/>
  <c r="K405" i="67"/>
  <c r="K860" i="67"/>
  <c r="K557" i="67"/>
  <c r="K709" i="67"/>
  <c r="K99" i="67"/>
  <c r="K1315" i="67" s="1"/>
  <c r="K252" i="67"/>
  <c r="K1163" i="67"/>
  <c r="K1012" i="67"/>
  <c r="K406" i="67"/>
  <c r="K861" i="67"/>
  <c r="K710" i="67"/>
  <c r="K558" i="67"/>
  <c r="K100" i="67"/>
  <c r="K1316" i="67" s="1"/>
  <c r="K253" i="67"/>
  <c r="W1025" i="67"/>
  <c r="W1176" i="67"/>
  <c r="W419" i="67"/>
  <c r="W874" i="67"/>
  <c r="W571" i="67"/>
  <c r="W113" i="67"/>
  <c r="W1329" i="67" s="1"/>
  <c r="W266" i="67"/>
  <c r="W723" i="67"/>
  <c r="AK1181" i="67"/>
  <c r="AK1030" i="67"/>
  <c r="AK424" i="67"/>
  <c r="AK879" i="67"/>
  <c r="AK576" i="67"/>
  <c r="AK118" i="67"/>
  <c r="AK1334" i="67" s="1"/>
  <c r="AK271" i="67"/>
  <c r="AK728" i="67"/>
  <c r="P1012" i="67"/>
  <c r="P1163" i="67"/>
  <c r="P406" i="67"/>
  <c r="P558" i="67"/>
  <c r="P710" i="67"/>
  <c r="P861" i="67"/>
  <c r="P253" i="67"/>
  <c r="P100" i="67"/>
  <c r="K1182" i="67"/>
  <c r="K1031" i="67"/>
  <c r="K425" i="67"/>
  <c r="K880" i="67"/>
  <c r="K119" i="67"/>
  <c r="K272" i="67"/>
  <c r="K1335" i="67" s="1"/>
  <c r="K577" i="67"/>
  <c r="K729" i="67"/>
  <c r="M1181" i="67"/>
  <c r="M1030" i="67"/>
  <c r="M424" i="67"/>
  <c r="M576" i="67"/>
  <c r="M879" i="67"/>
  <c r="M118" i="67"/>
  <c r="M271" i="67"/>
  <c r="M728" i="67"/>
  <c r="K1152" i="67"/>
  <c r="K1001" i="67"/>
  <c r="K395" i="67"/>
  <c r="K850" i="67"/>
  <c r="K89" i="67"/>
  <c r="K1305" i="67" s="1"/>
  <c r="K242" i="67"/>
  <c r="K547" i="67"/>
  <c r="K699" i="67"/>
  <c r="AE48" i="68"/>
  <c r="AA1176" i="67"/>
  <c r="AA1025" i="67"/>
  <c r="AA419" i="67"/>
  <c r="AA874" i="67"/>
  <c r="AA571" i="67"/>
  <c r="AA113" i="67"/>
  <c r="AA1329" i="67" s="1"/>
  <c r="AA266" i="67"/>
  <c r="AA723" i="67"/>
  <c r="AO1030" i="67"/>
  <c r="AO1181" i="67"/>
  <c r="AO424" i="67"/>
  <c r="AO576" i="67"/>
  <c r="AO879" i="67"/>
  <c r="AO118" i="67"/>
  <c r="AO1334" i="67" s="1"/>
  <c r="AO271" i="67"/>
  <c r="AO728" i="67"/>
  <c r="Q1033" i="67"/>
  <c r="Q1184" i="67"/>
  <c r="Q427" i="67"/>
  <c r="Q882" i="67"/>
  <c r="Q579" i="67"/>
  <c r="Q731" i="67"/>
  <c r="Q121" i="67"/>
  <c r="Q274" i="67"/>
  <c r="Q1337" i="67"/>
  <c r="AW1033" i="67"/>
  <c r="AW1184" i="67"/>
  <c r="AW427" i="67"/>
  <c r="AW882" i="67"/>
  <c r="AW579" i="67"/>
  <c r="AW731" i="67"/>
  <c r="AW121" i="67"/>
  <c r="AW274" i="67"/>
  <c r="AC1181" i="67"/>
  <c r="AC1030" i="67"/>
  <c r="AC424" i="67"/>
  <c r="AC576" i="67"/>
  <c r="AC879" i="67"/>
  <c r="AC118" i="67"/>
  <c r="AC1334" i="67" s="1"/>
  <c r="AC271" i="67"/>
  <c r="AC728" i="67"/>
  <c r="AW1153" i="67"/>
  <c r="AW1002" i="67"/>
  <c r="AW396" i="67"/>
  <c r="AW851" i="67"/>
  <c r="AW548" i="67"/>
  <c r="AW700" i="67"/>
  <c r="AW90" i="67"/>
  <c r="AW243" i="67"/>
  <c r="AM1182" i="67"/>
  <c r="AM1031" i="67"/>
  <c r="AM425" i="67"/>
  <c r="AM577" i="67"/>
  <c r="AM880" i="67"/>
  <c r="AM119" i="67"/>
  <c r="AM272" i="67"/>
  <c r="AM729" i="67"/>
  <c r="AM1335" i="67"/>
  <c r="L1173" i="67"/>
  <c r="L1022" i="67"/>
  <c r="L416" i="67"/>
  <c r="L871" i="67"/>
  <c r="L568" i="67"/>
  <c r="L110" i="67"/>
  <c r="L263" i="67"/>
  <c r="L1326" i="67" s="1"/>
  <c r="L720" i="67"/>
  <c r="AR1173" i="67"/>
  <c r="AR1022" i="67"/>
  <c r="AR416" i="67"/>
  <c r="AR871" i="67"/>
  <c r="AR568" i="67"/>
  <c r="AR110" i="67"/>
  <c r="AR1326" i="67" s="1"/>
  <c r="AR263" i="67"/>
  <c r="AR720" i="67"/>
  <c r="AL1174" i="67"/>
  <c r="AL1023" i="67"/>
  <c r="AL417" i="67"/>
  <c r="AL569" i="67"/>
  <c r="AL872" i="67"/>
  <c r="AL111" i="67"/>
  <c r="AL1327" i="67" s="1"/>
  <c r="AL264" i="67"/>
  <c r="AL721" i="67"/>
  <c r="AL1024" i="67"/>
  <c r="AL1175" i="67"/>
  <c r="AL418" i="67"/>
  <c r="AL873" i="67"/>
  <c r="AL570" i="67"/>
  <c r="AL112" i="67"/>
  <c r="AL1328" i="67" s="1"/>
  <c r="AL265" i="67"/>
  <c r="AL722" i="67"/>
  <c r="AF1025" i="67"/>
  <c r="AF1176" i="67"/>
  <c r="AF419" i="67"/>
  <c r="AF571" i="67"/>
  <c r="AF874" i="67"/>
  <c r="AF113" i="67"/>
  <c r="AF1329" i="67" s="1"/>
  <c r="AF266" i="67"/>
  <c r="AF723" i="67"/>
  <c r="Z1026" i="67"/>
  <c r="Z1177" i="67"/>
  <c r="Z420" i="67"/>
  <c r="Z875" i="67"/>
  <c r="Z572" i="67"/>
  <c r="Z267" i="67"/>
  <c r="Z724" i="67"/>
  <c r="Z114" i="67"/>
  <c r="T1027" i="67"/>
  <c r="T1178" i="67"/>
  <c r="T421" i="67"/>
  <c r="T573" i="67"/>
  <c r="T876" i="67"/>
  <c r="T115" i="67"/>
  <c r="T1331" i="67" s="1"/>
  <c r="T268" i="67"/>
  <c r="T725" i="67"/>
  <c r="N1030" i="67"/>
  <c r="N1181" i="67"/>
  <c r="N424" i="67"/>
  <c r="N879" i="67"/>
  <c r="N576" i="67"/>
  <c r="N118" i="67"/>
  <c r="N271" i="67"/>
  <c r="N728" i="67"/>
  <c r="AT1030" i="67"/>
  <c r="AT1181" i="67"/>
  <c r="AT424" i="67"/>
  <c r="AT879" i="67"/>
  <c r="AT576" i="67"/>
  <c r="AT118" i="67"/>
  <c r="AT271" i="67"/>
  <c r="AT728" i="67"/>
  <c r="AN1031" i="67"/>
  <c r="AN1182" i="67"/>
  <c r="AN425" i="67"/>
  <c r="AN577" i="67"/>
  <c r="AN880" i="67"/>
  <c r="AN119" i="67"/>
  <c r="AN272" i="67"/>
  <c r="AN729" i="67"/>
  <c r="AN1335" i="67"/>
  <c r="AH1032" i="67"/>
  <c r="AH1183" i="67"/>
  <c r="AH426" i="67"/>
  <c r="AH578" i="67"/>
  <c r="AH881" i="67"/>
  <c r="AH120" i="67"/>
  <c r="AH273" i="67"/>
  <c r="AH1336" i="67" s="1"/>
  <c r="AH730" i="67"/>
  <c r="Y1022" i="67"/>
  <c r="Y1173" i="67"/>
  <c r="Y416" i="67"/>
  <c r="Y871" i="67"/>
  <c r="Y568" i="67"/>
  <c r="Y110" i="67"/>
  <c r="Y1326" i="67" s="1"/>
  <c r="Y263" i="67"/>
  <c r="Y720" i="67"/>
  <c r="S1023" i="67"/>
  <c r="S1174" i="67"/>
  <c r="S417" i="67"/>
  <c r="S872" i="67"/>
  <c r="S569" i="67"/>
  <c r="S111" i="67"/>
  <c r="S1327" i="67" s="1"/>
  <c r="S264" i="67"/>
  <c r="S721" i="67"/>
  <c r="S1024" i="67"/>
  <c r="S1175" i="67"/>
  <c r="S418" i="67"/>
  <c r="S873" i="67"/>
  <c r="S570" i="67"/>
  <c r="S112" i="67"/>
  <c r="S265" i="67"/>
  <c r="S722" i="67"/>
  <c r="M1025" i="67"/>
  <c r="M1176" i="67"/>
  <c r="M419" i="67"/>
  <c r="M874" i="67"/>
  <c r="M571" i="67"/>
  <c r="M113" i="67"/>
  <c r="M266" i="67"/>
  <c r="M723" i="67"/>
  <c r="AS1025" i="67"/>
  <c r="AS1176" i="67"/>
  <c r="AS419" i="67"/>
  <c r="AS874" i="67"/>
  <c r="AS571" i="67"/>
  <c r="AS113" i="67"/>
  <c r="AS266" i="67"/>
  <c r="AS723" i="67"/>
  <c r="AM1026" i="67"/>
  <c r="AM1177" i="67"/>
  <c r="AM420" i="67"/>
  <c r="AM875" i="67"/>
  <c r="AM572" i="67"/>
  <c r="AM114" i="67"/>
  <c r="AM267" i="67"/>
  <c r="AM724" i="67"/>
  <c r="AM1330" i="67"/>
  <c r="AG1027" i="67"/>
  <c r="AG1178" i="67"/>
  <c r="AG421" i="67"/>
  <c r="AG573" i="67"/>
  <c r="AG876" i="67"/>
  <c r="AG115" i="67"/>
  <c r="AG268" i="67"/>
  <c r="AG1331" i="67" s="1"/>
  <c r="AG725" i="67"/>
  <c r="AA1030" i="67"/>
  <c r="AA1181" i="67"/>
  <c r="AA424" i="67"/>
  <c r="AA576" i="67"/>
  <c r="AA879" i="67"/>
  <c r="AA118" i="67"/>
  <c r="AA271" i="67"/>
  <c r="AA728" i="67"/>
  <c r="U1031" i="67"/>
  <c r="U1182" i="67"/>
  <c r="U425" i="67"/>
  <c r="U880" i="67"/>
  <c r="U577" i="67"/>
  <c r="U119" i="67"/>
  <c r="U272" i="67"/>
  <c r="U729" i="67"/>
  <c r="O1032" i="67"/>
  <c r="O1183" i="67"/>
  <c r="O426" i="67"/>
  <c r="O881" i="67"/>
  <c r="O578" i="67"/>
  <c r="O120" i="67"/>
  <c r="O273" i="67"/>
  <c r="O730" i="67"/>
  <c r="AD1022" i="67"/>
  <c r="AD1173" i="67"/>
  <c r="AD416" i="67"/>
  <c r="AD568" i="67"/>
  <c r="AD871" i="67"/>
  <c r="AD110" i="67"/>
  <c r="AD263" i="67"/>
  <c r="AD720" i="67"/>
  <c r="X1023" i="67"/>
  <c r="X1174" i="67"/>
  <c r="X417" i="67"/>
  <c r="X872" i="67"/>
  <c r="X569" i="67"/>
  <c r="X111" i="67"/>
  <c r="X1327" i="67" s="1"/>
  <c r="X264" i="67"/>
  <c r="X721" i="67"/>
  <c r="X1175" i="67"/>
  <c r="X1024" i="67"/>
  <c r="X418" i="67"/>
  <c r="X570" i="67"/>
  <c r="X873" i="67"/>
  <c r="X265" i="67"/>
  <c r="X1328" i="67" s="1"/>
  <c r="X112" i="67"/>
  <c r="X722" i="67"/>
  <c r="R1176" i="67"/>
  <c r="R1025" i="67"/>
  <c r="R419" i="67"/>
  <c r="R874" i="67"/>
  <c r="R571" i="67"/>
  <c r="R113" i="67"/>
  <c r="R266" i="67"/>
  <c r="R723" i="67"/>
  <c r="R1329" i="67"/>
  <c r="L1177" i="67"/>
  <c r="L1026" i="67"/>
  <c r="L420" i="67"/>
  <c r="L572" i="67"/>
  <c r="L875" i="67"/>
  <c r="L114" i="67"/>
  <c r="L267" i="67"/>
  <c r="L724" i="67"/>
  <c r="AR1177" i="67"/>
  <c r="AR1026" i="67"/>
  <c r="AR420" i="67"/>
  <c r="AR572" i="67"/>
  <c r="AR875" i="67"/>
  <c r="AR114" i="67"/>
  <c r="AR267" i="67"/>
  <c r="AR724" i="67"/>
  <c r="AL1178" i="67"/>
  <c r="AL1027" i="67"/>
  <c r="AL421" i="67"/>
  <c r="AL876" i="67"/>
  <c r="AL573" i="67"/>
  <c r="AL115" i="67"/>
  <c r="AL1331" i="67" s="1"/>
  <c r="AL268" i="67"/>
  <c r="AL725" i="67"/>
  <c r="AF1030" i="67"/>
  <c r="AF1181" i="67"/>
  <c r="AF424" i="67"/>
  <c r="AF576" i="67"/>
  <c r="AF879" i="67"/>
  <c r="AF271" i="67"/>
  <c r="AF118" i="67"/>
  <c r="AF1334" i="67" s="1"/>
  <c r="AF728" i="67"/>
  <c r="Z1031" i="67"/>
  <c r="Z1182" i="67"/>
  <c r="Z425" i="67"/>
  <c r="Z577" i="67"/>
  <c r="Z880" i="67"/>
  <c r="Z119" i="67"/>
  <c r="Z1335" i="67" s="1"/>
  <c r="Z272" i="67"/>
  <c r="Z729" i="67"/>
  <c r="T1032" i="67"/>
  <c r="T1183" i="67"/>
  <c r="T426" i="67"/>
  <c r="T578" i="67"/>
  <c r="T881" i="67"/>
  <c r="T120" i="67"/>
  <c r="T273" i="67"/>
  <c r="T730" i="67"/>
  <c r="T1336" i="67"/>
  <c r="AE1173" i="67"/>
  <c r="AE1022" i="67"/>
  <c r="AE416" i="67"/>
  <c r="AE568" i="67"/>
  <c r="AE871" i="67"/>
  <c r="AE110" i="67"/>
  <c r="AE263" i="67"/>
  <c r="AE1326" i="67" s="1"/>
  <c r="AE720" i="67"/>
  <c r="M1177" i="67"/>
  <c r="M1026" i="67"/>
  <c r="M420" i="67"/>
  <c r="M875" i="67"/>
  <c r="M572" i="67"/>
  <c r="M114" i="67"/>
  <c r="M1330" i="67" s="1"/>
  <c r="M267" i="67"/>
  <c r="M724" i="67"/>
  <c r="AA1031" i="67"/>
  <c r="AA1182" i="67"/>
  <c r="AA425" i="67"/>
  <c r="AA577" i="67"/>
  <c r="AA880" i="67"/>
  <c r="AA119" i="67"/>
  <c r="AA1335" i="67" s="1"/>
  <c r="AA272" i="67"/>
  <c r="AA729" i="67"/>
  <c r="W1033" i="67"/>
  <c r="W1184" i="67"/>
  <c r="W427" i="67"/>
  <c r="W882" i="67"/>
  <c r="W579" i="67"/>
  <c r="W731" i="67"/>
  <c r="W121" i="67"/>
  <c r="W274" i="67"/>
  <c r="K1026" i="67"/>
  <c r="K1177" i="67"/>
  <c r="K267" i="67"/>
  <c r="K572" i="67"/>
  <c r="K724" i="67"/>
  <c r="K420" i="67"/>
  <c r="K1330" i="67" s="1"/>
  <c r="K875" i="67"/>
  <c r="K114" i="67"/>
  <c r="S1001" i="67"/>
  <c r="S1152" i="67"/>
  <c r="S395" i="67"/>
  <c r="S850" i="67"/>
  <c r="S89" i="67"/>
  <c r="S1305" i="67" s="1"/>
  <c r="S242" i="67"/>
  <c r="S547" i="67"/>
  <c r="S699" i="67"/>
  <c r="AM48" i="68"/>
  <c r="AM1025" i="67"/>
  <c r="AM1176" i="67"/>
  <c r="AM419" i="67"/>
  <c r="AM874" i="67"/>
  <c r="AM571" i="67"/>
  <c r="AM113" i="67"/>
  <c r="AM1329" i="67" s="1"/>
  <c r="AM266" i="67"/>
  <c r="AM723" i="67"/>
  <c r="O1182" i="67"/>
  <c r="O1031" i="67"/>
  <c r="O425" i="67"/>
  <c r="O880" i="67"/>
  <c r="O577" i="67"/>
  <c r="O119" i="67"/>
  <c r="O1335" i="67" s="1"/>
  <c r="O272" i="67"/>
  <c r="O729" i="67"/>
  <c r="T1163" i="67"/>
  <c r="T1012" i="67"/>
  <c r="T406" i="67"/>
  <c r="T861" i="67"/>
  <c r="T100" i="67"/>
  <c r="T253" i="67"/>
  <c r="T1316" i="67" s="1"/>
  <c r="T558" i="67"/>
  <c r="T710" i="67"/>
  <c r="K1174" i="67"/>
  <c r="K1023" i="67"/>
  <c r="K872" i="67"/>
  <c r="K264" i="67"/>
  <c r="K417" i="67"/>
  <c r="K569" i="67"/>
  <c r="K111" i="67"/>
  <c r="K721" i="67"/>
  <c r="K1327" i="67"/>
  <c r="AS1181" i="67"/>
  <c r="AS1030" i="67"/>
  <c r="AS424" i="67"/>
  <c r="AS576" i="67"/>
  <c r="AS879" i="67"/>
  <c r="AS118" i="67"/>
  <c r="AS271" i="67"/>
  <c r="AS1334" i="67" s="1"/>
  <c r="AS728" i="67"/>
  <c r="W1152" i="67"/>
  <c r="W1001" i="67"/>
  <c r="W395" i="67"/>
  <c r="W1305" i="67" s="1"/>
  <c r="W547" i="67"/>
  <c r="W699" i="67"/>
  <c r="W850" i="67"/>
  <c r="AQ48" i="68"/>
  <c r="W89" i="67"/>
  <c r="W242" i="67"/>
  <c r="S1031" i="67"/>
  <c r="S1182" i="67"/>
  <c r="S425" i="67"/>
  <c r="S577" i="67"/>
  <c r="S880" i="67"/>
  <c r="S119" i="67"/>
  <c r="S272" i="67"/>
  <c r="S729" i="67"/>
  <c r="S1335" i="67"/>
  <c r="U1033" i="67"/>
  <c r="U1184" i="67"/>
  <c r="U427" i="67"/>
  <c r="U882" i="67"/>
  <c r="U579" i="67"/>
  <c r="U731" i="67"/>
  <c r="U121" i="67"/>
  <c r="U274" i="67"/>
  <c r="K1003" i="67"/>
  <c r="K1154" i="67"/>
  <c r="K397" i="67"/>
  <c r="K852" i="67"/>
  <c r="K549" i="67"/>
  <c r="K701" i="67"/>
  <c r="K91" i="67"/>
  <c r="K1307" i="67" s="1"/>
  <c r="K244" i="67"/>
  <c r="P1022" i="67"/>
  <c r="P1173" i="67"/>
  <c r="P416" i="67"/>
  <c r="P871" i="67"/>
  <c r="P568" i="67"/>
  <c r="P110" i="67"/>
  <c r="P1326" i="67" s="1"/>
  <c r="P263" i="67"/>
  <c r="P720" i="67"/>
  <c r="AV1022" i="67"/>
  <c r="AV1173" i="67"/>
  <c r="AV416" i="67"/>
  <c r="AV871" i="67"/>
  <c r="AV568" i="67"/>
  <c r="AV110" i="67"/>
  <c r="AV1326" i="67" s="1"/>
  <c r="AV263" i="67"/>
  <c r="AV720" i="67"/>
  <c r="AP1023" i="67"/>
  <c r="AP1174" i="67"/>
  <c r="AP417" i="67"/>
  <c r="AP569" i="67"/>
  <c r="AP872" i="67"/>
  <c r="AP264" i="67"/>
  <c r="AP721" i="67"/>
  <c r="AP111" i="67"/>
  <c r="AP1024" i="67"/>
  <c r="AP1175" i="67"/>
  <c r="AP418" i="67"/>
  <c r="AP570" i="67"/>
  <c r="AP873" i="67"/>
  <c r="AP112" i="67"/>
  <c r="AP265" i="67"/>
  <c r="AP722" i="67"/>
  <c r="AJ1025" i="67"/>
  <c r="AJ1176" i="67"/>
  <c r="AJ419" i="67"/>
  <c r="AJ571" i="67"/>
  <c r="AJ874" i="67"/>
  <c r="AJ113" i="67"/>
  <c r="AJ266" i="67"/>
  <c r="AJ723" i="67"/>
  <c r="AJ1329" i="67"/>
  <c r="AD1026" i="67"/>
  <c r="AD1177" i="67"/>
  <c r="AD420" i="67"/>
  <c r="AD572" i="67"/>
  <c r="AD875" i="67"/>
  <c r="AD114" i="67"/>
  <c r="AD267" i="67"/>
  <c r="AD1330" i="67" s="1"/>
  <c r="AD724" i="67"/>
  <c r="X1027" i="67"/>
  <c r="X1178" i="67"/>
  <c r="X421" i="67"/>
  <c r="X573" i="67"/>
  <c r="X876" i="67"/>
  <c r="X115" i="67"/>
  <c r="X268" i="67"/>
  <c r="X725" i="67"/>
  <c r="R1030" i="67"/>
  <c r="R1181" i="67"/>
  <c r="R424" i="67"/>
  <c r="R879" i="67"/>
  <c r="R576" i="67"/>
  <c r="R118" i="67"/>
  <c r="R1334" i="67" s="1"/>
  <c r="R271" i="67"/>
  <c r="R728" i="67"/>
  <c r="L1182" i="67"/>
  <c r="L1031" i="67"/>
  <c r="L425" i="67"/>
  <c r="L577" i="67"/>
  <c r="L880" i="67"/>
  <c r="L119" i="67"/>
  <c r="L1335" i="67" s="1"/>
  <c r="L272" i="67"/>
  <c r="L729" i="67"/>
  <c r="AR1182" i="67"/>
  <c r="AR1031" i="67"/>
  <c r="AR425" i="67"/>
  <c r="AR880" i="67"/>
  <c r="AR577" i="67"/>
  <c r="AR119" i="67"/>
  <c r="AR272" i="67"/>
  <c r="AR729" i="67"/>
  <c r="AR1335" i="67"/>
  <c r="AL1183" i="67"/>
  <c r="AL1032" i="67"/>
  <c r="AL426" i="67"/>
  <c r="AL881" i="67"/>
  <c r="AL578" i="67"/>
  <c r="AL120" i="67"/>
  <c r="AL273" i="67"/>
  <c r="AL730" i="67"/>
  <c r="AC1173" i="67"/>
  <c r="AC1022" i="67"/>
  <c r="AC416" i="67"/>
  <c r="AC568" i="67"/>
  <c r="AC871" i="67"/>
  <c r="AC110" i="67"/>
  <c r="AC263" i="67"/>
  <c r="AC720" i="67"/>
  <c r="W1174" i="67"/>
  <c r="W1023" i="67"/>
  <c r="W417" i="67"/>
  <c r="W569" i="67"/>
  <c r="W872" i="67"/>
  <c r="W721" i="67"/>
  <c r="W111" i="67"/>
  <c r="W1327" i="67" s="1"/>
  <c r="W264" i="67"/>
  <c r="W1003" i="67"/>
  <c r="W1154" i="67"/>
  <c r="W397" i="67"/>
  <c r="W852" i="67"/>
  <c r="W549" i="67"/>
  <c r="W701" i="67"/>
  <c r="W91" i="67"/>
  <c r="W1307" i="67" s="1"/>
  <c r="W244" i="67"/>
  <c r="Q1004" i="67"/>
  <c r="Q1155" i="67"/>
  <c r="Q398" i="67"/>
  <c r="Q853" i="67"/>
  <c r="Q550" i="67"/>
  <c r="Q702" i="67"/>
  <c r="Q92" i="67"/>
  <c r="Q1308" i="67" s="1"/>
  <c r="Q245" i="67"/>
  <c r="AW1004" i="67"/>
  <c r="AW1155" i="67"/>
  <c r="AW398" i="67"/>
  <c r="AW853" i="67"/>
  <c r="AW550" i="67"/>
  <c r="AW702" i="67"/>
  <c r="AW92" i="67"/>
  <c r="AW245" i="67"/>
  <c r="AQ1005" i="67"/>
  <c r="AQ1156" i="67"/>
  <c r="AQ399" i="67"/>
  <c r="AQ854" i="67"/>
  <c r="AQ93" i="67"/>
  <c r="AQ246" i="67"/>
  <c r="AQ1309" i="67" s="1"/>
  <c r="AQ551" i="67"/>
  <c r="AQ703" i="67"/>
  <c r="AK1027" i="67"/>
  <c r="AK1178" i="67"/>
  <c r="AK421" i="67"/>
  <c r="AK573" i="67"/>
  <c r="AK876" i="67"/>
  <c r="AK115" i="67"/>
  <c r="AK268" i="67"/>
  <c r="AK725" i="67"/>
  <c r="AE1030" i="67"/>
  <c r="AE1181" i="67"/>
  <c r="AE424" i="67"/>
  <c r="AE576" i="67"/>
  <c r="AE879" i="67"/>
  <c r="AE118" i="67"/>
  <c r="AE271" i="67"/>
  <c r="AE728" i="67"/>
  <c r="AE1334" i="67"/>
  <c r="Y1031" i="67"/>
  <c r="Y1182" i="67"/>
  <c r="Y425" i="67"/>
  <c r="Y577" i="67"/>
  <c r="Y880" i="67"/>
  <c r="Y272" i="67"/>
  <c r="Y119" i="67"/>
  <c r="Y1335" i="67" s="1"/>
  <c r="Y729" i="67"/>
  <c r="S1032" i="67"/>
  <c r="S1183" i="67"/>
  <c r="S426" i="67"/>
  <c r="S578" i="67"/>
  <c r="S881" i="67"/>
  <c r="S273" i="67"/>
  <c r="S120" i="67"/>
  <c r="S1336" i="67" s="1"/>
  <c r="S730" i="67"/>
  <c r="AH1022" i="67"/>
  <c r="AH1173" i="67"/>
  <c r="AH416" i="67"/>
  <c r="AH568" i="67"/>
  <c r="AH871" i="67"/>
  <c r="AH263" i="67"/>
  <c r="AH1326" i="67" s="1"/>
  <c r="AH110" i="67"/>
  <c r="AH720" i="67"/>
  <c r="AB1023" i="67"/>
  <c r="AB1174" i="67"/>
  <c r="AB417" i="67"/>
  <c r="AB569" i="67"/>
  <c r="AB872" i="67"/>
  <c r="AB111" i="67"/>
  <c r="AB264" i="67"/>
  <c r="AB721" i="67"/>
  <c r="AB1024" i="67"/>
  <c r="AB1175" i="67"/>
  <c r="AB418" i="67"/>
  <c r="AB570" i="67"/>
  <c r="AB873" i="67"/>
  <c r="AB112" i="67"/>
  <c r="AB265" i="67"/>
  <c r="AB722" i="67"/>
  <c r="AB1328" i="67"/>
  <c r="V1025" i="67"/>
  <c r="V1176" i="67"/>
  <c r="V419" i="67"/>
  <c r="V571" i="67"/>
  <c r="V874" i="67"/>
  <c r="V113" i="67"/>
  <c r="V266" i="67"/>
  <c r="V1329" i="67" s="1"/>
  <c r="V723" i="67"/>
  <c r="P1026" i="67"/>
  <c r="P1177" i="67"/>
  <c r="P420" i="67"/>
  <c r="P875" i="67"/>
  <c r="P572" i="67"/>
  <c r="P114" i="67"/>
  <c r="P1330" i="67" s="1"/>
  <c r="P267" i="67"/>
  <c r="P724" i="67"/>
  <c r="AV1026" i="67"/>
  <c r="AV1177" i="67"/>
  <c r="AV420" i="67"/>
  <c r="AV875" i="67"/>
  <c r="AV572" i="67"/>
  <c r="AV114" i="67"/>
  <c r="AV1330" i="67" s="1"/>
  <c r="AV267" i="67"/>
  <c r="AV724" i="67"/>
  <c r="AP1027" i="67"/>
  <c r="AP1178" i="67"/>
  <c r="AP421" i="67"/>
  <c r="AP876" i="67"/>
  <c r="AP573" i="67"/>
  <c r="AP115" i="67"/>
  <c r="AP268" i="67"/>
  <c r="AP725" i="67"/>
  <c r="AJ1181" i="67"/>
  <c r="AJ1030" i="67"/>
  <c r="AJ424" i="67"/>
  <c r="AJ576" i="67"/>
  <c r="AJ879" i="67"/>
  <c r="AJ118" i="67"/>
  <c r="AJ271" i="67"/>
  <c r="AJ728" i="67"/>
  <c r="AJ1334" i="67"/>
  <c r="AD1182" i="67"/>
  <c r="AD1031" i="67"/>
  <c r="AD425" i="67"/>
  <c r="AD880" i="67"/>
  <c r="AD577" i="67"/>
  <c r="AD119" i="67"/>
  <c r="AD272" i="67"/>
  <c r="AD1335" i="67" s="1"/>
  <c r="AD729" i="67"/>
  <c r="X1183" i="67"/>
  <c r="X1032" i="67"/>
  <c r="X426" i="67"/>
  <c r="X881" i="67"/>
  <c r="X578" i="67"/>
  <c r="X120" i="67"/>
  <c r="X1336" i="67" s="1"/>
  <c r="X273" i="67"/>
  <c r="X730" i="67"/>
  <c r="AU1173" i="67"/>
  <c r="AU1022" i="67"/>
  <c r="AU416" i="67"/>
  <c r="AU568" i="67"/>
  <c r="AU871" i="67"/>
  <c r="AU110" i="67"/>
  <c r="AU1326" i="67" s="1"/>
  <c r="AU263" i="67"/>
  <c r="AU720" i="67"/>
  <c r="AC1177" i="67"/>
  <c r="AC1026" i="67"/>
  <c r="AC420" i="67"/>
  <c r="AC572" i="67"/>
  <c r="AC875" i="67"/>
  <c r="AC114" i="67"/>
  <c r="AC267" i="67"/>
  <c r="AC724" i="67"/>
  <c r="AC1330" i="67"/>
  <c r="AQ1031" i="67"/>
  <c r="AQ1182" i="67"/>
  <c r="AQ425" i="67"/>
  <c r="AQ880" i="67"/>
  <c r="AQ577" i="67"/>
  <c r="AQ119" i="67"/>
  <c r="AQ272" i="67"/>
  <c r="AQ729" i="67"/>
  <c r="AA1184" i="67"/>
  <c r="AA1033" i="67"/>
  <c r="AA427" i="67"/>
  <c r="AA882" i="67"/>
  <c r="AA731" i="67"/>
  <c r="AA579" i="67"/>
  <c r="AA121" i="67"/>
  <c r="AA1337" i="67" s="1"/>
  <c r="AA274" i="67"/>
  <c r="AR1033" i="67"/>
  <c r="AR1184" i="67"/>
  <c r="AR427" i="67"/>
  <c r="AR882" i="67"/>
  <c r="AR579" i="67"/>
  <c r="AR731" i="67"/>
  <c r="AR121" i="67"/>
  <c r="AR1337" i="67" s="1"/>
  <c r="AR274" i="67"/>
  <c r="AI1001" i="67"/>
  <c r="AI1152" i="67"/>
  <c r="AI395" i="67"/>
  <c r="AI1305" i="67" s="1"/>
  <c r="AI850" i="67"/>
  <c r="AI89" i="67"/>
  <c r="AI242" i="67"/>
  <c r="AI547" i="67"/>
  <c r="AI699" i="67"/>
  <c r="BC48" i="68"/>
  <c r="Q1026" i="67"/>
  <c r="Q1177" i="67"/>
  <c r="Q420" i="67"/>
  <c r="Q572" i="67"/>
  <c r="Q875" i="67"/>
  <c r="Q114" i="67"/>
  <c r="Q267" i="67"/>
  <c r="Q724" i="67"/>
  <c r="Q1330" i="67"/>
  <c r="AE1182" i="67"/>
  <c r="AE1031" i="67"/>
  <c r="AE425" i="67"/>
  <c r="AE880" i="67"/>
  <c r="AE577" i="67"/>
  <c r="AE119" i="67"/>
  <c r="AE272" i="67"/>
  <c r="AE729" i="67"/>
  <c r="X1184" i="67"/>
  <c r="X1033" i="67"/>
  <c r="X427" i="67"/>
  <c r="X882" i="67"/>
  <c r="X579" i="67"/>
  <c r="X121" i="67"/>
  <c r="X731" i="67"/>
  <c r="X274" i="67"/>
  <c r="U1002" i="67"/>
  <c r="U1153" i="67"/>
  <c r="U396" i="67"/>
  <c r="U851" i="67"/>
  <c r="U700" i="67"/>
  <c r="U548" i="67"/>
  <c r="U243" i="67"/>
  <c r="U90" i="67"/>
  <c r="U1306" i="67" s="1"/>
  <c r="Q1183" i="67"/>
  <c r="Q1032" i="67"/>
  <c r="Q426" i="67"/>
  <c r="Q578" i="67"/>
  <c r="Q881" i="67"/>
  <c r="Q120" i="67"/>
  <c r="Q273" i="67"/>
  <c r="Q730" i="67"/>
  <c r="AM1152" i="67"/>
  <c r="AM1001" i="67"/>
  <c r="AM395" i="67"/>
  <c r="AM850" i="67"/>
  <c r="AM547" i="67"/>
  <c r="AM699" i="67"/>
  <c r="AM89" i="67"/>
  <c r="AM1305" i="67" s="1"/>
  <c r="AM242" i="67"/>
  <c r="BG48" i="68"/>
  <c r="U1177" i="67"/>
  <c r="U1026" i="67"/>
  <c r="U420" i="67"/>
  <c r="U875" i="67"/>
  <c r="U572" i="67"/>
  <c r="U114" i="67"/>
  <c r="U1330" i="67" s="1"/>
  <c r="U267" i="67"/>
  <c r="U724" i="67"/>
  <c r="AI1031" i="67"/>
  <c r="AI1182" i="67"/>
  <c r="AI425" i="67"/>
  <c r="AI880" i="67"/>
  <c r="AI577" i="67"/>
  <c r="AI119" i="67"/>
  <c r="AI1335" i="67" s="1"/>
  <c r="AI272" i="67"/>
  <c r="AI729" i="67"/>
  <c r="Y1033" i="67"/>
  <c r="Y1184" i="67"/>
  <c r="Y427" i="67"/>
  <c r="Y882" i="67"/>
  <c r="Y731" i="67"/>
  <c r="Y579" i="67"/>
  <c r="Y274" i="67"/>
  <c r="Y121" i="67"/>
  <c r="AQ1001" i="67"/>
  <c r="AQ1152" i="67"/>
  <c r="AQ395" i="67"/>
  <c r="AQ850" i="67"/>
  <c r="AQ547" i="67"/>
  <c r="AQ699" i="67"/>
  <c r="AQ89" i="67"/>
  <c r="AQ242" i="67"/>
  <c r="BK48" i="68"/>
  <c r="AE1032" i="67"/>
  <c r="AE1183" i="67"/>
  <c r="AE426" i="67"/>
  <c r="AE578" i="67"/>
  <c r="AE881" i="67"/>
  <c r="AE120" i="67"/>
  <c r="AE273" i="67"/>
  <c r="AE730" i="67"/>
  <c r="O1003" i="67"/>
  <c r="O1154" i="67"/>
  <c r="O397" i="67"/>
  <c r="O852" i="67"/>
  <c r="O91" i="67"/>
  <c r="O244" i="67"/>
  <c r="O1307" i="67" s="1"/>
  <c r="O549" i="67"/>
  <c r="O701" i="67"/>
  <c r="T1173" i="67"/>
  <c r="T1022" i="67"/>
  <c r="T416" i="67"/>
  <c r="T871" i="67"/>
  <c r="T568" i="67"/>
  <c r="T110" i="67"/>
  <c r="T263" i="67"/>
  <c r="T720" i="67"/>
  <c r="N1174" i="67"/>
  <c r="N1023" i="67"/>
  <c r="N417" i="67"/>
  <c r="N872" i="67"/>
  <c r="N569" i="67"/>
  <c r="N111" i="67"/>
  <c r="N1327" i="67" s="1"/>
  <c r="N264" i="67"/>
  <c r="N721" i="67"/>
  <c r="AT1174" i="67"/>
  <c r="AT1023" i="67"/>
  <c r="AT417" i="67"/>
  <c r="AT872" i="67"/>
  <c r="AT569" i="67"/>
  <c r="AT111" i="67"/>
  <c r="AT1327" i="67" s="1"/>
  <c r="AT264" i="67"/>
  <c r="AT721" i="67"/>
  <c r="AT1024" i="67"/>
  <c r="AT1175" i="67"/>
  <c r="AT418" i="67"/>
  <c r="AT570" i="67"/>
  <c r="AT873" i="67"/>
  <c r="AT112" i="67"/>
  <c r="AT265" i="67"/>
  <c r="AT722" i="67"/>
  <c r="AT1328" i="67"/>
  <c r="AN1025" i="67"/>
  <c r="AN1176" i="67"/>
  <c r="AN419" i="67"/>
  <c r="AN874" i="67"/>
  <c r="AN571" i="67"/>
  <c r="AN113" i="67"/>
  <c r="AN266" i="67"/>
  <c r="AN1329" i="67" s="1"/>
  <c r="AN723" i="67"/>
  <c r="AH1026" i="67"/>
  <c r="AH1177" i="67"/>
  <c r="AH420" i="67"/>
  <c r="AH572" i="67"/>
  <c r="AH875" i="67"/>
  <c r="AH724" i="67"/>
  <c r="AH114" i="67"/>
  <c r="AH1330" i="67" s="1"/>
  <c r="AH267" i="67"/>
  <c r="AB1027" i="67"/>
  <c r="AB1178" i="67"/>
  <c r="AB421" i="67"/>
  <c r="AB876" i="67"/>
  <c r="AB573" i="67"/>
  <c r="AB115" i="67"/>
  <c r="AB1331" i="67" s="1"/>
  <c r="AB268" i="67"/>
  <c r="AB725" i="67"/>
  <c r="V1030" i="67"/>
  <c r="V1181" i="67"/>
  <c r="V424" i="67"/>
  <c r="V576" i="67"/>
  <c r="V879" i="67"/>
  <c r="V118" i="67"/>
  <c r="V271" i="67"/>
  <c r="V728" i="67"/>
  <c r="V1334" i="67"/>
  <c r="P1031" i="67"/>
  <c r="P1182" i="67"/>
  <c r="P425" i="67"/>
  <c r="P880" i="67"/>
  <c r="P577" i="67"/>
  <c r="P119" i="67"/>
  <c r="P272" i="67"/>
  <c r="P729" i="67"/>
  <c r="AV1031" i="67"/>
  <c r="AV1182" i="67"/>
  <c r="AV425" i="67"/>
  <c r="AV880" i="67"/>
  <c r="AV577" i="67"/>
  <c r="AV119" i="67"/>
  <c r="AV729" i="67"/>
  <c r="AV272" i="67"/>
  <c r="AP1032" i="67"/>
  <c r="AP1183" i="67"/>
  <c r="AP426" i="67"/>
  <c r="AP881" i="67"/>
  <c r="AP578" i="67"/>
  <c r="AP120" i="67"/>
  <c r="AP273" i="67"/>
  <c r="AP730" i="67"/>
  <c r="AG1022" i="67"/>
  <c r="AG1173" i="67"/>
  <c r="AG416" i="67"/>
  <c r="AG568" i="67"/>
  <c r="AG871" i="67"/>
  <c r="AG110" i="67"/>
  <c r="AG263" i="67"/>
  <c r="AG1326" i="67" s="1"/>
  <c r="AG720" i="67"/>
  <c r="AA1023" i="67"/>
  <c r="AA1174" i="67"/>
  <c r="AA417" i="67"/>
  <c r="AA569" i="67"/>
  <c r="AA872" i="67"/>
  <c r="AA111" i="67"/>
  <c r="AA264" i="67"/>
  <c r="AA721" i="67"/>
  <c r="AA1154" i="67"/>
  <c r="AA1003" i="67"/>
  <c r="AA397" i="67"/>
  <c r="AA549" i="67"/>
  <c r="AA701" i="67"/>
  <c r="AA852" i="67"/>
  <c r="AA244" i="67"/>
  <c r="AA91" i="67"/>
  <c r="U1155" i="67"/>
  <c r="U1004" i="67"/>
  <c r="U398" i="67"/>
  <c r="U853" i="67"/>
  <c r="U92" i="67"/>
  <c r="U245" i="67"/>
  <c r="U1308" i="67" s="1"/>
  <c r="U550" i="67"/>
  <c r="U702" i="67"/>
  <c r="O1156" i="67"/>
  <c r="O1005" i="67"/>
  <c r="O399" i="67"/>
  <c r="O854" i="67"/>
  <c r="O551" i="67"/>
  <c r="O703" i="67"/>
  <c r="O1309" i="67" s="1"/>
  <c r="O93" i="67"/>
  <c r="O246" i="67"/>
  <c r="AU1156" i="67"/>
  <c r="AU1005" i="67"/>
  <c r="AU399" i="67"/>
  <c r="AU854" i="67"/>
  <c r="AU551" i="67"/>
  <c r="AU703" i="67"/>
  <c r="AU93" i="67"/>
  <c r="AU246" i="67"/>
  <c r="AU1309" i="67"/>
  <c r="AO1027" i="67"/>
  <c r="AO1178" i="67"/>
  <c r="AO421" i="67"/>
  <c r="AO876" i="67"/>
  <c r="AO573" i="67"/>
  <c r="AO115" i="67"/>
  <c r="AO268" i="67"/>
  <c r="AO725" i="67"/>
  <c r="AI1030" i="67"/>
  <c r="AI1181" i="67"/>
  <c r="AI424" i="67"/>
  <c r="AI879" i="67"/>
  <c r="AI576" i="67"/>
  <c r="AI118" i="67"/>
  <c r="AI1334" i="67" s="1"/>
  <c r="AI271" i="67"/>
  <c r="AI728" i="67"/>
  <c r="AC1031" i="67"/>
  <c r="AC1182" i="67"/>
  <c r="AC425" i="67"/>
  <c r="AC577" i="67"/>
  <c r="AC880" i="67"/>
  <c r="AC119" i="67"/>
  <c r="AC1335" i="67" s="1"/>
  <c r="AC272" i="67"/>
  <c r="AC729" i="67"/>
  <c r="W1032" i="67"/>
  <c r="W1183" i="67"/>
  <c r="W426" i="67"/>
  <c r="W881" i="67"/>
  <c r="W578" i="67"/>
  <c r="W120" i="67"/>
  <c r="W1336" i="67" s="1"/>
  <c r="W273" i="67"/>
  <c r="W730" i="67"/>
  <c r="AL1022" i="67"/>
  <c r="AL1173" i="67"/>
  <c r="AL416" i="67"/>
  <c r="AL871" i="67"/>
  <c r="AL568" i="67"/>
  <c r="AL110" i="67"/>
  <c r="AL263" i="67"/>
  <c r="AL720" i="67"/>
  <c r="AL1326" i="67"/>
  <c r="AF1023" i="67"/>
  <c r="AF1174" i="67"/>
  <c r="AF417" i="67"/>
  <c r="AF872" i="67"/>
  <c r="AF569" i="67"/>
  <c r="AF111" i="67"/>
  <c r="AF264" i="67"/>
  <c r="AF1327" i="67" s="1"/>
  <c r="AF721" i="67"/>
  <c r="AF1175" i="67"/>
  <c r="AF1024" i="67"/>
  <c r="AF418" i="67"/>
  <c r="AF873" i="67"/>
  <c r="AF570" i="67"/>
  <c r="AF112" i="67"/>
  <c r="AF1328" i="67" s="1"/>
  <c r="AF265" i="67"/>
  <c r="AF722" i="67"/>
  <c r="Z1176" i="67"/>
  <c r="Z1025" i="67"/>
  <c r="Z419" i="67"/>
  <c r="Z874" i="67"/>
  <c r="Z571" i="67"/>
  <c r="Z113" i="67"/>
  <c r="Z1329" i="67" s="1"/>
  <c r="Z266" i="67"/>
  <c r="Z723" i="67"/>
  <c r="T1177" i="67"/>
  <c r="T1026" i="67"/>
  <c r="T420" i="67"/>
  <c r="T875" i="67"/>
  <c r="T572" i="67"/>
  <c r="T114" i="67"/>
  <c r="T267" i="67"/>
  <c r="T724" i="67"/>
  <c r="T1330" i="67"/>
  <c r="N1178" i="67"/>
  <c r="N1027" i="67"/>
  <c r="N421" i="67"/>
  <c r="N573" i="67"/>
  <c r="N876" i="67"/>
  <c r="N115" i="67"/>
  <c r="N268" i="67"/>
  <c r="N725" i="67"/>
  <c r="AT1178" i="67"/>
  <c r="AT1027" i="67"/>
  <c r="AT421" i="67"/>
  <c r="AT876" i="67"/>
  <c r="AT573" i="67"/>
  <c r="AT115" i="67"/>
  <c r="AT268" i="67"/>
  <c r="AT725" i="67"/>
  <c r="AN1030" i="67"/>
  <c r="AN1181" i="67"/>
  <c r="AN424" i="67"/>
  <c r="AN879" i="67"/>
  <c r="AN576" i="67"/>
  <c r="AN118" i="67"/>
  <c r="AN1334" i="67" s="1"/>
  <c r="AN271" i="67"/>
  <c r="AN728" i="67"/>
  <c r="AH1031" i="67"/>
  <c r="AH1182" i="67"/>
  <c r="AH425" i="67"/>
  <c r="AH880" i="67"/>
  <c r="AH577" i="67"/>
  <c r="AH119" i="67"/>
  <c r="AH1335" i="67" s="1"/>
  <c r="AH272" i="67"/>
  <c r="AH729" i="67"/>
  <c r="AB1032" i="67"/>
  <c r="AB1183" i="67"/>
  <c r="AB426" i="67"/>
  <c r="AB881" i="67"/>
  <c r="AB578" i="67"/>
  <c r="AB120" i="67"/>
  <c r="AB1336" i="67" s="1"/>
  <c r="AB273" i="67"/>
  <c r="AB730" i="67"/>
  <c r="Y1174" i="67"/>
  <c r="Y1023" i="67"/>
  <c r="Y417" i="67"/>
  <c r="Y872" i="67"/>
  <c r="Y569" i="67"/>
  <c r="Y111" i="67"/>
  <c r="Y1327" i="67" s="1"/>
  <c r="Y264" i="67"/>
  <c r="Y721" i="67"/>
  <c r="AS1177" i="67"/>
  <c r="AS1026" i="67"/>
  <c r="AS420" i="67"/>
  <c r="AS875" i="67"/>
  <c r="AS572" i="67"/>
  <c r="AS114" i="67"/>
  <c r="AS1330" i="67" s="1"/>
  <c r="AS267" i="67"/>
  <c r="AS724" i="67"/>
  <c r="U1032" i="67"/>
  <c r="U1183" i="67"/>
  <c r="U426" i="67"/>
  <c r="U881" i="67"/>
  <c r="U578" i="67"/>
  <c r="U120" i="67"/>
  <c r="U273" i="67"/>
  <c r="U730" i="67"/>
  <c r="U1336" i="67"/>
  <c r="AE1033" i="67"/>
  <c r="AE1184" i="67"/>
  <c r="AE427" i="67"/>
  <c r="AE882" i="67"/>
  <c r="AE731" i="67"/>
  <c r="AE579" i="67"/>
  <c r="AE121" i="67"/>
  <c r="AE1337" i="67" s="1"/>
  <c r="AE274" i="67"/>
  <c r="K1155" i="67"/>
  <c r="K1004" i="67"/>
  <c r="K398" i="67"/>
  <c r="K853" i="67"/>
  <c r="K550" i="67"/>
  <c r="K702" i="67"/>
  <c r="K92" i="67"/>
  <c r="K1308" i="67" s="1"/>
  <c r="K245" i="67"/>
  <c r="M1002" i="67"/>
  <c r="M1153" i="67"/>
  <c r="M396" i="67"/>
  <c r="M548" i="67"/>
  <c r="M700" i="67"/>
  <c r="M851" i="67"/>
  <c r="M1306" i="67" s="1"/>
  <c r="M90" i="67"/>
  <c r="M243" i="67"/>
  <c r="AG1026" i="67"/>
  <c r="AG1177" i="67"/>
  <c r="AG420" i="67"/>
  <c r="AG875" i="67"/>
  <c r="AG572" i="67"/>
  <c r="AG267" i="67"/>
  <c r="AG724" i="67"/>
  <c r="AG114" i="67"/>
  <c r="AU1182" i="67"/>
  <c r="AU1031" i="67"/>
  <c r="AU425" i="67"/>
  <c r="AU880" i="67"/>
  <c r="AU577" i="67"/>
  <c r="AU119" i="67"/>
  <c r="AU272" i="67"/>
  <c r="AU729" i="67"/>
  <c r="AU1335" i="67"/>
  <c r="AB1033" i="67"/>
  <c r="AB1184" i="67"/>
  <c r="AB427" i="67"/>
  <c r="AB882" i="67"/>
  <c r="AB579" i="67"/>
  <c r="AB731" i="67"/>
  <c r="AB121" i="67"/>
  <c r="AB274" i="67"/>
  <c r="AK1002" i="67"/>
  <c r="AK1153" i="67"/>
  <c r="AK396" i="67"/>
  <c r="AK700" i="67"/>
  <c r="AK851" i="67"/>
  <c r="AK548" i="67"/>
  <c r="AK243" i="67"/>
  <c r="AK90" i="67"/>
  <c r="AK1306" i="67" s="1"/>
  <c r="AM1032" i="67"/>
  <c r="AM1183" i="67"/>
  <c r="AM426" i="67"/>
  <c r="AM881" i="67"/>
  <c r="AM578" i="67"/>
  <c r="AM120" i="67"/>
  <c r="AM273" i="67"/>
  <c r="AM1336" i="67" s="1"/>
  <c r="AM730" i="67"/>
  <c r="Q1153" i="67"/>
  <c r="Q1002" i="67"/>
  <c r="Q396" i="67"/>
  <c r="Q851" i="67"/>
  <c r="Q548" i="67"/>
  <c r="Q700" i="67"/>
  <c r="Q90" i="67"/>
  <c r="Q1306" i="67" s="1"/>
  <c r="Q243" i="67"/>
  <c r="AK1177" i="67"/>
  <c r="AK1026" i="67"/>
  <c r="AK420" i="67"/>
  <c r="AK875" i="67"/>
  <c r="AK572" i="67"/>
  <c r="AK114" i="67"/>
  <c r="AK267" i="67"/>
  <c r="AK724" i="67"/>
  <c r="M1032" i="67"/>
  <c r="M1183" i="67"/>
  <c r="M426" i="67"/>
  <c r="M881" i="67"/>
  <c r="M578" i="67"/>
  <c r="M120" i="67"/>
  <c r="M1336" i="67" s="1"/>
  <c r="M273" i="67"/>
  <c r="M730" i="67"/>
  <c r="AC1033" i="67"/>
  <c r="AC1184" i="67"/>
  <c r="AC427" i="67"/>
  <c r="AC882" i="67"/>
  <c r="AC121" i="67"/>
  <c r="AC274" i="67"/>
  <c r="AC1337" i="67" s="1"/>
  <c r="AC579" i="67"/>
  <c r="AC731" i="67"/>
  <c r="U1024" i="67"/>
  <c r="U1175" i="67"/>
  <c r="U418" i="67"/>
  <c r="U570" i="67"/>
  <c r="U873" i="67"/>
  <c r="U112" i="67"/>
  <c r="U265" i="67"/>
  <c r="U722" i="67"/>
  <c r="U1328" i="67"/>
  <c r="AU1032" i="67"/>
  <c r="AU1183" i="67"/>
  <c r="AU426" i="67"/>
  <c r="AU578" i="67"/>
  <c r="AU881" i="67"/>
  <c r="AU120" i="67"/>
  <c r="AU273" i="67"/>
  <c r="AU730" i="67"/>
  <c r="AQ1176" i="67"/>
  <c r="AQ1025" i="67"/>
  <c r="AQ419" i="67"/>
  <c r="AQ571" i="67"/>
  <c r="AQ874" i="67"/>
  <c r="AQ113" i="67"/>
  <c r="AQ266" i="67"/>
  <c r="AQ1329" i="67" s="1"/>
  <c r="AQ723" i="67"/>
  <c r="AD1033" i="67"/>
  <c r="AD1184" i="67"/>
  <c r="AD427" i="67"/>
  <c r="AD882" i="67"/>
  <c r="AD579" i="67"/>
  <c r="AD121" i="67"/>
  <c r="AD731" i="67"/>
  <c r="AD274" i="67"/>
  <c r="AH1023" i="67"/>
  <c r="AH1174" i="67"/>
  <c r="AH417" i="67"/>
  <c r="AH872" i="67"/>
  <c r="AH569" i="67"/>
  <c r="AH111" i="67"/>
  <c r="AH1327" i="67" s="1"/>
  <c r="AH721" i="67"/>
  <c r="AH264" i="67"/>
  <c r="V1026" i="67"/>
  <c r="V1177" i="67"/>
  <c r="V420" i="67"/>
  <c r="V875" i="67"/>
  <c r="V572" i="67"/>
  <c r="V114" i="67"/>
  <c r="V1330" i="67" s="1"/>
  <c r="V267" i="67"/>
  <c r="V724" i="67"/>
  <c r="AV1027" i="67"/>
  <c r="AV1178" i="67"/>
  <c r="AV421" i="67"/>
  <c r="AV876" i="67"/>
  <c r="AV573" i="67"/>
  <c r="AV115" i="67"/>
  <c r="AV268" i="67"/>
  <c r="AV725" i="67"/>
  <c r="AV1331" i="67"/>
  <c r="AD1183" i="67"/>
  <c r="AD1032" i="67"/>
  <c r="AD426" i="67"/>
  <c r="AD578" i="67"/>
  <c r="AD881" i="67"/>
  <c r="AD120" i="67"/>
  <c r="AD273" i="67"/>
  <c r="AD1336" i="67" s="1"/>
  <c r="AD730" i="67"/>
  <c r="M1154" i="67"/>
  <c r="M1003" i="67"/>
  <c r="M397" i="67"/>
  <c r="M852" i="67"/>
  <c r="M549" i="67"/>
  <c r="M701" i="67"/>
  <c r="M91" i="67"/>
  <c r="M244" i="67"/>
  <c r="AN1152" i="67"/>
  <c r="AN1001" i="67"/>
  <c r="AN395" i="67"/>
  <c r="AN850" i="67"/>
  <c r="AN547" i="67"/>
  <c r="AN699" i="67"/>
  <c r="AN89" i="67"/>
  <c r="AN1305" i="67" s="1"/>
  <c r="AN242" i="67"/>
  <c r="BH48" i="68"/>
  <c r="AH1153" i="67"/>
  <c r="AH1002" i="67"/>
  <c r="AH396" i="67"/>
  <c r="AH851" i="67"/>
  <c r="AH90" i="67"/>
  <c r="AH243" i="67"/>
  <c r="AH548" i="67"/>
  <c r="AH700" i="67"/>
  <c r="AH1306" i="67"/>
  <c r="AH1154" i="67"/>
  <c r="AH1003" i="67"/>
  <c r="AH397" i="67"/>
  <c r="AH852" i="67"/>
  <c r="AH701" i="67"/>
  <c r="AH549" i="67"/>
  <c r="AH244" i="67"/>
  <c r="AH91" i="67"/>
  <c r="AH1307" i="67" s="1"/>
  <c r="AB1155" i="67"/>
  <c r="AB1004" i="67"/>
  <c r="AB398" i="67"/>
  <c r="AB702" i="67"/>
  <c r="AB853" i="67"/>
  <c r="AB550" i="67"/>
  <c r="AB92" i="67"/>
  <c r="AB1308" i="67" s="1"/>
  <c r="AB245" i="67"/>
  <c r="V1156" i="67"/>
  <c r="V1005" i="67"/>
  <c r="V399" i="67"/>
  <c r="V854" i="67"/>
  <c r="V551" i="67"/>
  <c r="V703" i="67"/>
  <c r="V93" i="67"/>
  <c r="V1309" i="67" s="1"/>
  <c r="V246" i="67"/>
  <c r="P1157" i="67"/>
  <c r="P1006" i="67"/>
  <c r="P400" i="67"/>
  <c r="P855" i="67"/>
  <c r="P704" i="67"/>
  <c r="P552" i="67"/>
  <c r="P247" i="67"/>
  <c r="P94" i="67"/>
  <c r="AV1157" i="67"/>
  <c r="AV1006" i="67"/>
  <c r="AV400" i="67"/>
  <c r="AV855" i="67"/>
  <c r="AV704" i="67"/>
  <c r="AV552" i="67"/>
  <c r="AV247" i="67"/>
  <c r="AV94" i="67"/>
  <c r="AP1009" i="67"/>
  <c r="AP1160" i="67"/>
  <c r="AP403" i="67"/>
  <c r="AP858" i="67"/>
  <c r="AP555" i="67"/>
  <c r="AP707" i="67"/>
  <c r="AP250" i="67"/>
  <c r="AP97" i="67"/>
  <c r="AJ1010" i="67"/>
  <c r="AJ1161" i="67"/>
  <c r="AJ404" i="67"/>
  <c r="AJ708" i="67"/>
  <c r="AJ859" i="67"/>
  <c r="AJ556" i="67"/>
  <c r="AJ98" i="67"/>
  <c r="AJ1314" i="67" s="1"/>
  <c r="AJ251" i="67"/>
  <c r="AD1011" i="67"/>
  <c r="AD1162" i="67"/>
  <c r="AD405" i="67"/>
  <c r="AD860" i="67"/>
  <c r="AD709" i="67"/>
  <c r="AD557" i="67"/>
  <c r="AD252" i="67"/>
  <c r="AD99" i="67"/>
  <c r="U1152" i="67"/>
  <c r="U1001" i="67"/>
  <c r="U395" i="67"/>
  <c r="U850" i="67"/>
  <c r="U547" i="67"/>
  <c r="U699" i="67"/>
  <c r="U242" i="67"/>
  <c r="AO48" i="68"/>
  <c r="U89" i="67"/>
  <c r="O1153" i="67"/>
  <c r="O1002" i="67"/>
  <c r="O396" i="67"/>
  <c r="O851" i="67"/>
  <c r="O548" i="67"/>
  <c r="O700" i="67"/>
  <c r="O90" i="67"/>
  <c r="O243" i="67"/>
  <c r="AU1153" i="67"/>
  <c r="AU1002" i="67"/>
  <c r="AU396" i="67"/>
  <c r="AU851" i="67"/>
  <c r="AU548" i="67"/>
  <c r="AU700" i="67"/>
  <c r="AU90" i="67"/>
  <c r="AU243" i="67"/>
  <c r="AU1024" i="67"/>
  <c r="AU1175" i="67"/>
  <c r="AU418" i="67"/>
  <c r="AU873" i="67"/>
  <c r="AU570" i="67"/>
  <c r="AU112" i="67"/>
  <c r="AU265" i="67"/>
  <c r="AU722" i="67"/>
  <c r="AU1328" i="67"/>
  <c r="AO1025" i="67"/>
  <c r="AO1176" i="67"/>
  <c r="AO419" i="67"/>
  <c r="AO571" i="67"/>
  <c r="AO874" i="67"/>
  <c r="AO723" i="67"/>
  <c r="AO113" i="67"/>
  <c r="AO1329" i="67" s="1"/>
  <c r="AO266" i="67"/>
  <c r="AI1026" i="67"/>
  <c r="AI1177" i="67"/>
  <c r="AI420" i="67"/>
  <c r="AI875" i="67"/>
  <c r="AI572" i="67"/>
  <c r="AI114" i="67"/>
  <c r="AI1330" i="67" s="1"/>
  <c r="AI267" i="67"/>
  <c r="AI724" i="67"/>
  <c r="AC1027" i="67"/>
  <c r="AC1178" i="67"/>
  <c r="AC421" i="67"/>
  <c r="AC573" i="67"/>
  <c r="AC876" i="67"/>
  <c r="AC115" i="67"/>
  <c r="AC1331" i="67" s="1"/>
  <c r="AC268" i="67"/>
  <c r="AC725" i="67"/>
  <c r="W1030" i="67"/>
  <c r="W1181" i="67"/>
  <c r="W424" i="67"/>
  <c r="W879" i="67"/>
  <c r="W576" i="67"/>
  <c r="W118" i="67"/>
  <c r="W271" i="67"/>
  <c r="W728" i="67"/>
  <c r="W1334" i="67"/>
  <c r="Q1161" i="67"/>
  <c r="Q1010" i="67"/>
  <c r="Q404" i="67"/>
  <c r="Q859" i="67"/>
  <c r="Q708" i="67"/>
  <c r="Q556" i="67"/>
  <c r="Q98" i="67"/>
  <c r="Q251" i="67"/>
  <c r="AW1031" i="67"/>
  <c r="AW1182" i="67"/>
  <c r="AW425" i="67"/>
  <c r="AW577" i="67"/>
  <c r="AW880" i="67"/>
  <c r="AW729" i="67"/>
  <c r="AW119" i="67"/>
  <c r="AW272" i="67"/>
  <c r="Z1001" i="67"/>
  <c r="Z1152" i="67"/>
  <c r="Z395" i="67"/>
  <c r="Z850" i="67"/>
  <c r="Z699" i="67"/>
  <c r="Z547" i="67"/>
  <c r="Z89" i="67"/>
  <c r="Z1305" i="67" s="1"/>
  <c r="Z242" i="67"/>
  <c r="AT48" i="68"/>
  <c r="T1002" i="67"/>
  <c r="T1153" i="67"/>
  <c r="T396" i="67"/>
  <c r="T851" i="67"/>
  <c r="T548" i="67"/>
  <c r="T700" i="67"/>
  <c r="T90" i="67"/>
  <c r="T243" i="67"/>
  <c r="T1154" i="67"/>
  <c r="T1003" i="67"/>
  <c r="T397" i="67"/>
  <c r="T852" i="67"/>
  <c r="T549" i="67"/>
  <c r="T91" i="67"/>
  <c r="T1307" i="67" s="1"/>
  <c r="T701" i="67"/>
  <c r="T244" i="67"/>
  <c r="N1155" i="67"/>
  <c r="N1004" i="67"/>
  <c r="N398" i="67"/>
  <c r="N853" i="67"/>
  <c r="N550" i="67"/>
  <c r="N702" i="67"/>
  <c r="N92" i="67"/>
  <c r="N245" i="67"/>
  <c r="AT1155" i="67"/>
  <c r="AT1004" i="67"/>
  <c r="AT398" i="67"/>
  <c r="AT853" i="67"/>
  <c r="AT550" i="67"/>
  <c r="AT702" i="67"/>
  <c r="AT92" i="67"/>
  <c r="AT245" i="67"/>
  <c r="AN1156" i="67"/>
  <c r="AN1005" i="67"/>
  <c r="AN399" i="67"/>
  <c r="AN854" i="67"/>
  <c r="AN551" i="67"/>
  <c r="AN703" i="67"/>
  <c r="AN93" i="67"/>
  <c r="AN246" i="67"/>
  <c r="AN1309" i="67"/>
  <c r="AH1157" i="67"/>
  <c r="AH1006" i="67"/>
  <c r="AH400" i="67"/>
  <c r="AH855" i="67"/>
  <c r="AH552" i="67"/>
  <c r="AH704" i="67"/>
  <c r="AH94" i="67"/>
  <c r="AH247" i="67"/>
  <c r="AB1009" i="67"/>
  <c r="AB1160" i="67"/>
  <c r="AB403" i="67"/>
  <c r="AB858" i="67"/>
  <c r="AB555" i="67"/>
  <c r="AB707" i="67"/>
  <c r="AB97" i="67"/>
  <c r="AB250" i="67"/>
  <c r="V1010" i="67"/>
  <c r="V1161" i="67"/>
  <c r="V404" i="67"/>
  <c r="V859" i="67"/>
  <c r="V556" i="67"/>
  <c r="V708" i="67"/>
  <c r="V98" i="67"/>
  <c r="V1314" i="67" s="1"/>
  <c r="V251" i="67"/>
  <c r="P1011" i="67"/>
  <c r="P1162" i="67"/>
  <c r="P405" i="67"/>
  <c r="P860" i="67"/>
  <c r="P557" i="67"/>
  <c r="P709" i="67"/>
  <c r="P99" i="67"/>
  <c r="P1315" i="67" s="1"/>
  <c r="P252" i="67"/>
  <c r="O1152" i="67"/>
  <c r="O1001" i="67"/>
  <c r="O395" i="67"/>
  <c r="O850" i="67"/>
  <c r="O699" i="67"/>
  <c r="O547" i="67"/>
  <c r="O242" i="67"/>
  <c r="AI48" i="68"/>
  <c r="O89" i="67"/>
  <c r="AI1155" i="67"/>
  <c r="AI1004" i="67"/>
  <c r="AI398" i="67"/>
  <c r="AI853" i="67"/>
  <c r="AI550" i="67"/>
  <c r="AI702" i="67"/>
  <c r="AI92" i="67"/>
  <c r="AI245" i="67"/>
  <c r="AI1308" i="67"/>
  <c r="AW1160" i="67"/>
  <c r="AW1009" i="67"/>
  <c r="AW403" i="67"/>
  <c r="AW555" i="67"/>
  <c r="AW707" i="67"/>
  <c r="AW858" i="67"/>
  <c r="AW97" i="67"/>
  <c r="AW250" i="67"/>
  <c r="S1163" i="67"/>
  <c r="S1012" i="67"/>
  <c r="S406" i="67"/>
  <c r="S861" i="67"/>
  <c r="S558" i="67"/>
  <c r="S710" i="67"/>
  <c r="S100" i="67"/>
  <c r="S1316" i="67" s="1"/>
  <c r="S253" i="67"/>
  <c r="K1032" i="67"/>
  <c r="K1183" i="67"/>
  <c r="K426" i="67"/>
  <c r="K881" i="67"/>
  <c r="K120" i="67"/>
  <c r="K273" i="67"/>
  <c r="K1336" i="67" s="1"/>
  <c r="K578" i="67"/>
  <c r="K730" i="67"/>
  <c r="K1184" i="67"/>
  <c r="K1033" i="67"/>
  <c r="K274" i="67"/>
  <c r="K731" i="67"/>
  <c r="K427" i="67"/>
  <c r="K579" i="67"/>
  <c r="K882" i="67"/>
  <c r="K121" i="67"/>
  <c r="K1337" i="67"/>
  <c r="W1155" i="67"/>
  <c r="W1004" i="67"/>
  <c r="W398" i="67"/>
  <c r="W853" i="67"/>
  <c r="W550" i="67"/>
  <c r="W702" i="67"/>
  <c r="W92" i="67"/>
  <c r="W1308" i="67" s="1"/>
  <c r="W245" i="67"/>
  <c r="AK1160" i="67"/>
  <c r="AK1009" i="67"/>
  <c r="AK403" i="67"/>
  <c r="AK858" i="67"/>
  <c r="AK555" i="67"/>
  <c r="AK97" i="67"/>
  <c r="AK1313" i="67" s="1"/>
  <c r="AK707" i="67"/>
  <c r="AK250" i="67"/>
  <c r="P1184" i="67"/>
  <c r="P1033" i="67"/>
  <c r="P427" i="67"/>
  <c r="P882" i="67"/>
  <c r="P579" i="67"/>
  <c r="P121" i="67"/>
  <c r="P1337" i="67" s="1"/>
  <c r="P731" i="67"/>
  <c r="P274" i="67"/>
  <c r="K1161" i="67"/>
  <c r="K1010" i="67"/>
  <c r="K404" i="67"/>
  <c r="K859" i="67"/>
  <c r="K556" i="67"/>
  <c r="K708" i="67"/>
  <c r="K98" i="67"/>
  <c r="K251" i="67"/>
  <c r="K1314" i="67"/>
  <c r="M1160" i="67"/>
  <c r="M1009" i="67"/>
  <c r="M403" i="67"/>
  <c r="M1313" i="67" s="1"/>
  <c r="M858" i="67"/>
  <c r="M97" i="67"/>
  <c r="M250" i="67"/>
  <c r="M555" i="67"/>
  <c r="M707" i="67"/>
  <c r="K1022" i="67"/>
  <c r="K1173" i="67"/>
  <c r="K416" i="67"/>
  <c r="K871" i="67"/>
  <c r="K720" i="67"/>
  <c r="K110" i="67"/>
  <c r="K1326" i="67" s="1"/>
  <c r="K263" i="67"/>
  <c r="K568" i="67"/>
  <c r="AA1155" i="67"/>
  <c r="AA1004" i="67"/>
  <c r="AA398" i="67"/>
  <c r="AA702" i="67"/>
  <c r="AA853" i="67"/>
  <c r="AA550" i="67"/>
  <c r="AA245" i="67"/>
  <c r="AA92" i="67"/>
  <c r="AO1160" i="67"/>
  <c r="AO1009" i="67"/>
  <c r="AO403" i="67"/>
  <c r="AO858" i="67"/>
  <c r="AO707" i="67"/>
  <c r="AO555" i="67"/>
  <c r="AO250" i="67"/>
  <c r="AO97" i="67"/>
  <c r="Q1012" i="67"/>
  <c r="Q1163" i="67"/>
  <c r="Q406" i="67"/>
  <c r="Q861" i="67"/>
  <c r="Q710" i="67"/>
  <c r="Q558" i="67"/>
  <c r="Q100" i="67"/>
  <c r="Q253" i="67"/>
  <c r="AW1012" i="67"/>
  <c r="AW1163" i="67"/>
  <c r="AW406" i="67"/>
  <c r="AW861" i="67"/>
  <c r="AW710" i="67"/>
  <c r="AW558" i="67"/>
  <c r="AW100" i="67"/>
  <c r="AW253" i="67"/>
  <c r="AC1160" i="67"/>
  <c r="AC1009" i="67"/>
  <c r="AC403" i="67"/>
  <c r="AC858" i="67"/>
  <c r="AC97" i="67"/>
  <c r="AC1313" i="67" s="1"/>
  <c r="AC250" i="67"/>
  <c r="AC555" i="67"/>
  <c r="AC707" i="67"/>
  <c r="AW1174" i="67"/>
  <c r="AW1023" i="67"/>
  <c r="AW417" i="67"/>
  <c r="AW569" i="67"/>
  <c r="AW872" i="67"/>
  <c r="AW111" i="67"/>
  <c r="AW264" i="67"/>
  <c r="AW721" i="67"/>
  <c r="AM1161" i="67"/>
  <c r="AM1010" i="67"/>
  <c r="AM404" i="67"/>
  <c r="AM859" i="67"/>
  <c r="AM556" i="67"/>
  <c r="AM708" i="67"/>
  <c r="AM251" i="67"/>
  <c r="AM98" i="67"/>
  <c r="L1152" i="67"/>
  <c r="L1001" i="67"/>
  <c r="L395" i="67"/>
  <c r="L699" i="67"/>
  <c r="L850" i="67"/>
  <c r="L547" i="67"/>
  <c r="L242" i="67"/>
  <c r="L89" i="67"/>
  <c r="AF48" i="68"/>
  <c r="AR1152" i="67"/>
  <c r="AR1001" i="67"/>
  <c r="AR395" i="67"/>
  <c r="AR850" i="67"/>
  <c r="AR699" i="67"/>
  <c r="AR547" i="67"/>
  <c r="AR242" i="67"/>
  <c r="AR89" i="67"/>
  <c r="BL48" i="68"/>
  <c r="AL1153" i="67"/>
  <c r="AL1002" i="67"/>
  <c r="AL396" i="67"/>
  <c r="AL700" i="67"/>
  <c r="AL851" i="67"/>
  <c r="AL548" i="67"/>
  <c r="AL90" i="67"/>
  <c r="AL243" i="67"/>
  <c r="AL1306" i="67"/>
  <c r="AL1003" i="67"/>
  <c r="AL1154" i="67"/>
  <c r="AL397" i="67"/>
  <c r="AL549" i="67"/>
  <c r="AL701" i="67"/>
  <c r="AL852" i="67"/>
  <c r="AL91" i="67"/>
  <c r="AL1307" i="67" s="1"/>
  <c r="AL244" i="67"/>
  <c r="AF1004" i="67"/>
  <c r="AF1155" i="67"/>
  <c r="AF398" i="67"/>
  <c r="AF853" i="67"/>
  <c r="AF550" i="67"/>
  <c r="AF702" i="67"/>
  <c r="AF92" i="67"/>
  <c r="AF1308" i="67" s="1"/>
  <c r="AF245" i="67"/>
  <c r="Z1005" i="67"/>
  <c r="Z1156" i="67"/>
  <c r="Z399" i="67"/>
  <c r="Z854" i="67"/>
  <c r="Z551" i="67"/>
  <c r="Z703" i="67"/>
  <c r="Z93" i="67"/>
  <c r="Z1309" i="67" s="1"/>
  <c r="Z246" i="67"/>
  <c r="T1006" i="67"/>
  <c r="T1157" i="67"/>
  <c r="T400" i="67"/>
  <c r="T855" i="67"/>
  <c r="T94" i="67"/>
  <c r="T247" i="67"/>
  <c r="T1310" i="67" s="1"/>
  <c r="T552" i="67"/>
  <c r="T704" i="67"/>
  <c r="N1160" i="67"/>
  <c r="N1009" i="67"/>
  <c r="N403" i="67"/>
  <c r="N858" i="67"/>
  <c r="N555" i="67"/>
  <c r="N707" i="67"/>
  <c r="N97" i="67"/>
  <c r="N250" i="67"/>
  <c r="AT1160" i="67"/>
  <c r="AT1009" i="67"/>
  <c r="AT403" i="67"/>
  <c r="AT858" i="67"/>
  <c r="AT555" i="67"/>
  <c r="AT707" i="67"/>
  <c r="AT97" i="67"/>
  <c r="AT250" i="67"/>
  <c r="AT1313" i="67"/>
  <c r="AN1161" i="67"/>
  <c r="AN1010" i="67"/>
  <c r="AN404" i="67"/>
  <c r="AN859" i="67"/>
  <c r="AN556" i="67"/>
  <c r="AN708" i="67"/>
  <c r="AN98" i="67"/>
  <c r="AN251" i="67"/>
  <c r="AH1162" i="67"/>
  <c r="AH1011" i="67"/>
  <c r="AH405" i="67"/>
  <c r="AH860" i="67"/>
  <c r="AH557" i="67"/>
  <c r="AH709" i="67"/>
  <c r="AH252" i="67"/>
  <c r="AH99" i="67"/>
  <c r="AH1315" i="67" s="1"/>
  <c r="Y1152" i="67"/>
  <c r="Y1001" i="67"/>
  <c r="Y395" i="67"/>
  <c r="Y1305" i="67" s="1"/>
  <c r="Y850" i="67"/>
  <c r="Y89" i="67"/>
  <c r="Y242" i="67"/>
  <c r="Y547" i="67"/>
  <c r="Y699" i="67"/>
  <c r="AS48" i="68"/>
  <c r="S1153" i="67"/>
  <c r="S1002" i="67"/>
  <c r="S396" i="67"/>
  <c r="S851" i="67"/>
  <c r="S548" i="67"/>
  <c r="S90" i="67"/>
  <c r="S1306" i="67" s="1"/>
  <c r="S700" i="67"/>
  <c r="S243" i="67"/>
  <c r="S1003" i="67"/>
  <c r="S1154" i="67"/>
  <c r="S397" i="67"/>
  <c r="S852" i="67"/>
  <c r="S701" i="67"/>
  <c r="S549" i="67"/>
  <c r="S91" i="67"/>
  <c r="S244" i="67"/>
  <c r="S1307" i="67"/>
  <c r="M1155" i="67"/>
  <c r="M1004" i="67"/>
  <c r="M398" i="67"/>
  <c r="M853" i="67"/>
  <c r="M550" i="67"/>
  <c r="M702" i="67"/>
  <c r="M92" i="67"/>
  <c r="M245" i="67"/>
  <c r="AS1155" i="67"/>
  <c r="AS1004" i="67"/>
  <c r="AS398" i="67"/>
  <c r="AS853" i="67"/>
  <c r="AS550" i="67"/>
  <c r="AS702" i="67"/>
  <c r="AS92" i="67"/>
  <c r="AS245" i="67"/>
  <c r="AM1156" i="67"/>
  <c r="AM1005" i="67"/>
  <c r="AM399" i="67"/>
  <c r="AM703" i="67"/>
  <c r="AM854" i="67"/>
  <c r="AM551" i="67"/>
  <c r="AM246" i="67"/>
  <c r="AM93" i="67"/>
  <c r="AM1309" i="67" s="1"/>
  <c r="AG1157" i="67"/>
  <c r="AG1006" i="67"/>
  <c r="AG400" i="67"/>
  <c r="AG855" i="67"/>
  <c r="AG552" i="67"/>
  <c r="AG704" i="67"/>
  <c r="AG94" i="67"/>
  <c r="AG1310" i="67" s="1"/>
  <c r="AG247" i="67"/>
  <c r="AA1009" i="67"/>
  <c r="AA1160" i="67"/>
  <c r="AA403" i="67"/>
  <c r="AA858" i="67"/>
  <c r="AA707" i="67"/>
  <c r="AA555" i="67"/>
  <c r="AA97" i="67"/>
  <c r="AA1313" i="67" s="1"/>
  <c r="AA250" i="67"/>
  <c r="U1010" i="67"/>
  <c r="U1161" i="67"/>
  <c r="U404" i="67"/>
  <c r="U859" i="67"/>
  <c r="U556" i="67"/>
  <c r="U708" i="67"/>
  <c r="U98" i="67"/>
  <c r="U251" i="67"/>
  <c r="O1011" i="67"/>
  <c r="O1162" i="67"/>
  <c r="O405" i="67"/>
  <c r="O860" i="67"/>
  <c r="O709" i="67"/>
  <c r="O557" i="67"/>
  <c r="O1315" i="67" s="1"/>
  <c r="O99" i="67"/>
  <c r="O252" i="67"/>
  <c r="AD1152" i="67"/>
  <c r="AD1001" i="67"/>
  <c r="AD395" i="67"/>
  <c r="AD850" i="67"/>
  <c r="AD547" i="67"/>
  <c r="AD89" i="67"/>
  <c r="AD699" i="67"/>
  <c r="AD242" i="67"/>
  <c r="AX48" i="68"/>
  <c r="X1153" i="67"/>
  <c r="X1002" i="67"/>
  <c r="X396" i="67"/>
  <c r="X700" i="67"/>
  <c r="X851" i="67"/>
  <c r="X548" i="67"/>
  <c r="X243" i="67"/>
  <c r="X90" i="67"/>
  <c r="X1306" i="67" s="1"/>
  <c r="X1154" i="67"/>
  <c r="X1003" i="67"/>
  <c r="X397" i="67"/>
  <c r="X852" i="67"/>
  <c r="X549" i="67"/>
  <c r="X701" i="67"/>
  <c r="X91" i="67"/>
  <c r="X244" i="67"/>
  <c r="R1155" i="67"/>
  <c r="R1004" i="67"/>
  <c r="R398" i="67"/>
  <c r="R853" i="67"/>
  <c r="R550" i="67"/>
  <c r="R702" i="67"/>
  <c r="R92" i="67"/>
  <c r="R1308" i="67" s="1"/>
  <c r="R245" i="67"/>
  <c r="L1156" i="67"/>
  <c r="L1005" i="67"/>
  <c r="L399" i="67"/>
  <c r="L854" i="67"/>
  <c r="L551" i="67"/>
  <c r="L703" i="67"/>
  <c r="L93" i="67"/>
  <c r="L1309" i="67" s="1"/>
  <c r="L246" i="67"/>
  <c r="AR1156" i="67"/>
  <c r="AR1005" i="67"/>
  <c r="AR399" i="67"/>
  <c r="AR854" i="67"/>
  <c r="AR551" i="67"/>
  <c r="AR703" i="67"/>
  <c r="AR1309" i="67" s="1"/>
  <c r="AR93" i="67"/>
  <c r="AR246" i="67"/>
  <c r="AL1157" i="67"/>
  <c r="AL1006" i="67"/>
  <c r="AL400" i="67"/>
  <c r="AL552" i="67"/>
  <c r="AL704" i="67"/>
  <c r="AL855" i="67"/>
  <c r="AL247" i="67"/>
  <c r="AL94" i="67"/>
  <c r="AF1009" i="67"/>
  <c r="AF1160" i="67"/>
  <c r="AF403" i="67"/>
  <c r="AF858" i="67"/>
  <c r="AF555" i="67"/>
  <c r="AF707" i="67"/>
  <c r="AF97" i="67"/>
  <c r="AF250" i="67"/>
  <c r="Z1010" i="67"/>
  <c r="Z1161" i="67"/>
  <c r="Z404" i="67"/>
  <c r="Z859" i="67"/>
  <c r="Z556" i="67"/>
  <c r="Z708" i="67"/>
  <c r="Z98" i="67"/>
  <c r="Z251" i="67"/>
  <c r="Z1314" i="67"/>
  <c r="T1011" i="67"/>
  <c r="T1162" i="67"/>
  <c r="T405" i="67"/>
  <c r="T1315" i="67" s="1"/>
  <c r="T860" i="67"/>
  <c r="T99" i="67"/>
  <c r="T252" i="67"/>
  <c r="T557" i="67"/>
  <c r="T709" i="67"/>
  <c r="AE1001" i="67"/>
  <c r="AE1152" i="67"/>
  <c r="AE395" i="67"/>
  <c r="AE699" i="67"/>
  <c r="AE850" i="67"/>
  <c r="AE547" i="67"/>
  <c r="AE242" i="67"/>
  <c r="AE89" i="67"/>
  <c r="AY48" i="68"/>
  <c r="M1156" i="67"/>
  <c r="M1005" i="67"/>
  <c r="M399" i="67"/>
  <c r="M551" i="67"/>
  <c r="M703" i="67"/>
  <c r="M854" i="67"/>
  <c r="M246" i="67"/>
  <c r="M93" i="67"/>
  <c r="AA1161" i="67"/>
  <c r="AA1010" i="67"/>
  <c r="AA404" i="67"/>
  <c r="AA859" i="67"/>
  <c r="AA556" i="67"/>
  <c r="AA708" i="67"/>
  <c r="AA1314" i="67" s="1"/>
  <c r="AA98" i="67"/>
  <c r="AA251" i="67"/>
  <c r="W1163" i="67"/>
  <c r="W1012" i="67"/>
  <c r="W406" i="67"/>
  <c r="W861" i="67"/>
  <c r="W710" i="67"/>
  <c r="W558" i="67"/>
  <c r="W100" i="67"/>
  <c r="W253" i="67"/>
  <c r="K1156" i="67"/>
  <c r="K1005" i="67"/>
  <c r="K399" i="67"/>
  <c r="K854" i="67"/>
  <c r="K703" i="67"/>
  <c r="K551" i="67"/>
  <c r="K93" i="67"/>
  <c r="K246" i="67"/>
  <c r="S1173" i="67"/>
  <c r="S1022" i="67"/>
  <c r="S416" i="67"/>
  <c r="S568" i="67"/>
  <c r="S871" i="67"/>
  <c r="S110" i="67"/>
  <c r="S263" i="67"/>
  <c r="S720" i="67"/>
  <c r="S1326" i="67"/>
  <c r="AM1155" i="67"/>
  <c r="AM1004" i="67"/>
  <c r="AM398" i="67"/>
  <c r="AM853" i="67"/>
  <c r="AM702" i="67"/>
  <c r="AM550" i="67"/>
  <c r="AM92" i="67"/>
  <c r="AM245" i="67"/>
  <c r="O1161" i="67"/>
  <c r="O1010" i="67"/>
  <c r="O404" i="67"/>
  <c r="O859" i="67"/>
  <c r="O708" i="67"/>
  <c r="O556" i="67"/>
  <c r="O98" i="67"/>
  <c r="O251" i="67"/>
  <c r="T1033" i="67"/>
  <c r="T1184" i="67"/>
  <c r="T427" i="67"/>
  <c r="T882" i="67"/>
  <c r="T731" i="67"/>
  <c r="T579" i="67"/>
  <c r="T121" i="67"/>
  <c r="T1337" i="67" s="1"/>
  <c r="T274" i="67"/>
  <c r="K1153" i="67"/>
  <c r="K1002" i="67"/>
  <c r="K396" i="67"/>
  <c r="K851" i="67"/>
  <c r="K548" i="67"/>
  <c r="K700" i="67"/>
  <c r="K90" i="67"/>
  <c r="K1306" i="67" s="1"/>
  <c r="K243" i="67"/>
  <c r="AS1160" i="67"/>
  <c r="AS1009" i="67"/>
  <c r="AS403" i="67"/>
  <c r="AS858" i="67"/>
  <c r="AS555" i="67"/>
  <c r="AS707" i="67"/>
  <c r="AS250" i="67"/>
  <c r="AS97" i="67"/>
  <c r="W1173" i="67"/>
  <c r="W1022" i="67"/>
  <c r="W416" i="67"/>
  <c r="W871" i="67"/>
  <c r="W568" i="67"/>
  <c r="W110" i="67"/>
  <c r="W263" i="67"/>
  <c r="W720" i="67"/>
  <c r="S1161" i="67"/>
  <c r="S1010" i="67"/>
  <c r="S404" i="67"/>
  <c r="S859" i="67"/>
  <c r="S708" i="67"/>
  <c r="S556" i="67"/>
  <c r="S251" i="67"/>
  <c r="S98" i="67"/>
  <c r="U1163" i="67"/>
  <c r="U1012" i="67"/>
  <c r="U406" i="67"/>
  <c r="U861" i="67"/>
  <c r="U558" i="67"/>
  <c r="U710" i="67"/>
  <c r="U100" i="67"/>
  <c r="U1316" i="67" s="1"/>
  <c r="U253" i="67"/>
  <c r="K1024" i="67"/>
  <c r="K1175" i="67"/>
  <c r="K873" i="67"/>
  <c r="K112" i="67"/>
  <c r="K722" i="67"/>
  <c r="K265" i="67"/>
  <c r="K1328" i="67" s="1"/>
  <c r="K418" i="67"/>
  <c r="K570" i="67"/>
  <c r="P1152" i="67"/>
  <c r="P1001" i="67"/>
  <c r="P395" i="67"/>
  <c r="P850" i="67"/>
  <c r="P699" i="67"/>
  <c r="P547" i="67"/>
  <c r="P242" i="67"/>
  <c r="AJ48" i="68"/>
  <c r="P89" i="67"/>
  <c r="AV1152" i="67"/>
  <c r="AV1001" i="67"/>
  <c r="AV395" i="67"/>
  <c r="AV850" i="67"/>
  <c r="AV699" i="67"/>
  <c r="AV547" i="67"/>
  <c r="AV242" i="67"/>
  <c r="BP48" i="68"/>
  <c r="AV89" i="67"/>
  <c r="AV1305" i="67" s="1"/>
  <c r="AP1153" i="67"/>
  <c r="AP1002" i="67"/>
  <c r="AP396" i="67"/>
  <c r="AP851" i="67"/>
  <c r="AP548" i="67"/>
  <c r="AP700" i="67"/>
  <c r="AP90" i="67"/>
  <c r="AP243" i="67"/>
  <c r="AP1154" i="67"/>
  <c r="AP1003" i="67"/>
  <c r="AP397" i="67"/>
  <c r="AP852" i="67"/>
  <c r="AP549" i="67"/>
  <c r="AP701" i="67"/>
  <c r="AP91" i="67"/>
  <c r="AP244" i="67"/>
  <c r="AJ1155" i="67"/>
  <c r="AJ1004" i="67"/>
  <c r="AJ398" i="67"/>
  <c r="AJ853" i="67"/>
  <c r="AJ550" i="67"/>
  <c r="AJ702" i="67"/>
  <c r="AJ245" i="67"/>
  <c r="AJ92" i="67"/>
  <c r="AJ1308" i="67" s="1"/>
  <c r="AD1156" i="67"/>
  <c r="AD1005" i="67"/>
  <c r="AD399" i="67"/>
  <c r="AD1309" i="67" s="1"/>
  <c r="AD854" i="67"/>
  <c r="AD93" i="67"/>
  <c r="AD246" i="67"/>
  <c r="AD551" i="67"/>
  <c r="AD703" i="67"/>
  <c r="X1157" i="67"/>
  <c r="X1006" i="67"/>
  <c r="X400" i="67"/>
  <c r="X552" i="67"/>
  <c r="X704" i="67"/>
  <c r="X855" i="67"/>
  <c r="X94" i="67"/>
  <c r="X1310" i="67" s="1"/>
  <c r="X247" i="67"/>
  <c r="R1009" i="67"/>
  <c r="R1160" i="67"/>
  <c r="R403" i="67"/>
  <c r="R858" i="67"/>
  <c r="R707" i="67"/>
  <c r="R555" i="67"/>
  <c r="R97" i="67"/>
  <c r="R250" i="67"/>
  <c r="L1010" i="67"/>
  <c r="L1161" i="67"/>
  <c r="L404" i="67"/>
  <c r="L859" i="67"/>
  <c r="L556" i="67"/>
  <c r="L708" i="67"/>
  <c r="L251" i="67"/>
  <c r="L98" i="67"/>
  <c r="AR1010" i="67"/>
  <c r="AR1161" i="67"/>
  <c r="AR404" i="67"/>
  <c r="AR859" i="67"/>
  <c r="AR556" i="67"/>
  <c r="AR708" i="67"/>
  <c r="AR251" i="67"/>
  <c r="AR98" i="67"/>
  <c r="AL1011" i="67"/>
  <c r="AL1162" i="67"/>
  <c r="AL405" i="67"/>
  <c r="AL860" i="67"/>
  <c r="AL557" i="67"/>
  <c r="AL709" i="67"/>
  <c r="AL1315" i="67" s="1"/>
  <c r="AL99" i="67"/>
  <c r="AL252" i="67"/>
  <c r="AC1152" i="67"/>
  <c r="AC1001" i="67"/>
  <c r="AC395" i="67"/>
  <c r="AC850" i="67"/>
  <c r="AC699" i="67"/>
  <c r="AC547" i="67"/>
  <c r="AC89" i="67"/>
  <c r="AC1305" i="67" s="1"/>
  <c r="AW48" i="68"/>
  <c r="AC242" i="67"/>
  <c r="W1153" i="67"/>
  <c r="W1002" i="67"/>
  <c r="W396" i="67"/>
  <c r="W851" i="67"/>
  <c r="W700" i="67"/>
  <c r="W548" i="67"/>
  <c r="W90" i="67"/>
  <c r="W1306" i="67" s="1"/>
  <c r="W243" i="67"/>
  <c r="W1024" i="67"/>
  <c r="W1175" i="67"/>
  <c r="W418" i="67"/>
  <c r="W570" i="67"/>
  <c r="W873" i="67"/>
  <c r="W112" i="67"/>
  <c r="W1328" i="67" s="1"/>
  <c r="W265" i="67"/>
  <c r="W722" i="67"/>
  <c r="Q1025" i="67"/>
  <c r="Q1176" i="67"/>
  <c r="Q419" i="67"/>
  <c r="Q571" i="67"/>
  <c r="Q874" i="67"/>
  <c r="Q266" i="67"/>
  <c r="Q113" i="67"/>
  <c r="Q723" i="67"/>
  <c r="Q1329" i="67"/>
  <c r="AW1025" i="67"/>
  <c r="AW1176" i="67"/>
  <c r="AW419" i="67"/>
  <c r="AW571" i="67"/>
  <c r="AW874" i="67"/>
  <c r="AW266" i="67"/>
  <c r="AW113" i="67"/>
  <c r="AW723" i="67"/>
  <c r="AQ1026" i="67"/>
  <c r="AQ1177" i="67"/>
  <c r="AQ420" i="67"/>
  <c r="AQ572" i="67"/>
  <c r="AQ875" i="67"/>
  <c r="AQ114" i="67"/>
  <c r="AQ1330" i="67" s="1"/>
  <c r="AQ267" i="67"/>
  <c r="AQ724" i="67"/>
  <c r="AK1006" i="67"/>
  <c r="AK1157" i="67"/>
  <c r="AK400" i="67"/>
  <c r="AK855" i="67"/>
  <c r="AK552" i="67"/>
  <c r="AK704" i="67"/>
  <c r="AK1310" i="67" s="1"/>
  <c r="AK94" i="67"/>
  <c r="AK247" i="67"/>
  <c r="AE1160" i="67"/>
  <c r="AE1009" i="67"/>
  <c r="AE403" i="67"/>
  <c r="AE858" i="67"/>
  <c r="AE555" i="67"/>
  <c r="AE707" i="67"/>
  <c r="AE97" i="67"/>
  <c r="AE250" i="67"/>
  <c r="Y1161" i="67"/>
  <c r="Y1010" i="67"/>
  <c r="Y404" i="67"/>
  <c r="Y859" i="67"/>
  <c r="Y556" i="67"/>
  <c r="Y708" i="67"/>
  <c r="Y98" i="67"/>
  <c r="Y251" i="67"/>
  <c r="S1162" i="67"/>
  <c r="S1011" i="67"/>
  <c r="S405" i="67"/>
  <c r="S860" i="67"/>
  <c r="S557" i="67"/>
  <c r="S709" i="67"/>
  <c r="S99" i="67"/>
  <c r="S252" i="67"/>
  <c r="AH1001" i="67"/>
  <c r="AH1152" i="67"/>
  <c r="AH395" i="67"/>
  <c r="AH850" i="67"/>
  <c r="AH547" i="67"/>
  <c r="AH699" i="67"/>
  <c r="AH242" i="67"/>
  <c r="AH89" i="67"/>
  <c r="AH1305" i="67" s="1"/>
  <c r="BB48" i="68"/>
  <c r="AB1002" i="67"/>
  <c r="AB1153" i="67"/>
  <c r="AB396" i="67"/>
  <c r="AB851" i="67"/>
  <c r="AB90" i="67"/>
  <c r="AB243" i="67"/>
  <c r="AB1306" i="67" s="1"/>
  <c r="AB548" i="67"/>
  <c r="AB700" i="67"/>
  <c r="AB1154" i="67"/>
  <c r="AB1003" i="67"/>
  <c r="AB397" i="67"/>
  <c r="AB852" i="67"/>
  <c r="AB549" i="67"/>
  <c r="AB91" i="67"/>
  <c r="AB1307" i="67" s="1"/>
  <c r="AB701" i="67"/>
  <c r="AB244" i="67"/>
  <c r="V1155" i="67"/>
  <c r="V1004" i="67"/>
  <c r="V398" i="67"/>
  <c r="V853" i="67"/>
  <c r="V702" i="67"/>
  <c r="V550" i="67"/>
  <c r="V1308" i="67" s="1"/>
  <c r="V92" i="67"/>
  <c r="V245" i="67"/>
  <c r="P1156" i="67"/>
  <c r="P1005" i="67"/>
  <c r="P399" i="67"/>
  <c r="P854" i="67"/>
  <c r="P703" i="67"/>
  <c r="P551" i="67"/>
  <c r="P93" i="67"/>
  <c r="P246" i="67"/>
  <c r="AV1156" i="67"/>
  <c r="AV1005" i="67"/>
  <c r="AV399" i="67"/>
  <c r="AV854" i="67"/>
  <c r="AV703" i="67"/>
  <c r="AV551" i="67"/>
  <c r="AV93" i="67"/>
  <c r="AV246" i="67"/>
  <c r="AV1309" i="67"/>
  <c r="AP1157" i="67"/>
  <c r="AP1006" i="67"/>
  <c r="AP400" i="67"/>
  <c r="AP1310" i="67" s="1"/>
  <c r="AP855" i="67"/>
  <c r="AP94" i="67"/>
  <c r="AP247" i="67"/>
  <c r="AP552" i="67"/>
  <c r="AP704" i="67"/>
  <c r="AJ1009" i="67"/>
  <c r="AJ1160" i="67"/>
  <c r="AJ403" i="67"/>
  <c r="AJ858" i="67"/>
  <c r="AJ97" i="67"/>
  <c r="AJ250" i="67"/>
  <c r="AJ1313" i="67" s="1"/>
  <c r="AJ555" i="67"/>
  <c r="AJ707" i="67"/>
  <c r="AD1010" i="67"/>
  <c r="AD1161" i="67"/>
  <c r="AD404" i="67"/>
  <c r="AD859" i="67"/>
  <c r="AD556" i="67"/>
  <c r="AD98" i="67"/>
  <c r="AD1314" i="67" s="1"/>
  <c r="AD708" i="67"/>
  <c r="AD251" i="67"/>
  <c r="X1011" i="67"/>
  <c r="X1162" i="67"/>
  <c r="X405" i="67"/>
  <c r="X860" i="67"/>
  <c r="X709" i="67"/>
  <c r="X557" i="67"/>
  <c r="X99" i="67"/>
  <c r="X252" i="67"/>
  <c r="X1315" i="67"/>
  <c r="AU1152" i="67"/>
  <c r="AU1001" i="67"/>
  <c r="AU395" i="67"/>
  <c r="AU850" i="67"/>
  <c r="AU699" i="67"/>
  <c r="AU547" i="67"/>
  <c r="AU242" i="67"/>
  <c r="BO48" i="68"/>
  <c r="AU89" i="67"/>
  <c r="AC1156" i="67"/>
  <c r="AC1005" i="67"/>
  <c r="AC399" i="67"/>
  <c r="AC854" i="67"/>
  <c r="AC551" i="67"/>
  <c r="AC703" i="67"/>
  <c r="AC246" i="67"/>
  <c r="AC93" i="67"/>
  <c r="AQ1161" i="67"/>
  <c r="AQ1010" i="67"/>
  <c r="AQ404" i="67"/>
  <c r="AQ859" i="67"/>
  <c r="AQ556" i="67"/>
  <c r="AQ708" i="67"/>
  <c r="AQ98" i="67"/>
  <c r="AQ1314" i="67" s="1"/>
  <c r="AQ251" i="67"/>
  <c r="AA1163" i="67"/>
  <c r="AA1012" i="67"/>
  <c r="AA406" i="67"/>
  <c r="AA861" i="67"/>
  <c r="AA710" i="67"/>
  <c r="AA558" i="67"/>
  <c r="AA253" i="67"/>
  <c r="AA100" i="67"/>
  <c r="AR1163" i="67"/>
  <c r="AR1012" i="67"/>
  <c r="AR406" i="67"/>
  <c r="AR861" i="67"/>
  <c r="AR558" i="67"/>
  <c r="AR710" i="67"/>
  <c r="AR100" i="67"/>
  <c r="AR253" i="67"/>
  <c r="AI1173" i="67"/>
  <c r="AI1022" i="67"/>
  <c r="AI416" i="67"/>
  <c r="AI568" i="67"/>
  <c r="AI871" i="67"/>
  <c r="AI110" i="67"/>
  <c r="AI1326" i="67" s="1"/>
  <c r="AI263" i="67"/>
  <c r="AI720" i="67"/>
  <c r="Q1156" i="67"/>
  <c r="Q1005" i="67"/>
  <c r="Q399" i="67"/>
  <c r="Q854" i="67"/>
  <c r="Q551" i="67"/>
  <c r="Q703" i="67"/>
  <c r="Q93" i="67"/>
  <c r="Q246" i="67"/>
  <c r="AE1161" i="67"/>
  <c r="AE1010" i="67"/>
  <c r="AE404" i="67"/>
  <c r="AE859" i="67"/>
  <c r="AE708" i="67"/>
  <c r="AE556" i="67"/>
  <c r="AE1314" i="67" s="1"/>
  <c r="AE98" i="67"/>
  <c r="AE251" i="67"/>
  <c r="X1012" i="67"/>
  <c r="X1163" i="67"/>
  <c r="X406" i="67"/>
  <c r="X710" i="67"/>
  <c r="X861" i="67"/>
  <c r="X558" i="67"/>
  <c r="X100" i="67"/>
  <c r="X253" i="67"/>
  <c r="X1316" i="67"/>
  <c r="U1174" i="67"/>
  <c r="U1023" i="67"/>
  <c r="U417" i="67"/>
  <c r="U569" i="67"/>
  <c r="U872" i="67"/>
  <c r="U111" i="67"/>
  <c r="U264" i="67"/>
  <c r="U1327" i="67" s="1"/>
  <c r="U721" i="67"/>
  <c r="Q1162" i="67"/>
  <c r="Q1011" i="67"/>
  <c r="Q405" i="67"/>
  <c r="Q860" i="67"/>
  <c r="Q709" i="67"/>
  <c r="Q557" i="67"/>
  <c r="Q99" i="67"/>
  <c r="Q1315" i="67" s="1"/>
  <c r="Q252" i="67"/>
  <c r="AM1173" i="67"/>
  <c r="AM1022" i="67"/>
  <c r="AM416" i="67"/>
  <c r="AM568" i="67"/>
  <c r="AM871" i="67"/>
  <c r="AM110" i="67"/>
  <c r="AM1326" i="67" s="1"/>
  <c r="AM263" i="67"/>
  <c r="AM720" i="67"/>
  <c r="U1156" i="67"/>
  <c r="U1005" i="67"/>
  <c r="U399" i="67"/>
  <c r="U703" i="67"/>
  <c r="U854" i="67"/>
  <c r="U551" i="67"/>
  <c r="U93" i="67"/>
  <c r="U246" i="67"/>
  <c r="U1309" i="67"/>
  <c r="AI1161" i="67"/>
  <c r="AI1010" i="67"/>
  <c r="AI404" i="67"/>
  <c r="AI859" i="67"/>
  <c r="AI708" i="67"/>
  <c r="AI556" i="67"/>
  <c r="AI251" i="67"/>
  <c r="AI98" i="67"/>
  <c r="AI1314" i="67" s="1"/>
  <c r="Y1012" i="67"/>
  <c r="Y1163" i="67"/>
  <c r="Y406" i="67"/>
  <c r="Y861" i="67"/>
  <c r="Y558" i="67"/>
  <c r="Y710" i="67"/>
  <c r="Y100" i="67"/>
  <c r="Y1316" i="67" s="1"/>
  <c r="Y253" i="67"/>
  <c r="AQ1173" i="67"/>
  <c r="AQ1022" i="67"/>
  <c r="AQ416" i="67"/>
  <c r="AQ871" i="67"/>
  <c r="AQ568" i="67"/>
  <c r="AQ110" i="67"/>
  <c r="AQ1326" i="67" s="1"/>
  <c r="AQ263" i="67"/>
  <c r="AQ720" i="67"/>
  <c r="AE1011" i="67"/>
  <c r="AE1162" i="67"/>
  <c r="AE405" i="67"/>
  <c r="AE709" i="67"/>
  <c r="AE860" i="67"/>
  <c r="AE557" i="67"/>
  <c r="AE1315" i="67" s="1"/>
  <c r="AE99" i="67"/>
  <c r="AE252" i="67"/>
  <c r="O1175" i="67"/>
  <c r="O1024" i="67"/>
  <c r="O418" i="67"/>
  <c r="O873" i="67"/>
  <c r="O570" i="67"/>
  <c r="O112" i="67"/>
  <c r="O265" i="67"/>
  <c r="O722" i="67"/>
  <c r="O1328" i="67"/>
  <c r="T1152" i="67"/>
  <c r="T1001" i="67"/>
  <c r="T395" i="67"/>
  <c r="T850" i="67"/>
  <c r="T547" i="67"/>
  <c r="T699" i="67"/>
  <c r="T89" i="67"/>
  <c r="T1305" i="67" s="1"/>
  <c r="T242" i="67"/>
  <c r="AN48" i="68"/>
  <c r="N1153" i="67"/>
  <c r="N1002" i="67"/>
  <c r="N396" i="67"/>
  <c r="N851" i="67"/>
  <c r="N548" i="67"/>
  <c r="N700" i="67"/>
  <c r="N243" i="67"/>
  <c r="N90" i="67"/>
  <c r="AT1153" i="67"/>
  <c r="AT1002" i="67"/>
  <c r="AT396" i="67"/>
  <c r="AT851" i="67"/>
  <c r="AT548" i="67"/>
  <c r="AT700" i="67"/>
  <c r="AT243" i="67"/>
  <c r="AT90" i="67"/>
  <c r="AT1003" i="67"/>
  <c r="AT1154" i="67"/>
  <c r="AT397" i="67"/>
  <c r="AT852" i="67"/>
  <c r="AT701" i="67"/>
  <c r="AT549" i="67"/>
  <c r="AT244" i="67"/>
  <c r="AT91" i="67"/>
  <c r="AN1004" i="67"/>
  <c r="AN1155" i="67"/>
  <c r="AN398" i="67"/>
  <c r="AN853" i="67"/>
  <c r="AN92" i="67"/>
  <c r="AN245" i="67"/>
  <c r="AN1308" i="67" s="1"/>
  <c r="AN550" i="67"/>
  <c r="AN702" i="67"/>
  <c r="AH1005" i="67"/>
  <c r="AH1156" i="67"/>
  <c r="AH399" i="67"/>
  <c r="AH854" i="67"/>
  <c r="AH703" i="67"/>
  <c r="AH551" i="67"/>
  <c r="AH93" i="67"/>
  <c r="AH246" i="67"/>
  <c r="AB1006" i="67"/>
  <c r="AB1157" i="67"/>
  <c r="AB400" i="67"/>
  <c r="AB855" i="67"/>
  <c r="AB552" i="67"/>
  <c r="AB704" i="67"/>
  <c r="AB94" i="67"/>
  <c r="AB247" i="67"/>
  <c r="V1160" i="67"/>
  <c r="V1009" i="67"/>
  <c r="V403" i="67"/>
  <c r="V858" i="67"/>
  <c r="V707" i="67"/>
  <c r="V555" i="67"/>
  <c r="V250" i="67"/>
  <c r="V97" i="67"/>
  <c r="P1161" i="67"/>
  <c r="P1010" i="67"/>
  <c r="P404" i="67"/>
  <c r="P859" i="67"/>
  <c r="P98" i="67"/>
  <c r="P251" i="67"/>
  <c r="P556" i="67"/>
  <c r="P708" i="67"/>
  <c r="P1314" i="67"/>
  <c r="AV1161" i="67"/>
  <c r="AV1010" i="67"/>
  <c r="AV404" i="67"/>
  <c r="AV859" i="67"/>
  <c r="AV98" i="67"/>
  <c r="AV251" i="67"/>
  <c r="AV1314" i="67" s="1"/>
  <c r="AV556" i="67"/>
  <c r="AV708" i="67"/>
  <c r="AP1162" i="67"/>
  <c r="AP1011" i="67"/>
  <c r="AP405" i="67"/>
  <c r="AP860" i="67"/>
  <c r="AP709" i="67"/>
  <c r="AP557" i="67"/>
  <c r="AP99" i="67"/>
  <c r="AP1315" i="67" s="1"/>
  <c r="AP252" i="67"/>
  <c r="AG1152" i="67"/>
  <c r="AG1001" i="67"/>
  <c r="AG395" i="67"/>
  <c r="AG850" i="67"/>
  <c r="AG547" i="67"/>
  <c r="AG699" i="67"/>
  <c r="AG89" i="67"/>
  <c r="AG242" i="67"/>
  <c r="BA48" i="68"/>
  <c r="AA1153" i="67"/>
  <c r="AA1002" i="67"/>
  <c r="AA396" i="67"/>
  <c r="AA851" i="67"/>
  <c r="AA548" i="67"/>
  <c r="AA90" i="67"/>
  <c r="AA700" i="67"/>
  <c r="AA243" i="67"/>
  <c r="AA1024" i="67"/>
  <c r="AA1175" i="67"/>
  <c r="AA418" i="67"/>
  <c r="AA873" i="67"/>
  <c r="AA570" i="67"/>
  <c r="AA112" i="67"/>
  <c r="AA265" i="67"/>
  <c r="AA722" i="67"/>
  <c r="AA1328" i="67"/>
  <c r="U1025" i="67"/>
  <c r="U1176" i="67"/>
  <c r="U419" i="67"/>
  <c r="U571" i="67"/>
  <c r="U874" i="67"/>
  <c r="U113" i="67"/>
  <c r="U1329" i="67" s="1"/>
  <c r="U266" i="67"/>
  <c r="U723" i="67"/>
  <c r="O1026" i="67"/>
  <c r="O1177" i="67"/>
  <c r="O420" i="67"/>
  <c r="O572" i="67"/>
  <c r="O875" i="67"/>
  <c r="O114" i="67"/>
  <c r="O1330" i="67" s="1"/>
  <c r="O267" i="67"/>
  <c r="O724" i="67"/>
  <c r="AU1026" i="67"/>
  <c r="AU1177" i="67"/>
  <c r="AU420" i="67"/>
  <c r="AU875" i="67"/>
  <c r="AU572" i="67"/>
  <c r="AU114" i="67"/>
  <c r="AU1330" i="67" s="1"/>
  <c r="AU267" i="67"/>
  <c r="AU724" i="67"/>
  <c r="AO1157" i="67"/>
  <c r="AO1006" i="67"/>
  <c r="AO400" i="67"/>
  <c r="AO855" i="67"/>
  <c r="AO704" i="67"/>
  <c r="AO552" i="67"/>
  <c r="AO94" i="67"/>
  <c r="AO247" i="67"/>
  <c r="AO1310" i="67"/>
  <c r="AI1009" i="67"/>
  <c r="AI1160" i="67"/>
  <c r="AI403" i="67"/>
  <c r="AI555" i="67"/>
  <c r="AI707" i="67"/>
  <c r="AI858" i="67"/>
  <c r="AI250" i="67"/>
  <c r="AI97" i="67"/>
  <c r="AI1313" i="67" s="1"/>
  <c r="AC1010" i="67"/>
  <c r="AC1161" i="67"/>
  <c r="AC404" i="67"/>
  <c r="AC859" i="67"/>
  <c r="AC98" i="67"/>
  <c r="AC251" i="67"/>
  <c r="AC1314" i="67" s="1"/>
  <c r="AC556" i="67"/>
  <c r="AC708" i="67"/>
  <c r="W1011" i="67"/>
  <c r="W1162" i="67"/>
  <c r="W405" i="67"/>
  <c r="W557" i="67"/>
  <c r="W709" i="67"/>
  <c r="W860" i="67"/>
  <c r="W252" i="67"/>
  <c r="W99" i="67"/>
  <c r="AL1152" i="67"/>
  <c r="AL1001" i="67"/>
  <c r="AL395" i="67"/>
  <c r="AL1305" i="67" s="1"/>
  <c r="AL850" i="67"/>
  <c r="AL547" i="67"/>
  <c r="AL89" i="67"/>
  <c r="AL699" i="67"/>
  <c r="AL242" i="67"/>
  <c r="BF48" i="68"/>
  <c r="AF1153" i="67"/>
  <c r="AF1002" i="67"/>
  <c r="AF396" i="67"/>
  <c r="AF851" i="67"/>
  <c r="AF548" i="67"/>
  <c r="AF700" i="67"/>
  <c r="AF90" i="67"/>
  <c r="AF243" i="67"/>
  <c r="AF1306" i="67"/>
  <c r="AF1154" i="67"/>
  <c r="AF1003" i="67"/>
  <c r="AF397" i="67"/>
  <c r="AF852" i="67"/>
  <c r="AF701" i="67"/>
  <c r="AF549" i="67"/>
  <c r="AF91" i="67"/>
  <c r="AF244" i="67"/>
  <c r="Z1155" i="67"/>
  <c r="Z1004" i="67"/>
  <c r="Z398" i="67"/>
  <c r="Z853" i="67"/>
  <c r="Z702" i="67"/>
  <c r="Z550" i="67"/>
  <c r="Z245" i="67"/>
  <c r="Z92" i="67"/>
  <c r="Z1308" i="67" s="1"/>
  <c r="T1156" i="67"/>
  <c r="T1005" i="67"/>
  <c r="T399" i="67"/>
  <c r="T854" i="67"/>
  <c r="T703" i="67"/>
  <c r="T551" i="67"/>
  <c r="T246" i="67"/>
  <c r="T93" i="67"/>
  <c r="T1309" i="67" s="1"/>
  <c r="N1157" i="67"/>
  <c r="N1006" i="67"/>
  <c r="N400" i="67"/>
  <c r="N704" i="67"/>
  <c r="N855" i="67"/>
  <c r="N552" i="67"/>
  <c r="N94" i="67"/>
  <c r="N1310" i="67" s="1"/>
  <c r="N247" i="67"/>
  <c r="AT1157" i="67"/>
  <c r="AT1006" i="67"/>
  <c r="AT400" i="67"/>
  <c r="AT704" i="67"/>
  <c r="AT855" i="67"/>
  <c r="AT552" i="67"/>
  <c r="AT94" i="67"/>
  <c r="AT1310" i="67" s="1"/>
  <c r="AT247" i="67"/>
  <c r="AN1009" i="67"/>
  <c r="AN1160" i="67"/>
  <c r="AN403" i="67"/>
  <c r="AN858" i="67"/>
  <c r="AN707" i="67"/>
  <c r="AN555" i="67"/>
  <c r="AN1313" i="67" s="1"/>
  <c r="AN97" i="67"/>
  <c r="AN250" i="67"/>
  <c r="AH1010" i="67"/>
  <c r="AH1161" i="67"/>
  <c r="AH404" i="67"/>
  <c r="AH859" i="67"/>
  <c r="AH708" i="67"/>
  <c r="AH556" i="67"/>
  <c r="AH251" i="67"/>
  <c r="AH98" i="67"/>
  <c r="AB1011" i="67"/>
  <c r="AB1162" i="67"/>
  <c r="AB405" i="67"/>
  <c r="AB860" i="67"/>
  <c r="AB557" i="67"/>
  <c r="AB709" i="67"/>
  <c r="AB99" i="67"/>
  <c r="AB252" i="67"/>
  <c r="Y1002" i="67"/>
  <c r="Y1153" i="67"/>
  <c r="Y396" i="67"/>
  <c r="Y851" i="67"/>
  <c r="Y700" i="67"/>
  <c r="Y548" i="67"/>
  <c r="Y90" i="67"/>
  <c r="Y243" i="67"/>
  <c r="Y1306" i="67"/>
  <c r="AS1156" i="67"/>
  <c r="AS1005" i="67"/>
  <c r="AS399" i="67"/>
  <c r="AS551" i="67"/>
  <c r="AS703" i="67"/>
  <c r="AS854" i="67"/>
  <c r="AS246" i="67"/>
  <c r="AS93" i="67"/>
  <c r="AS1309" i="67" s="1"/>
  <c r="U1162" i="67"/>
  <c r="U1011" i="67"/>
  <c r="U405" i="67"/>
  <c r="U860" i="67"/>
  <c r="U557" i="67"/>
  <c r="U709" i="67"/>
  <c r="U99" i="67"/>
  <c r="U1315" i="67" s="1"/>
  <c r="U252" i="67"/>
  <c r="AE1163" i="67"/>
  <c r="AE1012" i="67"/>
  <c r="AE406" i="67"/>
  <c r="AE861" i="67"/>
  <c r="AE558" i="67"/>
  <c r="AE710" i="67"/>
  <c r="AE253" i="67"/>
  <c r="AE100" i="67"/>
  <c r="K1176" i="67"/>
  <c r="K1025" i="67"/>
  <c r="K266" i="67"/>
  <c r="K1329" i="67" s="1"/>
  <c r="K571" i="67"/>
  <c r="K874" i="67"/>
  <c r="K723" i="67"/>
  <c r="K419" i="67"/>
  <c r="K113" i="67"/>
  <c r="M1174" i="67"/>
  <c r="M1023" i="67"/>
  <c r="M417" i="67"/>
  <c r="M872" i="67"/>
  <c r="M569" i="67"/>
  <c r="M111" i="67"/>
  <c r="M1327" i="67" s="1"/>
  <c r="M264" i="67"/>
  <c r="M721" i="67"/>
  <c r="AG1156" i="67"/>
  <c r="AG1005" i="67"/>
  <c r="AG399" i="67"/>
  <c r="AG854" i="67"/>
  <c r="AG93" i="67"/>
  <c r="AG1309" i="67" s="1"/>
  <c r="AG246" i="67"/>
  <c r="AG551" i="67"/>
  <c r="AG703" i="67"/>
  <c r="AU1161" i="67"/>
  <c r="AU1010" i="67"/>
  <c r="AU404" i="67"/>
  <c r="AU859" i="67"/>
  <c r="AU708" i="67"/>
  <c r="AU556" i="67"/>
  <c r="AU98" i="67"/>
  <c r="AU251" i="67"/>
  <c r="AB1163" i="67"/>
  <c r="AB1012" i="67"/>
  <c r="AB406" i="67"/>
  <c r="AB861" i="67"/>
  <c r="AB558" i="67"/>
  <c r="AB710" i="67"/>
  <c r="AB100" i="67"/>
  <c r="AB253" i="67"/>
  <c r="AK1174" i="67"/>
  <c r="AK1023" i="67"/>
  <c r="AK417" i="67"/>
  <c r="AK872" i="67"/>
  <c r="AK569" i="67"/>
  <c r="AK111" i="67"/>
  <c r="AK264" i="67"/>
  <c r="AK721" i="67"/>
  <c r="AK1327" i="67"/>
  <c r="AM1011" i="67"/>
  <c r="AM1162" i="67"/>
  <c r="AM405" i="67"/>
  <c r="AM860" i="67"/>
  <c r="AM557" i="67"/>
  <c r="AM709" i="67"/>
  <c r="AM252" i="67"/>
  <c r="AM99" i="67"/>
  <c r="AM1315" i="67" s="1"/>
  <c r="Q1174" i="67"/>
  <c r="Q1023" i="67"/>
  <c r="Q417" i="67"/>
  <c r="Q569" i="67"/>
  <c r="Q872" i="67"/>
  <c r="Q111" i="67"/>
  <c r="Q1327" i="67" s="1"/>
  <c r="Q264" i="67"/>
  <c r="Q721" i="67"/>
  <c r="AK1156" i="67"/>
  <c r="AK1005" i="67"/>
  <c r="AK399" i="67"/>
  <c r="AK854" i="67"/>
  <c r="AK703" i="67"/>
  <c r="AK551" i="67"/>
  <c r="AK93" i="67"/>
  <c r="AK1309" i="67" s="1"/>
  <c r="AK246" i="67"/>
  <c r="M1162" i="67"/>
  <c r="M1011" i="67"/>
  <c r="M405" i="67"/>
  <c r="M709" i="67"/>
  <c r="M860" i="67"/>
  <c r="M557" i="67"/>
  <c r="M252" i="67"/>
  <c r="M99" i="67"/>
  <c r="AC1163" i="67"/>
  <c r="AC1012" i="67"/>
  <c r="AC406" i="67"/>
  <c r="AC861" i="67"/>
  <c r="AC100" i="67"/>
  <c r="AC253" i="67"/>
  <c r="AC1316" i="67" s="1"/>
  <c r="AC558" i="67"/>
  <c r="AC710" i="67"/>
  <c r="U1154" i="67"/>
  <c r="U1003" i="67"/>
  <c r="U397" i="67"/>
  <c r="U852" i="67"/>
  <c r="U91" i="67"/>
  <c r="U244" i="67"/>
  <c r="U549" i="67"/>
  <c r="U701" i="67"/>
  <c r="U1307" i="67"/>
  <c r="AU1011" i="67"/>
  <c r="AU1162" i="67"/>
  <c r="AU405" i="67"/>
  <c r="AU860" i="67"/>
  <c r="AU709" i="67"/>
  <c r="AU557" i="67"/>
  <c r="AU99" i="67"/>
  <c r="AU1315" i="67" s="1"/>
  <c r="AU252" i="67"/>
  <c r="AQ1155" i="67"/>
  <c r="AQ1004" i="67"/>
  <c r="AQ398" i="67"/>
  <c r="AQ853" i="67"/>
  <c r="AQ702" i="67"/>
  <c r="AQ550" i="67"/>
  <c r="AQ245" i="67"/>
  <c r="AQ92" i="67"/>
  <c r="AD1012" i="67"/>
  <c r="AD1163" i="67"/>
  <c r="AD406" i="67"/>
  <c r="AD558" i="67"/>
  <c r="AD710" i="67"/>
  <c r="AD861" i="67"/>
  <c r="AD100" i="67"/>
  <c r="AD1316" i="67" s="1"/>
  <c r="AD253" i="67"/>
  <c r="R4" i="50"/>
  <c r="R4" i="57" s="1"/>
  <c r="AJ9" i="57" s="1"/>
  <c r="R4" i="69"/>
  <c r="R5" i="47"/>
  <c r="D48" i="50"/>
  <c r="E48" i="50"/>
  <c r="F48" i="50"/>
  <c r="G48" i="50"/>
  <c r="H48" i="50"/>
  <c r="I48" i="50"/>
  <c r="J48" i="50"/>
  <c r="K48" i="50"/>
  <c r="L48" i="50"/>
  <c r="C48" i="50"/>
  <c r="AJ42" i="36"/>
  <c r="AK9" i="57" l="1"/>
  <c r="AF29" i="69" s="1"/>
  <c r="AJ12" i="57"/>
  <c r="AK12" i="57"/>
  <c r="AH1314" i="67"/>
  <c r="AF1307" i="67"/>
  <c r="V1313" i="67"/>
  <c r="AP1307" i="67"/>
  <c r="AP1306" i="67"/>
  <c r="P1305" i="67"/>
  <c r="W1326" i="67"/>
  <c r="O1314" i="67"/>
  <c r="AM1308" i="67"/>
  <c r="AL1310" i="67"/>
  <c r="X1307" i="67"/>
  <c r="AS1308" i="67"/>
  <c r="M1308" i="67"/>
  <c r="AN1314" i="67"/>
  <c r="N1313" i="67"/>
  <c r="AW1316" i="67"/>
  <c r="O1305" i="67"/>
  <c r="AB1313" i="67"/>
  <c r="AH1310" i="67"/>
  <c r="N1308" i="67"/>
  <c r="Q1314" i="67"/>
  <c r="U1305" i="67"/>
  <c r="AD1337" i="67"/>
  <c r="AK1330" i="67"/>
  <c r="AB1337" i="67"/>
  <c r="AG1330" i="67"/>
  <c r="AA1327" i="67"/>
  <c r="T1326" i="67"/>
  <c r="Y1337" i="67"/>
  <c r="X1331" i="67"/>
  <c r="AP1327" i="67"/>
  <c r="U1337" i="67"/>
  <c r="AD1326" i="67"/>
  <c r="O1336" i="67"/>
  <c r="U1335" i="67"/>
  <c r="AA1334" i="67"/>
  <c r="AW1306" i="67"/>
  <c r="AC1310" i="67"/>
  <c r="K1310" i="67"/>
  <c r="AI1310" i="67"/>
  <c r="AV1315" i="67"/>
  <c r="AF1309" i="67"/>
  <c r="AL1308" i="67"/>
  <c r="R1305" i="67"/>
  <c r="AO1314" i="67"/>
  <c r="AU1313" i="67"/>
  <c r="O1313" i="67"/>
  <c r="AG1329" i="67"/>
  <c r="AI1315" i="67"/>
  <c r="AO1315" i="67"/>
  <c r="P1313" i="67"/>
  <c r="AW1309" i="67"/>
  <c r="W1310" i="67"/>
  <c r="AF1315" i="67"/>
  <c r="AR1313" i="67"/>
  <c r="L1313" i="67"/>
  <c r="R1310" i="67"/>
  <c r="AE1306" i="67"/>
  <c r="AT1315" i="67"/>
  <c r="N1315" i="67"/>
  <c r="X1305" i="67"/>
  <c r="AI1331" i="67"/>
  <c r="AT1337" i="67"/>
  <c r="S1331" i="67"/>
  <c r="AD1331" i="67"/>
  <c r="AO1330" i="67"/>
  <c r="Q1334" i="67"/>
  <c r="AO1328" i="67"/>
  <c r="R1326" i="67"/>
  <c r="AO1335" i="67"/>
  <c r="AK1336" i="67"/>
  <c r="AN1328" i="67"/>
  <c r="AK1335" i="67"/>
  <c r="AQ1334" i="67"/>
  <c r="AF1316" i="67"/>
  <c r="AW1330" i="67"/>
  <c r="AA1305" i="67"/>
  <c r="W1331" i="67"/>
  <c r="AF1336" i="67"/>
  <c r="L1334" i="67"/>
  <c r="AS1310" i="67"/>
  <c r="M1310" i="67"/>
  <c r="M1307" i="67"/>
  <c r="AB1315" i="67"/>
  <c r="AB1310" i="67"/>
  <c r="AH1309" i="67"/>
  <c r="AT1307" i="67"/>
  <c r="AT1306" i="67"/>
  <c r="N1306" i="67"/>
  <c r="AA1316" i="67"/>
  <c r="P1309" i="67"/>
  <c r="S1315" i="67"/>
  <c r="Y1314" i="67"/>
  <c r="AE1313" i="67"/>
  <c r="AR1314" i="67"/>
  <c r="L1314" i="67"/>
  <c r="K1309" i="67"/>
  <c r="W1316" i="67"/>
  <c r="M1309" i="67"/>
  <c r="AF1313" i="67"/>
  <c r="AR1305" i="67"/>
  <c r="AO1313" i="67"/>
  <c r="AA1308" i="67"/>
  <c r="AT1308" i="67"/>
  <c r="AU1306" i="67"/>
  <c r="O1306" i="67"/>
  <c r="AD1315" i="67"/>
  <c r="AU1336" i="67"/>
  <c r="AT1331" i="67"/>
  <c r="N1331" i="67"/>
  <c r="AO1331" i="67"/>
  <c r="AP1336" i="67"/>
  <c r="AV1335" i="67"/>
  <c r="P1335" i="67"/>
  <c r="AE1336" i="67"/>
  <c r="AQ1305" i="67"/>
  <c r="Q1336" i="67"/>
  <c r="X1337" i="67"/>
  <c r="AE1335" i="67"/>
  <c r="AQ1335" i="67"/>
  <c r="AW1308" i="67"/>
  <c r="AC1326" i="67"/>
  <c r="AL1336" i="67"/>
  <c r="AR1330" i="67"/>
  <c r="L1330" i="67"/>
  <c r="Z1330" i="67"/>
  <c r="P1316" i="67"/>
  <c r="AI1329" i="67"/>
  <c r="AH1331" i="67"/>
  <c r="AI1309" i="67"/>
  <c r="AJ1335" i="67"/>
  <c r="Y1313" i="67"/>
  <c r="AW1307" i="67"/>
  <c r="U1313" i="67"/>
  <c r="AL1316" i="67"/>
  <c r="R1314" i="67"/>
  <c r="AE1330" i="67"/>
  <c r="AW1305" i="67"/>
  <c r="Q1305" i="67"/>
  <c r="Q1307" i="67"/>
  <c r="U1331" i="67"/>
  <c r="Z1306" i="67"/>
  <c r="Z1316" i="67"/>
  <c r="AT1305" i="67"/>
  <c r="AK1314" i="67"/>
  <c r="AW1310" i="67"/>
  <c r="V1316" i="67"/>
  <c r="AD1308" i="67"/>
  <c r="AJ1306" i="67"/>
  <c r="AE1328" i="67"/>
  <c r="AR1329" i="67"/>
  <c r="AW1328" i="67"/>
  <c r="S1329" i="67"/>
  <c r="AR1336" i="67"/>
  <c r="AQ1327" i="67"/>
  <c r="R1337" i="67"/>
  <c r="AG1308" i="67"/>
  <c r="AM1307" i="67"/>
  <c r="AP1335" i="67"/>
  <c r="V1328" i="67"/>
  <c r="V1327" i="67"/>
  <c r="N1337" i="67"/>
  <c r="AI1337" i="67"/>
  <c r="S1309" i="67"/>
  <c r="M1315" i="67"/>
  <c r="AB1316" i="67"/>
  <c r="AU1314" i="67"/>
  <c r="AQ1308" i="67"/>
  <c r="AE1316" i="67"/>
  <c r="W1315" i="67"/>
  <c r="AA1306" i="67"/>
  <c r="AG1305" i="67"/>
  <c r="Q1309" i="67"/>
  <c r="AR1316" i="67"/>
  <c r="AC1309" i="67"/>
  <c r="AU1305" i="67"/>
  <c r="AW1329" i="67"/>
  <c r="R1313" i="67"/>
  <c r="S1314" i="67"/>
  <c r="AS1313" i="67"/>
  <c r="AE1305" i="67"/>
  <c r="AD1305" i="67"/>
  <c r="U1314" i="67"/>
  <c r="L1305" i="67"/>
  <c r="AM1314" i="67"/>
  <c r="AW1327" i="67"/>
  <c r="Q1316" i="67"/>
  <c r="AW1313" i="67"/>
  <c r="T1306" i="67"/>
  <c r="AW1335" i="67"/>
  <c r="AP1313" i="67"/>
  <c r="AV1310" i="67"/>
  <c r="P1310" i="67"/>
  <c r="AA1307" i="67"/>
  <c r="AP1331" i="67"/>
  <c r="AB1327" i="67"/>
  <c r="AK1331" i="67"/>
  <c r="AP1328" i="67"/>
  <c r="W1337" i="67"/>
  <c r="AS1329" i="67"/>
  <c r="M1329" i="67"/>
  <c r="S1328" i="67"/>
  <c r="AT1334" i="67"/>
  <c r="N1334" i="67"/>
  <c r="AW1337" i="67"/>
  <c r="M1334" i="67"/>
  <c r="AW1334" i="67"/>
  <c r="T1328" i="67"/>
  <c r="AU1327" i="67"/>
  <c r="O1327" i="67"/>
  <c r="AR1315" i="67"/>
  <c r="L1315" i="67"/>
  <c r="S1313" i="67"/>
  <c r="AL1313" i="67"/>
  <c r="AS1315" i="67"/>
  <c r="AG1307" i="67"/>
  <c r="AN1315" i="67"/>
  <c r="AT1314" i="67"/>
  <c r="N1314" i="67"/>
  <c r="AS1327" i="67"/>
  <c r="AN1306" i="67"/>
  <c r="N1305" i="67"/>
  <c r="Q1310" i="67"/>
  <c r="W1309" i="67"/>
  <c r="AV1308" i="67"/>
  <c r="P1308" i="67"/>
  <c r="AK1316" i="67"/>
  <c r="AJ1307" i="67"/>
  <c r="AP1305" i="67"/>
  <c r="AF1310" i="67"/>
  <c r="X1326" i="67"/>
  <c r="AH1328" i="67"/>
  <c r="AV1316" i="67"/>
  <c r="AW1336" i="67"/>
  <c r="Y1310" i="67"/>
  <c r="Q1326" i="67"/>
  <c r="L1331" i="67"/>
  <c r="AJ1326" i="67"/>
  <c r="AO1337" i="67"/>
  <c r="AH1337" i="67"/>
  <c r="Z1327" i="67"/>
  <c r="AF1326" i="67"/>
  <c r="AB1330" i="67"/>
  <c r="AH1329" i="67"/>
  <c r="AW1331" i="67"/>
  <c r="AO1326" i="67"/>
  <c r="AD1334" i="67"/>
  <c r="AJ1331" i="67"/>
  <c r="AK1337" i="67"/>
  <c r="Y1336" i="67"/>
  <c r="AO1327" i="67"/>
  <c r="AJ1328" i="67"/>
  <c r="AJ1327" i="67"/>
  <c r="T1335" i="67"/>
  <c r="N1328" i="67"/>
  <c r="AW1314" i="67"/>
  <c r="Q4" i="50"/>
  <c r="Q4" i="57" s="1"/>
  <c r="Q4" i="69"/>
  <c r="AK42" i="36"/>
  <c r="AJ83" i="36"/>
  <c r="Q5" i="47"/>
  <c r="D41" i="50"/>
  <c r="E41" i="50"/>
  <c r="F41" i="50"/>
  <c r="G41" i="50"/>
  <c r="H41" i="50"/>
  <c r="I41" i="50"/>
  <c r="J41" i="50"/>
  <c r="K41" i="50"/>
  <c r="L41" i="50"/>
  <c r="C41" i="50"/>
  <c r="D36" i="50"/>
  <c r="E36" i="50"/>
  <c r="F36" i="50"/>
  <c r="G36" i="50"/>
  <c r="H36" i="50"/>
  <c r="I36" i="50"/>
  <c r="J36" i="50"/>
  <c r="K36" i="50"/>
  <c r="L36" i="50"/>
  <c r="C36" i="50"/>
  <c r="D31" i="50"/>
  <c r="E31" i="50"/>
  <c r="F31" i="50"/>
  <c r="G31" i="50"/>
  <c r="H31" i="50"/>
  <c r="I31" i="50"/>
  <c r="J31" i="50"/>
  <c r="K31" i="50"/>
  <c r="L31" i="50"/>
  <c r="C31" i="50"/>
  <c r="D22" i="50"/>
  <c r="D18" i="50" s="1"/>
  <c r="D52" i="50" s="1"/>
  <c r="D56" i="50" s="1"/>
  <c r="E22" i="50"/>
  <c r="E18" i="50" s="1"/>
  <c r="E52" i="50" s="1"/>
  <c r="E56" i="50" s="1"/>
  <c r="F22" i="50"/>
  <c r="F18" i="50" s="1"/>
  <c r="F52" i="50" s="1"/>
  <c r="F56" i="50" s="1"/>
  <c r="G22" i="50"/>
  <c r="G18" i="50" s="1"/>
  <c r="G52" i="50" s="1"/>
  <c r="G56" i="50" s="1"/>
  <c r="H22" i="50"/>
  <c r="H18" i="50" s="1"/>
  <c r="H52" i="50" s="1"/>
  <c r="H56" i="50" s="1"/>
  <c r="I22" i="50"/>
  <c r="I18" i="50" s="1"/>
  <c r="I52" i="50" s="1"/>
  <c r="I56" i="50" s="1"/>
  <c r="J22" i="50"/>
  <c r="J18" i="50" s="1"/>
  <c r="J52" i="50" s="1"/>
  <c r="J56" i="50" s="1"/>
  <c r="K22" i="50"/>
  <c r="K18" i="50" s="1"/>
  <c r="K52" i="50" s="1"/>
  <c r="K56" i="50" s="1"/>
  <c r="L22" i="50"/>
  <c r="L18" i="50" s="1"/>
  <c r="L52" i="50" s="1"/>
  <c r="L56" i="50" s="1"/>
  <c r="M52" i="50"/>
  <c r="M56" i="50" s="1"/>
  <c r="N52" i="50"/>
  <c r="N56" i="50" s="1"/>
  <c r="O52" i="50"/>
  <c r="O56" i="50" s="1"/>
  <c r="P52" i="50"/>
  <c r="P56" i="50" s="1"/>
  <c r="Q52" i="50"/>
  <c r="Q56" i="50" s="1"/>
  <c r="R52" i="50"/>
  <c r="R56" i="50" s="1"/>
  <c r="S52" i="50"/>
  <c r="S56" i="50" s="1"/>
  <c r="T52" i="50"/>
  <c r="T56" i="50" s="1"/>
  <c r="C22" i="50"/>
  <c r="C18" i="50" s="1"/>
  <c r="C52" i="50" s="1"/>
  <c r="C56" i="50" s="1"/>
  <c r="D14" i="50"/>
  <c r="E14" i="50"/>
  <c r="F14" i="50"/>
  <c r="G14" i="50"/>
  <c r="H14" i="50"/>
  <c r="I14" i="50"/>
  <c r="J14" i="50"/>
  <c r="K14" i="50"/>
  <c r="L14" i="50"/>
  <c r="C14" i="50"/>
  <c r="D6" i="50"/>
  <c r="E6" i="50"/>
  <c r="F6" i="50"/>
  <c r="G6" i="50"/>
  <c r="H6" i="50"/>
  <c r="I6" i="50"/>
  <c r="J6" i="50"/>
  <c r="K6" i="50"/>
  <c r="L6" i="50"/>
  <c r="C6" i="50"/>
  <c r="AH29" i="50" l="1"/>
  <c r="Y29" i="69"/>
  <c r="Y32" i="69" s="1"/>
  <c r="BG29" i="50"/>
  <c r="AU29" i="69"/>
  <c r="AU32" i="69" s="1"/>
  <c r="AA29" i="69"/>
  <c r="AA30" i="69" s="1"/>
  <c r="BH29" i="50"/>
  <c r="AG29" i="69"/>
  <c r="AG32" i="69" s="1"/>
  <c r="AZ29" i="50"/>
  <c r="AZ29" i="69"/>
  <c r="AZ32" i="69" s="1"/>
  <c r="AK29" i="50"/>
  <c r="AL29" i="50"/>
  <c r="AR29" i="69"/>
  <c r="AR32" i="69" s="1"/>
  <c r="AT47" i="50"/>
  <c r="AA47" i="50"/>
  <c r="AD47" i="69"/>
  <c r="AD49" i="69" s="1"/>
  <c r="AH47" i="69"/>
  <c r="AH49" i="69" s="1"/>
  <c r="AM47" i="69"/>
  <c r="AM49" i="69" s="1"/>
  <c r="BI47" i="69"/>
  <c r="BI49" i="69" s="1"/>
  <c r="AQ47" i="69"/>
  <c r="AQ49" i="69" s="1"/>
  <c r="AZ47" i="50"/>
  <c r="AV47" i="69"/>
  <c r="AV49" i="69" s="1"/>
  <c r="AK47" i="50"/>
  <c r="BE47" i="69"/>
  <c r="BE49" i="69" s="1"/>
  <c r="AP47" i="50"/>
  <c r="BC47" i="50"/>
  <c r="AZ47" i="69"/>
  <c r="AZ49" i="69" s="1"/>
  <c r="BA47" i="69"/>
  <c r="BA49" i="69" s="1"/>
  <c r="AA29" i="50"/>
  <c r="AN47" i="50"/>
  <c r="AI47" i="50"/>
  <c r="AH29" i="69"/>
  <c r="AH32" i="69" s="1"/>
  <c r="BC29" i="69"/>
  <c r="BC30" i="69" s="1"/>
  <c r="Y29" i="50"/>
  <c r="AS47" i="50"/>
  <c r="Z47" i="50"/>
  <c r="AY47" i="69"/>
  <c r="AY49" i="69" s="1"/>
  <c r="AB29" i="69"/>
  <c r="AB32" i="69" s="1"/>
  <c r="AL29" i="69"/>
  <c r="AL32" i="69" s="1"/>
  <c r="AJ29" i="50"/>
  <c r="BA29" i="50"/>
  <c r="AV47" i="50"/>
  <c r="AM47" i="50"/>
  <c r="BC47" i="69"/>
  <c r="BC49" i="69" s="1"/>
  <c r="BA29" i="69"/>
  <c r="BA32" i="69" s="1"/>
  <c r="AE29" i="69"/>
  <c r="AE32" i="69" s="1"/>
  <c r="AY29" i="50"/>
  <c r="AX29" i="50"/>
  <c r="AX47" i="50"/>
  <c r="AE47" i="50"/>
  <c r="BG47" i="69"/>
  <c r="BG49" i="69" s="1"/>
  <c r="AS29" i="69"/>
  <c r="AS32" i="69" s="1"/>
  <c r="AM29" i="69"/>
  <c r="AM32" i="69" s="1"/>
  <c r="BF29" i="69"/>
  <c r="BF30" i="69" s="1"/>
  <c r="Z29" i="50"/>
  <c r="BB29" i="50"/>
  <c r="AB29" i="50"/>
  <c r="BH47" i="50"/>
  <c r="AW47" i="50"/>
  <c r="AF47" i="50"/>
  <c r="BI47" i="50"/>
  <c r="BB47" i="69"/>
  <c r="BB49" i="69" s="1"/>
  <c r="BK47" i="69"/>
  <c r="BK49" i="69" s="1"/>
  <c r="AG47" i="69"/>
  <c r="AG49" i="69" s="1"/>
  <c r="AK29" i="69"/>
  <c r="AK32" i="69" s="1"/>
  <c r="AI29" i="69"/>
  <c r="AI30" i="69" s="1"/>
  <c r="Z29" i="69"/>
  <c r="Z32" i="69" s="1"/>
  <c r="AU29" i="50"/>
  <c r="BJ29" i="50"/>
  <c r="AJ47" i="50"/>
  <c r="AU47" i="69"/>
  <c r="AU49" i="69" s="1"/>
  <c r="AJ29" i="69"/>
  <c r="AJ32" i="69" s="1"/>
  <c r="AD29" i="69"/>
  <c r="AD32" i="69" s="1"/>
  <c r="AV29" i="50"/>
  <c r="AR29" i="50"/>
  <c r="AY47" i="50"/>
  <c r="AP47" i="69"/>
  <c r="AP49" i="69" s="1"/>
  <c r="BH47" i="69"/>
  <c r="BH49" i="69" s="1"/>
  <c r="BI29" i="69"/>
  <c r="BI30" i="69" s="1"/>
  <c r="AY29" i="69"/>
  <c r="AY30" i="69" s="1"/>
  <c r="AN29" i="50"/>
  <c r="AG29" i="50"/>
  <c r="AL47" i="50"/>
  <c r="AT47" i="69"/>
  <c r="AT49" i="69" s="1"/>
  <c r="Y47" i="69"/>
  <c r="Y49" i="69" s="1"/>
  <c r="BG29" i="69"/>
  <c r="BG32" i="69" s="1"/>
  <c r="BJ29" i="69"/>
  <c r="BJ32" i="69" s="1"/>
  <c r="AO29" i="50"/>
  <c r="BE47" i="50"/>
  <c r="AC47" i="50"/>
  <c r="AX47" i="69"/>
  <c r="AX49" i="69" s="1"/>
  <c r="AC47" i="69"/>
  <c r="AC49" i="69" s="1"/>
  <c r="AW29" i="50"/>
  <c r="AQ29" i="50"/>
  <c r="AD29" i="50"/>
  <c r="BJ47" i="50"/>
  <c r="AR47" i="50"/>
  <c r="AH47" i="50"/>
  <c r="Y47" i="50"/>
  <c r="BF47" i="69"/>
  <c r="BF49" i="69" s="1"/>
  <c r="AB47" i="69"/>
  <c r="AB49" i="69" s="1"/>
  <c r="AK47" i="69"/>
  <c r="AK49" i="69" s="1"/>
  <c r="AC29" i="69"/>
  <c r="AC30" i="69" s="1"/>
  <c r="BB29" i="69"/>
  <c r="BB32" i="69" s="1"/>
  <c r="AT29" i="69"/>
  <c r="AT30" i="69" s="1"/>
  <c r="BD47" i="69"/>
  <c r="BD49" i="69" s="1"/>
  <c r="BC29" i="50"/>
  <c r="BE29" i="50"/>
  <c r="BA47" i="50"/>
  <c r="BK47" i="50"/>
  <c r="BJ47" i="69"/>
  <c r="BJ49" i="69" s="1"/>
  <c r="AF47" i="69"/>
  <c r="AF49" i="69" s="1"/>
  <c r="BK29" i="69"/>
  <c r="BK32" i="69" s="1"/>
  <c r="BD29" i="69"/>
  <c r="BD32" i="69" s="1"/>
  <c r="AM29" i="50"/>
  <c r="BD47" i="50"/>
  <c r="AB47" i="50"/>
  <c r="AA47" i="69"/>
  <c r="AA49" i="69" s="1"/>
  <c r="AS47" i="69"/>
  <c r="AS49" i="69" s="1"/>
  <c r="BE29" i="69"/>
  <c r="BE32" i="69" s="1"/>
  <c r="BI29" i="50"/>
  <c r="AF29" i="50"/>
  <c r="AT29" i="50"/>
  <c r="BB47" i="50"/>
  <c r="AU47" i="50"/>
  <c r="AQ47" i="50"/>
  <c r="AE29" i="50"/>
  <c r="AE47" i="69"/>
  <c r="AE49" i="69" s="1"/>
  <c r="AN47" i="69"/>
  <c r="AN49" i="69" s="1"/>
  <c r="AW47" i="69"/>
  <c r="AW49" i="69" s="1"/>
  <c r="AP29" i="69"/>
  <c r="AP30" i="69" s="1"/>
  <c r="AW29" i="69"/>
  <c r="AW32" i="69" s="1"/>
  <c r="AN29" i="69"/>
  <c r="AN32" i="69" s="1"/>
  <c r="AL47" i="69"/>
  <c r="AL49" i="69" s="1"/>
  <c r="AS29" i="50"/>
  <c r="AC29" i="50"/>
  <c r="BG47" i="50"/>
  <c r="AO47" i="69"/>
  <c r="AO49" i="69" s="1"/>
  <c r="AX29" i="69"/>
  <c r="AX30" i="69" s="1"/>
  <c r="AP29" i="50"/>
  <c r="BD29" i="50"/>
  <c r="AG47" i="50"/>
  <c r="AJ47" i="69"/>
  <c r="AJ49" i="69" s="1"/>
  <c r="AQ29" i="69"/>
  <c r="AQ32" i="69" s="1"/>
  <c r="AV29" i="69"/>
  <c r="AV32" i="69" s="1"/>
  <c r="BF29" i="50"/>
  <c r="AI29" i="50"/>
  <c r="BK29" i="50"/>
  <c r="BF47" i="50"/>
  <c r="AO47" i="50"/>
  <c r="AD47" i="50"/>
  <c r="Z47" i="69"/>
  <c r="Z49" i="69" s="1"/>
  <c r="AI47" i="69"/>
  <c r="AI49" i="69" s="1"/>
  <c r="AR47" i="69"/>
  <c r="AR49" i="69" s="1"/>
  <c r="BH29" i="69"/>
  <c r="BH32" i="69" s="1"/>
  <c r="AO29" i="69"/>
  <c r="AO32" i="69" s="1"/>
  <c r="AF32" i="69"/>
  <c r="AF30" i="69"/>
  <c r="P4" i="50"/>
  <c r="P4" i="57" s="1"/>
  <c r="P4" i="69"/>
  <c r="AL42" i="36"/>
  <c r="AK83" i="36"/>
  <c r="T58" i="50"/>
  <c r="T59" i="50" s="1"/>
  <c r="P58" i="50"/>
  <c r="P59" i="50" s="1"/>
  <c r="L58" i="50"/>
  <c r="L59" i="50" s="1"/>
  <c r="H58" i="50"/>
  <c r="H59" i="50" s="1"/>
  <c r="D58" i="50"/>
  <c r="D59" i="50" s="1"/>
  <c r="S58" i="50"/>
  <c r="S59" i="50" s="1"/>
  <c r="O58" i="50"/>
  <c r="O59" i="50" s="1"/>
  <c r="K58" i="50"/>
  <c r="K59" i="50" s="1"/>
  <c r="G58" i="50"/>
  <c r="G59" i="50" s="1"/>
  <c r="R58" i="50"/>
  <c r="R59" i="50" s="1"/>
  <c r="N58" i="50"/>
  <c r="N59" i="50" s="1"/>
  <c r="J58" i="50"/>
  <c r="J59" i="50" s="1"/>
  <c r="F58" i="50"/>
  <c r="F59" i="50" s="1"/>
  <c r="C58" i="50"/>
  <c r="C59" i="50" s="1"/>
  <c r="Q58" i="50"/>
  <c r="Q59" i="50" s="1"/>
  <c r="M58" i="50"/>
  <c r="M59" i="50" s="1"/>
  <c r="I58" i="50"/>
  <c r="I59" i="50" s="1"/>
  <c r="E58" i="50"/>
  <c r="E59" i="50" s="1"/>
  <c r="J19" i="50"/>
  <c r="J20" i="50" s="1"/>
  <c r="J21" i="50" s="1"/>
  <c r="F19" i="50"/>
  <c r="F20" i="50" s="1"/>
  <c r="F21" i="50" s="1"/>
  <c r="K19" i="50"/>
  <c r="K20" i="50" s="1"/>
  <c r="K21" i="50" s="1"/>
  <c r="C19" i="50"/>
  <c r="C20" i="50" s="1"/>
  <c r="C21" i="50" s="1"/>
  <c r="I19" i="50"/>
  <c r="I20" i="50" s="1"/>
  <c r="I21" i="50" s="1"/>
  <c r="E19" i="50"/>
  <c r="E20" i="50" s="1"/>
  <c r="E21" i="50" s="1"/>
  <c r="G19" i="50"/>
  <c r="G20" i="50" s="1"/>
  <c r="G21" i="50" s="1"/>
  <c r="L19" i="50"/>
  <c r="L20" i="50" s="1"/>
  <c r="L21" i="50" s="1"/>
  <c r="H19" i="50"/>
  <c r="H20" i="50" s="1"/>
  <c r="H21" i="50" s="1"/>
  <c r="D19" i="50"/>
  <c r="D20" i="50" s="1"/>
  <c r="D21" i="50" s="1"/>
  <c r="P5" i="47"/>
  <c r="C23" i="50"/>
  <c r="C24" i="50" s="1"/>
  <c r="K23" i="50"/>
  <c r="K24" i="50" s="1"/>
  <c r="G23" i="50"/>
  <c r="G24" i="50" s="1"/>
  <c r="L23" i="50"/>
  <c r="L24" i="50" s="1"/>
  <c r="D23" i="50"/>
  <c r="D24" i="50" s="1"/>
  <c r="J23" i="50"/>
  <c r="J24" i="50" s="1"/>
  <c r="F23" i="50"/>
  <c r="F24" i="50" s="1"/>
  <c r="H23" i="50"/>
  <c r="H24" i="50" s="1"/>
  <c r="I23" i="50"/>
  <c r="I24" i="50" s="1"/>
  <c r="E23" i="50"/>
  <c r="E24" i="50" s="1"/>
  <c r="Y30" i="69" l="1"/>
  <c r="AZ30" i="69"/>
  <c r="AA32" i="69"/>
  <c r="AF17" i="70" s="1"/>
  <c r="AR30" i="69"/>
  <c r="AE30" i="69"/>
  <c r="AH30" i="69"/>
  <c r="AU30" i="69"/>
  <c r="AY32" i="69"/>
  <c r="AY53" i="69" s="1"/>
  <c r="AG30" i="69"/>
  <c r="BB30" i="69"/>
  <c r="BC32" i="69"/>
  <c r="BH18" i="70" s="1"/>
  <c r="BA30" i="69"/>
  <c r="AP32" i="69"/>
  <c r="AP53" i="69" s="1"/>
  <c r="AC32" i="69"/>
  <c r="AH18" i="70" s="1"/>
  <c r="Z30" i="69"/>
  <c r="BI32" i="69"/>
  <c r="BN17" i="70" s="1"/>
  <c r="AI32" i="69"/>
  <c r="AN18" i="70" s="1"/>
  <c r="AK30" i="69"/>
  <c r="AM30" i="69"/>
  <c r="BK30" i="69"/>
  <c r="AX32" i="69"/>
  <c r="BC18" i="70" s="1"/>
  <c r="BF32" i="69"/>
  <c r="BK17" i="70" s="1"/>
  <c r="AW30" i="69"/>
  <c r="AT32" i="69"/>
  <c r="AY17" i="70" s="1"/>
  <c r="AB30" i="69"/>
  <c r="BD30" i="69"/>
  <c r="BE30" i="69"/>
  <c r="AJ30" i="69"/>
  <c r="AN30" i="69"/>
  <c r="AV30" i="69"/>
  <c r="AQ30" i="69"/>
  <c r="AO30" i="69"/>
  <c r="BH30" i="69"/>
  <c r="AS30" i="69"/>
  <c r="AL30" i="69"/>
  <c r="BJ30" i="69"/>
  <c r="BG30" i="69"/>
  <c r="AD30" i="69"/>
  <c r="AI17" i="70"/>
  <c r="AI18" i="70"/>
  <c r="AD53" i="69"/>
  <c r="BB17" i="70"/>
  <c r="BB18" i="70"/>
  <c r="AW53" i="69"/>
  <c r="AO18" i="70"/>
  <c r="AO17" i="70"/>
  <c r="AJ53" i="69"/>
  <c r="AP17" i="70"/>
  <c r="AP18" i="70"/>
  <c r="AK53" i="69"/>
  <c r="BA18" i="70"/>
  <c r="BA17" i="70"/>
  <c r="AV53" i="69"/>
  <c r="AD18" i="70"/>
  <c r="AD17" i="70"/>
  <c r="Y53" i="69"/>
  <c r="AR18" i="70"/>
  <c r="AR17" i="70"/>
  <c r="AM53" i="69"/>
  <c r="AV18" i="70"/>
  <c r="AV17" i="70"/>
  <c r="AQ53" i="69"/>
  <c r="AQ31" i="69"/>
  <c r="BM18" i="70"/>
  <c r="BM17" i="70"/>
  <c r="BH53" i="69"/>
  <c r="AZ18" i="70"/>
  <c r="AZ17" i="70"/>
  <c r="AU53" i="69"/>
  <c r="AJ18" i="70"/>
  <c r="AJ17" i="70"/>
  <c r="AE53" i="69"/>
  <c r="BE18" i="70"/>
  <c r="BE17" i="70"/>
  <c r="AZ53" i="69"/>
  <c r="BF17" i="70"/>
  <c r="BF18" i="70"/>
  <c r="BA53" i="69"/>
  <c r="AK18" i="70"/>
  <c r="AK17" i="70"/>
  <c r="AF53" i="69"/>
  <c r="AG18" i="70"/>
  <c r="AG17" i="70"/>
  <c r="AB53" i="69"/>
  <c r="AE17" i="70"/>
  <c r="AE18" i="70"/>
  <c r="Z53" i="69"/>
  <c r="O4" i="50"/>
  <c r="O4" i="57" s="1"/>
  <c r="O4" i="69"/>
  <c r="AS18" i="70"/>
  <c r="AS17" i="70"/>
  <c r="AN53" i="69"/>
  <c r="AM17" i="70"/>
  <c r="AM18" i="70"/>
  <c r="AH53" i="69"/>
  <c r="BG17" i="70"/>
  <c r="BG18" i="70"/>
  <c r="BB53" i="69"/>
  <c r="BJ17" i="70"/>
  <c r="BJ18" i="70"/>
  <c r="BE53" i="69"/>
  <c r="AW18" i="70"/>
  <c r="AW17" i="70"/>
  <c r="AR53" i="69"/>
  <c r="AX17" i="70"/>
  <c r="AX18" i="70"/>
  <c r="AS53" i="69"/>
  <c r="BO17" i="70"/>
  <c r="BO18" i="70"/>
  <c r="BJ53" i="69"/>
  <c r="BI18" i="70"/>
  <c r="BI17" i="70"/>
  <c r="BD53" i="69"/>
  <c r="AL17" i="70"/>
  <c r="AL18" i="70"/>
  <c r="AG53" i="69"/>
  <c r="BL18" i="70"/>
  <c r="BL17" i="70"/>
  <c r="BG53" i="69"/>
  <c r="BP18" i="70"/>
  <c r="BP17" i="70"/>
  <c r="BK53" i="69"/>
  <c r="AQ17" i="70"/>
  <c r="AQ18" i="70"/>
  <c r="AL53" i="69"/>
  <c r="AT17" i="70"/>
  <c r="AT18" i="70"/>
  <c r="AO53" i="69"/>
  <c r="AO31" i="69"/>
  <c r="AM42" i="36"/>
  <c r="AL83" i="36"/>
  <c r="O5" i="47"/>
  <c r="AF18" i="70" l="1"/>
  <c r="AF63" i="70" s="1"/>
  <c r="AA53" i="69"/>
  <c r="BD18" i="70"/>
  <c r="BD63" i="70" s="1"/>
  <c r="BD17" i="70"/>
  <c r="BD78" i="70" s="1"/>
  <c r="AU17" i="70"/>
  <c r="AU78" i="70" s="1"/>
  <c r="AU18" i="70"/>
  <c r="AU79" i="70" s="1"/>
  <c r="AC53" i="69"/>
  <c r="AY18" i="70"/>
  <c r="AY79" i="70" s="1"/>
  <c r="AH17" i="70"/>
  <c r="AH78" i="70" s="1"/>
  <c r="BC53" i="69"/>
  <c r="BH17" i="70"/>
  <c r="BH62" i="70" s="1"/>
  <c r="BI53" i="69"/>
  <c r="BN18" i="70"/>
  <c r="BN63" i="70" s="1"/>
  <c r="BF53" i="69"/>
  <c r="BK18" i="70"/>
  <c r="BK63" i="70" s="1"/>
  <c r="BC17" i="70"/>
  <c r="BC62" i="70" s="1"/>
  <c r="AX53" i="69"/>
  <c r="AI53" i="69"/>
  <c r="AN17" i="70"/>
  <c r="AN62" i="70" s="1"/>
  <c r="AT53" i="69"/>
  <c r="AQ78" i="70"/>
  <c r="AQ62" i="70"/>
  <c r="BI63" i="70"/>
  <c r="BI79" i="70"/>
  <c r="AW62" i="70"/>
  <c r="AW78" i="70"/>
  <c r="BJ78" i="70"/>
  <c r="BJ62" i="70"/>
  <c r="N4" i="50"/>
  <c r="N4" i="57" s="1"/>
  <c r="N4" i="69"/>
  <c r="AT79" i="70"/>
  <c r="AT63" i="70"/>
  <c r="BL78" i="70"/>
  <c r="BL62" i="70"/>
  <c r="AW79" i="70"/>
  <c r="AW63" i="70"/>
  <c r="AF78" i="70"/>
  <c r="AF62" i="70"/>
  <c r="BF78" i="70"/>
  <c r="BF62" i="70"/>
  <c r="AJ62" i="70"/>
  <c r="AJ78" i="70"/>
  <c r="BA63" i="70"/>
  <c r="BA79" i="70"/>
  <c r="AO62" i="70"/>
  <c r="AO78" i="70"/>
  <c r="AT78" i="70"/>
  <c r="AT62" i="70"/>
  <c r="BP62" i="70"/>
  <c r="BP78" i="70"/>
  <c r="BL79" i="70"/>
  <c r="BL63" i="70"/>
  <c r="BO79" i="70"/>
  <c r="BO63" i="70"/>
  <c r="AX78" i="70"/>
  <c r="AX62" i="70"/>
  <c r="AF79" i="70"/>
  <c r="AN63" i="70"/>
  <c r="AN79" i="70"/>
  <c r="AK63" i="70"/>
  <c r="AK79" i="70"/>
  <c r="BC79" i="70"/>
  <c r="BC63" i="70"/>
  <c r="AJ79" i="70"/>
  <c r="AJ63" i="70"/>
  <c r="AR62" i="70"/>
  <c r="AR78" i="70"/>
  <c r="AD79" i="70"/>
  <c r="AD63" i="70"/>
  <c r="AP79" i="70"/>
  <c r="AP63" i="70"/>
  <c r="AO79" i="70"/>
  <c r="AO63" i="70"/>
  <c r="AH79" i="70"/>
  <c r="AH63" i="70"/>
  <c r="AY78" i="70"/>
  <c r="AY62" i="70"/>
  <c r="AL78" i="70"/>
  <c r="AL62" i="70"/>
  <c r="AX79" i="70"/>
  <c r="AX63" i="70"/>
  <c r="BG78" i="70"/>
  <c r="BG62" i="70"/>
  <c r="BH79" i="70"/>
  <c r="BH63" i="70"/>
  <c r="AE78" i="70"/>
  <c r="AE62" i="70"/>
  <c r="AK78" i="70"/>
  <c r="AK62" i="70"/>
  <c r="AZ79" i="70"/>
  <c r="AZ63" i="70"/>
  <c r="AD62" i="70"/>
  <c r="AD78" i="70"/>
  <c r="BB78" i="70"/>
  <c r="BB62" i="70"/>
  <c r="AQ79" i="70"/>
  <c r="AQ63" i="70"/>
  <c r="BP79" i="70"/>
  <c r="BP63" i="70"/>
  <c r="BI78" i="70"/>
  <c r="BI62" i="70"/>
  <c r="BO78" i="70"/>
  <c r="BO62" i="70"/>
  <c r="BJ79" i="70"/>
  <c r="BJ63" i="70"/>
  <c r="BK78" i="70"/>
  <c r="BK62" i="70"/>
  <c r="AM79" i="70"/>
  <c r="AM63" i="70"/>
  <c r="AS78" i="70"/>
  <c r="AS62" i="70"/>
  <c r="AG62" i="70"/>
  <c r="AG78" i="70"/>
  <c r="BE62" i="70"/>
  <c r="BE78" i="70"/>
  <c r="BM62" i="70"/>
  <c r="BM78" i="70"/>
  <c r="AV78" i="70"/>
  <c r="AV62" i="70"/>
  <c r="AR79" i="70"/>
  <c r="AR63" i="70"/>
  <c r="AP78" i="70"/>
  <c r="AP62" i="70"/>
  <c r="AI79" i="70"/>
  <c r="AI63" i="70"/>
  <c r="AL79" i="70"/>
  <c r="AL63" i="70"/>
  <c r="BG79" i="70"/>
  <c r="BG63" i="70"/>
  <c r="AM78" i="70"/>
  <c r="AM62" i="70"/>
  <c r="AS63" i="70"/>
  <c r="AS79" i="70"/>
  <c r="AE79" i="70"/>
  <c r="AE63" i="70"/>
  <c r="AG79" i="70"/>
  <c r="AG63" i="70"/>
  <c r="BF79" i="70"/>
  <c r="BF63" i="70"/>
  <c r="BE79" i="70"/>
  <c r="BE63" i="70"/>
  <c r="AZ62" i="70"/>
  <c r="AZ78" i="70"/>
  <c r="BM79" i="70"/>
  <c r="BM63" i="70"/>
  <c r="AV79" i="70"/>
  <c r="AV63" i="70"/>
  <c r="BA78" i="70"/>
  <c r="BA62" i="70"/>
  <c r="BN78" i="70"/>
  <c r="BN62" i="70"/>
  <c r="BB79" i="70"/>
  <c r="BB63" i="70"/>
  <c r="AI78" i="70"/>
  <c r="AI62" i="70"/>
  <c r="AN42" i="36"/>
  <c r="AM83" i="36"/>
  <c r="N5" i="47"/>
  <c r="G76" i="45"/>
  <c r="H76" i="45"/>
  <c r="I76" i="45"/>
  <c r="J76" i="45"/>
  <c r="K76" i="45"/>
  <c r="L76" i="45"/>
  <c r="M76" i="45"/>
  <c r="N76" i="45"/>
  <c r="O76" i="45"/>
  <c r="P76" i="45"/>
  <c r="Q76" i="45"/>
  <c r="R76" i="45"/>
  <c r="S76" i="45"/>
  <c r="T76" i="45"/>
  <c r="U76" i="45"/>
  <c r="V76" i="45"/>
  <c r="W76" i="45"/>
  <c r="X76" i="45"/>
  <c r="Y76" i="45"/>
  <c r="Z76" i="45"/>
  <c r="AA76" i="45"/>
  <c r="AB76" i="45"/>
  <c r="AC76" i="45"/>
  <c r="AD76" i="45"/>
  <c r="AE76" i="45"/>
  <c r="AF76" i="45"/>
  <c r="AG76" i="45"/>
  <c r="F76" i="45"/>
  <c r="D123" i="34"/>
  <c r="E123" i="34" s="1"/>
  <c r="B144" i="34"/>
  <c r="B145" i="34" s="1"/>
  <c r="B146" i="34" s="1"/>
  <c r="B147" i="34" s="1"/>
  <c r="B148" i="34" s="1"/>
  <c r="B149" i="34" s="1"/>
  <c r="B150" i="34" s="1"/>
  <c r="B151" i="34" s="1"/>
  <c r="B152" i="34" s="1"/>
  <c r="B153" i="34" s="1"/>
  <c r="B154" i="34" s="1"/>
  <c r="B155" i="34" s="1"/>
  <c r="H135" i="46"/>
  <c r="C132" i="46"/>
  <c r="C133" i="46" s="1"/>
  <c r="C134" i="46" s="1"/>
  <c r="C135" i="46" s="1"/>
  <c r="B132" i="46"/>
  <c r="B133" i="46" s="1"/>
  <c r="B134" i="46" s="1"/>
  <c r="B135" i="46" s="1"/>
  <c r="A132" i="46"/>
  <c r="A133" i="46" s="1"/>
  <c r="A134" i="46" s="1"/>
  <c r="A135" i="46" s="1"/>
  <c r="B87" i="36"/>
  <c r="B95" i="36" s="1"/>
  <c r="B97" i="36" s="1"/>
  <c r="A87" i="36"/>
  <c r="A93" i="36" s="1"/>
  <c r="B5" i="46"/>
  <c r="B8" i="46"/>
  <c r="BD79" i="70" l="1"/>
  <c r="BD62" i="70"/>
  <c r="AB166" i="65" s="1"/>
  <c r="AB178" i="65" s="1"/>
  <c r="AY63" i="70"/>
  <c r="AU62" i="70"/>
  <c r="S166" i="65" s="1"/>
  <c r="S178" i="65" s="1"/>
  <c r="AH62" i="70"/>
  <c r="F166" i="65" s="1"/>
  <c r="F178" i="65" s="1"/>
  <c r="AU63" i="70"/>
  <c r="BC78" i="70"/>
  <c r="BN79" i="70"/>
  <c r="BH78" i="70"/>
  <c r="BK79" i="70"/>
  <c r="AN78" i="70"/>
  <c r="Y166" i="65"/>
  <c r="Y178" i="65" s="1"/>
  <c r="K166" i="65"/>
  <c r="K178" i="65" s="1"/>
  <c r="N166" i="65"/>
  <c r="N178" i="65" s="1"/>
  <c r="AI166" i="65"/>
  <c r="AI178" i="65" s="1"/>
  <c r="Z166" i="65"/>
  <c r="Z178" i="65" s="1"/>
  <c r="AE166" i="65"/>
  <c r="AE178" i="65" s="1"/>
  <c r="V166" i="65"/>
  <c r="V178" i="65" s="1"/>
  <c r="AK166" i="65"/>
  <c r="AK178" i="65" s="1"/>
  <c r="AC166" i="65"/>
  <c r="AC178" i="65" s="1"/>
  <c r="E166" i="65"/>
  <c r="E178" i="65" s="1"/>
  <c r="M166" i="65"/>
  <c r="M178" i="65" s="1"/>
  <c r="H166" i="65"/>
  <c r="H178" i="65" s="1"/>
  <c r="C166" i="65"/>
  <c r="C178" i="65" s="1"/>
  <c r="AH166" i="65"/>
  <c r="AH178" i="65" s="1"/>
  <c r="G166" i="65"/>
  <c r="G178" i="65" s="1"/>
  <c r="AL166" i="65"/>
  <c r="AL178" i="65" s="1"/>
  <c r="T166" i="65"/>
  <c r="T178" i="65" s="1"/>
  <c r="AA166" i="65"/>
  <c r="AA178" i="65" s="1"/>
  <c r="Q166" i="65"/>
  <c r="Q178" i="65" s="1"/>
  <c r="AG166" i="65"/>
  <c r="AG178" i="65" s="1"/>
  <c r="I166" i="65"/>
  <c r="I178" i="65" s="1"/>
  <c r="W166" i="65"/>
  <c r="W178" i="65" s="1"/>
  <c r="AD166" i="65"/>
  <c r="AD178" i="65" s="1"/>
  <c r="D166" i="65"/>
  <c r="D178" i="65" s="1"/>
  <c r="AJ166" i="65"/>
  <c r="AJ178" i="65" s="1"/>
  <c r="O166" i="65"/>
  <c r="O178" i="65" s="1"/>
  <c r="AM166" i="65"/>
  <c r="AM178" i="65" s="1"/>
  <c r="J166" i="65"/>
  <c r="J178" i="65" s="1"/>
  <c r="R166" i="65"/>
  <c r="R178" i="65" s="1"/>
  <c r="L166" i="65"/>
  <c r="L178" i="65" s="1"/>
  <c r="M4" i="50"/>
  <c r="M4" i="57" s="1"/>
  <c r="AK5" i="57" s="1"/>
  <c r="M4" i="69"/>
  <c r="X166" i="65"/>
  <c r="X178" i="65" s="1"/>
  <c r="AF166" i="65"/>
  <c r="AF178" i="65" s="1"/>
  <c r="B166" i="65"/>
  <c r="B178" i="65" s="1"/>
  <c r="P166" i="65"/>
  <c r="P178" i="65" s="1"/>
  <c r="AN166" i="65"/>
  <c r="AN178" i="65" s="1"/>
  <c r="U166" i="65"/>
  <c r="U178" i="65" s="1"/>
  <c r="K123" i="34"/>
  <c r="O123" i="34"/>
  <c r="S123" i="34"/>
  <c r="W123" i="34"/>
  <c r="AA123" i="34"/>
  <c r="K124" i="34"/>
  <c r="O124" i="34"/>
  <c r="S124" i="34"/>
  <c r="W124" i="34"/>
  <c r="AA124" i="34"/>
  <c r="K125" i="34"/>
  <c r="O125" i="34"/>
  <c r="S125" i="34"/>
  <c r="W125" i="34"/>
  <c r="AA125" i="34"/>
  <c r="K126" i="34"/>
  <c r="O126" i="34"/>
  <c r="S126" i="34"/>
  <c r="W126" i="34"/>
  <c r="AA126" i="34"/>
  <c r="K127" i="34"/>
  <c r="O127" i="34"/>
  <c r="S127" i="34"/>
  <c r="W127" i="34"/>
  <c r="AA127" i="34"/>
  <c r="K128" i="34"/>
  <c r="O128" i="34"/>
  <c r="S128" i="34"/>
  <c r="W128" i="34"/>
  <c r="AA128" i="34"/>
  <c r="K132" i="34"/>
  <c r="O132" i="34"/>
  <c r="S132" i="34"/>
  <c r="W132" i="34"/>
  <c r="AA132" i="34"/>
  <c r="K134" i="34"/>
  <c r="O134" i="34"/>
  <c r="S134" i="34"/>
  <c r="W134" i="34"/>
  <c r="AA134" i="34"/>
  <c r="AC126" i="34"/>
  <c r="AC132" i="34"/>
  <c r="AB126" i="34"/>
  <c r="AB125" i="34"/>
  <c r="I123" i="34"/>
  <c r="M123" i="34"/>
  <c r="Q123" i="34"/>
  <c r="U123" i="34"/>
  <c r="Y123" i="34"/>
  <c r="I124" i="34"/>
  <c r="M124" i="34"/>
  <c r="Q124" i="34"/>
  <c r="U124" i="34"/>
  <c r="Y124" i="34"/>
  <c r="I125" i="34"/>
  <c r="M125" i="34"/>
  <c r="Q125" i="34"/>
  <c r="U125" i="34"/>
  <c r="Y125" i="34"/>
  <c r="I126" i="34"/>
  <c r="M126" i="34"/>
  <c r="Q126" i="34"/>
  <c r="U126" i="34"/>
  <c r="Y126" i="34"/>
  <c r="I127" i="34"/>
  <c r="M127" i="34"/>
  <c r="Q127" i="34"/>
  <c r="U127" i="34"/>
  <c r="Y127" i="34"/>
  <c r="I128" i="34"/>
  <c r="M128" i="34"/>
  <c r="Q128" i="34"/>
  <c r="U128" i="34"/>
  <c r="Y128" i="34"/>
  <c r="I132" i="34"/>
  <c r="M132" i="34"/>
  <c r="Q132" i="34"/>
  <c r="U132" i="34"/>
  <c r="Y132" i="34"/>
  <c r="I134" i="34"/>
  <c r="M134" i="34"/>
  <c r="Q134" i="34"/>
  <c r="U134" i="34"/>
  <c r="Y134" i="34"/>
  <c r="AC124" i="34"/>
  <c r="AC128" i="34"/>
  <c r="AB134" i="34"/>
  <c r="AB128" i="34"/>
  <c r="AB124" i="34"/>
  <c r="J123" i="34"/>
  <c r="N123" i="34"/>
  <c r="R123" i="34"/>
  <c r="V123" i="34"/>
  <c r="Z123" i="34"/>
  <c r="J124" i="34"/>
  <c r="N124" i="34"/>
  <c r="R124" i="34"/>
  <c r="V124" i="34"/>
  <c r="H123" i="34"/>
  <c r="L123" i="34"/>
  <c r="P123" i="34"/>
  <c r="T123" i="34"/>
  <c r="X123" i="34"/>
  <c r="H124" i="34"/>
  <c r="L124" i="34"/>
  <c r="P124" i="34"/>
  <c r="T124" i="34"/>
  <c r="X124" i="34"/>
  <c r="H125" i="34"/>
  <c r="L125" i="34"/>
  <c r="P125" i="34"/>
  <c r="T125" i="34"/>
  <c r="X125" i="34"/>
  <c r="H126" i="34"/>
  <c r="L126" i="34"/>
  <c r="P126" i="34"/>
  <c r="T126" i="34"/>
  <c r="X126" i="34"/>
  <c r="H127" i="34"/>
  <c r="L127" i="34"/>
  <c r="P127" i="34"/>
  <c r="T127" i="34"/>
  <c r="X127" i="34"/>
  <c r="H128" i="34"/>
  <c r="L128" i="34"/>
  <c r="P128" i="34"/>
  <c r="T128" i="34"/>
  <c r="X128" i="34"/>
  <c r="H132" i="34"/>
  <c r="L132" i="34"/>
  <c r="P132" i="34"/>
  <c r="T132" i="34"/>
  <c r="X132" i="34"/>
  <c r="H134" i="34"/>
  <c r="L134" i="34"/>
  <c r="P134" i="34"/>
  <c r="T134" i="34"/>
  <c r="X134" i="34"/>
  <c r="AC123" i="34"/>
  <c r="AC127" i="34"/>
  <c r="AC134" i="34"/>
  <c r="R125" i="34"/>
  <c r="N126" i="34"/>
  <c r="J127" i="34"/>
  <c r="Z127" i="34"/>
  <c r="V128" i="34"/>
  <c r="V132" i="34"/>
  <c r="R134" i="34"/>
  <c r="Z124" i="34"/>
  <c r="V125" i="34"/>
  <c r="R126" i="34"/>
  <c r="N127" i="34"/>
  <c r="J128" i="34"/>
  <c r="Z128" i="34"/>
  <c r="J132" i="34"/>
  <c r="Z132" i="34"/>
  <c r="V134" i="34"/>
  <c r="AB132" i="34"/>
  <c r="AB127" i="34"/>
  <c r="J125" i="34"/>
  <c r="Z125" i="34"/>
  <c r="V126" i="34"/>
  <c r="R127" i="34"/>
  <c r="N128" i="34"/>
  <c r="N132" i="34"/>
  <c r="J134" i="34"/>
  <c r="Z134" i="34"/>
  <c r="AB123" i="34"/>
  <c r="N125" i="34"/>
  <c r="J126" i="34"/>
  <c r="Z126" i="34"/>
  <c r="V127" i="34"/>
  <c r="R128" i="34"/>
  <c r="R132" i="34"/>
  <c r="N134" i="34"/>
  <c r="AC125" i="34"/>
  <c r="AW134" i="34"/>
  <c r="BB132" i="34"/>
  <c r="AL132" i="34"/>
  <c r="BF128" i="34"/>
  <c r="BI125" i="34"/>
  <c r="BO123" i="34"/>
  <c r="BD134" i="34"/>
  <c r="AN134" i="34"/>
  <c r="BE133" i="34"/>
  <c r="AO133" i="34"/>
  <c r="BM132" i="34"/>
  <c r="AW132" i="34"/>
  <c r="AW128" i="34"/>
  <c r="AX127" i="34"/>
  <c r="AY126" i="34"/>
  <c r="AS125" i="34"/>
  <c r="BO134" i="34"/>
  <c r="BP133" i="34"/>
  <c r="AJ133" i="34"/>
  <c r="BH132" i="34"/>
  <c r="AR132" i="34"/>
  <c r="AL128" i="34"/>
  <c r="AM127" i="34"/>
  <c r="AN126" i="34"/>
  <c r="BF124" i="34"/>
  <c r="AI124" i="34"/>
  <c r="AG127" i="34"/>
  <c r="AE132" i="34"/>
  <c r="AE127" i="34"/>
  <c r="AF127" i="34"/>
  <c r="AH134" i="34"/>
  <c r="AH125" i="34"/>
  <c r="AE125" i="34"/>
  <c r="AE133" i="34"/>
  <c r="AV123" i="34"/>
  <c r="BL123" i="34"/>
  <c r="AU124" i="34"/>
  <c r="BK124" i="34"/>
  <c r="AT125" i="34"/>
  <c r="BJ125" i="34"/>
  <c r="AS126" i="34"/>
  <c r="BI126" i="34"/>
  <c r="AR127" i="34"/>
  <c r="BH127" i="34"/>
  <c r="AQ128" i="34"/>
  <c r="BG128" i="34"/>
  <c r="AK123" i="34"/>
  <c r="BA123" i="34"/>
  <c r="AJ124" i="34"/>
  <c r="BI134" i="34"/>
  <c r="AS134" i="34"/>
  <c r="BJ133" i="34"/>
  <c r="BN132" i="34"/>
  <c r="AX132" i="34"/>
  <c r="AX128" i="34"/>
  <c r="AY127" i="34"/>
  <c r="AZ126" i="34"/>
  <c r="AW125" i="34"/>
  <c r="BA133" i="34"/>
  <c r="AK133" i="34"/>
  <c r="BI132" i="34"/>
  <c r="AS132" i="34"/>
  <c r="AO128" i="34"/>
  <c r="AP127" i="34"/>
  <c r="AQ126" i="34"/>
  <c r="BJ124" i="34"/>
  <c r="BK134" i="34"/>
  <c r="AU134" i="34"/>
  <c r="BL133" i="34"/>
  <c r="BD132" i="34"/>
  <c r="AN132" i="34"/>
  <c r="BJ128" i="34"/>
  <c r="BK127" i="34"/>
  <c r="BL126" i="34"/>
  <c r="BM125" i="34"/>
  <c r="AP124" i="34"/>
  <c r="AE128" i="34"/>
  <c r="AI132" i="34"/>
  <c r="AI123" i="34"/>
  <c r="AG128" i="34"/>
  <c r="AD124" i="34"/>
  <c r="AD128" i="34"/>
  <c r="AF126" i="34"/>
  <c r="AH133" i="34"/>
  <c r="AJ123" i="34"/>
  <c r="AZ123" i="34"/>
  <c r="BP123" i="34"/>
  <c r="AY124" i="34"/>
  <c r="BO124" i="34"/>
  <c r="AV127" i="34"/>
  <c r="BL127" i="34"/>
  <c r="AU128" i="34"/>
  <c r="BK128" i="34"/>
  <c r="AO123" i="34"/>
  <c r="BE123" i="34"/>
  <c r="AN124" i="34"/>
  <c r="BD124" i="34"/>
  <c r="AL126" i="34"/>
  <c r="AK127" i="34"/>
  <c r="BA127" i="34"/>
  <c r="AJ128" i="34"/>
  <c r="AZ128" i="34"/>
  <c r="BP128" i="34"/>
  <c r="AL123" i="34"/>
  <c r="BB123" i="34"/>
  <c r="BE134" i="34"/>
  <c r="BF133" i="34"/>
  <c r="AP133" i="34"/>
  <c r="BJ132" i="34"/>
  <c r="AT132" i="34"/>
  <c r="BL134" i="34"/>
  <c r="AV134" i="34"/>
  <c r="BM128" i="34"/>
  <c r="BN127" i="34"/>
  <c r="BO126" i="34"/>
  <c r="BP125" i="34"/>
  <c r="AT124" i="34"/>
  <c r="BG134" i="34"/>
  <c r="AQ134" i="34"/>
  <c r="BH133" i="34"/>
  <c r="BB128" i="34"/>
  <c r="BC127" i="34"/>
  <c r="BD126" i="34"/>
  <c r="BE125" i="34"/>
  <c r="AG123" i="34"/>
  <c r="AG124" i="34"/>
  <c r="AF124" i="34"/>
  <c r="AD127" i="34"/>
  <c r="AF134" i="34"/>
  <c r="AI127" i="34"/>
  <c r="AF123" i="34"/>
  <c r="AL125" i="34"/>
  <c r="BB125" i="34"/>
  <c r="AK126" i="34"/>
  <c r="BA126" i="34"/>
  <c r="AJ127" i="34"/>
  <c r="AZ127" i="34"/>
  <c r="AR124" i="34"/>
  <c r="AQ125" i="34"/>
  <c r="BG125" i="34"/>
  <c r="BF126" i="34"/>
  <c r="AN128" i="34"/>
  <c r="BD128" i="34"/>
  <c r="AP123" i="34"/>
  <c r="BF123" i="34"/>
  <c r="AO124" i="34"/>
  <c r="AK134" i="34"/>
  <c r="BF132" i="34"/>
  <c r="BO127" i="34"/>
  <c r="BH134" i="34"/>
  <c r="BH125" i="34"/>
  <c r="BD133" i="34"/>
  <c r="AV132" i="34"/>
  <c r="AU127" i="34"/>
  <c r="AI126" i="34"/>
  <c r="AG132" i="34"/>
  <c r="AH127" i="34"/>
  <c r="AF125" i="34"/>
  <c r="AQ124" i="34"/>
  <c r="AO126" i="34"/>
  <c r="AM128" i="34"/>
  <c r="BM123" i="34"/>
  <c r="AU125" i="34"/>
  <c r="AS127" i="34"/>
  <c r="AR128" i="34"/>
  <c r="AS124" i="34"/>
  <c r="BM124" i="34"/>
  <c r="AV125" i="34"/>
  <c r="AQ123" i="34"/>
  <c r="BJ134" i="34"/>
  <c r="AT134" i="34"/>
  <c r="BK133" i="34"/>
  <c r="AU133" i="34"/>
  <c r="BO132" i="34"/>
  <c r="AY132" i="34"/>
  <c r="BC126" i="34"/>
  <c r="BA125" i="34"/>
  <c r="BC123" i="34"/>
  <c r="BN128" i="34"/>
  <c r="AS133" i="34"/>
  <c r="AK132" i="34"/>
  <c r="AM134" i="34"/>
  <c r="AT128" i="34"/>
  <c r="AI125" i="34"/>
  <c r="BD127" i="34"/>
  <c r="BP124" i="34"/>
  <c r="BM127" i="34"/>
  <c r="AR125" i="34"/>
  <c r="BN134" i="34"/>
  <c r="BO133" i="34"/>
  <c r="BJ127" i="34"/>
  <c r="BL125" i="34"/>
  <c r="BB133" i="34"/>
  <c r="AP132" i="34"/>
  <c r="BP126" i="34"/>
  <c r="AR134" i="34"/>
  <c r="BE128" i="34"/>
  <c r="BK123" i="34"/>
  <c r="AN133" i="34"/>
  <c r="AV126" i="34"/>
  <c r="AD126" i="34"/>
  <c r="AF132" i="34"/>
  <c r="AH132" i="34"/>
  <c r="BG124" i="34"/>
  <c r="BE126" i="34"/>
  <c r="BC128" i="34"/>
  <c r="AY125" i="34"/>
  <c r="AX126" i="34"/>
  <c r="AW127" i="34"/>
  <c r="AX123" i="34"/>
  <c r="AW124" i="34"/>
  <c r="AJ125" i="34"/>
  <c r="AZ125" i="34"/>
  <c r="AU123" i="34"/>
  <c r="BF134" i="34"/>
  <c r="AP134" i="34"/>
  <c r="BG133" i="34"/>
  <c r="AQ133" i="34"/>
  <c r="BK132" i="34"/>
  <c r="AU132" i="34"/>
  <c r="AS128" i="34"/>
  <c r="AT127" i="34"/>
  <c r="AU126" i="34"/>
  <c r="AK125" i="34"/>
  <c r="BO125" i="34"/>
  <c r="BC132" i="34"/>
  <c r="AM132" i="34"/>
  <c r="BI128" i="34"/>
  <c r="BK126" i="34"/>
  <c r="AL133" i="34"/>
  <c r="AJ126" i="34"/>
  <c r="BI133" i="34"/>
  <c r="BA132" i="34"/>
  <c r="BF127" i="34"/>
  <c r="BC134" i="34"/>
  <c r="AO125" i="34"/>
  <c r="AE134" i="34"/>
  <c r="AF133" i="34"/>
  <c r="AE123" i="34"/>
  <c r="AR123" i="34"/>
  <c r="AP125" i="34"/>
  <c r="AN127" i="34"/>
  <c r="BL124" i="34"/>
  <c r="BK125" i="34"/>
  <c r="BJ126" i="34"/>
  <c r="BI127" i="34"/>
  <c r="BH128" i="34"/>
  <c r="BJ123" i="34"/>
  <c r="BE124" i="34"/>
  <c r="AN125" i="34"/>
  <c r="BD125" i="34"/>
  <c r="AY123" i="34"/>
  <c r="BB134" i="34"/>
  <c r="AL134" i="34"/>
  <c r="BC133" i="34"/>
  <c r="AM133" i="34"/>
  <c r="BG132" i="34"/>
  <c r="AQ132" i="34"/>
  <c r="AK128" i="34"/>
  <c r="AL127" i="34"/>
  <c r="AM126" i="34"/>
  <c r="BB124" i="34"/>
  <c r="BA134" i="34"/>
  <c r="AX124" i="34"/>
  <c r="BG126" i="34"/>
  <c r="BL132" i="34"/>
  <c r="AE124" i="34"/>
  <c r="AD125" i="34"/>
  <c r="BH123" i="34"/>
  <c r="BF125" i="34"/>
  <c r="AW123" i="34"/>
  <c r="BN126" i="34"/>
  <c r="BL128" i="34"/>
  <c r="BN123" i="34"/>
  <c r="BI124" i="34"/>
  <c r="AM123" i="34"/>
  <c r="AX134" i="34"/>
  <c r="AY133" i="34"/>
  <c r="AL124" i="34"/>
  <c r="AV128" i="34"/>
  <c r="N133" i="34"/>
  <c r="BP134" i="34"/>
  <c r="AR133" i="34"/>
  <c r="AD134" i="34"/>
  <c r="BB126" i="34"/>
  <c r="BE132" i="34"/>
  <c r="AQ127" i="34"/>
  <c r="BC125" i="34"/>
  <c r="BI123" i="34"/>
  <c r="AZ132" i="34"/>
  <c r="AR126" i="34"/>
  <c r="AH124" i="34"/>
  <c r="AW133" i="34"/>
  <c r="BO128" i="34"/>
  <c r="AO127" i="34"/>
  <c r="BG123" i="34"/>
  <c r="Y133" i="34"/>
  <c r="W133" i="34"/>
  <c r="M133" i="34"/>
  <c r="Q133" i="34"/>
  <c r="J133" i="34"/>
  <c r="AI133" i="34"/>
  <c r="BP132" i="34"/>
  <c r="BN124" i="34"/>
  <c r="BE127" i="34"/>
  <c r="AK124" i="34"/>
  <c r="X133" i="34"/>
  <c r="AT126" i="34"/>
  <c r="BB127" i="34"/>
  <c r="H133" i="34"/>
  <c r="AZ134" i="34"/>
  <c r="AH128" i="34"/>
  <c r="AD132" i="34"/>
  <c r="AD133" i="34"/>
  <c r="BH124" i="34"/>
  <c r="AO132" i="34"/>
  <c r="BM126" i="34"/>
  <c r="AM125" i="34"/>
  <c r="AS123" i="34"/>
  <c r="AJ132" i="34"/>
  <c r="BN125" i="34"/>
  <c r="BD123" i="34"/>
  <c r="AG133" i="34"/>
  <c r="AY128" i="34"/>
  <c r="AE126" i="34"/>
  <c r="AG125" i="34"/>
  <c r="BN133" i="34"/>
  <c r="T133" i="34"/>
  <c r="AC133" i="34"/>
  <c r="V133" i="34"/>
  <c r="Z133" i="34"/>
  <c r="AB133" i="34"/>
  <c r="AP126" i="34"/>
  <c r="BM133" i="34"/>
  <c r="I133" i="34"/>
  <c r="L133" i="34"/>
  <c r="AV124" i="34"/>
  <c r="BA128" i="34"/>
  <c r="AA133" i="34"/>
  <c r="AO134" i="34"/>
  <c r="AJ134" i="34"/>
  <c r="AZ124" i="34"/>
  <c r="AY134" i="34"/>
  <c r="BP127" i="34"/>
  <c r="AZ133" i="34"/>
  <c r="AH123" i="34"/>
  <c r="AW126" i="34"/>
  <c r="BC124" i="34"/>
  <c r="AT133" i="34"/>
  <c r="AF128" i="34"/>
  <c r="AX125" i="34"/>
  <c r="AN123" i="34"/>
  <c r="AI128" i="34"/>
  <c r="BA124" i="34"/>
  <c r="S133" i="34"/>
  <c r="BM134" i="34"/>
  <c r="AX133" i="34"/>
  <c r="R133" i="34"/>
  <c r="P133" i="34"/>
  <c r="AT123" i="34"/>
  <c r="O133" i="34"/>
  <c r="AH126" i="34"/>
  <c r="AV133" i="34"/>
  <c r="AG134" i="34"/>
  <c r="AI134" i="34"/>
  <c r="AP128" i="34"/>
  <c r="BG127" i="34"/>
  <c r="AG126" i="34"/>
  <c r="AM124" i="34"/>
  <c r="BH126" i="34"/>
  <c r="K133" i="34"/>
  <c r="U133" i="34"/>
  <c r="K129" i="34"/>
  <c r="O129" i="34"/>
  <c r="S129" i="34"/>
  <c r="W129" i="34"/>
  <c r="AA129" i="34"/>
  <c r="K130" i="34"/>
  <c r="O130" i="34"/>
  <c r="S130" i="34"/>
  <c r="W130" i="34"/>
  <c r="AA130" i="34"/>
  <c r="K131" i="34"/>
  <c r="O131" i="34"/>
  <c r="S131" i="34"/>
  <c r="W131" i="34"/>
  <c r="AA131" i="34"/>
  <c r="AD129" i="34"/>
  <c r="AH129" i="34"/>
  <c r="AL129" i="34"/>
  <c r="AP129" i="34"/>
  <c r="AT129" i="34"/>
  <c r="AX129" i="34"/>
  <c r="BB129" i="34"/>
  <c r="BF129" i="34"/>
  <c r="BJ129" i="34"/>
  <c r="BN129" i="34"/>
  <c r="AD130" i="34"/>
  <c r="AH130" i="34"/>
  <c r="AL130" i="34"/>
  <c r="AP130" i="34"/>
  <c r="AT130" i="34"/>
  <c r="AX130" i="34"/>
  <c r="BB130" i="34"/>
  <c r="BF130" i="34"/>
  <c r="BJ130" i="34"/>
  <c r="BN130" i="34"/>
  <c r="AB131" i="34"/>
  <c r="I129" i="34"/>
  <c r="M129" i="34"/>
  <c r="Q129" i="34"/>
  <c r="U129" i="34"/>
  <c r="Y129" i="34"/>
  <c r="I130" i="34"/>
  <c r="M130" i="34"/>
  <c r="Q130" i="34"/>
  <c r="U130" i="34"/>
  <c r="Y130" i="34"/>
  <c r="I131" i="34"/>
  <c r="M131" i="34"/>
  <c r="Q131" i="34"/>
  <c r="U131" i="34"/>
  <c r="Y131" i="34"/>
  <c r="AF129" i="34"/>
  <c r="AJ129" i="34"/>
  <c r="AN129" i="34"/>
  <c r="AR129" i="34"/>
  <c r="AV129" i="34"/>
  <c r="AZ129" i="34"/>
  <c r="BD129" i="34"/>
  <c r="BH129" i="34"/>
  <c r="BL129" i="34"/>
  <c r="BP129" i="34"/>
  <c r="AF130" i="34"/>
  <c r="AJ130" i="34"/>
  <c r="AN130" i="34"/>
  <c r="AR130" i="34"/>
  <c r="AV130" i="34"/>
  <c r="AZ130" i="34"/>
  <c r="BD130" i="34"/>
  <c r="BH130" i="34"/>
  <c r="BL130" i="34"/>
  <c r="BP130" i="34"/>
  <c r="AB129" i="34"/>
  <c r="H129" i="34"/>
  <c r="L129" i="34"/>
  <c r="P129" i="34"/>
  <c r="T129" i="34"/>
  <c r="X129" i="34"/>
  <c r="H130" i="34"/>
  <c r="L130" i="34"/>
  <c r="P130" i="34"/>
  <c r="T130" i="34"/>
  <c r="X130" i="34"/>
  <c r="H131" i="34"/>
  <c r="L131" i="34"/>
  <c r="P131" i="34"/>
  <c r="T131" i="34"/>
  <c r="X131" i="34"/>
  <c r="AE129" i="34"/>
  <c r="AI129" i="34"/>
  <c r="AM129" i="34"/>
  <c r="AQ129" i="34"/>
  <c r="AU129" i="34"/>
  <c r="AY129" i="34"/>
  <c r="BC129" i="34"/>
  <c r="BG129" i="34"/>
  <c r="BK129" i="34"/>
  <c r="BO129" i="34"/>
  <c r="AE130" i="34"/>
  <c r="AI130" i="34"/>
  <c r="AM130" i="34"/>
  <c r="AQ130" i="34"/>
  <c r="AU130" i="34"/>
  <c r="AY130" i="34"/>
  <c r="BC130" i="34"/>
  <c r="BG130" i="34"/>
  <c r="BK130" i="34"/>
  <c r="BO130" i="34"/>
  <c r="AB130" i="34"/>
  <c r="R129" i="34"/>
  <c r="N130" i="34"/>
  <c r="J131" i="34"/>
  <c r="Z131" i="34"/>
  <c r="AC129" i="34"/>
  <c r="AS129" i="34"/>
  <c r="BI129" i="34"/>
  <c r="AK130" i="34"/>
  <c r="BA130" i="34"/>
  <c r="AC131" i="34"/>
  <c r="V129" i="34"/>
  <c r="R130" i="34"/>
  <c r="N131" i="34"/>
  <c r="AG129" i="34"/>
  <c r="AW129" i="34"/>
  <c r="BM129" i="34"/>
  <c r="AO130" i="34"/>
  <c r="BE130" i="34"/>
  <c r="J129" i="34"/>
  <c r="Z129" i="34"/>
  <c r="V130" i="34"/>
  <c r="R131" i="34"/>
  <c r="AK129" i="34"/>
  <c r="BA129" i="34"/>
  <c r="AC130" i="34"/>
  <c r="AS130" i="34"/>
  <c r="BI130" i="34"/>
  <c r="N129" i="34"/>
  <c r="J130" i="34"/>
  <c r="Z130" i="34"/>
  <c r="V131" i="34"/>
  <c r="AO129" i="34"/>
  <c r="BE129" i="34"/>
  <c r="AG130" i="34"/>
  <c r="AW130" i="34"/>
  <c r="BM130" i="34"/>
  <c r="AZ131" i="34"/>
  <c r="BN131" i="34"/>
  <c r="AK131" i="34"/>
  <c r="BO131" i="34"/>
  <c r="AT131" i="34"/>
  <c r="AN131" i="34"/>
  <c r="BB131" i="34"/>
  <c r="AD131" i="34"/>
  <c r="AY131" i="34"/>
  <c r="BJ131" i="34"/>
  <c r="AO131" i="34"/>
  <c r="AW131" i="34"/>
  <c r="AH131" i="34"/>
  <c r="AM131" i="34"/>
  <c r="BC131" i="34"/>
  <c r="AX131" i="34"/>
  <c r="AQ131" i="34"/>
  <c r="AI131" i="34"/>
  <c r="BK131" i="34"/>
  <c r="BM131" i="34"/>
  <c r="AG131" i="34"/>
  <c r="BL131" i="34"/>
  <c r="BE131" i="34"/>
  <c r="AR131" i="34"/>
  <c r="AL131" i="34"/>
  <c r="BG131" i="34"/>
  <c r="BF131" i="34"/>
  <c r="AJ131" i="34"/>
  <c r="BA131" i="34"/>
  <c r="AV131" i="34"/>
  <c r="BP131" i="34"/>
  <c r="BH131" i="34"/>
  <c r="AF131" i="34"/>
  <c r="AU131" i="34"/>
  <c r="BD131" i="34"/>
  <c r="AE131" i="34"/>
  <c r="BI131" i="34"/>
  <c r="AP131" i="34"/>
  <c r="AS131" i="34"/>
  <c r="AO42" i="36"/>
  <c r="AN83" i="36"/>
  <c r="T144" i="34"/>
  <c r="J144" i="34"/>
  <c r="O144" i="34"/>
  <c r="V144" i="34"/>
  <c r="AA144" i="34"/>
  <c r="J145" i="34"/>
  <c r="N145" i="34"/>
  <c r="R145" i="34"/>
  <c r="V145" i="34"/>
  <c r="Z145" i="34"/>
  <c r="K146" i="34"/>
  <c r="O146" i="34"/>
  <c r="S146" i="34"/>
  <c r="W146" i="34"/>
  <c r="AA146" i="34"/>
  <c r="L147" i="34"/>
  <c r="P147" i="34"/>
  <c r="T147" i="34"/>
  <c r="X147" i="34"/>
  <c r="AB147" i="34"/>
  <c r="I148" i="34"/>
  <c r="M148" i="34"/>
  <c r="Q148" i="34"/>
  <c r="U148" i="34"/>
  <c r="Y148" i="34"/>
  <c r="AC148" i="34"/>
  <c r="J149" i="34"/>
  <c r="N149" i="34"/>
  <c r="R149" i="34"/>
  <c r="V149" i="34"/>
  <c r="Z149" i="34"/>
  <c r="K150" i="34"/>
  <c r="O150" i="34"/>
  <c r="S150" i="34"/>
  <c r="W150" i="34"/>
  <c r="AA150" i="34"/>
  <c r="AE150" i="34"/>
  <c r="AI150" i="34"/>
  <c r="AM150" i="34"/>
  <c r="AQ150" i="34"/>
  <c r="AU150" i="34"/>
  <c r="AY150" i="34"/>
  <c r="BC150" i="34"/>
  <c r="BG150" i="34"/>
  <c r="BK150" i="34"/>
  <c r="BO150" i="34"/>
  <c r="K151" i="34"/>
  <c r="O151" i="34"/>
  <c r="S151" i="34"/>
  <c r="W151" i="34"/>
  <c r="AA151" i="34"/>
  <c r="AE151" i="34"/>
  <c r="AI151" i="34"/>
  <c r="AM151" i="34"/>
  <c r="AQ151" i="34"/>
  <c r="AU151" i="34"/>
  <c r="AY151" i="34"/>
  <c r="BC151" i="34"/>
  <c r="BG151" i="34"/>
  <c r="BK151" i="34"/>
  <c r="BO151" i="34"/>
  <c r="AC144" i="34"/>
  <c r="Q144" i="34"/>
  <c r="K144" i="34"/>
  <c r="P144" i="34"/>
  <c r="W144" i="34"/>
  <c r="AB144" i="34"/>
  <c r="K145" i="34"/>
  <c r="O145" i="34"/>
  <c r="S145" i="34"/>
  <c r="W145" i="34"/>
  <c r="AA145" i="34"/>
  <c r="L146" i="34"/>
  <c r="P146" i="34"/>
  <c r="T146" i="34"/>
  <c r="X146" i="34"/>
  <c r="AB146" i="34"/>
  <c r="I147" i="34"/>
  <c r="M147" i="34"/>
  <c r="Q147" i="34"/>
  <c r="U147" i="34"/>
  <c r="Y147" i="34"/>
  <c r="AC147" i="34"/>
  <c r="J148" i="34"/>
  <c r="N148" i="34"/>
  <c r="R148" i="34"/>
  <c r="V148" i="34"/>
  <c r="Z148" i="34"/>
  <c r="K149" i="34"/>
  <c r="O149" i="34"/>
  <c r="S149" i="34"/>
  <c r="W149" i="34"/>
  <c r="AA149" i="34"/>
  <c r="L150" i="34"/>
  <c r="P150" i="34"/>
  <c r="T150" i="34"/>
  <c r="X150" i="34"/>
  <c r="AB150" i="34"/>
  <c r="AF150" i="34"/>
  <c r="AJ150" i="34"/>
  <c r="AN150" i="34"/>
  <c r="AR150" i="34"/>
  <c r="AV150" i="34"/>
  <c r="AZ150" i="34"/>
  <c r="BD150" i="34"/>
  <c r="BH150" i="34"/>
  <c r="BL150" i="34"/>
  <c r="BP150" i="34"/>
  <c r="L151" i="34"/>
  <c r="P151" i="34"/>
  <c r="T151" i="34"/>
  <c r="X151" i="34"/>
  <c r="AB151" i="34"/>
  <c r="AF151" i="34"/>
  <c r="AJ151" i="34"/>
  <c r="AN151" i="34"/>
  <c r="AR151" i="34"/>
  <c r="AV151" i="34"/>
  <c r="AZ151" i="34"/>
  <c r="BD151" i="34"/>
  <c r="BH151" i="34"/>
  <c r="BL151" i="34"/>
  <c r="BP151" i="34"/>
  <c r="L152" i="34"/>
  <c r="P152" i="34"/>
  <c r="T152" i="34"/>
  <c r="X152" i="34"/>
  <c r="AB152" i="34"/>
  <c r="I153" i="34"/>
  <c r="M153" i="34"/>
  <c r="Q153" i="34"/>
  <c r="U153" i="34"/>
  <c r="Y153" i="34"/>
  <c r="AC153" i="34"/>
  <c r="J155" i="34"/>
  <c r="Y144" i="34"/>
  <c r="M144" i="34"/>
  <c r="L144" i="34"/>
  <c r="R144" i="34"/>
  <c r="X144" i="34"/>
  <c r="L145" i="34"/>
  <c r="P145" i="34"/>
  <c r="T145" i="34"/>
  <c r="X145" i="34"/>
  <c r="AB145" i="34"/>
  <c r="I146" i="34"/>
  <c r="M146" i="34"/>
  <c r="Q146" i="34"/>
  <c r="U146" i="34"/>
  <c r="Y146" i="34"/>
  <c r="AC146" i="34"/>
  <c r="J147" i="34"/>
  <c r="N147" i="34"/>
  <c r="R147" i="34"/>
  <c r="V147" i="34"/>
  <c r="Z147" i="34"/>
  <c r="K148" i="34"/>
  <c r="O148" i="34"/>
  <c r="S148" i="34"/>
  <c r="W148" i="34"/>
  <c r="AA148" i="34"/>
  <c r="L149" i="34"/>
  <c r="P149" i="34"/>
  <c r="T149" i="34"/>
  <c r="X149" i="34"/>
  <c r="AB149" i="34"/>
  <c r="I150" i="34"/>
  <c r="M150" i="34"/>
  <c r="Q150" i="34"/>
  <c r="U150" i="34"/>
  <c r="Y150" i="34"/>
  <c r="AC150" i="34"/>
  <c r="AG150" i="34"/>
  <c r="AK150" i="34"/>
  <c r="AO150" i="34"/>
  <c r="AS150" i="34"/>
  <c r="AW150" i="34"/>
  <c r="BA150" i="34"/>
  <c r="BE150" i="34"/>
  <c r="BI150" i="34"/>
  <c r="BM150" i="34"/>
  <c r="I151" i="34"/>
  <c r="M151" i="34"/>
  <c r="Q151" i="34"/>
  <c r="U151" i="34"/>
  <c r="Y151" i="34"/>
  <c r="AC151" i="34"/>
  <c r="AG151" i="34"/>
  <c r="AK151" i="34"/>
  <c r="AO151" i="34"/>
  <c r="AS151" i="34"/>
  <c r="AW151" i="34"/>
  <c r="BA151" i="34"/>
  <c r="BE151" i="34"/>
  <c r="BI151" i="34"/>
  <c r="BM151" i="34"/>
  <c r="I152" i="34"/>
  <c r="M152" i="34"/>
  <c r="Q152" i="34"/>
  <c r="U152" i="34"/>
  <c r="Y152" i="34"/>
  <c r="AC152" i="34"/>
  <c r="J153" i="34"/>
  <c r="N153" i="34"/>
  <c r="R153" i="34"/>
  <c r="V153" i="34"/>
  <c r="U144" i="34"/>
  <c r="Z144" i="34"/>
  <c r="Q145" i="34"/>
  <c r="V146" i="34"/>
  <c r="K147" i="34"/>
  <c r="AA147" i="34"/>
  <c r="P148" i="34"/>
  <c r="U149" i="34"/>
  <c r="J150" i="34"/>
  <c r="Z150" i="34"/>
  <c r="AP150" i="34"/>
  <c r="BF150" i="34"/>
  <c r="N151" i="34"/>
  <c r="AD151" i="34"/>
  <c r="AT151" i="34"/>
  <c r="BJ151" i="34"/>
  <c r="N152" i="34"/>
  <c r="V152" i="34"/>
  <c r="K153" i="34"/>
  <c r="S153" i="34"/>
  <c r="Z153" i="34"/>
  <c r="I155" i="34"/>
  <c r="N155" i="34"/>
  <c r="R155" i="34"/>
  <c r="V155" i="34"/>
  <c r="Z155" i="34"/>
  <c r="H147" i="34"/>
  <c r="H151" i="34"/>
  <c r="I144" i="34"/>
  <c r="U145" i="34"/>
  <c r="J146" i="34"/>
  <c r="Z146" i="34"/>
  <c r="O147" i="34"/>
  <c r="T148" i="34"/>
  <c r="I149" i="34"/>
  <c r="Y149" i="34"/>
  <c r="N150" i="34"/>
  <c r="AD150" i="34"/>
  <c r="AT150" i="34"/>
  <c r="BJ150" i="34"/>
  <c r="R151" i="34"/>
  <c r="AH151" i="34"/>
  <c r="AX151" i="34"/>
  <c r="BN151" i="34"/>
  <c r="O152" i="34"/>
  <c r="W152" i="34"/>
  <c r="L153" i="34"/>
  <c r="T153" i="34"/>
  <c r="AA153" i="34"/>
  <c r="K155" i="34"/>
  <c r="O155" i="34"/>
  <c r="S155" i="34"/>
  <c r="W155" i="34"/>
  <c r="AA155" i="34"/>
  <c r="H148" i="34"/>
  <c r="H152" i="34"/>
  <c r="N144" i="34"/>
  <c r="I145" i="34"/>
  <c r="Y145" i="34"/>
  <c r="N146" i="34"/>
  <c r="S147" i="34"/>
  <c r="X148" i="34"/>
  <c r="M149" i="34"/>
  <c r="AC149" i="34"/>
  <c r="R150" i="34"/>
  <c r="AH150" i="34"/>
  <c r="AX150" i="34"/>
  <c r="BN150" i="34"/>
  <c r="V151" i="34"/>
  <c r="AL151" i="34"/>
  <c r="BB151" i="34"/>
  <c r="J152" i="34"/>
  <c r="R152" i="34"/>
  <c r="Z152" i="34"/>
  <c r="O153" i="34"/>
  <c r="W153" i="34"/>
  <c r="AB153" i="34"/>
  <c r="L155" i="34"/>
  <c r="P155" i="34"/>
  <c r="T155" i="34"/>
  <c r="X155" i="34"/>
  <c r="AB155" i="34"/>
  <c r="H145" i="34"/>
  <c r="H149" i="34"/>
  <c r="H153" i="34"/>
  <c r="S144" i="34"/>
  <c r="M145" i="34"/>
  <c r="AC145" i="34"/>
  <c r="R146" i="34"/>
  <c r="W147" i="34"/>
  <c r="L148" i="34"/>
  <c r="AB148" i="34"/>
  <c r="Q149" i="34"/>
  <c r="V150" i="34"/>
  <c r="AL150" i="34"/>
  <c r="BB150" i="34"/>
  <c r="J151" i="34"/>
  <c r="Z151" i="34"/>
  <c r="AP151" i="34"/>
  <c r="BF151" i="34"/>
  <c r="K152" i="34"/>
  <c r="S152" i="34"/>
  <c r="AA152" i="34"/>
  <c r="P153" i="34"/>
  <c r="X153" i="34"/>
  <c r="M155" i="34"/>
  <c r="Q155" i="34"/>
  <c r="U155" i="34"/>
  <c r="Y155" i="34"/>
  <c r="AC155" i="34"/>
  <c r="H146" i="34"/>
  <c r="H150" i="34"/>
  <c r="H155" i="34"/>
  <c r="BG144" i="34"/>
  <c r="H154" i="34"/>
  <c r="AP152" i="34"/>
  <c r="AZ146" i="34"/>
  <c r="BC147" i="34"/>
  <c r="BP152" i="34"/>
  <c r="AU154" i="34"/>
  <c r="AQ144" i="34"/>
  <c r="BN144" i="34"/>
  <c r="AU147" i="34"/>
  <c r="AQ154" i="34"/>
  <c r="AK145" i="34"/>
  <c r="BK147" i="34"/>
  <c r="AM153" i="34"/>
  <c r="AY154" i="34"/>
  <c r="AM144" i="34"/>
  <c r="AK149" i="34"/>
  <c r="BG153" i="34"/>
  <c r="AL155" i="34"/>
  <c r="AN146" i="34"/>
  <c r="AX144" i="34"/>
  <c r="AV149" i="34"/>
  <c r="AX147" i="34"/>
  <c r="AZ145" i="34"/>
  <c r="BG149" i="34"/>
  <c r="BI147" i="34"/>
  <c r="BK145" i="34"/>
  <c r="AD155" i="34"/>
  <c r="AD154" i="34"/>
  <c r="AD149" i="34"/>
  <c r="AI153" i="34"/>
  <c r="BM146" i="34"/>
  <c r="BB152" i="34"/>
  <c r="AB154" i="34"/>
  <c r="BK155" i="34"/>
  <c r="AO149" i="34"/>
  <c r="BI153" i="34"/>
  <c r="AJ155" i="34"/>
  <c r="AZ147" i="34"/>
  <c r="BO152" i="34"/>
  <c r="AT154" i="34"/>
  <c r="BJ144" i="34"/>
  <c r="BH149" i="34"/>
  <c r="BJ147" i="34"/>
  <c r="BL145" i="34"/>
  <c r="AL152" i="34"/>
  <c r="AN148" i="34"/>
  <c r="AP146" i="34"/>
  <c r="AR144" i="34"/>
  <c r="AE144" i="34"/>
  <c r="AH155" i="34"/>
  <c r="AI155" i="34"/>
  <c r="BF145" i="34"/>
  <c r="AK152" i="34"/>
  <c r="P154" i="34"/>
  <c r="AY155" i="34"/>
  <c r="AX148" i="34"/>
  <c r="AW153" i="34"/>
  <c r="BE154" i="34"/>
  <c r="BI146" i="34"/>
  <c r="AZ152" i="34"/>
  <c r="Z154" i="34"/>
  <c r="BM155" i="34"/>
  <c r="BD149" i="34"/>
  <c r="BF147" i="34"/>
  <c r="BH145" i="34"/>
  <c r="BO149" i="34"/>
  <c r="AJ148" i="34"/>
  <c r="AL146" i="34"/>
  <c r="AN144" i="34"/>
  <c r="AF155" i="34"/>
  <c r="AF154" i="34"/>
  <c r="AE155" i="34"/>
  <c r="AO146" i="34"/>
  <c r="AR152" i="34"/>
  <c r="T154" i="34"/>
  <c r="BC155" i="34"/>
  <c r="BF148" i="34"/>
  <c r="BA153" i="34"/>
  <c r="BI154" i="34"/>
  <c r="AJ147" i="34"/>
  <c r="BE152" i="34"/>
  <c r="AL154" i="34"/>
  <c r="BB144" i="34"/>
  <c r="AU153" i="34"/>
  <c r="BA145" i="34"/>
  <c r="BB148" i="34"/>
  <c r="AY153" i="34"/>
  <c r="BK154" i="34"/>
  <c r="AV146" i="34"/>
  <c r="AS149" i="34"/>
  <c r="AP155" i="34"/>
  <c r="BJ148" i="34"/>
  <c r="BC153" i="34"/>
  <c r="BO154" i="34"/>
  <c r="AR146" i="34"/>
  <c r="BB145" i="34"/>
  <c r="AJ152" i="34"/>
  <c r="O154" i="34"/>
  <c r="BB155" i="34"/>
  <c r="BE145" i="34"/>
  <c r="BK152" i="34"/>
  <c r="BM148" i="34"/>
  <c r="BO146" i="34"/>
  <c r="AJ145" i="34"/>
  <c r="AQ149" i="34"/>
  <c r="AS147" i="34"/>
  <c r="AU145" i="34"/>
  <c r="AH147" i="34"/>
  <c r="AF149" i="34"/>
  <c r="AD145" i="34"/>
  <c r="AE149" i="34"/>
  <c r="BL147" i="34"/>
  <c r="AN153" i="34"/>
  <c r="AV154" i="34"/>
  <c r="BJ145" i="34"/>
  <c r="AN152" i="34"/>
  <c r="Q154" i="34"/>
  <c r="AZ155" i="34"/>
  <c r="AY148" i="34"/>
  <c r="AX153" i="34"/>
  <c r="BJ154" i="34"/>
  <c r="AT144" i="34"/>
  <c r="AR149" i="34"/>
  <c r="AT147" i="34"/>
  <c r="AV145" i="34"/>
  <c r="BC149" i="34"/>
  <c r="BE147" i="34"/>
  <c r="BG145" i="34"/>
  <c r="AH153" i="34"/>
  <c r="AF153" i="34"/>
  <c r="AF148" i="34"/>
  <c r="AE153" i="34"/>
  <c r="AN147" i="34"/>
  <c r="BH152" i="34"/>
  <c r="AJ154" i="34"/>
  <c r="BO155" i="34"/>
  <c r="AW149" i="34"/>
  <c r="BM153" i="34"/>
  <c r="AN155" i="34"/>
  <c r="BH147" i="34"/>
  <c r="AL153" i="34"/>
  <c r="AX154" i="34"/>
  <c r="AP144" i="34"/>
  <c r="AN149" i="34"/>
  <c r="AP147" i="34"/>
  <c r="AR145" i="34"/>
  <c r="AY149" i="34"/>
  <c r="BA147" i="34"/>
  <c r="BC145" i="34"/>
  <c r="AD153" i="34"/>
  <c r="AH152" i="34"/>
  <c r="AD147" i="34"/>
  <c r="AG152" i="34"/>
  <c r="AV147" i="34"/>
  <c r="BM152" i="34"/>
  <c r="AN154" i="34"/>
  <c r="BK144" i="34"/>
  <c r="BE149" i="34"/>
  <c r="AK146" i="34"/>
  <c r="S154" i="34"/>
  <c r="BC144" i="34"/>
  <c r="BA149" i="34"/>
  <c r="BO153" i="34"/>
  <c r="AT155" i="34"/>
  <c r="BM145" i="34"/>
  <c r="BL152" i="34"/>
  <c r="AU144" i="34"/>
  <c r="AL145" i="34"/>
  <c r="BI149" i="34"/>
  <c r="K154" i="34"/>
  <c r="AX155" i="34"/>
  <c r="BI145" i="34"/>
  <c r="AM147" i="34"/>
  <c r="BF152" i="34"/>
  <c r="AM154" i="34"/>
  <c r="AY144" i="34"/>
  <c r="AO145" i="34"/>
  <c r="AU152" i="34"/>
  <c r="AW148" i="34"/>
  <c r="AY146" i="34"/>
  <c r="BA144" i="34"/>
  <c r="BH148" i="34"/>
  <c r="BJ146" i="34"/>
  <c r="BL144" i="34"/>
  <c r="AE154" i="34"/>
  <c r="AH146" i="34"/>
  <c r="AG149" i="34"/>
  <c r="AG146" i="34"/>
  <c r="BK148" i="34"/>
  <c r="BD153" i="34"/>
  <c r="BL154" i="34"/>
  <c r="AQ147" i="34"/>
  <c r="BI152" i="34"/>
  <c r="AK154" i="34"/>
  <c r="BP155" i="34"/>
  <c r="AX149" i="34"/>
  <c r="BN153" i="34"/>
  <c r="AS155" i="34"/>
  <c r="BG152" i="34"/>
  <c r="BI148" i="34"/>
  <c r="BK146" i="34"/>
  <c r="BM144" i="34"/>
  <c r="AM149" i="34"/>
  <c r="AO147" i="34"/>
  <c r="AQ145" i="34"/>
  <c r="AF146" i="34"/>
  <c r="AH148" i="34"/>
  <c r="AI154" i="34"/>
  <c r="AG148" i="34"/>
  <c r="AM148" i="34"/>
  <c r="AR153" i="34"/>
  <c r="AZ154" i="34"/>
  <c r="AS146" i="34"/>
  <c r="AS152" i="34"/>
  <c r="U154" i="34"/>
  <c r="BD155" i="34"/>
  <c r="BG148" i="34"/>
  <c r="BB153" i="34"/>
  <c r="BN154" i="34"/>
  <c r="BC152" i="34"/>
  <c r="BE148" i="34"/>
  <c r="BG146" i="34"/>
  <c r="BI144" i="34"/>
  <c r="BP148" i="34"/>
  <c r="AK147" i="34"/>
  <c r="AM145" i="34"/>
  <c r="AF144" i="34"/>
  <c r="AD148" i="34"/>
  <c r="AG153" i="34"/>
  <c r="AI147" i="34"/>
  <c r="AU148" i="34"/>
  <c r="AV153" i="34"/>
  <c r="BD154" i="34"/>
  <c r="BH146" i="34"/>
  <c r="AX152" i="34"/>
  <c r="AT148" i="34"/>
  <c r="BF155" i="34"/>
  <c r="BA146" i="34"/>
  <c r="AV152" i="34"/>
  <c r="W154" i="34"/>
  <c r="BJ155" i="34"/>
  <c r="AW145" i="34"/>
  <c r="BK153" i="34"/>
  <c r="AJ146" i="34"/>
  <c r="BL146" i="34"/>
  <c r="BA152" i="34"/>
  <c r="AA154" i="34"/>
  <c r="BN155" i="34"/>
  <c r="AS145" i="34"/>
  <c r="BG154" i="34"/>
  <c r="AL148" i="34"/>
  <c r="AQ153" i="34"/>
  <c r="BC154" i="34"/>
  <c r="BD146" i="34"/>
  <c r="BF144" i="34"/>
  <c r="BL149" i="34"/>
  <c r="BN147" i="34"/>
  <c r="BP145" i="34"/>
  <c r="AK144" i="34"/>
  <c r="AR148" i="34"/>
  <c r="AT146" i="34"/>
  <c r="AV144" i="34"/>
  <c r="AE146" i="34"/>
  <c r="AI144" i="34"/>
  <c r="AP145" i="34"/>
  <c r="BJ149" i="34"/>
  <c r="L154" i="34"/>
  <c r="AU155" i="34"/>
  <c r="AP148" i="34"/>
  <c r="AS153" i="34"/>
  <c r="BA154" i="34"/>
  <c r="AW146" i="34"/>
  <c r="AT152" i="34"/>
  <c r="V154" i="34"/>
  <c r="BI155" i="34"/>
  <c r="AQ152" i="34"/>
  <c r="AS148" i="34"/>
  <c r="AU146" i="34"/>
  <c r="AW144" i="34"/>
  <c r="BD148" i="34"/>
  <c r="BF146" i="34"/>
  <c r="BH144" i="34"/>
  <c r="AI152" i="34"/>
  <c r="AD146" i="34"/>
  <c r="AE148" i="34"/>
  <c r="AI145" i="34"/>
  <c r="AL149" i="34"/>
  <c r="BH153" i="34"/>
  <c r="BP154" i="34"/>
  <c r="AY147" i="34"/>
  <c r="BN152" i="34"/>
  <c r="AO154" i="34"/>
  <c r="BO144" i="34"/>
  <c r="BF149" i="34"/>
  <c r="J154" i="34"/>
  <c r="AW155" i="34"/>
  <c r="AM152" i="34"/>
  <c r="AO148" i="34"/>
  <c r="AQ146" i="34"/>
  <c r="AS144" i="34"/>
  <c r="AZ148" i="34"/>
  <c r="BB146" i="34"/>
  <c r="BD144" i="34"/>
  <c r="AI148" i="34"/>
  <c r="AF145" i="34"/>
  <c r="AI146" i="34"/>
  <c r="AE145" i="34"/>
  <c r="AT149" i="34"/>
  <c r="BL153" i="34"/>
  <c r="AM155" i="34"/>
  <c r="BG147" i="34"/>
  <c r="AK153" i="34"/>
  <c r="I154" i="34"/>
  <c r="BH155" i="34"/>
  <c r="BN149" i="34"/>
  <c r="BB154" i="34"/>
  <c r="AY152" i="34"/>
  <c r="BA148" i="34"/>
  <c r="BC146" i="34"/>
  <c r="BE144" i="34"/>
  <c r="BL148" i="34"/>
  <c r="BN146" i="34"/>
  <c r="BP144" i="34"/>
  <c r="AG155" i="34"/>
  <c r="AF147" i="34"/>
  <c r="AE152" i="34"/>
  <c r="AE147" i="34"/>
  <c r="BC148" i="34"/>
  <c r="AZ153" i="34"/>
  <c r="BH154" i="34"/>
  <c r="BP146" i="34"/>
  <c r="BD152" i="34"/>
  <c r="AC154" i="34"/>
  <c r="BL155" i="34"/>
  <c r="AP149" i="34"/>
  <c r="BJ153" i="34"/>
  <c r="Y154" i="34"/>
  <c r="AX145" i="34"/>
  <c r="AP153" i="34"/>
  <c r="AK155" i="34"/>
  <c r="BP149" i="34"/>
  <c r="AK148" i="34"/>
  <c r="AM146" i="34"/>
  <c r="AO144" i="34"/>
  <c r="AV148" i="34"/>
  <c r="AX146" i="34"/>
  <c r="AZ144" i="34"/>
  <c r="AG147" i="34"/>
  <c r="AH144" i="34"/>
  <c r="AG145" i="34"/>
  <c r="AG144" i="34"/>
  <c r="BB149" i="34"/>
  <c r="BP153" i="34"/>
  <c r="AQ155" i="34"/>
  <c r="BO147" i="34"/>
  <c r="AO153" i="34"/>
  <c r="AW154" i="34"/>
  <c r="BN145" i="34"/>
  <c r="AO152" i="34"/>
  <c r="R154" i="34"/>
  <c r="BE155" i="34"/>
  <c r="BM154" i="34"/>
  <c r="BJ152" i="34"/>
  <c r="AO155" i="34"/>
  <c r="AS154" i="34"/>
  <c r="BP147" i="34"/>
  <c r="BF153" i="34"/>
  <c r="BA155" i="34"/>
  <c r="AZ149" i="34"/>
  <c r="BB147" i="34"/>
  <c r="BD145" i="34"/>
  <c r="BK149" i="34"/>
  <c r="BM147" i="34"/>
  <c r="BO145" i="34"/>
  <c r="AJ144" i="34"/>
  <c r="AH154" i="34"/>
  <c r="AF152" i="34"/>
  <c r="AG154" i="34"/>
  <c r="BE146" i="34"/>
  <c r="AW152" i="34"/>
  <c r="X154" i="34"/>
  <c r="BG155" i="34"/>
  <c r="BN148" i="34"/>
  <c r="BE153" i="34"/>
  <c r="AR147" i="34"/>
  <c r="AP154" i="34"/>
  <c r="AR155" i="34"/>
  <c r="BO148" i="34"/>
  <c r="N154" i="34"/>
  <c r="AL144" i="34"/>
  <c r="AJ149" i="34"/>
  <c r="AL147" i="34"/>
  <c r="AN145" i="34"/>
  <c r="AU149" i="34"/>
  <c r="AW147" i="34"/>
  <c r="AY145" i="34"/>
  <c r="AH149" i="34"/>
  <c r="AD152" i="34"/>
  <c r="AH145" i="34"/>
  <c r="AI149" i="34"/>
  <c r="BD147" i="34"/>
  <c r="AJ153" i="34"/>
  <c r="AR154" i="34"/>
  <c r="AT145" i="34"/>
  <c r="BM149" i="34"/>
  <c r="M154" i="34"/>
  <c r="AV155" i="34"/>
  <c r="AQ148" i="34"/>
  <c r="AT153" i="34"/>
  <c r="BF154" i="34"/>
  <c r="H144" i="34"/>
  <c r="M5" i="47"/>
  <c r="B93" i="36"/>
  <c r="E129" i="34"/>
  <c r="A91" i="36"/>
  <c r="A95" i="36"/>
  <c r="A97" i="36" s="1"/>
  <c r="B89" i="36"/>
  <c r="A89" i="36"/>
  <c r="B91" i="36"/>
  <c r="AK8" i="57" l="1"/>
  <c r="AK11" i="57"/>
  <c r="AJ8" i="57"/>
  <c r="AK10" i="57"/>
  <c r="AK7" i="57"/>
  <c r="AJ7" i="57"/>
  <c r="AK6" i="57"/>
  <c r="AJ11" i="57"/>
  <c r="AJ5" i="57"/>
  <c r="AX5" i="50" s="1"/>
  <c r="AJ6" i="57"/>
  <c r="AJ10" i="57"/>
  <c r="L4" i="50"/>
  <c r="L4" i="57" s="1"/>
  <c r="L4" i="69"/>
  <c r="BE48" i="45"/>
  <c r="Z48" i="45"/>
  <c r="AC48" i="68" s="1"/>
  <c r="AL48" i="45"/>
  <c r="J48" i="45"/>
  <c r="M48" i="68" s="1"/>
  <c r="AK48" i="45"/>
  <c r="AW48" i="45"/>
  <c r="AY48" i="45"/>
  <c r="I48" i="45"/>
  <c r="L48" i="68" s="1"/>
  <c r="N48" i="45"/>
  <c r="Q48" i="68" s="1"/>
  <c r="Q48" i="45"/>
  <c r="T48" i="68" s="1"/>
  <c r="Y48" i="45"/>
  <c r="AB48" i="68" s="1"/>
  <c r="G48" i="45"/>
  <c r="J48" i="68" s="1"/>
  <c r="X48" i="45"/>
  <c r="AA48" i="68" s="1"/>
  <c r="AQ48" i="45"/>
  <c r="V48" i="45"/>
  <c r="Y48" i="68" s="1"/>
  <c r="K48" i="45"/>
  <c r="N48" i="68" s="1"/>
  <c r="AU48" i="45"/>
  <c r="AC48" i="45"/>
  <c r="AD48" i="45"/>
  <c r="BC48" i="45"/>
  <c r="BN48" i="45"/>
  <c r="AG48" i="45"/>
  <c r="AI48" i="45"/>
  <c r="AT48" i="45"/>
  <c r="O48" i="45"/>
  <c r="R48" i="68" s="1"/>
  <c r="BH48" i="45"/>
  <c r="AJ48" i="45"/>
  <c r="P48" i="45"/>
  <c r="S48" i="68" s="1"/>
  <c r="AF48" i="45"/>
  <c r="T48" i="45"/>
  <c r="W48" i="68" s="1"/>
  <c r="BB48" i="45"/>
  <c r="F48" i="45"/>
  <c r="I48" i="68" s="1"/>
  <c r="U48" i="45"/>
  <c r="X48" i="68" s="1"/>
  <c r="BL48" i="45"/>
  <c r="AS48" i="45"/>
  <c r="AV48" i="45"/>
  <c r="BI48" i="45"/>
  <c r="BA48" i="45"/>
  <c r="BK48" i="45"/>
  <c r="AM48" i="45"/>
  <c r="AX48" i="45"/>
  <c r="BM48" i="45"/>
  <c r="S48" i="45"/>
  <c r="V48" i="68" s="1"/>
  <c r="AR48" i="45"/>
  <c r="R48" i="45"/>
  <c r="U48" i="68" s="1"/>
  <c r="AP48" i="45"/>
  <c r="AN48" i="45"/>
  <c r="BJ48" i="45"/>
  <c r="M48" i="45"/>
  <c r="P48" i="68" s="1"/>
  <c r="AA48" i="45"/>
  <c r="AD48" i="68" s="1"/>
  <c r="H48" i="45"/>
  <c r="K48" i="68" s="1"/>
  <c r="W48" i="45"/>
  <c r="Z48" i="68" s="1"/>
  <c r="BG48" i="45"/>
  <c r="L48" i="45"/>
  <c r="O48" i="68" s="1"/>
  <c r="BF48" i="45"/>
  <c r="AO48" i="45"/>
  <c r="BD48" i="45"/>
  <c r="AE48" i="45"/>
  <c r="AZ48" i="45"/>
  <c r="AH48" i="45"/>
  <c r="AP42" i="36"/>
  <c r="AO83" i="36"/>
  <c r="AJ61" i="57"/>
  <c r="AK61" i="57"/>
  <c r="L5" i="47"/>
  <c r="AL39" i="50" l="1"/>
  <c r="O207" i="65" s="1"/>
  <c r="AL39" i="69" s="1"/>
  <c r="Y34" i="69"/>
  <c r="Y35" i="69" s="1"/>
  <c r="BH22" i="50"/>
  <c r="BH23" i="50" s="1"/>
  <c r="BH24" i="50" s="1"/>
  <c r="BE22" i="50"/>
  <c r="BE23" i="50" s="1"/>
  <c r="BE24" i="50" s="1"/>
  <c r="AQ22" i="50"/>
  <c r="AV13" i="36" s="1"/>
  <c r="AX22" i="50"/>
  <c r="AX23" i="50" s="1"/>
  <c r="AX24" i="50" s="1"/>
  <c r="AO22" i="50"/>
  <c r="AO23" i="50" s="1"/>
  <c r="AO24" i="50" s="1"/>
  <c r="BB22" i="50"/>
  <c r="BB23" i="50" s="1"/>
  <c r="BB24" i="50" s="1"/>
  <c r="AW22" i="69"/>
  <c r="AW23" i="69" s="1"/>
  <c r="AW24" i="69" s="1"/>
  <c r="AM14" i="50"/>
  <c r="BC22" i="50"/>
  <c r="BC23" i="50" s="1"/>
  <c r="BC24" i="50" s="1"/>
  <c r="BI22" i="50"/>
  <c r="BN14" i="36" s="1"/>
  <c r="AE22" i="50"/>
  <c r="AJ13" i="36" s="1"/>
  <c r="BC22" i="69"/>
  <c r="BC23" i="69" s="1"/>
  <c r="BC24" i="69" s="1"/>
  <c r="BK22" i="50"/>
  <c r="BP13" i="36" s="1"/>
  <c r="AL22" i="50"/>
  <c r="AL23" i="50" s="1"/>
  <c r="AL24" i="50" s="1"/>
  <c r="AK22" i="50"/>
  <c r="AP13" i="36" s="1"/>
  <c r="AB22" i="50"/>
  <c r="AB23" i="50" s="1"/>
  <c r="AB24" i="50" s="1"/>
  <c r="AR22" i="50"/>
  <c r="AR23" i="50" s="1"/>
  <c r="AR24" i="50" s="1"/>
  <c r="AN22" i="50"/>
  <c r="AN23" i="50" s="1"/>
  <c r="AN24" i="50" s="1"/>
  <c r="BA22" i="50"/>
  <c r="BF13" i="36" s="1"/>
  <c r="BF22" i="69"/>
  <c r="BF23" i="69" s="1"/>
  <c r="BF24" i="69" s="1"/>
  <c r="AF22" i="50"/>
  <c r="AF23" i="50" s="1"/>
  <c r="AF24" i="50" s="1"/>
  <c r="AT22" i="50"/>
  <c r="AY14" i="36" s="1"/>
  <c r="BH22" i="69"/>
  <c r="BH23" i="69" s="1"/>
  <c r="BH24" i="69" s="1"/>
  <c r="BG22" i="50"/>
  <c r="BG23" i="50" s="1"/>
  <c r="BG24" i="50" s="1"/>
  <c r="Z22" i="50"/>
  <c r="AE14" i="36" s="1"/>
  <c r="AE22" i="69"/>
  <c r="AJ14" i="70" s="1"/>
  <c r="Y22" i="50"/>
  <c r="AD14" i="36" s="1"/>
  <c r="AY22" i="50"/>
  <c r="AY23" i="50" s="1"/>
  <c r="AY24" i="50" s="1"/>
  <c r="BF22" i="50"/>
  <c r="BK13" i="36" s="1"/>
  <c r="AU22" i="69"/>
  <c r="AU23" i="69" s="1"/>
  <c r="AU24" i="69" s="1"/>
  <c r="AV22" i="50"/>
  <c r="AV23" i="50" s="1"/>
  <c r="AV24" i="50" s="1"/>
  <c r="AM22" i="50"/>
  <c r="AM23" i="50" s="1"/>
  <c r="AM24" i="50" s="1"/>
  <c r="AJ22" i="50"/>
  <c r="AO13" i="36" s="1"/>
  <c r="AG22" i="50"/>
  <c r="AG23" i="50" s="1"/>
  <c r="AG24" i="50" s="1"/>
  <c r="AP22" i="50"/>
  <c r="AU13" i="36" s="1"/>
  <c r="AH22" i="69"/>
  <c r="AM13" i="70" s="1"/>
  <c r="AC22" i="50"/>
  <c r="AH14" i="36" s="1"/>
  <c r="AW22" i="50"/>
  <c r="BB13" i="36" s="1"/>
  <c r="AU22" i="50"/>
  <c r="AZ13" i="36" s="1"/>
  <c r="BJ22" i="50"/>
  <c r="BO13" i="36" s="1"/>
  <c r="AH22" i="50"/>
  <c r="AM14" i="36" s="1"/>
  <c r="BI22" i="69"/>
  <c r="BN14" i="70" s="1"/>
  <c r="BD22" i="69"/>
  <c r="BI13" i="70" s="1"/>
  <c r="AS22" i="50"/>
  <c r="AS23" i="50" s="1"/>
  <c r="AS24" i="50" s="1"/>
  <c r="AA22" i="50"/>
  <c r="AF13" i="36" s="1"/>
  <c r="AZ22" i="50"/>
  <c r="AZ23" i="50" s="1"/>
  <c r="AZ24" i="50" s="1"/>
  <c r="BD22" i="50"/>
  <c r="BI14" i="36" s="1"/>
  <c r="AI22" i="50"/>
  <c r="AN13" i="36" s="1"/>
  <c r="AC22" i="69"/>
  <c r="AH14" i="70" s="1"/>
  <c r="AS22" i="69"/>
  <c r="AS23" i="69" s="1"/>
  <c r="AS24" i="69" s="1"/>
  <c r="BG22" i="69"/>
  <c r="BG23" i="69" s="1"/>
  <c r="BG24" i="69" s="1"/>
  <c r="AJ22" i="69"/>
  <c r="AJ23" i="69" s="1"/>
  <c r="AJ24" i="69" s="1"/>
  <c r="AH34" i="50"/>
  <c r="AW14" i="50"/>
  <c r="AV14" i="50"/>
  <c r="AR22" i="69"/>
  <c r="AR23" i="69" s="1"/>
  <c r="AR24" i="69" s="1"/>
  <c r="AD22" i="50"/>
  <c r="AD23" i="50" s="1"/>
  <c r="AD24" i="50" s="1"/>
  <c r="AG22" i="69"/>
  <c r="AG23" i="69" s="1"/>
  <c r="AG24" i="69" s="1"/>
  <c r="BI34" i="50"/>
  <c r="AT34" i="50"/>
  <c r="AI22" i="69"/>
  <c r="AI23" i="69" s="1"/>
  <c r="AI24" i="69" s="1"/>
  <c r="BA34" i="50"/>
  <c r="AC34" i="50"/>
  <c r="AZ34" i="50"/>
  <c r="AU34" i="50"/>
  <c r="AM34" i="50"/>
  <c r="AL22" i="69"/>
  <c r="AQ13" i="70" s="1"/>
  <c r="AZ14" i="69"/>
  <c r="AW34" i="50"/>
  <c r="BJ34" i="50"/>
  <c r="AN34" i="50"/>
  <c r="AI34" i="50"/>
  <c r="BK34" i="50"/>
  <c r="BB34" i="50"/>
  <c r="AD34" i="50"/>
  <c r="Y34" i="50"/>
  <c r="BG34" i="50"/>
  <c r="AY34" i="50"/>
  <c r="AD22" i="69"/>
  <c r="AD23" i="69" s="1"/>
  <c r="AD24" i="69" s="1"/>
  <c r="AP34" i="50"/>
  <c r="BF34" i="50"/>
  <c r="AV34" i="50"/>
  <c r="AF34" i="50"/>
  <c r="AQ34" i="50"/>
  <c r="AE34" i="50"/>
  <c r="AE35" i="50" s="1"/>
  <c r="AA34" i="50"/>
  <c r="AL34" i="50"/>
  <c r="Z34" i="50"/>
  <c r="AG34" i="50"/>
  <c r="AS34" i="50"/>
  <c r="AO34" i="50"/>
  <c r="AJ34" i="50"/>
  <c r="BH34" i="50"/>
  <c r="BE34" i="50"/>
  <c r="BC34" i="50"/>
  <c r="AK34" i="50"/>
  <c r="AX34" i="50"/>
  <c r="AB34" i="50"/>
  <c r="BD34" i="50"/>
  <c r="AR34" i="50"/>
  <c r="AV22" i="69"/>
  <c r="BA13" i="70" s="1"/>
  <c r="AN39" i="50"/>
  <c r="Q207" i="65" s="1"/>
  <c r="AN39" i="69" s="1"/>
  <c r="AK39" i="50"/>
  <c r="N207" i="65" s="1"/>
  <c r="AK39" i="69" s="1"/>
  <c r="AW39" i="50"/>
  <c r="Z207" i="65" s="1"/>
  <c r="AW39" i="69" s="1"/>
  <c r="BH39" i="50"/>
  <c r="AK207" i="65" s="1"/>
  <c r="BH39" i="69" s="1"/>
  <c r="Z39" i="50"/>
  <c r="C207" i="65" s="1"/>
  <c r="BG39" i="50"/>
  <c r="AJ207" i="65" s="1"/>
  <c r="BG39" i="69" s="1"/>
  <c r="BJ39" i="50"/>
  <c r="AM207" i="65" s="1"/>
  <c r="BJ39" i="69" s="1"/>
  <c r="BD39" i="50"/>
  <c r="AG207" i="65" s="1"/>
  <c r="BD39" i="69" s="1"/>
  <c r="AP39" i="50"/>
  <c r="S207" i="65" s="1"/>
  <c r="AP39" i="69" s="1"/>
  <c r="AZ39" i="50"/>
  <c r="AC207" i="65" s="1"/>
  <c r="AZ39" i="69" s="1"/>
  <c r="AX39" i="50"/>
  <c r="AA207" i="65" s="1"/>
  <c r="AX39" i="69" s="1"/>
  <c r="BI39" i="50"/>
  <c r="AL207" i="65" s="1"/>
  <c r="BI39" i="69" s="1"/>
  <c r="AV39" i="50"/>
  <c r="Y207" i="65" s="1"/>
  <c r="AV39" i="69" s="1"/>
  <c r="AE39" i="50"/>
  <c r="H207" i="65" s="1"/>
  <c r="AJ39" i="50"/>
  <c r="M207" i="65" s="1"/>
  <c r="AJ39" i="69" s="1"/>
  <c r="BC39" i="50"/>
  <c r="AF207" i="65" s="1"/>
  <c r="BC39" i="69" s="1"/>
  <c r="BB39" i="50"/>
  <c r="AE207" i="65" s="1"/>
  <c r="BB39" i="69" s="1"/>
  <c r="Y39" i="50"/>
  <c r="B207" i="65" s="1"/>
  <c r="AD39" i="50"/>
  <c r="G207" i="65" s="1"/>
  <c r="AS39" i="50"/>
  <c r="V207" i="65" s="1"/>
  <c r="AS39" i="69" s="1"/>
  <c r="BF39" i="50"/>
  <c r="AI207" i="65" s="1"/>
  <c r="BF39" i="69" s="1"/>
  <c r="AU39" i="50"/>
  <c r="X207" i="65" s="1"/>
  <c r="AU39" i="69" s="1"/>
  <c r="AA39" i="50"/>
  <c r="D207" i="65" s="1"/>
  <c r="AE39" i="69"/>
  <c r="AO39" i="50"/>
  <c r="R207" i="65" s="1"/>
  <c r="AO39" i="69" s="1"/>
  <c r="AY39" i="50"/>
  <c r="AB207" i="65" s="1"/>
  <c r="AY39" i="69" s="1"/>
  <c r="AI39" i="50"/>
  <c r="L207" i="65" s="1"/>
  <c r="AI39" i="69" s="1"/>
  <c r="BE39" i="50"/>
  <c r="AH207" i="65" s="1"/>
  <c r="BE39" i="69" s="1"/>
  <c r="AQ39" i="50"/>
  <c r="T207" i="65" s="1"/>
  <c r="AQ39" i="69" s="1"/>
  <c r="Y12" i="50"/>
  <c r="Y13" i="50" s="1"/>
  <c r="AQ14" i="50"/>
  <c r="BH14" i="50"/>
  <c r="AF22" i="69"/>
  <c r="AK14" i="70" s="1"/>
  <c r="AK12" i="50"/>
  <c r="AK13" i="50" s="1"/>
  <c r="AN12" i="50"/>
  <c r="AN13" i="50" s="1"/>
  <c r="AL14" i="50"/>
  <c r="AJ14" i="50"/>
  <c r="BE12" i="50"/>
  <c r="BE13" i="50" s="1"/>
  <c r="BK12" i="50"/>
  <c r="BK13" i="50" s="1"/>
  <c r="AG14" i="50"/>
  <c r="BG14" i="50"/>
  <c r="AL12" i="50"/>
  <c r="AL13" i="50" s="1"/>
  <c r="AH14" i="50"/>
  <c r="BC12" i="50"/>
  <c r="BC13" i="50" s="1"/>
  <c r="Y14" i="50"/>
  <c r="AT12" i="50"/>
  <c r="AT13" i="50" s="1"/>
  <c r="BK14" i="50"/>
  <c r="AS14" i="50"/>
  <c r="AV12" i="50"/>
  <c r="AV13" i="50" s="1"/>
  <c r="AU12" i="50"/>
  <c r="AU13" i="50" s="1"/>
  <c r="AT14" i="50"/>
  <c r="AF14" i="50"/>
  <c r="BH12" i="50"/>
  <c r="BH13" i="50" s="1"/>
  <c r="AZ14" i="50"/>
  <c r="AI14" i="50"/>
  <c r="AX14" i="50"/>
  <c r="AP14" i="50"/>
  <c r="BG12" i="50"/>
  <c r="BG13" i="50" s="1"/>
  <c r="AD14" i="50"/>
  <c r="AY14" i="50"/>
  <c r="Z14" i="50"/>
  <c r="AF12" i="50"/>
  <c r="AF13" i="50" s="1"/>
  <c r="BI12" i="50"/>
  <c r="BI13" i="50" s="1"/>
  <c r="BA12" i="50"/>
  <c r="BA13" i="50" s="1"/>
  <c r="AA39" i="69"/>
  <c r="AC14" i="50"/>
  <c r="AN14" i="50"/>
  <c r="BD14" i="50"/>
  <c r="AC12" i="50"/>
  <c r="AC13" i="50" s="1"/>
  <c r="AZ12" i="50"/>
  <c r="AZ13" i="50" s="1"/>
  <c r="AE34" i="69"/>
  <c r="AE37" i="69" s="1"/>
  <c r="BA14" i="50"/>
  <c r="AO14" i="50"/>
  <c r="BB14" i="50"/>
  <c r="AH12" i="50"/>
  <c r="AH13" i="50" s="1"/>
  <c r="BF12" i="50"/>
  <c r="BF13" i="50" s="1"/>
  <c r="BD14" i="69"/>
  <c r="BJ12" i="50"/>
  <c r="BJ13" i="50" s="1"/>
  <c r="AO12" i="50"/>
  <c r="AO13" i="50" s="1"/>
  <c r="AB12" i="50"/>
  <c r="AB13" i="50" s="1"/>
  <c r="AR14" i="50"/>
  <c r="AL12" i="69"/>
  <c r="AL15" i="69" s="1"/>
  <c r="AL50" i="69" s="1"/>
  <c r="AV34" i="69"/>
  <c r="AV37" i="69" s="1"/>
  <c r="BB14" i="69"/>
  <c r="AU12" i="69"/>
  <c r="AU15" i="69" s="1"/>
  <c r="AU50" i="69" s="1"/>
  <c r="AB12" i="69"/>
  <c r="AB15" i="69" s="1"/>
  <c r="AB50" i="69" s="1"/>
  <c r="BC14" i="50"/>
  <c r="AU14" i="50"/>
  <c r="AQ12" i="50"/>
  <c r="AQ13" i="50" s="1"/>
  <c r="BE14" i="50"/>
  <c r="AV14" i="69"/>
  <c r="AB14" i="50"/>
  <c r="AJ12" i="50"/>
  <c r="AJ13" i="50" s="1"/>
  <c r="AP12" i="50"/>
  <c r="AP13" i="50" s="1"/>
  <c r="BF14" i="50"/>
  <c r="Z39" i="69"/>
  <c r="AM12" i="69"/>
  <c r="AM15" i="69" s="1"/>
  <c r="AM50" i="69" s="1"/>
  <c r="AM12" i="50"/>
  <c r="AM13" i="50" s="1"/>
  <c r="BJ14" i="50"/>
  <c r="AX12" i="50"/>
  <c r="AX13" i="50" s="1"/>
  <c r="AA12" i="50"/>
  <c r="AA13" i="50" s="1"/>
  <c r="AR12" i="50"/>
  <c r="AR13" i="50" s="1"/>
  <c r="BI14" i="50"/>
  <c r="AB39" i="69"/>
  <c r="BI14" i="69"/>
  <c r="BB12" i="50"/>
  <c r="BB13" i="50" s="1"/>
  <c r="AE14" i="50"/>
  <c r="AW12" i="50"/>
  <c r="AW13" i="50" s="1"/>
  <c r="Z12" i="50"/>
  <c r="Z13" i="50" s="1"/>
  <c r="AY12" i="50"/>
  <c r="AY13" i="50" s="1"/>
  <c r="AS12" i="50"/>
  <c r="AS13" i="50" s="1"/>
  <c r="AD39" i="69"/>
  <c r="BH14" i="69"/>
  <c r="AA34" i="69"/>
  <c r="AA37" i="69" s="1"/>
  <c r="AX14" i="69"/>
  <c r="BI12" i="69"/>
  <c r="BI15" i="69" s="1"/>
  <c r="BI50" i="69" s="1"/>
  <c r="BA34" i="69"/>
  <c r="BA35" i="69" s="1"/>
  <c r="AH12" i="69"/>
  <c r="AH15" i="69" s="1"/>
  <c r="AH50" i="69" s="1"/>
  <c r="AS12" i="69"/>
  <c r="AS13" i="69" s="1"/>
  <c r="AP14" i="69"/>
  <c r="BK34" i="69"/>
  <c r="BK37" i="69" s="1"/>
  <c r="AF12" i="69"/>
  <c r="AF13" i="69" s="1"/>
  <c r="AF14" i="69"/>
  <c r="BH34" i="69"/>
  <c r="BH35" i="69" s="1"/>
  <c r="AO12" i="69"/>
  <c r="AO15" i="69" s="1"/>
  <c r="AO50" i="69" s="1"/>
  <c r="BG12" i="69"/>
  <c r="BG15" i="69" s="1"/>
  <c r="BG50" i="69" s="1"/>
  <c r="AD19" i="69"/>
  <c r="AB34" i="69"/>
  <c r="AB37" i="69" s="1"/>
  <c r="Y12" i="69"/>
  <c r="Y13" i="69" s="1"/>
  <c r="AE12" i="69"/>
  <c r="AE15" i="69" s="1"/>
  <c r="AE50" i="69" s="1"/>
  <c r="AX34" i="69"/>
  <c r="AX35" i="69" s="1"/>
  <c r="AY14" i="69"/>
  <c r="BF14" i="69"/>
  <c r="AA14" i="50"/>
  <c r="Y39" i="69"/>
  <c r="Y40" i="69" s="1"/>
  <c r="AG34" i="69"/>
  <c r="AG35" i="69" s="1"/>
  <c r="AS14" i="69"/>
  <c r="BD12" i="50"/>
  <c r="BD13" i="50" s="1"/>
  <c r="AG12" i="50"/>
  <c r="AG13" i="50" s="1"/>
  <c r="AD12" i="50"/>
  <c r="AD13" i="50" s="1"/>
  <c r="BE22" i="69"/>
  <c r="BJ14" i="70" s="1"/>
  <c r="Y22" i="69"/>
  <c r="AD14" i="70" s="1"/>
  <c r="AA22" i="69"/>
  <c r="AA23" i="69" s="1"/>
  <c r="AA24" i="69" s="1"/>
  <c r="AB22" i="69"/>
  <c r="AB23" i="69" s="1"/>
  <c r="AB24" i="69" s="1"/>
  <c r="AZ22" i="69"/>
  <c r="BE13" i="70" s="1"/>
  <c r="AK22" i="69"/>
  <c r="AP13" i="70" s="1"/>
  <c r="AP22" i="69"/>
  <c r="AP23" i="69" s="1"/>
  <c r="AP24" i="69" s="1"/>
  <c r="AT22" i="69"/>
  <c r="AY13" i="70" s="1"/>
  <c r="BB22" i="69"/>
  <c r="BG14" i="70" s="1"/>
  <c r="AN22" i="69"/>
  <c r="AS14" i="70" s="1"/>
  <c r="AN34" i="69"/>
  <c r="AN37" i="69" s="1"/>
  <c r="AS34" i="69"/>
  <c r="AS37" i="69" s="1"/>
  <c r="AZ34" i="69"/>
  <c r="AZ37" i="69" s="1"/>
  <c r="BE34" i="69"/>
  <c r="BE35" i="69" s="1"/>
  <c r="AD34" i="69"/>
  <c r="AD35" i="69" s="1"/>
  <c r="AG14" i="69"/>
  <c r="AM14" i="69"/>
  <c r="AB14" i="69"/>
  <c r="AG12" i="69"/>
  <c r="AG15" i="69" s="1"/>
  <c r="AG50" i="69" s="1"/>
  <c r="AE14" i="69"/>
  <c r="BB12" i="69"/>
  <c r="BB15" i="69" s="1"/>
  <c r="BB50" i="69" s="1"/>
  <c r="AA14" i="69"/>
  <c r="AL14" i="69"/>
  <c r="AC12" i="69"/>
  <c r="AC15" i="69" s="1"/>
  <c r="AC50" i="69" s="1"/>
  <c r="BC12" i="69"/>
  <c r="BC13" i="69" s="1"/>
  <c r="AN12" i="69"/>
  <c r="AN13" i="69" s="1"/>
  <c r="AE12" i="50"/>
  <c r="AE13" i="50" s="1"/>
  <c r="AK14" i="50"/>
  <c r="AI12" i="50"/>
  <c r="AI13" i="50" s="1"/>
  <c r="AX22" i="69"/>
  <c r="BC13" i="70" s="1"/>
  <c r="AO22" i="69"/>
  <c r="AO23" i="69" s="1"/>
  <c r="AO24" i="69" s="1"/>
  <c r="AY22" i="69"/>
  <c r="AY23" i="69" s="1"/>
  <c r="AY24" i="69" s="1"/>
  <c r="Z22" i="69"/>
  <c r="Z23" i="69" s="1"/>
  <c r="Z24" i="69" s="1"/>
  <c r="AQ22" i="69"/>
  <c r="AV14" i="70" s="1"/>
  <c r="BA22" i="69"/>
  <c r="BA23" i="69" s="1"/>
  <c r="BA24" i="69" s="1"/>
  <c r="BK22" i="69"/>
  <c r="BK23" i="69" s="1"/>
  <c r="BK24" i="69" s="1"/>
  <c r="AM22" i="69"/>
  <c r="AR13" i="70" s="1"/>
  <c r="BJ22" i="69"/>
  <c r="BO14" i="70" s="1"/>
  <c r="BF34" i="69"/>
  <c r="BF37" i="69" s="1"/>
  <c r="BB34" i="69"/>
  <c r="BB37" i="69" s="1"/>
  <c r="AQ34" i="69"/>
  <c r="AQ35" i="69" s="1"/>
  <c r="BG34" i="69"/>
  <c r="BG37" i="69" s="1"/>
  <c r="AH14" i="69"/>
  <c r="BG14" i="69"/>
  <c r="AC14" i="69"/>
  <c r="BE12" i="69"/>
  <c r="BE13" i="69" s="1"/>
  <c r="BC14" i="69"/>
  <c r="BH12" i="69"/>
  <c r="BH13" i="69" s="1"/>
  <c r="AU14" i="69"/>
  <c r="AX12" i="69"/>
  <c r="AX13" i="69" s="1"/>
  <c r="BA12" i="69"/>
  <c r="BA13" i="69" s="1"/>
  <c r="AZ12" i="69"/>
  <c r="AZ15" i="69" s="1"/>
  <c r="AZ50" i="69" s="1"/>
  <c r="AY12" i="69"/>
  <c r="AY15" i="69" s="1"/>
  <c r="AY50" i="69" s="1"/>
  <c r="BJ12" i="69"/>
  <c r="BJ15" i="69" s="1"/>
  <c r="BJ50" i="69" s="1"/>
  <c r="Z12" i="69"/>
  <c r="Z15" i="69" s="1"/>
  <c r="Z50" i="69" s="1"/>
  <c r="AO14" i="69"/>
  <c r="AA19" i="69"/>
  <c r="BJ34" i="69"/>
  <c r="BJ35" i="69" s="1"/>
  <c r="AB39" i="50"/>
  <c r="E207" i="65" s="1"/>
  <c r="BK39" i="50"/>
  <c r="AN207" i="65" s="1"/>
  <c r="BK39" i="69" s="1"/>
  <c r="AH39" i="50"/>
  <c r="K207" i="65" s="1"/>
  <c r="AH39" i="69" s="1"/>
  <c r="BA39" i="50"/>
  <c r="AD207" i="65" s="1"/>
  <c r="BA39" i="69" s="1"/>
  <c r="AG39" i="50"/>
  <c r="J207" i="65" s="1"/>
  <c r="AR39" i="50"/>
  <c r="U207" i="65" s="1"/>
  <c r="AR39" i="69" s="1"/>
  <c r="AT39" i="50"/>
  <c r="W207" i="65" s="1"/>
  <c r="AT39" i="69" s="1"/>
  <c r="AM39" i="50"/>
  <c r="P207" i="65" s="1"/>
  <c r="AM39" i="69" s="1"/>
  <c r="AC39" i="50"/>
  <c r="F207" i="65" s="1"/>
  <c r="AF39" i="50"/>
  <c r="I207" i="65" s="1"/>
  <c r="AE5" i="50"/>
  <c r="AE8" i="50" s="1"/>
  <c r="AE9" i="50" s="1"/>
  <c r="AJ10" i="36" s="1"/>
  <c r="AG39" i="69"/>
  <c r="AC39" i="69"/>
  <c r="Z34" i="69"/>
  <c r="Z35" i="69" s="1"/>
  <c r="AF34" i="69"/>
  <c r="AF37" i="69" s="1"/>
  <c r="AH34" i="69"/>
  <c r="AH35" i="69" s="1"/>
  <c r="AK34" i="69"/>
  <c r="AK37" i="69" s="1"/>
  <c r="AP34" i="69"/>
  <c r="AP35" i="69" s="1"/>
  <c r="AR34" i="69"/>
  <c r="AR37" i="69" s="1"/>
  <c r="AM34" i="69"/>
  <c r="AM37" i="69" s="1"/>
  <c r="AW34" i="69"/>
  <c r="AW35" i="69" s="1"/>
  <c r="BC34" i="69"/>
  <c r="BC35" i="69" s="1"/>
  <c r="AL34" i="69"/>
  <c r="AL37" i="69" s="1"/>
  <c r="AR12" i="69"/>
  <c r="AR15" i="69" s="1"/>
  <c r="AR50" i="69" s="1"/>
  <c r="AJ12" i="69"/>
  <c r="AJ13" i="69" s="1"/>
  <c r="AI14" i="69"/>
  <c r="AW14" i="69"/>
  <c r="AW12" i="69"/>
  <c r="AW15" i="69" s="1"/>
  <c r="AW50" i="69" s="1"/>
  <c r="BK12" i="69"/>
  <c r="BK15" i="69" s="1"/>
  <c r="BK50" i="69" s="1"/>
  <c r="AA12" i="69"/>
  <c r="AA13" i="69" s="1"/>
  <c r="AR14" i="69"/>
  <c r="AQ12" i="69"/>
  <c r="AQ13" i="69" s="1"/>
  <c r="AN14" i="69"/>
  <c r="AV12" i="69"/>
  <c r="AV15" i="69" s="1"/>
  <c r="AV50" i="69" s="1"/>
  <c r="AK12" i="69"/>
  <c r="AK13" i="69" s="1"/>
  <c r="BK14" i="69"/>
  <c r="AI12" i="69"/>
  <c r="AI13" i="69" s="1"/>
  <c r="Y14" i="69"/>
  <c r="AD14" i="69"/>
  <c r="AB19" i="50"/>
  <c r="AB20" i="50" s="1"/>
  <c r="AB21" i="50" s="1"/>
  <c r="AF39" i="69"/>
  <c r="BD34" i="69"/>
  <c r="BD37" i="69" s="1"/>
  <c r="AU34" i="69"/>
  <c r="AU37" i="69" s="1"/>
  <c r="BI34" i="69"/>
  <c r="BI35" i="69" s="1"/>
  <c r="AC34" i="69"/>
  <c r="AC35" i="69" s="1"/>
  <c r="AT34" i="69"/>
  <c r="AT35" i="69" s="1"/>
  <c r="AJ34" i="69"/>
  <c r="AJ37" i="69" s="1"/>
  <c r="AI34" i="69"/>
  <c r="AI37" i="69" s="1"/>
  <c r="AO34" i="69"/>
  <c r="AO35" i="69" s="1"/>
  <c r="AY34" i="69"/>
  <c r="AY35" i="69" s="1"/>
  <c r="AU5" i="50"/>
  <c r="X205" i="65" s="1"/>
  <c r="AU5" i="69" s="1"/>
  <c r="AN19" i="50"/>
  <c r="AN20" i="50" s="1"/>
  <c r="AN21" i="50" s="1"/>
  <c r="AQ5" i="50"/>
  <c r="T205" i="65" s="1"/>
  <c r="AQ5" i="69" s="1"/>
  <c r="BE19" i="50"/>
  <c r="BE20" i="50" s="1"/>
  <c r="BE21" i="50" s="1"/>
  <c r="AJ5" i="50"/>
  <c r="AJ8" i="50" s="1"/>
  <c r="BH19" i="50"/>
  <c r="BH20" i="50" s="1"/>
  <c r="BH21" i="50" s="1"/>
  <c r="AE19" i="50"/>
  <c r="AE20" i="50" s="1"/>
  <c r="AE21" i="50" s="1"/>
  <c r="AC5" i="50"/>
  <c r="AC8" i="50" s="1"/>
  <c r="AC51" i="50" s="1"/>
  <c r="BI5" i="50"/>
  <c r="AL205" i="65" s="1"/>
  <c r="BI5" i="69" s="1"/>
  <c r="BD5" i="50"/>
  <c r="BD8" i="50" s="1"/>
  <c r="BE5" i="50"/>
  <c r="BE8" i="50" s="1"/>
  <c r="AA19" i="50"/>
  <c r="D206" i="65" s="1"/>
  <c r="Z19" i="50"/>
  <c r="Z20" i="50" s="1"/>
  <c r="Z21" i="50" s="1"/>
  <c r="AW19" i="50"/>
  <c r="Z206" i="65" s="1"/>
  <c r="AW19" i="69" s="1"/>
  <c r="Y19" i="50"/>
  <c r="Y20" i="50" s="1"/>
  <c r="Y21" i="50" s="1"/>
  <c r="AD19" i="50"/>
  <c r="G206" i="65" s="1"/>
  <c r="AN5" i="50"/>
  <c r="AN8" i="50" s="1"/>
  <c r="BF5" i="50"/>
  <c r="BF8" i="50" s="1"/>
  <c r="AM5" i="50"/>
  <c r="AM8" i="50" s="1"/>
  <c r="AM9" i="50" s="1"/>
  <c r="AR10" i="36" s="1"/>
  <c r="AS5" i="50"/>
  <c r="AS8" i="50" s="1"/>
  <c r="AI19" i="50"/>
  <c r="L206" i="65" s="1"/>
  <c r="AI19" i="69" s="1"/>
  <c r="AG19" i="50"/>
  <c r="AG20" i="50" s="1"/>
  <c r="AG21" i="50" s="1"/>
  <c r="AS19" i="50"/>
  <c r="AS20" i="50" s="1"/>
  <c r="AS21" i="50" s="1"/>
  <c r="AX19" i="50"/>
  <c r="AX20" i="50" s="1"/>
  <c r="AX21" i="50" s="1"/>
  <c r="AG19" i="69"/>
  <c r="AY5" i="50"/>
  <c r="AB205" i="65" s="1"/>
  <c r="AY5" i="69" s="1"/>
  <c r="AI5" i="50"/>
  <c r="AI8" i="50" s="1"/>
  <c r="AI9" i="50" s="1"/>
  <c r="AN10" i="36" s="1"/>
  <c r="AV5" i="50"/>
  <c r="AV8" i="50" s="1"/>
  <c r="AF19" i="50"/>
  <c r="AF20" i="50" s="1"/>
  <c r="AF21" i="50" s="1"/>
  <c r="AY19" i="50"/>
  <c r="AY20" i="50" s="1"/>
  <c r="AY21" i="50" s="1"/>
  <c r="AT19" i="50"/>
  <c r="W206" i="65" s="1"/>
  <c r="AT19" i="69" s="1"/>
  <c r="AK19" i="50"/>
  <c r="AK20" i="50" s="1"/>
  <c r="AK21" i="50" s="1"/>
  <c r="AZ19" i="50"/>
  <c r="AC206" i="65" s="1"/>
  <c r="AZ19" i="69" s="1"/>
  <c r="Y19" i="69"/>
  <c r="Y27" i="69" s="1"/>
  <c r="AT14" i="69"/>
  <c r="AK14" i="69"/>
  <c r="BA14" i="69"/>
  <c r="AC19" i="69"/>
  <c r="Z19" i="69"/>
  <c r="AD5" i="50"/>
  <c r="G205" i="65" s="1"/>
  <c r="AD5" i="69" s="1"/>
  <c r="AO5" i="50"/>
  <c r="AO8" i="50" s="1"/>
  <c r="AZ5" i="50"/>
  <c r="AC205" i="65" s="1"/>
  <c r="AZ5" i="69" s="1"/>
  <c r="AK5" i="50"/>
  <c r="N205" i="65" s="1"/>
  <c r="AK5" i="69" s="1"/>
  <c r="BG5" i="50"/>
  <c r="BG8" i="50" s="1"/>
  <c r="AG5" i="50"/>
  <c r="AG8" i="50" s="1"/>
  <c r="AB5" i="50"/>
  <c r="AB8" i="50" s="1"/>
  <c r="BJ19" i="50"/>
  <c r="BJ20" i="50" s="1"/>
  <c r="BJ21" i="50" s="1"/>
  <c r="AR19" i="50"/>
  <c r="U206" i="65" s="1"/>
  <c r="AR19" i="69" s="1"/>
  <c r="BG19" i="50"/>
  <c r="BG20" i="50" s="1"/>
  <c r="BG21" i="50" s="1"/>
  <c r="AM19" i="50"/>
  <c r="AM20" i="50" s="1"/>
  <c r="AM21" i="50" s="1"/>
  <c r="BB19" i="50"/>
  <c r="BB20" i="50" s="1"/>
  <c r="BB21" i="50" s="1"/>
  <c r="AP19" i="50"/>
  <c r="S206" i="65" s="1"/>
  <c r="AP19" i="69" s="1"/>
  <c r="AO19" i="50"/>
  <c r="AO20" i="50" s="1"/>
  <c r="AO21" i="50" s="1"/>
  <c r="BA19" i="50"/>
  <c r="BA20" i="50" s="1"/>
  <c r="BA21" i="50" s="1"/>
  <c r="AU19" i="50"/>
  <c r="X206" i="65" s="1"/>
  <c r="AU19" i="69" s="1"/>
  <c r="AL19" i="50"/>
  <c r="AL20" i="50" s="1"/>
  <c r="AL21" i="50" s="1"/>
  <c r="AF19" i="69"/>
  <c r="AB19" i="69"/>
  <c r="AA5" i="50"/>
  <c r="AA8" i="50" s="1"/>
  <c r="AA9" i="50" s="1"/>
  <c r="AF10" i="36" s="1"/>
  <c r="BA5" i="50"/>
  <c r="BA8" i="50" s="1"/>
  <c r="AT5" i="50"/>
  <c r="AT8" i="50" s="1"/>
  <c r="AH5" i="50"/>
  <c r="AH8" i="50" s="1"/>
  <c r="BJ5" i="50"/>
  <c r="BJ8" i="50" s="1"/>
  <c r="AW5" i="50"/>
  <c r="Z205" i="65" s="1"/>
  <c r="AW5" i="69" s="1"/>
  <c r="AP5" i="50"/>
  <c r="S205" i="65" s="1"/>
  <c r="AP5" i="69" s="1"/>
  <c r="BK19" i="50"/>
  <c r="AN206" i="65" s="1"/>
  <c r="BK19" i="69" s="1"/>
  <c r="BD19" i="50"/>
  <c r="AG206" i="65" s="1"/>
  <c r="BD19" i="69" s="1"/>
  <c r="BC19" i="50"/>
  <c r="AF206" i="65" s="1"/>
  <c r="BC19" i="69" s="1"/>
  <c r="BF19" i="50"/>
  <c r="BF20" i="50" s="1"/>
  <c r="BF21" i="50" s="1"/>
  <c r="BI19" i="50"/>
  <c r="BI20" i="50" s="1"/>
  <c r="BI21" i="50" s="1"/>
  <c r="AC19" i="50"/>
  <c r="F206" i="65" s="1"/>
  <c r="AQ19" i="50"/>
  <c r="AQ20" i="50" s="1"/>
  <c r="AQ21" i="50" s="1"/>
  <c r="AV19" i="50"/>
  <c r="AV20" i="50" s="1"/>
  <c r="AV21" i="50" s="1"/>
  <c r="AJ19" i="50"/>
  <c r="M206" i="65" s="1"/>
  <c r="AJ19" i="69" s="1"/>
  <c r="AH19" i="50"/>
  <c r="K206" i="65" s="1"/>
  <c r="AH19" i="69" s="1"/>
  <c r="AE19" i="69"/>
  <c r="AP12" i="69"/>
  <c r="AP15" i="69" s="1"/>
  <c r="AP50" i="69" s="1"/>
  <c r="AD12" i="69"/>
  <c r="AD15" i="69" s="1"/>
  <c r="AD50" i="69" s="1"/>
  <c r="BF12" i="69"/>
  <c r="BF15" i="69" s="1"/>
  <c r="BF50" i="69" s="1"/>
  <c r="BE14" i="69"/>
  <c r="AF5" i="50"/>
  <c r="I205" i="65" s="1"/>
  <c r="AF5" i="69" s="1"/>
  <c r="Z5" i="50"/>
  <c r="C205" i="65" s="1"/>
  <c r="Z5" i="69" s="1"/>
  <c r="BC5" i="50"/>
  <c r="BC8" i="50" s="1"/>
  <c r="Y5" i="50"/>
  <c r="B205" i="65" s="1"/>
  <c r="Y5" i="69" s="1"/>
  <c r="BB5" i="50"/>
  <c r="BB8" i="50" s="1"/>
  <c r="BK5" i="50"/>
  <c r="BK8" i="50" s="1"/>
  <c r="BH5" i="50"/>
  <c r="AK205" i="65" s="1"/>
  <c r="BH5" i="69" s="1"/>
  <c r="AL5" i="50"/>
  <c r="AL8" i="50" s="1"/>
  <c r="AR5" i="50"/>
  <c r="AR8" i="50" s="1"/>
  <c r="AQ14" i="69"/>
  <c r="AJ14" i="69"/>
  <c r="BD12" i="69"/>
  <c r="BD15" i="69" s="1"/>
  <c r="BD50" i="69" s="1"/>
  <c r="BJ14" i="69"/>
  <c r="Z14" i="69"/>
  <c r="AT12" i="69"/>
  <c r="AT13" i="69" s="1"/>
  <c r="AE23" i="69"/>
  <c r="AE24" i="69" s="1"/>
  <c r="AX13" i="70"/>
  <c r="AH15" i="70"/>
  <c r="AL15" i="70"/>
  <c r="AP15" i="70"/>
  <c r="AT15" i="70"/>
  <c r="AX15" i="70"/>
  <c r="BB15" i="70"/>
  <c r="BF15" i="70"/>
  <c r="BJ15" i="70"/>
  <c r="BN15" i="70"/>
  <c r="AE15" i="70"/>
  <c r="AI15" i="70"/>
  <c r="AM15" i="70"/>
  <c r="AQ15" i="70"/>
  <c r="AU15" i="70"/>
  <c r="AY15" i="70"/>
  <c r="BC15" i="70"/>
  <c r="BG15" i="70"/>
  <c r="BK15" i="70"/>
  <c r="BO15" i="70"/>
  <c r="AD15" i="70"/>
  <c r="AF15" i="70"/>
  <c r="AJ15" i="70"/>
  <c r="AN15" i="70"/>
  <c r="AR15" i="70"/>
  <c r="AV15" i="70"/>
  <c r="AZ15" i="70"/>
  <c r="BD15" i="70"/>
  <c r="BH15" i="70"/>
  <c r="BL15" i="70"/>
  <c r="BP15" i="70"/>
  <c r="AG15" i="70"/>
  <c r="AK15" i="70"/>
  <c r="AO15" i="70"/>
  <c r="AS15" i="70"/>
  <c r="AW15" i="70"/>
  <c r="BA15" i="70"/>
  <c r="BE15" i="70"/>
  <c r="BI15" i="70"/>
  <c r="BM15" i="70"/>
  <c r="AX8" i="50"/>
  <c r="AA205" i="65"/>
  <c r="AX5" i="69" s="1"/>
  <c r="K4" i="50"/>
  <c r="K4" i="57" s="1"/>
  <c r="K4" i="69"/>
  <c r="AC23" i="69"/>
  <c r="AC24" i="69" s="1"/>
  <c r="AH13" i="70"/>
  <c r="Y37" i="69"/>
  <c r="AQ42" i="36"/>
  <c r="AP83" i="36"/>
  <c r="BM14" i="36"/>
  <c r="BM13" i="36"/>
  <c r="BJ13" i="36"/>
  <c r="AK23" i="50"/>
  <c r="AK24" i="50" s="1"/>
  <c r="AP14" i="36"/>
  <c r="AE13" i="36"/>
  <c r="AS13" i="36"/>
  <c r="AF15" i="36"/>
  <c r="AJ15" i="36"/>
  <c r="AN15" i="36"/>
  <c r="AR15" i="36"/>
  <c r="AV15" i="36"/>
  <c r="AZ15" i="36"/>
  <c r="BD15" i="36"/>
  <c r="BH15" i="36"/>
  <c r="BL15" i="36"/>
  <c r="BP15" i="36"/>
  <c r="AS15" i="36"/>
  <c r="BA15" i="36"/>
  <c r="BI15" i="36"/>
  <c r="BM15" i="36"/>
  <c r="BN15" i="36"/>
  <c r="AG15" i="36"/>
  <c r="AK15" i="36"/>
  <c r="AO15" i="36"/>
  <c r="AW15" i="36"/>
  <c r="BE15" i="36"/>
  <c r="AD15" i="36"/>
  <c r="AH15" i="36"/>
  <c r="AL15" i="36"/>
  <c r="AP15" i="36"/>
  <c r="AT15" i="36"/>
  <c r="AX15" i="36"/>
  <c r="BB15" i="36"/>
  <c r="BF15" i="36"/>
  <c r="AE15" i="36"/>
  <c r="AI15" i="36"/>
  <c r="AM15" i="36"/>
  <c r="AQ15" i="36"/>
  <c r="AU15" i="36"/>
  <c r="AY15" i="36"/>
  <c r="BC15" i="36"/>
  <c r="BG15" i="36"/>
  <c r="BK15" i="36"/>
  <c r="BO15" i="36"/>
  <c r="BJ15" i="36"/>
  <c r="Z32" i="50"/>
  <c r="Z53" i="50" s="1"/>
  <c r="AC32" i="50"/>
  <c r="AC53" i="50" s="1"/>
  <c r="AO32" i="50"/>
  <c r="AO53" i="50" s="1"/>
  <c r="AA32" i="50"/>
  <c r="AA53" i="50" s="1"/>
  <c r="AI32" i="50"/>
  <c r="AI53" i="50" s="1"/>
  <c r="AN32" i="50"/>
  <c r="AN53" i="50" s="1"/>
  <c r="AD32" i="50"/>
  <c r="AD53" i="50" s="1"/>
  <c r="AH32" i="50"/>
  <c r="AH53" i="50" s="1"/>
  <c r="AB32" i="50"/>
  <c r="AB53" i="50" s="1"/>
  <c r="AE32" i="50"/>
  <c r="AE53" i="50" s="1"/>
  <c r="AM32" i="50"/>
  <c r="AM53" i="50" s="1"/>
  <c r="K5" i="47"/>
  <c r="AC23" i="50" l="1"/>
  <c r="AC24" i="50" s="1"/>
  <c r="AC13" i="69"/>
  <c r="BK23" i="50"/>
  <c r="BK24" i="50" s="1"/>
  <c r="AD13" i="36"/>
  <c r="AQ23" i="50"/>
  <c r="AQ24" i="50" s="1"/>
  <c r="AV14" i="36"/>
  <c r="AC1420" i="67" s="1"/>
  <c r="BL13" i="70"/>
  <c r="Y23" i="50"/>
  <c r="Y24" i="50" s="1"/>
  <c r="BL14" i="70"/>
  <c r="BL59" i="70" s="1"/>
  <c r="AA20" i="50"/>
  <c r="AA21" i="50" s="1"/>
  <c r="BI13" i="69"/>
  <c r="AQ13" i="36"/>
  <c r="AF23" i="69"/>
  <c r="AF24" i="69" s="1"/>
  <c r="BB14" i="36"/>
  <c r="AI1210" i="67" s="1"/>
  <c r="AW23" i="50"/>
  <c r="AW24" i="50" s="1"/>
  <c r="AQ14" i="36"/>
  <c r="X1108" i="67" s="1"/>
  <c r="AS35" i="69"/>
  <c r="AH13" i="36"/>
  <c r="O1075" i="67" s="1"/>
  <c r="AX14" i="70"/>
  <c r="V131" i="65" s="1"/>
  <c r="BK35" i="69"/>
  <c r="Z23" i="50"/>
  <c r="Z24" i="50" s="1"/>
  <c r="BJ14" i="36"/>
  <c r="AQ1108" i="67" s="1"/>
  <c r="BP14" i="36"/>
  <c r="AW1402" i="67" s="1"/>
  <c r="BN13" i="70"/>
  <c r="BN58" i="70" s="1"/>
  <c r="AK13" i="70"/>
  <c r="AK74" i="70" s="1"/>
  <c r="AJ13" i="70"/>
  <c r="AJ74" i="70" s="1"/>
  <c r="BI23" i="69"/>
  <c r="BI24" i="69" s="1"/>
  <c r="BA37" i="69"/>
  <c r="Y15" i="69"/>
  <c r="Y50" i="69" s="1"/>
  <c r="BJ13" i="70"/>
  <c r="BJ74" i="70" s="1"/>
  <c r="AR14" i="70"/>
  <c r="P131" i="65" s="1"/>
  <c r="AZ13" i="70"/>
  <c r="X130" i="65" s="1"/>
  <c r="X140" i="65" s="1"/>
  <c r="AG470" i="67" s="1"/>
  <c r="AZ14" i="70"/>
  <c r="AZ59" i="70" s="1"/>
  <c r="BG13" i="36"/>
  <c r="AN1401" i="67" s="1"/>
  <c r="BG14" i="36"/>
  <c r="AN1076" i="67" s="1"/>
  <c r="AS14" i="36"/>
  <c r="Z1402" i="67" s="1"/>
  <c r="BE14" i="70"/>
  <c r="AC131" i="65" s="1"/>
  <c r="AQ37" i="69"/>
  <c r="AV21" i="70" s="1"/>
  <c r="AU13" i="69"/>
  <c r="AM13" i="69"/>
  <c r="AY13" i="69"/>
  <c r="AX13" i="36"/>
  <c r="AE1089" i="67" s="1"/>
  <c r="AX14" i="36"/>
  <c r="AE1556" i="67" s="1"/>
  <c r="AX23" i="69"/>
  <c r="AX24" i="69" s="1"/>
  <c r="BD23" i="69"/>
  <c r="BD24" i="69" s="1"/>
  <c r="AQ14" i="70"/>
  <c r="AQ59" i="70" s="1"/>
  <c r="BC14" i="70"/>
  <c r="BC59" i="70" s="1"/>
  <c r="AP14" i="70"/>
  <c r="AP75" i="70" s="1"/>
  <c r="BA23" i="50"/>
  <c r="BA24" i="50" s="1"/>
  <c r="BG35" i="69"/>
  <c r="AM35" i="69"/>
  <c r="BI14" i="70"/>
  <c r="BI59" i="70" s="1"/>
  <c r="AI13" i="70"/>
  <c r="AI74" i="70" s="1"/>
  <c r="BK13" i="70"/>
  <c r="BK74" i="70" s="1"/>
  <c r="AB13" i="69"/>
  <c r="AL23" i="69"/>
  <c r="AL24" i="69" s="1"/>
  <c r="BB14" i="70"/>
  <c r="BB59" i="70" s="1"/>
  <c r="AK23" i="69"/>
  <c r="AK24" i="69" s="1"/>
  <c r="BA13" i="36"/>
  <c r="AH1387" i="67" s="1"/>
  <c r="AW14" i="70"/>
  <c r="AW59" i="70" s="1"/>
  <c r="BB13" i="70"/>
  <c r="Z130" i="65" s="1"/>
  <c r="Z140" i="65" s="1"/>
  <c r="AI470" i="67" s="1"/>
  <c r="AF15" i="69"/>
  <c r="AF50" i="69" s="1"/>
  <c r="BA14" i="36"/>
  <c r="AH1556" i="67" s="1"/>
  <c r="BF14" i="36"/>
  <c r="AM1388" i="67" s="1"/>
  <c r="BJ13" i="69"/>
  <c r="AI14" i="70"/>
  <c r="AI75" i="70" s="1"/>
  <c r="Z37" i="69"/>
  <c r="Z54" i="69" s="1"/>
  <c r="P205" i="65"/>
  <c r="AM5" i="69" s="1"/>
  <c r="AI205" i="65"/>
  <c r="BF5" i="69" s="1"/>
  <c r="AZ14" i="36"/>
  <c r="AG1402" i="67" s="1"/>
  <c r="AL13" i="69"/>
  <c r="AU23" i="50"/>
  <c r="AU24" i="50" s="1"/>
  <c r="AG14" i="36"/>
  <c r="N1402" i="67" s="1"/>
  <c r="BC14" i="36"/>
  <c r="AJ1388" i="67" s="1"/>
  <c r="BA15" i="69"/>
  <c r="BA50" i="69" s="1"/>
  <c r="BC13" i="36"/>
  <c r="AJ1539" i="67" s="1"/>
  <c r="AK35" i="69"/>
  <c r="AW13" i="36"/>
  <c r="AD1387" i="67" s="1"/>
  <c r="BD13" i="36"/>
  <c r="AK1539" i="67" s="1"/>
  <c r="AV35" i="69"/>
  <c r="AO13" i="70"/>
  <c r="AO74" i="70" s="1"/>
  <c r="BD14" i="36"/>
  <c r="AK1402" i="67" s="1"/>
  <c r="BF23" i="50"/>
  <c r="BF24" i="50" s="1"/>
  <c r="AH23" i="50"/>
  <c r="AH24" i="50" s="1"/>
  <c r="AT14" i="36"/>
  <c r="AA1388" i="67" s="1"/>
  <c r="AE35" i="69"/>
  <c r="AF13" i="70"/>
  <c r="AF74" i="70" s="1"/>
  <c r="AX37" i="69"/>
  <c r="AX54" i="69" s="1"/>
  <c r="B206" i="65"/>
  <c r="AH20" i="50"/>
  <c r="AH21" i="50" s="1"/>
  <c r="BK14" i="36"/>
  <c r="AQ8" i="50"/>
  <c r="AM13" i="36"/>
  <c r="T1209" i="67" s="1"/>
  <c r="AS15" i="69"/>
  <c r="AS50" i="69" s="1"/>
  <c r="BA14" i="70"/>
  <c r="BA59" i="70" s="1"/>
  <c r="AO14" i="70"/>
  <c r="AG13" i="36"/>
  <c r="N1401" i="67" s="1"/>
  <c r="BJ23" i="50"/>
  <c r="BJ24" i="50" s="1"/>
  <c r="AV23" i="69"/>
  <c r="AV24" i="69" s="1"/>
  <c r="BO14" i="36"/>
  <c r="AV1540" i="67" s="1"/>
  <c r="AW14" i="36"/>
  <c r="AD1556" i="67" s="1"/>
  <c r="AL14" i="36"/>
  <c r="S1540" i="67" s="1"/>
  <c r="BK14" i="70"/>
  <c r="BK59" i="70" s="1"/>
  <c r="AG13" i="69"/>
  <c r="AL13" i="36"/>
  <c r="S1419" i="67" s="1"/>
  <c r="AW13" i="70"/>
  <c r="AW58" i="70" s="1"/>
  <c r="Z13" i="69"/>
  <c r="AT13" i="36"/>
  <c r="AA1387" i="67" s="1"/>
  <c r="AP37" i="69"/>
  <c r="AP54" i="69" s="1"/>
  <c r="AR13" i="36"/>
  <c r="Y1387" i="67" s="1"/>
  <c r="AZ13" i="69"/>
  <c r="AR14" i="36"/>
  <c r="Y1540" i="67" s="1"/>
  <c r="BB35" i="69"/>
  <c r="BE13" i="36"/>
  <c r="AL1387" i="67" s="1"/>
  <c r="AL13" i="70"/>
  <c r="AL58" i="70" s="1"/>
  <c r="BC20" i="50"/>
  <c r="BC21" i="50" s="1"/>
  <c r="AG14" i="70"/>
  <c r="BN13" i="36"/>
  <c r="AU1387" i="67" s="1"/>
  <c r="AH23" i="69"/>
  <c r="AH24" i="69" s="1"/>
  <c r="BK20" i="50"/>
  <c r="BK21" i="50" s="1"/>
  <c r="M205" i="65"/>
  <c r="AJ5" i="69" s="1"/>
  <c r="BD20" i="50"/>
  <c r="BD21" i="50" s="1"/>
  <c r="AU20" i="50"/>
  <c r="AU21" i="50" s="1"/>
  <c r="Y42" i="69"/>
  <c r="AD22" i="70" s="1"/>
  <c r="AF14" i="36"/>
  <c r="M1388" i="67" s="1"/>
  <c r="AU14" i="70"/>
  <c r="AJ205" i="65"/>
  <c r="BG5" i="69" s="1"/>
  <c r="AI14" i="36"/>
  <c r="P1402" i="67" s="1"/>
  <c r="BH13" i="36"/>
  <c r="AO1401" i="67" s="1"/>
  <c r="AU13" i="70"/>
  <c r="AU58" i="70" s="1"/>
  <c r="BD13" i="70"/>
  <c r="BD58" i="70" s="1"/>
  <c r="AJ23" i="50"/>
  <c r="AJ24" i="50" s="1"/>
  <c r="AT14" i="70"/>
  <c r="AA1076" i="67" s="1"/>
  <c r="AK14" i="36"/>
  <c r="R1388" i="67" s="1"/>
  <c r="BH37" i="69"/>
  <c r="BH54" i="69" s="1"/>
  <c r="AT37" i="69"/>
  <c r="AY19" i="70" s="1"/>
  <c r="AT13" i="70"/>
  <c r="AT74" i="70" s="1"/>
  <c r="BI23" i="50"/>
  <c r="BI24" i="50" s="1"/>
  <c r="AZ8" i="50"/>
  <c r="AL14" i="70"/>
  <c r="AL59" i="70" s="1"/>
  <c r="AI15" i="69"/>
  <c r="AI50" i="69" s="1"/>
  <c r="BI37" i="69"/>
  <c r="BI54" i="69" s="1"/>
  <c r="BL13" i="36"/>
  <c r="AS1387" i="67" s="1"/>
  <c r="BL14" i="36"/>
  <c r="AS1402" i="67" s="1"/>
  <c r="BH14" i="70"/>
  <c r="BH13" i="70"/>
  <c r="AI23" i="50"/>
  <c r="AI24" i="50" s="1"/>
  <c r="AN14" i="36"/>
  <c r="U1402" i="67" s="1"/>
  <c r="AM14" i="70"/>
  <c r="AM59" i="70" s="1"/>
  <c r="AH205" i="65"/>
  <c r="BE5" i="69" s="1"/>
  <c r="AJ15" i="69"/>
  <c r="AJ50" i="69" s="1"/>
  <c r="AN35" i="69"/>
  <c r="BF14" i="70"/>
  <c r="BF13" i="70"/>
  <c r="AM1089" i="67" s="1"/>
  <c r="AP20" i="50"/>
  <c r="AP21" i="50" s="1"/>
  <c r="AM206" i="65"/>
  <c r="BJ19" i="69" s="1"/>
  <c r="AC20" i="50"/>
  <c r="AC21" i="50" s="1"/>
  <c r="AT15" i="69"/>
  <c r="AT50" i="69" s="1"/>
  <c r="BH14" i="36"/>
  <c r="AO1388" i="67" s="1"/>
  <c r="AO14" i="36"/>
  <c r="V1540" i="67" s="1"/>
  <c r="BD14" i="70"/>
  <c r="AY13" i="36"/>
  <c r="AF1107" i="67" s="1"/>
  <c r="AT23" i="69"/>
  <c r="AT24" i="69" s="1"/>
  <c r="N206" i="65"/>
  <c r="AK19" i="69" s="1"/>
  <c r="BC37" i="69"/>
  <c r="BH19" i="70" s="1"/>
  <c r="AG37" i="69"/>
  <c r="AG54" i="69" s="1"/>
  <c r="AY14" i="70"/>
  <c r="AY75" i="70" s="1"/>
  <c r="O206" i="65"/>
  <c r="AL19" i="69" s="1"/>
  <c r="AV13" i="69"/>
  <c r="V205" i="65"/>
  <c r="AS5" i="69" s="1"/>
  <c r="AT23" i="50"/>
  <c r="AT24" i="50" s="1"/>
  <c r="F205" i="65"/>
  <c r="AC5" i="69" s="1"/>
  <c r="AD13" i="69"/>
  <c r="AK13" i="36"/>
  <c r="R1387" i="67" s="1"/>
  <c r="AA23" i="50"/>
  <c r="AA24" i="50" s="1"/>
  <c r="AI13" i="36"/>
  <c r="BE14" i="36"/>
  <c r="AL1388" i="67" s="1"/>
  <c r="BD13" i="69"/>
  <c r="BI8" i="50"/>
  <c r="H206" i="65"/>
  <c r="AW37" i="69"/>
  <c r="AW54" i="69" s="1"/>
  <c r="BF13" i="69"/>
  <c r="AC37" i="69"/>
  <c r="AC54" i="69" s="1"/>
  <c r="AU14" i="36"/>
  <c r="AB1388" i="67" s="1"/>
  <c r="Y20" i="69"/>
  <c r="Y21" i="69" s="1"/>
  <c r="AP23" i="50"/>
  <c r="AP24" i="50" s="1"/>
  <c r="Z8" i="50"/>
  <c r="P18" i="55" s="1"/>
  <c r="AJ14" i="36"/>
  <c r="Q1388" i="67" s="1"/>
  <c r="AN23" i="69"/>
  <c r="AN24" i="69" s="1"/>
  <c r="AE23" i="50"/>
  <c r="AE24" i="50" s="1"/>
  <c r="AQ23" i="69"/>
  <c r="AQ24" i="69" s="1"/>
  <c r="BM13" i="70"/>
  <c r="AT1209" i="67" s="1"/>
  <c r="AI35" i="69"/>
  <c r="BI13" i="36"/>
  <c r="AP1387" i="67" s="1"/>
  <c r="BD23" i="50"/>
  <c r="BD24" i="50" s="1"/>
  <c r="BE15" i="69"/>
  <c r="BE50" i="69" s="1"/>
  <c r="I206" i="65"/>
  <c r="AD20" i="50"/>
  <c r="AD21" i="50" s="1"/>
  <c r="AA15" i="69"/>
  <c r="AA50" i="69" s="1"/>
  <c r="V206" i="65"/>
  <c r="AS19" i="69" s="1"/>
  <c r="AW8" i="50"/>
  <c r="T206" i="65"/>
  <c r="AQ19" i="69" s="1"/>
  <c r="BJ37" i="69"/>
  <c r="BJ54" i="69" s="1"/>
  <c r="AM205" i="65"/>
  <c r="BJ5" i="69" s="1"/>
  <c r="AA35" i="69"/>
  <c r="Y15" i="50"/>
  <c r="BM14" i="70"/>
  <c r="AT1210" i="67" s="1"/>
  <c r="AD37" i="69"/>
  <c r="AD54" i="69" s="1"/>
  <c r="BF35" i="69"/>
  <c r="AL206" i="65"/>
  <c r="BI19" i="69" s="1"/>
  <c r="L205" i="65"/>
  <c r="AI5" i="69" s="1"/>
  <c r="AE206" i="65"/>
  <c r="BB19" i="69" s="1"/>
  <c r="AS13" i="70"/>
  <c r="Q130" i="65" s="1"/>
  <c r="Q140" i="65" s="1"/>
  <c r="Z470" i="67" s="1"/>
  <c r="AV13" i="70"/>
  <c r="AC1075" i="67" s="1"/>
  <c r="BG13" i="69"/>
  <c r="AD205" i="65"/>
  <c r="BA5" i="69" s="1"/>
  <c r="AF14" i="70"/>
  <c r="AF75" i="70" s="1"/>
  <c r="BK13" i="69"/>
  <c r="AT20" i="50"/>
  <c r="AT21" i="50" s="1"/>
  <c r="AF205" i="65"/>
  <c r="BC5" i="69" s="1"/>
  <c r="AO37" i="69"/>
  <c r="D205" i="65"/>
  <c r="AA5" i="69" s="1"/>
  <c r="Y23" i="69"/>
  <c r="Y24" i="69" s="1"/>
  <c r="AX15" i="69"/>
  <c r="AX50" i="69" s="1"/>
  <c r="AK8" i="50"/>
  <c r="Y205" i="65"/>
  <c r="AV5" i="69" s="1"/>
  <c r="AN13" i="70"/>
  <c r="AN58" i="70" s="1"/>
  <c r="BH15" i="69"/>
  <c r="BH50" i="69" s="1"/>
  <c r="Y8" i="50"/>
  <c r="Y51" i="50" s="1"/>
  <c r="AN14" i="70"/>
  <c r="L131" i="65" s="1"/>
  <c r="BP13" i="70"/>
  <c r="AW1089" i="67" s="1"/>
  <c r="O205" i="65"/>
  <c r="AL5" i="69" s="1"/>
  <c r="BD35" i="69"/>
  <c r="AH206" i="65"/>
  <c r="BE19" i="69" s="1"/>
  <c r="BP14" i="70"/>
  <c r="AN131" i="65" s="1"/>
  <c r="BO13" i="70"/>
  <c r="BO74" i="70" s="1"/>
  <c r="AB35" i="69"/>
  <c r="AY37" i="69"/>
  <c r="AY54" i="69" s="1"/>
  <c r="AG13" i="70"/>
  <c r="AR20" i="50"/>
  <c r="AR21" i="50" s="1"/>
  <c r="J206" i="65"/>
  <c r="AD8" i="50"/>
  <c r="AD51" i="50" s="1"/>
  <c r="AH13" i="69"/>
  <c r="BJ23" i="69"/>
  <c r="BJ24" i="69" s="1"/>
  <c r="AD13" i="70"/>
  <c r="B130" i="65" s="1"/>
  <c r="AW13" i="69"/>
  <c r="AE13" i="69"/>
  <c r="Y26" i="69"/>
  <c r="BE37" i="69"/>
  <c r="BE54" i="69" s="1"/>
  <c r="AN15" i="69"/>
  <c r="AN50" i="69" s="1"/>
  <c r="AW20" i="50"/>
  <c r="AW21" i="50" s="1"/>
  <c r="P206" i="65"/>
  <c r="AM19" i="69" s="1"/>
  <c r="K205" i="65"/>
  <c r="AH5" i="69" s="1"/>
  <c r="AJ20" i="50"/>
  <c r="AJ21" i="50" s="1"/>
  <c r="BB23" i="69"/>
  <c r="BB24" i="69" s="1"/>
  <c r="BB13" i="69"/>
  <c r="AO13" i="69"/>
  <c r="AK15" i="69"/>
  <c r="AK50" i="69" s="1"/>
  <c r="AQ15" i="69"/>
  <c r="AQ50" i="69" s="1"/>
  <c r="AA206" i="65"/>
  <c r="AX19" i="69" s="1"/>
  <c r="AY8" i="50"/>
  <c r="AF35" i="69"/>
  <c r="AE14" i="70"/>
  <c r="L1108" i="67" s="1"/>
  <c r="BG13" i="70"/>
  <c r="AZ23" i="69"/>
  <c r="AZ24" i="69" s="1"/>
  <c r="BE23" i="69"/>
  <c r="BE24" i="69" s="1"/>
  <c r="H205" i="65"/>
  <c r="AE5" i="69" s="1"/>
  <c r="AL35" i="69"/>
  <c r="AM23" i="69"/>
  <c r="AM24" i="69" s="1"/>
  <c r="AI20" i="50"/>
  <c r="AI21" i="50" s="1"/>
  <c r="AZ20" i="50"/>
  <c r="AZ21" i="50" s="1"/>
  <c r="AZ35" i="69"/>
  <c r="AE13" i="70"/>
  <c r="C130" i="65" s="1"/>
  <c r="C140" i="65" s="1"/>
  <c r="L470" i="67" s="1"/>
  <c r="C206" i="65"/>
  <c r="BC15" i="69"/>
  <c r="BC50" i="69" s="1"/>
  <c r="AR35" i="69"/>
  <c r="AU8" i="50"/>
  <c r="AF8" i="50"/>
  <c r="AB51" i="50"/>
  <c r="AB9" i="50"/>
  <c r="AG10" i="36" s="1"/>
  <c r="N1384" i="67" s="1"/>
  <c r="AK206" i="65"/>
  <c r="BH19" i="69" s="1"/>
  <c r="E205" i="65"/>
  <c r="AB5" i="69" s="1"/>
  <c r="AG205" i="65"/>
  <c r="BD5" i="69" s="1"/>
  <c r="AR13" i="69"/>
  <c r="AH37" i="69"/>
  <c r="AM19" i="70" s="1"/>
  <c r="AD206" i="65"/>
  <c r="BA19" i="69" s="1"/>
  <c r="AP8" i="50"/>
  <c r="AB206" i="65"/>
  <c r="AY19" i="69" s="1"/>
  <c r="AN205" i="65"/>
  <c r="BK5" i="69" s="1"/>
  <c r="AJ35" i="69"/>
  <c r="AU35" i="69"/>
  <c r="Q206" i="65"/>
  <c r="AN19" i="69" s="1"/>
  <c r="E206" i="65"/>
  <c r="BH8" i="50"/>
  <c r="AI10" i="50"/>
  <c r="AC9" i="50"/>
  <c r="AH10" i="36" s="1"/>
  <c r="O1384" i="67" s="1"/>
  <c r="AN9" i="50"/>
  <c r="AS10" i="36" s="1"/>
  <c r="Z1384" i="67" s="1"/>
  <c r="AN51" i="50"/>
  <c r="Q205" i="65"/>
  <c r="AN5" i="69" s="1"/>
  <c r="AE205" i="65"/>
  <c r="BB5" i="69" s="1"/>
  <c r="R206" i="65"/>
  <c r="AO19" i="69" s="1"/>
  <c r="AJ206" i="65"/>
  <c r="BG19" i="69" s="1"/>
  <c r="R205" i="65"/>
  <c r="AO5" i="69" s="1"/>
  <c r="AP13" i="69"/>
  <c r="W205" i="65"/>
  <c r="AT5" i="69" s="1"/>
  <c r="Y206" i="65"/>
  <c r="AV19" i="69" s="1"/>
  <c r="AI206" i="65"/>
  <c r="BF19" i="69" s="1"/>
  <c r="J205" i="65"/>
  <c r="AG5" i="69" s="1"/>
  <c r="U205" i="65"/>
  <c r="AR5" i="69" s="1"/>
  <c r="AI51" i="50"/>
  <c r="Y7" i="50"/>
  <c r="AM10" i="50"/>
  <c r="AA51" i="50"/>
  <c r="M1384" i="67"/>
  <c r="M1398" i="67"/>
  <c r="M1416" i="67"/>
  <c r="M1536" i="67"/>
  <c r="M1552" i="67"/>
  <c r="Q1384" i="67"/>
  <c r="Q1398" i="67"/>
  <c r="Q1416" i="67"/>
  <c r="Q1552" i="67"/>
  <c r="Q1536" i="67"/>
  <c r="X1109" i="67"/>
  <c r="X1091" i="67"/>
  <c r="X1195" i="67"/>
  <c r="X1077" i="67"/>
  <c r="X1211" i="67"/>
  <c r="X1389" i="67"/>
  <c r="X1403" i="67"/>
  <c r="X1421" i="67"/>
  <c r="X1541" i="67"/>
  <c r="X1557" i="67"/>
  <c r="AM1077" i="67"/>
  <c r="AM1091" i="67"/>
  <c r="AM1195" i="67"/>
  <c r="AM1109" i="67"/>
  <c r="AM1211" i="67"/>
  <c r="AM1389" i="67"/>
  <c r="AM1403" i="67"/>
  <c r="AM1421" i="67"/>
  <c r="AM1541" i="67"/>
  <c r="AM1557" i="67"/>
  <c r="N1077" i="67"/>
  <c r="N1091" i="67"/>
  <c r="N1109" i="67"/>
  <c r="N1211" i="67"/>
  <c r="N1195" i="67"/>
  <c r="N1389" i="67"/>
  <c r="N1403" i="67"/>
  <c r="N1421" i="67"/>
  <c r="N1541" i="67"/>
  <c r="N1557" i="67"/>
  <c r="AH1077" i="67"/>
  <c r="AH1091" i="67"/>
  <c r="AH1109" i="67"/>
  <c r="AH1211" i="67"/>
  <c r="AH1195" i="67"/>
  <c r="AH1389" i="67"/>
  <c r="AH1403" i="67"/>
  <c r="AH1421" i="67"/>
  <c r="AH1541" i="67"/>
  <c r="AH1557" i="67"/>
  <c r="AO1077" i="67"/>
  <c r="AO1091" i="67"/>
  <c r="AO1109" i="67"/>
  <c r="AO1211" i="67"/>
  <c r="AO1195" i="67"/>
  <c r="AO1389" i="67"/>
  <c r="AO1403" i="67"/>
  <c r="AO1421" i="67"/>
  <c r="AO1541" i="67"/>
  <c r="AO1557" i="67"/>
  <c r="Y1077" i="67"/>
  <c r="Y1091" i="67"/>
  <c r="Y1109" i="67"/>
  <c r="Y1211" i="67"/>
  <c r="Y1195" i="67"/>
  <c r="Y1389" i="67"/>
  <c r="Y1403" i="67"/>
  <c r="Y1421" i="67"/>
  <c r="Y1541" i="67"/>
  <c r="Y1557" i="67"/>
  <c r="AI1108" i="67"/>
  <c r="AI1540" i="67"/>
  <c r="W1076" i="67"/>
  <c r="W1090" i="67"/>
  <c r="W1108" i="67"/>
  <c r="W1210" i="67"/>
  <c r="W1194" i="67"/>
  <c r="W1388" i="67"/>
  <c r="W1402" i="67"/>
  <c r="W1420" i="67"/>
  <c r="W1540" i="67"/>
  <c r="W1556" i="67"/>
  <c r="AC1387" i="67"/>
  <c r="AC1401" i="67"/>
  <c r="AC1419" i="67"/>
  <c r="AC1539" i="67"/>
  <c r="AC1555" i="67"/>
  <c r="AQ1075" i="67"/>
  <c r="AQ1089" i="67"/>
  <c r="AQ1107" i="67"/>
  <c r="AQ1193" i="67"/>
  <c r="AQ1209" i="67"/>
  <c r="AQ1387" i="67"/>
  <c r="AQ1401" i="67"/>
  <c r="AQ1419" i="67"/>
  <c r="AQ1539" i="67"/>
  <c r="AQ1555" i="67"/>
  <c r="AP1108" i="67"/>
  <c r="AP1090" i="67"/>
  <c r="AP1076" i="67"/>
  <c r="AP1194" i="67"/>
  <c r="AP1210" i="67"/>
  <c r="AP1388" i="67"/>
  <c r="AP1402" i="67"/>
  <c r="AP1420" i="67"/>
  <c r="AP1540" i="67"/>
  <c r="AP1556" i="67"/>
  <c r="AG1075" i="67"/>
  <c r="AG1089" i="67"/>
  <c r="AG1107" i="67"/>
  <c r="AG1209" i="67"/>
  <c r="AG1193" i="67"/>
  <c r="AG1419" i="67"/>
  <c r="AG1387" i="67"/>
  <c r="AG1401" i="67"/>
  <c r="AG1539" i="67"/>
  <c r="AG1555" i="67"/>
  <c r="V1387" i="67"/>
  <c r="V1401" i="67"/>
  <c r="V1419" i="67"/>
  <c r="V1539" i="67"/>
  <c r="V1555" i="67"/>
  <c r="AN54" i="69"/>
  <c r="AS21" i="70"/>
  <c r="AS19" i="70"/>
  <c r="AH75" i="70"/>
  <c r="AH59" i="70"/>
  <c r="F131" i="65"/>
  <c r="F141" i="65" s="1"/>
  <c r="O471" i="67" s="1"/>
  <c r="BG75" i="70"/>
  <c r="BG59" i="70"/>
  <c r="AE131" i="65"/>
  <c r="AS60" i="70"/>
  <c r="AS76" i="70"/>
  <c r="BK60" i="70"/>
  <c r="BK76" i="70"/>
  <c r="AL76" i="70"/>
  <c r="AL60" i="70"/>
  <c r="AJ59" i="70"/>
  <c r="AJ75" i="70"/>
  <c r="H131" i="65"/>
  <c r="AI1077" i="67"/>
  <c r="AI1091" i="67"/>
  <c r="AI1109" i="67"/>
  <c r="AI1195" i="67"/>
  <c r="AI1211" i="67"/>
  <c r="AI1389" i="67"/>
  <c r="AI1403" i="67"/>
  <c r="AI1421" i="67"/>
  <c r="AI1541" i="67"/>
  <c r="AI1557" i="67"/>
  <c r="Q1075" i="67"/>
  <c r="Q1089" i="67"/>
  <c r="Q1107" i="67"/>
  <c r="Q1209" i="67"/>
  <c r="Q1193" i="67"/>
  <c r="Q1387" i="67"/>
  <c r="Q1419" i="67"/>
  <c r="Q1401" i="67"/>
  <c r="Q1539" i="67"/>
  <c r="Q1555" i="67"/>
  <c r="X1075" i="67"/>
  <c r="X1107" i="67"/>
  <c r="X1193" i="67"/>
  <c r="X1089" i="67"/>
  <c r="X1209" i="67"/>
  <c r="X1387" i="67"/>
  <c r="X1401" i="67"/>
  <c r="X1419" i="67"/>
  <c r="X1539" i="67"/>
  <c r="X1555" i="67"/>
  <c r="U1387" i="67"/>
  <c r="U1419" i="67"/>
  <c r="U1401" i="67"/>
  <c r="U1539" i="67"/>
  <c r="U1555" i="67"/>
  <c r="AM51" i="50"/>
  <c r="Y54" i="69"/>
  <c r="AD19" i="70"/>
  <c r="AD21" i="70"/>
  <c r="BG54" i="69"/>
  <c r="BL21" i="70"/>
  <c r="BL19" i="70"/>
  <c r="AH74" i="70"/>
  <c r="AH58" i="70"/>
  <c r="F130" i="65"/>
  <c r="AM54" i="69"/>
  <c r="AR21" i="70"/>
  <c r="AR19" i="70"/>
  <c r="BC58" i="70"/>
  <c r="BC74" i="70"/>
  <c r="AA130" i="65"/>
  <c r="BK54" i="69"/>
  <c r="BP21" i="70"/>
  <c r="BP19" i="70"/>
  <c r="AY74" i="70"/>
  <c r="AY58" i="70"/>
  <c r="W130" i="65"/>
  <c r="AD75" i="70"/>
  <c r="B131" i="65"/>
  <c r="B141" i="65" s="1"/>
  <c r="K471" i="67" s="1"/>
  <c r="AD59" i="70"/>
  <c r="BE76" i="70"/>
  <c r="BE60" i="70"/>
  <c r="AO76" i="70"/>
  <c r="AO60" i="70"/>
  <c r="BL76" i="70"/>
  <c r="BL60" i="70"/>
  <c r="AV76" i="70"/>
  <c r="AV60" i="70"/>
  <c r="AF76" i="70"/>
  <c r="AF60" i="70"/>
  <c r="BG76" i="70"/>
  <c r="BG60" i="70"/>
  <c r="AQ76" i="70"/>
  <c r="AQ60" i="70"/>
  <c r="BN76" i="70"/>
  <c r="BN60" i="70"/>
  <c r="AX76" i="70"/>
  <c r="AX60" i="70"/>
  <c r="AH76" i="70"/>
  <c r="AH60" i="70"/>
  <c r="AR54" i="69"/>
  <c r="AW21" i="70"/>
  <c r="AW19" i="70"/>
  <c r="AR74" i="70"/>
  <c r="AR58" i="70"/>
  <c r="P130" i="65"/>
  <c r="T131" i="65"/>
  <c r="AV75" i="70"/>
  <c r="AV59" i="70"/>
  <c r="AJ54" i="69"/>
  <c r="AO21" i="70"/>
  <c r="AO19" i="70"/>
  <c r="AU54" i="69"/>
  <c r="AZ21" i="70"/>
  <c r="AZ19" i="70"/>
  <c r="W1077" i="67"/>
  <c r="W1091" i="67"/>
  <c r="W1195" i="67"/>
  <c r="W1109" i="67"/>
  <c r="W1211" i="67"/>
  <c r="W1389" i="67"/>
  <c r="W1403" i="67"/>
  <c r="W1421" i="67"/>
  <c r="W1541" i="67"/>
  <c r="W1557" i="67"/>
  <c r="AZ54" i="69"/>
  <c r="BE21" i="70"/>
  <c r="BE19" i="70"/>
  <c r="AV54" i="69"/>
  <c r="BA21" i="70"/>
  <c r="BA19" i="70"/>
  <c r="BE58" i="70"/>
  <c r="BE74" i="70"/>
  <c r="AC130" i="65"/>
  <c r="BJ75" i="70"/>
  <c r="BJ59" i="70"/>
  <c r="AH131" i="65"/>
  <c r="AH51" i="50"/>
  <c r="AH9" i="50"/>
  <c r="AM10" i="36" s="1"/>
  <c r="BI60" i="70"/>
  <c r="BI76" i="70"/>
  <c r="AZ76" i="70"/>
  <c r="AZ60" i="70"/>
  <c r="AU60" i="70"/>
  <c r="AU76" i="70"/>
  <c r="BB76" i="70"/>
  <c r="BB60" i="70"/>
  <c r="T1109" i="67"/>
  <c r="T1091" i="67"/>
  <c r="T1077" i="67"/>
  <c r="T1195" i="67"/>
  <c r="T1211" i="67"/>
  <c r="T1389" i="67"/>
  <c r="T1403" i="67"/>
  <c r="T1421" i="67"/>
  <c r="T1541" i="67"/>
  <c r="T1557" i="67"/>
  <c r="AD1077" i="67"/>
  <c r="AD1091" i="67"/>
  <c r="AD1109" i="67"/>
  <c r="AD1211" i="67"/>
  <c r="AD1195" i="67"/>
  <c r="AD1389" i="67"/>
  <c r="AD1403" i="67"/>
  <c r="AD1421" i="67"/>
  <c r="AD1541" i="67"/>
  <c r="AD1557" i="67"/>
  <c r="Z1077" i="67"/>
  <c r="Z1091" i="67"/>
  <c r="Z1109" i="67"/>
  <c r="Z1211" i="67"/>
  <c r="Z1195" i="67"/>
  <c r="Z1389" i="67"/>
  <c r="Z1403" i="67"/>
  <c r="Z1421" i="67"/>
  <c r="Z1541" i="67"/>
  <c r="Z1557" i="67"/>
  <c r="U1077" i="67"/>
  <c r="U1091" i="67"/>
  <c r="U1109" i="67"/>
  <c r="U1211" i="67"/>
  <c r="U1195" i="67"/>
  <c r="U1421" i="67"/>
  <c r="U1389" i="67"/>
  <c r="U1403" i="67"/>
  <c r="U1541" i="67"/>
  <c r="U1557" i="67"/>
  <c r="K1090" i="67"/>
  <c r="K1210" i="67"/>
  <c r="K1194" i="67"/>
  <c r="K1108" i="67"/>
  <c r="K1076" i="67"/>
  <c r="K1556" i="67"/>
  <c r="K1540" i="67"/>
  <c r="K1402" i="67"/>
  <c r="K1388" i="67"/>
  <c r="K1420" i="67"/>
  <c r="Z1387" i="67"/>
  <c r="Z1401" i="67"/>
  <c r="Z1419" i="67"/>
  <c r="Z1539" i="67"/>
  <c r="Z1555" i="67"/>
  <c r="T1388" i="67"/>
  <c r="T1402" i="67"/>
  <c r="T1420" i="67"/>
  <c r="T1556" i="67"/>
  <c r="T1540" i="67"/>
  <c r="AV1091" i="67"/>
  <c r="AV1109" i="67"/>
  <c r="AV1077" i="67"/>
  <c r="AV1195" i="67"/>
  <c r="AV1211" i="67"/>
  <c r="AV1389" i="67"/>
  <c r="AV1403" i="67"/>
  <c r="AV1421" i="67"/>
  <c r="AV1541" i="67"/>
  <c r="AV1557" i="67"/>
  <c r="AF1091" i="67"/>
  <c r="AF1109" i="67"/>
  <c r="AF1077" i="67"/>
  <c r="AF1195" i="67"/>
  <c r="AF1211" i="67"/>
  <c r="AF1389" i="67"/>
  <c r="AF1403" i="67"/>
  <c r="AF1421" i="67"/>
  <c r="AF1541" i="67"/>
  <c r="AF1557" i="67"/>
  <c r="P1091" i="67"/>
  <c r="P1109" i="67"/>
  <c r="P1077" i="67"/>
  <c r="P1195" i="67"/>
  <c r="P1211" i="67"/>
  <c r="P1389" i="67"/>
  <c r="P1403" i="67"/>
  <c r="P1421" i="67"/>
  <c r="P1541" i="67"/>
  <c r="P1557" i="67"/>
  <c r="AE1077" i="67"/>
  <c r="AE1091" i="67"/>
  <c r="AE1195" i="67"/>
  <c r="AE1109" i="67"/>
  <c r="AE1211" i="67"/>
  <c r="AE1389" i="67"/>
  <c r="AE1403" i="67"/>
  <c r="AE1421" i="67"/>
  <c r="AE1541" i="67"/>
  <c r="AE1557" i="67"/>
  <c r="O1077" i="67"/>
  <c r="O1091" i="67"/>
  <c r="O1195" i="67"/>
  <c r="O1211" i="67"/>
  <c r="O1109" i="67"/>
  <c r="O1389" i="67"/>
  <c r="O1403" i="67"/>
  <c r="O1421" i="67"/>
  <c r="O1541" i="67"/>
  <c r="O1557" i="67"/>
  <c r="V1077" i="67"/>
  <c r="V1091" i="67"/>
  <c r="V1109" i="67"/>
  <c r="V1211" i="67"/>
  <c r="V1195" i="67"/>
  <c r="V1389" i="67"/>
  <c r="V1403" i="67"/>
  <c r="V1421" i="67"/>
  <c r="V1541" i="67"/>
  <c r="V1557" i="67"/>
  <c r="AT1077" i="67"/>
  <c r="AT1091" i="67"/>
  <c r="AT1109" i="67"/>
  <c r="AT1211" i="67"/>
  <c r="AT1195" i="67"/>
  <c r="AT1389" i="67"/>
  <c r="AT1403" i="67"/>
  <c r="AT1421" i="67"/>
  <c r="AT1541" i="67"/>
  <c r="AT1557" i="67"/>
  <c r="AW1077" i="67"/>
  <c r="AW1091" i="67"/>
  <c r="AW1109" i="67"/>
  <c r="AW1211" i="67"/>
  <c r="AW1195" i="67"/>
  <c r="AW1389" i="67"/>
  <c r="AW1403" i="67"/>
  <c r="AW1541" i="67"/>
  <c r="AW1557" i="67"/>
  <c r="AW1421" i="67"/>
  <c r="AG1077" i="67"/>
  <c r="AG1091" i="67"/>
  <c r="AG1109" i="67"/>
  <c r="AG1211" i="67"/>
  <c r="AG1195" i="67"/>
  <c r="AG1389" i="67"/>
  <c r="AG1403" i="67"/>
  <c r="AG1421" i="67"/>
  <c r="AG1541" i="67"/>
  <c r="AG1557" i="67"/>
  <c r="Q1077" i="67"/>
  <c r="Q1091" i="67"/>
  <c r="Q1109" i="67"/>
  <c r="Q1211" i="67"/>
  <c r="Q1195" i="67"/>
  <c r="Q1389" i="67"/>
  <c r="Q1403" i="67"/>
  <c r="Q1421" i="67"/>
  <c r="Q1541" i="67"/>
  <c r="Q1557" i="67"/>
  <c r="AF1388" i="67"/>
  <c r="AF1402" i="67"/>
  <c r="AF1420" i="67"/>
  <c r="AF1540" i="67"/>
  <c r="AF1556" i="67"/>
  <c r="AI1075" i="67"/>
  <c r="AI1089" i="67"/>
  <c r="AI1107" i="67"/>
  <c r="AI1193" i="67"/>
  <c r="AI1209" i="67"/>
  <c r="AI1387" i="67"/>
  <c r="AI1401" i="67"/>
  <c r="AI1419" i="67"/>
  <c r="AI1539" i="67"/>
  <c r="AI1555" i="67"/>
  <c r="AN1420" i="67"/>
  <c r="AS1209" i="67"/>
  <c r="AT1388" i="67"/>
  <c r="AT1402" i="67"/>
  <c r="AT1420" i="67"/>
  <c r="AT1540" i="67"/>
  <c r="AT1556" i="67"/>
  <c r="AR1089" i="67"/>
  <c r="AR1075" i="67"/>
  <c r="AR1107" i="67"/>
  <c r="AR1193" i="67"/>
  <c r="AR1209" i="67"/>
  <c r="AR1387" i="67"/>
  <c r="AR1401" i="67"/>
  <c r="AR1419" i="67"/>
  <c r="AR1539" i="67"/>
  <c r="AR1555" i="67"/>
  <c r="T1193" i="67"/>
  <c r="AB1387" i="67"/>
  <c r="AB1401" i="67"/>
  <c r="AB1419" i="67"/>
  <c r="AB1539" i="67"/>
  <c r="AB1555" i="67"/>
  <c r="AE51" i="50"/>
  <c r="BB54" i="69"/>
  <c r="BG19" i="70"/>
  <c r="BG21" i="70"/>
  <c r="BF54" i="69"/>
  <c r="BK19" i="70"/>
  <c r="BK21" i="70"/>
  <c r="U1384" i="67"/>
  <c r="U1398" i="67"/>
  <c r="U1416" i="67"/>
  <c r="U1552" i="67"/>
  <c r="U1536" i="67"/>
  <c r="AF54" i="69"/>
  <c r="AK21" i="70"/>
  <c r="AK19" i="70"/>
  <c r="AB54" i="69"/>
  <c r="AG21" i="70"/>
  <c r="AG19" i="70"/>
  <c r="AA54" i="69"/>
  <c r="AF21" i="70"/>
  <c r="AF19" i="70"/>
  <c r="AS75" i="70"/>
  <c r="AS59" i="70"/>
  <c r="Q131" i="65"/>
  <c r="Q141" i="65" s="1"/>
  <c r="Z471" i="67" s="1"/>
  <c r="AP74" i="70"/>
  <c r="AP58" i="70"/>
  <c r="N130" i="65"/>
  <c r="N140" i="65" s="1"/>
  <c r="W470" i="67" s="1"/>
  <c r="AO51" i="50"/>
  <c r="AO9" i="50"/>
  <c r="BA60" i="70"/>
  <c r="BA76" i="70"/>
  <c r="AK60" i="70"/>
  <c r="AK76" i="70"/>
  <c r="BH60" i="70"/>
  <c r="BH76" i="70"/>
  <c r="AR60" i="70"/>
  <c r="AR76" i="70"/>
  <c r="AD76" i="70"/>
  <c r="AD60" i="70"/>
  <c r="BC60" i="70"/>
  <c r="BC76" i="70"/>
  <c r="AM60" i="70"/>
  <c r="AM76" i="70"/>
  <c r="BJ76" i="70"/>
  <c r="BJ60" i="70"/>
  <c r="AT76" i="70"/>
  <c r="AT60" i="70"/>
  <c r="AL54" i="69"/>
  <c r="AQ19" i="70"/>
  <c r="AQ21" i="70"/>
  <c r="BI74" i="70"/>
  <c r="BI58" i="70"/>
  <c r="AG130" i="65"/>
  <c r="Y8" i="69"/>
  <c r="Y7" i="69"/>
  <c r="AM58" i="70"/>
  <c r="AM74" i="70"/>
  <c r="K130" i="65"/>
  <c r="AN1109" i="67"/>
  <c r="AN1091" i="67"/>
  <c r="AN1195" i="67"/>
  <c r="AN1077" i="67"/>
  <c r="AN1211" i="67"/>
  <c r="AN1389" i="67"/>
  <c r="AN1403" i="67"/>
  <c r="AN1421" i="67"/>
  <c r="AN1541" i="67"/>
  <c r="AN1557" i="67"/>
  <c r="AL1077" i="67"/>
  <c r="AL1091" i="67"/>
  <c r="AL1109" i="67"/>
  <c r="AL1211" i="67"/>
  <c r="AL1195" i="67"/>
  <c r="AL1389" i="67"/>
  <c r="AL1403" i="67"/>
  <c r="AL1421" i="67"/>
  <c r="AL1541" i="67"/>
  <c r="AL1557" i="67"/>
  <c r="AD12" i="70"/>
  <c r="AD11" i="70"/>
  <c r="Y18" i="69"/>
  <c r="Y52" i="69" s="1"/>
  <c r="BA54" i="69"/>
  <c r="BF19" i="70"/>
  <c r="BF21" i="70"/>
  <c r="Y1384" i="67"/>
  <c r="Y1398" i="67"/>
  <c r="Y1416" i="67"/>
  <c r="Y1552" i="67"/>
  <c r="Y1536" i="67"/>
  <c r="BP76" i="70"/>
  <c r="BP60" i="70"/>
  <c r="AJ76" i="70"/>
  <c r="AJ60" i="70"/>
  <c r="AE60" i="70"/>
  <c r="AE76" i="70"/>
  <c r="J4" i="50"/>
  <c r="J4" i="57" s="1"/>
  <c r="J4" i="69"/>
  <c r="AQ1077" i="67"/>
  <c r="AQ1091" i="67"/>
  <c r="AQ1195" i="67"/>
  <c r="AQ1109" i="67"/>
  <c r="AQ1211" i="67"/>
  <c r="AQ1389" i="67"/>
  <c r="AQ1403" i="67"/>
  <c r="AQ1421" i="67"/>
  <c r="AQ1541" i="67"/>
  <c r="AQ1557" i="67"/>
  <c r="AJ1109" i="67"/>
  <c r="AJ1091" i="67"/>
  <c r="AJ1077" i="67"/>
  <c r="AJ1195" i="67"/>
  <c r="AJ1211" i="67"/>
  <c r="AJ1389" i="67"/>
  <c r="AJ1403" i="67"/>
  <c r="AJ1421" i="67"/>
  <c r="AJ1541" i="67"/>
  <c r="AJ1557" i="67"/>
  <c r="S1077" i="67"/>
  <c r="S1091" i="67"/>
  <c r="S1109" i="67"/>
  <c r="S1195" i="67"/>
  <c r="S1211" i="67"/>
  <c r="S1389" i="67"/>
  <c r="S1403" i="67"/>
  <c r="S1421" i="67"/>
  <c r="S1541" i="67"/>
  <c r="S1557" i="67"/>
  <c r="AU1077" i="67"/>
  <c r="AU1091" i="67"/>
  <c r="AU1195" i="67"/>
  <c r="AU1211" i="67"/>
  <c r="AU1109" i="67"/>
  <c r="AU1389" i="67"/>
  <c r="AU1403" i="67"/>
  <c r="AU1421" i="67"/>
  <c r="AU1541" i="67"/>
  <c r="AU1557" i="67"/>
  <c r="AK1077" i="67"/>
  <c r="AK1091" i="67"/>
  <c r="AK1109" i="67"/>
  <c r="AK1211" i="67"/>
  <c r="AK1195" i="67"/>
  <c r="AK1421" i="67"/>
  <c r="AK1403" i="67"/>
  <c r="AK1389" i="67"/>
  <c r="AK1541" i="67"/>
  <c r="AK1557" i="67"/>
  <c r="AM1387" i="67"/>
  <c r="AM1401" i="67"/>
  <c r="AM1419" i="67"/>
  <c r="AM1539" i="67"/>
  <c r="AM1555" i="67"/>
  <c r="L1075" i="67"/>
  <c r="L1387" i="67"/>
  <c r="L1401" i="67"/>
  <c r="L1419" i="67"/>
  <c r="L1539" i="67"/>
  <c r="L1555" i="67"/>
  <c r="AU1076" i="67"/>
  <c r="AU1090" i="67"/>
  <c r="AU1108" i="67"/>
  <c r="AU1210" i="67"/>
  <c r="AU1194" i="67"/>
  <c r="AU1388" i="67"/>
  <c r="AU1420" i="67"/>
  <c r="AU1402" i="67"/>
  <c r="AU1540" i="67"/>
  <c r="AU1556" i="67"/>
  <c r="W1075" i="67"/>
  <c r="W1089" i="67"/>
  <c r="W1107" i="67"/>
  <c r="W1193" i="67"/>
  <c r="W1209" i="67"/>
  <c r="W1387" i="67"/>
  <c r="W1401" i="67"/>
  <c r="W1419" i="67"/>
  <c r="W1539" i="67"/>
  <c r="W1555" i="67"/>
  <c r="AJ1419" i="67"/>
  <c r="AT1387" i="67"/>
  <c r="AT1401" i="67"/>
  <c r="AT1419" i="67"/>
  <c r="AT1539" i="67"/>
  <c r="AT1555" i="67"/>
  <c r="AV1387" i="67"/>
  <c r="AV1401" i="67"/>
  <c r="AV1419" i="67"/>
  <c r="AV1539" i="67"/>
  <c r="AV1555" i="67"/>
  <c r="AR1077" i="67"/>
  <c r="AR1109" i="67"/>
  <c r="AR1091" i="67"/>
  <c r="AR1195" i="67"/>
  <c r="AR1211" i="67"/>
  <c r="AR1389" i="67"/>
  <c r="AR1403" i="67"/>
  <c r="AR1421" i="67"/>
  <c r="AR1541" i="67"/>
  <c r="AR1557" i="67"/>
  <c r="AB1077" i="67"/>
  <c r="AB1109" i="67"/>
  <c r="AB1195" i="67"/>
  <c r="AB1091" i="67"/>
  <c r="AB1211" i="67"/>
  <c r="AB1389" i="67"/>
  <c r="AB1403" i="67"/>
  <c r="AB1421" i="67"/>
  <c r="AB1541" i="67"/>
  <c r="AB1557" i="67"/>
  <c r="L1077" i="67"/>
  <c r="L1109" i="67"/>
  <c r="L1195" i="67"/>
  <c r="L1091" i="67"/>
  <c r="L1211" i="67"/>
  <c r="L1389" i="67"/>
  <c r="L1403" i="67"/>
  <c r="L1421" i="67"/>
  <c r="L1541" i="67"/>
  <c r="L1557" i="67"/>
  <c r="AA1077" i="67"/>
  <c r="AA1091" i="67"/>
  <c r="AA1195" i="67"/>
  <c r="AA1109" i="67"/>
  <c r="AA1211" i="67"/>
  <c r="AA1389" i="67"/>
  <c r="AA1403" i="67"/>
  <c r="AA1421" i="67"/>
  <c r="AA1541" i="67"/>
  <c r="AA1557" i="67"/>
  <c r="K1195" i="67"/>
  <c r="K1109" i="67"/>
  <c r="K1077" i="67"/>
  <c r="K1091" i="67"/>
  <c r="K1211" i="67"/>
  <c r="K1421" i="67"/>
  <c r="K1389" i="67"/>
  <c r="K1557" i="67"/>
  <c r="K1541" i="67"/>
  <c r="K1403" i="67"/>
  <c r="R1077" i="67"/>
  <c r="R1091" i="67"/>
  <c r="R1109" i="67"/>
  <c r="R1211" i="67"/>
  <c r="R1195" i="67"/>
  <c r="R1389" i="67"/>
  <c r="R1403" i="67"/>
  <c r="R1421" i="67"/>
  <c r="R1541" i="67"/>
  <c r="R1557" i="67"/>
  <c r="AP1077" i="67"/>
  <c r="AP1091" i="67"/>
  <c r="AP1109" i="67"/>
  <c r="AP1211" i="67"/>
  <c r="AP1195" i="67"/>
  <c r="AP1389" i="67"/>
  <c r="AP1403" i="67"/>
  <c r="AP1421" i="67"/>
  <c r="AP1541" i="67"/>
  <c r="AP1557" i="67"/>
  <c r="AS1077" i="67"/>
  <c r="AS1091" i="67"/>
  <c r="AS1109" i="67"/>
  <c r="AS1211" i="67"/>
  <c r="AS1195" i="67"/>
  <c r="AS1389" i="67"/>
  <c r="AS1403" i="67"/>
  <c r="AS1421" i="67"/>
  <c r="AS1541" i="67"/>
  <c r="AS1557" i="67"/>
  <c r="AC1077" i="67"/>
  <c r="AC1091" i="67"/>
  <c r="AC1109" i="67"/>
  <c r="AC1211" i="67"/>
  <c r="AC1195" i="67"/>
  <c r="AC1389" i="67"/>
  <c r="AC1403" i="67"/>
  <c r="AC1421" i="67"/>
  <c r="AC1541" i="67"/>
  <c r="AC1557" i="67"/>
  <c r="M1077" i="67"/>
  <c r="M1091" i="67"/>
  <c r="M1109" i="67"/>
  <c r="M1211" i="67"/>
  <c r="M1195" i="67"/>
  <c r="M1389" i="67"/>
  <c r="M1403" i="67"/>
  <c r="M1421" i="67"/>
  <c r="M1541" i="67"/>
  <c r="M1557" i="67"/>
  <c r="R1107" i="67"/>
  <c r="K1089" i="67"/>
  <c r="K1193" i="67"/>
  <c r="K1075" i="67"/>
  <c r="K1555" i="67"/>
  <c r="K1539" i="67"/>
  <c r="K1401" i="67"/>
  <c r="K1419" i="67"/>
  <c r="K1387" i="67"/>
  <c r="Z1108" i="67"/>
  <c r="Z1090" i="67"/>
  <c r="Z1194" i="67"/>
  <c r="Z1210" i="67"/>
  <c r="Z1388" i="67"/>
  <c r="Z1540" i="67"/>
  <c r="Z1556" i="67"/>
  <c r="L1388" i="67"/>
  <c r="L1402" i="67"/>
  <c r="L1420" i="67"/>
  <c r="L1540" i="67"/>
  <c r="L1556" i="67"/>
  <c r="Q1076" i="67"/>
  <c r="Q1194" i="67"/>
  <c r="Q1108" i="67"/>
  <c r="Q1210" i="67"/>
  <c r="O1076" i="67"/>
  <c r="O1090" i="67"/>
  <c r="O1108" i="67"/>
  <c r="O1210" i="67"/>
  <c r="O1194" i="67"/>
  <c r="O1388" i="67"/>
  <c r="O1402" i="67"/>
  <c r="O1420" i="67"/>
  <c r="O1540" i="67"/>
  <c r="O1556" i="67"/>
  <c r="M1387" i="67"/>
  <c r="M1401" i="67"/>
  <c r="M1419" i="67"/>
  <c r="M1539" i="67"/>
  <c r="M1555" i="67"/>
  <c r="AC1210" i="67"/>
  <c r="AC1402" i="67"/>
  <c r="AW1419" i="67"/>
  <c r="AW1401" i="67"/>
  <c r="AW1539" i="67"/>
  <c r="AW1555" i="67"/>
  <c r="AW1387" i="67"/>
  <c r="AS54" i="69"/>
  <c r="AX19" i="70"/>
  <c r="AX21" i="70"/>
  <c r="BA74" i="70"/>
  <c r="BA58" i="70"/>
  <c r="Y130" i="65"/>
  <c r="AQ74" i="70"/>
  <c r="AQ58" i="70"/>
  <c r="O130" i="65"/>
  <c r="O140" i="65" s="1"/>
  <c r="X470" i="67" s="1"/>
  <c r="BN75" i="70"/>
  <c r="BN59" i="70"/>
  <c r="AL131" i="65"/>
  <c r="AL141" i="65" s="1"/>
  <c r="AU471" i="67" s="1"/>
  <c r="BO75" i="70"/>
  <c r="BO59" i="70"/>
  <c r="AM131" i="65"/>
  <c r="AE54" i="69"/>
  <c r="AJ21" i="70"/>
  <c r="AJ19" i="70"/>
  <c r="BM76" i="70"/>
  <c r="BM60" i="70"/>
  <c r="AW76" i="70"/>
  <c r="AW60" i="70"/>
  <c r="AG76" i="70"/>
  <c r="AG60" i="70"/>
  <c r="BD76" i="70"/>
  <c r="BD60" i="70"/>
  <c r="AN60" i="70"/>
  <c r="AN76" i="70"/>
  <c r="BO76" i="70"/>
  <c r="BO60" i="70"/>
  <c r="AY76" i="70"/>
  <c r="AY60" i="70"/>
  <c r="AI76" i="70"/>
  <c r="AI60" i="70"/>
  <c r="BF76" i="70"/>
  <c r="BF60" i="70"/>
  <c r="AP76" i="70"/>
  <c r="AP60" i="70"/>
  <c r="AK54" i="69"/>
  <c r="AP19" i="70"/>
  <c r="AP21" i="70"/>
  <c r="AI54" i="69"/>
  <c r="AN21" i="70"/>
  <c r="AN19" i="70"/>
  <c r="BD54" i="69"/>
  <c r="BI21" i="70"/>
  <c r="BI19" i="70"/>
  <c r="AK59" i="70"/>
  <c r="AK75" i="70"/>
  <c r="I131" i="65"/>
  <c r="G130" i="65"/>
  <c r="BL74" i="70"/>
  <c r="BL58" i="70"/>
  <c r="AJ130" i="65"/>
  <c r="AX74" i="70"/>
  <c r="AX58" i="70"/>
  <c r="V130" i="65"/>
  <c r="AA10" i="50"/>
  <c r="AA15" i="57" s="1"/>
  <c r="AE10" i="50"/>
  <c r="AR42" i="36"/>
  <c r="AQ83" i="36"/>
  <c r="AE30" i="50"/>
  <c r="Z40" i="50"/>
  <c r="AN40" i="50"/>
  <c r="AB40" i="50"/>
  <c r="AA40" i="50"/>
  <c r="AH40" i="50"/>
  <c r="AI40" i="50"/>
  <c r="AE40" i="50"/>
  <c r="AO40" i="50"/>
  <c r="Y40" i="50"/>
  <c r="AM40" i="50"/>
  <c r="AC40" i="50"/>
  <c r="AD40" i="50"/>
  <c r="AF18" i="36"/>
  <c r="AF17" i="36"/>
  <c r="AI18" i="36"/>
  <c r="AI17" i="36"/>
  <c r="AJ17" i="36"/>
  <c r="AJ18" i="36"/>
  <c r="AS17" i="36"/>
  <c r="AS18" i="36"/>
  <c r="AH18" i="36"/>
  <c r="AH17" i="36"/>
  <c r="AM18" i="36"/>
  <c r="AM17" i="36"/>
  <c r="AR17" i="36"/>
  <c r="AR18" i="36"/>
  <c r="AT17" i="36"/>
  <c r="AT18" i="36"/>
  <c r="AG18" i="36"/>
  <c r="AG17" i="36"/>
  <c r="AN17" i="36"/>
  <c r="AN18" i="36"/>
  <c r="AE18" i="36"/>
  <c r="AE17" i="36"/>
  <c r="AC7" i="50"/>
  <c r="AC30" i="50"/>
  <c r="Y35" i="50"/>
  <c r="AB26" i="50"/>
  <c r="Y26" i="50"/>
  <c r="AA7" i="50"/>
  <c r="AB30" i="50"/>
  <c r="AD35" i="50"/>
  <c r="AA26" i="50"/>
  <c r="AD26" i="50"/>
  <c r="AB7" i="50"/>
  <c r="AD7" i="50"/>
  <c r="Y30" i="50"/>
  <c r="Y32" i="50"/>
  <c r="Y53" i="50" s="1"/>
  <c r="Z30" i="50"/>
  <c r="AC35" i="50"/>
  <c r="AB35" i="50"/>
  <c r="AC26" i="50"/>
  <c r="Z7" i="50"/>
  <c r="AD30" i="50"/>
  <c r="AA30" i="50"/>
  <c r="Z35" i="50"/>
  <c r="AA35" i="50"/>
  <c r="Z26" i="50"/>
  <c r="AO6" i="50"/>
  <c r="J5" i="47"/>
  <c r="AE26" i="50"/>
  <c r="AE7" i="50"/>
  <c r="D12" i="55"/>
  <c r="E12" i="55"/>
  <c r="F12" i="55"/>
  <c r="G12" i="55"/>
  <c r="H12" i="55"/>
  <c r="I12" i="55"/>
  <c r="J12" i="55"/>
  <c r="K12" i="55"/>
  <c r="L12" i="55"/>
  <c r="M12" i="55"/>
  <c r="N12" i="55"/>
  <c r="C12" i="55"/>
  <c r="D6" i="55"/>
  <c r="E6" i="55"/>
  <c r="F6" i="55"/>
  <c r="G6" i="55"/>
  <c r="H6" i="55"/>
  <c r="I6" i="55"/>
  <c r="J6" i="55"/>
  <c r="K6" i="55"/>
  <c r="L6" i="55"/>
  <c r="M6" i="55"/>
  <c r="N6" i="55"/>
  <c r="C6" i="55"/>
  <c r="Z28" i="55"/>
  <c r="AA28" i="55" s="1"/>
  <c r="AB28" i="55" s="1"/>
  <c r="AC28" i="55" s="1"/>
  <c r="AD28" i="55" s="1"/>
  <c r="AE28" i="55" s="1"/>
  <c r="S11" i="55"/>
  <c r="T11" i="55"/>
  <c r="U11" i="55"/>
  <c r="V11" i="55"/>
  <c r="W11" i="55"/>
  <c r="X11" i="55"/>
  <c r="Y11" i="55"/>
  <c r="Z11" i="55"/>
  <c r="AA11" i="55"/>
  <c r="AB11" i="55"/>
  <c r="AC11" i="55"/>
  <c r="AD11" i="55"/>
  <c r="AE11" i="55"/>
  <c r="R11" i="55"/>
  <c r="D24" i="55"/>
  <c r="E24" i="55"/>
  <c r="F24" i="55"/>
  <c r="G24" i="55"/>
  <c r="H24" i="55"/>
  <c r="I24" i="55"/>
  <c r="J24" i="55"/>
  <c r="K24" i="55"/>
  <c r="L24" i="55"/>
  <c r="M24" i="55"/>
  <c r="N24" i="55"/>
  <c r="Q24" i="55"/>
  <c r="C24" i="55"/>
  <c r="D37" i="55"/>
  <c r="E37" i="55"/>
  <c r="F37" i="55"/>
  <c r="G37" i="55"/>
  <c r="H37" i="55"/>
  <c r="I37" i="55"/>
  <c r="J37" i="55"/>
  <c r="K37" i="55"/>
  <c r="L37" i="55"/>
  <c r="M37" i="55"/>
  <c r="N37" i="55"/>
  <c r="C37" i="55"/>
  <c r="D31" i="55"/>
  <c r="E31" i="55"/>
  <c r="F31" i="55"/>
  <c r="G31" i="55"/>
  <c r="H31" i="55"/>
  <c r="I31" i="55"/>
  <c r="J31" i="55"/>
  <c r="K31" i="55"/>
  <c r="L31" i="55"/>
  <c r="M31" i="55"/>
  <c r="N31" i="55"/>
  <c r="C31" i="55"/>
  <c r="D18" i="55"/>
  <c r="E18" i="55"/>
  <c r="F18" i="55"/>
  <c r="G18" i="55"/>
  <c r="H18" i="55"/>
  <c r="I18" i="55"/>
  <c r="J18" i="55"/>
  <c r="K18" i="55"/>
  <c r="L18" i="55"/>
  <c r="M18" i="55"/>
  <c r="N18" i="55"/>
  <c r="Q18" i="55"/>
  <c r="R18" i="55"/>
  <c r="S18" i="55"/>
  <c r="C18" i="55"/>
  <c r="D38" i="55"/>
  <c r="E38" i="55"/>
  <c r="F38" i="55"/>
  <c r="G38" i="55"/>
  <c r="H38" i="55"/>
  <c r="I38" i="55"/>
  <c r="J38" i="55"/>
  <c r="K38" i="55"/>
  <c r="L38" i="55"/>
  <c r="M38" i="55"/>
  <c r="N38" i="55"/>
  <c r="O38" i="55"/>
  <c r="P38" i="55"/>
  <c r="Q38" i="55"/>
  <c r="R38" i="55"/>
  <c r="S38" i="55"/>
  <c r="T38" i="55"/>
  <c r="C38" i="55"/>
  <c r="D32" i="55"/>
  <c r="E32" i="55"/>
  <c r="F32" i="55"/>
  <c r="G32" i="55"/>
  <c r="H32" i="55"/>
  <c r="I32" i="55"/>
  <c r="J32" i="55"/>
  <c r="K32" i="55"/>
  <c r="L32" i="55"/>
  <c r="M32" i="55"/>
  <c r="N32" i="55"/>
  <c r="O32" i="55"/>
  <c r="P32" i="55"/>
  <c r="Q32" i="55"/>
  <c r="R32" i="55"/>
  <c r="S32" i="55"/>
  <c r="T32" i="55"/>
  <c r="U32" i="55"/>
  <c r="C32" i="55"/>
  <c r="D25" i="55"/>
  <c r="E25" i="55"/>
  <c r="F25" i="55"/>
  <c r="G25" i="55"/>
  <c r="H25" i="55"/>
  <c r="I25" i="55"/>
  <c r="J25" i="55"/>
  <c r="K25" i="55"/>
  <c r="L25" i="55"/>
  <c r="M25" i="55"/>
  <c r="N25" i="55"/>
  <c r="O25" i="55"/>
  <c r="P25" i="55"/>
  <c r="Q25" i="55"/>
  <c r="R25" i="55"/>
  <c r="S25" i="55"/>
  <c r="T25" i="55"/>
  <c r="U25" i="55"/>
  <c r="C25" i="55"/>
  <c r="D19" i="55"/>
  <c r="E19" i="55"/>
  <c r="F19" i="55"/>
  <c r="G19" i="55"/>
  <c r="H19" i="55"/>
  <c r="I19" i="55"/>
  <c r="J19" i="55"/>
  <c r="K19" i="55"/>
  <c r="L19" i="55"/>
  <c r="M19" i="55"/>
  <c r="N19" i="55"/>
  <c r="O19" i="55"/>
  <c r="P19" i="55"/>
  <c r="Q19" i="55"/>
  <c r="R19" i="55"/>
  <c r="S19" i="55"/>
  <c r="T19" i="55"/>
  <c r="C19" i="55"/>
  <c r="D13" i="55"/>
  <c r="E13" i="55"/>
  <c r="F13" i="55"/>
  <c r="G13" i="55"/>
  <c r="H13" i="55"/>
  <c r="I13" i="55"/>
  <c r="J13" i="55"/>
  <c r="K13" i="55"/>
  <c r="L13" i="55"/>
  <c r="M13" i="55"/>
  <c r="N13" i="55"/>
  <c r="O13" i="55"/>
  <c r="P13" i="55"/>
  <c r="Q13" i="55"/>
  <c r="R13" i="55"/>
  <c r="S13" i="55"/>
  <c r="T13" i="55"/>
  <c r="U13" i="55"/>
  <c r="C13" i="55"/>
  <c r="D7" i="55"/>
  <c r="E7" i="55"/>
  <c r="F7" i="55"/>
  <c r="G7" i="55"/>
  <c r="H7" i="55"/>
  <c r="I7" i="55"/>
  <c r="J7" i="55"/>
  <c r="K7" i="55"/>
  <c r="L7" i="55"/>
  <c r="M7" i="55"/>
  <c r="N7" i="55"/>
  <c r="O7" i="55"/>
  <c r="P7" i="55"/>
  <c r="Q7" i="55"/>
  <c r="R7" i="55"/>
  <c r="S7" i="55"/>
  <c r="T7" i="55"/>
  <c r="U7" i="55"/>
  <c r="C7" i="55"/>
  <c r="X1402" i="67" l="1"/>
  <c r="AC1388" i="67"/>
  <c r="AI1556" i="67"/>
  <c r="AC1108" i="67"/>
  <c r="BK58" i="70"/>
  <c r="P1210" i="67"/>
  <c r="AQ1556" i="67"/>
  <c r="AI1420" i="67"/>
  <c r="AI351" i="67" s="1"/>
  <c r="AC1194" i="67"/>
  <c r="P1108" i="67"/>
  <c r="AQ1090" i="67"/>
  <c r="AI1402" i="67"/>
  <c r="AC1556" i="67"/>
  <c r="AC1090" i="67"/>
  <c r="AG1194" i="67"/>
  <c r="AI1388" i="67"/>
  <c r="AI623" i="67" s="1"/>
  <c r="AC1540" i="67"/>
  <c r="AC131" i="67" s="1"/>
  <c r="AC1076" i="67"/>
  <c r="T141" i="65"/>
  <c r="AC471" i="67" s="1"/>
  <c r="AI1194" i="67"/>
  <c r="X1420" i="67"/>
  <c r="B140" i="65"/>
  <c r="K470" i="67" s="1"/>
  <c r="BL75" i="70"/>
  <c r="AE1209" i="67"/>
  <c r="AE1075" i="67"/>
  <c r="AN1387" i="67"/>
  <c r="AJ58" i="70"/>
  <c r="O1419" i="67"/>
  <c r="F140" i="65"/>
  <c r="O470" i="67" s="1"/>
  <c r="AL1193" i="67"/>
  <c r="O1401" i="67"/>
  <c r="O484" i="67" s="1"/>
  <c r="AE1539" i="67"/>
  <c r="AE283" i="67" s="1"/>
  <c r="AL1075" i="67"/>
  <c r="O1193" i="67"/>
  <c r="AE1419" i="67"/>
  <c r="AN1555" i="67"/>
  <c r="AE1401" i="67"/>
  <c r="AE787" i="67" s="1"/>
  <c r="AN1539" i="67"/>
  <c r="AN891" i="67" s="1"/>
  <c r="AH1193" i="67"/>
  <c r="AX59" i="70"/>
  <c r="AH1107" i="67"/>
  <c r="AH1075" i="67"/>
  <c r="BD74" i="70"/>
  <c r="AE1194" i="67"/>
  <c r="X1556" i="67"/>
  <c r="X605" i="67" s="1"/>
  <c r="X1090" i="67"/>
  <c r="AS1076" i="67"/>
  <c r="AZ58" i="70"/>
  <c r="X165" i="65" s="1"/>
  <c r="X177" i="65" s="1"/>
  <c r="AJ131" i="65"/>
  <c r="AJ141" i="65" s="1"/>
  <c r="AS471" i="67" s="1"/>
  <c r="BN74" i="70"/>
  <c r="X1540" i="67"/>
  <c r="X1076" i="67"/>
  <c r="AZ74" i="70"/>
  <c r="P1194" i="67"/>
  <c r="X1388" i="67"/>
  <c r="X319" i="67" s="1"/>
  <c r="AS1210" i="67"/>
  <c r="P1090" i="67"/>
  <c r="N131" i="65"/>
  <c r="N141" i="65" s="1"/>
  <c r="W471" i="67" s="1"/>
  <c r="X131" i="65"/>
  <c r="X1194" i="67"/>
  <c r="AS1108" i="67"/>
  <c r="I130" i="65"/>
  <c r="I140" i="65" s="1"/>
  <c r="R470" i="67" s="1"/>
  <c r="P1076" i="67"/>
  <c r="AP59" i="70"/>
  <c r="AZ75" i="70"/>
  <c r="X1210" i="67"/>
  <c r="AS1194" i="67"/>
  <c r="AL130" i="65"/>
  <c r="AL140" i="65" s="1"/>
  <c r="AU470" i="67" s="1"/>
  <c r="AS1090" i="67"/>
  <c r="AR59" i="70"/>
  <c r="AW1388" i="67"/>
  <c r="AW774" i="67" s="1"/>
  <c r="AR75" i="70"/>
  <c r="AS1193" i="67"/>
  <c r="AS1107" i="67"/>
  <c r="AS1089" i="67"/>
  <c r="AA131" i="65"/>
  <c r="AA141" i="65" s="1"/>
  <c r="AJ471" i="67" s="1"/>
  <c r="AW1556" i="67"/>
  <c r="AW605" i="67" s="1"/>
  <c r="AS1075" i="67"/>
  <c r="BC75" i="70"/>
  <c r="AW1540" i="67"/>
  <c r="AW131" i="67" s="1"/>
  <c r="AW1420" i="67"/>
  <c r="AW806" i="67" s="1"/>
  <c r="AN141" i="65"/>
  <c r="AW471" i="67" s="1"/>
  <c r="AK58" i="70"/>
  <c r="S1075" i="67"/>
  <c r="AH1209" i="67"/>
  <c r="AX75" i="70"/>
  <c r="AN1402" i="67"/>
  <c r="AN27" i="67" s="1"/>
  <c r="AN1388" i="67"/>
  <c r="AN774" i="67" s="1"/>
  <c r="AH1089" i="67"/>
  <c r="AN1194" i="67"/>
  <c r="AN1210" i="67"/>
  <c r="AE141" i="65"/>
  <c r="AN471" i="67" s="1"/>
  <c r="AN1108" i="67"/>
  <c r="AN1556" i="67"/>
  <c r="AN453" i="67" s="1"/>
  <c r="AN1090" i="67"/>
  <c r="AN1540" i="67"/>
  <c r="AN1043" i="67" s="1"/>
  <c r="AQ1076" i="67"/>
  <c r="AD1193" i="67"/>
  <c r="R1075" i="67"/>
  <c r="AG1076" i="67"/>
  <c r="AQ1402" i="67"/>
  <c r="AQ788" i="67" s="1"/>
  <c r="O1387" i="67"/>
  <c r="O318" i="67" s="1"/>
  <c r="AN1419" i="67"/>
  <c r="AN654" i="67" s="1"/>
  <c r="H130" i="65"/>
  <c r="H140" i="65" s="1"/>
  <c r="Q470" i="67" s="1"/>
  <c r="AE1387" i="67"/>
  <c r="AE924" i="67" s="1"/>
  <c r="AU1209" i="67"/>
  <c r="Q1090" i="67"/>
  <c r="AD1209" i="67"/>
  <c r="Z1076" i="67"/>
  <c r="AQ1420" i="67"/>
  <c r="AQ351" i="67" s="1"/>
  <c r="O1209" i="67"/>
  <c r="AH130" i="65"/>
  <c r="AH140" i="65" s="1"/>
  <c r="AQ470" i="67" s="1"/>
  <c r="R1089" i="67"/>
  <c r="AG1090" i="67"/>
  <c r="O131" i="65"/>
  <c r="O141" i="65" s="1"/>
  <c r="X471" i="67" s="1"/>
  <c r="AG1540" i="67"/>
  <c r="AG892" i="67" s="1"/>
  <c r="AQ1388" i="67"/>
  <c r="AQ13" i="67" s="1"/>
  <c r="BJ58" i="70"/>
  <c r="AH165" i="65" s="1"/>
  <c r="AH177" i="65" s="1"/>
  <c r="AI58" i="70"/>
  <c r="G165" i="65" s="1"/>
  <c r="G177" i="65" s="1"/>
  <c r="AE1193" i="67"/>
  <c r="AU1107" i="67"/>
  <c r="AL1209" i="67"/>
  <c r="V140" i="65"/>
  <c r="AE470" i="67" s="1"/>
  <c r="BH21" i="70"/>
  <c r="AE1107" i="67"/>
  <c r="AU1089" i="67"/>
  <c r="Z1420" i="67"/>
  <c r="Z45" i="67" s="1"/>
  <c r="R1193" i="67"/>
  <c r="AI130" i="65"/>
  <c r="AI140" i="65" s="1"/>
  <c r="AR470" i="67" s="1"/>
  <c r="AQ75" i="70"/>
  <c r="AG1210" i="67"/>
  <c r="AQ1210" i="67"/>
  <c r="AL1107" i="67"/>
  <c r="O1555" i="67"/>
  <c r="O756" i="67" s="1"/>
  <c r="O1089" i="67"/>
  <c r="AI59" i="70"/>
  <c r="AN1089" i="67"/>
  <c r="AQ1540" i="67"/>
  <c r="AQ589" i="67" s="1"/>
  <c r="AH141" i="65"/>
  <c r="AQ471" i="67" s="1"/>
  <c r="AU1193" i="67"/>
  <c r="AG1420" i="67"/>
  <c r="BA22" i="68" s="1"/>
  <c r="Z22" i="62" s="1"/>
  <c r="AQ1194" i="67"/>
  <c r="O1107" i="67"/>
  <c r="G131" i="65"/>
  <c r="G141" i="65" s="1"/>
  <c r="P471" i="67" s="1"/>
  <c r="BB75" i="70"/>
  <c r="AE1555" i="67"/>
  <c r="AE452" i="67" s="1"/>
  <c r="AU1075" i="67"/>
  <c r="R1209" i="67"/>
  <c r="AG1108" i="67"/>
  <c r="AL1089" i="67"/>
  <c r="O1539" i="67"/>
  <c r="O1042" i="67" s="1"/>
  <c r="M1209" i="67"/>
  <c r="M1089" i="67"/>
  <c r="AR1076" i="67"/>
  <c r="BE75" i="70"/>
  <c r="BE59" i="70"/>
  <c r="AQ54" i="69"/>
  <c r="BB58" i="70"/>
  <c r="Z165" i="65" s="1"/>
  <c r="Z177" i="65" s="1"/>
  <c r="AQ36" i="69"/>
  <c r="BB74" i="70"/>
  <c r="AV19" i="70"/>
  <c r="AV80" i="70" s="1"/>
  <c r="AK1076" i="67"/>
  <c r="AV1556" i="67"/>
  <c r="AV1059" i="67" s="1"/>
  <c r="AM1556" i="67"/>
  <c r="AM1059" i="67" s="1"/>
  <c r="BI75" i="70"/>
  <c r="V1420" i="67"/>
  <c r="V45" i="67" s="1"/>
  <c r="BC21" i="70"/>
  <c r="Y1420" i="67"/>
  <c r="Y45" i="67" s="1"/>
  <c r="AK1419" i="67"/>
  <c r="AK956" i="67" s="1"/>
  <c r="AE1540" i="67"/>
  <c r="AE1043" i="67" s="1"/>
  <c r="AE1402" i="67"/>
  <c r="AE939" i="67" s="1"/>
  <c r="AE1420" i="67"/>
  <c r="AE503" i="67" s="1"/>
  <c r="AL74" i="70"/>
  <c r="AE1388" i="67"/>
  <c r="AE925" i="67" s="1"/>
  <c r="V141" i="65"/>
  <c r="AE471" i="67" s="1"/>
  <c r="AE1210" i="67"/>
  <c r="AE21" i="70"/>
  <c r="AE1108" i="67"/>
  <c r="AE19" i="70"/>
  <c r="AE64" i="70" s="1"/>
  <c r="AE1090" i="67"/>
  <c r="AE1076" i="67"/>
  <c r="AH1388" i="67"/>
  <c r="AH925" i="67" s="1"/>
  <c r="BC19" i="70"/>
  <c r="BC80" i="70" s="1"/>
  <c r="V1402" i="67"/>
  <c r="V637" i="67" s="1"/>
  <c r="Y1402" i="67"/>
  <c r="Y939" i="67" s="1"/>
  <c r="AJ1401" i="67"/>
  <c r="AJ938" i="67" s="1"/>
  <c r="AV1420" i="67"/>
  <c r="BP22" i="68" s="1"/>
  <c r="AO22" i="62" s="1"/>
  <c r="AM1540" i="67"/>
  <c r="AM1043" i="67" s="1"/>
  <c r="AI21" i="70"/>
  <c r="V1388" i="67"/>
  <c r="V166" i="67" s="1"/>
  <c r="Y1388" i="67"/>
  <c r="Y166" i="67" s="1"/>
  <c r="AJ1387" i="67"/>
  <c r="AJ924" i="67" s="1"/>
  <c r="AV1402" i="67"/>
  <c r="AV939" i="67" s="1"/>
  <c r="AM1420" i="67"/>
  <c r="AM655" i="67" s="1"/>
  <c r="AY21" i="70"/>
  <c r="AI19" i="70"/>
  <c r="AI80" i="70" s="1"/>
  <c r="Y1210" i="67"/>
  <c r="AJ1209" i="67"/>
  <c r="AV1388" i="67"/>
  <c r="AV13" i="67" s="1"/>
  <c r="AM1402" i="67"/>
  <c r="AM637" i="67" s="1"/>
  <c r="AJ1075" i="67"/>
  <c r="AV1194" i="67"/>
  <c r="AT54" i="69"/>
  <c r="N1552" i="67"/>
  <c r="N296" i="67" s="1"/>
  <c r="Y1108" i="67"/>
  <c r="AJ1107" i="67"/>
  <c r="AV1210" i="67"/>
  <c r="AB10" i="50"/>
  <c r="AB15" i="57" s="1"/>
  <c r="AM141" i="65"/>
  <c r="AV471" i="67" s="1"/>
  <c r="N1536" i="67"/>
  <c r="N585" i="67" s="1"/>
  <c r="Y1090" i="67"/>
  <c r="AJ1193" i="67"/>
  <c r="AV1108" i="67"/>
  <c r="N1416" i="67"/>
  <c r="N651" i="67" s="1"/>
  <c r="Y1076" i="67"/>
  <c r="AJ1089" i="67"/>
  <c r="P141" i="65"/>
  <c r="Y471" i="67" s="1"/>
  <c r="AA140" i="65"/>
  <c r="AJ470" i="67" s="1"/>
  <c r="AV1090" i="67"/>
  <c r="AM1210" i="67"/>
  <c r="N1398" i="67"/>
  <c r="N329" i="67" s="1"/>
  <c r="AV1076" i="67"/>
  <c r="AB1540" i="67"/>
  <c r="AB589" i="67" s="1"/>
  <c r="U1388" i="67"/>
  <c r="U166" i="67" s="1"/>
  <c r="AG131" i="65"/>
  <c r="AG141" i="65" s="1"/>
  <c r="AP471" i="67" s="1"/>
  <c r="V1556" i="67"/>
  <c r="V1059" i="67" s="1"/>
  <c r="Y1556" i="67"/>
  <c r="Y605" i="67" s="1"/>
  <c r="AJ1555" i="67"/>
  <c r="AJ756" i="67" s="1"/>
  <c r="AB1420" i="67"/>
  <c r="AB957" i="67" s="1"/>
  <c r="Y1194" i="67"/>
  <c r="N1555" i="67"/>
  <c r="N146" i="67" s="1"/>
  <c r="N1387" i="67"/>
  <c r="N924" i="67" s="1"/>
  <c r="AA1556" i="67"/>
  <c r="AA1059" i="67" s="1"/>
  <c r="AA1540" i="67"/>
  <c r="AA1043" i="67" s="1"/>
  <c r="AU21" i="70"/>
  <c r="N1107" i="67"/>
  <c r="AA1402" i="67"/>
  <c r="AA939" i="67" s="1"/>
  <c r="AU19" i="70"/>
  <c r="AU80" i="70" s="1"/>
  <c r="AA1420" i="67"/>
  <c r="N1108" i="67"/>
  <c r="N1539" i="67"/>
  <c r="N891" i="67" s="1"/>
  <c r="N1419" i="67"/>
  <c r="N956" i="67" s="1"/>
  <c r="AB1108" i="67"/>
  <c r="V1194" i="67"/>
  <c r="K1107" i="67"/>
  <c r="K1209" i="67"/>
  <c r="M1193" i="67"/>
  <c r="AH1540" i="67"/>
  <c r="AH1043" i="67" s="1"/>
  <c r="AH1420" i="67"/>
  <c r="AH655" i="67" s="1"/>
  <c r="M1107" i="67"/>
  <c r="AH1402" i="67"/>
  <c r="AH485" i="67" s="1"/>
  <c r="M1075" i="67"/>
  <c r="D130" i="65"/>
  <c r="D140" i="65" s="1"/>
  <c r="M470" i="67" s="1"/>
  <c r="AF58" i="70"/>
  <c r="D165" i="65" s="1"/>
  <c r="D177" i="65" s="1"/>
  <c r="P1089" i="67"/>
  <c r="AT1107" i="67"/>
  <c r="AK130" i="65"/>
  <c r="AK140" i="65" s="1"/>
  <c r="AT470" i="67" s="1"/>
  <c r="AS1556" i="67"/>
  <c r="AS605" i="67" s="1"/>
  <c r="AS1540" i="67"/>
  <c r="AS1043" i="67" s="1"/>
  <c r="AT1089" i="67"/>
  <c r="BM74" i="70"/>
  <c r="V1210" i="67"/>
  <c r="AS1420" i="67"/>
  <c r="AS957" i="67" s="1"/>
  <c r="AT1075" i="67"/>
  <c r="BM58" i="70"/>
  <c r="AK165" i="65" s="1"/>
  <c r="AK177" i="65" s="1"/>
  <c r="V1076" i="67"/>
  <c r="AS1388" i="67"/>
  <c r="AS925" i="67" s="1"/>
  <c r="M131" i="65"/>
  <c r="M141" i="65" s="1"/>
  <c r="V471" i="67" s="1"/>
  <c r="AN1193" i="67"/>
  <c r="V1108" i="67"/>
  <c r="AO59" i="70"/>
  <c r="BG58" i="70"/>
  <c r="AE165" i="65" s="1"/>
  <c r="AE177" i="65" s="1"/>
  <c r="U131" i="65"/>
  <c r="U141" i="65" s="1"/>
  <c r="AD471" i="67" s="1"/>
  <c r="V1090" i="67"/>
  <c r="AO75" i="70"/>
  <c r="AW75" i="70"/>
  <c r="AA1555" i="67"/>
  <c r="AA1058" i="67" s="1"/>
  <c r="AA1539" i="67"/>
  <c r="AA740" i="67" s="1"/>
  <c r="AA1419" i="67"/>
  <c r="AA350" i="67" s="1"/>
  <c r="AA1401" i="67"/>
  <c r="AA938" i="67" s="1"/>
  <c r="AT1193" i="67"/>
  <c r="AU1419" i="67"/>
  <c r="AU197" i="67" s="1"/>
  <c r="AB130" i="65"/>
  <c r="AB140" i="65" s="1"/>
  <c r="AK470" i="67" s="1"/>
  <c r="AG1556" i="67"/>
  <c r="AG300" i="67" s="1"/>
  <c r="BA75" i="70"/>
  <c r="AW74" i="70"/>
  <c r="V1075" i="67"/>
  <c r="AK1388" i="67"/>
  <c r="AK925" i="67" s="1"/>
  <c r="BC54" i="69"/>
  <c r="AD1089" i="67"/>
  <c r="AG1388" i="67"/>
  <c r="AG925" i="67" s="1"/>
  <c r="AI1090" i="67"/>
  <c r="AG58" i="70"/>
  <c r="E165" i="65" s="1"/>
  <c r="E177" i="65" s="1"/>
  <c r="Z131" i="65"/>
  <c r="Z141" i="65" s="1"/>
  <c r="AI471" i="67" s="1"/>
  <c r="Y140" i="65"/>
  <c r="AH470" i="67" s="1"/>
  <c r="AD1075" i="67"/>
  <c r="AS1555" i="67"/>
  <c r="AS604" i="67" s="1"/>
  <c r="AF1194" i="67"/>
  <c r="AH1210" i="67"/>
  <c r="AI1076" i="67"/>
  <c r="AJ140" i="65"/>
  <c r="AS470" i="67" s="1"/>
  <c r="N1089" i="67"/>
  <c r="AS1539" i="67"/>
  <c r="AS891" i="67" s="1"/>
  <c r="AF1210" i="67"/>
  <c r="AH1194" i="67"/>
  <c r="AH1555" i="67"/>
  <c r="AH452" i="67" s="1"/>
  <c r="AU1555" i="67"/>
  <c r="AU1058" i="67" s="1"/>
  <c r="AS1419" i="67"/>
  <c r="AS805" i="67" s="1"/>
  <c r="AF1108" i="67"/>
  <c r="AH1090" i="67"/>
  <c r="W131" i="65"/>
  <c r="W141" i="65" s="1"/>
  <c r="AF471" i="67" s="1"/>
  <c r="AU1539" i="67"/>
  <c r="AU1042" i="67" s="1"/>
  <c r="AM1193" i="67"/>
  <c r="AS1401" i="67"/>
  <c r="AS938" i="67" s="1"/>
  <c r="AF1090" i="67"/>
  <c r="AH1108" i="67"/>
  <c r="AY59" i="70"/>
  <c r="AM1107" i="67"/>
  <c r="AF1076" i="67"/>
  <c r="AH1076" i="67"/>
  <c r="AD1107" i="67"/>
  <c r="X141" i="65"/>
  <c r="AG471" i="67" s="1"/>
  <c r="AH1539" i="67"/>
  <c r="AH891" i="67" s="1"/>
  <c r="AH1401" i="67"/>
  <c r="AH938" i="67" s="1"/>
  <c r="AU1401" i="67"/>
  <c r="AU484" i="67" s="1"/>
  <c r="AM1075" i="67"/>
  <c r="Y131" i="65"/>
  <c r="Y141" i="65" s="1"/>
  <c r="AH471" i="67" s="1"/>
  <c r="U130" i="65"/>
  <c r="U140" i="65" s="1"/>
  <c r="AD470" i="67" s="1"/>
  <c r="AH1419" i="67"/>
  <c r="AH956" i="67" s="1"/>
  <c r="V1209" i="67"/>
  <c r="AK1556" i="67"/>
  <c r="AK1059" i="67" s="1"/>
  <c r="AW1090" i="67"/>
  <c r="AB1090" i="67"/>
  <c r="T1194" i="67"/>
  <c r="T1210" i="67"/>
  <c r="AK1210" i="67"/>
  <c r="T1108" i="67"/>
  <c r="AA1209" i="67"/>
  <c r="AK1108" i="67"/>
  <c r="T1090" i="67"/>
  <c r="AA1193" i="67"/>
  <c r="AK1194" i="67"/>
  <c r="T1076" i="67"/>
  <c r="AA1107" i="67"/>
  <c r="AA1089" i="67"/>
  <c r="AA1075" i="67"/>
  <c r="AK1090" i="67"/>
  <c r="AD1555" i="67"/>
  <c r="AD1058" i="67" s="1"/>
  <c r="AB1076" i="67"/>
  <c r="AD1539" i="67"/>
  <c r="AD1042" i="67" s="1"/>
  <c r="AD1419" i="67"/>
  <c r="AD956" i="67" s="1"/>
  <c r="AL1555" i="67"/>
  <c r="AL146" i="67" s="1"/>
  <c r="AC140" i="65"/>
  <c r="AL470" i="67" s="1"/>
  <c r="AD1401" i="67"/>
  <c r="AD636" i="67" s="1"/>
  <c r="AL1539" i="67"/>
  <c r="AL130" i="67" s="1"/>
  <c r="AL1419" i="67"/>
  <c r="AL956" i="67" s="1"/>
  <c r="S131" i="65"/>
  <c r="S141" i="65" s="1"/>
  <c r="AB471" i="67" s="1"/>
  <c r="AL1401" i="67"/>
  <c r="AL938" i="67" s="1"/>
  <c r="AW1210" i="67"/>
  <c r="R1555" i="67"/>
  <c r="R1058" i="67" s="1"/>
  <c r="AU75" i="70"/>
  <c r="AW1108" i="67"/>
  <c r="R1539" i="67"/>
  <c r="R436" i="67" s="1"/>
  <c r="AU59" i="70"/>
  <c r="AW1194" i="67"/>
  <c r="AB1194" i="67"/>
  <c r="R1419" i="67"/>
  <c r="R44" i="67" s="1"/>
  <c r="R1401" i="67"/>
  <c r="R332" i="67" s="1"/>
  <c r="AB1210" i="67"/>
  <c r="AW1076" i="67"/>
  <c r="AR1090" i="67"/>
  <c r="Y55" i="69"/>
  <c r="AD20" i="70"/>
  <c r="AD81" i="70" s="1"/>
  <c r="AK1401" i="67"/>
  <c r="AK938" i="67" s="1"/>
  <c r="AK1387" i="67"/>
  <c r="AK318" i="67" s="1"/>
  <c r="AR1556" i="67"/>
  <c r="AR300" i="67" s="1"/>
  <c r="AK1193" i="67"/>
  <c r="AR1540" i="67"/>
  <c r="AR892" i="67" s="1"/>
  <c r="AK1209" i="67"/>
  <c r="AI131" i="65"/>
  <c r="AI141" i="65" s="1"/>
  <c r="AR471" i="67" s="1"/>
  <c r="AR1420" i="67"/>
  <c r="AR503" i="67" s="1"/>
  <c r="AK1107" i="67"/>
  <c r="BK75" i="70"/>
  <c r="AR1402" i="67"/>
  <c r="AR333" i="67" s="1"/>
  <c r="AK1089" i="67"/>
  <c r="BP75" i="70"/>
  <c r="AR1388" i="67"/>
  <c r="AR925" i="67" s="1"/>
  <c r="AK1075" i="67"/>
  <c r="BP59" i="70"/>
  <c r="AR1194" i="67"/>
  <c r="AR1210" i="67"/>
  <c r="J130" i="65"/>
  <c r="J140" i="65" s="1"/>
  <c r="S470" i="67" s="1"/>
  <c r="AR1108" i="67"/>
  <c r="AK1555" i="67"/>
  <c r="AK452" i="67" s="1"/>
  <c r="AM1076" i="67"/>
  <c r="AB1556" i="67"/>
  <c r="AB1059" i="67" s="1"/>
  <c r="AB1402" i="67"/>
  <c r="AB637" i="67" s="1"/>
  <c r="AK1540" i="67"/>
  <c r="AK131" i="67" s="1"/>
  <c r="AK1420" i="67"/>
  <c r="AK45" i="67" s="1"/>
  <c r="AO36" i="69"/>
  <c r="U1556" i="67"/>
  <c r="U453" i="67" s="1"/>
  <c r="L141" i="65"/>
  <c r="U471" i="67" s="1"/>
  <c r="U1540" i="67"/>
  <c r="U589" i="67" s="1"/>
  <c r="U1420" i="67"/>
  <c r="U655" i="67" s="1"/>
  <c r="AN1107" i="67"/>
  <c r="AN1075" i="67"/>
  <c r="AL1420" i="67"/>
  <c r="AL957" i="67" s="1"/>
  <c r="T1555" i="67"/>
  <c r="T452" i="67" s="1"/>
  <c r="AE130" i="65"/>
  <c r="AE140" i="65" s="1"/>
  <c r="AN470" i="67" s="1"/>
  <c r="BF59" i="70"/>
  <c r="AO1387" i="67"/>
  <c r="AO924" i="67" s="1"/>
  <c r="Z1552" i="67"/>
  <c r="Z449" i="67" s="1"/>
  <c r="BG74" i="70"/>
  <c r="Z1209" i="67"/>
  <c r="S1401" i="67"/>
  <c r="S787" i="67" s="1"/>
  <c r="V1193" i="67"/>
  <c r="N1210" i="67"/>
  <c r="AN1209" i="67"/>
  <c r="V1107" i="67"/>
  <c r="V1089" i="67"/>
  <c r="BF75" i="70"/>
  <c r="AL1210" i="67"/>
  <c r="T1107" i="67"/>
  <c r="S1387" i="67"/>
  <c r="S318" i="67" s="1"/>
  <c r="BJ21" i="70"/>
  <c r="AD131" i="65"/>
  <c r="AD141" i="65" s="1"/>
  <c r="AM471" i="67" s="1"/>
  <c r="AL1194" i="67"/>
  <c r="T1075" i="67"/>
  <c r="M130" i="65"/>
  <c r="M140" i="65" s="1"/>
  <c r="V470" i="67" s="1"/>
  <c r="S1209" i="67"/>
  <c r="BJ19" i="70"/>
  <c r="BJ80" i="70" s="1"/>
  <c r="AL1076" i="67"/>
  <c r="T1089" i="67"/>
  <c r="AO58" i="70"/>
  <c r="M165" i="65" s="1"/>
  <c r="M177" i="65" s="1"/>
  <c r="S1193" i="67"/>
  <c r="E131" i="65"/>
  <c r="E141" i="65" s="1"/>
  <c r="N471" i="67" s="1"/>
  <c r="AL1108" i="67"/>
  <c r="S1107" i="67"/>
  <c r="AG59" i="70"/>
  <c r="AL1090" i="67"/>
  <c r="S1089" i="67"/>
  <c r="AG75" i="70"/>
  <c r="T1539" i="67"/>
  <c r="T436" i="67" s="1"/>
  <c r="Z1536" i="67"/>
  <c r="Z280" i="67" s="1"/>
  <c r="T1419" i="67"/>
  <c r="T956" i="67" s="1"/>
  <c r="Z1398" i="67"/>
  <c r="Z633" i="67" s="1"/>
  <c r="T1401" i="67"/>
  <c r="T938" i="67" s="1"/>
  <c r="S1555" i="67"/>
  <c r="S756" i="67" s="1"/>
  <c r="Z1416" i="67"/>
  <c r="Z194" i="67" s="1"/>
  <c r="T1387" i="67"/>
  <c r="T318" i="67" s="1"/>
  <c r="S1539" i="67"/>
  <c r="S1042" i="67" s="1"/>
  <c r="K140" i="65"/>
  <c r="T470" i="67" s="1"/>
  <c r="Y1075" i="67"/>
  <c r="Y1089" i="67"/>
  <c r="AP1089" i="67"/>
  <c r="AP1075" i="67"/>
  <c r="R1090" i="67"/>
  <c r="R1108" i="67"/>
  <c r="AJ1210" i="67"/>
  <c r="AJ1108" i="67"/>
  <c r="AP1193" i="67"/>
  <c r="Y1193" i="67"/>
  <c r="R1210" i="67"/>
  <c r="AP1209" i="67"/>
  <c r="Y1209" i="67"/>
  <c r="R1194" i="67"/>
  <c r="AP1107" i="67"/>
  <c r="Y1107" i="67"/>
  <c r="AJ1194" i="67"/>
  <c r="R1076" i="67"/>
  <c r="AJ1090" i="67"/>
  <c r="AO1076" i="67"/>
  <c r="AJ1076" i="67"/>
  <c r="AO1556" i="67"/>
  <c r="AO1059" i="67" s="1"/>
  <c r="P1388" i="67"/>
  <c r="P774" i="67" s="1"/>
  <c r="L1089" i="67"/>
  <c r="AC141" i="65"/>
  <c r="AL471" i="67" s="1"/>
  <c r="AO1555" i="67"/>
  <c r="AO1058" i="67" s="1"/>
  <c r="N1076" i="67"/>
  <c r="AH54" i="69"/>
  <c r="AO1539" i="67"/>
  <c r="AO891" i="67" s="1"/>
  <c r="N1194" i="67"/>
  <c r="AL1556" i="67"/>
  <c r="AL1059" i="67" s="1"/>
  <c r="AO1419" i="67"/>
  <c r="AO350" i="67" s="1"/>
  <c r="N1090" i="67"/>
  <c r="AL1540" i="67"/>
  <c r="AL131" i="67" s="1"/>
  <c r="AL1402" i="67"/>
  <c r="AL27" i="67" s="1"/>
  <c r="AO1540" i="67"/>
  <c r="AO437" i="67" s="1"/>
  <c r="L1209" i="67"/>
  <c r="AM1194" i="67"/>
  <c r="AO1420" i="67"/>
  <c r="AO351" i="67" s="1"/>
  <c r="L1193" i="67"/>
  <c r="AM1108" i="67"/>
  <c r="L1107" i="67"/>
  <c r="AS58" i="70"/>
  <c r="Q165" i="65" s="1"/>
  <c r="Q177" i="65" s="1"/>
  <c r="AM1090" i="67"/>
  <c r="Y1555" i="67"/>
  <c r="Y1058" i="67" s="1"/>
  <c r="P140" i="65"/>
  <c r="Y470" i="67" s="1"/>
  <c r="Y1539" i="67"/>
  <c r="Y1042" i="67" s="1"/>
  <c r="AJ1556" i="67"/>
  <c r="AJ1059" i="67" s="1"/>
  <c r="Y1419" i="67"/>
  <c r="Y956" i="67" s="1"/>
  <c r="AJ1420" i="67"/>
  <c r="AJ806" i="67" s="1"/>
  <c r="Y1401" i="67"/>
  <c r="Y787" i="67" s="1"/>
  <c r="AJ1540" i="67"/>
  <c r="AJ589" i="67" s="1"/>
  <c r="AJ1402" i="67"/>
  <c r="AJ333" i="67" s="1"/>
  <c r="N1556" i="67"/>
  <c r="N1059" i="67" s="1"/>
  <c r="Q1540" i="67"/>
  <c r="Q892" i="67" s="1"/>
  <c r="AV1075" i="67"/>
  <c r="AV1089" i="67"/>
  <c r="G140" i="65"/>
  <c r="P470" i="67" s="1"/>
  <c r="P1420" i="67"/>
  <c r="P957" i="67" s="1"/>
  <c r="J131" i="65"/>
  <c r="J141" i="65" s="1"/>
  <c r="S471" i="67" s="1"/>
  <c r="AH19" i="70"/>
  <c r="AH80" i="70" s="1"/>
  <c r="AL75" i="70"/>
  <c r="Q1556" i="67"/>
  <c r="Q605" i="67" s="1"/>
  <c r="AM130" i="65"/>
  <c r="AM140" i="65" s="1"/>
  <c r="AV470" i="67" s="1"/>
  <c r="AH21" i="70"/>
  <c r="N1388" i="67"/>
  <c r="N166" i="67" s="1"/>
  <c r="BP58" i="70"/>
  <c r="AN165" i="65" s="1"/>
  <c r="AN177" i="65" s="1"/>
  <c r="Q1402" i="67"/>
  <c r="Q180" i="67" s="1"/>
  <c r="BM19" i="70"/>
  <c r="BM64" i="70" s="1"/>
  <c r="Q1420" i="67"/>
  <c r="AK22" i="68" s="1"/>
  <c r="J22" i="62" s="1"/>
  <c r="AV1209" i="67"/>
  <c r="P1556" i="67"/>
  <c r="P1059" i="67" s="1"/>
  <c r="BM21" i="70"/>
  <c r="AV1193" i="67"/>
  <c r="P1540" i="67"/>
  <c r="P892" i="67" s="1"/>
  <c r="AV1107" i="67"/>
  <c r="AT1076" i="67"/>
  <c r="H141" i="65"/>
  <c r="Q471" i="67" s="1"/>
  <c r="N1540" i="67"/>
  <c r="N284" i="67" s="1"/>
  <c r="AO1402" i="67"/>
  <c r="AO333" i="67" s="1"/>
  <c r="P1555" i="67"/>
  <c r="P756" i="67" s="1"/>
  <c r="N1420" i="67"/>
  <c r="N45" i="67" s="1"/>
  <c r="S1076" i="67"/>
  <c r="R130" i="65"/>
  <c r="R140" i="65" s="1"/>
  <c r="AA470" i="67" s="1"/>
  <c r="AT58" i="70"/>
  <c r="R165" i="65" s="1"/>
  <c r="R177" i="65" s="1"/>
  <c r="S1090" i="67"/>
  <c r="S1420" i="67"/>
  <c r="AM22" i="68" s="1"/>
  <c r="L22" i="62" s="1"/>
  <c r="AF1387" i="67"/>
  <c r="AF622" i="67" s="1"/>
  <c r="AO54" i="69"/>
  <c r="W140" i="65"/>
  <c r="AF470" i="67" s="1"/>
  <c r="S1402" i="67"/>
  <c r="S788" i="67" s="1"/>
  <c r="K131" i="65"/>
  <c r="K141" i="65" s="1"/>
  <c r="T471" i="67" s="1"/>
  <c r="AB131" i="65"/>
  <c r="AB141" i="65" s="1"/>
  <c r="AK471" i="67" s="1"/>
  <c r="S1388" i="67"/>
  <c r="S925" i="67" s="1"/>
  <c r="AD1420" i="67"/>
  <c r="AD957" i="67" s="1"/>
  <c r="AM75" i="70"/>
  <c r="S1194" i="67"/>
  <c r="AD1076" i="67"/>
  <c r="S1210" i="67"/>
  <c r="AD1090" i="67"/>
  <c r="S1108" i="67"/>
  <c r="S1556" i="67"/>
  <c r="S605" i="67" s="1"/>
  <c r="AF1401" i="67"/>
  <c r="AZ14" i="68" s="1"/>
  <c r="Y15" i="62" s="1"/>
  <c r="BO58" i="70"/>
  <c r="AM165" i="65" s="1"/>
  <c r="AM177" i="65" s="1"/>
  <c r="P1193" i="67"/>
  <c r="O1536" i="67"/>
  <c r="O433" i="67" s="1"/>
  <c r="P1075" i="67"/>
  <c r="AC10" i="50"/>
  <c r="AC15" i="57" s="1"/>
  <c r="P1107" i="67"/>
  <c r="AD1540" i="67"/>
  <c r="AD1043" i="67" s="1"/>
  <c r="AF1089" i="67"/>
  <c r="AD1402" i="67"/>
  <c r="AD180" i="67" s="1"/>
  <c r="AD1388" i="67"/>
  <c r="AD623" i="67" s="1"/>
  <c r="AF1555" i="67"/>
  <c r="AF1058" i="67" s="1"/>
  <c r="M1540" i="67"/>
  <c r="M741" i="67" s="1"/>
  <c r="AD1210" i="67"/>
  <c r="AF1539" i="67"/>
  <c r="AF436" i="67" s="1"/>
  <c r="AD1194" i="67"/>
  <c r="AF1419" i="67"/>
  <c r="AF654" i="67" s="1"/>
  <c r="AD1108" i="67"/>
  <c r="AF1209" i="67"/>
  <c r="AF1193" i="67"/>
  <c r="AF1075" i="67"/>
  <c r="AT21" i="70"/>
  <c r="AT19" i="70"/>
  <c r="AT64" i="70" s="1"/>
  <c r="M1556" i="67"/>
  <c r="M300" i="67" s="1"/>
  <c r="BD59" i="70"/>
  <c r="M1420" i="67"/>
  <c r="M957" i="67" s="1"/>
  <c r="BD75" i="70"/>
  <c r="M1402" i="67"/>
  <c r="M485" i="67" s="1"/>
  <c r="AO1090" i="67"/>
  <c r="BF74" i="70"/>
  <c r="T130" i="65"/>
  <c r="T140" i="65" s="1"/>
  <c r="AC470" i="67" s="1"/>
  <c r="BN21" i="70"/>
  <c r="BF58" i="70"/>
  <c r="AD165" i="65" s="1"/>
  <c r="AD177" i="65" s="1"/>
  <c r="AO1075" i="67"/>
  <c r="BN19" i="70"/>
  <c r="BN64" i="70" s="1"/>
  <c r="BD19" i="70"/>
  <c r="BD80" i="70" s="1"/>
  <c r="AB1209" i="67"/>
  <c r="AD130" i="65"/>
  <c r="AD140" i="65" s="1"/>
  <c r="AM470" i="67" s="1"/>
  <c r="AM1209" i="67"/>
  <c r="BD21" i="70"/>
  <c r="AB1107" i="67"/>
  <c r="AB1193" i="67"/>
  <c r="AB1075" i="67"/>
  <c r="AL21" i="70"/>
  <c r="S130" i="65"/>
  <c r="S140" i="65" s="1"/>
  <c r="AB470" i="67" s="1"/>
  <c r="AB1089" i="67"/>
  <c r="AL19" i="70"/>
  <c r="AL80" i="70" s="1"/>
  <c r="AC1193" i="67"/>
  <c r="AU74" i="70"/>
  <c r="AC1209" i="67"/>
  <c r="AC1107" i="67"/>
  <c r="AV58" i="70"/>
  <c r="T165" i="65" s="1"/>
  <c r="T177" i="65" s="1"/>
  <c r="AC1089" i="67"/>
  <c r="AV74" i="70"/>
  <c r="P1539" i="67"/>
  <c r="P891" i="67" s="1"/>
  <c r="P1419" i="67"/>
  <c r="P956" i="67" s="1"/>
  <c r="P1401" i="67"/>
  <c r="P938" i="67" s="1"/>
  <c r="P1387" i="67"/>
  <c r="P924" i="67" s="1"/>
  <c r="P1209" i="67"/>
  <c r="O1416" i="67"/>
  <c r="O651" i="67" s="1"/>
  <c r="AN75" i="70"/>
  <c r="AF130" i="65"/>
  <c r="AF140" i="65" s="1"/>
  <c r="AO470" i="67" s="1"/>
  <c r="AD9" i="50"/>
  <c r="AI10" i="36" s="1"/>
  <c r="P1536" i="67" s="1"/>
  <c r="R131" i="65"/>
  <c r="R141" i="65" s="1"/>
  <c r="AA471" i="67" s="1"/>
  <c r="BH58" i="70"/>
  <c r="AF165" i="65" s="1"/>
  <c r="AF177" i="65" s="1"/>
  <c r="AO1193" i="67"/>
  <c r="R1556" i="67"/>
  <c r="R757" i="67" s="1"/>
  <c r="AT59" i="70"/>
  <c r="AF131" i="65"/>
  <c r="AF141" i="65" s="1"/>
  <c r="AO471" i="67" s="1"/>
  <c r="BH74" i="70"/>
  <c r="AO1209" i="67"/>
  <c r="R1540" i="67"/>
  <c r="R1043" i="67" s="1"/>
  <c r="AT75" i="70"/>
  <c r="BH59" i="70"/>
  <c r="AO1107" i="67"/>
  <c r="AA1194" i="67"/>
  <c r="R1420" i="67"/>
  <c r="BH75" i="70"/>
  <c r="AO1089" i="67"/>
  <c r="I141" i="65"/>
  <c r="R471" i="67" s="1"/>
  <c r="AA1210" i="67"/>
  <c r="R1402" i="67"/>
  <c r="R333" i="67" s="1"/>
  <c r="AP1555" i="67"/>
  <c r="AP146" i="67" s="1"/>
  <c r="M1108" i="67"/>
  <c r="AO1210" i="67"/>
  <c r="AP1539" i="67"/>
  <c r="AP283" i="67" s="1"/>
  <c r="AA1108" i="67"/>
  <c r="AA1090" i="67"/>
  <c r="AO1194" i="67"/>
  <c r="AP1419" i="67"/>
  <c r="AP956" i="67" s="1"/>
  <c r="AO1108" i="67"/>
  <c r="AP1401" i="67"/>
  <c r="AP26" i="67" s="1"/>
  <c r="AG140" i="65"/>
  <c r="AP470" i="67" s="1"/>
  <c r="M1210" i="67"/>
  <c r="M1194" i="67"/>
  <c r="M1090" i="67"/>
  <c r="M1076" i="67"/>
  <c r="D131" i="65"/>
  <c r="D141" i="65" s="1"/>
  <c r="M471" i="67" s="1"/>
  <c r="AF59" i="70"/>
  <c r="BB21" i="70"/>
  <c r="BB19" i="70"/>
  <c r="BB80" i="70" s="1"/>
  <c r="Y9" i="50"/>
  <c r="AD10" i="36" s="1"/>
  <c r="K1552" i="67" s="1"/>
  <c r="O18" i="55"/>
  <c r="Z1193" i="67"/>
  <c r="AS74" i="70"/>
  <c r="Z1107" i="67"/>
  <c r="Z1089" i="67"/>
  <c r="Z1075" i="67"/>
  <c r="N1075" i="67"/>
  <c r="C131" i="65"/>
  <c r="C141" i="65" s="1"/>
  <c r="L471" i="67" s="1"/>
  <c r="L1194" i="67"/>
  <c r="AE75" i="70"/>
  <c r="U1193" i="67"/>
  <c r="L1210" i="67"/>
  <c r="AE59" i="70"/>
  <c r="U1209" i="67"/>
  <c r="U1107" i="67"/>
  <c r="L1090" i="67"/>
  <c r="L130" i="65"/>
  <c r="L140" i="65" s="1"/>
  <c r="U470" i="67" s="1"/>
  <c r="U1089" i="67"/>
  <c r="L1076" i="67"/>
  <c r="AN74" i="70"/>
  <c r="U1075" i="67"/>
  <c r="BO21" i="70"/>
  <c r="BO19" i="70"/>
  <c r="BO80" i="70" s="1"/>
  <c r="N1193" i="67"/>
  <c r="E130" i="65"/>
  <c r="E140" i="65" s="1"/>
  <c r="N470" i="67" s="1"/>
  <c r="N1209" i="67"/>
  <c r="AG74" i="70"/>
  <c r="AW1075" i="67"/>
  <c r="AT1194" i="67"/>
  <c r="AN59" i="70"/>
  <c r="BP74" i="70"/>
  <c r="AT1090" i="67"/>
  <c r="AN130" i="65"/>
  <c r="AN140" i="65" s="1"/>
  <c r="AW470" i="67" s="1"/>
  <c r="AT1108" i="67"/>
  <c r="U1108" i="67"/>
  <c r="AK131" i="65"/>
  <c r="AK141" i="65" s="1"/>
  <c r="AT471" i="67" s="1"/>
  <c r="U1210" i="67"/>
  <c r="BM75" i="70"/>
  <c r="U1194" i="67"/>
  <c r="BM59" i="70"/>
  <c r="U1090" i="67"/>
  <c r="AW1193" i="67"/>
  <c r="U1076" i="67"/>
  <c r="AW1209" i="67"/>
  <c r="Z9" i="50"/>
  <c r="Z51" i="50"/>
  <c r="AW1107" i="67"/>
  <c r="AD58" i="70"/>
  <c r="B165" i="65" s="1"/>
  <c r="B177" i="65" s="1"/>
  <c r="AD74" i="70"/>
  <c r="O1552" i="67"/>
  <c r="O296" i="67" s="1"/>
  <c r="O1398" i="67"/>
  <c r="O176" i="67" s="1"/>
  <c r="AE74" i="70"/>
  <c r="AE58" i="70"/>
  <c r="C165" i="65" s="1"/>
  <c r="C177" i="65" s="1"/>
  <c r="AM21" i="70"/>
  <c r="AN10" i="50"/>
  <c r="AH10" i="50"/>
  <c r="AA1062" i="67"/>
  <c r="AA1391" i="67"/>
  <c r="AA1405" i="67"/>
  <c r="AA1423" i="67"/>
  <c r="AA1543" i="67"/>
  <c r="AA1559" i="67"/>
  <c r="AA1046" i="67"/>
  <c r="AA1111" i="67"/>
  <c r="AA960" i="67"/>
  <c r="AA1197" i="67"/>
  <c r="AA942" i="67"/>
  <c r="AA1079" i="67"/>
  <c r="AA1213" i="67"/>
  <c r="AA928" i="67"/>
  <c r="AA1093" i="67"/>
  <c r="AA791" i="67"/>
  <c r="Z1062" i="67"/>
  <c r="Z1391" i="67"/>
  <c r="Z1405" i="67"/>
  <c r="Z1423" i="67"/>
  <c r="Z1543" i="67"/>
  <c r="Z1559" i="67"/>
  <c r="Z960" i="67"/>
  <c r="Z1197" i="67"/>
  <c r="Z942" i="67"/>
  <c r="Z1079" i="67"/>
  <c r="Z1213" i="67"/>
  <c r="Z1046" i="67"/>
  <c r="Z1093" i="67"/>
  <c r="Z928" i="67"/>
  <c r="Z1111" i="67"/>
  <c r="Z791" i="67"/>
  <c r="AB165" i="65"/>
  <c r="AB177" i="65" s="1"/>
  <c r="M924" i="67"/>
  <c r="M773" i="67"/>
  <c r="M318" i="67"/>
  <c r="M622" i="67"/>
  <c r="M12" i="67"/>
  <c r="M165" i="67"/>
  <c r="O1059" i="67"/>
  <c r="O908" i="67"/>
  <c r="O453" i="67"/>
  <c r="O757" i="67"/>
  <c r="O300" i="67"/>
  <c r="O147" i="67"/>
  <c r="O605" i="67"/>
  <c r="Q925" i="67"/>
  <c r="Q319" i="67"/>
  <c r="Q774" i="67"/>
  <c r="Q623" i="67"/>
  <c r="Q166" i="67"/>
  <c r="Q13" i="67"/>
  <c r="L925" i="67"/>
  <c r="L774" i="67"/>
  <c r="L319" i="67"/>
  <c r="L623" i="67"/>
  <c r="L13" i="67"/>
  <c r="L166" i="67"/>
  <c r="AP1044" i="67"/>
  <c r="AP893" i="67"/>
  <c r="AP438" i="67"/>
  <c r="AP742" i="67"/>
  <c r="AP285" i="67"/>
  <c r="AP132" i="67"/>
  <c r="AP590" i="67"/>
  <c r="L956" i="67"/>
  <c r="L350" i="67"/>
  <c r="L805" i="67"/>
  <c r="L197" i="67"/>
  <c r="L654" i="67"/>
  <c r="L502" i="67"/>
  <c r="L44" i="67"/>
  <c r="AF22" i="68"/>
  <c r="E22" i="62" s="1"/>
  <c r="AQ1044" i="67"/>
  <c r="AQ893" i="67"/>
  <c r="AQ438" i="67"/>
  <c r="AQ742" i="67"/>
  <c r="AQ285" i="67"/>
  <c r="AQ132" i="67"/>
  <c r="AQ590" i="67"/>
  <c r="AN1044" i="67"/>
  <c r="AN893" i="67"/>
  <c r="AN438" i="67"/>
  <c r="AN742" i="67"/>
  <c r="AN285" i="67"/>
  <c r="AN132" i="67"/>
  <c r="AN590" i="67"/>
  <c r="AT10" i="36"/>
  <c r="AO10" i="50"/>
  <c r="U449" i="67"/>
  <c r="U143" i="67"/>
  <c r="U904" i="67"/>
  <c r="U601" i="67"/>
  <c r="U296" i="67"/>
  <c r="U753" i="67"/>
  <c r="AG940" i="67"/>
  <c r="AG638" i="67"/>
  <c r="AG334" i="67"/>
  <c r="AG789" i="67"/>
  <c r="AG486" i="67"/>
  <c r="AG28" i="67"/>
  <c r="AG181" i="67"/>
  <c r="BA15" i="68"/>
  <c r="Z16" i="62" s="1"/>
  <c r="T939" i="67"/>
  <c r="T333" i="67"/>
  <c r="T637" i="67"/>
  <c r="T788" i="67"/>
  <c r="T485" i="67"/>
  <c r="T27" i="67"/>
  <c r="T180" i="67"/>
  <c r="K925" i="67"/>
  <c r="K319" i="67"/>
  <c r="K623" i="67"/>
  <c r="K13" i="67"/>
  <c r="K774" i="67"/>
  <c r="K166" i="67"/>
  <c r="T1044" i="67"/>
  <c r="T438" i="67"/>
  <c r="T742" i="67"/>
  <c r="T893" i="67"/>
  <c r="T285" i="67"/>
  <c r="T590" i="67"/>
  <c r="T132" i="67"/>
  <c r="F165" i="65"/>
  <c r="F177" i="65" s="1"/>
  <c r="O619" i="67"/>
  <c r="O770" i="67"/>
  <c r="AY80" i="70"/>
  <c r="AY64" i="70"/>
  <c r="AP80" i="70"/>
  <c r="AP64" i="70"/>
  <c r="O165" i="65"/>
  <c r="O177" i="65" s="1"/>
  <c r="Y1043" i="67"/>
  <c r="Y892" i="67"/>
  <c r="Y437" i="67"/>
  <c r="Y741" i="67"/>
  <c r="Y131" i="67"/>
  <c r="Y284" i="67"/>
  <c r="Y589" i="67"/>
  <c r="L1043" i="67"/>
  <c r="L437" i="67"/>
  <c r="L741" i="67"/>
  <c r="L892" i="67"/>
  <c r="L589" i="67"/>
  <c r="L131" i="67"/>
  <c r="L284" i="67"/>
  <c r="Z1043" i="67"/>
  <c r="Z437" i="67"/>
  <c r="Z741" i="67"/>
  <c r="Z892" i="67"/>
  <c r="Z284" i="67"/>
  <c r="Z589" i="67"/>
  <c r="Z131" i="67"/>
  <c r="K938" i="67"/>
  <c r="K636" i="67"/>
  <c r="K332" i="67"/>
  <c r="K787" i="67"/>
  <c r="K484" i="67"/>
  <c r="K26" i="67"/>
  <c r="K179" i="67"/>
  <c r="AE14" i="68"/>
  <c r="D15" i="62" s="1"/>
  <c r="R654" i="67"/>
  <c r="R502" i="67"/>
  <c r="M1060" i="67"/>
  <c r="M454" i="67"/>
  <c r="M758" i="67"/>
  <c r="M909" i="67"/>
  <c r="M148" i="67"/>
  <c r="M606" i="67"/>
  <c r="M301" i="67"/>
  <c r="M926" i="67"/>
  <c r="M320" i="67"/>
  <c r="M624" i="67"/>
  <c r="M775" i="67"/>
  <c r="M472" i="67"/>
  <c r="M14" i="67"/>
  <c r="M167" i="67"/>
  <c r="AG8" i="68"/>
  <c r="F10" i="62" s="1"/>
  <c r="AC958" i="67"/>
  <c r="AC352" i="67"/>
  <c r="AC504" i="67"/>
  <c r="AC656" i="67"/>
  <c r="AC807" i="67"/>
  <c r="AC46" i="67"/>
  <c r="AC199" i="67"/>
  <c r="AW23" i="68"/>
  <c r="AS1060" i="67"/>
  <c r="AS454" i="67"/>
  <c r="AS758" i="67"/>
  <c r="AS909" i="67"/>
  <c r="AS148" i="67"/>
  <c r="AS606" i="67"/>
  <c r="AS301" i="67"/>
  <c r="AS926" i="67"/>
  <c r="AS320" i="67"/>
  <c r="AS624" i="67"/>
  <c r="AS775" i="67"/>
  <c r="AS472" i="67"/>
  <c r="AS14" i="67"/>
  <c r="AS167" i="67"/>
  <c r="BM8" i="68"/>
  <c r="AL10" i="62" s="1"/>
  <c r="AP958" i="67"/>
  <c r="AP352" i="67"/>
  <c r="AP656" i="67"/>
  <c r="AP807" i="67"/>
  <c r="AP504" i="67"/>
  <c r="AP46" i="67"/>
  <c r="AP199" i="67"/>
  <c r="BJ23" i="68"/>
  <c r="R1060" i="67"/>
  <c r="R909" i="67"/>
  <c r="R454" i="67"/>
  <c r="R758" i="67"/>
  <c r="R606" i="67"/>
  <c r="R301" i="67"/>
  <c r="R148" i="67"/>
  <c r="R926" i="67"/>
  <c r="R320" i="67"/>
  <c r="R775" i="67"/>
  <c r="R167" i="67"/>
  <c r="R624" i="67"/>
  <c r="R472" i="67"/>
  <c r="R14" i="67"/>
  <c r="AL8" i="68"/>
  <c r="K10" i="62" s="1"/>
  <c r="K1060" i="67"/>
  <c r="K758" i="67"/>
  <c r="K454" i="67"/>
  <c r="K909" i="67"/>
  <c r="K301" i="67"/>
  <c r="K606" i="67"/>
  <c r="K148" i="67"/>
  <c r="AA1060" i="67"/>
  <c r="AA758" i="67"/>
  <c r="AA909" i="67"/>
  <c r="AA454" i="67"/>
  <c r="AA301" i="67"/>
  <c r="AA148" i="67"/>
  <c r="AA606" i="67"/>
  <c r="AA926" i="67"/>
  <c r="AA775" i="67"/>
  <c r="AA320" i="67"/>
  <c r="AA624" i="67"/>
  <c r="AA472" i="67"/>
  <c r="AA14" i="67"/>
  <c r="AA167" i="67"/>
  <c r="AU8" i="68"/>
  <c r="T10" i="62" s="1"/>
  <c r="L958" i="67"/>
  <c r="L352" i="67"/>
  <c r="L656" i="67"/>
  <c r="L807" i="67"/>
  <c r="L504" i="67"/>
  <c r="L46" i="67"/>
  <c r="L199" i="67"/>
  <c r="AF23" i="68"/>
  <c r="AB1060" i="67"/>
  <c r="AB909" i="67"/>
  <c r="AB454" i="67"/>
  <c r="AB758" i="67"/>
  <c r="AB148" i="67"/>
  <c r="AB301" i="67"/>
  <c r="AB606" i="67"/>
  <c r="AB926" i="67"/>
  <c r="AB624" i="67"/>
  <c r="AB775" i="67"/>
  <c r="AB320" i="67"/>
  <c r="AB472" i="67"/>
  <c r="AB14" i="67"/>
  <c r="AB167" i="67"/>
  <c r="AV8" i="68"/>
  <c r="U10" i="62" s="1"/>
  <c r="AR958" i="67"/>
  <c r="AR352" i="67"/>
  <c r="AR656" i="67"/>
  <c r="AR807" i="67"/>
  <c r="AR504" i="67"/>
  <c r="AR46" i="67"/>
  <c r="AR199" i="67"/>
  <c r="BL23" i="68"/>
  <c r="AV938" i="67"/>
  <c r="AV332" i="67"/>
  <c r="AV787" i="67"/>
  <c r="AV636" i="67"/>
  <c r="AV484" i="67"/>
  <c r="AV26" i="67"/>
  <c r="AV179" i="67"/>
  <c r="AT938" i="67"/>
  <c r="AT332" i="67"/>
  <c r="AT787" i="67"/>
  <c r="AT179" i="67"/>
  <c r="AT484" i="67"/>
  <c r="AT636" i="67"/>
  <c r="AT26" i="67"/>
  <c r="BN14" i="68"/>
  <c r="AM15" i="62" s="1"/>
  <c r="W938" i="67"/>
  <c r="W787" i="67"/>
  <c r="W332" i="67"/>
  <c r="W636" i="67"/>
  <c r="W26" i="67"/>
  <c r="W484" i="67"/>
  <c r="W179" i="67"/>
  <c r="AQ14" i="68"/>
  <c r="P15" i="62" s="1"/>
  <c r="AU957" i="67"/>
  <c r="AU351" i="67"/>
  <c r="AU655" i="67"/>
  <c r="AU503" i="67"/>
  <c r="AU45" i="67"/>
  <c r="AU806" i="67"/>
  <c r="AU198" i="67"/>
  <c r="L938" i="67"/>
  <c r="L787" i="67"/>
  <c r="L332" i="67"/>
  <c r="L636" i="67"/>
  <c r="L484" i="67"/>
  <c r="L26" i="67"/>
  <c r="L179" i="67"/>
  <c r="AF14" i="68"/>
  <c r="E15" i="62" s="1"/>
  <c r="AM1058" i="67"/>
  <c r="AM756" i="67"/>
  <c r="AM907" i="67"/>
  <c r="AM452" i="67"/>
  <c r="AM299" i="67"/>
  <c r="AM146" i="67"/>
  <c r="AM604" i="67"/>
  <c r="AM924" i="67"/>
  <c r="AM318" i="67"/>
  <c r="AM622" i="67"/>
  <c r="AM773" i="67"/>
  <c r="AM12" i="67"/>
  <c r="AM165" i="67"/>
  <c r="R925" i="67"/>
  <c r="R319" i="67"/>
  <c r="R623" i="67"/>
  <c r="R774" i="67"/>
  <c r="R13" i="67"/>
  <c r="R166" i="67"/>
  <c r="AK926" i="67"/>
  <c r="AK320" i="67"/>
  <c r="AK472" i="67"/>
  <c r="AK624" i="67"/>
  <c r="AK775" i="67"/>
  <c r="AK14" i="67"/>
  <c r="AK167" i="67"/>
  <c r="BE8" i="68"/>
  <c r="AD10" i="62" s="1"/>
  <c r="AU1060" i="67"/>
  <c r="AU909" i="67"/>
  <c r="AU454" i="67"/>
  <c r="AU758" i="67"/>
  <c r="AU148" i="67"/>
  <c r="AU606" i="67"/>
  <c r="AU301" i="67"/>
  <c r="AU926" i="67"/>
  <c r="AU320" i="67"/>
  <c r="AU624" i="67"/>
  <c r="AU775" i="67"/>
  <c r="AU472" i="67"/>
  <c r="AU14" i="67"/>
  <c r="AU167" i="67"/>
  <c r="BO8" i="68"/>
  <c r="AN10" i="62" s="1"/>
  <c r="S958" i="67"/>
  <c r="S352" i="67"/>
  <c r="S807" i="67"/>
  <c r="S656" i="67"/>
  <c r="S504" i="67"/>
  <c r="S46" i="67"/>
  <c r="S199" i="67"/>
  <c r="AM23" i="68"/>
  <c r="AJ1060" i="67"/>
  <c r="AJ909" i="67"/>
  <c r="AJ454" i="67"/>
  <c r="AJ758" i="67"/>
  <c r="AJ606" i="67"/>
  <c r="AJ148" i="67"/>
  <c r="AJ301" i="67"/>
  <c r="AJ926" i="67"/>
  <c r="AJ320" i="67"/>
  <c r="AJ624" i="67"/>
  <c r="AJ775" i="67"/>
  <c r="AJ472" i="67"/>
  <c r="AJ14" i="67"/>
  <c r="AJ167" i="67"/>
  <c r="BD8" i="68"/>
  <c r="AC10" i="62" s="1"/>
  <c r="AQ958" i="67"/>
  <c r="AQ352" i="67"/>
  <c r="AQ807" i="67"/>
  <c r="AQ656" i="67"/>
  <c r="AQ199" i="67"/>
  <c r="AQ504" i="67"/>
  <c r="AQ46" i="67"/>
  <c r="BK23" i="68"/>
  <c r="L165" i="65"/>
  <c r="L177" i="65" s="1"/>
  <c r="Y499" i="67"/>
  <c r="Y41" i="67"/>
  <c r="Y651" i="67"/>
  <c r="Y194" i="67"/>
  <c r="Y347" i="67"/>
  <c r="Y802" i="67"/>
  <c r="BF80" i="70"/>
  <c r="BF64" i="70"/>
  <c r="AL1060" i="67"/>
  <c r="AL454" i="67"/>
  <c r="AL758" i="67"/>
  <c r="AL909" i="67"/>
  <c r="AL606" i="67"/>
  <c r="AL301" i="67"/>
  <c r="AL148" i="67"/>
  <c r="AL926" i="67"/>
  <c r="AL320" i="67"/>
  <c r="AL624" i="67"/>
  <c r="AL14" i="67"/>
  <c r="AL775" i="67"/>
  <c r="AL472" i="67"/>
  <c r="AL167" i="67"/>
  <c r="BF8" i="68"/>
  <c r="AE10" i="62" s="1"/>
  <c r="AN958" i="67"/>
  <c r="AN352" i="67"/>
  <c r="AN656" i="67"/>
  <c r="AN807" i="67"/>
  <c r="AN504" i="67"/>
  <c r="AN46" i="67"/>
  <c r="AN199" i="67"/>
  <c r="BH23" i="68"/>
  <c r="AG165" i="65"/>
  <c r="AG177" i="65" s="1"/>
  <c r="N165" i="65"/>
  <c r="N177" i="65" s="1"/>
  <c r="U802" i="67"/>
  <c r="U194" i="67"/>
  <c r="U347" i="67"/>
  <c r="U651" i="67"/>
  <c r="U499" i="67"/>
  <c r="U41" i="67"/>
  <c r="BK80" i="70"/>
  <c r="BK64" i="70"/>
  <c r="P939" i="67"/>
  <c r="P333" i="67"/>
  <c r="P788" i="67"/>
  <c r="P637" i="67"/>
  <c r="P485" i="67"/>
  <c r="P27" i="67"/>
  <c r="P180" i="67"/>
  <c r="AE1059" i="67"/>
  <c r="AE908" i="67"/>
  <c r="AE453" i="67"/>
  <c r="AE757" i="67"/>
  <c r="AE300" i="67"/>
  <c r="AE147" i="67"/>
  <c r="AE605" i="67"/>
  <c r="AB956" i="67"/>
  <c r="AB350" i="67"/>
  <c r="AB805" i="67"/>
  <c r="AB197" i="67"/>
  <c r="AB654" i="67"/>
  <c r="AB502" i="67"/>
  <c r="AB44" i="67"/>
  <c r="AR938" i="67"/>
  <c r="AR332" i="67"/>
  <c r="AR787" i="67"/>
  <c r="AR636" i="67"/>
  <c r="AR484" i="67"/>
  <c r="AR26" i="67"/>
  <c r="AR179" i="67"/>
  <c r="AT939" i="67"/>
  <c r="AT333" i="67"/>
  <c r="AT637" i="67"/>
  <c r="AT788" i="67"/>
  <c r="AT485" i="67"/>
  <c r="AT27" i="67"/>
  <c r="AT180" i="67"/>
  <c r="AI938" i="67"/>
  <c r="AI332" i="67"/>
  <c r="AI636" i="67"/>
  <c r="AI787" i="67"/>
  <c r="AI484" i="67"/>
  <c r="AI26" i="67"/>
  <c r="AI179" i="67"/>
  <c r="BC14" i="68"/>
  <c r="AB15" i="62" s="1"/>
  <c r="AF1059" i="67"/>
  <c r="AF908" i="67"/>
  <c r="AF453" i="67"/>
  <c r="AF757" i="67"/>
  <c r="AF605" i="67"/>
  <c r="AF300" i="67"/>
  <c r="AF147" i="67"/>
  <c r="AF925" i="67"/>
  <c r="AF623" i="67"/>
  <c r="AF319" i="67"/>
  <c r="AF774" i="67"/>
  <c r="AF166" i="67"/>
  <c r="AF13" i="67"/>
  <c r="Q958" i="67"/>
  <c r="Q352" i="67"/>
  <c r="Q807" i="67"/>
  <c r="Q656" i="67"/>
  <c r="Q504" i="67"/>
  <c r="Q46" i="67"/>
  <c r="Q199" i="67"/>
  <c r="AK23" i="68"/>
  <c r="AG1060" i="67"/>
  <c r="AG454" i="67"/>
  <c r="AG909" i="67"/>
  <c r="AG758" i="67"/>
  <c r="AG606" i="67"/>
  <c r="AG301" i="67"/>
  <c r="AG148" i="67"/>
  <c r="AG926" i="67"/>
  <c r="AG320" i="67"/>
  <c r="AG775" i="67"/>
  <c r="AG472" i="67"/>
  <c r="AG624" i="67"/>
  <c r="AG14" i="67"/>
  <c r="AG167" i="67"/>
  <c r="BA8" i="68"/>
  <c r="Z10" i="62" s="1"/>
  <c r="AW1044" i="67"/>
  <c r="AW893" i="67"/>
  <c r="AW438" i="67"/>
  <c r="AW742" i="67"/>
  <c r="AW590" i="67"/>
  <c r="AW285" i="67"/>
  <c r="AW132" i="67"/>
  <c r="AT1060" i="67"/>
  <c r="AT758" i="67"/>
  <c r="AT454" i="67"/>
  <c r="AT909" i="67"/>
  <c r="AT606" i="67"/>
  <c r="AT301" i="67"/>
  <c r="AT148" i="67"/>
  <c r="AT926" i="67"/>
  <c r="AT320" i="67"/>
  <c r="AT472" i="67"/>
  <c r="AT624" i="67"/>
  <c r="AT14" i="67"/>
  <c r="AT775" i="67"/>
  <c r="AT167" i="67"/>
  <c r="BN8" i="68"/>
  <c r="AM10" i="62" s="1"/>
  <c r="V958" i="67"/>
  <c r="V352" i="67"/>
  <c r="V656" i="67"/>
  <c r="V199" i="67"/>
  <c r="V504" i="67"/>
  <c r="V807" i="67"/>
  <c r="V46" i="67"/>
  <c r="AP23" i="68"/>
  <c r="O1060" i="67"/>
  <c r="O909" i="67"/>
  <c r="O454" i="67"/>
  <c r="O758" i="67"/>
  <c r="O148" i="67"/>
  <c r="O606" i="67"/>
  <c r="O301" i="67"/>
  <c r="O926" i="67"/>
  <c r="O320" i="67"/>
  <c r="O624" i="67"/>
  <c r="O775" i="67"/>
  <c r="O14" i="67"/>
  <c r="O167" i="67"/>
  <c r="O472" i="67"/>
  <c r="AI8" i="68"/>
  <c r="H10" i="62" s="1"/>
  <c r="AE958" i="67"/>
  <c r="AE352" i="67"/>
  <c r="AE656" i="67"/>
  <c r="AE807" i="67"/>
  <c r="AE504" i="67"/>
  <c r="AE46" i="67"/>
  <c r="AE199" i="67"/>
  <c r="AY23" i="68"/>
  <c r="P1060" i="67"/>
  <c r="P758" i="67"/>
  <c r="P454" i="67"/>
  <c r="P909" i="67"/>
  <c r="P301" i="67"/>
  <c r="P606" i="67"/>
  <c r="P148" i="67"/>
  <c r="P926" i="67"/>
  <c r="P775" i="67"/>
  <c r="P320" i="67"/>
  <c r="P624" i="67"/>
  <c r="P472" i="67"/>
  <c r="P14" i="67"/>
  <c r="P167" i="67"/>
  <c r="AJ8" i="68"/>
  <c r="I10" i="62" s="1"/>
  <c r="AF958" i="67"/>
  <c r="AF352" i="67"/>
  <c r="AF807" i="67"/>
  <c r="AF656" i="67"/>
  <c r="AF504" i="67"/>
  <c r="AF46" i="67"/>
  <c r="AF199" i="67"/>
  <c r="AZ23" i="68"/>
  <c r="AV1060" i="67"/>
  <c r="AV758" i="67"/>
  <c r="AV454" i="67"/>
  <c r="AV909" i="67"/>
  <c r="AV301" i="67"/>
  <c r="AV606" i="67"/>
  <c r="AV148" i="67"/>
  <c r="AV926" i="67"/>
  <c r="AV775" i="67"/>
  <c r="AV320" i="67"/>
  <c r="AV624" i="67"/>
  <c r="AV167" i="67"/>
  <c r="AV472" i="67"/>
  <c r="AV14" i="67"/>
  <c r="BP8" i="68"/>
  <c r="AO10" i="62" s="1"/>
  <c r="AL924" i="67"/>
  <c r="AL318" i="67"/>
  <c r="AL773" i="67"/>
  <c r="AL622" i="67"/>
  <c r="AL165" i="67"/>
  <c r="AL12" i="67"/>
  <c r="T1043" i="67"/>
  <c r="T741" i="67"/>
  <c r="T437" i="67"/>
  <c r="T892" i="67"/>
  <c r="T589" i="67"/>
  <c r="T131" i="67"/>
  <c r="T284" i="67"/>
  <c r="T925" i="67"/>
  <c r="T774" i="67"/>
  <c r="T319" i="67"/>
  <c r="T623" i="67"/>
  <c r="T13" i="67"/>
  <c r="T166" i="67"/>
  <c r="Z1042" i="67"/>
  <c r="Z436" i="67"/>
  <c r="Z891" i="67"/>
  <c r="Z588" i="67"/>
  <c r="Z130" i="67"/>
  <c r="Z740" i="67"/>
  <c r="Z283" i="67"/>
  <c r="K939" i="67"/>
  <c r="K333" i="67"/>
  <c r="K788" i="67"/>
  <c r="K637" i="67"/>
  <c r="K485" i="67"/>
  <c r="K27" i="67"/>
  <c r="K180" i="67"/>
  <c r="U1060" i="67"/>
  <c r="U758" i="67"/>
  <c r="U909" i="67"/>
  <c r="U454" i="67"/>
  <c r="U301" i="67"/>
  <c r="U148" i="67"/>
  <c r="U606" i="67"/>
  <c r="U958" i="67"/>
  <c r="U352" i="67"/>
  <c r="U656" i="67"/>
  <c r="U807" i="67"/>
  <c r="U504" i="67"/>
  <c r="U46" i="67"/>
  <c r="U199" i="67"/>
  <c r="AO23" i="68"/>
  <c r="Z958" i="67"/>
  <c r="Z352" i="67"/>
  <c r="Z656" i="67"/>
  <c r="Z504" i="67"/>
  <c r="Z46" i="67"/>
  <c r="Z807" i="67"/>
  <c r="Z199" i="67"/>
  <c r="AT23" i="68"/>
  <c r="AD1060" i="67"/>
  <c r="AD758" i="67"/>
  <c r="AD454" i="67"/>
  <c r="AD909" i="67"/>
  <c r="AD606" i="67"/>
  <c r="AD301" i="67"/>
  <c r="AD148" i="67"/>
  <c r="AD926" i="67"/>
  <c r="AD320" i="67"/>
  <c r="AD472" i="67"/>
  <c r="AD624" i="67"/>
  <c r="AD14" i="67"/>
  <c r="AD775" i="67"/>
  <c r="AD167" i="67"/>
  <c r="AX8" i="68"/>
  <c r="W10" i="62" s="1"/>
  <c r="T958" i="67"/>
  <c r="T352" i="67"/>
  <c r="T199" i="67"/>
  <c r="T656" i="67"/>
  <c r="T807" i="67"/>
  <c r="T504" i="67"/>
  <c r="T46" i="67"/>
  <c r="AN23" i="68"/>
  <c r="AC165" i="65"/>
  <c r="AC177" i="65" s="1"/>
  <c r="BA80" i="70"/>
  <c r="BA64" i="70"/>
  <c r="W1044" i="67"/>
  <c r="W742" i="67"/>
  <c r="W438" i="67"/>
  <c r="W893" i="67"/>
  <c r="W285" i="67"/>
  <c r="W590" i="67"/>
  <c r="W132" i="67"/>
  <c r="P165" i="65"/>
  <c r="P177" i="65" s="1"/>
  <c r="BL80" i="70"/>
  <c r="BL64" i="70"/>
  <c r="AD80" i="70"/>
  <c r="AD64" i="70"/>
  <c r="S956" i="67"/>
  <c r="S350" i="67"/>
  <c r="S805" i="67"/>
  <c r="S502" i="67"/>
  <c r="S654" i="67"/>
  <c r="S44" i="67"/>
  <c r="S197" i="67"/>
  <c r="U938" i="67"/>
  <c r="U332" i="67"/>
  <c r="U484" i="67"/>
  <c r="U636" i="67"/>
  <c r="U787" i="67"/>
  <c r="U26" i="67"/>
  <c r="U179" i="67"/>
  <c r="AO14" i="68"/>
  <c r="N15" i="62" s="1"/>
  <c r="X956" i="67"/>
  <c r="X350" i="67"/>
  <c r="X502" i="67"/>
  <c r="X654" i="67"/>
  <c r="X44" i="67"/>
  <c r="X805" i="67"/>
  <c r="X197" i="67"/>
  <c r="AR22" i="68"/>
  <c r="Q22" i="62" s="1"/>
  <c r="Q938" i="67"/>
  <c r="Q332" i="67"/>
  <c r="Q787" i="67"/>
  <c r="Q484" i="67"/>
  <c r="Q636" i="67"/>
  <c r="Q26" i="67"/>
  <c r="Q179" i="67"/>
  <c r="AI1060" i="67"/>
  <c r="AI454" i="67"/>
  <c r="AI758" i="67"/>
  <c r="AI909" i="67"/>
  <c r="AI606" i="67"/>
  <c r="AI301" i="67"/>
  <c r="AI148" i="67"/>
  <c r="AI926" i="67"/>
  <c r="AI775" i="67"/>
  <c r="AI320" i="67"/>
  <c r="AI624" i="67"/>
  <c r="AI167" i="67"/>
  <c r="AI472" i="67"/>
  <c r="AI14" i="67"/>
  <c r="BC8" i="68"/>
  <c r="AB10" i="62" s="1"/>
  <c r="V1058" i="67"/>
  <c r="V907" i="67"/>
  <c r="V452" i="67"/>
  <c r="V756" i="67"/>
  <c r="V604" i="67"/>
  <c r="V299" i="67"/>
  <c r="V146" i="67"/>
  <c r="V924" i="67"/>
  <c r="V318" i="67"/>
  <c r="V165" i="67"/>
  <c r="V622" i="67"/>
  <c r="V773" i="67"/>
  <c r="V12" i="67"/>
  <c r="AG1058" i="67"/>
  <c r="AG756" i="67"/>
  <c r="AG907" i="67"/>
  <c r="AG452" i="67"/>
  <c r="AG299" i="67"/>
  <c r="AG146" i="67"/>
  <c r="AG604" i="67"/>
  <c r="AG956" i="67"/>
  <c r="AG350" i="67"/>
  <c r="AG654" i="67"/>
  <c r="AG805" i="67"/>
  <c r="AG502" i="67"/>
  <c r="AG44" i="67"/>
  <c r="AG197" i="67"/>
  <c r="AV1043" i="67"/>
  <c r="AV892" i="67"/>
  <c r="AV437" i="67"/>
  <c r="AV741" i="67"/>
  <c r="AV284" i="67"/>
  <c r="AV131" i="67"/>
  <c r="AV589" i="67"/>
  <c r="AP957" i="67"/>
  <c r="AP351" i="67"/>
  <c r="AP655" i="67"/>
  <c r="AP806" i="67"/>
  <c r="AP503" i="67"/>
  <c r="AP45" i="67"/>
  <c r="AP198" i="67"/>
  <c r="AW939" i="67"/>
  <c r="AW333" i="67"/>
  <c r="AW788" i="67"/>
  <c r="AW180" i="67"/>
  <c r="AW637" i="67"/>
  <c r="AW485" i="67"/>
  <c r="AW27" i="67"/>
  <c r="AO938" i="67"/>
  <c r="AO332" i="67"/>
  <c r="AO787" i="67"/>
  <c r="AO636" i="67"/>
  <c r="AO484" i="67"/>
  <c r="AO26" i="67"/>
  <c r="AO179" i="67"/>
  <c r="AQ938" i="67"/>
  <c r="AQ636" i="67"/>
  <c r="AQ332" i="67"/>
  <c r="AQ787" i="67"/>
  <c r="AQ484" i="67"/>
  <c r="AQ26" i="67"/>
  <c r="AQ179" i="67"/>
  <c r="AC938" i="67"/>
  <c r="AC332" i="67"/>
  <c r="AC636" i="67"/>
  <c r="AC787" i="67"/>
  <c r="AC484" i="67"/>
  <c r="AC26" i="67"/>
  <c r="AC179" i="67"/>
  <c r="AW14" i="68"/>
  <c r="V15" i="62" s="1"/>
  <c r="W939" i="67"/>
  <c r="W333" i="67"/>
  <c r="W637" i="67"/>
  <c r="W788" i="67"/>
  <c r="W485" i="67"/>
  <c r="W27" i="67"/>
  <c r="W180" i="67"/>
  <c r="N939" i="67"/>
  <c r="N333" i="67"/>
  <c r="N637" i="67"/>
  <c r="N788" i="67"/>
  <c r="N27" i="67"/>
  <c r="N180" i="67"/>
  <c r="N485" i="67"/>
  <c r="AI1059" i="67"/>
  <c r="AI453" i="67"/>
  <c r="AI757" i="67"/>
  <c r="AI908" i="67"/>
  <c r="AI147" i="67"/>
  <c r="AI605" i="67"/>
  <c r="AI300" i="67"/>
  <c r="Y940" i="67"/>
  <c r="Y334" i="67"/>
  <c r="Y638" i="67"/>
  <c r="Y789" i="67"/>
  <c r="Y486" i="67"/>
  <c r="Y28" i="67"/>
  <c r="Y181" i="67"/>
  <c r="AS15" i="68"/>
  <c r="R16" i="62" s="1"/>
  <c r="AO1044" i="67"/>
  <c r="AO893" i="67"/>
  <c r="AO438" i="67"/>
  <c r="AO742" i="67"/>
  <c r="AO590" i="67"/>
  <c r="AO132" i="67"/>
  <c r="AO285" i="67"/>
  <c r="AH940" i="67"/>
  <c r="AH334" i="67"/>
  <c r="AH789" i="67"/>
  <c r="AH638" i="67"/>
  <c r="AH486" i="67"/>
  <c r="AH28" i="67"/>
  <c r="AH181" i="67"/>
  <c r="BB15" i="68"/>
  <c r="AA16" i="62" s="1"/>
  <c r="N1044" i="67"/>
  <c r="N742" i="67"/>
  <c r="N438" i="67"/>
  <c r="N893" i="67"/>
  <c r="N590" i="67"/>
  <c r="N132" i="67"/>
  <c r="N285" i="67"/>
  <c r="AM940" i="67"/>
  <c r="AM334" i="67"/>
  <c r="AM789" i="67"/>
  <c r="AM638" i="67"/>
  <c r="AM486" i="67"/>
  <c r="AM28" i="67"/>
  <c r="AM181" i="67"/>
  <c r="BG15" i="68"/>
  <c r="AF16" i="62" s="1"/>
  <c r="X1044" i="67"/>
  <c r="X893" i="67"/>
  <c r="X438" i="67"/>
  <c r="X742" i="67"/>
  <c r="X285" i="67"/>
  <c r="X132" i="67"/>
  <c r="X590" i="67"/>
  <c r="Q329" i="67"/>
  <c r="Q23" i="67"/>
  <c r="Q481" i="67"/>
  <c r="Q176" i="67"/>
  <c r="Q633" i="67"/>
  <c r="M347" i="67"/>
  <c r="M802" i="67"/>
  <c r="M499" i="67"/>
  <c r="M194" i="67"/>
  <c r="M651" i="67"/>
  <c r="M41" i="67"/>
  <c r="J165" i="65"/>
  <c r="J177" i="65" s="1"/>
  <c r="AW938" i="67"/>
  <c r="AW332" i="67"/>
  <c r="AW787" i="67"/>
  <c r="AW484" i="67"/>
  <c r="AW636" i="67"/>
  <c r="AW26" i="67"/>
  <c r="AW179" i="67"/>
  <c r="BQ14" i="68"/>
  <c r="AP15" i="62" s="1"/>
  <c r="AC1059" i="67"/>
  <c r="AC453" i="67"/>
  <c r="AC908" i="67"/>
  <c r="AC757" i="67"/>
  <c r="AC605" i="67"/>
  <c r="AC300" i="67"/>
  <c r="AC147" i="67"/>
  <c r="M1058" i="67"/>
  <c r="M452" i="67"/>
  <c r="M907" i="67"/>
  <c r="M756" i="67"/>
  <c r="M604" i="67"/>
  <c r="M299" i="67"/>
  <c r="M146" i="67"/>
  <c r="AU924" i="67"/>
  <c r="AU318" i="67"/>
  <c r="AU622" i="67"/>
  <c r="AU773" i="67"/>
  <c r="AU12" i="67"/>
  <c r="AU165" i="67"/>
  <c r="L1059" i="67"/>
  <c r="L453" i="67"/>
  <c r="L757" i="67"/>
  <c r="L908" i="67"/>
  <c r="L605" i="67"/>
  <c r="L300" i="67"/>
  <c r="L147" i="67"/>
  <c r="AD924" i="67"/>
  <c r="AD773" i="67"/>
  <c r="AD318" i="67"/>
  <c r="AD622" i="67"/>
  <c r="AD12" i="67"/>
  <c r="AD165" i="67"/>
  <c r="K956" i="67"/>
  <c r="K350" i="67"/>
  <c r="K805" i="67"/>
  <c r="K654" i="67"/>
  <c r="K502" i="67"/>
  <c r="K44" i="67"/>
  <c r="K197" i="67"/>
  <c r="AE22" i="68"/>
  <c r="D22" i="62" s="1"/>
  <c r="AS940" i="67"/>
  <c r="AS789" i="67"/>
  <c r="AS334" i="67"/>
  <c r="AS638" i="67"/>
  <c r="AS486" i="67"/>
  <c r="AS28" i="67"/>
  <c r="AS181" i="67"/>
  <c r="BM15" i="68"/>
  <c r="AL16" i="62" s="1"/>
  <c r="R940" i="67"/>
  <c r="R334" i="67"/>
  <c r="R181" i="67"/>
  <c r="R638" i="67"/>
  <c r="R486" i="67"/>
  <c r="R789" i="67"/>
  <c r="R28" i="67"/>
  <c r="AL15" i="68"/>
  <c r="K16" i="62" s="1"/>
  <c r="AA940" i="67"/>
  <c r="AA334" i="67"/>
  <c r="AA638" i="67"/>
  <c r="AA789" i="67"/>
  <c r="AA486" i="67"/>
  <c r="AA28" i="67"/>
  <c r="AA181" i="67"/>
  <c r="AU15" i="68"/>
  <c r="T16" i="62" s="1"/>
  <c r="L1044" i="67"/>
  <c r="L742" i="67"/>
  <c r="L438" i="67"/>
  <c r="L893" i="67"/>
  <c r="L285" i="67"/>
  <c r="L590" i="67"/>
  <c r="L132" i="67"/>
  <c r="AJ956" i="67"/>
  <c r="AJ350" i="67"/>
  <c r="AJ805" i="67"/>
  <c r="AJ197" i="67"/>
  <c r="AJ502" i="67"/>
  <c r="AJ654" i="67"/>
  <c r="AJ44" i="67"/>
  <c r="W956" i="67"/>
  <c r="W350" i="67"/>
  <c r="W502" i="67"/>
  <c r="W654" i="67"/>
  <c r="W805" i="67"/>
  <c r="W44" i="67"/>
  <c r="W197" i="67"/>
  <c r="AQ22" i="68"/>
  <c r="P22" i="62" s="1"/>
  <c r="AU939" i="67"/>
  <c r="AU333" i="67"/>
  <c r="AU637" i="67"/>
  <c r="AU788" i="67"/>
  <c r="AU485" i="67"/>
  <c r="AU27" i="67"/>
  <c r="AU180" i="67"/>
  <c r="AJ940" i="67"/>
  <c r="AJ334" i="67"/>
  <c r="AJ486" i="67"/>
  <c r="AJ638" i="67"/>
  <c r="AJ28" i="67"/>
  <c r="AJ789" i="67"/>
  <c r="AJ181" i="67"/>
  <c r="BD15" i="68"/>
  <c r="AC16" i="62" s="1"/>
  <c r="AD73" i="70"/>
  <c r="AD57" i="70"/>
  <c r="B129" i="65"/>
  <c r="AN957" i="67"/>
  <c r="AN351" i="67"/>
  <c r="AN655" i="67"/>
  <c r="AN806" i="67"/>
  <c r="AN503" i="67"/>
  <c r="AN45" i="67"/>
  <c r="AN198" i="67"/>
  <c r="AI956" i="67"/>
  <c r="AI350" i="67"/>
  <c r="AI805" i="67"/>
  <c r="AI502" i="67"/>
  <c r="AI654" i="67"/>
  <c r="AI44" i="67"/>
  <c r="AI197" i="67"/>
  <c r="AF939" i="67"/>
  <c r="AF333" i="67"/>
  <c r="AF788" i="67"/>
  <c r="AF637" i="67"/>
  <c r="AF485" i="67"/>
  <c r="AF27" i="67"/>
  <c r="AF180" i="67"/>
  <c r="AW1060" i="67"/>
  <c r="AW454" i="67"/>
  <c r="AW909" i="67"/>
  <c r="AW758" i="67"/>
  <c r="AW606" i="67"/>
  <c r="AW301" i="67"/>
  <c r="AW148" i="67"/>
  <c r="AT940" i="67"/>
  <c r="AT334" i="67"/>
  <c r="AT638" i="67"/>
  <c r="AT789" i="67"/>
  <c r="AT28" i="67"/>
  <c r="AT486" i="67"/>
  <c r="AT181" i="67"/>
  <c r="BN15" i="68"/>
  <c r="AM16" i="62" s="1"/>
  <c r="V1044" i="67"/>
  <c r="V438" i="67"/>
  <c r="V742" i="67"/>
  <c r="V893" i="67"/>
  <c r="V590" i="67"/>
  <c r="V132" i="67"/>
  <c r="V285" i="67"/>
  <c r="O940" i="67"/>
  <c r="O334" i="67"/>
  <c r="O789" i="67"/>
  <c r="O486" i="67"/>
  <c r="O638" i="67"/>
  <c r="O28" i="67"/>
  <c r="O181" i="67"/>
  <c r="AI15" i="68"/>
  <c r="H16" i="62" s="1"/>
  <c r="AE1044" i="67"/>
  <c r="AE438" i="67"/>
  <c r="AE742" i="67"/>
  <c r="AE893" i="67"/>
  <c r="AE285" i="67"/>
  <c r="AE590" i="67"/>
  <c r="AE132" i="67"/>
  <c r="AF1044" i="67"/>
  <c r="AF893" i="67"/>
  <c r="AF438" i="67"/>
  <c r="AF742" i="67"/>
  <c r="AF132" i="67"/>
  <c r="AF285" i="67"/>
  <c r="AF590" i="67"/>
  <c r="AH1059" i="67"/>
  <c r="AH908" i="67"/>
  <c r="AH453" i="67"/>
  <c r="AH757" i="67"/>
  <c r="AH147" i="67"/>
  <c r="AH300" i="67"/>
  <c r="AH605" i="67"/>
  <c r="AN924" i="67"/>
  <c r="AN318" i="67"/>
  <c r="AN773" i="67"/>
  <c r="AN165" i="67"/>
  <c r="AN622" i="67"/>
  <c r="AN12" i="67"/>
  <c r="Z924" i="67"/>
  <c r="Z622" i="67"/>
  <c r="Z773" i="67"/>
  <c r="Z318" i="67"/>
  <c r="Z12" i="67"/>
  <c r="Z165" i="67"/>
  <c r="U926" i="67"/>
  <c r="U320" i="67"/>
  <c r="U472" i="67"/>
  <c r="U624" i="67"/>
  <c r="U775" i="67"/>
  <c r="U14" i="67"/>
  <c r="U167" i="67"/>
  <c r="AO8" i="68"/>
  <c r="N10" i="62" s="1"/>
  <c r="W1060" i="67"/>
  <c r="W454" i="67"/>
  <c r="W909" i="67"/>
  <c r="W758" i="67"/>
  <c r="W606" i="67"/>
  <c r="W301" i="67"/>
  <c r="W148" i="67"/>
  <c r="U1042" i="67"/>
  <c r="U436" i="67"/>
  <c r="U891" i="67"/>
  <c r="U588" i="67"/>
  <c r="U130" i="67"/>
  <c r="U740" i="67"/>
  <c r="U283" i="67"/>
  <c r="Q1042" i="67"/>
  <c r="Q436" i="67"/>
  <c r="Q891" i="67"/>
  <c r="Q588" i="67"/>
  <c r="Q130" i="67"/>
  <c r="Q740" i="67"/>
  <c r="Q283" i="67"/>
  <c r="AS80" i="70"/>
  <c r="AS64" i="70"/>
  <c r="AG924" i="67"/>
  <c r="AG318" i="67"/>
  <c r="AG622" i="67"/>
  <c r="AG773" i="67"/>
  <c r="AG12" i="67"/>
  <c r="AG165" i="67"/>
  <c r="AP1043" i="67"/>
  <c r="AP437" i="67"/>
  <c r="AP741" i="67"/>
  <c r="AP892" i="67"/>
  <c r="AP284" i="67"/>
  <c r="AP589" i="67"/>
  <c r="AP131" i="67"/>
  <c r="AA197" i="67"/>
  <c r="AQ956" i="67"/>
  <c r="AQ350" i="67"/>
  <c r="AQ805" i="67"/>
  <c r="AQ654" i="67"/>
  <c r="AQ502" i="67"/>
  <c r="AQ44" i="67"/>
  <c r="AQ197" i="67"/>
  <c r="W957" i="67"/>
  <c r="W351" i="67"/>
  <c r="W655" i="67"/>
  <c r="W45" i="67"/>
  <c r="W806" i="67"/>
  <c r="W503" i="67"/>
  <c r="W198" i="67"/>
  <c r="Y958" i="67"/>
  <c r="Y352" i="67"/>
  <c r="Y807" i="67"/>
  <c r="Y504" i="67"/>
  <c r="Y656" i="67"/>
  <c r="Y46" i="67"/>
  <c r="Y199" i="67"/>
  <c r="AS23" i="68"/>
  <c r="AO1060" i="67"/>
  <c r="AO909" i="67"/>
  <c r="AO454" i="67"/>
  <c r="AO758" i="67"/>
  <c r="AO301" i="67"/>
  <c r="AO148" i="67"/>
  <c r="AO606" i="67"/>
  <c r="N926" i="67"/>
  <c r="N320" i="67"/>
  <c r="N472" i="67"/>
  <c r="N624" i="67"/>
  <c r="N14" i="67"/>
  <c r="N775" i="67"/>
  <c r="N167" i="67"/>
  <c r="AH8" i="68"/>
  <c r="G10" i="62" s="1"/>
  <c r="AM958" i="67"/>
  <c r="AM352" i="67"/>
  <c r="AM656" i="67"/>
  <c r="AM807" i="67"/>
  <c r="AM504" i="67"/>
  <c r="AM46" i="67"/>
  <c r="AM199" i="67"/>
  <c r="BG23" i="68"/>
  <c r="X1060" i="67"/>
  <c r="X454" i="67"/>
  <c r="X758" i="67"/>
  <c r="X909" i="67"/>
  <c r="X148" i="67"/>
  <c r="X301" i="67"/>
  <c r="X606" i="67"/>
  <c r="M433" i="67"/>
  <c r="M888" i="67"/>
  <c r="M585" i="67"/>
  <c r="M127" i="67"/>
  <c r="M737" i="67"/>
  <c r="M280" i="67"/>
  <c r="N1062" i="67"/>
  <c r="N1391" i="67"/>
  <c r="N1405" i="67"/>
  <c r="N1423" i="67"/>
  <c r="N1543" i="67"/>
  <c r="N1559" i="67"/>
  <c r="N960" i="67"/>
  <c r="N791" i="67"/>
  <c r="N1093" i="67"/>
  <c r="N1213" i="67"/>
  <c r="N942" i="67"/>
  <c r="N1079" i="67"/>
  <c r="N1046" i="67"/>
  <c r="N1111" i="67"/>
  <c r="N928" i="67"/>
  <c r="N1197" i="67"/>
  <c r="O1062" i="67"/>
  <c r="O1391" i="67"/>
  <c r="O1405" i="67"/>
  <c r="O1423" i="67"/>
  <c r="O1543" i="67"/>
  <c r="O1559" i="67"/>
  <c r="O1046" i="67"/>
  <c r="O791" i="67"/>
  <c r="O1197" i="67"/>
  <c r="O960" i="67"/>
  <c r="O1093" i="67"/>
  <c r="O1213" i="67"/>
  <c r="O942" i="67"/>
  <c r="O1111" i="67"/>
  <c r="O928" i="67"/>
  <c r="O1079" i="67"/>
  <c r="M1062" i="67"/>
  <c r="M1391" i="67"/>
  <c r="M1405" i="67"/>
  <c r="M1423" i="67"/>
  <c r="M1543" i="67"/>
  <c r="M1559" i="67"/>
  <c r="M1046" i="67"/>
  <c r="M1111" i="67"/>
  <c r="M942" i="67"/>
  <c r="M791" i="67"/>
  <c r="M1093" i="67"/>
  <c r="M960" i="67"/>
  <c r="M1197" i="67"/>
  <c r="M928" i="67"/>
  <c r="M1079" i="67"/>
  <c r="M1213" i="67"/>
  <c r="AJ165" i="65"/>
  <c r="AJ177" i="65" s="1"/>
  <c r="BI80" i="70"/>
  <c r="BI64" i="70"/>
  <c r="AW924" i="67"/>
  <c r="AW318" i="67"/>
  <c r="AW622" i="67"/>
  <c r="AW773" i="67"/>
  <c r="AW12" i="67"/>
  <c r="AW165" i="67"/>
  <c r="X1043" i="67"/>
  <c r="X892" i="67"/>
  <c r="X437" i="67"/>
  <c r="X741" i="67"/>
  <c r="X284" i="67"/>
  <c r="X589" i="67"/>
  <c r="X131" i="67"/>
  <c r="O1043" i="67"/>
  <c r="O892" i="67"/>
  <c r="O437" i="67"/>
  <c r="O741" i="67"/>
  <c r="O589" i="67"/>
  <c r="O131" i="67"/>
  <c r="O284" i="67"/>
  <c r="L1063" i="67"/>
  <c r="L1392" i="67"/>
  <c r="L1406" i="67"/>
  <c r="L1424" i="67"/>
  <c r="L1544" i="67"/>
  <c r="L1560" i="67"/>
  <c r="L961" i="67"/>
  <c r="L1080" i="67"/>
  <c r="L1047" i="67"/>
  <c r="L1094" i="67"/>
  <c r="L943" i="67"/>
  <c r="L792" i="67"/>
  <c r="L1198" i="67"/>
  <c r="L929" i="67"/>
  <c r="L1112" i="67"/>
  <c r="L1214" i="67"/>
  <c r="Y1062" i="67"/>
  <c r="Y1391" i="67"/>
  <c r="Y1423" i="67"/>
  <c r="Y1405" i="67"/>
  <c r="Y1543" i="67"/>
  <c r="Y1559" i="67"/>
  <c r="Y1046" i="67"/>
  <c r="Y1111" i="67"/>
  <c r="Y1213" i="67"/>
  <c r="Y960" i="67"/>
  <c r="Y1079" i="67"/>
  <c r="Y942" i="67"/>
  <c r="Y1093" i="67"/>
  <c r="Y928" i="67"/>
  <c r="Y1197" i="67"/>
  <c r="Y791" i="67"/>
  <c r="Q1062" i="67"/>
  <c r="Q1391" i="67"/>
  <c r="Q1405" i="67"/>
  <c r="Q1423" i="67"/>
  <c r="Q1543" i="67"/>
  <c r="Q1559" i="67"/>
  <c r="Q1046" i="67"/>
  <c r="Q791" i="67"/>
  <c r="Q1111" i="67"/>
  <c r="Q960" i="67"/>
  <c r="Q1197" i="67"/>
  <c r="Q942" i="67"/>
  <c r="Q1079" i="67"/>
  <c r="Q1213" i="67"/>
  <c r="Q928" i="67"/>
  <c r="Q1093" i="67"/>
  <c r="Z619" i="67"/>
  <c r="Z770" i="67"/>
  <c r="V165" i="65"/>
  <c r="V177" i="65" s="1"/>
  <c r="AE146" i="67"/>
  <c r="AW1058" i="67"/>
  <c r="AW756" i="67"/>
  <c r="AW907" i="67"/>
  <c r="AW452" i="67"/>
  <c r="AW146" i="67"/>
  <c r="AW604" i="67"/>
  <c r="AW299" i="67"/>
  <c r="AC957" i="67"/>
  <c r="AC351" i="67"/>
  <c r="AC655" i="67"/>
  <c r="AC806" i="67"/>
  <c r="AC198" i="67"/>
  <c r="AC503" i="67"/>
  <c r="AC45" i="67"/>
  <c r="X957" i="67"/>
  <c r="X351" i="67"/>
  <c r="X655" i="67"/>
  <c r="X806" i="67"/>
  <c r="X503" i="67"/>
  <c r="X45" i="67"/>
  <c r="X198" i="67"/>
  <c r="M956" i="67"/>
  <c r="M350" i="67"/>
  <c r="M805" i="67"/>
  <c r="M654" i="67"/>
  <c r="M197" i="67"/>
  <c r="M502" i="67"/>
  <c r="M44" i="67"/>
  <c r="O957" i="67"/>
  <c r="O351" i="67"/>
  <c r="O503" i="67"/>
  <c r="O655" i="67"/>
  <c r="O45" i="67"/>
  <c r="O806" i="67"/>
  <c r="O198" i="67"/>
  <c r="L957" i="67"/>
  <c r="L351" i="67"/>
  <c r="L806" i="67"/>
  <c r="L655" i="67"/>
  <c r="L503" i="67"/>
  <c r="L45" i="67"/>
  <c r="L198" i="67"/>
  <c r="K1042" i="67"/>
  <c r="K436" i="67"/>
  <c r="K891" i="67"/>
  <c r="K588" i="67"/>
  <c r="K130" i="67"/>
  <c r="K740" i="67"/>
  <c r="K283" i="67"/>
  <c r="M1044" i="67"/>
  <c r="M742" i="67"/>
  <c r="M438" i="67"/>
  <c r="M893" i="67"/>
  <c r="M132" i="67"/>
  <c r="M285" i="67"/>
  <c r="M590" i="67"/>
  <c r="AC940" i="67"/>
  <c r="AC789" i="67"/>
  <c r="AC334" i="67"/>
  <c r="AC638" i="67"/>
  <c r="AC486" i="67"/>
  <c r="AC28" i="67"/>
  <c r="AC181" i="67"/>
  <c r="AW15" i="68"/>
  <c r="V16" i="62" s="1"/>
  <c r="AS1044" i="67"/>
  <c r="AS742" i="67"/>
  <c r="AS438" i="67"/>
  <c r="AS893" i="67"/>
  <c r="AS132" i="67"/>
  <c r="AS285" i="67"/>
  <c r="AS590" i="67"/>
  <c r="AP940" i="67"/>
  <c r="AP334" i="67"/>
  <c r="AP789" i="67"/>
  <c r="AP638" i="67"/>
  <c r="AP486" i="67"/>
  <c r="AP28" i="67"/>
  <c r="AP181" i="67"/>
  <c r="BJ15" i="68"/>
  <c r="AI16" i="62" s="1"/>
  <c r="R1044" i="67"/>
  <c r="R893" i="67"/>
  <c r="R438" i="67"/>
  <c r="R742" i="67"/>
  <c r="R285" i="67"/>
  <c r="R590" i="67"/>
  <c r="R132" i="67"/>
  <c r="K926" i="67"/>
  <c r="K775" i="67"/>
  <c r="K320" i="67"/>
  <c r="K624" i="67"/>
  <c r="K472" i="67"/>
  <c r="K14" i="67"/>
  <c r="K167" i="67"/>
  <c r="AE8" i="68"/>
  <c r="D10" i="62" s="1"/>
  <c r="AA1044" i="67"/>
  <c r="AA893" i="67"/>
  <c r="AA438" i="67"/>
  <c r="AA742" i="67"/>
  <c r="AA285" i="67"/>
  <c r="AA132" i="67"/>
  <c r="AA590" i="67"/>
  <c r="L940" i="67"/>
  <c r="L334" i="67"/>
  <c r="L638" i="67"/>
  <c r="L28" i="67"/>
  <c r="L789" i="67"/>
  <c r="L486" i="67"/>
  <c r="L181" i="67"/>
  <c r="AF15" i="68"/>
  <c r="E16" i="62" s="1"/>
  <c r="AB1044" i="67"/>
  <c r="AB742" i="67"/>
  <c r="AB438" i="67"/>
  <c r="AB893" i="67"/>
  <c r="AB285" i="67"/>
  <c r="AB590" i="67"/>
  <c r="AB132" i="67"/>
  <c r="AR940" i="67"/>
  <c r="AR334" i="67"/>
  <c r="AR638" i="67"/>
  <c r="AR28" i="67"/>
  <c r="AR789" i="67"/>
  <c r="AR486" i="67"/>
  <c r="AR181" i="67"/>
  <c r="BL15" i="68"/>
  <c r="AK16" i="62" s="1"/>
  <c r="AV1058" i="67"/>
  <c r="AV907" i="67"/>
  <c r="AV452" i="67"/>
  <c r="AV756" i="67"/>
  <c r="AV604" i="67"/>
  <c r="AV146" i="67"/>
  <c r="AV299" i="67"/>
  <c r="AV924" i="67"/>
  <c r="AV318" i="67"/>
  <c r="AV773" i="67"/>
  <c r="AV165" i="67"/>
  <c r="AV622" i="67"/>
  <c r="AV12" i="67"/>
  <c r="AO925" i="67"/>
  <c r="AO774" i="67"/>
  <c r="AO319" i="67"/>
  <c r="AO623" i="67"/>
  <c r="AO13" i="67"/>
  <c r="AO166" i="67"/>
  <c r="AT1058" i="67"/>
  <c r="AT907" i="67"/>
  <c r="AT452" i="67"/>
  <c r="AT756" i="67"/>
  <c r="AT604" i="67"/>
  <c r="AT299" i="67"/>
  <c r="AT146" i="67"/>
  <c r="AT924" i="67"/>
  <c r="AT318" i="67"/>
  <c r="AT622" i="67"/>
  <c r="AT12" i="67"/>
  <c r="AT773" i="67"/>
  <c r="AT165" i="67"/>
  <c r="W1058" i="67"/>
  <c r="W756" i="67"/>
  <c r="W907" i="67"/>
  <c r="W452" i="67"/>
  <c r="W299" i="67"/>
  <c r="W146" i="67"/>
  <c r="W604" i="67"/>
  <c r="W924" i="67"/>
  <c r="W318" i="67"/>
  <c r="W622" i="67"/>
  <c r="W773" i="67"/>
  <c r="W12" i="67"/>
  <c r="W165" i="67"/>
  <c r="AU1059" i="67"/>
  <c r="AU908" i="67"/>
  <c r="AU453" i="67"/>
  <c r="AU757" i="67"/>
  <c r="AU300" i="67"/>
  <c r="AU147" i="67"/>
  <c r="AU605" i="67"/>
  <c r="AU925" i="67"/>
  <c r="AU319" i="67"/>
  <c r="AU774" i="67"/>
  <c r="AU166" i="67"/>
  <c r="AU623" i="67"/>
  <c r="AU13" i="67"/>
  <c r="L1058" i="67"/>
  <c r="L756" i="67"/>
  <c r="L452" i="67"/>
  <c r="L907" i="67"/>
  <c r="L299" i="67"/>
  <c r="L604" i="67"/>
  <c r="L146" i="67"/>
  <c r="L924" i="67"/>
  <c r="L318" i="67"/>
  <c r="L622" i="67"/>
  <c r="L12" i="67"/>
  <c r="L773" i="67"/>
  <c r="L165" i="67"/>
  <c r="AM1042" i="67"/>
  <c r="AM436" i="67"/>
  <c r="AM891" i="67"/>
  <c r="AM588" i="67"/>
  <c r="AM130" i="67"/>
  <c r="AM740" i="67"/>
  <c r="AM283" i="67"/>
  <c r="AK940" i="67"/>
  <c r="AK789" i="67"/>
  <c r="AK334" i="67"/>
  <c r="AK638" i="67"/>
  <c r="AK486" i="67"/>
  <c r="AK28" i="67"/>
  <c r="AK181" i="67"/>
  <c r="BE15" i="68"/>
  <c r="AD16" i="62" s="1"/>
  <c r="AU1044" i="67"/>
  <c r="AU438" i="67"/>
  <c r="AU742" i="67"/>
  <c r="AU893" i="67"/>
  <c r="AU285" i="67"/>
  <c r="AU590" i="67"/>
  <c r="AU132" i="67"/>
  <c r="S940" i="67"/>
  <c r="S334" i="67"/>
  <c r="S486" i="67"/>
  <c r="S638" i="67"/>
  <c r="S789" i="67"/>
  <c r="S28" i="67"/>
  <c r="S181" i="67"/>
  <c r="AM15" i="68"/>
  <c r="L16" i="62" s="1"/>
  <c r="AJ1044" i="67"/>
  <c r="AJ438" i="67"/>
  <c r="AJ742" i="67"/>
  <c r="AJ893" i="67"/>
  <c r="AJ285" i="67"/>
  <c r="AJ590" i="67"/>
  <c r="AJ132" i="67"/>
  <c r="AQ940" i="67"/>
  <c r="AQ334" i="67"/>
  <c r="AQ638" i="67"/>
  <c r="AQ789" i="67"/>
  <c r="AQ486" i="67"/>
  <c r="AQ28" i="67"/>
  <c r="AQ181" i="67"/>
  <c r="BK15" i="68"/>
  <c r="AJ16" i="62" s="1"/>
  <c r="Y329" i="67"/>
  <c r="Y176" i="67"/>
  <c r="Y633" i="67"/>
  <c r="Y481" i="67"/>
  <c r="Y23" i="67"/>
  <c r="AL1044" i="67"/>
  <c r="AL438" i="67"/>
  <c r="AL742" i="67"/>
  <c r="AL893" i="67"/>
  <c r="AL590" i="67"/>
  <c r="AL132" i="67"/>
  <c r="AL285" i="67"/>
  <c r="AN940" i="67"/>
  <c r="AN334" i="67"/>
  <c r="AN789" i="67"/>
  <c r="AN181" i="67"/>
  <c r="AN638" i="67"/>
  <c r="AN486" i="67"/>
  <c r="AN28" i="67"/>
  <c r="BH15" i="68"/>
  <c r="AG16" i="62" s="1"/>
  <c r="K165" i="65"/>
  <c r="K177" i="65" s="1"/>
  <c r="U633" i="67"/>
  <c r="U481" i="67"/>
  <c r="U23" i="67"/>
  <c r="U329" i="67"/>
  <c r="U176" i="67"/>
  <c r="AI165" i="65"/>
  <c r="AI177" i="65" s="1"/>
  <c r="AB938" i="67"/>
  <c r="AB636" i="67"/>
  <c r="AB787" i="67"/>
  <c r="AB332" i="67"/>
  <c r="AB484" i="67"/>
  <c r="AB26" i="67"/>
  <c r="AB179" i="67"/>
  <c r="AL925" i="67"/>
  <c r="AL319" i="67"/>
  <c r="AL774" i="67"/>
  <c r="AL623" i="67"/>
  <c r="AL13" i="67"/>
  <c r="AL166" i="67"/>
  <c r="AP924" i="67"/>
  <c r="AP622" i="67"/>
  <c r="AP773" i="67"/>
  <c r="AP318" i="67"/>
  <c r="AP12" i="67"/>
  <c r="AP165" i="67"/>
  <c r="AR1058" i="67"/>
  <c r="AR756" i="67"/>
  <c r="AR452" i="67"/>
  <c r="AR907" i="67"/>
  <c r="AR299" i="67"/>
  <c r="AR604" i="67"/>
  <c r="AR146" i="67"/>
  <c r="AR924" i="67"/>
  <c r="AR318" i="67"/>
  <c r="AR622" i="67"/>
  <c r="AR12" i="67"/>
  <c r="AR773" i="67"/>
  <c r="AR165" i="67"/>
  <c r="AT1059" i="67"/>
  <c r="AT453" i="67"/>
  <c r="AT757" i="67"/>
  <c r="AT908" i="67"/>
  <c r="AT147" i="67"/>
  <c r="AT300" i="67"/>
  <c r="AT605" i="67"/>
  <c r="AT925" i="67"/>
  <c r="AT319" i="67"/>
  <c r="AT774" i="67"/>
  <c r="AT623" i="67"/>
  <c r="AT13" i="67"/>
  <c r="AT166" i="67"/>
  <c r="AQ1059" i="67"/>
  <c r="AQ757" i="67"/>
  <c r="AQ908" i="67"/>
  <c r="AQ453" i="67"/>
  <c r="AQ147" i="67"/>
  <c r="AQ605" i="67"/>
  <c r="AQ300" i="67"/>
  <c r="AQ623" i="67"/>
  <c r="AS924" i="67"/>
  <c r="AS773" i="67"/>
  <c r="AS318" i="67"/>
  <c r="AS622" i="67"/>
  <c r="AS165" i="67"/>
  <c r="AS12" i="67"/>
  <c r="Y924" i="67"/>
  <c r="Y622" i="67"/>
  <c r="Y318" i="67"/>
  <c r="Y773" i="67"/>
  <c r="Y12" i="67"/>
  <c r="Y165" i="67"/>
  <c r="AI1058" i="67"/>
  <c r="AI452" i="67"/>
  <c r="AI907" i="67"/>
  <c r="AI756" i="67"/>
  <c r="AI604" i="67"/>
  <c r="AI299" i="67"/>
  <c r="AI146" i="67"/>
  <c r="AI924" i="67"/>
  <c r="AI318" i="67"/>
  <c r="AI773" i="67"/>
  <c r="AI622" i="67"/>
  <c r="AI12" i="67"/>
  <c r="AI165" i="67"/>
  <c r="AF1043" i="67"/>
  <c r="AF892" i="67"/>
  <c r="AF437" i="67"/>
  <c r="AF741" i="67"/>
  <c r="AF284" i="67"/>
  <c r="AF131" i="67"/>
  <c r="AF589" i="67"/>
  <c r="Q940" i="67"/>
  <c r="Q638" i="67"/>
  <c r="Q334" i="67"/>
  <c r="Q789" i="67"/>
  <c r="Q486" i="67"/>
  <c r="Q28" i="67"/>
  <c r="Q181" i="67"/>
  <c r="AK15" i="68"/>
  <c r="J16" i="62" s="1"/>
  <c r="AG1044" i="67"/>
  <c r="AG893" i="67"/>
  <c r="AG438" i="67"/>
  <c r="AG742" i="67"/>
  <c r="AG590" i="67"/>
  <c r="AG285" i="67"/>
  <c r="AG132" i="67"/>
  <c r="AW940" i="67"/>
  <c r="AW638" i="67"/>
  <c r="AW334" i="67"/>
  <c r="AW789" i="67"/>
  <c r="AW486" i="67"/>
  <c r="AW28" i="67"/>
  <c r="AW181" i="67"/>
  <c r="BQ15" i="68"/>
  <c r="AP16" i="62" s="1"/>
  <c r="AT1044" i="67"/>
  <c r="AT742" i="67"/>
  <c r="AT438" i="67"/>
  <c r="AT893" i="67"/>
  <c r="AT590" i="67"/>
  <c r="AT132" i="67"/>
  <c r="AT285" i="67"/>
  <c r="V940" i="67"/>
  <c r="V334" i="67"/>
  <c r="V789" i="67"/>
  <c r="V638" i="67"/>
  <c r="V486" i="67"/>
  <c r="V28" i="67"/>
  <c r="V181" i="67"/>
  <c r="AP15" i="68"/>
  <c r="O16" i="62" s="1"/>
  <c r="O1044" i="67"/>
  <c r="O438" i="67"/>
  <c r="O742" i="67"/>
  <c r="O893" i="67"/>
  <c r="O285" i="67"/>
  <c r="O590" i="67"/>
  <c r="O132" i="67"/>
  <c r="AE940" i="67"/>
  <c r="AE334" i="67"/>
  <c r="AE789" i="67"/>
  <c r="AE486" i="67"/>
  <c r="AE638" i="67"/>
  <c r="AE28" i="67"/>
  <c r="AE181" i="67"/>
  <c r="AY15" i="68"/>
  <c r="X16" i="62" s="1"/>
  <c r="P1044" i="67"/>
  <c r="P893" i="67"/>
  <c r="P438" i="67"/>
  <c r="P742" i="67"/>
  <c r="P132" i="67"/>
  <c r="P285" i="67"/>
  <c r="P590" i="67"/>
  <c r="AF940" i="67"/>
  <c r="AF334" i="67"/>
  <c r="AF789" i="67"/>
  <c r="AF181" i="67"/>
  <c r="AF486" i="67"/>
  <c r="AF638" i="67"/>
  <c r="AF28" i="67"/>
  <c r="AZ15" i="68"/>
  <c r="Y16" i="62" s="1"/>
  <c r="AV1044" i="67"/>
  <c r="AV893" i="67"/>
  <c r="AV438" i="67"/>
  <c r="AV742" i="67"/>
  <c r="AV132" i="67"/>
  <c r="AV285" i="67"/>
  <c r="AV590" i="67"/>
  <c r="T1059" i="67"/>
  <c r="T757" i="67"/>
  <c r="T453" i="67"/>
  <c r="T908" i="67"/>
  <c r="T605" i="67"/>
  <c r="T300" i="67"/>
  <c r="T147" i="67"/>
  <c r="O956" i="67"/>
  <c r="O350" i="67"/>
  <c r="O654" i="67"/>
  <c r="O805" i="67"/>
  <c r="O502" i="67"/>
  <c r="O44" i="67"/>
  <c r="O197" i="67"/>
  <c r="AI22" i="68"/>
  <c r="H22" i="62" s="1"/>
  <c r="Z956" i="67"/>
  <c r="Z350" i="67"/>
  <c r="Z805" i="67"/>
  <c r="Z654" i="67"/>
  <c r="Z502" i="67"/>
  <c r="Z44" i="67"/>
  <c r="Z197" i="67"/>
  <c r="K1043" i="67"/>
  <c r="K892" i="67"/>
  <c r="K437" i="67"/>
  <c r="K741" i="67"/>
  <c r="K284" i="67"/>
  <c r="K589" i="67"/>
  <c r="K131" i="67"/>
  <c r="U1044" i="67"/>
  <c r="U438" i="67"/>
  <c r="U742" i="67"/>
  <c r="U893" i="67"/>
  <c r="U285" i="67"/>
  <c r="U590" i="67"/>
  <c r="U132" i="67"/>
  <c r="Z940" i="67"/>
  <c r="Z334" i="67"/>
  <c r="Z638" i="67"/>
  <c r="Z789" i="67"/>
  <c r="Z486" i="67"/>
  <c r="Z28" i="67"/>
  <c r="Z181" i="67"/>
  <c r="AT15" i="68"/>
  <c r="S16" i="62" s="1"/>
  <c r="AD1044" i="67"/>
  <c r="AD742" i="67"/>
  <c r="AD438" i="67"/>
  <c r="AD893" i="67"/>
  <c r="AD590" i="67"/>
  <c r="AD132" i="67"/>
  <c r="AD285" i="67"/>
  <c r="T940" i="67"/>
  <c r="T334" i="67"/>
  <c r="T486" i="67"/>
  <c r="T638" i="67"/>
  <c r="T28" i="67"/>
  <c r="T789" i="67"/>
  <c r="T181" i="67"/>
  <c r="AN15" i="68"/>
  <c r="M16" i="62" s="1"/>
  <c r="AM80" i="70"/>
  <c r="AM64" i="70"/>
  <c r="T1384" i="67"/>
  <c r="T1398" i="67"/>
  <c r="T1416" i="67"/>
  <c r="T1536" i="67"/>
  <c r="T1552" i="67"/>
  <c r="W958" i="67"/>
  <c r="W352" i="67"/>
  <c r="W656" i="67"/>
  <c r="W807" i="67"/>
  <c r="W504" i="67"/>
  <c r="W46" i="67"/>
  <c r="W199" i="67"/>
  <c r="AQ23" i="68"/>
  <c r="AO64" i="70"/>
  <c r="AO80" i="70"/>
  <c r="AW64" i="70"/>
  <c r="AW80" i="70"/>
  <c r="W165" i="65"/>
  <c r="W177" i="65" s="1"/>
  <c r="AR80" i="70"/>
  <c r="AR64" i="70"/>
  <c r="U956" i="67"/>
  <c r="U350" i="67"/>
  <c r="U805" i="67"/>
  <c r="U654" i="67"/>
  <c r="U502" i="67"/>
  <c r="U44" i="67"/>
  <c r="U197" i="67"/>
  <c r="X938" i="67"/>
  <c r="X332" i="67"/>
  <c r="X787" i="67"/>
  <c r="X636" i="67"/>
  <c r="X179" i="67"/>
  <c r="X484" i="67"/>
  <c r="X26" i="67"/>
  <c r="AR14" i="68"/>
  <c r="Q15" i="62" s="1"/>
  <c r="Q956" i="67"/>
  <c r="Q350" i="67"/>
  <c r="Q654" i="67"/>
  <c r="Q805" i="67"/>
  <c r="Q502" i="67"/>
  <c r="Q44" i="67"/>
  <c r="Q197" i="67"/>
  <c r="AI1044" i="67"/>
  <c r="AI893" i="67"/>
  <c r="AI438" i="67"/>
  <c r="AI742" i="67"/>
  <c r="AI132" i="67"/>
  <c r="AI285" i="67"/>
  <c r="AI590" i="67"/>
  <c r="V1042" i="67"/>
  <c r="V436" i="67"/>
  <c r="V891" i="67"/>
  <c r="V588" i="67"/>
  <c r="V130" i="67"/>
  <c r="V740" i="67"/>
  <c r="V283" i="67"/>
  <c r="S1043" i="67"/>
  <c r="S741" i="67"/>
  <c r="S437" i="67"/>
  <c r="S892" i="67"/>
  <c r="S131" i="67"/>
  <c r="S284" i="67"/>
  <c r="S589" i="67"/>
  <c r="AG1042" i="67"/>
  <c r="AG436" i="67"/>
  <c r="AG891" i="67"/>
  <c r="AG588" i="67"/>
  <c r="AG130" i="67"/>
  <c r="AG740" i="67"/>
  <c r="AG283" i="67"/>
  <c r="AP939" i="67"/>
  <c r="AP788" i="67"/>
  <c r="AP333" i="67"/>
  <c r="AP637" i="67"/>
  <c r="AP485" i="67"/>
  <c r="AP27" i="67"/>
  <c r="AP180" i="67"/>
  <c r="U939" i="67"/>
  <c r="U333" i="67"/>
  <c r="U637" i="67"/>
  <c r="U27" i="67"/>
  <c r="U788" i="67"/>
  <c r="U485" i="67"/>
  <c r="U180" i="67"/>
  <c r="AA924" i="67"/>
  <c r="AA318" i="67"/>
  <c r="AA773" i="67"/>
  <c r="AA622" i="67"/>
  <c r="AA12" i="67"/>
  <c r="AA165" i="67"/>
  <c r="AQ1058" i="67"/>
  <c r="AQ907" i="67"/>
  <c r="AQ452" i="67"/>
  <c r="AQ756" i="67"/>
  <c r="AQ146" i="67"/>
  <c r="AQ604" i="67"/>
  <c r="AQ299" i="67"/>
  <c r="AQ924" i="67"/>
  <c r="AQ318" i="67"/>
  <c r="AQ773" i="67"/>
  <c r="AQ622" i="67"/>
  <c r="AQ12" i="67"/>
  <c r="AQ165" i="67"/>
  <c r="AC1058" i="67"/>
  <c r="AC452" i="67"/>
  <c r="AC907" i="67"/>
  <c r="AC756" i="67"/>
  <c r="AC604" i="67"/>
  <c r="AC299" i="67"/>
  <c r="AC146" i="67"/>
  <c r="AC924" i="67"/>
  <c r="AC773" i="67"/>
  <c r="AC318" i="67"/>
  <c r="AC622" i="67"/>
  <c r="AC165" i="67"/>
  <c r="AC12" i="67"/>
  <c r="AJ925" i="67"/>
  <c r="AJ774" i="67"/>
  <c r="AJ319" i="67"/>
  <c r="AJ623" i="67"/>
  <c r="AJ13" i="67"/>
  <c r="AJ166" i="67"/>
  <c r="M925" i="67"/>
  <c r="M319" i="67"/>
  <c r="M623" i="67"/>
  <c r="M774" i="67"/>
  <c r="M13" i="67"/>
  <c r="M166" i="67"/>
  <c r="W1059" i="67"/>
  <c r="W453" i="67"/>
  <c r="W908" i="67"/>
  <c r="W757" i="67"/>
  <c r="W605" i="67"/>
  <c r="W300" i="67"/>
  <c r="W147" i="67"/>
  <c r="W925" i="67"/>
  <c r="W319" i="67"/>
  <c r="W774" i="67"/>
  <c r="W166" i="67"/>
  <c r="W623" i="67"/>
  <c r="W13" i="67"/>
  <c r="AI1043" i="67"/>
  <c r="AI741" i="67"/>
  <c r="AI437" i="67"/>
  <c r="AI892" i="67"/>
  <c r="AI131" i="67"/>
  <c r="AI284" i="67"/>
  <c r="AI589" i="67"/>
  <c r="Y1060" i="67"/>
  <c r="Y909" i="67"/>
  <c r="Y454" i="67"/>
  <c r="Y758" i="67"/>
  <c r="Y148" i="67"/>
  <c r="Y606" i="67"/>
  <c r="Y301" i="67"/>
  <c r="Y926" i="67"/>
  <c r="Y320" i="67"/>
  <c r="Y775" i="67"/>
  <c r="Y624" i="67"/>
  <c r="Y472" i="67"/>
  <c r="Y14" i="67"/>
  <c r="Y167" i="67"/>
  <c r="AS8" i="68"/>
  <c r="R10" i="62" s="1"/>
  <c r="AO958" i="67"/>
  <c r="AO352" i="67"/>
  <c r="AO807" i="67"/>
  <c r="AO504" i="67"/>
  <c r="AO656" i="67"/>
  <c r="AO46" i="67"/>
  <c r="AO199" i="67"/>
  <c r="BI23" i="68"/>
  <c r="AH1060" i="67"/>
  <c r="AH909" i="67"/>
  <c r="AH454" i="67"/>
  <c r="AH758" i="67"/>
  <c r="AH606" i="67"/>
  <c r="AH301" i="67"/>
  <c r="AH148" i="67"/>
  <c r="AH926" i="67"/>
  <c r="AH320" i="67"/>
  <c r="AH775" i="67"/>
  <c r="AH167" i="67"/>
  <c r="AH624" i="67"/>
  <c r="AH472" i="67"/>
  <c r="AH14" i="67"/>
  <c r="BB8" i="68"/>
  <c r="AA10" i="62" s="1"/>
  <c r="N958" i="67"/>
  <c r="N352" i="67"/>
  <c r="N656" i="67"/>
  <c r="N504" i="67"/>
  <c r="N199" i="67"/>
  <c r="N807" i="67"/>
  <c r="N46" i="67"/>
  <c r="AH23" i="68"/>
  <c r="AM1060" i="67"/>
  <c r="AM454" i="67"/>
  <c r="AM909" i="67"/>
  <c r="AM758" i="67"/>
  <c r="AM606" i="67"/>
  <c r="AM301" i="67"/>
  <c r="AM148" i="67"/>
  <c r="AM926" i="67"/>
  <c r="AM624" i="67"/>
  <c r="AM320" i="67"/>
  <c r="AM775" i="67"/>
  <c r="AM472" i="67"/>
  <c r="AM14" i="67"/>
  <c r="AM167" i="67"/>
  <c r="BG8" i="68"/>
  <c r="AF10" i="62" s="1"/>
  <c r="X958" i="67"/>
  <c r="X352" i="67"/>
  <c r="X807" i="67"/>
  <c r="X656" i="67"/>
  <c r="X504" i="67"/>
  <c r="X46" i="67"/>
  <c r="X199" i="67"/>
  <c r="AR23" i="68"/>
  <c r="Q433" i="67"/>
  <c r="Q585" i="67"/>
  <c r="Q127" i="67"/>
  <c r="Q888" i="67"/>
  <c r="Q737" i="67"/>
  <c r="Q280" i="67"/>
  <c r="Q770" i="67"/>
  <c r="Q619" i="67"/>
  <c r="M329" i="67"/>
  <c r="M481" i="67"/>
  <c r="M23" i="67"/>
  <c r="M633" i="67"/>
  <c r="M176" i="67"/>
  <c r="U1062" i="67"/>
  <c r="U1391" i="67"/>
  <c r="U1405" i="67"/>
  <c r="U1423" i="67"/>
  <c r="U1543" i="67"/>
  <c r="U1559" i="67"/>
  <c r="U1046" i="67"/>
  <c r="U1197" i="67"/>
  <c r="U960" i="67"/>
  <c r="U1093" i="67"/>
  <c r="U1213" i="67"/>
  <c r="U942" i="67"/>
  <c r="U1079" i="67"/>
  <c r="U928" i="67"/>
  <c r="U1111" i="67"/>
  <c r="U791" i="67"/>
  <c r="T1063" i="67"/>
  <c r="T1392" i="67"/>
  <c r="T1406" i="67"/>
  <c r="T1424" i="67"/>
  <c r="T1544" i="67"/>
  <c r="T1560" i="67"/>
  <c r="T961" i="67"/>
  <c r="T1198" i="67"/>
  <c r="T1047" i="67"/>
  <c r="T1080" i="67"/>
  <c r="T1214" i="67"/>
  <c r="T943" i="67"/>
  <c r="T1094" i="67"/>
  <c r="T929" i="67"/>
  <c r="T1112" i="67"/>
  <c r="T792" i="67"/>
  <c r="P1063" i="67"/>
  <c r="P1392" i="67"/>
  <c r="P1406" i="67"/>
  <c r="P1424" i="67"/>
  <c r="P1560" i="67"/>
  <c r="P1544" i="67"/>
  <c r="P961" i="67"/>
  <c r="P1112" i="67"/>
  <c r="P1047" i="67"/>
  <c r="P792" i="67"/>
  <c r="P1198" i="67"/>
  <c r="P943" i="67"/>
  <c r="P1080" i="67"/>
  <c r="P1214" i="67"/>
  <c r="P929" i="67"/>
  <c r="P1094" i="67"/>
  <c r="BH80" i="70"/>
  <c r="BH64" i="70"/>
  <c r="Y165" i="65"/>
  <c r="Y177" i="65" s="1"/>
  <c r="AE956" i="67"/>
  <c r="AE350" i="67"/>
  <c r="AE654" i="67"/>
  <c r="AE805" i="67"/>
  <c r="AE502" i="67"/>
  <c r="AE44" i="67"/>
  <c r="AE197" i="67"/>
  <c r="AY22" i="68"/>
  <c r="X22" i="62" s="1"/>
  <c r="AC925" i="67"/>
  <c r="AC774" i="67"/>
  <c r="AC319" i="67"/>
  <c r="AC623" i="67"/>
  <c r="AC13" i="67"/>
  <c r="AC166" i="67"/>
  <c r="AH924" i="67"/>
  <c r="AH318" i="67"/>
  <c r="AH773" i="67"/>
  <c r="AH622" i="67"/>
  <c r="AH12" i="67"/>
  <c r="AH165" i="67"/>
  <c r="O925" i="67"/>
  <c r="O319" i="67"/>
  <c r="O774" i="67"/>
  <c r="O166" i="67"/>
  <c r="O623" i="67"/>
  <c r="O13" i="67"/>
  <c r="AU146" i="67"/>
  <c r="Z1059" i="67"/>
  <c r="Z908" i="67"/>
  <c r="Z453" i="67"/>
  <c r="Z757" i="67"/>
  <c r="Z605" i="67"/>
  <c r="Z147" i="67"/>
  <c r="Z300" i="67"/>
  <c r="Z925" i="67"/>
  <c r="Z319" i="67"/>
  <c r="Z623" i="67"/>
  <c r="Z774" i="67"/>
  <c r="Z13" i="67"/>
  <c r="Z166" i="67"/>
  <c r="M940" i="67"/>
  <c r="M789" i="67"/>
  <c r="M334" i="67"/>
  <c r="M638" i="67"/>
  <c r="M486" i="67"/>
  <c r="M28" i="67"/>
  <c r="M181" i="67"/>
  <c r="AG15" i="68"/>
  <c r="F16" i="62" s="1"/>
  <c r="AC1044" i="67"/>
  <c r="AC742" i="67"/>
  <c r="AC438" i="67"/>
  <c r="AC893" i="67"/>
  <c r="AC132" i="67"/>
  <c r="AC285" i="67"/>
  <c r="AC590" i="67"/>
  <c r="K1044" i="67"/>
  <c r="K438" i="67"/>
  <c r="K742" i="67"/>
  <c r="K893" i="67"/>
  <c r="K132" i="67"/>
  <c r="K285" i="67"/>
  <c r="K590" i="67"/>
  <c r="AB940" i="67"/>
  <c r="AB334" i="67"/>
  <c r="AB638" i="67"/>
  <c r="AB28" i="67"/>
  <c r="AB789" i="67"/>
  <c r="AB486" i="67"/>
  <c r="AB181" i="67"/>
  <c r="AV15" i="68"/>
  <c r="U16" i="62" s="1"/>
  <c r="AR1044" i="67"/>
  <c r="AR742" i="67"/>
  <c r="AR438" i="67"/>
  <c r="AR893" i="67"/>
  <c r="AR285" i="67"/>
  <c r="AR590" i="67"/>
  <c r="AR132" i="67"/>
  <c r="AV956" i="67"/>
  <c r="AV350" i="67"/>
  <c r="AV654" i="67"/>
  <c r="AV44" i="67"/>
  <c r="AV805" i="67"/>
  <c r="AV502" i="67"/>
  <c r="AV197" i="67"/>
  <c r="AT956" i="67"/>
  <c r="AT350" i="67"/>
  <c r="AT805" i="67"/>
  <c r="AT654" i="67"/>
  <c r="AT502" i="67"/>
  <c r="AT44" i="67"/>
  <c r="AT197" i="67"/>
  <c r="BN22" i="68"/>
  <c r="AM22" i="62" s="1"/>
  <c r="AM938" i="67"/>
  <c r="AM787" i="67"/>
  <c r="AM332" i="67"/>
  <c r="AM636" i="67"/>
  <c r="AM26" i="67"/>
  <c r="AM484" i="67"/>
  <c r="AM179" i="67"/>
  <c r="AK1044" i="67"/>
  <c r="AK438" i="67"/>
  <c r="AK742" i="67"/>
  <c r="AK893" i="67"/>
  <c r="AK285" i="67"/>
  <c r="AK590" i="67"/>
  <c r="AK132" i="67"/>
  <c r="AU940" i="67"/>
  <c r="AU334" i="67"/>
  <c r="AU789" i="67"/>
  <c r="AU486" i="67"/>
  <c r="AU638" i="67"/>
  <c r="AU28" i="67"/>
  <c r="AU181" i="67"/>
  <c r="BO15" i="68"/>
  <c r="AN16" i="62" s="1"/>
  <c r="S1044" i="67"/>
  <c r="S893" i="67"/>
  <c r="S438" i="67"/>
  <c r="S742" i="67"/>
  <c r="S132" i="67"/>
  <c r="S285" i="67"/>
  <c r="S590" i="67"/>
  <c r="Y449" i="67"/>
  <c r="Y904" i="67"/>
  <c r="Y296" i="67"/>
  <c r="Y601" i="67"/>
  <c r="Y143" i="67"/>
  <c r="Y753" i="67"/>
  <c r="AL940" i="67"/>
  <c r="AL334" i="67"/>
  <c r="AL638" i="67"/>
  <c r="AL789" i="67"/>
  <c r="AL181" i="67"/>
  <c r="AL486" i="67"/>
  <c r="AL28" i="67"/>
  <c r="BF15" i="68"/>
  <c r="AE16" i="62" s="1"/>
  <c r="Y51" i="69"/>
  <c r="Y9" i="69"/>
  <c r="AQ80" i="70"/>
  <c r="AQ64" i="70"/>
  <c r="AF80" i="70"/>
  <c r="AF64" i="70"/>
  <c r="AK80" i="70"/>
  <c r="AK64" i="70"/>
  <c r="BG80" i="70"/>
  <c r="BG64" i="70"/>
  <c r="AB1042" i="67"/>
  <c r="AB436" i="67"/>
  <c r="AB891" i="67"/>
  <c r="AB588" i="67"/>
  <c r="AB130" i="67"/>
  <c r="AB740" i="67"/>
  <c r="AB283" i="67"/>
  <c r="AR956" i="67"/>
  <c r="AR350" i="67"/>
  <c r="AR805" i="67"/>
  <c r="AR197" i="67"/>
  <c r="AR654" i="67"/>
  <c r="AR502" i="67"/>
  <c r="AR44" i="67"/>
  <c r="AT957" i="67"/>
  <c r="AT351" i="67"/>
  <c r="AT806" i="67"/>
  <c r="AT503" i="67"/>
  <c r="AT655" i="67"/>
  <c r="AT45" i="67"/>
  <c r="AT198" i="67"/>
  <c r="Q1044" i="67"/>
  <c r="Q893" i="67"/>
  <c r="Q438" i="67"/>
  <c r="Q742" i="67"/>
  <c r="Q590" i="67"/>
  <c r="Q285" i="67"/>
  <c r="Q132" i="67"/>
  <c r="P940" i="67"/>
  <c r="P334" i="67"/>
  <c r="P789" i="67"/>
  <c r="P181" i="67"/>
  <c r="P486" i="67"/>
  <c r="P638" i="67"/>
  <c r="P28" i="67"/>
  <c r="AJ15" i="68"/>
  <c r="I16" i="62" s="1"/>
  <c r="AV940" i="67"/>
  <c r="AV334" i="67"/>
  <c r="AV789" i="67"/>
  <c r="AV181" i="67"/>
  <c r="AV486" i="67"/>
  <c r="AV638" i="67"/>
  <c r="AV28" i="67"/>
  <c r="BP15" i="68"/>
  <c r="AO16" i="62" s="1"/>
  <c r="AN1058" i="67"/>
  <c r="AN907" i="67"/>
  <c r="AN452" i="67"/>
  <c r="AN756" i="67"/>
  <c r="AN146" i="67"/>
  <c r="AN299" i="67"/>
  <c r="AN604" i="67"/>
  <c r="Z1058" i="67"/>
  <c r="Z756" i="67"/>
  <c r="Z452" i="67"/>
  <c r="Z907" i="67"/>
  <c r="Z604" i="67"/>
  <c r="Z299" i="67"/>
  <c r="Z146" i="67"/>
  <c r="Z1044" i="67"/>
  <c r="Z893" i="67"/>
  <c r="Z438" i="67"/>
  <c r="Z742" i="67"/>
  <c r="Z285" i="67"/>
  <c r="Z132" i="67"/>
  <c r="Z590" i="67"/>
  <c r="AD940" i="67"/>
  <c r="AD334" i="67"/>
  <c r="AD789" i="67"/>
  <c r="AD638" i="67"/>
  <c r="AD486" i="67"/>
  <c r="AD28" i="67"/>
  <c r="AD181" i="67"/>
  <c r="AX15" i="68"/>
  <c r="W16" i="62" s="1"/>
  <c r="BE64" i="70"/>
  <c r="BE80" i="70"/>
  <c r="W926" i="67"/>
  <c r="W624" i="67"/>
  <c r="W320" i="67"/>
  <c r="W775" i="67"/>
  <c r="W472" i="67"/>
  <c r="W14" i="67"/>
  <c r="W167" i="67"/>
  <c r="AQ8" i="68"/>
  <c r="P10" i="62" s="1"/>
  <c r="X1042" i="67"/>
  <c r="X436" i="67"/>
  <c r="X891" i="67"/>
  <c r="X588" i="67"/>
  <c r="X130" i="67"/>
  <c r="X740" i="67"/>
  <c r="X283" i="67"/>
  <c r="AI940" i="67"/>
  <c r="AI334" i="67"/>
  <c r="AI486" i="67"/>
  <c r="AI638" i="67"/>
  <c r="AI789" i="67"/>
  <c r="AI28" i="67"/>
  <c r="AI181" i="67"/>
  <c r="BC15" i="68"/>
  <c r="AB16" i="62" s="1"/>
  <c r="V938" i="67"/>
  <c r="V332" i="67"/>
  <c r="V787" i="67"/>
  <c r="V179" i="67"/>
  <c r="V636" i="67"/>
  <c r="V484" i="67"/>
  <c r="V26" i="67"/>
  <c r="AC956" i="67"/>
  <c r="AC350" i="67"/>
  <c r="AC805" i="67"/>
  <c r="AC654" i="67"/>
  <c r="AC197" i="67"/>
  <c r="AC502" i="67"/>
  <c r="AC44" i="67"/>
  <c r="AW22" i="68"/>
  <c r="V22" i="62" s="1"/>
  <c r="AI939" i="67"/>
  <c r="AI333" i="67"/>
  <c r="AI788" i="67"/>
  <c r="AI180" i="67"/>
  <c r="AI637" i="67"/>
  <c r="AI485" i="67"/>
  <c r="AI27" i="67"/>
  <c r="AD1059" i="67"/>
  <c r="AD453" i="67"/>
  <c r="AD757" i="67"/>
  <c r="AD908" i="67"/>
  <c r="AD147" i="67"/>
  <c r="AD300" i="67"/>
  <c r="AD605" i="67"/>
  <c r="AM925" i="67"/>
  <c r="AM319" i="67"/>
  <c r="AM774" i="67"/>
  <c r="AM166" i="67"/>
  <c r="AM623" i="67"/>
  <c r="AM13" i="67"/>
  <c r="AO926" i="67"/>
  <c r="AO320" i="67"/>
  <c r="AO775" i="67"/>
  <c r="AO624" i="67"/>
  <c r="AO472" i="67"/>
  <c r="AO14" i="67"/>
  <c r="AO167" i="67"/>
  <c r="BI8" i="68"/>
  <c r="AH10" i="62" s="1"/>
  <c r="AH958" i="67"/>
  <c r="AH352" i="67"/>
  <c r="AH656" i="67"/>
  <c r="AH807" i="67"/>
  <c r="AH46" i="67"/>
  <c r="AH199" i="67"/>
  <c r="AH504" i="67"/>
  <c r="BB23" i="68"/>
  <c r="N1060" i="67"/>
  <c r="N758" i="67"/>
  <c r="N454" i="67"/>
  <c r="N909" i="67"/>
  <c r="N606" i="67"/>
  <c r="N301" i="67"/>
  <c r="N148" i="67"/>
  <c r="X926" i="67"/>
  <c r="X320" i="67"/>
  <c r="X775" i="67"/>
  <c r="X624" i="67"/>
  <c r="X472" i="67"/>
  <c r="X14" i="67"/>
  <c r="X167" i="67"/>
  <c r="AR8" i="68"/>
  <c r="Q10" i="62" s="1"/>
  <c r="Q802" i="67"/>
  <c r="Q194" i="67"/>
  <c r="Q499" i="67"/>
  <c r="Q347" i="67"/>
  <c r="Q651" i="67"/>
  <c r="Q41" i="67"/>
  <c r="L1062" i="67"/>
  <c r="L1391" i="67"/>
  <c r="L1405" i="67"/>
  <c r="L1423" i="67"/>
  <c r="L1543" i="67"/>
  <c r="L1559" i="67"/>
  <c r="L1046" i="67"/>
  <c r="L791" i="67"/>
  <c r="L1111" i="67"/>
  <c r="L960" i="67"/>
  <c r="L1197" i="67"/>
  <c r="L942" i="67"/>
  <c r="L1079" i="67"/>
  <c r="L1213" i="67"/>
  <c r="L928" i="67"/>
  <c r="L1093" i="67"/>
  <c r="Y1063" i="67"/>
  <c r="Y1392" i="67"/>
  <c r="Y1406" i="67"/>
  <c r="Y1424" i="67"/>
  <c r="Y1544" i="67"/>
  <c r="Y1560" i="67"/>
  <c r="Y1047" i="67"/>
  <c r="Y1198" i="67"/>
  <c r="Y961" i="67"/>
  <c r="Y1080" i="67"/>
  <c r="Y1214" i="67"/>
  <c r="Y943" i="67"/>
  <c r="Y1094" i="67"/>
  <c r="Y929" i="67"/>
  <c r="Y1112" i="67"/>
  <c r="Y792" i="67"/>
  <c r="Q1063" i="67"/>
  <c r="Q1392" i="67"/>
  <c r="Q1406" i="67"/>
  <c r="Q1424" i="67"/>
  <c r="Q1544" i="67"/>
  <c r="Q1560" i="67"/>
  <c r="Q1047" i="67"/>
  <c r="Q792" i="67"/>
  <c r="Q1080" i="67"/>
  <c r="Q961" i="67"/>
  <c r="Q1112" i="67"/>
  <c r="Q943" i="67"/>
  <c r="Q1198" i="67"/>
  <c r="Q929" i="67"/>
  <c r="Q1094" i="67"/>
  <c r="Q1214" i="67"/>
  <c r="AW956" i="67"/>
  <c r="AW350" i="67"/>
  <c r="AW654" i="67"/>
  <c r="AW805" i="67"/>
  <c r="AW197" i="67"/>
  <c r="AW502" i="67"/>
  <c r="AW44" i="67"/>
  <c r="AA925" i="67"/>
  <c r="AA319" i="67"/>
  <c r="AA623" i="67"/>
  <c r="AA13" i="67"/>
  <c r="AA774" i="67"/>
  <c r="AA166" i="67"/>
  <c r="AC589" i="67"/>
  <c r="M1042" i="67"/>
  <c r="M436" i="67"/>
  <c r="M891" i="67"/>
  <c r="M130" i="67"/>
  <c r="M283" i="67"/>
  <c r="M588" i="67"/>
  <c r="M740" i="67"/>
  <c r="AH436" i="67"/>
  <c r="N1063" i="67"/>
  <c r="N1392" i="67"/>
  <c r="N1406" i="67"/>
  <c r="N1424" i="67"/>
  <c r="N1544" i="67"/>
  <c r="N1560" i="67"/>
  <c r="N1047" i="67"/>
  <c r="N1080" i="67"/>
  <c r="N1214" i="67"/>
  <c r="N961" i="67"/>
  <c r="N1094" i="67"/>
  <c r="N943" i="67"/>
  <c r="N792" i="67"/>
  <c r="N1112" i="67"/>
  <c r="N929" i="67"/>
  <c r="N1198" i="67"/>
  <c r="O1063" i="67"/>
  <c r="O1392" i="67"/>
  <c r="O1406" i="67"/>
  <c r="O1544" i="67"/>
  <c r="O1560" i="67"/>
  <c r="O1424" i="67"/>
  <c r="O1047" i="67"/>
  <c r="O1198" i="67"/>
  <c r="O943" i="67"/>
  <c r="O792" i="67"/>
  <c r="O1080" i="67"/>
  <c r="O1214" i="67"/>
  <c r="O961" i="67"/>
  <c r="O1094" i="67"/>
  <c r="O929" i="67"/>
  <c r="O1112" i="67"/>
  <c r="M1063" i="67"/>
  <c r="M1392" i="67"/>
  <c r="M1406" i="67"/>
  <c r="M1424" i="67"/>
  <c r="M1544" i="67"/>
  <c r="M1560" i="67"/>
  <c r="M1047" i="67"/>
  <c r="M1094" i="67"/>
  <c r="M1214" i="67"/>
  <c r="M943" i="67"/>
  <c r="M792" i="67"/>
  <c r="M1080" i="67"/>
  <c r="M961" i="67"/>
  <c r="M1112" i="67"/>
  <c r="M929" i="67"/>
  <c r="M1198" i="67"/>
  <c r="I4" i="50"/>
  <c r="I4" i="57" s="1"/>
  <c r="I4" i="69"/>
  <c r="U1063" i="67"/>
  <c r="U1392" i="67"/>
  <c r="U1406" i="67"/>
  <c r="U1424" i="67"/>
  <c r="U1544" i="67"/>
  <c r="U1560" i="67"/>
  <c r="U961" i="67"/>
  <c r="U1112" i="67"/>
  <c r="U943" i="67"/>
  <c r="U1198" i="67"/>
  <c r="U1047" i="67"/>
  <c r="U1094" i="67"/>
  <c r="U1214" i="67"/>
  <c r="U929" i="67"/>
  <c r="U1080" i="67"/>
  <c r="U792" i="67"/>
  <c r="AA1063" i="67"/>
  <c r="AA1392" i="67"/>
  <c r="AA1406" i="67"/>
  <c r="AA1424" i="67"/>
  <c r="AA1544" i="67"/>
  <c r="AA1560" i="67"/>
  <c r="AA1047" i="67"/>
  <c r="AA1080" i="67"/>
  <c r="AA943" i="67"/>
  <c r="AA1198" i="67"/>
  <c r="AA961" i="67"/>
  <c r="AA1094" i="67"/>
  <c r="AA1214" i="67"/>
  <c r="AA929" i="67"/>
  <c r="AA1112" i="67"/>
  <c r="AA792" i="67"/>
  <c r="T1062" i="67"/>
  <c r="T1391" i="67"/>
  <c r="T1405" i="67"/>
  <c r="T1423" i="67"/>
  <c r="T1543" i="67"/>
  <c r="T1559" i="67"/>
  <c r="T1046" i="67"/>
  <c r="T1079" i="67"/>
  <c r="T1213" i="67"/>
  <c r="T960" i="67"/>
  <c r="T1111" i="67"/>
  <c r="T942" i="67"/>
  <c r="T1093" i="67"/>
  <c r="T928" i="67"/>
  <c r="T1197" i="67"/>
  <c r="T791" i="67"/>
  <c r="Z1063" i="67"/>
  <c r="Z1392" i="67"/>
  <c r="Z1406" i="67"/>
  <c r="Z1424" i="67"/>
  <c r="Z1544" i="67"/>
  <c r="Z1560" i="67"/>
  <c r="Z1047" i="67"/>
  <c r="Z1198" i="67"/>
  <c r="Z943" i="67"/>
  <c r="Z1080" i="67"/>
  <c r="Z1214" i="67"/>
  <c r="Z961" i="67"/>
  <c r="Z1094" i="67"/>
  <c r="Z929" i="67"/>
  <c r="Z1112" i="67"/>
  <c r="Z792" i="67"/>
  <c r="P1062" i="67"/>
  <c r="P1391" i="67"/>
  <c r="P1405" i="67"/>
  <c r="P1423" i="67"/>
  <c r="P1543" i="67"/>
  <c r="P1559" i="67"/>
  <c r="P1046" i="67"/>
  <c r="P1197" i="67"/>
  <c r="P960" i="67"/>
  <c r="P1079" i="67"/>
  <c r="P1213" i="67"/>
  <c r="P942" i="67"/>
  <c r="P1093" i="67"/>
  <c r="P928" i="67"/>
  <c r="P791" i="67"/>
  <c r="P1111" i="67"/>
  <c r="H165" i="65"/>
  <c r="H177" i="65" s="1"/>
  <c r="AN80" i="70"/>
  <c r="AN64" i="70"/>
  <c r="S165" i="65"/>
  <c r="S177" i="65" s="1"/>
  <c r="AJ80" i="70"/>
  <c r="AJ64" i="70"/>
  <c r="AX80" i="70"/>
  <c r="AX64" i="70"/>
  <c r="N619" i="67"/>
  <c r="N770" i="67"/>
  <c r="V1043" i="67"/>
  <c r="V892" i="67"/>
  <c r="V437" i="67"/>
  <c r="V741" i="67"/>
  <c r="V131" i="67"/>
  <c r="V284" i="67"/>
  <c r="V589" i="67"/>
  <c r="AW1042" i="67"/>
  <c r="AW436" i="67"/>
  <c r="AW891" i="67"/>
  <c r="AW588" i="67"/>
  <c r="AW740" i="67"/>
  <c r="AW130" i="67"/>
  <c r="AW283" i="67"/>
  <c r="AC939" i="67"/>
  <c r="AC333" i="67"/>
  <c r="AC485" i="67"/>
  <c r="AC637" i="67"/>
  <c r="AC27" i="67"/>
  <c r="AC788" i="67"/>
  <c r="AC180" i="67"/>
  <c r="X939" i="67"/>
  <c r="X333" i="67"/>
  <c r="X788" i="67"/>
  <c r="X485" i="67"/>
  <c r="X637" i="67"/>
  <c r="X27" i="67"/>
  <c r="X180" i="67"/>
  <c r="M938" i="67"/>
  <c r="M332" i="67"/>
  <c r="M636" i="67"/>
  <c r="M787" i="67"/>
  <c r="M484" i="67"/>
  <c r="M26" i="67"/>
  <c r="M179" i="67"/>
  <c r="O939" i="67"/>
  <c r="O637" i="67"/>
  <c r="O788" i="67"/>
  <c r="O333" i="67"/>
  <c r="O485" i="67"/>
  <c r="O27" i="67"/>
  <c r="O180" i="67"/>
  <c r="AS939" i="67"/>
  <c r="AS333" i="67"/>
  <c r="AS485" i="67"/>
  <c r="AS637" i="67"/>
  <c r="AS27" i="67"/>
  <c r="AS788" i="67"/>
  <c r="AS180" i="67"/>
  <c r="N938" i="67"/>
  <c r="N332" i="67"/>
  <c r="N787" i="67"/>
  <c r="N179" i="67"/>
  <c r="N484" i="67"/>
  <c r="N636" i="67"/>
  <c r="N26" i="67"/>
  <c r="AH14" i="68"/>
  <c r="G15" i="62" s="1"/>
  <c r="L939" i="67"/>
  <c r="L333" i="67"/>
  <c r="L485" i="67"/>
  <c r="L637" i="67"/>
  <c r="L788" i="67"/>
  <c r="L27" i="67"/>
  <c r="L180" i="67"/>
  <c r="Z939" i="67"/>
  <c r="Z788" i="67"/>
  <c r="Z333" i="67"/>
  <c r="Z637" i="67"/>
  <c r="Z485" i="67"/>
  <c r="Z27" i="67"/>
  <c r="Z180" i="67"/>
  <c r="K924" i="67"/>
  <c r="K318" i="67"/>
  <c r="K773" i="67"/>
  <c r="K622" i="67"/>
  <c r="K12" i="67"/>
  <c r="K165" i="67"/>
  <c r="K1058" i="67"/>
  <c r="K756" i="67"/>
  <c r="K907" i="67"/>
  <c r="K452" i="67"/>
  <c r="K604" i="67"/>
  <c r="K299" i="67"/>
  <c r="K146" i="67"/>
  <c r="R924" i="67"/>
  <c r="R773" i="67"/>
  <c r="R318" i="67"/>
  <c r="R622" i="67"/>
  <c r="R12" i="67"/>
  <c r="R165" i="67"/>
  <c r="M958" i="67"/>
  <c r="M352" i="67"/>
  <c r="M504" i="67"/>
  <c r="M656" i="67"/>
  <c r="M807" i="67"/>
  <c r="M46" i="67"/>
  <c r="M199" i="67"/>
  <c r="AG23" i="68"/>
  <c r="AC1060" i="67"/>
  <c r="AC454" i="67"/>
  <c r="AC758" i="67"/>
  <c r="AC909" i="67"/>
  <c r="AC148" i="67"/>
  <c r="AC606" i="67"/>
  <c r="AC301" i="67"/>
  <c r="AC926" i="67"/>
  <c r="AC320" i="67"/>
  <c r="AC624" i="67"/>
  <c r="AC775" i="67"/>
  <c r="AC472" i="67"/>
  <c r="AC14" i="67"/>
  <c r="AC167" i="67"/>
  <c r="AW8" i="68"/>
  <c r="V10" i="62" s="1"/>
  <c r="AS958" i="67"/>
  <c r="AS352" i="67"/>
  <c r="AS504" i="67"/>
  <c r="AS656" i="67"/>
  <c r="AS807" i="67"/>
  <c r="AS46" i="67"/>
  <c r="AS199" i="67"/>
  <c r="BM23" i="68"/>
  <c r="AP1060" i="67"/>
  <c r="AP909" i="67"/>
  <c r="AP454" i="67"/>
  <c r="AP758" i="67"/>
  <c r="AP606" i="67"/>
  <c r="AP301" i="67"/>
  <c r="AP148" i="67"/>
  <c r="AP926" i="67"/>
  <c r="AP320" i="67"/>
  <c r="AP775" i="67"/>
  <c r="AP167" i="67"/>
  <c r="AP472" i="67"/>
  <c r="AP624" i="67"/>
  <c r="AP14" i="67"/>
  <c r="BJ8" i="68"/>
  <c r="AI10" i="62" s="1"/>
  <c r="R958" i="67"/>
  <c r="R352" i="67"/>
  <c r="R656" i="67"/>
  <c r="R807" i="67"/>
  <c r="R46" i="67"/>
  <c r="R199" i="67"/>
  <c r="R504" i="67"/>
  <c r="AL23" i="68"/>
  <c r="K940" i="67"/>
  <c r="K334" i="67"/>
  <c r="K638" i="67"/>
  <c r="K789" i="67"/>
  <c r="K486" i="67"/>
  <c r="K28" i="67"/>
  <c r="K181" i="67"/>
  <c r="AE15" i="68"/>
  <c r="D16" i="62" s="1"/>
  <c r="K958" i="67"/>
  <c r="K352" i="67"/>
  <c r="K807" i="67"/>
  <c r="K656" i="67"/>
  <c r="K504" i="67"/>
  <c r="K46" i="67"/>
  <c r="K199" i="67"/>
  <c r="AE23" i="68"/>
  <c r="AA958" i="67"/>
  <c r="AA352" i="67"/>
  <c r="AA807" i="67"/>
  <c r="AA656" i="67"/>
  <c r="AA504" i="67"/>
  <c r="AA46" i="67"/>
  <c r="AA199" i="67"/>
  <c r="AU23" i="68"/>
  <c r="L1060" i="67"/>
  <c r="L909" i="67"/>
  <c r="L454" i="67"/>
  <c r="L758" i="67"/>
  <c r="L148" i="67"/>
  <c r="L301" i="67"/>
  <c r="L606" i="67"/>
  <c r="L926" i="67"/>
  <c r="L624" i="67"/>
  <c r="L775" i="67"/>
  <c r="L320" i="67"/>
  <c r="L167" i="67"/>
  <c r="L472" i="67"/>
  <c r="L14" i="67"/>
  <c r="AF8" i="68"/>
  <c r="E10" i="62" s="1"/>
  <c r="AB958" i="67"/>
  <c r="AB352" i="67"/>
  <c r="AB807" i="67"/>
  <c r="AB656" i="67"/>
  <c r="AB504" i="67"/>
  <c r="AB46" i="67"/>
  <c r="AB199" i="67"/>
  <c r="AV23" i="68"/>
  <c r="AR1060" i="67"/>
  <c r="AR909" i="67"/>
  <c r="AR454" i="67"/>
  <c r="AR758" i="67"/>
  <c r="AR148" i="67"/>
  <c r="AR301" i="67"/>
  <c r="AR606" i="67"/>
  <c r="AR926" i="67"/>
  <c r="AR775" i="67"/>
  <c r="AR320" i="67"/>
  <c r="AR624" i="67"/>
  <c r="AR472" i="67"/>
  <c r="AR14" i="67"/>
  <c r="AR167" i="67"/>
  <c r="BL8" i="68"/>
  <c r="AK10" i="62" s="1"/>
  <c r="AV1042" i="67"/>
  <c r="AV436" i="67"/>
  <c r="AV891" i="67"/>
  <c r="AV588" i="67"/>
  <c r="AV740" i="67"/>
  <c r="AV130" i="67"/>
  <c r="AV283" i="67"/>
  <c r="AT1042" i="67"/>
  <c r="AT436" i="67"/>
  <c r="AT891" i="67"/>
  <c r="AT588" i="67"/>
  <c r="AT130" i="67"/>
  <c r="AT740" i="67"/>
  <c r="AT283" i="67"/>
  <c r="AJ1042" i="67"/>
  <c r="AJ436" i="67"/>
  <c r="AJ891" i="67"/>
  <c r="AJ588" i="67"/>
  <c r="AJ130" i="67"/>
  <c r="AJ740" i="67"/>
  <c r="AJ283" i="67"/>
  <c r="W1042" i="67"/>
  <c r="W436" i="67"/>
  <c r="W891" i="67"/>
  <c r="W588" i="67"/>
  <c r="W130" i="67"/>
  <c r="W740" i="67"/>
  <c r="W283" i="67"/>
  <c r="AU1043" i="67"/>
  <c r="AU892" i="67"/>
  <c r="AU437" i="67"/>
  <c r="AU741" i="67"/>
  <c r="AU589" i="67"/>
  <c r="AU131" i="67"/>
  <c r="AU284" i="67"/>
  <c r="L1042" i="67"/>
  <c r="L436" i="67"/>
  <c r="L891" i="67"/>
  <c r="L588" i="67"/>
  <c r="L130" i="67"/>
  <c r="L740" i="67"/>
  <c r="L283" i="67"/>
  <c r="AM956" i="67"/>
  <c r="AM350" i="67"/>
  <c r="AM502" i="67"/>
  <c r="AM654" i="67"/>
  <c r="AM805" i="67"/>
  <c r="AM44" i="67"/>
  <c r="AM197" i="67"/>
  <c r="AK1060" i="67"/>
  <c r="AK758" i="67"/>
  <c r="AK909" i="67"/>
  <c r="AK454" i="67"/>
  <c r="AK301" i="67"/>
  <c r="AK148" i="67"/>
  <c r="AK606" i="67"/>
  <c r="AK958" i="67"/>
  <c r="AK352" i="67"/>
  <c r="AK656" i="67"/>
  <c r="AK807" i="67"/>
  <c r="AK504" i="67"/>
  <c r="AK46" i="67"/>
  <c r="AK199" i="67"/>
  <c r="BE23" i="68"/>
  <c r="AU958" i="67"/>
  <c r="AU352" i="67"/>
  <c r="AU656" i="67"/>
  <c r="AU807" i="67"/>
  <c r="AU504" i="67"/>
  <c r="AU46" i="67"/>
  <c r="AU199" i="67"/>
  <c r="BO23" i="68"/>
  <c r="S1060" i="67"/>
  <c r="S454" i="67"/>
  <c r="S758" i="67"/>
  <c r="S909" i="67"/>
  <c r="S606" i="67"/>
  <c r="S301" i="67"/>
  <c r="S148" i="67"/>
  <c r="S926" i="67"/>
  <c r="S775" i="67"/>
  <c r="S320" i="67"/>
  <c r="S624" i="67"/>
  <c r="S167" i="67"/>
  <c r="S472" i="67"/>
  <c r="S14" i="67"/>
  <c r="AM8" i="68"/>
  <c r="L10" i="62" s="1"/>
  <c r="AJ958" i="67"/>
  <c r="AJ352" i="67"/>
  <c r="AJ807" i="67"/>
  <c r="AJ504" i="67"/>
  <c r="AJ46" i="67"/>
  <c r="AJ199" i="67"/>
  <c r="AJ656" i="67"/>
  <c r="BD23" i="68"/>
  <c r="AQ1060" i="67"/>
  <c r="AQ758" i="67"/>
  <c r="AQ909" i="67"/>
  <c r="AQ454" i="67"/>
  <c r="AQ301" i="67"/>
  <c r="AQ148" i="67"/>
  <c r="AQ606" i="67"/>
  <c r="AQ926" i="67"/>
  <c r="AQ775" i="67"/>
  <c r="AQ320" i="67"/>
  <c r="AQ624" i="67"/>
  <c r="AQ472" i="67"/>
  <c r="AQ14" i="67"/>
  <c r="AQ167" i="67"/>
  <c r="BK8" i="68"/>
  <c r="AJ10" i="62" s="1"/>
  <c r="Y888" i="67"/>
  <c r="Y280" i="67"/>
  <c r="Y585" i="67"/>
  <c r="Y433" i="67"/>
  <c r="Y737" i="67"/>
  <c r="Y127" i="67"/>
  <c r="Y619" i="67"/>
  <c r="Y770" i="67"/>
  <c r="B128" i="65"/>
  <c r="AD72" i="70"/>
  <c r="AD56" i="70"/>
  <c r="AL958" i="67"/>
  <c r="AL352" i="67"/>
  <c r="AL656" i="67"/>
  <c r="AL199" i="67"/>
  <c r="AL504" i="67"/>
  <c r="AL807" i="67"/>
  <c r="AL46" i="67"/>
  <c r="BF23" i="68"/>
  <c r="AN1060" i="67"/>
  <c r="AN454" i="67"/>
  <c r="AN758" i="67"/>
  <c r="AN909" i="67"/>
  <c r="AN148" i="67"/>
  <c r="AN301" i="67"/>
  <c r="AN606" i="67"/>
  <c r="AN926" i="67"/>
  <c r="AN320" i="67"/>
  <c r="AN775" i="67"/>
  <c r="AN472" i="67"/>
  <c r="AN14" i="67"/>
  <c r="AN167" i="67"/>
  <c r="AN624" i="67"/>
  <c r="BH8" i="68"/>
  <c r="AG10" i="62" s="1"/>
  <c r="I165" i="65"/>
  <c r="I177" i="65" s="1"/>
  <c r="AG64" i="70"/>
  <c r="AG80" i="70"/>
  <c r="U737" i="67"/>
  <c r="U280" i="67"/>
  <c r="U888" i="67"/>
  <c r="U433" i="67"/>
  <c r="U585" i="67"/>
  <c r="U127" i="67"/>
  <c r="U770" i="67"/>
  <c r="U619" i="67"/>
  <c r="AE333" i="67"/>
  <c r="AE637" i="67"/>
  <c r="AE27" i="67"/>
  <c r="AE180" i="67"/>
  <c r="AG939" i="67"/>
  <c r="AG333" i="67"/>
  <c r="AG788" i="67"/>
  <c r="AG180" i="67"/>
  <c r="AG637" i="67"/>
  <c r="AG485" i="67"/>
  <c r="AG27" i="67"/>
  <c r="AB1058" i="67"/>
  <c r="AB756" i="67"/>
  <c r="AB452" i="67"/>
  <c r="AB907" i="67"/>
  <c r="AB299" i="67"/>
  <c r="AB604" i="67"/>
  <c r="AB146" i="67"/>
  <c r="AB924" i="67"/>
  <c r="AB318" i="67"/>
  <c r="AB622" i="67"/>
  <c r="AB12" i="67"/>
  <c r="AB773" i="67"/>
  <c r="AB165" i="67"/>
  <c r="AR1042" i="67"/>
  <c r="AR436" i="67"/>
  <c r="AR891" i="67"/>
  <c r="AR130" i="67"/>
  <c r="AR283" i="67"/>
  <c r="AR588" i="67"/>
  <c r="AR740" i="67"/>
  <c r="AT1043" i="67"/>
  <c r="AT892" i="67"/>
  <c r="AT437" i="67"/>
  <c r="AT741" i="67"/>
  <c r="AT284" i="67"/>
  <c r="AT131" i="67"/>
  <c r="AT589" i="67"/>
  <c r="AI1042" i="67"/>
  <c r="AI436" i="67"/>
  <c r="AI891" i="67"/>
  <c r="AI588" i="67"/>
  <c r="AI130" i="67"/>
  <c r="AI740" i="67"/>
  <c r="AI283" i="67"/>
  <c r="AK1042" i="67"/>
  <c r="AK436" i="67"/>
  <c r="AK891" i="67"/>
  <c r="AK130" i="67"/>
  <c r="AK283" i="67"/>
  <c r="AK588" i="67"/>
  <c r="AK740" i="67"/>
  <c r="AF957" i="67"/>
  <c r="AF351" i="67"/>
  <c r="AF655" i="67"/>
  <c r="AF806" i="67"/>
  <c r="AF503" i="67"/>
  <c r="AF45" i="67"/>
  <c r="AF198" i="67"/>
  <c r="Q1060" i="67"/>
  <c r="Q454" i="67"/>
  <c r="Q909" i="67"/>
  <c r="Q758" i="67"/>
  <c r="Q606" i="67"/>
  <c r="Q301" i="67"/>
  <c r="Q148" i="67"/>
  <c r="Q926" i="67"/>
  <c r="Q320" i="67"/>
  <c r="Q775" i="67"/>
  <c r="Q472" i="67"/>
  <c r="Q624" i="67"/>
  <c r="Q14" i="67"/>
  <c r="Q167" i="67"/>
  <c r="AK8" i="68"/>
  <c r="J10" i="62" s="1"/>
  <c r="AG958" i="67"/>
  <c r="AG352" i="67"/>
  <c r="AG807" i="67"/>
  <c r="AG656" i="67"/>
  <c r="AG504" i="67"/>
  <c r="AG46" i="67"/>
  <c r="AG199" i="67"/>
  <c r="BA23" i="68"/>
  <c r="AW958" i="67"/>
  <c r="AW352" i="67"/>
  <c r="AW807" i="67"/>
  <c r="AW656" i="67"/>
  <c r="AW504" i="67"/>
  <c r="AW46" i="67"/>
  <c r="AW199" i="67"/>
  <c r="BQ23" i="68"/>
  <c r="AW926" i="67"/>
  <c r="AW320" i="67"/>
  <c r="AW775" i="67"/>
  <c r="AW472" i="67"/>
  <c r="AW624" i="67"/>
  <c r="AW14" i="67"/>
  <c r="AW167" i="67"/>
  <c r="BQ8" i="68"/>
  <c r="AP10" i="62" s="1"/>
  <c r="AT958" i="67"/>
  <c r="AT352" i="67"/>
  <c r="AT807" i="67"/>
  <c r="AT656" i="67"/>
  <c r="AT504" i="67"/>
  <c r="AT199" i="67"/>
  <c r="AT46" i="67"/>
  <c r="BN23" i="68"/>
  <c r="V1060" i="67"/>
  <c r="V454" i="67"/>
  <c r="V758" i="67"/>
  <c r="V909" i="67"/>
  <c r="V606" i="67"/>
  <c r="V301" i="67"/>
  <c r="V148" i="67"/>
  <c r="V926" i="67"/>
  <c r="V320" i="67"/>
  <c r="V624" i="67"/>
  <c r="V14" i="67"/>
  <c r="V775" i="67"/>
  <c r="V472" i="67"/>
  <c r="V167" i="67"/>
  <c r="AP8" i="68"/>
  <c r="O10" i="62" s="1"/>
  <c r="O958" i="67"/>
  <c r="O352" i="67"/>
  <c r="O656" i="67"/>
  <c r="O807" i="67"/>
  <c r="O199" i="67"/>
  <c r="O504" i="67"/>
  <c r="O46" i="67"/>
  <c r="AI23" i="68"/>
  <c r="AE1060" i="67"/>
  <c r="AE909" i="67"/>
  <c r="AE454" i="67"/>
  <c r="AE758" i="67"/>
  <c r="AE148" i="67"/>
  <c r="AE606" i="67"/>
  <c r="AE301" i="67"/>
  <c r="AE926" i="67"/>
  <c r="AE320" i="67"/>
  <c r="AE624" i="67"/>
  <c r="AE775" i="67"/>
  <c r="AE472" i="67"/>
  <c r="AE14" i="67"/>
  <c r="AE167" i="67"/>
  <c r="AY8" i="68"/>
  <c r="X10" i="62" s="1"/>
  <c r="P958" i="67"/>
  <c r="P352" i="67"/>
  <c r="P656" i="67"/>
  <c r="P807" i="67"/>
  <c r="P504" i="67"/>
  <c r="P46" i="67"/>
  <c r="P199" i="67"/>
  <c r="AJ23" i="68"/>
  <c r="AF1060" i="67"/>
  <c r="AF758" i="67"/>
  <c r="AF454" i="67"/>
  <c r="AF909" i="67"/>
  <c r="AF301" i="67"/>
  <c r="AF606" i="67"/>
  <c r="AF148" i="67"/>
  <c r="AF926" i="67"/>
  <c r="AF624" i="67"/>
  <c r="AF320" i="67"/>
  <c r="AF775" i="67"/>
  <c r="AF167" i="67"/>
  <c r="AF472" i="67"/>
  <c r="AF14" i="67"/>
  <c r="AZ8" i="68"/>
  <c r="Y10" i="62" s="1"/>
  <c r="AV958" i="67"/>
  <c r="AV352" i="67"/>
  <c r="AV656" i="67"/>
  <c r="AV807" i="67"/>
  <c r="AV504" i="67"/>
  <c r="AV46" i="67"/>
  <c r="AV199" i="67"/>
  <c r="BP23" i="68"/>
  <c r="T957" i="67"/>
  <c r="T351" i="67"/>
  <c r="T806" i="67"/>
  <c r="T655" i="67"/>
  <c r="T503" i="67"/>
  <c r="T45" i="67"/>
  <c r="T198" i="67"/>
  <c r="AN938" i="67"/>
  <c r="AN332" i="67"/>
  <c r="AN636" i="67"/>
  <c r="AN787" i="67"/>
  <c r="AN179" i="67"/>
  <c r="AN484" i="67"/>
  <c r="AN26" i="67"/>
  <c r="Z938" i="67"/>
  <c r="Z332" i="67"/>
  <c r="Z636" i="67"/>
  <c r="Z26" i="67"/>
  <c r="Z787" i="67"/>
  <c r="Z484" i="67"/>
  <c r="Z179" i="67"/>
  <c r="AT14" i="68"/>
  <c r="S15" i="62" s="1"/>
  <c r="K957" i="67"/>
  <c r="K351" i="67"/>
  <c r="K806" i="67"/>
  <c r="K198" i="67"/>
  <c r="K503" i="67"/>
  <c r="K655" i="67"/>
  <c r="K45" i="67"/>
  <c r="K1059" i="67"/>
  <c r="K908" i="67"/>
  <c r="K453" i="67"/>
  <c r="K757" i="67"/>
  <c r="K300" i="67"/>
  <c r="K147" i="67"/>
  <c r="K605" i="67"/>
  <c r="U940" i="67"/>
  <c r="U789" i="67"/>
  <c r="U334" i="67"/>
  <c r="U638" i="67"/>
  <c r="U486" i="67"/>
  <c r="U181" i="67"/>
  <c r="U28" i="67"/>
  <c r="AO15" i="68"/>
  <c r="N16" i="62" s="1"/>
  <c r="Z1060" i="67"/>
  <c r="Z909" i="67"/>
  <c r="Z454" i="67"/>
  <c r="Z758" i="67"/>
  <c r="Z606" i="67"/>
  <c r="Z301" i="67"/>
  <c r="Z148" i="67"/>
  <c r="Z926" i="67"/>
  <c r="Z320" i="67"/>
  <c r="Z775" i="67"/>
  <c r="Z167" i="67"/>
  <c r="Z472" i="67"/>
  <c r="Z624" i="67"/>
  <c r="Z14" i="67"/>
  <c r="AT8" i="68"/>
  <c r="S10" i="62" s="1"/>
  <c r="AD958" i="67"/>
  <c r="AD352" i="67"/>
  <c r="AD656" i="67"/>
  <c r="AD504" i="67"/>
  <c r="AD199" i="67"/>
  <c r="AD807" i="67"/>
  <c r="AD46" i="67"/>
  <c r="AX23" i="68"/>
  <c r="T1060" i="67"/>
  <c r="T909" i="67"/>
  <c r="T454" i="67"/>
  <c r="T758" i="67"/>
  <c r="T606" i="67"/>
  <c r="T148" i="67"/>
  <c r="T301" i="67"/>
  <c r="T926" i="67"/>
  <c r="T320" i="67"/>
  <c r="T472" i="67"/>
  <c r="T624" i="67"/>
  <c r="T775" i="67"/>
  <c r="T14" i="67"/>
  <c r="T167" i="67"/>
  <c r="AN8" i="68"/>
  <c r="M10" i="62" s="1"/>
  <c r="AL165" i="65"/>
  <c r="AL177" i="65" s="1"/>
  <c r="W940" i="67"/>
  <c r="W334" i="67"/>
  <c r="W789" i="67"/>
  <c r="W638" i="67"/>
  <c r="W486" i="67"/>
  <c r="W28" i="67"/>
  <c r="W181" i="67"/>
  <c r="AQ15" i="68"/>
  <c r="P16" i="62" s="1"/>
  <c r="AZ80" i="70"/>
  <c r="AZ64" i="70"/>
  <c r="BP80" i="70"/>
  <c r="BP64" i="70"/>
  <c r="AA165" i="65"/>
  <c r="AA177" i="65" s="1"/>
  <c r="U165" i="65"/>
  <c r="U177" i="65" s="1"/>
  <c r="U1058" i="67"/>
  <c r="U907" i="67"/>
  <c r="U452" i="67"/>
  <c r="U756" i="67"/>
  <c r="U146" i="67"/>
  <c r="U604" i="67"/>
  <c r="U299" i="67"/>
  <c r="U924" i="67"/>
  <c r="U773" i="67"/>
  <c r="U318" i="67"/>
  <c r="U622" i="67"/>
  <c r="U12" i="67"/>
  <c r="U165" i="67"/>
  <c r="X1058" i="67"/>
  <c r="X907" i="67"/>
  <c r="X452" i="67"/>
  <c r="X756" i="67"/>
  <c r="X146" i="67"/>
  <c r="X299" i="67"/>
  <c r="X604" i="67"/>
  <c r="X924" i="67"/>
  <c r="X318" i="67"/>
  <c r="X773" i="67"/>
  <c r="X165" i="67"/>
  <c r="X622" i="67"/>
  <c r="X12" i="67"/>
  <c r="Q1058" i="67"/>
  <c r="Q756" i="67"/>
  <c r="Q907" i="67"/>
  <c r="Q452" i="67"/>
  <c r="Q299" i="67"/>
  <c r="Q146" i="67"/>
  <c r="Q604" i="67"/>
  <c r="Q924" i="67"/>
  <c r="Q318" i="67"/>
  <c r="Q622" i="67"/>
  <c r="Q773" i="67"/>
  <c r="Q165" i="67"/>
  <c r="Q12" i="67"/>
  <c r="AI958" i="67"/>
  <c r="AI352" i="67"/>
  <c r="AI807" i="67"/>
  <c r="AI656" i="67"/>
  <c r="AI504" i="67"/>
  <c r="AI46" i="67"/>
  <c r="AI199" i="67"/>
  <c r="BC23" i="68"/>
  <c r="V956" i="67"/>
  <c r="V350" i="67"/>
  <c r="V654" i="67"/>
  <c r="V805" i="67"/>
  <c r="V502" i="67"/>
  <c r="V44" i="67"/>
  <c r="V197" i="67"/>
  <c r="AG938" i="67"/>
  <c r="AG332" i="67"/>
  <c r="AG787" i="67"/>
  <c r="AG484" i="67"/>
  <c r="AG636" i="67"/>
  <c r="AG26" i="67"/>
  <c r="AG179" i="67"/>
  <c r="BA14" i="68"/>
  <c r="Z15" i="62" s="1"/>
  <c r="AB925" i="67"/>
  <c r="AB774" i="67"/>
  <c r="AB319" i="67"/>
  <c r="AB623" i="67"/>
  <c r="AB13" i="67"/>
  <c r="AB166" i="67"/>
  <c r="AP1059" i="67"/>
  <c r="AP908" i="67"/>
  <c r="AP453" i="67"/>
  <c r="AP757" i="67"/>
  <c r="AP605" i="67"/>
  <c r="AP147" i="67"/>
  <c r="AP300" i="67"/>
  <c r="AP925" i="67"/>
  <c r="AP319" i="67"/>
  <c r="AP623" i="67"/>
  <c r="AP774" i="67"/>
  <c r="AP13" i="67"/>
  <c r="AP166" i="67"/>
  <c r="AQ1042" i="67"/>
  <c r="AQ436" i="67"/>
  <c r="AQ891" i="67"/>
  <c r="AQ588" i="67"/>
  <c r="AQ130" i="67"/>
  <c r="AQ740" i="67"/>
  <c r="AQ283" i="67"/>
  <c r="AC1042" i="67"/>
  <c r="AC436" i="67"/>
  <c r="AC891" i="67"/>
  <c r="AC588" i="67"/>
  <c r="AC130" i="67"/>
  <c r="AC740" i="67"/>
  <c r="AC283" i="67"/>
  <c r="W1043" i="67"/>
  <c r="W892" i="67"/>
  <c r="W437" i="67"/>
  <c r="W741" i="67"/>
  <c r="W589" i="67"/>
  <c r="W284" i="67"/>
  <c r="W131" i="67"/>
  <c r="AK939" i="67"/>
  <c r="AK333" i="67"/>
  <c r="AK637" i="67"/>
  <c r="AK27" i="67"/>
  <c r="AK788" i="67"/>
  <c r="AK485" i="67"/>
  <c r="AK180" i="67"/>
  <c r="AF636" i="67"/>
  <c r="Y1044" i="67"/>
  <c r="Y893" i="67"/>
  <c r="Y438" i="67"/>
  <c r="Y742" i="67"/>
  <c r="Y590" i="67"/>
  <c r="Y132" i="67"/>
  <c r="Y285" i="67"/>
  <c r="AO940" i="67"/>
  <c r="AO334" i="67"/>
  <c r="AO638" i="67"/>
  <c r="AO789" i="67"/>
  <c r="AO486" i="67"/>
  <c r="AO28" i="67"/>
  <c r="AO181" i="67"/>
  <c r="BI15" i="68"/>
  <c r="AH16" i="62" s="1"/>
  <c r="AH1044" i="67"/>
  <c r="AH893" i="67"/>
  <c r="AH438" i="67"/>
  <c r="AH742" i="67"/>
  <c r="AH285" i="67"/>
  <c r="AH590" i="67"/>
  <c r="AH132" i="67"/>
  <c r="N940" i="67"/>
  <c r="N334" i="67"/>
  <c r="N638" i="67"/>
  <c r="N789" i="67"/>
  <c r="N486" i="67"/>
  <c r="N28" i="67"/>
  <c r="N181" i="67"/>
  <c r="AH15" i="68"/>
  <c r="G16" i="62" s="1"/>
  <c r="AM1044" i="67"/>
  <c r="AM742" i="67"/>
  <c r="AM438" i="67"/>
  <c r="AM893" i="67"/>
  <c r="AM285" i="67"/>
  <c r="AM590" i="67"/>
  <c r="AM132" i="67"/>
  <c r="X940" i="67"/>
  <c r="X334" i="67"/>
  <c r="X789" i="67"/>
  <c r="X181" i="67"/>
  <c r="X638" i="67"/>
  <c r="X486" i="67"/>
  <c r="X28" i="67"/>
  <c r="AR15" i="68"/>
  <c r="Q16" i="62" s="1"/>
  <c r="Q449" i="67"/>
  <c r="Q904" i="67"/>
  <c r="Q601" i="67"/>
  <c r="Q753" i="67"/>
  <c r="Q296" i="67"/>
  <c r="Q143" i="67"/>
  <c r="M753" i="67"/>
  <c r="M904" i="67"/>
  <c r="M449" i="67"/>
  <c r="M143" i="67"/>
  <c r="M601" i="67"/>
  <c r="M296" i="67"/>
  <c r="M619" i="67"/>
  <c r="M770" i="67"/>
  <c r="AS42" i="36"/>
  <c r="AR83" i="36"/>
  <c r="AD17" i="36"/>
  <c r="AD18" i="36"/>
  <c r="O24" i="55"/>
  <c r="S24" i="55"/>
  <c r="R24" i="55"/>
  <c r="P24" i="55"/>
  <c r="I5" i="47"/>
  <c r="D35" i="50"/>
  <c r="E35" i="50"/>
  <c r="F35" i="50"/>
  <c r="G35" i="50"/>
  <c r="H35" i="50"/>
  <c r="I35" i="50"/>
  <c r="J35" i="50"/>
  <c r="K35" i="50"/>
  <c r="L35" i="50"/>
  <c r="C35" i="50"/>
  <c r="D40" i="50"/>
  <c r="E40" i="50"/>
  <c r="F40" i="50"/>
  <c r="G40" i="50"/>
  <c r="H40" i="50"/>
  <c r="I40" i="50"/>
  <c r="J40" i="50"/>
  <c r="K40" i="50"/>
  <c r="L40" i="50"/>
  <c r="C40" i="50"/>
  <c r="D30" i="50"/>
  <c r="E30" i="50"/>
  <c r="F30" i="50"/>
  <c r="G30" i="50"/>
  <c r="H30" i="50"/>
  <c r="I30" i="50"/>
  <c r="J30" i="50"/>
  <c r="K30" i="50"/>
  <c r="L30" i="50"/>
  <c r="C30" i="50"/>
  <c r="D26" i="50"/>
  <c r="E26" i="50"/>
  <c r="F26" i="50"/>
  <c r="G26" i="50"/>
  <c r="H26" i="50"/>
  <c r="I26" i="50"/>
  <c r="J26" i="50"/>
  <c r="K26" i="50"/>
  <c r="L26" i="50"/>
  <c r="C26" i="50"/>
  <c r="D13" i="50"/>
  <c r="E13" i="50"/>
  <c r="F13" i="50"/>
  <c r="G13" i="50"/>
  <c r="H13" i="50"/>
  <c r="I13" i="50"/>
  <c r="J13" i="50"/>
  <c r="K13" i="50"/>
  <c r="L13" i="50"/>
  <c r="C13" i="50"/>
  <c r="D7" i="50"/>
  <c r="E7" i="50"/>
  <c r="F7" i="50"/>
  <c r="G7" i="50"/>
  <c r="H7" i="50"/>
  <c r="I7" i="50"/>
  <c r="J7" i="50"/>
  <c r="K7" i="50"/>
  <c r="L7" i="50"/>
  <c r="C7" i="50"/>
  <c r="AI957" i="67" l="1"/>
  <c r="AI319" i="67"/>
  <c r="AE740" i="67"/>
  <c r="AN623" i="67"/>
  <c r="AN131" i="67"/>
  <c r="AW284" i="67"/>
  <c r="AM788" i="67"/>
  <c r="AW741" i="67"/>
  <c r="AN589" i="67"/>
  <c r="AE130" i="67"/>
  <c r="AN319" i="67"/>
  <c r="V939" i="67"/>
  <c r="AI925" i="67"/>
  <c r="AI45" i="67"/>
  <c r="AW437" i="67"/>
  <c r="AN284" i="67"/>
  <c r="AN1347" i="67" s="1"/>
  <c r="AE588" i="67"/>
  <c r="AN925" i="67"/>
  <c r="BC22" i="68"/>
  <c r="AB22" i="62" s="1"/>
  <c r="AW892" i="67"/>
  <c r="AN741" i="67"/>
  <c r="AE891" i="67"/>
  <c r="AI806" i="67"/>
  <c r="AW1043" i="67"/>
  <c r="AN437" i="67"/>
  <c r="AE436" i="67"/>
  <c r="AI166" i="67"/>
  <c r="AI198" i="67"/>
  <c r="AN892" i="67"/>
  <c r="AE1042" i="67"/>
  <c r="AN166" i="67"/>
  <c r="AI774" i="67"/>
  <c r="AH284" i="67"/>
  <c r="AI503" i="67"/>
  <c r="AI655" i="67"/>
  <c r="AW589" i="67"/>
  <c r="AN13" i="67"/>
  <c r="AI13" i="67"/>
  <c r="AC284" i="67"/>
  <c r="AC892" i="67"/>
  <c r="AK197" i="67"/>
  <c r="AC437" i="67"/>
  <c r="AC741" i="67"/>
  <c r="AW655" i="67"/>
  <c r="AV180" i="67"/>
  <c r="AC1043" i="67"/>
  <c r="AW351" i="67"/>
  <c r="N436" i="67"/>
  <c r="N1042" i="67"/>
  <c r="X757" i="67"/>
  <c r="X453" i="67"/>
  <c r="AY14" i="68"/>
  <c r="X15" i="62" s="1"/>
  <c r="AE938" i="67"/>
  <c r="AN1042" i="67"/>
  <c r="AQ333" i="67"/>
  <c r="AE26" i="67"/>
  <c r="X908" i="67"/>
  <c r="AA180" i="67"/>
  <c r="AE179" i="67"/>
  <c r="X1059" i="67"/>
  <c r="AE484" i="67"/>
  <c r="AW147" i="67"/>
  <c r="AG198" i="67"/>
  <c r="AE636" i="67"/>
  <c r="X147" i="67"/>
  <c r="AE332" i="67"/>
  <c r="AB147" i="67"/>
  <c r="X300" i="67"/>
  <c r="AN436" i="67"/>
  <c r="AB300" i="67"/>
  <c r="AN283" i="67"/>
  <c r="AN130" i="67"/>
  <c r="AN740" i="67"/>
  <c r="AN588" i="67"/>
  <c r="O636" i="67"/>
  <c r="X925" i="67"/>
  <c r="AN637" i="67"/>
  <c r="AW319" i="67"/>
  <c r="O332" i="67"/>
  <c r="AW925" i="67"/>
  <c r="O283" i="67"/>
  <c r="AN485" i="67"/>
  <c r="O787" i="67"/>
  <c r="O740" i="67"/>
  <c r="AN788" i="67"/>
  <c r="X166" i="67"/>
  <c r="AN333" i="67"/>
  <c r="BH14" i="68"/>
  <c r="AG15" i="62" s="1"/>
  <c r="AI14" i="68"/>
  <c r="H15" i="62" s="1"/>
  <c r="X13" i="67"/>
  <c r="AW166" i="67"/>
  <c r="AN939" i="67"/>
  <c r="O938" i="67"/>
  <c r="AA130" i="67"/>
  <c r="O179" i="67"/>
  <c r="X774" i="67"/>
  <c r="AW13" i="67"/>
  <c r="AN502" i="67"/>
  <c r="AA588" i="67"/>
  <c r="O26" i="67"/>
  <c r="X623" i="67"/>
  <c r="AW623" i="67"/>
  <c r="AN350" i="67"/>
  <c r="Z503" i="67"/>
  <c r="N299" i="67"/>
  <c r="AN180" i="67"/>
  <c r="AA1042" i="67"/>
  <c r="Z806" i="67"/>
  <c r="N604" i="67"/>
  <c r="AV27" i="67"/>
  <c r="AW957" i="67"/>
  <c r="AE165" i="67"/>
  <c r="AK13" i="67"/>
  <c r="AK44" i="67"/>
  <c r="AV485" i="67"/>
  <c r="BQ22" i="68"/>
  <c r="AP22" i="62" s="1"/>
  <c r="N283" i="67"/>
  <c r="AE12" i="67"/>
  <c r="AK166" i="67"/>
  <c r="AK502" i="67"/>
  <c r="AV637" i="67"/>
  <c r="AW503" i="67"/>
  <c r="AD10" i="70"/>
  <c r="N740" i="67"/>
  <c r="AH503" i="67"/>
  <c r="AE589" i="67"/>
  <c r="AE773" i="67"/>
  <c r="AK623" i="67"/>
  <c r="AK654" i="67"/>
  <c r="BP14" i="68"/>
  <c r="AO15" i="62" s="1"/>
  <c r="AV788" i="67"/>
  <c r="AW198" i="67"/>
  <c r="N130" i="67"/>
  <c r="AH351" i="67"/>
  <c r="AE622" i="67"/>
  <c r="AK319" i="67"/>
  <c r="AK805" i="67"/>
  <c r="AQ741" i="67"/>
  <c r="AV333" i="67"/>
  <c r="AV64" i="70"/>
  <c r="T167" i="65" s="1"/>
  <c r="T179" i="65" s="1"/>
  <c r="AW45" i="67"/>
  <c r="N588" i="67"/>
  <c r="AE318" i="67"/>
  <c r="AK774" i="67"/>
  <c r="AK350" i="67"/>
  <c r="AJ284" i="67"/>
  <c r="O452" i="67"/>
  <c r="AN908" i="67"/>
  <c r="O1058" i="67"/>
  <c r="AN1059" i="67"/>
  <c r="BK22" i="68"/>
  <c r="AJ22" i="62" s="1"/>
  <c r="AQ45" i="67"/>
  <c r="AN147" i="67"/>
  <c r="AQ503" i="67"/>
  <c r="O12" i="67"/>
  <c r="AN300" i="67"/>
  <c r="AQ198" i="67"/>
  <c r="O773" i="67"/>
  <c r="AU636" i="67"/>
  <c r="AN605" i="67"/>
  <c r="AQ957" i="67"/>
  <c r="O924" i="67"/>
  <c r="AU332" i="67"/>
  <c r="O299" i="67"/>
  <c r="AN757" i="67"/>
  <c r="AH13" i="67"/>
  <c r="O604" i="67"/>
  <c r="S503" i="67"/>
  <c r="AG131" i="67"/>
  <c r="T1042" i="67"/>
  <c r="AM300" i="67"/>
  <c r="AG437" i="67"/>
  <c r="AI64" i="70"/>
  <c r="AG166" i="67"/>
  <c r="AE198" i="67"/>
  <c r="AE655" i="67"/>
  <c r="AE351" i="67"/>
  <c r="AS166" i="67"/>
  <c r="S45" i="67"/>
  <c r="AG589" i="67"/>
  <c r="AS13" i="67"/>
  <c r="AS319" i="67"/>
  <c r="AQ284" i="67"/>
  <c r="AE284" i="67"/>
  <c r="AE1058" i="67"/>
  <c r="AQ437" i="67"/>
  <c r="AQ892" i="67"/>
  <c r="AE131" i="67"/>
  <c r="BL14" i="68"/>
  <c r="AK15" i="62" s="1"/>
  <c r="T1058" i="67"/>
  <c r="AE741" i="67"/>
  <c r="AE299" i="67"/>
  <c r="AR939" i="67"/>
  <c r="AQ1043" i="67"/>
  <c r="P1043" i="67"/>
  <c r="AE437" i="67"/>
  <c r="AE604" i="67"/>
  <c r="AE892" i="67"/>
  <c r="AE907" i="67"/>
  <c r="AQ131" i="67"/>
  <c r="AE756" i="67"/>
  <c r="AA27" i="67"/>
  <c r="AH1042" i="67"/>
  <c r="AW300" i="67"/>
  <c r="AQ319" i="67"/>
  <c r="AG45" i="67"/>
  <c r="AS350" i="67"/>
  <c r="AQ939" i="67"/>
  <c r="AB45" i="67"/>
  <c r="AV22" i="68"/>
  <c r="U22" i="62" s="1"/>
  <c r="AW453" i="67"/>
  <c r="AQ925" i="67"/>
  <c r="AG503" i="67"/>
  <c r="AS956" i="67"/>
  <c r="AB198" i="67"/>
  <c r="AH283" i="67"/>
  <c r="AG453" i="67"/>
  <c r="AW908" i="67"/>
  <c r="AG655" i="67"/>
  <c r="AQ180" i="67"/>
  <c r="AB503" i="67"/>
  <c r="AH740" i="67"/>
  <c r="AG908" i="67"/>
  <c r="AW757" i="67"/>
  <c r="AG806" i="67"/>
  <c r="AQ485" i="67"/>
  <c r="BK14" i="68"/>
  <c r="AJ15" i="62" s="1"/>
  <c r="AB655" i="67"/>
  <c r="AH130" i="67"/>
  <c r="AW1059" i="67"/>
  <c r="AQ166" i="67"/>
  <c r="AG351" i="67"/>
  <c r="AQ27" i="67"/>
  <c r="AB806" i="67"/>
  <c r="AH588" i="67"/>
  <c r="AQ774" i="67"/>
  <c r="AG957" i="67"/>
  <c r="AQ637" i="67"/>
  <c r="AB351" i="67"/>
  <c r="AM939" i="67"/>
  <c r="AA44" i="67"/>
  <c r="AA891" i="67"/>
  <c r="AU787" i="67"/>
  <c r="AB485" i="67"/>
  <c r="AN956" i="67"/>
  <c r="Z655" i="67"/>
  <c r="N756" i="67"/>
  <c r="V27" i="67"/>
  <c r="AA502" i="67"/>
  <c r="AG13" i="67"/>
  <c r="AE957" i="67"/>
  <c r="O130" i="67"/>
  <c r="AG284" i="67"/>
  <c r="N165" i="67"/>
  <c r="AS774" i="67"/>
  <c r="AA436" i="67"/>
  <c r="AS588" i="67"/>
  <c r="T740" i="67"/>
  <c r="AE485" i="67"/>
  <c r="AU938" i="67"/>
  <c r="O146" i="67"/>
  <c r="AB333" i="67"/>
  <c r="AT22" i="68"/>
  <c r="S22" i="62" s="1"/>
  <c r="BH22" i="68"/>
  <c r="AG22" i="62" s="1"/>
  <c r="Z351" i="67"/>
  <c r="N452" i="67"/>
  <c r="V485" i="67"/>
  <c r="AA654" i="67"/>
  <c r="AG774" i="67"/>
  <c r="O588" i="67"/>
  <c r="AQ806" i="67"/>
  <c r="AG741" i="67"/>
  <c r="AD283" i="67"/>
  <c r="BC64" i="70"/>
  <c r="AA167" i="65" s="1"/>
  <c r="AA179" i="65" s="1"/>
  <c r="O165" i="67"/>
  <c r="N12" i="67"/>
  <c r="AS623" i="67"/>
  <c r="AS436" i="67"/>
  <c r="BO14" i="68"/>
  <c r="AN15" i="62" s="1"/>
  <c r="AN197" i="67"/>
  <c r="Z957" i="67"/>
  <c r="V180" i="67"/>
  <c r="O891" i="67"/>
  <c r="AU26" i="67"/>
  <c r="AP14" i="68"/>
  <c r="O15" i="62" s="1"/>
  <c r="AN805" i="67"/>
  <c r="V788" i="67"/>
  <c r="AE806" i="67"/>
  <c r="O436" i="67"/>
  <c r="AA283" i="67"/>
  <c r="AE788" i="67"/>
  <c r="AR741" i="67"/>
  <c r="AU179" i="67"/>
  <c r="O907" i="67"/>
  <c r="Q147" i="67"/>
  <c r="AJ131" i="67"/>
  <c r="AN44" i="67"/>
  <c r="Z198" i="67"/>
  <c r="V333" i="67"/>
  <c r="AA956" i="67"/>
  <c r="AE45" i="67"/>
  <c r="AQ655" i="67"/>
  <c r="AG1043" i="67"/>
  <c r="O622" i="67"/>
  <c r="N622" i="67"/>
  <c r="U13" i="67"/>
  <c r="N907" i="67"/>
  <c r="AA805" i="67"/>
  <c r="N773" i="67"/>
  <c r="U774" i="67"/>
  <c r="AS1042" i="67"/>
  <c r="N1058" i="67"/>
  <c r="N318" i="67"/>
  <c r="AR1043" i="67"/>
  <c r="Q300" i="67"/>
  <c r="AH131" i="67"/>
  <c r="AH1058" i="67"/>
  <c r="AS131" i="67"/>
  <c r="AU44" i="67"/>
  <c r="AB892" i="67"/>
  <c r="AV166" i="67"/>
  <c r="AR908" i="67"/>
  <c r="Q1043" i="67"/>
  <c r="AL757" i="67"/>
  <c r="Z143" i="67"/>
  <c r="U908" i="67"/>
  <c r="AB741" i="67"/>
  <c r="AV198" i="67"/>
  <c r="AU502" i="67"/>
  <c r="AH197" i="67"/>
  <c r="AS589" i="67"/>
  <c r="AV774" i="67"/>
  <c r="AB437" i="67"/>
  <c r="AV45" i="67"/>
  <c r="AU805" i="67"/>
  <c r="AH44" i="67"/>
  <c r="AS284" i="67"/>
  <c r="AV319" i="67"/>
  <c r="AB1043" i="67"/>
  <c r="S924" i="67"/>
  <c r="M605" i="67"/>
  <c r="AV503" i="67"/>
  <c r="AU654" i="67"/>
  <c r="AH502" i="67"/>
  <c r="AS892" i="67"/>
  <c r="AV623" i="67"/>
  <c r="AF299" i="67"/>
  <c r="AV806" i="67"/>
  <c r="AU350" i="67"/>
  <c r="AH805" i="67"/>
  <c r="AS437" i="67"/>
  <c r="AV925" i="67"/>
  <c r="AV147" i="67"/>
  <c r="AV655" i="67"/>
  <c r="AU956" i="67"/>
  <c r="AH654" i="67"/>
  <c r="AS741" i="67"/>
  <c r="AV300" i="67"/>
  <c r="AV351" i="67"/>
  <c r="AH350" i="67"/>
  <c r="AH146" i="67"/>
  <c r="S147" i="67"/>
  <c r="AV605" i="67"/>
  <c r="AV957" i="67"/>
  <c r="AH299" i="67"/>
  <c r="AV757" i="67"/>
  <c r="AH604" i="67"/>
  <c r="AB284" i="67"/>
  <c r="AO956" i="67"/>
  <c r="AV453" i="67"/>
  <c r="AH907" i="67"/>
  <c r="AB131" i="67"/>
  <c r="AV908" i="67"/>
  <c r="BO22" i="68"/>
  <c r="AN22" i="62" s="1"/>
  <c r="AH756" i="67"/>
  <c r="AA485" i="67"/>
  <c r="AK300" i="67"/>
  <c r="AG757" i="67"/>
  <c r="AH957" i="67"/>
  <c r="R805" i="67"/>
  <c r="AA788" i="67"/>
  <c r="AK605" i="67"/>
  <c r="AG1059" i="67"/>
  <c r="R350" i="67"/>
  <c r="V655" i="67"/>
  <c r="AA637" i="67"/>
  <c r="AK147" i="67"/>
  <c r="BB22" i="68"/>
  <c r="AA22" i="62" s="1"/>
  <c r="R956" i="67"/>
  <c r="AA333" i="67"/>
  <c r="AK757" i="67"/>
  <c r="AK453" i="67"/>
  <c r="AK908" i="67"/>
  <c r="AS197" i="67"/>
  <c r="AH198" i="67"/>
  <c r="AS44" i="67"/>
  <c r="AG605" i="67"/>
  <c r="AH45" i="67"/>
  <c r="AS502" i="67"/>
  <c r="AG147" i="67"/>
  <c r="AH806" i="67"/>
  <c r="AL588" i="67"/>
  <c r="AS654" i="67"/>
  <c r="R197" i="67"/>
  <c r="AL22" i="68"/>
  <c r="K22" i="62" s="1"/>
  <c r="AM333" i="67"/>
  <c r="U623" i="67"/>
  <c r="AP22" i="68"/>
  <c r="O22" i="62" s="1"/>
  <c r="AR437" i="67"/>
  <c r="AM147" i="67"/>
  <c r="AH589" i="67"/>
  <c r="V503" i="67"/>
  <c r="U319" i="67"/>
  <c r="AU299" i="67"/>
  <c r="AM605" i="67"/>
  <c r="AH892" i="67"/>
  <c r="V806" i="67"/>
  <c r="Q788" i="67"/>
  <c r="AU604" i="67"/>
  <c r="AM757" i="67"/>
  <c r="AM131" i="67"/>
  <c r="AH437" i="67"/>
  <c r="AU907" i="67"/>
  <c r="AM908" i="67"/>
  <c r="AM284" i="67"/>
  <c r="AH741" i="67"/>
  <c r="M131" i="67"/>
  <c r="M437" i="67"/>
  <c r="AU756" i="67"/>
  <c r="AM453" i="67"/>
  <c r="AM589" i="67"/>
  <c r="AU452" i="67"/>
  <c r="R938" i="67"/>
  <c r="AM741" i="67"/>
  <c r="AR284" i="67"/>
  <c r="AD179" i="67"/>
  <c r="AM437" i="67"/>
  <c r="U925" i="67"/>
  <c r="AM27" i="67"/>
  <c r="AR131" i="67"/>
  <c r="AM892" i="67"/>
  <c r="AM180" i="67"/>
  <c r="AM485" i="67"/>
  <c r="AR589" i="67"/>
  <c r="BG14" i="68"/>
  <c r="AF15" i="62" s="1"/>
  <c r="AF484" i="67"/>
  <c r="AU22" i="68"/>
  <c r="T22" i="62" s="1"/>
  <c r="AK907" i="67"/>
  <c r="AK1058" i="67"/>
  <c r="AK299" i="67"/>
  <c r="AK604" i="67"/>
  <c r="AK146" i="67"/>
  <c r="AK756" i="67"/>
  <c r="Y13" i="67"/>
  <c r="Y774" i="67"/>
  <c r="Y147" i="67"/>
  <c r="U351" i="67"/>
  <c r="Y300" i="67"/>
  <c r="U957" i="67"/>
  <c r="AE80" i="70"/>
  <c r="N503" i="67"/>
  <c r="Y198" i="67"/>
  <c r="AF283" i="67"/>
  <c r="AH180" i="67"/>
  <c r="S636" i="67"/>
  <c r="AS756" i="67"/>
  <c r="Y806" i="67"/>
  <c r="AS198" i="67"/>
  <c r="Y623" i="67"/>
  <c r="Y908" i="67"/>
  <c r="AA45" i="67"/>
  <c r="V351" i="67"/>
  <c r="P503" i="67"/>
  <c r="AH27" i="67"/>
  <c r="Y655" i="67"/>
  <c r="AS45" i="67"/>
  <c r="Y925" i="67"/>
  <c r="AL788" i="67"/>
  <c r="Y757" i="67"/>
  <c r="AA655" i="67"/>
  <c r="V957" i="67"/>
  <c r="AL654" i="67"/>
  <c r="AR655" i="67"/>
  <c r="Y351" i="67"/>
  <c r="AS503" i="67"/>
  <c r="Y453" i="67"/>
  <c r="AA503" i="67"/>
  <c r="AH637" i="67"/>
  <c r="AO892" i="67"/>
  <c r="Y957" i="67"/>
  <c r="AS655" i="67"/>
  <c r="V13" i="67"/>
  <c r="U284" i="67"/>
  <c r="Y1059" i="67"/>
  <c r="AA198" i="67"/>
  <c r="AH333" i="67"/>
  <c r="AO22" i="68"/>
  <c r="N22" i="62" s="1"/>
  <c r="T924" i="67"/>
  <c r="P623" i="67"/>
  <c r="AO147" i="67"/>
  <c r="AS806" i="67"/>
  <c r="V925" i="67"/>
  <c r="U1043" i="67"/>
  <c r="S436" i="67"/>
  <c r="U198" i="67"/>
  <c r="AA806" i="67"/>
  <c r="Y319" i="67"/>
  <c r="AH788" i="67"/>
  <c r="AP130" i="67"/>
  <c r="AO757" i="67"/>
  <c r="AS351" i="67"/>
  <c r="BM22" i="68"/>
  <c r="AL22" i="62" s="1"/>
  <c r="U45" i="67"/>
  <c r="AA351" i="67"/>
  <c r="Y503" i="67"/>
  <c r="BM80" i="70"/>
  <c r="AH939" i="67"/>
  <c r="U503" i="67"/>
  <c r="AA957" i="67"/>
  <c r="U806" i="67"/>
  <c r="V198" i="67"/>
  <c r="AD10" i="50"/>
  <c r="AD15" i="57" s="1"/>
  <c r="AJ452" i="67"/>
  <c r="Y27" i="67"/>
  <c r="N176" i="67"/>
  <c r="Y637" i="67"/>
  <c r="N481" i="67"/>
  <c r="AA300" i="67"/>
  <c r="Y485" i="67"/>
  <c r="N633" i="67"/>
  <c r="AA605" i="67"/>
  <c r="Y180" i="67"/>
  <c r="N23" i="67"/>
  <c r="AA147" i="67"/>
  <c r="Y788" i="67"/>
  <c r="AA453" i="67"/>
  <c r="Y333" i="67"/>
  <c r="AA908" i="67"/>
  <c r="AA757" i="67"/>
  <c r="N605" i="67"/>
  <c r="AA131" i="67"/>
  <c r="AS757" i="67"/>
  <c r="AK503" i="67"/>
  <c r="AD788" i="67"/>
  <c r="AK773" i="67"/>
  <c r="Z23" i="67"/>
  <c r="AK655" i="67"/>
  <c r="N300" i="67"/>
  <c r="AO165" i="67"/>
  <c r="AK924" i="67"/>
  <c r="AA589" i="67"/>
  <c r="AS908" i="67"/>
  <c r="AE13" i="67"/>
  <c r="Z329" i="67"/>
  <c r="AK806" i="67"/>
  <c r="N147" i="67"/>
  <c r="AO12" i="67"/>
  <c r="AA284" i="67"/>
  <c r="AS453" i="67"/>
  <c r="AE623" i="67"/>
  <c r="Z481" i="67"/>
  <c r="N888" i="67"/>
  <c r="AK351" i="67"/>
  <c r="N908" i="67"/>
  <c r="AO773" i="67"/>
  <c r="AA892" i="67"/>
  <c r="AS1059" i="67"/>
  <c r="AE166" i="67"/>
  <c r="AJ179" i="67"/>
  <c r="Z176" i="67"/>
  <c r="N280" i="67"/>
  <c r="AK957" i="67"/>
  <c r="N757" i="67"/>
  <c r="AO318" i="67"/>
  <c r="AA741" i="67"/>
  <c r="AE774" i="67"/>
  <c r="AJ26" i="67"/>
  <c r="N737" i="67"/>
  <c r="N453" i="67"/>
  <c r="AO622" i="67"/>
  <c r="AR166" i="67"/>
  <c r="AA437" i="67"/>
  <c r="AE319" i="67"/>
  <c r="AJ636" i="67"/>
  <c r="N433" i="67"/>
  <c r="AR13" i="67"/>
  <c r="AJ484" i="67"/>
  <c r="N127" i="67"/>
  <c r="AR623" i="67"/>
  <c r="BE22" i="68"/>
  <c r="AD22" i="62" s="1"/>
  <c r="AJ787" i="67"/>
  <c r="AK165" i="67"/>
  <c r="AR319" i="67"/>
  <c r="AJ332" i="67"/>
  <c r="AK12" i="67"/>
  <c r="AR774" i="67"/>
  <c r="AS147" i="67"/>
  <c r="AK198" i="67"/>
  <c r="AK622" i="67"/>
  <c r="AS300" i="67"/>
  <c r="AJ147" i="67"/>
  <c r="AO1043" i="67"/>
  <c r="AL26" i="67"/>
  <c r="P198" i="67"/>
  <c r="AR806" i="67"/>
  <c r="AJ165" i="67"/>
  <c r="AJ1058" i="67"/>
  <c r="AJ300" i="67"/>
  <c r="AL484" i="67"/>
  <c r="BL22" i="68"/>
  <c r="AK22" i="62" s="1"/>
  <c r="P45" i="67"/>
  <c r="AR351" i="67"/>
  <c r="AJ773" i="67"/>
  <c r="AJ605" i="67"/>
  <c r="N449" i="67"/>
  <c r="AL636" i="67"/>
  <c r="P806" i="67"/>
  <c r="AR957" i="67"/>
  <c r="AJ12" i="67"/>
  <c r="AJ908" i="67"/>
  <c r="N143" i="67"/>
  <c r="AL179" i="67"/>
  <c r="P655" i="67"/>
  <c r="AD198" i="67"/>
  <c r="AJ622" i="67"/>
  <c r="AL787" i="67"/>
  <c r="P351" i="67"/>
  <c r="AD45" i="67"/>
  <c r="AJ318" i="67"/>
  <c r="AJ757" i="67"/>
  <c r="N753" i="67"/>
  <c r="AL332" i="67"/>
  <c r="AD655" i="67"/>
  <c r="AJ453" i="67"/>
  <c r="AO589" i="67"/>
  <c r="N601" i="67"/>
  <c r="AD503" i="67"/>
  <c r="AJ604" i="67"/>
  <c r="AO284" i="67"/>
  <c r="N904" i="67"/>
  <c r="AD806" i="67"/>
  <c r="AJ299" i="67"/>
  <c r="AO131" i="67"/>
  <c r="AR198" i="67"/>
  <c r="AD351" i="67"/>
  <c r="AJ146" i="67"/>
  <c r="AO741" i="67"/>
  <c r="AR45" i="67"/>
  <c r="AJ907" i="67"/>
  <c r="AL197" i="67"/>
  <c r="AM351" i="67"/>
  <c r="S332" i="67"/>
  <c r="AS907" i="67"/>
  <c r="AO300" i="67"/>
  <c r="V623" i="67"/>
  <c r="U892" i="67"/>
  <c r="AF26" i="67"/>
  <c r="M284" i="67"/>
  <c r="AL44" i="67"/>
  <c r="S938" i="67"/>
  <c r="AS452" i="67"/>
  <c r="AO605" i="67"/>
  <c r="V774" i="67"/>
  <c r="U741" i="67"/>
  <c r="AF179" i="67"/>
  <c r="M589" i="67"/>
  <c r="AF787" i="67"/>
  <c r="M892" i="67"/>
  <c r="AL502" i="67"/>
  <c r="AS1058" i="67"/>
  <c r="AO908" i="67"/>
  <c r="V319" i="67"/>
  <c r="U437" i="67"/>
  <c r="AH166" i="67"/>
  <c r="AO453" i="67"/>
  <c r="V147" i="67"/>
  <c r="AH774" i="67"/>
  <c r="AF938" i="67"/>
  <c r="M1043" i="67"/>
  <c r="AL350" i="67"/>
  <c r="N194" i="67"/>
  <c r="R179" i="67"/>
  <c r="V605" i="67"/>
  <c r="AH623" i="67"/>
  <c r="AF332" i="67"/>
  <c r="AL805" i="67"/>
  <c r="N499" i="67"/>
  <c r="T165" i="67"/>
  <c r="R787" i="67"/>
  <c r="V300" i="67"/>
  <c r="P452" i="67"/>
  <c r="AH319" i="67"/>
  <c r="N802" i="67"/>
  <c r="AU64" i="70"/>
  <c r="S167" i="65" s="1"/>
  <c r="S179" i="65" s="1"/>
  <c r="S26" i="67"/>
  <c r="T773" i="67"/>
  <c r="R26" i="67"/>
  <c r="V908" i="67"/>
  <c r="P1058" i="67"/>
  <c r="N347" i="67"/>
  <c r="N41" i="67"/>
  <c r="S484" i="67"/>
  <c r="AS146" i="67"/>
  <c r="T12" i="67"/>
  <c r="R636" i="67"/>
  <c r="V453" i="67"/>
  <c r="S179" i="67"/>
  <c r="AS299" i="67"/>
  <c r="T622" i="67"/>
  <c r="R484" i="67"/>
  <c r="V757" i="67"/>
  <c r="U131" i="67"/>
  <c r="AM957" i="67"/>
  <c r="BG22" i="68"/>
  <c r="AF22" i="62" s="1"/>
  <c r="AM198" i="67"/>
  <c r="AM503" i="67"/>
  <c r="AM45" i="67"/>
  <c r="AM806" i="67"/>
  <c r="N44" i="67"/>
  <c r="N502" i="67"/>
  <c r="AA299" i="67"/>
  <c r="N805" i="67"/>
  <c r="AF740" i="67"/>
  <c r="N654" i="67"/>
  <c r="N197" i="67"/>
  <c r="N350" i="67"/>
  <c r="AU14" i="68"/>
  <c r="T15" i="62" s="1"/>
  <c r="AA604" i="67"/>
  <c r="R146" i="67"/>
  <c r="AA146" i="67"/>
  <c r="R299" i="67"/>
  <c r="BB14" i="68"/>
  <c r="AA15" i="62" s="1"/>
  <c r="AA756" i="67"/>
  <c r="R604" i="67"/>
  <c r="AH179" i="67"/>
  <c r="AU283" i="67"/>
  <c r="Y56" i="69"/>
  <c r="Y58" i="69" s="1"/>
  <c r="Y59" i="69" s="1"/>
  <c r="Y60" i="69" s="1"/>
  <c r="Y61" i="69" s="1"/>
  <c r="AD146" i="67"/>
  <c r="AA452" i="67"/>
  <c r="R907" i="67"/>
  <c r="AH787" i="67"/>
  <c r="AU740" i="67"/>
  <c r="AD299" i="67"/>
  <c r="AO299" i="67"/>
  <c r="AA907" i="67"/>
  <c r="R756" i="67"/>
  <c r="AH26" i="67"/>
  <c r="AU130" i="67"/>
  <c r="AD604" i="67"/>
  <c r="R452" i="67"/>
  <c r="AH636" i="67"/>
  <c r="AU588" i="67"/>
  <c r="AD756" i="67"/>
  <c r="AH484" i="67"/>
  <c r="AU891" i="67"/>
  <c r="AD452" i="67"/>
  <c r="AH332" i="67"/>
  <c r="AU436" i="67"/>
  <c r="AD907" i="67"/>
  <c r="AA179" i="67"/>
  <c r="AK589" i="67"/>
  <c r="AA26" i="67"/>
  <c r="AA484" i="67"/>
  <c r="R1042" i="67"/>
  <c r="AA787" i="67"/>
  <c r="AA332" i="67"/>
  <c r="AA636" i="67"/>
  <c r="AO436" i="67"/>
  <c r="AD740" i="67"/>
  <c r="S198" i="67"/>
  <c r="T44" i="67"/>
  <c r="Q908" i="67"/>
  <c r="AJ892" i="67"/>
  <c r="AG623" i="67"/>
  <c r="AK741" i="67"/>
  <c r="AL299" i="67"/>
  <c r="BM14" i="68"/>
  <c r="AL15" i="62" s="1"/>
  <c r="AD130" i="67"/>
  <c r="AB605" i="67"/>
  <c r="AJ22" i="68"/>
  <c r="I22" i="62" s="1"/>
  <c r="S806" i="67"/>
  <c r="T654" i="67"/>
  <c r="Q757" i="67"/>
  <c r="AJ437" i="67"/>
  <c r="AD654" i="67"/>
  <c r="AG319" i="67"/>
  <c r="AK437" i="67"/>
  <c r="AL604" i="67"/>
  <c r="BE14" i="68"/>
  <c r="AD15" i="62" s="1"/>
  <c r="AS179" i="67"/>
  <c r="AD588" i="67"/>
  <c r="AB908" i="67"/>
  <c r="AV14" i="68"/>
  <c r="U15" i="62" s="1"/>
  <c r="P197" i="67"/>
  <c r="S351" i="67"/>
  <c r="T502" i="67"/>
  <c r="Q1059" i="67"/>
  <c r="AJ741" i="67"/>
  <c r="AD197" i="67"/>
  <c r="AK1043" i="67"/>
  <c r="AL756" i="67"/>
  <c r="AK179" i="67"/>
  <c r="AS26" i="67"/>
  <c r="AD891" i="67"/>
  <c r="AB757" i="67"/>
  <c r="AX22" i="68"/>
  <c r="W22" i="62" s="1"/>
  <c r="S957" i="67"/>
  <c r="P589" i="67"/>
  <c r="T197" i="67"/>
  <c r="AJ1043" i="67"/>
  <c r="T604" i="67"/>
  <c r="AD502" i="67"/>
  <c r="R283" i="67"/>
  <c r="AJ939" i="67"/>
  <c r="AL452" i="67"/>
  <c r="AK26" i="67"/>
  <c r="AS484" i="67"/>
  <c r="AR180" i="67"/>
  <c r="AD436" i="67"/>
  <c r="AB453" i="67"/>
  <c r="Q453" i="67"/>
  <c r="AO283" i="67"/>
  <c r="P805" i="67"/>
  <c r="AS283" i="67"/>
  <c r="P131" i="67"/>
  <c r="T805" i="67"/>
  <c r="T299" i="67"/>
  <c r="AD44" i="67"/>
  <c r="R740" i="67"/>
  <c r="AL907" i="67"/>
  <c r="AK787" i="67"/>
  <c r="AS787" i="67"/>
  <c r="AR27" i="67"/>
  <c r="AN22" i="68"/>
  <c r="M22" i="62" s="1"/>
  <c r="AB939" i="67"/>
  <c r="AK892" i="67"/>
  <c r="P502" i="67"/>
  <c r="AO740" i="67"/>
  <c r="P44" i="67"/>
  <c r="AS740" i="67"/>
  <c r="P284" i="67"/>
  <c r="T350" i="67"/>
  <c r="AB180" i="67"/>
  <c r="T146" i="67"/>
  <c r="AD805" i="67"/>
  <c r="R130" i="67"/>
  <c r="AL1058" i="67"/>
  <c r="AK636" i="67"/>
  <c r="AS636" i="67"/>
  <c r="AR788" i="67"/>
  <c r="AO1042" i="67"/>
  <c r="AK284" i="67"/>
  <c r="S655" i="67"/>
  <c r="AD892" i="67"/>
  <c r="AO130" i="67"/>
  <c r="P654" i="67"/>
  <c r="AS130" i="67"/>
  <c r="P741" i="67"/>
  <c r="AB27" i="67"/>
  <c r="T907" i="67"/>
  <c r="AD350" i="67"/>
  <c r="R588" i="67"/>
  <c r="AK484" i="67"/>
  <c r="AS332" i="67"/>
  <c r="AR637" i="67"/>
  <c r="T756" i="67"/>
  <c r="R891" i="67"/>
  <c r="AD65" i="70"/>
  <c r="B168" i="65" s="1"/>
  <c r="B180" i="65" s="1"/>
  <c r="AK332" i="67"/>
  <c r="AR485" i="67"/>
  <c r="AD437" i="67"/>
  <c r="AO588" i="67"/>
  <c r="P350" i="67"/>
  <c r="P437" i="67"/>
  <c r="AB788" i="67"/>
  <c r="T283" i="67"/>
  <c r="U1059" i="67"/>
  <c r="S146" i="67"/>
  <c r="AL891" i="67"/>
  <c r="S299" i="67"/>
  <c r="AL436" i="67"/>
  <c r="N741" i="67"/>
  <c r="S604" i="67"/>
  <c r="AL1042" i="67"/>
  <c r="N437" i="67"/>
  <c r="S907" i="67"/>
  <c r="S452" i="67"/>
  <c r="AO502" i="67"/>
  <c r="U300" i="67"/>
  <c r="S12" i="67"/>
  <c r="S1058" i="67"/>
  <c r="AO197" i="67"/>
  <c r="U605" i="67"/>
  <c r="S165" i="67"/>
  <c r="AO44" i="67"/>
  <c r="U147" i="67"/>
  <c r="S622" i="67"/>
  <c r="AO805" i="67"/>
  <c r="AL283" i="67"/>
  <c r="U757" i="67"/>
  <c r="S773" i="67"/>
  <c r="AO654" i="67"/>
  <c r="AL740" i="67"/>
  <c r="AD485" i="67"/>
  <c r="AD27" i="67"/>
  <c r="AD484" i="67"/>
  <c r="AR605" i="67"/>
  <c r="Q589" i="67"/>
  <c r="AR757" i="67"/>
  <c r="Z753" i="67"/>
  <c r="AD332" i="67"/>
  <c r="Q131" i="67"/>
  <c r="AL147" i="67"/>
  <c r="AR453" i="67"/>
  <c r="Z904" i="67"/>
  <c r="AD637" i="67"/>
  <c r="AD333" i="67"/>
  <c r="AD939" i="67"/>
  <c r="AD938" i="67"/>
  <c r="Q284" i="67"/>
  <c r="AL605" i="67"/>
  <c r="AR1059" i="67"/>
  <c r="Z296" i="67"/>
  <c r="AN14" i="68"/>
  <c r="M15" i="62" s="1"/>
  <c r="AD787" i="67"/>
  <c r="Q741" i="67"/>
  <c r="AL300" i="67"/>
  <c r="Z601" i="67"/>
  <c r="T179" i="67"/>
  <c r="Q437" i="67"/>
  <c r="AL908" i="67"/>
  <c r="T26" i="67"/>
  <c r="AL453" i="67"/>
  <c r="T787" i="67"/>
  <c r="T636" i="67"/>
  <c r="AX14" i="68"/>
  <c r="W15" i="62" s="1"/>
  <c r="T484" i="67"/>
  <c r="AR147" i="67"/>
  <c r="T332" i="67"/>
  <c r="AD26" i="67"/>
  <c r="N13" i="67"/>
  <c r="AL198" i="67"/>
  <c r="AL45" i="67"/>
  <c r="AL503" i="67"/>
  <c r="AL655" i="67"/>
  <c r="AL806" i="67"/>
  <c r="AL351" i="67"/>
  <c r="BF22" i="68"/>
  <c r="AE22" i="62" s="1"/>
  <c r="AP740" i="67"/>
  <c r="N655" i="67"/>
  <c r="P319" i="67"/>
  <c r="AH22" i="68"/>
  <c r="G22" i="62" s="1"/>
  <c r="AL485" i="67"/>
  <c r="Y283" i="67"/>
  <c r="AP588" i="67"/>
  <c r="N806" i="67"/>
  <c r="P925" i="67"/>
  <c r="Q198" i="67"/>
  <c r="AL333" i="67"/>
  <c r="Y130" i="67"/>
  <c r="AP891" i="67"/>
  <c r="N351" i="67"/>
  <c r="Q45" i="67"/>
  <c r="AL637" i="67"/>
  <c r="AP436" i="67"/>
  <c r="N957" i="67"/>
  <c r="BF14" i="68"/>
  <c r="AE15" i="62" s="1"/>
  <c r="Q503" i="67"/>
  <c r="AL939" i="67"/>
  <c r="Y740" i="67"/>
  <c r="Y588" i="67"/>
  <c r="AP1042" i="67"/>
  <c r="M198" i="67"/>
  <c r="Q806" i="67"/>
  <c r="S166" i="67"/>
  <c r="Y891" i="67"/>
  <c r="M45" i="67"/>
  <c r="Q655" i="67"/>
  <c r="AG22" i="68"/>
  <c r="F22" i="62" s="1"/>
  <c r="S774" i="67"/>
  <c r="Y436" i="67"/>
  <c r="M503" i="67"/>
  <c r="Q351" i="67"/>
  <c r="S13" i="67"/>
  <c r="M655" i="67"/>
  <c r="Q957" i="67"/>
  <c r="S623" i="67"/>
  <c r="M806" i="67"/>
  <c r="P13" i="67"/>
  <c r="S319" i="67"/>
  <c r="N198" i="67"/>
  <c r="M351" i="67"/>
  <c r="P166" i="67"/>
  <c r="AL180" i="67"/>
  <c r="P907" i="67"/>
  <c r="S283" i="67"/>
  <c r="S740" i="67"/>
  <c r="S130" i="67"/>
  <c r="S588" i="67"/>
  <c r="S891" i="67"/>
  <c r="P299" i="67"/>
  <c r="P146" i="67"/>
  <c r="P604" i="67"/>
  <c r="P605" i="67"/>
  <c r="Y502" i="67"/>
  <c r="Y805" i="67"/>
  <c r="P484" i="67"/>
  <c r="P636" i="67"/>
  <c r="Z651" i="67"/>
  <c r="Z41" i="67"/>
  <c r="Z499" i="67"/>
  <c r="Z802" i="67"/>
  <c r="Z347" i="67"/>
  <c r="AS14" i="68"/>
  <c r="R15" i="62" s="1"/>
  <c r="T130" i="67"/>
  <c r="Y179" i="67"/>
  <c r="Z127" i="67"/>
  <c r="Y26" i="67"/>
  <c r="T588" i="67"/>
  <c r="T891" i="67"/>
  <c r="Z737" i="67"/>
  <c r="AO604" i="67"/>
  <c r="O127" i="67"/>
  <c r="P147" i="67"/>
  <c r="Y484" i="67"/>
  <c r="Z888" i="67"/>
  <c r="AO146" i="67"/>
  <c r="O737" i="67"/>
  <c r="P300" i="67"/>
  <c r="AJ198" i="67"/>
  <c r="Y636" i="67"/>
  <c r="Z433" i="67"/>
  <c r="AO907" i="67"/>
  <c r="P757" i="67"/>
  <c r="Y332" i="67"/>
  <c r="Z585" i="67"/>
  <c r="AH64" i="70"/>
  <c r="F167" i="65" s="1"/>
  <c r="F179" i="65" s="1"/>
  <c r="AO756" i="67"/>
  <c r="P453" i="67"/>
  <c r="Y938" i="67"/>
  <c r="AO452" i="67"/>
  <c r="P908" i="67"/>
  <c r="BJ64" i="70"/>
  <c r="AH167" i="65" s="1"/>
  <c r="AH179" i="65" s="1"/>
  <c r="BI22" i="68"/>
  <c r="AH22" i="62" s="1"/>
  <c r="P283" i="67"/>
  <c r="AF165" i="67"/>
  <c r="AJ180" i="67"/>
  <c r="AP332" i="67"/>
  <c r="AF773" i="67"/>
  <c r="AJ27" i="67"/>
  <c r="AP938" i="67"/>
  <c r="AF318" i="67"/>
  <c r="AD589" i="67"/>
  <c r="AJ485" i="67"/>
  <c r="BD14" i="68"/>
  <c r="AC15" i="62" s="1"/>
  <c r="AF924" i="67"/>
  <c r="AD131" i="67"/>
  <c r="AJ788" i="67"/>
  <c r="AD284" i="67"/>
  <c r="AJ637" i="67"/>
  <c r="AD741" i="67"/>
  <c r="AF12" i="67"/>
  <c r="AJ14" i="68"/>
  <c r="I15" i="62" s="1"/>
  <c r="O481" i="67"/>
  <c r="P179" i="67"/>
  <c r="P26" i="67"/>
  <c r="P332" i="67"/>
  <c r="P787" i="67"/>
  <c r="AS22" i="68"/>
  <c r="R22" i="62" s="1"/>
  <c r="Y197" i="67"/>
  <c r="Y44" i="67"/>
  <c r="Y654" i="67"/>
  <c r="Y350" i="67"/>
  <c r="AJ351" i="67"/>
  <c r="BD22" i="68"/>
  <c r="AC22" i="62" s="1"/>
  <c r="AJ957" i="67"/>
  <c r="AG14" i="68"/>
  <c r="F15" i="62" s="1"/>
  <c r="AO957" i="67"/>
  <c r="O585" i="67"/>
  <c r="AJ45" i="67"/>
  <c r="O888" i="67"/>
  <c r="AJ503" i="67"/>
  <c r="O280" i="67"/>
  <c r="AJ655" i="67"/>
  <c r="AO198" i="67"/>
  <c r="AO45" i="67"/>
  <c r="AO655" i="67"/>
  <c r="AO503" i="67"/>
  <c r="AO806" i="67"/>
  <c r="Q333" i="67"/>
  <c r="AF146" i="67"/>
  <c r="N892" i="67"/>
  <c r="AL64" i="70"/>
  <c r="J167" i="65" s="1"/>
  <c r="J179" i="65" s="1"/>
  <c r="Q939" i="67"/>
  <c r="AF604" i="67"/>
  <c r="M908" i="67"/>
  <c r="S757" i="67"/>
  <c r="M757" i="67"/>
  <c r="N1043" i="67"/>
  <c r="AF756" i="67"/>
  <c r="M453" i="67"/>
  <c r="BI14" i="68"/>
  <c r="AH15" i="62" s="1"/>
  <c r="S453" i="67"/>
  <c r="S908" i="67"/>
  <c r="AL589" i="67"/>
  <c r="AF452" i="67"/>
  <c r="M1059" i="67"/>
  <c r="Y604" i="67"/>
  <c r="S1059" i="67"/>
  <c r="AL284" i="67"/>
  <c r="AF907" i="67"/>
  <c r="Y146" i="67"/>
  <c r="Y299" i="67"/>
  <c r="R892" i="67"/>
  <c r="AO637" i="67"/>
  <c r="BN80" i="70"/>
  <c r="AL741" i="67"/>
  <c r="Y907" i="67"/>
  <c r="R741" i="67"/>
  <c r="AO939" i="67"/>
  <c r="AL437" i="67"/>
  <c r="Q27" i="67"/>
  <c r="AM14" i="68"/>
  <c r="L15" i="62" s="1"/>
  <c r="Y756" i="67"/>
  <c r="N589" i="67"/>
  <c r="AL892" i="67"/>
  <c r="Q485" i="67"/>
  <c r="Y452" i="67"/>
  <c r="AK14" i="68"/>
  <c r="J15" i="62" s="1"/>
  <c r="AL1043" i="67"/>
  <c r="Q637" i="67"/>
  <c r="M147" i="67"/>
  <c r="S300" i="67"/>
  <c r="N131" i="67"/>
  <c r="AF1042" i="67"/>
  <c r="P1416" i="67"/>
  <c r="P41" i="67" s="1"/>
  <c r="AF130" i="67"/>
  <c r="AF588" i="67"/>
  <c r="AF891" i="67"/>
  <c r="M180" i="67"/>
  <c r="M333" i="67"/>
  <c r="M939" i="67"/>
  <c r="M788" i="67"/>
  <c r="M27" i="67"/>
  <c r="M637" i="67"/>
  <c r="N623" i="67"/>
  <c r="R939" i="67"/>
  <c r="N774" i="67"/>
  <c r="S180" i="67"/>
  <c r="N319" i="67"/>
  <c r="N925" i="67"/>
  <c r="AP604" i="67"/>
  <c r="AD319" i="67"/>
  <c r="P12" i="67"/>
  <c r="P165" i="67"/>
  <c r="AD774" i="67"/>
  <c r="AT80" i="70"/>
  <c r="S637" i="67"/>
  <c r="AD925" i="67"/>
  <c r="S485" i="67"/>
  <c r="S333" i="67"/>
  <c r="S939" i="67"/>
  <c r="AD166" i="67"/>
  <c r="AD13" i="67"/>
  <c r="S27" i="67"/>
  <c r="AO27" i="67"/>
  <c r="AF350" i="67"/>
  <c r="AO485" i="67"/>
  <c r="AF956" i="67"/>
  <c r="R131" i="67"/>
  <c r="AO180" i="67"/>
  <c r="R589" i="67"/>
  <c r="AO788" i="67"/>
  <c r="R957" i="67"/>
  <c r="R284" i="67"/>
  <c r="R437" i="67"/>
  <c r="P622" i="67"/>
  <c r="P773" i="67"/>
  <c r="P318" i="67"/>
  <c r="K1416" i="67"/>
  <c r="K651" i="67" s="1"/>
  <c r="Y10" i="50"/>
  <c r="Y15" i="57" s="1"/>
  <c r="K1384" i="67"/>
  <c r="K619" i="67" s="1"/>
  <c r="AP502" i="67"/>
  <c r="BO64" i="70"/>
  <c r="AM167" i="65" s="1"/>
  <c r="AM179" i="65" s="1"/>
  <c r="R198" i="67"/>
  <c r="K1398" i="67"/>
  <c r="K481" i="67" s="1"/>
  <c r="AP197" i="67"/>
  <c r="AZ22" i="68"/>
  <c r="Y22" i="62" s="1"/>
  <c r="R45" i="67"/>
  <c r="K1536" i="67"/>
  <c r="K585" i="67" s="1"/>
  <c r="AF197" i="67"/>
  <c r="R806" i="67"/>
  <c r="AF502" i="67"/>
  <c r="R655" i="67"/>
  <c r="BB64" i="70"/>
  <c r="Z167" i="65" s="1"/>
  <c r="Z179" i="65" s="1"/>
  <c r="AF805" i="67"/>
  <c r="R503" i="67"/>
  <c r="AF44" i="67"/>
  <c r="R351" i="67"/>
  <c r="K953" i="67"/>
  <c r="P436" i="67"/>
  <c r="R453" i="67"/>
  <c r="P1042" i="67"/>
  <c r="R908" i="67"/>
  <c r="R1059" i="67"/>
  <c r="BJ22" i="68"/>
  <c r="AI22" i="62" s="1"/>
  <c r="AP44" i="67"/>
  <c r="AP805" i="67"/>
  <c r="P740" i="67"/>
  <c r="R605" i="67"/>
  <c r="AP654" i="67"/>
  <c r="P130" i="67"/>
  <c r="R300" i="67"/>
  <c r="AP350" i="67"/>
  <c r="P588" i="67"/>
  <c r="R147" i="67"/>
  <c r="O347" i="67"/>
  <c r="BD64" i="70"/>
  <c r="AB167" i="65" s="1"/>
  <c r="AB179" i="65" s="1"/>
  <c r="O194" i="67"/>
  <c r="O41" i="67"/>
  <c r="O499" i="67"/>
  <c r="O802" i="67"/>
  <c r="P1398" i="67"/>
  <c r="P23" i="67" s="1"/>
  <c r="P1384" i="67"/>
  <c r="P619" i="67" s="1"/>
  <c r="P1552" i="67"/>
  <c r="P904" i="67" s="1"/>
  <c r="AP636" i="67"/>
  <c r="O753" i="67"/>
  <c r="BJ14" i="68"/>
  <c r="AI15" i="62" s="1"/>
  <c r="AP179" i="67"/>
  <c r="AP484" i="67"/>
  <c r="AP787" i="67"/>
  <c r="R788" i="67"/>
  <c r="AP299" i="67"/>
  <c r="K921" i="67"/>
  <c r="AP452" i="67"/>
  <c r="AP756" i="67"/>
  <c r="AP1058" i="67"/>
  <c r="AL14" i="68"/>
  <c r="K15" i="62" s="1"/>
  <c r="R180" i="67"/>
  <c r="K1206" i="67"/>
  <c r="R27" i="67"/>
  <c r="R485" i="67"/>
  <c r="AP907" i="67"/>
  <c r="R637" i="67"/>
  <c r="O633" i="67"/>
  <c r="O23" i="67"/>
  <c r="O329" i="67"/>
  <c r="O449" i="67"/>
  <c r="O143" i="67"/>
  <c r="O601" i="67"/>
  <c r="O904" i="67"/>
  <c r="AE10" i="36"/>
  <c r="Z10" i="50"/>
  <c r="Z15" i="57" s="1"/>
  <c r="K1190" i="67"/>
  <c r="K1055" i="67"/>
  <c r="K1086" i="67"/>
  <c r="K784" i="67"/>
  <c r="K1072" i="67"/>
  <c r="K1104" i="67"/>
  <c r="K1039" i="67"/>
  <c r="K935" i="67"/>
  <c r="L1229" i="67"/>
  <c r="Q1229" i="67"/>
  <c r="M1228" i="67"/>
  <c r="L1228" i="67"/>
  <c r="AF7" i="68" s="1"/>
  <c r="E9" i="62" s="1"/>
  <c r="AT1228" i="67"/>
  <c r="R1228" i="67"/>
  <c r="K1228" i="67"/>
  <c r="Z1229" i="67"/>
  <c r="AC1229" i="67"/>
  <c r="W1229" i="67"/>
  <c r="AQ1228" i="67"/>
  <c r="T1262" i="67"/>
  <c r="AQ1346" i="67"/>
  <c r="AP1229" i="67"/>
  <c r="Z1260" i="67"/>
  <c r="AO1230" i="67"/>
  <c r="AM1229" i="67"/>
  <c r="AD1363" i="67"/>
  <c r="AT1244" i="67"/>
  <c r="R1229" i="67"/>
  <c r="AM1228" i="67"/>
  <c r="AO1348" i="67"/>
  <c r="Y1244" i="67"/>
  <c r="V1228" i="67"/>
  <c r="W1348" i="67"/>
  <c r="U1364" i="67"/>
  <c r="AF1230" i="67"/>
  <c r="P1262" i="67"/>
  <c r="AE1230" i="67"/>
  <c r="AE1364" i="67"/>
  <c r="Q1364" i="67"/>
  <c r="AF1261" i="67"/>
  <c r="AK1346" i="67"/>
  <c r="AJ1262" i="67"/>
  <c r="AR1260" i="67"/>
  <c r="Y10" i="69"/>
  <c r="AI1228" i="67"/>
  <c r="AP1228" i="67"/>
  <c r="AU1229" i="67"/>
  <c r="AC1261" i="67"/>
  <c r="AM1262" i="67"/>
  <c r="U1228" i="67"/>
  <c r="AR1364" i="67"/>
  <c r="AP1364" i="67"/>
  <c r="X1230" i="67"/>
  <c r="AP1243" i="67"/>
  <c r="Q1244" i="67"/>
  <c r="AI1362" i="67"/>
  <c r="Y1228" i="67"/>
  <c r="AT1229" i="67"/>
  <c r="AL1229" i="67"/>
  <c r="AV1228" i="67"/>
  <c r="K1346" i="67"/>
  <c r="AN1262" i="67"/>
  <c r="AR1346" i="67"/>
  <c r="AB1228" i="67"/>
  <c r="AM1260" i="67"/>
  <c r="AT1346" i="67"/>
  <c r="AV1346" i="67"/>
  <c r="L1243" i="67"/>
  <c r="O1243" i="67"/>
  <c r="AM1348" i="67"/>
  <c r="AG1242" i="67"/>
  <c r="Q1228" i="67"/>
  <c r="AK7" i="68" s="1"/>
  <c r="J9" i="62" s="1"/>
  <c r="AN1242" i="67"/>
  <c r="AN1364" i="67"/>
  <c r="S1364" i="67"/>
  <c r="AK1364" i="67"/>
  <c r="M1346" i="67"/>
  <c r="AA1229" i="67"/>
  <c r="Z1348" i="67"/>
  <c r="AV1244" i="67"/>
  <c r="P1244" i="67"/>
  <c r="AL1244" i="67"/>
  <c r="AU1244" i="67"/>
  <c r="AM1364" i="67"/>
  <c r="N1262" i="67"/>
  <c r="AH1230" i="67"/>
  <c r="AO1262" i="67"/>
  <c r="Y1230" i="67"/>
  <c r="Y1364" i="67"/>
  <c r="M1229" i="67"/>
  <c r="AG7" i="68" s="1"/>
  <c r="F9" i="62" s="1"/>
  <c r="T1363" i="67"/>
  <c r="AV1348" i="67"/>
  <c r="O1348" i="67"/>
  <c r="AT1348" i="67"/>
  <c r="AS1228" i="67"/>
  <c r="AJ1348" i="67"/>
  <c r="AK1244" i="67"/>
  <c r="AU1363" i="67"/>
  <c r="W1228" i="67"/>
  <c r="AO1229" i="67"/>
  <c r="AR1244" i="67"/>
  <c r="AB1348" i="67"/>
  <c r="AA1348" i="67"/>
  <c r="K1230" i="67"/>
  <c r="AU1260" i="67"/>
  <c r="X1261" i="67"/>
  <c r="R1244" i="67"/>
  <c r="AS1244" i="67"/>
  <c r="AD1228" i="67"/>
  <c r="AU1228" i="67"/>
  <c r="M1362" i="67"/>
  <c r="AL1228" i="67"/>
  <c r="AG1364" i="67"/>
  <c r="AF1229" i="67"/>
  <c r="AA1364" i="67"/>
  <c r="AB1229" i="67"/>
  <c r="T1261" i="67"/>
  <c r="AB1362" i="67"/>
  <c r="L1346" i="67"/>
  <c r="AR1230" i="67"/>
  <c r="M1262" i="67"/>
  <c r="M1242" i="67"/>
  <c r="X1228" i="67"/>
  <c r="X1362" i="67"/>
  <c r="T1230" i="67"/>
  <c r="AI1346" i="67"/>
  <c r="AN1230" i="67"/>
  <c r="AI1243" i="67"/>
  <c r="V1242" i="67"/>
  <c r="AD1244" i="67"/>
  <c r="K1348" i="67"/>
  <c r="O1229" i="67"/>
  <c r="AH1228" i="67"/>
  <c r="AJ1229" i="67"/>
  <c r="AC1228" i="67"/>
  <c r="AA1228" i="67"/>
  <c r="AG1346" i="67"/>
  <c r="X1242" i="67"/>
  <c r="AR1228" i="67"/>
  <c r="AP1347" i="67"/>
  <c r="AG1228" i="67"/>
  <c r="Z1228" i="67"/>
  <c r="AN1228" i="67"/>
  <c r="AF1348" i="67"/>
  <c r="AF1243" i="67"/>
  <c r="AI1260" i="67"/>
  <c r="K1243" i="67"/>
  <c r="Z1346" i="67"/>
  <c r="T1229" i="67"/>
  <c r="AV1364" i="67"/>
  <c r="AE1262" i="67"/>
  <c r="L1242" i="67"/>
  <c r="AU1261" i="67"/>
  <c r="W1242" i="67"/>
  <c r="K1229" i="67"/>
  <c r="AE7" i="68" s="1"/>
  <c r="D9" i="62" s="1"/>
  <c r="T1243" i="67"/>
  <c r="AK167" i="65"/>
  <c r="AK179" i="65" s="1"/>
  <c r="V167" i="65"/>
  <c r="V179" i="65" s="1"/>
  <c r="U609" i="67"/>
  <c r="U151" i="67"/>
  <c r="U304" i="67"/>
  <c r="U457" i="67"/>
  <c r="U761" i="67"/>
  <c r="U912" i="67"/>
  <c r="Y760" i="67"/>
  <c r="Y456" i="67"/>
  <c r="Y911" i="67"/>
  <c r="Y150" i="67"/>
  <c r="Y608" i="67"/>
  <c r="Y303" i="67"/>
  <c r="N895" i="67"/>
  <c r="N440" i="67"/>
  <c r="N744" i="67"/>
  <c r="N287" i="67"/>
  <c r="N134" i="67"/>
  <c r="N592" i="67"/>
  <c r="AW1364" i="67"/>
  <c r="AT25" i="68"/>
  <c r="S23" i="62" s="1"/>
  <c r="Z354" i="67"/>
  <c r="Z809" i="67"/>
  <c r="Z658" i="67"/>
  <c r="Z201" i="67"/>
  <c r="Z48" i="67"/>
  <c r="Z506" i="67"/>
  <c r="K1062" i="67"/>
  <c r="K1559" i="67"/>
  <c r="K1543" i="67"/>
  <c r="K1405" i="67"/>
  <c r="K1423" i="67"/>
  <c r="K1391" i="67"/>
  <c r="K1046" i="67"/>
  <c r="K1093" i="67"/>
  <c r="K960" i="67"/>
  <c r="K1111" i="67"/>
  <c r="K942" i="67"/>
  <c r="K791" i="67"/>
  <c r="K1213" i="67"/>
  <c r="K1079" i="67"/>
  <c r="K928" i="67"/>
  <c r="K1197" i="67"/>
  <c r="AI1262" i="67"/>
  <c r="Z1364" i="67"/>
  <c r="V1230" i="67"/>
  <c r="S1230" i="67"/>
  <c r="AP1230" i="67"/>
  <c r="AS1262" i="67"/>
  <c r="AC1364" i="67"/>
  <c r="Z1243" i="67"/>
  <c r="N1242" i="67"/>
  <c r="P744" i="67"/>
  <c r="P895" i="67"/>
  <c r="P440" i="67"/>
  <c r="P287" i="67"/>
  <c r="P592" i="67"/>
  <c r="P134" i="67"/>
  <c r="Z745" i="67"/>
  <c r="Z896" i="67"/>
  <c r="Z441" i="67"/>
  <c r="Z288" i="67"/>
  <c r="Z593" i="67"/>
  <c r="Z135" i="67"/>
  <c r="T895" i="67"/>
  <c r="T440" i="67"/>
  <c r="T744" i="67"/>
  <c r="T134" i="67"/>
  <c r="T287" i="67"/>
  <c r="T592" i="67"/>
  <c r="AA593" i="67"/>
  <c r="AA135" i="67"/>
  <c r="AA441" i="67"/>
  <c r="AA288" i="67"/>
  <c r="AA745" i="67"/>
  <c r="AA896" i="67"/>
  <c r="U745" i="67"/>
  <c r="U441" i="67"/>
  <c r="U896" i="67"/>
  <c r="U288" i="67"/>
  <c r="U593" i="67"/>
  <c r="U135" i="67"/>
  <c r="M337" i="67"/>
  <c r="M641" i="67"/>
  <c r="M31" i="67"/>
  <c r="M489" i="67"/>
  <c r="M184" i="67"/>
  <c r="O337" i="67"/>
  <c r="O184" i="67"/>
  <c r="O31" i="67"/>
  <c r="O489" i="67"/>
  <c r="O641" i="67"/>
  <c r="N337" i="67"/>
  <c r="N489" i="67"/>
  <c r="N641" i="67"/>
  <c r="N184" i="67"/>
  <c r="N31" i="67"/>
  <c r="Q337" i="67"/>
  <c r="Q184" i="67"/>
  <c r="Q31" i="67"/>
  <c r="Q641" i="67"/>
  <c r="Q489" i="67"/>
  <c r="Y337" i="67"/>
  <c r="Y489" i="67"/>
  <c r="Y184" i="67"/>
  <c r="Y31" i="67"/>
  <c r="Y641" i="67"/>
  <c r="L336" i="67"/>
  <c r="L30" i="67"/>
  <c r="L640" i="67"/>
  <c r="L488" i="67"/>
  <c r="L183" i="67"/>
  <c r="AH1262" i="67"/>
  <c r="AI1244" i="67"/>
  <c r="X1346" i="67"/>
  <c r="AC167" i="65"/>
  <c r="AC179" i="65" s="1"/>
  <c r="AT1261" i="67"/>
  <c r="AB1346" i="67"/>
  <c r="AE167" i="65"/>
  <c r="AE179" i="65" s="1"/>
  <c r="D167" i="65"/>
  <c r="D179" i="65" s="1"/>
  <c r="S1348" i="67"/>
  <c r="AT1260" i="67"/>
  <c r="AF167" i="65"/>
  <c r="AF179" i="65" s="1"/>
  <c r="P896" i="67"/>
  <c r="P441" i="67"/>
  <c r="P745" i="67"/>
  <c r="P288" i="67"/>
  <c r="P593" i="67"/>
  <c r="P135" i="67"/>
  <c r="P323" i="67"/>
  <c r="P170" i="67"/>
  <c r="P778" i="67"/>
  <c r="P627" i="67"/>
  <c r="P17" i="67"/>
  <c r="P475" i="67"/>
  <c r="T457" i="67"/>
  <c r="T151" i="67"/>
  <c r="T304" i="67"/>
  <c r="T761" i="67"/>
  <c r="T912" i="67"/>
  <c r="T609" i="67"/>
  <c r="T323" i="67"/>
  <c r="T17" i="67"/>
  <c r="T778" i="67"/>
  <c r="T170" i="67"/>
  <c r="T627" i="67"/>
  <c r="T475" i="67"/>
  <c r="U911" i="67"/>
  <c r="U456" i="67"/>
  <c r="U760" i="67"/>
  <c r="U150" i="67"/>
  <c r="U608" i="67"/>
  <c r="U303" i="67"/>
  <c r="U322" i="67"/>
  <c r="U169" i="67"/>
  <c r="U474" i="67"/>
  <c r="U16" i="67"/>
  <c r="U777" i="67"/>
  <c r="U626" i="67"/>
  <c r="AO10" i="68"/>
  <c r="N12" i="62" s="1"/>
  <c r="AQ1362" i="67"/>
  <c r="V1346" i="67"/>
  <c r="Q1260" i="67"/>
  <c r="U1260" i="67"/>
  <c r="P167" i="65"/>
  <c r="P179" i="65" s="1"/>
  <c r="W1262" i="67"/>
  <c r="T194" i="67"/>
  <c r="T347" i="67"/>
  <c r="T651" i="67"/>
  <c r="T499" i="67"/>
  <c r="T802" i="67"/>
  <c r="T41" i="67"/>
  <c r="AD1348" i="67"/>
  <c r="Z1244" i="67"/>
  <c r="V1244" i="67"/>
  <c r="S1244" i="67"/>
  <c r="W1362" i="67"/>
  <c r="Q440" i="67"/>
  <c r="Q592" i="67"/>
  <c r="Q134" i="67"/>
  <c r="Q895" i="67"/>
  <c r="Q287" i="67"/>
  <c r="Q744" i="67"/>
  <c r="Y134" i="67"/>
  <c r="Y287" i="67"/>
  <c r="Y440" i="67"/>
  <c r="Y744" i="67"/>
  <c r="Y592" i="67"/>
  <c r="Y895" i="67"/>
  <c r="L745" i="67"/>
  <c r="L441" i="67"/>
  <c r="L896" i="67"/>
  <c r="L593" i="67"/>
  <c r="L135" i="67"/>
  <c r="L288" i="67"/>
  <c r="O1347" i="67"/>
  <c r="AW1228" i="67"/>
  <c r="AG167" i="65"/>
  <c r="AG179" i="65" s="1"/>
  <c r="M354" i="67"/>
  <c r="M809" i="67"/>
  <c r="M658" i="67"/>
  <c r="M48" i="67"/>
  <c r="M506" i="67"/>
  <c r="AG25" i="68"/>
  <c r="F23" i="62" s="1"/>
  <c r="M201" i="67"/>
  <c r="O354" i="67"/>
  <c r="O809" i="67"/>
  <c r="O658" i="67"/>
  <c r="O48" i="67"/>
  <c r="O506" i="67"/>
  <c r="AI25" i="68"/>
  <c r="H23" i="62" s="1"/>
  <c r="O201" i="67"/>
  <c r="N354" i="67"/>
  <c r="N48" i="67"/>
  <c r="N658" i="67"/>
  <c r="N201" i="67"/>
  <c r="N506" i="67"/>
  <c r="AH25" i="68"/>
  <c r="G23" i="62" s="1"/>
  <c r="N809" i="67"/>
  <c r="X1364" i="67"/>
  <c r="N1230" i="67"/>
  <c r="U1230" i="67"/>
  <c r="AH1363" i="67"/>
  <c r="AE1348" i="67"/>
  <c r="V1348" i="67"/>
  <c r="N1348" i="67"/>
  <c r="AH1244" i="67"/>
  <c r="N1243" i="67"/>
  <c r="AC1242" i="67"/>
  <c r="AQ1242" i="67"/>
  <c r="AO1242" i="67"/>
  <c r="AG1362" i="67"/>
  <c r="X1260" i="67"/>
  <c r="U1242" i="67"/>
  <c r="AJ167" i="65"/>
  <c r="AJ179" i="65" s="1"/>
  <c r="U1262" i="67"/>
  <c r="T1347" i="67"/>
  <c r="AV1230" i="67"/>
  <c r="AF1262" i="67"/>
  <c r="P1230" i="67"/>
  <c r="O1364" i="67"/>
  <c r="AT1230" i="67"/>
  <c r="AW1348" i="67"/>
  <c r="Q1262" i="67"/>
  <c r="AF1363" i="67"/>
  <c r="AN1243" i="67"/>
  <c r="AD167" i="65"/>
  <c r="AD179" i="65" s="1"/>
  <c r="R167" i="65"/>
  <c r="R179" i="65" s="1"/>
  <c r="AK1230" i="67"/>
  <c r="AV1242" i="67"/>
  <c r="L1262" i="67"/>
  <c r="AA1230" i="67"/>
  <c r="R1364" i="67"/>
  <c r="AC1262" i="67"/>
  <c r="M1230" i="67"/>
  <c r="M1364" i="67"/>
  <c r="K1242" i="67"/>
  <c r="W167" i="65"/>
  <c r="W179" i="65" s="1"/>
  <c r="AG1244" i="67"/>
  <c r="L1260" i="67"/>
  <c r="AP1348" i="67"/>
  <c r="Z336" i="67"/>
  <c r="Z183" i="67"/>
  <c r="Z640" i="67"/>
  <c r="Z488" i="67"/>
  <c r="Z30" i="67"/>
  <c r="AA336" i="67"/>
  <c r="AA30" i="67"/>
  <c r="AA640" i="67"/>
  <c r="AA183" i="67"/>
  <c r="AA488" i="67"/>
  <c r="AN167" i="65"/>
  <c r="AN179" i="65" s="1"/>
  <c r="E167" i="65"/>
  <c r="E179" i="65" s="1"/>
  <c r="L167" i="65"/>
  <c r="L179" i="65" s="1"/>
  <c r="P456" i="67"/>
  <c r="P303" i="67"/>
  <c r="P608" i="67"/>
  <c r="P150" i="67"/>
  <c r="P911" i="67"/>
  <c r="P760" i="67"/>
  <c r="Z609" i="67"/>
  <c r="Z912" i="67"/>
  <c r="Z151" i="67"/>
  <c r="Z457" i="67"/>
  <c r="Z304" i="67"/>
  <c r="Z761" i="67"/>
  <c r="T322" i="67"/>
  <c r="AN10" i="68"/>
  <c r="M12" i="62" s="1"/>
  <c r="T16" i="67"/>
  <c r="T626" i="67"/>
  <c r="T777" i="67"/>
  <c r="T474" i="67"/>
  <c r="T169" i="67"/>
  <c r="AA609" i="67"/>
  <c r="AA912" i="67"/>
  <c r="AA151" i="67"/>
  <c r="AA761" i="67"/>
  <c r="AA457" i="67"/>
  <c r="AA304" i="67"/>
  <c r="U323" i="67"/>
  <c r="U778" i="67"/>
  <c r="U475" i="67"/>
  <c r="U17" i="67"/>
  <c r="U627" i="67"/>
  <c r="U170" i="67"/>
  <c r="O745" i="67"/>
  <c r="O288" i="67"/>
  <c r="O441" i="67"/>
  <c r="O896" i="67"/>
  <c r="O135" i="67"/>
  <c r="O593" i="67"/>
  <c r="Q355" i="67"/>
  <c r="Q659" i="67"/>
  <c r="Q810" i="67"/>
  <c r="Q507" i="67"/>
  <c r="Q49" i="67"/>
  <c r="Q202" i="67"/>
  <c r="Y355" i="67"/>
  <c r="Y49" i="67"/>
  <c r="Y507" i="67"/>
  <c r="Y810" i="67"/>
  <c r="Y659" i="67"/>
  <c r="Y202" i="67"/>
  <c r="L354" i="67"/>
  <c r="L48" i="67"/>
  <c r="L809" i="67"/>
  <c r="L658" i="67"/>
  <c r="L201" i="67"/>
  <c r="AF25" i="68"/>
  <c r="E23" i="62" s="1"/>
  <c r="L506" i="67"/>
  <c r="P337" i="67"/>
  <c r="P31" i="67"/>
  <c r="P184" i="67"/>
  <c r="P641" i="67"/>
  <c r="P489" i="67"/>
  <c r="T337" i="67"/>
  <c r="T489" i="67"/>
  <c r="T184" i="67"/>
  <c r="T31" i="67"/>
  <c r="T641" i="67"/>
  <c r="U336" i="67"/>
  <c r="U640" i="67"/>
  <c r="U488" i="67"/>
  <c r="U183" i="67"/>
  <c r="U30" i="67"/>
  <c r="M167" i="65"/>
  <c r="M179" i="65" s="1"/>
  <c r="T585" i="67"/>
  <c r="T280" i="67"/>
  <c r="T737" i="67"/>
  <c r="T433" i="67"/>
  <c r="T888" i="67"/>
  <c r="T127" i="67"/>
  <c r="Q456" i="67"/>
  <c r="Q608" i="67"/>
  <c r="Q303" i="67"/>
  <c r="Q150" i="67"/>
  <c r="Q911" i="67"/>
  <c r="Q760" i="67"/>
  <c r="Y322" i="67"/>
  <c r="Y777" i="67"/>
  <c r="Y626" i="67"/>
  <c r="Y16" i="67"/>
  <c r="Y474" i="67"/>
  <c r="AS10" i="68"/>
  <c r="R12" i="62" s="1"/>
  <c r="Y169" i="67"/>
  <c r="L151" i="67"/>
  <c r="L609" i="67"/>
  <c r="L457" i="67"/>
  <c r="L761" i="67"/>
  <c r="L304" i="67"/>
  <c r="L912" i="67"/>
  <c r="M287" i="67"/>
  <c r="M440" i="67"/>
  <c r="M134" i="67"/>
  <c r="M592" i="67"/>
  <c r="M744" i="67"/>
  <c r="M895" i="67"/>
  <c r="O895" i="67"/>
  <c r="O440" i="67"/>
  <c r="O744" i="67"/>
  <c r="O287" i="67"/>
  <c r="O134" i="67"/>
  <c r="O592" i="67"/>
  <c r="AD1364" i="67"/>
  <c r="N1244" i="67"/>
  <c r="AC1346" i="67"/>
  <c r="U1362" i="67"/>
  <c r="U1244" i="67"/>
  <c r="O1242" i="67"/>
  <c r="AV1262" i="67"/>
  <c r="V1364" i="67"/>
  <c r="AQ1364" i="67"/>
  <c r="AU1262" i="67"/>
  <c r="AC1230" i="67"/>
  <c r="W1347" i="67"/>
  <c r="V1260" i="67"/>
  <c r="Q1362" i="67"/>
  <c r="X167" i="65"/>
  <c r="X179" i="65" s="1"/>
  <c r="W1244" i="67"/>
  <c r="AD1262" i="67"/>
  <c r="Z1230" i="67"/>
  <c r="Z1242" i="67"/>
  <c r="O1262" i="67"/>
  <c r="AW1230" i="67"/>
  <c r="AW1262" i="67"/>
  <c r="AG1262" i="67"/>
  <c r="Q1230" i="67"/>
  <c r="AL1262" i="67"/>
  <c r="AQ1230" i="67"/>
  <c r="AU1347" i="67"/>
  <c r="W1346" i="67"/>
  <c r="L1230" i="67"/>
  <c r="AA1262" i="67"/>
  <c r="K1262" i="67"/>
  <c r="K1244" i="67"/>
  <c r="AS1243" i="67"/>
  <c r="AW1346" i="67"/>
  <c r="AJ25" i="68"/>
  <c r="I23" i="62" s="1"/>
  <c r="P354" i="67"/>
  <c r="P658" i="67"/>
  <c r="P809" i="67"/>
  <c r="P506" i="67"/>
  <c r="P48" i="67"/>
  <c r="P201" i="67"/>
  <c r="Z355" i="67"/>
  <c r="Z507" i="67"/>
  <c r="Z202" i="67"/>
  <c r="Z49" i="67"/>
  <c r="Z659" i="67"/>
  <c r="Z810" i="67"/>
  <c r="AN25" i="68"/>
  <c r="M23" i="62" s="1"/>
  <c r="T354" i="67"/>
  <c r="T201" i="67"/>
  <c r="T658" i="67"/>
  <c r="T809" i="67"/>
  <c r="T48" i="67"/>
  <c r="T506" i="67"/>
  <c r="AA355" i="67"/>
  <c r="AA659" i="67"/>
  <c r="AA810" i="67"/>
  <c r="AA507" i="67"/>
  <c r="AA49" i="67"/>
  <c r="AA202" i="67"/>
  <c r="U355" i="67"/>
  <c r="U49" i="67"/>
  <c r="U810" i="67"/>
  <c r="U659" i="67"/>
  <c r="U202" i="67"/>
  <c r="U507" i="67"/>
  <c r="M457" i="67"/>
  <c r="M609" i="67"/>
  <c r="M912" i="67"/>
  <c r="M304" i="67"/>
  <c r="M151" i="67"/>
  <c r="M761" i="67"/>
  <c r="M323" i="67"/>
  <c r="M17" i="67"/>
  <c r="M170" i="67"/>
  <c r="M475" i="67"/>
  <c r="M778" i="67"/>
  <c r="M627" i="67"/>
  <c r="O355" i="67"/>
  <c r="O49" i="67"/>
  <c r="O202" i="67"/>
  <c r="O810" i="67"/>
  <c r="O659" i="67"/>
  <c r="O507" i="67"/>
  <c r="O323" i="67"/>
  <c r="O627" i="67"/>
  <c r="O17" i="67"/>
  <c r="O475" i="67"/>
  <c r="O170" i="67"/>
  <c r="O778" i="67"/>
  <c r="N912" i="67"/>
  <c r="N609" i="67"/>
  <c r="N457" i="67"/>
  <c r="N761" i="67"/>
  <c r="N304" i="67"/>
  <c r="N151" i="67"/>
  <c r="N323" i="67"/>
  <c r="N778" i="67"/>
  <c r="N627" i="67"/>
  <c r="N17" i="67"/>
  <c r="N475" i="67"/>
  <c r="N170" i="67"/>
  <c r="Q457" i="67"/>
  <c r="Q151" i="67"/>
  <c r="Q912" i="67"/>
  <c r="Q761" i="67"/>
  <c r="Q304" i="67"/>
  <c r="Q609" i="67"/>
  <c r="Q323" i="67"/>
  <c r="Q475" i="67"/>
  <c r="Q778" i="67"/>
  <c r="Q627" i="67"/>
  <c r="Q170" i="67"/>
  <c r="Q17" i="67"/>
  <c r="Y912" i="67"/>
  <c r="Y457" i="67"/>
  <c r="Y609" i="67"/>
  <c r="Y151" i="67"/>
  <c r="Y304" i="67"/>
  <c r="Y761" i="67"/>
  <c r="Y323" i="67"/>
  <c r="Y17" i="67"/>
  <c r="Y778" i="67"/>
  <c r="Y170" i="67"/>
  <c r="Y627" i="67"/>
  <c r="Y475" i="67"/>
  <c r="L456" i="67"/>
  <c r="L760" i="67"/>
  <c r="L608" i="67"/>
  <c r="L911" i="67"/>
  <c r="L150" i="67"/>
  <c r="L303" i="67"/>
  <c r="L322" i="67"/>
  <c r="AF10" i="68"/>
  <c r="E12" i="62" s="1"/>
  <c r="L169" i="67"/>
  <c r="L777" i="67"/>
  <c r="L626" i="67"/>
  <c r="L16" i="67"/>
  <c r="L474" i="67"/>
  <c r="C167" i="65"/>
  <c r="C179" i="65" s="1"/>
  <c r="W1230" i="67"/>
  <c r="Z1362" i="67"/>
  <c r="B75" i="65"/>
  <c r="B80" i="65" s="1"/>
  <c r="K315" i="67" s="1"/>
  <c r="AD71" i="70"/>
  <c r="B39" i="65"/>
  <c r="B41" i="65" s="1"/>
  <c r="K162" i="67" s="1"/>
  <c r="B127" i="65"/>
  <c r="B137" i="65" s="1"/>
  <c r="K467" i="67" s="1"/>
  <c r="AD55" i="70"/>
  <c r="B19" i="65"/>
  <c r="AK1348" i="67"/>
  <c r="AB1244" i="67"/>
  <c r="M1244" i="67"/>
  <c r="P457" i="67"/>
  <c r="P151" i="67"/>
  <c r="P304" i="67"/>
  <c r="P609" i="67"/>
  <c r="P912" i="67"/>
  <c r="P761" i="67"/>
  <c r="T745" i="67"/>
  <c r="T896" i="67"/>
  <c r="T441" i="67"/>
  <c r="T593" i="67"/>
  <c r="T135" i="67"/>
  <c r="T288" i="67"/>
  <c r="U895" i="67"/>
  <c r="U440" i="67"/>
  <c r="U134" i="67"/>
  <c r="U287" i="67"/>
  <c r="U592" i="67"/>
  <c r="U744" i="67"/>
  <c r="X1262" i="67"/>
  <c r="AM1230" i="67"/>
  <c r="AC1362" i="67"/>
  <c r="U1243" i="67"/>
  <c r="S1347" i="67"/>
  <c r="AI1348" i="67"/>
  <c r="U167" i="65"/>
  <c r="U179" i="65" s="1"/>
  <c r="T176" i="67"/>
  <c r="T329" i="67"/>
  <c r="T481" i="67"/>
  <c r="T633" i="67"/>
  <c r="T23" i="67"/>
  <c r="K167" i="65"/>
  <c r="K179" i="65" s="1"/>
  <c r="K1347" i="67"/>
  <c r="O1260" i="67"/>
  <c r="AF1244" i="67"/>
  <c r="AE1244" i="67"/>
  <c r="AQ1363" i="67"/>
  <c r="AR1362" i="67"/>
  <c r="AB1242" i="67"/>
  <c r="AQ1244" i="67"/>
  <c r="L1362" i="67"/>
  <c r="AT1362" i="67"/>
  <c r="AV1362" i="67"/>
  <c r="R1348" i="67"/>
  <c r="AC1244" i="67"/>
  <c r="M1348" i="67"/>
  <c r="AW1362" i="67"/>
  <c r="P585" i="67"/>
  <c r="P280" i="67"/>
  <c r="P433" i="67"/>
  <c r="P737" i="67"/>
  <c r="P888" i="67"/>
  <c r="P127" i="67"/>
  <c r="Q354" i="67"/>
  <c r="Q658" i="67"/>
  <c r="AK25" i="68"/>
  <c r="J23" i="62" s="1"/>
  <c r="Q506" i="67"/>
  <c r="Q809" i="67"/>
  <c r="Q48" i="67"/>
  <c r="Q201" i="67"/>
  <c r="Y336" i="67"/>
  <c r="Y183" i="67"/>
  <c r="Y640" i="67"/>
  <c r="Y488" i="67"/>
  <c r="Y30" i="67"/>
  <c r="L355" i="67"/>
  <c r="L49" i="67"/>
  <c r="L659" i="67"/>
  <c r="L202" i="67"/>
  <c r="L507" i="67"/>
  <c r="L810" i="67"/>
  <c r="M336" i="67"/>
  <c r="M30" i="67"/>
  <c r="M640" i="67"/>
  <c r="M488" i="67"/>
  <c r="M183" i="67"/>
  <c r="O336" i="67"/>
  <c r="O640" i="67"/>
  <c r="O488" i="67"/>
  <c r="O183" i="67"/>
  <c r="O30" i="67"/>
  <c r="N336" i="67"/>
  <c r="N183" i="67"/>
  <c r="N30" i="67"/>
  <c r="N640" i="67"/>
  <c r="N488" i="67"/>
  <c r="AQ1260" i="67"/>
  <c r="U1346" i="67"/>
  <c r="W1364" i="67"/>
  <c r="O1244" i="67"/>
  <c r="AJ1260" i="67"/>
  <c r="L1348" i="67"/>
  <c r="X1348" i="67"/>
  <c r="AM1244" i="67"/>
  <c r="AI1363" i="67"/>
  <c r="AV1347" i="67"/>
  <c r="AG1260" i="67"/>
  <c r="AI1364" i="67"/>
  <c r="S1260" i="67"/>
  <c r="Z1262" i="67"/>
  <c r="O1230" i="67"/>
  <c r="AT1364" i="67"/>
  <c r="AG1230" i="67"/>
  <c r="AI1242" i="67"/>
  <c r="AB1260" i="67"/>
  <c r="P1243" i="67"/>
  <c r="AI167" i="65"/>
  <c r="AI179" i="65" s="1"/>
  <c r="AL1230" i="67"/>
  <c r="AL1364" i="67"/>
  <c r="AQ1262" i="67"/>
  <c r="AJ1364" i="67"/>
  <c r="S1262" i="67"/>
  <c r="AU1230" i="67"/>
  <c r="AU1364" i="67"/>
  <c r="AT1242" i="67"/>
  <c r="AR1262" i="67"/>
  <c r="AB1230" i="67"/>
  <c r="AB1364" i="67"/>
  <c r="K1364" i="67"/>
  <c r="R1230" i="67"/>
  <c r="AP1262" i="67"/>
  <c r="AS1230" i="67"/>
  <c r="AS1364" i="67"/>
  <c r="L1347" i="67"/>
  <c r="Y1347" i="67"/>
  <c r="T1348" i="67"/>
  <c r="AQ1348" i="67"/>
  <c r="Z760" i="67"/>
  <c r="Z303" i="67"/>
  <c r="Z911" i="67"/>
  <c r="Z456" i="67"/>
  <c r="Z608" i="67"/>
  <c r="Z150" i="67"/>
  <c r="AT10" i="68"/>
  <c r="S12" i="62" s="1"/>
  <c r="Z322" i="67"/>
  <c r="Z474" i="67"/>
  <c r="Z169" i="67"/>
  <c r="Z777" i="67"/>
  <c r="Z626" i="67"/>
  <c r="Z16" i="67"/>
  <c r="AA303" i="67"/>
  <c r="AA760" i="67"/>
  <c r="AA911" i="67"/>
  <c r="AA456" i="67"/>
  <c r="AA608" i="67"/>
  <c r="AA150" i="67"/>
  <c r="AA322" i="67"/>
  <c r="AA777" i="67"/>
  <c r="AA169" i="67"/>
  <c r="AU10" i="68"/>
  <c r="T12" i="62" s="1"/>
  <c r="AA626" i="67"/>
  <c r="AA16" i="67"/>
  <c r="AA474" i="67"/>
  <c r="K1063" i="67"/>
  <c r="K1560" i="67"/>
  <c r="K1544" i="67"/>
  <c r="K1406" i="67"/>
  <c r="K1392" i="67"/>
  <c r="K1424" i="67"/>
  <c r="K961" i="67"/>
  <c r="K792" i="67"/>
  <c r="K1198" i="67"/>
  <c r="K1047" i="67"/>
  <c r="K1112" i="67"/>
  <c r="K1094" i="67"/>
  <c r="K943" i="67"/>
  <c r="K1080" i="67"/>
  <c r="K929" i="67"/>
  <c r="K1214" i="67"/>
  <c r="AO1244" i="67"/>
  <c r="H167" i="65"/>
  <c r="H179" i="65" s="1"/>
  <c r="P322" i="67"/>
  <c r="P777" i="67"/>
  <c r="AJ10" i="68"/>
  <c r="I12" i="62" s="1"/>
  <c r="P16" i="67"/>
  <c r="P474" i="67"/>
  <c r="P626" i="67"/>
  <c r="P169" i="67"/>
  <c r="Z323" i="67"/>
  <c r="Z627" i="67"/>
  <c r="Z475" i="67"/>
  <c r="Z17" i="67"/>
  <c r="Z170" i="67"/>
  <c r="Z778" i="67"/>
  <c r="T911" i="67"/>
  <c r="T608" i="67"/>
  <c r="T303" i="67"/>
  <c r="T456" i="67"/>
  <c r="T150" i="67"/>
  <c r="T760" i="67"/>
  <c r="AA323" i="67"/>
  <c r="AA778" i="67"/>
  <c r="AA475" i="67"/>
  <c r="AA17" i="67"/>
  <c r="AA627" i="67"/>
  <c r="AA170" i="67"/>
  <c r="M355" i="67"/>
  <c r="M507" i="67"/>
  <c r="M659" i="67"/>
  <c r="M49" i="67"/>
  <c r="M810" i="67"/>
  <c r="M202" i="67"/>
  <c r="N355" i="67"/>
  <c r="N49" i="67"/>
  <c r="N810" i="67"/>
  <c r="N659" i="67"/>
  <c r="N202" i="67"/>
  <c r="N507" i="67"/>
  <c r="AL167" i="65"/>
  <c r="AL179" i="65" s="1"/>
  <c r="Q322" i="67"/>
  <c r="Q777" i="67"/>
  <c r="Q626" i="67"/>
  <c r="Q169" i="67"/>
  <c r="Q474" i="67"/>
  <c r="AK10" i="68"/>
  <c r="J12" i="62" s="1"/>
  <c r="Q16" i="67"/>
  <c r="L323" i="67"/>
  <c r="L475" i="67"/>
  <c r="L17" i="67"/>
  <c r="L778" i="67"/>
  <c r="L627" i="67"/>
  <c r="L170" i="67"/>
  <c r="AW1242" i="67"/>
  <c r="AA354" i="67"/>
  <c r="AA809" i="67"/>
  <c r="AU25" i="68"/>
  <c r="T23" i="62" s="1"/>
  <c r="AA506" i="67"/>
  <c r="AA48" i="67"/>
  <c r="AA658" i="67"/>
  <c r="AA201" i="67"/>
  <c r="X1244" i="67"/>
  <c r="AK1243" i="67"/>
  <c r="K1363" i="67"/>
  <c r="AT1262" i="67"/>
  <c r="B164" i="65"/>
  <c r="B176" i="65" s="1"/>
  <c r="AK1262" i="67"/>
  <c r="AJ1346" i="67"/>
  <c r="H4" i="50"/>
  <c r="H4" i="57" s="1"/>
  <c r="H4" i="69"/>
  <c r="AH1348" i="67"/>
  <c r="Y1348" i="67"/>
  <c r="AW1347" i="67"/>
  <c r="AP1363" i="67"/>
  <c r="T1364" i="67"/>
  <c r="K1261" i="67"/>
  <c r="AF1364" i="67"/>
  <c r="AT1347" i="67"/>
  <c r="AG1243" i="67"/>
  <c r="AB1262" i="67"/>
  <c r="L1364" i="67"/>
  <c r="R1262" i="67"/>
  <c r="K1362" i="67"/>
  <c r="X1243" i="67"/>
  <c r="AC1243" i="67"/>
  <c r="V1347" i="67"/>
  <c r="P336" i="67"/>
  <c r="P30" i="67"/>
  <c r="P488" i="67"/>
  <c r="P183" i="67"/>
  <c r="P640" i="67"/>
  <c r="Z337" i="67"/>
  <c r="Z31" i="67"/>
  <c r="Z489" i="67"/>
  <c r="Z184" i="67"/>
  <c r="Z641" i="67"/>
  <c r="T336" i="67"/>
  <c r="T183" i="67"/>
  <c r="T640" i="67"/>
  <c r="T488" i="67"/>
  <c r="T30" i="67"/>
  <c r="AA337" i="67"/>
  <c r="AA31" i="67"/>
  <c r="AA641" i="67"/>
  <c r="AA184" i="67"/>
  <c r="AA489" i="67"/>
  <c r="U337" i="67"/>
  <c r="U489" i="67"/>
  <c r="U31" i="67"/>
  <c r="U184" i="67"/>
  <c r="U641" i="67"/>
  <c r="M441" i="67"/>
  <c r="M745" i="67"/>
  <c r="M896" i="67"/>
  <c r="M288" i="67"/>
  <c r="M593" i="67"/>
  <c r="M135" i="67"/>
  <c r="O912" i="67"/>
  <c r="O457" i="67"/>
  <c r="O761" i="67"/>
  <c r="O609" i="67"/>
  <c r="O304" i="67"/>
  <c r="O151" i="67"/>
  <c r="N896" i="67"/>
  <c r="N441" i="67"/>
  <c r="N745" i="67"/>
  <c r="N135" i="67"/>
  <c r="N288" i="67"/>
  <c r="N593" i="67"/>
  <c r="AW1260" i="67"/>
  <c r="K296" i="67"/>
  <c r="K143" i="67"/>
  <c r="K449" i="67"/>
  <c r="K904" i="67"/>
  <c r="K601" i="67"/>
  <c r="K753" i="67"/>
  <c r="Q896" i="67"/>
  <c r="Q441" i="67"/>
  <c r="Q745" i="67"/>
  <c r="Q135" i="67"/>
  <c r="Q288" i="67"/>
  <c r="Q593" i="67"/>
  <c r="Y896" i="67"/>
  <c r="Y441" i="67"/>
  <c r="Y745" i="67"/>
  <c r="Y288" i="67"/>
  <c r="Y135" i="67"/>
  <c r="Y593" i="67"/>
  <c r="L440" i="67"/>
  <c r="L895" i="67"/>
  <c r="L744" i="67"/>
  <c r="L287" i="67"/>
  <c r="L134" i="67"/>
  <c r="L592" i="67"/>
  <c r="N1364" i="67"/>
  <c r="AC1260" i="67"/>
  <c r="AN1362" i="67"/>
  <c r="Q1348" i="67"/>
  <c r="I167" i="65"/>
  <c r="I179" i="65" s="1"/>
  <c r="O167" i="65"/>
  <c r="O179" i="65" s="1"/>
  <c r="AM1242" i="67"/>
  <c r="AV1260" i="67"/>
  <c r="AR1348" i="67"/>
  <c r="AC1348" i="67"/>
  <c r="Z1363" i="67"/>
  <c r="AE1260" i="67"/>
  <c r="P355" i="67"/>
  <c r="P810" i="67"/>
  <c r="P202" i="67"/>
  <c r="P659" i="67"/>
  <c r="P507" i="67"/>
  <c r="P49" i="67"/>
  <c r="T355" i="67"/>
  <c r="T810" i="67"/>
  <c r="T659" i="67"/>
  <c r="T49" i="67"/>
  <c r="T507" i="67"/>
  <c r="T202" i="67"/>
  <c r="U354" i="67"/>
  <c r="U506" i="67"/>
  <c r="AO25" i="68"/>
  <c r="N23" i="62" s="1"/>
  <c r="U809" i="67"/>
  <c r="U48" i="67"/>
  <c r="U658" i="67"/>
  <c r="U201" i="67"/>
  <c r="AH1364" i="67"/>
  <c r="AI1347" i="67"/>
  <c r="W1363" i="67"/>
  <c r="T601" i="67"/>
  <c r="T753" i="67"/>
  <c r="T449" i="67"/>
  <c r="T296" i="67"/>
  <c r="T143" i="67"/>
  <c r="T904" i="67"/>
  <c r="T619" i="67"/>
  <c r="T770" i="67"/>
  <c r="T1244" i="67"/>
  <c r="U1348" i="67"/>
  <c r="P1348" i="67"/>
  <c r="AW1244" i="67"/>
  <c r="AG1348" i="67"/>
  <c r="AF1347" i="67"/>
  <c r="AT1363" i="67"/>
  <c r="AN1244" i="67"/>
  <c r="AL1348" i="67"/>
  <c r="AU1348" i="67"/>
  <c r="AM1346" i="67"/>
  <c r="L1244" i="67"/>
  <c r="AP1244" i="67"/>
  <c r="AS1348" i="67"/>
  <c r="L1261" i="67"/>
  <c r="O1261" i="67"/>
  <c r="M1260" i="67"/>
  <c r="P347" i="67"/>
  <c r="P651" i="67"/>
  <c r="P499" i="67"/>
  <c r="P802" i="67"/>
  <c r="P194" i="67"/>
  <c r="Q336" i="67"/>
  <c r="Q640" i="67"/>
  <c r="Q488" i="67"/>
  <c r="Q30" i="67"/>
  <c r="Q183" i="67"/>
  <c r="Y354" i="67"/>
  <c r="Y658" i="67"/>
  <c r="Y48" i="67"/>
  <c r="Y809" i="67"/>
  <c r="AS25" i="68"/>
  <c r="R23" i="62" s="1"/>
  <c r="Y201" i="67"/>
  <c r="Y506" i="67"/>
  <c r="L337" i="67"/>
  <c r="L31" i="67"/>
  <c r="L641" i="67"/>
  <c r="L489" i="67"/>
  <c r="L184" i="67"/>
  <c r="X1347" i="67"/>
  <c r="G167" i="65"/>
  <c r="G179" i="65" s="1"/>
  <c r="M456" i="67"/>
  <c r="M911" i="67"/>
  <c r="M608" i="67"/>
  <c r="M150" i="67"/>
  <c r="M760" i="67"/>
  <c r="M303" i="67"/>
  <c r="M322" i="67"/>
  <c r="M777" i="67"/>
  <c r="M16" i="67"/>
  <c r="M626" i="67"/>
  <c r="M169" i="67"/>
  <c r="M474" i="67"/>
  <c r="AG10" i="68"/>
  <c r="F12" i="62" s="1"/>
  <c r="O150" i="67"/>
  <c r="O760" i="67"/>
  <c r="O456" i="67"/>
  <c r="O303" i="67"/>
  <c r="O911" i="67"/>
  <c r="O608" i="67"/>
  <c r="AI10" i="68"/>
  <c r="H12" i="62" s="1"/>
  <c r="O322" i="67"/>
  <c r="O16" i="67"/>
  <c r="O169" i="67"/>
  <c r="O626" i="67"/>
  <c r="O777" i="67"/>
  <c r="O474" i="67"/>
  <c r="N760" i="67"/>
  <c r="N911" i="67"/>
  <c r="N608" i="67"/>
  <c r="N150" i="67"/>
  <c r="N456" i="67"/>
  <c r="N303" i="67"/>
  <c r="N322" i="67"/>
  <c r="AH10" i="68"/>
  <c r="G12" i="62" s="1"/>
  <c r="N474" i="67"/>
  <c r="N169" i="67"/>
  <c r="N777" i="67"/>
  <c r="N626" i="67"/>
  <c r="N16" i="67"/>
  <c r="AO1364" i="67"/>
  <c r="Y1262" i="67"/>
  <c r="W1261" i="67"/>
  <c r="Q167" i="65"/>
  <c r="Q179" i="65" s="1"/>
  <c r="Q1346" i="67"/>
  <c r="AN1261" i="67"/>
  <c r="AJ1244" i="67"/>
  <c r="AU1243" i="67"/>
  <c r="W1260" i="67"/>
  <c r="AA1244" i="67"/>
  <c r="K1260" i="67"/>
  <c r="L1363" i="67"/>
  <c r="AC1363" i="67"/>
  <c r="W1243" i="67"/>
  <c r="AW1243" i="67"/>
  <c r="AP1261" i="67"/>
  <c r="V1362" i="67"/>
  <c r="AI1230" i="67"/>
  <c r="Q1242" i="67"/>
  <c r="B167" i="65"/>
  <c r="B179" i="65" s="1"/>
  <c r="Y167" i="65"/>
  <c r="Y179" i="65" s="1"/>
  <c r="AD1230" i="67"/>
  <c r="P1364" i="67"/>
  <c r="V1262" i="67"/>
  <c r="AT1243" i="67"/>
  <c r="AR1242" i="67"/>
  <c r="AE1363" i="67"/>
  <c r="AJ1230" i="67"/>
  <c r="AM1362" i="67"/>
  <c r="Z1347" i="67"/>
  <c r="N167" i="65"/>
  <c r="N179" i="65" s="1"/>
  <c r="AA1384" i="67"/>
  <c r="AA1398" i="67"/>
  <c r="AA1416" i="67"/>
  <c r="AA1536" i="67"/>
  <c r="AA1552" i="67"/>
  <c r="AN1348" i="67"/>
  <c r="O1363" i="67"/>
  <c r="Z744" i="67"/>
  <c r="Z440" i="67"/>
  <c r="Z895" i="67"/>
  <c r="Z592" i="67"/>
  <c r="Z134" i="67"/>
  <c r="Z287" i="67"/>
  <c r="AA744" i="67"/>
  <c r="AA440" i="67"/>
  <c r="AA895" i="67"/>
  <c r="AA287" i="67"/>
  <c r="AA592" i="67"/>
  <c r="AA134" i="67"/>
  <c r="AT42" i="36"/>
  <c r="AS83" i="36"/>
  <c r="H5" i="47"/>
  <c r="U38" i="55"/>
  <c r="AN1229" i="67" l="1"/>
  <c r="AI1229" i="67"/>
  <c r="AK1229" i="67"/>
  <c r="AV1243" i="67"/>
  <c r="AC1347" i="67"/>
  <c r="AN1346" i="67"/>
  <c r="AE1346" i="67"/>
  <c r="AI1261" i="67"/>
  <c r="AE1362" i="67"/>
  <c r="AE1242" i="67"/>
  <c r="O1346" i="67"/>
  <c r="X1363" i="67"/>
  <c r="AA1346" i="67"/>
  <c r="AA1260" i="67"/>
  <c r="K737" i="67"/>
  <c r="AE1347" i="67"/>
  <c r="K127" i="67"/>
  <c r="K888" i="67"/>
  <c r="AK1260" i="67"/>
  <c r="X1229" i="67"/>
  <c r="AE1261" i="67"/>
  <c r="AG1347" i="67"/>
  <c r="AE1228" i="67"/>
  <c r="AW1229" i="67"/>
  <c r="AW1261" i="67"/>
  <c r="AN1260" i="67"/>
  <c r="AN1363" i="67"/>
  <c r="N1346" i="67"/>
  <c r="AH1261" i="67"/>
  <c r="AW1363" i="67"/>
  <c r="Z1261" i="67"/>
  <c r="N1362" i="67"/>
  <c r="AA1362" i="67"/>
  <c r="AL1260" i="67"/>
  <c r="AB1261" i="67"/>
  <c r="AQ1347" i="67"/>
  <c r="AQ1261" i="67"/>
  <c r="AT7" i="68"/>
  <c r="S9" i="62" s="1"/>
  <c r="AE1243" i="67"/>
  <c r="O1228" i="67"/>
  <c r="AU1242" i="67"/>
  <c r="AH1346" i="67"/>
  <c r="AG1261" i="67"/>
  <c r="K433" i="67"/>
  <c r="K280" i="67"/>
  <c r="AQ1243" i="67"/>
  <c r="AQ1229" i="67"/>
  <c r="AK1261" i="67"/>
  <c r="AM1243" i="67"/>
  <c r="AH1362" i="67"/>
  <c r="AS1347" i="67"/>
  <c r="V1243" i="67"/>
  <c r="AO1347" i="67"/>
  <c r="O1362" i="67"/>
  <c r="AS1229" i="67"/>
  <c r="N1228" i="67"/>
  <c r="AG1229" i="67"/>
  <c r="AR1363" i="67"/>
  <c r="Y1229" i="67"/>
  <c r="AK1363" i="67"/>
  <c r="AV1229" i="67"/>
  <c r="AO1363" i="67"/>
  <c r="AK1362" i="67"/>
  <c r="U1229" i="67"/>
  <c r="AH1347" i="67"/>
  <c r="AJ15" i="57"/>
  <c r="AV1261" i="67"/>
  <c r="AH1260" i="67"/>
  <c r="AA1243" i="67"/>
  <c r="AH1242" i="67"/>
  <c r="R1242" i="67"/>
  <c r="AJ1362" i="67"/>
  <c r="AJ1242" i="67"/>
  <c r="AG1363" i="67"/>
  <c r="AV1363" i="67"/>
  <c r="AS1363" i="67"/>
  <c r="AA1261" i="67"/>
  <c r="AU1362" i="67"/>
  <c r="AM1363" i="67"/>
  <c r="AS1260" i="67"/>
  <c r="R1260" i="67"/>
  <c r="AB1347" i="67"/>
  <c r="AR1347" i="67"/>
  <c r="AM1347" i="67"/>
  <c r="P601" i="67"/>
  <c r="AU1346" i="67"/>
  <c r="U1347" i="67"/>
  <c r="AO1228" i="67"/>
  <c r="AL1242" i="67"/>
  <c r="V1363" i="67"/>
  <c r="AE1229" i="67"/>
  <c r="Y1261" i="67"/>
  <c r="P1260" i="67"/>
  <c r="P1347" i="67"/>
  <c r="N1363" i="67"/>
  <c r="Y1243" i="67"/>
  <c r="U1261" i="67"/>
  <c r="Q1347" i="67"/>
  <c r="M1347" i="67"/>
  <c r="U1363" i="67"/>
  <c r="AK1347" i="67"/>
  <c r="AS1362" i="67"/>
  <c r="AD1261" i="67"/>
  <c r="AR1261" i="67"/>
  <c r="V1261" i="67"/>
  <c r="AS1261" i="67"/>
  <c r="AK15" i="57"/>
  <c r="AD1243" i="67"/>
  <c r="AP1346" i="67"/>
  <c r="AJ1347" i="67"/>
  <c r="P1261" i="67"/>
  <c r="AR1243" i="67"/>
  <c r="AA1242" i="67"/>
  <c r="AA1347" i="67"/>
  <c r="AA1363" i="67"/>
  <c r="Y1363" i="67"/>
  <c r="AH1243" i="67"/>
  <c r="K770" i="67"/>
  <c r="AJ1228" i="67"/>
  <c r="AK1228" i="67"/>
  <c r="S1242" i="67"/>
  <c r="AR1229" i="67"/>
  <c r="V1229" i="67"/>
  <c r="N1347" i="67"/>
  <c r="AF1242" i="67"/>
  <c r="T1228" i="67"/>
  <c r="AN7" i="68" s="1"/>
  <c r="M9" i="62" s="1"/>
  <c r="AJ1363" i="67"/>
  <c r="AS1346" i="67"/>
  <c r="AH1229" i="67"/>
  <c r="AM1261" i="67"/>
  <c r="S1346" i="67"/>
  <c r="N1260" i="67"/>
  <c r="Q1363" i="67"/>
  <c r="R1362" i="67"/>
  <c r="S1228" i="67"/>
  <c r="P449" i="67"/>
  <c r="AD1362" i="67"/>
  <c r="Y1242" i="67"/>
  <c r="T1346" i="67"/>
  <c r="AL1261" i="67"/>
  <c r="Y1346" i="67"/>
  <c r="S1261" i="67"/>
  <c r="AL1346" i="67"/>
  <c r="AB1243" i="67"/>
  <c r="AO1346" i="67"/>
  <c r="AF1362" i="67"/>
  <c r="T1242" i="67"/>
  <c r="AD1242" i="67"/>
  <c r="S1362" i="67"/>
  <c r="T1362" i="67"/>
  <c r="AL1362" i="67"/>
  <c r="AS1242" i="67"/>
  <c r="AB1363" i="67"/>
  <c r="AO1260" i="67"/>
  <c r="R1346" i="67"/>
  <c r="T1260" i="67"/>
  <c r="AK1242" i="67"/>
  <c r="AD1346" i="67"/>
  <c r="AD1260" i="67"/>
  <c r="K23" i="67"/>
  <c r="AL1363" i="67"/>
  <c r="P329" i="67"/>
  <c r="M1243" i="67"/>
  <c r="Y1362" i="67"/>
  <c r="N1261" i="67"/>
  <c r="M1261" i="67"/>
  <c r="AL1347" i="67"/>
  <c r="S1229" i="67"/>
  <c r="P1229" i="67"/>
  <c r="K347" i="67"/>
  <c r="K41" i="67"/>
  <c r="P1242" i="67"/>
  <c r="K499" i="67"/>
  <c r="K194" i="67"/>
  <c r="P1362" i="67"/>
  <c r="Q1261" i="67"/>
  <c r="AL1243" i="67"/>
  <c r="R1363" i="67"/>
  <c r="AJ1243" i="67"/>
  <c r="P143" i="67"/>
  <c r="P296" i="67"/>
  <c r="P753" i="67"/>
  <c r="P1363" i="67"/>
  <c r="AO1362" i="67"/>
  <c r="M1363" i="67"/>
  <c r="AJ1261" i="67"/>
  <c r="Y1260" i="67"/>
  <c r="K802" i="67"/>
  <c r="AI7" i="68"/>
  <c r="H9" i="62" s="1"/>
  <c r="S1363" i="67"/>
  <c r="AD1347" i="67"/>
  <c r="AF1228" i="67"/>
  <c r="P481" i="67"/>
  <c r="P633" i="67"/>
  <c r="P770" i="67"/>
  <c r="AO1261" i="67"/>
  <c r="P176" i="67"/>
  <c r="K176" i="67"/>
  <c r="Q1243" i="67"/>
  <c r="P1346" i="67"/>
  <c r="R1261" i="67"/>
  <c r="K633" i="67"/>
  <c r="P1228" i="67"/>
  <c r="K329" i="67"/>
  <c r="R1243" i="67"/>
  <c r="AF1346" i="67"/>
  <c r="AD1229" i="67"/>
  <c r="S1243" i="67"/>
  <c r="N1229" i="67"/>
  <c r="AH7" i="68" s="1"/>
  <c r="G9" i="62" s="1"/>
  <c r="AP1242" i="67"/>
  <c r="R1347" i="67"/>
  <c r="AO1243" i="67"/>
  <c r="AF1260" i="67"/>
  <c r="AP1260" i="67"/>
  <c r="AP1362" i="67"/>
  <c r="L1384" i="67"/>
  <c r="L1398" i="67"/>
  <c r="L1416" i="67"/>
  <c r="L1536" i="67"/>
  <c r="L1552" i="67"/>
  <c r="B24" i="65"/>
  <c r="K9" i="67"/>
  <c r="M1351" i="67"/>
  <c r="U1247" i="67"/>
  <c r="AA1247" i="67"/>
  <c r="T1246" i="67"/>
  <c r="Z1247" i="67"/>
  <c r="Q1232" i="67"/>
  <c r="L1264" i="67"/>
  <c r="Z1264" i="67"/>
  <c r="Y1366" i="67"/>
  <c r="M1232" i="67"/>
  <c r="Y1265" i="67"/>
  <c r="P1265" i="67"/>
  <c r="AU7" i="68"/>
  <c r="T9" i="62" s="1"/>
  <c r="L1366" i="67"/>
  <c r="Q1265" i="67"/>
  <c r="O1351" i="67"/>
  <c r="T1367" i="67"/>
  <c r="Q1247" i="67"/>
  <c r="U1351" i="67"/>
  <c r="T1350" i="67"/>
  <c r="P1350" i="67"/>
  <c r="AS7" i="68"/>
  <c r="R9" i="62" s="1"/>
  <c r="O1265" i="67"/>
  <c r="T1232" i="67"/>
  <c r="T1265" i="67"/>
  <c r="L1350" i="67"/>
  <c r="O1366" i="67"/>
  <c r="AO7" i="68"/>
  <c r="N9" i="62" s="1"/>
  <c r="N1351" i="67"/>
  <c r="O1246" i="67"/>
  <c r="M1246" i="67"/>
  <c r="T1351" i="67"/>
  <c r="N1265" i="67"/>
  <c r="U1265" i="67"/>
  <c r="Y1232" i="67"/>
  <c r="Z1367" i="67"/>
  <c r="O1247" i="67"/>
  <c r="AA1351" i="67"/>
  <c r="Z1232" i="67"/>
  <c r="Q1264" i="67"/>
  <c r="L1232" i="67"/>
  <c r="Q1367" i="67"/>
  <c r="N1233" i="67"/>
  <c r="U1246" i="67"/>
  <c r="AA1367" i="67"/>
  <c r="L1351" i="67"/>
  <c r="U1366" i="67"/>
  <c r="Z1350" i="67"/>
  <c r="N1232" i="67"/>
  <c r="AA1350" i="67"/>
  <c r="L1247" i="67"/>
  <c r="O1367" i="67"/>
  <c r="P1246" i="67"/>
  <c r="M1265" i="67"/>
  <c r="P1232" i="67"/>
  <c r="L1265" i="67"/>
  <c r="Y1246" i="67"/>
  <c r="U1350" i="67"/>
  <c r="Y1233" i="67"/>
  <c r="O1233" i="67"/>
  <c r="T1264" i="67"/>
  <c r="M1350" i="67"/>
  <c r="T1247" i="67"/>
  <c r="AN17" i="68" s="1"/>
  <c r="M18" i="62" s="1"/>
  <c r="U1233" i="67"/>
  <c r="N1264" i="67"/>
  <c r="O1264" i="67"/>
  <c r="Y1350" i="67"/>
  <c r="T1233" i="67"/>
  <c r="P1233" i="67"/>
  <c r="L1246" i="67"/>
  <c r="AF17" i="68" s="1"/>
  <c r="E18" i="62" s="1"/>
  <c r="Y1247" i="67"/>
  <c r="U1367" i="67"/>
  <c r="O1232" i="67"/>
  <c r="Q1351" i="67"/>
  <c r="K1359" i="67"/>
  <c r="L1233" i="67"/>
  <c r="AA1233" i="67"/>
  <c r="Z1233" i="67"/>
  <c r="N1246" i="67"/>
  <c r="M1233" i="67"/>
  <c r="O1350" i="67"/>
  <c r="P1247" i="67"/>
  <c r="AA1246" i="67"/>
  <c r="Z1246" i="67"/>
  <c r="U1232" i="67"/>
  <c r="N1350" i="67"/>
  <c r="Y1264" i="67"/>
  <c r="Q1246" i="67"/>
  <c r="Y1351" i="67"/>
  <c r="P1367" i="67"/>
  <c r="Q1233" i="67"/>
  <c r="L1367" i="67"/>
  <c r="P1366" i="67"/>
  <c r="M1264" i="67"/>
  <c r="Q1350" i="67"/>
  <c r="P1351" i="67"/>
  <c r="N1247" i="67"/>
  <c r="M1247" i="67"/>
  <c r="Z1351" i="67"/>
  <c r="AA1265" i="67"/>
  <c r="Z1265" i="67"/>
  <c r="K336" i="67"/>
  <c r="K30" i="67"/>
  <c r="K183" i="67"/>
  <c r="K640" i="67"/>
  <c r="K488" i="67"/>
  <c r="K355" i="67"/>
  <c r="K202" i="67"/>
  <c r="K49" i="67"/>
  <c r="K659" i="67"/>
  <c r="K810" i="67"/>
  <c r="K507" i="67"/>
  <c r="K354" i="67"/>
  <c r="AE25" i="68"/>
  <c r="D23" i="62" s="1"/>
  <c r="K48" i="67"/>
  <c r="K201" i="67"/>
  <c r="K809" i="67"/>
  <c r="K506" i="67"/>
  <c r="K658" i="67"/>
  <c r="G4" i="50"/>
  <c r="G4" i="57" s="1"/>
  <c r="G4" i="69"/>
  <c r="K323" i="67"/>
  <c r="K778" i="67"/>
  <c r="K170" i="67"/>
  <c r="K627" i="67"/>
  <c r="K475" i="67"/>
  <c r="K17" i="67"/>
  <c r="AA1366" i="67"/>
  <c r="N1367" i="67"/>
  <c r="AA585" i="67"/>
  <c r="AA280" i="67"/>
  <c r="AA433" i="67"/>
  <c r="AA737" i="67"/>
  <c r="AA888" i="67"/>
  <c r="AA127" i="67"/>
  <c r="AA1264" i="67"/>
  <c r="K337" i="67"/>
  <c r="K489" i="67"/>
  <c r="K31" i="67"/>
  <c r="K184" i="67"/>
  <c r="K641" i="67"/>
  <c r="Q1366" i="67"/>
  <c r="K440" i="67"/>
  <c r="K287" i="67"/>
  <c r="K895" i="67"/>
  <c r="K134" i="67"/>
  <c r="K744" i="67"/>
  <c r="K592" i="67"/>
  <c r="AA329" i="67"/>
  <c r="AA23" i="67"/>
  <c r="AA633" i="67"/>
  <c r="AA481" i="67"/>
  <c r="AA176" i="67"/>
  <c r="K761" i="67"/>
  <c r="K151" i="67"/>
  <c r="K609" i="67"/>
  <c r="K457" i="67"/>
  <c r="K304" i="67"/>
  <c r="K912" i="67"/>
  <c r="B163" i="65"/>
  <c r="B175" i="65" s="1"/>
  <c r="AA449" i="67"/>
  <c r="AA601" i="67"/>
  <c r="AA296" i="67"/>
  <c r="AA143" i="67"/>
  <c r="AA904" i="67"/>
  <c r="AA753" i="67"/>
  <c r="AA619" i="67"/>
  <c r="AA770" i="67"/>
  <c r="N1366" i="67"/>
  <c r="T1366" i="67"/>
  <c r="M1366" i="67"/>
  <c r="U1264" i="67"/>
  <c r="Y1367" i="67"/>
  <c r="AA651" i="67"/>
  <c r="AA802" i="67"/>
  <c r="AA41" i="67"/>
  <c r="AA194" i="67"/>
  <c r="AA347" i="67"/>
  <c r="AA499" i="67"/>
  <c r="K441" i="67"/>
  <c r="K896" i="67"/>
  <c r="K288" i="67"/>
  <c r="K745" i="67"/>
  <c r="K135" i="67"/>
  <c r="K593" i="67"/>
  <c r="AA1232" i="67"/>
  <c r="Z1366" i="67"/>
  <c r="M1367" i="67"/>
  <c r="P1264" i="67"/>
  <c r="K322" i="67"/>
  <c r="AE10" i="68"/>
  <c r="D12" i="62" s="1"/>
  <c r="K777" i="67"/>
  <c r="K16" i="67"/>
  <c r="K169" i="67"/>
  <c r="K474" i="67"/>
  <c r="K626" i="67"/>
  <c r="K608" i="67"/>
  <c r="K150" i="67"/>
  <c r="K303" i="67"/>
  <c r="K911" i="67"/>
  <c r="K760" i="67"/>
  <c r="K456" i="67"/>
  <c r="AU42" i="36"/>
  <c r="AT83" i="36"/>
  <c r="G5" i="47"/>
  <c r="AT17" i="68" l="1"/>
  <c r="S18" i="62" s="1"/>
  <c r="K1343" i="67"/>
  <c r="AG11" i="50"/>
  <c r="J64" i="65" s="1"/>
  <c r="AG17" i="68"/>
  <c r="F18" i="62" s="1"/>
  <c r="AX11" i="50"/>
  <c r="AA64" i="65" s="1"/>
  <c r="AL11" i="50"/>
  <c r="O64" i="65" s="1"/>
  <c r="BA11" i="50"/>
  <c r="AD64" i="65" s="1"/>
  <c r="AE11" i="50"/>
  <c r="AJ8" i="36" s="1"/>
  <c r="BF11" i="50"/>
  <c r="AI64" i="65" s="1"/>
  <c r="BK11" i="50"/>
  <c r="AN64" i="65" s="1"/>
  <c r="BD11" i="50"/>
  <c r="AG64" i="65" s="1"/>
  <c r="AN11" i="50"/>
  <c r="AS8" i="36" s="1"/>
  <c r="Z11" i="50"/>
  <c r="AE8" i="36" s="1"/>
  <c r="AI11" i="50"/>
  <c r="L64" i="65" s="1"/>
  <c r="BG11" i="50"/>
  <c r="AJ100" i="65" s="1"/>
  <c r="AA11" i="50"/>
  <c r="D64" i="65" s="1"/>
  <c r="BC11" i="50"/>
  <c r="AF100" i="65" s="1"/>
  <c r="BI11" i="50"/>
  <c r="AL64" i="65" s="1"/>
  <c r="AC11" i="50"/>
  <c r="AH8" i="36" s="1"/>
  <c r="AM11" i="50"/>
  <c r="P100" i="65" s="1"/>
  <c r="AT11" i="50"/>
  <c r="W64" i="65" s="1"/>
  <c r="Y11" i="50"/>
  <c r="AD8" i="36" s="1"/>
  <c r="K1534" i="67" s="1"/>
  <c r="AZ11" i="50"/>
  <c r="AC100" i="65" s="1"/>
  <c r="AB11" i="50"/>
  <c r="AG8" i="36" s="1"/>
  <c r="AJ11" i="50"/>
  <c r="M100" i="65" s="1"/>
  <c r="AK11" i="50"/>
  <c r="N100" i="65" s="1"/>
  <c r="AW11" i="50"/>
  <c r="Z64" i="65" s="1"/>
  <c r="AO11" i="50"/>
  <c r="R64" i="65" s="1"/>
  <c r="BE11" i="50"/>
  <c r="AH100" i="65" s="1"/>
  <c r="AV11" i="50"/>
  <c r="Y64" i="65" s="1"/>
  <c r="BB11" i="50"/>
  <c r="AE100" i="65" s="1"/>
  <c r="AS11" i="50"/>
  <c r="V64" i="65" s="1"/>
  <c r="AY11" i="50"/>
  <c r="AB100" i="65" s="1"/>
  <c r="AP11" i="50"/>
  <c r="S100" i="65" s="1"/>
  <c r="BH11" i="50"/>
  <c r="AK64" i="65" s="1"/>
  <c r="BJ11" i="50"/>
  <c r="AM64" i="65" s="1"/>
  <c r="AR11" i="50"/>
  <c r="U100" i="65" s="1"/>
  <c r="AD11" i="50"/>
  <c r="G64" i="65" s="1"/>
  <c r="AH11" i="50"/>
  <c r="AM8" i="36" s="1"/>
  <c r="AU11" i="50"/>
  <c r="X64" i="65" s="1"/>
  <c r="AF11" i="50"/>
  <c r="I64" i="65" s="1"/>
  <c r="AQ11" i="50"/>
  <c r="T100" i="65" s="1"/>
  <c r="AJ7" i="68"/>
  <c r="I9" i="62" s="1"/>
  <c r="K1225" i="67"/>
  <c r="K1257" i="67"/>
  <c r="AU17" i="68"/>
  <c r="T18" i="62" s="1"/>
  <c r="K1239" i="67"/>
  <c r="L296" i="67"/>
  <c r="L753" i="67"/>
  <c r="L143" i="67"/>
  <c r="L904" i="67"/>
  <c r="L449" i="67"/>
  <c r="L601" i="67"/>
  <c r="L127" i="67"/>
  <c r="L888" i="67"/>
  <c r="L585" i="67"/>
  <c r="L280" i="67"/>
  <c r="L737" i="67"/>
  <c r="L433" i="67"/>
  <c r="L41" i="67"/>
  <c r="L651" i="67"/>
  <c r="L194" i="67"/>
  <c r="L802" i="67"/>
  <c r="L499" i="67"/>
  <c r="L347" i="67"/>
  <c r="L329" i="67"/>
  <c r="L23" i="67"/>
  <c r="L633" i="67"/>
  <c r="L176" i="67"/>
  <c r="L481" i="67"/>
  <c r="L619" i="67"/>
  <c r="L770" i="67"/>
  <c r="AO17" i="68"/>
  <c r="N18" i="62" s="1"/>
  <c r="AK17" i="68"/>
  <c r="J18" i="62" s="1"/>
  <c r="AH17" i="68"/>
  <c r="G18" i="62" s="1"/>
  <c r="K1247" i="67"/>
  <c r="K1367" i="67"/>
  <c r="AS17" i="68"/>
  <c r="R18" i="62" s="1"/>
  <c r="AJ17" i="68"/>
  <c r="I18" i="62" s="1"/>
  <c r="K1351" i="67"/>
  <c r="K1233" i="67"/>
  <c r="K1265" i="67"/>
  <c r="K1366" i="67"/>
  <c r="AI17" i="68"/>
  <c r="H18" i="62" s="1"/>
  <c r="K1264" i="67"/>
  <c r="K1232" i="67"/>
  <c r="K1246" i="67"/>
  <c r="F4" i="50"/>
  <c r="F4" i="57" s="1"/>
  <c r="F4" i="69"/>
  <c r="J100" i="65"/>
  <c r="K1350" i="67"/>
  <c r="AV42" i="36"/>
  <c r="AU83" i="36"/>
  <c r="F5" i="47"/>
  <c r="U19" i="55"/>
  <c r="I100" i="65" l="1"/>
  <c r="I83" i="65" s="1"/>
  <c r="AF11" i="69" s="1"/>
  <c r="AB64" i="65"/>
  <c r="AB83" i="65" s="1"/>
  <c r="AY11" i="69" s="1"/>
  <c r="AE64" i="65"/>
  <c r="AE83" i="65" s="1"/>
  <c r="BB11" i="69" s="1"/>
  <c r="AJ9" i="36"/>
  <c r="Q1383" i="67" s="1"/>
  <c r="AG100" i="65"/>
  <c r="AG83" i="65" s="1"/>
  <c r="BD11" i="69" s="1"/>
  <c r="AF64" i="65"/>
  <c r="AF83" i="65" s="1"/>
  <c r="BC11" i="69" s="1"/>
  <c r="H100" i="65"/>
  <c r="H64" i="65"/>
  <c r="T64" i="65"/>
  <c r="T83" i="65" s="1"/>
  <c r="AQ11" i="69" s="1"/>
  <c r="AH64" i="65"/>
  <c r="AH83" i="65" s="1"/>
  <c r="BE11" i="69" s="1"/>
  <c r="Y100" i="65"/>
  <c r="Y83" i="65" s="1"/>
  <c r="AV11" i="69" s="1"/>
  <c r="O100" i="65"/>
  <c r="O83" i="65" s="1"/>
  <c r="AL11" i="69" s="1"/>
  <c r="AA100" i="65"/>
  <c r="AA83" i="65" s="1"/>
  <c r="AX11" i="69" s="1"/>
  <c r="AN8" i="36"/>
  <c r="U1382" i="67" s="1"/>
  <c r="U160" i="67" s="1"/>
  <c r="AL100" i="65"/>
  <c r="AL83" i="65" s="1"/>
  <c r="BI11" i="69" s="1"/>
  <c r="AI100" i="65"/>
  <c r="AI83" i="65" s="1"/>
  <c r="BF11" i="69" s="1"/>
  <c r="AD100" i="65"/>
  <c r="AD83" i="65" s="1"/>
  <c r="BA11" i="69" s="1"/>
  <c r="AN100" i="65"/>
  <c r="AN83" i="65" s="1"/>
  <c r="BK11" i="69" s="1"/>
  <c r="F100" i="65"/>
  <c r="AH9" i="36"/>
  <c r="O1415" i="67" s="1"/>
  <c r="F64" i="65"/>
  <c r="AC64" i="65"/>
  <c r="AC83" i="65" s="1"/>
  <c r="AZ11" i="69" s="1"/>
  <c r="AK100" i="65"/>
  <c r="AK83" i="65" s="1"/>
  <c r="BH11" i="69" s="1"/>
  <c r="P64" i="65"/>
  <c r="P83" i="65" s="1"/>
  <c r="AM11" i="69" s="1"/>
  <c r="Q100" i="65"/>
  <c r="AS9" i="36"/>
  <c r="Z1535" i="67" s="1"/>
  <c r="Q64" i="65"/>
  <c r="U64" i="65"/>
  <c r="U83" i="65" s="1"/>
  <c r="AR11" i="69" s="1"/>
  <c r="C64" i="65"/>
  <c r="C100" i="65"/>
  <c r="M64" i="65"/>
  <c r="M83" i="65" s="1"/>
  <c r="AJ11" i="69" s="1"/>
  <c r="AE9" i="36"/>
  <c r="L1383" i="67" s="1"/>
  <c r="AI8" i="36"/>
  <c r="P1414" i="67" s="1"/>
  <c r="E100" i="65"/>
  <c r="N64" i="65"/>
  <c r="N83" i="65" s="1"/>
  <c r="AK11" i="69" s="1"/>
  <c r="AN9" i="36"/>
  <c r="U1383" i="67" s="1"/>
  <c r="AM9" i="36"/>
  <c r="T1383" i="67" s="1"/>
  <c r="AI9" i="36"/>
  <c r="P1415" i="67" s="1"/>
  <c r="E64" i="65"/>
  <c r="G100" i="65"/>
  <c r="G83" i="65" s="1"/>
  <c r="AD11" i="69" s="1"/>
  <c r="L100" i="65"/>
  <c r="L83" i="65" s="1"/>
  <c r="AI11" i="69" s="1"/>
  <c r="Z100" i="65"/>
  <c r="Z83" i="65" s="1"/>
  <c r="AW11" i="69" s="1"/>
  <c r="AJ64" i="65"/>
  <c r="AJ83" i="65" s="1"/>
  <c r="BG11" i="69" s="1"/>
  <c r="R100" i="65"/>
  <c r="R83" i="65" s="1"/>
  <c r="AO11" i="69" s="1"/>
  <c r="D100" i="65"/>
  <c r="D83" i="65" s="1"/>
  <c r="AA11" i="69" s="1"/>
  <c r="AF8" i="36"/>
  <c r="M1382" i="67" s="1"/>
  <c r="M160" i="67" s="1"/>
  <c r="AT8" i="36"/>
  <c r="AA1382" i="67" s="1"/>
  <c r="AA160" i="67" s="1"/>
  <c r="AT9" i="36"/>
  <c r="AA1383" i="67" s="1"/>
  <c r="AF9" i="36"/>
  <c r="M1383" i="67" s="1"/>
  <c r="K100" i="65"/>
  <c r="K64" i="65"/>
  <c r="K1414" i="67"/>
  <c r="K1550" i="67"/>
  <c r="B64" i="65"/>
  <c r="K1396" i="67"/>
  <c r="B100" i="65"/>
  <c r="W100" i="65"/>
  <c r="W83" i="65" s="1"/>
  <c r="AT11" i="69" s="1"/>
  <c r="AD9" i="36"/>
  <c r="K1397" i="67" s="1"/>
  <c r="S64" i="65"/>
  <c r="S83" i="65" s="1"/>
  <c r="AP11" i="69" s="1"/>
  <c r="AR9" i="36"/>
  <c r="Y1397" i="67" s="1"/>
  <c r="K1382" i="67"/>
  <c r="K160" i="67" s="1"/>
  <c r="V100" i="65"/>
  <c r="V83" i="65" s="1"/>
  <c r="AS11" i="69" s="1"/>
  <c r="AM100" i="65"/>
  <c r="AM83" i="65" s="1"/>
  <c r="BJ11" i="69" s="1"/>
  <c r="AG9" i="36"/>
  <c r="N1535" i="67" s="1"/>
  <c r="AR8" i="36"/>
  <c r="Y1382" i="67" s="1"/>
  <c r="Y160" i="67" s="1"/>
  <c r="X100" i="65"/>
  <c r="X83" i="65" s="1"/>
  <c r="AU11" i="69" s="1"/>
  <c r="AE17" i="68"/>
  <c r="D18" i="62" s="1"/>
  <c r="J83" i="65"/>
  <c r="AG11" i="69" s="1"/>
  <c r="O1396" i="67"/>
  <c r="O1382" i="67"/>
  <c r="O160" i="67" s="1"/>
  <c r="O1414" i="67"/>
  <c r="O1534" i="67"/>
  <c r="O1550" i="67"/>
  <c r="Z1382" i="67"/>
  <c r="Z160" i="67" s="1"/>
  <c r="Z1396" i="67"/>
  <c r="Z1414" i="67"/>
  <c r="Z1534" i="67"/>
  <c r="Z1550" i="67"/>
  <c r="Q1382" i="67"/>
  <c r="Q160" i="67" s="1"/>
  <c r="Q1396" i="67"/>
  <c r="Q1414" i="67"/>
  <c r="Q1550" i="67"/>
  <c r="Q1534" i="67"/>
  <c r="T1382" i="67"/>
  <c r="T160" i="67" s="1"/>
  <c r="T1396" i="67"/>
  <c r="T1414" i="67"/>
  <c r="T1534" i="67"/>
  <c r="T1550" i="67"/>
  <c r="E4" i="50"/>
  <c r="E4" i="57" s="1"/>
  <c r="E4" i="69"/>
  <c r="N1382" i="67"/>
  <c r="N160" i="67" s="1"/>
  <c r="N1396" i="67"/>
  <c r="N1414" i="67"/>
  <c r="N1534" i="67"/>
  <c r="N1550" i="67"/>
  <c r="L1382" i="67"/>
  <c r="L160" i="67" s="1"/>
  <c r="L1396" i="67"/>
  <c r="L1414" i="67"/>
  <c r="L1534" i="67"/>
  <c r="L1550" i="67"/>
  <c r="AW42" i="36"/>
  <c r="AV83" i="36"/>
  <c r="E5" i="47"/>
  <c r="A63" i="46"/>
  <c r="A64" i="46" s="1"/>
  <c r="A65" i="46" s="1"/>
  <c r="A66" i="46" s="1"/>
  <c r="A67" i="46" s="1"/>
  <c r="A68" i="46" s="1"/>
  <c r="B63" i="46"/>
  <c r="B64" i="46" s="1"/>
  <c r="B65" i="46" s="1"/>
  <c r="B66" i="46" s="1"/>
  <c r="B67" i="46" s="1"/>
  <c r="B68" i="46" s="1"/>
  <c r="C64" i="46"/>
  <c r="C65" i="46" s="1"/>
  <c r="C66" i="46" s="1"/>
  <c r="F64" i="46"/>
  <c r="F65" i="46" s="1"/>
  <c r="F66" i="46" s="1"/>
  <c r="F67" i="46" s="1"/>
  <c r="F68" i="46" s="1"/>
  <c r="F69" i="46" s="1"/>
  <c r="F70" i="46" s="1"/>
  <c r="F71" i="46" s="1"/>
  <c r="F72" i="46" s="1"/>
  <c r="F73" i="46" s="1"/>
  <c r="F74" i="46" s="1"/>
  <c r="F75" i="46" s="1"/>
  <c r="F76" i="46" s="1"/>
  <c r="F77" i="46" s="1"/>
  <c r="F78" i="46" s="1"/>
  <c r="F79" i="46" s="1"/>
  <c r="F80" i="46" s="1"/>
  <c r="F115" i="46"/>
  <c r="F116" i="46" s="1"/>
  <c r="F117" i="46" s="1"/>
  <c r="F118" i="46" s="1"/>
  <c r="F119" i="46" s="1"/>
  <c r="F120" i="46" s="1"/>
  <c r="F121" i="46" s="1"/>
  <c r="F122" i="46" s="1"/>
  <c r="F123" i="46" s="1"/>
  <c r="F124" i="46" s="1"/>
  <c r="F125" i="46" s="1"/>
  <c r="F126" i="46" s="1"/>
  <c r="F127" i="46" s="1"/>
  <c r="F128" i="46" s="1"/>
  <c r="F129" i="46" s="1"/>
  <c r="F130" i="46" s="1"/>
  <c r="C41" i="46"/>
  <c r="C42" i="46" s="1"/>
  <c r="C43" i="46" s="1"/>
  <c r="C44" i="46" s="1"/>
  <c r="C45" i="46" s="1"/>
  <c r="C46" i="46" s="1"/>
  <c r="C47" i="46" s="1"/>
  <c r="B41" i="46"/>
  <c r="A41" i="46"/>
  <c r="C25" i="46"/>
  <c r="C24" i="46"/>
  <c r="C23" i="46"/>
  <c r="C22" i="46"/>
  <c r="A18" i="46"/>
  <c r="D18" i="46"/>
  <c r="C18" i="46"/>
  <c r="Q1551" i="67" l="1"/>
  <c r="Q1415" i="67"/>
  <c r="Q1535" i="67"/>
  <c r="Q1397" i="67"/>
  <c r="H83" i="65"/>
  <c r="AE11" i="69" s="1"/>
  <c r="T1415" i="67"/>
  <c r="U1396" i="67"/>
  <c r="AA1550" i="67"/>
  <c r="U1534" i="67"/>
  <c r="U1550" i="67"/>
  <c r="U1414" i="67"/>
  <c r="O1551" i="67"/>
  <c r="O1397" i="67"/>
  <c r="T1397" i="67"/>
  <c r="T1551" i="67"/>
  <c r="F83" i="65"/>
  <c r="AC11" i="69" s="1"/>
  <c r="T1535" i="67"/>
  <c r="O1535" i="67"/>
  <c r="O1383" i="67"/>
  <c r="O8" i="67" s="1"/>
  <c r="C83" i="65"/>
  <c r="Z11" i="69" s="1"/>
  <c r="U1535" i="67"/>
  <c r="Q83" i="65"/>
  <c r="AN11" i="69" s="1"/>
  <c r="P1550" i="67"/>
  <c r="AA1396" i="67"/>
  <c r="M1396" i="67"/>
  <c r="P1534" i="67"/>
  <c r="L1415" i="67"/>
  <c r="P1396" i="67"/>
  <c r="Z1415" i="67"/>
  <c r="Z1551" i="67"/>
  <c r="P1382" i="67"/>
  <c r="P160" i="67" s="1"/>
  <c r="Z1383" i="67"/>
  <c r="Z161" i="67" s="1"/>
  <c r="Z1397" i="67"/>
  <c r="M1414" i="67"/>
  <c r="P1397" i="67"/>
  <c r="U1415" i="67"/>
  <c r="L1551" i="67"/>
  <c r="P1383" i="67"/>
  <c r="P161" i="67" s="1"/>
  <c r="U1551" i="67"/>
  <c r="U1397" i="67"/>
  <c r="AA1535" i="67"/>
  <c r="P1551" i="67"/>
  <c r="P1535" i="67"/>
  <c r="L1535" i="67"/>
  <c r="L1397" i="67"/>
  <c r="E83" i="65"/>
  <c r="AB11" i="69" s="1"/>
  <c r="N1415" i="67"/>
  <c r="N1383" i="67"/>
  <c r="N161" i="67" s="1"/>
  <c r="AA1551" i="67"/>
  <c r="AA1415" i="67"/>
  <c r="AA1397" i="67"/>
  <c r="M1550" i="67"/>
  <c r="AA1414" i="67"/>
  <c r="AA1534" i="67"/>
  <c r="M1535" i="67"/>
  <c r="K83" i="65"/>
  <c r="AH11" i="69" s="1"/>
  <c r="M1534" i="67"/>
  <c r="M1551" i="67"/>
  <c r="M1415" i="67"/>
  <c r="M1397" i="67"/>
  <c r="Y1534" i="67"/>
  <c r="Y1550" i="67"/>
  <c r="B83" i="65"/>
  <c r="Y11" i="69" s="1"/>
  <c r="Y1396" i="67"/>
  <c r="K1535" i="67"/>
  <c r="Y1414" i="67"/>
  <c r="N1397" i="67"/>
  <c r="K1551" i="67"/>
  <c r="K1383" i="67"/>
  <c r="K161" i="67" s="1"/>
  <c r="N1551" i="67"/>
  <c r="K1415" i="67"/>
  <c r="Y1551" i="67"/>
  <c r="Y1535" i="67"/>
  <c r="Y1415" i="67"/>
  <c r="Y1383" i="67"/>
  <c r="Y8" i="67" s="1"/>
  <c r="D4" i="50"/>
  <c r="D4" i="57" s="1"/>
  <c r="D4" i="69"/>
  <c r="U161" i="67"/>
  <c r="U8" i="67"/>
  <c r="Q8" i="67"/>
  <c r="Q161" i="67"/>
  <c r="AA8" i="67"/>
  <c r="AA161" i="67"/>
  <c r="L161" i="67"/>
  <c r="L8" i="67"/>
  <c r="M8" i="67"/>
  <c r="M161" i="67"/>
  <c r="T161" i="67"/>
  <c r="T8" i="67"/>
  <c r="AX42" i="36"/>
  <c r="AW83" i="36"/>
  <c r="B59" i="46"/>
  <c r="B60" i="46" s="1"/>
  <c r="B61" i="46" s="1"/>
  <c r="B42" i="46"/>
  <c r="B43" i="46" s="1"/>
  <c r="B44" i="46" s="1"/>
  <c r="B45" i="46" s="1"/>
  <c r="B46" i="46" s="1"/>
  <c r="B47" i="46" s="1"/>
  <c r="C54" i="46"/>
  <c r="C55" i="46" s="1"/>
  <c r="C56" i="46" s="1"/>
  <c r="C57" i="46" s="1"/>
  <c r="C58" i="46" s="1"/>
  <c r="C48" i="46"/>
  <c r="C49" i="46" s="1"/>
  <c r="C50" i="46" s="1"/>
  <c r="C51" i="46" s="1"/>
  <c r="C52" i="46" s="1"/>
  <c r="C53" i="46" s="1"/>
  <c r="A59" i="46"/>
  <c r="A60" i="46" s="1"/>
  <c r="A61" i="46" s="1"/>
  <c r="A42" i="46"/>
  <c r="A43" i="46" s="1"/>
  <c r="A44" i="46" s="1"/>
  <c r="A45" i="46" s="1"/>
  <c r="A46" i="46" s="1"/>
  <c r="A47" i="46" s="1"/>
  <c r="B29" i="46"/>
  <c r="B30" i="46" s="1"/>
  <c r="B31" i="46" s="1"/>
  <c r="B32" i="46" s="1"/>
  <c r="B33" i="46" s="1"/>
  <c r="B34" i="46" s="1"/>
  <c r="B62" i="46"/>
  <c r="A29" i="46"/>
  <c r="A30" i="46" s="1"/>
  <c r="A31" i="46" s="1"/>
  <c r="A32" i="46" s="1"/>
  <c r="A33" i="46" s="1"/>
  <c r="A34" i="46" s="1"/>
  <c r="A62" i="46"/>
  <c r="B69" i="46"/>
  <c r="B70" i="46" s="1"/>
  <c r="B71" i="46" s="1"/>
  <c r="B72" i="46" s="1"/>
  <c r="B73" i="46" s="1"/>
  <c r="B74" i="46" s="1"/>
  <c r="B75" i="46" s="1"/>
  <c r="B76" i="46" s="1"/>
  <c r="B77" i="46" s="1"/>
  <c r="B78" i="46" s="1"/>
  <c r="B79" i="46" s="1"/>
  <c r="B80" i="46" s="1"/>
  <c r="B81" i="46" s="1"/>
  <c r="B82" i="46" s="1"/>
  <c r="B83" i="46" s="1"/>
  <c r="B84" i="46" s="1"/>
  <c r="B85" i="46" s="1"/>
  <c r="B86" i="46" s="1"/>
  <c r="B87" i="46" s="1"/>
  <c r="B88" i="46" s="1"/>
  <c r="B89" i="46" s="1"/>
  <c r="B90" i="46" s="1"/>
  <c r="B91" i="46" s="1"/>
  <c r="B92" i="46" s="1"/>
  <c r="B93" i="46" s="1"/>
  <c r="B94" i="46" s="1"/>
  <c r="B95" i="46" s="1"/>
  <c r="B96" i="46" s="1"/>
  <c r="B97" i="46" s="1"/>
  <c r="B98" i="46" s="1"/>
  <c r="B99" i="46" s="1"/>
  <c r="B100" i="46" s="1"/>
  <c r="B101" i="46" s="1"/>
  <c r="B102" i="46" s="1"/>
  <c r="B103" i="46" s="1"/>
  <c r="B104" i="46" s="1"/>
  <c r="B105" i="46" s="1"/>
  <c r="B106" i="46" s="1"/>
  <c r="B107" i="46" s="1"/>
  <c r="B108" i="46" s="1"/>
  <c r="B109" i="46" s="1"/>
  <c r="B110" i="46" s="1"/>
  <c r="B111" i="46" s="1"/>
  <c r="B112" i="46" s="1"/>
  <c r="B113" i="46" s="1"/>
  <c r="B114" i="46" s="1"/>
  <c r="B115" i="46" s="1"/>
  <c r="B116" i="46" s="1"/>
  <c r="B117" i="46" s="1"/>
  <c r="B118" i="46" s="1"/>
  <c r="B119" i="46" s="1"/>
  <c r="B120" i="46" s="1"/>
  <c r="B121" i="46" s="1"/>
  <c r="B122" i="46" s="1"/>
  <c r="B123" i="46" s="1"/>
  <c r="B124" i="46" s="1"/>
  <c r="B125" i="46" s="1"/>
  <c r="B126" i="46" s="1"/>
  <c r="B127" i="46" s="1"/>
  <c r="B128" i="46" s="1"/>
  <c r="B129" i="46" s="1"/>
  <c r="B130" i="46" s="1"/>
  <c r="B35" i="46"/>
  <c r="B36" i="46" s="1"/>
  <c r="B37" i="46" s="1"/>
  <c r="B38" i="46" s="1"/>
  <c r="B39" i="46" s="1"/>
  <c r="B40" i="46" s="1"/>
  <c r="A69" i="46"/>
  <c r="A70" i="46" s="1"/>
  <c r="A71" i="46" s="1"/>
  <c r="A72" i="46" s="1"/>
  <c r="A73" i="46" s="1"/>
  <c r="A74" i="46" s="1"/>
  <c r="A75" i="46" s="1"/>
  <c r="A76" i="46" s="1"/>
  <c r="A77" i="46" s="1"/>
  <c r="A78" i="46" s="1"/>
  <c r="A79" i="46" s="1"/>
  <c r="A80" i="46" s="1"/>
  <c r="A81" i="46" s="1"/>
  <c r="A82" i="46" s="1"/>
  <c r="A83" i="46" s="1"/>
  <c r="A84" i="46" s="1"/>
  <c r="A85" i="46" s="1"/>
  <c r="A86" i="46" s="1"/>
  <c r="A87" i="46" s="1"/>
  <c r="A88" i="46" s="1"/>
  <c r="A89" i="46" s="1"/>
  <c r="A90" i="46" s="1"/>
  <c r="A91" i="46" s="1"/>
  <c r="A92" i="46" s="1"/>
  <c r="A93" i="46" s="1"/>
  <c r="A94" i="46" s="1"/>
  <c r="A95" i="46" s="1"/>
  <c r="A96" i="46" s="1"/>
  <c r="A97" i="46" s="1"/>
  <c r="A98" i="46" s="1"/>
  <c r="A99" i="46" s="1"/>
  <c r="A100" i="46" s="1"/>
  <c r="A101" i="46" s="1"/>
  <c r="A102" i="46" s="1"/>
  <c r="A103" i="46" s="1"/>
  <c r="A104" i="46" s="1"/>
  <c r="A105" i="46" s="1"/>
  <c r="A106" i="46" s="1"/>
  <c r="A107" i="46" s="1"/>
  <c r="A108" i="46" s="1"/>
  <c r="A109" i="46" s="1"/>
  <c r="A110" i="46" s="1"/>
  <c r="A111" i="46" s="1"/>
  <c r="A112" i="46" s="1"/>
  <c r="A113" i="46" s="1"/>
  <c r="A114" i="46" s="1"/>
  <c r="A115" i="46" s="1"/>
  <c r="A116" i="46" s="1"/>
  <c r="A117" i="46" s="1"/>
  <c r="A118" i="46" s="1"/>
  <c r="A119" i="46" s="1"/>
  <c r="A120" i="46" s="1"/>
  <c r="A121" i="46" s="1"/>
  <c r="A122" i="46" s="1"/>
  <c r="A123" i="46" s="1"/>
  <c r="A124" i="46" s="1"/>
  <c r="A125" i="46" s="1"/>
  <c r="A126" i="46" s="1"/>
  <c r="A127" i="46" s="1"/>
  <c r="A128" i="46" s="1"/>
  <c r="A129" i="46" s="1"/>
  <c r="A130" i="46" s="1"/>
  <c r="A35" i="46"/>
  <c r="A36" i="46" s="1"/>
  <c r="A37" i="46" s="1"/>
  <c r="A38" i="46" s="1"/>
  <c r="A39" i="46" s="1"/>
  <c r="A40" i="46" s="1"/>
  <c r="A19" i="46"/>
  <c r="A20" i="46" s="1"/>
  <c r="A21" i="46" s="1"/>
  <c r="C19" i="46"/>
  <c r="C27" i="46"/>
  <c r="A22" i="46"/>
  <c r="C26" i="46"/>
  <c r="D5" i="47"/>
  <c r="C67" i="46"/>
  <c r="O161" i="67" l="1"/>
  <c r="P8" i="67"/>
  <c r="Z8" i="67"/>
  <c r="N8" i="67"/>
  <c r="K8" i="67"/>
  <c r="Y161" i="67"/>
  <c r="C4" i="50"/>
  <c r="C4" i="57" s="1"/>
  <c r="C4" i="69"/>
  <c r="AY42" i="36"/>
  <c r="AX83" i="36"/>
  <c r="A48" i="46"/>
  <c r="A49" i="46" s="1"/>
  <c r="A50" i="46" s="1"/>
  <c r="A51" i="46" s="1"/>
  <c r="A52" i="46" s="1"/>
  <c r="A53" i="46" s="1"/>
  <c r="A54" i="46"/>
  <c r="A55" i="46" s="1"/>
  <c r="A56" i="46" s="1"/>
  <c r="A57" i="46" s="1"/>
  <c r="A58" i="46" s="1"/>
  <c r="B54" i="46"/>
  <c r="B55" i="46" s="1"/>
  <c r="B56" i="46" s="1"/>
  <c r="B57" i="46" s="1"/>
  <c r="B58" i="46" s="1"/>
  <c r="B48" i="46"/>
  <c r="B49" i="46" s="1"/>
  <c r="B50" i="46" s="1"/>
  <c r="B51" i="46" s="1"/>
  <c r="B52" i="46" s="1"/>
  <c r="B53" i="46" s="1"/>
  <c r="A23" i="46"/>
  <c r="A7" i="58" s="1"/>
  <c r="A8" i="58" s="1"/>
  <c r="C68" i="46"/>
  <c r="AZ42" i="36" l="1"/>
  <c r="AY83" i="36"/>
  <c r="A24" i="46"/>
  <c r="C69" i="46"/>
  <c r="BA42" i="36" l="1"/>
  <c r="AZ83" i="36"/>
  <c r="A25" i="46"/>
  <c r="C70" i="46"/>
  <c r="BB42" i="36" l="1"/>
  <c r="BA83" i="36"/>
  <c r="A26" i="46"/>
  <c r="C71" i="46"/>
  <c r="BC42" i="36" l="1"/>
  <c r="BB83" i="36"/>
  <c r="A27" i="46"/>
  <c r="C72" i="46"/>
  <c r="BD42" i="36" l="1"/>
  <c r="BC83" i="36"/>
  <c r="C73" i="46"/>
  <c r="BE42" i="36" l="1"/>
  <c r="BD83" i="36"/>
  <c r="C74" i="46"/>
  <c r="BF42" i="36" l="1"/>
  <c r="BE83" i="36"/>
  <c r="C75" i="46"/>
  <c r="BG42" i="36" l="1"/>
  <c r="BF83" i="36"/>
  <c r="C76" i="46"/>
  <c r="BH42" i="36" l="1"/>
  <c r="BG83" i="36"/>
  <c r="C77" i="46"/>
  <c r="BI42" i="36" l="1"/>
  <c r="BH83" i="36"/>
  <c r="C78" i="46"/>
  <c r="BJ42" i="36" l="1"/>
  <c r="BI83" i="36"/>
  <c r="C79" i="46"/>
  <c r="BK42" i="36" l="1"/>
  <c r="BJ83" i="36"/>
  <c r="C80" i="46"/>
  <c r="BL42" i="36" l="1"/>
  <c r="BK83" i="36"/>
  <c r="D61" i="45"/>
  <c r="D62" i="45"/>
  <c r="D63" i="45"/>
  <c r="D65" i="45"/>
  <c r="BM42" i="36" l="1"/>
  <c r="BL83" i="36"/>
  <c r="AL32" i="50"/>
  <c r="AL53" i="50" s="1"/>
  <c r="BE32" i="50"/>
  <c r="BE53" i="50" s="1"/>
  <c r="AW32" i="50"/>
  <c r="AW53" i="50" s="1"/>
  <c r="AF32" i="50"/>
  <c r="AF53" i="50" s="1"/>
  <c r="BH32" i="50"/>
  <c r="BH53" i="50" s="1"/>
  <c r="BD32" i="50"/>
  <c r="BD53" i="50" s="1"/>
  <c r="AZ32" i="50"/>
  <c r="AZ53" i="50" s="1"/>
  <c r="AV32" i="50"/>
  <c r="AV53" i="50" s="1"/>
  <c r="AR32" i="50"/>
  <c r="AR53" i="50" s="1"/>
  <c r="AK32" i="50"/>
  <c r="AK53" i="50" s="1"/>
  <c r="BA32" i="50"/>
  <c r="BA53" i="50" s="1"/>
  <c r="BG32" i="50"/>
  <c r="BG53" i="50" s="1"/>
  <c r="AY32" i="50"/>
  <c r="AY53" i="50" s="1"/>
  <c r="AU32" i="50"/>
  <c r="AU53" i="50" s="1"/>
  <c r="AQ32" i="50"/>
  <c r="AQ53" i="50" s="1"/>
  <c r="AJ32" i="50"/>
  <c r="AJ53" i="50" s="1"/>
  <c r="BI32" i="50"/>
  <c r="BI53" i="50" s="1"/>
  <c r="AS32" i="50"/>
  <c r="AS53" i="50" s="1"/>
  <c r="BK32" i="50"/>
  <c r="BK53" i="50" s="1"/>
  <c r="BC32" i="50"/>
  <c r="BC53" i="50" s="1"/>
  <c r="BJ32" i="50"/>
  <c r="BJ53" i="50" s="1"/>
  <c r="BF32" i="50"/>
  <c r="BF53" i="50" s="1"/>
  <c r="BB32" i="50"/>
  <c r="BB53" i="50" s="1"/>
  <c r="AX32" i="50"/>
  <c r="AX53" i="50" s="1"/>
  <c r="AT32" i="50"/>
  <c r="AT53" i="50" s="1"/>
  <c r="AP32" i="50"/>
  <c r="AP53" i="50" s="1"/>
  <c r="AG32" i="50"/>
  <c r="AG53" i="50" s="1"/>
  <c r="BN42" i="36" l="1"/>
  <c r="BM83" i="36"/>
  <c r="BF40" i="50"/>
  <c r="BD40" i="50"/>
  <c r="AP40" i="50"/>
  <c r="AJ40" i="50"/>
  <c r="AK40" i="50"/>
  <c r="AG40" i="50"/>
  <c r="AT40" i="50"/>
  <c r="BB40" i="50"/>
  <c r="BE40" i="50"/>
  <c r="AU40" i="50"/>
  <c r="AY40" i="50"/>
  <c r="BK40" i="50"/>
  <c r="AL40" i="50"/>
  <c r="AW40" i="50"/>
  <c r="AX40" i="50"/>
  <c r="BH40" i="50"/>
  <c r="AV40" i="50"/>
  <c r="BJ40" i="50"/>
  <c r="BG40" i="50"/>
  <c r="BI40" i="50"/>
  <c r="AQ40" i="50"/>
  <c r="BC40" i="50"/>
  <c r="AF40" i="50"/>
  <c r="AR40" i="50"/>
  <c r="AZ40" i="50"/>
  <c r="BA40" i="50"/>
  <c r="AS40" i="50"/>
  <c r="AY17" i="36"/>
  <c r="AY18" i="36"/>
  <c r="BP18" i="36"/>
  <c r="BP17" i="36"/>
  <c r="AV18" i="36"/>
  <c r="AV17" i="36"/>
  <c r="BF18" i="36"/>
  <c r="BF17" i="36"/>
  <c r="BE17" i="36"/>
  <c r="BE18" i="36"/>
  <c r="BB17" i="36"/>
  <c r="BB18" i="36"/>
  <c r="AU17" i="36"/>
  <c r="AU18" i="36"/>
  <c r="BC18" i="36"/>
  <c r="BC17" i="36"/>
  <c r="BK18" i="36"/>
  <c r="BK17" i="36"/>
  <c r="BH17" i="36"/>
  <c r="BH18" i="36"/>
  <c r="AX18" i="36"/>
  <c r="AX17" i="36"/>
  <c r="AO17" i="36"/>
  <c r="AO18" i="36"/>
  <c r="AZ18" i="36"/>
  <c r="AZ17" i="36"/>
  <c r="BL18" i="36"/>
  <c r="BL17" i="36"/>
  <c r="AP18" i="36"/>
  <c r="AP17" i="36"/>
  <c r="BA18" i="36"/>
  <c r="BA17" i="36"/>
  <c r="BI18" i="36"/>
  <c r="BI17" i="36"/>
  <c r="AK18" i="36"/>
  <c r="AK17" i="36"/>
  <c r="BJ17" i="36"/>
  <c r="BJ18" i="36"/>
  <c r="AL17" i="36"/>
  <c r="AL18" i="36"/>
  <c r="BG17" i="36"/>
  <c r="BG18" i="36"/>
  <c r="BO17" i="36"/>
  <c r="BO18" i="36"/>
  <c r="BN17" i="36"/>
  <c r="BN18" i="36"/>
  <c r="BD17" i="36"/>
  <c r="BD18" i="36"/>
  <c r="AW17" i="36"/>
  <c r="AW18" i="36"/>
  <c r="BM17" i="36"/>
  <c r="BM18" i="36"/>
  <c r="AQ18" i="36"/>
  <c r="AQ17" i="36"/>
  <c r="E36" i="45"/>
  <c r="E37" i="45" s="1"/>
  <c r="E38" i="45" s="1"/>
  <c r="E39" i="45" s="1"/>
  <c r="E40" i="45" s="1"/>
  <c r="AW1063" i="67" l="1"/>
  <c r="AW1392" i="67"/>
  <c r="AW1406" i="67"/>
  <c r="AW1424" i="67"/>
  <c r="AW1544" i="67"/>
  <c r="AW1560" i="67"/>
  <c r="AW1047" i="67"/>
  <c r="AW1080" i="67"/>
  <c r="AW961" i="67"/>
  <c r="AW792" i="67"/>
  <c r="AW1112" i="67"/>
  <c r="AW943" i="67"/>
  <c r="AW1198" i="67"/>
  <c r="AW929" i="67"/>
  <c r="AW1094" i="67"/>
  <c r="AW1214" i="67"/>
  <c r="X1062" i="67"/>
  <c r="X1391" i="67"/>
  <c r="X1405" i="67"/>
  <c r="X1423" i="67"/>
  <c r="X1543" i="67"/>
  <c r="X1559" i="67"/>
  <c r="X1046" i="67"/>
  <c r="X1093" i="67"/>
  <c r="X942" i="67"/>
  <c r="X1111" i="67"/>
  <c r="X960" i="67"/>
  <c r="X1197" i="67"/>
  <c r="X928" i="67"/>
  <c r="X1079" i="67"/>
  <c r="X1213" i="67"/>
  <c r="X791" i="67"/>
  <c r="AQ1063" i="67"/>
  <c r="AQ1392" i="67"/>
  <c r="AQ1406" i="67"/>
  <c r="AQ1424" i="67"/>
  <c r="AQ1544" i="67"/>
  <c r="AQ1560" i="67"/>
  <c r="AQ1047" i="67"/>
  <c r="AQ1094" i="67"/>
  <c r="AQ1214" i="67"/>
  <c r="AQ943" i="67"/>
  <c r="AQ1112" i="67"/>
  <c r="AQ961" i="67"/>
  <c r="AQ1080" i="67"/>
  <c r="AQ929" i="67"/>
  <c r="AQ1198" i="67"/>
  <c r="AQ792" i="67"/>
  <c r="AT1062" i="67"/>
  <c r="AT1391" i="67"/>
  <c r="AT1405" i="67"/>
  <c r="AT1423" i="67"/>
  <c r="AT1559" i="67"/>
  <c r="AT1543" i="67"/>
  <c r="AT960" i="67"/>
  <c r="AT1079" i="67"/>
  <c r="AT1213" i="67"/>
  <c r="AT1046" i="67"/>
  <c r="AT1093" i="67"/>
  <c r="AT942" i="67"/>
  <c r="AT1111" i="67"/>
  <c r="AT928" i="67"/>
  <c r="AT1197" i="67"/>
  <c r="AT791" i="67"/>
  <c r="AK1062" i="67"/>
  <c r="AK1405" i="67"/>
  <c r="AK1423" i="67"/>
  <c r="AK1391" i="67"/>
  <c r="AK1543" i="67"/>
  <c r="AK1559" i="67"/>
  <c r="AK1046" i="67"/>
  <c r="AK1197" i="67"/>
  <c r="AK960" i="67"/>
  <c r="AK1079" i="67"/>
  <c r="AK1213" i="67"/>
  <c r="AK942" i="67"/>
  <c r="AK1093" i="67"/>
  <c r="AK928" i="67"/>
  <c r="AK1111" i="67"/>
  <c r="AK791" i="67"/>
  <c r="AV1062" i="67"/>
  <c r="AV1391" i="67"/>
  <c r="AV1405" i="67"/>
  <c r="AV1423" i="67"/>
  <c r="AV1543" i="67"/>
  <c r="AV1559" i="67"/>
  <c r="AV1046" i="67"/>
  <c r="AV1197" i="67"/>
  <c r="AV960" i="67"/>
  <c r="AV1079" i="67"/>
  <c r="AV1213" i="67"/>
  <c r="AV942" i="67"/>
  <c r="AV1093" i="67"/>
  <c r="AV928" i="67"/>
  <c r="AV1111" i="67"/>
  <c r="AV791" i="67"/>
  <c r="S1062" i="67"/>
  <c r="S1391" i="67"/>
  <c r="S1405" i="67"/>
  <c r="S1423" i="67"/>
  <c r="S1543" i="67"/>
  <c r="S1559" i="67"/>
  <c r="S960" i="67"/>
  <c r="S1079" i="67"/>
  <c r="S1213" i="67"/>
  <c r="S1046" i="67"/>
  <c r="S1093" i="67"/>
  <c r="S942" i="67"/>
  <c r="S1111" i="67"/>
  <c r="S928" i="67"/>
  <c r="S791" i="67"/>
  <c r="S1197" i="67"/>
  <c r="R1063" i="67"/>
  <c r="R1392" i="67"/>
  <c r="R1406" i="67"/>
  <c r="R1424" i="67"/>
  <c r="R1544" i="67"/>
  <c r="R1560" i="67"/>
  <c r="R1047" i="67"/>
  <c r="R1094" i="67"/>
  <c r="R961" i="67"/>
  <c r="R792" i="67"/>
  <c r="R1112" i="67"/>
  <c r="R943" i="67"/>
  <c r="R1198" i="67"/>
  <c r="R929" i="67"/>
  <c r="R1080" i="67"/>
  <c r="R1214" i="67"/>
  <c r="AH1063" i="67"/>
  <c r="AH1392" i="67"/>
  <c r="AH1406" i="67"/>
  <c r="AH1424" i="67"/>
  <c r="AH1544" i="67"/>
  <c r="AH1560" i="67"/>
  <c r="AH1047" i="67"/>
  <c r="AH1094" i="67"/>
  <c r="AH943" i="67"/>
  <c r="AH1112" i="67"/>
  <c r="AH961" i="67"/>
  <c r="AH1198" i="67"/>
  <c r="AH929" i="67"/>
  <c r="AH1080" i="67"/>
  <c r="AH1214" i="67"/>
  <c r="AH792" i="67"/>
  <c r="AS1063" i="67"/>
  <c r="AS1392" i="67"/>
  <c r="AS1406" i="67"/>
  <c r="AS1424" i="67"/>
  <c r="AS1544" i="67"/>
  <c r="AS1560" i="67"/>
  <c r="AS961" i="67"/>
  <c r="AS1094" i="67"/>
  <c r="AS1214" i="67"/>
  <c r="AS1047" i="67"/>
  <c r="AS1080" i="67"/>
  <c r="AS943" i="67"/>
  <c r="AS1112" i="67"/>
  <c r="AS929" i="67"/>
  <c r="AS1198" i="67"/>
  <c r="AS792" i="67"/>
  <c r="V1062" i="67"/>
  <c r="V1391" i="67"/>
  <c r="V1405" i="67"/>
  <c r="V1423" i="67"/>
  <c r="V1543" i="67"/>
  <c r="V1559" i="67"/>
  <c r="V960" i="67"/>
  <c r="V1111" i="67"/>
  <c r="V942" i="67"/>
  <c r="V1197" i="67"/>
  <c r="V1046" i="67"/>
  <c r="V1079" i="67"/>
  <c r="V1213" i="67"/>
  <c r="V928" i="67"/>
  <c r="V1093" i="67"/>
  <c r="V791" i="67"/>
  <c r="AO1062" i="67"/>
  <c r="AO1391" i="67"/>
  <c r="AO1423" i="67"/>
  <c r="AO1405" i="67"/>
  <c r="AO1543" i="67"/>
  <c r="AO1559" i="67"/>
  <c r="AO1046" i="67"/>
  <c r="AO1079" i="67"/>
  <c r="AO1213" i="67"/>
  <c r="AO960" i="67"/>
  <c r="AO1111" i="67"/>
  <c r="AO942" i="67"/>
  <c r="AO1093" i="67"/>
  <c r="AO928" i="67"/>
  <c r="AO1197" i="67"/>
  <c r="AO791" i="67"/>
  <c r="AJ1063" i="67"/>
  <c r="AJ1392" i="67"/>
  <c r="AJ1406" i="67"/>
  <c r="AJ1424" i="67"/>
  <c r="AJ1544" i="67"/>
  <c r="AJ1560" i="67"/>
  <c r="AJ961" i="67"/>
  <c r="AJ1198" i="67"/>
  <c r="AJ1047" i="67"/>
  <c r="AJ1080" i="67"/>
  <c r="AJ1214" i="67"/>
  <c r="AJ943" i="67"/>
  <c r="AJ1094" i="67"/>
  <c r="AJ929" i="67"/>
  <c r="AJ1112" i="67"/>
  <c r="AJ792" i="67"/>
  <c r="AI1062" i="67"/>
  <c r="AI1391" i="67"/>
  <c r="AI1405" i="67"/>
  <c r="AI1423" i="67"/>
  <c r="AI1543" i="67"/>
  <c r="AI1559" i="67"/>
  <c r="AI960" i="67"/>
  <c r="AI1093" i="67"/>
  <c r="AI1213" i="67"/>
  <c r="AI1046" i="67"/>
  <c r="AI1079" i="67"/>
  <c r="AI942" i="67"/>
  <c r="AI1111" i="67"/>
  <c r="AI928" i="67"/>
  <c r="AI1197" i="67"/>
  <c r="AI791" i="67"/>
  <c r="AM1063" i="67"/>
  <c r="AM1392" i="67"/>
  <c r="AM1406" i="67"/>
  <c r="AM1424" i="67"/>
  <c r="AM1544" i="67"/>
  <c r="AM1560" i="67"/>
  <c r="AM1047" i="67"/>
  <c r="AM1198" i="67"/>
  <c r="AM943" i="67"/>
  <c r="AM1080" i="67"/>
  <c r="AM1214" i="67"/>
  <c r="AM961" i="67"/>
  <c r="AM1094" i="67"/>
  <c r="AM929" i="67"/>
  <c r="AM792" i="67"/>
  <c r="AM1112" i="67"/>
  <c r="AD1063" i="67"/>
  <c r="AD1392" i="67"/>
  <c r="AD1406" i="67"/>
  <c r="AD1424" i="67"/>
  <c r="AD1544" i="67"/>
  <c r="AD1560" i="67"/>
  <c r="AD1047" i="67"/>
  <c r="AD1080" i="67"/>
  <c r="AD1214" i="67"/>
  <c r="AD961" i="67"/>
  <c r="AD1094" i="67"/>
  <c r="AD943" i="67"/>
  <c r="AD1112" i="67"/>
  <c r="AD929" i="67"/>
  <c r="AD1198" i="67"/>
  <c r="AD792" i="67"/>
  <c r="AU1063" i="67"/>
  <c r="AU1392" i="67"/>
  <c r="AU1406" i="67"/>
  <c r="AU1424" i="67"/>
  <c r="AU1544" i="67"/>
  <c r="AU1560" i="67"/>
  <c r="AU1047" i="67"/>
  <c r="AU1094" i="67"/>
  <c r="AU943" i="67"/>
  <c r="AU1112" i="67"/>
  <c r="AU961" i="67"/>
  <c r="AU1198" i="67"/>
  <c r="AU929" i="67"/>
  <c r="AU1080" i="67"/>
  <c r="AU1214" i="67"/>
  <c r="AU792" i="67"/>
  <c r="AN1063" i="67"/>
  <c r="AN1392" i="67"/>
  <c r="AN1406" i="67"/>
  <c r="AN1424" i="67"/>
  <c r="AN1560" i="67"/>
  <c r="AN1544" i="67"/>
  <c r="AN961" i="67"/>
  <c r="AN1094" i="67"/>
  <c r="AN1214" i="67"/>
  <c r="AN1047" i="67"/>
  <c r="AN1112" i="67"/>
  <c r="AN943" i="67"/>
  <c r="AN1080" i="67"/>
  <c r="AN929" i="67"/>
  <c r="AN1198" i="67"/>
  <c r="AN792" i="67"/>
  <c r="AP1062" i="67"/>
  <c r="AP1391" i="67"/>
  <c r="AP1405" i="67"/>
  <c r="AP1423" i="67"/>
  <c r="AP1543" i="67"/>
  <c r="AP1559" i="67"/>
  <c r="AP960" i="67"/>
  <c r="AP1197" i="67"/>
  <c r="AP1046" i="67"/>
  <c r="AP1093" i="67"/>
  <c r="AP1213" i="67"/>
  <c r="AP942" i="67"/>
  <c r="AP1079" i="67"/>
  <c r="AP928" i="67"/>
  <c r="AP1111" i="67"/>
  <c r="AP791" i="67"/>
  <c r="W1062" i="67"/>
  <c r="W1391" i="67"/>
  <c r="W1405" i="67"/>
  <c r="W1423" i="67"/>
  <c r="W1543" i="67"/>
  <c r="W1559" i="67"/>
  <c r="W1046" i="67"/>
  <c r="W1079" i="67"/>
  <c r="W960" i="67"/>
  <c r="W1111" i="67"/>
  <c r="W942" i="67"/>
  <c r="W1197" i="67"/>
  <c r="W928" i="67"/>
  <c r="W1093" i="67"/>
  <c r="W1213" i="67"/>
  <c r="W791" i="67"/>
  <c r="AE1062" i="67"/>
  <c r="AE1391" i="67"/>
  <c r="AE1405" i="67"/>
  <c r="AE1423" i="67"/>
  <c r="AE1543" i="67"/>
  <c r="AE1559" i="67"/>
  <c r="AE1046" i="67"/>
  <c r="AE1197" i="67"/>
  <c r="AE960" i="67"/>
  <c r="AE1093" i="67"/>
  <c r="AE1213" i="67"/>
  <c r="AE942" i="67"/>
  <c r="AE1079" i="67"/>
  <c r="AE928" i="67"/>
  <c r="AE1111" i="67"/>
  <c r="AE791" i="67"/>
  <c r="AR1062" i="67"/>
  <c r="AR1391" i="67"/>
  <c r="AR1405" i="67"/>
  <c r="AR1423" i="67"/>
  <c r="AR1543" i="67"/>
  <c r="AR1559" i="67"/>
  <c r="AR1046" i="67"/>
  <c r="AR1111" i="67"/>
  <c r="AR942" i="67"/>
  <c r="AR1197" i="67"/>
  <c r="AR960" i="67"/>
  <c r="AR1079" i="67"/>
  <c r="AR1213" i="67"/>
  <c r="AR928" i="67"/>
  <c r="AR1093" i="67"/>
  <c r="AR791" i="67"/>
  <c r="AL1063" i="67"/>
  <c r="AL1392" i="67"/>
  <c r="AL1406" i="67"/>
  <c r="AL1424" i="67"/>
  <c r="AL1544" i="67"/>
  <c r="AL1560" i="67"/>
  <c r="AL1047" i="67"/>
  <c r="AL1112" i="67"/>
  <c r="AL961" i="67"/>
  <c r="AL1198" i="67"/>
  <c r="AL943" i="67"/>
  <c r="AL1080" i="67"/>
  <c r="AL1214" i="67"/>
  <c r="AL929" i="67"/>
  <c r="AL1094" i="67"/>
  <c r="AL792" i="67"/>
  <c r="AC1062" i="67"/>
  <c r="AC1391" i="67"/>
  <c r="AC1405" i="67"/>
  <c r="AC1423" i="67"/>
  <c r="AC1543" i="67"/>
  <c r="AC1559" i="67"/>
  <c r="AC1046" i="67"/>
  <c r="AC1111" i="67"/>
  <c r="AC942" i="67"/>
  <c r="AC1093" i="67"/>
  <c r="AC960" i="67"/>
  <c r="AC1197" i="67"/>
  <c r="AC928" i="67"/>
  <c r="AC791" i="67"/>
  <c r="AC1079" i="67"/>
  <c r="AC1213" i="67"/>
  <c r="AG1062" i="67"/>
  <c r="AG1391" i="67"/>
  <c r="AG1405" i="67"/>
  <c r="AG1423" i="67"/>
  <c r="AG1543" i="67"/>
  <c r="AG1559" i="67"/>
  <c r="AG1046" i="67"/>
  <c r="AG1111" i="67"/>
  <c r="AG960" i="67"/>
  <c r="AG1197" i="67"/>
  <c r="AG942" i="67"/>
  <c r="AG1079" i="67"/>
  <c r="AG1213" i="67"/>
  <c r="AG928" i="67"/>
  <c r="AG1093" i="67"/>
  <c r="AG791" i="67"/>
  <c r="AB1063" i="67"/>
  <c r="AB1392" i="67"/>
  <c r="AB1406" i="67"/>
  <c r="AB1424" i="67"/>
  <c r="AB1544" i="67"/>
  <c r="AB1560" i="67"/>
  <c r="AB961" i="67"/>
  <c r="AB1112" i="67"/>
  <c r="AB1047" i="67"/>
  <c r="AB1080" i="67"/>
  <c r="AB943" i="67"/>
  <c r="AB1198" i="67"/>
  <c r="AB929" i="67"/>
  <c r="AB1094" i="67"/>
  <c r="AB1214" i="67"/>
  <c r="AB792" i="67"/>
  <c r="AF1063" i="67"/>
  <c r="AF1392" i="67"/>
  <c r="AF1406" i="67"/>
  <c r="AF1424" i="67"/>
  <c r="AF1560" i="67"/>
  <c r="AF1544" i="67"/>
  <c r="AF961" i="67"/>
  <c r="AF1112" i="67"/>
  <c r="AF1047" i="67"/>
  <c r="AF1198" i="67"/>
  <c r="AF943" i="67"/>
  <c r="AF1080" i="67"/>
  <c r="AF1214" i="67"/>
  <c r="AF929" i="67"/>
  <c r="AF1094" i="67"/>
  <c r="AF792" i="67"/>
  <c r="X1063" i="67"/>
  <c r="X1392" i="67"/>
  <c r="X1406" i="67"/>
  <c r="X1424" i="67"/>
  <c r="X1560" i="67"/>
  <c r="X1544" i="67"/>
  <c r="X961" i="67"/>
  <c r="X1080" i="67"/>
  <c r="X1214" i="67"/>
  <c r="X1047" i="67"/>
  <c r="X1112" i="67"/>
  <c r="X943" i="67"/>
  <c r="X1094" i="67"/>
  <c r="X929" i="67"/>
  <c r="X1198" i="67"/>
  <c r="X792" i="67"/>
  <c r="AD1062" i="67"/>
  <c r="AD1391" i="67"/>
  <c r="AD1405" i="67"/>
  <c r="AD1423" i="67"/>
  <c r="AD1543" i="67"/>
  <c r="AD1559" i="67"/>
  <c r="AD960" i="67"/>
  <c r="AD1079" i="67"/>
  <c r="AD1213" i="67"/>
  <c r="AD942" i="67"/>
  <c r="AD1111" i="67"/>
  <c r="AD1046" i="67"/>
  <c r="AD1093" i="67"/>
  <c r="AD928" i="67"/>
  <c r="AD1197" i="67"/>
  <c r="AD791" i="67"/>
  <c r="AU1062" i="67"/>
  <c r="AU1391" i="67"/>
  <c r="AU1405" i="67"/>
  <c r="AU1423" i="67"/>
  <c r="AU1543" i="67"/>
  <c r="AU1559" i="67"/>
  <c r="AU1046" i="67"/>
  <c r="AU1197" i="67"/>
  <c r="AU960" i="67"/>
  <c r="AU1079" i="67"/>
  <c r="AU1213" i="67"/>
  <c r="AU942" i="67"/>
  <c r="AU1093" i="67"/>
  <c r="AU928" i="67"/>
  <c r="AU1111" i="67"/>
  <c r="AU791" i="67"/>
  <c r="AN1062" i="67"/>
  <c r="AN1391" i="67"/>
  <c r="AN1405" i="67"/>
  <c r="AN1423" i="67"/>
  <c r="AN1543" i="67"/>
  <c r="AN1559" i="67"/>
  <c r="AN1046" i="67"/>
  <c r="AN1093" i="67"/>
  <c r="AN942" i="67"/>
  <c r="AN1111" i="67"/>
  <c r="AN960" i="67"/>
  <c r="AN1197" i="67"/>
  <c r="AN928" i="67"/>
  <c r="AN1079" i="67"/>
  <c r="AN1213" i="67"/>
  <c r="AN791" i="67"/>
  <c r="AQ1062" i="67"/>
  <c r="AQ1391" i="67"/>
  <c r="AQ1405" i="67"/>
  <c r="AQ1423" i="67"/>
  <c r="AQ1543" i="67"/>
  <c r="AQ1559" i="67"/>
  <c r="AQ960" i="67"/>
  <c r="AQ1111" i="67"/>
  <c r="AQ1046" i="67"/>
  <c r="AQ1197" i="67"/>
  <c r="AQ942" i="67"/>
  <c r="AQ1079" i="67"/>
  <c r="AQ1213" i="67"/>
  <c r="AQ928" i="67"/>
  <c r="AQ1093" i="67"/>
  <c r="AQ791" i="67"/>
  <c r="AP1063" i="67"/>
  <c r="AP1392" i="67"/>
  <c r="AP1406" i="67"/>
  <c r="AP1424" i="67"/>
  <c r="AP1544" i="67"/>
  <c r="AP1560" i="67"/>
  <c r="AP1047" i="67"/>
  <c r="AP1198" i="67"/>
  <c r="AP961" i="67"/>
  <c r="AP1080" i="67"/>
  <c r="AP1214" i="67"/>
  <c r="AP943" i="67"/>
  <c r="AP1094" i="67"/>
  <c r="AP929" i="67"/>
  <c r="AP1112" i="67"/>
  <c r="AP792" i="67"/>
  <c r="W1063" i="67"/>
  <c r="W1392" i="67"/>
  <c r="W1406" i="67"/>
  <c r="W1424" i="67"/>
  <c r="W1544" i="67"/>
  <c r="W1560" i="67"/>
  <c r="W1047" i="67"/>
  <c r="W1112" i="67"/>
  <c r="W943" i="67"/>
  <c r="W1094" i="67"/>
  <c r="W961" i="67"/>
  <c r="W1198" i="67"/>
  <c r="W929" i="67"/>
  <c r="W1080" i="67"/>
  <c r="W1214" i="67"/>
  <c r="W792" i="67"/>
  <c r="AG1063" i="67"/>
  <c r="AG1392" i="67"/>
  <c r="AG1406" i="67"/>
  <c r="AG1424" i="67"/>
  <c r="AG1544" i="67"/>
  <c r="AG1560" i="67"/>
  <c r="AG1047" i="67"/>
  <c r="AG1080" i="67"/>
  <c r="AG961" i="67"/>
  <c r="AG1112" i="67"/>
  <c r="AG943" i="67"/>
  <c r="AG1198" i="67"/>
  <c r="AG929" i="67"/>
  <c r="AG1094" i="67"/>
  <c r="AG1214" i="67"/>
  <c r="AG792" i="67"/>
  <c r="AE1063" i="67"/>
  <c r="AE1392" i="67"/>
  <c r="AE1406" i="67"/>
  <c r="AE1424" i="67"/>
  <c r="AE1544" i="67"/>
  <c r="AE1560" i="67"/>
  <c r="AE1047" i="67"/>
  <c r="AE1080" i="67"/>
  <c r="AE1214" i="67"/>
  <c r="AE943" i="67"/>
  <c r="AE1094" i="67"/>
  <c r="AE961" i="67"/>
  <c r="AE1112" i="67"/>
  <c r="AE929" i="67"/>
  <c r="AE1198" i="67"/>
  <c r="AE792" i="67"/>
  <c r="AR1063" i="67"/>
  <c r="AR1392" i="67"/>
  <c r="AR1406" i="67"/>
  <c r="AR1424" i="67"/>
  <c r="AR1544" i="67"/>
  <c r="AR1560" i="67"/>
  <c r="AR961" i="67"/>
  <c r="AR1112" i="67"/>
  <c r="AR1047" i="67"/>
  <c r="AR1094" i="67"/>
  <c r="AR943" i="67"/>
  <c r="AR1198" i="67"/>
  <c r="AR929" i="67"/>
  <c r="AR1080" i="67"/>
  <c r="AR1214" i="67"/>
  <c r="AR792" i="67"/>
  <c r="AB1062" i="67"/>
  <c r="AB1391" i="67"/>
  <c r="AB1405" i="67"/>
  <c r="AB1423" i="67"/>
  <c r="AB1543" i="67"/>
  <c r="AB1559" i="67"/>
  <c r="AB1046" i="67"/>
  <c r="AB1111" i="67"/>
  <c r="AB960" i="67"/>
  <c r="AB1197" i="67"/>
  <c r="AB942" i="67"/>
  <c r="AB1079" i="67"/>
  <c r="AB1213" i="67"/>
  <c r="AB928" i="67"/>
  <c r="AB1093" i="67"/>
  <c r="AB791" i="67"/>
  <c r="AL1062" i="67"/>
  <c r="AL1391" i="67"/>
  <c r="AL1405" i="67"/>
  <c r="AL1423" i="67"/>
  <c r="AL1559" i="67"/>
  <c r="AL1543" i="67"/>
  <c r="AL960" i="67"/>
  <c r="AL1111" i="67"/>
  <c r="AL942" i="67"/>
  <c r="AL1197" i="67"/>
  <c r="AL1046" i="67"/>
  <c r="AL1079" i="67"/>
  <c r="AL1213" i="67"/>
  <c r="AL928" i="67"/>
  <c r="AL1093" i="67"/>
  <c r="AL791" i="67"/>
  <c r="AC1063" i="67"/>
  <c r="AC1392" i="67"/>
  <c r="AC1406" i="67"/>
  <c r="AC1424" i="67"/>
  <c r="AC1544" i="67"/>
  <c r="AC1560" i="67"/>
  <c r="AC1047" i="67"/>
  <c r="AC1094" i="67"/>
  <c r="AC1214" i="67"/>
  <c r="AC943" i="67"/>
  <c r="AC1080" i="67"/>
  <c r="AC961" i="67"/>
  <c r="AC1112" i="67"/>
  <c r="AC929" i="67"/>
  <c r="AC792" i="67"/>
  <c r="AC1198" i="67"/>
  <c r="AF1062" i="67"/>
  <c r="AF1391" i="67"/>
  <c r="AF1405" i="67"/>
  <c r="AF1423" i="67"/>
  <c r="AF1543" i="67"/>
  <c r="AF1559" i="67"/>
  <c r="AF1046" i="67"/>
  <c r="AF1197" i="67"/>
  <c r="AF960" i="67"/>
  <c r="AF1079" i="67"/>
  <c r="AF1213" i="67"/>
  <c r="AF942" i="67"/>
  <c r="AF1093" i="67"/>
  <c r="AF928" i="67"/>
  <c r="AF1111" i="67"/>
  <c r="AF791" i="67"/>
  <c r="AT1063" i="67"/>
  <c r="AT1392" i="67"/>
  <c r="AT1406" i="67"/>
  <c r="AT1424" i="67"/>
  <c r="AT1544" i="67"/>
  <c r="AT1560" i="67"/>
  <c r="AT1047" i="67"/>
  <c r="AT1080" i="67"/>
  <c r="AT1214" i="67"/>
  <c r="AT961" i="67"/>
  <c r="AT1094" i="67"/>
  <c r="AT943" i="67"/>
  <c r="AT1112" i="67"/>
  <c r="AT929" i="67"/>
  <c r="AT1198" i="67"/>
  <c r="AT792" i="67"/>
  <c r="AK1063" i="67"/>
  <c r="AK1392" i="67"/>
  <c r="AK1406" i="67"/>
  <c r="AK1424" i="67"/>
  <c r="AK1544" i="67"/>
  <c r="AK1560" i="67"/>
  <c r="AK1047" i="67"/>
  <c r="AK1112" i="67"/>
  <c r="AK961" i="67"/>
  <c r="AK1198" i="67"/>
  <c r="AK943" i="67"/>
  <c r="AK1094" i="67"/>
  <c r="AK1214" i="67"/>
  <c r="AK929" i="67"/>
  <c r="AK1080" i="67"/>
  <c r="AK792" i="67"/>
  <c r="AV1063" i="67"/>
  <c r="AV1392" i="67"/>
  <c r="AV1406" i="67"/>
  <c r="AV1424" i="67"/>
  <c r="AV1560" i="67"/>
  <c r="AV1544" i="67"/>
  <c r="AV961" i="67"/>
  <c r="AV1112" i="67"/>
  <c r="AV1047" i="67"/>
  <c r="AV1198" i="67"/>
  <c r="AV943" i="67"/>
  <c r="AV1094" i="67"/>
  <c r="AV1214" i="67"/>
  <c r="AV929" i="67"/>
  <c r="AV1080" i="67"/>
  <c r="AV792" i="67"/>
  <c r="S1063" i="67"/>
  <c r="S1392" i="67"/>
  <c r="S1424" i="67"/>
  <c r="S1406" i="67"/>
  <c r="S1544" i="67"/>
  <c r="S1560" i="67"/>
  <c r="S1047" i="67"/>
  <c r="S792" i="67"/>
  <c r="S1080" i="67"/>
  <c r="S1214" i="67"/>
  <c r="S961" i="67"/>
  <c r="S1112" i="67"/>
  <c r="S943" i="67"/>
  <c r="S1094" i="67"/>
  <c r="S929" i="67"/>
  <c r="S1198" i="67"/>
  <c r="R1062" i="67"/>
  <c r="R1391" i="67"/>
  <c r="R1405" i="67"/>
  <c r="R1423" i="67"/>
  <c r="R1543" i="67"/>
  <c r="R1559" i="67"/>
  <c r="R960" i="67"/>
  <c r="R1093" i="67"/>
  <c r="R942" i="67"/>
  <c r="R1111" i="67"/>
  <c r="R1046" i="67"/>
  <c r="R1197" i="67"/>
  <c r="R928" i="67"/>
  <c r="R791" i="67"/>
  <c r="R1079" i="67"/>
  <c r="R1213" i="67"/>
  <c r="AH1062" i="67"/>
  <c r="AH1391" i="67"/>
  <c r="AH1405" i="67"/>
  <c r="AH1423" i="67"/>
  <c r="AH1543" i="67"/>
  <c r="AH1559" i="67"/>
  <c r="AH960" i="67"/>
  <c r="AH1093" i="67"/>
  <c r="AH942" i="67"/>
  <c r="AH1111" i="67"/>
  <c r="AH1046" i="67"/>
  <c r="AH1197" i="67"/>
  <c r="AH928" i="67"/>
  <c r="AH1079" i="67"/>
  <c r="AH1213" i="67"/>
  <c r="AH791" i="67"/>
  <c r="AS1062" i="67"/>
  <c r="AS1391" i="67"/>
  <c r="AS1405" i="67"/>
  <c r="AS1423" i="67"/>
  <c r="AS1543" i="67"/>
  <c r="AS1559" i="67"/>
  <c r="AS1046" i="67"/>
  <c r="AS1111" i="67"/>
  <c r="AS942" i="67"/>
  <c r="AS1079" i="67"/>
  <c r="AS960" i="67"/>
  <c r="AS1197" i="67"/>
  <c r="AS928" i="67"/>
  <c r="AS1093" i="67"/>
  <c r="AS1213" i="67"/>
  <c r="AS791" i="67"/>
  <c r="V1063" i="67"/>
  <c r="V1392" i="67"/>
  <c r="V1406" i="67"/>
  <c r="V1424" i="67"/>
  <c r="V1544" i="67"/>
  <c r="V1560" i="67"/>
  <c r="V1047" i="67"/>
  <c r="V1112" i="67"/>
  <c r="V961" i="67"/>
  <c r="V1198" i="67"/>
  <c r="V943" i="67"/>
  <c r="V1080" i="67"/>
  <c r="V1214" i="67"/>
  <c r="V929" i="67"/>
  <c r="V1094" i="67"/>
  <c r="V792" i="67"/>
  <c r="AO1063" i="67"/>
  <c r="AO1392" i="67"/>
  <c r="AO1406" i="67"/>
  <c r="AO1424" i="67"/>
  <c r="AO1544" i="67"/>
  <c r="AO1560" i="67"/>
  <c r="AO1047" i="67"/>
  <c r="AO1198" i="67"/>
  <c r="AO961" i="67"/>
  <c r="AO1080" i="67"/>
  <c r="AO1214" i="67"/>
  <c r="AO943" i="67"/>
  <c r="AO1094" i="67"/>
  <c r="AO929" i="67"/>
  <c r="AO1112" i="67"/>
  <c r="AO792" i="67"/>
  <c r="AJ1062" i="67"/>
  <c r="AJ1391" i="67"/>
  <c r="AJ1405" i="67"/>
  <c r="AJ1423" i="67"/>
  <c r="AJ1543" i="67"/>
  <c r="AJ1559" i="67"/>
  <c r="AJ1046" i="67"/>
  <c r="AJ1079" i="67"/>
  <c r="AJ1213" i="67"/>
  <c r="AJ960" i="67"/>
  <c r="AJ1093" i="67"/>
  <c r="AJ942" i="67"/>
  <c r="AJ1111" i="67"/>
  <c r="AJ928" i="67"/>
  <c r="AJ1197" i="67"/>
  <c r="AJ791" i="67"/>
  <c r="AI1063" i="67"/>
  <c r="AI1392" i="67"/>
  <c r="AI1424" i="67"/>
  <c r="AI1406" i="67"/>
  <c r="AI1544" i="67"/>
  <c r="AI1560" i="67"/>
  <c r="AI1047" i="67"/>
  <c r="AI1080" i="67"/>
  <c r="AI961" i="67"/>
  <c r="AI1094" i="67"/>
  <c r="AI943" i="67"/>
  <c r="AI1198" i="67"/>
  <c r="AI929" i="67"/>
  <c r="AI1112" i="67"/>
  <c r="AI1214" i="67"/>
  <c r="AI792" i="67"/>
  <c r="AM1062" i="67"/>
  <c r="AM1391" i="67"/>
  <c r="AM1405" i="67"/>
  <c r="AM1423" i="67"/>
  <c r="AM1543" i="67"/>
  <c r="AM1559" i="67"/>
  <c r="AM1046" i="67"/>
  <c r="AM1079" i="67"/>
  <c r="AM960" i="67"/>
  <c r="AM1111" i="67"/>
  <c r="AM942" i="67"/>
  <c r="AM791" i="67"/>
  <c r="AM1197" i="67"/>
  <c r="AM928" i="67"/>
  <c r="AM1093" i="67"/>
  <c r="AM1213" i="67"/>
  <c r="AW1062" i="67"/>
  <c r="AW1391" i="67"/>
  <c r="AW1405" i="67"/>
  <c r="AW1423" i="67"/>
  <c r="AW1543" i="67"/>
  <c r="AW1559" i="67"/>
  <c r="AW1046" i="67"/>
  <c r="AW1111" i="67"/>
  <c r="AW942" i="67"/>
  <c r="AW1197" i="67"/>
  <c r="AW960" i="67"/>
  <c r="AW791" i="67"/>
  <c r="AW1079" i="67"/>
  <c r="AW1213" i="67"/>
  <c r="AW928" i="67"/>
  <c r="AW1093" i="67"/>
  <c r="BF9" i="50"/>
  <c r="BK10" i="36" s="1"/>
  <c r="AK9" i="50"/>
  <c r="AP10" i="36" s="1"/>
  <c r="AG9" i="50"/>
  <c r="AL10" i="36" s="1"/>
  <c r="BB9" i="50"/>
  <c r="BG10" i="36" s="1"/>
  <c r="AW9" i="50"/>
  <c r="BB10" i="36" s="1"/>
  <c r="AZ9" i="50"/>
  <c r="BE10" i="36" s="1"/>
  <c r="BA9" i="50"/>
  <c r="BF10" i="36" s="1"/>
  <c r="AQ9" i="50"/>
  <c r="AV10" i="36" s="1"/>
  <c r="BJ9" i="50"/>
  <c r="BO10" i="36" s="1"/>
  <c r="BD9" i="50"/>
  <c r="BI10" i="36" s="1"/>
  <c r="BC9" i="50"/>
  <c r="BH10" i="36" s="1"/>
  <c r="BI9" i="50"/>
  <c r="BN10" i="36" s="1"/>
  <c r="AP9" i="50"/>
  <c r="AU10" i="36" s="1"/>
  <c r="AF9" i="50"/>
  <c r="AK10" i="36" s="1"/>
  <c r="AV9" i="50"/>
  <c r="BA10" i="36" s="1"/>
  <c r="BG9" i="50"/>
  <c r="BL10" i="36" s="1"/>
  <c r="AJ9" i="50"/>
  <c r="AO10" i="36" s="1"/>
  <c r="AX9" i="50"/>
  <c r="BC10" i="36" s="1"/>
  <c r="BE9" i="50"/>
  <c r="BJ10" i="36" s="1"/>
  <c r="AU9" i="50"/>
  <c r="AZ10" i="36" s="1"/>
  <c r="AS9" i="50"/>
  <c r="AX10" i="36" s="1"/>
  <c r="AL9" i="50"/>
  <c r="AQ10" i="36" s="1"/>
  <c r="BH9" i="50"/>
  <c r="BM10" i="36" s="1"/>
  <c r="AR9" i="50"/>
  <c r="AW10" i="36" s="1"/>
  <c r="AY9" i="50"/>
  <c r="BD10" i="36" s="1"/>
  <c r="BK9" i="50"/>
  <c r="BP10" i="36" s="1"/>
  <c r="AT9" i="50"/>
  <c r="AY10" i="36" s="1"/>
  <c r="BO42" i="36"/>
  <c r="BN83" i="36"/>
  <c r="BI51" i="50"/>
  <c r="AF51" i="50"/>
  <c r="BG51" i="50"/>
  <c r="AX51" i="50"/>
  <c r="AL51" i="50"/>
  <c r="AR51" i="50"/>
  <c r="BK51" i="50"/>
  <c r="BF51" i="50"/>
  <c r="BE51" i="50"/>
  <c r="BD51" i="50"/>
  <c r="AK51" i="50"/>
  <c r="AU51" i="50"/>
  <c r="BC51" i="50"/>
  <c r="AG51" i="50"/>
  <c r="AP51" i="50"/>
  <c r="AV51" i="50"/>
  <c r="AJ51" i="50"/>
  <c r="AS51" i="50"/>
  <c r="BH51" i="50"/>
  <c r="AY51" i="50"/>
  <c r="AT51" i="50"/>
  <c r="BB51" i="50"/>
  <c r="AW51" i="50"/>
  <c r="AZ51" i="50"/>
  <c r="BA51" i="50"/>
  <c r="AQ51" i="50"/>
  <c r="BJ51" i="50"/>
  <c r="AQ6" i="50"/>
  <c r="E29" i="45"/>
  <c r="E30" i="45" s="1"/>
  <c r="E31" i="45" s="1"/>
  <c r="E32" i="45" s="1"/>
  <c r="E33" i="45" s="1"/>
  <c r="AW10" i="50" l="1"/>
  <c r="AX10" i="50"/>
  <c r="AN1384" i="67"/>
  <c r="AN1398" i="67"/>
  <c r="AN1416" i="67"/>
  <c r="AN1536" i="67"/>
  <c r="AN1552" i="67"/>
  <c r="AW354" i="67"/>
  <c r="AW506" i="67"/>
  <c r="BQ25" i="68"/>
  <c r="AP23" i="62" s="1"/>
  <c r="AW201" i="67"/>
  <c r="AW809" i="67"/>
  <c r="AW658" i="67"/>
  <c r="AW48" i="67"/>
  <c r="AJ354" i="67"/>
  <c r="BD25" i="68"/>
  <c r="AC23" i="62" s="1"/>
  <c r="AJ48" i="67"/>
  <c r="AJ201" i="67"/>
  <c r="AJ809" i="67"/>
  <c r="AJ658" i="67"/>
  <c r="AJ506" i="67"/>
  <c r="AU354" i="67"/>
  <c r="AU506" i="67"/>
  <c r="BO25" i="68"/>
  <c r="AN23" i="62" s="1"/>
  <c r="AU201" i="67"/>
  <c r="AU809" i="67"/>
  <c r="AU658" i="67"/>
  <c r="AU48" i="67"/>
  <c r="AD354" i="67"/>
  <c r="AD658" i="67"/>
  <c r="AD201" i="67"/>
  <c r="AD809" i="67"/>
  <c r="AX25" i="68"/>
  <c r="W23" i="62" s="1"/>
  <c r="AD48" i="67"/>
  <c r="AD506" i="67"/>
  <c r="AL355" i="67"/>
  <c r="AL659" i="67"/>
  <c r="AL202" i="67"/>
  <c r="AL810" i="67"/>
  <c r="AL49" i="67"/>
  <c r="AL507" i="67"/>
  <c r="AP354" i="67"/>
  <c r="BJ25" i="68"/>
  <c r="AI23" i="62" s="1"/>
  <c r="AP506" i="67"/>
  <c r="AP809" i="67"/>
  <c r="AP48" i="67"/>
  <c r="AP658" i="67"/>
  <c r="AP201" i="67"/>
  <c r="AU355" i="67"/>
  <c r="AU202" i="67"/>
  <c r="AU659" i="67"/>
  <c r="AU810" i="67"/>
  <c r="AU49" i="67"/>
  <c r="AU507" i="67"/>
  <c r="AD355" i="67"/>
  <c r="AD659" i="67"/>
  <c r="AD507" i="67"/>
  <c r="AD49" i="67"/>
  <c r="AD810" i="67"/>
  <c r="AD202" i="67"/>
  <c r="AM355" i="67"/>
  <c r="AM49" i="67"/>
  <c r="AM507" i="67"/>
  <c r="AM810" i="67"/>
  <c r="AM659" i="67"/>
  <c r="AM202" i="67"/>
  <c r="AI354" i="67"/>
  <c r="AI201" i="67"/>
  <c r="AI658" i="67"/>
  <c r="AI506" i="67"/>
  <c r="AI48" i="67"/>
  <c r="BC25" i="68"/>
  <c r="AB23" i="62" s="1"/>
  <c r="AI809" i="67"/>
  <c r="AW1384" i="67"/>
  <c r="AW1398" i="67"/>
  <c r="AW1416" i="67"/>
  <c r="AW1552" i="67"/>
  <c r="AW1536" i="67"/>
  <c r="X1384" i="67"/>
  <c r="X1398" i="67"/>
  <c r="X1416" i="67"/>
  <c r="X1536" i="67"/>
  <c r="X1552" i="67"/>
  <c r="R1384" i="67"/>
  <c r="R1398" i="67"/>
  <c r="R1416" i="67"/>
  <c r="R1536" i="67"/>
  <c r="R1552" i="67"/>
  <c r="AP1384" i="67"/>
  <c r="AP1398" i="67"/>
  <c r="AP1416" i="67"/>
  <c r="AP1536" i="67"/>
  <c r="AP1552" i="67"/>
  <c r="AL1384" i="67"/>
  <c r="AL1398" i="67"/>
  <c r="AL1416" i="67"/>
  <c r="AL1536" i="67"/>
  <c r="AL1552" i="67"/>
  <c r="W1384" i="67"/>
  <c r="W1398" i="67"/>
  <c r="W1416" i="67"/>
  <c r="W1536" i="67"/>
  <c r="W1552" i="67"/>
  <c r="AW456" i="67"/>
  <c r="AW760" i="67"/>
  <c r="AW150" i="67"/>
  <c r="AW608" i="67"/>
  <c r="AW303" i="67"/>
  <c r="AW911" i="67"/>
  <c r="AW322" i="67"/>
  <c r="AW16" i="67"/>
  <c r="AW626" i="67"/>
  <c r="AW169" i="67"/>
  <c r="AW474" i="67"/>
  <c r="BQ10" i="68"/>
  <c r="AP12" i="62" s="1"/>
  <c r="AW777" i="67"/>
  <c r="AM150" i="67"/>
  <c r="AM911" i="67"/>
  <c r="AM608" i="67"/>
  <c r="AM303" i="67"/>
  <c r="AM760" i="67"/>
  <c r="AM456" i="67"/>
  <c r="AM322" i="67"/>
  <c r="BG10" i="68"/>
  <c r="AF12" i="62" s="1"/>
  <c r="AM777" i="67"/>
  <c r="AM16" i="67"/>
  <c r="AM474" i="67"/>
  <c r="AM626" i="67"/>
  <c r="AM169" i="67"/>
  <c r="AI609" i="67"/>
  <c r="AI912" i="67"/>
  <c r="AI457" i="67"/>
  <c r="AI151" i="67"/>
  <c r="AI304" i="67"/>
  <c r="AI761" i="67"/>
  <c r="AI323" i="67"/>
  <c r="AI170" i="67"/>
  <c r="AI627" i="67"/>
  <c r="AI475" i="67"/>
  <c r="AI17" i="67"/>
  <c r="AI778" i="67"/>
  <c r="AJ456" i="67"/>
  <c r="AJ911" i="67"/>
  <c r="AJ608" i="67"/>
  <c r="AJ150" i="67"/>
  <c r="AJ760" i="67"/>
  <c r="AJ303" i="67"/>
  <c r="BD10" i="68"/>
  <c r="AC12" i="62" s="1"/>
  <c r="AJ322" i="67"/>
  <c r="AJ474" i="67"/>
  <c r="AJ169" i="67"/>
  <c r="AJ777" i="67"/>
  <c r="AJ626" i="67"/>
  <c r="AJ16" i="67"/>
  <c r="AO761" i="67"/>
  <c r="AO609" i="67"/>
  <c r="AO457" i="67"/>
  <c r="AO304" i="67"/>
  <c r="AO151" i="67"/>
  <c r="AO912" i="67"/>
  <c r="AO323" i="67"/>
  <c r="AO17" i="67"/>
  <c r="AO627" i="67"/>
  <c r="AO170" i="67"/>
  <c r="AO475" i="67"/>
  <c r="AO778" i="67"/>
  <c r="V457" i="67"/>
  <c r="V151" i="67"/>
  <c r="V304" i="67"/>
  <c r="V761" i="67"/>
  <c r="V912" i="67"/>
  <c r="V609" i="67"/>
  <c r="AK1384" i="67"/>
  <c r="AK1398" i="67"/>
  <c r="AK1416" i="67"/>
  <c r="AK1552" i="67"/>
  <c r="AK1536" i="67"/>
  <c r="AE1384" i="67"/>
  <c r="AE1398" i="67"/>
  <c r="AE1416" i="67"/>
  <c r="AE1536" i="67"/>
  <c r="AE1552" i="67"/>
  <c r="V1384" i="67"/>
  <c r="V1398" i="67"/>
  <c r="V1416" i="67"/>
  <c r="V1536" i="67"/>
  <c r="V1552" i="67"/>
  <c r="AB1384" i="67"/>
  <c r="AB1398" i="67"/>
  <c r="AB1416" i="67"/>
  <c r="AB1536" i="67"/>
  <c r="AB1552" i="67"/>
  <c r="AV1384" i="67"/>
  <c r="AV1398" i="67"/>
  <c r="AV1416" i="67"/>
  <c r="AV1536" i="67"/>
  <c r="AV1552" i="67"/>
  <c r="AI1416" i="67"/>
  <c r="AI1398" i="67"/>
  <c r="AI1384" i="67"/>
  <c r="AI1536" i="67"/>
  <c r="AI1552" i="67"/>
  <c r="AR1384" i="67"/>
  <c r="AR1398" i="67"/>
  <c r="AR1416" i="67"/>
  <c r="AR1552" i="67"/>
  <c r="AR1536" i="67"/>
  <c r="AW592" i="67"/>
  <c r="AW440" i="67"/>
  <c r="AW134" i="67"/>
  <c r="AW895" i="67"/>
  <c r="AW744" i="67"/>
  <c r="AW287" i="67"/>
  <c r="AM895" i="67"/>
  <c r="AM440" i="67"/>
  <c r="AM744" i="67"/>
  <c r="AM134" i="67"/>
  <c r="AM287" i="67"/>
  <c r="AM592" i="67"/>
  <c r="AI135" i="67"/>
  <c r="AI288" i="67"/>
  <c r="AI441" i="67"/>
  <c r="AI745" i="67"/>
  <c r="AI896" i="67"/>
  <c r="AI593" i="67"/>
  <c r="AJ895" i="67"/>
  <c r="AJ440" i="67"/>
  <c r="AJ744" i="67"/>
  <c r="AJ134" i="67"/>
  <c r="AJ287" i="67"/>
  <c r="AJ592" i="67"/>
  <c r="AO896" i="67"/>
  <c r="AO441" i="67"/>
  <c r="AO745" i="67"/>
  <c r="AO288" i="67"/>
  <c r="AO135" i="67"/>
  <c r="AO593" i="67"/>
  <c r="V441" i="67"/>
  <c r="V896" i="67"/>
  <c r="V745" i="67"/>
  <c r="V288" i="67"/>
  <c r="V135" i="67"/>
  <c r="V593" i="67"/>
  <c r="AS440" i="67"/>
  <c r="AS134" i="67"/>
  <c r="AS744" i="67"/>
  <c r="AS592" i="67"/>
  <c r="AS287" i="67"/>
  <c r="AS895" i="67"/>
  <c r="AH440" i="67"/>
  <c r="AH744" i="67"/>
  <c r="AH895" i="67"/>
  <c r="AH592" i="67"/>
  <c r="AH134" i="67"/>
  <c r="AH287" i="67"/>
  <c r="R440" i="67"/>
  <c r="R744" i="67"/>
  <c r="R895" i="67"/>
  <c r="R592" i="67"/>
  <c r="R134" i="67"/>
  <c r="R287" i="67"/>
  <c r="S135" i="67"/>
  <c r="S896" i="67"/>
  <c r="S288" i="67"/>
  <c r="S593" i="67"/>
  <c r="S441" i="67"/>
  <c r="S745" i="67"/>
  <c r="AV457" i="67"/>
  <c r="AV151" i="67"/>
  <c r="AV761" i="67"/>
  <c r="AV304" i="67"/>
  <c r="AV609" i="67"/>
  <c r="AV912" i="67"/>
  <c r="AK745" i="67"/>
  <c r="AK441" i="67"/>
  <c r="AK896" i="67"/>
  <c r="AK288" i="67"/>
  <c r="AK593" i="67"/>
  <c r="AK135" i="67"/>
  <c r="AT896" i="67"/>
  <c r="AT441" i="67"/>
  <c r="AT745" i="67"/>
  <c r="AT135" i="67"/>
  <c r="AT288" i="67"/>
  <c r="AT593" i="67"/>
  <c r="AF744" i="67"/>
  <c r="AF895" i="67"/>
  <c r="AF440" i="67"/>
  <c r="AF287" i="67"/>
  <c r="AF592" i="67"/>
  <c r="AF134" i="67"/>
  <c r="AC441" i="67"/>
  <c r="AC745" i="67"/>
  <c r="AC896" i="67"/>
  <c r="AC288" i="67"/>
  <c r="AC593" i="67"/>
  <c r="AC135" i="67"/>
  <c r="AL150" i="67"/>
  <c r="AL456" i="67"/>
  <c r="AL760" i="67"/>
  <c r="AL303" i="67"/>
  <c r="AL911" i="67"/>
  <c r="AL608" i="67"/>
  <c r="AB440" i="67"/>
  <c r="AB895" i="67"/>
  <c r="AB744" i="67"/>
  <c r="AB287" i="67"/>
  <c r="AB134" i="67"/>
  <c r="AB592" i="67"/>
  <c r="AR441" i="67"/>
  <c r="AR745" i="67"/>
  <c r="AR896" i="67"/>
  <c r="AR593" i="67"/>
  <c r="AR135" i="67"/>
  <c r="AR288" i="67"/>
  <c r="AE441" i="67"/>
  <c r="AE288" i="67"/>
  <c r="AE593" i="67"/>
  <c r="AE896" i="67"/>
  <c r="AE745" i="67"/>
  <c r="AE135" i="67"/>
  <c r="AG896" i="67"/>
  <c r="AG441" i="67"/>
  <c r="AG745" i="67"/>
  <c r="AG135" i="67"/>
  <c r="AG288" i="67"/>
  <c r="AG593" i="67"/>
  <c r="W135" i="67"/>
  <c r="W441" i="67"/>
  <c r="W288" i="67"/>
  <c r="W896" i="67"/>
  <c r="W745" i="67"/>
  <c r="W593" i="67"/>
  <c r="AP745" i="67"/>
  <c r="AP896" i="67"/>
  <c r="AP441" i="67"/>
  <c r="AP288" i="67"/>
  <c r="AP593" i="67"/>
  <c r="AP135" i="67"/>
  <c r="AD1384" i="67"/>
  <c r="AD1398" i="67"/>
  <c r="AD1416" i="67"/>
  <c r="AD1536" i="67"/>
  <c r="AD1552" i="67"/>
  <c r="AG1384" i="67"/>
  <c r="AG1398" i="67"/>
  <c r="AG1416" i="67"/>
  <c r="AG1552" i="67"/>
  <c r="AG1536" i="67"/>
  <c r="AS1384" i="67"/>
  <c r="AS1398" i="67"/>
  <c r="AS1416" i="67"/>
  <c r="AS1552" i="67"/>
  <c r="AS1536" i="67"/>
  <c r="AU1384" i="67"/>
  <c r="AU1398" i="67"/>
  <c r="AU1536" i="67"/>
  <c r="AU1416" i="67"/>
  <c r="AU1552" i="67"/>
  <c r="AC1384" i="67"/>
  <c r="AC1398" i="67"/>
  <c r="AC1416" i="67"/>
  <c r="AC1536" i="67"/>
  <c r="AC1552" i="67"/>
  <c r="AM354" i="67"/>
  <c r="AM506" i="67"/>
  <c r="BG25" i="68"/>
  <c r="AF23" i="62" s="1"/>
  <c r="AM201" i="67"/>
  <c r="AM809" i="67"/>
  <c r="AM658" i="67"/>
  <c r="AM48" i="67"/>
  <c r="AI337" i="67"/>
  <c r="AI184" i="67"/>
  <c r="AI641" i="67"/>
  <c r="AI489" i="67"/>
  <c r="AI31" i="67"/>
  <c r="AO355" i="67"/>
  <c r="AO49" i="67"/>
  <c r="AO507" i="67"/>
  <c r="AO202" i="67"/>
  <c r="AO659" i="67"/>
  <c r="AO810" i="67"/>
  <c r="V355" i="67"/>
  <c r="V507" i="67"/>
  <c r="V49" i="67"/>
  <c r="V659" i="67"/>
  <c r="V202" i="67"/>
  <c r="V810" i="67"/>
  <c r="AS354" i="67"/>
  <c r="AS48" i="67"/>
  <c r="BM25" i="68"/>
  <c r="AL23" i="62" s="1"/>
  <c r="AS506" i="67"/>
  <c r="AS201" i="67"/>
  <c r="AS658" i="67"/>
  <c r="AS809" i="67"/>
  <c r="AH354" i="67"/>
  <c r="BB25" i="68"/>
  <c r="AA23" i="62" s="1"/>
  <c r="AH48" i="67"/>
  <c r="AH809" i="67"/>
  <c r="AH506" i="67"/>
  <c r="AH658" i="67"/>
  <c r="AH201" i="67"/>
  <c r="AL25" i="68"/>
  <c r="K23" i="62" s="1"/>
  <c r="R354" i="67"/>
  <c r="R506" i="67"/>
  <c r="R809" i="67"/>
  <c r="R658" i="67"/>
  <c r="R48" i="67"/>
  <c r="R201" i="67"/>
  <c r="S337" i="67"/>
  <c r="S184" i="67"/>
  <c r="S641" i="67"/>
  <c r="S489" i="67"/>
  <c r="S31" i="67"/>
  <c r="AV355" i="67"/>
  <c r="AV202" i="67"/>
  <c r="AV507" i="67"/>
  <c r="AV659" i="67"/>
  <c r="AV49" i="67"/>
  <c r="AV810" i="67"/>
  <c r="AK355" i="67"/>
  <c r="AK49" i="67"/>
  <c r="AK810" i="67"/>
  <c r="AK659" i="67"/>
  <c r="AK507" i="67"/>
  <c r="AK202" i="67"/>
  <c r="AT355" i="67"/>
  <c r="AT49" i="67"/>
  <c r="AT810" i="67"/>
  <c r="AT659" i="67"/>
  <c r="AT202" i="67"/>
  <c r="AT507" i="67"/>
  <c r="AZ25" i="68"/>
  <c r="Y23" i="62" s="1"/>
  <c r="AF354" i="67"/>
  <c r="AF48" i="67"/>
  <c r="AF201" i="67"/>
  <c r="AF658" i="67"/>
  <c r="AF809" i="67"/>
  <c r="AF506" i="67"/>
  <c r="AC355" i="67"/>
  <c r="AC202" i="67"/>
  <c r="AC810" i="67"/>
  <c r="AC507" i="67"/>
  <c r="AC659" i="67"/>
  <c r="AC49" i="67"/>
  <c r="AL354" i="67"/>
  <c r="AL658" i="67"/>
  <c r="BF25" i="68"/>
  <c r="AE23" i="62" s="1"/>
  <c r="AL809" i="67"/>
  <c r="AL201" i="67"/>
  <c r="AL506" i="67"/>
  <c r="AL48" i="67"/>
  <c r="AV25" i="68"/>
  <c r="U23" i="62" s="1"/>
  <c r="AB354" i="67"/>
  <c r="AB809" i="67"/>
  <c r="AB658" i="67"/>
  <c r="AB201" i="67"/>
  <c r="AB506" i="67"/>
  <c r="AB48" i="67"/>
  <c r="AR355" i="67"/>
  <c r="AR810" i="67"/>
  <c r="AR659" i="67"/>
  <c r="AR202" i="67"/>
  <c r="AR507" i="67"/>
  <c r="AR49" i="67"/>
  <c r="AE355" i="67"/>
  <c r="AE507" i="67"/>
  <c r="AE659" i="67"/>
  <c r="AE810" i="67"/>
  <c r="AE49" i="67"/>
  <c r="AE202" i="67"/>
  <c r="AG355" i="67"/>
  <c r="AG507" i="67"/>
  <c r="AG810" i="67"/>
  <c r="AG659" i="67"/>
  <c r="AG202" i="67"/>
  <c r="AG49" i="67"/>
  <c r="W355" i="67"/>
  <c r="W659" i="67"/>
  <c r="W202" i="67"/>
  <c r="W507" i="67"/>
  <c r="W49" i="67"/>
  <c r="W810" i="67"/>
  <c r="AP355" i="67"/>
  <c r="AP202" i="67"/>
  <c r="AP810" i="67"/>
  <c r="AP659" i="67"/>
  <c r="AP49" i="67"/>
  <c r="AP507" i="67"/>
  <c r="AQ354" i="67"/>
  <c r="AQ48" i="67"/>
  <c r="AQ506" i="67"/>
  <c r="AQ658" i="67"/>
  <c r="AQ201" i="67"/>
  <c r="AQ809" i="67"/>
  <c r="BK25" i="68"/>
  <c r="AJ23" i="62" s="1"/>
  <c r="AN354" i="67"/>
  <c r="BH25" i="68"/>
  <c r="AG23" i="62" s="1"/>
  <c r="AN506" i="67"/>
  <c r="AN658" i="67"/>
  <c r="AN201" i="67"/>
  <c r="AN48" i="67"/>
  <c r="AN809" i="67"/>
  <c r="X355" i="67"/>
  <c r="X810" i="67"/>
  <c r="X507" i="67"/>
  <c r="X49" i="67"/>
  <c r="X202" i="67"/>
  <c r="X659" i="67"/>
  <c r="AF355" i="67"/>
  <c r="AF659" i="67"/>
  <c r="AF202" i="67"/>
  <c r="AF49" i="67"/>
  <c r="AF810" i="67"/>
  <c r="AF507" i="67"/>
  <c r="AB355" i="67"/>
  <c r="AB507" i="67"/>
  <c r="AB810" i="67"/>
  <c r="AB49" i="67"/>
  <c r="AB659" i="67"/>
  <c r="AB202" i="67"/>
  <c r="AG354" i="67"/>
  <c r="AG506" i="67"/>
  <c r="AG658" i="67"/>
  <c r="AG201" i="67"/>
  <c r="AG48" i="67"/>
  <c r="BA25" i="68"/>
  <c r="Z23" i="62" s="1"/>
  <c r="AG809" i="67"/>
  <c r="AC354" i="67"/>
  <c r="AC658" i="67"/>
  <c r="AC809" i="67"/>
  <c r="AC506" i="67"/>
  <c r="AW25" i="68"/>
  <c r="V23" i="62" s="1"/>
  <c r="AC48" i="67"/>
  <c r="AC201" i="67"/>
  <c r="AR354" i="67"/>
  <c r="BL25" i="68"/>
  <c r="AK23" i="62" s="1"/>
  <c r="AR48" i="67"/>
  <c r="AR506" i="67"/>
  <c r="AR809" i="67"/>
  <c r="AR658" i="67"/>
  <c r="AR201" i="67"/>
  <c r="AE354" i="67"/>
  <c r="AE658" i="67"/>
  <c r="AE48" i="67"/>
  <c r="AE506" i="67"/>
  <c r="AY25" i="68"/>
  <c r="X23" i="62" s="1"/>
  <c r="AE201" i="67"/>
  <c r="AE809" i="67"/>
  <c r="W354" i="67"/>
  <c r="W658" i="67"/>
  <c r="W48" i="67"/>
  <c r="W506" i="67"/>
  <c r="AQ25" i="68"/>
  <c r="P23" i="62" s="1"/>
  <c r="W201" i="67"/>
  <c r="W809" i="67"/>
  <c r="AN355" i="67"/>
  <c r="AN659" i="67"/>
  <c r="AN202" i="67"/>
  <c r="AN507" i="67"/>
  <c r="AN49" i="67"/>
  <c r="AN810" i="67"/>
  <c r="AJ355" i="67"/>
  <c r="AJ507" i="67"/>
  <c r="AJ202" i="67"/>
  <c r="AJ810" i="67"/>
  <c r="AJ659" i="67"/>
  <c r="AJ49" i="67"/>
  <c r="AO336" i="67"/>
  <c r="AO30" i="67"/>
  <c r="AO488" i="67"/>
  <c r="AO183" i="67"/>
  <c r="AO640" i="67"/>
  <c r="V354" i="67"/>
  <c r="V658" i="67"/>
  <c r="V48" i="67"/>
  <c r="V506" i="67"/>
  <c r="AP25" i="68"/>
  <c r="O23" i="62" s="1"/>
  <c r="V201" i="67"/>
  <c r="V809" i="67"/>
  <c r="AS355" i="67"/>
  <c r="AS810" i="67"/>
  <c r="AS507" i="67"/>
  <c r="AS49" i="67"/>
  <c r="AS659" i="67"/>
  <c r="AS202" i="67"/>
  <c r="AH355" i="67"/>
  <c r="AH659" i="67"/>
  <c r="AH49" i="67"/>
  <c r="AH507" i="67"/>
  <c r="AH202" i="67"/>
  <c r="AH810" i="67"/>
  <c r="R355" i="67"/>
  <c r="R202" i="67"/>
  <c r="R810" i="67"/>
  <c r="R659" i="67"/>
  <c r="R49" i="67"/>
  <c r="R507" i="67"/>
  <c r="S354" i="67"/>
  <c r="S48" i="67"/>
  <c r="S809" i="67"/>
  <c r="S658" i="67"/>
  <c r="S201" i="67"/>
  <c r="S506" i="67"/>
  <c r="AM25" i="68"/>
  <c r="L23" i="62" s="1"/>
  <c r="BP25" i="68"/>
  <c r="AO23" i="62" s="1"/>
  <c r="AV354" i="67"/>
  <c r="AV506" i="67"/>
  <c r="AV809" i="67"/>
  <c r="AV658" i="67"/>
  <c r="AV48" i="67"/>
  <c r="AV201" i="67"/>
  <c r="AK322" i="67"/>
  <c r="AK169" i="67"/>
  <c r="AK474" i="67"/>
  <c r="AK16" i="67"/>
  <c r="AK777" i="67"/>
  <c r="AK626" i="67"/>
  <c r="BE10" i="68"/>
  <c r="AD12" i="62" s="1"/>
  <c r="AT354" i="67"/>
  <c r="AT658" i="67"/>
  <c r="AT809" i="67"/>
  <c r="AT506" i="67"/>
  <c r="BN25" i="68"/>
  <c r="AM23" i="62" s="1"/>
  <c r="AT48" i="67"/>
  <c r="AT201" i="67"/>
  <c r="AQ355" i="67"/>
  <c r="AQ202" i="67"/>
  <c r="AQ507" i="67"/>
  <c r="AQ810" i="67"/>
  <c r="AQ659" i="67"/>
  <c r="AQ49" i="67"/>
  <c r="X354" i="67"/>
  <c r="X48" i="67"/>
  <c r="AR25" i="68"/>
  <c r="Q23" i="62" s="1"/>
  <c r="X506" i="67"/>
  <c r="X809" i="67"/>
  <c r="X658" i="67"/>
  <c r="X201" i="67"/>
  <c r="AW355" i="67"/>
  <c r="AW507" i="67"/>
  <c r="AW202" i="67"/>
  <c r="AW659" i="67"/>
  <c r="AW49" i="67"/>
  <c r="AW810" i="67"/>
  <c r="AF1384" i="67"/>
  <c r="AF1398" i="67"/>
  <c r="AF1416" i="67"/>
  <c r="AF1536" i="67"/>
  <c r="AF1552" i="67"/>
  <c r="AT1384" i="67"/>
  <c r="AT1398" i="67"/>
  <c r="AT1416" i="67"/>
  <c r="AT1536" i="67"/>
  <c r="AT1552" i="67"/>
  <c r="AQ1384" i="67"/>
  <c r="AQ1398" i="67"/>
  <c r="AQ1416" i="67"/>
  <c r="AQ1536" i="67"/>
  <c r="AQ1552" i="67"/>
  <c r="AH1384" i="67"/>
  <c r="AH1398" i="67"/>
  <c r="AH1416" i="67"/>
  <c r="AH1536" i="67"/>
  <c r="AH1552" i="67"/>
  <c r="AO1384" i="67"/>
  <c r="AO1398" i="67"/>
  <c r="AO1416" i="67"/>
  <c r="AO1552" i="67"/>
  <c r="AO1536" i="67"/>
  <c r="AM1384" i="67"/>
  <c r="AM1398" i="67"/>
  <c r="AM1536" i="67"/>
  <c r="AM1416" i="67"/>
  <c r="AM1552" i="67"/>
  <c r="S1416" i="67"/>
  <c r="S1384" i="67"/>
  <c r="S1398" i="67"/>
  <c r="S1536" i="67"/>
  <c r="S1552" i="67"/>
  <c r="AW336" i="67"/>
  <c r="AW488" i="67"/>
  <c r="AW30" i="67"/>
  <c r="AW183" i="67"/>
  <c r="AW640" i="67"/>
  <c r="AM336" i="67"/>
  <c r="AM488" i="67"/>
  <c r="AM30" i="67"/>
  <c r="AM183" i="67"/>
  <c r="AM640" i="67"/>
  <c r="AI355" i="67"/>
  <c r="AI49" i="67"/>
  <c r="AI810" i="67"/>
  <c r="AI507" i="67"/>
  <c r="AI659" i="67"/>
  <c r="AI202" i="67"/>
  <c r="AJ336" i="67"/>
  <c r="AJ30" i="67"/>
  <c r="AJ488" i="67"/>
  <c r="AJ183" i="67"/>
  <c r="AJ640" i="67"/>
  <c r="AO337" i="67"/>
  <c r="AO31" i="67"/>
  <c r="AO641" i="67"/>
  <c r="AO489" i="67"/>
  <c r="AO184" i="67"/>
  <c r="V337" i="67"/>
  <c r="V31" i="67"/>
  <c r="V489" i="67"/>
  <c r="V184" i="67"/>
  <c r="V641" i="67"/>
  <c r="AS336" i="67"/>
  <c r="AS640" i="67"/>
  <c r="AS488" i="67"/>
  <c r="AS183" i="67"/>
  <c r="AS30" i="67"/>
  <c r="AH336" i="67"/>
  <c r="AH30" i="67"/>
  <c r="AH183" i="67"/>
  <c r="AH640" i="67"/>
  <c r="AH488" i="67"/>
  <c r="R336" i="67"/>
  <c r="R640" i="67"/>
  <c r="R30" i="67"/>
  <c r="R488" i="67"/>
  <c r="R183" i="67"/>
  <c r="S355" i="67"/>
  <c r="S507" i="67"/>
  <c r="S659" i="67"/>
  <c r="S202" i="67"/>
  <c r="S49" i="67"/>
  <c r="S810" i="67"/>
  <c r="AV337" i="67"/>
  <c r="AV31" i="67"/>
  <c r="AV184" i="67"/>
  <c r="AV641" i="67"/>
  <c r="AV489" i="67"/>
  <c r="AK337" i="67"/>
  <c r="AK489" i="67"/>
  <c r="AK641" i="67"/>
  <c r="AK31" i="67"/>
  <c r="AK184" i="67"/>
  <c r="AT337" i="67"/>
  <c r="AT31" i="67"/>
  <c r="AT641" i="67"/>
  <c r="AT184" i="67"/>
  <c r="AT489" i="67"/>
  <c r="AF336" i="67"/>
  <c r="AF183" i="67"/>
  <c r="AF640" i="67"/>
  <c r="AF30" i="67"/>
  <c r="AF488" i="67"/>
  <c r="AC337" i="67"/>
  <c r="AC31" i="67"/>
  <c r="AC184" i="67"/>
  <c r="AC641" i="67"/>
  <c r="AC489" i="67"/>
  <c r="AL336" i="67"/>
  <c r="AL183" i="67"/>
  <c r="AL30" i="67"/>
  <c r="AL640" i="67"/>
  <c r="AL488" i="67"/>
  <c r="AB336" i="67"/>
  <c r="AB488" i="67"/>
  <c r="AB30" i="67"/>
  <c r="AB183" i="67"/>
  <c r="AB640" i="67"/>
  <c r="AR337" i="67"/>
  <c r="AR31" i="67"/>
  <c r="AR641" i="67"/>
  <c r="AR489" i="67"/>
  <c r="AR184" i="67"/>
  <c r="AE337" i="67"/>
  <c r="AE184" i="67"/>
  <c r="AE641" i="67"/>
  <c r="AE489" i="67"/>
  <c r="AE31" i="67"/>
  <c r="AG337" i="67"/>
  <c r="AG641" i="67"/>
  <c r="AG489" i="67"/>
  <c r="AG184" i="67"/>
  <c r="AG31" i="67"/>
  <c r="W337" i="67"/>
  <c r="W184" i="67"/>
  <c r="W641" i="67"/>
  <c r="W31" i="67"/>
  <c r="W489" i="67"/>
  <c r="AP337" i="67"/>
  <c r="AP184" i="67"/>
  <c r="AP641" i="67"/>
  <c r="AP31" i="67"/>
  <c r="AP489" i="67"/>
  <c r="AQ336" i="67"/>
  <c r="AQ640" i="67"/>
  <c r="AQ488" i="67"/>
  <c r="AQ183" i="67"/>
  <c r="AQ30" i="67"/>
  <c r="AN336" i="67"/>
  <c r="AN640" i="67"/>
  <c r="AN488" i="67"/>
  <c r="AN183" i="67"/>
  <c r="AN30" i="67"/>
  <c r="AU336" i="67"/>
  <c r="AU30" i="67"/>
  <c r="AU183" i="67"/>
  <c r="AU640" i="67"/>
  <c r="AU488" i="67"/>
  <c r="AD336" i="67"/>
  <c r="AD183" i="67"/>
  <c r="AD30" i="67"/>
  <c r="AD640" i="67"/>
  <c r="AD488" i="67"/>
  <c r="X337" i="67"/>
  <c r="X641" i="67"/>
  <c r="X31" i="67"/>
  <c r="X184" i="67"/>
  <c r="X489" i="67"/>
  <c r="AF337" i="67"/>
  <c r="AF641" i="67"/>
  <c r="AF31" i="67"/>
  <c r="AF489" i="67"/>
  <c r="AF184" i="67"/>
  <c r="AB337" i="67"/>
  <c r="AB489" i="67"/>
  <c r="AB184" i="67"/>
  <c r="AB31" i="67"/>
  <c r="AB641" i="67"/>
  <c r="AG336" i="67"/>
  <c r="AG30" i="67"/>
  <c r="AG183" i="67"/>
  <c r="AG488" i="67"/>
  <c r="AG640" i="67"/>
  <c r="AC336" i="67"/>
  <c r="AC488" i="67"/>
  <c r="AC183" i="67"/>
  <c r="AC30" i="67"/>
  <c r="AC640" i="67"/>
  <c r="AL337" i="67"/>
  <c r="AL184" i="67"/>
  <c r="AL641" i="67"/>
  <c r="AL489" i="67"/>
  <c r="AL31" i="67"/>
  <c r="AR336" i="67"/>
  <c r="AR183" i="67"/>
  <c r="AR640" i="67"/>
  <c r="AR488" i="67"/>
  <c r="AR30" i="67"/>
  <c r="AE336" i="67"/>
  <c r="AE488" i="67"/>
  <c r="AE30" i="67"/>
  <c r="AE183" i="67"/>
  <c r="AE640" i="67"/>
  <c r="W336" i="67"/>
  <c r="W640" i="67"/>
  <c r="W488" i="67"/>
  <c r="W30" i="67"/>
  <c r="W183" i="67"/>
  <c r="AP336" i="67"/>
  <c r="AP640" i="67"/>
  <c r="AP30" i="67"/>
  <c r="AP183" i="67"/>
  <c r="AP488" i="67"/>
  <c r="AN337" i="67"/>
  <c r="AN31" i="67"/>
  <c r="AN184" i="67"/>
  <c r="AN641" i="67"/>
  <c r="AN489" i="67"/>
  <c r="AU337" i="67"/>
  <c r="AU489" i="67"/>
  <c r="AU184" i="67"/>
  <c r="AU641" i="67"/>
  <c r="AU31" i="67"/>
  <c r="AD337" i="67"/>
  <c r="AD184" i="67"/>
  <c r="AD489" i="67"/>
  <c r="AD31" i="67"/>
  <c r="AD641" i="67"/>
  <c r="AM337" i="67"/>
  <c r="AM641" i="67"/>
  <c r="AM489" i="67"/>
  <c r="AM184" i="67"/>
  <c r="AM31" i="67"/>
  <c r="AI336" i="67"/>
  <c r="AI30" i="67"/>
  <c r="AI183" i="67"/>
  <c r="AI640" i="67"/>
  <c r="AI488" i="67"/>
  <c r="AJ337" i="67"/>
  <c r="AJ31" i="67"/>
  <c r="AJ641" i="67"/>
  <c r="AJ489" i="67"/>
  <c r="AJ184" i="67"/>
  <c r="AO354" i="67"/>
  <c r="AO809" i="67"/>
  <c r="BI25" i="68"/>
  <c r="AH23" i="62" s="1"/>
  <c r="AO506" i="67"/>
  <c r="AO48" i="67"/>
  <c r="AO658" i="67"/>
  <c r="AO201" i="67"/>
  <c r="V336" i="67"/>
  <c r="V488" i="67"/>
  <c r="V183" i="67"/>
  <c r="V30" i="67"/>
  <c r="V640" i="67"/>
  <c r="AS337" i="67"/>
  <c r="AS641" i="67"/>
  <c r="AS31" i="67"/>
  <c r="AS489" i="67"/>
  <c r="AS184" i="67"/>
  <c r="AH337" i="67"/>
  <c r="AH184" i="67"/>
  <c r="AH641" i="67"/>
  <c r="AH489" i="67"/>
  <c r="AH31" i="67"/>
  <c r="R337" i="67"/>
  <c r="R489" i="67"/>
  <c r="R31" i="67"/>
  <c r="R184" i="67"/>
  <c r="R641" i="67"/>
  <c r="S336" i="67"/>
  <c r="S30" i="67"/>
  <c r="S183" i="67"/>
  <c r="S488" i="67"/>
  <c r="S640" i="67"/>
  <c r="AV336" i="67"/>
  <c r="AV488" i="67"/>
  <c r="AV30" i="67"/>
  <c r="AV183" i="67"/>
  <c r="AV640" i="67"/>
  <c r="AK354" i="67"/>
  <c r="AK809" i="67"/>
  <c r="AK658" i="67"/>
  <c r="AK48" i="67"/>
  <c r="AK506" i="67"/>
  <c r="BE25" i="68"/>
  <c r="AD23" i="62" s="1"/>
  <c r="AK201" i="67"/>
  <c r="AT336" i="67"/>
  <c r="AT30" i="67"/>
  <c r="AT640" i="67"/>
  <c r="AT488" i="67"/>
  <c r="AT183" i="67"/>
  <c r="AQ337" i="67"/>
  <c r="AQ489" i="67"/>
  <c r="AQ31" i="67"/>
  <c r="AQ184" i="67"/>
  <c r="AQ641" i="67"/>
  <c r="X336" i="67"/>
  <c r="X183" i="67"/>
  <c r="X30" i="67"/>
  <c r="X640" i="67"/>
  <c r="X488" i="67"/>
  <c r="AW337" i="67"/>
  <c r="AW184" i="67"/>
  <c r="AW31" i="67"/>
  <c r="AW641" i="67"/>
  <c r="AW489" i="67"/>
  <c r="AJ1384" i="67"/>
  <c r="AJ1398" i="67"/>
  <c r="AJ1416" i="67"/>
  <c r="AJ1552" i="67"/>
  <c r="AJ1536" i="67"/>
  <c r="V323" i="67"/>
  <c r="V475" i="67"/>
  <c r="V778" i="67"/>
  <c r="V170" i="67"/>
  <c r="V627" i="67"/>
  <c r="V17" i="67"/>
  <c r="AS760" i="67"/>
  <c r="AS150" i="67"/>
  <c r="AS911" i="67"/>
  <c r="AS456" i="67"/>
  <c r="AS303" i="67"/>
  <c r="AS608" i="67"/>
  <c r="AS322" i="67"/>
  <c r="AS16" i="67"/>
  <c r="BM10" i="68"/>
  <c r="AL12" i="62" s="1"/>
  <c r="AS474" i="67"/>
  <c r="AS777" i="67"/>
  <c r="AS626" i="67"/>
  <c r="AS169" i="67"/>
  <c r="AH303" i="67"/>
  <c r="AH456" i="67"/>
  <c r="AH150" i="67"/>
  <c r="AH608" i="67"/>
  <c r="AH911" i="67"/>
  <c r="AH760" i="67"/>
  <c r="BB10" i="68"/>
  <c r="AA12" i="62" s="1"/>
  <c r="AH322" i="67"/>
  <c r="AH777" i="67"/>
  <c r="AH169" i="67"/>
  <c r="AH626" i="67"/>
  <c r="AH474" i="67"/>
  <c r="AH16" i="67"/>
  <c r="R456" i="67"/>
  <c r="R760" i="67"/>
  <c r="R150" i="67"/>
  <c r="R608" i="67"/>
  <c r="R911" i="67"/>
  <c r="R303" i="67"/>
  <c r="R322" i="67"/>
  <c r="R16" i="67"/>
  <c r="R169" i="67"/>
  <c r="R626" i="67"/>
  <c r="R777" i="67"/>
  <c r="R474" i="67"/>
  <c r="AL10" i="68"/>
  <c r="K12" i="62" s="1"/>
  <c r="S761" i="67"/>
  <c r="S457" i="67"/>
  <c r="S304" i="67"/>
  <c r="S609" i="67"/>
  <c r="S912" i="67"/>
  <c r="S151" i="67"/>
  <c r="S323" i="67"/>
  <c r="S627" i="67"/>
  <c r="S170" i="67"/>
  <c r="S475" i="67"/>
  <c r="S17" i="67"/>
  <c r="S778" i="67"/>
  <c r="AV896" i="67"/>
  <c r="AV441" i="67"/>
  <c r="AV745" i="67"/>
  <c r="AV288" i="67"/>
  <c r="AV593" i="67"/>
  <c r="AV135" i="67"/>
  <c r="AV323" i="67"/>
  <c r="AV17" i="67"/>
  <c r="AV170" i="67"/>
  <c r="AV627" i="67"/>
  <c r="AV778" i="67"/>
  <c r="AV475" i="67"/>
  <c r="AK457" i="67"/>
  <c r="AK151" i="67"/>
  <c r="AK609" i="67"/>
  <c r="AK912" i="67"/>
  <c r="AK761" i="67"/>
  <c r="AK304" i="67"/>
  <c r="AK323" i="67"/>
  <c r="AK627" i="67"/>
  <c r="AK475" i="67"/>
  <c r="AK778" i="67"/>
  <c r="AK17" i="67"/>
  <c r="AK170" i="67"/>
  <c r="AT457" i="67"/>
  <c r="AT151" i="67"/>
  <c r="AT761" i="67"/>
  <c r="AT609" i="67"/>
  <c r="AT304" i="67"/>
  <c r="AT912" i="67"/>
  <c r="AT323" i="67"/>
  <c r="AT778" i="67"/>
  <c r="AT627" i="67"/>
  <c r="AT17" i="67"/>
  <c r="AT475" i="67"/>
  <c r="AT170" i="67"/>
  <c r="AF303" i="67"/>
  <c r="AF760" i="67"/>
  <c r="AF456" i="67"/>
  <c r="AF150" i="67"/>
  <c r="AF911" i="67"/>
  <c r="AF608" i="67"/>
  <c r="AF322" i="67"/>
  <c r="AZ10" i="68"/>
  <c r="Y12" i="62" s="1"/>
  <c r="AF474" i="67"/>
  <c r="AF16" i="67"/>
  <c r="AF626" i="67"/>
  <c r="AF169" i="67"/>
  <c r="AF777" i="67"/>
  <c r="AC457" i="67"/>
  <c r="AC912" i="67"/>
  <c r="AC761" i="67"/>
  <c r="AC304" i="67"/>
  <c r="AC609" i="67"/>
  <c r="AC151" i="67"/>
  <c r="AC323" i="67"/>
  <c r="AC627" i="67"/>
  <c r="AC170" i="67"/>
  <c r="AC17" i="67"/>
  <c r="AC778" i="67"/>
  <c r="AC475" i="67"/>
  <c r="AL895" i="67"/>
  <c r="AL440" i="67"/>
  <c r="AL744" i="67"/>
  <c r="AL287" i="67"/>
  <c r="AL592" i="67"/>
  <c r="AL134" i="67"/>
  <c r="AL322" i="67"/>
  <c r="AL777" i="67"/>
  <c r="AL169" i="67"/>
  <c r="AL626" i="67"/>
  <c r="AL474" i="67"/>
  <c r="AL16" i="67"/>
  <c r="BF10" i="68"/>
  <c r="AE12" i="62" s="1"/>
  <c r="AB456" i="67"/>
  <c r="AB608" i="67"/>
  <c r="AB760" i="67"/>
  <c r="AB150" i="67"/>
  <c r="AB303" i="67"/>
  <c r="AB911" i="67"/>
  <c r="AB322" i="67"/>
  <c r="AB626" i="67"/>
  <c r="AB16" i="67"/>
  <c r="AB474" i="67"/>
  <c r="AV10" i="68"/>
  <c r="U12" i="62" s="1"/>
  <c r="AB169" i="67"/>
  <c r="AB777" i="67"/>
  <c r="AR151" i="67"/>
  <c r="AR761" i="67"/>
  <c r="AR457" i="67"/>
  <c r="AR304" i="67"/>
  <c r="AR912" i="67"/>
  <c r="AR609" i="67"/>
  <c r="AR323" i="67"/>
  <c r="AR778" i="67"/>
  <c r="AR627" i="67"/>
  <c r="AR475" i="67"/>
  <c r="AR17" i="67"/>
  <c r="AR170" i="67"/>
  <c r="AE912" i="67"/>
  <c r="AE151" i="67"/>
  <c r="AE457" i="67"/>
  <c r="AE609" i="67"/>
  <c r="AE761" i="67"/>
  <c r="AE304" i="67"/>
  <c r="AE323" i="67"/>
  <c r="AE170" i="67"/>
  <c r="AE17" i="67"/>
  <c r="AE627" i="67"/>
  <c r="AE778" i="67"/>
  <c r="AE475" i="67"/>
  <c r="AG912" i="67"/>
  <c r="AG457" i="67"/>
  <c r="AG304" i="67"/>
  <c r="AG609" i="67"/>
  <c r="AG761" i="67"/>
  <c r="AG151" i="67"/>
  <c r="AG323" i="67"/>
  <c r="AG627" i="67"/>
  <c r="AG778" i="67"/>
  <c r="AG170" i="67"/>
  <c r="AG475" i="67"/>
  <c r="AG17" i="67"/>
  <c r="W457" i="67"/>
  <c r="W761" i="67"/>
  <c r="W912" i="67"/>
  <c r="W151" i="67"/>
  <c r="W609" i="67"/>
  <c r="W304" i="67"/>
  <c r="W323" i="67"/>
  <c r="W627" i="67"/>
  <c r="W17" i="67"/>
  <c r="W475" i="67"/>
  <c r="W170" i="67"/>
  <c r="W778" i="67"/>
  <c r="AP457" i="67"/>
  <c r="AP609" i="67"/>
  <c r="AP912" i="67"/>
  <c r="AP761" i="67"/>
  <c r="AP151" i="67"/>
  <c r="AP304" i="67"/>
  <c r="AP323" i="67"/>
  <c r="AP170" i="67"/>
  <c r="AP627" i="67"/>
  <c r="AP778" i="67"/>
  <c r="AP475" i="67"/>
  <c r="AP17" i="67"/>
  <c r="AQ456" i="67"/>
  <c r="AQ911" i="67"/>
  <c r="AQ303" i="67"/>
  <c r="AQ760" i="67"/>
  <c r="AQ608" i="67"/>
  <c r="AQ150" i="67"/>
  <c r="AQ322" i="67"/>
  <c r="AQ169" i="67"/>
  <c r="AQ626" i="67"/>
  <c r="AQ16" i="67"/>
  <c r="AQ474" i="67"/>
  <c r="BK10" i="68"/>
  <c r="AJ12" i="62" s="1"/>
  <c r="AQ777" i="67"/>
  <c r="AN303" i="67"/>
  <c r="AN608" i="67"/>
  <c r="AN456" i="67"/>
  <c r="AN150" i="67"/>
  <c r="AN760" i="67"/>
  <c r="AN911" i="67"/>
  <c r="AN322" i="67"/>
  <c r="BH10" i="68"/>
  <c r="AG12" i="62" s="1"/>
  <c r="AN626" i="67"/>
  <c r="AN474" i="67"/>
  <c r="AN16" i="67"/>
  <c r="AN777" i="67"/>
  <c r="AN169" i="67"/>
  <c r="AU456" i="67"/>
  <c r="AU150" i="67"/>
  <c r="AU911" i="67"/>
  <c r="AU760" i="67"/>
  <c r="AU608" i="67"/>
  <c r="AU303" i="67"/>
  <c r="AU322" i="67"/>
  <c r="AU626" i="67"/>
  <c r="AU777" i="67"/>
  <c r="AU474" i="67"/>
  <c r="BO10" i="68"/>
  <c r="AN12" i="62" s="1"/>
  <c r="AU16" i="67"/>
  <c r="AU169" i="67"/>
  <c r="AD608" i="67"/>
  <c r="AD303" i="67"/>
  <c r="AD760" i="67"/>
  <c r="AD150" i="67"/>
  <c r="AD456" i="67"/>
  <c r="AD911" i="67"/>
  <c r="AD322" i="67"/>
  <c r="AD169" i="67"/>
  <c r="AD626" i="67"/>
  <c r="AD777" i="67"/>
  <c r="AD16" i="67"/>
  <c r="AX10" i="68"/>
  <c r="W12" i="62" s="1"/>
  <c r="AD474" i="67"/>
  <c r="X896" i="67"/>
  <c r="X441" i="67"/>
  <c r="X745" i="67"/>
  <c r="X288" i="67"/>
  <c r="X135" i="67"/>
  <c r="X593" i="67"/>
  <c r="X323" i="67"/>
  <c r="X778" i="67"/>
  <c r="X17" i="67"/>
  <c r="X627" i="67"/>
  <c r="X170" i="67"/>
  <c r="X475" i="67"/>
  <c r="AF896" i="67"/>
  <c r="AF441" i="67"/>
  <c r="AF745" i="67"/>
  <c r="AF288" i="67"/>
  <c r="AF593" i="67"/>
  <c r="AF135" i="67"/>
  <c r="AF323" i="67"/>
  <c r="AF627" i="67"/>
  <c r="AF170" i="67"/>
  <c r="AF475" i="67"/>
  <c r="AF17" i="67"/>
  <c r="AF778" i="67"/>
  <c r="AB457" i="67"/>
  <c r="AB609" i="67"/>
  <c r="AB151" i="67"/>
  <c r="AB304" i="67"/>
  <c r="AB912" i="67"/>
  <c r="AB761" i="67"/>
  <c r="AB323" i="67"/>
  <c r="AB627" i="67"/>
  <c r="AB170" i="67"/>
  <c r="AB475" i="67"/>
  <c r="AB17" i="67"/>
  <c r="AB778" i="67"/>
  <c r="AG303" i="67"/>
  <c r="AG456" i="67"/>
  <c r="AG760" i="67"/>
  <c r="AG150" i="67"/>
  <c r="AG911" i="67"/>
  <c r="AG608" i="67"/>
  <c r="AG322" i="67"/>
  <c r="AG474" i="67"/>
  <c r="BA10" i="68"/>
  <c r="Z12" i="62" s="1"/>
  <c r="AG777" i="67"/>
  <c r="AG16" i="67"/>
  <c r="AG626" i="67"/>
  <c r="AG169" i="67"/>
  <c r="AC456" i="67"/>
  <c r="AC911" i="67"/>
  <c r="AC303" i="67"/>
  <c r="AC150" i="67"/>
  <c r="AC608" i="67"/>
  <c r="AC760" i="67"/>
  <c r="AC322" i="67"/>
  <c r="AC169" i="67"/>
  <c r="AC626" i="67"/>
  <c r="AC474" i="67"/>
  <c r="AC16" i="67"/>
  <c r="AW10" i="68"/>
  <c r="V12" i="62" s="1"/>
  <c r="AC777" i="67"/>
  <c r="AL457" i="67"/>
  <c r="AL761" i="67"/>
  <c r="AL609" i="67"/>
  <c r="AL912" i="67"/>
  <c r="AL151" i="67"/>
  <c r="AL304" i="67"/>
  <c r="AL323" i="67"/>
  <c r="AL170" i="67"/>
  <c r="AL627" i="67"/>
  <c r="AL17" i="67"/>
  <c r="AL475" i="67"/>
  <c r="AL778" i="67"/>
  <c r="AR456" i="67"/>
  <c r="AR760" i="67"/>
  <c r="AR911" i="67"/>
  <c r="AR608" i="67"/>
  <c r="AR150" i="67"/>
  <c r="AR303" i="67"/>
  <c r="AR322" i="67"/>
  <c r="BL10" i="68"/>
  <c r="AK12" i="62" s="1"/>
  <c r="AR169" i="67"/>
  <c r="AR777" i="67"/>
  <c r="AR626" i="67"/>
  <c r="AR16" i="67"/>
  <c r="AR474" i="67"/>
  <c r="AE150" i="67"/>
  <c r="AE456" i="67"/>
  <c r="AE760" i="67"/>
  <c r="AE911" i="67"/>
  <c r="AE608" i="67"/>
  <c r="AE303" i="67"/>
  <c r="AE322" i="67"/>
  <c r="AY10" i="68"/>
  <c r="X12" i="62" s="1"/>
  <c r="AE777" i="67"/>
  <c r="AE626" i="67"/>
  <c r="AE474" i="67"/>
  <c r="AE16" i="67"/>
  <c r="AE169" i="67"/>
  <c r="W911" i="67"/>
  <c r="W456" i="67"/>
  <c r="W150" i="67"/>
  <c r="W303" i="67"/>
  <c r="W608" i="67"/>
  <c r="W760" i="67"/>
  <c r="W322" i="67"/>
  <c r="W626" i="67"/>
  <c r="W169" i="67"/>
  <c r="W474" i="67"/>
  <c r="W777" i="67"/>
  <c r="AQ10" i="68"/>
  <c r="P12" i="62" s="1"/>
  <c r="W16" i="67"/>
  <c r="AP303" i="67"/>
  <c r="AP150" i="67"/>
  <c r="AP760" i="67"/>
  <c r="AP456" i="67"/>
  <c r="AP608" i="67"/>
  <c r="AP911" i="67"/>
  <c r="AP322" i="67"/>
  <c r="AP169" i="67"/>
  <c r="AP777" i="67"/>
  <c r="AP626" i="67"/>
  <c r="AP16" i="67"/>
  <c r="AP474" i="67"/>
  <c r="BJ10" i="68"/>
  <c r="AI12" i="62" s="1"/>
  <c r="AN441" i="67"/>
  <c r="AN896" i="67"/>
  <c r="AN745" i="67"/>
  <c r="AN288" i="67"/>
  <c r="AN135" i="67"/>
  <c r="AN593" i="67"/>
  <c r="AN323" i="67"/>
  <c r="AN627" i="67"/>
  <c r="AN170" i="67"/>
  <c r="AN475" i="67"/>
  <c r="AN17" i="67"/>
  <c r="AN778" i="67"/>
  <c r="AU912" i="67"/>
  <c r="AU457" i="67"/>
  <c r="AU761" i="67"/>
  <c r="AU151" i="67"/>
  <c r="AU609" i="67"/>
  <c r="AU304" i="67"/>
  <c r="AU323" i="67"/>
  <c r="AU627" i="67"/>
  <c r="AU778" i="67"/>
  <c r="AU475" i="67"/>
  <c r="AU170" i="67"/>
  <c r="AU17" i="67"/>
  <c r="AD304" i="67"/>
  <c r="AD151" i="67"/>
  <c r="AD761" i="67"/>
  <c r="AD457" i="67"/>
  <c r="AD912" i="67"/>
  <c r="AD609" i="67"/>
  <c r="AD323" i="67"/>
  <c r="AD475" i="67"/>
  <c r="AD170" i="67"/>
  <c r="AD778" i="67"/>
  <c r="AD627" i="67"/>
  <c r="AD17" i="67"/>
  <c r="AM457" i="67"/>
  <c r="AM761" i="67"/>
  <c r="AM304" i="67"/>
  <c r="AM609" i="67"/>
  <c r="AM912" i="67"/>
  <c r="AM151" i="67"/>
  <c r="AM323" i="67"/>
  <c r="AM778" i="67"/>
  <c r="AM627" i="67"/>
  <c r="AM17" i="67"/>
  <c r="AM475" i="67"/>
  <c r="AM170" i="67"/>
  <c r="AI456" i="67"/>
  <c r="AI760" i="67"/>
  <c r="AI303" i="67"/>
  <c r="AI608" i="67"/>
  <c r="AI150" i="67"/>
  <c r="AI911" i="67"/>
  <c r="BC10" i="68"/>
  <c r="AB12" i="62" s="1"/>
  <c r="AI322" i="67"/>
  <c r="AI169" i="67"/>
  <c r="AI777" i="67"/>
  <c r="AI626" i="67"/>
  <c r="AI16" i="67"/>
  <c r="AI474" i="67"/>
  <c r="AJ457" i="67"/>
  <c r="AJ761" i="67"/>
  <c r="AJ304" i="67"/>
  <c r="AJ609" i="67"/>
  <c r="AJ151" i="67"/>
  <c r="AJ912" i="67"/>
  <c r="AJ323" i="67"/>
  <c r="AJ778" i="67"/>
  <c r="AJ627" i="67"/>
  <c r="AJ17" i="67"/>
  <c r="AJ475" i="67"/>
  <c r="AJ170" i="67"/>
  <c r="AO456" i="67"/>
  <c r="AO608" i="67"/>
  <c r="AO150" i="67"/>
  <c r="AO911" i="67"/>
  <c r="AO303" i="67"/>
  <c r="AO760" i="67"/>
  <c r="AO322" i="67"/>
  <c r="AO169" i="67"/>
  <c r="AO777" i="67"/>
  <c r="AO626" i="67"/>
  <c r="AO16" i="67"/>
  <c r="AO474" i="67"/>
  <c r="BI10" i="68"/>
  <c r="AH12" i="62" s="1"/>
  <c r="V150" i="67"/>
  <c r="V456" i="67"/>
  <c r="V760" i="67"/>
  <c r="V303" i="67"/>
  <c r="V608" i="67"/>
  <c r="V911" i="67"/>
  <c r="AP10" i="68"/>
  <c r="O12" i="62" s="1"/>
  <c r="V322" i="67"/>
  <c r="V626" i="67"/>
  <c r="V777" i="67"/>
  <c r="V474" i="67"/>
  <c r="V16" i="67"/>
  <c r="V169" i="67"/>
  <c r="AS457" i="67"/>
  <c r="AS151" i="67"/>
  <c r="AS761" i="67"/>
  <c r="AS609" i="67"/>
  <c r="AS912" i="67"/>
  <c r="AS304" i="67"/>
  <c r="AS323" i="67"/>
  <c r="AS778" i="67"/>
  <c r="AS475" i="67"/>
  <c r="AS627" i="67"/>
  <c r="AS170" i="67"/>
  <c r="AS17" i="67"/>
  <c r="AH609" i="67"/>
  <c r="AH151" i="67"/>
  <c r="AH912" i="67"/>
  <c r="AH457" i="67"/>
  <c r="AH761" i="67"/>
  <c r="AH304" i="67"/>
  <c r="AH323" i="67"/>
  <c r="AH778" i="67"/>
  <c r="AH17" i="67"/>
  <c r="AH475" i="67"/>
  <c r="AH627" i="67"/>
  <c r="AH170" i="67"/>
  <c r="R457" i="67"/>
  <c r="R304" i="67"/>
  <c r="R151" i="67"/>
  <c r="R912" i="67"/>
  <c r="R761" i="67"/>
  <c r="R609" i="67"/>
  <c r="R323" i="67"/>
  <c r="R17" i="67"/>
  <c r="R627" i="67"/>
  <c r="R170" i="67"/>
  <c r="R475" i="67"/>
  <c r="R778" i="67"/>
  <c r="S456" i="67"/>
  <c r="S150" i="67"/>
  <c r="S760" i="67"/>
  <c r="S608" i="67"/>
  <c r="S911" i="67"/>
  <c r="S303" i="67"/>
  <c r="AM10" i="68"/>
  <c r="L12" i="62" s="1"/>
  <c r="S322" i="67"/>
  <c r="S474" i="67"/>
  <c r="S169" i="67"/>
  <c r="S777" i="67"/>
  <c r="S626" i="67"/>
  <c r="S16" i="67"/>
  <c r="AV608" i="67"/>
  <c r="AV456" i="67"/>
  <c r="AV760" i="67"/>
  <c r="AV150" i="67"/>
  <c r="AV303" i="67"/>
  <c r="AV911" i="67"/>
  <c r="AV322" i="67"/>
  <c r="AV626" i="67"/>
  <c r="AV169" i="67"/>
  <c r="AV777" i="67"/>
  <c r="BP10" i="68"/>
  <c r="AO12" i="62" s="1"/>
  <c r="AV16" i="67"/>
  <c r="AV474" i="67"/>
  <c r="AK608" i="67"/>
  <c r="AK303" i="67"/>
  <c r="AK911" i="67"/>
  <c r="AK456" i="67"/>
  <c r="AK150" i="67"/>
  <c r="AK760" i="67"/>
  <c r="AK336" i="67"/>
  <c r="AK640" i="67"/>
  <c r="AK488" i="67"/>
  <c r="AK183" i="67"/>
  <c r="AK30" i="67"/>
  <c r="AT440" i="67"/>
  <c r="AT895" i="67"/>
  <c r="AT744" i="67"/>
  <c r="AT287" i="67"/>
  <c r="AT134" i="67"/>
  <c r="AT592" i="67"/>
  <c r="BN10" i="68"/>
  <c r="AM12" i="62" s="1"/>
  <c r="AT322" i="67"/>
  <c r="AT626" i="67"/>
  <c r="AT169" i="67"/>
  <c r="AT16" i="67"/>
  <c r="AT777" i="67"/>
  <c r="AT474" i="67"/>
  <c r="AQ457" i="67"/>
  <c r="AQ609" i="67"/>
  <c r="AQ912" i="67"/>
  <c r="AQ151" i="67"/>
  <c r="AQ304" i="67"/>
  <c r="AQ761" i="67"/>
  <c r="AQ323" i="67"/>
  <c r="AQ17" i="67"/>
  <c r="AQ475" i="67"/>
  <c r="AQ627" i="67"/>
  <c r="AQ170" i="67"/>
  <c r="AQ778" i="67"/>
  <c r="X456" i="67"/>
  <c r="X303" i="67"/>
  <c r="X911" i="67"/>
  <c r="X608" i="67"/>
  <c r="X150" i="67"/>
  <c r="X760" i="67"/>
  <c r="AR10" i="68"/>
  <c r="Q12" i="62" s="1"/>
  <c r="X322" i="67"/>
  <c r="X16" i="67"/>
  <c r="X777" i="67"/>
  <c r="X626" i="67"/>
  <c r="X169" i="67"/>
  <c r="X474" i="67"/>
  <c r="AW761" i="67"/>
  <c r="AW457" i="67"/>
  <c r="AW151" i="67"/>
  <c r="AW304" i="67"/>
  <c r="AW609" i="67"/>
  <c r="AW912" i="67"/>
  <c r="AW323" i="67"/>
  <c r="AW170" i="67"/>
  <c r="AW778" i="67"/>
  <c r="AW475" i="67"/>
  <c r="AW17" i="67"/>
  <c r="AW627" i="67"/>
  <c r="AQ744" i="67"/>
  <c r="AQ440" i="67"/>
  <c r="AQ895" i="67"/>
  <c r="AQ287" i="67"/>
  <c r="AQ592" i="67"/>
  <c r="AQ134" i="67"/>
  <c r="AN440" i="67"/>
  <c r="AN744" i="67"/>
  <c r="AN895" i="67"/>
  <c r="AN287" i="67"/>
  <c r="AN592" i="67"/>
  <c r="AN134" i="67"/>
  <c r="AU895" i="67"/>
  <c r="AU440" i="67"/>
  <c r="AU744" i="67"/>
  <c r="AU287" i="67"/>
  <c r="AU134" i="67"/>
  <c r="AU592" i="67"/>
  <c r="AD440" i="67"/>
  <c r="AD895" i="67"/>
  <c r="AD744" i="67"/>
  <c r="AD287" i="67"/>
  <c r="AD134" i="67"/>
  <c r="AD592" i="67"/>
  <c r="X457" i="67"/>
  <c r="X151" i="67"/>
  <c r="X912" i="67"/>
  <c r="X761" i="67"/>
  <c r="X609" i="67"/>
  <c r="X304" i="67"/>
  <c r="AF151" i="67"/>
  <c r="AF457" i="67"/>
  <c r="AF912" i="67"/>
  <c r="AF609" i="67"/>
  <c r="AF761" i="67"/>
  <c r="AF304" i="67"/>
  <c r="AB441" i="67"/>
  <c r="AB745" i="67"/>
  <c r="AB896" i="67"/>
  <c r="AB593" i="67"/>
  <c r="AB135" i="67"/>
  <c r="AB288" i="67"/>
  <c r="AG440" i="67"/>
  <c r="AG592" i="67"/>
  <c r="AG134" i="67"/>
  <c r="AG744" i="67"/>
  <c r="AG895" i="67"/>
  <c r="AG287" i="67"/>
  <c r="AC895" i="67"/>
  <c r="AC287" i="67"/>
  <c r="AC592" i="67"/>
  <c r="AC440" i="67"/>
  <c r="AC134" i="67"/>
  <c r="AC744" i="67"/>
  <c r="AL441" i="67"/>
  <c r="AL896" i="67"/>
  <c r="AL745" i="67"/>
  <c r="AL288" i="67"/>
  <c r="AL135" i="67"/>
  <c r="AL593" i="67"/>
  <c r="AR440" i="67"/>
  <c r="AR895" i="67"/>
  <c r="AR744" i="67"/>
  <c r="AR287" i="67"/>
  <c r="AR134" i="67"/>
  <c r="AR592" i="67"/>
  <c r="AE895" i="67"/>
  <c r="AE440" i="67"/>
  <c r="AE744" i="67"/>
  <c r="AE287" i="67"/>
  <c r="AE134" i="67"/>
  <c r="AE592" i="67"/>
  <c r="W895" i="67"/>
  <c r="W440" i="67"/>
  <c r="W744" i="67"/>
  <c r="W134" i="67"/>
  <c r="W287" i="67"/>
  <c r="W592" i="67"/>
  <c r="AP744" i="67"/>
  <c r="AP895" i="67"/>
  <c r="AP440" i="67"/>
  <c r="AP592" i="67"/>
  <c r="AP134" i="67"/>
  <c r="AP287" i="67"/>
  <c r="AN761" i="67"/>
  <c r="AN304" i="67"/>
  <c r="AN151" i="67"/>
  <c r="AN457" i="67"/>
  <c r="AN609" i="67"/>
  <c r="AN912" i="67"/>
  <c r="AU288" i="67"/>
  <c r="AU135" i="67"/>
  <c r="AU593" i="67"/>
  <c r="AU441" i="67"/>
  <c r="AU745" i="67"/>
  <c r="AU896" i="67"/>
  <c r="AD896" i="67"/>
  <c r="AD441" i="67"/>
  <c r="AD745" i="67"/>
  <c r="AD135" i="67"/>
  <c r="AD288" i="67"/>
  <c r="AD593" i="67"/>
  <c r="AM441" i="67"/>
  <c r="AM593" i="67"/>
  <c r="AM135" i="67"/>
  <c r="AM745" i="67"/>
  <c r="AM288" i="67"/>
  <c r="AM896" i="67"/>
  <c r="AI440" i="67"/>
  <c r="AI744" i="67"/>
  <c r="AI895" i="67"/>
  <c r="AI287" i="67"/>
  <c r="AI592" i="67"/>
  <c r="AI134" i="67"/>
  <c r="AJ441" i="67"/>
  <c r="AJ745" i="67"/>
  <c r="AJ896" i="67"/>
  <c r="AJ593" i="67"/>
  <c r="AJ135" i="67"/>
  <c r="AJ288" i="67"/>
  <c r="AO895" i="67"/>
  <c r="AO287" i="67"/>
  <c r="AO744" i="67"/>
  <c r="AO440" i="67"/>
  <c r="AO592" i="67"/>
  <c r="AO134" i="67"/>
  <c r="V440" i="67"/>
  <c r="V895" i="67"/>
  <c r="V744" i="67"/>
  <c r="V287" i="67"/>
  <c r="V592" i="67"/>
  <c r="V134" i="67"/>
  <c r="AS441" i="67"/>
  <c r="AS745" i="67"/>
  <c r="AS896" i="67"/>
  <c r="AS288" i="67"/>
  <c r="AS593" i="67"/>
  <c r="AS135" i="67"/>
  <c r="AH441" i="67"/>
  <c r="AH745" i="67"/>
  <c r="AH896" i="67"/>
  <c r="AH288" i="67"/>
  <c r="AH593" i="67"/>
  <c r="AH135" i="67"/>
  <c r="R441" i="67"/>
  <c r="R745" i="67"/>
  <c r="R896" i="67"/>
  <c r="R288" i="67"/>
  <c r="R593" i="67"/>
  <c r="R135" i="67"/>
  <c r="S440" i="67"/>
  <c r="S744" i="67"/>
  <c r="S895" i="67"/>
  <c r="S287" i="67"/>
  <c r="S592" i="67"/>
  <c r="S134" i="67"/>
  <c r="AV744" i="67"/>
  <c r="AV895" i="67"/>
  <c r="AV440" i="67"/>
  <c r="AV287" i="67"/>
  <c r="AV592" i="67"/>
  <c r="AV134" i="67"/>
  <c r="AK287" i="67"/>
  <c r="AK895" i="67"/>
  <c r="AK440" i="67"/>
  <c r="AK592" i="67"/>
  <c r="AK744" i="67"/>
  <c r="AK134" i="67"/>
  <c r="AT303" i="67"/>
  <c r="AT608" i="67"/>
  <c r="AT456" i="67"/>
  <c r="AT911" i="67"/>
  <c r="AT760" i="67"/>
  <c r="AT150" i="67"/>
  <c r="AQ441" i="67"/>
  <c r="AQ135" i="67"/>
  <c r="AQ593" i="67"/>
  <c r="AQ896" i="67"/>
  <c r="AQ288" i="67"/>
  <c r="AQ745" i="67"/>
  <c r="X440" i="67"/>
  <c r="X744" i="67"/>
  <c r="X895" i="67"/>
  <c r="X287" i="67"/>
  <c r="X592" i="67"/>
  <c r="X134" i="67"/>
  <c r="AW896" i="67"/>
  <c r="AW441" i="67"/>
  <c r="AW745" i="67"/>
  <c r="AW135" i="67"/>
  <c r="AW288" i="67"/>
  <c r="AW593" i="67"/>
  <c r="AX7" i="68"/>
  <c r="W9" i="62" s="1"/>
  <c r="BM7" i="68"/>
  <c r="AL9" i="62" s="1"/>
  <c r="BH7" i="68"/>
  <c r="AG9" i="62" s="1"/>
  <c r="AZ7" i="68"/>
  <c r="Y9" i="62" s="1"/>
  <c r="BN7" i="68"/>
  <c r="AM9" i="62" s="1"/>
  <c r="BK7" i="68"/>
  <c r="AJ9" i="62" s="1"/>
  <c r="BB7" i="68"/>
  <c r="AA9" i="62" s="1"/>
  <c r="BI7" i="68"/>
  <c r="AH9" i="62" s="1"/>
  <c r="BG7" i="68"/>
  <c r="AF9" i="62" s="1"/>
  <c r="AM7" i="68"/>
  <c r="L9" i="62" s="1"/>
  <c r="BO7" i="68"/>
  <c r="AN9" i="62" s="1"/>
  <c r="BQ7" i="68"/>
  <c r="AP9" i="62" s="1"/>
  <c r="AR7" i="68"/>
  <c r="Q9" i="62" s="1"/>
  <c r="BD7" i="68"/>
  <c r="AC9" i="62" s="1"/>
  <c r="AL7" i="68"/>
  <c r="K9" i="62" s="1"/>
  <c r="BJ7" i="68"/>
  <c r="AI9" i="62" s="1"/>
  <c r="BF7" i="68"/>
  <c r="AE9" i="62" s="1"/>
  <c r="AQ7" i="68"/>
  <c r="P9" i="62" s="1"/>
  <c r="BA7" i="68"/>
  <c r="Z9" i="62" s="1"/>
  <c r="AW7" i="68"/>
  <c r="V9" i="62" s="1"/>
  <c r="BE7" i="68"/>
  <c r="AD9" i="62" s="1"/>
  <c r="AY7" i="68"/>
  <c r="X9" i="62" s="1"/>
  <c r="AP7" i="68"/>
  <c r="O9" i="62" s="1"/>
  <c r="AV7" i="68"/>
  <c r="U9" i="62" s="1"/>
  <c r="BP7" i="68"/>
  <c r="AO9" i="62" s="1"/>
  <c r="BC7" i="68"/>
  <c r="AB9" i="62" s="1"/>
  <c r="BL7" i="68"/>
  <c r="AK9" i="62" s="1"/>
  <c r="BJ10" i="50"/>
  <c r="BO8" i="36" s="1"/>
  <c r="AJ10" i="50"/>
  <c r="AO8" i="36" s="1"/>
  <c r="BP42" i="36"/>
  <c r="BP83" i="36" s="1"/>
  <c r="BO83" i="36"/>
  <c r="AY10" i="50"/>
  <c r="BD8" i="36" s="1"/>
  <c r="BH10" i="50"/>
  <c r="BM9" i="36" s="1"/>
  <c r="AS10" i="50"/>
  <c r="AX8" i="36" s="1"/>
  <c r="BC9" i="36"/>
  <c r="BC8" i="36"/>
  <c r="BB10" i="50"/>
  <c r="BB8" i="36"/>
  <c r="BB9" i="36"/>
  <c r="AU10" i="50"/>
  <c r="AT10" i="50"/>
  <c r="AK10" i="50"/>
  <c r="AV10" i="50"/>
  <c r="BD10" i="50"/>
  <c r="BF10" i="50"/>
  <c r="AG10" i="50"/>
  <c r="AQ10" i="50"/>
  <c r="BE10" i="50"/>
  <c r="BI10" i="50"/>
  <c r="AZ10" i="50"/>
  <c r="BG10" i="50"/>
  <c r="AP10" i="50"/>
  <c r="BC10" i="50"/>
  <c r="BA10" i="50"/>
  <c r="AL10" i="50"/>
  <c r="BK10" i="50"/>
  <c r="AF10" i="50"/>
  <c r="AR10" i="50"/>
  <c r="BA13" i="55"/>
  <c r="BA32" i="55"/>
  <c r="AW13" i="55"/>
  <c r="AW32" i="55"/>
  <c r="AS13" i="55"/>
  <c r="AS32" i="55"/>
  <c r="AO13" i="55"/>
  <c r="AO32" i="55"/>
  <c r="AK13" i="55"/>
  <c r="AK32" i="55"/>
  <c r="AG13" i="55"/>
  <c r="AG32" i="55"/>
  <c r="AC13" i="55"/>
  <c r="AC32" i="55"/>
  <c r="Y32" i="55"/>
  <c r="AV32" i="55"/>
  <c r="AV13" i="55"/>
  <c r="AR32" i="55"/>
  <c r="AR13" i="55"/>
  <c r="AN32" i="55"/>
  <c r="AN13" i="55"/>
  <c r="AJ32" i="55"/>
  <c r="AJ13" i="55"/>
  <c r="AF32" i="55"/>
  <c r="AF13" i="55"/>
  <c r="AB32" i="55"/>
  <c r="AB13" i="55"/>
  <c r="X32" i="55"/>
  <c r="AY13" i="55"/>
  <c r="AY32" i="55"/>
  <c r="AU13" i="55"/>
  <c r="AU32" i="55"/>
  <c r="AQ13" i="55"/>
  <c r="AQ32" i="55"/>
  <c r="AM13" i="55"/>
  <c r="AM32" i="55"/>
  <c r="AI13" i="55"/>
  <c r="AI32" i="55"/>
  <c r="AE32" i="55"/>
  <c r="AA13" i="55"/>
  <c r="AA32" i="55"/>
  <c r="W13" i="55"/>
  <c r="W32" i="55"/>
  <c r="AZ32" i="55"/>
  <c r="AZ13" i="55"/>
  <c r="AX13" i="55"/>
  <c r="AX32" i="55"/>
  <c r="AT13" i="55"/>
  <c r="AT32" i="55"/>
  <c r="AP13" i="55"/>
  <c r="AP32" i="55"/>
  <c r="AL13" i="55"/>
  <c r="AL32" i="55"/>
  <c r="AH13" i="55"/>
  <c r="AH32" i="55"/>
  <c r="AD13" i="55"/>
  <c r="AD32" i="55"/>
  <c r="Z13" i="55"/>
  <c r="Z32" i="55"/>
  <c r="V19" i="55"/>
  <c r="V32" i="55"/>
  <c r="AC1265" i="67" l="1"/>
  <c r="R1350" i="67"/>
  <c r="S1351" i="67"/>
  <c r="AS1264" i="67"/>
  <c r="AD1351" i="67"/>
  <c r="AH1350" i="67"/>
  <c r="AQ1233" i="67"/>
  <c r="AH1233" i="67"/>
  <c r="AC1366" i="67"/>
  <c r="AF1366" i="67"/>
  <c r="AK1233" i="67"/>
  <c r="AO1367" i="67"/>
  <c r="AQ1350" i="67"/>
  <c r="AF1232" i="67"/>
  <c r="AK1350" i="67"/>
  <c r="AH1351" i="67"/>
  <c r="AS1351" i="67"/>
  <c r="AI1350" i="67"/>
  <c r="AM1351" i="67"/>
  <c r="AB1366" i="67"/>
  <c r="AM1246" i="67"/>
  <c r="S1264" i="67"/>
  <c r="AS1265" i="67"/>
  <c r="AJ1265" i="67"/>
  <c r="X1265" i="67"/>
  <c r="AE1367" i="67"/>
  <c r="V1233" i="67"/>
  <c r="V1264" i="67"/>
  <c r="X1350" i="67"/>
  <c r="X1367" i="67"/>
  <c r="AN1350" i="67"/>
  <c r="X1366" i="67"/>
  <c r="AQ1367" i="67"/>
  <c r="AM1233" i="67"/>
  <c r="AM1367" i="67"/>
  <c r="AB1232" i="67"/>
  <c r="AL1232" i="67"/>
  <c r="AC1367" i="67"/>
  <c r="AC1247" i="67"/>
  <c r="AF1246" i="67"/>
  <c r="S1265" i="67"/>
  <c r="AH1246" i="67"/>
  <c r="AT1265" i="67"/>
  <c r="W1351" i="67"/>
  <c r="AB1350" i="67"/>
  <c r="AC1351" i="67"/>
  <c r="AI1367" i="67"/>
  <c r="AM1265" i="67"/>
  <c r="AD1264" i="67"/>
  <c r="AU1264" i="67"/>
  <c r="AC1350" i="67"/>
  <c r="AB1351" i="67"/>
  <c r="R1367" i="67"/>
  <c r="AS1367" i="67"/>
  <c r="AJ1233" i="67"/>
  <c r="AN1351" i="67"/>
  <c r="AR1366" i="67"/>
  <c r="AL1367" i="67"/>
  <c r="AG1366" i="67"/>
  <c r="AB1367" i="67"/>
  <c r="AP1233" i="67"/>
  <c r="AG1233" i="67"/>
  <c r="AV1351" i="67"/>
  <c r="R1247" i="67"/>
  <c r="AE1246" i="67"/>
  <c r="AL1247" i="67"/>
  <c r="AB1247" i="67"/>
  <c r="AD1246" i="67"/>
  <c r="W1247" i="67"/>
  <c r="AG1247" i="67"/>
  <c r="AM1264" i="67"/>
  <c r="AR1351" i="67"/>
  <c r="AO1351" i="67"/>
  <c r="AO1233" i="67"/>
  <c r="AJ1366" i="67"/>
  <c r="W1350" i="67"/>
  <c r="AO1232" i="67"/>
  <c r="AU1233" i="67"/>
  <c r="X1233" i="67"/>
  <c r="W1233" i="67"/>
  <c r="R1366" i="67"/>
  <c r="AS1366" i="67"/>
  <c r="AW1247" i="67"/>
  <c r="X1246" i="67"/>
  <c r="AE1247" i="67"/>
  <c r="AG1265" i="67"/>
  <c r="AK1265" i="67"/>
  <c r="AH1264" i="67"/>
  <c r="AD1232" i="67"/>
  <c r="AI1265" i="67"/>
  <c r="AO1265" i="67"/>
  <c r="AT1351" i="67"/>
  <c r="BO9" i="36"/>
  <c r="AV1383" i="67" s="1"/>
  <c r="S1350" i="67"/>
  <c r="R1351" i="67"/>
  <c r="AN1367" i="67"/>
  <c r="AP1350" i="67"/>
  <c r="AE1350" i="67"/>
  <c r="AG1350" i="67"/>
  <c r="AU1350" i="67"/>
  <c r="X1232" i="67"/>
  <c r="AT1350" i="67"/>
  <c r="AV1366" i="67"/>
  <c r="S1366" i="67"/>
  <c r="R1233" i="67"/>
  <c r="V1366" i="67"/>
  <c r="AI1366" i="67"/>
  <c r="AU1367" i="67"/>
  <c r="AL1233" i="67"/>
  <c r="AF1351" i="67"/>
  <c r="X1351" i="67"/>
  <c r="AN1366" i="67"/>
  <c r="AR1367" i="67"/>
  <c r="AS1232" i="67"/>
  <c r="AQ1247" i="67"/>
  <c r="AJ1247" i="67"/>
  <c r="AM1247" i="67"/>
  <c r="BG17" i="68" s="1"/>
  <c r="AF18" i="62" s="1"/>
  <c r="AN1247" i="67"/>
  <c r="AG1246" i="67"/>
  <c r="AN1246" i="67"/>
  <c r="AQ1246" i="67"/>
  <c r="AP1247" i="67"/>
  <c r="AV1247" i="67"/>
  <c r="AJ1246" i="67"/>
  <c r="X1264" i="67"/>
  <c r="AQ1265" i="67"/>
  <c r="AV1264" i="67"/>
  <c r="W1264" i="67"/>
  <c r="AR1265" i="67"/>
  <c r="AL1264" i="67"/>
  <c r="AI1247" i="67"/>
  <c r="AF1350" i="67"/>
  <c r="AV1367" i="67"/>
  <c r="V1351" i="67"/>
  <c r="V1367" i="67"/>
  <c r="AM1232" i="67"/>
  <c r="AM1366" i="67"/>
  <c r="AJ1264" i="67"/>
  <c r="AQ1351" i="67"/>
  <c r="V1350" i="67"/>
  <c r="AJ1351" i="67"/>
  <c r="AL1351" i="67"/>
  <c r="AK1246" i="67"/>
  <c r="S1232" i="67"/>
  <c r="AH1367" i="67"/>
  <c r="AS1233" i="67"/>
  <c r="V1232" i="67"/>
  <c r="AD1233" i="67"/>
  <c r="AD1367" i="67"/>
  <c r="AE1366" i="67"/>
  <c r="AB1233" i="67"/>
  <c r="AF1233" i="67"/>
  <c r="AU1366" i="67"/>
  <c r="AN1232" i="67"/>
  <c r="AQ1366" i="67"/>
  <c r="AP1367" i="67"/>
  <c r="AE1233" i="67"/>
  <c r="AR1233" i="67"/>
  <c r="AL1350" i="67"/>
  <c r="AC1233" i="67"/>
  <c r="AV1233" i="67"/>
  <c r="S1233" i="67"/>
  <c r="R1232" i="67"/>
  <c r="AH1232" i="67"/>
  <c r="AH1366" i="67"/>
  <c r="AV1246" i="67"/>
  <c r="AH1247" i="67"/>
  <c r="AS1247" i="67"/>
  <c r="AI1246" i="67"/>
  <c r="AU1247" i="67"/>
  <c r="AP1246" i="67"/>
  <c r="W1246" i="67"/>
  <c r="AF1247" i="67"/>
  <c r="AU1246" i="67"/>
  <c r="AR1247" i="67"/>
  <c r="AB1246" i="67"/>
  <c r="AK1247" i="67"/>
  <c r="AK1232" i="67"/>
  <c r="AH1265" i="67"/>
  <c r="AR1264" i="67"/>
  <c r="AF1265" i="67"/>
  <c r="AQ1264" i="67"/>
  <c r="S1247" i="67"/>
  <c r="V1265" i="67"/>
  <c r="AG1351" i="67"/>
  <c r="AL1366" i="67"/>
  <c r="AK1351" i="67"/>
  <c r="AS1350" i="67"/>
  <c r="AJ1350" i="67"/>
  <c r="AM1350" i="67"/>
  <c r="AW1350" i="67"/>
  <c r="AV1350" i="67"/>
  <c r="AU1351" i="67"/>
  <c r="AR1350" i="67"/>
  <c r="AF1367" i="67"/>
  <c r="AD1350" i="67"/>
  <c r="AT1232" i="67"/>
  <c r="AO1366" i="67"/>
  <c r="AJ1367" i="67"/>
  <c r="AP1366" i="67"/>
  <c r="W1232" i="67"/>
  <c r="W1366" i="67"/>
  <c r="AE1232" i="67"/>
  <c r="AD1366" i="67"/>
  <c r="AQ1232" i="67"/>
  <c r="W1367" i="67"/>
  <c r="AT1233" i="67"/>
  <c r="AT1246" i="67"/>
  <c r="AK1264" i="67"/>
  <c r="S1246" i="67"/>
  <c r="V1246" i="67"/>
  <c r="AR1246" i="67"/>
  <c r="X1247" i="67"/>
  <c r="AL1246" i="67"/>
  <c r="AT1247" i="67"/>
  <c r="AS1246" i="67"/>
  <c r="V1247" i="67"/>
  <c r="AO1247" i="67"/>
  <c r="R1265" i="67"/>
  <c r="AO1246" i="67"/>
  <c r="AE1264" i="67"/>
  <c r="AB1264" i="67"/>
  <c r="AF1264" i="67"/>
  <c r="AP1351" i="67"/>
  <c r="AE1351" i="67"/>
  <c r="AI1351" i="67"/>
  <c r="AJ1232" i="67"/>
  <c r="AD1265" i="67"/>
  <c r="AI1383" i="67"/>
  <c r="AI1397" i="67"/>
  <c r="AI1415" i="67"/>
  <c r="AI1535" i="67"/>
  <c r="AI1551" i="67"/>
  <c r="AV1382" i="67"/>
  <c r="AV160" i="67" s="1"/>
  <c r="AV1396" i="67"/>
  <c r="AV1414" i="67"/>
  <c r="AV1534" i="67"/>
  <c r="AV1550" i="67"/>
  <c r="AT1383" i="67"/>
  <c r="AT1397" i="67"/>
  <c r="AT1415" i="67"/>
  <c r="AT1535" i="67"/>
  <c r="AT1551" i="67"/>
  <c r="V1382" i="67"/>
  <c r="V160" i="67" s="1"/>
  <c r="V1396" i="67"/>
  <c r="V1414" i="67"/>
  <c r="V1534" i="67"/>
  <c r="V1550" i="67"/>
  <c r="AJ904" i="67"/>
  <c r="AJ601" i="67"/>
  <c r="AJ753" i="67"/>
  <c r="AJ296" i="67"/>
  <c r="AJ143" i="67"/>
  <c r="AJ449" i="67"/>
  <c r="AO633" i="67"/>
  <c r="AO329" i="67"/>
  <c r="AO23" i="67"/>
  <c r="AO176" i="67"/>
  <c r="AO481" i="67"/>
  <c r="AV176" i="67"/>
  <c r="AV329" i="67"/>
  <c r="AV481" i="67"/>
  <c r="AV633" i="67"/>
  <c r="AV23" i="67"/>
  <c r="AN888" i="67"/>
  <c r="AN585" i="67"/>
  <c r="AN280" i="67"/>
  <c r="AN737" i="67"/>
  <c r="AN433" i="67"/>
  <c r="AN127" i="67"/>
  <c r="AI1382" i="67"/>
  <c r="AI160" i="67" s="1"/>
  <c r="AI1396" i="67"/>
  <c r="AI1414" i="67"/>
  <c r="AI1534" i="67"/>
  <c r="AI1550" i="67"/>
  <c r="AJ1382" i="67"/>
  <c r="AJ160" i="67" s="1"/>
  <c r="AJ1396" i="67"/>
  <c r="AJ1414" i="67"/>
  <c r="AJ1534" i="67"/>
  <c r="AJ1550" i="67"/>
  <c r="AK1382" i="67"/>
  <c r="AK160" i="67" s="1"/>
  <c r="AK1396" i="67"/>
  <c r="AK1414" i="67"/>
  <c r="AK1550" i="67"/>
  <c r="AK1534" i="67"/>
  <c r="AW1351" i="67"/>
  <c r="AO1350" i="67"/>
  <c r="AV1232" i="67"/>
  <c r="AP1232" i="67"/>
  <c r="AG1232" i="67"/>
  <c r="AU1232" i="67"/>
  <c r="S1367" i="67"/>
  <c r="AJ347" i="67"/>
  <c r="AJ499" i="67"/>
  <c r="AJ41" i="67"/>
  <c r="AJ651" i="67"/>
  <c r="AJ194" i="67"/>
  <c r="AJ802" i="67"/>
  <c r="AD1247" i="67"/>
  <c r="AW1246" i="67"/>
  <c r="S329" i="67"/>
  <c r="S481" i="67"/>
  <c r="S23" i="67"/>
  <c r="S633" i="67"/>
  <c r="S176" i="67"/>
  <c r="AM347" i="67"/>
  <c r="AM651" i="67"/>
  <c r="AM802" i="67"/>
  <c r="AM499" i="67"/>
  <c r="AM41" i="67"/>
  <c r="AM194" i="67"/>
  <c r="AO888" i="67"/>
  <c r="AO737" i="67"/>
  <c r="AO433" i="67"/>
  <c r="AO127" i="67"/>
  <c r="AO280" i="67"/>
  <c r="AO585" i="67"/>
  <c r="AO619" i="67"/>
  <c r="AO770" i="67"/>
  <c r="AH329" i="67"/>
  <c r="AH633" i="67"/>
  <c r="AH481" i="67"/>
  <c r="AH23" i="67"/>
  <c r="AH176" i="67"/>
  <c r="AQ41" i="67"/>
  <c r="AQ347" i="67"/>
  <c r="AQ194" i="67"/>
  <c r="AQ651" i="67"/>
  <c r="AQ499" i="67"/>
  <c r="AQ802" i="67"/>
  <c r="AT888" i="67"/>
  <c r="AT280" i="67"/>
  <c r="AT585" i="67"/>
  <c r="AT433" i="67"/>
  <c r="AT737" i="67"/>
  <c r="AT127" i="67"/>
  <c r="AF753" i="67"/>
  <c r="AF296" i="67"/>
  <c r="AF143" i="67"/>
  <c r="AF449" i="67"/>
  <c r="AF904" i="67"/>
  <c r="AF601" i="67"/>
  <c r="AF619" i="67"/>
  <c r="AF770" i="67"/>
  <c r="AN1265" i="67"/>
  <c r="AC1264" i="67"/>
  <c r="AG1264" i="67"/>
  <c r="AB1265" i="67"/>
  <c r="AE1265" i="67"/>
  <c r="AV1265" i="67"/>
  <c r="AC888" i="67"/>
  <c r="AC127" i="67"/>
  <c r="AC585" i="67"/>
  <c r="AC280" i="67"/>
  <c r="AC433" i="67"/>
  <c r="AC737" i="67"/>
  <c r="AU449" i="67"/>
  <c r="AU904" i="67"/>
  <c r="AU601" i="67"/>
  <c r="AU296" i="67"/>
  <c r="AU143" i="67"/>
  <c r="AU753" i="67"/>
  <c r="AU619" i="67"/>
  <c r="AU770" i="67"/>
  <c r="AS481" i="67"/>
  <c r="AS176" i="67"/>
  <c r="AS329" i="67"/>
  <c r="AS633" i="67"/>
  <c r="AS23" i="67"/>
  <c r="AG651" i="67"/>
  <c r="AG802" i="67"/>
  <c r="AG41" i="67"/>
  <c r="AG347" i="67"/>
  <c r="AG194" i="67"/>
  <c r="AG499" i="67"/>
  <c r="AD127" i="67"/>
  <c r="AD433" i="67"/>
  <c r="AD585" i="67"/>
  <c r="AD280" i="67"/>
  <c r="AD888" i="67"/>
  <c r="AD737" i="67"/>
  <c r="AR651" i="67"/>
  <c r="AR41" i="67"/>
  <c r="AR802" i="67"/>
  <c r="AR194" i="67"/>
  <c r="AR347" i="67"/>
  <c r="AR499" i="67"/>
  <c r="AI585" i="67"/>
  <c r="AI280" i="67"/>
  <c r="AI737" i="67"/>
  <c r="AI433" i="67"/>
  <c r="AI888" i="67"/>
  <c r="AI127" i="67"/>
  <c r="AV449" i="67"/>
  <c r="AV296" i="67"/>
  <c r="AV143" i="67"/>
  <c r="AV601" i="67"/>
  <c r="AV753" i="67"/>
  <c r="AV904" i="67"/>
  <c r="AV619" i="67"/>
  <c r="AV770" i="67"/>
  <c r="AB329" i="67"/>
  <c r="AB23" i="67"/>
  <c r="AB633" i="67"/>
  <c r="AB176" i="67"/>
  <c r="AB481" i="67"/>
  <c r="V651" i="67"/>
  <c r="V802" i="67"/>
  <c r="V41" i="67"/>
  <c r="V347" i="67"/>
  <c r="V499" i="67"/>
  <c r="V194" i="67"/>
  <c r="AE433" i="67"/>
  <c r="AE127" i="67"/>
  <c r="AE888" i="67"/>
  <c r="AE585" i="67"/>
  <c r="AE280" i="67"/>
  <c r="AE737" i="67"/>
  <c r="AK888" i="67"/>
  <c r="AK280" i="67"/>
  <c r="AK433" i="67"/>
  <c r="AK585" i="67"/>
  <c r="AK737" i="67"/>
  <c r="AK127" i="67"/>
  <c r="AK619" i="67"/>
  <c r="AK770" i="67"/>
  <c r="W449" i="67"/>
  <c r="W296" i="67"/>
  <c r="W904" i="67"/>
  <c r="W601" i="67"/>
  <c r="W753" i="67"/>
  <c r="W143" i="67"/>
  <c r="W619" i="67"/>
  <c r="W770" i="67"/>
  <c r="AL329" i="67"/>
  <c r="AL176" i="67"/>
  <c r="AL633" i="67"/>
  <c r="AL481" i="67"/>
  <c r="AL23" i="67"/>
  <c r="AP651" i="67"/>
  <c r="AP499" i="67"/>
  <c r="AP194" i="67"/>
  <c r="AP802" i="67"/>
  <c r="AP347" i="67"/>
  <c r="AP41" i="67"/>
  <c r="R585" i="67"/>
  <c r="R433" i="67"/>
  <c r="R737" i="67"/>
  <c r="R888" i="67"/>
  <c r="R127" i="67"/>
  <c r="R280" i="67"/>
  <c r="X601" i="67"/>
  <c r="X296" i="67"/>
  <c r="X753" i="67"/>
  <c r="X143" i="67"/>
  <c r="X449" i="67"/>
  <c r="X904" i="67"/>
  <c r="X770" i="67"/>
  <c r="X619" i="67"/>
  <c r="AW481" i="67"/>
  <c r="AW23" i="67"/>
  <c r="AW329" i="67"/>
  <c r="AW176" i="67"/>
  <c r="AW633" i="67"/>
  <c r="AL1265" i="67"/>
  <c r="AN651" i="67"/>
  <c r="AN194" i="67"/>
  <c r="AN802" i="67"/>
  <c r="AN499" i="67"/>
  <c r="AN347" i="67"/>
  <c r="AN41" i="67"/>
  <c r="S585" i="67"/>
  <c r="S737" i="67"/>
  <c r="S433" i="67"/>
  <c r="S127" i="67"/>
  <c r="S888" i="67"/>
  <c r="S280" i="67"/>
  <c r="AM143" i="67"/>
  <c r="AM449" i="67"/>
  <c r="AM904" i="67"/>
  <c r="AM601" i="67"/>
  <c r="AM296" i="67"/>
  <c r="AM753" i="67"/>
  <c r="AM619" i="67"/>
  <c r="AM770" i="67"/>
  <c r="AH499" i="67"/>
  <c r="AH347" i="67"/>
  <c r="AH651" i="67"/>
  <c r="AH41" i="67"/>
  <c r="AH802" i="67"/>
  <c r="AH194" i="67"/>
  <c r="AQ433" i="67"/>
  <c r="AQ585" i="67"/>
  <c r="AQ127" i="67"/>
  <c r="AQ888" i="67"/>
  <c r="AQ737" i="67"/>
  <c r="AQ280" i="67"/>
  <c r="AT904" i="67"/>
  <c r="AT601" i="67"/>
  <c r="AT753" i="67"/>
  <c r="AT143" i="67"/>
  <c r="AT449" i="67"/>
  <c r="AT296" i="67"/>
  <c r="AT619" i="67"/>
  <c r="AT770" i="67"/>
  <c r="AF329" i="67"/>
  <c r="AF23" i="67"/>
  <c r="AF633" i="67"/>
  <c r="AF176" i="67"/>
  <c r="AF481" i="67"/>
  <c r="AC449" i="67"/>
  <c r="AC601" i="67"/>
  <c r="AC904" i="67"/>
  <c r="AC753" i="67"/>
  <c r="AC296" i="67"/>
  <c r="AC143" i="67"/>
  <c r="AC619" i="67"/>
  <c r="AC770" i="67"/>
  <c r="AU329" i="67"/>
  <c r="AU23" i="67"/>
  <c r="AU633" i="67"/>
  <c r="AU481" i="67"/>
  <c r="AU176" i="67"/>
  <c r="AS347" i="67"/>
  <c r="AS499" i="67"/>
  <c r="AS41" i="67"/>
  <c r="AS651" i="67"/>
  <c r="AS194" i="67"/>
  <c r="AS802" i="67"/>
  <c r="AG449" i="67"/>
  <c r="AG904" i="67"/>
  <c r="AG601" i="67"/>
  <c r="AG753" i="67"/>
  <c r="AG296" i="67"/>
  <c r="AG143" i="67"/>
  <c r="AD601" i="67"/>
  <c r="AD296" i="67"/>
  <c r="AD753" i="67"/>
  <c r="AD143" i="67"/>
  <c r="AD449" i="67"/>
  <c r="AD904" i="67"/>
  <c r="AD619" i="67"/>
  <c r="AD770" i="67"/>
  <c r="AR296" i="67"/>
  <c r="AR449" i="67"/>
  <c r="AR601" i="67"/>
  <c r="AR904" i="67"/>
  <c r="AR753" i="67"/>
  <c r="AR143" i="67"/>
  <c r="AI904" i="67"/>
  <c r="AI601" i="67"/>
  <c r="AI753" i="67"/>
  <c r="AI143" i="67"/>
  <c r="AI449" i="67"/>
  <c r="AI296" i="67"/>
  <c r="AI347" i="67"/>
  <c r="AI651" i="67"/>
  <c r="AI802" i="67"/>
  <c r="AI499" i="67"/>
  <c r="AI41" i="67"/>
  <c r="AI194" i="67"/>
  <c r="AB651" i="67"/>
  <c r="AB194" i="67"/>
  <c r="AB802" i="67"/>
  <c r="AB499" i="67"/>
  <c r="AB347" i="67"/>
  <c r="AB41" i="67"/>
  <c r="V585" i="67"/>
  <c r="V127" i="67"/>
  <c r="V737" i="67"/>
  <c r="V280" i="67"/>
  <c r="V433" i="67"/>
  <c r="V888" i="67"/>
  <c r="AE143" i="67"/>
  <c r="AE449" i="67"/>
  <c r="AE904" i="67"/>
  <c r="AE601" i="67"/>
  <c r="AE296" i="67"/>
  <c r="AE753" i="67"/>
  <c r="AE619" i="67"/>
  <c r="AE770" i="67"/>
  <c r="AK176" i="67"/>
  <c r="AK633" i="67"/>
  <c r="AK481" i="67"/>
  <c r="AK329" i="67"/>
  <c r="AK23" i="67"/>
  <c r="W481" i="67"/>
  <c r="W176" i="67"/>
  <c r="W329" i="67"/>
  <c r="W633" i="67"/>
  <c r="W23" i="67"/>
  <c r="AL651" i="67"/>
  <c r="AL194" i="67"/>
  <c r="AL802" i="67"/>
  <c r="AL347" i="67"/>
  <c r="AL499" i="67"/>
  <c r="AL41" i="67"/>
  <c r="AP433" i="67"/>
  <c r="AP127" i="67"/>
  <c r="AP888" i="67"/>
  <c r="AP585" i="67"/>
  <c r="AP280" i="67"/>
  <c r="AP737" i="67"/>
  <c r="R143" i="67"/>
  <c r="R296" i="67"/>
  <c r="R449" i="67"/>
  <c r="R601" i="67"/>
  <c r="R904" i="67"/>
  <c r="R753" i="67"/>
  <c r="R619" i="67"/>
  <c r="R770" i="67"/>
  <c r="X329" i="67"/>
  <c r="X176" i="67"/>
  <c r="X481" i="67"/>
  <c r="X633" i="67"/>
  <c r="X23" i="67"/>
  <c r="AW651" i="67"/>
  <c r="AW802" i="67"/>
  <c r="AW499" i="67"/>
  <c r="AW41" i="67"/>
  <c r="AW194" i="67"/>
  <c r="AW347" i="67"/>
  <c r="AJ1383" i="67"/>
  <c r="AJ1397" i="67"/>
  <c r="AJ1415" i="67"/>
  <c r="AJ1535" i="67"/>
  <c r="AJ1551" i="67"/>
  <c r="AT1366" i="67"/>
  <c r="AW1367" i="67"/>
  <c r="AR1232" i="67"/>
  <c r="AT1367" i="67"/>
  <c r="AJ329" i="67"/>
  <c r="AJ633" i="67"/>
  <c r="AJ23" i="67"/>
  <c r="AJ176" i="67"/>
  <c r="AJ481" i="67"/>
  <c r="S619" i="67"/>
  <c r="S770" i="67"/>
  <c r="AM888" i="67"/>
  <c r="AM585" i="67"/>
  <c r="AM127" i="67"/>
  <c r="AM433" i="67"/>
  <c r="AM737" i="67"/>
  <c r="AM280" i="67"/>
  <c r="AO904" i="67"/>
  <c r="AO753" i="67"/>
  <c r="AO143" i="67"/>
  <c r="AO296" i="67"/>
  <c r="AO449" i="67"/>
  <c r="AO601" i="67"/>
  <c r="AH449" i="67"/>
  <c r="AH904" i="67"/>
  <c r="AH143" i="67"/>
  <c r="AH601" i="67"/>
  <c r="AH753" i="67"/>
  <c r="AH296" i="67"/>
  <c r="AH619" i="67"/>
  <c r="AH770" i="67"/>
  <c r="AQ23" i="67"/>
  <c r="AQ329" i="67"/>
  <c r="AQ176" i="67"/>
  <c r="AQ633" i="67"/>
  <c r="AQ481" i="67"/>
  <c r="AT347" i="67"/>
  <c r="AT41" i="67"/>
  <c r="AT651" i="67"/>
  <c r="AT499" i="67"/>
  <c r="AT194" i="67"/>
  <c r="AT802" i="67"/>
  <c r="AF737" i="67"/>
  <c r="AF127" i="67"/>
  <c r="AF888" i="67"/>
  <c r="AF280" i="67"/>
  <c r="AF433" i="67"/>
  <c r="AF585" i="67"/>
  <c r="AW1265" i="67"/>
  <c r="W1265" i="67"/>
  <c r="R1264" i="67"/>
  <c r="AC651" i="67"/>
  <c r="AC499" i="67"/>
  <c r="AC802" i="67"/>
  <c r="AC41" i="67"/>
  <c r="AC194" i="67"/>
  <c r="AC347" i="67"/>
  <c r="AU499" i="67"/>
  <c r="AU41" i="67"/>
  <c r="AU651" i="67"/>
  <c r="AU194" i="67"/>
  <c r="AU347" i="67"/>
  <c r="AU802" i="67"/>
  <c r="AS433" i="67"/>
  <c r="AS585" i="67"/>
  <c r="AS888" i="67"/>
  <c r="AS737" i="67"/>
  <c r="AS127" i="67"/>
  <c r="AS280" i="67"/>
  <c r="AS619" i="67"/>
  <c r="AS770" i="67"/>
  <c r="AG176" i="67"/>
  <c r="AG329" i="67"/>
  <c r="AG633" i="67"/>
  <c r="AG481" i="67"/>
  <c r="AG23" i="67"/>
  <c r="AD651" i="67"/>
  <c r="AD347" i="67"/>
  <c r="AD802" i="67"/>
  <c r="AD499" i="67"/>
  <c r="AD41" i="67"/>
  <c r="AD194" i="67"/>
  <c r="AR633" i="67"/>
  <c r="AR23" i="67"/>
  <c r="AR176" i="67"/>
  <c r="AR329" i="67"/>
  <c r="AR481" i="67"/>
  <c r="AI619" i="67"/>
  <c r="AI770" i="67"/>
  <c r="AV433" i="67"/>
  <c r="AV888" i="67"/>
  <c r="AV737" i="67"/>
  <c r="AV127" i="67"/>
  <c r="AV280" i="67"/>
  <c r="AV585" i="67"/>
  <c r="AB296" i="67"/>
  <c r="AB449" i="67"/>
  <c r="AB601" i="67"/>
  <c r="AB143" i="67"/>
  <c r="AB904" i="67"/>
  <c r="AB753" i="67"/>
  <c r="AB619" i="67"/>
  <c r="AB770" i="67"/>
  <c r="V633" i="67"/>
  <c r="V481" i="67"/>
  <c r="V23" i="67"/>
  <c r="V329" i="67"/>
  <c r="V176" i="67"/>
  <c r="AE194" i="67"/>
  <c r="AE347" i="67"/>
  <c r="AE651" i="67"/>
  <c r="AE802" i="67"/>
  <c r="AE499" i="67"/>
  <c r="AE41" i="67"/>
  <c r="AK449" i="67"/>
  <c r="AK601" i="67"/>
  <c r="AK904" i="67"/>
  <c r="AK753" i="67"/>
  <c r="AK296" i="67"/>
  <c r="AK143" i="67"/>
  <c r="AW1232" i="67"/>
  <c r="AW1366" i="67"/>
  <c r="W433" i="67"/>
  <c r="W888" i="67"/>
  <c r="W127" i="67"/>
  <c r="W585" i="67"/>
  <c r="W280" i="67"/>
  <c r="W737" i="67"/>
  <c r="AL601" i="67"/>
  <c r="AL449" i="67"/>
  <c r="AL753" i="67"/>
  <c r="AL904" i="67"/>
  <c r="AL296" i="67"/>
  <c r="AL143" i="67"/>
  <c r="AL619" i="67"/>
  <c r="AL770" i="67"/>
  <c r="AP481" i="67"/>
  <c r="AP23" i="67"/>
  <c r="AP329" i="67"/>
  <c r="AP176" i="67"/>
  <c r="AP633" i="67"/>
  <c r="R651" i="67"/>
  <c r="R41" i="67"/>
  <c r="R802" i="67"/>
  <c r="R499" i="67"/>
  <c r="R194" i="67"/>
  <c r="R347" i="67"/>
  <c r="X888" i="67"/>
  <c r="X737" i="67"/>
  <c r="X127" i="67"/>
  <c r="X433" i="67"/>
  <c r="X280" i="67"/>
  <c r="X585" i="67"/>
  <c r="AW888" i="67"/>
  <c r="AW585" i="67"/>
  <c r="AW737" i="67"/>
  <c r="AW127" i="67"/>
  <c r="AW280" i="67"/>
  <c r="AW433" i="67"/>
  <c r="AW619" i="67"/>
  <c r="AW770" i="67"/>
  <c r="AI1264" i="67"/>
  <c r="AU1265" i="67"/>
  <c r="AP1264" i="67"/>
  <c r="AN329" i="67"/>
  <c r="AN481" i="67"/>
  <c r="AN176" i="67"/>
  <c r="AN633" i="67"/>
  <c r="AN23" i="67"/>
  <c r="AE1396" i="67"/>
  <c r="AE1414" i="67"/>
  <c r="AE1382" i="67"/>
  <c r="AE160" i="67" s="1"/>
  <c r="AE1534" i="67"/>
  <c r="AE1550" i="67"/>
  <c r="AW1233" i="67"/>
  <c r="AK1366" i="67"/>
  <c r="AI1232" i="67"/>
  <c r="AN1233" i="67"/>
  <c r="AC1232" i="67"/>
  <c r="AG1367" i="67"/>
  <c r="AK1367" i="67"/>
  <c r="AJ433" i="67"/>
  <c r="AJ585" i="67"/>
  <c r="AJ280" i="67"/>
  <c r="AJ888" i="67"/>
  <c r="AJ737" i="67"/>
  <c r="AJ127" i="67"/>
  <c r="AJ619" i="67"/>
  <c r="AJ770" i="67"/>
  <c r="AO1264" i="67"/>
  <c r="AC1246" i="67"/>
  <c r="R1246" i="67"/>
  <c r="S904" i="67"/>
  <c r="S296" i="67"/>
  <c r="S601" i="67"/>
  <c r="S143" i="67"/>
  <c r="S449" i="67"/>
  <c r="S753" i="67"/>
  <c r="S347" i="67"/>
  <c r="S651" i="67"/>
  <c r="S499" i="67"/>
  <c r="S41" i="67"/>
  <c r="S802" i="67"/>
  <c r="S194" i="67"/>
  <c r="AM329" i="67"/>
  <c r="AM633" i="67"/>
  <c r="AM481" i="67"/>
  <c r="AM23" i="67"/>
  <c r="AM176" i="67"/>
  <c r="AO194" i="67"/>
  <c r="AO651" i="67"/>
  <c r="AO347" i="67"/>
  <c r="AO802" i="67"/>
  <c r="AO499" i="67"/>
  <c r="AO41" i="67"/>
  <c r="AH585" i="67"/>
  <c r="AH433" i="67"/>
  <c r="AH737" i="67"/>
  <c r="AH888" i="67"/>
  <c r="AH127" i="67"/>
  <c r="AH280" i="67"/>
  <c r="AQ601" i="67"/>
  <c r="AQ753" i="67"/>
  <c r="AQ296" i="67"/>
  <c r="AQ449" i="67"/>
  <c r="AQ904" i="67"/>
  <c r="AQ143" i="67"/>
  <c r="AQ619" i="67"/>
  <c r="AQ770" i="67"/>
  <c r="AT481" i="67"/>
  <c r="AT23" i="67"/>
  <c r="AT329" i="67"/>
  <c r="AT176" i="67"/>
  <c r="AT633" i="67"/>
  <c r="AF802" i="67"/>
  <c r="AF41" i="67"/>
  <c r="AF194" i="67"/>
  <c r="AF347" i="67"/>
  <c r="AF651" i="67"/>
  <c r="AF499" i="67"/>
  <c r="AT1264" i="67"/>
  <c r="AN1264" i="67"/>
  <c r="AP1265" i="67"/>
  <c r="AC176" i="67"/>
  <c r="AC481" i="67"/>
  <c r="AC329" i="67"/>
  <c r="AC633" i="67"/>
  <c r="AC23" i="67"/>
  <c r="AU585" i="67"/>
  <c r="AU433" i="67"/>
  <c r="AU737" i="67"/>
  <c r="AU127" i="67"/>
  <c r="AU888" i="67"/>
  <c r="AU280" i="67"/>
  <c r="AS143" i="67"/>
  <c r="AS449" i="67"/>
  <c r="AS601" i="67"/>
  <c r="AS296" i="67"/>
  <c r="AS904" i="67"/>
  <c r="AS753" i="67"/>
  <c r="AG433" i="67"/>
  <c r="AG127" i="67"/>
  <c r="AG888" i="67"/>
  <c r="AG585" i="67"/>
  <c r="AG280" i="67"/>
  <c r="AG737" i="67"/>
  <c r="AG619" i="67"/>
  <c r="AG770" i="67"/>
  <c r="AD633" i="67"/>
  <c r="AD23" i="67"/>
  <c r="AD481" i="67"/>
  <c r="AD176" i="67"/>
  <c r="AD329" i="67"/>
  <c r="AR433" i="67"/>
  <c r="AR585" i="67"/>
  <c r="AR127" i="67"/>
  <c r="AR888" i="67"/>
  <c r="AR737" i="67"/>
  <c r="AR280" i="67"/>
  <c r="AR619" i="67"/>
  <c r="AR770" i="67"/>
  <c r="AI633" i="67"/>
  <c r="AI176" i="67"/>
  <c r="AI481" i="67"/>
  <c r="AI329" i="67"/>
  <c r="AI23" i="67"/>
  <c r="AV802" i="67"/>
  <c r="AV499" i="67"/>
  <c r="AV194" i="67"/>
  <c r="AV347" i="67"/>
  <c r="AV651" i="67"/>
  <c r="AV41" i="67"/>
  <c r="AB585" i="67"/>
  <c r="AB737" i="67"/>
  <c r="AB127" i="67"/>
  <c r="AB433" i="67"/>
  <c r="AB280" i="67"/>
  <c r="AB888" i="67"/>
  <c r="V449" i="67"/>
  <c r="V904" i="67"/>
  <c r="V143" i="67"/>
  <c r="V601" i="67"/>
  <c r="V753" i="67"/>
  <c r="V296" i="67"/>
  <c r="V619" i="67"/>
  <c r="V770" i="67"/>
  <c r="AE329" i="67"/>
  <c r="AE633" i="67"/>
  <c r="AE23" i="67"/>
  <c r="AE481" i="67"/>
  <c r="AE176" i="67"/>
  <c r="AK499" i="67"/>
  <c r="AK194" i="67"/>
  <c r="AK651" i="67"/>
  <c r="AK347" i="67"/>
  <c r="AK802" i="67"/>
  <c r="AK41" i="67"/>
  <c r="AI1233" i="67"/>
  <c r="W347" i="67"/>
  <c r="W651" i="67"/>
  <c r="W194" i="67"/>
  <c r="W802" i="67"/>
  <c r="W499" i="67"/>
  <c r="W41" i="67"/>
  <c r="AL585" i="67"/>
  <c r="AL737" i="67"/>
  <c r="AL127" i="67"/>
  <c r="AL433" i="67"/>
  <c r="AL280" i="67"/>
  <c r="AL888" i="67"/>
  <c r="AP296" i="67"/>
  <c r="AP143" i="67"/>
  <c r="AP449" i="67"/>
  <c r="AP601" i="67"/>
  <c r="AP904" i="67"/>
  <c r="AP753" i="67"/>
  <c r="AP619" i="67"/>
  <c r="AP770" i="67"/>
  <c r="R633" i="67"/>
  <c r="R481" i="67"/>
  <c r="R23" i="67"/>
  <c r="R176" i="67"/>
  <c r="R329" i="67"/>
  <c r="X347" i="67"/>
  <c r="X499" i="67"/>
  <c r="X651" i="67"/>
  <c r="X41" i="67"/>
  <c r="X802" i="67"/>
  <c r="X194" i="67"/>
  <c r="AW904" i="67"/>
  <c r="AW143" i="67"/>
  <c r="AW601" i="67"/>
  <c r="AW449" i="67"/>
  <c r="AW753" i="67"/>
  <c r="AW296" i="67"/>
  <c r="AW1264" i="67"/>
  <c r="AN449" i="67"/>
  <c r="AN904" i="67"/>
  <c r="AN296" i="67"/>
  <c r="AN601" i="67"/>
  <c r="AN753" i="67"/>
  <c r="AN143" i="67"/>
  <c r="AN619" i="67"/>
  <c r="AN770" i="67"/>
  <c r="AO9" i="36"/>
  <c r="BD9" i="36"/>
  <c r="BM8" i="36"/>
  <c r="AX9" i="36"/>
  <c r="AU9" i="36"/>
  <c r="AU8" i="36"/>
  <c r="BI8" i="36"/>
  <c r="BI9" i="36"/>
  <c r="AQ8" i="36"/>
  <c r="AQ9" i="36"/>
  <c r="BL9" i="36"/>
  <c r="BL8" i="36"/>
  <c r="AV9" i="36"/>
  <c r="AV8" i="36"/>
  <c r="BA8" i="36"/>
  <c r="BA9" i="36"/>
  <c r="AW8" i="36"/>
  <c r="AW9" i="36"/>
  <c r="BF8" i="36"/>
  <c r="BF9" i="36"/>
  <c r="BE9" i="36"/>
  <c r="BE8" i="36"/>
  <c r="AL8" i="36"/>
  <c r="AL9" i="36"/>
  <c r="AP8" i="36"/>
  <c r="AP9" i="36"/>
  <c r="BP9" i="36"/>
  <c r="BP8" i="36"/>
  <c r="BJ8" i="36"/>
  <c r="BJ9" i="36"/>
  <c r="AZ9" i="36"/>
  <c r="AZ8" i="36"/>
  <c r="AK9" i="36"/>
  <c r="AK8" i="36"/>
  <c r="BH9" i="36"/>
  <c r="BH8" i="36"/>
  <c r="BN8" i="36"/>
  <c r="BN9" i="36"/>
  <c r="BK9" i="36"/>
  <c r="BK8" i="36"/>
  <c r="AY8" i="36"/>
  <c r="AY9" i="36"/>
  <c r="BG8" i="36"/>
  <c r="BG9" i="36"/>
  <c r="AE13" i="55"/>
  <c r="Y13" i="55"/>
  <c r="X13" i="55"/>
  <c r="V13" i="55"/>
  <c r="AO7" i="55"/>
  <c r="AQ7" i="55"/>
  <c r="AF7" i="55"/>
  <c r="AV7" i="55"/>
  <c r="AC7" i="55"/>
  <c r="AS7" i="55"/>
  <c r="AT7" i="55"/>
  <c r="AZ7" i="55"/>
  <c r="AM7" i="55"/>
  <c r="AB7" i="55"/>
  <c r="AR7" i="55"/>
  <c r="V7" i="55"/>
  <c r="AH7" i="55"/>
  <c r="AX7" i="55"/>
  <c r="AA7" i="55"/>
  <c r="AL7" i="55"/>
  <c r="AE7" i="55"/>
  <c r="AU7" i="55"/>
  <c r="X7" i="55"/>
  <c r="AJ7" i="55"/>
  <c r="AG7" i="55"/>
  <c r="AW7" i="55"/>
  <c r="AD7" i="55"/>
  <c r="Z7" i="55"/>
  <c r="AP7" i="55"/>
  <c r="W7" i="55"/>
  <c r="AI7" i="55"/>
  <c r="AY7" i="55"/>
  <c r="AN7" i="55"/>
  <c r="Y7" i="55"/>
  <c r="AK7" i="55"/>
  <c r="BA7" i="55"/>
  <c r="AH38" i="55"/>
  <c r="AX38" i="55"/>
  <c r="AA38" i="55"/>
  <c r="AQ38" i="55"/>
  <c r="X38" i="55"/>
  <c r="AN38" i="55"/>
  <c r="Y38" i="55"/>
  <c r="AO38" i="55"/>
  <c r="V38" i="55"/>
  <c r="AL38" i="55"/>
  <c r="AZ38" i="55"/>
  <c r="AE38" i="55"/>
  <c r="AU38" i="55"/>
  <c r="AB38" i="55"/>
  <c r="AR38" i="55"/>
  <c r="AC38" i="55"/>
  <c r="AS38" i="55"/>
  <c r="Z38" i="55"/>
  <c r="AP38" i="55"/>
  <c r="AI38" i="55"/>
  <c r="AY38" i="55"/>
  <c r="AF38" i="55"/>
  <c r="AV38" i="55"/>
  <c r="AG38" i="55"/>
  <c r="AW38" i="55"/>
  <c r="AD38" i="55"/>
  <c r="AT38" i="55"/>
  <c r="W38" i="55"/>
  <c r="AM38" i="55"/>
  <c r="AJ38" i="55"/>
  <c r="AK38" i="55"/>
  <c r="BA38" i="55"/>
  <c r="Z19" i="55"/>
  <c r="AE19" i="55"/>
  <c r="AM19" i="55"/>
  <c r="AU19" i="55"/>
  <c r="X19" i="55"/>
  <c r="AG19" i="55"/>
  <c r="AO19" i="55"/>
  <c r="AW19" i="55"/>
  <c r="AD19" i="55"/>
  <c r="AT19" i="55"/>
  <c r="AZ19" i="55"/>
  <c r="AF19" i="55"/>
  <c r="AN19" i="55"/>
  <c r="AV19" i="55"/>
  <c r="AA19" i="55"/>
  <c r="AI19" i="55"/>
  <c r="AQ19" i="55"/>
  <c r="AY19" i="55"/>
  <c r="AC19" i="55"/>
  <c r="AK19" i="55"/>
  <c r="AS19" i="55"/>
  <c r="BA19" i="55"/>
  <c r="AP19" i="55"/>
  <c r="AX19" i="55"/>
  <c r="W19" i="55"/>
  <c r="AB19" i="55"/>
  <c r="AJ19" i="55"/>
  <c r="AR19" i="55"/>
  <c r="Y19" i="55"/>
  <c r="AL25" i="55"/>
  <c r="AR25" i="55"/>
  <c r="AL19" i="55"/>
  <c r="AA25" i="55"/>
  <c r="AI25" i="55"/>
  <c r="AQ25" i="55"/>
  <c r="AY25" i="55"/>
  <c r="X25" i="55"/>
  <c r="AD25" i="55"/>
  <c r="AT25" i="55"/>
  <c r="AB25" i="55"/>
  <c r="AJ25" i="55"/>
  <c r="AG25" i="55"/>
  <c r="AW25" i="55"/>
  <c r="Z25" i="55"/>
  <c r="AH25" i="55"/>
  <c r="AP25" i="55"/>
  <c r="AX25" i="55"/>
  <c r="AZ25" i="55"/>
  <c r="W25" i="55"/>
  <c r="AF25" i="55"/>
  <c r="AN25" i="55"/>
  <c r="AV25" i="55"/>
  <c r="AC25" i="55"/>
  <c r="AK25" i="55"/>
  <c r="AS25" i="55"/>
  <c r="BA25" i="55"/>
  <c r="AO25" i="55"/>
  <c r="V25" i="55"/>
  <c r="AH19" i="55"/>
  <c r="AE25" i="55"/>
  <c r="AM25" i="55"/>
  <c r="AU25" i="55"/>
  <c r="Y25" i="55"/>
  <c r="AF26" i="50"/>
  <c r="AN26" i="50"/>
  <c r="AR30" i="50"/>
  <c r="BD26" i="50"/>
  <c r="AF35" i="50"/>
  <c r="AF7" i="50"/>
  <c r="AJ26" i="50"/>
  <c r="AN30" i="50"/>
  <c r="AR26" i="50"/>
  <c r="AV30" i="50"/>
  <c r="AZ26" i="50"/>
  <c r="BD30" i="50"/>
  <c r="BH26" i="50"/>
  <c r="AO35" i="50"/>
  <c r="AO7" i="50"/>
  <c r="AW35" i="50"/>
  <c r="AW7" i="50"/>
  <c r="BE35" i="50"/>
  <c r="BE7" i="50"/>
  <c r="AH7" i="50"/>
  <c r="AL30" i="50"/>
  <c r="AL26" i="50"/>
  <c r="AT30" i="50"/>
  <c r="AT26" i="50"/>
  <c r="BB30" i="50"/>
  <c r="BB26" i="50"/>
  <c r="AI35" i="50"/>
  <c r="AQ30" i="50"/>
  <c r="AQ7" i="50"/>
  <c r="AY30" i="50"/>
  <c r="AY7" i="50"/>
  <c r="BG30" i="50"/>
  <c r="BG7" i="50"/>
  <c r="AN7" i="50"/>
  <c r="AV35" i="50"/>
  <c r="AV7" i="50"/>
  <c r="BD35" i="50"/>
  <c r="BD7" i="50"/>
  <c r="BJ7" i="50"/>
  <c r="AG26" i="50"/>
  <c r="AK30" i="50"/>
  <c r="AO26" i="50"/>
  <c r="AS30" i="50"/>
  <c r="AW26" i="50"/>
  <c r="BA30" i="50"/>
  <c r="BE26" i="50"/>
  <c r="BI30" i="50"/>
  <c r="AH30" i="50"/>
  <c r="AL35" i="50"/>
  <c r="AP7" i="50"/>
  <c r="AT35" i="50"/>
  <c r="AX7" i="50"/>
  <c r="BB35" i="50"/>
  <c r="BF7" i="50"/>
  <c r="AI26" i="50"/>
  <c r="AQ35" i="50"/>
  <c r="AQ26" i="50"/>
  <c r="AY35" i="50"/>
  <c r="AY26" i="50"/>
  <c r="BG35" i="50"/>
  <c r="BG26" i="50"/>
  <c r="AZ30" i="50"/>
  <c r="BJ30" i="50"/>
  <c r="BJ26" i="50"/>
  <c r="AG30" i="50"/>
  <c r="AK35" i="50"/>
  <c r="AK7" i="50"/>
  <c r="AS35" i="50"/>
  <c r="AS7" i="50"/>
  <c r="BA35" i="50"/>
  <c r="BA7" i="50"/>
  <c r="BI35" i="50"/>
  <c r="BI7" i="50"/>
  <c r="AH35" i="50"/>
  <c r="AH26" i="50"/>
  <c r="AP30" i="50"/>
  <c r="AP26" i="50"/>
  <c r="AX30" i="50"/>
  <c r="AX26" i="50"/>
  <c r="BF30" i="50"/>
  <c r="BF26" i="50"/>
  <c r="AM30" i="50"/>
  <c r="AM7" i="50"/>
  <c r="AU30" i="50"/>
  <c r="AU7" i="50"/>
  <c r="BC30" i="50"/>
  <c r="BC7" i="50"/>
  <c r="BK30" i="50"/>
  <c r="BK7" i="50"/>
  <c r="AN35" i="50"/>
  <c r="AJ30" i="50"/>
  <c r="AV26" i="50"/>
  <c r="BH30" i="50"/>
  <c r="AF30" i="50"/>
  <c r="AJ35" i="50"/>
  <c r="AJ7" i="50"/>
  <c r="AR35" i="50"/>
  <c r="AR7" i="50"/>
  <c r="AZ35" i="50"/>
  <c r="AZ7" i="50"/>
  <c r="BH35" i="50"/>
  <c r="BH7" i="50"/>
  <c r="BJ35" i="50"/>
  <c r="AG35" i="50"/>
  <c r="AG7" i="50"/>
  <c r="AK26" i="50"/>
  <c r="AO30" i="50"/>
  <c r="AS26" i="50"/>
  <c r="AW30" i="50"/>
  <c r="BA26" i="50"/>
  <c r="BE30" i="50"/>
  <c r="BI26" i="50"/>
  <c r="AL7" i="50"/>
  <c r="AP35" i="50"/>
  <c r="AT7" i="50"/>
  <c r="AX35" i="50"/>
  <c r="BB7" i="50"/>
  <c r="BF35" i="50"/>
  <c r="AI30" i="50"/>
  <c r="AI7" i="50"/>
  <c r="AM35" i="50"/>
  <c r="AM26" i="50"/>
  <c r="AU35" i="50"/>
  <c r="AU26" i="50"/>
  <c r="BC35" i="50"/>
  <c r="BC26" i="50"/>
  <c r="BK35" i="50"/>
  <c r="BK26" i="50"/>
  <c r="AX17" i="68" l="1"/>
  <c r="W18" i="62" s="1"/>
  <c r="AW17" i="68"/>
  <c r="V18" i="62" s="1"/>
  <c r="BA17" i="68"/>
  <c r="Z18" i="62" s="1"/>
  <c r="AV1551" i="67"/>
  <c r="AV1535" i="67"/>
  <c r="AV1415" i="67"/>
  <c r="AV1397" i="67"/>
  <c r="BO17" i="68"/>
  <c r="AN18" i="62" s="1"/>
  <c r="AL17" i="68"/>
  <c r="K18" i="62" s="1"/>
  <c r="BD17" i="68"/>
  <c r="AC18" i="62" s="1"/>
  <c r="AZ17" i="68"/>
  <c r="Y18" i="62" s="1"/>
  <c r="AQ17" i="68"/>
  <c r="P18" i="62" s="1"/>
  <c r="AY17" i="68"/>
  <c r="X18" i="62" s="1"/>
  <c r="BH17" i="68"/>
  <c r="AG18" i="62" s="1"/>
  <c r="AR17" i="68"/>
  <c r="Q18" i="62" s="1"/>
  <c r="BB17" i="68"/>
  <c r="AA18" i="62" s="1"/>
  <c r="BJ17" i="68"/>
  <c r="AI18" i="62" s="1"/>
  <c r="BI17" i="68"/>
  <c r="AH18" i="62" s="1"/>
  <c r="AV17" i="68"/>
  <c r="U18" i="62" s="1"/>
  <c r="BP17" i="68"/>
  <c r="AO18" i="62" s="1"/>
  <c r="BC17" i="68"/>
  <c r="AB18" i="62" s="1"/>
  <c r="BK17" i="68"/>
  <c r="AJ18" i="62" s="1"/>
  <c r="AP17" i="68"/>
  <c r="O18" i="62" s="1"/>
  <c r="BM17" i="68"/>
  <c r="AL18" i="62" s="1"/>
  <c r="BL17" i="68"/>
  <c r="AK18" i="62" s="1"/>
  <c r="BF17" i="68"/>
  <c r="AE18" i="62" s="1"/>
  <c r="BE17" i="68"/>
  <c r="AD18" i="62" s="1"/>
  <c r="AM17" i="68"/>
  <c r="L18" i="62" s="1"/>
  <c r="BN17" i="68"/>
  <c r="AM18" i="62" s="1"/>
  <c r="AN1383" i="67"/>
  <c r="AN1397" i="67"/>
  <c r="AN1415" i="67"/>
  <c r="AN1535" i="67"/>
  <c r="AN1551" i="67"/>
  <c r="AR1382" i="67"/>
  <c r="AR160" i="67" s="1"/>
  <c r="AR1396" i="67"/>
  <c r="AR1414" i="67"/>
  <c r="AR1534" i="67"/>
  <c r="AR1550" i="67"/>
  <c r="AO1382" i="67"/>
  <c r="AO160" i="67" s="1"/>
  <c r="AO1396" i="67"/>
  <c r="AO1414" i="67"/>
  <c r="AO1534" i="67"/>
  <c r="AO1550" i="67"/>
  <c r="AG1382" i="67"/>
  <c r="AG160" i="67" s="1"/>
  <c r="AG1396" i="67"/>
  <c r="AG1414" i="67"/>
  <c r="AG1550" i="67"/>
  <c r="AG1534" i="67"/>
  <c r="AW1382" i="67"/>
  <c r="AW160" i="67" s="1"/>
  <c r="AW1396" i="67"/>
  <c r="AW1414" i="67"/>
  <c r="AW1550" i="67"/>
  <c r="AW1534" i="67"/>
  <c r="S1383" i="67"/>
  <c r="S1397" i="67"/>
  <c r="S1415" i="67"/>
  <c r="S1535" i="67"/>
  <c r="S1551" i="67"/>
  <c r="AM1383" i="67"/>
  <c r="AM1397" i="67"/>
  <c r="AM1415" i="67"/>
  <c r="AM1551" i="67"/>
  <c r="AM1535" i="67"/>
  <c r="AH1383" i="67"/>
  <c r="AH1415" i="67"/>
  <c r="AH1397" i="67"/>
  <c r="AH1535" i="67"/>
  <c r="AH1551" i="67"/>
  <c r="AS1382" i="67"/>
  <c r="AS160" i="67" s="1"/>
  <c r="AS1396" i="67"/>
  <c r="AS1414" i="67"/>
  <c r="AS1550" i="67"/>
  <c r="AS1534" i="67"/>
  <c r="AP1383" i="67"/>
  <c r="AP1415" i="67"/>
  <c r="AP1397" i="67"/>
  <c r="AP1535" i="67"/>
  <c r="AP1551" i="67"/>
  <c r="AE1383" i="67"/>
  <c r="AE1397" i="67"/>
  <c r="AE1415" i="67"/>
  <c r="AE1551" i="67"/>
  <c r="AE1535" i="67"/>
  <c r="BQ17" i="68"/>
  <c r="AP18" i="62" s="1"/>
  <c r="AN1382" i="67"/>
  <c r="AN160" i="67" s="1"/>
  <c r="AN1396" i="67"/>
  <c r="AN1414" i="67"/>
  <c r="AN1534" i="67"/>
  <c r="AN1550" i="67"/>
  <c r="AR1383" i="67"/>
  <c r="AR1397" i="67"/>
  <c r="AR1415" i="67"/>
  <c r="AR1535" i="67"/>
  <c r="AR1551" i="67"/>
  <c r="AO1397" i="67"/>
  <c r="AO1383" i="67"/>
  <c r="AO1415" i="67"/>
  <c r="AO1535" i="67"/>
  <c r="AO1551" i="67"/>
  <c r="AG1397" i="67"/>
  <c r="AG1383" i="67"/>
  <c r="AG1415" i="67"/>
  <c r="AG1535" i="67"/>
  <c r="AG1551" i="67"/>
  <c r="AW1383" i="67"/>
  <c r="AW1397" i="67"/>
  <c r="AW1415" i="67"/>
  <c r="AW1535" i="67"/>
  <c r="AW1551" i="67"/>
  <c r="S1382" i="67"/>
  <c r="S160" i="67" s="1"/>
  <c r="S1396" i="67"/>
  <c r="S1534" i="67"/>
  <c r="S1414" i="67"/>
  <c r="S1550" i="67"/>
  <c r="AM1382" i="67"/>
  <c r="AM160" i="67" s="1"/>
  <c r="AM1414" i="67"/>
  <c r="AM1534" i="67"/>
  <c r="AM1396" i="67"/>
  <c r="AM1550" i="67"/>
  <c r="AH1382" i="67"/>
  <c r="AH160" i="67" s="1"/>
  <c r="AH1396" i="67"/>
  <c r="AH1414" i="67"/>
  <c r="AH1534" i="67"/>
  <c r="AH1550" i="67"/>
  <c r="AS1383" i="67"/>
  <c r="AS1535" i="67"/>
  <c r="AS1415" i="67"/>
  <c r="AS1551" i="67"/>
  <c r="AS1397" i="67"/>
  <c r="AP1382" i="67"/>
  <c r="AP160" i="67" s="1"/>
  <c r="AP1396" i="67"/>
  <c r="AP1414" i="67"/>
  <c r="AP1534" i="67"/>
  <c r="AP1550" i="67"/>
  <c r="AT1382" i="67"/>
  <c r="AT160" i="67" s="1"/>
  <c r="AT1396" i="67"/>
  <c r="AT1414" i="67"/>
  <c r="AT1534" i="67"/>
  <c r="AT1550" i="67"/>
  <c r="AJ161" i="67"/>
  <c r="AJ8" i="67"/>
  <c r="AT161" i="67"/>
  <c r="AT8" i="67"/>
  <c r="AF1383" i="67"/>
  <c r="AF1397" i="67"/>
  <c r="AF1415" i="67"/>
  <c r="AF1535" i="67"/>
  <c r="AF1551" i="67"/>
  <c r="R1382" i="67"/>
  <c r="R160" i="67" s="1"/>
  <c r="R1396" i="67"/>
  <c r="R1414" i="67"/>
  <c r="R1534" i="67"/>
  <c r="R1550" i="67"/>
  <c r="AQ1383" i="67"/>
  <c r="AQ1415" i="67"/>
  <c r="AQ1397" i="67"/>
  <c r="AQ1551" i="67"/>
  <c r="AQ1535" i="67"/>
  <c r="AL1382" i="67"/>
  <c r="AL160" i="67" s="1"/>
  <c r="AL1396" i="67"/>
  <c r="AL1414" i="67"/>
  <c r="AL1534" i="67"/>
  <c r="AL1550" i="67"/>
  <c r="AC1382" i="67"/>
  <c r="AC160" i="67" s="1"/>
  <c r="AC1396" i="67"/>
  <c r="AC1414" i="67"/>
  <c r="AC1550" i="67"/>
  <c r="AC1534" i="67"/>
  <c r="AB1382" i="67"/>
  <c r="AB160" i="67" s="1"/>
  <c r="AB1396" i="67"/>
  <c r="AB1414" i="67"/>
  <c r="AB1534" i="67"/>
  <c r="AB1550" i="67"/>
  <c r="AU1383" i="67"/>
  <c r="AU1397" i="67"/>
  <c r="AU1415" i="67"/>
  <c r="AU1551" i="67"/>
  <c r="AU1535" i="67"/>
  <c r="W1383" i="67"/>
  <c r="W1397" i="67"/>
  <c r="W1415" i="67"/>
  <c r="W1551" i="67"/>
  <c r="W1535" i="67"/>
  <c r="AD1383" i="67"/>
  <c r="AD1415" i="67"/>
  <c r="AD1397" i="67"/>
  <c r="AD1535" i="67"/>
  <c r="AD1551" i="67"/>
  <c r="X1383" i="67"/>
  <c r="X1397" i="67"/>
  <c r="X1415" i="67"/>
  <c r="X1535" i="67"/>
  <c r="X1551" i="67"/>
  <c r="AK1383" i="67"/>
  <c r="AK1397" i="67"/>
  <c r="AK1415" i="67"/>
  <c r="AK1535" i="67"/>
  <c r="AK1551" i="67"/>
  <c r="AF1382" i="67"/>
  <c r="AF160" i="67" s="1"/>
  <c r="AF1396" i="67"/>
  <c r="AF1414" i="67"/>
  <c r="AF1534" i="67"/>
  <c r="AF1550" i="67"/>
  <c r="AU1396" i="67"/>
  <c r="AU1414" i="67"/>
  <c r="AU1382" i="67"/>
  <c r="AU160" i="67" s="1"/>
  <c r="AU1534" i="67"/>
  <c r="AU1550" i="67"/>
  <c r="R1383" i="67"/>
  <c r="R1397" i="67"/>
  <c r="R1415" i="67"/>
  <c r="R1535" i="67"/>
  <c r="R1551" i="67"/>
  <c r="AQ1396" i="67"/>
  <c r="AQ1382" i="67"/>
  <c r="AQ160" i="67" s="1"/>
  <c r="AQ1414" i="67"/>
  <c r="AQ1534" i="67"/>
  <c r="AQ1550" i="67"/>
  <c r="W1382" i="67"/>
  <c r="W160" i="67" s="1"/>
  <c r="W1414" i="67"/>
  <c r="W1396" i="67"/>
  <c r="W1534" i="67"/>
  <c r="W1550" i="67"/>
  <c r="AL1383" i="67"/>
  <c r="AL1415" i="67"/>
  <c r="AL1397" i="67"/>
  <c r="AL1535" i="67"/>
  <c r="AL1551" i="67"/>
  <c r="AD1382" i="67"/>
  <c r="AD160" i="67" s="1"/>
  <c r="AD1396" i="67"/>
  <c r="AD1414" i="67"/>
  <c r="AD1534" i="67"/>
  <c r="AD1550" i="67"/>
  <c r="AC1383" i="67"/>
  <c r="AC1397" i="67"/>
  <c r="AC1415" i="67"/>
  <c r="AC1535" i="67"/>
  <c r="AC1551" i="67"/>
  <c r="X1382" i="67"/>
  <c r="X160" i="67" s="1"/>
  <c r="X1396" i="67"/>
  <c r="X1414" i="67"/>
  <c r="X1534" i="67"/>
  <c r="X1550" i="67"/>
  <c r="AB1383" i="67"/>
  <c r="AB1397" i="67"/>
  <c r="AB1415" i="67"/>
  <c r="AB1535" i="67"/>
  <c r="AB1551" i="67"/>
  <c r="V1383" i="67"/>
  <c r="V1397" i="67"/>
  <c r="V1415" i="67"/>
  <c r="V1535" i="67"/>
  <c r="V1551" i="67"/>
  <c r="AV8" i="67"/>
  <c r="AV161" i="67"/>
  <c r="AI8" i="67"/>
  <c r="AI161" i="67"/>
  <c r="B52" i="45"/>
  <c r="B49" i="45"/>
  <c r="B43" i="45"/>
  <c r="B65" i="45" s="1"/>
  <c r="E194" i="33"/>
  <c r="E82" i="36"/>
  <c r="C83" i="36"/>
  <c r="C84" i="36" s="1"/>
  <c r="C85" i="36" s="1"/>
  <c r="E85" i="36" s="1"/>
  <c r="C172" i="34"/>
  <c r="C173" i="34" s="1"/>
  <c r="C174" i="34" s="1"/>
  <c r="C175" i="34" s="1"/>
  <c r="C176" i="34" s="1"/>
  <c r="C177" i="34" s="1"/>
  <c r="C178" i="34" s="1"/>
  <c r="C179" i="34" s="1"/>
  <c r="C180" i="34" s="1"/>
  <c r="C181" i="34" s="1"/>
  <c r="C182" i="34" s="1"/>
  <c r="C183" i="34" s="1"/>
  <c r="C184" i="34" s="1"/>
  <c r="C185" i="34" s="1"/>
  <c r="C186" i="34" s="1"/>
  <c r="C187" i="34" s="1"/>
  <c r="F204" i="33"/>
  <c r="F205" i="33" s="1"/>
  <c r="F206" i="33" s="1"/>
  <c r="F207" i="33" s="1"/>
  <c r="F208" i="33" s="1"/>
  <c r="F209" i="33" s="1"/>
  <c r="F210" i="33" s="1"/>
  <c r="F211" i="33" s="1"/>
  <c r="F212" i="33" s="1"/>
  <c r="F213" i="33" s="1"/>
  <c r="F214" i="33" s="1"/>
  <c r="F215" i="33" s="1"/>
  <c r="F216" i="33" s="1"/>
  <c r="F217" i="33" s="1"/>
  <c r="F218" i="33" s="1"/>
  <c r="F219" i="33" s="1"/>
  <c r="F220" i="33" s="1"/>
  <c r="F221" i="33" s="1"/>
  <c r="E204" i="33"/>
  <c r="C205" i="33"/>
  <c r="E205" i="33" s="1"/>
  <c r="E203" i="33"/>
  <c r="A203" i="33"/>
  <c r="A204" i="33" s="1"/>
  <c r="A205" i="33" s="1"/>
  <c r="A206" i="33" s="1"/>
  <c r="A207" i="33" s="1"/>
  <c r="A208" i="33" s="1"/>
  <c r="A209" i="33" s="1"/>
  <c r="A210" i="33" s="1"/>
  <c r="A211" i="33" s="1"/>
  <c r="A212" i="33" s="1"/>
  <c r="A213" i="33" s="1"/>
  <c r="A214" i="33" s="1"/>
  <c r="A215" i="33" s="1"/>
  <c r="A216" i="33" s="1"/>
  <c r="A217" i="33" s="1"/>
  <c r="A218" i="33" s="1"/>
  <c r="A219" i="33" s="1"/>
  <c r="A220" i="33" s="1"/>
  <c r="A221" i="33" s="1"/>
  <c r="B203" i="33"/>
  <c r="B204" i="33" s="1"/>
  <c r="B205" i="33" s="1"/>
  <c r="B206" i="33" s="1"/>
  <c r="B207" i="33" s="1"/>
  <c r="B208" i="33" s="1"/>
  <c r="B209" i="33" s="1"/>
  <c r="B210" i="33" s="1"/>
  <c r="B211" i="33" s="1"/>
  <c r="B212" i="33" s="1"/>
  <c r="B213" i="33" s="1"/>
  <c r="B214" i="33" s="1"/>
  <c r="B215" i="33" s="1"/>
  <c r="B216" i="33" s="1"/>
  <c r="B217" i="33" s="1"/>
  <c r="B218" i="33" s="1"/>
  <c r="B219" i="33" s="1"/>
  <c r="B220" i="33" s="1"/>
  <c r="B221" i="33" s="1"/>
  <c r="C156" i="34"/>
  <c r="C157" i="34" s="1"/>
  <c r="C158" i="34" s="1"/>
  <c r="C159" i="34" s="1"/>
  <c r="C160" i="34" s="1"/>
  <c r="C161" i="34" s="1"/>
  <c r="C162" i="34" s="1"/>
  <c r="C163" i="34" s="1"/>
  <c r="C164" i="34" s="1"/>
  <c r="C165" i="34" s="1"/>
  <c r="C166" i="34" s="1"/>
  <c r="C167" i="34" s="1"/>
  <c r="C168" i="34" s="1"/>
  <c r="C169" i="34" s="1"/>
  <c r="C170" i="34" s="1"/>
  <c r="C171" i="34" s="1"/>
  <c r="B156" i="34"/>
  <c r="B157" i="34" s="1"/>
  <c r="B158" i="34" s="1"/>
  <c r="B159" i="34" s="1"/>
  <c r="B160" i="34" s="1"/>
  <c r="B161" i="34" s="1"/>
  <c r="B162" i="34" s="1"/>
  <c r="B163" i="34" s="1"/>
  <c r="B164" i="34" s="1"/>
  <c r="B165" i="34" s="1"/>
  <c r="B166" i="34" s="1"/>
  <c r="B167" i="34" s="1"/>
  <c r="B168" i="34" s="1"/>
  <c r="B169" i="34" s="1"/>
  <c r="B170" i="34" s="1"/>
  <c r="B171" i="34" s="1"/>
  <c r="B172" i="34" s="1"/>
  <c r="B173" i="34" s="1"/>
  <c r="B174" i="34" s="1"/>
  <c r="B175" i="34" s="1"/>
  <c r="B176" i="34" s="1"/>
  <c r="B177" i="34" s="1"/>
  <c r="B178" i="34" s="1"/>
  <c r="B179" i="34" s="1"/>
  <c r="B180" i="34" s="1"/>
  <c r="B181" i="34" s="1"/>
  <c r="B182" i="34" s="1"/>
  <c r="B183" i="34" s="1"/>
  <c r="B184" i="34" s="1"/>
  <c r="B185" i="34" s="1"/>
  <c r="B186" i="34" s="1"/>
  <c r="B187" i="34" s="1"/>
  <c r="D140" i="34"/>
  <c r="D141" i="34"/>
  <c r="D142" i="34"/>
  <c r="D139" i="34"/>
  <c r="C139" i="34"/>
  <c r="C135" i="34"/>
  <c r="E135" i="34" s="1"/>
  <c r="B135" i="34"/>
  <c r="B136" i="34" s="1"/>
  <c r="B137" i="34" s="1"/>
  <c r="B138" i="34" s="1"/>
  <c r="B139" i="34" s="1"/>
  <c r="B140" i="34" s="1"/>
  <c r="B141" i="34" s="1"/>
  <c r="B142" i="34" s="1"/>
  <c r="B143" i="34" s="1"/>
  <c r="E200" i="33"/>
  <c r="C201" i="33"/>
  <c r="E201" i="33" s="1"/>
  <c r="G197" i="33"/>
  <c r="G198" i="33" s="1"/>
  <c r="G199" i="33" s="1"/>
  <c r="F197" i="33"/>
  <c r="F198" i="33" s="1"/>
  <c r="F199" i="33" s="1"/>
  <c r="F200" i="33" s="1"/>
  <c r="F201" i="33" s="1"/>
  <c r="E199" i="33"/>
  <c r="E198" i="33"/>
  <c r="E197" i="33"/>
  <c r="E196" i="33"/>
  <c r="B196" i="33"/>
  <c r="B197" i="33" s="1"/>
  <c r="B198" i="33" s="1"/>
  <c r="B199" i="33" s="1"/>
  <c r="B200" i="33" s="1"/>
  <c r="B201" i="33" s="1"/>
  <c r="A196" i="33"/>
  <c r="A197" i="33" s="1"/>
  <c r="A198" i="33" s="1"/>
  <c r="A199" i="33" s="1"/>
  <c r="A200" i="33" s="1"/>
  <c r="A201" i="33" s="1"/>
  <c r="C54" i="45"/>
  <c r="C53" i="45"/>
  <c r="B53" i="45"/>
  <c r="B54" i="45" s="1"/>
  <c r="C51" i="45"/>
  <c r="C50" i="45"/>
  <c r="B50" i="45"/>
  <c r="B51" i="45" s="1"/>
  <c r="C46" i="45"/>
  <c r="C47" i="45"/>
  <c r="C48" i="45"/>
  <c r="E45" i="45"/>
  <c r="E46" i="45" s="1"/>
  <c r="E47" i="45" s="1"/>
  <c r="E48" i="45" s="1"/>
  <c r="E50" i="45" s="1"/>
  <c r="E51" i="45" s="1"/>
  <c r="D45" i="45"/>
  <c r="D46" i="45" s="1"/>
  <c r="D47" i="45" s="1"/>
  <c r="D48" i="45" s="1"/>
  <c r="D50" i="45" s="1"/>
  <c r="D51" i="45" s="1"/>
  <c r="C45" i="45"/>
  <c r="C44" i="45"/>
  <c r="B44" i="45"/>
  <c r="E42" i="45"/>
  <c r="D42" i="45"/>
  <c r="B42" i="45"/>
  <c r="B41" i="45"/>
  <c r="G89" i="34"/>
  <c r="G91" i="34" s="1"/>
  <c r="G92" i="34" s="1"/>
  <c r="G93" i="34" s="1"/>
  <c r="G94" i="34" s="1"/>
  <c r="G95" i="34" s="1"/>
  <c r="G96" i="34" s="1"/>
  <c r="G97" i="34" s="1"/>
  <c r="G98" i="34" s="1"/>
  <c r="G99" i="34" s="1"/>
  <c r="G100" i="34" s="1"/>
  <c r="G101" i="34" s="1"/>
  <c r="G102" i="34" s="1"/>
  <c r="G103" i="34" s="1"/>
  <c r="G104" i="34" s="1"/>
  <c r="G105" i="34" s="1"/>
  <c r="G106" i="34" s="1"/>
  <c r="G107" i="34" s="1"/>
  <c r="G108" i="34" s="1"/>
  <c r="G109" i="34" s="1"/>
  <c r="G110" i="34" s="1"/>
  <c r="G111" i="34" s="1"/>
  <c r="G112" i="34" s="1"/>
  <c r="G113" i="34" s="1"/>
  <c r="G114" i="34" s="1"/>
  <c r="G115" i="34" s="1"/>
  <c r="G116" i="34" s="1"/>
  <c r="G117" i="34" s="1"/>
  <c r="G118" i="34" s="1"/>
  <c r="G119" i="34" s="1"/>
  <c r="G120" i="34" s="1"/>
  <c r="G121" i="34" s="1"/>
  <c r="G122" i="34" s="1"/>
  <c r="F89" i="34"/>
  <c r="F90" i="34" s="1"/>
  <c r="C92" i="34"/>
  <c r="C93" i="34" s="1"/>
  <c r="C94" i="34" s="1"/>
  <c r="C95" i="34" s="1"/>
  <c r="C96" i="34" s="1"/>
  <c r="C97" i="34" s="1"/>
  <c r="C98" i="34" s="1"/>
  <c r="C99" i="34" s="1"/>
  <c r="C100" i="34" s="1"/>
  <c r="C101" i="34" s="1"/>
  <c r="C102" i="34" s="1"/>
  <c r="C103" i="34" s="1"/>
  <c r="C104" i="34" s="1"/>
  <c r="C105" i="34" s="1"/>
  <c r="C106" i="34" s="1"/>
  <c r="B88" i="34"/>
  <c r="B89" i="34" s="1"/>
  <c r="B91" i="34" s="1"/>
  <c r="B92" i="34" s="1"/>
  <c r="B93" i="34" s="1"/>
  <c r="B94" i="34" s="1"/>
  <c r="B95" i="34" s="1"/>
  <c r="B96" i="34" s="1"/>
  <c r="B97" i="34" s="1"/>
  <c r="B98" i="34" s="1"/>
  <c r="B99" i="34" s="1"/>
  <c r="B100" i="34" s="1"/>
  <c r="B101" i="34" s="1"/>
  <c r="B102" i="34" s="1"/>
  <c r="B103" i="34" s="1"/>
  <c r="B104" i="34" s="1"/>
  <c r="B105" i="34" s="1"/>
  <c r="B106" i="34" s="1"/>
  <c r="B107" i="34" s="1"/>
  <c r="B108" i="34" s="1"/>
  <c r="B109" i="34" s="1"/>
  <c r="B110" i="34" s="1"/>
  <c r="B111" i="34" s="1"/>
  <c r="B112" i="34" s="1"/>
  <c r="B113" i="34" s="1"/>
  <c r="B114" i="34" s="1"/>
  <c r="B115" i="34" s="1"/>
  <c r="B116" i="34" s="1"/>
  <c r="B117" i="34" s="1"/>
  <c r="B118" i="34" s="1"/>
  <c r="B119" i="34" s="1"/>
  <c r="B120" i="34" s="1"/>
  <c r="B121" i="34" s="1"/>
  <c r="B122" i="34" s="1"/>
  <c r="B123" i="34" s="1"/>
  <c r="B124" i="34" s="1"/>
  <c r="B125" i="34" s="1"/>
  <c r="B126" i="34" s="1"/>
  <c r="B127" i="34" s="1"/>
  <c r="B128" i="34" s="1"/>
  <c r="B129" i="34" s="1"/>
  <c r="B130" i="34" s="1"/>
  <c r="B131" i="34" s="1"/>
  <c r="B132" i="34" s="1"/>
  <c r="B133" i="34" s="1"/>
  <c r="B134" i="34" s="1"/>
  <c r="E188" i="33"/>
  <c r="D189" i="33"/>
  <c r="D190" i="33" s="1"/>
  <c r="F51" i="36"/>
  <c r="F52" i="36" s="1"/>
  <c r="F53" i="36" s="1"/>
  <c r="F54" i="36" s="1"/>
  <c r="F55" i="36" s="1"/>
  <c r="F56" i="36" s="1"/>
  <c r="F57" i="36" s="1"/>
  <c r="F58" i="36" s="1"/>
  <c r="F59" i="36" s="1"/>
  <c r="F60" i="36" s="1"/>
  <c r="F61" i="36" s="1"/>
  <c r="F62" i="36" s="1"/>
  <c r="F63" i="36" s="1"/>
  <c r="F64" i="36" s="1"/>
  <c r="F65" i="36" s="1"/>
  <c r="F66" i="36" s="1"/>
  <c r="F67" i="36" s="1"/>
  <c r="F68" i="36" s="1"/>
  <c r="F69" i="36" s="1"/>
  <c r="F70" i="36" s="1"/>
  <c r="F71" i="36" s="1"/>
  <c r="F72" i="36" s="1"/>
  <c r="F73" i="36" s="1"/>
  <c r="F74" i="36" s="1"/>
  <c r="F75" i="36" s="1"/>
  <c r="F76" i="36" s="1"/>
  <c r="F77" i="36" s="1"/>
  <c r="F78" i="36" s="1"/>
  <c r="F79" i="36" s="1"/>
  <c r="F80" i="36" s="1"/>
  <c r="F81" i="36" s="1"/>
  <c r="F82" i="36" s="1"/>
  <c r="F83" i="36" s="1"/>
  <c r="F84" i="36" s="1"/>
  <c r="F85" i="36" s="1"/>
  <c r="B50" i="36"/>
  <c r="B51" i="36" s="1"/>
  <c r="B52" i="36" s="1"/>
  <c r="B53" i="36" s="1"/>
  <c r="B54" i="36" s="1"/>
  <c r="B55" i="36" s="1"/>
  <c r="B56" i="36" s="1"/>
  <c r="B57" i="36" s="1"/>
  <c r="B58" i="36" s="1"/>
  <c r="B59" i="36" s="1"/>
  <c r="B60" i="36" s="1"/>
  <c r="B61" i="36" s="1"/>
  <c r="B62" i="36" s="1"/>
  <c r="B63" i="36" s="1"/>
  <c r="B64" i="36" s="1"/>
  <c r="B65" i="36" s="1"/>
  <c r="B66" i="36" s="1"/>
  <c r="B67" i="36" s="1"/>
  <c r="B68" i="36" s="1"/>
  <c r="B69" i="36" s="1"/>
  <c r="B70" i="36" s="1"/>
  <c r="B71" i="36" s="1"/>
  <c r="B72" i="36" s="1"/>
  <c r="B73" i="36" s="1"/>
  <c r="B74" i="36" s="1"/>
  <c r="B75" i="36" s="1"/>
  <c r="B76" i="36" s="1"/>
  <c r="B77" i="36" s="1"/>
  <c r="B78" i="36" s="1"/>
  <c r="B79" i="36" s="1"/>
  <c r="B80" i="36" s="1"/>
  <c r="B81" i="36" s="1"/>
  <c r="B82" i="36" s="1"/>
  <c r="B83" i="36" s="1"/>
  <c r="B84" i="36" s="1"/>
  <c r="B85" i="36" s="1"/>
  <c r="A50" i="36"/>
  <c r="A51" i="36" s="1"/>
  <c r="A52" i="36" s="1"/>
  <c r="A53" i="36" s="1"/>
  <c r="A54" i="36" s="1"/>
  <c r="A55" i="36" s="1"/>
  <c r="A56" i="36" s="1"/>
  <c r="A57" i="36" s="1"/>
  <c r="A58" i="36" s="1"/>
  <c r="A59" i="36" s="1"/>
  <c r="A60" i="36" s="1"/>
  <c r="A61" i="36" s="1"/>
  <c r="A62" i="36" s="1"/>
  <c r="A63" i="36" s="1"/>
  <c r="A64" i="36" s="1"/>
  <c r="A65" i="36" s="1"/>
  <c r="A66" i="36" s="1"/>
  <c r="A67" i="36" s="1"/>
  <c r="A68" i="36" s="1"/>
  <c r="A69" i="36" s="1"/>
  <c r="A70" i="36" s="1"/>
  <c r="A71" i="36" s="1"/>
  <c r="A72" i="36" s="1"/>
  <c r="A73" i="36" s="1"/>
  <c r="A74" i="36" s="1"/>
  <c r="A75" i="36" s="1"/>
  <c r="A76" i="36" s="1"/>
  <c r="A77" i="36" s="1"/>
  <c r="A78" i="36" s="1"/>
  <c r="A79" i="36" s="1"/>
  <c r="A80" i="36" s="1"/>
  <c r="A81" i="36" s="1"/>
  <c r="A82" i="36" s="1"/>
  <c r="A83" i="36" s="1"/>
  <c r="A84" i="36" s="1"/>
  <c r="A85" i="36" s="1"/>
  <c r="C165" i="33"/>
  <c r="C166" i="33" s="1"/>
  <c r="C167" i="33" s="1"/>
  <c r="D165" i="33"/>
  <c r="D177" i="33" s="1"/>
  <c r="E177" i="33" s="1"/>
  <c r="D166" i="33"/>
  <c r="D178" i="33" s="1"/>
  <c r="E178" i="33" s="1"/>
  <c r="D167" i="33"/>
  <c r="D179" i="33" s="1"/>
  <c r="E179" i="33" s="1"/>
  <c r="D168" i="33"/>
  <c r="D180" i="33" s="1"/>
  <c r="E180" i="33" s="1"/>
  <c r="D169" i="33"/>
  <c r="D181" i="33" s="1"/>
  <c r="E181" i="33" s="1"/>
  <c r="D170" i="33"/>
  <c r="D182" i="33" s="1"/>
  <c r="E182" i="33" s="1"/>
  <c r="D171" i="33"/>
  <c r="D183" i="33" s="1"/>
  <c r="E183" i="33" s="1"/>
  <c r="D172" i="33"/>
  <c r="D184" i="33" s="1"/>
  <c r="E184" i="33" s="1"/>
  <c r="D173" i="33"/>
  <c r="D185" i="33" s="1"/>
  <c r="E185" i="33" s="1"/>
  <c r="D174" i="33"/>
  <c r="D186" i="33" s="1"/>
  <c r="E186" i="33" s="1"/>
  <c r="D175" i="33"/>
  <c r="D187" i="33" s="1"/>
  <c r="E187" i="33" s="1"/>
  <c r="F164" i="33"/>
  <c r="F176" i="33" s="1"/>
  <c r="F188" i="33" s="1"/>
  <c r="G164" i="33"/>
  <c r="G176" i="33" s="1"/>
  <c r="D164" i="33"/>
  <c r="E164" i="33" s="1"/>
  <c r="H163" i="33"/>
  <c r="H162" i="33"/>
  <c r="H161" i="33"/>
  <c r="H160" i="33"/>
  <c r="H159" i="33"/>
  <c r="H158" i="33"/>
  <c r="H157" i="33"/>
  <c r="H156" i="33"/>
  <c r="H155" i="33"/>
  <c r="H154" i="33"/>
  <c r="H153" i="33"/>
  <c r="G154" i="33"/>
  <c r="G166" i="33" s="1"/>
  <c r="G178" i="33" s="1"/>
  <c r="G153" i="33"/>
  <c r="G165" i="33" s="1"/>
  <c r="G177" i="33" s="1"/>
  <c r="F153" i="33"/>
  <c r="F165" i="33" s="1"/>
  <c r="F177" i="33" s="1"/>
  <c r="F189" i="33" s="1"/>
  <c r="E152" i="33"/>
  <c r="C153" i="33"/>
  <c r="C154" i="33" s="1"/>
  <c r="C155" i="33" s="1"/>
  <c r="C156" i="33" s="1"/>
  <c r="C157" i="33" s="1"/>
  <c r="C158" i="33" s="1"/>
  <c r="C159" i="33" s="1"/>
  <c r="C160" i="33" s="1"/>
  <c r="C161" i="33" s="1"/>
  <c r="C162" i="33" s="1"/>
  <c r="C163" i="33" s="1"/>
  <c r="E163" i="33" s="1"/>
  <c r="H152" i="33"/>
  <c r="B152" i="33"/>
  <c r="B153" i="33" s="1"/>
  <c r="B154" i="33" s="1"/>
  <c r="B155" i="33" s="1"/>
  <c r="B156" i="33" s="1"/>
  <c r="B157" i="33" s="1"/>
  <c r="B158" i="33" s="1"/>
  <c r="B159" i="33" s="1"/>
  <c r="B160" i="33" s="1"/>
  <c r="B161" i="33" s="1"/>
  <c r="B162" i="33" s="1"/>
  <c r="B163" i="33" s="1"/>
  <c r="B164" i="33" s="1"/>
  <c r="B165" i="33" s="1"/>
  <c r="B166" i="33" s="1"/>
  <c r="B167" i="33" s="1"/>
  <c r="B168" i="33" s="1"/>
  <c r="B169" i="33" s="1"/>
  <c r="B170" i="33" s="1"/>
  <c r="B171" i="33" s="1"/>
  <c r="B172" i="33" s="1"/>
  <c r="B173" i="33" s="1"/>
  <c r="B174" i="33" s="1"/>
  <c r="B175" i="33" s="1"/>
  <c r="B176" i="33" s="1"/>
  <c r="B177" i="33" s="1"/>
  <c r="B178" i="33" s="1"/>
  <c r="B179" i="33" s="1"/>
  <c r="B180" i="33" s="1"/>
  <c r="B181" i="33" s="1"/>
  <c r="B182" i="33" s="1"/>
  <c r="B183" i="33" s="1"/>
  <c r="B184" i="33" s="1"/>
  <c r="B185" i="33" s="1"/>
  <c r="B186" i="33" s="1"/>
  <c r="B187" i="33" s="1"/>
  <c r="B188" i="33" s="1"/>
  <c r="B189" i="33" s="1"/>
  <c r="B190" i="33" s="1"/>
  <c r="B191" i="33" s="1"/>
  <c r="B192" i="33" s="1"/>
  <c r="B193" i="33" s="1"/>
  <c r="B194" i="33" s="1"/>
  <c r="E47" i="36"/>
  <c r="E48" i="36"/>
  <c r="B45" i="36"/>
  <c r="A45" i="36"/>
  <c r="A46" i="36" s="1"/>
  <c r="B87" i="34"/>
  <c r="B150" i="33"/>
  <c r="E46" i="36"/>
  <c r="B46" i="36"/>
  <c r="B47" i="36"/>
  <c r="B48" i="36" s="1"/>
  <c r="B86" i="34"/>
  <c r="B149" i="33"/>
  <c r="A149" i="33"/>
  <c r="A150"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E45" i="36"/>
  <c r="A41" i="36"/>
  <c r="A42" i="36" s="1"/>
  <c r="A43" i="36" s="1"/>
  <c r="AU8" i="67" l="1"/>
  <c r="AU161" i="67"/>
  <c r="AQ8" i="67"/>
  <c r="AQ161" i="67"/>
  <c r="AR161" i="67"/>
  <c r="AR8" i="67"/>
  <c r="AE8" i="67"/>
  <c r="AE161" i="67"/>
  <c r="AM8" i="67"/>
  <c r="AM161" i="67"/>
  <c r="S161" i="67"/>
  <c r="S8" i="67"/>
  <c r="W8" i="67"/>
  <c r="W161" i="67"/>
  <c r="AH8" i="67"/>
  <c r="AH161" i="67"/>
  <c r="AC8" i="67"/>
  <c r="AC161" i="67"/>
  <c r="AK161" i="67"/>
  <c r="AK8" i="67"/>
  <c r="V161" i="67"/>
  <c r="V8" i="67"/>
  <c r="R8" i="67"/>
  <c r="R161" i="67"/>
  <c r="X161" i="67"/>
  <c r="X8" i="67"/>
  <c r="AS8" i="67"/>
  <c r="AS161" i="67"/>
  <c r="AW8" i="67"/>
  <c r="AW161" i="67"/>
  <c r="AG8" i="67"/>
  <c r="AG161" i="67"/>
  <c r="AP8" i="67"/>
  <c r="AP161" i="67"/>
  <c r="AB161" i="67"/>
  <c r="AB8" i="67"/>
  <c r="AL161" i="67"/>
  <c r="AL8" i="67"/>
  <c r="AD161" i="67"/>
  <c r="AD8" i="67"/>
  <c r="AF8" i="67"/>
  <c r="AF161" i="67"/>
  <c r="AO8" i="67"/>
  <c r="AO161" i="67"/>
  <c r="AN161" i="67"/>
  <c r="AN8" i="67"/>
  <c r="D64" i="45"/>
  <c r="C38" i="62"/>
  <c r="B63" i="45"/>
  <c r="A37" i="62"/>
  <c r="B37" i="62" s="1"/>
  <c r="B45" i="45"/>
  <c r="B46" i="45" s="1"/>
  <c r="B47" i="45" s="1"/>
  <c r="B48" i="45" s="1"/>
  <c r="A39" i="62"/>
  <c r="B39" i="62" s="1"/>
  <c r="B64" i="45"/>
  <c r="A38" i="62"/>
  <c r="B38" i="62" s="1"/>
  <c r="B66" i="45"/>
  <c r="A40" i="62"/>
  <c r="B40" i="62" s="1"/>
  <c r="B67" i="45"/>
  <c r="A41" i="62"/>
  <c r="B41" i="62" s="1"/>
  <c r="E153" i="33"/>
  <c r="G135" i="34"/>
  <c r="G136" i="34" s="1"/>
  <c r="G137" i="34" s="1"/>
  <c r="G138" i="34" s="1"/>
  <c r="G139" i="34" s="1"/>
  <c r="G140" i="34" s="1"/>
  <c r="G141" i="34" s="1"/>
  <c r="G142" i="34" s="1"/>
  <c r="G143" i="34" s="1"/>
  <c r="G144" i="34" s="1"/>
  <c r="G123" i="34"/>
  <c r="G124" i="34" s="1"/>
  <c r="G125" i="34" s="1"/>
  <c r="G126" i="34" s="1"/>
  <c r="G127" i="34" s="1"/>
  <c r="G128" i="34" s="1"/>
  <c r="G129" i="34" s="1"/>
  <c r="G130" i="34" s="1"/>
  <c r="G131" i="34" s="1"/>
  <c r="G132" i="34" s="1"/>
  <c r="G133" i="34" s="1"/>
  <c r="G134" i="34" s="1"/>
  <c r="F91" i="34"/>
  <c r="F92" i="34" s="1"/>
  <c r="F93" i="34" s="1"/>
  <c r="F94" i="34" s="1"/>
  <c r="F95" i="34" s="1"/>
  <c r="F96" i="34" s="1"/>
  <c r="F97" i="34" s="1"/>
  <c r="F98" i="34" s="1"/>
  <c r="F99" i="34" s="1"/>
  <c r="F100" i="34" s="1"/>
  <c r="F101" i="34" s="1"/>
  <c r="F102" i="34" s="1"/>
  <c r="F103" i="34" s="1"/>
  <c r="F104" i="34" s="1"/>
  <c r="F105" i="34" s="1"/>
  <c r="F106" i="34" s="1"/>
  <c r="F107" i="34" s="1"/>
  <c r="F108" i="34" s="1"/>
  <c r="F109" i="34" s="1"/>
  <c r="F110" i="34" s="1"/>
  <c r="F111" i="34" s="1"/>
  <c r="F112" i="34" s="1"/>
  <c r="F113" i="34" s="1"/>
  <c r="F114" i="34" s="1"/>
  <c r="F115" i="34" s="1"/>
  <c r="F116" i="34" s="1"/>
  <c r="F117" i="34" s="1"/>
  <c r="F118" i="34" s="1"/>
  <c r="F119" i="34" s="1"/>
  <c r="F120" i="34" s="1"/>
  <c r="F121" i="34" s="1"/>
  <c r="F122" i="34" s="1"/>
  <c r="F135" i="34" s="1"/>
  <c r="F136" i="34" s="1"/>
  <c r="F137" i="34" s="1"/>
  <c r="F138" i="34" s="1"/>
  <c r="F139" i="34" s="1"/>
  <c r="F140" i="34" s="1"/>
  <c r="F141" i="34" s="1"/>
  <c r="F142" i="34" s="1"/>
  <c r="F143" i="34" s="1"/>
  <c r="F144" i="34" s="1"/>
  <c r="E139" i="34"/>
  <c r="G90" i="34"/>
  <c r="B90" i="34"/>
  <c r="D176" i="33"/>
  <c r="E176" i="33" s="1"/>
  <c r="E165" i="33"/>
  <c r="E166" i="33"/>
  <c r="D53" i="45"/>
  <c r="D54" i="45" s="1"/>
  <c r="D52" i="45"/>
  <c r="E53" i="45"/>
  <c r="E54" i="45" s="1"/>
  <c r="E52" i="45"/>
  <c r="E84" i="36"/>
  <c r="E49" i="45"/>
  <c r="D49" i="45"/>
  <c r="C136" i="34"/>
  <c r="E136" i="34" s="1"/>
  <c r="C140" i="34"/>
  <c r="E83" i="36"/>
  <c r="D191" i="33"/>
  <c r="E190" i="33"/>
  <c r="C168" i="33"/>
  <c r="C169" i="33" s="1"/>
  <c r="E167" i="33"/>
  <c r="E160" i="33"/>
  <c r="E156" i="33"/>
  <c r="F154" i="33"/>
  <c r="E189" i="33"/>
  <c r="E159" i="33"/>
  <c r="E155" i="33"/>
  <c r="E161" i="33"/>
  <c r="E157" i="33"/>
  <c r="E162" i="33"/>
  <c r="E158" i="33"/>
  <c r="E154" i="33"/>
  <c r="G155" i="33"/>
  <c r="A47" i="36"/>
  <c r="A48" i="36" s="1"/>
  <c r="E168" i="33"/>
  <c r="D67" i="45" l="1"/>
  <c r="C41" i="62"/>
  <c r="D66" i="45"/>
  <c r="C40" i="62"/>
  <c r="G145" i="34"/>
  <c r="G146" i="34" s="1"/>
  <c r="G147" i="34" s="1"/>
  <c r="G148" i="34" s="1"/>
  <c r="G149" i="34" s="1"/>
  <c r="G150" i="34" s="1"/>
  <c r="G151" i="34" s="1"/>
  <c r="G152" i="34" s="1"/>
  <c r="G153" i="34" s="1"/>
  <c r="G154" i="34" s="1"/>
  <c r="G155" i="34" s="1"/>
  <c r="G156" i="34" s="1"/>
  <c r="G157" i="34" s="1"/>
  <c r="G158" i="34" s="1"/>
  <c r="G159" i="34" s="1"/>
  <c r="G160" i="34" s="1"/>
  <c r="G161" i="34" s="1"/>
  <c r="G162" i="34" s="1"/>
  <c r="G163" i="34" s="1"/>
  <c r="G164" i="34" s="1"/>
  <c r="G165" i="34" s="1"/>
  <c r="G166" i="34" s="1"/>
  <c r="G167" i="34" s="1"/>
  <c r="G168" i="34" s="1"/>
  <c r="G169" i="34" s="1"/>
  <c r="G170" i="34" s="1"/>
  <c r="G171" i="34" s="1"/>
  <c r="G172" i="34" s="1"/>
  <c r="G173" i="34" s="1"/>
  <c r="G174" i="34" s="1"/>
  <c r="G175" i="34" s="1"/>
  <c r="G176" i="34" s="1"/>
  <c r="G177" i="34" s="1"/>
  <c r="G178" i="34" s="1"/>
  <c r="G179" i="34" s="1"/>
  <c r="G180" i="34" s="1"/>
  <c r="G181" i="34" s="1"/>
  <c r="G182" i="34" s="1"/>
  <c r="G183" i="34" s="1"/>
  <c r="G184" i="34" s="1"/>
  <c r="G185" i="34" s="1"/>
  <c r="G186" i="34" s="1"/>
  <c r="G187" i="34" s="1"/>
  <c r="F145" i="34"/>
  <c r="F146" i="34" s="1"/>
  <c r="F147" i="34" s="1"/>
  <c r="F148" i="34" s="1"/>
  <c r="F149" i="34" s="1"/>
  <c r="F150" i="34" s="1"/>
  <c r="F151" i="34" s="1"/>
  <c r="F152" i="34" s="1"/>
  <c r="F153" i="34" s="1"/>
  <c r="F154" i="34" s="1"/>
  <c r="F155" i="34" s="1"/>
  <c r="F156" i="34" s="1"/>
  <c r="F157" i="34" s="1"/>
  <c r="F158" i="34" s="1"/>
  <c r="F159" i="34" s="1"/>
  <c r="F160" i="34" s="1"/>
  <c r="F161" i="34" s="1"/>
  <c r="F162" i="34" s="1"/>
  <c r="F163" i="34" s="1"/>
  <c r="F164" i="34" s="1"/>
  <c r="F165" i="34" s="1"/>
  <c r="F166" i="34" s="1"/>
  <c r="F167" i="34" s="1"/>
  <c r="F168" i="34" s="1"/>
  <c r="F169" i="34" s="1"/>
  <c r="F170" i="34" s="1"/>
  <c r="F171" i="34" s="1"/>
  <c r="F172" i="34" s="1"/>
  <c r="F173" i="34" s="1"/>
  <c r="F174" i="34" s="1"/>
  <c r="F175" i="34" s="1"/>
  <c r="F176" i="34" s="1"/>
  <c r="F177" i="34" s="1"/>
  <c r="F178" i="34" s="1"/>
  <c r="F179" i="34" s="1"/>
  <c r="F180" i="34" s="1"/>
  <c r="F181" i="34" s="1"/>
  <c r="F182" i="34" s="1"/>
  <c r="F183" i="34" s="1"/>
  <c r="F184" i="34" s="1"/>
  <c r="F185" i="34" s="1"/>
  <c r="F186" i="34" s="1"/>
  <c r="F187" i="34" s="1"/>
  <c r="C137" i="34"/>
  <c r="E137" i="34" s="1"/>
  <c r="E140" i="34"/>
  <c r="C141" i="34"/>
  <c r="G156" i="33"/>
  <c r="G167" i="33"/>
  <c r="G179" i="33" s="1"/>
  <c r="F155" i="33"/>
  <c r="F166" i="33"/>
  <c r="F178" i="33" s="1"/>
  <c r="F190" i="33" s="1"/>
  <c r="D192" i="33"/>
  <c r="E191" i="33"/>
  <c r="E169" i="33"/>
  <c r="C170" i="33"/>
  <c r="C138" i="34" l="1"/>
  <c r="E138" i="34" s="1"/>
  <c r="C142" i="34"/>
  <c r="E141" i="34"/>
  <c r="F156" i="33"/>
  <c r="F167" i="33"/>
  <c r="F179" i="33" s="1"/>
  <c r="F191" i="33" s="1"/>
  <c r="D193" i="33"/>
  <c r="E193" i="33" s="1"/>
  <c r="E192" i="33"/>
  <c r="G157" i="33"/>
  <c r="G168" i="33"/>
  <c r="G180" i="33" s="1"/>
  <c r="C171" i="33"/>
  <c r="E170" i="33"/>
  <c r="C143" i="34" l="1"/>
  <c r="C144" i="34" s="1"/>
  <c r="C145" i="34" s="1"/>
  <c r="E142" i="34"/>
  <c r="G158" i="33"/>
  <c r="G169" i="33"/>
  <c r="G181" i="33" s="1"/>
  <c r="F157" i="33"/>
  <c r="F168" i="33"/>
  <c r="F180" i="33" s="1"/>
  <c r="F192" i="33" s="1"/>
  <c r="E171" i="33"/>
  <c r="C172" i="33"/>
  <c r="C146" i="34" l="1"/>
  <c r="E145" i="34"/>
  <c r="E144" i="34"/>
  <c r="E143" i="34"/>
  <c r="F158" i="33"/>
  <c r="F169" i="33"/>
  <c r="F181" i="33" s="1"/>
  <c r="F193" i="33" s="1"/>
  <c r="G159" i="33"/>
  <c r="G170" i="33"/>
  <c r="G182" i="33" s="1"/>
  <c r="E172" i="33"/>
  <c r="C173" i="33"/>
  <c r="C147" i="34" l="1"/>
  <c r="E146" i="34"/>
  <c r="G160" i="33"/>
  <c r="G171" i="33"/>
  <c r="G183" i="33" s="1"/>
  <c r="F159" i="33"/>
  <c r="F170" i="33"/>
  <c r="F182" i="33" s="1"/>
  <c r="F194" i="33" s="1"/>
  <c r="C174" i="33"/>
  <c r="E173" i="33"/>
  <c r="C148" i="34" l="1"/>
  <c r="E147" i="34"/>
  <c r="F160" i="33"/>
  <c r="F171" i="33"/>
  <c r="F183" i="33" s="1"/>
  <c r="G161" i="33"/>
  <c r="G172" i="33"/>
  <c r="G184" i="33" s="1"/>
  <c r="C175" i="33"/>
  <c r="E175" i="33" s="1"/>
  <c r="E174" i="33"/>
  <c r="C149" i="34" l="1"/>
  <c r="E148" i="34"/>
  <c r="G162" i="33"/>
  <c r="G173" i="33"/>
  <c r="G185" i="33" s="1"/>
  <c r="F161" i="33"/>
  <c r="F172" i="33"/>
  <c r="F184" i="33" s="1"/>
  <c r="C150" i="34" l="1"/>
  <c r="E149" i="34"/>
  <c r="F162" i="33"/>
  <c r="F173" i="33"/>
  <c r="F185" i="33" s="1"/>
  <c r="G163" i="33"/>
  <c r="G175" i="33" s="1"/>
  <c r="G187" i="33" s="1"/>
  <c r="G174" i="33"/>
  <c r="G186" i="33" s="1"/>
  <c r="C151" i="34" l="1"/>
  <c r="E150" i="34"/>
  <c r="F163" i="33"/>
  <c r="F175" i="33" s="1"/>
  <c r="F187" i="33" s="1"/>
  <c r="F174" i="33"/>
  <c r="F186" i="33" s="1"/>
  <c r="C152" i="34" l="1"/>
  <c r="E151" i="34"/>
  <c r="C153" i="34" l="1"/>
  <c r="E152" i="34"/>
  <c r="G71" i="34"/>
  <c r="G72" i="34" s="1"/>
  <c r="G73" i="34" s="1"/>
  <c r="G74" i="34" s="1"/>
  <c r="G75" i="34" s="1"/>
  <c r="G76" i="34" s="1"/>
  <c r="G77" i="34" s="1"/>
  <c r="G78" i="34" s="1"/>
  <c r="G79" i="34" s="1"/>
  <c r="G80" i="34" s="1"/>
  <c r="G81" i="34" s="1"/>
  <c r="G82" i="34" s="1"/>
  <c r="G83" i="34" s="1"/>
  <c r="G84" i="34" s="1"/>
  <c r="G85" i="34" s="1"/>
  <c r="F71" i="34"/>
  <c r="F72" i="34" s="1"/>
  <c r="F73" i="34" s="1"/>
  <c r="F74" i="34" s="1"/>
  <c r="F75" i="34" s="1"/>
  <c r="F76" i="34" s="1"/>
  <c r="F77" i="34" s="1"/>
  <c r="F78" i="34" s="1"/>
  <c r="F79" i="34" s="1"/>
  <c r="F80" i="34" s="1"/>
  <c r="F81" i="34" s="1"/>
  <c r="F82" i="34" s="1"/>
  <c r="F83" i="34" s="1"/>
  <c r="F84" i="34" s="1"/>
  <c r="F85" i="34" s="1"/>
  <c r="B70" i="34"/>
  <c r="B71" i="34" s="1"/>
  <c r="B72" i="34" s="1"/>
  <c r="B73" i="34" s="1"/>
  <c r="B74" i="34" s="1"/>
  <c r="B75" i="34" s="1"/>
  <c r="B76" i="34" s="1"/>
  <c r="B77" i="34" s="1"/>
  <c r="B78" i="34" s="1"/>
  <c r="B79" i="34" s="1"/>
  <c r="B80" i="34" s="1"/>
  <c r="B81" i="34" s="1"/>
  <c r="B82" i="34" s="1"/>
  <c r="B83" i="34" s="1"/>
  <c r="B84" i="34" s="1"/>
  <c r="B85" i="34" s="1"/>
  <c r="C69" i="34"/>
  <c r="C85" i="34" s="1"/>
  <c r="C67" i="34"/>
  <c r="C68" i="34" s="1"/>
  <c r="C84" i="34" s="1"/>
  <c r="C66" i="34"/>
  <c r="C82" i="34" s="1"/>
  <c r="C63" i="34"/>
  <c r="C79" i="34" s="1"/>
  <c r="C58" i="34"/>
  <c r="C59" i="34" s="1"/>
  <c r="C154" i="34" l="1"/>
  <c r="E153" i="34"/>
  <c r="C83" i="34"/>
  <c r="C75" i="34"/>
  <c r="C60" i="34"/>
  <c r="C61" i="34" s="1"/>
  <c r="C62" i="34" s="1"/>
  <c r="C78" i="34" s="1"/>
  <c r="C74" i="34"/>
  <c r="C64" i="34"/>
  <c r="C155" i="34" l="1"/>
  <c r="E155" i="34" s="1"/>
  <c r="E154" i="34"/>
  <c r="C76" i="34"/>
  <c r="C77" i="34"/>
  <c r="C65" i="34"/>
  <c r="C81" i="34" s="1"/>
  <c r="C80" i="34"/>
  <c r="B34" i="45"/>
  <c r="B62" i="45" s="1"/>
  <c r="B27" i="45"/>
  <c r="B61" i="45" s="1"/>
  <c r="A27" i="45"/>
  <c r="A61" i="45" s="1"/>
  <c r="D36" i="45"/>
  <c r="C36" i="45"/>
  <c r="A32" i="62" s="1"/>
  <c r="B32" i="62" s="1"/>
  <c r="C37" i="45"/>
  <c r="A33" i="62" s="1"/>
  <c r="B33" i="62" s="1"/>
  <c r="C38" i="45"/>
  <c r="A34" i="62" s="1"/>
  <c r="B34" i="62" s="1"/>
  <c r="C39" i="45"/>
  <c r="A35" i="62" s="1"/>
  <c r="B35" i="62" s="1"/>
  <c r="C40" i="45"/>
  <c r="A36" i="62" s="1"/>
  <c r="B36" i="62" s="1"/>
  <c r="C35" i="45"/>
  <c r="A31" i="62" s="1"/>
  <c r="B31" i="62" s="1"/>
  <c r="B35" i="45"/>
  <c r="B36" i="45" s="1"/>
  <c r="B37" i="45" s="1"/>
  <c r="B38" i="45" s="1"/>
  <c r="B39" i="45" s="1"/>
  <c r="B40" i="45" s="1"/>
  <c r="D29" i="45"/>
  <c r="C29" i="45"/>
  <c r="A26" i="62" s="1"/>
  <c r="B26" i="62" s="1"/>
  <c r="C30" i="45"/>
  <c r="A27" i="62" s="1"/>
  <c r="B27" i="62" s="1"/>
  <c r="C31" i="45"/>
  <c r="A28" i="62" s="1"/>
  <c r="B28" i="62" s="1"/>
  <c r="C32" i="45"/>
  <c r="A29" i="62" s="1"/>
  <c r="B29" i="62" s="1"/>
  <c r="C33" i="45"/>
  <c r="A30" i="62" s="1"/>
  <c r="B30" i="62" s="1"/>
  <c r="C28" i="45"/>
  <c r="A25" i="62" s="1"/>
  <c r="B25" i="62" s="1"/>
  <c r="B28" i="45"/>
  <c r="B29" i="45" s="1"/>
  <c r="B30" i="45" s="1"/>
  <c r="B31" i="45" s="1"/>
  <c r="B32" i="45" s="1"/>
  <c r="B33" i="45" s="1"/>
  <c r="A28" i="45"/>
  <c r="A29" i="45" s="1"/>
  <c r="A30" i="45" s="1"/>
  <c r="A31" i="45" s="1"/>
  <c r="A32" i="45" s="1"/>
  <c r="A33" i="45" s="1"/>
  <c r="A35" i="45" s="1"/>
  <c r="A36" i="45" s="1"/>
  <c r="A37" i="45" s="1"/>
  <c r="A38" i="45" s="1"/>
  <c r="A39" i="45" s="1"/>
  <c r="A40" i="45" s="1"/>
  <c r="A41" i="45" s="1"/>
  <c r="G55" i="34"/>
  <c r="G56" i="34" s="1"/>
  <c r="G57" i="34" s="1"/>
  <c r="G58" i="34" s="1"/>
  <c r="G59" i="34" s="1"/>
  <c r="G60" i="34" s="1"/>
  <c r="G61" i="34" s="1"/>
  <c r="G62" i="34" s="1"/>
  <c r="G63" i="34" s="1"/>
  <c r="G64" i="34" s="1"/>
  <c r="G65" i="34" s="1"/>
  <c r="G66" i="34" s="1"/>
  <c r="G67" i="34" s="1"/>
  <c r="G68" i="34" s="1"/>
  <c r="G69" i="34" s="1"/>
  <c r="F55" i="34"/>
  <c r="F56" i="34" s="1"/>
  <c r="F57" i="34" s="1"/>
  <c r="F58" i="34" s="1"/>
  <c r="F59" i="34" s="1"/>
  <c r="F60" i="34" s="1"/>
  <c r="F61" i="34" s="1"/>
  <c r="F62" i="34" s="1"/>
  <c r="F63" i="34" s="1"/>
  <c r="F64" i="34" s="1"/>
  <c r="F65" i="34" s="1"/>
  <c r="F66" i="34" s="1"/>
  <c r="F67" i="34" s="1"/>
  <c r="F68" i="34" s="1"/>
  <c r="F69" i="34" s="1"/>
  <c r="C54" i="34"/>
  <c r="B54" i="34"/>
  <c r="B55" i="34" s="1"/>
  <c r="B56" i="34" s="1"/>
  <c r="B57" i="34" s="1"/>
  <c r="B58" i="34" s="1"/>
  <c r="B59" i="34" s="1"/>
  <c r="B60" i="34" s="1"/>
  <c r="B61" i="34" s="1"/>
  <c r="B62" i="34" s="1"/>
  <c r="B63" i="34" s="1"/>
  <c r="B64" i="34" s="1"/>
  <c r="B65" i="34" s="1"/>
  <c r="B66" i="34" s="1"/>
  <c r="B67" i="34" s="1"/>
  <c r="B68" i="34" s="1"/>
  <c r="B69" i="34" s="1"/>
  <c r="A54" i="34"/>
  <c r="A55" i="34" s="1"/>
  <c r="A56" i="34" s="1"/>
  <c r="A57" i="34" s="1"/>
  <c r="A58" i="34" s="1"/>
  <c r="A59" i="34" s="1"/>
  <c r="A60" i="34" s="1"/>
  <c r="A61" i="34" s="1"/>
  <c r="A62" i="34" s="1"/>
  <c r="A63" i="34" s="1"/>
  <c r="A64" i="34" s="1"/>
  <c r="A65" i="34" s="1"/>
  <c r="A66" i="34" s="1"/>
  <c r="A67" i="34" s="1"/>
  <c r="A68" i="34" s="1"/>
  <c r="A69" i="34" s="1"/>
  <c r="A70" i="34" s="1"/>
  <c r="A71" i="34" s="1"/>
  <c r="A72" i="34" s="1"/>
  <c r="A73" i="34" s="1"/>
  <c r="A74" i="34" s="1"/>
  <c r="A75" i="34" s="1"/>
  <c r="A76" i="34" s="1"/>
  <c r="A77" i="34" s="1"/>
  <c r="A78" i="34" s="1"/>
  <c r="A79" i="34" s="1"/>
  <c r="A80" i="34" s="1"/>
  <c r="A81" i="34" s="1"/>
  <c r="A82" i="34" s="1"/>
  <c r="A83" i="34" s="1"/>
  <c r="A84" i="34" s="1"/>
  <c r="A85" i="34" s="1"/>
  <c r="A86" i="34" s="1"/>
  <c r="A87" i="34" s="1"/>
  <c r="A88" i="34" s="1"/>
  <c r="A89" i="34" s="1"/>
  <c r="D30" i="45" l="1"/>
  <c r="C26" i="62"/>
  <c r="D37" i="45"/>
  <c r="C32" i="62"/>
  <c r="A91" i="34"/>
  <c r="A92" i="34" s="1"/>
  <c r="A93" i="34" s="1"/>
  <c r="A94" i="34" s="1"/>
  <c r="A95" i="34" s="1"/>
  <c r="A96" i="34" s="1"/>
  <c r="A97" i="34" s="1"/>
  <c r="A98" i="34" s="1"/>
  <c r="A99" i="34" s="1"/>
  <c r="A100" i="34" s="1"/>
  <c r="A101" i="34" s="1"/>
  <c r="A102" i="34" s="1"/>
  <c r="A103" i="34" s="1"/>
  <c r="A104" i="34" s="1"/>
  <c r="A105" i="34" s="1"/>
  <c r="A106" i="34" s="1"/>
  <c r="A107" i="34" s="1"/>
  <c r="A108" i="34" s="1"/>
  <c r="A109" i="34" s="1"/>
  <c r="A110" i="34" s="1"/>
  <c r="A111" i="34" s="1"/>
  <c r="A112" i="34" s="1"/>
  <c r="A113" i="34" s="1"/>
  <c r="A114" i="34" s="1"/>
  <c r="A115" i="34" s="1"/>
  <c r="A116" i="34" s="1"/>
  <c r="A117" i="34" s="1"/>
  <c r="A118" i="34" s="1"/>
  <c r="A119" i="34" s="1"/>
  <c r="A120" i="34" s="1"/>
  <c r="A121" i="34" s="1"/>
  <c r="A122" i="34" s="1"/>
  <c r="A90" i="34"/>
  <c r="A42" i="45"/>
  <c r="A64" i="45" s="1"/>
  <c r="A63" i="45"/>
  <c r="C70" i="34"/>
  <c r="C55" i="34"/>
  <c r="A34" i="45"/>
  <c r="A62" i="45" s="1"/>
  <c r="F133" i="33"/>
  <c r="F134" i="33" s="1"/>
  <c r="F135" i="33" s="1"/>
  <c r="F136" i="33" s="1"/>
  <c r="F137" i="33" s="1"/>
  <c r="F138" i="33" s="1"/>
  <c r="F139" i="33" s="1"/>
  <c r="F140" i="33" s="1"/>
  <c r="F141" i="33" s="1"/>
  <c r="F142" i="33" s="1"/>
  <c r="F144" i="33" s="1"/>
  <c r="F145" i="33" s="1"/>
  <c r="F146" i="33" s="1"/>
  <c r="F147" i="33" s="1"/>
  <c r="F143" i="33" s="1"/>
  <c r="F117" i="33"/>
  <c r="F118" i="33" s="1"/>
  <c r="F119" i="33" s="1"/>
  <c r="F120" i="33" s="1"/>
  <c r="F121" i="33" s="1"/>
  <c r="F122" i="33" s="1"/>
  <c r="F123" i="33" s="1"/>
  <c r="F124" i="33" s="1"/>
  <c r="F125" i="33" s="1"/>
  <c r="F126" i="33" s="1"/>
  <c r="F128" i="33" s="1"/>
  <c r="F129" i="33" s="1"/>
  <c r="F130" i="33" s="1"/>
  <c r="F131" i="33" s="1"/>
  <c r="F127" i="33" s="1"/>
  <c r="E117" i="33"/>
  <c r="E118" i="33" s="1"/>
  <c r="E119" i="33" s="1"/>
  <c r="E120" i="33" s="1"/>
  <c r="E121" i="33" s="1"/>
  <c r="E122" i="33" s="1"/>
  <c r="E123" i="33" s="1"/>
  <c r="E124" i="33" s="1"/>
  <c r="E125" i="33" s="1"/>
  <c r="E126" i="33" s="1"/>
  <c r="E128" i="33" s="1"/>
  <c r="E129" i="33" s="1"/>
  <c r="E130" i="33" s="1"/>
  <c r="E131" i="33" s="1"/>
  <c r="E127" i="33" s="1"/>
  <c r="E132" i="33" s="1"/>
  <c r="E133" i="33" s="1"/>
  <c r="E134" i="33" s="1"/>
  <c r="E135" i="33" s="1"/>
  <c r="E136" i="33" s="1"/>
  <c r="E137" i="33" s="1"/>
  <c r="E138" i="33" s="1"/>
  <c r="E139" i="33" s="1"/>
  <c r="E140" i="33" s="1"/>
  <c r="E141" i="33" s="1"/>
  <c r="E142" i="33" s="1"/>
  <c r="E144" i="33" s="1"/>
  <c r="E145" i="33" s="1"/>
  <c r="E146" i="33" s="1"/>
  <c r="E147" i="33" s="1"/>
  <c r="E143" i="33" s="1"/>
  <c r="E85" i="33"/>
  <c r="E86" i="33" s="1"/>
  <c r="E87" i="33" s="1"/>
  <c r="E88" i="33" s="1"/>
  <c r="E89" i="33" s="1"/>
  <c r="E90" i="33" s="1"/>
  <c r="E91" i="33" s="1"/>
  <c r="E92" i="33" s="1"/>
  <c r="E93" i="33" s="1"/>
  <c r="E94" i="33" s="1"/>
  <c r="E96" i="33" s="1"/>
  <c r="E97" i="33" s="1"/>
  <c r="E98" i="33" s="1"/>
  <c r="E99" i="33" s="1"/>
  <c r="E95" i="33" s="1"/>
  <c r="E101" i="33" s="1"/>
  <c r="E102" i="33" s="1"/>
  <c r="E103" i="33" s="1"/>
  <c r="E104" i="33" s="1"/>
  <c r="E105" i="33" s="1"/>
  <c r="E106" i="33" s="1"/>
  <c r="E107" i="33" s="1"/>
  <c r="E108" i="33" s="1"/>
  <c r="E109" i="33" s="1"/>
  <c r="E110" i="33" s="1"/>
  <c r="E112" i="33" s="1"/>
  <c r="E113" i="33" s="1"/>
  <c r="E114" i="33" s="1"/>
  <c r="E115" i="33" s="1"/>
  <c r="E111" i="33" s="1"/>
  <c r="B100" i="33"/>
  <c r="B101" i="33" s="1"/>
  <c r="B102" i="33" s="1"/>
  <c r="B103" i="33" s="1"/>
  <c r="B104" i="33" s="1"/>
  <c r="B105" i="33" s="1"/>
  <c r="B106" i="33" s="1"/>
  <c r="B107" i="33" s="1"/>
  <c r="B108" i="33" s="1"/>
  <c r="B109" i="33" s="1"/>
  <c r="B110" i="33" s="1"/>
  <c r="B112" i="33" s="1"/>
  <c r="B113" i="33" s="1"/>
  <c r="B114" i="33" s="1"/>
  <c r="B115" i="33" s="1"/>
  <c r="D95" i="33"/>
  <c r="D85" i="33"/>
  <c r="D86" i="33"/>
  <c r="D87" i="33"/>
  <c r="D88" i="33"/>
  <c r="D89" i="33"/>
  <c r="D90" i="33"/>
  <c r="D91" i="33"/>
  <c r="D92" i="33"/>
  <c r="D93" i="33"/>
  <c r="D94" i="33"/>
  <c r="D96" i="33"/>
  <c r="D97" i="33"/>
  <c r="D98" i="33"/>
  <c r="D99" i="33"/>
  <c r="D84" i="33"/>
  <c r="B84" i="33"/>
  <c r="B85" i="33" s="1"/>
  <c r="B86" i="33" s="1"/>
  <c r="B87" i="33" s="1"/>
  <c r="B88" i="33" s="1"/>
  <c r="B89" i="33" s="1"/>
  <c r="B90" i="33" s="1"/>
  <c r="B91" i="33" s="1"/>
  <c r="B92" i="33" s="1"/>
  <c r="B93" i="33" s="1"/>
  <c r="B94" i="33" s="1"/>
  <c r="B96" i="33" s="1"/>
  <c r="B97" i="33" s="1"/>
  <c r="B98" i="33" s="1"/>
  <c r="B99" i="33" s="1"/>
  <c r="B95" i="33" s="1"/>
  <c r="A84" i="33"/>
  <c r="A85" i="33" s="1"/>
  <c r="A86" i="33" s="1"/>
  <c r="A87" i="33" s="1"/>
  <c r="A88" i="33" s="1"/>
  <c r="A89" i="33" s="1"/>
  <c r="A90" i="33" s="1"/>
  <c r="A91" i="33" s="1"/>
  <c r="A92" i="33" s="1"/>
  <c r="A93" i="33" s="1"/>
  <c r="A94" i="33" s="1"/>
  <c r="A96" i="33" s="1"/>
  <c r="A97" i="33" s="1"/>
  <c r="A98" i="33" s="1"/>
  <c r="A99" i="33" s="1"/>
  <c r="A95" i="33" s="1"/>
  <c r="A100" i="33" s="1"/>
  <c r="A101" i="33" s="1"/>
  <c r="A102" i="33" s="1"/>
  <c r="A103" i="33" s="1"/>
  <c r="A104" i="33" s="1"/>
  <c r="A105" i="33" s="1"/>
  <c r="A106" i="33" s="1"/>
  <c r="A107" i="33" s="1"/>
  <c r="A108" i="33" s="1"/>
  <c r="A109" i="33" s="1"/>
  <c r="A110" i="33" s="1"/>
  <c r="A112" i="33" s="1"/>
  <c r="A113" i="33" s="1"/>
  <c r="A114" i="33" s="1"/>
  <c r="A115" i="33" s="1"/>
  <c r="B73" i="33"/>
  <c r="B74" i="33" s="1"/>
  <c r="B75" i="33" s="1"/>
  <c r="B76" i="33" s="1"/>
  <c r="B77" i="33" s="1"/>
  <c r="B78" i="33" s="1"/>
  <c r="B79" i="33" s="1"/>
  <c r="B80" i="33" s="1"/>
  <c r="B81" i="33" s="1"/>
  <c r="B82" i="33" s="1"/>
  <c r="A73" i="33"/>
  <c r="A74" i="33" s="1"/>
  <c r="A75" i="33" s="1"/>
  <c r="A76" i="33" s="1"/>
  <c r="A77" i="33" s="1"/>
  <c r="A78" i="33" s="1"/>
  <c r="A79" i="33" s="1"/>
  <c r="A80" i="33" s="1"/>
  <c r="A81" i="33" s="1"/>
  <c r="A82" i="33" s="1"/>
  <c r="D38" i="45" l="1"/>
  <c r="C33" i="62"/>
  <c r="D31" i="45"/>
  <c r="C27" i="62"/>
  <c r="A135" i="34"/>
  <c r="A136" i="34" s="1"/>
  <c r="A137" i="34" s="1"/>
  <c r="A138" i="34" s="1"/>
  <c r="A139" i="34" s="1"/>
  <c r="A140" i="34" s="1"/>
  <c r="A141" i="34" s="1"/>
  <c r="A142" i="34" s="1"/>
  <c r="A143" i="34" s="1"/>
  <c r="A144" i="34" s="1"/>
  <c r="A145" i="34" s="1"/>
  <c r="A146" i="34" s="1"/>
  <c r="A147" i="34" s="1"/>
  <c r="A148" i="34" s="1"/>
  <c r="A149" i="34" s="1"/>
  <c r="A150" i="34" s="1"/>
  <c r="A151" i="34" s="1"/>
  <c r="A152" i="34" s="1"/>
  <c r="A153" i="34" s="1"/>
  <c r="A154" i="34" s="1"/>
  <c r="A155" i="34" s="1"/>
  <c r="A156" i="34" s="1"/>
  <c r="A157" i="34" s="1"/>
  <c r="A158" i="34" s="1"/>
  <c r="A159" i="34" s="1"/>
  <c r="A160" i="34" s="1"/>
  <c r="A161" i="34" s="1"/>
  <c r="A162" i="34" s="1"/>
  <c r="A163" i="34" s="1"/>
  <c r="A164" i="34" s="1"/>
  <c r="A165" i="34" s="1"/>
  <c r="A166" i="34" s="1"/>
  <c r="A167" i="34" s="1"/>
  <c r="A168" i="34" s="1"/>
  <c r="A169" i="34" s="1"/>
  <c r="A170" i="34" s="1"/>
  <c r="A171" i="34" s="1"/>
  <c r="A172" i="34" s="1"/>
  <c r="A173" i="34" s="1"/>
  <c r="A174" i="34" s="1"/>
  <c r="A175" i="34" s="1"/>
  <c r="A176" i="34" s="1"/>
  <c r="A177" i="34" s="1"/>
  <c r="A178" i="34" s="1"/>
  <c r="A179" i="34" s="1"/>
  <c r="A180" i="34" s="1"/>
  <c r="A181" i="34" s="1"/>
  <c r="A182" i="34" s="1"/>
  <c r="A183" i="34" s="1"/>
  <c r="A184" i="34" s="1"/>
  <c r="A185" i="34" s="1"/>
  <c r="A186" i="34" s="1"/>
  <c r="A187" i="34" s="1"/>
  <c r="A123" i="34"/>
  <c r="A124" i="34" s="1"/>
  <c r="A125" i="34" s="1"/>
  <c r="A126" i="34" s="1"/>
  <c r="A127" i="34" s="1"/>
  <c r="A128" i="34" s="1"/>
  <c r="A129" i="34" s="1"/>
  <c r="A130" i="34" s="1"/>
  <c r="A131" i="34" s="1"/>
  <c r="A132" i="34" s="1"/>
  <c r="A133" i="34" s="1"/>
  <c r="A134" i="34" s="1"/>
  <c r="A44" i="45"/>
  <c r="A45" i="45" s="1"/>
  <c r="A46" i="45" s="1"/>
  <c r="A47" i="45" s="1"/>
  <c r="A48" i="45" s="1"/>
  <c r="A50" i="45" s="1"/>
  <c r="A51" i="45" s="1"/>
  <c r="A43" i="45"/>
  <c r="A65" i="45" s="1"/>
  <c r="A111" i="33"/>
  <c r="A116" i="33"/>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B111" i="33"/>
  <c r="B116" i="33"/>
  <c r="B117" i="33" s="1"/>
  <c r="B118" i="33" s="1"/>
  <c r="B119" i="33" s="1"/>
  <c r="B120" i="33" s="1"/>
  <c r="B121" i="33" s="1"/>
  <c r="B122" i="33" s="1"/>
  <c r="B123" i="33" s="1"/>
  <c r="B124" i="33" s="1"/>
  <c r="B125" i="33" s="1"/>
  <c r="B126" i="33" s="1"/>
  <c r="B127" i="33" s="1"/>
  <c r="B128" i="33" s="1"/>
  <c r="B129" i="33" s="1"/>
  <c r="B130" i="33" s="1"/>
  <c r="B131" i="33" s="1"/>
  <c r="B132" i="33" s="1"/>
  <c r="B133" i="33" s="1"/>
  <c r="B134" i="33" s="1"/>
  <c r="B135" i="33" s="1"/>
  <c r="B136" i="33" s="1"/>
  <c r="B137" i="33" s="1"/>
  <c r="B138" i="33" s="1"/>
  <c r="B139" i="33" s="1"/>
  <c r="B140" i="33" s="1"/>
  <c r="B141" i="33" s="1"/>
  <c r="B142" i="33" s="1"/>
  <c r="B143" i="33" s="1"/>
  <c r="B144" i="33" s="1"/>
  <c r="B145" i="33" s="1"/>
  <c r="B146" i="33" s="1"/>
  <c r="B147" i="33" s="1"/>
  <c r="C71" i="34"/>
  <c r="C56" i="34"/>
  <c r="D104" i="33"/>
  <c r="D58" i="34"/>
  <c r="D114" i="33"/>
  <c r="D68" i="34"/>
  <c r="D105" i="33"/>
  <c r="D59" i="34"/>
  <c r="D113" i="33"/>
  <c r="D67" i="34"/>
  <c r="D108" i="33"/>
  <c r="D62" i="34"/>
  <c r="D111" i="33"/>
  <c r="D65" i="34"/>
  <c r="D100" i="33"/>
  <c r="D54" i="34"/>
  <c r="D112" i="33"/>
  <c r="D66" i="34"/>
  <c r="D107" i="33"/>
  <c r="D61" i="34"/>
  <c r="D103" i="33"/>
  <c r="D57" i="34"/>
  <c r="D109" i="33"/>
  <c r="D63" i="34"/>
  <c r="D101" i="33"/>
  <c r="D55" i="34"/>
  <c r="D115" i="33"/>
  <c r="D69" i="34"/>
  <c r="D110" i="33"/>
  <c r="D64" i="34"/>
  <c r="D106" i="33"/>
  <c r="D60" i="34"/>
  <c r="D102" i="33"/>
  <c r="D56" i="34"/>
  <c r="D32" i="45" l="1"/>
  <c r="C28" i="62"/>
  <c r="D39" i="45"/>
  <c r="C34" i="62"/>
  <c r="A49" i="45"/>
  <c r="A66" i="45" s="1"/>
  <c r="A53" i="45"/>
  <c r="A54" i="45" s="1"/>
  <c r="A52" i="45"/>
  <c r="A67" i="45" s="1"/>
  <c r="C57" i="34"/>
  <c r="C72" i="34"/>
  <c r="D118" i="33"/>
  <c r="D134" i="33" s="1"/>
  <c r="D72" i="34"/>
  <c r="D126" i="33"/>
  <c r="D142" i="33" s="1"/>
  <c r="D80" i="34"/>
  <c r="D117" i="33"/>
  <c r="D133" i="33" s="1"/>
  <c r="D71" i="34"/>
  <c r="D119" i="33"/>
  <c r="D135" i="33" s="1"/>
  <c r="D73" i="34"/>
  <c r="D128" i="33"/>
  <c r="D144" i="33" s="1"/>
  <c r="D82" i="34"/>
  <c r="D127" i="33"/>
  <c r="D143" i="33" s="1"/>
  <c r="D81" i="34"/>
  <c r="D129" i="33"/>
  <c r="D145" i="33" s="1"/>
  <c r="D83" i="34"/>
  <c r="D130" i="33"/>
  <c r="D146" i="33" s="1"/>
  <c r="D84" i="34"/>
  <c r="D122" i="33"/>
  <c r="D138" i="33" s="1"/>
  <c r="D76" i="34"/>
  <c r="D131" i="33"/>
  <c r="D147" i="33" s="1"/>
  <c r="D85" i="34"/>
  <c r="D125" i="33"/>
  <c r="D141" i="33" s="1"/>
  <c r="D79" i="34"/>
  <c r="D123" i="33"/>
  <c r="D139" i="33" s="1"/>
  <c r="D77" i="34"/>
  <c r="D116" i="33"/>
  <c r="D70" i="34"/>
  <c r="D124" i="33"/>
  <c r="D140" i="33" s="1"/>
  <c r="D78" i="34"/>
  <c r="D121" i="33"/>
  <c r="D137" i="33" s="1"/>
  <c r="D75" i="34"/>
  <c r="D120" i="33"/>
  <c r="D136" i="33" s="1"/>
  <c r="D74" i="34"/>
  <c r="D40" i="45" l="1"/>
  <c r="C36" i="62" s="1"/>
  <c r="C35" i="62"/>
  <c r="D33" i="45"/>
  <c r="C30" i="62" s="1"/>
  <c r="C29" i="62"/>
  <c r="R61" i="34"/>
  <c r="H64" i="34"/>
  <c r="O62" i="34"/>
  <c r="S61" i="34"/>
  <c r="H67" i="34"/>
  <c r="M64" i="34"/>
  <c r="L69" i="34"/>
  <c r="S68" i="34"/>
  <c r="V58" i="34"/>
  <c r="X54" i="34"/>
  <c r="Z63" i="34"/>
  <c r="K60" i="34"/>
  <c r="Q67" i="34"/>
  <c r="D132" i="33"/>
  <c r="AC64" i="34"/>
  <c r="O57" i="34"/>
  <c r="O67" i="34"/>
  <c r="U60" i="34"/>
  <c r="W60" i="34"/>
  <c r="AB69" i="34"/>
  <c r="U63" i="34"/>
  <c r="AB63" i="34"/>
  <c r="Q61" i="34"/>
  <c r="O54" i="34"/>
  <c r="Q54" i="34"/>
  <c r="U59" i="34"/>
  <c r="K59" i="34"/>
  <c r="H58" i="34"/>
  <c r="X58" i="34"/>
  <c r="U55" i="34"/>
  <c r="I55" i="34"/>
  <c r="H66" i="34"/>
  <c r="AB66" i="34"/>
  <c r="U68" i="34"/>
  <c r="O68" i="34"/>
  <c r="P64" i="34"/>
  <c r="Q57" i="34"/>
  <c r="I60" i="34"/>
  <c r="S69" i="34"/>
  <c r="M69" i="34"/>
  <c r="J63" i="34"/>
  <c r="W63" i="34"/>
  <c r="H61" i="34"/>
  <c r="V62" i="34"/>
  <c r="L62" i="34"/>
  <c r="J59" i="34"/>
  <c r="AA59" i="34"/>
  <c r="O58" i="34"/>
  <c r="Q58" i="34"/>
  <c r="J55" i="34"/>
  <c r="W55" i="34"/>
  <c r="O66" i="34"/>
  <c r="Y66" i="34"/>
  <c r="I68" i="34"/>
  <c r="Z64" i="34"/>
  <c r="Z57" i="34"/>
  <c r="V67" i="34"/>
  <c r="T60" i="34"/>
  <c r="R60" i="34"/>
  <c r="AC69" i="34"/>
  <c r="I63" i="34"/>
  <c r="T63" i="34"/>
  <c r="X61" i="34"/>
  <c r="V54" i="34"/>
  <c r="H62" i="34"/>
  <c r="AB62" i="34"/>
  <c r="R59" i="34"/>
  <c r="AB59" i="34"/>
  <c r="R55" i="34"/>
  <c r="L55" i="34"/>
  <c r="T68" i="34"/>
  <c r="N68" i="34"/>
  <c r="V66" i="34"/>
  <c r="Y62" i="34"/>
  <c r="L66" i="34"/>
  <c r="H54" i="34"/>
  <c r="P57" i="34"/>
  <c r="K77" i="34"/>
  <c r="AA77" i="34"/>
  <c r="V77" i="34"/>
  <c r="L77" i="34"/>
  <c r="R77" i="34"/>
  <c r="M77" i="34"/>
  <c r="Z77" i="34"/>
  <c r="R84" i="34"/>
  <c r="Z84" i="34"/>
  <c r="U84" i="34"/>
  <c r="K84" i="34"/>
  <c r="L84" i="34"/>
  <c r="AB84" i="34"/>
  <c r="M84" i="34"/>
  <c r="J65" i="34"/>
  <c r="V56" i="34"/>
  <c r="Y56" i="34"/>
  <c r="X56" i="34"/>
  <c r="H68" i="34"/>
  <c r="Z68" i="34"/>
  <c r="Q68" i="34"/>
  <c r="P68" i="34"/>
  <c r="Q66" i="34"/>
  <c r="X66" i="34"/>
  <c r="AC66" i="34"/>
  <c r="AA66" i="34"/>
  <c r="K66" i="34"/>
  <c r="R66" i="34"/>
  <c r="S55" i="34"/>
  <c r="N55" i="34"/>
  <c r="Q55" i="34"/>
  <c r="J58" i="34"/>
  <c r="T58" i="34"/>
  <c r="U58" i="34"/>
  <c r="AA58" i="34"/>
  <c r="K58" i="34"/>
  <c r="R58" i="34"/>
  <c r="P59" i="34"/>
  <c r="W59" i="34"/>
  <c r="N59" i="34"/>
  <c r="Q59" i="34"/>
  <c r="M62" i="34"/>
  <c r="X62" i="34"/>
  <c r="U62" i="34"/>
  <c r="AA62" i="34"/>
  <c r="K62" i="34"/>
  <c r="R62" i="34"/>
  <c r="J54" i="34"/>
  <c r="T54" i="34"/>
  <c r="U54" i="34"/>
  <c r="AA54" i="34"/>
  <c r="K54" i="34"/>
  <c r="R54" i="34"/>
  <c r="AC61" i="34"/>
  <c r="M61" i="34"/>
  <c r="N61" i="34"/>
  <c r="T61" i="34"/>
  <c r="O61" i="34"/>
  <c r="S63" i="34"/>
  <c r="L63" i="34"/>
  <c r="V63" i="34"/>
  <c r="X63" i="34"/>
  <c r="Q63" i="34"/>
  <c r="Y69" i="34"/>
  <c r="H69" i="34"/>
  <c r="X69" i="34"/>
  <c r="Z69" i="34"/>
  <c r="O69" i="34"/>
  <c r="O60" i="34"/>
  <c r="N60" i="34"/>
  <c r="Q60" i="34"/>
  <c r="P60" i="34"/>
  <c r="AA67" i="34"/>
  <c r="K67" i="34"/>
  <c r="R67" i="34"/>
  <c r="X67" i="34"/>
  <c r="AC67" i="34"/>
  <c r="M67" i="34"/>
  <c r="AC57" i="34"/>
  <c r="M57" i="34"/>
  <c r="AB57" i="34"/>
  <c r="L57" i="34"/>
  <c r="N57" i="34"/>
  <c r="AA57" i="34"/>
  <c r="K57" i="34"/>
  <c r="J64" i="34"/>
  <c r="V64" i="34"/>
  <c r="O64" i="34"/>
  <c r="Y64" i="34"/>
  <c r="AB64" i="34"/>
  <c r="L64" i="34"/>
  <c r="I65" i="34"/>
  <c r="AC65" i="34"/>
  <c r="M65" i="34"/>
  <c r="AB65" i="34"/>
  <c r="L65" i="34"/>
  <c r="S65" i="34"/>
  <c r="W56" i="34"/>
  <c r="R56" i="34"/>
  <c r="I56" i="34"/>
  <c r="U56" i="34"/>
  <c r="O56" i="34"/>
  <c r="T56" i="34"/>
  <c r="L74" i="34"/>
  <c r="P74" i="34"/>
  <c r="T74" i="34"/>
  <c r="AB74" i="34"/>
  <c r="H74" i="34"/>
  <c r="AA74" i="34"/>
  <c r="I74" i="34"/>
  <c r="M74" i="34"/>
  <c r="U74" i="34"/>
  <c r="Y74" i="34"/>
  <c r="AC74" i="34"/>
  <c r="S74" i="34"/>
  <c r="J74" i="34"/>
  <c r="R74" i="34"/>
  <c r="V74" i="34"/>
  <c r="Z74" i="34"/>
  <c r="K74" i="34"/>
  <c r="W74" i="34"/>
  <c r="K85" i="34"/>
  <c r="O85" i="34"/>
  <c r="S85" i="34"/>
  <c r="AA85" i="34"/>
  <c r="Z85" i="34"/>
  <c r="L85" i="34"/>
  <c r="T85" i="34"/>
  <c r="X85" i="34"/>
  <c r="AB85" i="34"/>
  <c r="R85" i="34"/>
  <c r="H85" i="34"/>
  <c r="M85" i="34"/>
  <c r="Q85" i="34"/>
  <c r="U85" i="34"/>
  <c r="AC85" i="34"/>
  <c r="J85" i="34"/>
  <c r="K73" i="34"/>
  <c r="O73" i="34"/>
  <c r="S73" i="34"/>
  <c r="AA73" i="34"/>
  <c r="V73" i="34"/>
  <c r="L73" i="34"/>
  <c r="T73" i="34"/>
  <c r="X73" i="34"/>
  <c r="AB73" i="34"/>
  <c r="R73" i="34"/>
  <c r="I73" i="34"/>
  <c r="Q73" i="34"/>
  <c r="U73" i="34"/>
  <c r="Y73" i="34"/>
  <c r="N73" i="34"/>
  <c r="Z73" i="34"/>
  <c r="H65" i="34"/>
  <c r="Q65" i="34"/>
  <c r="P65" i="34"/>
  <c r="W65" i="34"/>
  <c r="J56" i="34"/>
  <c r="S56" i="34"/>
  <c r="AA56" i="34"/>
  <c r="M75" i="34"/>
  <c r="Q75" i="34"/>
  <c r="U75" i="34"/>
  <c r="AC75" i="34"/>
  <c r="L75" i="34"/>
  <c r="J75" i="34"/>
  <c r="N75" i="34"/>
  <c r="R75" i="34"/>
  <c r="Z75" i="34"/>
  <c r="T75" i="34"/>
  <c r="K75" i="34"/>
  <c r="S75" i="34"/>
  <c r="W75" i="34"/>
  <c r="AA75" i="34"/>
  <c r="P75" i="34"/>
  <c r="AB75" i="34"/>
  <c r="P70" i="34"/>
  <c r="T70" i="34"/>
  <c r="X70" i="34"/>
  <c r="H70" i="34"/>
  <c r="K70" i="34"/>
  <c r="AA70" i="34"/>
  <c r="I70" i="34"/>
  <c r="Q70" i="34"/>
  <c r="U70" i="34"/>
  <c r="Y70" i="34"/>
  <c r="J70" i="34"/>
  <c r="N70" i="34"/>
  <c r="V70" i="34"/>
  <c r="Z70" i="34"/>
  <c r="O70" i="34"/>
  <c r="W70" i="34"/>
  <c r="M79" i="34"/>
  <c r="Q79" i="34"/>
  <c r="U79" i="34"/>
  <c r="AC79" i="34"/>
  <c r="T79" i="34"/>
  <c r="J79" i="34"/>
  <c r="N79" i="34"/>
  <c r="R79" i="34"/>
  <c r="Z79" i="34"/>
  <c r="P79" i="34"/>
  <c r="AB79" i="34"/>
  <c r="K79" i="34"/>
  <c r="S79" i="34"/>
  <c r="W79" i="34"/>
  <c r="AA79" i="34"/>
  <c r="L79" i="34"/>
  <c r="X79" i="34"/>
  <c r="N76" i="34"/>
  <c r="R76" i="34"/>
  <c r="V76" i="34"/>
  <c r="M76" i="34"/>
  <c r="K76" i="34"/>
  <c r="O76" i="34"/>
  <c r="S76" i="34"/>
  <c r="AA76" i="34"/>
  <c r="L76" i="34"/>
  <c r="P76" i="34"/>
  <c r="X76" i="34"/>
  <c r="AB76" i="34"/>
  <c r="I76" i="34"/>
  <c r="U76" i="34"/>
  <c r="AC76" i="34"/>
  <c r="M83" i="34"/>
  <c r="Q83" i="34"/>
  <c r="U83" i="34"/>
  <c r="AC83" i="34"/>
  <c r="P83" i="34"/>
  <c r="J83" i="34"/>
  <c r="N83" i="34"/>
  <c r="R83" i="34"/>
  <c r="Z83" i="34"/>
  <c r="T83" i="34"/>
  <c r="K83" i="34"/>
  <c r="S83" i="34"/>
  <c r="W83" i="34"/>
  <c r="AA83" i="34"/>
  <c r="L83" i="34"/>
  <c r="X83" i="34"/>
  <c r="P82" i="34"/>
  <c r="T82" i="34"/>
  <c r="X82" i="34"/>
  <c r="H82" i="34"/>
  <c r="S82" i="34"/>
  <c r="I82" i="34"/>
  <c r="M82" i="34"/>
  <c r="Q82" i="34"/>
  <c r="Y82" i="34"/>
  <c r="AC82" i="34"/>
  <c r="W82" i="34"/>
  <c r="J82" i="34"/>
  <c r="R82" i="34"/>
  <c r="V82" i="34"/>
  <c r="Z82" i="34"/>
  <c r="O82" i="34"/>
  <c r="AA82" i="34"/>
  <c r="M71" i="34"/>
  <c r="Q71" i="34"/>
  <c r="U71" i="34"/>
  <c r="AC71" i="34"/>
  <c r="P71" i="34"/>
  <c r="J71" i="34"/>
  <c r="N71" i="34"/>
  <c r="V71" i="34"/>
  <c r="Z71" i="34"/>
  <c r="H71" i="34"/>
  <c r="K71" i="34"/>
  <c r="O71" i="34"/>
  <c r="W71" i="34"/>
  <c r="AA71" i="34"/>
  <c r="L71" i="34"/>
  <c r="T71" i="34"/>
  <c r="AB71" i="34"/>
  <c r="N72" i="34"/>
  <c r="R72" i="34"/>
  <c r="V72" i="34"/>
  <c r="Q72" i="34"/>
  <c r="K72" i="34"/>
  <c r="O72" i="34"/>
  <c r="S72" i="34"/>
  <c r="AA72" i="34"/>
  <c r="L72" i="34"/>
  <c r="P72" i="34"/>
  <c r="X72" i="34"/>
  <c r="AB72" i="34"/>
  <c r="M72" i="34"/>
  <c r="U72" i="34"/>
  <c r="AC72" i="34"/>
  <c r="J68" i="34"/>
  <c r="V68" i="34"/>
  <c r="W68" i="34"/>
  <c r="AC68" i="34"/>
  <c r="M68" i="34"/>
  <c r="AB68" i="34"/>
  <c r="L68" i="34"/>
  <c r="J66" i="34"/>
  <c r="T66" i="34"/>
  <c r="I66" i="34"/>
  <c r="W66" i="34"/>
  <c r="U66" i="34"/>
  <c r="N66" i="34"/>
  <c r="O55" i="34"/>
  <c r="T55" i="34"/>
  <c r="Z55" i="34"/>
  <c r="AB55" i="34"/>
  <c r="AC55" i="34"/>
  <c r="M55" i="34"/>
  <c r="P58" i="34"/>
  <c r="I58" i="34"/>
  <c r="W58" i="34"/>
  <c r="Y58" i="34"/>
  <c r="N58" i="34"/>
  <c r="S59" i="34"/>
  <c r="T59" i="34"/>
  <c r="Z59" i="34"/>
  <c r="X59" i="34"/>
  <c r="AC59" i="34"/>
  <c r="M59" i="34"/>
  <c r="J62" i="34"/>
  <c r="T62" i="34"/>
  <c r="I62" i="34"/>
  <c r="W62" i="34"/>
  <c r="AC62" i="34"/>
  <c r="N62" i="34"/>
  <c r="P54" i="34"/>
  <c r="I54" i="34"/>
  <c r="W54" i="34"/>
  <c r="AC54" i="34"/>
  <c r="N54" i="34"/>
  <c r="Y61" i="34"/>
  <c r="I61" i="34"/>
  <c r="P61" i="34"/>
  <c r="V61" i="34"/>
  <c r="AA61" i="34"/>
  <c r="K61" i="34"/>
  <c r="O63" i="34"/>
  <c r="R63" i="34"/>
  <c r="P63" i="34"/>
  <c r="AC63" i="34"/>
  <c r="M63" i="34"/>
  <c r="R69" i="34"/>
  <c r="U69" i="34"/>
  <c r="V69" i="34"/>
  <c r="T69" i="34"/>
  <c r="N69" i="34"/>
  <c r="AA69" i="34"/>
  <c r="K69" i="34"/>
  <c r="H60" i="34"/>
  <c r="Z60" i="34"/>
  <c r="AC60" i="34"/>
  <c r="M60" i="34"/>
  <c r="AB60" i="34"/>
  <c r="L60" i="34"/>
  <c r="T67" i="34"/>
  <c r="W67" i="34"/>
  <c r="AB67" i="34"/>
  <c r="N67" i="34"/>
  <c r="L67" i="34"/>
  <c r="Y67" i="34"/>
  <c r="Y57" i="34"/>
  <c r="H57" i="34"/>
  <c r="X57" i="34"/>
  <c r="I57" i="34"/>
  <c r="J57" i="34"/>
  <c r="W57" i="34"/>
  <c r="AA64" i="34"/>
  <c r="R64" i="34"/>
  <c r="I64" i="34"/>
  <c r="U64" i="34"/>
  <c r="W64" i="34"/>
  <c r="X64" i="34"/>
  <c r="Y65" i="34"/>
  <c r="X65" i="34"/>
  <c r="Z65" i="34"/>
  <c r="O65" i="34"/>
  <c r="K56" i="34"/>
  <c r="N56" i="34"/>
  <c r="Q56" i="34"/>
  <c r="P56" i="34"/>
  <c r="P78" i="34"/>
  <c r="T78" i="34"/>
  <c r="X78" i="34"/>
  <c r="AB78" i="34"/>
  <c r="H78" i="34"/>
  <c r="K78" i="34"/>
  <c r="W78" i="34"/>
  <c r="I78" i="34"/>
  <c r="M78" i="34"/>
  <c r="Q78" i="34"/>
  <c r="U78" i="34"/>
  <c r="Y78" i="34"/>
  <c r="AC78" i="34"/>
  <c r="S78" i="34"/>
  <c r="J78" i="34"/>
  <c r="N78" i="34"/>
  <c r="R78" i="34"/>
  <c r="V78" i="34"/>
  <c r="Z78" i="34"/>
  <c r="O78" i="34"/>
  <c r="AA78" i="34"/>
  <c r="K81" i="34"/>
  <c r="O81" i="34"/>
  <c r="S81" i="34"/>
  <c r="W81" i="34"/>
  <c r="AA81" i="34"/>
  <c r="N81" i="34"/>
  <c r="Z81" i="34"/>
  <c r="L81" i="34"/>
  <c r="P81" i="34"/>
  <c r="T81" i="34"/>
  <c r="X81" i="34"/>
  <c r="AB81" i="34"/>
  <c r="J81" i="34"/>
  <c r="V81" i="34"/>
  <c r="I81" i="34"/>
  <c r="M81" i="34"/>
  <c r="Q81" i="34"/>
  <c r="U81" i="34"/>
  <c r="Y81" i="34"/>
  <c r="AC81" i="34"/>
  <c r="R81" i="34"/>
  <c r="H81" i="34"/>
  <c r="J80" i="34"/>
  <c r="N80" i="34"/>
  <c r="R80" i="34"/>
  <c r="V80" i="34"/>
  <c r="Z80" i="34"/>
  <c r="Q80" i="34"/>
  <c r="AC80" i="34"/>
  <c r="K80" i="34"/>
  <c r="O80" i="34"/>
  <c r="S80" i="34"/>
  <c r="W80" i="34"/>
  <c r="AA80" i="34"/>
  <c r="M80" i="34"/>
  <c r="Y80" i="34"/>
  <c r="L80" i="34"/>
  <c r="P80" i="34"/>
  <c r="T80" i="34"/>
  <c r="X80" i="34"/>
  <c r="AB80" i="34"/>
  <c r="H80" i="34"/>
  <c r="I80" i="34"/>
  <c r="U80" i="34"/>
  <c r="AA68" i="34"/>
  <c r="R68" i="34"/>
  <c r="K68" i="34"/>
  <c r="Y68" i="34"/>
  <c r="X68" i="34"/>
  <c r="P66" i="34"/>
  <c r="S66" i="34"/>
  <c r="M66" i="34"/>
  <c r="Z66" i="34"/>
  <c r="X55" i="34"/>
  <c r="AA55" i="34"/>
  <c r="K55" i="34"/>
  <c r="H55" i="34"/>
  <c r="V55" i="34"/>
  <c r="P55" i="34"/>
  <c r="Y55" i="34"/>
  <c r="AC58" i="34"/>
  <c r="AB58" i="34"/>
  <c r="L58" i="34"/>
  <c r="S58" i="34"/>
  <c r="M58" i="34"/>
  <c r="Z58" i="34"/>
  <c r="I59" i="34"/>
  <c r="O59" i="34"/>
  <c r="H59" i="34"/>
  <c r="V59" i="34"/>
  <c r="L59" i="34"/>
  <c r="Y59" i="34"/>
  <c r="P62" i="34"/>
  <c r="S62" i="34"/>
  <c r="Q62" i="34"/>
  <c r="Z62" i="34"/>
  <c r="Y54" i="34"/>
  <c r="AB54" i="34"/>
  <c r="L54" i="34"/>
  <c r="S54" i="34"/>
  <c r="M54" i="34"/>
  <c r="Z54" i="34"/>
  <c r="Z61" i="34"/>
  <c r="U61" i="34"/>
  <c r="AB61" i="34"/>
  <c r="L61" i="34"/>
  <c r="J61" i="34"/>
  <c r="W61" i="34"/>
  <c r="AA63" i="34"/>
  <c r="K63" i="34"/>
  <c r="N63" i="34"/>
  <c r="H63" i="34"/>
  <c r="Y63" i="34"/>
  <c r="I69" i="34"/>
  <c r="Q69" i="34"/>
  <c r="P69" i="34"/>
  <c r="J69" i="34"/>
  <c r="W69" i="34"/>
  <c r="J60" i="34"/>
  <c r="V60" i="34"/>
  <c r="S60" i="34"/>
  <c r="Y60" i="34"/>
  <c r="AA60" i="34"/>
  <c r="X60" i="34"/>
  <c r="S67" i="34"/>
  <c r="P67" i="34"/>
  <c r="Z67" i="34"/>
  <c r="I67" i="34"/>
  <c r="J67" i="34"/>
  <c r="U67" i="34"/>
  <c r="V57" i="34"/>
  <c r="U57" i="34"/>
  <c r="R57" i="34"/>
  <c r="T57" i="34"/>
  <c r="S57" i="34"/>
  <c r="S64" i="34"/>
  <c r="N64" i="34"/>
  <c r="Q64" i="34"/>
  <c r="K64" i="34"/>
  <c r="T64" i="34"/>
  <c r="N65" i="34"/>
  <c r="U65" i="34"/>
  <c r="V65" i="34"/>
  <c r="T65" i="34"/>
  <c r="R65" i="34"/>
  <c r="AA65" i="34"/>
  <c r="K65" i="34"/>
  <c r="H56" i="34"/>
  <c r="Z56" i="34"/>
  <c r="AC56" i="34"/>
  <c r="M56" i="34"/>
  <c r="AB56" i="34"/>
  <c r="L56" i="34"/>
  <c r="C73" i="34"/>
  <c r="M31" i="45" l="1"/>
  <c r="P31" i="68" s="1"/>
  <c r="J31" i="45"/>
  <c r="M31" i="68" s="1"/>
  <c r="Q33" i="45"/>
  <c r="T33" i="68" s="1"/>
  <c r="J33" i="45"/>
  <c r="M33" i="68" s="1"/>
  <c r="K33" i="45"/>
  <c r="N33" i="68" s="1"/>
  <c r="F31" i="45"/>
  <c r="I31" i="68" s="1"/>
  <c r="T31" i="45"/>
  <c r="W31" i="68" s="1"/>
  <c r="W31" i="45"/>
  <c r="Z31" i="68" s="1"/>
  <c r="O77" i="34"/>
  <c r="AB77" i="34"/>
  <c r="Q77" i="34"/>
  <c r="I84" i="34"/>
  <c r="AA84" i="34"/>
  <c r="Y39" i="45" s="1"/>
  <c r="AB39" i="68" s="1"/>
  <c r="P84" i="34"/>
  <c r="N39" i="45" s="1"/>
  <c r="Q39" i="68" s="1"/>
  <c r="X74" i="34"/>
  <c r="O74" i="34"/>
  <c r="Q74" i="34"/>
  <c r="N74" i="34"/>
  <c r="W85" i="34"/>
  <c r="N85" i="34"/>
  <c r="P85" i="34"/>
  <c r="I85" i="34"/>
  <c r="Y85" i="34"/>
  <c r="V85" i="34"/>
  <c r="W73" i="34"/>
  <c r="J73" i="34"/>
  <c r="P73" i="34"/>
  <c r="N35" i="45" s="1"/>
  <c r="Q35" i="68" s="1"/>
  <c r="M73" i="34"/>
  <c r="AC73" i="34"/>
  <c r="H73" i="34"/>
  <c r="I75" i="34"/>
  <c r="Y75" i="34"/>
  <c r="X75" i="34"/>
  <c r="V75" i="34"/>
  <c r="H75" i="34"/>
  <c r="O75" i="34"/>
  <c r="L70" i="34"/>
  <c r="AB70" i="34"/>
  <c r="S70" i="34"/>
  <c r="M70" i="34"/>
  <c r="AC70" i="34"/>
  <c r="R70" i="34"/>
  <c r="I79" i="34"/>
  <c r="Y79" i="34"/>
  <c r="V79" i="34"/>
  <c r="H79" i="34"/>
  <c r="O79" i="34"/>
  <c r="J76" i="34"/>
  <c r="Z76" i="34"/>
  <c r="X36" i="45" s="1"/>
  <c r="AA36" i="68" s="1"/>
  <c r="Y76" i="34"/>
  <c r="W76" i="34"/>
  <c r="Q76" i="34"/>
  <c r="T76" i="34"/>
  <c r="H76" i="34"/>
  <c r="I83" i="34"/>
  <c r="Y83" i="34"/>
  <c r="AB83" i="34"/>
  <c r="V83" i="34"/>
  <c r="H83" i="34"/>
  <c r="O83" i="34"/>
  <c r="L82" i="34"/>
  <c r="AB82" i="34"/>
  <c r="U82" i="34"/>
  <c r="K82" i="34"/>
  <c r="N82" i="34"/>
  <c r="I71" i="34"/>
  <c r="Y71" i="34"/>
  <c r="X71" i="34"/>
  <c r="V35" i="45" s="1"/>
  <c r="Y35" i="68" s="1"/>
  <c r="R71" i="34"/>
  <c r="S71" i="34"/>
  <c r="J72" i="34"/>
  <c r="Z72" i="34"/>
  <c r="X35" i="45" s="1"/>
  <c r="AA35" i="68" s="1"/>
  <c r="Y72" i="34"/>
  <c r="W72" i="34"/>
  <c r="I72" i="34"/>
  <c r="T72" i="34"/>
  <c r="R35" i="45" s="1"/>
  <c r="U35" i="68" s="1"/>
  <c r="H72" i="34"/>
  <c r="F35" i="45" s="1"/>
  <c r="I35" i="68" s="1"/>
  <c r="L78" i="34"/>
  <c r="J36" i="45" s="1"/>
  <c r="M36" i="68" s="1"/>
  <c r="S84" i="34"/>
  <c r="Q39" i="45" s="1"/>
  <c r="T39" i="68" s="1"/>
  <c r="V84" i="34"/>
  <c r="T39" i="45" s="1"/>
  <c r="W39" i="68" s="1"/>
  <c r="Y77" i="34"/>
  <c r="P77" i="34"/>
  <c r="N36" i="45" s="1"/>
  <c r="Q36" i="68" s="1"/>
  <c r="W77" i="34"/>
  <c r="O32" i="45"/>
  <c r="R32" i="68" s="1"/>
  <c r="Y84" i="34"/>
  <c r="X84" i="34"/>
  <c r="V39" i="45" s="1"/>
  <c r="Y39" i="68" s="1"/>
  <c r="O84" i="34"/>
  <c r="J84" i="34"/>
  <c r="H39" i="45" s="1"/>
  <c r="K39" i="68" s="1"/>
  <c r="AC77" i="34"/>
  <c r="I77" i="34"/>
  <c r="T77" i="34"/>
  <c r="J77" i="34"/>
  <c r="S77" i="34"/>
  <c r="Q36" i="45" s="1"/>
  <c r="T36" i="68" s="1"/>
  <c r="H84" i="34"/>
  <c r="T84" i="34"/>
  <c r="Q84" i="34"/>
  <c r="O39" i="45" s="1"/>
  <c r="R39" i="68" s="1"/>
  <c r="W84" i="34"/>
  <c r="AC84" i="34"/>
  <c r="N84" i="34"/>
  <c r="L39" i="45" s="1"/>
  <c r="O39" i="68" s="1"/>
  <c r="N77" i="34"/>
  <c r="L36" i="45" s="1"/>
  <c r="O36" i="68" s="1"/>
  <c r="U77" i="34"/>
  <c r="S36" i="45" s="1"/>
  <c r="V36" i="68" s="1"/>
  <c r="X77" i="34"/>
  <c r="H77" i="34"/>
  <c r="M32" i="45"/>
  <c r="P32" i="68" s="1"/>
  <c r="T29" i="45"/>
  <c r="W29" i="68" s="1"/>
  <c r="F28" i="45"/>
  <c r="I28" i="68" s="1"/>
  <c r="U30" i="45"/>
  <c r="X30" i="68" s="1"/>
  <c r="O29" i="45"/>
  <c r="R29" i="68" s="1"/>
  <c r="U33" i="45"/>
  <c r="X33" i="68" s="1"/>
  <c r="Y30" i="45"/>
  <c r="AB30" i="68" s="1"/>
  <c r="Q29" i="45"/>
  <c r="T29" i="68" s="1"/>
  <c r="N30" i="45"/>
  <c r="Q30" i="68" s="1"/>
  <c r="L28" i="45"/>
  <c r="O28" i="68" s="1"/>
  <c r="U29" i="45"/>
  <c r="X29" i="68" s="1"/>
  <c r="M38" i="45"/>
  <c r="P38" i="68" s="1"/>
  <c r="R38" i="45"/>
  <c r="U38" i="68" s="1"/>
  <c r="H40" i="45"/>
  <c r="K40" i="68" s="1"/>
  <c r="Q40" i="45"/>
  <c r="T40" i="68" s="1"/>
  <c r="V30" i="45"/>
  <c r="Y30" i="68" s="1"/>
  <c r="P28" i="45"/>
  <c r="S28" i="68" s="1"/>
  <c r="Y29" i="45"/>
  <c r="AB29" i="68" s="1"/>
  <c r="S32" i="45"/>
  <c r="V32" i="68" s="1"/>
  <c r="N32" i="45"/>
  <c r="Q32" i="68" s="1"/>
  <c r="H33" i="45"/>
  <c r="K33" i="68" s="1"/>
  <c r="L30" i="45"/>
  <c r="O30" i="68" s="1"/>
  <c r="X28" i="45"/>
  <c r="AA28" i="68" s="1"/>
  <c r="J28" i="45"/>
  <c r="M28" i="68" s="1"/>
  <c r="X30" i="45"/>
  <c r="AA30" i="68" s="1"/>
  <c r="J32" i="45"/>
  <c r="M32" i="68" s="1"/>
  <c r="U32" i="45"/>
  <c r="X32" i="68" s="1"/>
  <c r="L33" i="45"/>
  <c r="O33" i="68" s="1"/>
  <c r="P33" i="45"/>
  <c r="S33" i="68" s="1"/>
  <c r="P30" i="45"/>
  <c r="S30" i="68" s="1"/>
  <c r="N28" i="45"/>
  <c r="Q28" i="68" s="1"/>
  <c r="L29" i="45"/>
  <c r="O29" i="68" s="1"/>
  <c r="G29" i="45"/>
  <c r="J29" i="68" s="1"/>
  <c r="L31" i="45"/>
  <c r="O31" i="68" s="1"/>
  <c r="G31" i="45"/>
  <c r="J31" i="68" s="1"/>
  <c r="P38" i="45"/>
  <c r="S38" i="68" s="1"/>
  <c r="U38" i="45"/>
  <c r="X38" i="68" s="1"/>
  <c r="W38" i="45"/>
  <c r="Z38" i="68" s="1"/>
  <c r="G38" i="45"/>
  <c r="J38" i="68" s="1"/>
  <c r="N38" i="45"/>
  <c r="Q38" i="68" s="1"/>
  <c r="X39" i="45"/>
  <c r="AA39" i="68" s="1"/>
  <c r="K39" i="45"/>
  <c r="N39" i="68" s="1"/>
  <c r="Q37" i="45"/>
  <c r="T37" i="68" s="1"/>
  <c r="N37" i="45"/>
  <c r="Q37" i="68" s="1"/>
  <c r="X37" i="45"/>
  <c r="AA37" i="68" s="1"/>
  <c r="H37" i="45"/>
  <c r="K37" i="68" s="1"/>
  <c r="K37" i="45"/>
  <c r="N37" i="68" s="1"/>
  <c r="M35" i="45"/>
  <c r="P35" i="68" s="1"/>
  <c r="T35" i="45"/>
  <c r="W35" i="68" s="1"/>
  <c r="O35" i="45"/>
  <c r="R35" i="68" s="1"/>
  <c r="Y35" i="45"/>
  <c r="AB35" i="68" s="1"/>
  <c r="O40" i="45"/>
  <c r="R40" i="68" s="1"/>
  <c r="V40" i="45"/>
  <c r="Y40" i="68" s="1"/>
  <c r="M40" i="45"/>
  <c r="P40" i="68" s="1"/>
  <c r="I36" i="45"/>
  <c r="L36" i="68" s="1"/>
  <c r="T36" i="45"/>
  <c r="W36" i="68" s="1"/>
  <c r="V32" i="45"/>
  <c r="Y32" i="68" s="1"/>
  <c r="Y32" i="45"/>
  <c r="AB32" i="68" s="1"/>
  <c r="X33" i="45"/>
  <c r="AA33" i="68" s="1"/>
  <c r="T30" i="45"/>
  <c r="W30" i="68" s="1"/>
  <c r="R28" i="45"/>
  <c r="U28" i="68" s="1"/>
  <c r="P29" i="45"/>
  <c r="S29" i="68" s="1"/>
  <c r="S29" i="45"/>
  <c r="V29" i="68" s="1"/>
  <c r="P31" i="45"/>
  <c r="S31" i="68" s="1"/>
  <c r="M28" i="45"/>
  <c r="P28" i="68" s="1"/>
  <c r="F29" i="45"/>
  <c r="I29" i="68" s="1"/>
  <c r="X32" i="45"/>
  <c r="AA32" i="68" s="1"/>
  <c r="F30" i="45"/>
  <c r="I30" i="68" s="1"/>
  <c r="Q31" i="45"/>
  <c r="T31" i="68" s="1"/>
  <c r="S33" i="45"/>
  <c r="V33" i="68" s="1"/>
  <c r="F38" i="45"/>
  <c r="I38" i="68" s="1"/>
  <c r="J39" i="45"/>
  <c r="M39" i="68" s="1"/>
  <c r="U37" i="45"/>
  <c r="X37" i="68" s="1"/>
  <c r="L37" i="45"/>
  <c r="O37" i="68" s="1"/>
  <c r="S35" i="45"/>
  <c r="V35" i="68" s="1"/>
  <c r="F40" i="45"/>
  <c r="I40" i="68" s="1"/>
  <c r="K36" i="45"/>
  <c r="N36" i="68" s="1"/>
  <c r="H32" i="45"/>
  <c r="K32" i="68" s="1"/>
  <c r="Q32" i="45"/>
  <c r="T32" i="68" s="1"/>
  <c r="N33" i="45"/>
  <c r="Q33" i="68" s="1"/>
  <c r="G33" i="45"/>
  <c r="J33" i="68" s="1"/>
  <c r="K28" i="45"/>
  <c r="N28" i="68" s="1"/>
  <c r="X29" i="45"/>
  <c r="AA29" i="68" s="1"/>
  <c r="J29" i="45"/>
  <c r="M29" i="68" s="1"/>
  <c r="X31" i="45"/>
  <c r="AA31" i="68" s="1"/>
  <c r="N31" i="45"/>
  <c r="Q31" i="68" s="1"/>
  <c r="L32" i="45"/>
  <c r="O32" i="68" s="1"/>
  <c r="R32" i="45"/>
  <c r="U32" i="68" s="1"/>
  <c r="R33" i="45"/>
  <c r="U33" i="68" s="1"/>
  <c r="K30" i="45"/>
  <c r="N30" i="68" s="1"/>
  <c r="N29" i="45"/>
  <c r="Q29" i="68" s="1"/>
  <c r="R31" i="45"/>
  <c r="U31" i="68" s="1"/>
  <c r="I38" i="45"/>
  <c r="L38" i="68" s="1"/>
  <c r="J38" i="45"/>
  <c r="M38" i="68" s="1"/>
  <c r="J35" i="45"/>
  <c r="M35" i="68" s="1"/>
  <c r="T32" i="45"/>
  <c r="W32" i="68" s="1"/>
  <c r="G30" i="45"/>
  <c r="J30" i="68" s="1"/>
  <c r="T28" i="45"/>
  <c r="W28" i="68" s="1"/>
  <c r="V28" i="45"/>
  <c r="Y28" i="68" s="1"/>
  <c r="M29" i="45"/>
  <c r="P29" i="68" s="1"/>
  <c r="K40" i="45"/>
  <c r="N40" i="68" s="1"/>
  <c r="P40" i="45"/>
  <c r="S40" i="68" s="1"/>
  <c r="R40" i="45"/>
  <c r="U40" i="68" s="1"/>
  <c r="X40" i="45"/>
  <c r="AA40" i="68" s="1"/>
  <c r="Y40" i="45"/>
  <c r="AB40" i="68" s="1"/>
  <c r="I40" i="45"/>
  <c r="L40" i="68" s="1"/>
  <c r="P36" i="45"/>
  <c r="S36" i="68" s="1"/>
  <c r="Y36" i="45"/>
  <c r="AB36" i="68" s="1"/>
  <c r="P32" i="45"/>
  <c r="S32" i="68" s="1"/>
  <c r="V33" i="45"/>
  <c r="Y33" i="68" s="1"/>
  <c r="O30" i="45"/>
  <c r="R30" i="68" s="1"/>
  <c r="J30" i="45"/>
  <c r="M30" i="68" s="1"/>
  <c r="I28" i="45"/>
  <c r="L28" i="68" s="1"/>
  <c r="H28" i="45"/>
  <c r="K28" i="68" s="1"/>
  <c r="R29" i="45"/>
  <c r="U29" i="68" s="1"/>
  <c r="V31" i="45"/>
  <c r="Y31" i="68" s="1"/>
  <c r="F32" i="45"/>
  <c r="I32" i="68" s="1"/>
  <c r="O33" i="45"/>
  <c r="R33" i="68" s="1"/>
  <c r="W32" i="45"/>
  <c r="Z32" i="68" s="1"/>
  <c r="Y33" i="45"/>
  <c r="AB33" i="68" s="1"/>
  <c r="G28" i="45"/>
  <c r="J28" i="68" s="1"/>
  <c r="U31" i="45"/>
  <c r="X31" i="68" s="1"/>
  <c r="T38" i="45"/>
  <c r="W38" i="68" s="1"/>
  <c r="K38" i="45"/>
  <c r="N38" i="68" s="1"/>
  <c r="J37" i="45"/>
  <c r="M37" i="68" s="1"/>
  <c r="O37" i="45"/>
  <c r="R37" i="68" s="1"/>
  <c r="S40" i="45"/>
  <c r="V40" i="68" s="1"/>
  <c r="J40" i="45"/>
  <c r="M40" i="68" s="1"/>
  <c r="I32" i="45"/>
  <c r="L32" i="68" s="1"/>
  <c r="W33" i="45"/>
  <c r="Z33" i="68" s="1"/>
  <c r="S28" i="45"/>
  <c r="V28" i="68" s="1"/>
  <c r="Y31" i="45"/>
  <c r="AB31" i="68" s="1"/>
  <c r="G32" i="45"/>
  <c r="J32" i="68" s="1"/>
  <c r="W30" i="45"/>
  <c r="Z30" i="68" s="1"/>
  <c r="I30" i="45"/>
  <c r="L30" i="68" s="1"/>
  <c r="Q28" i="45"/>
  <c r="T28" i="68" s="1"/>
  <c r="W28" i="45"/>
  <c r="Z28" i="68" s="1"/>
  <c r="K29" i="45"/>
  <c r="N29" i="68" s="1"/>
  <c r="K31" i="45"/>
  <c r="N31" i="68" s="1"/>
  <c r="S30" i="45"/>
  <c r="V30" i="68" s="1"/>
  <c r="R30" i="45"/>
  <c r="U30" i="68" s="1"/>
  <c r="I33" i="45"/>
  <c r="L33" i="68" s="1"/>
  <c r="T33" i="45"/>
  <c r="W33" i="68" s="1"/>
  <c r="M30" i="45"/>
  <c r="P30" i="68" s="1"/>
  <c r="U28" i="45"/>
  <c r="X28" i="68" s="1"/>
  <c r="W29" i="45"/>
  <c r="Z29" i="68" s="1"/>
  <c r="S31" i="45"/>
  <c r="V31" i="68" s="1"/>
  <c r="H31" i="45"/>
  <c r="K31" i="68" s="1"/>
  <c r="Y38" i="45"/>
  <c r="AB38" i="68" s="1"/>
  <c r="X38" i="45"/>
  <c r="AA38" i="68" s="1"/>
  <c r="H38" i="45"/>
  <c r="K38" i="68" s="1"/>
  <c r="O38" i="45"/>
  <c r="R38" i="68" s="1"/>
  <c r="Q38" i="45"/>
  <c r="T38" i="68" s="1"/>
  <c r="V38" i="45"/>
  <c r="Y38" i="68" s="1"/>
  <c r="I39" i="45"/>
  <c r="L39" i="68" s="1"/>
  <c r="P39" i="45"/>
  <c r="S39" i="68" s="1"/>
  <c r="S39" i="45"/>
  <c r="V39" i="68" s="1"/>
  <c r="V37" i="45"/>
  <c r="Y37" i="68" s="1"/>
  <c r="Y37" i="45"/>
  <c r="AB37" i="68" s="1"/>
  <c r="I37" i="45"/>
  <c r="L37" i="68" s="1"/>
  <c r="P37" i="45"/>
  <c r="S37" i="68" s="1"/>
  <c r="R37" i="45"/>
  <c r="U37" i="68" s="1"/>
  <c r="S37" i="45"/>
  <c r="V37" i="68" s="1"/>
  <c r="L35" i="45"/>
  <c r="O35" i="68" s="1"/>
  <c r="I35" i="45"/>
  <c r="L35" i="68" s="1"/>
  <c r="N40" i="45"/>
  <c r="Q40" i="68" s="1"/>
  <c r="K32" i="45"/>
  <c r="N32" i="68" s="1"/>
  <c r="M33" i="45"/>
  <c r="P33" i="68" s="1"/>
  <c r="F33" i="45"/>
  <c r="I33" i="68" s="1"/>
  <c r="Q30" i="45"/>
  <c r="T30" i="68" s="1"/>
  <c r="Y28" i="45"/>
  <c r="AB28" i="68" s="1"/>
  <c r="I29" i="45"/>
  <c r="L29" i="68" s="1"/>
  <c r="H29" i="45"/>
  <c r="K29" i="68" s="1"/>
  <c r="I31" i="45"/>
  <c r="L31" i="68" s="1"/>
  <c r="O31" i="45"/>
  <c r="R31" i="68" s="1"/>
  <c r="H30" i="45"/>
  <c r="K30" i="68" s="1"/>
  <c r="O28" i="45"/>
  <c r="R28" i="68" s="1"/>
  <c r="R27" i="68" s="1"/>
  <c r="V29" i="45"/>
  <c r="Y29" i="68" s="1"/>
  <c r="E25" i="36"/>
  <c r="E26" i="36"/>
  <c r="E27" i="36"/>
  <c r="E28" i="36"/>
  <c r="E29" i="36"/>
  <c r="E30" i="36"/>
  <c r="E31" i="36"/>
  <c r="E32" i="36"/>
  <c r="E33" i="36"/>
  <c r="E34" i="36"/>
  <c r="E36" i="36"/>
  <c r="E37" i="36"/>
  <c r="E38" i="36"/>
  <c r="E39" i="36"/>
  <c r="E35" i="36"/>
  <c r="E24" i="36"/>
  <c r="C39" i="36"/>
  <c r="C99" i="33" s="1"/>
  <c r="C115" i="33" s="1"/>
  <c r="C131" i="33" s="1"/>
  <c r="C147" i="33" s="1"/>
  <c r="C37" i="36"/>
  <c r="C97" i="33" s="1"/>
  <c r="C113" i="33" s="1"/>
  <c r="C129" i="33" s="1"/>
  <c r="C145" i="33" s="1"/>
  <c r="C36" i="36"/>
  <c r="C96" i="33" s="1"/>
  <c r="C112" i="33" s="1"/>
  <c r="C128" i="33" s="1"/>
  <c r="C144" i="33" s="1"/>
  <c r="C33" i="36"/>
  <c r="C93" i="33" s="1"/>
  <c r="C109" i="33" s="1"/>
  <c r="C125" i="33" s="1"/>
  <c r="C141" i="33" s="1"/>
  <c r="C28" i="36"/>
  <c r="C88" i="33" s="1"/>
  <c r="C104" i="33" s="1"/>
  <c r="C120" i="33" s="1"/>
  <c r="C136" i="33" s="1"/>
  <c r="C24" i="36"/>
  <c r="C84" i="33" s="1"/>
  <c r="C100" i="33" s="1"/>
  <c r="C116" i="33" s="1"/>
  <c r="C132" i="33" s="1"/>
  <c r="B24" i="36"/>
  <c r="B25" i="36" s="1"/>
  <c r="B26" i="36" s="1"/>
  <c r="B27" i="36" s="1"/>
  <c r="B28" i="36" s="1"/>
  <c r="B29" i="36" s="1"/>
  <c r="B30" i="36" s="1"/>
  <c r="B31" i="36" s="1"/>
  <c r="B32" i="36" s="1"/>
  <c r="B33" i="36" s="1"/>
  <c r="B34" i="36" s="1"/>
  <c r="B36" i="36" s="1"/>
  <c r="B37" i="36" s="1"/>
  <c r="B38" i="36" s="1"/>
  <c r="B39" i="36" s="1"/>
  <c r="B35" i="36" s="1"/>
  <c r="A24" i="36"/>
  <c r="A25" i="36" s="1"/>
  <c r="A26" i="36" s="1"/>
  <c r="A27" i="36" s="1"/>
  <c r="A28" i="36" s="1"/>
  <c r="A29" i="36" s="1"/>
  <c r="A30" i="36" s="1"/>
  <c r="A31" i="36" s="1"/>
  <c r="A32" i="36" s="1"/>
  <c r="A33" i="36" s="1"/>
  <c r="A34" i="36" s="1"/>
  <c r="A36" i="36" s="1"/>
  <c r="A37" i="36" s="1"/>
  <c r="A38" i="36" s="1"/>
  <c r="A39" i="36" s="1"/>
  <c r="A35" i="36" s="1"/>
  <c r="T27" i="68" l="1"/>
  <c r="T61" i="68" s="1"/>
  <c r="Q34" i="68"/>
  <c r="AB27" i="68"/>
  <c r="V27" i="68"/>
  <c r="V61" i="68" s="1"/>
  <c r="Y27" i="68"/>
  <c r="Y61" i="68" s="1"/>
  <c r="M34" i="68"/>
  <c r="AB34" i="68"/>
  <c r="AB62" i="68" s="1"/>
  <c r="Q27" i="68"/>
  <c r="Q61" i="68" s="1"/>
  <c r="AA27" i="68"/>
  <c r="AA61" i="68" s="1"/>
  <c r="K27" i="68"/>
  <c r="K61" i="68" s="1"/>
  <c r="W27" i="68"/>
  <c r="N27" i="68"/>
  <c r="N61" i="68" s="1"/>
  <c r="O27" i="68"/>
  <c r="M27" i="68"/>
  <c r="L34" i="68"/>
  <c r="X27" i="68"/>
  <c r="X61" i="68" s="1"/>
  <c r="Z27" i="68"/>
  <c r="Z61" i="68" s="1"/>
  <c r="J27" i="68"/>
  <c r="L27" i="68"/>
  <c r="L61" i="68" s="1"/>
  <c r="P27" i="68"/>
  <c r="P61" i="68" s="1"/>
  <c r="U27" i="68"/>
  <c r="S27" i="68"/>
  <c r="AA34" i="68"/>
  <c r="L62" i="68"/>
  <c r="I27" i="68"/>
  <c r="I61" i="68" s="1"/>
  <c r="M61" i="68"/>
  <c r="AB61" i="68"/>
  <c r="J61" i="68"/>
  <c r="S38" i="45"/>
  <c r="V38" i="68" s="1"/>
  <c r="V34" i="68" s="1"/>
  <c r="G37" i="45"/>
  <c r="J37" i="68" s="1"/>
  <c r="U40" i="45"/>
  <c r="X40" i="68" s="1"/>
  <c r="M37" i="45"/>
  <c r="P37" i="68" s="1"/>
  <c r="F37" i="45"/>
  <c r="I37" i="68" s="1"/>
  <c r="G40" i="45"/>
  <c r="J40" i="68" s="1"/>
  <c r="U61" i="68"/>
  <c r="W61" i="68"/>
  <c r="O61" i="68"/>
  <c r="W40" i="45"/>
  <c r="Z40" i="68" s="1"/>
  <c r="L38" i="45"/>
  <c r="O38" i="68" s="1"/>
  <c r="T37" i="45"/>
  <c r="W37" i="68" s="1"/>
  <c r="S61" i="68"/>
  <c r="W37" i="45"/>
  <c r="Z37" i="68" s="1"/>
  <c r="K35" i="45"/>
  <c r="T40" i="45"/>
  <c r="W40" i="68" s="1"/>
  <c r="L40" i="45"/>
  <c r="O40" i="68" s="1"/>
  <c r="R61" i="68"/>
  <c r="M62" i="68"/>
  <c r="Q62" i="68"/>
  <c r="G39" i="45"/>
  <c r="J39" i="68" s="1"/>
  <c r="M39" i="45"/>
  <c r="P39" i="68" s="1"/>
  <c r="G35" i="45"/>
  <c r="J35" i="68" s="1"/>
  <c r="W35" i="45"/>
  <c r="Z35" i="68" s="1"/>
  <c r="F39" i="45"/>
  <c r="I39" i="68" s="1"/>
  <c r="G36" i="45"/>
  <c r="J36" i="68" s="1"/>
  <c r="U36" i="45"/>
  <c r="X36" i="68" s="1"/>
  <c r="P35" i="45"/>
  <c r="M36" i="45"/>
  <c r="Q35" i="45"/>
  <c r="W36" i="45"/>
  <c r="Z36" i="68" s="1"/>
  <c r="U35" i="45"/>
  <c r="X35" i="68" s="1"/>
  <c r="H36" i="45"/>
  <c r="K36" i="68" s="1"/>
  <c r="H35" i="45"/>
  <c r="K35" i="68" s="1"/>
  <c r="O36" i="45"/>
  <c r="V36" i="45"/>
  <c r="Y27" i="45"/>
  <c r="Y61" i="45" s="1"/>
  <c r="F36" i="45"/>
  <c r="I36" i="68" s="1"/>
  <c r="U39" i="45"/>
  <c r="X39" i="68" s="1"/>
  <c r="W39" i="45"/>
  <c r="Z39" i="68" s="1"/>
  <c r="R36" i="45"/>
  <c r="U36" i="68" s="1"/>
  <c r="R39" i="45"/>
  <c r="U39" i="68" s="1"/>
  <c r="I34" i="45"/>
  <c r="I62" i="45" s="1"/>
  <c r="S27" i="45"/>
  <c r="S61" i="45" s="1"/>
  <c r="V27" i="45"/>
  <c r="V61" i="45" s="1"/>
  <c r="F27" i="45"/>
  <c r="F61" i="45" s="1"/>
  <c r="N34" i="45"/>
  <c r="N62" i="45" s="1"/>
  <c r="N27" i="45"/>
  <c r="N61" i="45" s="1"/>
  <c r="I27" i="45"/>
  <c r="I61" i="45" s="1"/>
  <c r="J27" i="45"/>
  <c r="J61" i="45" s="1"/>
  <c r="U27" i="45"/>
  <c r="U61" i="45" s="1"/>
  <c r="G27" i="45"/>
  <c r="G61" i="45" s="1"/>
  <c r="K27" i="45"/>
  <c r="K61" i="45" s="1"/>
  <c r="R27" i="45"/>
  <c r="R61" i="45" s="1"/>
  <c r="Y34" i="45"/>
  <c r="Y62" i="45" s="1"/>
  <c r="T34" i="45"/>
  <c r="T62" i="45" s="1"/>
  <c r="X34" i="45"/>
  <c r="X62" i="45" s="1"/>
  <c r="L27" i="45"/>
  <c r="L61" i="45" s="1"/>
  <c r="W27" i="45"/>
  <c r="W61" i="45" s="1"/>
  <c r="O27" i="45"/>
  <c r="O61" i="45" s="1"/>
  <c r="L34" i="45"/>
  <c r="L62" i="45" s="1"/>
  <c r="Q27" i="45"/>
  <c r="Q61" i="45" s="1"/>
  <c r="J34" i="45"/>
  <c r="J62" i="45" s="1"/>
  <c r="H27" i="45"/>
  <c r="H61" i="45" s="1"/>
  <c r="T27" i="45"/>
  <c r="T61" i="45" s="1"/>
  <c r="M27" i="45"/>
  <c r="M61" i="45" s="1"/>
  <c r="X27" i="45"/>
  <c r="X61" i="45" s="1"/>
  <c r="P27" i="45"/>
  <c r="P61" i="45" s="1"/>
  <c r="C34" i="36"/>
  <c r="C94" i="33" s="1"/>
  <c r="C110" i="33" s="1"/>
  <c r="C126" i="33" s="1"/>
  <c r="C142" i="33" s="1"/>
  <c r="C25" i="36"/>
  <c r="C85" i="33" s="1"/>
  <c r="C101" i="33" s="1"/>
  <c r="C117" i="33" s="1"/>
  <c r="C133" i="33" s="1"/>
  <c r="C29" i="36"/>
  <c r="C38" i="36"/>
  <c r="C98" i="33" s="1"/>
  <c r="C114" i="33" s="1"/>
  <c r="C130" i="33" s="1"/>
  <c r="C146" i="33" s="1"/>
  <c r="C35" i="36"/>
  <c r="C95" i="33" s="1"/>
  <c r="C111" i="33" s="1"/>
  <c r="C127" i="33" s="1"/>
  <c r="C143" i="33" s="1"/>
  <c r="I34" i="68" l="1"/>
  <c r="I62" i="68" s="1"/>
  <c r="W34" i="68"/>
  <c r="O34" i="68"/>
  <c r="X34" i="68"/>
  <c r="X62" i="68" s="1"/>
  <c r="U34" i="68"/>
  <c r="U62" i="68" s="1"/>
  <c r="V34" i="45"/>
  <c r="V62" i="45" s="1"/>
  <c r="Y36" i="68"/>
  <c r="Y34" i="68" s="1"/>
  <c r="Y62" i="68" s="1"/>
  <c r="P34" i="45"/>
  <c r="P62" i="45" s="1"/>
  <c r="S35" i="68"/>
  <c r="S34" i="68" s="1"/>
  <c r="S62" i="68" s="1"/>
  <c r="Z34" i="68"/>
  <c r="S34" i="45"/>
  <c r="S62" i="45" s="1"/>
  <c r="O34" i="45"/>
  <c r="O62" i="45" s="1"/>
  <c r="R36" i="68"/>
  <c r="R34" i="68" s="1"/>
  <c r="R62" i="68" s="1"/>
  <c r="J34" i="68"/>
  <c r="J62" i="68" s="1"/>
  <c r="M34" i="45"/>
  <c r="M62" i="45" s="1"/>
  <c r="P36" i="68"/>
  <c r="P34" i="68" s="1"/>
  <c r="P62" i="68" s="1"/>
  <c r="K34" i="45"/>
  <c r="K62" i="45" s="1"/>
  <c r="N35" i="68"/>
  <c r="N34" i="68" s="1"/>
  <c r="N62" i="68" s="1"/>
  <c r="K34" i="68"/>
  <c r="K62" i="68" s="1"/>
  <c r="Q34" i="45"/>
  <c r="Q62" i="45" s="1"/>
  <c r="T35" i="68"/>
  <c r="T34" i="68" s="1"/>
  <c r="T62" i="68" s="1"/>
  <c r="Z62" i="68"/>
  <c r="V62" i="68"/>
  <c r="W62" i="68"/>
  <c r="O62" i="68"/>
  <c r="G34" i="45"/>
  <c r="G62" i="45" s="1"/>
  <c r="AA62" i="68"/>
  <c r="F34" i="45"/>
  <c r="F62" i="45" s="1"/>
  <c r="H34" i="45"/>
  <c r="H62" i="45" s="1"/>
  <c r="W34" i="45"/>
  <c r="W62" i="45" s="1"/>
  <c r="U34" i="45"/>
  <c r="U62" i="45" s="1"/>
  <c r="R34" i="45"/>
  <c r="R62" i="45" s="1"/>
  <c r="C26" i="36"/>
  <c r="C27" i="36" s="1"/>
  <c r="C87" i="33" s="1"/>
  <c r="C103" i="33" s="1"/>
  <c r="C119" i="33" s="1"/>
  <c r="C135" i="33" s="1"/>
  <c r="C89" i="33"/>
  <c r="C105" i="33" s="1"/>
  <c r="C121" i="33" s="1"/>
  <c r="C137" i="33" s="1"/>
  <c r="C30" i="36"/>
  <c r="C86" i="33" l="1"/>
  <c r="C102" i="33" s="1"/>
  <c r="C118" i="33" s="1"/>
  <c r="C134" i="33" s="1"/>
  <c r="C90" i="33"/>
  <c r="C106" i="33" s="1"/>
  <c r="C122" i="33" s="1"/>
  <c r="C138" i="33" s="1"/>
  <c r="C31" i="36"/>
  <c r="C91" i="33" l="1"/>
  <c r="C107" i="33" s="1"/>
  <c r="C123" i="33" s="1"/>
  <c r="C139" i="33" s="1"/>
  <c r="C32" i="36"/>
  <c r="C92" i="33" s="1"/>
  <c r="C108" i="33" s="1"/>
  <c r="C124" i="33" s="1"/>
  <c r="C140" i="33" s="1"/>
  <c r="E21" i="45" l="1"/>
  <c r="D21" i="45"/>
  <c r="C21" i="62" s="1"/>
  <c r="B20" i="45"/>
  <c r="B21" i="45" s="1"/>
  <c r="B22" i="45" s="1"/>
  <c r="B23" i="45" s="1"/>
  <c r="B24" i="45" s="1"/>
  <c r="B25" i="45" s="1"/>
  <c r="B26" i="45" s="1"/>
  <c r="B19" i="45" s="1"/>
  <c r="B60" i="45" s="1"/>
  <c r="C26" i="45"/>
  <c r="A24" i="62" s="1"/>
  <c r="B24" i="62" s="1"/>
  <c r="B12" i="45"/>
  <c r="B13" i="45" s="1"/>
  <c r="E6" i="45"/>
  <c r="D6" i="45"/>
  <c r="C8" i="62" s="1"/>
  <c r="B36" i="34"/>
  <c r="B37" i="34" s="1"/>
  <c r="B38" i="34" s="1"/>
  <c r="B39" i="34" s="1"/>
  <c r="B40" i="34" s="1"/>
  <c r="B41" i="34" s="1"/>
  <c r="B42" i="34" s="1"/>
  <c r="B43" i="34" s="1"/>
  <c r="B44" i="34" s="1"/>
  <c r="B45" i="34" s="1"/>
  <c r="B46" i="34" s="1"/>
  <c r="B47" i="34" s="1"/>
  <c r="B48" i="34" s="1"/>
  <c r="B49" i="34" s="1"/>
  <c r="B50" i="34" s="1"/>
  <c r="B51" i="34" s="1"/>
  <c r="B52" i="34" s="1"/>
  <c r="B53" i="34" s="1"/>
  <c r="B18" i="34"/>
  <c r="B19" i="34" s="1"/>
  <c r="B20" i="34" s="1"/>
  <c r="B21" i="34" s="1"/>
  <c r="B22" i="34" s="1"/>
  <c r="B23" i="34" s="1"/>
  <c r="B24" i="34" s="1"/>
  <c r="B25" i="34" s="1"/>
  <c r="B26" i="34" s="1"/>
  <c r="B27" i="34" s="1"/>
  <c r="B28" i="34" s="1"/>
  <c r="B29" i="34" s="1"/>
  <c r="B30" i="34" s="1"/>
  <c r="B31" i="34" s="1"/>
  <c r="B32" i="34" s="1"/>
  <c r="B33" i="34" s="1"/>
  <c r="B34" i="34" s="1"/>
  <c r="B35" i="34" s="1"/>
  <c r="B4" i="34"/>
  <c r="B5" i="34" s="1"/>
  <c r="B6" i="34" s="1"/>
  <c r="B7" i="34" s="1"/>
  <c r="B8" i="34" s="1"/>
  <c r="B9" i="34" s="1"/>
  <c r="B10" i="34" s="1"/>
  <c r="B11" i="34" s="1"/>
  <c r="B12" i="34" s="1"/>
  <c r="B13" i="34" s="1"/>
  <c r="B14" i="34" s="1"/>
  <c r="B15" i="34" s="1"/>
  <c r="B16" i="34" s="1"/>
  <c r="B17" i="34" s="1"/>
  <c r="A4" i="34"/>
  <c r="A5" i="34" s="1"/>
  <c r="A6" i="34" s="1"/>
  <c r="A7" i="34" s="1"/>
  <c r="A8" i="34" s="1"/>
  <c r="A9" i="34" s="1"/>
  <c r="A10" i="34" s="1"/>
  <c r="A11" i="34" s="1"/>
  <c r="A12" i="34" s="1"/>
  <c r="A13" i="34" s="1"/>
  <c r="A14" i="34" s="1"/>
  <c r="A15" i="34" s="1"/>
  <c r="A16" i="34" s="1"/>
  <c r="A17" i="34" s="1"/>
  <c r="A18" i="34" s="1"/>
  <c r="A19" i="34" s="1"/>
  <c r="A20" i="34" s="1"/>
  <c r="A21" i="34" s="1"/>
  <c r="A22" i="34" s="1"/>
  <c r="A23" i="34" s="1"/>
  <c r="A24" i="34" s="1"/>
  <c r="A25" i="34" s="1"/>
  <c r="A26" i="34" s="1"/>
  <c r="A27" i="34" s="1"/>
  <c r="A28" i="34" s="1"/>
  <c r="A29" i="34" s="1"/>
  <c r="A30" i="34" s="1"/>
  <c r="A31" i="34" s="1"/>
  <c r="A32" i="34" s="1"/>
  <c r="A33" i="34" s="1"/>
  <c r="A34" i="34" s="1"/>
  <c r="A35" i="34" s="1"/>
  <c r="A36" i="34" s="1"/>
  <c r="A37" i="34" s="1"/>
  <c r="A38" i="34" s="1"/>
  <c r="A39" i="34" s="1"/>
  <c r="A40" i="34" s="1"/>
  <c r="A41" i="34" s="1"/>
  <c r="A42" i="34" s="1"/>
  <c r="A43" i="34" s="1"/>
  <c r="A44" i="34" s="1"/>
  <c r="A45" i="34" s="1"/>
  <c r="A46" i="34" s="1"/>
  <c r="A47" i="34" s="1"/>
  <c r="A48" i="34" s="1"/>
  <c r="A49" i="34" s="1"/>
  <c r="A50" i="34" s="1"/>
  <c r="A51" i="34" s="1"/>
  <c r="A52" i="34" s="1"/>
  <c r="A53" i="34" s="1"/>
  <c r="B36" i="33"/>
  <c r="B37" i="33" s="1"/>
  <c r="B38" i="33" s="1"/>
  <c r="B39" i="33" s="1"/>
  <c r="B40" i="33" s="1"/>
  <c r="B41" i="33" s="1"/>
  <c r="B42" i="33" s="1"/>
  <c r="B43" i="33" s="1"/>
  <c r="B44" i="33" s="1"/>
  <c r="B45" i="33" s="1"/>
  <c r="B46" i="33" s="1"/>
  <c r="B47" i="33" s="1"/>
  <c r="B48" i="33" s="1"/>
  <c r="B49" i="33" s="1"/>
  <c r="B50" i="33" s="1"/>
  <c r="B51" i="33" s="1"/>
  <c r="B52" i="33" s="1"/>
  <c r="B53" i="33" s="1"/>
  <c r="B54" i="33" s="1"/>
  <c r="B55" i="33" s="1"/>
  <c r="B56" i="33" s="1"/>
  <c r="B57" i="33" s="1"/>
  <c r="B58" i="33" s="1"/>
  <c r="B59" i="33" s="1"/>
  <c r="B60" i="33" s="1"/>
  <c r="B61" i="33" s="1"/>
  <c r="B62" i="33" s="1"/>
  <c r="B63" i="33" s="1"/>
  <c r="B64" i="33" s="1"/>
  <c r="B65" i="33" s="1"/>
  <c r="B66" i="33" s="1"/>
  <c r="B67" i="33" s="1"/>
  <c r="B68" i="33" s="1"/>
  <c r="B69" i="33" s="1"/>
  <c r="B70" i="33" s="1"/>
  <c r="B71" i="33" s="1"/>
  <c r="B18" i="33"/>
  <c r="B19" i="33" s="1"/>
  <c r="B20" i="33" s="1"/>
  <c r="B21" i="33" s="1"/>
  <c r="B22" i="33" s="1"/>
  <c r="B23" i="33" s="1"/>
  <c r="B24" i="33" s="1"/>
  <c r="B25" i="33" s="1"/>
  <c r="B26" i="33" s="1"/>
  <c r="B27" i="33" s="1"/>
  <c r="B28" i="33" s="1"/>
  <c r="B29" i="33" s="1"/>
  <c r="B30" i="33" s="1"/>
  <c r="B31" i="33" s="1"/>
  <c r="B32" i="33" s="1"/>
  <c r="B33" i="33" s="1"/>
  <c r="B34" i="33" s="1"/>
  <c r="B35" i="33" s="1"/>
  <c r="B4" i="33"/>
  <c r="B5" i="33" s="1"/>
  <c r="B6" i="33" s="1"/>
  <c r="B7" i="33" s="1"/>
  <c r="B8" i="33" s="1"/>
  <c r="B9" i="33" s="1"/>
  <c r="B10" i="33" s="1"/>
  <c r="B11" i="33" s="1"/>
  <c r="B12" i="33" s="1"/>
  <c r="B13" i="33" s="1"/>
  <c r="B14" i="33" s="1"/>
  <c r="B15" i="33" s="1"/>
  <c r="B16" i="33" s="1"/>
  <c r="B17" i="33" s="1"/>
  <c r="A4" i="33"/>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5" i="36"/>
  <c r="A6" i="36" s="1"/>
  <c r="A7" i="36" s="1"/>
  <c r="A8" i="36" s="1"/>
  <c r="A9" i="36" s="1"/>
  <c r="A10" i="36" s="1"/>
  <c r="A11" i="36" s="1"/>
  <c r="A12" i="36" s="1"/>
  <c r="A13" i="36" s="1"/>
  <c r="A14" i="36" s="1"/>
  <c r="A15" i="36" s="1"/>
  <c r="A16" i="36" s="1"/>
  <c r="A17" i="36" s="1"/>
  <c r="A18" i="36" s="1"/>
  <c r="A19" i="36" s="1"/>
  <c r="A20" i="36" s="1"/>
  <c r="A21" i="36" s="1"/>
  <c r="A22" i="36" s="1"/>
  <c r="B5" i="45"/>
  <c r="B6" i="45" s="1"/>
  <c r="B7" i="45" s="1"/>
  <c r="B8" i="45" s="1"/>
  <c r="B9" i="45" s="1"/>
  <c r="B10" i="45" s="1"/>
  <c r="C7" i="45"/>
  <c r="C8" i="45"/>
  <c r="A10" i="62" s="1"/>
  <c r="B10" i="62" s="1"/>
  <c r="C9" i="45"/>
  <c r="C10" i="45"/>
  <c r="C6" i="45"/>
  <c r="C5" i="45"/>
  <c r="A5" i="45"/>
  <c r="A6" i="45" s="1"/>
  <c r="A7" i="45" s="1"/>
  <c r="A8" i="45" s="1"/>
  <c r="A9" i="45" s="1"/>
  <c r="A10" i="45" s="1"/>
  <c r="A12" i="45" s="1"/>
  <c r="A13" i="45" s="1"/>
  <c r="A14" i="45" s="1"/>
  <c r="A15" i="45" s="1"/>
  <c r="A16" i="45" s="1"/>
  <c r="A17" i="45" s="1"/>
  <c r="A18" i="45" s="1"/>
  <c r="A20" i="45" s="1"/>
  <c r="A21" i="45" s="1"/>
  <c r="A22" i="45" s="1"/>
  <c r="A23" i="45" s="1"/>
  <c r="A24" i="45" s="1"/>
  <c r="A25" i="45" s="1"/>
  <c r="A26" i="45" s="1"/>
  <c r="T136" i="39"/>
  <c r="H77" i="46" s="1"/>
  <c r="O170" i="34" s="1"/>
  <c r="T137" i="39"/>
  <c r="H80" i="46" s="1"/>
  <c r="T138" i="39"/>
  <c r="T135" i="39"/>
  <c r="H78" i="46" s="1"/>
  <c r="J171" i="34" s="1"/>
  <c r="H41" i="33"/>
  <c r="G37" i="33"/>
  <c r="G38" i="33" s="1"/>
  <c r="G39" i="33" s="1"/>
  <c r="G40" i="33" s="1"/>
  <c r="G41" i="33" s="1"/>
  <c r="G42" i="33" s="1"/>
  <c r="G43" i="33" s="1"/>
  <c r="G44" i="33" s="1"/>
  <c r="G45" i="33" s="1"/>
  <c r="G46" i="33" s="1"/>
  <c r="G47" i="33" s="1"/>
  <c r="G48" i="33" s="1"/>
  <c r="G49" i="33" s="1"/>
  <c r="G50" i="33" s="1"/>
  <c r="G51" i="33" s="1"/>
  <c r="G52" i="33" s="1"/>
  <c r="G53" i="33" s="1"/>
  <c r="F37" i="33"/>
  <c r="F38" i="33" s="1"/>
  <c r="F39" i="33" s="1"/>
  <c r="F40" i="33" s="1"/>
  <c r="F41" i="33" s="1"/>
  <c r="F42" i="33" s="1"/>
  <c r="F43" i="33" s="1"/>
  <c r="F44" i="33" s="1"/>
  <c r="F45" i="33" s="1"/>
  <c r="F46" i="33" s="1"/>
  <c r="F47" i="33" s="1"/>
  <c r="F48" i="33" s="1"/>
  <c r="F49" i="33" s="1"/>
  <c r="F50" i="33" s="1"/>
  <c r="F51" i="33" s="1"/>
  <c r="F52" i="33" s="1"/>
  <c r="F53" i="33" s="1"/>
  <c r="T112" i="39"/>
  <c r="H74" i="46" s="1"/>
  <c r="T110" i="39"/>
  <c r="H73" i="46" s="1"/>
  <c r="T131" i="39"/>
  <c r="T119" i="39"/>
  <c r="T25" i="39"/>
  <c r="H68" i="46" s="1"/>
  <c r="G125" i="39"/>
  <c r="T125" i="39" s="1"/>
  <c r="G126" i="39"/>
  <c r="T126" i="39" s="1"/>
  <c r="G127" i="39"/>
  <c r="T127" i="39" s="1"/>
  <c r="G128" i="39"/>
  <c r="T128" i="39" s="1"/>
  <c r="G129" i="39"/>
  <c r="T129" i="39" s="1"/>
  <c r="G130" i="39"/>
  <c r="T130" i="39" s="1"/>
  <c r="G131" i="39"/>
  <c r="G132" i="39"/>
  <c r="T132" i="39" s="1"/>
  <c r="G133" i="39"/>
  <c r="T133" i="39" s="1"/>
  <c r="G124" i="39"/>
  <c r="T124" i="39" s="1"/>
  <c r="G115" i="39"/>
  <c r="T115" i="39" s="1"/>
  <c r="G116" i="39"/>
  <c r="T116" i="39" s="1"/>
  <c r="G117" i="39"/>
  <c r="T117" i="39" s="1"/>
  <c r="G118" i="39"/>
  <c r="T118" i="39" s="1"/>
  <c r="G119" i="39"/>
  <c r="G120" i="39"/>
  <c r="T120" i="39" s="1"/>
  <c r="G121" i="39"/>
  <c r="T121" i="39" s="1"/>
  <c r="G122" i="39"/>
  <c r="T122" i="39" s="1"/>
  <c r="G123" i="39"/>
  <c r="T123" i="39" s="1"/>
  <c r="G114" i="39"/>
  <c r="T114" i="39" s="1"/>
  <c r="G28" i="39"/>
  <c r="T28" i="39" s="1"/>
  <c r="G27" i="39"/>
  <c r="T27" i="39" s="1"/>
  <c r="G26" i="39"/>
  <c r="T26" i="39" s="1"/>
  <c r="G23" i="39"/>
  <c r="T23" i="39" s="1"/>
  <c r="G24" i="39"/>
  <c r="T24" i="39" s="1"/>
  <c r="G22" i="39"/>
  <c r="T22" i="39" s="1"/>
  <c r="G13" i="39"/>
  <c r="T13" i="39" s="1"/>
  <c r="G14" i="39"/>
  <c r="T14" i="39" s="1"/>
  <c r="G15" i="39"/>
  <c r="T15" i="39" s="1"/>
  <c r="G16" i="39"/>
  <c r="T16" i="39" s="1"/>
  <c r="G17" i="39"/>
  <c r="T17" i="39" s="1"/>
  <c r="G18" i="39"/>
  <c r="T18" i="39" s="1"/>
  <c r="G19" i="39"/>
  <c r="T19" i="39" s="1"/>
  <c r="G20" i="39"/>
  <c r="T20" i="39" s="1"/>
  <c r="G21" i="39"/>
  <c r="T21" i="39" s="1"/>
  <c r="G12" i="39"/>
  <c r="T12" i="39" s="1"/>
  <c r="D18" i="36"/>
  <c r="D76" i="46" s="1"/>
  <c r="D17" i="36"/>
  <c r="D75" i="46" s="1"/>
  <c r="D7" i="36"/>
  <c r="D65" i="46" s="1"/>
  <c r="C7" i="36"/>
  <c r="G74" i="33"/>
  <c r="G75" i="33" s="1"/>
  <c r="G76" i="33" s="1"/>
  <c r="G77" i="33" s="1"/>
  <c r="G78" i="33" s="1"/>
  <c r="G79" i="33" s="1"/>
  <c r="G80" i="33" s="1"/>
  <c r="G81" i="33" s="1"/>
  <c r="G82" i="33" s="1"/>
  <c r="F74" i="33"/>
  <c r="F75" i="33" s="1"/>
  <c r="F76" i="33" s="1"/>
  <c r="F77" i="33" s="1"/>
  <c r="F78" i="33" s="1"/>
  <c r="F79" i="33" s="1"/>
  <c r="F80" i="33" s="1"/>
  <c r="F81" i="33" s="1"/>
  <c r="F82" i="33" s="1"/>
  <c r="E74" i="33"/>
  <c r="E75" i="33" s="1"/>
  <c r="E76" i="33" s="1"/>
  <c r="E77" i="33" s="1"/>
  <c r="E78" i="33" s="1"/>
  <c r="E79" i="33" s="1"/>
  <c r="E80" i="33" s="1"/>
  <c r="E81" i="33" s="1"/>
  <c r="E82" i="33" s="1"/>
  <c r="C73" i="33"/>
  <c r="C74" i="33" s="1"/>
  <c r="C75" i="33" s="1"/>
  <c r="C76" i="33" s="1"/>
  <c r="C77" i="33" s="1"/>
  <c r="C78" i="33" s="1"/>
  <c r="C79" i="33" s="1"/>
  <c r="C80" i="33" s="1"/>
  <c r="C81" i="33" s="1"/>
  <c r="C82" i="33" s="1"/>
  <c r="Q138" i="39"/>
  <c r="P138" i="39"/>
  <c r="Q137" i="39"/>
  <c r="P137" i="39"/>
  <c r="Q136" i="39"/>
  <c r="P136" i="39"/>
  <c r="Q135" i="39"/>
  <c r="P135" i="39"/>
  <c r="Q133" i="39"/>
  <c r="P133" i="39"/>
  <c r="Q132" i="39"/>
  <c r="P132" i="39"/>
  <c r="Q131" i="39"/>
  <c r="P131" i="39"/>
  <c r="Q130" i="39"/>
  <c r="P130" i="39"/>
  <c r="Q129" i="39"/>
  <c r="P129" i="39"/>
  <c r="Q128" i="39"/>
  <c r="P128" i="39"/>
  <c r="Q127" i="39"/>
  <c r="P127" i="39"/>
  <c r="Q126" i="39"/>
  <c r="P126" i="39"/>
  <c r="Q125" i="39"/>
  <c r="P125" i="39"/>
  <c r="Q124" i="39"/>
  <c r="P124" i="39"/>
  <c r="Q123" i="39"/>
  <c r="P123" i="39"/>
  <c r="Q122" i="39"/>
  <c r="P122" i="39"/>
  <c r="Q121" i="39"/>
  <c r="P121" i="39"/>
  <c r="Q120" i="39"/>
  <c r="P120" i="39"/>
  <c r="Q119" i="39"/>
  <c r="P119" i="39"/>
  <c r="Q118" i="39"/>
  <c r="P118" i="39"/>
  <c r="Q117" i="39"/>
  <c r="P117" i="39"/>
  <c r="Q116" i="39"/>
  <c r="P116" i="39"/>
  <c r="Q115" i="39"/>
  <c r="P115" i="39"/>
  <c r="Q114" i="39"/>
  <c r="P114" i="39"/>
  <c r="Q112" i="39"/>
  <c r="P112" i="39"/>
  <c r="Q110" i="39"/>
  <c r="P110" i="39"/>
  <c r="Q108" i="39"/>
  <c r="P108" i="39"/>
  <c r="Q107" i="39"/>
  <c r="P107" i="39"/>
  <c r="Q106" i="39"/>
  <c r="P106" i="39"/>
  <c r="Q105" i="39"/>
  <c r="P105" i="39"/>
  <c r="Q104" i="39"/>
  <c r="P104" i="39"/>
  <c r="Q103" i="39"/>
  <c r="P103" i="39"/>
  <c r="Q102" i="39"/>
  <c r="P102" i="39"/>
  <c r="Q101" i="39"/>
  <c r="P101" i="39"/>
  <c r="Q100" i="39"/>
  <c r="P100" i="39"/>
  <c r="Q99" i="39"/>
  <c r="P99" i="39"/>
  <c r="Q98" i="39"/>
  <c r="P98" i="39"/>
  <c r="Q97" i="39"/>
  <c r="P97" i="39"/>
  <c r="Q96" i="39"/>
  <c r="P96" i="39"/>
  <c r="Q95" i="39"/>
  <c r="P95" i="39"/>
  <c r="Q94" i="39"/>
  <c r="P94" i="39"/>
  <c r="Q93" i="39"/>
  <c r="P93" i="39"/>
  <c r="Q92" i="39"/>
  <c r="P92" i="39"/>
  <c r="Q91" i="39"/>
  <c r="P91" i="39"/>
  <c r="Q90" i="39"/>
  <c r="P90" i="39"/>
  <c r="Q89" i="39"/>
  <c r="P89" i="39"/>
  <c r="Q88" i="39"/>
  <c r="P88" i="39"/>
  <c r="Q87" i="39"/>
  <c r="P87" i="39"/>
  <c r="Q86" i="39"/>
  <c r="P86" i="39"/>
  <c r="Q85" i="39"/>
  <c r="P85" i="39"/>
  <c r="Q83" i="39"/>
  <c r="P83" i="39"/>
  <c r="Q82" i="39"/>
  <c r="P82" i="39"/>
  <c r="Q81" i="39"/>
  <c r="P81" i="39"/>
  <c r="Q80" i="39"/>
  <c r="P80" i="39"/>
  <c r="Q79" i="39"/>
  <c r="P79" i="39"/>
  <c r="Q78" i="39"/>
  <c r="P78" i="39"/>
  <c r="Q77" i="39"/>
  <c r="P77" i="39"/>
  <c r="Q76" i="39"/>
  <c r="P76" i="39"/>
  <c r="Q75" i="39"/>
  <c r="P75" i="39"/>
  <c r="Q74" i="39"/>
  <c r="P74" i="39"/>
  <c r="Q73" i="39"/>
  <c r="P73" i="39"/>
  <c r="Q72" i="39"/>
  <c r="P72" i="39"/>
  <c r="Q71" i="39"/>
  <c r="P71" i="39"/>
  <c r="Q70" i="39"/>
  <c r="P70" i="39"/>
  <c r="Q69" i="39"/>
  <c r="P69" i="39"/>
  <c r="Q68" i="39"/>
  <c r="P68" i="39"/>
  <c r="Q67" i="39"/>
  <c r="P67" i="39"/>
  <c r="Q66" i="39"/>
  <c r="P66" i="39"/>
  <c r="Q65" i="39"/>
  <c r="P65" i="39"/>
  <c r="Q64" i="39"/>
  <c r="P64" i="39"/>
  <c r="Q63" i="39"/>
  <c r="P63" i="39"/>
  <c r="Q62" i="39"/>
  <c r="P62" i="39"/>
  <c r="Q61" i="39"/>
  <c r="P61" i="39"/>
  <c r="Q60" i="39"/>
  <c r="P60" i="39"/>
  <c r="Q59" i="39"/>
  <c r="P59" i="39"/>
  <c r="Q58" i="39"/>
  <c r="P58" i="39"/>
  <c r="Q57" i="39"/>
  <c r="P57" i="39"/>
  <c r="Q56" i="39"/>
  <c r="P56" i="39"/>
  <c r="Q55" i="39"/>
  <c r="P55" i="39"/>
  <c r="Q54" i="39"/>
  <c r="P54" i="39"/>
  <c r="Q53" i="39"/>
  <c r="P53" i="39"/>
  <c r="Q52" i="39"/>
  <c r="P52" i="39"/>
  <c r="Q51" i="39"/>
  <c r="P51" i="39"/>
  <c r="Q50" i="39"/>
  <c r="P50" i="39"/>
  <c r="Q49" i="39"/>
  <c r="P49" i="39"/>
  <c r="Q48" i="39"/>
  <c r="P48" i="39"/>
  <c r="Q47" i="39"/>
  <c r="P47" i="39"/>
  <c r="Q46" i="39"/>
  <c r="P46" i="39"/>
  <c r="Q45" i="39"/>
  <c r="P45" i="39"/>
  <c r="Q44" i="39"/>
  <c r="P44" i="39"/>
  <c r="Q43" i="39"/>
  <c r="P43" i="39"/>
  <c r="Q42" i="39"/>
  <c r="P42" i="39"/>
  <c r="Q41" i="39"/>
  <c r="P41" i="39"/>
  <c r="Q40" i="39"/>
  <c r="P40" i="39"/>
  <c r="Q39" i="39"/>
  <c r="P39" i="39"/>
  <c r="Q38" i="39"/>
  <c r="P38" i="39"/>
  <c r="Q37" i="39"/>
  <c r="P37" i="39"/>
  <c r="Q36" i="39"/>
  <c r="P36" i="39"/>
  <c r="Q34" i="39"/>
  <c r="P34" i="39"/>
  <c r="Q33" i="39"/>
  <c r="P33" i="39"/>
  <c r="Q32" i="39"/>
  <c r="P32" i="39"/>
  <c r="Q31" i="39"/>
  <c r="P31" i="39"/>
  <c r="Q30" i="39"/>
  <c r="P30" i="39"/>
  <c r="Q29" i="39"/>
  <c r="P29" i="39"/>
  <c r="Q28" i="39"/>
  <c r="P28" i="39"/>
  <c r="Q27" i="39"/>
  <c r="P27" i="39"/>
  <c r="Q26" i="39"/>
  <c r="P26" i="39"/>
  <c r="Q25" i="39"/>
  <c r="P25" i="39"/>
  <c r="Q24" i="39"/>
  <c r="P24" i="39"/>
  <c r="Q23" i="39"/>
  <c r="P23" i="39"/>
  <c r="Q22" i="39"/>
  <c r="P22" i="39"/>
  <c r="Q21" i="39"/>
  <c r="P21" i="39"/>
  <c r="Q20" i="39"/>
  <c r="P20" i="39"/>
  <c r="Q19" i="39"/>
  <c r="P19" i="39"/>
  <c r="Q18" i="39"/>
  <c r="P18" i="39"/>
  <c r="Q17" i="39"/>
  <c r="P17" i="39"/>
  <c r="Q16" i="39"/>
  <c r="P16" i="39"/>
  <c r="Q15" i="39"/>
  <c r="P15" i="39"/>
  <c r="Q14" i="39"/>
  <c r="P14" i="39"/>
  <c r="Q13" i="39"/>
  <c r="P13" i="39"/>
  <c r="Q12" i="39"/>
  <c r="P12" i="39"/>
  <c r="Q10" i="39"/>
  <c r="P10" i="39"/>
  <c r="Q9" i="39"/>
  <c r="P9" i="39"/>
  <c r="Q8" i="39"/>
  <c r="P8" i="39"/>
  <c r="Q7" i="39"/>
  <c r="P7" i="39"/>
  <c r="Q6" i="39"/>
  <c r="P6" i="39"/>
  <c r="N136" i="39"/>
  <c r="H32" i="33" s="1"/>
  <c r="N137" i="39"/>
  <c r="H35" i="33" s="1"/>
  <c r="N138" i="39"/>
  <c r="H34" i="33" s="1"/>
  <c r="N135" i="39"/>
  <c r="H33" i="33" s="1"/>
  <c r="H46" i="33" l="1"/>
  <c r="C20" i="45"/>
  <c r="A20" i="62" s="1"/>
  <c r="B20" i="62" s="1"/>
  <c r="A7" i="62"/>
  <c r="B7" i="62" s="1"/>
  <c r="C21" i="45"/>
  <c r="A21" i="62" s="1"/>
  <c r="B21" i="62" s="1"/>
  <c r="A8" i="62"/>
  <c r="B8" i="62" s="1"/>
  <c r="C22" i="45"/>
  <c r="A22" i="62" s="1"/>
  <c r="B22" i="62" s="1"/>
  <c r="A9" i="62"/>
  <c r="B9" i="62" s="1"/>
  <c r="C24" i="45"/>
  <c r="A11" i="62"/>
  <c r="B11" i="62" s="1"/>
  <c r="C25" i="45"/>
  <c r="A23" i="62" s="1"/>
  <c r="B23" i="62" s="1"/>
  <c r="A12" i="62"/>
  <c r="B12" i="62" s="1"/>
  <c r="AB64" i="36"/>
  <c r="AB105" i="34" s="1"/>
  <c r="X186" i="34"/>
  <c r="K64" i="36"/>
  <c r="Q80" i="36"/>
  <c r="Z80" i="36"/>
  <c r="Z121" i="34" s="1"/>
  <c r="AC80" i="36"/>
  <c r="AC121" i="34" s="1"/>
  <c r="P186" i="34"/>
  <c r="W64" i="36"/>
  <c r="H65" i="46"/>
  <c r="P52" i="36" s="1"/>
  <c r="H38" i="33"/>
  <c r="W38" i="34" s="1"/>
  <c r="H75" i="46"/>
  <c r="H48" i="33"/>
  <c r="AI48" i="34" s="1"/>
  <c r="X81" i="36"/>
  <c r="X122" i="34" s="1"/>
  <c r="H52" i="33"/>
  <c r="H79" i="46"/>
  <c r="AB81" i="36"/>
  <c r="AB186" i="34"/>
  <c r="K170" i="34"/>
  <c r="Z170" i="34"/>
  <c r="Q65" i="36"/>
  <c r="Q106" i="34" s="1"/>
  <c r="P80" i="36"/>
  <c r="P121" i="34" s="1"/>
  <c r="H81" i="36"/>
  <c r="AC65" i="36"/>
  <c r="X170" i="34"/>
  <c r="X65" i="36"/>
  <c r="X106" i="34" s="1"/>
  <c r="Q186" i="34"/>
  <c r="AC186" i="34"/>
  <c r="R171" i="34"/>
  <c r="W80" i="36"/>
  <c r="W121" i="34" s="1"/>
  <c r="H187" i="34"/>
  <c r="AB187" i="34"/>
  <c r="AB80" i="36"/>
  <c r="AB121" i="34" s="1"/>
  <c r="K186" i="34"/>
  <c r="Z186" i="34"/>
  <c r="Q81" i="36"/>
  <c r="P170" i="34"/>
  <c r="H65" i="36"/>
  <c r="H106" i="34" s="1"/>
  <c r="AC187" i="34"/>
  <c r="X64" i="36"/>
  <c r="X187" i="34"/>
  <c r="Q64" i="36"/>
  <c r="Q105" i="34" s="1"/>
  <c r="AC64" i="36"/>
  <c r="AC105" i="34" s="1"/>
  <c r="R81" i="36"/>
  <c r="W186" i="34"/>
  <c r="AC81" i="36"/>
  <c r="AC122" i="34" s="1"/>
  <c r="AH76" i="36"/>
  <c r="AG76" i="36"/>
  <c r="AF76" i="36"/>
  <c r="AE76" i="36"/>
  <c r="AI76" i="36"/>
  <c r="AD60" i="36"/>
  <c r="AI60" i="36"/>
  <c r="AD76" i="36"/>
  <c r="AG60" i="36"/>
  <c r="AH60" i="36"/>
  <c r="AF60" i="36"/>
  <c r="AE60" i="36"/>
  <c r="BP60" i="36"/>
  <c r="AJ76" i="36"/>
  <c r="BG76" i="36"/>
  <c r="AU76" i="36"/>
  <c r="BL76" i="36"/>
  <c r="AN60" i="36"/>
  <c r="BF76" i="36"/>
  <c r="AT76" i="36"/>
  <c r="AR76" i="36"/>
  <c r="BE76" i="36"/>
  <c r="AS76" i="36"/>
  <c r="AP182" i="34"/>
  <c r="AK76" i="36"/>
  <c r="AM60" i="36"/>
  <c r="AX166" i="34"/>
  <c r="AY182" i="34"/>
  <c r="BP76" i="36"/>
  <c r="AJ60" i="36"/>
  <c r="BG60" i="36"/>
  <c r="AU60" i="36"/>
  <c r="BL60" i="36"/>
  <c r="AN76" i="36"/>
  <c r="BF60" i="36"/>
  <c r="AT60" i="36"/>
  <c r="AR60" i="36"/>
  <c r="BE60" i="36"/>
  <c r="AS60" i="36"/>
  <c r="BI60" i="36"/>
  <c r="AY166" i="34"/>
  <c r="AL182" i="34"/>
  <c r="AW166" i="34"/>
  <c r="BP166" i="34"/>
  <c r="AJ166" i="34"/>
  <c r="BG166" i="34"/>
  <c r="AU182" i="34"/>
  <c r="BL166" i="34"/>
  <c r="AN182" i="34"/>
  <c r="BF166" i="34"/>
  <c r="AT166" i="34"/>
  <c r="AR166" i="34"/>
  <c r="BE166" i="34"/>
  <c r="AS166" i="34"/>
  <c r="BC166" i="34"/>
  <c r="AX60" i="36"/>
  <c r="BI182" i="34"/>
  <c r="BK166" i="34"/>
  <c r="BP182" i="34"/>
  <c r="AJ182" i="34"/>
  <c r="BG182" i="34"/>
  <c r="AU166" i="34"/>
  <c r="BL182" i="34"/>
  <c r="AN166" i="34"/>
  <c r="BF182" i="34"/>
  <c r="AT182" i="34"/>
  <c r="AR182" i="34"/>
  <c r="BE182" i="34"/>
  <c r="AS182" i="34"/>
  <c r="AO60" i="36"/>
  <c r="AQ166" i="34"/>
  <c r="BM166" i="34"/>
  <c r="AQ182" i="34"/>
  <c r="AO182" i="34"/>
  <c r="AW60" i="36"/>
  <c r="AV166" i="34"/>
  <c r="BJ182" i="34"/>
  <c r="BH76" i="36"/>
  <c r="BO76" i="36"/>
  <c r="BC76" i="36"/>
  <c r="AQ76" i="36"/>
  <c r="BD60" i="36"/>
  <c r="BN76" i="36"/>
  <c r="BB76" i="36"/>
  <c r="AP60" i="36"/>
  <c r="BM76" i="36"/>
  <c r="BA76" i="36"/>
  <c r="AO76" i="36"/>
  <c r="BN60" i="36"/>
  <c r="BM60" i="36"/>
  <c r="BC182" i="34"/>
  <c r="BD166" i="34"/>
  <c r="AP166" i="34"/>
  <c r="AO166" i="34"/>
  <c r="BB166" i="34"/>
  <c r="BM182" i="34"/>
  <c r="AW76" i="36"/>
  <c r="AV76" i="36"/>
  <c r="BJ166" i="34"/>
  <c r="AK166" i="34"/>
  <c r="AV182" i="34"/>
  <c r="AK182" i="34"/>
  <c r="BH60" i="36"/>
  <c r="BO60" i="36"/>
  <c r="BC60" i="36"/>
  <c r="AQ60" i="36"/>
  <c r="BD76" i="36"/>
  <c r="BB60" i="36"/>
  <c r="AP76" i="36"/>
  <c r="BA60" i="36"/>
  <c r="BO166" i="34"/>
  <c r="BN182" i="34"/>
  <c r="BA166" i="34"/>
  <c r="BD182" i="34"/>
  <c r="BA182" i="34"/>
  <c r="AL60" i="36"/>
  <c r="AM182" i="34"/>
  <c r="AX182" i="34"/>
  <c r="BH182" i="34"/>
  <c r="BB182" i="34"/>
  <c r="BI76" i="36"/>
  <c r="BK182" i="34"/>
  <c r="BH166" i="34"/>
  <c r="BO182" i="34"/>
  <c r="BN166" i="34"/>
  <c r="AZ182" i="34"/>
  <c r="AZ60" i="36"/>
  <c r="BK76" i="36"/>
  <c r="AY76" i="36"/>
  <c r="AM76" i="36"/>
  <c r="AV60" i="36"/>
  <c r="BJ76" i="36"/>
  <c r="AX76" i="36"/>
  <c r="AL76" i="36"/>
  <c r="BJ60" i="36"/>
  <c r="AL166" i="34"/>
  <c r="AM166" i="34"/>
  <c r="BI166" i="34"/>
  <c r="AZ76" i="36"/>
  <c r="BK60" i="36"/>
  <c r="AY60" i="36"/>
  <c r="AK60" i="36"/>
  <c r="AW182" i="34"/>
  <c r="AZ166" i="34"/>
  <c r="X76" i="36"/>
  <c r="X117" i="34" s="1"/>
  <c r="Z182" i="34"/>
  <c r="P76" i="36"/>
  <c r="P117" i="34" s="1"/>
  <c r="AA182" i="34"/>
  <c r="I182" i="34"/>
  <c r="U166" i="34"/>
  <c r="K182" i="34"/>
  <c r="AD166" i="34"/>
  <c r="AE166" i="34"/>
  <c r="T76" i="36"/>
  <c r="T117" i="34" s="1"/>
  <c r="Y60" i="36"/>
  <c r="Y101" i="34" s="1"/>
  <c r="AC60" i="36"/>
  <c r="AC101" i="34" s="1"/>
  <c r="L60" i="36"/>
  <c r="L101" i="34" s="1"/>
  <c r="AB76" i="36"/>
  <c r="AB117" i="34" s="1"/>
  <c r="AC76" i="36"/>
  <c r="AC117" i="34" s="1"/>
  <c r="Z166" i="34"/>
  <c r="X182" i="34"/>
  <c r="Z60" i="36"/>
  <c r="Z101" i="34" s="1"/>
  <c r="P166" i="34"/>
  <c r="AA166" i="34"/>
  <c r="I76" i="36"/>
  <c r="I117" i="34" s="1"/>
  <c r="U76" i="36"/>
  <c r="U117" i="34" s="1"/>
  <c r="K166" i="34"/>
  <c r="AE182" i="34"/>
  <c r="AI182" i="34"/>
  <c r="H182" i="34"/>
  <c r="T182" i="34"/>
  <c r="W76" i="36"/>
  <c r="W117" i="34" s="1"/>
  <c r="AC182" i="34"/>
  <c r="V182" i="34"/>
  <c r="AG166" i="34"/>
  <c r="X166" i="34"/>
  <c r="Z76" i="36"/>
  <c r="Z117" i="34" s="1"/>
  <c r="P182" i="34"/>
  <c r="AA60" i="36"/>
  <c r="AA101" i="34" s="1"/>
  <c r="I60" i="36"/>
  <c r="I101" i="34" s="1"/>
  <c r="U60" i="36"/>
  <c r="U101" i="34" s="1"/>
  <c r="K76" i="36"/>
  <c r="K117" i="34" s="1"/>
  <c r="N166" i="34"/>
  <c r="W60" i="36"/>
  <c r="W101" i="34" s="1"/>
  <c r="N60" i="36"/>
  <c r="N101" i="34" s="1"/>
  <c r="AH182" i="34"/>
  <c r="AF166" i="34"/>
  <c r="AF182" i="34"/>
  <c r="L166" i="34"/>
  <c r="S166" i="34"/>
  <c r="I166" i="34"/>
  <c r="R182" i="34"/>
  <c r="H166" i="34"/>
  <c r="T166" i="34"/>
  <c r="N182" i="34"/>
  <c r="M60" i="36"/>
  <c r="M101" i="34" s="1"/>
  <c r="Y166" i="34"/>
  <c r="W166" i="34"/>
  <c r="AI166" i="34"/>
  <c r="Y182" i="34"/>
  <c r="M76" i="36"/>
  <c r="M117" i="34" s="1"/>
  <c r="R76" i="36"/>
  <c r="R117" i="34" s="1"/>
  <c r="Q166" i="34"/>
  <c r="S60" i="36"/>
  <c r="S101" i="34" s="1"/>
  <c r="J60" i="36"/>
  <c r="J101" i="34" s="1"/>
  <c r="O182" i="34"/>
  <c r="AD182" i="34"/>
  <c r="R166" i="34"/>
  <c r="H76" i="36"/>
  <c r="H117" i="34" s="1"/>
  <c r="T60" i="36"/>
  <c r="T101" i="34" s="1"/>
  <c r="N76" i="36"/>
  <c r="N117" i="34" s="1"/>
  <c r="M166" i="34"/>
  <c r="W182" i="34"/>
  <c r="Y76" i="36"/>
  <c r="Y117" i="34" s="1"/>
  <c r="H60" i="36"/>
  <c r="H101" i="34" s="1"/>
  <c r="AB166" i="34"/>
  <c r="O60" i="36"/>
  <c r="O101" i="34" s="1"/>
  <c r="AB182" i="34"/>
  <c r="AA76" i="36"/>
  <c r="AA117" i="34" s="1"/>
  <c r="R60" i="36"/>
  <c r="R101" i="34" s="1"/>
  <c r="AH166" i="34"/>
  <c r="O76" i="36"/>
  <c r="O117" i="34" s="1"/>
  <c r="X60" i="36"/>
  <c r="X101" i="34" s="1"/>
  <c r="M182" i="34"/>
  <c r="J166" i="34"/>
  <c r="U182" i="34"/>
  <c r="L76" i="36"/>
  <c r="L117" i="34" s="1"/>
  <c r="V166" i="34"/>
  <c r="J182" i="34"/>
  <c r="S76" i="36"/>
  <c r="S117" i="34" s="1"/>
  <c r="V60" i="36"/>
  <c r="V101" i="34" s="1"/>
  <c r="Q60" i="36"/>
  <c r="Q101" i="34" s="1"/>
  <c r="Q76" i="36"/>
  <c r="Q117" i="34" s="1"/>
  <c r="P60" i="36"/>
  <c r="P101" i="34" s="1"/>
  <c r="K60" i="36"/>
  <c r="K101" i="34" s="1"/>
  <c r="L182" i="34"/>
  <c r="V76" i="36"/>
  <c r="V117" i="34" s="1"/>
  <c r="J76" i="36"/>
  <c r="J117" i="34" s="1"/>
  <c r="S182" i="34"/>
  <c r="AB60" i="36"/>
  <c r="AB101" i="34" s="1"/>
  <c r="Q182" i="34"/>
  <c r="AC166" i="34"/>
  <c r="O166" i="34"/>
  <c r="AG182" i="34"/>
  <c r="Y81" i="36"/>
  <c r="Y122" i="34" s="1"/>
  <c r="O81" i="36"/>
  <c r="M81" i="36"/>
  <c r="N81" i="36"/>
  <c r="N122" i="34" s="1"/>
  <c r="Q187" i="34"/>
  <c r="P64" i="36"/>
  <c r="H171" i="34"/>
  <c r="AC171" i="34"/>
  <c r="X80" i="36"/>
  <c r="X171" i="34"/>
  <c r="Q170" i="34"/>
  <c r="AC170" i="34"/>
  <c r="R187" i="34"/>
  <c r="W170" i="34"/>
  <c r="AE61" i="36"/>
  <c r="AG61" i="36"/>
  <c r="AF61" i="36"/>
  <c r="AD77" i="36"/>
  <c r="AH77" i="36"/>
  <c r="AE77" i="36"/>
  <c r="AI77" i="36"/>
  <c r="AI61" i="36"/>
  <c r="AG77" i="36"/>
  <c r="AD61" i="36"/>
  <c r="AH61" i="36"/>
  <c r="AF77" i="36"/>
  <c r="Y187" i="34"/>
  <c r="O65" i="36"/>
  <c r="O106" i="34" s="1"/>
  <c r="M187" i="34"/>
  <c r="N65" i="36"/>
  <c r="V64" i="36"/>
  <c r="V105" i="34" s="1"/>
  <c r="AA81" i="36"/>
  <c r="AA122" i="34" s="1"/>
  <c r="I80" i="36"/>
  <c r="J64" i="36"/>
  <c r="L171" i="34"/>
  <c r="H186" i="34"/>
  <c r="S65" i="36"/>
  <c r="S106" i="34" s="1"/>
  <c r="U187" i="34"/>
  <c r="AA64" i="36"/>
  <c r="AA105" i="34" s="1"/>
  <c r="W81" i="36"/>
  <c r="W122" i="34" s="1"/>
  <c r="Z187" i="34"/>
  <c r="AM46" i="34"/>
  <c r="AR46" i="34"/>
  <c r="AT46" i="34"/>
  <c r="AJ46" i="34"/>
  <c r="AN46" i="34"/>
  <c r="AS46" i="34"/>
  <c r="AI46" i="34"/>
  <c r="BA46" i="34"/>
  <c r="BD46" i="34"/>
  <c r="BG46" i="34"/>
  <c r="BJ46" i="34"/>
  <c r="AU46" i="34"/>
  <c r="BI46" i="34"/>
  <c r="BF46" i="34"/>
  <c r="AX46" i="34"/>
  <c r="AQ46" i="34"/>
  <c r="BE46" i="34"/>
  <c r="BN46" i="34"/>
  <c r="AW46" i="34"/>
  <c r="AZ46" i="34"/>
  <c r="BC46" i="34"/>
  <c r="AO46" i="34"/>
  <c r="BO46" i="34"/>
  <c r="AK46" i="34"/>
  <c r="AP46" i="34"/>
  <c r="AV46" i="34"/>
  <c r="AY46" i="34"/>
  <c r="BB46" i="34"/>
  <c r="BM46" i="34"/>
  <c r="AL46" i="34"/>
  <c r="BH46" i="34"/>
  <c r="BP46" i="34"/>
  <c r="BL46" i="34"/>
  <c r="BK46" i="34"/>
  <c r="Y65" i="36"/>
  <c r="O171" i="34"/>
  <c r="M171" i="34"/>
  <c r="N171" i="34"/>
  <c r="V80" i="36"/>
  <c r="V121" i="34" s="1"/>
  <c r="AA65" i="36"/>
  <c r="AA106" i="34" s="1"/>
  <c r="I186" i="34"/>
  <c r="J80" i="36"/>
  <c r="J121" i="34" s="1"/>
  <c r="L187" i="34"/>
  <c r="H64" i="36"/>
  <c r="S81" i="36"/>
  <c r="U81" i="36"/>
  <c r="U122" i="34" s="1"/>
  <c r="AA170" i="34"/>
  <c r="W187" i="34"/>
  <c r="Z171" i="34"/>
  <c r="R65" i="36"/>
  <c r="R106" i="34" s="1"/>
  <c r="H66" i="46"/>
  <c r="U175" i="34" s="1"/>
  <c r="H47" i="33"/>
  <c r="Y171" i="34"/>
  <c r="O187" i="34"/>
  <c r="M65" i="36"/>
  <c r="N187" i="34"/>
  <c r="V186" i="34"/>
  <c r="AA187" i="34"/>
  <c r="I170" i="34"/>
  <c r="J186" i="34"/>
  <c r="L81" i="36"/>
  <c r="H170" i="34"/>
  <c r="S171" i="34"/>
  <c r="U171" i="34"/>
  <c r="AA80" i="36"/>
  <c r="W65" i="36"/>
  <c r="W106" i="34" s="1"/>
  <c r="Z65" i="36"/>
  <c r="Z106" i="34" s="1"/>
  <c r="T171" i="34"/>
  <c r="L186" i="34"/>
  <c r="U80" i="36"/>
  <c r="U121" i="34" s="1"/>
  <c r="V65" i="36"/>
  <c r="V106" i="34" s="1"/>
  <c r="V170" i="34"/>
  <c r="AA171" i="34"/>
  <c r="I64" i="36"/>
  <c r="I105" i="34" s="1"/>
  <c r="J170" i="34"/>
  <c r="L65" i="36"/>
  <c r="L106" i="34" s="1"/>
  <c r="H80" i="36"/>
  <c r="S187" i="34"/>
  <c r="U65" i="36"/>
  <c r="U106" i="34" s="1"/>
  <c r="AA186" i="34"/>
  <c r="W171" i="34"/>
  <c r="Z81" i="36"/>
  <c r="Z122" i="34" s="1"/>
  <c r="H76" i="46"/>
  <c r="H49" i="33"/>
  <c r="AI49" i="34" s="1"/>
  <c r="T65" i="36"/>
  <c r="L170" i="34"/>
  <c r="U186" i="34"/>
  <c r="V81" i="36"/>
  <c r="V122" i="34" s="1"/>
  <c r="P187" i="34"/>
  <c r="I187" i="34"/>
  <c r="M186" i="34"/>
  <c r="R64" i="36"/>
  <c r="R105" i="34" s="1"/>
  <c r="K171" i="34"/>
  <c r="N64" i="36"/>
  <c r="N105" i="34" s="1"/>
  <c r="T64" i="36"/>
  <c r="T105" i="34" s="1"/>
  <c r="Y80" i="36"/>
  <c r="Y121" i="34" s="1"/>
  <c r="J65" i="36"/>
  <c r="S64" i="36"/>
  <c r="S105" i="34" s="1"/>
  <c r="O64" i="36"/>
  <c r="AT41" i="34"/>
  <c r="AM41" i="34"/>
  <c r="AS41" i="34"/>
  <c r="AN41" i="34"/>
  <c r="AR41" i="34"/>
  <c r="AI41" i="34"/>
  <c r="BH41" i="34"/>
  <c r="BI41" i="34"/>
  <c r="AY41" i="34"/>
  <c r="AX41" i="34"/>
  <c r="BB41" i="34"/>
  <c r="AO41" i="34"/>
  <c r="BA41" i="34"/>
  <c r="AK41" i="34"/>
  <c r="BD41" i="34"/>
  <c r="BO41" i="34"/>
  <c r="BK41" i="34"/>
  <c r="AV41" i="34"/>
  <c r="AU41" i="34"/>
  <c r="AL41" i="34"/>
  <c r="BJ41" i="34"/>
  <c r="BE41" i="34"/>
  <c r="BL41" i="34"/>
  <c r="BN41" i="34"/>
  <c r="BM41" i="34"/>
  <c r="BC41" i="34"/>
  <c r="AZ41" i="34"/>
  <c r="BG41" i="34"/>
  <c r="BP41" i="34"/>
  <c r="AP41" i="34"/>
  <c r="AQ41" i="34"/>
  <c r="BF41" i="34"/>
  <c r="AW41" i="34"/>
  <c r="AB65" i="36"/>
  <c r="Q171" i="34"/>
  <c r="AH71" i="36"/>
  <c r="O1487" i="67" s="1"/>
  <c r="AI71" i="36"/>
  <c r="P1487" i="67" s="1"/>
  <c r="AG71" i="36"/>
  <c r="N1487" i="67" s="1"/>
  <c r="AI55" i="36"/>
  <c r="P1471" i="67" s="1"/>
  <c r="AH55" i="36"/>
  <c r="O1471" i="67" s="1"/>
  <c r="AE71" i="36"/>
  <c r="L1487" i="67" s="1"/>
  <c r="AD55" i="36"/>
  <c r="AF55" i="36"/>
  <c r="M1471" i="67" s="1"/>
  <c r="AE55" i="36"/>
  <c r="L1471" i="67" s="1"/>
  <c r="AG55" i="36"/>
  <c r="N1471" i="67" s="1"/>
  <c r="AD71" i="36"/>
  <c r="AF71" i="36"/>
  <c r="M1487" i="67" s="1"/>
  <c r="H50" i="33"/>
  <c r="W50" i="34" s="1"/>
  <c r="T187" i="34"/>
  <c r="L80" i="36"/>
  <c r="U64" i="36"/>
  <c r="U105" i="34" s="1"/>
  <c r="V171" i="34"/>
  <c r="P171" i="34"/>
  <c r="I81" i="36"/>
  <c r="M64" i="36"/>
  <c r="R80" i="36"/>
  <c r="K187" i="34"/>
  <c r="N80" i="36"/>
  <c r="T186" i="34"/>
  <c r="Y170" i="34"/>
  <c r="J187" i="34"/>
  <c r="S186" i="34"/>
  <c r="O80" i="36"/>
  <c r="O121" i="34" s="1"/>
  <c r="H39" i="33"/>
  <c r="AI39" i="34" s="1"/>
  <c r="H51" i="33"/>
  <c r="T81" i="36"/>
  <c r="L64" i="36"/>
  <c r="L105" i="34" s="1"/>
  <c r="U170" i="34"/>
  <c r="V187" i="34"/>
  <c r="P65" i="36"/>
  <c r="I65" i="36"/>
  <c r="I106" i="34" s="1"/>
  <c r="M170" i="34"/>
  <c r="R186" i="34"/>
  <c r="K65" i="36"/>
  <c r="N186" i="34"/>
  <c r="T170" i="34"/>
  <c r="Y64" i="36"/>
  <c r="Y105" i="34" s="1"/>
  <c r="J81" i="36"/>
  <c r="S170" i="34"/>
  <c r="O186" i="34"/>
  <c r="C8" i="36"/>
  <c r="A53" i="57"/>
  <c r="H53" i="33"/>
  <c r="AB171" i="34"/>
  <c r="AB170" i="34"/>
  <c r="K80" i="36"/>
  <c r="Z64" i="36"/>
  <c r="Z105" i="34" s="1"/>
  <c r="P81" i="36"/>
  <c r="P122" i="34" s="1"/>
  <c r="I171" i="34"/>
  <c r="M80" i="36"/>
  <c r="R170" i="34"/>
  <c r="K81" i="36"/>
  <c r="K122" i="34" s="1"/>
  <c r="N170" i="34"/>
  <c r="T80" i="36"/>
  <c r="Y186" i="34"/>
  <c r="S80" i="36"/>
  <c r="S121" i="34" s="1"/>
  <c r="J33" i="34"/>
  <c r="N33" i="34"/>
  <c r="R33" i="34"/>
  <c r="V33" i="34"/>
  <c r="Z33" i="34"/>
  <c r="K33" i="34"/>
  <c r="O33" i="34"/>
  <c r="S33" i="34"/>
  <c r="W33" i="34"/>
  <c r="AA33" i="34"/>
  <c r="L33" i="34"/>
  <c r="P33" i="34"/>
  <c r="T33" i="34"/>
  <c r="X33" i="34"/>
  <c r="AB33" i="34"/>
  <c r="M33" i="34"/>
  <c r="Q33" i="34"/>
  <c r="U33" i="34"/>
  <c r="Y33" i="34"/>
  <c r="AC33" i="34"/>
  <c r="I33" i="34"/>
  <c r="H33" i="34"/>
  <c r="K34" i="34"/>
  <c r="O34" i="34"/>
  <c r="S34" i="34"/>
  <c r="W34" i="34"/>
  <c r="AA34" i="34"/>
  <c r="L34" i="34"/>
  <c r="P34" i="34"/>
  <c r="T34" i="34"/>
  <c r="X34" i="34"/>
  <c r="AB34" i="34"/>
  <c r="M34" i="34"/>
  <c r="Q34" i="34"/>
  <c r="U34" i="34"/>
  <c r="Y34" i="34"/>
  <c r="AC34" i="34"/>
  <c r="J34" i="34"/>
  <c r="N34" i="34"/>
  <c r="R34" i="34"/>
  <c r="V34" i="34"/>
  <c r="Z34" i="34"/>
  <c r="H34" i="34"/>
  <c r="I34" i="34"/>
  <c r="X39" i="34"/>
  <c r="Q39" i="34"/>
  <c r="AG39" i="34"/>
  <c r="V39" i="34"/>
  <c r="K39" i="34"/>
  <c r="AA39" i="34"/>
  <c r="L47" i="34"/>
  <c r="P47" i="34"/>
  <c r="T47" i="34"/>
  <c r="X47" i="34"/>
  <c r="AB47" i="34"/>
  <c r="AF47" i="34"/>
  <c r="M47" i="34"/>
  <c r="Q47" i="34"/>
  <c r="U47" i="34"/>
  <c r="Y47" i="34"/>
  <c r="AC47" i="34"/>
  <c r="AG47" i="34"/>
  <c r="J47" i="34"/>
  <c r="N47" i="34"/>
  <c r="R47" i="34"/>
  <c r="V47" i="34"/>
  <c r="Z47" i="34"/>
  <c r="AD47" i="34"/>
  <c r="AH47" i="34"/>
  <c r="K47" i="34"/>
  <c r="O47" i="34"/>
  <c r="S47" i="34"/>
  <c r="W47" i="34"/>
  <c r="AA47" i="34"/>
  <c r="AE47" i="34"/>
  <c r="I47" i="34"/>
  <c r="H47" i="34"/>
  <c r="L51" i="34"/>
  <c r="P51" i="34"/>
  <c r="T51" i="34"/>
  <c r="X51" i="34"/>
  <c r="AB51" i="34"/>
  <c r="M51" i="34"/>
  <c r="Q51" i="34"/>
  <c r="U51" i="34"/>
  <c r="Y51" i="34"/>
  <c r="AC51" i="34"/>
  <c r="J51" i="34"/>
  <c r="N51" i="34"/>
  <c r="R51" i="34"/>
  <c r="V51" i="34"/>
  <c r="Z51" i="34"/>
  <c r="K51" i="34"/>
  <c r="O51" i="34"/>
  <c r="S51" i="34"/>
  <c r="W51" i="34"/>
  <c r="AA51" i="34"/>
  <c r="I51" i="34"/>
  <c r="H51" i="34"/>
  <c r="L35" i="34"/>
  <c r="P35" i="34"/>
  <c r="T35" i="34"/>
  <c r="X35" i="34"/>
  <c r="AB35" i="34"/>
  <c r="M35" i="34"/>
  <c r="Q35" i="34"/>
  <c r="U35" i="34"/>
  <c r="Y35" i="34"/>
  <c r="AC35" i="34"/>
  <c r="J35" i="34"/>
  <c r="N35" i="34"/>
  <c r="R35" i="34"/>
  <c r="V35" i="34"/>
  <c r="Z35" i="34"/>
  <c r="K35" i="34"/>
  <c r="O35" i="34"/>
  <c r="S35" i="34"/>
  <c r="W35" i="34"/>
  <c r="AA35" i="34"/>
  <c r="H35" i="34"/>
  <c r="I35" i="34"/>
  <c r="M48" i="34"/>
  <c r="Q48" i="34"/>
  <c r="U48" i="34"/>
  <c r="Y48" i="34"/>
  <c r="AC48" i="34"/>
  <c r="AG48" i="34"/>
  <c r="J48" i="34"/>
  <c r="N48" i="34"/>
  <c r="R48" i="34"/>
  <c r="V48" i="34"/>
  <c r="Z48" i="34"/>
  <c r="AD48" i="34"/>
  <c r="AH48" i="34"/>
  <c r="K48" i="34"/>
  <c r="O48" i="34"/>
  <c r="S48" i="34"/>
  <c r="W48" i="34"/>
  <c r="AA48" i="34"/>
  <c r="AE48" i="34"/>
  <c r="L48" i="34"/>
  <c r="P48" i="34"/>
  <c r="T48" i="34"/>
  <c r="X48" i="34"/>
  <c r="AB48" i="34"/>
  <c r="AF48" i="34"/>
  <c r="H48" i="34"/>
  <c r="I48" i="34"/>
  <c r="O38" i="34"/>
  <c r="S38" i="34"/>
  <c r="L38" i="34"/>
  <c r="P38" i="34"/>
  <c r="AB38" i="34"/>
  <c r="M38" i="34"/>
  <c r="Y38" i="34"/>
  <c r="AC38" i="34"/>
  <c r="R38" i="34"/>
  <c r="V38" i="34"/>
  <c r="H38" i="34"/>
  <c r="K46" i="34"/>
  <c r="O46" i="34"/>
  <c r="S46" i="34"/>
  <c r="W46" i="34"/>
  <c r="AA46" i="34"/>
  <c r="AE46" i="34"/>
  <c r="L46" i="34"/>
  <c r="P46" i="34"/>
  <c r="T46" i="34"/>
  <c r="X46" i="34"/>
  <c r="AB46" i="34"/>
  <c r="AF46" i="34"/>
  <c r="M46" i="34"/>
  <c r="Q46" i="34"/>
  <c r="U46" i="34"/>
  <c r="Y46" i="34"/>
  <c r="AC46" i="34"/>
  <c r="AG46" i="34"/>
  <c r="J46" i="34"/>
  <c r="N46" i="34"/>
  <c r="R46" i="34"/>
  <c r="V46" i="34"/>
  <c r="Z46" i="34"/>
  <c r="AD46" i="34"/>
  <c r="AH46" i="34"/>
  <c r="I46" i="34"/>
  <c r="H46" i="34"/>
  <c r="S50" i="34"/>
  <c r="P50" i="34"/>
  <c r="M50" i="34"/>
  <c r="AC50" i="34"/>
  <c r="V50" i="34"/>
  <c r="M52" i="34"/>
  <c r="Q52" i="34"/>
  <c r="U52" i="34"/>
  <c r="Y52" i="34"/>
  <c r="AC52" i="34"/>
  <c r="J52" i="34"/>
  <c r="N52" i="34"/>
  <c r="R52" i="34"/>
  <c r="V52" i="34"/>
  <c r="Z52" i="34"/>
  <c r="K52" i="34"/>
  <c r="O52" i="34"/>
  <c r="S52" i="34"/>
  <c r="W52" i="34"/>
  <c r="AA52" i="34"/>
  <c r="L52" i="34"/>
  <c r="P52" i="34"/>
  <c r="T52" i="34"/>
  <c r="X52" i="34"/>
  <c r="AB52" i="34"/>
  <c r="H52" i="34"/>
  <c r="I52" i="34"/>
  <c r="AF28" i="34"/>
  <c r="M32" i="34"/>
  <c r="Q32" i="34"/>
  <c r="U32" i="34"/>
  <c r="Y32" i="34"/>
  <c r="AC32" i="34"/>
  <c r="J32" i="34"/>
  <c r="N32" i="34"/>
  <c r="R32" i="34"/>
  <c r="V32" i="34"/>
  <c r="Z32" i="34"/>
  <c r="K32" i="34"/>
  <c r="O32" i="34"/>
  <c r="S32" i="34"/>
  <c r="W32" i="34"/>
  <c r="AA32" i="34"/>
  <c r="L32" i="34"/>
  <c r="P32" i="34"/>
  <c r="T32" i="34"/>
  <c r="X32" i="34"/>
  <c r="AB32" i="34"/>
  <c r="I32" i="34"/>
  <c r="H32" i="34"/>
  <c r="J41" i="34"/>
  <c r="N41" i="34"/>
  <c r="R41" i="34"/>
  <c r="V41" i="34"/>
  <c r="Z41" i="34"/>
  <c r="AD41" i="34"/>
  <c r="AH41" i="34"/>
  <c r="K41" i="34"/>
  <c r="O41" i="34"/>
  <c r="S41" i="34"/>
  <c r="W41" i="34"/>
  <c r="AA41" i="34"/>
  <c r="AE41" i="34"/>
  <c r="L41" i="34"/>
  <c r="P41" i="34"/>
  <c r="T41" i="34"/>
  <c r="X41" i="34"/>
  <c r="AB41" i="34"/>
  <c r="AF41" i="34"/>
  <c r="M41" i="34"/>
  <c r="Q41" i="34"/>
  <c r="U41" i="34"/>
  <c r="Y41" i="34"/>
  <c r="AC41" i="34"/>
  <c r="AG41" i="34"/>
  <c r="I41" i="34"/>
  <c r="H41" i="34"/>
  <c r="J49" i="34"/>
  <c r="N49" i="34"/>
  <c r="R49" i="34"/>
  <c r="V49" i="34"/>
  <c r="Z49" i="34"/>
  <c r="AD49" i="34"/>
  <c r="AH49" i="34"/>
  <c r="K49" i="34"/>
  <c r="O49" i="34"/>
  <c r="S49" i="34"/>
  <c r="W49" i="34"/>
  <c r="AA49" i="34"/>
  <c r="AE49" i="34"/>
  <c r="L49" i="34"/>
  <c r="P49" i="34"/>
  <c r="T49" i="34"/>
  <c r="X49" i="34"/>
  <c r="AB49" i="34"/>
  <c r="AF49" i="34"/>
  <c r="M49" i="34"/>
  <c r="Q49" i="34"/>
  <c r="U49" i="34"/>
  <c r="Y49" i="34"/>
  <c r="AC49" i="34"/>
  <c r="AG49" i="34"/>
  <c r="I49" i="34"/>
  <c r="H49" i="34"/>
  <c r="D94" i="46"/>
  <c r="E76" i="46"/>
  <c r="D93" i="46"/>
  <c r="E75" i="46"/>
  <c r="E65" i="46"/>
  <c r="D83" i="46"/>
  <c r="H105" i="34"/>
  <c r="T122" i="34"/>
  <c r="M106" i="34"/>
  <c r="P106" i="34"/>
  <c r="Q122" i="34"/>
  <c r="L122" i="34"/>
  <c r="K106" i="34"/>
  <c r="X105" i="34"/>
  <c r="AA121" i="34"/>
  <c r="J122" i="34"/>
  <c r="R122" i="34"/>
  <c r="Y106" i="34"/>
  <c r="I122" i="34"/>
  <c r="H122" i="34"/>
  <c r="R121" i="34"/>
  <c r="O122" i="34"/>
  <c r="M122" i="34"/>
  <c r="K121" i="34"/>
  <c r="P105" i="34"/>
  <c r="M121" i="34"/>
  <c r="X121" i="34"/>
  <c r="H121" i="34"/>
  <c r="T121" i="34"/>
  <c r="AB122" i="34"/>
  <c r="L121" i="34"/>
  <c r="M105" i="34"/>
  <c r="AC106" i="34"/>
  <c r="N121" i="34"/>
  <c r="S122" i="34"/>
  <c r="T106" i="34"/>
  <c r="AB106" i="34"/>
  <c r="K105" i="34"/>
  <c r="N106" i="34"/>
  <c r="I121" i="34"/>
  <c r="J105" i="34"/>
  <c r="Q121" i="34"/>
  <c r="J106" i="34"/>
  <c r="W105" i="34"/>
  <c r="O105" i="34"/>
  <c r="X86" i="34"/>
  <c r="X87" i="34"/>
  <c r="R86" i="34"/>
  <c r="R87" i="34"/>
  <c r="AA86" i="34"/>
  <c r="AA87" i="34"/>
  <c r="H86" i="34"/>
  <c r="I41" i="68" s="1"/>
  <c r="I63" i="68" s="1"/>
  <c r="H87" i="34"/>
  <c r="I42" i="68" s="1"/>
  <c r="I64" i="68" s="1"/>
  <c r="U86" i="34"/>
  <c r="U87" i="34"/>
  <c r="L86" i="34"/>
  <c r="L87" i="34"/>
  <c r="S86" i="34"/>
  <c r="S87" i="34"/>
  <c r="N86" i="34"/>
  <c r="N87" i="34"/>
  <c r="W86" i="34"/>
  <c r="W87" i="34"/>
  <c r="Q86" i="34"/>
  <c r="Q87" i="34"/>
  <c r="AB86" i="34"/>
  <c r="AB87" i="34"/>
  <c r="Z86" i="34"/>
  <c r="Z87" i="34"/>
  <c r="J86" i="34"/>
  <c r="J87" i="34"/>
  <c r="O86" i="34"/>
  <c r="O87" i="34"/>
  <c r="AC86" i="34"/>
  <c r="AC87" i="34"/>
  <c r="M86" i="34"/>
  <c r="M87" i="34"/>
  <c r="T86" i="34"/>
  <c r="T87" i="34"/>
  <c r="P86" i="34"/>
  <c r="P87" i="34"/>
  <c r="V86" i="34"/>
  <c r="V87" i="34"/>
  <c r="K86" i="34"/>
  <c r="K87" i="34"/>
  <c r="Y86" i="34"/>
  <c r="Y87" i="34"/>
  <c r="I86" i="34"/>
  <c r="I87" i="34"/>
  <c r="P68" i="36"/>
  <c r="AI159" i="34"/>
  <c r="S158" i="34"/>
  <c r="I159" i="34"/>
  <c r="Q158" i="34"/>
  <c r="H175" i="34"/>
  <c r="J53" i="36"/>
  <c r="AD159" i="34"/>
  <c r="AB159" i="34"/>
  <c r="X53" i="36"/>
  <c r="AA53" i="36"/>
  <c r="R158" i="34"/>
  <c r="M68" i="36"/>
  <c r="Y174" i="34"/>
  <c r="P53" i="36"/>
  <c r="O174" i="34"/>
  <c r="U68" i="36"/>
  <c r="AC174" i="34"/>
  <c r="W52" i="36"/>
  <c r="S53" i="36"/>
  <c r="Q53" i="36"/>
  <c r="L52" i="36"/>
  <c r="M175" i="34"/>
  <c r="Y53" i="36"/>
  <c r="K52" i="36"/>
  <c r="O175" i="34"/>
  <c r="AC69" i="36"/>
  <c r="W69" i="36"/>
  <c r="AH159" i="34"/>
  <c r="V52" i="36"/>
  <c r="Z158" i="34"/>
  <c r="AA158" i="34"/>
  <c r="N158" i="34"/>
  <c r="L159" i="34"/>
  <c r="R159" i="34"/>
  <c r="T158" i="34"/>
  <c r="K175" i="34"/>
  <c r="AE159" i="34"/>
  <c r="I174" i="34"/>
  <c r="V159" i="34"/>
  <c r="H52" i="36"/>
  <c r="J174" i="34"/>
  <c r="AB158" i="34"/>
  <c r="X52" i="36"/>
  <c r="N159" i="34"/>
  <c r="D20" i="33"/>
  <c r="E22" i="45"/>
  <c r="E7" i="45"/>
  <c r="E8" i="45" s="1"/>
  <c r="E9" i="45" s="1"/>
  <c r="D22" i="45"/>
  <c r="C22" i="62" s="1"/>
  <c r="D7" i="45"/>
  <c r="A19" i="45"/>
  <c r="A60" i="45" s="1"/>
  <c r="A11" i="45"/>
  <c r="A59" i="45" s="1"/>
  <c r="B4" i="45"/>
  <c r="B58" i="45" s="1"/>
  <c r="A4" i="45"/>
  <c r="A58" i="45" s="1"/>
  <c r="B14" i="45"/>
  <c r="C20" i="33"/>
  <c r="C6" i="33"/>
  <c r="C56" i="33"/>
  <c r="D6" i="33"/>
  <c r="D56" i="33"/>
  <c r="N133" i="39"/>
  <c r="N132" i="39"/>
  <c r="N131" i="39"/>
  <c r="N130" i="39"/>
  <c r="N129" i="39"/>
  <c r="N128" i="39"/>
  <c r="N127" i="39"/>
  <c r="N126" i="39"/>
  <c r="N125" i="39"/>
  <c r="N124" i="39"/>
  <c r="N123" i="39"/>
  <c r="N122" i="39"/>
  <c r="N121" i="39"/>
  <c r="N120" i="39"/>
  <c r="N119" i="39"/>
  <c r="N118" i="39"/>
  <c r="N117" i="39"/>
  <c r="N116" i="39"/>
  <c r="N115" i="39"/>
  <c r="N114" i="39"/>
  <c r="N112" i="39"/>
  <c r="H29" i="33" s="1"/>
  <c r="O29" i="34" s="1"/>
  <c r="N110" i="39"/>
  <c r="H28" i="33" s="1"/>
  <c r="R28" i="34" s="1"/>
  <c r="N28" i="39"/>
  <c r="N27" i="39"/>
  <c r="N26" i="39"/>
  <c r="N25" i="39"/>
  <c r="H23" i="33" s="1"/>
  <c r="AP23" i="34" s="1"/>
  <c r="N24" i="39"/>
  <c r="N23" i="39"/>
  <c r="N22" i="39"/>
  <c r="N21" i="39"/>
  <c r="N20" i="39"/>
  <c r="N19" i="39"/>
  <c r="N18" i="39"/>
  <c r="N17" i="39"/>
  <c r="N16" i="39"/>
  <c r="N15" i="39"/>
  <c r="N14" i="39"/>
  <c r="N13" i="39"/>
  <c r="N12" i="39"/>
  <c r="K138" i="39"/>
  <c r="J138" i="39"/>
  <c r="K137" i="39"/>
  <c r="J137" i="39"/>
  <c r="K136" i="39"/>
  <c r="J136" i="39"/>
  <c r="K135" i="39"/>
  <c r="J135" i="39"/>
  <c r="K133" i="39"/>
  <c r="J133" i="39"/>
  <c r="K132" i="39"/>
  <c r="J132" i="39"/>
  <c r="K131" i="39"/>
  <c r="J131" i="39"/>
  <c r="K130" i="39"/>
  <c r="J130" i="39"/>
  <c r="K129" i="39"/>
  <c r="J129" i="39"/>
  <c r="K128" i="39"/>
  <c r="J128" i="39"/>
  <c r="K127" i="39"/>
  <c r="J127" i="39"/>
  <c r="K126" i="39"/>
  <c r="J126" i="39"/>
  <c r="K125" i="39"/>
  <c r="J125" i="39"/>
  <c r="K124" i="39"/>
  <c r="J124" i="39"/>
  <c r="K123" i="39"/>
  <c r="J123" i="39"/>
  <c r="K122" i="39"/>
  <c r="J122" i="39"/>
  <c r="K121" i="39"/>
  <c r="J121" i="39"/>
  <c r="K120" i="39"/>
  <c r="J120" i="39"/>
  <c r="K119" i="39"/>
  <c r="J119" i="39"/>
  <c r="K118" i="39"/>
  <c r="J118" i="39"/>
  <c r="K117" i="39"/>
  <c r="J117" i="39"/>
  <c r="K116" i="39"/>
  <c r="J116" i="39"/>
  <c r="K115" i="39"/>
  <c r="J115" i="39"/>
  <c r="K114" i="39"/>
  <c r="J114" i="39"/>
  <c r="K112" i="39"/>
  <c r="J112" i="39"/>
  <c r="K110" i="39"/>
  <c r="J110" i="39"/>
  <c r="K108" i="39"/>
  <c r="J108" i="39"/>
  <c r="K107" i="39"/>
  <c r="J107" i="39"/>
  <c r="K106" i="39"/>
  <c r="J106" i="39"/>
  <c r="K105" i="39"/>
  <c r="J105" i="39"/>
  <c r="K104" i="39"/>
  <c r="J104" i="39"/>
  <c r="K103" i="39"/>
  <c r="J103" i="39"/>
  <c r="K102" i="39"/>
  <c r="J102" i="39"/>
  <c r="K101" i="39"/>
  <c r="J101" i="39"/>
  <c r="K100" i="39"/>
  <c r="J100" i="39"/>
  <c r="K99" i="39"/>
  <c r="J99" i="39"/>
  <c r="K98" i="39"/>
  <c r="J98" i="39"/>
  <c r="K97" i="39"/>
  <c r="J97" i="39"/>
  <c r="K96" i="39"/>
  <c r="J96" i="39"/>
  <c r="K95" i="39"/>
  <c r="J95" i="39"/>
  <c r="K94" i="39"/>
  <c r="J94" i="39"/>
  <c r="K93" i="39"/>
  <c r="J93" i="39"/>
  <c r="K92" i="39"/>
  <c r="J92" i="39"/>
  <c r="K91" i="39"/>
  <c r="J91" i="39"/>
  <c r="K90" i="39"/>
  <c r="J90" i="39"/>
  <c r="K89" i="39"/>
  <c r="J89" i="39"/>
  <c r="K88" i="39"/>
  <c r="J88" i="39"/>
  <c r="K87" i="39"/>
  <c r="J87" i="39"/>
  <c r="K86" i="39"/>
  <c r="J86" i="39"/>
  <c r="K85" i="39"/>
  <c r="J85" i="39"/>
  <c r="K83" i="39"/>
  <c r="J83" i="39"/>
  <c r="K82" i="39"/>
  <c r="J82" i="39"/>
  <c r="K81" i="39"/>
  <c r="J81" i="39"/>
  <c r="K80" i="39"/>
  <c r="J80" i="39"/>
  <c r="K79" i="39"/>
  <c r="J79" i="39"/>
  <c r="K78" i="39"/>
  <c r="J78" i="39"/>
  <c r="K77" i="39"/>
  <c r="J77" i="39"/>
  <c r="K76" i="39"/>
  <c r="J76" i="39"/>
  <c r="K75" i="39"/>
  <c r="J75" i="39"/>
  <c r="K74" i="39"/>
  <c r="J74" i="39"/>
  <c r="K73" i="39"/>
  <c r="J73" i="39"/>
  <c r="K72" i="39"/>
  <c r="J72" i="39"/>
  <c r="K71" i="39"/>
  <c r="J71" i="39"/>
  <c r="K70" i="39"/>
  <c r="J70" i="39"/>
  <c r="K69" i="39"/>
  <c r="J69" i="39"/>
  <c r="K68" i="39"/>
  <c r="J68" i="39"/>
  <c r="K67" i="39"/>
  <c r="J67" i="39"/>
  <c r="K66" i="39"/>
  <c r="J66" i="39"/>
  <c r="K65" i="39"/>
  <c r="J65" i="39"/>
  <c r="K64" i="39"/>
  <c r="J64" i="39"/>
  <c r="K63" i="39"/>
  <c r="J63" i="39"/>
  <c r="K62" i="39"/>
  <c r="J62" i="39"/>
  <c r="K61" i="39"/>
  <c r="J61" i="39"/>
  <c r="K60" i="39"/>
  <c r="J60" i="39"/>
  <c r="K59" i="39"/>
  <c r="J59" i="39"/>
  <c r="K58" i="39"/>
  <c r="J58" i="39"/>
  <c r="K57" i="39"/>
  <c r="J57" i="39"/>
  <c r="K56" i="39"/>
  <c r="J56" i="39"/>
  <c r="K55" i="39"/>
  <c r="J55" i="39"/>
  <c r="K54" i="39"/>
  <c r="J54" i="39"/>
  <c r="K53" i="39"/>
  <c r="J53" i="39"/>
  <c r="K52" i="39"/>
  <c r="J52" i="39"/>
  <c r="K51" i="39"/>
  <c r="J51" i="39"/>
  <c r="K50" i="39"/>
  <c r="J50" i="39"/>
  <c r="K49" i="39"/>
  <c r="J49" i="39"/>
  <c r="K48" i="39"/>
  <c r="J48" i="39"/>
  <c r="K47" i="39"/>
  <c r="J47" i="39"/>
  <c r="K46" i="39"/>
  <c r="J46" i="39"/>
  <c r="K45" i="39"/>
  <c r="J45" i="39"/>
  <c r="K44" i="39"/>
  <c r="J44" i="39"/>
  <c r="K43" i="39"/>
  <c r="J43" i="39"/>
  <c r="K42" i="39"/>
  <c r="J42" i="39"/>
  <c r="K41" i="39"/>
  <c r="J41" i="39"/>
  <c r="K40" i="39"/>
  <c r="J40" i="39"/>
  <c r="K39" i="39"/>
  <c r="J39" i="39"/>
  <c r="K38" i="39"/>
  <c r="J38" i="39"/>
  <c r="K37" i="39"/>
  <c r="J37" i="39"/>
  <c r="K36" i="39"/>
  <c r="J36" i="39"/>
  <c r="K34" i="39"/>
  <c r="J34" i="39"/>
  <c r="K33" i="39"/>
  <c r="J33" i="39"/>
  <c r="K32" i="39"/>
  <c r="J32" i="39"/>
  <c r="K31" i="39"/>
  <c r="J31" i="39"/>
  <c r="K30" i="39"/>
  <c r="J30" i="39"/>
  <c r="K29" i="39"/>
  <c r="J29" i="39"/>
  <c r="K28" i="39"/>
  <c r="J28" i="39"/>
  <c r="K27" i="39"/>
  <c r="J27" i="39"/>
  <c r="K26" i="39"/>
  <c r="J26" i="39"/>
  <c r="K25" i="39"/>
  <c r="J25" i="39"/>
  <c r="K24" i="39"/>
  <c r="J24" i="39"/>
  <c r="K23" i="39"/>
  <c r="J23" i="39"/>
  <c r="K22" i="39"/>
  <c r="J22" i="39"/>
  <c r="K21" i="39"/>
  <c r="J21" i="39"/>
  <c r="K20" i="39"/>
  <c r="J20" i="39"/>
  <c r="K19" i="39"/>
  <c r="J19" i="39"/>
  <c r="K18" i="39"/>
  <c r="J18" i="39"/>
  <c r="K17" i="39"/>
  <c r="J17" i="39"/>
  <c r="K16" i="39"/>
  <c r="J16" i="39"/>
  <c r="K15" i="39"/>
  <c r="J15" i="39"/>
  <c r="K14" i="39"/>
  <c r="J14" i="39"/>
  <c r="K13" i="39"/>
  <c r="J13" i="39"/>
  <c r="K12" i="39"/>
  <c r="J12" i="39"/>
  <c r="K10" i="39"/>
  <c r="J10" i="39"/>
  <c r="K9" i="39"/>
  <c r="J9" i="39"/>
  <c r="K8" i="39"/>
  <c r="J8" i="39"/>
  <c r="K7" i="39"/>
  <c r="J7" i="39"/>
  <c r="K6" i="39"/>
  <c r="J6" i="39"/>
  <c r="BK101" i="34" l="1"/>
  <c r="AR1130" i="67"/>
  <c r="AR1476" i="67"/>
  <c r="BJ117" i="34"/>
  <c r="AQ1146" i="67"/>
  <c r="AQ1492" i="67"/>
  <c r="BK117" i="34"/>
  <c r="AR1146" i="67"/>
  <c r="AR1492" i="67"/>
  <c r="AL101" i="34"/>
  <c r="S1130" i="67"/>
  <c r="S1476" i="67"/>
  <c r="BB101" i="34"/>
  <c r="AI1130" i="67"/>
  <c r="AI1476" i="67"/>
  <c r="BO101" i="34"/>
  <c r="AV1130" i="67"/>
  <c r="AV1476" i="67"/>
  <c r="AO117" i="34"/>
  <c r="V1146" i="67"/>
  <c r="V1492" i="67"/>
  <c r="BB117" i="34"/>
  <c r="AI1146" i="67"/>
  <c r="AI1492" i="67"/>
  <c r="BC117" i="34"/>
  <c r="AJ1146" i="67"/>
  <c r="AJ1492" i="67"/>
  <c r="AX101" i="34"/>
  <c r="AE1130" i="67"/>
  <c r="AE1476" i="67"/>
  <c r="BI101" i="34"/>
  <c r="AP1130" i="67"/>
  <c r="AP1476" i="67"/>
  <c r="AT101" i="34"/>
  <c r="AA1130" i="67"/>
  <c r="AA1476" i="67"/>
  <c r="AU101" i="34"/>
  <c r="AB1130" i="67"/>
  <c r="AB1476" i="67"/>
  <c r="AT117" i="34"/>
  <c r="AA1146" i="67"/>
  <c r="AA1492" i="67"/>
  <c r="AU117" i="34"/>
  <c r="AB1146" i="67"/>
  <c r="AB1492" i="67"/>
  <c r="AE101" i="34"/>
  <c r="L1130" i="67"/>
  <c r="L1476" i="67"/>
  <c r="AD117" i="34"/>
  <c r="K1146" i="67"/>
  <c r="K1492" i="67"/>
  <c r="AE117" i="34"/>
  <c r="L1146" i="67"/>
  <c r="L1492" i="67"/>
  <c r="M62" i="67"/>
  <c r="M823" i="67"/>
  <c r="M215" i="67"/>
  <c r="M368" i="67"/>
  <c r="M520" i="67"/>
  <c r="P368" i="67"/>
  <c r="P520" i="67"/>
  <c r="P62" i="67"/>
  <c r="P823" i="67"/>
  <c r="P215" i="67"/>
  <c r="AZ117" i="34"/>
  <c r="AG1146" i="67"/>
  <c r="AG1492" i="67"/>
  <c r="BJ101" i="34"/>
  <c r="AQ1130" i="67"/>
  <c r="AQ1476" i="67"/>
  <c r="AV101" i="34"/>
  <c r="AC1130" i="67"/>
  <c r="AC1476" i="67"/>
  <c r="AZ101" i="34"/>
  <c r="AG1130" i="67"/>
  <c r="AG1476" i="67"/>
  <c r="BD117" i="34"/>
  <c r="AK1146" i="67"/>
  <c r="AK1492" i="67"/>
  <c r="BH101" i="34"/>
  <c r="AO1130" i="67"/>
  <c r="AO1476" i="67"/>
  <c r="BA117" i="34"/>
  <c r="AH1146" i="67"/>
  <c r="AH1492" i="67"/>
  <c r="BN117" i="34"/>
  <c r="AU1146" i="67"/>
  <c r="AU1492" i="67"/>
  <c r="BO117" i="34"/>
  <c r="AV1146" i="67"/>
  <c r="AV1492" i="67"/>
  <c r="AW101" i="34"/>
  <c r="AD1130" i="67"/>
  <c r="AD1476" i="67"/>
  <c r="AS101" i="34"/>
  <c r="Z1130" i="67"/>
  <c r="Z1476" i="67"/>
  <c r="BF101" i="34"/>
  <c r="AM1130" i="67"/>
  <c r="AM1476" i="67"/>
  <c r="BG101" i="34"/>
  <c r="AN1130" i="67"/>
  <c r="AN1476" i="67"/>
  <c r="AS117" i="34"/>
  <c r="Z1146" i="67"/>
  <c r="Z1492" i="67"/>
  <c r="BF117" i="34"/>
  <c r="AM1146" i="67"/>
  <c r="AM1492" i="67"/>
  <c r="BG117" i="34"/>
  <c r="AN1146" i="67"/>
  <c r="AN1492" i="67"/>
  <c r="AF101" i="34"/>
  <c r="M1130" i="67"/>
  <c r="M1476" i="67"/>
  <c r="AI101" i="34"/>
  <c r="P1130" i="67"/>
  <c r="P1476" i="67"/>
  <c r="AF117" i="34"/>
  <c r="M1146" i="67"/>
  <c r="M1492" i="67"/>
  <c r="K1487" i="67"/>
  <c r="K1141" i="67"/>
  <c r="K990" i="67"/>
  <c r="K1471" i="67"/>
  <c r="K1125" i="67"/>
  <c r="K974" i="67"/>
  <c r="K672" i="67"/>
  <c r="N839" i="67"/>
  <c r="N231" i="67"/>
  <c r="N536" i="67"/>
  <c r="N384" i="67"/>
  <c r="N688" i="67"/>
  <c r="N78" i="67"/>
  <c r="AK101" i="34"/>
  <c r="R1130" i="67"/>
  <c r="R1476" i="67"/>
  <c r="AL117" i="34"/>
  <c r="S1146" i="67"/>
  <c r="S1492" i="67"/>
  <c r="AM117" i="34"/>
  <c r="T1146" i="67"/>
  <c r="T1492" i="67"/>
  <c r="BA101" i="34"/>
  <c r="AH1130" i="67"/>
  <c r="AH1476" i="67"/>
  <c r="AQ101" i="34"/>
  <c r="X1130" i="67"/>
  <c r="X1476" i="67"/>
  <c r="AV117" i="34"/>
  <c r="AC1146" i="67"/>
  <c r="AC1492" i="67"/>
  <c r="BM101" i="34"/>
  <c r="AT1130" i="67"/>
  <c r="AT1476" i="67"/>
  <c r="BM117" i="34"/>
  <c r="AT1146" i="67"/>
  <c r="AT1492" i="67"/>
  <c r="BD101" i="34"/>
  <c r="AK1130" i="67"/>
  <c r="AK1476" i="67"/>
  <c r="BH117" i="34"/>
  <c r="AO1146" i="67"/>
  <c r="AO1492" i="67"/>
  <c r="AO101" i="34"/>
  <c r="V1130" i="67"/>
  <c r="V1476" i="67"/>
  <c r="BE101" i="34"/>
  <c r="AL1130" i="67"/>
  <c r="AL1476" i="67"/>
  <c r="AN117" i="34"/>
  <c r="U1146" i="67"/>
  <c r="U1492" i="67"/>
  <c r="AJ101" i="34"/>
  <c r="Q1130" i="67"/>
  <c r="Q1476" i="67"/>
  <c r="AM101" i="34"/>
  <c r="T1130" i="67"/>
  <c r="T1476" i="67"/>
  <c r="BE117" i="34"/>
  <c r="AL1146" i="67"/>
  <c r="AL1492" i="67"/>
  <c r="AN101" i="34"/>
  <c r="U1130" i="67"/>
  <c r="U1476" i="67"/>
  <c r="AJ117" i="34"/>
  <c r="Q1146" i="67"/>
  <c r="Q1492" i="67"/>
  <c r="AH101" i="34"/>
  <c r="O1130" i="67"/>
  <c r="O1476" i="67"/>
  <c r="AD101" i="34"/>
  <c r="K1130" i="67"/>
  <c r="K1476" i="67"/>
  <c r="AG117" i="34"/>
  <c r="N1146" i="67"/>
  <c r="N1492" i="67"/>
  <c r="L368" i="67"/>
  <c r="L520" i="67"/>
  <c r="L62" i="67"/>
  <c r="L823" i="67"/>
  <c r="L215" i="67"/>
  <c r="O823" i="67"/>
  <c r="O215" i="67"/>
  <c r="O368" i="67"/>
  <c r="O520" i="67"/>
  <c r="O62" i="67"/>
  <c r="O384" i="67"/>
  <c r="O688" i="67"/>
  <c r="O839" i="67"/>
  <c r="O78" i="67"/>
  <c r="O231" i="67"/>
  <c r="O536" i="67"/>
  <c r="M384" i="67"/>
  <c r="M839" i="67"/>
  <c r="M231" i="67"/>
  <c r="M536" i="67"/>
  <c r="M78" i="67"/>
  <c r="M688" i="67"/>
  <c r="N368" i="67"/>
  <c r="N62" i="67"/>
  <c r="N520" i="67"/>
  <c r="N215" i="67"/>
  <c r="N823" i="67"/>
  <c r="L231" i="67"/>
  <c r="L384" i="67"/>
  <c r="L536" i="67"/>
  <c r="L688" i="67"/>
  <c r="L839" i="67"/>
  <c r="L78" i="67"/>
  <c r="P839" i="67"/>
  <c r="P231" i="67"/>
  <c r="P536" i="67"/>
  <c r="P384" i="67"/>
  <c r="P688" i="67"/>
  <c r="P78" i="67"/>
  <c r="AY101" i="34"/>
  <c r="AF1130" i="67"/>
  <c r="AF1476" i="67"/>
  <c r="AX117" i="34"/>
  <c r="AE1146" i="67"/>
  <c r="AE1492" i="67"/>
  <c r="AY117" i="34"/>
  <c r="AF1146" i="67"/>
  <c r="AF1492" i="67"/>
  <c r="BI117" i="34"/>
  <c r="AP1146" i="67"/>
  <c r="AP1492" i="67"/>
  <c r="AP117" i="34"/>
  <c r="W1146" i="67"/>
  <c r="W1492" i="67"/>
  <c r="BC101" i="34"/>
  <c r="AJ1130" i="67"/>
  <c r="AJ1476" i="67"/>
  <c r="AW117" i="34"/>
  <c r="AD1146" i="67"/>
  <c r="AD1492" i="67"/>
  <c r="BN101" i="34"/>
  <c r="AU1130" i="67"/>
  <c r="AU1476" i="67"/>
  <c r="AP101" i="34"/>
  <c r="W1130" i="67"/>
  <c r="W1476" i="67"/>
  <c r="AQ117" i="34"/>
  <c r="X1146" i="67"/>
  <c r="X1492" i="67"/>
  <c r="AR101" i="34"/>
  <c r="Y1130" i="67"/>
  <c r="Y1476" i="67"/>
  <c r="BL101" i="34"/>
  <c r="AS1130" i="67"/>
  <c r="AS1476" i="67"/>
  <c r="BP117" i="34"/>
  <c r="AW1146" i="67"/>
  <c r="AW1492" i="67"/>
  <c r="AK117" i="34"/>
  <c r="R1146" i="67"/>
  <c r="R1492" i="67"/>
  <c r="AR117" i="34"/>
  <c r="Y1146" i="67"/>
  <c r="Y1492" i="67"/>
  <c r="BL117" i="34"/>
  <c r="AS1146" i="67"/>
  <c r="AS1492" i="67"/>
  <c r="BP101" i="34"/>
  <c r="AW1130" i="67"/>
  <c r="AW1476" i="67"/>
  <c r="AG101" i="34"/>
  <c r="N1130" i="67"/>
  <c r="N1476" i="67"/>
  <c r="AI117" i="34"/>
  <c r="P1146" i="67"/>
  <c r="P1492" i="67"/>
  <c r="AH117" i="34"/>
  <c r="O1146" i="67"/>
  <c r="O1492" i="67"/>
  <c r="Q42" i="68"/>
  <c r="Q64" i="68" s="1"/>
  <c r="U41" i="68"/>
  <c r="U63" i="68" s="1"/>
  <c r="AD41" i="68"/>
  <c r="AD63" i="68" s="1"/>
  <c r="AC41" i="68"/>
  <c r="AC63" i="68" s="1"/>
  <c r="T41" i="68"/>
  <c r="T63" i="68" s="1"/>
  <c r="AB41" i="68"/>
  <c r="AB63" i="68" s="1"/>
  <c r="L42" i="68"/>
  <c r="L64" i="68" s="1"/>
  <c r="P42" i="68"/>
  <c r="P64" i="68" s="1"/>
  <c r="R42" i="68"/>
  <c r="R64" i="68" s="1"/>
  <c r="M42" i="68"/>
  <c r="M64" i="68" s="1"/>
  <c r="J41" i="68"/>
  <c r="J63" i="68" s="1"/>
  <c r="L41" i="68"/>
  <c r="L63" i="68" s="1"/>
  <c r="Q41" i="68"/>
  <c r="Q63" i="68" s="1"/>
  <c r="N41" i="68"/>
  <c r="N63" i="68" s="1"/>
  <c r="P41" i="68"/>
  <c r="P63" i="68" s="1"/>
  <c r="AA41" i="68"/>
  <c r="AA63" i="68" s="1"/>
  <c r="R41" i="68"/>
  <c r="R63" i="68" s="1"/>
  <c r="O41" i="68"/>
  <c r="O63" i="68" s="1"/>
  <c r="M41" i="68"/>
  <c r="M63" i="68" s="1"/>
  <c r="S41" i="68"/>
  <c r="S63" i="68" s="1"/>
  <c r="Z41" i="68"/>
  <c r="Z63" i="68" s="1"/>
  <c r="W41" i="68"/>
  <c r="W63" i="68" s="1"/>
  <c r="K41" i="68"/>
  <c r="K63" i="68" s="1"/>
  <c r="X41" i="68"/>
  <c r="X63" i="68" s="1"/>
  <c r="V41" i="68"/>
  <c r="V63" i="68" s="1"/>
  <c r="Y41" i="68"/>
  <c r="Y63" i="68" s="1"/>
  <c r="J42" i="68"/>
  <c r="J64" i="68" s="1"/>
  <c r="N42" i="68"/>
  <c r="N64" i="68" s="1"/>
  <c r="AA42" i="68"/>
  <c r="AA64" i="68" s="1"/>
  <c r="O42" i="68"/>
  <c r="O64" i="68" s="1"/>
  <c r="S42" i="68"/>
  <c r="S64" i="68" s="1"/>
  <c r="Z42" i="68"/>
  <c r="Z64" i="68" s="1"/>
  <c r="W42" i="68"/>
  <c r="W64" i="68" s="1"/>
  <c r="U42" i="68"/>
  <c r="U64" i="68" s="1"/>
  <c r="AD42" i="68"/>
  <c r="AD64" i="68" s="1"/>
  <c r="K42" i="68"/>
  <c r="K64" i="68" s="1"/>
  <c r="AC42" i="68"/>
  <c r="AC64" i="68" s="1"/>
  <c r="X42" i="68"/>
  <c r="X64" i="68" s="1"/>
  <c r="T42" i="68"/>
  <c r="T64" i="68" s="1"/>
  <c r="V42" i="68"/>
  <c r="V64" i="68" s="1"/>
  <c r="AB42" i="68"/>
  <c r="AB64" i="68" s="1"/>
  <c r="Y42" i="68"/>
  <c r="Y64" i="68" s="1"/>
  <c r="N53" i="36"/>
  <c r="X174" i="34"/>
  <c r="AB52" i="36"/>
  <c r="J52" i="36"/>
  <c r="J93" i="34" s="1"/>
  <c r="H174" i="34"/>
  <c r="V53" i="36"/>
  <c r="I52" i="36"/>
  <c r="AF175" i="34"/>
  <c r="K53" i="36"/>
  <c r="T52" i="36"/>
  <c r="R53" i="36"/>
  <c r="L53" i="36"/>
  <c r="L94" i="34" s="1"/>
  <c r="N52" i="36"/>
  <c r="AA52" i="36"/>
  <c r="Z68" i="36"/>
  <c r="V158" i="34"/>
  <c r="W53" i="36"/>
  <c r="AC159" i="34"/>
  <c r="U69" i="36"/>
  <c r="O69" i="36"/>
  <c r="K68" i="36"/>
  <c r="Y69" i="36"/>
  <c r="M69" i="36"/>
  <c r="L68" i="36"/>
  <c r="Q69" i="36"/>
  <c r="S69" i="36"/>
  <c r="W68" i="36"/>
  <c r="AC68" i="36"/>
  <c r="U52" i="36"/>
  <c r="O52" i="36"/>
  <c r="P69" i="36"/>
  <c r="Y68" i="36"/>
  <c r="Y109" i="34" s="1"/>
  <c r="M52" i="36"/>
  <c r="R68" i="36"/>
  <c r="AA69" i="36"/>
  <c r="X69" i="36"/>
  <c r="X110" i="34" s="1"/>
  <c r="AB69" i="36"/>
  <c r="J175" i="34"/>
  <c r="AG159" i="34"/>
  <c r="H53" i="36"/>
  <c r="H94" i="34" s="1"/>
  <c r="Q52" i="36"/>
  <c r="I69" i="36"/>
  <c r="S52" i="36"/>
  <c r="P174" i="34"/>
  <c r="T69" i="36"/>
  <c r="AQ28" i="34"/>
  <c r="H50" i="34"/>
  <c r="R50" i="34"/>
  <c r="Y50" i="34"/>
  <c r="AB50" i="34"/>
  <c r="L50" i="34"/>
  <c r="O50" i="34"/>
  <c r="AF29" i="34"/>
  <c r="H39" i="34"/>
  <c r="W39" i="34"/>
  <c r="AH39" i="34"/>
  <c r="R39" i="34"/>
  <c r="AC39" i="34"/>
  <c r="M39" i="34"/>
  <c r="T39" i="34"/>
  <c r="D8" i="45"/>
  <c r="C9" i="62"/>
  <c r="N69" i="36"/>
  <c r="X68" i="36"/>
  <c r="X109" i="34" s="1"/>
  <c r="AB68" i="36"/>
  <c r="J68" i="36"/>
  <c r="H68" i="36"/>
  <c r="V69" i="36"/>
  <c r="V110" i="34" s="1"/>
  <c r="I68" i="36"/>
  <c r="AF159" i="34"/>
  <c r="K69" i="36"/>
  <c r="T68" i="36"/>
  <c r="T109" i="34" s="1"/>
  <c r="R69" i="36"/>
  <c r="L69" i="36"/>
  <c r="N68" i="36"/>
  <c r="AA68" i="36"/>
  <c r="AA109" i="34" s="1"/>
  <c r="Z52" i="36"/>
  <c r="V68" i="36"/>
  <c r="W159" i="34"/>
  <c r="AC53" i="36"/>
  <c r="AC94" i="34" s="1"/>
  <c r="O53" i="36"/>
  <c r="K174" i="34"/>
  <c r="Y175" i="34"/>
  <c r="M159" i="34"/>
  <c r="L158" i="34"/>
  <c r="Q159" i="34"/>
  <c r="S159" i="34"/>
  <c r="W174" i="34"/>
  <c r="AC158" i="34"/>
  <c r="U158" i="34"/>
  <c r="O68" i="36"/>
  <c r="P159" i="34"/>
  <c r="Y158" i="34"/>
  <c r="M174" i="34"/>
  <c r="R174" i="34"/>
  <c r="AA175" i="34"/>
  <c r="X159" i="34"/>
  <c r="Z53" i="36"/>
  <c r="AB53" i="36"/>
  <c r="J159" i="34"/>
  <c r="AG175" i="34"/>
  <c r="H69" i="36"/>
  <c r="Q68" i="36"/>
  <c r="I53" i="36"/>
  <c r="I94" i="34" s="1"/>
  <c r="S68" i="36"/>
  <c r="P158" i="34"/>
  <c r="Z159" i="34"/>
  <c r="I28" i="34"/>
  <c r="BB28" i="34"/>
  <c r="I50" i="34"/>
  <c r="N50" i="34"/>
  <c r="U50" i="34"/>
  <c r="X50" i="34"/>
  <c r="AA50" i="34"/>
  <c r="K50" i="34"/>
  <c r="I39" i="34"/>
  <c r="S39" i="34"/>
  <c r="AD39" i="34"/>
  <c r="N39" i="34"/>
  <c r="Y39" i="34"/>
  <c r="AF39" i="34"/>
  <c r="P39" i="34"/>
  <c r="N175" i="34"/>
  <c r="X158" i="34"/>
  <c r="AB174" i="34"/>
  <c r="J158" i="34"/>
  <c r="H158" i="34"/>
  <c r="V175" i="34"/>
  <c r="I158" i="34"/>
  <c r="AE175" i="34"/>
  <c r="K159" i="34"/>
  <c r="T174" i="34"/>
  <c r="R175" i="34"/>
  <c r="L175" i="34"/>
  <c r="N174" i="34"/>
  <c r="AA174" i="34"/>
  <c r="Z174" i="34"/>
  <c r="V174" i="34"/>
  <c r="AH175" i="34"/>
  <c r="W175" i="34"/>
  <c r="AC175" i="34"/>
  <c r="O159" i="34"/>
  <c r="K158" i="34"/>
  <c r="Y159" i="34"/>
  <c r="M53" i="36"/>
  <c r="L174" i="34"/>
  <c r="Q175" i="34"/>
  <c r="S175" i="34"/>
  <c r="W158" i="34"/>
  <c r="AC52" i="36"/>
  <c r="U174" i="34"/>
  <c r="O158" i="34"/>
  <c r="P175" i="34"/>
  <c r="Y52" i="36"/>
  <c r="M158" i="34"/>
  <c r="R52" i="36"/>
  <c r="AA159" i="34"/>
  <c r="X175" i="34"/>
  <c r="AB175" i="34"/>
  <c r="AD175" i="34"/>
  <c r="J69" i="36"/>
  <c r="H159" i="34"/>
  <c r="Q174" i="34"/>
  <c r="I175" i="34"/>
  <c r="S174" i="34"/>
  <c r="AI175" i="34"/>
  <c r="U28" i="34"/>
  <c r="Z50" i="34"/>
  <c r="J50" i="34"/>
  <c r="Q50" i="34"/>
  <c r="T50" i="34"/>
  <c r="I23" i="34"/>
  <c r="AE39" i="34"/>
  <c r="O39" i="34"/>
  <c r="Z39" i="34"/>
  <c r="J39" i="34"/>
  <c r="U39" i="34"/>
  <c r="AB39" i="34"/>
  <c r="L39" i="34"/>
  <c r="I38" i="34"/>
  <c r="N38" i="34"/>
  <c r="U38" i="34"/>
  <c r="X38" i="34"/>
  <c r="AA38" i="34"/>
  <c r="K38" i="34"/>
  <c r="Z38" i="34"/>
  <c r="J38" i="34"/>
  <c r="Q38" i="34"/>
  <c r="T38" i="34"/>
  <c r="Q53" i="34"/>
  <c r="S53" i="34"/>
  <c r="U53" i="34"/>
  <c r="AA53" i="34"/>
  <c r="Y53" i="34"/>
  <c r="N53" i="34"/>
  <c r="AC53" i="34"/>
  <c r="V53" i="34"/>
  <c r="O53" i="34"/>
  <c r="W53" i="34"/>
  <c r="P53" i="34"/>
  <c r="J53" i="34"/>
  <c r="T53" i="34"/>
  <c r="R53" i="34"/>
  <c r="X53" i="34"/>
  <c r="Z53" i="34"/>
  <c r="AB53" i="34"/>
  <c r="H53" i="34"/>
  <c r="BM28" i="34"/>
  <c r="Q28" i="34"/>
  <c r="AB28" i="34"/>
  <c r="AM28" i="34"/>
  <c r="AX28" i="34"/>
  <c r="BK29" i="34"/>
  <c r="AR23" i="34"/>
  <c r="H21" i="33"/>
  <c r="BI28" i="34"/>
  <c r="M28" i="34"/>
  <c r="X28" i="34"/>
  <c r="AI28" i="34"/>
  <c r="AT28" i="34"/>
  <c r="AQ29" i="34"/>
  <c r="T23" i="34"/>
  <c r="H31" i="33"/>
  <c r="BE28" i="34"/>
  <c r="BP28" i="34"/>
  <c r="T28" i="34"/>
  <c r="AE28" i="34"/>
  <c r="AP28" i="34"/>
  <c r="K53" i="34"/>
  <c r="AY23" i="34"/>
  <c r="H20" i="33"/>
  <c r="S29" i="34"/>
  <c r="BO29" i="34"/>
  <c r="BD29" i="34"/>
  <c r="AS29" i="34"/>
  <c r="AH29" i="34"/>
  <c r="W29" i="34"/>
  <c r="L29" i="34"/>
  <c r="BH29" i="34"/>
  <c r="AW29" i="34"/>
  <c r="AL29" i="34"/>
  <c r="AA29" i="34"/>
  <c r="P29" i="34"/>
  <c r="BL29" i="34"/>
  <c r="BA29" i="34"/>
  <c r="AP29" i="34"/>
  <c r="AE29" i="34"/>
  <c r="T29" i="34"/>
  <c r="BP29" i="34"/>
  <c r="BE29" i="34"/>
  <c r="AT29" i="34"/>
  <c r="AI29" i="34"/>
  <c r="X29" i="34"/>
  <c r="M29" i="34"/>
  <c r="BI29" i="34"/>
  <c r="AX29" i="34"/>
  <c r="AM29" i="34"/>
  <c r="AB29" i="34"/>
  <c r="Q29" i="34"/>
  <c r="BM29" i="34"/>
  <c r="BB29" i="34"/>
  <c r="AU29" i="34"/>
  <c r="AJ29" i="34"/>
  <c r="Y29" i="34"/>
  <c r="N29" i="34"/>
  <c r="BJ29" i="34"/>
  <c r="AY29" i="34"/>
  <c r="AN29" i="34"/>
  <c r="AC29" i="34"/>
  <c r="R29" i="34"/>
  <c r="BN29" i="34"/>
  <c r="BC29" i="34"/>
  <c r="AR29" i="34"/>
  <c r="AG29" i="34"/>
  <c r="V29" i="34"/>
  <c r="I29" i="34"/>
  <c r="K29" i="34"/>
  <c r="BG29" i="34"/>
  <c r="AV29" i="34"/>
  <c r="AK29" i="34"/>
  <c r="Z29" i="34"/>
  <c r="H29" i="34"/>
  <c r="BA28" i="34"/>
  <c r="BL28" i="34"/>
  <c r="P28" i="34"/>
  <c r="AA28" i="34"/>
  <c r="AL28" i="34"/>
  <c r="I53" i="34"/>
  <c r="AE23" i="34"/>
  <c r="AW28" i="34"/>
  <c r="BH28" i="34"/>
  <c r="L28" i="34"/>
  <c r="W28" i="34"/>
  <c r="AH28" i="34"/>
  <c r="M53" i="34"/>
  <c r="BJ23" i="34"/>
  <c r="H30" i="33"/>
  <c r="AS28" i="34"/>
  <c r="BD28" i="34"/>
  <c r="BO28" i="34"/>
  <c r="S28" i="34"/>
  <c r="AD28" i="34"/>
  <c r="BF29" i="34"/>
  <c r="L53" i="34"/>
  <c r="AC23" i="34"/>
  <c r="R23" i="34"/>
  <c r="BN23" i="34"/>
  <c r="BC23" i="34"/>
  <c r="AV23" i="34"/>
  <c r="AG23" i="34"/>
  <c r="V23" i="34"/>
  <c r="K23" i="34"/>
  <c r="BG23" i="34"/>
  <c r="AZ23" i="34"/>
  <c r="AK23" i="34"/>
  <c r="Z23" i="34"/>
  <c r="O23" i="34"/>
  <c r="BK23" i="34"/>
  <c r="BD23" i="34"/>
  <c r="AO23" i="34"/>
  <c r="AD23" i="34"/>
  <c r="S23" i="34"/>
  <c r="BO23" i="34"/>
  <c r="BH23" i="34"/>
  <c r="AS23" i="34"/>
  <c r="AH23" i="34"/>
  <c r="W23" i="34"/>
  <c r="L23" i="34"/>
  <c r="BL23" i="34"/>
  <c r="AW23" i="34"/>
  <c r="AL23" i="34"/>
  <c r="AA23" i="34"/>
  <c r="P23" i="34"/>
  <c r="BP23" i="34"/>
  <c r="BE23" i="34"/>
  <c r="AT23" i="34"/>
  <c r="AI23" i="34"/>
  <c r="X23" i="34"/>
  <c r="H23" i="34"/>
  <c r="M23" i="34"/>
  <c r="BI23" i="34"/>
  <c r="AX23" i="34"/>
  <c r="AM23" i="34"/>
  <c r="AB23" i="34"/>
  <c r="Q23" i="34"/>
  <c r="BM23" i="34"/>
  <c r="BB23" i="34"/>
  <c r="AQ23" i="34"/>
  <c r="AF23" i="34"/>
  <c r="U23" i="34"/>
  <c r="J23" i="34"/>
  <c r="BF23" i="34"/>
  <c r="AU23" i="34"/>
  <c r="AN23" i="34"/>
  <c r="AO28" i="34"/>
  <c r="AZ28" i="34"/>
  <c r="BK28" i="34"/>
  <c r="O28" i="34"/>
  <c r="Z28" i="34"/>
  <c r="AD29" i="34"/>
  <c r="N23" i="34"/>
  <c r="AK28" i="34"/>
  <c r="AV28" i="34"/>
  <c r="BG28" i="34"/>
  <c r="K28" i="34"/>
  <c r="V28" i="34"/>
  <c r="J29" i="34"/>
  <c r="BA23" i="34"/>
  <c r="AG28" i="34"/>
  <c r="AR28" i="34"/>
  <c r="BC28" i="34"/>
  <c r="BN28" i="34"/>
  <c r="N28" i="34"/>
  <c r="AO29" i="34"/>
  <c r="Y23" i="34"/>
  <c r="AC28" i="34"/>
  <c r="AN28" i="34"/>
  <c r="AY28" i="34"/>
  <c r="BJ28" i="34"/>
  <c r="J28" i="34"/>
  <c r="U29" i="34"/>
  <c r="H28" i="34"/>
  <c r="Y28" i="34"/>
  <c r="AJ28" i="34"/>
  <c r="AU28" i="34"/>
  <c r="BF28" i="34"/>
  <c r="AZ29" i="34"/>
  <c r="AH63" i="36"/>
  <c r="AD63" i="36"/>
  <c r="AH79" i="36"/>
  <c r="AF79" i="36"/>
  <c r="AF63" i="36"/>
  <c r="AE63" i="36"/>
  <c r="AI63" i="36"/>
  <c r="AE79" i="36"/>
  <c r="AG63" i="36"/>
  <c r="AI79" i="36"/>
  <c r="AG79" i="36"/>
  <c r="AD79" i="36"/>
  <c r="AH78" i="36"/>
  <c r="AG62" i="36"/>
  <c r="AI78" i="36"/>
  <c r="AF62" i="36"/>
  <c r="AD62" i="36"/>
  <c r="AF78" i="36"/>
  <c r="AE62" i="36"/>
  <c r="AG78" i="36"/>
  <c r="AH62" i="36"/>
  <c r="AD78" i="36"/>
  <c r="AE78" i="36"/>
  <c r="AI62" i="36"/>
  <c r="BI47" i="34"/>
  <c r="AO47" i="34"/>
  <c r="BB47" i="34"/>
  <c r="AS47" i="34"/>
  <c r="AI47" i="34"/>
  <c r="AL47" i="34"/>
  <c r="AV47" i="34"/>
  <c r="BK47" i="34"/>
  <c r="AU47" i="34"/>
  <c r="AW47" i="34"/>
  <c r="BN47" i="34"/>
  <c r="AJ47" i="34"/>
  <c r="AZ47" i="34"/>
  <c r="BO47" i="34"/>
  <c r="AY47" i="34"/>
  <c r="BF47" i="34"/>
  <c r="AN47" i="34"/>
  <c r="BM47" i="34"/>
  <c r="AP47" i="34"/>
  <c r="BH47" i="34"/>
  <c r="BD47" i="34"/>
  <c r="BE47" i="34"/>
  <c r="BC47" i="34"/>
  <c r="BJ47" i="34"/>
  <c r="BA47" i="34"/>
  <c r="AR47" i="34"/>
  <c r="AM47" i="34"/>
  <c r="AT47" i="34"/>
  <c r="AK47" i="34"/>
  <c r="AX47" i="34"/>
  <c r="BL47" i="34"/>
  <c r="BG47" i="34"/>
  <c r="BP47" i="34"/>
  <c r="AQ47" i="34"/>
  <c r="AE69" i="36"/>
  <c r="AF53" i="36"/>
  <c r="AI69" i="36"/>
  <c r="AD69" i="36"/>
  <c r="AI53" i="36"/>
  <c r="AD53" i="36"/>
  <c r="AG53" i="36"/>
  <c r="AF69" i="36"/>
  <c r="AH53" i="36"/>
  <c r="AE53" i="36"/>
  <c r="AG69" i="36"/>
  <c r="AH69" i="36"/>
  <c r="D111" i="46"/>
  <c r="E93" i="46"/>
  <c r="D101" i="46"/>
  <c r="E83" i="46"/>
  <c r="D112" i="46"/>
  <c r="E94" i="46"/>
  <c r="C38" i="34"/>
  <c r="N94" i="34"/>
  <c r="K94" i="34"/>
  <c r="R94" i="34"/>
  <c r="AA93" i="34"/>
  <c r="AC93" i="34"/>
  <c r="M93" i="34"/>
  <c r="AA110" i="34"/>
  <c r="AB110" i="34"/>
  <c r="S93" i="34"/>
  <c r="P93" i="34"/>
  <c r="W42" i="45"/>
  <c r="W64" i="45" s="1"/>
  <c r="N42" i="45"/>
  <c r="N64" i="45" s="1"/>
  <c r="AA42" i="45"/>
  <c r="AA64" i="45" s="1"/>
  <c r="H42" i="45"/>
  <c r="H64" i="45" s="1"/>
  <c r="Z42" i="45"/>
  <c r="Z64" i="45" s="1"/>
  <c r="Q42" i="45"/>
  <c r="Q64" i="45" s="1"/>
  <c r="S41" i="45"/>
  <c r="S63" i="45" s="1"/>
  <c r="Y41" i="45"/>
  <c r="Y63" i="45" s="1"/>
  <c r="C6" i="34"/>
  <c r="D20" i="34"/>
  <c r="N110" i="34"/>
  <c r="AB109" i="34"/>
  <c r="J109" i="34"/>
  <c r="H109" i="34"/>
  <c r="I109" i="34"/>
  <c r="K110" i="34"/>
  <c r="R110" i="34"/>
  <c r="L110" i="34"/>
  <c r="N109" i="34"/>
  <c r="Z93" i="34"/>
  <c r="V109" i="34"/>
  <c r="W110" i="34"/>
  <c r="AC110" i="34"/>
  <c r="K93" i="34"/>
  <c r="Y94" i="34"/>
  <c r="L93" i="34"/>
  <c r="Q94" i="34"/>
  <c r="S94" i="34"/>
  <c r="W93" i="34"/>
  <c r="U109" i="34"/>
  <c r="Z94" i="34"/>
  <c r="AB94" i="34"/>
  <c r="J94" i="34"/>
  <c r="H110" i="34"/>
  <c r="Q109" i="34"/>
  <c r="S109" i="34"/>
  <c r="P109" i="34"/>
  <c r="G42" i="45"/>
  <c r="G64" i="45" s="1"/>
  <c r="W41" i="45"/>
  <c r="W63" i="45" s="1"/>
  <c r="I42" i="45"/>
  <c r="I64" i="45" s="1"/>
  <c r="N41" i="45"/>
  <c r="N63" i="45" s="1"/>
  <c r="R42" i="45"/>
  <c r="R64" i="45" s="1"/>
  <c r="K42" i="45"/>
  <c r="K64" i="45" s="1"/>
  <c r="AA41" i="45"/>
  <c r="AA63" i="45" s="1"/>
  <c r="M42" i="45"/>
  <c r="M64" i="45" s="1"/>
  <c r="H41" i="45"/>
  <c r="H63" i="45" s="1"/>
  <c r="Z41" i="45"/>
  <c r="Z63" i="45" s="1"/>
  <c r="L42" i="45"/>
  <c r="L64" i="45" s="1"/>
  <c r="Q41" i="45"/>
  <c r="Q63" i="45" s="1"/>
  <c r="J42" i="45"/>
  <c r="J64" i="45" s="1"/>
  <c r="F41" i="45"/>
  <c r="F63" i="45" s="1"/>
  <c r="V94" i="34"/>
  <c r="T93" i="34"/>
  <c r="Z109" i="34"/>
  <c r="R109" i="34"/>
  <c r="Q93" i="34"/>
  <c r="W94" i="34"/>
  <c r="U110" i="34"/>
  <c r="O110" i="34"/>
  <c r="K109" i="34"/>
  <c r="Y110" i="34"/>
  <c r="M110" i="34"/>
  <c r="L109" i="34"/>
  <c r="Q110" i="34"/>
  <c r="S110" i="34"/>
  <c r="W109" i="34"/>
  <c r="AC109" i="34"/>
  <c r="U93" i="34"/>
  <c r="O93" i="34"/>
  <c r="Y93" i="34"/>
  <c r="R93" i="34"/>
  <c r="G41" i="45"/>
  <c r="G63" i="45" s="1"/>
  <c r="I41" i="45"/>
  <c r="I63" i="45" s="1"/>
  <c r="R41" i="45"/>
  <c r="R63" i="45" s="1"/>
  <c r="K41" i="45"/>
  <c r="K63" i="45" s="1"/>
  <c r="M41" i="45"/>
  <c r="M63" i="45" s="1"/>
  <c r="O42" i="45"/>
  <c r="O64" i="45" s="1"/>
  <c r="U42" i="45"/>
  <c r="U64" i="45" s="1"/>
  <c r="L41" i="45"/>
  <c r="L63" i="45" s="1"/>
  <c r="J41" i="45"/>
  <c r="J63" i="45" s="1"/>
  <c r="P42" i="45"/>
  <c r="P64" i="45" s="1"/>
  <c r="V42" i="45"/>
  <c r="V64" i="45" s="1"/>
  <c r="T110" i="34"/>
  <c r="AB93" i="34"/>
  <c r="I93" i="34"/>
  <c r="N93" i="34"/>
  <c r="M94" i="34"/>
  <c r="P110" i="34"/>
  <c r="J110" i="34"/>
  <c r="I110" i="34"/>
  <c r="T41" i="45"/>
  <c r="T63" i="45" s="1"/>
  <c r="X41" i="45"/>
  <c r="X63" i="45" s="1"/>
  <c r="F42" i="45"/>
  <c r="F64" i="45" s="1"/>
  <c r="D38" i="34"/>
  <c r="D6" i="34"/>
  <c r="X93" i="34"/>
  <c r="H93" i="34"/>
  <c r="V93" i="34"/>
  <c r="O94" i="34"/>
  <c r="O109" i="34"/>
  <c r="P94" i="34"/>
  <c r="M109" i="34"/>
  <c r="AA94" i="34"/>
  <c r="X94" i="34"/>
  <c r="T42" i="45"/>
  <c r="T64" i="45" s="1"/>
  <c r="X42" i="45"/>
  <c r="X64" i="45" s="1"/>
  <c r="O41" i="45"/>
  <c r="O63" i="45" s="1"/>
  <c r="U41" i="45"/>
  <c r="U63" i="45" s="1"/>
  <c r="S42" i="45"/>
  <c r="S64" i="45" s="1"/>
  <c r="Y42" i="45"/>
  <c r="Y64" i="45" s="1"/>
  <c r="P41" i="45"/>
  <c r="P63" i="45" s="1"/>
  <c r="V41" i="45"/>
  <c r="V63" i="45" s="1"/>
  <c r="U159" i="34"/>
  <c r="Z69" i="36"/>
  <c r="U53" i="36"/>
  <c r="Z175" i="34"/>
  <c r="T53" i="36"/>
  <c r="T175" i="34"/>
  <c r="T159" i="34"/>
  <c r="I48" i="36"/>
  <c r="I139" i="34"/>
  <c r="I135" i="34"/>
  <c r="I88" i="34"/>
  <c r="Y48" i="36"/>
  <c r="Y139" i="34"/>
  <c r="Y135" i="34"/>
  <c r="Y88" i="34"/>
  <c r="K48" i="36"/>
  <c r="K135" i="34"/>
  <c r="K88" i="34"/>
  <c r="K139" i="34"/>
  <c r="L78" i="36"/>
  <c r="L184" i="34"/>
  <c r="L62" i="36"/>
  <c r="L168" i="34"/>
  <c r="K62" i="36"/>
  <c r="K184" i="34"/>
  <c r="K168" i="34"/>
  <c r="K78" i="36"/>
  <c r="AI168" i="34"/>
  <c r="AI184" i="34"/>
  <c r="M48" i="36"/>
  <c r="M139" i="34"/>
  <c r="M135" i="34"/>
  <c r="M88" i="34"/>
  <c r="AC48" i="36"/>
  <c r="AC139" i="34"/>
  <c r="AC135" i="34"/>
  <c r="AC88" i="34"/>
  <c r="O48" i="36"/>
  <c r="O139" i="34"/>
  <c r="O135" i="34"/>
  <c r="O88" i="34"/>
  <c r="AE169" i="34"/>
  <c r="AE185" i="34"/>
  <c r="AA184" i="34"/>
  <c r="AA168" i="34"/>
  <c r="AA62" i="36"/>
  <c r="AA78" i="36"/>
  <c r="R79" i="36"/>
  <c r="R185" i="34"/>
  <c r="R169" i="34"/>
  <c r="R63" i="36"/>
  <c r="N48" i="36"/>
  <c r="N88" i="34"/>
  <c r="N139" i="34"/>
  <c r="N135" i="34"/>
  <c r="L48" i="36"/>
  <c r="L139" i="34"/>
  <c r="L135" i="34"/>
  <c r="L88" i="34"/>
  <c r="Q78" i="36"/>
  <c r="Q168" i="34"/>
  <c r="Q184" i="34"/>
  <c r="Q62" i="36"/>
  <c r="X79" i="36"/>
  <c r="X185" i="34"/>
  <c r="X63" i="36"/>
  <c r="X169" i="34"/>
  <c r="AH168" i="34"/>
  <c r="AH184" i="34"/>
  <c r="W63" i="36"/>
  <c r="W185" i="34"/>
  <c r="W169" i="34"/>
  <c r="W79" i="36"/>
  <c r="S62" i="36"/>
  <c r="S78" i="36"/>
  <c r="S168" i="34"/>
  <c r="S184" i="34"/>
  <c r="AF168" i="34"/>
  <c r="AF184" i="34"/>
  <c r="Y185" i="34"/>
  <c r="Y63" i="36"/>
  <c r="Y79" i="36"/>
  <c r="Y169" i="34"/>
  <c r="I143" i="34"/>
  <c r="I90" i="34"/>
  <c r="Y143" i="34"/>
  <c r="Y90" i="34"/>
  <c r="K143" i="34"/>
  <c r="K90" i="34"/>
  <c r="V143" i="34"/>
  <c r="V90" i="34"/>
  <c r="P143" i="34"/>
  <c r="P90" i="34"/>
  <c r="T143" i="34"/>
  <c r="T90" i="34"/>
  <c r="P184" i="34"/>
  <c r="P78" i="36"/>
  <c r="P168" i="34"/>
  <c r="P62" i="36"/>
  <c r="L185" i="34"/>
  <c r="L79" i="36"/>
  <c r="L63" i="36"/>
  <c r="L169" i="34"/>
  <c r="AD185" i="34"/>
  <c r="AD169" i="34"/>
  <c r="J63" i="36"/>
  <c r="J79" i="36"/>
  <c r="J169" i="34"/>
  <c r="J185" i="34"/>
  <c r="M143" i="34"/>
  <c r="M90" i="34"/>
  <c r="AC143" i="34"/>
  <c r="AC90" i="34"/>
  <c r="O143" i="34"/>
  <c r="O90" i="34"/>
  <c r="J143" i="34"/>
  <c r="J90" i="34"/>
  <c r="Z143" i="34"/>
  <c r="Z90" i="34"/>
  <c r="AB143" i="34"/>
  <c r="AB90" i="34"/>
  <c r="AC79" i="36"/>
  <c r="AC185" i="34"/>
  <c r="AC63" i="36"/>
  <c r="AC169" i="34"/>
  <c r="AE184" i="34"/>
  <c r="AE168" i="34"/>
  <c r="T62" i="36"/>
  <c r="T184" i="34"/>
  <c r="T168" i="34"/>
  <c r="T78" i="36"/>
  <c r="R62" i="36"/>
  <c r="R168" i="34"/>
  <c r="R78" i="36"/>
  <c r="R184" i="34"/>
  <c r="Q48" i="36"/>
  <c r="Q139" i="34"/>
  <c r="Q135" i="34"/>
  <c r="Q88" i="34"/>
  <c r="W48" i="36"/>
  <c r="W139" i="34"/>
  <c r="W135" i="34"/>
  <c r="W88" i="34"/>
  <c r="S48" i="36"/>
  <c r="S139" i="34"/>
  <c r="S135" i="34"/>
  <c r="S88" i="34"/>
  <c r="Z79" i="36"/>
  <c r="Z169" i="34"/>
  <c r="Z63" i="36"/>
  <c r="Z185" i="34"/>
  <c r="X78" i="36"/>
  <c r="X184" i="34"/>
  <c r="X62" i="36"/>
  <c r="X168" i="34"/>
  <c r="AB185" i="34"/>
  <c r="AB63" i="36"/>
  <c r="AB79" i="36"/>
  <c r="AB169" i="34"/>
  <c r="R48" i="36"/>
  <c r="R88" i="34"/>
  <c r="R135" i="34"/>
  <c r="R139" i="34"/>
  <c r="X48" i="36"/>
  <c r="X88" i="34"/>
  <c r="X135" i="34"/>
  <c r="X139" i="34"/>
  <c r="W168" i="34"/>
  <c r="W62" i="36"/>
  <c r="W184" i="34"/>
  <c r="W78" i="36"/>
  <c r="V168" i="34"/>
  <c r="V184" i="34"/>
  <c r="V78" i="36"/>
  <c r="V62" i="36"/>
  <c r="AF185" i="34"/>
  <c r="AF169" i="34"/>
  <c r="H168" i="34"/>
  <c r="H78" i="36"/>
  <c r="H62" i="36"/>
  <c r="H184" i="34"/>
  <c r="AD168" i="34"/>
  <c r="AD184" i="34"/>
  <c r="O169" i="34"/>
  <c r="O79" i="36"/>
  <c r="O63" i="36"/>
  <c r="O185" i="34"/>
  <c r="AC168" i="34"/>
  <c r="AC78" i="36"/>
  <c r="AC62" i="36"/>
  <c r="AC184" i="34"/>
  <c r="U168" i="34"/>
  <c r="U62" i="36"/>
  <c r="U78" i="36"/>
  <c r="U184" i="34"/>
  <c r="T185" i="34"/>
  <c r="T79" i="36"/>
  <c r="T169" i="34"/>
  <c r="T63" i="36"/>
  <c r="Q143" i="34"/>
  <c r="Q90" i="34"/>
  <c r="W143" i="34"/>
  <c r="W90" i="34"/>
  <c r="N143" i="34"/>
  <c r="N90" i="34"/>
  <c r="S143" i="34"/>
  <c r="S90" i="34"/>
  <c r="L143" i="34"/>
  <c r="L90" i="34"/>
  <c r="N185" i="34"/>
  <c r="N169" i="34"/>
  <c r="N79" i="36"/>
  <c r="N63" i="36"/>
  <c r="Z62" i="36"/>
  <c r="Z184" i="34"/>
  <c r="Z78" i="36"/>
  <c r="Z168" i="34"/>
  <c r="AG184" i="34"/>
  <c r="AG168" i="34"/>
  <c r="AB168" i="34"/>
  <c r="AB78" i="36"/>
  <c r="AB62" i="36"/>
  <c r="AB184" i="34"/>
  <c r="U48" i="36"/>
  <c r="U139" i="34"/>
  <c r="U135" i="34"/>
  <c r="U88" i="34"/>
  <c r="H48" i="36"/>
  <c r="H88" i="34"/>
  <c r="H139" i="34"/>
  <c r="H135" i="34"/>
  <c r="AA48" i="36"/>
  <c r="AA139" i="34"/>
  <c r="AA135" i="34"/>
  <c r="AA88" i="34"/>
  <c r="I79" i="36"/>
  <c r="I185" i="34"/>
  <c r="I63" i="36"/>
  <c r="I169" i="34"/>
  <c r="V185" i="34"/>
  <c r="V63" i="36"/>
  <c r="V79" i="36"/>
  <c r="V169" i="34"/>
  <c r="M63" i="36"/>
  <c r="M169" i="34"/>
  <c r="M79" i="36"/>
  <c r="M185" i="34"/>
  <c r="V48" i="36"/>
  <c r="V135" i="34"/>
  <c r="V139" i="34"/>
  <c r="V88" i="34"/>
  <c r="P48" i="36"/>
  <c r="P139" i="34"/>
  <c r="P88" i="34"/>
  <c r="P135" i="34"/>
  <c r="T48" i="36"/>
  <c r="T139" i="34"/>
  <c r="T135" i="34"/>
  <c r="T88" i="34"/>
  <c r="K79" i="36"/>
  <c r="K185" i="34"/>
  <c r="K63" i="36"/>
  <c r="K169" i="34"/>
  <c r="H79" i="36"/>
  <c r="H63" i="36"/>
  <c r="H169" i="34"/>
  <c r="H185" i="34"/>
  <c r="J78" i="36"/>
  <c r="J184" i="34"/>
  <c r="J62" i="36"/>
  <c r="J168" i="34"/>
  <c r="AI169" i="34"/>
  <c r="AI185" i="34"/>
  <c r="J48" i="36"/>
  <c r="J135" i="34"/>
  <c r="J139" i="34"/>
  <c r="J88" i="34"/>
  <c r="Z48" i="36"/>
  <c r="Z139" i="34"/>
  <c r="Z135" i="34"/>
  <c r="Z88" i="34"/>
  <c r="AB48" i="36"/>
  <c r="AB139" i="34"/>
  <c r="AB135" i="34"/>
  <c r="AB88" i="34"/>
  <c r="O78" i="36"/>
  <c r="O62" i="36"/>
  <c r="O168" i="34"/>
  <c r="O184" i="34"/>
  <c r="AA185" i="34"/>
  <c r="AA79" i="36"/>
  <c r="AA63" i="36"/>
  <c r="AA169" i="34"/>
  <c r="U185" i="34"/>
  <c r="U63" i="36"/>
  <c r="U79" i="36"/>
  <c r="U169" i="34"/>
  <c r="Q185" i="34"/>
  <c r="Q63" i="36"/>
  <c r="Q79" i="36"/>
  <c r="Q169" i="34"/>
  <c r="N184" i="34"/>
  <c r="N168" i="34"/>
  <c r="N62" i="36"/>
  <c r="N78" i="36"/>
  <c r="AH185" i="34"/>
  <c r="AH169" i="34"/>
  <c r="AG185" i="34"/>
  <c r="AG169" i="34"/>
  <c r="U143" i="34"/>
  <c r="U90" i="34"/>
  <c r="H90" i="34"/>
  <c r="H143" i="34"/>
  <c r="AA143" i="34"/>
  <c r="AA90" i="34"/>
  <c r="R143" i="34"/>
  <c r="R90" i="34"/>
  <c r="X143" i="34"/>
  <c r="X90" i="34"/>
  <c r="S79" i="36"/>
  <c r="S185" i="34"/>
  <c r="S63" i="36"/>
  <c r="S169" i="34"/>
  <c r="I168" i="34"/>
  <c r="I62" i="36"/>
  <c r="I78" i="36"/>
  <c r="I184" i="34"/>
  <c r="Y62" i="36"/>
  <c r="Y184" i="34"/>
  <c r="Y78" i="36"/>
  <c r="Y168" i="34"/>
  <c r="M78" i="36"/>
  <c r="M184" i="34"/>
  <c r="M62" i="36"/>
  <c r="M168" i="34"/>
  <c r="D38" i="33"/>
  <c r="D23" i="45"/>
  <c r="E23" i="45"/>
  <c r="B15" i="45"/>
  <c r="C23" i="45"/>
  <c r="E10" i="45"/>
  <c r="E4" i="45" s="1"/>
  <c r="C38" i="33"/>
  <c r="C20" i="34"/>
  <c r="G86" i="39"/>
  <c r="G87" i="39"/>
  <c r="H87" i="39" s="1"/>
  <c r="G88" i="39"/>
  <c r="G89" i="39"/>
  <c r="G90" i="39"/>
  <c r="G91" i="39"/>
  <c r="G92" i="39"/>
  <c r="G93" i="39"/>
  <c r="G94" i="39"/>
  <c r="G95" i="39"/>
  <c r="H95" i="39" s="1"/>
  <c r="G96" i="39"/>
  <c r="H96" i="39" s="1"/>
  <c r="G97" i="39"/>
  <c r="G98" i="39"/>
  <c r="G99" i="39"/>
  <c r="H99" i="39" s="1"/>
  <c r="G100" i="39"/>
  <c r="G101" i="39"/>
  <c r="G102" i="39"/>
  <c r="G85" i="39"/>
  <c r="H51" i="39"/>
  <c r="H53" i="39"/>
  <c r="G37" i="39"/>
  <c r="G38" i="39"/>
  <c r="G39" i="39"/>
  <c r="G40" i="39"/>
  <c r="G41" i="39"/>
  <c r="H41" i="39" s="1"/>
  <c r="G42" i="39"/>
  <c r="G43" i="39"/>
  <c r="G44" i="39"/>
  <c r="G45" i="39"/>
  <c r="H45" i="39" s="1"/>
  <c r="G46" i="39"/>
  <c r="G47" i="39"/>
  <c r="G48" i="39"/>
  <c r="G49" i="39"/>
  <c r="H49" i="39" s="1"/>
  <c r="G50" i="39"/>
  <c r="G51" i="39"/>
  <c r="G52" i="39"/>
  <c r="G53" i="39"/>
  <c r="G54" i="39"/>
  <c r="G55" i="39"/>
  <c r="H55" i="39" s="1"/>
  <c r="G56" i="39"/>
  <c r="G57" i="39"/>
  <c r="H57" i="39" s="1"/>
  <c r="G58" i="39"/>
  <c r="G59" i="39"/>
  <c r="H59" i="39" s="1"/>
  <c r="G36" i="39"/>
  <c r="H36" i="39" s="1"/>
  <c r="D13" i="36"/>
  <c r="D71" i="46" s="1"/>
  <c r="C12" i="36"/>
  <c r="D11" i="36"/>
  <c r="D69" i="46" s="1"/>
  <c r="G9" i="39"/>
  <c r="H9" i="39" s="1"/>
  <c r="G10" i="39"/>
  <c r="H10" i="39" s="1"/>
  <c r="G8" i="39"/>
  <c r="G6" i="39"/>
  <c r="H6" i="39" s="1"/>
  <c r="G7" i="39"/>
  <c r="G5" i="39"/>
  <c r="H133" i="39"/>
  <c r="H130" i="39"/>
  <c r="H129" i="39"/>
  <c r="H124" i="39"/>
  <c r="H121" i="39"/>
  <c r="H120" i="39"/>
  <c r="H117" i="39"/>
  <c r="H114" i="39"/>
  <c r="H132" i="39"/>
  <c r="H131" i="39"/>
  <c r="H126" i="39"/>
  <c r="H127" i="39"/>
  <c r="H128" i="39"/>
  <c r="H125" i="39"/>
  <c r="H123" i="39"/>
  <c r="H122" i="39"/>
  <c r="H116" i="39"/>
  <c r="H118" i="39"/>
  <c r="H119" i="39"/>
  <c r="H115" i="39"/>
  <c r="H112" i="39"/>
  <c r="H15" i="33" s="1"/>
  <c r="H110" i="39"/>
  <c r="H14" i="33" s="1"/>
  <c r="H102" i="39"/>
  <c r="H100" i="39"/>
  <c r="H92" i="39"/>
  <c r="H90" i="39"/>
  <c r="G104" i="39"/>
  <c r="G105" i="39"/>
  <c r="H105" i="39" s="1"/>
  <c r="G106" i="39"/>
  <c r="G107" i="39"/>
  <c r="G108" i="39"/>
  <c r="G103" i="39"/>
  <c r="H74" i="39"/>
  <c r="H62" i="39"/>
  <c r="G61" i="39"/>
  <c r="G62" i="39"/>
  <c r="G63" i="39"/>
  <c r="H63" i="39" s="1"/>
  <c r="G64" i="39"/>
  <c r="G65" i="39"/>
  <c r="G66" i="39"/>
  <c r="H66" i="39" s="1"/>
  <c r="G67" i="39"/>
  <c r="H67" i="39" s="1"/>
  <c r="G68" i="39"/>
  <c r="G69" i="39"/>
  <c r="G70" i="39"/>
  <c r="H70" i="39" s="1"/>
  <c r="G71" i="39"/>
  <c r="H71" i="39" s="1"/>
  <c r="G72" i="39"/>
  <c r="G73" i="39"/>
  <c r="G74" i="39"/>
  <c r="G75" i="39"/>
  <c r="H75" i="39" s="1"/>
  <c r="G76" i="39"/>
  <c r="G77" i="39"/>
  <c r="G78" i="39"/>
  <c r="G79" i="39"/>
  <c r="G80" i="39"/>
  <c r="G81" i="39"/>
  <c r="G82" i="39"/>
  <c r="G83" i="39"/>
  <c r="H83" i="39" s="1"/>
  <c r="G60" i="39"/>
  <c r="H28" i="39"/>
  <c r="H25" i="39"/>
  <c r="H9" i="33" s="1"/>
  <c r="H26" i="39"/>
  <c r="H23" i="39"/>
  <c r="H24" i="39"/>
  <c r="H15" i="39"/>
  <c r="H16" i="39"/>
  <c r="H19" i="39"/>
  <c r="H20" i="39"/>
  <c r="H7" i="39"/>
  <c r="G30" i="39"/>
  <c r="G31" i="39"/>
  <c r="G32" i="39"/>
  <c r="H32" i="39" s="1"/>
  <c r="G33" i="39"/>
  <c r="G34" i="39"/>
  <c r="G29" i="39"/>
  <c r="H13" i="39"/>
  <c r="H14" i="39"/>
  <c r="H17" i="39"/>
  <c r="H18" i="39"/>
  <c r="H21" i="39"/>
  <c r="H22" i="39"/>
  <c r="H27" i="39"/>
  <c r="H12" i="39"/>
  <c r="C133" i="39"/>
  <c r="B133" i="39"/>
  <c r="C132" i="39"/>
  <c r="B132" i="39"/>
  <c r="C131" i="39"/>
  <c r="B131" i="39"/>
  <c r="C130" i="39"/>
  <c r="B130" i="39"/>
  <c r="C129" i="39"/>
  <c r="B129" i="39"/>
  <c r="C128" i="39"/>
  <c r="B128" i="39"/>
  <c r="C127" i="39"/>
  <c r="B127" i="39"/>
  <c r="C126" i="39"/>
  <c r="B126" i="39"/>
  <c r="C125" i="39"/>
  <c r="B125" i="39"/>
  <c r="C124" i="39"/>
  <c r="B124" i="39"/>
  <c r="C123" i="39"/>
  <c r="B123" i="39"/>
  <c r="C122" i="39"/>
  <c r="B122" i="39"/>
  <c r="C121" i="39"/>
  <c r="B121" i="39"/>
  <c r="C120" i="39"/>
  <c r="B120" i="39"/>
  <c r="C119" i="39"/>
  <c r="B119" i="39"/>
  <c r="C118" i="39"/>
  <c r="B118" i="39"/>
  <c r="C117" i="39"/>
  <c r="B117" i="39"/>
  <c r="C116" i="39"/>
  <c r="B116" i="39"/>
  <c r="C115" i="39"/>
  <c r="B115" i="39"/>
  <c r="C114" i="39"/>
  <c r="B114" i="39"/>
  <c r="C112" i="39"/>
  <c r="B112" i="39"/>
  <c r="C110" i="39"/>
  <c r="B110" i="39"/>
  <c r="C108" i="39"/>
  <c r="B108" i="39"/>
  <c r="C107" i="39"/>
  <c r="B107" i="39"/>
  <c r="C106" i="39"/>
  <c r="B106" i="39"/>
  <c r="C105" i="39"/>
  <c r="B105" i="39"/>
  <c r="C104" i="39"/>
  <c r="B104" i="39"/>
  <c r="C103" i="39"/>
  <c r="B103" i="39"/>
  <c r="C102" i="39"/>
  <c r="B102" i="39"/>
  <c r="C101" i="39"/>
  <c r="B101" i="39"/>
  <c r="C100" i="39"/>
  <c r="B100" i="39"/>
  <c r="C99" i="39"/>
  <c r="B99" i="39"/>
  <c r="C98" i="39"/>
  <c r="B98" i="39"/>
  <c r="C97" i="39"/>
  <c r="B97" i="39"/>
  <c r="C96" i="39"/>
  <c r="B96" i="39"/>
  <c r="C95" i="39"/>
  <c r="B95" i="39"/>
  <c r="C94" i="39"/>
  <c r="B94" i="39"/>
  <c r="C93" i="39"/>
  <c r="B93" i="39"/>
  <c r="C92" i="39"/>
  <c r="B92" i="39"/>
  <c r="C91" i="39"/>
  <c r="B91" i="39"/>
  <c r="C90" i="39"/>
  <c r="B90" i="39"/>
  <c r="C89" i="39"/>
  <c r="B89" i="39"/>
  <c r="C88" i="39"/>
  <c r="B88" i="39"/>
  <c r="C87" i="39"/>
  <c r="B87" i="39"/>
  <c r="C86" i="39"/>
  <c r="B86" i="39"/>
  <c r="C85" i="39"/>
  <c r="B85" i="39"/>
  <c r="C83" i="39"/>
  <c r="B83" i="39"/>
  <c r="C82" i="39"/>
  <c r="B82" i="39"/>
  <c r="C81" i="39"/>
  <c r="B81" i="39"/>
  <c r="C80" i="39"/>
  <c r="B80" i="39"/>
  <c r="C79" i="39"/>
  <c r="B79" i="39"/>
  <c r="C78" i="39"/>
  <c r="B78" i="39"/>
  <c r="C77" i="39"/>
  <c r="B77" i="39"/>
  <c r="C76" i="39"/>
  <c r="B76" i="39"/>
  <c r="C75" i="39"/>
  <c r="B75" i="39"/>
  <c r="C74" i="39"/>
  <c r="B74" i="39"/>
  <c r="C73" i="39"/>
  <c r="B73" i="39"/>
  <c r="C72" i="39"/>
  <c r="B72" i="39"/>
  <c r="C71" i="39"/>
  <c r="B71" i="39"/>
  <c r="C70" i="39"/>
  <c r="B70" i="39"/>
  <c r="C69" i="39"/>
  <c r="B69" i="39"/>
  <c r="C68" i="39"/>
  <c r="B68" i="39"/>
  <c r="C67" i="39"/>
  <c r="B67" i="39"/>
  <c r="C66" i="39"/>
  <c r="B66" i="39"/>
  <c r="C65" i="39"/>
  <c r="B65" i="39"/>
  <c r="C64" i="39"/>
  <c r="B64" i="39"/>
  <c r="C63" i="39"/>
  <c r="B63" i="39"/>
  <c r="C62" i="39"/>
  <c r="B62" i="39"/>
  <c r="C61" i="39"/>
  <c r="B61" i="39"/>
  <c r="C60" i="39"/>
  <c r="B60" i="39"/>
  <c r="C59" i="39"/>
  <c r="B59" i="39"/>
  <c r="C58" i="39"/>
  <c r="B58" i="39"/>
  <c r="C57" i="39"/>
  <c r="B57" i="39"/>
  <c r="C56" i="39"/>
  <c r="B56" i="39"/>
  <c r="C55" i="39"/>
  <c r="B55" i="39"/>
  <c r="C54" i="39"/>
  <c r="B54" i="39"/>
  <c r="C53" i="39"/>
  <c r="B53" i="39"/>
  <c r="C52" i="39"/>
  <c r="B52" i="39"/>
  <c r="C51" i="39"/>
  <c r="B51" i="39"/>
  <c r="C50" i="39"/>
  <c r="B50" i="39"/>
  <c r="C49" i="39"/>
  <c r="B49" i="39"/>
  <c r="C48" i="39"/>
  <c r="B48" i="39"/>
  <c r="C47" i="39"/>
  <c r="B47" i="39"/>
  <c r="C46" i="39"/>
  <c r="B46" i="39"/>
  <c r="C45" i="39"/>
  <c r="B45" i="39"/>
  <c r="C44" i="39"/>
  <c r="B44" i="39"/>
  <c r="C43" i="39"/>
  <c r="B43" i="39"/>
  <c r="C42" i="39"/>
  <c r="B42" i="39"/>
  <c r="C41" i="39"/>
  <c r="B41" i="39"/>
  <c r="C40" i="39"/>
  <c r="B40" i="39"/>
  <c r="C39" i="39"/>
  <c r="B39" i="39"/>
  <c r="C38" i="39"/>
  <c r="B38" i="39"/>
  <c r="C37" i="39"/>
  <c r="B37" i="39"/>
  <c r="C36" i="39"/>
  <c r="B36" i="39"/>
  <c r="C34" i="39"/>
  <c r="B34" i="39"/>
  <c r="C33" i="39"/>
  <c r="B33" i="39"/>
  <c r="C32" i="39"/>
  <c r="B32" i="39"/>
  <c r="C31" i="39"/>
  <c r="B31" i="39"/>
  <c r="C30" i="39"/>
  <c r="B30" i="39"/>
  <c r="C29" i="39"/>
  <c r="B29" i="39"/>
  <c r="C28" i="39"/>
  <c r="B28" i="39"/>
  <c r="C27" i="39"/>
  <c r="B27" i="39"/>
  <c r="C26" i="39"/>
  <c r="B26" i="39"/>
  <c r="C25" i="39"/>
  <c r="B25" i="39"/>
  <c r="C24" i="39"/>
  <c r="B24" i="39"/>
  <c r="C23" i="39"/>
  <c r="B23" i="39"/>
  <c r="C22" i="39"/>
  <c r="B22" i="39"/>
  <c r="C21" i="39"/>
  <c r="B21" i="39"/>
  <c r="C20" i="39"/>
  <c r="B20" i="39"/>
  <c r="C19" i="39"/>
  <c r="B19" i="39"/>
  <c r="C18" i="39"/>
  <c r="B18" i="39"/>
  <c r="C17" i="39"/>
  <c r="B17" i="39"/>
  <c r="C16" i="39"/>
  <c r="B16" i="39"/>
  <c r="C15" i="39"/>
  <c r="B15" i="39"/>
  <c r="C14" i="39"/>
  <c r="B14" i="39"/>
  <c r="C13" i="39"/>
  <c r="B13" i="39"/>
  <c r="C12" i="39"/>
  <c r="B12" i="39"/>
  <c r="C10" i="39"/>
  <c r="B10" i="39"/>
  <c r="C9" i="39"/>
  <c r="B9" i="39"/>
  <c r="C8" i="39"/>
  <c r="B8" i="39"/>
  <c r="C7" i="39"/>
  <c r="B7" i="39"/>
  <c r="C6" i="39"/>
  <c r="B6" i="39"/>
  <c r="AH94" i="34" l="1"/>
  <c r="O1469" i="67"/>
  <c r="AI94" i="34"/>
  <c r="P1469" i="67"/>
  <c r="AE110" i="34"/>
  <c r="L1485" i="67"/>
  <c r="L1494" i="67"/>
  <c r="L1148" i="67"/>
  <c r="L997" i="67"/>
  <c r="L1478" i="67"/>
  <c r="L1132" i="67"/>
  <c r="L981" i="67"/>
  <c r="L679" i="67"/>
  <c r="P1494" i="67"/>
  <c r="P1148" i="67"/>
  <c r="P997" i="67"/>
  <c r="N1495" i="67"/>
  <c r="N1149" i="67"/>
  <c r="N998" i="67"/>
  <c r="P1479" i="67"/>
  <c r="P1133" i="67"/>
  <c r="P982" i="67"/>
  <c r="O1495" i="67"/>
  <c r="O1149" i="67"/>
  <c r="O998" i="67"/>
  <c r="O995" i="67"/>
  <c r="O389" i="67"/>
  <c r="O844" i="67"/>
  <c r="O541" i="67"/>
  <c r="O693" i="67"/>
  <c r="O83" i="67"/>
  <c r="O236" i="67"/>
  <c r="AS995" i="67"/>
  <c r="AS389" i="67"/>
  <c r="AS844" i="67"/>
  <c r="AS541" i="67"/>
  <c r="AS693" i="67"/>
  <c r="AS83" i="67"/>
  <c r="AS236" i="67"/>
  <c r="AS979" i="67"/>
  <c r="AS828" i="67"/>
  <c r="AS373" i="67"/>
  <c r="AS525" i="67"/>
  <c r="AS67" i="67"/>
  <c r="AS220" i="67"/>
  <c r="AS677" i="67"/>
  <c r="AU979" i="67"/>
  <c r="AU828" i="67"/>
  <c r="AU373" i="67"/>
  <c r="AU525" i="67"/>
  <c r="AU67" i="67"/>
  <c r="AU220" i="67"/>
  <c r="AU677" i="67"/>
  <c r="AP995" i="67"/>
  <c r="AP389" i="67"/>
  <c r="AP844" i="67"/>
  <c r="AP83" i="67"/>
  <c r="AP236" i="67"/>
  <c r="AP541" i="67"/>
  <c r="AP693" i="67"/>
  <c r="Q995" i="67"/>
  <c r="Q389" i="67"/>
  <c r="Q844" i="67"/>
  <c r="Q541" i="67"/>
  <c r="Q83" i="67"/>
  <c r="Q693" i="67"/>
  <c r="Q236" i="67"/>
  <c r="Q979" i="67"/>
  <c r="Q525" i="67"/>
  <c r="Q373" i="67"/>
  <c r="Q828" i="67"/>
  <c r="Q67" i="67"/>
  <c r="Q220" i="67"/>
  <c r="Q677" i="67"/>
  <c r="AO995" i="67"/>
  <c r="AO389" i="67"/>
  <c r="AO844" i="67"/>
  <c r="AO541" i="67"/>
  <c r="AO83" i="67"/>
  <c r="AO693" i="67"/>
  <c r="AO236" i="67"/>
  <c r="AC995" i="67"/>
  <c r="AC389" i="67"/>
  <c r="AC844" i="67"/>
  <c r="AC541" i="67"/>
  <c r="AC83" i="67"/>
  <c r="AC693" i="67"/>
  <c r="AC236" i="67"/>
  <c r="S995" i="67"/>
  <c r="S389" i="67"/>
  <c r="S844" i="67"/>
  <c r="S83" i="67"/>
  <c r="S236" i="67"/>
  <c r="S541" i="67"/>
  <c r="S693" i="67"/>
  <c r="AN995" i="67"/>
  <c r="AN389" i="67"/>
  <c r="AN844" i="67"/>
  <c r="AN83" i="67"/>
  <c r="AN236" i="67"/>
  <c r="AN541" i="67"/>
  <c r="AN693" i="67"/>
  <c r="AM979" i="67"/>
  <c r="AM828" i="67"/>
  <c r="AM373" i="67"/>
  <c r="AM525" i="67"/>
  <c r="AM67" i="67"/>
  <c r="AM220" i="67"/>
  <c r="AM677" i="67"/>
  <c r="AU995" i="67"/>
  <c r="AU389" i="67"/>
  <c r="AU844" i="67"/>
  <c r="AU541" i="67"/>
  <c r="AU693" i="67"/>
  <c r="AU83" i="67"/>
  <c r="AU236" i="67"/>
  <c r="AG979" i="67"/>
  <c r="AG525" i="67"/>
  <c r="AG373" i="67"/>
  <c r="AG828" i="67"/>
  <c r="AG67" i="67"/>
  <c r="AG220" i="67"/>
  <c r="AG677" i="67"/>
  <c r="L979" i="67"/>
  <c r="L828" i="67"/>
  <c r="L373" i="67"/>
  <c r="L525" i="67"/>
  <c r="L67" i="67"/>
  <c r="L220" i="67"/>
  <c r="L677" i="67"/>
  <c r="AA979" i="67"/>
  <c r="AA525" i="67"/>
  <c r="AA373" i="67"/>
  <c r="AA828" i="67"/>
  <c r="AA67" i="67"/>
  <c r="AA220" i="67"/>
  <c r="AA677" i="67"/>
  <c r="AI995" i="67"/>
  <c r="AI389" i="67"/>
  <c r="AI844" i="67"/>
  <c r="AI83" i="67"/>
  <c r="AI236" i="67"/>
  <c r="AI541" i="67"/>
  <c r="AI693" i="67"/>
  <c r="S979" i="67"/>
  <c r="S373" i="67"/>
  <c r="S525" i="67"/>
  <c r="S828" i="67"/>
  <c r="S67" i="67"/>
  <c r="S220" i="67"/>
  <c r="S677" i="67"/>
  <c r="AH110" i="34"/>
  <c r="O1485" i="67"/>
  <c r="AF110" i="34"/>
  <c r="M1485" i="67"/>
  <c r="AD110" i="34"/>
  <c r="K1485" i="67"/>
  <c r="K1494" i="67"/>
  <c r="K1148" i="67"/>
  <c r="K997" i="67"/>
  <c r="M1494" i="67"/>
  <c r="M1148" i="67"/>
  <c r="M997" i="67"/>
  <c r="N1478" i="67"/>
  <c r="N1132" i="67"/>
  <c r="N981" i="67"/>
  <c r="N679" i="67"/>
  <c r="P1495" i="67"/>
  <c r="P1149" i="67"/>
  <c r="P998" i="67"/>
  <c r="L1479" i="67"/>
  <c r="L1133" i="67"/>
  <c r="L982" i="67"/>
  <c r="K1479" i="67"/>
  <c r="K1133" i="67"/>
  <c r="K982" i="67"/>
  <c r="AW979" i="67"/>
  <c r="AW525" i="67"/>
  <c r="AW373" i="67"/>
  <c r="AW828" i="67"/>
  <c r="AW67" i="67"/>
  <c r="AW220" i="67"/>
  <c r="AW677" i="67"/>
  <c r="AW995" i="67"/>
  <c r="AW389" i="67"/>
  <c r="AW844" i="67"/>
  <c r="AW83" i="67"/>
  <c r="AW236" i="67"/>
  <c r="AW541" i="67"/>
  <c r="AW693" i="67"/>
  <c r="W979" i="67"/>
  <c r="W828" i="67"/>
  <c r="W373" i="67"/>
  <c r="W525" i="67"/>
  <c r="W67" i="67"/>
  <c r="W220" i="67"/>
  <c r="W677" i="67"/>
  <c r="W995" i="67"/>
  <c r="W389" i="67"/>
  <c r="W844" i="67"/>
  <c r="W541" i="67"/>
  <c r="W693" i="67"/>
  <c r="W83" i="67"/>
  <c r="W236" i="67"/>
  <c r="AF979" i="67"/>
  <c r="AF525" i="67"/>
  <c r="AF373" i="67"/>
  <c r="AF828" i="67"/>
  <c r="AF67" i="67"/>
  <c r="AF220" i="67"/>
  <c r="AF677" i="67"/>
  <c r="O979" i="67"/>
  <c r="O828" i="67"/>
  <c r="O373" i="67"/>
  <c r="O525" i="67"/>
  <c r="O67" i="67"/>
  <c r="O220" i="67"/>
  <c r="O677" i="67"/>
  <c r="T979" i="67"/>
  <c r="T828" i="67"/>
  <c r="T373" i="67"/>
  <c r="T525" i="67"/>
  <c r="T67" i="67"/>
  <c r="T220" i="67"/>
  <c r="T677" i="67"/>
  <c r="V979" i="67"/>
  <c r="V828" i="67"/>
  <c r="V373" i="67"/>
  <c r="V525" i="67"/>
  <c r="V67" i="67"/>
  <c r="V220" i="67"/>
  <c r="V677" i="67"/>
  <c r="AT979" i="67"/>
  <c r="AT828" i="67"/>
  <c r="AT373" i="67"/>
  <c r="AT525" i="67"/>
  <c r="AT67" i="67"/>
  <c r="AT220" i="67"/>
  <c r="AT677" i="67"/>
  <c r="T995" i="67"/>
  <c r="T389" i="67"/>
  <c r="T844" i="67"/>
  <c r="T541" i="67"/>
  <c r="T693" i="67"/>
  <c r="T83" i="67"/>
  <c r="T236" i="67"/>
  <c r="M979" i="67"/>
  <c r="M828" i="67"/>
  <c r="M373" i="67"/>
  <c r="M525" i="67"/>
  <c r="M67" i="67"/>
  <c r="M220" i="67"/>
  <c r="M677" i="67"/>
  <c r="AN979" i="67"/>
  <c r="AN373" i="67"/>
  <c r="AN525" i="67"/>
  <c r="AN828" i="67"/>
  <c r="AN67" i="67"/>
  <c r="AN220" i="67"/>
  <c r="AN677" i="67"/>
  <c r="AV995" i="67"/>
  <c r="AV389" i="67"/>
  <c r="AV844" i="67"/>
  <c r="AV83" i="67"/>
  <c r="AV236" i="67"/>
  <c r="AV541" i="67"/>
  <c r="AV693" i="67"/>
  <c r="AK995" i="67"/>
  <c r="AK389" i="67"/>
  <c r="AK844" i="67"/>
  <c r="AK541" i="67"/>
  <c r="AK693" i="67"/>
  <c r="AK83" i="67"/>
  <c r="AK236" i="67"/>
  <c r="AG995" i="67"/>
  <c r="AG389" i="67"/>
  <c r="AG844" i="67"/>
  <c r="AG83" i="67"/>
  <c r="AG236" i="67"/>
  <c r="AG541" i="67"/>
  <c r="AG693" i="67"/>
  <c r="K995" i="67"/>
  <c r="K389" i="67"/>
  <c r="K844" i="67"/>
  <c r="K541" i="67"/>
  <c r="K693" i="67"/>
  <c r="K83" i="67"/>
  <c r="K236" i="67"/>
  <c r="AB979" i="67"/>
  <c r="AB828" i="67"/>
  <c r="AB373" i="67"/>
  <c r="AB525" i="67"/>
  <c r="AB67" i="67"/>
  <c r="AB220" i="67"/>
  <c r="AB677" i="67"/>
  <c r="AJ995" i="67"/>
  <c r="AJ389" i="67"/>
  <c r="AJ844" i="67"/>
  <c r="AJ541" i="67"/>
  <c r="AJ693" i="67"/>
  <c r="AJ83" i="67"/>
  <c r="AJ236" i="67"/>
  <c r="AI979" i="67"/>
  <c r="AI373" i="67"/>
  <c r="AI525" i="67"/>
  <c r="AI828" i="67"/>
  <c r="AI67" i="67"/>
  <c r="AI220" i="67"/>
  <c r="AI677" i="67"/>
  <c r="AR979" i="67"/>
  <c r="AR828" i="67"/>
  <c r="AR373" i="67"/>
  <c r="AR525" i="67"/>
  <c r="AR67" i="67"/>
  <c r="AR220" i="67"/>
  <c r="AR677" i="67"/>
  <c r="N979" i="67"/>
  <c r="N828" i="67"/>
  <c r="N373" i="67"/>
  <c r="N525" i="67"/>
  <c r="N67" i="67"/>
  <c r="N220" i="67"/>
  <c r="N677" i="67"/>
  <c r="R995" i="67"/>
  <c r="R389" i="67"/>
  <c r="R844" i="67"/>
  <c r="R83" i="67"/>
  <c r="R236" i="67"/>
  <c r="R541" i="67"/>
  <c r="R693" i="67"/>
  <c r="X995" i="67"/>
  <c r="X389" i="67"/>
  <c r="X844" i="67"/>
  <c r="X83" i="67"/>
  <c r="X236" i="67"/>
  <c r="X541" i="67"/>
  <c r="X693" i="67"/>
  <c r="AJ979" i="67"/>
  <c r="AJ828" i="67"/>
  <c r="AJ373" i="67"/>
  <c r="AJ525" i="67"/>
  <c r="AJ67" i="67"/>
  <c r="AJ220" i="67"/>
  <c r="AJ677" i="67"/>
  <c r="AE995" i="67"/>
  <c r="AE389" i="67"/>
  <c r="AE844" i="67"/>
  <c r="AE541" i="67"/>
  <c r="AE693" i="67"/>
  <c r="AE83" i="67"/>
  <c r="AE236" i="67"/>
  <c r="K979" i="67"/>
  <c r="K373" i="67"/>
  <c r="K525" i="67"/>
  <c r="K828" i="67"/>
  <c r="K67" i="67"/>
  <c r="K220" i="67"/>
  <c r="K677" i="67"/>
  <c r="AL995" i="67"/>
  <c r="AL389" i="67"/>
  <c r="AL844" i="67"/>
  <c r="AL541" i="67"/>
  <c r="AL693" i="67"/>
  <c r="AL83" i="67"/>
  <c r="AL236" i="67"/>
  <c r="AL979" i="67"/>
  <c r="AL828" i="67"/>
  <c r="AL373" i="67"/>
  <c r="AL525" i="67"/>
  <c r="AL67" i="67"/>
  <c r="AL220" i="67"/>
  <c r="AL677" i="67"/>
  <c r="AT995" i="67"/>
  <c r="AT389" i="67"/>
  <c r="AT844" i="67"/>
  <c r="AT541" i="67"/>
  <c r="AT693" i="67"/>
  <c r="AT83" i="67"/>
  <c r="AT236" i="67"/>
  <c r="AH979" i="67"/>
  <c r="AH525" i="67"/>
  <c r="AH373" i="67"/>
  <c r="AH828" i="67"/>
  <c r="AH67" i="67"/>
  <c r="AH220" i="67"/>
  <c r="AH677" i="67"/>
  <c r="K231" i="67"/>
  <c r="K536" i="67"/>
  <c r="K384" i="67"/>
  <c r="K688" i="67"/>
  <c r="K839" i="67"/>
  <c r="K78" i="67"/>
  <c r="P979" i="67"/>
  <c r="P525" i="67"/>
  <c r="P373" i="67"/>
  <c r="P828" i="67"/>
  <c r="P67" i="67"/>
  <c r="P220" i="67"/>
  <c r="P677" i="67"/>
  <c r="Z995" i="67"/>
  <c r="Z389" i="67"/>
  <c r="Z844" i="67"/>
  <c r="Z83" i="67"/>
  <c r="Z236" i="67"/>
  <c r="Z541" i="67"/>
  <c r="Z693" i="67"/>
  <c r="AD979" i="67"/>
  <c r="AD828" i="67"/>
  <c r="AD373" i="67"/>
  <c r="AD525" i="67"/>
  <c r="AD67" i="67"/>
  <c r="AD220" i="67"/>
  <c r="AD677" i="67"/>
  <c r="AO979" i="67"/>
  <c r="AO373" i="67"/>
  <c r="AO525" i="67"/>
  <c r="AO828" i="67"/>
  <c r="AO67" i="67"/>
  <c r="AO220" i="67"/>
  <c r="AO677" i="67"/>
  <c r="AQ979" i="67"/>
  <c r="AQ525" i="67"/>
  <c r="AQ373" i="67"/>
  <c r="AQ828" i="67"/>
  <c r="AQ67" i="67"/>
  <c r="AQ220" i="67"/>
  <c r="AQ677" i="67"/>
  <c r="L995" i="67"/>
  <c r="L389" i="67"/>
  <c r="L844" i="67"/>
  <c r="L541" i="67"/>
  <c r="L693" i="67"/>
  <c r="L83" i="67"/>
  <c r="L236" i="67"/>
  <c r="AA995" i="67"/>
  <c r="AA389" i="67"/>
  <c r="AA844" i="67"/>
  <c r="AA83" i="67"/>
  <c r="AA236" i="67"/>
  <c r="AA541" i="67"/>
  <c r="AA693" i="67"/>
  <c r="AE979" i="67"/>
  <c r="AE828" i="67"/>
  <c r="AE373" i="67"/>
  <c r="AE525" i="67"/>
  <c r="AE67" i="67"/>
  <c r="AE220" i="67"/>
  <c r="AE677" i="67"/>
  <c r="AV979" i="67"/>
  <c r="AV525" i="67"/>
  <c r="AV373" i="67"/>
  <c r="AV828" i="67"/>
  <c r="AV67" i="67"/>
  <c r="AV220" i="67"/>
  <c r="AV677" i="67"/>
  <c r="AQ995" i="67"/>
  <c r="AQ389" i="67"/>
  <c r="AQ844" i="67"/>
  <c r="AQ83" i="67"/>
  <c r="AQ236" i="67"/>
  <c r="AQ541" i="67"/>
  <c r="AQ693" i="67"/>
  <c r="AG110" i="34"/>
  <c r="N1485" i="67"/>
  <c r="AG94" i="34"/>
  <c r="N1469" i="67"/>
  <c r="AI110" i="34"/>
  <c r="P1485" i="67"/>
  <c r="O1478" i="67"/>
  <c r="O1132" i="67"/>
  <c r="O981" i="67"/>
  <c r="O679" i="67"/>
  <c r="K1478" i="67"/>
  <c r="K1132" i="67"/>
  <c r="K981" i="67"/>
  <c r="K679" i="67"/>
  <c r="O1494" i="67"/>
  <c r="O1148" i="67"/>
  <c r="O997" i="67"/>
  <c r="N1479" i="67"/>
  <c r="N1133" i="67"/>
  <c r="N982" i="67"/>
  <c r="M1479" i="67"/>
  <c r="M1133" i="67"/>
  <c r="M982" i="67"/>
  <c r="O1479" i="67"/>
  <c r="O1133" i="67"/>
  <c r="O982" i="67"/>
  <c r="AE94" i="34"/>
  <c r="L1469" i="67"/>
  <c r="AD94" i="34"/>
  <c r="K1469" i="67"/>
  <c r="AF94" i="34"/>
  <c r="M1469" i="67"/>
  <c r="P1478" i="67"/>
  <c r="P1132" i="67"/>
  <c r="P981" i="67"/>
  <c r="P679" i="67"/>
  <c r="N1494" i="67"/>
  <c r="N1148" i="67"/>
  <c r="N997" i="67"/>
  <c r="M1478" i="67"/>
  <c r="M1132" i="67"/>
  <c r="M981" i="67"/>
  <c r="M679" i="67"/>
  <c r="K1495" i="67"/>
  <c r="K1149" i="67"/>
  <c r="K998" i="67"/>
  <c r="L1495" i="67"/>
  <c r="L1149" i="67"/>
  <c r="L998" i="67"/>
  <c r="M1495" i="67"/>
  <c r="M1149" i="67"/>
  <c r="M998" i="67"/>
  <c r="P995" i="67"/>
  <c r="P389" i="67"/>
  <c r="P844" i="67"/>
  <c r="P83" i="67"/>
  <c r="P236" i="67"/>
  <c r="P541" i="67"/>
  <c r="P693" i="67"/>
  <c r="Y995" i="67"/>
  <c r="Y389" i="67"/>
  <c r="Y844" i="67"/>
  <c r="Y83" i="67"/>
  <c r="Y236" i="67"/>
  <c r="Y541" i="67"/>
  <c r="Y693" i="67"/>
  <c r="Y979" i="67"/>
  <c r="Y373" i="67"/>
  <c r="Y525" i="67"/>
  <c r="Y828" i="67"/>
  <c r="Y67" i="67"/>
  <c r="Y220" i="67"/>
  <c r="Y677" i="67"/>
  <c r="AD995" i="67"/>
  <c r="AD389" i="67"/>
  <c r="AD844" i="67"/>
  <c r="AD541" i="67"/>
  <c r="AD693" i="67"/>
  <c r="AD83" i="67"/>
  <c r="AD236" i="67"/>
  <c r="AF995" i="67"/>
  <c r="AF389" i="67"/>
  <c r="AF844" i="67"/>
  <c r="AF83" i="67"/>
  <c r="AF236" i="67"/>
  <c r="AF541" i="67"/>
  <c r="AF693" i="67"/>
  <c r="N995" i="67"/>
  <c r="N389" i="67"/>
  <c r="N844" i="67"/>
  <c r="N541" i="67"/>
  <c r="N693" i="67"/>
  <c r="N83" i="67"/>
  <c r="N236" i="67"/>
  <c r="U979" i="67"/>
  <c r="U828" i="67"/>
  <c r="U373" i="67"/>
  <c r="U525" i="67"/>
  <c r="U67" i="67"/>
  <c r="U220" i="67"/>
  <c r="U677" i="67"/>
  <c r="U995" i="67"/>
  <c r="U389" i="67"/>
  <c r="U844" i="67"/>
  <c r="U541" i="67"/>
  <c r="U693" i="67"/>
  <c r="U83" i="67"/>
  <c r="U236" i="67"/>
  <c r="AK979" i="67"/>
  <c r="AK828" i="67"/>
  <c r="AK373" i="67"/>
  <c r="AK525" i="67"/>
  <c r="AK67" i="67"/>
  <c r="AK220" i="67"/>
  <c r="AK677" i="67"/>
  <c r="X979" i="67"/>
  <c r="X373" i="67"/>
  <c r="X525" i="67"/>
  <c r="X828" i="67"/>
  <c r="X67" i="67"/>
  <c r="X220" i="67"/>
  <c r="X677" i="67"/>
  <c r="R979" i="67"/>
  <c r="R525" i="67"/>
  <c r="R373" i="67"/>
  <c r="R828" i="67"/>
  <c r="R67" i="67"/>
  <c r="R220" i="67"/>
  <c r="R677" i="67"/>
  <c r="K520" i="67"/>
  <c r="K62" i="67"/>
  <c r="K368" i="67"/>
  <c r="K823" i="67"/>
  <c r="K215" i="67"/>
  <c r="M995" i="67"/>
  <c r="M389" i="67"/>
  <c r="M844" i="67"/>
  <c r="M541" i="67"/>
  <c r="M83" i="67"/>
  <c r="M693" i="67"/>
  <c r="M236" i="67"/>
  <c r="AM995" i="67"/>
  <c r="AM389" i="67"/>
  <c r="AM844" i="67"/>
  <c r="AM541" i="67"/>
  <c r="AM693" i="67"/>
  <c r="AM83" i="67"/>
  <c r="AM236" i="67"/>
  <c r="Z979" i="67"/>
  <c r="Z373" i="67"/>
  <c r="Z525" i="67"/>
  <c r="Z828" i="67"/>
  <c r="Z67" i="67"/>
  <c r="Z220" i="67"/>
  <c r="Z677" i="67"/>
  <c r="AH995" i="67"/>
  <c r="AH389" i="67"/>
  <c r="AH844" i="67"/>
  <c r="AH83" i="67"/>
  <c r="AH236" i="67"/>
  <c r="AH541" i="67"/>
  <c r="AH693" i="67"/>
  <c r="AC979" i="67"/>
  <c r="AC828" i="67"/>
  <c r="AC373" i="67"/>
  <c r="AC525" i="67"/>
  <c r="AC67" i="67"/>
  <c r="AC220" i="67"/>
  <c r="AC677" i="67"/>
  <c r="AB995" i="67"/>
  <c r="AB389" i="67"/>
  <c r="AB844" i="67"/>
  <c r="AB541" i="67"/>
  <c r="AB693" i="67"/>
  <c r="AB83" i="67"/>
  <c r="AB236" i="67"/>
  <c r="AP979" i="67"/>
  <c r="AP373" i="67"/>
  <c r="AP525" i="67"/>
  <c r="AP828" i="67"/>
  <c r="AP67" i="67"/>
  <c r="AP220" i="67"/>
  <c r="AP677" i="67"/>
  <c r="V995" i="67"/>
  <c r="V389" i="67"/>
  <c r="V844" i="67"/>
  <c r="V541" i="67"/>
  <c r="V693" i="67"/>
  <c r="V83" i="67"/>
  <c r="V236" i="67"/>
  <c r="AR995" i="67"/>
  <c r="AR389" i="67"/>
  <c r="AR844" i="67"/>
  <c r="AR541" i="67"/>
  <c r="AR693" i="67"/>
  <c r="AR83" i="67"/>
  <c r="AR236" i="67"/>
  <c r="V46" i="45"/>
  <c r="Y46" i="68" s="1"/>
  <c r="P46" i="45"/>
  <c r="S46" i="68" s="1"/>
  <c r="Z44" i="45"/>
  <c r="AC44" i="68" s="1"/>
  <c r="X44" i="45"/>
  <c r="AA44" i="68" s="1"/>
  <c r="H44" i="45"/>
  <c r="K44" i="68" s="1"/>
  <c r="F44" i="45"/>
  <c r="I44" i="68" s="1"/>
  <c r="J46" i="45"/>
  <c r="M46" i="68" s="1"/>
  <c r="L46" i="45"/>
  <c r="O46" i="68" s="1"/>
  <c r="O46" i="45"/>
  <c r="R46" i="68" s="1"/>
  <c r="V44" i="45"/>
  <c r="Y44" i="68" s="1"/>
  <c r="P44" i="45"/>
  <c r="S44" i="68" s="1"/>
  <c r="Z46" i="45"/>
  <c r="AC46" i="68" s="1"/>
  <c r="H46" i="45"/>
  <c r="K46" i="68" s="1"/>
  <c r="AA46" i="45"/>
  <c r="AD46" i="68" s="1"/>
  <c r="N46" i="45"/>
  <c r="Q46" i="68" s="1"/>
  <c r="I46" i="45"/>
  <c r="L46" i="68" s="1"/>
  <c r="G46" i="45"/>
  <c r="J46" i="68" s="1"/>
  <c r="L44" i="45"/>
  <c r="O44" i="68" s="1"/>
  <c r="M44" i="45"/>
  <c r="P44" i="68" s="1"/>
  <c r="AA44" i="45"/>
  <c r="AD44" i="68" s="1"/>
  <c r="K44" i="45"/>
  <c r="N44" i="68" s="1"/>
  <c r="F46" i="45"/>
  <c r="I46" i="68" s="1"/>
  <c r="S46" i="45"/>
  <c r="V46" i="68" s="1"/>
  <c r="T44" i="45"/>
  <c r="W44" i="68" s="1"/>
  <c r="Y44" i="45"/>
  <c r="AB44" i="68" s="1"/>
  <c r="S44" i="45"/>
  <c r="V44" i="68" s="1"/>
  <c r="Q46" i="45"/>
  <c r="T46" i="68" s="1"/>
  <c r="U46" i="45"/>
  <c r="X46" i="68" s="1"/>
  <c r="Q44" i="45"/>
  <c r="T44" i="68" s="1"/>
  <c r="U44" i="45"/>
  <c r="X44" i="68" s="1"/>
  <c r="O44" i="45"/>
  <c r="R44" i="68" s="1"/>
  <c r="X46" i="45"/>
  <c r="AA46" i="68" s="1"/>
  <c r="M46" i="45"/>
  <c r="P46" i="68" s="1"/>
  <c r="K46" i="45"/>
  <c r="N46" i="68" s="1"/>
  <c r="R46" i="45"/>
  <c r="U46" i="68" s="1"/>
  <c r="T46" i="45"/>
  <c r="W46" i="68" s="1"/>
  <c r="W46" i="45"/>
  <c r="Z46" i="68" s="1"/>
  <c r="J44" i="45"/>
  <c r="M44" i="68" s="1"/>
  <c r="W44" i="45"/>
  <c r="Z44" i="68" s="1"/>
  <c r="G44" i="45"/>
  <c r="J44" i="68" s="1"/>
  <c r="Y46" i="45"/>
  <c r="AB46" i="68" s="1"/>
  <c r="R44" i="45"/>
  <c r="U44" i="68" s="1"/>
  <c r="N44" i="45"/>
  <c r="Q44" i="68" s="1"/>
  <c r="I44" i="45"/>
  <c r="L44" i="68" s="1"/>
  <c r="H17" i="33"/>
  <c r="D9" i="45"/>
  <c r="C10" i="62"/>
  <c r="T85" i="39"/>
  <c r="N85" i="39"/>
  <c r="M30" i="34"/>
  <c r="AH30" i="34"/>
  <c r="Q30" i="34"/>
  <c r="K30" i="34"/>
  <c r="U30" i="34"/>
  <c r="O30" i="34"/>
  <c r="Y30" i="34"/>
  <c r="S30" i="34"/>
  <c r="AC30" i="34"/>
  <c r="W30" i="34"/>
  <c r="AG30" i="34"/>
  <c r="AA30" i="34"/>
  <c r="L30" i="34"/>
  <c r="J30" i="34"/>
  <c r="AE30" i="34"/>
  <c r="P30" i="34"/>
  <c r="N30" i="34"/>
  <c r="AI30" i="34"/>
  <c r="T30" i="34"/>
  <c r="R30" i="34"/>
  <c r="I30" i="34"/>
  <c r="X30" i="34"/>
  <c r="V30" i="34"/>
  <c r="H30" i="34"/>
  <c r="AB30" i="34"/>
  <c r="Z30" i="34"/>
  <c r="AF30" i="34"/>
  <c r="AD30" i="34"/>
  <c r="H34" i="39"/>
  <c r="T34" i="39"/>
  <c r="N34" i="39"/>
  <c r="H81" i="39"/>
  <c r="T81" i="39"/>
  <c r="N81" i="39"/>
  <c r="H69" i="39"/>
  <c r="T69" i="39"/>
  <c r="N69" i="39"/>
  <c r="H107" i="39"/>
  <c r="T107" i="39"/>
  <c r="N107" i="39"/>
  <c r="T36" i="39"/>
  <c r="N36" i="39"/>
  <c r="H48" i="39"/>
  <c r="T48" i="39"/>
  <c r="N48" i="39"/>
  <c r="T102" i="39"/>
  <c r="N102" i="39"/>
  <c r="T90" i="39"/>
  <c r="N90" i="39"/>
  <c r="H33" i="39"/>
  <c r="T33" i="39"/>
  <c r="N33" i="39"/>
  <c r="H106" i="39"/>
  <c r="T106" i="39"/>
  <c r="N106" i="39"/>
  <c r="H89" i="39"/>
  <c r="T89" i="39"/>
  <c r="N89" i="39"/>
  <c r="Y31" i="34"/>
  <c r="S31" i="34"/>
  <c r="H31" i="34"/>
  <c r="AC31" i="34"/>
  <c r="W31" i="34"/>
  <c r="AG31" i="34"/>
  <c r="AA31" i="34"/>
  <c r="J31" i="34"/>
  <c r="AE31" i="34"/>
  <c r="N31" i="34"/>
  <c r="AI31" i="34"/>
  <c r="R31" i="34"/>
  <c r="L31" i="34"/>
  <c r="Z31" i="34"/>
  <c r="T31" i="34"/>
  <c r="AD31" i="34"/>
  <c r="X31" i="34"/>
  <c r="M31" i="34"/>
  <c r="AH31" i="34"/>
  <c r="AB31" i="34"/>
  <c r="Q31" i="34"/>
  <c r="K31" i="34"/>
  <c r="AF31" i="34"/>
  <c r="O31" i="34"/>
  <c r="P31" i="34"/>
  <c r="I31" i="34"/>
  <c r="V31" i="34"/>
  <c r="U31" i="34"/>
  <c r="H108" i="39"/>
  <c r="T108" i="39"/>
  <c r="N108" i="39"/>
  <c r="T91" i="39"/>
  <c r="N91" i="39"/>
  <c r="T32" i="39"/>
  <c r="N32" i="39"/>
  <c r="T79" i="39"/>
  <c r="N79" i="39"/>
  <c r="T67" i="39"/>
  <c r="N67" i="39"/>
  <c r="T105" i="39"/>
  <c r="N105" i="39"/>
  <c r="H58" i="39"/>
  <c r="T58" i="39"/>
  <c r="N58" i="39"/>
  <c r="H46" i="39"/>
  <c r="T46" i="39"/>
  <c r="N46" i="39"/>
  <c r="T100" i="39"/>
  <c r="N100" i="39"/>
  <c r="T88" i="39"/>
  <c r="N88" i="39"/>
  <c r="T59" i="39"/>
  <c r="N59" i="39"/>
  <c r="H6" i="33"/>
  <c r="T31" i="39"/>
  <c r="N31" i="39"/>
  <c r="T78" i="39"/>
  <c r="N78" i="39"/>
  <c r="T66" i="39"/>
  <c r="N66" i="39"/>
  <c r="H104" i="39"/>
  <c r="T104" i="39"/>
  <c r="N104" i="39"/>
  <c r="T5" i="39"/>
  <c r="N5" i="39"/>
  <c r="T57" i="39"/>
  <c r="N57" i="39"/>
  <c r="T45" i="39"/>
  <c r="N45" i="39"/>
  <c r="T99" i="39"/>
  <c r="N99" i="39"/>
  <c r="T87" i="39"/>
  <c r="N87" i="39"/>
  <c r="H68" i="39"/>
  <c r="T68" i="39"/>
  <c r="N68" i="39"/>
  <c r="H47" i="39"/>
  <c r="T47" i="39"/>
  <c r="N47" i="39"/>
  <c r="T7" i="39"/>
  <c r="N7" i="39"/>
  <c r="H98" i="39"/>
  <c r="T98" i="39"/>
  <c r="N98" i="39"/>
  <c r="T70" i="39"/>
  <c r="N70" i="39"/>
  <c r="H30" i="39"/>
  <c r="T30" i="39"/>
  <c r="N30" i="39"/>
  <c r="H77" i="39"/>
  <c r="T77" i="39"/>
  <c r="N77" i="39"/>
  <c r="H65" i="39"/>
  <c r="T65" i="39"/>
  <c r="N65" i="39"/>
  <c r="H85" i="39"/>
  <c r="H56" i="39"/>
  <c r="T56" i="39"/>
  <c r="N56" i="39"/>
  <c r="H44" i="39"/>
  <c r="T44" i="39"/>
  <c r="N44" i="39"/>
  <c r="T86" i="39"/>
  <c r="N86" i="39"/>
  <c r="H7" i="33"/>
  <c r="H5" i="39"/>
  <c r="H5" i="33" s="1"/>
  <c r="H76" i="39"/>
  <c r="T76" i="39"/>
  <c r="N76" i="39"/>
  <c r="H64" i="39"/>
  <c r="T64" i="39"/>
  <c r="N64" i="39"/>
  <c r="H86" i="39"/>
  <c r="T6" i="39"/>
  <c r="N6" i="39"/>
  <c r="T55" i="39"/>
  <c r="N55" i="39"/>
  <c r="T43" i="39"/>
  <c r="N43" i="39"/>
  <c r="H97" i="39"/>
  <c r="T97" i="39"/>
  <c r="N97" i="39"/>
  <c r="R20" i="34"/>
  <c r="X20" i="34"/>
  <c r="V20" i="34"/>
  <c r="Q20" i="34"/>
  <c r="Z20" i="34"/>
  <c r="Y20" i="34"/>
  <c r="K20" i="34"/>
  <c r="L20" i="34"/>
  <c r="O20" i="34"/>
  <c r="T20" i="34"/>
  <c r="S20" i="34"/>
  <c r="AB20" i="34"/>
  <c r="AA20" i="34"/>
  <c r="H20" i="34"/>
  <c r="M20" i="34"/>
  <c r="U20" i="34"/>
  <c r="J20" i="34"/>
  <c r="AC20" i="34"/>
  <c r="P20" i="34"/>
  <c r="I20" i="34"/>
  <c r="W20" i="34"/>
  <c r="N20" i="34"/>
  <c r="T75" i="39"/>
  <c r="N75" i="39"/>
  <c r="H8" i="39"/>
  <c r="H4" i="33" s="1"/>
  <c r="T8" i="39"/>
  <c r="N8" i="39"/>
  <c r="T49" i="39"/>
  <c r="N49" i="39"/>
  <c r="H80" i="39"/>
  <c r="T80" i="39"/>
  <c r="N80" i="39"/>
  <c r="T63" i="39"/>
  <c r="N63" i="39"/>
  <c r="H78" i="39"/>
  <c r="H54" i="39"/>
  <c r="T54" i="39"/>
  <c r="N54" i="39"/>
  <c r="H42" i="39"/>
  <c r="T42" i="39"/>
  <c r="N42" i="39"/>
  <c r="T96" i="39"/>
  <c r="N96" i="39"/>
  <c r="H31" i="39"/>
  <c r="T74" i="39"/>
  <c r="N74" i="39"/>
  <c r="T62" i="39"/>
  <c r="N62" i="39"/>
  <c r="H79" i="39"/>
  <c r="H88" i="39"/>
  <c r="H16" i="33"/>
  <c r="T10" i="39"/>
  <c r="N10" i="39"/>
  <c r="T53" i="39"/>
  <c r="N53" i="39"/>
  <c r="T41" i="39"/>
  <c r="N41" i="39"/>
  <c r="H43" i="39"/>
  <c r="T95" i="39"/>
  <c r="N95" i="39"/>
  <c r="H29" i="39"/>
  <c r="T29" i="39"/>
  <c r="N29" i="39"/>
  <c r="T82" i="39"/>
  <c r="N82" i="39"/>
  <c r="T37" i="39"/>
  <c r="N37" i="39"/>
  <c r="H101" i="39"/>
  <c r="T101" i="39"/>
  <c r="N101" i="39"/>
  <c r="H61" i="39"/>
  <c r="T61" i="39"/>
  <c r="N61" i="39"/>
  <c r="H52" i="39"/>
  <c r="T52" i="39"/>
  <c r="N52" i="39"/>
  <c r="H60" i="39"/>
  <c r="T60" i="39"/>
  <c r="N60" i="39"/>
  <c r="H72" i="39"/>
  <c r="T72" i="39"/>
  <c r="N72" i="39"/>
  <c r="H91" i="39"/>
  <c r="T51" i="39"/>
  <c r="N51" i="39"/>
  <c r="T39" i="39"/>
  <c r="N39" i="39"/>
  <c r="H39" i="39"/>
  <c r="H93" i="39"/>
  <c r="T93" i="39"/>
  <c r="N93" i="39"/>
  <c r="T21" i="34"/>
  <c r="V21" i="34"/>
  <c r="X21" i="34"/>
  <c r="Z21" i="34"/>
  <c r="K21" i="34"/>
  <c r="AB21" i="34"/>
  <c r="AD21" i="34"/>
  <c r="J21" i="34"/>
  <c r="AF21" i="34"/>
  <c r="AH21" i="34"/>
  <c r="O21" i="34"/>
  <c r="M21" i="34"/>
  <c r="I21" i="34"/>
  <c r="S21" i="34"/>
  <c r="Q21" i="34"/>
  <c r="H21" i="34"/>
  <c r="W21" i="34"/>
  <c r="U21" i="34"/>
  <c r="AA21" i="34"/>
  <c r="Y21" i="34"/>
  <c r="AE21" i="34"/>
  <c r="AC21" i="34"/>
  <c r="AI21" i="34"/>
  <c r="AG21" i="34"/>
  <c r="L21" i="34"/>
  <c r="N21" i="34"/>
  <c r="P21" i="34"/>
  <c r="R21" i="34"/>
  <c r="Y17" i="34"/>
  <c r="S17" i="34"/>
  <c r="H17" i="34"/>
  <c r="R17" i="34"/>
  <c r="L17" i="34"/>
  <c r="AG17" i="34"/>
  <c r="AI17" i="34"/>
  <c r="AC17" i="34"/>
  <c r="J17" i="34"/>
  <c r="P17" i="34"/>
  <c r="N17" i="34"/>
  <c r="T17" i="34"/>
  <c r="AE17" i="34"/>
  <c r="V17" i="34"/>
  <c r="X17" i="34"/>
  <c r="Z17" i="34"/>
  <c r="AB17" i="34"/>
  <c r="AD17" i="34"/>
  <c r="AF17" i="34"/>
  <c r="AH17" i="34"/>
  <c r="I17" i="34"/>
  <c r="K17" i="34"/>
  <c r="M17" i="34"/>
  <c r="O17" i="34"/>
  <c r="Q17" i="34"/>
  <c r="W17" i="34"/>
  <c r="U17" i="34"/>
  <c r="AA17" i="34"/>
  <c r="H73" i="39"/>
  <c r="T73" i="39"/>
  <c r="N73" i="39"/>
  <c r="H82" i="39"/>
  <c r="T9" i="39"/>
  <c r="N9" i="39"/>
  <c r="H40" i="39"/>
  <c r="T40" i="39"/>
  <c r="N40" i="39"/>
  <c r="H94" i="39"/>
  <c r="T94" i="39"/>
  <c r="N94" i="39"/>
  <c r="T83" i="39"/>
  <c r="N83" i="39"/>
  <c r="T71" i="39"/>
  <c r="N71" i="39"/>
  <c r="H103" i="39"/>
  <c r="T103" i="39"/>
  <c r="N103" i="39"/>
  <c r="H50" i="39"/>
  <c r="T50" i="39"/>
  <c r="N50" i="39"/>
  <c r="H38" i="39"/>
  <c r="T38" i="39"/>
  <c r="N38" i="39"/>
  <c r="H37" i="39"/>
  <c r="T92" i="39"/>
  <c r="N92" i="39"/>
  <c r="K15" i="34"/>
  <c r="O15" i="34"/>
  <c r="S15" i="34"/>
  <c r="W15" i="34"/>
  <c r="AA15" i="34"/>
  <c r="AE15" i="34"/>
  <c r="AI15" i="34"/>
  <c r="AM15" i="34"/>
  <c r="L15" i="34"/>
  <c r="P15" i="34"/>
  <c r="T15" i="34"/>
  <c r="X15" i="34"/>
  <c r="AB15" i="34"/>
  <c r="AF15" i="34"/>
  <c r="AJ15" i="34"/>
  <c r="AN15" i="34"/>
  <c r="M15" i="34"/>
  <c r="U15" i="34"/>
  <c r="AC15" i="34"/>
  <c r="AK15" i="34"/>
  <c r="AQ15" i="34"/>
  <c r="AU15" i="34"/>
  <c r="AY15" i="34"/>
  <c r="BC15" i="34"/>
  <c r="BG15" i="34"/>
  <c r="BK15" i="34"/>
  <c r="BO15" i="34"/>
  <c r="N15" i="34"/>
  <c r="V15" i="34"/>
  <c r="AD15" i="34"/>
  <c r="AL15" i="34"/>
  <c r="AR15" i="34"/>
  <c r="AV15" i="34"/>
  <c r="AZ15" i="34"/>
  <c r="BD15" i="34"/>
  <c r="BH15" i="34"/>
  <c r="BL15" i="34"/>
  <c r="BP15" i="34"/>
  <c r="Q15" i="34"/>
  <c r="Y15" i="34"/>
  <c r="AG15" i="34"/>
  <c r="AO15" i="34"/>
  <c r="AS15" i="34"/>
  <c r="AW15" i="34"/>
  <c r="BA15" i="34"/>
  <c r="BE15" i="34"/>
  <c r="BI15" i="34"/>
  <c r="BM15" i="34"/>
  <c r="J15" i="34"/>
  <c r="R15" i="34"/>
  <c r="Z15" i="34"/>
  <c r="AH15" i="34"/>
  <c r="AP15" i="34"/>
  <c r="AT15" i="34"/>
  <c r="AX15" i="34"/>
  <c r="BB15" i="34"/>
  <c r="BF15" i="34"/>
  <c r="BJ15" i="34"/>
  <c r="BN15" i="34"/>
  <c r="I15" i="34"/>
  <c r="H15" i="34"/>
  <c r="K9" i="34"/>
  <c r="O9" i="34"/>
  <c r="S9" i="34"/>
  <c r="W9" i="34"/>
  <c r="AA9" i="34"/>
  <c r="AE9" i="34"/>
  <c r="AI9" i="34"/>
  <c r="AM9" i="34"/>
  <c r="AQ9" i="34"/>
  <c r="AU9" i="34"/>
  <c r="AY9" i="34"/>
  <c r="L9" i="34"/>
  <c r="P9" i="34"/>
  <c r="T9" i="34"/>
  <c r="X9" i="34"/>
  <c r="AB9" i="34"/>
  <c r="AF9" i="34"/>
  <c r="AN9" i="34"/>
  <c r="AR9" i="34"/>
  <c r="AV9" i="34"/>
  <c r="AZ9" i="34"/>
  <c r="M9" i="34"/>
  <c r="Q9" i="34"/>
  <c r="U9" i="34"/>
  <c r="Y9" i="34"/>
  <c r="AC9" i="34"/>
  <c r="AG9" i="34"/>
  <c r="AK9" i="34"/>
  <c r="AO9" i="34"/>
  <c r="AS9" i="34"/>
  <c r="AW9" i="34"/>
  <c r="BA9" i="34"/>
  <c r="J9" i="34"/>
  <c r="N9" i="34"/>
  <c r="R9" i="34"/>
  <c r="V9" i="34"/>
  <c r="Z9" i="34"/>
  <c r="AD9" i="34"/>
  <c r="AH9" i="34"/>
  <c r="AL9" i="34"/>
  <c r="AP9" i="34"/>
  <c r="AT9" i="34"/>
  <c r="AX9" i="34"/>
  <c r="BB9" i="34"/>
  <c r="BC9" i="34"/>
  <c r="BG9" i="34"/>
  <c r="BK9" i="34"/>
  <c r="BO9" i="34"/>
  <c r="BD9" i="34"/>
  <c r="BH9" i="34"/>
  <c r="BL9" i="34"/>
  <c r="BP9" i="34"/>
  <c r="BE9" i="34"/>
  <c r="BI9" i="34"/>
  <c r="BM9" i="34"/>
  <c r="BF9" i="34"/>
  <c r="BJ9" i="34"/>
  <c r="BN9" i="34"/>
  <c r="I9" i="34"/>
  <c r="H9" i="34"/>
  <c r="L14" i="34"/>
  <c r="P14" i="34"/>
  <c r="T14" i="34"/>
  <c r="X14" i="34"/>
  <c r="AB14" i="34"/>
  <c r="AF14" i="34"/>
  <c r="AJ14" i="34"/>
  <c r="AN14" i="34"/>
  <c r="AR14" i="34"/>
  <c r="AV14" i="34"/>
  <c r="AZ14" i="34"/>
  <c r="BD14" i="34"/>
  <c r="BH14" i="34"/>
  <c r="BL14" i="34"/>
  <c r="M14" i="34"/>
  <c r="Q14" i="34"/>
  <c r="U14" i="34"/>
  <c r="Y14" i="34"/>
  <c r="AC14" i="34"/>
  <c r="AG14" i="34"/>
  <c r="AK14" i="34"/>
  <c r="AO14" i="34"/>
  <c r="AS14" i="34"/>
  <c r="AW14" i="34"/>
  <c r="BA14" i="34"/>
  <c r="BE14" i="34"/>
  <c r="J14" i="34"/>
  <c r="N14" i="34"/>
  <c r="R14" i="34"/>
  <c r="V14" i="34"/>
  <c r="Z14" i="34"/>
  <c r="AD14" i="34"/>
  <c r="AH14" i="34"/>
  <c r="AL14" i="34"/>
  <c r="AP14" i="34"/>
  <c r="AT14" i="34"/>
  <c r="AX14" i="34"/>
  <c r="BB14" i="34"/>
  <c r="BF14" i="34"/>
  <c r="BJ14" i="34"/>
  <c r="BN14" i="34"/>
  <c r="K14" i="34"/>
  <c r="O14" i="34"/>
  <c r="S14" i="34"/>
  <c r="W14" i="34"/>
  <c r="AA14" i="34"/>
  <c r="AE14" i="34"/>
  <c r="AI14" i="34"/>
  <c r="AM14" i="34"/>
  <c r="AQ14" i="34"/>
  <c r="AU14" i="34"/>
  <c r="AY14" i="34"/>
  <c r="BC14" i="34"/>
  <c r="BG14" i="34"/>
  <c r="BK14" i="34"/>
  <c r="BO14" i="34"/>
  <c r="BI14" i="34"/>
  <c r="BM14" i="34"/>
  <c r="BP14" i="34"/>
  <c r="I14" i="34"/>
  <c r="H14" i="34"/>
  <c r="D117" i="46"/>
  <c r="E117" i="46" s="1"/>
  <c r="E101" i="46"/>
  <c r="D89" i="46"/>
  <c r="E71" i="46"/>
  <c r="D87" i="46"/>
  <c r="E69" i="46"/>
  <c r="E112" i="46"/>
  <c r="D128" i="46"/>
  <c r="E128" i="46" s="1"/>
  <c r="D127" i="46"/>
  <c r="E127" i="46" s="1"/>
  <c r="E111" i="46"/>
  <c r="H104" i="34"/>
  <c r="V104" i="34"/>
  <c r="W119" i="34"/>
  <c r="J120" i="34"/>
  <c r="L120" i="34"/>
  <c r="S119" i="34"/>
  <c r="AE104" i="34"/>
  <c r="AI103" i="34"/>
  <c r="I119" i="34"/>
  <c r="AG104" i="34"/>
  <c r="O119" i="34"/>
  <c r="AI120" i="34"/>
  <c r="J119" i="34"/>
  <c r="H120" i="34"/>
  <c r="K120" i="34"/>
  <c r="M104" i="34"/>
  <c r="I120" i="34"/>
  <c r="AG103" i="34"/>
  <c r="Z103" i="34"/>
  <c r="U119" i="34"/>
  <c r="AC103" i="34"/>
  <c r="O104" i="34"/>
  <c r="H103" i="34"/>
  <c r="AF104" i="34"/>
  <c r="V119" i="34"/>
  <c r="AB120" i="34"/>
  <c r="X103" i="34"/>
  <c r="Z104" i="34"/>
  <c r="R119" i="34"/>
  <c r="AC104" i="34"/>
  <c r="J104" i="34"/>
  <c r="AD120" i="34"/>
  <c r="S103" i="34"/>
  <c r="W104" i="34"/>
  <c r="AH103" i="34"/>
  <c r="X120" i="34"/>
  <c r="Q119" i="34"/>
  <c r="R120" i="34"/>
  <c r="AI119" i="34"/>
  <c r="K103" i="34"/>
  <c r="L119" i="34"/>
  <c r="U104" i="34"/>
  <c r="AA120" i="34"/>
  <c r="AB119" i="34"/>
  <c r="AG119" i="34"/>
  <c r="T119" i="34"/>
  <c r="AE103" i="34"/>
  <c r="Y104" i="34"/>
  <c r="Y119" i="34"/>
  <c r="AH120" i="34"/>
  <c r="I103" i="34"/>
  <c r="N119" i="34"/>
  <c r="N104" i="34"/>
  <c r="T120" i="34"/>
  <c r="U103" i="34"/>
  <c r="AC119" i="34"/>
  <c r="O120" i="34"/>
  <c r="H119" i="34"/>
  <c r="AF120" i="34"/>
  <c r="W103" i="34"/>
  <c r="AB104" i="34"/>
  <c r="AE119" i="34"/>
  <c r="P103" i="34"/>
  <c r="AF119" i="34"/>
  <c r="W120" i="34"/>
  <c r="Q103" i="34"/>
  <c r="R104" i="34"/>
  <c r="AA119" i="34"/>
  <c r="K119" i="34"/>
  <c r="AG120" i="34"/>
  <c r="Q104" i="34"/>
  <c r="O103" i="34"/>
  <c r="T104" i="34"/>
  <c r="AD119" i="34"/>
  <c r="V103" i="34"/>
  <c r="P119" i="34"/>
  <c r="T94" i="34"/>
  <c r="Z110" i="34"/>
  <c r="M103" i="34"/>
  <c r="S104" i="34"/>
  <c r="M119" i="34"/>
  <c r="Y103" i="34"/>
  <c r="S120" i="34"/>
  <c r="AH104" i="34"/>
  <c r="N103" i="34"/>
  <c r="Q120" i="34"/>
  <c r="U120" i="34"/>
  <c r="AA104" i="34"/>
  <c r="AI104" i="34"/>
  <c r="J103" i="34"/>
  <c r="K104" i="34"/>
  <c r="M120" i="34"/>
  <c r="V120" i="34"/>
  <c r="I104" i="34"/>
  <c r="AB103" i="34"/>
  <c r="Z119" i="34"/>
  <c r="N120" i="34"/>
  <c r="AD103" i="34"/>
  <c r="X119" i="34"/>
  <c r="Z120" i="34"/>
  <c r="R103" i="34"/>
  <c r="T103" i="34"/>
  <c r="AC120" i="34"/>
  <c r="AD104" i="34"/>
  <c r="L104" i="34"/>
  <c r="Y120" i="34"/>
  <c r="AF103" i="34"/>
  <c r="AH119" i="34"/>
  <c r="X104" i="34"/>
  <c r="AA103" i="34"/>
  <c r="AE120" i="34"/>
  <c r="L103" i="34"/>
  <c r="U94" i="34"/>
  <c r="P136" i="34"/>
  <c r="P89" i="34"/>
  <c r="P140" i="34"/>
  <c r="V136" i="34"/>
  <c r="V140" i="34"/>
  <c r="V89" i="34"/>
  <c r="AA89" i="34"/>
  <c r="AA140" i="34"/>
  <c r="AA136" i="34"/>
  <c r="X89" i="34"/>
  <c r="X140" i="34"/>
  <c r="X136" i="34"/>
  <c r="R89" i="34"/>
  <c r="R136" i="34"/>
  <c r="R140" i="34"/>
  <c r="AB140" i="34"/>
  <c r="AB89" i="34"/>
  <c r="AB136" i="34"/>
  <c r="Z140" i="34"/>
  <c r="Z89" i="34"/>
  <c r="Z136" i="34"/>
  <c r="J136" i="34"/>
  <c r="J140" i="34"/>
  <c r="J89" i="34"/>
  <c r="T140" i="34"/>
  <c r="T89" i="34"/>
  <c r="T136" i="34"/>
  <c r="H140" i="34"/>
  <c r="H136" i="34"/>
  <c r="H89" i="34"/>
  <c r="U89" i="34"/>
  <c r="U140" i="34"/>
  <c r="U136" i="34"/>
  <c r="P63" i="36"/>
  <c r="P79" i="36"/>
  <c r="P185" i="34"/>
  <c r="P169" i="34"/>
  <c r="S89" i="34"/>
  <c r="S140" i="34"/>
  <c r="S136" i="34"/>
  <c r="W136" i="34"/>
  <c r="W89" i="34"/>
  <c r="W140" i="34"/>
  <c r="Q140" i="34"/>
  <c r="Q136" i="34"/>
  <c r="Q89" i="34"/>
  <c r="L140" i="34"/>
  <c r="L89" i="34"/>
  <c r="L136" i="34"/>
  <c r="N140" i="34"/>
  <c r="N89" i="34"/>
  <c r="N136" i="34"/>
  <c r="O140" i="34"/>
  <c r="O136" i="34"/>
  <c r="O89" i="34"/>
  <c r="AC136" i="34"/>
  <c r="AC89" i="34"/>
  <c r="AC140" i="34"/>
  <c r="M140" i="34"/>
  <c r="M136" i="34"/>
  <c r="M89" i="34"/>
  <c r="K140" i="34"/>
  <c r="K136" i="34"/>
  <c r="K89" i="34"/>
  <c r="Y140" i="34"/>
  <c r="Y136" i="34"/>
  <c r="Y89" i="34"/>
  <c r="I89" i="34"/>
  <c r="I140" i="34"/>
  <c r="I136" i="34"/>
  <c r="D24" i="45"/>
  <c r="E24" i="45"/>
  <c r="E12" i="45"/>
  <c r="B16" i="45"/>
  <c r="K1278" i="67" l="1"/>
  <c r="S1299" i="67"/>
  <c r="K1294" i="67"/>
  <c r="AH1283" i="67"/>
  <c r="AT1299" i="67"/>
  <c r="K1283" i="67"/>
  <c r="AE1299" i="67"/>
  <c r="X1299" i="67"/>
  <c r="AG1299" i="67"/>
  <c r="AT1283" i="67"/>
  <c r="AF1283" i="67"/>
  <c r="W1299" i="67"/>
  <c r="AK1283" i="67"/>
  <c r="U1299" i="67"/>
  <c r="AD1299" i="67"/>
  <c r="Y1299" i="67"/>
  <c r="L1299" i="67"/>
  <c r="AD1283" i="67"/>
  <c r="O391" i="67"/>
  <c r="O85" i="67"/>
  <c r="O543" i="67"/>
  <c r="O238" i="67"/>
  <c r="O846" i="67"/>
  <c r="O695" i="67"/>
  <c r="N376" i="67"/>
  <c r="N70" i="67"/>
  <c r="N528" i="67"/>
  <c r="N223" i="67"/>
  <c r="N831" i="67"/>
  <c r="N680" i="67"/>
  <c r="AE1283" i="67"/>
  <c r="AO1283" i="67"/>
  <c r="AI1283" i="67"/>
  <c r="AJ1299" i="67"/>
  <c r="O1283" i="67"/>
  <c r="AW1299" i="67"/>
  <c r="AW1283" i="67"/>
  <c r="L376" i="67"/>
  <c r="L528" i="67"/>
  <c r="L831" i="67"/>
  <c r="L70" i="67"/>
  <c r="L223" i="67"/>
  <c r="L680" i="67"/>
  <c r="S1283" i="67"/>
  <c r="AG1283" i="67"/>
  <c r="AU1299" i="67"/>
  <c r="AN1299" i="67"/>
  <c r="AO1299" i="67"/>
  <c r="O1299" i="67"/>
  <c r="O392" i="67"/>
  <c r="O544" i="67"/>
  <c r="O86" i="67"/>
  <c r="O239" i="67"/>
  <c r="O847" i="67"/>
  <c r="O696" i="67"/>
  <c r="L391" i="67"/>
  <c r="L543" i="67"/>
  <c r="L238" i="67"/>
  <c r="L846" i="67"/>
  <c r="L695" i="67"/>
  <c r="L85" i="67"/>
  <c r="L392" i="67"/>
  <c r="L239" i="67"/>
  <c r="L847" i="67"/>
  <c r="L544" i="67"/>
  <c r="L696" i="67"/>
  <c r="L86" i="67"/>
  <c r="K375" i="67"/>
  <c r="K830" i="67"/>
  <c r="K69" i="67"/>
  <c r="K527" i="67"/>
  <c r="K222" i="67"/>
  <c r="O375" i="67"/>
  <c r="O222" i="67"/>
  <c r="O830" i="67"/>
  <c r="O69" i="67"/>
  <c r="O527" i="67"/>
  <c r="W1283" i="67"/>
  <c r="K376" i="67"/>
  <c r="K831" i="67"/>
  <c r="K528" i="67"/>
  <c r="K70" i="67"/>
  <c r="K223" i="67"/>
  <c r="K680" i="67"/>
  <c r="K391" i="67"/>
  <c r="K85" i="67"/>
  <c r="K238" i="67"/>
  <c r="K846" i="67"/>
  <c r="K543" i="67"/>
  <c r="K695" i="67"/>
  <c r="L1283" i="67"/>
  <c r="AC1299" i="67"/>
  <c r="Q1283" i="67"/>
  <c r="AS1283" i="67"/>
  <c r="AS1299" i="67"/>
  <c r="P391" i="67"/>
  <c r="P543" i="67"/>
  <c r="P85" i="67"/>
  <c r="P846" i="67"/>
  <c r="P238" i="67"/>
  <c r="P695" i="67"/>
  <c r="L375" i="67"/>
  <c r="L222" i="67"/>
  <c r="L830" i="67"/>
  <c r="L69" i="67"/>
  <c r="L527" i="67"/>
  <c r="P392" i="67"/>
  <c r="P86" i="67"/>
  <c r="P847" i="67"/>
  <c r="P544" i="67"/>
  <c r="P696" i="67"/>
  <c r="P239" i="67"/>
  <c r="N375" i="67"/>
  <c r="N527" i="67"/>
  <c r="N830" i="67"/>
  <c r="N69" i="67"/>
  <c r="N222" i="67"/>
  <c r="P376" i="67"/>
  <c r="P528" i="67"/>
  <c r="P223" i="67"/>
  <c r="P831" i="67"/>
  <c r="P70" i="67"/>
  <c r="P680" i="67"/>
  <c r="V1299" i="67"/>
  <c r="AC1283" i="67"/>
  <c r="X1283" i="67"/>
  <c r="M392" i="67"/>
  <c r="M239" i="67"/>
  <c r="M544" i="67"/>
  <c r="M847" i="67"/>
  <c r="M86" i="67"/>
  <c r="M696" i="67"/>
  <c r="AR1299" i="67"/>
  <c r="R1283" i="67"/>
  <c r="U1283" i="67"/>
  <c r="N1299" i="67"/>
  <c r="Y1283" i="67"/>
  <c r="N391" i="67"/>
  <c r="N85" i="67"/>
  <c r="N695" i="67"/>
  <c r="N238" i="67"/>
  <c r="N846" i="67"/>
  <c r="N543" i="67"/>
  <c r="P375" i="67"/>
  <c r="P830" i="67"/>
  <c r="P69" i="67"/>
  <c r="P527" i="67"/>
  <c r="P222" i="67"/>
  <c r="M376" i="67"/>
  <c r="M70" i="67"/>
  <c r="M528" i="67"/>
  <c r="M223" i="67"/>
  <c r="M831" i="67"/>
  <c r="M680" i="67"/>
  <c r="AQ1299" i="67"/>
  <c r="AV1283" i="67"/>
  <c r="AQ1283" i="67"/>
  <c r="Z1299" i="67"/>
  <c r="P1283" i="67"/>
  <c r="AL1283" i="67"/>
  <c r="AL1299" i="67"/>
  <c r="AJ1283" i="67"/>
  <c r="AR1283" i="67"/>
  <c r="AK1299" i="67"/>
  <c r="M1283" i="67"/>
  <c r="T1299" i="67"/>
  <c r="T1283" i="67"/>
  <c r="AP1283" i="67"/>
  <c r="AB1299" i="67"/>
  <c r="AH1299" i="67"/>
  <c r="Z1283" i="67"/>
  <c r="AM1299" i="67"/>
  <c r="M1299" i="67"/>
  <c r="AF1299" i="67"/>
  <c r="P1299" i="67"/>
  <c r="K392" i="67"/>
  <c r="K847" i="67"/>
  <c r="K544" i="67"/>
  <c r="K86" i="67"/>
  <c r="K696" i="67"/>
  <c r="K239" i="67"/>
  <c r="M375" i="67"/>
  <c r="M527" i="67"/>
  <c r="M69" i="67"/>
  <c r="M830" i="67"/>
  <c r="M222" i="67"/>
  <c r="O376" i="67"/>
  <c r="O223" i="67"/>
  <c r="O528" i="67"/>
  <c r="O831" i="67"/>
  <c r="O70" i="67"/>
  <c r="O680" i="67"/>
  <c r="AA1299" i="67"/>
  <c r="R1299" i="67"/>
  <c r="N1283" i="67"/>
  <c r="AB1283" i="67"/>
  <c r="K1299" i="67"/>
  <c r="AV1299" i="67"/>
  <c r="AN1283" i="67"/>
  <c r="V1283" i="67"/>
  <c r="M391" i="67"/>
  <c r="M543" i="67"/>
  <c r="M85" i="67"/>
  <c r="M238" i="67"/>
  <c r="M846" i="67"/>
  <c r="M695" i="67"/>
  <c r="AI1299" i="67"/>
  <c r="AA1283" i="67"/>
  <c r="AM1283" i="67"/>
  <c r="Q1299" i="67"/>
  <c r="AP1299" i="67"/>
  <c r="AU1283" i="67"/>
  <c r="N392" i="67"/>
  <c r="N239" i="67"/>
  <c r="N847" i="67"/>
  <c r="N696" i="67"/>
  <c r="N86" i="67"/>
  <c r="N544" i="67"/>
  <c r="H27" i="33"/>
  <c r="D10" i="45"/>
  <c r="C11" i="62"/>
  <c r="H10" i="33"/>
  <c r="S10" i="34" s="1"/>
  <c r="H22" i="33"/>
  <c r="U10" i="34"/>
  <c r="R10" i="34"/>
  <c r="Z10" i="34"/>
  <c r="H72" i="46"/>
  <c r="H45" i="33"/>
  <c r="H12" i="33"/>
  <c r="H13" i="33"/>
  <c r="H25" i="33"/>
  <c r="AD7" i="34"/>
  <c r="X7" i="34"/>
  <c r="AC7" i="34"/>
  <c r="W7" i="34"/>
  <c r="J7" i="34"/>
  <c r="L7" i="34"/>
  <c r="N7" i="34"/>
  <c r="P7" i="34"/>
  <c r="AI7" i="34"/>
  <c r="R7" i="34"/>
  <c r="T7" i="34"/>
  <c r="V7" i="34"/>
  <c r="AB7" i="34"/>
  <c r="Z7" i="34"/>
  <c r="AF7" i="34"/>
  <c r="AH7" i="34"/>
  <c r="I7" i="34"/>
  <c r="K7" i="34"/>
  <c r="H7" i="34"/>
  <c r="M7" i="34"/>
  <c r="O7" i="34"/>
  <c r="AG7" i="34"/>
  <c r="Q7" i="34"/>
  <c r="S7" i="34"/>
  <c r="U7" i="34"/>
  <c r="AA7" i="34"/>
  <c r="Y7" i="34"/>
  <c r="AE7" i="34"/>
  <c r="H70" i="46"/>
  <c r="H43" i="33"/>
  <c r="H24" i="33"/>
  <c r="Q5" i="34"/>
  <c r="AA5" i="34"/>
  <c r="N5" i="34"/>
  <c r="P5" i="34"/>
  <c r="H5" i="34"/>
  <c r="T5" i="34"/>
  <c r="I5" i="34"/>
  <c r="X5" i="34"/>
  <c r="AB5" i="34"/>
  <c r="M5" i="34"/>
  <c r="U5" i="34"/>
  <c r="Y5" i="34"/>
  <c r="K5" i="34"/>
  <c r="AC5" i="34"/>
  <c r="L5" i="34"/>
  <c r="O5" i="34"/>
  <c r="J5" i="34"/>
  <c r="S5" i="34"/>
  <c r="R5" i="34"/>
  <c r="W5" i="34"/>
  <c r="V5" i="34"/>
  <c r="Z5" i="34"/>
  <c r="H11" i="33"/>
  <c r="H69" i="46"/>
  <c r="H42" i="33"/>
  <c r="Y6" i="34"/>
  <c r="I6" i="34"/>
  <c r="AC6" i="34"/>
  <c r="H6" i="34"/>
  <c r="J6" i="34"/>
  <c r="N6" i="34"/>
  <c r="L6" i="34"/>
  <c r="R6" i="34"/>
  <c r="P6" i="34"/>
  <c r="V6" i="34"/>
  <c r="X6" i="34"/>
  <c r="K6" i="34"/>
  <c r="AB6" i="34"/>
  <c r="O6" i="34"/>
  <c r="M6" i="34"/>
  <c r="S6" i="34"/>
  <c r="Q6" i="34"/>
  <c r="W6" i="34"/>
  <c r="AA6" i="34"/>
  <c r="Z6" i="34"/>
  <c r="T6" i="34"/>
  <c r="U6" i="34"/>
  <c r="AR22" i="34"/>
  <c r="AG22" i="34"/>
  <c r="V22" i="34"/>
  <c r="K22" i="34"/>
  <c r="BG22" i="34"/>
  <c r="AV22" i="34"/>
  <c r="AK22" i="34"/>
  <c r="Z22" i="34"/>
  <c r="O22" i="34"/>
  <c r="BK22" i="34"/>
  <c r="AZ22" i="34"/>
  <c r="AO22" i="34"/>
  <c r="AD22" i="34"/>
  <c r="S22" i="34"/>
  <c r="BO22" i="34"/>
  <c r="BD22" i="34"/>
  <c r="AS22" i="34"/>
  <c r="AH22" i="34"/>
  <c r="W22" i="34"/>
  <c r="I22" i="34"/>
  <c r="L22" i="34"/>
  <c r="BH22" i="34"/>
  <c r="AW22" i="34"/>
  <c r="AL22" i="34"/>
  <c r="AA22" i="34"/>
  <c r="H22" i="34"/>
  <c r="P22" i="34"/>
  <c r="BL22" i="34"/>
  <c r="BA22" i="34"/>
  <c r="AP22" i="34"/>
  <c r="AE22" i="34"/>
  <c r="T22" i="34"/>
  <c r="BP22" i="34"/>
  <c r="BE22" i="34"/>
  <c r="AT22" i="34"/>
  <c r="AI22" i="34"/>
  <c r="X22" i="34"/>
  <c r="M22" i="34"/>
  <c r="BI22" i="34"/>
  <c r="AX22" i="34"/>
  <c r="AM22" i="34"/>
  <c r="AB22" i="34"/>
  <c r="Q22" i="34"/>
  <c r="BM22" i="34"/>
  <c r="BB22" i="34"/>
  <c r="AQ22" i="34"/>
  <c r="AF22" i="34"/>
  <c r="U22" i="34"/>
  <c r="J22" i="34"/>
  <c r="BF22" i="34"/>
  <c r="AU22" i="34"/>
  <c r="AJ22" i="34"/>
  <c r="Y22" i="34"/>
  <c r="N22" i="34"/>
  <c r="BJ22" i="34"/>
  <c r="AY22" i="34"/>
  <c r="AN22" i="34"/>
  <c r="AC22" i="34"/>
  <c r="R22" i="34"/>
  <c r="BN22" i="34"/>
  <c r="BC22" i="34"/>
  <c r="M16" i="34"/>
  <c r="AH16" i="34"/>
  <c r="Q16" i="34"/>
  <c r="K16" i="34"/>
  <c r="U16" i="34"/>
  <c r="O16" i="34"/>
  <c r="Y16" i="34"/>
  <c r="S16" i="34"/>
  <c r="AC16" i="34"/>
  <c r="W16" i="34"/>
  <c r="AG16" i="34"/>
  <c r="AA16" i="34"/>
  <c r="P16" i="34"/>
  <c r="N16" i="34"/>
  <c r="AI16" i="34"/>
  <c r="T16" i="34"/>
  <c r="R16" i="34"/>
  <c r="I16" i="34"/>
  <c r="X16" i="34"/>
  <c r="V16" i="34"/>
  <c r="H16" i="34"/>
  <c r="AB16" i="34"/>
  <c r="Z16" i="34"/>
  <c r="L16" i="34"/>
  <c r="AF16" i="34"/>
  <c r="J16" i="34"/>
  <c r="AD16" i="34"/>
  <c r="AE16" i="34"/>
  <c r="H18" i="33"/>
  <c r="H19" i="33"/>
  <c r="H67" i="46"/>
  <c r="H40" i="33"/>
  <c r="H63" i="46"/>
  <c r="H36" i="33"/>
  <c r="H64" i="46"/>
  <c r="H37" i="33"/>
  <c r="H8" i="33"/>
  <c r="R4" i="34"/>
  <c r="AB4" i="34"/>
  <c r="V4" i="34"/>
  <c r="M4" i="34"/>
  <c r="Z4" i="34"/>
  <c r="Q4" i="34"/>
  <c r="K4" i="34"/>
  <c r="U4" i="34"/>
  <c r="O4" i="34"/>
  <c r="Y4" i="34"/>
  <c r="S4" i="34"/>
  <c r="AC4" i="34"/>
  <c r="AA4" i="34"/>
  <c r="H4" i="34"/>
  <c r="L4" i="34"/>
  <c r="P4" i="34"/>
  <c r="J4" i="34"/>
  <c r="T4" i="34"/>
  <c r="X4" i="34"/>
  <c r="I4" i="34"/>
  <c r="W4" i="34"/>
  <c r="N4" i="34"/>
  <c r="H26" i="33"/>
  <c r="AC27" i="34"/>
  <c r="R27" i="34"/>
  <c r="BN27" i="34"/>
  <c r="BC27" i="34"/>
  <c r="AR27" i="34"/>
  <c r="AG27" i="34"/>
  <c r="V27" i="34"/>
  <c r="K27" i="34"/>
  <c r="BG27" i="34"/>
  <c r="AV27" i="34"/>
  <c r="AK27" i="34"/>
  <c r="Z27" i="34"/>
  <c r="O27" i="34"/>
  <c r="BK27" i="34"/>
  <c r="AZ27" i="34"/>
  <c r="AO27" i="34"/>
  <c r="AD27" i="34"/>
  <c r="S27" i="34"/>
  <c r="BO27" i="34"/>
  <c r="BD27" i="34"/>
  <c r="AS27" i="34"/>
  <c r="AH27" i="34"/>
  <c r="W27" i="34"/>
  <c r="L27" i="34"/>
  <c r="BH27" i="34"/>
  <c r="AW27" i="34"/>
  <c r="AL27" i="34"/>
  <c r="AA27" i="34"/>
  <c r="P27" i="34"/>
  <c r="BL27" i="34"/>
  <c r="BE27" i="34"/>
  <c r="AT27" i="34"/>
  <c r="AI27" i="34"/>
  <c r="X27" i="34"/>
  <c r="I27" i="34"/>
  <c r="M27" i="34"/>
  <c r="BI27" i="34"/>
  <c r="AX27" i="34"/>
  <c r="AM27" i="34"/>
  <c r="AB27" i="34"/>
  <c r="H27" i="34"/>
  <c r="Q27" i="34"/>
  <c r="BM27" i="34"/>
  <c r="BB27" i="34"/>
  <c r="AQ27" i="34"/>
  <c r="AF27" i="34"/>
  <c r="U27" i="34"/>
  <c r="J27" i="34"/>
  <c r="BF27" i="34"/>
  <c r="AU27" i="34"/>
  <c r="AJ27" i="34"/>
  <c r="Y27" i="34"/>
  <c r="BA27" i="34"/>
  <c r="N27" i="34"/>
  <c r="AP27" i="34"/>
  <c r="BJ27" i="34"/>
  <c r="AE27" i="34"/>
  <c r="AY27" i="34"/>
  <c r="T27" i="34"/>
  <c r="AN27" i="34"/>
  <c r="BP27" i="34"/>
  <c r="H71" i="46"/>
  <c r="H44" i="33"/>
  <c r="D107" i="46"/>
  <c r="E89" i="46"/>
  <c r="E87" i="46"/>
  <c r="D105" i="46"/>
  <c r="P104" i="34"/>
  <c r="P120" i="34"/>
  <c r="E25" i="45"/>
  <c r="D25" i="45"/>
  <c r="C23" i="62" s="1"/>
  <c r="B17" i="45"/>
  <c r="E13" i="45"/>
  <c r="P1302" i="67" l="1"/>
  <c r="K1301" i="67"/>
  <c r="K1285" i="67"/>
  <c r="N1285" i="67"/>
  <c r="L1285" i="67"/>
  <c r="O1301" i="67"/>
  <c r="P1301" i="67"/>
  <c r="K1286" i="67"/>
  <c r="O1285" i="67"/>
  <c r="L1301" i="67"/>
  <c r="N1302" i="67"/>
  <c r="K1302" i="67"/>
  <c r="O1302" i="67"/>
  <c r="M1286" i="67"/>
  <c r="P1285" i="67"/>
  <c r="O1286" i="67"/>
  <c r="M1285" i="67"/>
  <c r="L1302" i="67"/>
  <c r="M1301" i="67"/>
  <c r="N1301" i="67"/>
  <c r="M1302" i="67"/>
  <c r="P1286" i="67"/>
  <c r="N1286" i="67"/>
  <c r="L1286" i="67"/>
  <c r="AC10" i="34"/>
  <c r="M10" i="34"/>
  <c r="K10" i="34"/>
  <c r="T10" i="34"/>
  <c r="L10" i="34"/>
  <c r="H10" i="34"/>
  <c r="W10" i="34"/>
  <c r="O10" i="34"/>
  <c r="J10" i="34"/>
  <c r="V10" i="34"/>
  <c r="N10" i="34"/>
  <c r="Y10" i="34"/>
  <c r="Q10" i="34"/>
  <c r="AB10" i="34"/>
  <c r="C12" i="62"/>
  <c r="D12" i="45"/>
  <c r="D4" i="45"/>
  <c r="D58" i="45" s="1"/>
  <c r="X10" i="34"/>
  <c r="P10" i="34"/>
  <c r="I10" i="34"/>
  <c r="AA10" i="34"/>
  <c r="AG74" i="36"/>
  <c r="AE74" i="36"/>
  <c r="AH74" i="36"/>
  <c r="AD74" i="36"/>
  <c r="AE58" i="36"/>
  <c r="AI58" i="36"/>
  <c r="AH58" i="36"/>
  <c r="AD58" i="36"/>
  <c r="AI74" i="36"/>
  <c r="AF74" i="36"/>
  <c r="AG58" i="36"/>
  <c r="AF58" i="36"/>
  <c r="AX74" i="36"/>
  <c r="BM74" i="36"/>
  <c r="BL74" i="36"/>
  <c r="AZ74" i="36"/>
  <c r="AN74" i="36"/>
  <c r="BJ58" i="36"/>
  <c r="AL74" i="36"/>
  <c r="BI74" i="36"/>
  <c r="AO74" i="36"/>
  <c r="BG74" i="36"/>
  <c r="AU74" i="36"/>
  <c r="BC180" i="34"/>
  <c r="BP74" i="36"/>
  <c r="AR58" i="36"/>
  <c r="AT74" i="36"/>
  <c r="AY58" i="36"/>
  <c r="BF180" i="34"/>
  <c r="BD180" i="34"/>
  <c r="AX58" i="36"/>
  <c r="BM58" i="36"/>
  <c r="BL58" i="36"/>
  <c r="AZ58" i="36"/>
  <c r="AN58" i="36"/>
  <c r="BJ74" i="36"/>
  <c r="AL58" i="36"/>
  <c r="BI58" i="36"/>
  <c r="AO58" i="36"/>
  <c r="BG58" i="36"/>
  <c r="AU58" i="36"/>
  <c r="AW180" i="34"/>
  <c r="AX164" i="34"/>
  <c r="BM164" i="34"/>
  <c r="BL164" i="34"/>
  <c r="AZ180" i="34"/>
  <c r="AN164" i="34"/>
  <c r="BJ180" i="34"/>
  <c r="AL164" i="34"/>
  <c r="BI180" i="34"/>
  <c r="AO180" i="34"/>
  <c r="BG180" i="34"/>
  <c r="AU180" i="34"/>
  <c r="BP164" i="34"/>
  <c r="AX180" i="34"/>
  <c r="BM180" i="34"/>
  <c r="BL180" i="34"/>
  <c r="AZ164" i="34"/>
  <c r="AN180" i="34"/>
  <c r="BJ164" i="34"/>
  <c r="AL180" i="34"/>
  <c r="BI164" i="34"/>
  <c r="AO164" i="34"/>
  <c r="BG164" i="34"/>
  <c r="AU164" i="34"/>
  <c r="AW58" i="36"/>
  <c r="AM58" i="36"/>
  <c r="BN74" i="36"/>
  <c r="AP74" i="36"/>
  <c r="BA74" i="36"/>
  <c r="BH74" i="36"/>
  <c r="AV74" i="36"/>
  <c r="AJ58" i="36"/>
  <c r="BB58" i="36"/>
  <c r="BE74" i="36"/>
  <c r="AK74" i="36"/>
  <c r="BO74" i="36"/>
  <c r="BC74" i="36"/>
  <c r="AQ74" i="36"/>
  <c r="AS58" i="36"/>
  <c r="BD58" i="36"/>
  <c r="BN58" i="36"/>
  <c r="AP58" i="36"/>
  <c r="BA58" i="36"/>
  <c r="BH58" i="36"/>
  <c r="AV58" i="36"/>
  <c r="AJ74" i="36"/>
  <c r="BB74" i="36"/>
  <c r="BE58" i="36"/>
  <c r="AK58" i="36"/>
  <c r="BO58" i="36"/>
  <c r="BC58" i="36"/>
  <c r="AQ58" i="36"/>
  <c r="BE164" i="34"/>
  <c r="BC164" i="34"/>
  <c r="AQ180" i="34"/>
  <c r="AT180" i="34"/>
  <c r="AY164" i="34"/>
  <c r="BN164" i="34"/>
  <c r="AP164" i="34"/>
  <c r="BA164" i="34"/>
  <c r="BH180" i="34"/>
  <c r="AV164" i="34"/>
  <c r="AJ180" i="34"/>
  <c r="BB164" i="34"/>
  <c r="AK164" i="34"/>
  <c r="BO180" i="34"/>
  <c r="BK58" i="36"/>
  <c r="BK164" i="34"/>
  <c r="BN180" i="34"/>
  <c r="AP180" i="34"/>
  <c r="BA180" i="34"/>
  <c r="BH164" i="34"/>
  <c r="AV180" i="34"/>
  <c r="AJ164" i="34"/>
  <c r="BB180" i="34"/>
  <c r="BE180" i="34"/>
  <c r="AK180" i="34"/>
  <c r="BO164" i="34"/>
  <c r="AQ164" i="34"/>
  <c r="BF58" i="36"/>
  <c r="AR180" i="34"/>
  <c r="BF74" i="36"/>
  <c r="AS74" i="36"/>
  <c r="BP58" i="36"/>
  <c r="BD74" i="36"/>
  <c r="AR74" i="36"/>
  <c r="AT58" i="36"/>
  <c r="AW74" i="36"/>
  <c r="BK74" i="36"/>
  <c r="AY74" i="36"/>
  <c r="AM74" i="36"/>
  <c r="BF164" i="34"/>
  <c r="AS180" i="34"/>
  <c r="BP180" i="34"/>
  <c r="BD164" i="34"/>
  <c r="AR164" i="34"/>
  <c r="AT164" i="34"/>
  <c r="AW164" i="34"/>
  <c r="BK180" i="34"/>
  <c r="AY180" i="34"/>
  <c r="AM164" i="34"/>
  <c r="AS164" i="34"/>
  <c r="AM180" i="34"/>
  <c r="K180" i="34"/>
  <c r="T74" i="36"/>
  <c r="T115" i="34" s="1"/>
  <c r="L164" i="34"/>
  <c r="V164" i="34"/>
  <c r="J58" i="36"/>
  <c r="J99" i="34" s="1"/>
  <c r="AH180" i="34"/>
  <c r="M58" i="36"/>
  <c r="M99" i="34" s="1"/>
  <c r="O58" i="36"/>
  <c r="O99" i="34" s="1"/>
  <c r="AH164" i="34"/>
  <c r="P164" i="34"/>
  <c r="T164" i="34"/>
  <c r="AC180" i="34"/>
  <c r="X164" i="34"/>
  <c r="J164" i="34"/>
  <c r="AF180" i="34"/>
  <c r="AA58" i="36"/>
  <c r="AA99" i="34" s="1"/>
  <c r="S164" i="34"/>
  <c r="K74" i="36"/>
  <c r="K115" i="34" s="1"/>
  <c r="P58" i="36"/>
  <c r="P99" i="34" s="1"/>
  <c r="T180" i="34"/>
  <c r="AC74" i="36"/>
  <c r="AC115" i="34" s="1"/>
  <c r="X58" i="36"/>
  <c r="X99" i="34" s="1"/>
  <c r="J180" i="34"/>
  <c r="AF164" i="34"/>
  <c r="AA180" i="34"/>
  <c r="S74" i="36"/>
  <c r="S115" i="34" s="1"/>
  <c r="P74" i="36"/>
  <c r="P115" i="34" s="1"/>
  <c r="U58" i="36"/>
  <c r="U99" i="34" s="1"/>
  <c r="AC164" i="34"/>
  <c r="X74" i="36"/>
  <c r="X115" i="34" s="1"/>
  <c r="N164" i="34"/>
  <c r="W58" i="36"/>
  <c r="W99" i="34" s="1"/>
  <c r="AA74" i="36"/>
  <c r="AA115" i="34" s="1"/>
  <c r="S58" i="36"/>
  <c r="S99" i="34" s="1"/>
  <c r="T58" i="36"/>
  <c r="T99" i="34" s="1"/>
  <c r="P180" i="34"/>
  <c r="U180" i="34"/>
  <c r="AC58" i="36"/>
  <c r="AC99" i="34" s="1"/>
  <c r="X180" i="34"/>
  <c r="N58" i="36"/>
  <c r="N99" i="34" s="1"/>
  <c r="W74" i="36"/>
  <c r="W115" i="34" s="1"/>
  <c r="AA164" i="34"/>
  <c r="S180" i="34"/>
  <c r="K164" i="34"/>
  <c r="AB74" i="36"/>
  <c r="AB115" i="34" s="1"/>
  <c r="Z164" i="34"/>
  <c r="U164" i="34"/>
  <c r="Q58" i="36"/>
  <c r="Q99" i="34" s="1"/>
  <c r="R180" i="34"/>
  <c r="N74" i="36"/>
  <c r="N115" i="34" s="1"/>
  <c r="W180" i="34"/>
  <c r="H180" i="34"/>
  <c r="I180" i="34"/>
  <c r="M74" i="36"/>
  <c r="M115" i="34" s="1"/>
  <c r="AB58" i="36"/>
  <c r="AB99" i="34" s="1"/>
  <c r="Z180" i="34"/>
  <c r="U74" i="36"/>
  <c r="U115" i="34" s="1"/>
  <c r="Q180" i="34"/>
  <c r="R164" i="34"/>
  <c r="N180" i="34"/>
  <c r="W164" i="34"/>
  <c r="H74" i="36"/>
  <c r="H115" i="34" s="1"/>
  <c r="I58" i="36"/>
  <c r="I99" i="34" s="1"/>
  <c r="J74" i="36"/>
  <c r="J115" i="34" s="1"/>
  <c r="AB164" i="34"/>
  <c r="Z58" i="36"/>
  <c r="Z99" i="34" s="1"/>
  <c r="AE164" i="34"/>
  <c r="Q164" i="34"/>
  <c r="R58" i="36"/>
  <c r="R99" i="34" s="1"/>
  <c r="Y180" i="34"/>
  <c r="AD164" i="34"/>
  <c r="H58" i="36"/>
  <c r="H99" i="34" s="1"/>
  <c r="I74" i="36"/>
  <c r="I115" i="34" s="1"/>
  <c r="L74" i="36"/>
  <c r="L115" i="34" s="1"/>
  <c r="AB180" i="34"/>
  <c r="Z74" i="36"/>
  <c r="Z115" i="34" s="1"/>
  <c r="AE180" i="34"/>
  <c r="Q74" i="36"/>
  <c r="Q115" i="34" s="1"/>
  <c r="R74" i="36"/>
  <c r="R115" i="34" s="1"/>
  <c r="Y58" i="36"/>
  <c r="Y99" i="34" s="1"/>
  <c r="AD180" i="34"/>
  <c r="H164" i="34"/>
  <c r="I164" i="34"/>
  <c r="Y164" i="34"/>
  <c r="V74" i="36"/>
  <c r="V115" i="34" s="1"/>
  <c r="AG164" i="34"/>
  <c r="V180" i="34"/>
  <c r="AI164" i="34"/>
  <c r="M180" i="34"/>
  <c r="O180" i="34"/>
  <c r="K58" i="36"/>
  <c r="K99" i="34" s="1"/>
  <c r="AG180" i="34"/>
  <c r="L180" i="34"/>
  <c r="V58" i="36"/>
  <c r="V99" i="34" s="1"/>
  <c r="AI180" i="34"/>
  <c r="Y74" i="36"/>
  <c r="Y115" i="34" s="1"/>
  <c r="M164" i="34"/>
  <c r="O164" i="34"/>
  <c r="L58" i="36"/>
  <c r="L99" i="34" s="1"/>
  <c r="O74" i="36"/>
  <c r="O115" i="34" s="1"/>
  <c r="AP45" i="34"/>
  <c r="BP45" i="34"/>
  <c r="AN45" i="34"/>
  <c r="AK45" i="34"/>
  <c r="AY45" i="34"/>
  <c r="BD45" i="34"/>
  <c r="AL45" i="34"/>
  <c r="BB45" i="34"/>
  <c r="AS45" i="34"/>
  <c r="AQ45" i="34"/>
  <c r="AM45" i="34"/>
  <c r="AO45" i="34"/>
  <c r="AR45" i="34"/>
  <c r="AT45" i="34"/>
  <c r="AJ45" i="34"/>
  <c r="AZ45" i="34"/>
  <c r="AU45" i="34"/>
  <c r="BG45" i="34"/>
  <c r="BI45" i="34"/>
  <c r="AX45" i="34"/>
  <c r="BK45" i="34"/>
  <c r="BJ45" i="34"/>
  <c r="BN45" i="34"/>
  <c r="BF45" i="34"/>
  <c r="BO45" i="34"/>
  <c r="BC45" i="34"/>
  <c r="AI45" i="34"/>
  <c r="BA45" i="34"/>
  <c r="BL45" i="34"/>
  <c r="BM45" i="34"/>
  <c r="AW45" i="34"/>
  <c r="AV45" i="34"/>
  <c r="BE45" i="34"/>
  <c r="BH45" i="34"/>
  <c r="J45" i="34"/>
  <c r="AE45" i="34"/>
  <c r="AG45" i="34"/>
  <c r="N45" i="34"/>
  <c r="L45" i="34"/>
  <c r="I45" i="34"/>
  <c r="AA45" i="34"/>
  <c r="R45" i="34"/>
  <c r="P45" i="34"/>
  <c r="H45" i="34"/>
  <c r="V45" i="34"/>
  <c r="T45" i="34"/>
  <c r="Z45" i="34"/>
  <c r="X45" i="34"/>
  <c r="AD45" i="34"/>
  <c r="AB45" i="34"/>
  <c r="AH45" i="34"/>
  <c r="AF45" i="34"/>
  <c r="K45" i="34"/>
  <c r="M45" i="34"/>
  <c r="AC45" i="34"/>
  <c r="O45" i="34"/>
  <c r="Q45" i="34"/>
  <c r="S45" i="34"/>
  <c r="U45" i="34"/>
  <c r="W45" i="34"/>
  <c r="Y45" i="34"/>
  <c r="AN26" i="34"/>
  <c r="AC26" i="34"/>
  <c r="R26" i="34"/>
  <c r="BN26" i="34"/>
  <c r="BC26" i="34"/>
  <c r="AR26" i="34"/>
  <c r="AG26" i="34"/>
  <c r="V26" i="34"/>
  <c r="K26" i="34"/>
  <c r="BG26" i="34"/>
  <c r="AV26" i="34"/>
  <c r="AK26" i="34"/>
  <c r="Z26" i="34"/>
  <c r="O26" i="34"/>
  <c r="BK26" i="34"/>
  <c r="AZ26" i="34"/>
  <c r="AO26" i="34"/>
  <c r="AD26" i="34"/>
  <c r="S26" i="34"/>
  <c r="BO26" i="34"/>
  <c r="BD26" i="34"/>
  <c r="AS26" i="34"/>
  <c r="AH26" i="34"/>
  <c r="W26" i="34"/>
  <c r="H26" i="34"/>
  <c r="L26" i="34"/>
  <c r="BH26" i="34"/>
  <c r="AW26" i="34"/>
  <c r="AL26" i="34"/>
  <c r="AA26" i="34"/>
  <c r="I26" i="34"/>
  <c r="P26" i="34"/>
  <c r="BL26" i="34"/>
  <c r="BA26" i="34"/>
  <c r="AP26" i="34"/>
  <c r="AE26" i="34"/>
  <c r="T26" i="34"/>
  <c r="BP26" i="34"/>
  <c r="BE26" i="34"/>
  <c r="AT26" i="34"/>
  <c r="AI26" i="34"/>
  <c r="X26" i="34"/>
  <c r="M26" i="34"/>
  <c r="BI26" i="34"/>
  <c r="AX26" i="34"/>
  <c r="AM26" i="34"/>
  <c r="AB26" i="34"/>
  <c r="Q26" i="34"/>
  <c r="BM26" i="34"/>
  <c r="BB26" i="34"/>
  <c r="AQ26" i="34"/>
  <c r="AF26" i="34"/>
  <c r="U26" i="34"/>
  <c r="J26" i="34"/>
  <c r="BF26" i="34"/>
  <c r="AU26" i="34"/>
  <c r="Y26" i="34"/>
  <c r="AJ26" i="34"/>
  <c r="N26" i="34"/>
  <c r="BJ26" i="34"/>
  <c r="AY26" i="34"/>
  <c r="N37" i="34"/>
  <c r="X37" i="34"/>
  <c r="R37" i="34"/>
  <c r="AB37" i="34"/>
  <c r="V37" i="34"/>
  <c r="M37" i="34"/>
  <c r="T37" i="34"/>
  <c r="Z37" i="34"/>
  <c r="Q37" i="34"/>
  <c r="J37" i="34"/>
  <c r="K37" i="34"/>
  <c r="U37" i="34"/>
  <c r="O37" i="34"/>
  <c r="Y37" i="34"/>
  <c r="S37" i="34"/>
  <c r="AC37" i="34"/>
  <c r="W37" i="34"/>
  <c r="I37" i="34"/>
  <c r="AA37" i="34"/>
  <c r="H37" i="34"/>
  <c r="L37" i="34"/>
  <c r="P37" i="34"/>
  <c r="X178" i="34"/>
  <c r="Z72" i="36"/>
  <c r="Z113" i="34" s="1"/>
  <c r="O72" i="36"/>
  <c r="O113" i="34" s="1"/>
  <c r="J162" i="34"/>
  <c r="J178" i="34"/>
  <c r="J72" i="36"/>
  <c r="J113" i="34" s="1"/>
  <c r="J56" i="36"/>
  <c r="J97" i="34" s="1"/>
  <c r="R56" i="36"/>
  <c r="R97" i="34" s="1"/>
  <c r="V56" i="36"/>
  <c r="V97" i="34" s="1"/>
  <c r="Q72" i="36"/>
  <c r="Q113" i="34" s="1"/>
  <c r="R178" i="34"/>
  <c r="U178" i="34"/>
  <c r="AB72" i="36"/>
  <c r="AB113" i="34" s="1"/>
  <c r="AA162" i="34"/>
  <c r="S178" i="34"/>
  <c r="V162" i="34"/>
  <c r="V72" i="36"/>
  <c r="V113" i="34" s="1"/>
  <c r="AB162" i="34"/>
  <c r="AC72" i="36"/>
  <c r="AC113" i="34" s="1"/>
  <c r="Z162" i="34"/>
  <c r="R72" i="36"/>
  <c r="R113" i="34" s="1"/>
  <c r="AA178" i="34"/>
  <c r="Z56" i="36"/>
  <c r="Z97" i="34" s="1"/>
  <c r="Z178" i="34"/>
  <c r="P72" i="36"/>
  <c r="P113" i="34" s="1"/>
  <c r="O162" i="34"/>
  <c r="I178" i="34"/>
  <c r="S72" i="36"/>
  <c r="S113" i="34" s="1"/>
  <c r="X56" i="36"/>
  <c r="X97" i="34" s="1"/>
  <c r="N162" i="34"/>
  <c r="P162" i="34"/>
  <c r="T178" i="34"/>
  <c r="O178" i="34"/>
  <c r="I162" i="34"/>
  <c r="X162" i="34"/>
  <c r="W162" i="34"/>
  <c r="P178" i="34"/>
  <c r="AA56" i="36"/>
  <c r="AA97" i="34" s="1"/>
  <c r="X72" i="36"/>
  <c r="X113" i="34" s="1"/>
  <c r="P56" i="36"/>
  <c r="P97" i="34" s="1"/>
  <c r="U56" i="36"/>
  <c r="U97" i="34" s="1"/>
  <c r="L178" i="34"/>
  <c r="L56" i="36"/>
  <c r="L97" i="34" s="1"/>
  <c r="AB178" i="34"/>
  <c r="I56" i="36"/>
  <c r="I97" i="34" s="1"/>
  <c r="L162" i="34"/>
  <c r="Q178" i="34"/>
  <c r="Q162" i="34"/>
  <c r="S56" i="36"/>
  <c r="S97" i="34" s="1"/>
  <c r="K162" i="34"/>
  <c r="K178" i="34"/>
  <c r="AB56" i="36"/>
  <c r="AB97" i="34" s="1"/>
  <c r="U72" i="36"/>
  <c r="U113" i="34" s="1"/>
  <c r="S162" i="34"/>
  <c r="V178" i="34"/>
  <c r="W178" i="34"/>
  <c r="AA72" i="36"/>
  <c r="AA113" i="34" s="1"/>
  <c r="O56" i="36"/>
  <c r="O97" i="34" s="1"/>
  <c r="Q56" i="36"/>
  <c r="Q97" i="34" s="1"/>
  <c r="I72" i="36"/>
  <c r="I113" i="34" s="1"/>
  <c r="R162" i="34"/>
  <c r="L72" i="36"/>
  <c r="L113" i="34" s="1"/>
  <c r="U162" i="34"/>
  <c r="T56" i="36"/>
  <c r="T97" i="34" s="1"/>
  <c r="N178" i="34"/>
  <c r="T72" i="36"/>
  <c r="T113" i="34" s="1"/>
  <c r="AC178" i="34"/>
  <c r="N72" i="36"/>
  <c r="N113" i="34" s="1"/>
  <c r="K56" i="36"/>
  <c r="K97" i="34" s="1"/>
  <c r="N56" i="36"/>
  <c r="N97" i="34" s="1"/>
  <c r="K72" i="36"/>
  <c r="K113" i="34" s="1"/>
  <c r="W72" i="36"/>
  <c r="W113" i="34" s="1"/>
  <c r="W56" i="36"/>
  <c r="W97" i="34" s="1"/>
  <c r="H178" i="34"/>
  <c r="M178" i="34"/>
  <c r="H56" i="36"/>
  <c r="H97" i="34" s="1"/>
  <c r="M56" i="36"/>
  <c r="M97" i="34" s="1"/>
  <c r="H162" i="34"/>
  <c r="M72" i="36"/>
  <c r="M113" i="34" s="1"/>
  <c r="T162" i="34"/>
  <c r="H72" i="36"/>
  <c r="H113" i="34" s="1"/>
  <c r="M162" i="34"/>
  <c r="Y56" i="36"/>
  <c r="Y97" i="34" s="1"/>
  <c r="AC162" i="34"/>
  <c r="Y162" i="34"/>
  <c r="Y72" i="36"/>
  <c r="Y113" i="34" s="1"/>
  <c r="AC56" i="36"/>
  <c r="AC97" i="34" s="1"/>
  <c r="Y178" i="34"/>
  <c r="S24" i="34"/>
  <c r="AC24" i="34"/>
  <c r="J24" i="34"/>
  <c r="T24" i="34"/>
  <c r="O24" i="34"/>
  <c r="H24" i="34"/>
  <c r="W24" i="34"/>
  <c r="AA24" i="34"/>
  <c r="L24" i="34"/>
  <c r="P24" i="34"/>
  <c r="X24" i="34"/>
  <c r="AB24" i="34"/>
  <c r="N24" i="34"/>
  <c r="M24" i="34"/>
  <c r="R24" i="34"/>
  <c r="Q24" i="34"/>
  <c r="I24" i="34"/>
  <c r="V24" i="34"/>
  <c r="U24" i="34"/>
  <c r="K24" i="34"/>
  <c r="Z24" i="34"/>
  <c r="Y24" i="34"/>
  <c r="AG75" i="36"/>
  <c r="AD59" i="36"/>
  <c r="AE75" i="36"/>
  <c r="AI59" i="36"/>
  <c r="AH75" i="36"/>
  <c r="AE59" i="36"/>
  <c r="AI75" i="36"/>
  <c r="AH59" i="36"/>
  <c r="AD75" i="36"/>
  <c r="AF59" i="36"/>
  <c r="AG59" i="36"/>
  <c r="AF75" i="36"/>
  <c r="BM75" i="36"/>
  <c r="AO59" i="36"/>
  <c r="BD75" i="36"/>
  <c r="BO75" i="36"/>
  <c r="BC75" i="36"/>
  <c r="AQ75" i="36"/>
  <c r="BA75" i="36"/>
  <c r="AZ75" i="36"/>
  <c r="BJ59" i="36"/>
  <c r="AX75" i="36"/>
  <c r="AL59" i="36"/>
  <c r="AW75" i="36"/>
  <c r="BG59" i="36"/>
  <c r="AU59" i="36"/>
  <c r="BN59" i="36"/>
  <c r="BN165" i="34"/>
  <c r="BM59" i="36"/>
  <c r="AO75" i="36"/>
  <c r="BD59" i="36"/>
  <c r="BO59" i="36"/>
  <c r="BC59" i="36"/>
  <c r="AQ59" i="36"/>
  <c r="BA59" i="36"/>
  <c r="AZ59" i="36"/>
  <c r="BJ75" i="36"/>
  <c r="AX59" i="36"/>
  <c r="AL75" i="36"/>
  <c r="AN59" i="36"/>
  <c r="BH59" i="36"/>
  <c r="BM165" i="34"/>
  <c r="AO181" i="34"/>
  <c r="BD181" i="34"/>
  <c r="BO165" i="34"/>
  <c r="BC165" i="34"/>
  <c r="AQ181" i="34"/>
  <c r="BA165" i="34"/>
  <c r="AZ165" i="34"/>
  <c r="BJ165" i="34"/>
  <c r="AX165" i="34"/>
  <c r="AL181" i="34"/>
  <c r="BF181" i="34"/>
  <c r="BB59" i="36"/>
  <c r="BL181" i="34"/>
  <c r="BG181" i="34"/>
  <c r="BI181" i="34"/>
  <c r="AP165" i="34"/>
  <c r="BM181" i="34"/>
  <c r="AO165" i="34"/>
  <c r="BD165" i="34"/>
  <c r="BO181" i="34"/>
  <c r="BC181" i="34"/>
  <c r="AQ165" i="34"/>
  <c r="BA181" i="34"/>
  <c r="AZ181" i="34"/>
  <c r="BJ181" i="34"/>
  <c r="AX181" i="34"/>
  <c r="AL165" i="34"/>
  <c r="BL59" i="36"/>
  <c r="BH181" i="34"/>
  <c r="BE59" i="36"/>
  <c r="AV75" i="36"/>
  <c r="BK75" i="36"/>
  <c r="AY59" i="36"/>
  <c r="AM75" i="36"/>
  <c r="AS75" i="36"/>
  <c r="BP75" i="36"/>
  <c r="AR75" i="36"/>
  <c r="BF75" i="36"/>
  <c r="AT75" i="36"/>
  <c r="AK59" i="36"/>
  <c r="AP59" i="36"/>
  <c r="AK165" i="34"/>
  <c r="BE75" i="36"/>
  <c r="AV59" i="36"/>
  <c r="BK59" i="36"/>
  <c r="AY75" i="36"/>
  <c r="AM59" i="36"/>
  <c r="AS59" i="36"/>
  <c r="BP59" i="36"/>
  <c r="AR59" i="36"/>
  <c r="BF59" i="36"/>
  <c r="AT59" i="36"/>
  <c r="AT181" i="34"/>
  <c r="BI59" i="36"/>
  <c r="AN181" i="34"/>
  <c r="BE165" i="34"/>
  <c r="AV165" i="34"/>
  <c r="BK181" i="34"/>
  <c r="AY181" i="34"/>
  <c r="AM165" i="34"/>
  <c r="AS181" i="34"/>
  <c r="BP165" i="34"/>
  <c r="AR181" i="34"/>
  <c r="BE181" i="34"/>
  <c r="AV181" i="34"/>
  <c r="BK165" i="34"/>
  <c r="AY165" i="34"/>
  <c r="AM181" i="34"/>
  <c r="AS165" i="34"/>
  <c r="BP181" i="34"/>
  <c r="AR165" i="34"/>
  <c r="BF165" i="34"/>
  <c r="AT165" i="34"/>
  <c r="AJ59" i="36"/>
  <c r="AW181" i="34"/>
  <c r="AU181" i="34"/>
  <c r="BB165" i="34"/>
  <c r="AW59" i="36"/>
  <c r="BL75" i="36"/>
  <c r="AN75" i="36"/>
  <c r="BG75" i="36"/>
  <c r="AU75" i="36"/>
  <c r="BI75" i="36"/>
  <c r="AK75" i="36"/>
  <c r="BH75" i="36"/>
  <c r="AJ75" i="36"/>
  <c r="BN75" i="36"/>
  <c r="BB75" i="36"/>
  <c r="AP75" i="36"/>
  <c r="AW165" i="34"/>
  <c r="BL165" i="34"/>
  <c r="AN165" i="34"/>
  <c r="BG165" i="34"/>
  <c r="AU165" i="34"/>
  <c r="BI165" i="34"/>
  <c r="AK181" i="34"/>
  <c r="BH165" i="34"/>
  <c r="AJ165" i="34"/>
  <c r="BN181" i="34"/>
  <c r="BB181" i="34"/>
  <c r="AP181" i="34"/>
  <c r="AJ181" i="34"/>
  <c r="M75" i="36"/>
  <c r="M116" i="34" s="1"/>
  <c r="AI181" i="34"/>
  <c r="Z165" i="34"/>
  <c r="V59" i="36"/>
  <c r="V100" i="34" s="1"/>
  <c r="AD165" i="34"/>
  <c r="I181" i="34"/>
  <c r="P165" i="34"/>
  <c r="Q165" i="34"/>
  <c r="H59" i="36"/>
  <c r="H100" i="34" s="1"/>
  <c r="AA59" i="36"/>
  <c r="AA100" i="34" s="1"/>
  <c r="Z59" i="36"/>
  <c r="Z100" i="34" s="1"/>
  <c r="M59" i="36"/>
  <c r="M100" i="34" s="1"/>
  <c r="AI165" i="34"/>
  <c r="Z75" i="36"/>
  <c r="Z116" i="34" s="1"/>
  <c r="V165" i="34"/>
  <c r="AD181" i="34"/>
  <c r="I165" i="34"/>
  <c r="P181" i="34"/>
  <c r="Q59" i="36"/>
  <c r="Q100" i="34" s="1"/>
  <c r="X75" i="36"/>
  <c r="X116" i="34" s="1"/>
  <c r="W181" i="34"/>
  <c r="S75" i="36"/>
  <c r="S116" i="34" s="1"/>
  <c r="K59" i="36"/>
  <c r="K100" i="34" s="1"/>
  <c r="AC59" i="36"/>
  <c r="AC100" i="34" s="1"/>
  <c r="AF181" i="34"/>
  <c r="I75" i="36"/>
  <c r="I116" i="34" s="1"/>
  <c r="AB181" i="34"/>
  <c r="L165" i="34"/>
  <c r="U181" i="34"/>
  <c r="N165" i="34"/>
  <c r="W75" i="36"/>
  <c r="W116" i="34" s="1"/>
  <c r="S181" i="34"/>
  <c r="K181" i="34"/>
  <c r="AC75" i="36"/>
  <c r="AC116" i="34" s="1"/>
  <c r="AF165" i="34"/>
  <c r="I59" i="36"/>
  <c r="I100" i="34" s="1"/>
  <c r="AB165" i="34"/>
  <c r="L75" i="36"/>
  <c r="L116" i="34" s="1"/>
  <c r="T75" i="36"/>
  <c r="T116" i="34" s="1"/>
  <c r="J59" i="36"/>
  <c r="J100" i="34" s="1"/>
  <c r="Q181" i="34"/>
  <c r="W165" i="34"/>
  <c r="S59" i="36"/>
  <c r="S100" i="34" s="1"/>
  <c r="K75" i="36"/>
  <c r="K116" i="34" s="1"/>
  <c r="AC165" i="34"/>
  <c r="Y181" i="34"/>
  <c r="O75" i="36"/>
  <c r="O116" i="34" s="1"/>
  <c r="AB75" i="36"/>
  <c r="AB116" i="34" s="1"/>
  <c r="L59" i="36"/>
  <c r="L100" i="34" s="1"/>
  <c r="AA75" i="36"/>
  <c r="AA116" i="34" s="1"/>
  <c r="W59" i="36"/>
  <c r="W100" i="34" s="1"/>
  <c r="S165" i="34"/>
  <c r="K165" i="34"/>
  <c r="AC181" i="34"/>
  <c r="Y59" i="36"/>
  <c r="Y100" i="34" s="1"/>
  <c r="O165" i="34"/>
  <c r="AB59" i="36"/>
  <c r="AB100" i="34" s="1"/>
  <c r="L181" i="34"/>
  <c r="H181" i="34"/>
  <c r="AH181" i="34"/>
  <c r="T165" i="34"/>
  <c r="AE181" i="34"/>
  <c r="Y165" i="34"/>
  <c r="O59" i="36"/>
  <c r="O100" i="34" s="1"/>
  <c r="U165" i="34"/>
  <c r="AG165" i="34"/>
  <c r="V181" i="34"/>
  <c r="R181" i="34"/>
  <c r="X165" i="34"/>
  <c r="R165" i="34"/>
  <c r="P59" i="36"/>
  <c r="P100" i="34" s="1"/>
  <c r="H75" i="36"/>
  <c r="H116" i="34" s="1"/>
  <c r="AH165" i="34"/>
  <c r="T59" i="36"/>
  <c r="T100" i="34" s="1"/>
  <c r="R75" i="36"/>
  <c r="R116" i="34" s="1"/>
  <c r="AE165" i="34"/>
  <c r="Y75" i="36"/>
  <c r="Y116" i="34" s="1"/>
  <c r="O181" i="34"/>
  <c r="X59" i="36"/>
  <c r="X100" i="34" s="1"/>
  <c r="U75" i="36"/>
  <c r="U116" i="34" s="1"/>
  <c r="J165" i="34"/>
  <c r="H165" i="34"/>
  <c r="N181" i="34"/>
  <c r="T181" i="34"/>
  <c r="R59" i="36"/>
  <c r="R100" i="34" s="1"/>
  <c r="AA165" i="34"/>
  <c r="J75" i="36"/>
  <c r="J116" i="34" s="1"/>
  <c r="AG181" i="34"/>
  <c r="X181" i="34"/>
  <c r="U59" i="36"/>
  <c r="U100" i="34" s="1"/>
  <c r="N75" i="36"/>
  <c r="N116" i="34" s="1"/>
  <c r="M181" i="34"/>
  <c r="N59" i="36"/>
  <c r="N100" i="34" s="1"/>
  <c r="Z181" i="34"/>
  <c r="V75" i="36"/>
  <c r="V116" i="34" s="1"/>
  <c r="AA181" i="34"/>
  <c r="J181" i="34"/>
  <c r="P75" i="36"/>
  <c r="P116" i="34" s="1"/>
  <c r="Q75" i="36"/>
  <c r="Q116" i="34" s="1"/>
  <c r="M165" i="34"/>
  <c r="Q157" i="34"/>
  <c r="Z51" i="36"/>
  <c r="Z92" i="34" s="1"/>
  <c r="S157" i="34"/>
  <c r="N67" i="36"/>
  <c r="N108" i="34" s="1"/>
  <c r="V67" i="36"/>
  <c r="V108" i="34" s="1"/>
  <c r="W51" i="36"/>
  <c r="W92" i="34" s="1"/>
  <c r="L173" i="34"/>
  <c r="AB51" i="36"/>
  <c r="AB92" i="34" s="1"/>
  <c r="I157" i="34"/>
  <c r="O173" i="34"/>
  <c r="Q173" i="34"/>
  <c r="I67" i="36"/>
  <c r="I108" i="34" s="1"/>
  <c r="O67" i="36"/>
  <c r="O108" i="34" s="1"/>
  <c r="P51" i="36"/>
  <c r="P92" i="34" s="1"/>
  <c r="K67" i="36"/>
  <c r="K108" i="34" s="1"/>
  <c r="Y173" i="34"/>
  <c r="AC173" i="34"/>
  <c r="W67" i="36"/>
  <c r="W108" i="34" s="1"/>
  <c r="AA157" i="34"/>
  <c r="P173" i="34"/>
  <c r="K157" i="34"/>
  <c r="Y51" i="36"/>
  <c r="Y92" i="34" s="1"/>
  <c r="S51" i="36"/>
  <c r="S92" i="34" s="1"/>
  <c r="Z67" i="36"/>
  <c r="Z108" i="34" s="1"/>
  <c r="AA51" i="36"/>
  <c r="AA92" i="34" s="1"/>
  <c r="P67" i="36"/>
  <c r="P108" i="34" s="1"/>
  <c r="K51" i="36"/>
  <c r="K92" i="34" s="1"/>
  <c r="Y67" i="36"/>
  <c r="Y108" i="34" s="1"/>
  <c r="AC157" i="34"/>
  <c r="AC67" i="36"/>
  <c r="AC108" i="34" s="1"/>
  <c r="N157" i="34"/>
  <c r="H51" i="36"/>
  <c r="H92" i="34" s="1"/>
  <c r="AB67" i="36"/>
  <c r="AB108" i="34" s="1"/>
  <c r="L51" i="36"/>
  <c r="L92" i="34" s="1"/>
  <c r="AB157" i="34"/>
  <c r="V51" i="36"/>
  <c r="V92" i="34" s="1"/>
  <c r="P157" i="34"/>
  <c r="K173" i="34"/>
  <c r="Y157" i="34"/>
  <c r="AC51" i="36"/>
  <c r="AC92" i="34" s="1"/>
  <c r="Q67" i="36"/>
  <c r="Q108" i="34" s="1"/>
  <c r="L157" i="34"/>
  <c r="S173" i="34"/>
  <c r="AA67" i="36"/>
  <c r="AA108" i="34" s="1"/>
  <c r="J157" i="34"/>
  <c r="R173" i="34"/>
  <c r="T173" i="34"/>
  <c r="X67" i="36"/>
  <c r="X108" i="34" s="1"/>
  <c r="Q51" i="36"/>
  <c r="Q92" i="34" s="1"/>
  <c r="O157" i="34"/>
  <c r="I51" i="36"/>
  <c r="I92" i="34" s="1"/>
  <c r="Z173" i="34"/>
  <c r="N173" i="34"/>
  <c r="J51" i="36"/>
  <c r="J92" i="34" s="1"/>
  <c r="R157" i="34"/>
  <c r="T67" i="36"/>
  <c r="T108" i="34" s="1"/>
  <c r="X51" i="36"/>
  <c r="X92" i="34" s="1"/>
  <c r="W157" i="34"/>
  <c r="AA173" i="34"/>
  <c r="J173" i="34"/>
  <c r="T51" i="36"/>
  <c r="T92" i="34" s="1"/>
  <c r="X157" i="34"/>
  <c r="H67" i="36"/>
  <c r="H108" i="34" s="1"/>
  <c r="L67" i="36"/>
  <c r="L108" i="34" s="1"/>
  <c r="U67" i="36"/>
  <c r="U108" i="34" s="1"/>
  <c r="I173" i="34"/>
  <c r="R51" i="36"/>
  <c r="R92" i="34" s="1"/>
  <c r="AB173" i="34"/>
  <c r="V173" i="34"/>
  <c r="J67" i="36"/>
  <c r="J108" i="34" s="1"/>
  <c r="R67" i="36"/>
  <c r="R108" i="34" s="1"/>
  <c r="T157" i="34"/>
  <c r="X173" i="34"/>
  <c r="M67" i="36"/>
  <c r="M108" i="34" s="1"/>
  <c r="Z157" i="34"/>
  <c r="S67" i="36"/>
  <c r="S108" i="34" s="1"/>
  <c r="N51" i="36"/>
  <c r="N92" i="34" s="1"/>
  <c r="M173" i="34"/>
  <c r="U157" i="34"/>
  <c r="H173" i="34"/>
  <c r="U51" i="36"/>
  <c r="U92" i="34" s="1"/>
  <c r="W173" i="34"/>
  <c r="O51" i="36"/>
  <c r="O92" i="34" s="1"/>
  <c r="V157" i="34"/>
  <c r="M157" i="34"/>
  <c r="U173" i="34"/>
  <c r="H157" i="34"/>
  <c r="M51" i="36"/>
  <c r="M92" i="34" s="1"/>
  <c r="Q11" i="34"/>
  <c r="W11" i="34"/>
  <c r="N11" i="34"/>
  <c r="X11" i="34"/>
  <c r="S11" i="34"/>
  <c r="AA11" i="34"/>
  <c r="M11" i="34"/>
  <c r="L11" i="34"/>
  <c r="U11" i="34"/>
  <c r="P11" i="34"/>
  <c r="Y11" i="34"/>
  <c r="T11" i="34"/>
  <c r="AC11" i="34"/>
  <c r="AB11" i="34"/>
  <c r="J11" i="34"/>
  <c r="I11" i="34"/>
  <c r="R11" i="34"/>
  <c r="H11" i="34"/>
  <c r="V11" i="34"/>
  <c r="Z11" i="34"/>
  <c r="O11" i="34"/>
  <c r="K11" i="34"/>
  <c r="P43" i="34"/>
  <c r="N43" i="34"/>
  <c r="T43" i="34"/>
  <c r="V43" i="34"/>
  <c r="X43" i="34"/>
  <c r="Q43" i="34"/>
  <c r="AB43" i="34"/>
  <c r="Y43" i="34"/>
  <c r="K43" i="34"/>
  <c r="J43" i="34"/>
  <c r="O43" i="34"/>
  <c r="R43" i="34"/>
  <c r="S43" i="34"/>
  <c r="Z43" i="34"/>
  <c r="W43" i="34"/>
  <c r="I43" i="34"/>
  <c r="AA43" i="34"/>
  <c r="H43" i="34"/>
  <c r="M43" i="34"/>
  <c r="U43" i="34"/>
  <c r="L43" i="34"/>
  <c r="AC43" i="34"/>
  <c r="Q36" i="34"/>
  <c r="W36" i="34"/>
  <c r="U36" i="34"/>
  <c r="AA36" i="34"/>
  <c r="Y36" i="34"/>
  <c r="L36" i="34"/>
  <c r="AC36" i="34"/>
  <c r="P36" i="34"/>
  <c r="J36" i="34"/>
  <c r="T36" i="34"/>
  <c r="N36" i="34"/>
  <c r="X36" i="34"/>
  <c r="V36" i="34"/>
  <c r="I36" i="34"/>
  <c r="Z36" i="34"/>
  <c r="H36" i="34"/>
  <c r="K36" i="34"/>
  <c r="O36" i="34"/>
  <c r="M36" i="34"/>
  <c r="R36" i="34"/>
  <c r="S36" i="34"/>
  <c r="AB36" i="34"/>
  <c r="K57" i="36"/>
  <c r="K98" i="34" s="1"/>
  <c r="V57" i="36"/>
  <c r="V98" i="34" s="1"/>
  <c r="H179" i="34"/>
  <c r="AA57" i="36"/>
  <c r="AA98" i="34" s="1"/>
  <c r="AA73" i="36"/>
  <c r="AA114" i="34" s="1"/>
  <c r="Z163" i="34"/>
  <c r="V73" i="36"/>
  <c r="V114" i="34" s="1"/>
  <c r="H57" i="36"/>
  <c r="H98" i="34" s="1"/>
  <c r="AA163" i="34"/>
  <c r="H73" i="36"/>
  <c r="H114" i="34" s="1"/>
  <c r="N73" i="36"/>
  <c r="N114" i="34" s="1"/>
  <c r="Z73" i="36"/>
  <c r="Z114" i="34" s="1"/>
  <c r="J179" i="34"/>
  <c r="T179" i="34"/>
  <c r="Z179" i="34"/>
  <c r="J57" i="36"/>
  <c r="J98" i="34" s="1"/>
  <c r="T57" i="36"/>
  <c r="T98" i="34" s="1"/>
  <c r="V163" i="34"/>
  <c r="N179" i="34"/>
  <c r="AB73" i="36"/>
  <c r="AB114" i="34" s="1"/>
  <c r="Z57" i="36"/>
  <c r="Z98" i="34" s="1"/>
  <c r="J163" i="34"/>
  <c r="T73" i="36"/>
  <c r="T114" i="34" s="1"/>
  <c r="W179" i="34"/>
  <c r="N163" i="34"/>
  <c r="AB179" i="34"/>
  <c r="W57" i="36"/>
  <c r="W98" i="34" s="1"/>
  <c r="J73" i="36"/>
  <c r="J114" i="34" s="1"/>
  <c r="T163" i="34"/>
  <c r="K179" i="34"/>
  <c r="AB163" i="34"/>
  <c r="R163" i="34"/>
  <c r="P57" i="36"/>
  <c r="P98" i="34" s="1"/>
  <c r="X57" i="36"/>
  <c r="X98" i="34" s="1"/>
  <c r="AB57" i="36"/>
  <c r="AB98" i="34" s="1"/>
  <c r="R57" i="36"/>
  <c r="R98" i="34" s="1"/>
  <c r="P163" i="34"/>
  <c r="X73" i="36"/>
  <c r="X114" i="34" s="1"/>
  <c r="AC179" i="34"/>
  <c r="K73" i="36"/>
  <c r="K114" i="34" s="1"/>
  <c r="R179" i="34"/>
  <c r="P73" i="36"/>
  <c r="P114" i="34" s="1"/>
  <c r="X163" i="34"/>
  <c r="AC163" i="34"/>
  <c r="R73" i="36"/>
  <c r="R114" i="34" s="1"/>
  <c r="P179" i="34"/>
  <c r="X179" i="34"/>
  <c r="AC73" i="36"/>
  <c r="AC114" i="34" s="1"/>
  <c r="N57" i="36"/>
  <c r="N98" i="34" s="1"/>
  <c r="V179" i="34"/>
  <c r="H163" i="34"/>
  <c r="AA179" i="34"/>
  <c r="AC57" i="36"/>
  <c r="AC98" i="34" s="1"/>
  <c r="K163" i="34"/>
  <c r="Y73" i="36"/>
  <c r="Y114" i="34" s="1"/>
  <c r="Y163" i="34"/>
  <c r="Y179" i="34"/>
  <c r="U73" i="36"/>
  <c r="U114" i="34" s="1"/>
  <c r="Y57" i="36"/>
  <c r="Y98" i="34" s="1"/>
  <c r="W163" i="34"/>
  <c r="W73" i="36"/>
  <c r="W114" i="34" s="1"/>
  <c r="U57" i="36"/>
  <c r="U98" i="34" s="1"/>
  <c r="I179" i="34"/>
  <c r="M57" i="36"/>
  <c r="M98" i="34" s="1"/>
  <c r="I57" i="36"/>
  <c r="I98" i="34" s="1"/>
  <c r="I73" i="36"/>
  <c r="I114" i="34" s="1"/>
  <c r="S179" i="34"/>
  <c r="L163" i="34"/>
  <c r="S57" i="36"/>
  <c r="S98" i="34" s="1"/>
  <c r="L73" i="36"/>
  <c r="L114" i="34" s="1"/>
  <c r="M73" i="36"/>
  <c r="M114" i="34" s="1"/>
  <c r="S73" i="36"/>
  <c r="S114" i="34" s="1"/>
  <c r="L179" i="34"/>
  <c r="S163" i="34"/>
  <c r="L57" i="36"/>
  <c r="L98" i="34" s="1"/>
  <c r="O179" i="34"/>
  <c r="Q57" i="36"/>
  <c r="Q98" i="34" s="1"/>
  <c r="Q179" i="34"/>
  <c r="O57" i="36"/>
  <c r="O98" i="34" s="1"/>
  <c r="M163" i="34"/>
  <c r="O73" i="36"/>
  <c r="O114" i="34" s="1"/>
  <c r="Q163" i="34"/>
  <c r="O163" i="34"/>
  <c r="Q73" i="36"/>
  <c r="Q114" i="34" s="1"/>
  <c r="U163" i="34"/>
  <c r="I163" i="34"/>
  <c r="M179" i="34"/>
  <c r="U179" i="34"/>
  <c r="R156" i="34"/>
  <c r="V156" i="34"/>
  <c r="K156" i="34"/>
  <c r="AB156" i="34"/>
  <c r="Q50" i="36"/>
  <c r="Q91" i="34" s="1"/>
  <c r="X66" i="36"/>
  <c r="X107" i="34" s="1"/>
  <c r="H156" i="34"/>
  <c r="AB50" i="36"/>
  <c r="AB91" i="34" s="1"/>
  <c r="R66" i="36"/>
  <c r="R107" i="34" s="1"/>
  <c r="V172" i="34"/>
  <c r="K50" i="36"/>
  <c r="K91" i="34" s="1"/>
  <c r="AB66" i="36"/>
  <c r="AB107" i="34" s="1"/>
  <c r="Q66" i="36"/>
  <c r="Q107" i="34" s="1"/>
  <c r="X50" i="36"/>
  <c r="X91" i="34" s="1"/>
  <c r="H172" i="34"/>
  <c r="X156" i="34"/>
  <c r="O172" i="34"/>
  <c r="S172" i="34"/>
  <c r="J156" i="34"/>
  <c r="AA156" i="34"/>
  <c r="L50" i="36"/>
  <c r="L91" i="34" s="1"/>
  <c r="AC50" i="36"/>
  <c r="AC91" i="34" s="1"/>
  <c r="T50" i="36"/>
  <c r="T91" i="34" s="1"/>
  <c r="V66" i="36"/>
  <c r="V107" i="34" s="1"/>
  <c r="O66" i="36"/>
  <c r="O107" i="34" s="1"/>
  <c r="S156" i="34"/>
  <c r="J66" i="36"/>
  <c r="J107" i="34" s="1"/>
  <c r="AA172" i="34"/>
  <c r="L156" i="34"/>
  <c r="AC66" i="36"/>
  <c r="AC107" i="34" s="1"/>
  <c r="T172" i="34"/>
  <c r="Q172" i="34"/>
  <c r="Y50" i="36"/>
  <c r="Y91" i="34" s="1"/>
  <c r="O156" i="34"/>
  <c r="S66" i="36"/>
  <c r="S107" i="34" s="1"/>
  <c r="J50" i="36"/>
  <c r="J91" i="34" s="1"/>
  <c r="AA50" i="36"/>
  <c r="AA91" i="34" s="1"/>
  <c r="L66" i="36"/>
  <c r="L107" i="34" s="1"/>
  <c r="AC156" i="34"/>
  <c r="T66" i="36"/>
  <c r="T107" i="34" s="1"/>
  <c r="U156" i="34"/>
  <c r="Y172" i="34"/>
  <c r="O50" i="36"/>
  <c r="O91" i="34" s="1"/>
  <c r="S50" i="36"/>
  <c r="S91" i="34" s="1"/>
  <c r="J172" i="34"/>
  <c r="AA66" i="36"/>
  <c r="AA107" i="34" s="1"/>
  <c r="L172" i="34"/>
  <c r="AC172" i="34"/>
  <c r="T156" i="34"/>
  <c r="Y66" i="36"/>
  <c r="Y107" i="34" s="1"/>
  <c r="I50" i="36"/>
  <c r="I91" i="34" s="1"/>
  <c r="Z156" i="34"/>
  <c r="P172" i="34"/>
  <c r="W172" i="34"/>
  <c r="N172" i="34"/>
  <c r="M66" i="36"/>
  <c r="M107" i="34" s="1"/>
  <c r="R172" i="34"/>
  <c r="Y156" i="34"/>
  <c r="I66" i="36"/>
  <c r="I107" i="34" s="1"/>
  <c r="Z66" i="36"/>
  <c r="Z107" i="34" s="1"/>
  <c r="P50" i="36"/>
  <c r="P91" i="34" s="1"/>
  <c r="W156" i="34"/>
  <c r="N50" i="36"/>
  <c r="N91" i="34" s="1"/>
  <c r="M156" i="34"/>
  <c r="K66" i="36"/>
  <c r="K107" i="34" s="1"/>
  <c r="U50" i="36"/>
  <c r="U91" i="34" s="1"/>
  <c r="I172" i="34"/>
  <c r="Z50" i="36"/>
  <c r="Z91" i="34" s="1"/>
  <c r="P156" i="34"/>
  <c r="W66" i="36"/>
  <c r="W107" i="34" s="1"/>
  <c r="N156" i="34"/>
  <c r="M172" i="34"/>
  <c r="H66" i="36"/>
  <c r="H107" i="34" s="1"/>
  <c r="U172" i="34"/>
  <c r="I156" i="34"/>
  <c r="Z172" i="34"/>
  <c r="P66" i="36"/>
  <c r="P107" i="34" s="1"/>
  <c r="W50" i="36"/>
  <c r="W91" i="34" s="1"/>
  <c r="N66" i="36"/>
  <c r="N107" i="34" s="1"/>
  <c r="M50" i="36"/>
  <c r="M91" i="34" s="1"/>
  <c r="U66" i="36"/>
  <c r="U107" i="34" s="1"/>
  <c r="V50" i="36"/>
  <c r="V91" i="34" s="1"/>
  <c r="K172" i="34"/>
  <c r="AB172" i="34"/>
  <c r="Q156" i="34"/>
  <c r="X172" i="34"/>
  <c r="H50" i="36"/>
  <c r="H91" i="34" s="1"/>
  <c r="R50" i="36"/>
  <c r="R91" i="34" s="1"/>
  <c r="AR40" i="34"/>
  <c r="AJ40" i="34"/>
  <c r="AT40" i="34"/>
  <c r="AN40" i="34"/>
  <c r="AI40" i="34"/>
  <c r="AS40" i="34"/>
  <c r="AM40" i="34"/>
  <c r="BB40" i="34"/>
  <c r="BO40" i="34"/>
  <c r="AO40" i="34"/>
  <c r="BC40" i="34"/>
  <c r="BM40" i="34"/>
  <c r="BF40" i="34"/>
  <c r="BJ40" i="34"/>
  <c r="BI40" i="34"/>
  <c r="AV40" i="34"/>
  <c r="AZ40" i="34"/>
  <c r="BG40" i="34"/>
  <c r="BD40" i="34"/>
  <c r="AU40" i="34"/>
  <c r="AL40" i="34"/>
  <c r="BA40" i="34"/>
  <c r="AW40" i="34"/>
  <c r="AX40" i="34"/>
  <c r="BH40" i="34"/>
  <c r="BK40" i="34"/>
  <c r="BL40" i="34"/>
  <c r="BP40" i="34"/>
  <c r="AQ40" i="34"/>
  <c r="AY40" i="34"/>
  <c r="AK40" i="34"/>
  <c r="BN40" i="34"/>
  <c r="BE40" i="34"/>
  <c r="AP40" i="34"/>
  <c r="Y40" i="34"/>
  <c r="S40" i="34"/>
  <c r="AC40" i="34"/>
  <c r="W40" i="34"/>
  <c r="AG40" i="34"/>
  <c r="AA40" i="34"/>
  <c r="J40" i="34"/>
  <c r="AE40" i="34"/>
  <c r="N40" i="34"/>
  <c r="L40" i="34"/>
  <c r="R40" i="34"/>
  <c r="P40" i="34"/>
  <c r="Z40" i="34"/>
  <c r="X40" i="34"/>
  <c r="AD40" i="34"/>
  <c r="AB40" i="34"/>
  <c r="M40" i="34"/>
  <c r="AH40" i="34"/>
  <c r="AF40" i="34"/>
  <c r="Q40" i="34"/>
  <c r="K40" i="34"/>
  <c r="H40" i="34"/>
  <c r="U40" i="34"/>
  <c r="V40" i="34"/>
  <c r="O40" i="34"/>
  <c r="T40" i="34"/>
  <c r="I40" i="34"/>
  <c r="AD70" i="36"/>
  <c r="AI54" i="36"/>
  <c r="AF70" i="36"/>
  <c r="AD54" i="36"/>
  <c r="AE54" i="36"/>
  <c r="AH54" i="36"/>
  <c r="AG70" i="36"/>
  <c r="AH70" i="36"/>
  <c r="AI70" i="36"/>
  <c r="AF54" i="36"/>
  <c r="AE70" i="36"/>
  <c r="AG54" i="36"/>
  <c r="BF160" i="34"/>
  <c r="BI176" i="34"/>
  <c r="AK176" i="34"/>
  <c r="AM160" i="34"/>
  <c r="AW176" i="34"/>
  <c r="BL160" i="34"/>
  <c r="AZ176" i="34"/>
  <c r="AN176" i="34"/>
  <c r="AY176" i="34"/>
  <c r="BJ160" i="34"/>
  <c r="AT160" i="34"/>
  <c r="AT176" i="34"/>
  <c r="AO54" i="36"/>
  <c r="AQ54" i="36"/>
  <c r="AP176" i="34"/>
  <c r="BP54" i="36"/>
  <c r="BN70" i="36"/>
  <c r="BN54" i="36"/>
  <c r="BP160" i="34"/>
  <c r="BE176" i="34"/>
  <c r="BL70" i="36"/>
  <c r="AT70" i="36"/>
  <c r="AW54" i="36"/>
  <c r="AN54" i="36"/>
  <c r="BI160" i="34"/>
  <c r="AK160" i="34"/>
  <c r="AM176" i="34"/>
  <c r="AW160" i="34"/>
  <c r="BL176" i="34"/>
  <c r="AZ160" i="34"/>
  <c r="AN160" i="34"/>
  <c r="AY160" i="34"/>
  <c r="BJ176" i="34"/>
  <c r="BH54" i="36"/>
  <c r="AJ70" i="36"/>
  <c r="AP54" i="36"/>
  <c r="AS70" i="36"/>
  <c r="BK54" i="36"/>
  <c r="BD54" i="36"/>
  <c r="BD160" i="34"/>
  <c r="AS160" i="34"/>
  <c r="AY70" i="36"/>
  <c r="AK54" i="36"/>
  <c r="BJ54" i="36"/>
  <c r="BG70" i="36"/>
  <c r="BA70" i="36"/>
  <c r="BO70" i="36"/>
  <c r="BM70" i="36"/>
  <c r="AO70" i="36"/>
  <c r="BH70" i="36"/>
  <c r="AV70" i="36"/>
  <c r="AJ54" i="36"/>
  <c r="AQ70" i="36"/>
  <c r="BB70" i="36"/>
  <c r="AP70" i="36"/>
  <c r="AV54" i="36"/>
  <c r="BC54" i="36"/>
  <c r="BC160" i="34"/>
  <c r="BN176" i="34"/>
  <c r="AL176" i="34"/>
  <c r="AK70" i="36"/>
  <c r="BG54" i="36"/>
  <c r="BA54" i="36"/>
  <c r="BO54" i="36"/>
  <c r="BM54" i="36"/>
  <c r="BB54" i="36"/>
  <c r="AR54" i="36"/>
  <c r="BK70" i="36"/>
  <c r="BN160" i="34"/>
  <c r="BC176" i="34"/>
  <c r="AN70" i="36"/>
  <c r="AM54" i="36"/>
  <c r="BG160" i="34"/>
  <c r="BA176" i="34"/>
  <c r="BO160" i="34"/>
  <c r="BM176" i="34"/>
  <c r="AO160" i="34"/>
  <c r="BH160" i="34"/>
  <c r="AV176" i="34"/>
  <c r="AJ160" i="34"/>
  <c r="AQ160" i="34"/>
  <c r="BB160" i="34"/>
  <c r="AP160" i="34"/>
  <c r="BH176" i="34"/>
  <c r="AQ176" i="34"/>
  <c r="BE54" i="36"/>
  <c r="AL70" i="36"/>
  <c r="AX54" i="36"/>
  <c r="BE160" i="34"/>
  <c r="BP176" i="34"/>
  <c r="AX176" i="34"/>
  <c r="AW70" i="36"/>
  <c r="BI54" i="36"/>
  <c r="BG176" i="34"/>
  <c r="BA160" i="34"/>
  <c r="BO176" i="34"/>
  <c r="BM160" i="34"/>
  <c r="AO176" i="34"/>
  <c r="AV160" i="34"/>
  <c r="AJ176" i="34"/>
  <c r="BB176" i="34"/>
  <c r="BD70" i="36"/>
  <c r="AX70" i="36"/>
  <c r="AR70" i="36"/>
  <c r="AR160" i="34"/>
  <c r="AL160" i="34"/>
  <c r="AR176" i="34"/>
  <c r="BI70" i="36"/>
  <c r="AT54" i="36"/>
  <c r="AU54" i="36"/>
  <c r="AU176" i="34"/>
  <c r="AZ54" i="36"/>
  <c r="AU70" i="36"/>
  <c r="AS54" i="36"/>
  <c r="BC70" i="36"/>
  <c r="BE70" i="36"/>
  <c r="BP70" i="36"/>
  <c r="AL54" i="36"/>
  <c r="AX160" i="34"/>
  <c r="BD176" i="34"/>
  <c r="AZ70" i="36"/>
  <c r="BJ70" i="36"/>
  <c r="BL54" i="36"/>
  <c r="AY54" i="36"/>
  <c r="AU160" i="34"/>
  <c r="AS176" i="34"/>
  <c r="BK160" i="34"/>
  <c r="BK176" i="34"/>
  <c r="AM70" i="36"/>
  <c r="BF54" i="36"/>
  <c r="BF176" i="34"/>
  <c r="BF70" i="36"/>
  <c r="AF176" i="34"/>
  <c r="AD160" i="34"/>
  <c r="X54" i="36"/>
  <c r="X95" i="34" s="1"/>
  <c r="AC160" i="34"/>
  <c r="L54" i="36"/>
  <c r="L95" i="34" s="1"/>
  <c r="Q176" i="34"/>
  <c r="R160" i="34"/>
  <c r="AF160" i="34"/>
  <c r="AI160" i="34"/>
  <c r="AD176" i="34"/>
  <c r="X160" i="34"/>
  <c r="W54" i="36"/>
  <c r="W95" i="34" s="1"/>
  <c r="L160" i="34"/>
  <c r="AE176" i="34"/>
  <c r="H54" i="36"/>
  <c r="H95" i="34" s="1"/>
  <c r="AB70" i="36"/>
  <c r="AB111" i="34" s="1"/>
  <c r="AA70" i="36"/>
  <c r="AA111" i="34" s="1"/>
  <c r="W70" i="36"/>
  <c r="W111" i="34" s="1"/>
  <c r="L176" i="34"/>
  <c r="L70" i="36"/>
  <c r="L111" i="34" s="1"/>
  <c r="AE160" i="34"/>
  <c r="H70" i="36"/>
  <c r="H111" i="34" s="1"/>
  <c r="AB54" i="36"/>
  <c r="AB95" i="34" s="1"/>
  <c r="AA54" i="36"/>
  <c r="AA95" i="34" s="1"/>
  <c r="W160" i="34"/>
  <c r="R70" i="36"/>
  <c r="R111" i="34" s="1"/>
  <c r="Y70" i="36"/>
  <c r="Y111" i="34" s="1"/>
  <c r="H176" i="34"/>
  <c r="AB160" i="34"/>
  <c r="AA160" i="34"/>
  <c r="W176" i="34"/>
  <c r="R54" i="36"/>
  <c r="R95" i="34" s="1"/>
  <c r="AH160" i="34"/>
  <c r="J160" i="34"/>
  <c r="N70" i="36"/>
  <c r="N111" i="34" s="1"/>
  <c r="H160" i="34"/>
  <c r="AB176" i="34"/>
  <c r="AA176" i="34"/>
  <c r="Q70" i="36"/>
  <c r="Q111" i="34" s="1"/>
  <c r="Y54" i="36"/>
  <c r="Y95" i="34" s="1"/>
  <c r="AH176" i="34"/>
  <c r="R176" i="34"/>
  <c r="N176" i="34"/>
  <c r="AG176" i="34"/>
  <c r="Z70" i="36"/>
  <c r="Z111" i="34" s="1"/>
  <c r="AC176" i="34"/>
  <c r="N54" i="36"/>
  <c r="N95" i="34" s="1"/>
  <c r="AG160" i="34"/>
  <c r="Z54" i="36"/>
  <c r="Z95" i="34" s="1"/>
  <c r="Q54" i="36"/>
  <c r="Q95" i="34" s="1"/>
  <c r="Y160" i="34"/>
  <c r="N160" i="34"/>
  <c r="J70" i="36"/>
  <c r="J111" i="34" s="1"/>
  <c r="Z176" i="34"/>
  <c r="Q160" i="34"/>
  <c r="Y176" i="34"/>
  <c r="X176" i="34"/>
  <c r="J176" i="34"/>
  <c r="Z160" i="34"/>
  <c r="AC70" i="36"/>
  <c r="AC111" i="34" s="1"/>
  <c r="AI176" i="34"/>
  <c r="J54" i="36"/>
  <c r="J95" i="34" s="1"/>
  <c r="X70" i="36"/>
  <c r="X111" i="34" s="1"/>
  <c r="AC54" i="36"/>
  <c r="AC95" i="34" s="1"/>
  <c r="I70" i="36"/>
  <c r="I111" i="34" s="1"/>
  <c r="M70" i="36"/>
  <c r="M111" i="34" s="1"/>
  <c r="P70" i="36"/>
  <c r="P111" i="34" s="1"/>
  <c r="I160" i="34"/>
  <c r="M176" i="34"/>
  <c r="P176" i="34"/>
  <c r="V54" i="36"/>
  <c r="V95" i="34" s="1"/>
  <c r="I54" i="36"/>
  <c r="I95" i="34" s="1"/>
  <c r="M54" i="36"/>
  <c r="M95" i="34" s="1"/>
  <c r="P160" i="34"/>
  <c r="I176" i="34"/>
  <c r="M160" i="34"/>
  <c r="P54" i="36"/>
  <c r="P95" i="34" s="1"/>
  <c r="V160" i="34"/>
  <c r="O176" i="34"/>
  <c r="U70" i="36"/>
  <c r="U111" i="34" s="1"/>
  <c r="T70" i="36"/>
  <c r="T111" i="34" s="1"/>
  <c r="K70" i="36"/>
  <c r="K111" i="34" s="1"/>
  <c r="U54" i="36"/>
  <c r="U95" i="34" s="1"/>
  <c r="T54" i="36"/>
  <c r="T95" i="34" s="1"/>
  <c r="K54" i="36"/>
  <c r="K95" i="34" s="1"/>
  <c r="U176" i="34"/>
  <c r="K160" i="34"/>
  <c r="T176" i="34"/>
  <c r="S54" i="36"/>
  <c r="S95" i="34" s="1"/>
  <c r="U160" i="34"/>
  <c r="T160" i="34"/>
  <c r="K176" i="34"/>
  <c r="S160" i="34"/>
  <c r="S70" i="36"/>
  <c r="S111" i="34" s="1"/>
  <c r="O54" i="36"/>
  <c r="O95" i="34" s="1"/>
  <c r="V70" i="36"/>
  <c r="V111" i="34" s="1"/>
  <c r="O70" i="36"/>
  <c r="O111" i="34" s="1"/>
  <c r="S176" i="34"/>
  <c r="O160" i="34"/>
  <c r="V176" i="34"/>
  <c r="AP8" i="34"/>
  <c r="AE8" i="34"/>
  <c r="T8" i="34"/>
  <c r="BP8" i="34"/>
  <c r="BE8" i="34"/>
  <c r="AT8" i="34"/>
  <c r="AI8" i="34"/>
  <c r="X8" i="34"/>
  <c r="M8" i="34"/>
  <c r="BI8" i="34"/>
  <c r="AX8" i="34"/>
  <c r="AM8" i="34"/>
  <c r="AB8" i="34"/>
  <c r="Q8" i="34"/>
  <c r="BM8" i="34"/>
  <c r="BB8" i="34"/>
  <c r="AQ8" i="34"/>
  <c r="AF8" i="34"/>
  <c r="U8" i="34"/>
  <c r="I8" i="34"/>
  <c r="J8" i="34"/>
  <c r="BF8" i="34"/>
  <c r="AU8" i="34"/>
  <c r="AJ8" i="34"/>
  <c r="Y8" i="34"/>
  <c r="H8" i="34"/>
  <c r="N8" i="34"/>
  <c r="BJ8" i="34"/>
  <c r="AY8" i="34"/>
  <c r="AN8" i="34"/>
  <c r="AC8" i="34"/>
  <c r="R8" i="34"/>
  <c r="BN8" i="34"/>
  <c r="BC8" i="34"/>
  <c r="AR8" i="34"/>
  <c r="AG8" i="34"/>
  <c r="V8" i="34"/>
  <c r="K8" i="34"/>
  <c r="BG8" i="34"/>
  <c r="AV8" i="34"/>
  <c r="AK8" i="34"/>
  <c r="Z8" i="34"/>
  <c r="O8" i="34"/>
  <c r="BK8" i="34"/>
  <c r="AZ8" i="34"/>
  <c r="AO8" i="34"/>
  <c r="AD8" i="34"/>
  <c r="S8" i="34"/>
  <c r="BO8" i="34"/>
  <c r="BD8" i="34"/>
  <c r="AS8" i="34"/>
  <c r="AH8" i="34"/>
  <c r="W8" i="34"/>
  <c r="L8" i="34"/>
  <c r="BH8" i="34"/>
  <c r="AW8" i="34"/>
  <c r="AL8" i="34"/>
  <c r="AA8" i="34"/>
  <c r="P8" i="34"/>
  <c r="BL8" i="34"/>
  <c r="BA8" i="34"/>
  <c r="W42" i="34"/>
  <c r="J42" i="34"/>
  <c r="AA42" i="34"/>
  <c r="N42" i="34"/>
  <c r="L42" i="34"/>
  <c r="R42" i="34"/>
  <c r="P42" i="34"/>
  <c r="V42" i="34"/>
  <c r="T42" i="34"/>
  <c r="Z42" i="34"/>
  <c r="X42" i="34"/>
  <c r="I42" i="34"/>
  <c r="M42" i="34"/>
  <c r="Q42" i="34"/>
  <c r="K42" i="34"/>
  <c r="U42" i="34"/>
  <c r="O42" i="34"/>
  <c r="Y42" i="34"/>
  <c r="S42" i="34"/>
  <c r="AB42" i="34"/>
  <c r="AC42" i="34"/>
  <c r="H42" i="34"/>
  <c r="P19" i="34"/>
  <c r="V19" i="34"/>
  <c r="T19" i="34"/>
  <c r="Z19" i="34"/>
  <c r="X19" i="34"/>
  <c r="I19" i="34"/>
  <c r="AB19" i="34"/>
  <c r="H19" i="34"/>
  <c r="M19" i="34"/>
  <c r="Q19" i="34"/>
  <c r="K19" i="34"/>
  <c r="U19" i="34"/>
  <c r="O19" i="34"/>
  <c r="Y19" i="34"/>
  <c r="S19" i="34"/>
  <c r="AC19" i="34"/>
  <c r="W19" i="34"/>
  <c r="J19" i="34"/>
  <c r="AA19" i="34"/>
  <c r="N19" i="34"/>
  <c r="L19" i="34"/>
  <c r="R19" i="34"/>
  <c r="L18" i="34"/>
  <c r="P18" i="34"/>
  <c r="J18" i="34"/>
  <c r="T18" i="34"/>
  <c r="N18" i="34"/>
  <c r="X18" i="34"/>
  <c r="R18" i="34"/>
  <c r="AB18" i="34"/>
  <c r="V18" i="34"/>
  <c r="M18" i="34"/>
  <c r="K18" i="34"/>
  <c r="U18" i="34"/>
  <c r="O18" i="34"/>
  <c r="Y18" i="34"/>
  <c r="S18" i="34"/>
  <c r="AC18" i="34"/>
  <c r="W18" i="34"/>
  <c r="H18" i="34"/>
  <c r="Z18" i="34"/>
  <c r="AA18" i="34"/>
  <c r="Q18" i="34"/>
  <c r="I18" i="34"/>
  <c r="K25" i="34"/>
  <c r="U25" i="34"/>
  <c r="O25" i="34"/>
  <c r="Y25" i="34"/>
  <c r="S25" i="34"/>
  <c r="AC25" i="34"/>
  <c r="W25" i="34"/>
  <c r="J25" i="34"/>
  <c r="AA25" i="34"/>
  <c r="N25" i="34"/>
  <c r="L25" i="34"/>
  <c r="R25" i="34"/>
  <c r="T25" i="34"/>
  <c r="Z25" i="34"/>
  <c r="X25" i="34"/>
  <c r="I25" i="34"/>
  <c r="AB25" i="34"/>
  <c r="H25" i="34"/>
  <c r="M25" i="34"/>
  <c r="P25" i="34"/>
  <c r="Q25" i="34"/>
  <c r="V25" i="34"/>
  <c r="AM13" i="34"/>
  <c r="AB13" i="34"/>
  <c r="Q13" i="34"/>
  <c r="BM13" i="34"/>
  <c r="BB13" i="34"/>
  <c r="AQ13" i="34"/>
  <c r="AF13" i="34"/>
  <c r="U13" i="34"/>
  <c r="J13" i="34"/>
  <c r="BF13" i="34"/>
  <c r="AU13" i="34"/>
  <c r="AJ13" i="34"/>
  <c r="Y13" i="34"/>
  <c r="N13" i="34"/>
  <c r="BJ13" i="34"/>
  <c r="AY13" i="34"/>
  <c r="AN13" i="34"/>
  <c r="AC13" i="34"/>
  <c r="R13" i="34"/>
  <c r="BN13" i="34"/>
  <c r="BC13" i="34"/>
  <c r="AR13" i="34"/>
  <c r="AG13" i="34"/>
  <c r="V13" i="34"/>
  <c r="I13" i="34"/>
  <c r="K13" i="34"/>
  <c r="BG13" i="34"/>
  <c r="AV13" i="34"/>
  <c r="AK13" i="34"/>
  <c r="Z13" i="34"/>
  <c r="H13" i="34"/>
  <c r="O13" i="34"/>
  <c r="BK13" i="34"/>
  <c r="AZ13" i="34"/>
  <c r="AO13" i="34"/>
  <c r="AD13" i="34"/>
  <c r="S13" i="34"/>
  <c r="BO13" i="34"/>
  <c r="BD13" i="34"/>
  <c r="AS13" i="34"/>
  <c r="AH13" i="34"/>
  <c r="W13" i="34"/>
  <c r="L13" i="34"/>
  <c r="BH13" i="34"/>
  <c r="AW13" i="34"/>
  <c r="AL13" i="34"/>
  <c r="AA13" i="34"/>
  <c r="P13" i="34"/>
  <c r="BL13" i="34"/>
  <c r="BA13" i="34"/>
  <c r="AP13" i="34"/>
  <c r="AE13" i="34"/>
  <c r="T13" i="34"/>
  <c r="BP13" i="34"/>
  <c r="BE13" i="34"/>
  <c r="AT13" i="34"/>
  <c r="X13" i="34"/>
  <c r="M13" i="34"/>
  <c r="BI13" i="34"/>
  <c r="AX13" i="34"/>
  <c r="AI13" i="34"/>
  <c r="AN44" i="34"/>
  <c r="AJ44" i="34"/>
  <c r="AT44" i="34"/>
  <c r="AR44" i="34"/>
  <c r="AS44" i="34"/>
  <c r="AI44" i="34"/>
  <c r="AM44" i="34"/>
  <c r="AX44" i="34"/>
  <c r="BE44" i="34"/>
  <c r="BA44" i="34"/>
  <c r="AW44" i="34"/>
  <c r="AZ44" i="34"/>
  <c r="BC44" i="34"/>
  <c r="BF44" i="34"/>
  <c r="BL44" i="34"/>
  <c r="BN44" i="34"/>
  <c r="AL44" i="34"/>
  <c r="AK44" i="34"/>
  <c r="AP44" i="34"/>
  <c r="AV44" i="34"/>
  <c r="AY44" i="34"/>
  <c r="BB44" i="34"/>
  <c r="AU44" i="34"/>
  <c r="BI44" i="34"/>
  <c r="BO44" i="34"/>
  <c r="BK44" i="34"/>
  <c r="BG44" i="34"/>
  <c r="BM44" i="34"/>
  <c r="BP44" i="34"/>
  <c r="AO44" i="34"/>
  <c r="AQ44" i="34"/>
  <c r="BH44" i="34"/>
  <c r="BJ44" i="34"/>
  <c r="BD44" i="34"/>
  <c r="M44" i="34"/>
  <c r="AH44" i="34"/>
  <c r="AF44" i="34"/>
  <c r="Q44" i="34"/>
  <c r="K44" i="34"/>
  <c r="H44" i="34"/>
  <c r="U44" i="34"/>
  <c r="O44" i="34"/>
  <c r="I44" i="34"/>
  <c r="Y44" i="34"/>
  <c r="S44" i="34"/>
  <c r="AC44" i="34"/>
  <c r="W44" i="34"/>
  <c r="AG44" i="34"/>
  <c r="AA44" i="34"/>
  <c r="N44" i="34"/>
  <c r="L44" i="34"/>
  <c r="R44" i="34"/>
  <c r="P44" i="34"/>
  <c r="V44" i="34"/>
  <c r="T44" i="34"/>
  <c r="Z44" i="34"/>
  <c r="X44" i="34"/>
  <c r="AE44" i="34"/>
  <c r="AD44" i="34"/>
  <c r="AB44" i="34"/>
  <c r="J44" i="34"/>
  <c r="BB12" i="34"/>
  <c r="AQ12" i="34"/>
  <c r="AF12" i="34"/>
  <c r="U12" i="34"/>
  <c r="I12" i="34"/>
  <c r="J12" i="34"/>
  <c r="BF12" i="34"/>
  <c r="AU12" i="34"/>
  <c r="AJ12" i="34"/>
  <c r="Y12" i="34"/>
  <c r="H12" i="34"/>
  <c r="N12" i="34"/>
  <c r="BJ12" i="34"/>
  <c r="AY12" i="34"/>
  <c r="AN12" i="34"/>
  <c r="AC12" i="34"/>
  <c r="R12" i="34"/>
  <c r="BN12" i="34"/>
  <c r="BC12" i="34"/>
  <c r="AR12" i="34"/>
  <c r="AG12" i="34"/>
  <c r="V12" i="34"/>
  <c r="K12" i="34"/>
  <c r="BG12" i="34"/>
  <c r="AV12" i="34"/>
  <c r="AK12" i="34"/>
  <c r="Z12" i="34"/>
  <c r="O12" i="34"/>
  <c r="BK12" i="34"/>
  <c r="AZ12" i="34"/>
  <c r="AO12" i="34"/>
  <c r="AD12" i="34"/>
  <c r="S12" i="34"/>
  <c r="BO12" i="34"/>
  <c r="BD12" i="34"/>
  <c r="AS12" i="34"/>
  <c r="AH12" i="34"/>
  <c r="W12" i="34"/>
  <c r="L12" i="34"/>
  <c r="BH12" i="34"/>
  <c r="AW12" i="34"/>
  <c r="AL12" i="34"/>
  <c r="AA12" i="34"/>
  <c r="P12" i="34"/>
  <c r="BL12" i="34"/>
  <c r="BA12" i="34"/>
  <c r="AP12" i="34"/>
  <c r="AE12" i="34"/>
  <c r="T12" i="34"/>
  <c r="BP12" i="34"/>
  <c r="BE12" i="34"/>
  <c r="AT12" i="34"/>
  <c r="AI12" i="34"/>
  <c r="X12" i="34"/>
  <c r="M12" i="34"/>
  <c r="BI12" i="34"/>
  <c r="AX12" i="34"/>
  <c r="AM12" i="34"/>
  <c r="AB12" i="34"/>
  <c r="Q12" i="34"/>
  <c r="BM12" i="34"/>
  <c r="D121" i="46"/>
  <c r="E121" i="46" s="1"/>
  <c r="E105" i="46"/>
  <c r="D123" i="46"/>
  <c r="E123" i="46" s="1"/>
  <c r="E107" i="46"/>
  <c r="D63" i="36"/>
  <c r="D52" i="36"/>
  <c r="D62" i="36"/>
  <c r="D26" i="45"/>
  <c r="C24" i="62" s="1"/>
  <c r="E26" i="45"/>
  <c r="E14" i="45"/>
  <c r="B18" i="45"/>
  <c r="AE95" i="34" l="1"/>
  <c r="L1470" i="67"/>
  <c r="BF95" i="34"/>
  <c r="AM1470" i="67"/>
  <c r="BJ111" i="34"/>
  <c r="AQ1486" i="67"/>
  <c r="AL95" i="34"/>
  <c r="S1470" i="67"/>
  <c r="AS95" i="34"/>
  <c r="Z1470" i="67"/>
  <c r="AU95" i="34"/>
  <c r="AB1470" i="67"/>
  <c r="BD111" i="34"/>
  <c r="AK1486" i="67"/>
  <c r="BE95" i="34"/>
  <c r="AL1470" i="67"/>
  <c r="BB95" i="34"/>
  <c r="AI1470" i="67"/>
  <c r="BG95" i="34"/>
  <c r="AN1470" i="67"/>
  <c r="BB111" i="34"/>
  <c r="AI1486" i="67"/>
  <c r="BH111" i="34"/>
  <c r="AO1486" i="67"/>
  <c r="BA111" i="34"/>
  <c r="AH1486" i="67"/>
  <c r="AY111" i="34"/>
  <c r="AF1486" i="67"/>
  <c r="BK95" i="34"/>
  <c r="AR1470" i="67"/>
  <c r="BH95" i="34"/>
  <c r="AO1470" i="67"/>
  <c r="AT111" i="34"/>
  <c r="AA1486" i="67"/>
  <c r="BN95" i="34"/>
  <c r="AU1470" i="67"/>
  <c r="AQ95" i="34"/>
  <c r="X1470" i="67"/>
  <c r="AF95" i="34"/>
  <c r="M1470" i="67"/>
  <c r="AH95" i="34"/>
  <c r="O1470" i="67"/>
  <c r="AI95" i="34"/>
  <c r="P1470" i="67"/>
  <c r="BN116" i="34"/>
  <c r="AU1145" i="67"/>
  <c r="AU1491" i="67"/>
  <c r="BI116" i="34"/>
  <c r="AP1145" i="67"/>
  <c r="AP1491" i="67"/>
  <c r="BL116" i="34"/>
  <c r="AS1145" i="67"/>
  <c r="AS1491" i="67"/>
  <c r="BF100" i="34"/>
  <c r="AM1129" i="67"/>
  <c r="AM1475" i="67"/>
  <c r="AM100" i="34"/>
  <c r="T1129" i="67"/>
  <c r="T1475" i="67"/>
  <c r="BE116" i="34"/>
  <c r="AL1145" i="67"/>
  <c r="AL1491" i="67"/>
  <c r="AT116" i="34"/>
  <c r="AA1145" i="67"/>
  <c r="AA1491" i="67"/>
  <c r="AS116" i="34"/>
  <c r="Z1145" i="67"/>
  <c r="Z1491" i="67"/>
  <c r="AV116" i="34"/>
  <c r="AC1145" i="67"/>
  <c r="AC1491" i="67"/>
  <c r="BH100" i="34"/>
  <c r="AO1129" i="67"/>
  <c r="AO1475" i="67"/>
  <c r="BJ116" i="34"/>
  <c r="AQ1145" i="67"/>
  <c r="AQ1491" i="67"/>
  <c r="BC100" i="34"/>
  <c r="AJ1129" i="67"/>
  <c r="AJ1475" i="67"/>
  <c r="BM100" i="34"/>
  <c r="AT1129" i="67"/>
  <c r="AT1475" i="67"/>
  <c r="BG100" i="34"/>
  <c r="AN1129" i="67"/>
  <c r="AN1475" i="67"/>
  <c r="BJ100" i="34"/>
  <c r="AQ1129" i="67"/>
  <c r="AQ1475" i="67"/>
  <c r="BC116" i="34"/>
  <c r="AJ1145" i="67"/>
  <c r="AJ1491" i="67"/>
  <c r="BM116" i="34"/>
  <c r="AT1145" i="67"/>
  <c r="AT1491" i="67"/>
  <c r="AD116" i="34"/>
  <c r="K1145" i="67"/>
  <c r="K1491" i="67"/>
  <c r="AH116" i="34"/>
  <c r="O1145" i="67"/>
  <c r="O1491" i="67"/>
  <c r="AG116" i="34"/>
  <c r="N1145" i="67"/>
  <c r="N1491" i="67"/>
  <c r="AY115" i="34"/>
  <c r="AF1144" i="67"/>
  <c r="AF1490" i="67"/>
  <c r="AR115" i="34"/>
  <c r="Y1144" i="67"/>
  <c r="Y1490" i="67"/>
  <c r="BF115" i="34"/>
  <c r="AM1144" i="67"/>
  <c r="AM1490" i="67"/>
  <c r="BO99" i="34"/>
  <c r="AV1128" i="67"/>
  <c r="AV1474" i="67"/>
  <c r="AV675" i="67"/>
  <c r="AJ115" i="34"/>
  <c r="Q1144" i="67"/>
  <c r="Q1490" i="67"/>
  <c r="AP99" i="34"/>
  <c r="W1128" i="67"/>
  <c r="W1474" i="67"/>
  <c r="W675" i="67"/>
  <c r="AQ115" i="34"/>
  <c r="X1144" i="67"/>
  <c r="X1490" i="67"/>
  <c r="BE115" i="34"/>
  <c r="AL1144" i="67"/>
  <c r="AL1490" i="67"/>
  <c r="BH115" i="34"/>
  <c r="AO1144" i="67"/>
  <c r="AO1490" i="67"/>
  <c r="AM99" i="34"/>
  <c r="T1128" i="67"/>
  <c r="T1474" i="67"/>
  <c r="T675" i="67"/>
  <c r="AO99" i="34"/>
  <c r="V1128" i="67"/>
  <c r="V1474" i="67"/>
  <c r="V675" i="67"/>
  <c r="AN99" i="34"/>
  <c r="U1128" i="67"/>
  <c r="U1474" i="67"/>
  <c r="U675" i="67"/>
  <c r="AX99" i="34"/>
  <c r="AE1128" i="67"/>
  <c r="AE1474" i="67"/>
  <c r="AE675" i="67"/>
  <c r="AT115" i="34"/>
  <c r="AA1144" i="67"/>
  <c r="AA1490" i="67"/>
  <c r="AU115" i="34"/>
  <c r="AB1144" i="67"/>
  <c r="AB1490" i="67"/>
  <c r="AL115" i="34"/>
  <c r="S1144" i="67"/>
  <c r="S1490" i="67"/>
  <c r="BL115" i="34"/>
  <c r="AS1144" i="67"/>
  <c r="AS1490" i="67"/>
  <c r="AG99" i="34"/>
  <c r="N1128" i="67"/>
  <c r="N1474" i="67"/>
  <c r="N675" i="67"/>
  <c r="AH99" i="34"/>
  <c r="O1128" i="67"/>
  <c r="O1474" i="67"/>
  <c r="O675" i="67"/>
  <c r="AH115" i="34"/>
  <c r="O1144" i="67"/>
  <c r="O1490" i="67"/>
  <c r="BK115" i="34"/>
  <c r="AR1144" i="67"/>
  <c r="AR1490" i="67"/>
  <c r="BD115" i="34"/>
  <c r="AK1144" i="67"/>
  <c r="AK1490" i="67"/>
  <c r="AK99" i="34"/>
  <c r="R1128" i="67"/>
  <c r="R1474" i="67"/>
  <c r="R675" i="67"/>
  <c r="AV99" i="34"/>
  <c r="AC1128" i="67"/>
  <c r="AC1474" i="67"/>
  <c r="AC675" i="67"/>
  <c r="BN99" i="34"/>
  <c r="AU1128" i="67"/>
  <c r="AU1474" i="67"/>
  <c r="AU675" i="67"/>
  <c r="BC115" i="34"/>
  <c r="AJ1144" i="67"/>
  <c r="AJ1490" i="67"/>
  <c r="BB99" i="34"/>
  <c r="AI1128" i="67"/>
  <c r="AI1474" i="67"/>
  <c r="AI675" i="67"/>
  <c r="BA115" i="34"/>
  <c r="AH1144" i="67"/>
  <c r="AH1490" i="67"/>
  <c r="AW99" i="34"/>
  <c r="AD1128" i="67"/>
  <c r="AD1474" i="67"/>
  <c r="AD675" i="67"/>
  <c r="BI99" i="34"/>
  <c r="AP1128" i="67"/>
  <c r="AP1474" i="67"/>
  <c r="AP675" i="67"/>
  <c r="AZ99" i="34"/>
  <c r="AG1128" i="67"/>
  <c r="AG1474" i="67"/>
  <c r="AG675" i="67"/>
  <c r="AR99" i="34"/>
  <c r="Y1128" i="67"/>
  <c r="Y1474" i="67"/>
  <c r="Y675" i="67"/>
  <c r="BG115" i="34"/>
  <c r="AN1144" i="67"/>
  <c r="AN1490" i="67"/>
  <c r="BJ99" i="34"/>
  <c r="AQ1128" i="67"/>
  <c r="AQ1474" i="67"/>
  <c r="AQ675" i="67"/>
  <c r="BM115" i="34"/>
  <c r="AT1144" i="67"/>
  <c r="AT1490" i="67"/>
  <c r="AF115" i="34"/>
  <c r="M1144" i="67"/>
  <c r="M1490" i="67"/>
  <c r="AI99" i="34"/>
  <c r="P1128" i="67"/>
  <c r="P1474" i="67"/>
  <c r="P675" i="67"/>
  <c r="AE115" i="34"/>
  <c r="L1144" i="67"/>
  <c r="L1490" i="67"/>
  <c r="AJ116" i="34"/>
  <c r="Q1145" i="67"/>
  <c r="Q1491" i="67"/>
  <c r="AU116" i="34"/>
  <c r="AB1145" i="67"/>
  <c r="AB1491" i="67"/>
  <c r="AW100" i="34"/>
  <c r="AD1129" i="67"/>
  <c r="AD1475" i="67"/>
  <c r="AJ100" i="34"/>
  <c r="Q1129" i="67"/>
  <c r="Q1475" i="67"/>
  <c r="BI100" i="34"/>
  <c r="AP1129" i="67"/>
  <c r="AP1475" i="67"/>
  <c r="AR100" i="34"/>
  <c r="Y1129" i="67"/>
  <c r="Y1475" i="67"/>
  <c r="AY116" i="34"/>
  <c r="AF1145" i="67"/>
  <c r="AF1491" i="67"/>
  <c r="BF116" i="34"/>
  <c r="AM1145" i="67"/>
  <c r="AM1491" i="67"/>
  <c r="AM116" i="34"/>
  <c r="T1145" i="67"/>
  <c r="T1491" i="67"/>
  <c r="BE100" i="34"/>
  <c r="AL1129" i="67"/>
  <c r="AL1475" i="67"/>
  <c r="AN100" i="34"/>
  <c r="U1129" i="67"/>
  <c r="U1475" i="67"/>
  <c r="AZ100" i="34"/>
  <c r="AG1129" i="67"/>
  <c r="AG1475" i="67"/>
  <c r="BO100" i="34"/>
  <c r="AV1129" i="67"/>
  <c r="AV1475" i="67"/>
  <c r="AW116" i="34"/>
  <c r="AD1145" i="67"/>
  <c r="AD1491" i="67"/>
  <c r="AZ116" i="34"/>
  <c r="AG1145" i="67"/>
  <c r="AG1491" i="67"/>
  <c r="BO116" i="34"/>
  <c r="AV1145" i="67"/>
  <c r="AV1491" i="67"/>
  <c r="AF116" i="34"/>
  <c r="M1145" i="67"/>
  <c r="M1491" i="67"/>
  <c r="AH100" i="34"/>
  <c r="O1129" i="67"/>
  <c r="O1475" i="67"/>
  <c r="AI100" i="34"/>
  <c r="P1129" i="67"/>
  <c r="P1475" i="67"/>
  <c r="BF111" i="34"/>
  <c r="AM1486" i="67"/>
  <c r="AY95" i="34"/>
  <c r="AF1470" i="67"/>
  <c r="BE111" i="34"/>
  <c r="AL1486" i="67"/>
  <c r="AZ95" i="34"/>
  <c r="AG1470" i="67"/>
  <c r="BI111" i="34"/>
  <c r="AP1486" i="67"/>
  <c r="AR111" i="34"/>
  <c r="Y1486" i="67"/>
  <c r="AW111" i="34"/>
  <c r="AD1486" i="67"/>
  <c r="AX95" i="34"/>
  <c r="AE1470" i="67"/>
  <c r="AM95" i="34"/>
  <c r="T1470" i="67"/>
  <c r="BK111" i="34"/>
  <c r="AR1486" i="67"/>
  <c r="BO95" i="34"/>
  <c r="AV1470" i="67"/>
  <c r="AV95" i="34"/>
  <c r="AC1470" i="67"/>
  <c r="AJ95" i="34"/>
  <c r="Q1470" i="67"/>
  <c r="BM111" i="34"/>
  <c r="AT1486" i="67"/>
  <c r="BJ95" i="34"/>
  <c r="AQ1470" i="67"/>
  <c r="AP95" i="34"/>
  <c r="W1470" i="67"/>
  <c r="AN95" i="34"/>
  <c r="U1470" i="67"/>
  <c r="BP95" i="34"/>
  <c r="AW1470" i="67"/>
  <c r="AG95" i="34"/>
  <c r="N1470" i="67"/>
  <c r="AH111" i="34"/>
  <c r="O1486" i="67"/>
  <c r="AD95" i="34"/>
  <c r="K1470" i="67"/>
  <c r="AP116" i="34"/>
  <c r="W1145" i="67"/>
  <c r="W1491" i="67"/>
  <c r="BH116" i="34"/>
  <c r="AO1145" i="67"/>
  <c r="AO1491" i="67"/>
  <c r="BG116" i="34"/>
  <c r="AN1145" i="67"/>
  <c r="AN1491" i="67"/>
  <c r="BP100" i="34"/>
  <c r="AW1129" i="67"/>
  <c r="AW1475" i="67"/>
  <c r="BK100" i="34"/>
  <c r="AR1129" i="67"/>
  <c r="AR1475" i="67"/>
  <c r="AP100" i="34"/>
  <c r="W1129" i="67"/>
  <c r="W1475" i="67"/>
  <c r="AR116" i="34"/>
  <c r="Y1145" i="67"/>
  <c r="Y1491" i="67"/>
  <c r="AY100" i="34"/>
  <c r="AF1129" i="67"/>
  <c r="AF1475" i="67"/>
  <c r="AL116" i="34"/>
  <c r="S1145" i="67"/>
  <c r="S1491" i="67"/>
  <c r="BA100" i="34"/>
  <c r="AH1129" i="67"/>
  <c r="AH1475" i="67"/>
  <c r="BD100" i="34"/>
  <c r="AK1129" i="67"/>
  <c r="AK1475" i="67"/>
  <c r="BN100" i="34"/>
  <c r="AU1129" i="67"/>
  <c r="AU1475" i="67"/>
  <c r="AL100" i="34"/>
  <c r="S1129" i="67"/>
  <c r="S1475" i="67"/>
  <c r="BA116" i="34"/>
  <c r="AH1145" i="67"/>
  <c r="AH1491" i="67"/>
  <c r="BD116" i="34"/>
  <c r="AK1145" i="67"/>
  <c r="AK1491" i="67"/>
  <c r="AG100" i="34"/>
  <c r="N1129" i="67"/>
  <c r="N1475" i="67"/>
  <c r="AI116" i="34"/>
  <c r="P1145" i="67"/>
  <c r="P1491" i="67"/>
  <c r="AE116" i="34"/>
  <c r="L1145" i="67"/>
  <c r="L1491" i="67"/>
  <c r="AW115" i="34"/>
  <c r="AD1144" i="67"/>
  <c r="AD1490" i="67"/>
  <c r="BP99" i="34"/>
  <c r="AW1128" i="67"/>
  <c r="AW1474" i="67"/>
  <c r="AW675" i="67"/>
  <c r="BF99" i="34"/>
  <c r="AM1128" i="67"/>
  <c r="AM1474" i="67"/>
  <c r="AM675" i="67"/>
  <c r="AQ99" i="34"/>
  <c r="X1128" i="67"/>
  <c r="X1474" i="67"/>
  <c r="X675" i="67"/>
  <c r="BE99" i="34"/>
  <c r="AL1128" i="67"/>
  <c r="AL1474" i="67"/>
  <c r="AL675" i="67"/>
  <c r="BH99" i="34"/>
  <c r="AO1128" i="67"/>
  <c r="AO1474" i="67"/>
  <c r="AO675" i="67"/>
  <c r="BD99" i="34"/>
  <c r="AK1128" i="67"/>
  <c r="AK1474" i="67"/>
  <c r="AK675" i="67"/>
  <c r="BO115" i="34"/>
  <c r="AV1144" i="67"/>
  <c r="AV1490" i="67"/>
  <c r="AJ99" i="34"/>
  <c r="Q1128" i="67"/>
  <c r="Q1474" i="67"/>
  <c r="Q675" i="67"/>
  <c r="AP115" i="34"/>
  <c r="W1144" i="67"/>
  <c r="W1490" i="67"/>
  <c r="AU99" i="34"/>
  <c r="AB1128" i="67"/>
  <c r="AB1474" i="67"/>
  <c r="AB675" i="67"/>
  <c r="AL99" i="34"/>
  <c r="S1128" i="67"/>
  <c r="S1474" i="67"/>
  <c r="S675" i="67"/>
  <c r="BL99" i="34"/>
  <c r="AS1128" i="67"/>
  <c r="AS1474" i="67"/>
  <c r="AS675" i="67"/>
  <c r="BP115" i="34"/>
  <c r="AW1144" i="67"/>
  <c r="AW1490" i="67"/>
  <c r="AO115" i="34"/>
  <c r="V1144" i="67"/>
  <c r="V1490" i="67"/>
  <c r="AN115" i="34"/>
  <c r="U1144" i="67"/>
  <c r="U1490" i="67"/>
  <c r="AX115" i="34"/>
  <c r="AE1144" i="67"/>
  <c r="AE1490" i="67"/>
  <c r="AI115" i="34"/>
  <c r="P1144" i="67"/>
  <c r="P1490" i="67"/>
  <c r="AE99" i="34"/>
  <c r="L1128" i="67"/>
  <c r="L1474" i="67"/>
  <c r="L675" i="67"/>
  <c r="AG115" i="34"/>
  <c r="N1144" i="67"/>
  <c r="N1490" i="67"/>
  <c r="AM111" i="34"/>
  <c r="T1486" i="67"/>
  <c r="AZ111" i="34"/>
  <c r="AG1486" i="67"/>
  <c r="BP111" i="34"/>
  <c r="AW1486" i="67"/>
  <c r="AU111" i="34"/>
  <c r="AB1486" i="67"/>
  <c r="AT95" i="34"/>
  <c r="AA1470" i="67"/>
  <c r="BI95" i="34"/>
  <c r="AP1470" i="67"/>
  <c r="BM95" i="34"/>
  <c r="AT1470" i="67"/>
  <c r="AK111" i="34"/>
  <c r="R1486" i="67"/>
  <c r="BC95" i="34"/>
  <c r="AJ1470" i="67"/>
  <c r="AQ111" i="34"/>
  <c r="X1486" i="67"/>
  <c r="AO111" i="34"/>
  <c r="V1486" i="67"/>
  <c r="BG111" i="34"/>
  <c r="AN1486" i="67"/>
  <c r="AS111" i="34"/>
  <c r="Z1486" i="67"/>
  <c r="BL111" i="34"/>
  <c r="AS1486" i="67"/>
  <c r="BN111" i="34"/>
  <c r="AU1486" i="67"/>
  <c r="AO95" i="34"/>
  <c r="V1470" i="67"/>
  <c r="AI111" i="34"/>
  <c r="P1486" i="67"/>
  <c r="AD111" i="34"/>
  <c r="K1486" i="67"/>
  <c r="BL95" i="34"/>
  <c r="AS1470" i="67"/>
  <c r="BC111" i="34"/>
  <c r="AJ1486" i="67"/>
  <c r="AX111" i="34"/>
  <c r="AE1486" i="67"/>
  <c r="AL111" i="34"/>
  <c r="S1486" i="67"/>
  <c r="AN111" i="34"/>
  <c r="U1486" i="67"/>
  <c r="AR95" i="34"/>
  <c r="Y1470" i="67"/>
  <c r="BA95" i="34"/>
  <c r="AH1470" i="67"/>
  <c r="AP111" i="34"/>
  <c r="W1486" i="67"/>
  <c r="AV111" i="34"/>
  <c r="AC1486" i="67"/>
  <c r="BO111" i="34"/>
  <c r="AV1486" i="67"/>
  <c r="AK95" i="34"/>
  <c r="R1470" i="67"/>
  <c r="BD95" i="34"/>
  <c r="AK1470" i="67"/>
  <c r="AJ111" i="34"/>
  <c r="Q1486" i="67"/>
  <c r="AW95" i="34"/>
  <c r="AD1470" i="67"/>
  <c r="AE111" i="34"/>
  <c r="L1486" i="67"/>
  <c r="AG111" i="34"/>
  <c r="N1486" i="67"/>
  <c r="AF111" i="34"/>
  <c r="M1486" i="67"/>
  <c r="BB116" i="34"/>
  <c r="AI1145" i="67"/>
  <c r="AI1491" i="67"/>
  <c r="AK116" i="34"/>
  <c r="R1145" i="67"/>
  <c r="R1491" i="67"/>
  <c r="AN116" i="34"/>
  <c r="U1145" i="67"/>
  <c r="U1491" i="67"/>
  <c r="AT100" i="34"/>
  <c r="AA1129" i="67"/>
  <c r="AA1475" i="67"/>
  <c r="AS100" i="34"/>
  <c r="Z1129" i="67"/>
  <c r="Z1475" i="67"/>
  <c r="AV100" i="34"/>
  <c r="AC1129" i="67"/>
  <c r="AC1475" i="67"/>
  <c r="AK100" i="34"/>
  <c r="R1129" i="67"/>
  <c r="R1475" i="67"/>
  <c r="BP116" i="34"/>
  <c r="AW1145" i="67"/>
  <c r="AW1491" i="67"/>
  <c r="BK116" i="34"/>
  <c r="AR1145" i="67"/>
  <c r="AR1491" i="67"/>
  <c r="BL100" i="34"/>
  <c r="AS1129" i="67"/>
  <c r="AS1475" i="67"/>
  <c r="BB100" i="34"/>
  <c r="AI1129" i="67"/>
  <c r="AI1475" i="67"/>
  <c r="AX100" i="34"/>
  <c r="AE1129" i="67"/>
  <c r="AE1475" i="67"/>
  <c r="AQ100" i="34"/>
  <c r="X1129" i="67"/>
  <c r="X1475" i="67"/>
  <c r="AO116" i="34"/>
  <c r="V1145" i="67"/>
  <c r="V1491" i="67"/>
  <c r="AU100" i="34"/>
  <c r="AB1129" i="67"/>
  <c r="AB1475" i="67"/>
  <c r="AX116" i="34"/>
  <c r="AE1145" i="67"/>
  <c r="AE1491" i="67"/>
  <c r="AQ116" i="34"/>
  <c r="X1145" i="67"/>
  <c r="X1491" i="67"/>
  <c r="AO100" i="34"/>
  <c r="V1129" i="67"/>
  <c r="V1475" i="67"/>
  <c r="AF100" i="34"/>
  <c r="M1129" i="67"/>
  <c r="M1475" i="67"/>
  <c r="AE100" i="34"/>
  <c r="L1129" i="67"/>
  <c r="L1475" i="67"/>
  <c r="AD100" i="34"/>
  <c r="K1129" i="67"/>
  <c r="K1475" i="67"/>
  <c r="AM115" i="34"/>
  <c r="T1144" i="67"/>
  <c r="T1490" i="67"/>
  <c r="AT99" i="34"/>
  <c r="AA1128" i="67"/>
  <c r="AA1474" i="67"/>
  <c r="AA675" i="67"/>
  <c r="AS115" i="34"/>
  <c r="Z1144" i="67"/>
  <c r="Z1490" i="67"/>
  <c r="BK99" i="34"/>
  <c r="AR1128" i="67"/>
  <c r="AR1474" i="67"/>
  <c r="AR675" i="67"/>
  <c r="BC99" i="34"/>
  <c r="AJ1128" i="67"/>
  <c r="AJ1474" i="67"/>
  <c r="AJ675" i="67"/>
  <c r="BB115" i="34"/>
  <c r="AI1144" i="67"/>
  <c r="AI1490" i="67"/>
  <c r="BA99" i="34"/>
  <c r="AH1128" i="67"/>
  <c r="AH1474" i="67"/>
  <c r="AH675" i="67"/>
  <c r="AS99" i="34"/>
  <c r="Z1128" i="67"/>
  <c r="Z1474" i="67"/>
  <c r="Z675" i="67"/>
  <c r="AK115" i="34"/>
  <c r="R1144" i="67"/>
  <c r="R1490" i="67"/>
  <c r="AV115" i="34"/>
  <c r="AC1144" i="67"/>
  <c r="AC1490" i="67"/>
  <c r="BN115" i="34"/>
  <c r="AU1144" i="67"/>
  <c r="AU1490" i="67"/>
  <c r="BG99" i="34"/>
  <c r="AN1128" i="67"/>
  <c r="AN1474" i="67"/>
  <c r="AN675" i="67"/>
  <c r="BJ115" i="34"/>
  <c r="AQ1144" i="67"/>
  <c r="AQ1490" i="67"/>
  <c r="BM99" i="34"/>
  <c r="AT1128" i="67"/>
  <c r="AT1474" i="67"/>
  <c r="AT675" i="67"/>
  <c r="AY99" i="34"/>
  <c r="AF1128" i="67"/>
  <c r="AF1474" i="67"/>
  <c r="AF675" i="67"/>
  <c r="BI115" i="34"/>
  <c r="AP1144" i="67"/>
  <c r="AP1490" i="67"/>
  <c r="AZ115" i="34"/>
  <c r="AG1144" i="67"/>
  <c r="AG1490" i="67"/>
  <c r="AF99" i="34"/>
  <c r="M1128" i="67"/>
  <c r="M1474" i="67"/>
  <c r="M675" i="67"/>
  <c r="AD99" i="34"/>
  <c r="K1128" i="67"/>
  <c r="K1474" i="67"/>
  <c r="K675" i="67"/>
  <c r="AD115" i="34"/>
  <c r="K1144" i="67"/>
  <c r="K1490" i="67"/>
  <c r="D13" i="45"/>
  <c r="C13" i="62"/>
  <c r="E52" i="36"/>
  <c r="D93" i="34"/>
  <c r="D68" i="36"/>
  <c r="E63" i="36"/>
  <c r="D104" i="34"/>
  <c r="D79" i="36"/>
  <c r="D78" i="36"/>
  <c r="E62" i="36"/>
  <c r="D103" i="34"/>
  <c r="E19" i="45"/>
  <c r="D19" i="45"/>
  <c r="D60" i="45" s="1"/>
  <c r="B11" i="45"/>
  <c r="B59" i="45" s="1"/>
  <c r="E15" i="45"/>
  <c r="S977" i="67" l="1"/>
  <c r="S826" i="67"/>
  <c r="S371" i="67"/>
  <c r="S523" i="67"/>
  <c r="S65" i="67"/>
  <c r="S218" i="67"/>
  <c r="T993" i="67"/>
  <c r="T387" i="67"/>
  <c r="T842" i="67"/>
  <c r="T81" i="67"/>
  <c r="T234" i="67"/>
  <c r="T539" i="67"/>
  <c r="T691" i="67"/>
  <c r="V978" i="67"/>
  <c r="V524" i="67"/>
  <c r="V372" i="67"/>
  <c r="V827" i="67"/>
  <c r="V66" i="67"/>
  <c r="V219" i="67"/>
  <c r="V676" i="67"/>
  <c r="V994" i="67"/>
  <c r="V388" i="67"/>
  <c r="V843" i="67"/>
  <c r="V82" i="67"/>
  <c r="V235" i="67"/>
  <c r="V540" i="67"/>
  <c r="V692" i="67"/>
  <c r="AS978" i="67"/>
  <c r="AS827" i="67"/>
  <c r="AS372" i="67"/>
  <c r="AS524" i="67"/>
  <c r="AS66" i="67"/>
  <c r="AS219" i="67"/>
  <c r="AS676" i="67"/>
  <c r="R994" i="67"/>
  <c r="R388" i="67"/>
  <c r="R843" i="67"/>
  <c r="R540" i="67"/>
  <c r="R692" i="67"/>
  <c r="R82" i="67"/>
  <c r="R235" i="67"/>
  <c r="AN994" i="67"/>
  <c r="AN388" i="67"/>
  <c r="AN843" i="67"/>
  <c r="AN82" i="67"/>
  <c r="AN235" i="67"/>
  <c r="AN540" i="67"/>
  <c r="AN692" i="67"/>
  <c r="AH993" i="67"/>
  <c r="AH387" i="67"/>
  <c r="AH842" i="67"/>
  <c r="AH539" i="67"/>
  <c r="AH691" i="67"/>
  <c r="AH81" i="67"/>
  <c r="AH234" i="67"/>
  <c r="K977" i="67"/>
  <c r="K523" i="67"/>
  <c r="K371" i="67"/>
  <c r="K826" i="67"/>
  <c r="K65" i="67"/>
  <c r="K218" i="67"/>
  <c r="M977" i="67"/>
  <c r="M523" i="67"/>
  <c r="M371" i="67"/>
  <c r="M826" i="67"/>
  <c r="M65" i="67"/>
  <c r="M218" i="67"/>
  <c r="AU993" i="67"/>
  <c r="AU387" i="67"/>
  <c r="AU842" i="67"/>
  <c r="AU81" i="67"/>
  <c r="AU234" i="67"/>
  <c r="AU539" i="67"/>
  <c r="AU691" i="67"/>
  <c r="AA977" i="67"/>
  <c r="AA826" i="67"/>
  <c r="AA371" i="67"/>
  <c r="AA523" i="67"/>
  <c r="AA65" i="67"/>
  <c r="AA218" i="67"/>
  <c r="AB978" i="67"/>
  <c r="AB372" i="67"/>
  <c r="AB524" i="67"/>
  <c r="AB66" i="67"/>
  <c r="AB827" i="67"/>
  <c r="AB219" i="67"/>
  <c r="AB676" i="67"/>
  <c r="U994" i="67"/>
  <c r="U388" i="67"/>
  <c r="U843" i="67"/>
  <c r="U540" i="67"/>
  <c r="U692" i="67"/>
  <c r="U82" i="67"/>
  <c r="U235" i="67"/>
  <c r="AD977" i="67"/>
  <c r="AD371" i="67"/>
  <c r="AD826" i="67"/>
  <c r="AD523" i="67"/>
  <c r="AD65" i="67"/>
  <c r="AD218" i="67"/>
  <c r="AR993" i="67"/>
  <c r="AR387" i="67"/>
  <c r="AR842" i="67"/>
  <c r="AR81" i="67"/>
  <c r="AR234" i="67"/>
  <c r="AR539" i="67"/>
  <c r="AR691" i="67"/>
  <c r="AB993" i="67"/>
  <c r="AB387" i="67"/>
  <c r="AB842" i="67"/>
  <c r="AB81" i="67"/>
  <c r="AB234" i="67"/>
  <c r="AB539" i="67"/>
  <c r="AB691" i="67"/>
  <c r="X993" i="67"/>
  <c r="X387" i="67"/>
  <c r="X842" i="67"/>
  <c r="X539" i="67"/>
  <c r="X691" i="67"/>
  <c r="X81" i="67"/>
  <c r="X234" i="67"/>
  <c r="W977" i="67"/>
  <c r="W523" i="67"/>
  <c r="W371" i="67"/>
  <c r="W826" i="67"/>
  <c r="W65" i="67"/>
  <c r="W218" i="67"/>
  <c r="AF993" i="67"/>
  <c r="AF387" i="67"/>
  <c r="AF842" i="67"/>
  <c r="AF539" i="67"/>
  <c r="AF691" i="67"/>
  <c r="AF81" i="67"/>
  <c r="AF234" i="67"/>
  <c r="AT994" i="67"/>
  <c r="AT388" i="67"/>
  <c r="AT843" i="67"/>
  <c r="AT82" i="67"/>
  <c r="AT235" i="67"/>
  <c r="AT540" i="67"/>
  <c r="AT692" i="67"/>
  <c r="AT978" i="67"/>
  <c r="AT372" i="67"/>
  <c r="AT524" i="67"/>
  <c r="AT827" i="67"/>
  <c r="AT66" i="67"/>
  <c r="AT219" i="67"/>
  <c r="AT676" i="67"/>
  <c r="AC994" i="67"/>
  <c r="AC388" i="67"/>
  <c r="AC843" i="67"/>
  <c r="AC540" i="67"/>
  <c r="AC692" i="67"/>
  <c r="AC82" i="67"/>
  <c r="AC235" i="67"/>
  <c r="T978" i="67"/>
  <c r="T372" i="67"/>
  <c r="T524" i="67"/>
  <c r="T66" i="67"/>
  <c r="T219" i="67"/>
  <c r="T827" i="67"/>
  <c r="T676" i="67"/>
  <c r="AU994" i="67"/>
  <c r="AU388" i="67"/>
  <c r="AU843" i="67"/>
  <c r="AU82" i="67"/>
  <c r="AU235" i="67"/>
  <c r="AU540" i="67"/>
  <c r="AU692" i="67"/>
  <c r="K978" i="67"/>
  <c r="K827" i="67"/>
  <c r="K372" i="67"/>
  <c r="K524" i="67"/>
  <c r="K66" i="67"/>
  <c r="K219" i="67"/>
  <c r="K676" i="67"/>
  <c r="X994" i="67"/>
  <c r="X388" i="67"/>
  <c r="X843" i="67"/>
  <c r="X82" i="67"/>
  <c r="X235" i="67"/>
  <c r="X540" i="67"/>
  <c r="X692" i="67"/>
  <c r="AI994" i="67"/>
  <c r="AI388" i="67"/>
  <c r="AI843" i="67"/>
  <c r="AI540" i="67"/>
  <c r="AI692" i="67"/>
  <c r="AI82" i="67"/>
  <c r="AI235" i="67"/>
  <c r="AH978" i="67"/>
  <c r="AH827" i="67"/>
  <c r="AH372" i="67"/>
  <c r="AH524" i="67"/>
  <c r="AH66" i="67"/>
  <c r="AH219" i="67"/>
  <c r="AH676" i="67"/>
  <c r="AG993" i="67"/>
  <c r="AG387" i="67"/>
  <c r="AG842" i="67"/>
  <c r="AG539" i="67"/>
  <c r="AG691" i="67"/>
  <c r="AG81" i="67"/>
  <c r="AG234" i="67"/>
  <c r="AC993" i="67"/>
  <c r="AC387" i="67"/>
  <c r="AC842" i="67"/>
  <c r="AC539" i="67"/>
  <c r="AC81" i="67"/>
  <c r="AC691" i="67"/>
  <c r="AC234" i="67"/>
  <c r="AC978" i="67"/>
  <c r="AC827" i="67"/>
  <c r="AC372" i="67"/>
  <c r="AC524" i="67"/>
  <c r="AC66" i="67"/>
  <c r="AC219" i="67"/>
  <c r="AC676" i="67"/>
  <c r="N993" i="67"/>
  <c r="N387" i="67"/>
  <c r="N842" i="67"/>
  <c r="N81" i="67"/>
  <c r="N234" i="67"/>
  <c r="N539" i="67"/>
  <c r="N691" i="67"/>
  <c r="L977" i="67"/>
  <c r="L523" i="67"/>
  <c r="L371" i="67"/>
  <c r="L826" i="67"/>
  <c r="L65" i="67"/>
  <c r="L218" i="67"/>
  <c r="V993" i="67"/>
  <c r="V387" i="67"/>
  <c r="V842" i="67"/>
  <c r="V81" i="67"/>
  <c r="V234" i="67"/>
  <c r="V539" i="67"/>
  <c r="V691" i="67"/>
  <c r="AD993" i="67"/>
  <c r="AD387" i="67"/>
  <c r="AD842" i="67"/>
  <c r="AD81" i="67"/>
  <c r="AD234" i="67"/>
  <c r="AD539" i="67"/>
  <c r="AD691" i="67"/>
  <c r="AK994" i="67"/>
  <c r="AK388" i="67"/>
  <c r="AK843" i="67"/>
  <c r="AK540" i="67"/>
  <c r="AK692" i="67"/>
  <c r="AK82" i="67"/>
  <c r="AK235" i="67"/>
  <c r="AK978" i="67"/>
  <c r="AK827" i="67"/>
  <c r="AK372" i="67"/>
  <c r="AK524" i="67"/>
  <c r="AK66" i="67"/>
  <c r="AK219" i="67"/>
  <c r="AK676" i="67"/>
  <c r="Y994" i="67"/>
  <c r="Y388" i="67"/>
  <c r="Y843" i="67"/>
  <c r="Y82" i="67"/>
  <c r="Y235" i="67"/>
  <c r="Y540" i="67"/>
  <c r="Y692" i="67"/>
  <c r="AV994" i="67"/>
  <c r="AV388" i="67"/>
  <c r="AV843" i="67"/>
  <c r="AV82" i="67"/>
  <c r="AV235" i="67"/>
  <c r="AV540" i="67"/>
  <c r="AV692" i="67"/>
  <c r="AG978" i="67"/>
  <c r="AG524" i="67"/>
  <c r="AG372" i="67"/>
  <c r="AG827" i="67"/>
  <c r="AG66" i="67"/>
  <c r="AG219" i="67"/>
  <c r="AG676" i="67"/>
  <c r="AM994" i="67"/>
  <c r="AM388" i="67"/>
  <c r="AM843" i="67"/>
  <c r="AM540" i="67"/>
  <c r="AM82" i="67"/>
  <c r="AM692" i="67"/>
  <c r="AM235" i="67"/>
  <c r="Q978" i="67"/>
  <c r="Q524" i="67"/>
  <c r="Q372" i="67"/>
  <c r="Q827" i="67"/>
  <c r="Q66" i="67"/>
  <c r="Q219" i="67"/>
  <c r="Q676" i="67"/>
  <c r="L993" i="67"/>
  <c r="L387" i="67"/>
  <c r="L842" i="67"/>
  <c r="L81" i="67"/>
  <c r="L234" i="67"/>
  <c r="L539" i="67"/>
  <c r="L691" i="67"/>
  <c r="P977" i="67"/>
  <c r="P826" i="67"/>
  <c r="P371" i="67"/>
  <c r="P523" i="67"/>
  <c r="P65" i="67"/>
  <c r="P218" i="67"/>
  <c r="AI977" i="67"/>
  <c r="AI826" i="67"/>
  <c r="AI371" i="67"/>
  <c r="AI523" i="67"/>
  <c r="AI65" i="67"/>
  <c r="AI218" i="67"/>
  <c r="O993" i="67"/>
  <c r="O387" i="67"/>
  <c r="O842" i="67"/>
  <c r="O81" i="67"/>
  <c r="O234" i="67"/>
  <c r="O539" i="67"/>
  <c r="O691" i="67"/>
  <c r="O977" i="67"/>
  <c r="O371" i="67"/>
  <c r="O523" i="67"/>
  <c r="O826" i="67"/>
  <c r="O65" i="67"/>
  <c r="O218" i="67"/>
  <c r="N977" i="67"/>
  <c r="N371" i="67"/>
  <c r="N523" i="67"/>
  <c r="N826" i="67"/>
  <c r="N65" i="67"/>
  <c r="N218" i="67"/>
  <c r="AA993" i="67"/>
  <c r="AA387" i="67"/>
  <c r="AA842" i="67"/>
  <c r="AA539" i="67"/>
  <c r="AA691" i="67"/>
  <c r="AA81" i="67"/>
  <c r="AA234" i="67"/>
  <c r="AE977" i="67"/>
  <c r="AE371" i="67"/>
  <c r="AE523" i="67"/>
  <c r="AE826" i="67"/>
  <c r="AE65" i="67"/>
  <c r="AE218" i="67"/>
  <c r="U977" i="67"/>
  <c r="U371" i="67"/>
  <c r="U523" i="67"/>
  <c r="U826" i="67"/>
  <c r="U65" i="67"/>
  <c r="U218" i="67"/>
  <c r="V977" i="67"/>
  <c r="V371" i="67"/>
  <c r="V523" i="67"/>
  <c r="V826" i="67"/>
  <c r="V65" i="67"/>
  <c r="V218" i="67"/>
  <c r="T977" i="67"/>
  <c r="T371" i="67"/>
  <c r="T523" i="67"/>
  <c r="T826" i="67"/>
  <c r="T65" i="67"/>
  <c r="T218" i="67"/>
  <c r="Q993" i="67"/>
  <c r="Q387" i="67"/>
  <c r="Q842" i="67"/>
  <c r="Q539" i="67"/>
  <c r="Q691" i="67"/>
  <c r="Q81" i="67"/>
  <c r="Q234" i="67"/>
  <c r="AV977" i="67"/>
  <c r="AV826" i="67"/>
  <c r="AV371" i="67"/>
  <c r="AV523" i="67"/>
  <c r="AV65" i="67"/>
  <c r="AV218" i="67"/>
  <c r="N994" i="67"/>
  <c r="N388" i="67"/>
  <c r="N843" i="67"/>
  <c r="N82" i="67"/>
  <c r="N235" i="67"/>
  <c r="N540" i="67"/>
  <c r="N692" i="67"/>
  <c r="AJ994" i="67"/>
  <c r="AJ388" i="67"/>
  <c r="AJ843" i="67"/>
  <c r="AJ540" i="67"/>
  <c r="AJ692" i="67"/>
  <c r="AJ82" i="67"/>
  <c r="AJ235" i="67"/>
  <c r="AJ978" i="67"/>
  <c r="AJ372" i="67"/>
  <c r="AJ524" i="67"/>
  <c r="AJ827" i="67"/>
  <c r="AJ66" i="67"/>
  <c r="AJ219" i="67"/>
  <c r="AJ676" i="67"/>
  <c r="Z994" i="67"/>
  <c r="Z388" i="67"/>
  <c r="Z843" i="67"/>
  <c r="Z540" i="67"/>
  <c r="Z692" i="67"/>
  <c r="Z82" i="67"/>
  <c r="Z235" i="67"/>
  <c r="AM978" i="67"/>
  <c r="AM524" i="67"/>
  <c r="AM372" i="67"/>
  <c r="AM827" i="67"/>
  <c r="AM66" i="67"/>
  <c r="AM219" i="67"/>
  <c r="AM676" i="67"/>
  <c r="K993" i="67"/>
  <c r="K387" i="67"/>
  <c r="K842" i="67"/>
  <c r="K539" i="67"/>
  <c r="K691" i="67"/>
  <c r="K81" i="67"/>
  <c r="K234" i="67"/>
  <c r="Z993" i="67"/>
  <c r="Z387" i="67"/>
  <c r="Z842" i="67"/>
  <c r="Z539" i="67"/>
  <c r="Z691" i="67"/>
  <c r="Z81" i="67"/>
  <c r="Z234" i="67"/>
  <c r="M978" i="67"/>
  <c r="M827" i="67"/>
  <c r="M372" i="67"/>
  <c r="M524" i="67"/>
  <c r="M66" i="67"/>
  <c r="M219" i="67"/>
  <c r="M676" i="67"/>
  <c r="AI978" i="67"/>
  <c r="AI827" i="67"/>
  <c r="AI372" i="67"/>
  <c r="AI524" i="67"/>
  <c r="AI66" i="67"/>
  <c r="AI219" i="67"/>
  <c r="AI676" i="67"/>
  <c r="R978" i="67"/>
  <c r="R827" i="67"/>
  <c r="R372" i="67"/>
  <c r="R524" i="67"/>
  <c r="R66" i="67"/>
  <c r="R219" i="67"/>
  <c r="R676" i="67"/>
  <c r="U993" i="67"/>
  <c r="U387" i="67"/>
  <c r="U842" i="67"/>
  <c r="U81" i="67"/>
  <c r="U234" i="67"/>
  <c r="U539" i="67"/>
  <c r="U691" i="67"/>
  <c r="AV993" i="67"/>
  <c r="AV387" i="67"/>
  <c r="AV842" i="67"/>
  <c r="AV539" i="67"/>
  <c r="AV691" i="67"/>
  <c r="AV81" i="67"/>
  <c r="AV234" i="67"/>
  <c r="AK977" i="67"/>
  <c r="AK371" i="67"/>
  <c r="AK523" i="67"/>
  <c r="AK826" i="67"/>
  <c r="AK65" i="67"/>
  <c r="AK218" i="67"/>
  <c r="AO977" i="67"/>
  <c r="AO826" i="67"/>
  <c r="AO371" i="67"/>
  <c r="AO523" i="67"/>
  <c r="AO65" i="67"/>
  <c r="AO218" i="67"/>
  <c r="AL977" i="67"/>
  <c r="AL371" i="67"/>
  <c r="AL826" i="67"/>
  <c r="AL523" i="67"/>
  <c r="AL65" i="67"/>
  <c r="AL218" i="67"/>
  <c r="X977" i="67"/>
  <c r="X826" i="67"/>
  <c r="X371" i="67"/>
  <c r="X523" i="67"/>
  <c r="X65" i="67"/>
  <c r="X218" i="67"/>
  <c r="AM977" i="67"/>
  <c r="AM523" i="67"/>
  <c r="AM371" i="67"/>
  <c r="AM826" i="67"/>
  <c r="AM65" i="67"/>
  <c r="AM218" i="67"/>
  <c r="AW977" i="67"/>
  <c r="AW826" i="67"/>
  <c r="AW371" i="67"/>
  <c r="AW523" i="67"/>
  <c r="AW65" i="67"/>
  <c r="AW218" i="67"/>
  <c r="N978" i="67"/>
  <c r="N372" i="67"/>
  <c r="N524" i="67"/>
  <c r="N827" i="67"/>
  <c r="N66" i="67"/>
  <c r="N219" i="67"/>
  <c r="N676" i="67"/>
  <c r="AU978" i="67"/>
  <c r="AU372" i="67"/>
  <c r="AU524" i="67"/>
  <c r="AU827" i="67"/>
  <c r="AU66" i="67"/>
  <c r="AU219" i="67"/>
  <c r="AU676" i="67"/>
  <c r="AF978" i="67"/>
  <c r="AF372" i="67"/>
  <c r="AF524" i="67"/>
  <c r="AF827" i="67"/>
  <c r="AF66" i="67"/>
  <c r="AF219" i="67"/>
  <c r="AF676" i="67"/>
  <c r="AW978" i="67"/>
  <c r="AW524" i="67"/>
  <c r="AW372" i="67"/>
  <c r="AW827" i="67"/>
  <c r="AW66" i="67"/>
  <c r="AW219" i="67"/>
  <c r="AW676" i="67"/>
  <c r="M994" i="67"/>
  <c r="M388" i="67"/>
  <c r="M843" i="67"/>
  <c r="M540" i="67"/>
  <c r="M692" i="67"/>
  <c r="M82" i="67"/>
  <c r="M235" i="67"/>
  <c r="AV978" i="67"/>
  <c r="AV372" i="67"/>
  <c r="AV524" i="67"/>
  <c r="AV827" i="67"/>
  <c r="AV66" i="67"/>
  <c r="AV219" i="67"/>
  <c r="AV676" i="67"/>
  <c r="T994" i="67"/>
  <c r="T388" i="67"/>
  <c r="T843" i="67"/>
  <c r="T540" i="67"/>
  <c r="T692" i="67"/>
  <c r="T82" i="67"/>
  <c r="T235" i="67"/>
  <c r="AP978" i="67"/>
  <c r="AP827" i="67"/>
  <c r="AP372" i="67"/>
  <c r="AP524" i="67"/>
  <c r="AP66" i="67"/>
  <c r="AP219" i="67"/>
  <c r="AP676" i="67"/>
  <c r="Q994" i="67"/>
  <c r="Q388" i="67"/>
  <c r="Q843" i="67"/>
  <c r="Q82" i="67"/>
  <c r="Q235" i="67"/>
  <c r="Q540" i="67"/>
  <c r="Q692" i="67"/>
  <c r="AN993" i="67"/>
  <c r="AN387" i="67"/>
  <c r="AN842" i="67"/>
  <c r="AN539" i="67"/>
  <c r="AN691" i="67"/>
  <c r="AN81" i="67"/>
  <c r="AN234" i="67"/>
  <c r="Y977" i="67"/>
  <c r="Y826" i="67"/>
  <c r="Y371" i="67"/>
  <c r="Y523" i="67"/>
  <c r="Y65" i="67"/>
  <c r="Y218" i="67"/>
  <c r="AG977" i="67"/>
  <c r="AG826" i="67"/>
  <c r="AG371" i="67"/>
  <c r="AG523" i="67"/>
  <c r="AG65" i="67"/>
  <c r="AG218" i="67"/>
  <c r="AP977" i="67"/>
  <c r="AP371" i="67"/>
  <c r="AP523" i="67"/>
  <c r="AP65" i="67"/>
  <c r="AP826" i="67"/>
  <c r="AP218" i="67"/>
  <c r="AQ993" i="67"/>
  <c r="AQ387" i="67"/>
  <c r="AQ842" i="67"/>
  <c r="AQ539" i="67"/>
  <c r="AQ691" i="67"/>
  <c r="AQ81" i="67"/>
  <c r="AQ234" i="67"/>
  <c r="AN977" i="67"/>
  <c r="AN826" i="67"/>
  <c r="AN371" i="67"/>
  <c r="AN523" i="67"/>
  <c r="AN65" i="67"/>
  <c r="AN218" i="67"/>
  <c r="AI993" i="67"/>
  <c r="AI387" i="67"/>
  <c r="AI842" i="67"/>
  <c r="AI539" i="67"/>
  <c r="AI691" i="67"/>
  <c r="AI81" i="67"/>
  <c r="AI234" i="67"/>
  <c r="AJ977" i="67"/>
  <c r="AJ371" i="67"/>
  <c r="AJ523" i="67"/>
  <c r="AJ826" i="67"/>
  <c r="AJ65" i="67"/>
  <c r="AJ218" i="67"/>
  <c r="AR977" i="67"/>
  <c r="AR523" i="67"/>
  <c r="AR371" i="67"/>
  <c r="AR826" i="67"/>
  <c r="AR65" i="67"/>
  <c r="AR218" i="67"/>
  <c r="L978" i="67"/>
  <c r="L372" i="67"/>
  <c r="L524" i="67"/>
  <c r="L66" i="67"/>
  <c r="L219" i="67"/>
  <c r="L827" i="67"/>
  <c r="L676" i="67"/>
  <c r="AE994" i="67"/>
  <c r="AE388" i="67"/>
  <c r="AE843" i="67"/>
  <c r="AE82" i="67"/>
  <c r="AE235" i="67"/>
  <c r="AE540" i="67"/>
  <c r="AE692" i="67"/>
  <c r="AE978" i="67"/>
  <c r="AE372" i="67"/>
  <c r="AE524" i="67"/>
  <c r="AE827" i="67"/>
  <c r="AE66" i="67"/>
  <c r="AE219" i="67"/>
  <c r="AE676" i="67"/>
  <c r="AW994" i="67"/>
  <c r="AW388" i="67"/>
  <c r="AW843" i="67"/>
  <c r="AW82" i="67"/>
  <c r="AW235" i="67"/>
  <c r="AW540" i="67"/>
  <c r="AW692" i="67"/>
  <c r="AA978" i="67"/>
  <c r="AA827" i="67"/>
  <c r="AA372" i="67"/>
  <c r="AA524" i="67"/>
  <c r="AA66" i="67"/>
  <c r="AA219" i="67"/>
  <c r="AA676" i="67"/>
  <c r="AE993" i="67"/>
  <c r="AE387" i="67"/>
  <c r="AE842" i="67"/>
  <c r="AE81" i="67"/>
  <c r="AE234" i="67"/>
  <c r="AE539" i="67"/>
  <c r="AE691" i="67"/>
  <c r="W993" i="67"/>
  <c r="W387" i="67"/>
  <c r="W842" i="67"/>
  <c r="W81" i="67"/>
  <c r="W234" i="67"/>
  <c r="W539" i="67"/>
  <c r="W691" i="67"/>
  <c r="Q977" i="67"/>
  <c r="Q826" i="67"/>
  <c r="Q371" i="67"/>
  <c r="Q523" i="67"/>
  <c r="Q65" i="67"/>
  <c r="Q218" i="67"/>
  <c r="P994" i="67"/>
  <c r="P388" i="67"/>
  <c r="P843" i="67"/>
  <c r="P82" i="67"/>
  <c r="P235" i="67"/>
  <c r="P540" i="67"/>
  <c r="P692" i="67"/>
  <c r="S978" i="67"/>
  <c r="S827" i="67"/>
  <c r="S372" i="67"/>
  <c r="S524" i="67"/>
  <c r="S66" i="67"/>
  <c r="S219" i="67"/>
  <c r="S676" i="67"/>
  <c r="S994" i="67"/>
  <c r="S388" i="67"/>
  <c r="S843" i="67"/>
  <c r="S540" i="67"/>
  <c r="S692" i="67"/>
  <c r="S82" i="67"/>
  <c r="S235" i="67"/>
  <c r="AR978" i="67"/>
  <c r="AR372" i="67"/>
  <c r="AR524" i="67"/>
  <c r="AR66" i="67"/>
  <c r="AR219" i="67"/>
  <c r="AR827" i="67"/>
  <c r="AR676" i="67"/>
  <c r="W994" i="67"/>
  <c r="W388" i="67"/>
  <c r="W843" i="67"/>
  <c r="W82" i="67"/>
  <c r="W235" i="67"/>
  <c r="W540" i="67"/>
  <c r="W692" i="67"/>
  <c r="O978" i="67"/>
  <c r="O372" i="67"/>
  <c r="O524" i="67"/>
  <c r="O827" i="67"/>
  <c r="O66" i="67"/>
  <c r="O219" i="67"/>
  <c r="O676" i="67"/>
  <c r="AD994" i="67"/>
  <c r="AD388" i="67"/>
  <c r="AD843" i="67"/>
  <c r="AD82" i="67"/>
  <c r="AD235" i="67"/>
  <c r="AD540" i="67"/>
  <c r="AD692" i="67"/>
  <c r="AL978" i="67"/>
  <c r="AL524" i="67"/>
  <c r="AL372" i="67"/>
  <c r="AL827" i="67"/>
  <c r="AL66" i="67"/>
  <c r="AL219" i="67"/>
  <c r="AL676" i="67"/>
  <c r="Y978" i="67"/>
  <c r="Y372" i="67"/>
  <c r="Y524" i="67"/>
  <c r="Y827" i="67"/>
  <c r="Y66" i="67"/>
  <c r="Y219" i="67"/>
  <c r="Y676" i="67"/>
  <c r="AB994" i="67"/>
  <c r="AB388" i="67"/>
  <c r="AB843" i="67"/>
  <c r="AB540" i="67"/>
  <c r="AB692" i="67"/>
  <c r="AB82" i="67"/>
  <c r="AB235" i="67"/>
  <c r="AT993" i="67"/>
  <c r="AT387" i="67"/>
  <c r="AT842" i="67"/>
  <c r="AT81" i="67"/>
  <c r="AT234" i="67"/>
  <c r="AT539" i="67"/>
  <c r="AT691" i="67"/>
  <c r="AQ977" i="67"/>
  <c r="AQ826" i="67"/>
  <c r="AQ371" i="67"/>
  <c r="AQ523" i="67"/>
  <c r="AQ65" i="67"/>
  <c r="AQ218" i="67"/>
  <c r="AK993" i="67"/>
  <c r="AK387" i="67"/>
  <c r="AK842" i="67"/>
  <c r="AK81" i="67"/>
  <c r="AK234" i="67"/>
  <c r="AK539" i="67"/>
  <c r="AK691" i="67"/>
  <c r="S993" i="67"/>
  <c r="S387" i="67"/>
  <c r="S842" i="67"/>
  <c r="S539" i="67"/>
  <c r="S691" i="67"/>
  <c r="S81" i="67"/>
  <c r="S234" i="67"/>
  <c r="AL993" i="67"/>
  <c r="AL387" i="67"/>
  <c r="AL842" i="67"/>
  <c r="AL81" i="67"/>
  <c r="AL234" i="67"/>
  <c r="AL539" i="67"/>
  <c r="AL691" i="67"/>
  <c r="Y993" i="67"/>
  <c r="Y387" i="67"/>
  <c r="Y842" i="67"/>
  <c r="Y539" i="67"/>
  <c r="Y81" i="67"/>
  <c r="Y691" i="67"/>
  <c r="Y234" i="67"/>
  <c r="K994" i="67"/>
  <c r="K388" i="67"/>
  <c r="K843" i="67"/>
  <c r="K82" i="67"/>
  <c r="K235" i="67"/>
  <c r="K540" i="67"/>
  <c r="K692" i="67"/>
  <c r="AN978" i="67"/>
  <c r="AN524" i="67"/>
  <c r="AN372" i="67"/>
  <c r="AN827" i="67"/>
  <c r="AN66" i="67"/>
  <c r="AN219" i="67"/>
  <c r="AN676" i="67"/>
  <c r="AO978" i="67"/>
  <c r="AO372" i="67"/>
  <c r="AO524" i="67"/>
  <c r="AO827" i="67"/>
  <c r="AO66" i="67"/>
  <c r="AO219" i="67"/>
  <c r="AO676" i="67"/>
  <c r="AL994" i="67"/>
  <c r="AL388" i="67"/>
  <c r="AL843" i="67"/>
  <c r="AL82" i="67"/>
  <c r="AL235" i="67"/>
  <c r="AL540" i="67"/>
  <c r="AL692" i="67"/>
  <c r="AP994" i="67"/>
  <c r="AP388" i="67"/>
  <c r="AP843" i="67"/>
  <c r="AP540" i="67"/>
  <c r="AP692" i="67"/>
  <c r="AP82" i="67"/>
  <c r="AP235" i="67"/>
  <c r="AP993" i="67"/>
  <c r="AP387" i="67"/>
  <c r="AP842" i="67"/>
  <c r="AP539" i="67"/>
  <c r="AP691" i="67"/>
  <c r="AP81" i="67"/>
  <c r="AP234" i="67"/>
  <c r="AF977" i="67"/>
  <c r="AF826" i="67"/>
  <c r="AF371" i="67"/>
  <c r="AF523" i="67"/>
  <c r="AF65" i="67"/>
  <c r="AF218" i="67"/>
  <c r="AT977" i="67"/>
  <c r="AT523" i="67"/>
  <c r="AT371" i="67"/>
  <c r="AT826" i="67"/>
  <c r="AT65" i="67"/>
  <c r="AT218" i="67"/>
  <c r="R993" i="67"/>
  <c r="R387" i="67"/>
  <c r="R842" i="67"/>
  <c r="R539" i="67"/>
  <c r="R691" i="67"/>
  <c r="R81" i="67"/>
  <c r="R234" i="67"/>
  <c r="Z977" i="67"/>
  <c r="Z371" i="67"/>
  <c r="Z65" i="67"/>
  <c r="Z218" i="67"/>
  <c r="Z523" i="67"/>
  <c r="Z826" i="67"/>
  <c r="AH977" i="67"/>
  <c r="AH371" i="67"/>
  <c r="AH826" i="67"/>
  <c r="AH65" i="67"/>
  <c r="AH218" i="67"/>
  <c r="AH523" i="67"/>
  <c r="X978" i="67"/>
  <c r="X524" i="67"/>
  <c r="X372" i="67"/>
  <c r="X827" i="67"/>
  <c r="X66" i="67"/>
  <c r="X219" i="67"/>
  <c r="X676" i="67"/>
  <c r="AR994" i="67"/>
  <c r="AR388" i="67"/>
  <c r="AR843" i="67"/>
  <c r="AR540" i="67"/>
  <c r="AR692" i="67"/>
  <c r="AR82" i="67"/>
  <c r="AR235" i="67"/>
  <c r="Z978" i="67"/>
  <c r="Z827" i="67"/>
  <c r="Z372" i="67"/>
  <c r="Z524" i="67"/>
  <c r="Z66" i="67"/>
  <c r="Z219" i="67"/>
  <c r="Z676" i="67"/>
  <c r="P993" i="67"/>
  <c r="P387" i="67"/>
  <c r="P842" i="67"/>
  <c r="P539" i="67"/>
  <c r="P691" i="67"/>
  <c r="P81" i="67"/>
  <c r="P234" i="67"/>
  <c r="AW993" i="67"/>
  <c r="AW387" i="67"/>
  <c r="AW842" i="67"/>
  <c r="AW539" i="67"/>
  <c r="AW691" i="67"/>
  <c r="AW81" i="67"/>
  <c r="AW234" i="67"/>
  <c r="AS977" i="67"/>
  <c r="AS523" i="67"/>
  <c r="AS371" i="67"/>
  <c r="AS826" i="67"/>
  <c r="AS65" i="67"/>
  <c r="AS218" i="67"/>
  <c r="AB977" i="67"/>
  <c r="AB523" i="67"/>
  <c r="AB371" i="67"/>
  <c r="AB826" i="67"/>
  <c r="AB65" i="67"/>
  <c r="AB218" i="67"/>
  <c r="L994" i="67"/>
  <c r="L388" i="67"/>
  <c r="L843" i="67"/>
  <c r="L540" i="67"/>
  <c r="L692" i="67"/>
  <c r="L82" i="67"/>
  <c r="L235" i="67"/>
  <c r="AH994" i="67"/>
  <c r="AH388" i="67"/>
  <c r="AH843" i="67"/>
  <c r="AH540" i="67"/>
  <c r="AH692" i="67"/>
  <c r="AH82" i="67"/>
  <c r="AH235" i="67"/>
  <c r="W978" i="67"/>
  <c r="W524" i="67"/>
  <c r="W372" i="67"/>
  <c r="W827" i="67"/>
  <c r="W66" i="67"/>
  <c r="W219" i="67"/>
  <c r="W676" i="67"/>
  <c r="AO994" i="67"/>
  <c r="AO388" i="67"/>
  <c r="AO843" i="67"/>
  <c r="AO82" i="67"/>
  <c r="AO235" i="67"/>
  <c r="AO540" i="67"/>
  <c r="AO692" i="67"/>
  <c r="P978" i="67"/>
  <c r="P372" i="67"/>
  <c r="P524" i="67"/>
  <c r="P827" i="67"/>
  <c r="P66" i="67"/>
  <c r="P219" i="67"/>
  <c r="P676" i="67"/>
  <c r="AG994" i="67"/>
  <c r="AG388" i="67"/>
  <c r="AG843" i="67"/>
  <c r="AG82" i="67"/>
  <c r="AG235" i="67"/>
  <c r="AG540" i="67"/>
  <c r="AG692" i="67"/>
  <c r="U978" i="67"/>
  <c r="U827" i="67"/>
  <c r="U372" i="67"/>
  <c r="U524" i="67"/>
  <c r="U66" i="67"/>
  <c r="U219" i="67"/>
  <c r="U676" i="67"/>
  <c r="AF994" i="67"/>
  <c r="AF388" i="67"/>
  <c r="AF843" i="67"/>
  <c r="AF82" i="67"/>
  <c r="AF235" i="67"/>
  <c r="AF540" i="67"/>
  <c r="AF692" i="67"/>
  <c r="AD978" i="67"/>
  <c r="AD372" i="67"/>
  <c r="AD524" i="67"/>
  <c r="AD827" i="67"/>
  <c r="AD66" i="67"/>
  <c r="AD219" i="67"/>
  <c r="AD676" i="67"/>
  <c r="M993" i="67"/>
  <c r="M387" i="67"/>
  <c r="M842" i="67"/>
  <c r="M539" i="67"/>
  <c r="M81" i="67"/>
  <c r="M691" i="67"/>
  <c r="M234" i="67"/>
  <c r="AJ993" i="67"/>
  <c r="AJ387" i="67"/>
  <c r="AJ842" i="67"/>
  <c r="AJ81" i="67"/>
  <c r="AJ234" i="67"/>
  <c r="AJ539" i="67"/>
  <c r="AJ691" i="67"/>
  <c r="AU977" i="67"/>
  <c r="AU371" i="67"/>
  <c r="AU523" i="67"/>
  <c r="AU826" i="67"/>
  <c r="AU65" i="67"/>
  <c r="AU218" i="67"/>
  <c r="AC977" i="67"/>
  <c r="AC523" i="67"/>
  <c r="AC371" i="67"/>
  <c r="AC826" i="67"/>
  <c r="AC65" i="67"/>
  <c r="AC218" i="67"/>
  <c r="R977" i="67"/>
  <c r="R371" i="67"/>
  <c r="R65" i="67"/>
  <c r="R218" i="67"/>
  <c r="R523" i="67"/>
  <c r="R826" i="67"/>
  <c r="AS993" i="67"/>
  <c r="AS387" i="67"/>
  <c r="AS842" i="67"/>
  <c r="AS81" i="67"/>
  <c r="AS234" i="67"/>
  <c r="AS539" i="67"/>
  <c r="AS691" i="67"/>
  <c r="AO993" i="67"/>
  <c r="AO387" i="67"/>
  <c r="AO842" i="67"/>
  <c r="AO539" i="67"/>
  <c r="AO81" i="67"/>
  <c r="AO691" i="67"/>
  <c r="AO234" i="67"/>
  <c r="AM993" i="67"/>
  <c r="AM387" i="67"/>
  <c r="AM842" i="67"/>
  <c r="AM81" i="67"/>
  <c r="AM234" i="67"/>
  <c r="AM539" i="67"/>
  <c r="AM691" i="67"/>
  <c r="O994" i="67"/>
  <c r="O388" i="67"/>
  <c r="O843" i="67"/>
  <c r="O540" i="67"/>
  <c r="O82" i="67"/>
  <c r="O692" i="67"/>
  <c r="O235" i="67"/>
  <c r="AQ978" i="67"/>
  <c r="AQ827" i="67"/>
  <c r="AQ372" i="67"/>
  <c r="AQ524" i="67"/>
  <c r="AQ66" i="67"/>
  <c r="AQ219" i="67"/>
  <c r="AQ676" i="67"/>
  <c r="AQ994" i="67"/>
  <c r="AQ388" i="67"/>
  <c r="AQ843" i="67"/>
  <c r="AQ540" i="67"/>
  <c r="AQ692" i="67"/>
  <c r="AQ82" i="67"/>
  <c r="AQ235" i="67"/>
  <c r="AA994" i="67"/>
  <c r="AA388" i="67"/>
  <c r="AA843" i="67"/>
  <c r="AA540" i="67"/>
  <c r="AA82" i="67"/>
  <c r="AA692" i="67"/>
  <c r="AA235" i="67"/>
  <c r="AS994" i="67"/>
  <c r="AS388" i="67"/>
  <c r="AS843" i="67"/>
  <c r="AS540" i="67"/>
  <c r="AS692" i="67"/>
  <c r="AS82" i="67"/>
  <c r="AS235" i="67"/>
  <c r="C14" i="62"/>
  <c r="D14" i="45"/>
  <c r="E78" i="36"/>
  <c r="D218" i="33"/>
  <c r="E218" i="33" s="1"/>
  <c r="D168" i="34"/>
  <c r="E68" i="36"/>
  <c r="D158" i="34"/>
  <c r="D208" i="33"/>
  <c r="E208" i="33" s="1"/>
  <c r="E79" i="36"/>
  <c r="D169" i="34"/>
  <c r="D219" i="33"/>
  <c r="E219" i="33" s="1"/>
  <c r="D58" i="36"/>
  <c r="D109" i="34"/>
  <c r="E109" i="34" s="1"/>
  <c r="E93" i="34"/>
  <c r="D56" i="36"/>
  <c r="D119" i="34"/>
  <c r="E119" i="34" s="1"/>
  <c r="E103" i="34"/>
  <c r="D120" i="34"/>
  <c r="E120" i="34" s="1"/>
  <c r="E104" i="34"/>
  <c r="E16" i="45"/>
  <c r="U1281" i="67" l="1"/>
  <c r="AD1281" i="67"/>
  <c r="M1281" i="67"/>
  <c r="P1281" i="67"/>
  <c r="Y1298" i="67"/>
  <c r="AT1282" i="67"/>
  <c r="X1297" i="67"/>
  <c r="AR1297" i="67"/>
  <c r="S1281" i="67"/>
  <c r="AO1297" i="67"/>
  <c r="AF1298" i="67"/>
  <c r="U1282" i="67"/>
  <c r="AO1298" i="67"/>
  <c r="W1282" i="67"/>
  <c r="AB1281" i="67"/>
  <c r="AS1281" i="67"/>
  <c r="AF1281" i="67"/>
  <c r="AR1281" i="67"/>
  <c r="Y1281" i="67"/>
  <c r="X1281" i="67"/>
  <c r="AO1281" i="67"/>
  <c r="AK1281" i="67"/>
  <c r="AV1297" i="67"/>
  <c r="V1281" i="67"/>
  <c r="AE1281" i="67"/>
  <c r="AS1282" i="67"/>
  <c r="AA1298" i="67"/>
  <c r="R1281" i="67"/>
  <c r="AQ1281" i="67"/>
  <c r="AT1297" i="67"/>
  <c r="AD1298" i="67"/>
  <c r="O1282" i="67"/>
  <c r="W1298" i="67"/>
  <c r="AJ1281" i="67"/>
  <c r="AG1281" i="67"/>
  <c r="AA1281" i="67"/>
  <c r="AC1281" i="67"/>
  <c r="AU1281" i="67"/>
  <c r="Z1282" i="67"/>
  <c r="AR1298" i="67"/>
  <c r="AT1281" i="67"/>
  <c r="AP1298" i="67"/>
  <c r="AN1282" i="67"/>
  <c r="K1298" i="67"/>
  <c r="AN1281" i="67"/>
  <c r="M1282" i="67"/>
  <c r="Z1297" i="67"/>
  <c r="L1281" i="67"/>
  <c r="AU1298" i="67"/>
  <c r="W1281" i="67"/>
  <c r="AH1298" i="67"/>
  <c r="AH1281" i="67"/>
  <c r="N1281" i="67"/>
  <c r="O1281" i="67"/>
  <c r="AI1281" i="67"/>
  <c r="AC1297" i="67"/>
  <c r="T1297" i="67"/>
  <c r="AS1298" i="67"/>
  <c r="AQ1282" i="67"/>
  <c r="M1297" i="67"/>
  <c r="Z1281" i="67"/>
  <c r="Y1297" i="67"/>
  <c r="AK1297" i="67"/>
  <c r="Q1281" i="67"/>
  <c r="W1297" i="67"/>
  <c r="AP1281" i="67"/>
  <c r="AM1281" i="67"/>
  <c r="AL1281" i="67"/>
  <c r="AV1281" i="67"/>
  <c r="T1281" i="67"/>
  <c r="AK1282" i="67"/>
  <c r="AK1298" i="67"/>
  <c r="K1281" i="67"/>
  <c r="AN1298" i="67"/>
  <c r="AB1282" i="67"/>
  <c r="AM1297" i="67"/>
  <c r="AJ1297" i="67"/>
  <c r="AW1297" i="67"/>
  <c r="AP1297" i="67"/>
  <c r="AL1298" i="67"/>
  <c r="AW1298" i="67"/>
  <c r="AE1282" i="67"/>
  <c r="AN1297" i="67"/>
  <c r="AV1282" i="67"/>
  <c r="M1298" i="67"/>
  <c r="AU1282" i="67"/>
  <c r="AI1282" i="67"/>
  <c r="K1297" i="67"/>
  <c r="AJ1282" i="67"/>
  <c r="AJ1298" i="67"/>
  <c r="Q1297" i="67"/>
  <c r="AA1297" i="67"/>
  <c r="L1297" i="67"/>
  <c r="Q1282" i="67"/>
  <c r="AV1298" i="67"/>
  <c r="AD1297" i="67"/>
  <c r="AB1297" i="67"/>
  <c r="AQ1298" i="67"/>
  <c r="AD1282" i="67"/>
  <c r="AG1298" i="67"/>
  <c r="P1282" i="67"/>
  <c r="P1297" i="67"/>
  <c r="X1282" i="67"/>
  <c r="R1297" i="67"/>
  <c r="AL1297" i="67"/>
  <c r="AL1282" i="67"/>
  <c r="AE1297" i="67"/>
  <c r="AA1282" i="67"/>
  <c r="AQ1297" i="67"/>
  <c r="AF1282" i="67"/>
  <c r="U1297" i="67"/>
  <c r="R1282" i="67"/>
  <c r="N1298" i="67"/>
  <c r="O1297" i="67"/>
  <c r="AM1298" i="67"/>
  <c r="AW1281" i="67"/>
  <c r="V1297" i="67"/>
  <c r="AG1297" i="67"/>
  <c r="AH1282" i="67"/>
  <c r="AI1298" i="67"/>
  <c r="T1282" i="67"/>
  <c r="AC1298" i="67"/>
  <c r="AT1298" i="67"/>
  <c r="AU1297" i="67"/>
  <c r="R1298" i="67"/>
  <c r="V1298" i="67"/>
  <c r="V1282" i="67"/>
  <c r="N1282" i="67"/>
  <c r="O1298" i="67"/>
  <c r="AS1297" i="67"/>
  <c r="AO1282" i="67"/>
  <c r="AB1298" i="67"/>
  <c r="S1282" i="67"/>
  <c r="L1298" i="67"/>
  <c r="S1297" i="67"/>
  <c r="Y1282" i="67"/>
  <c r="AR1282" i="67"/>
  <c r="S1298" i="67"/>
  <c r="P1298" i="67"/>
  <c r="AE1298" i="67"/>
  <c r="L1282" i="67"/>
  <c r="AI1297" i="67"/>
  <c r="Q1298" i="67"/>
  <c r="AP1282" i="67"/>
  <c r="T1298" i="67"/>
  <c r="AW1282" i="67"/>
  <c r="AM1282" i="67"/>
  <c r="Z1298" i="67"/>
  <c r="AG1282" i="67"/>
  <c r="N1297" i="67"/>
  <c r="AC1282" i="67"/>
  <c r="X1298" i="67"/>
  <c r="K1282" i="67"/>
  <c r="AF1297" i="67"/>
  <c r="U1298" i="67"/>
  <c r="AH1297" i="67"/>
  <c r="C15" i="62"/>
  <c r="D15" i="45"/>
  <c r="D185" i="34"/>
  <c r="E185" i="34" s="1"/>
  <c r="E169" i="34"/>
  <c r="E168" i="34"/>
  <c r="D184" i="34"/>
  <c r="E184" i="34" s="1"/>
  <c r="E158" i="34"/>
  <c r="D174" i="34"/>
  <c r="E174" i="34" s="1"/>
  <c r="E56" i="36"/>
  <c r="D97" i="34"/>
  <c r="D72" i="36"/>
  <c r="E58" i="36"/>
  <c r="D99" i="34"/>
  <c r="D74" i="36"/>
  <c r="E17" i="45"/>
  <c r="C16" i="62" l="1"/>
  <c r="D16" i="45"/>
  <c r="E74" i="36"/>
  <c r="D214" i="33"/>
  <c r="E214" i="33" s="1"/>
  <c r="D164" i="34"/>
  <c r="E72" i="36"/>
  <c r="D212" i="33"/>
  <c r="E212" i="33" s="1"/>
  <c r="D162" i="34"/>
  <c r="E97" i="34"/>
  <c r="D113" i="34"/>
  <c r="E113" i="34" s="1"/>
  <c r="D115" i="34"/>
  <c r="E115" i="34" s="1"/>
  <c r="E99" i="34"/>
  <c r="E18" i="45"/>
  <c r="C17" i="62" l="1"/>
  <c r="D17" i="45"/>
  <c r="E164" i="34"/>
  <c r="D180" i="34"/>
  <c r="E180" i="34" s="1"/>
  <c r="D178" i="34"/>
  <c r="E178" i="34" s="1"/>
  <c r="E162" i="34"/>
  <c r="E11" i="45"/>
  <c r="C18" i="62" l="1"/>
  <c r="D18" i="45"/>
  <c r="E18" i="34"/>
  <c r="E19" i="34" s="1"/>
  <c r="E4" i="34"/>
  <c r="E5" i="34" s="1"/>
  <c r="E18" i="33"/>
  <c r="E36" i="33" s="1"/>
  <c r="E4" i="33"/>
  <c r="C19" i="62" l="1"/>
  <c r="D11" i="45"/>
  <c r="D59" i="45" s="1"/>
  <c r="E21" i="34"/>
  <c r="E22" i="34" s="1"/>
  <c r="E23" i="34" s="1"/>
  <c r="E24" i="34" s="1"/>
  <c r="E25" i="34" s="1"/>
  <c r="E26" i="34" s="1"/>
  <c r="E27" i="34" s="1"/>
  <c r="E28" i="34" s="1"/>
  <c r="E29" i="34" s="1"/>
  <c r="E30" i="34" s="1"/>
  <c r="E20" i="34"/>
  <c r="E7" i="34"/>
  <c r="E8" i="34" s="1"/>
  <c r="E9" i="34" s="1"/>
  <c r="E10" i="34" s="1"/>
  <c r="E11" i="34" s="1"/>
  <c r="E12" i="34" s="1"/>
  <c r="E13" i="34" s="1"/>
  <c r="E14" i="34" s="1"/>
  <c r="E15" i="34" s="1"/>
  <c r="E16" i="34" s="1"/>
  <c r="E17" i="34" s="1"/>
  <c r="E6" i="34"/>
  <c r="H77" i="36" l="1"/>
  <c r="H61" i="36"/>
  <c r="H167" i="34"/>
  <c r="H183" i="34"/>
  <c r="E31" i="34"/>
  <c r="E32" i="34" s="1"/>
  <c r="E33" i="34" s="1"/>
  <c r="E34" i="34" s="1"/>
  <c r="E35" i="34" s="1"/>
  <c r="E36" i="34" s="1"/>
  <c r="E37" i="34" s="1"/>
  <c r="F9" i="45" l="1"/>
  <c r="I9" i="68" s="1"/>
  <c r="F16" i="45"/>
  <c r="I16" i="68" s="1"/>
  <c r="H102" i="34"/>
  <c r="F24" i="45"/>
  <c r="I24" i="68" s="1"/>
  <c r="H118" i="34"/>
  <c r="I61" i="36"/>
  <c r="I77" i="36"/>
  <c r="I167" i="34"/>
  <c r="I183" i="34"/>
  <c r="E39" i="34"/>
  <c r="E40" i="34" s="1"/>
  <c r="E41" i="34" s="1"/>
  <c r="E42" i="34" s="1"/>
  <c r="E43" i="34" s="1"/>
  <c r="E44" i="34" s="1"/>
  <c r="E45" i="34" s="1"/>
  <c r="E46" i="34" s="1"/>
  <c r="E47" i="34" s="1"/>
  <c r="E48" i="34" s="1"/>
  <c r="E49" i="34" s="1"/>
  <c r="E50" i="34" s="1"/>
  <c r="E51" i="34" s="1"/>
  <c r="E52" i="34" s="1"/>
  <c r="E53" i="34" s="1"/>
  <c r="E38" i="34"/>
  <c r="G16" i="45" l="1"/>
  <c r="J16" i="68" s="1"/>
  <c r="I102" i="34"/>
  <c r="G24" i="45"/>
  <c r="J24" i="68" s="1"/>
  <c r="G9" i="45"/>
  <c r="J9" i="68" s="1"/>
  <c r="I118" i="34"/>
  <c r="K61" i="36" l="1"/>
  <c r="K77" i="36"/>
  <c r="K167" i="34"/>
  <c r="K183" i="34"/>
  <c r="J77" i="36"/>
  <c r="J61" i="36"/>
  <c r="J167" i="34"/>
  <c r="J183" i="34"/>
  <c r="I24" i="45" l="1"/>
  <c r="L24" i="68" s="1"/>
  <c r="J102" i="34"/>
  <c r="H16" i="45"/>
  <c r="K16" i="68" s="1"/>
  <c r="H9" i="45"/>
  <c r="K9" i="68" s="1"/>
  <c r="J118" i="34"/>
  <c r="K118" i="34"/>
  <c r="I9" i="45"/>
  <c r="L9" i="68" s="1"/>
  <c r="I16" i="45"/>
  <c r="L16" i="68" s="1"/>
  <c r="H24" i="45"/>
  <c r="K24" i="68" s="1"/>
  <c r="K102" i="34"/>
  <c r="L77" i="36"/>
  <c r="L61" i="36"/>
  <c r="L167" i="34"/>
  <c r="L183" i="34"/>
  <c r="J16" i="45" l="1"/>
  <c r="M16" i="68" s="1"/>
  <c r="J9" i="45"/>
  <c r="M9" i="68" s="1"/>
  <c r="L102" i="34"/>
  <c r="J24" i="45"/>
  <c r="M24" i="68" s="1"/>
  <c r="L118" i="34"/>
  <c r="M77" i="36"/>
  <c r="M61" i="36"/>
  <c r="M183" i="34"/>
  <c r="M167" i="34"/>
  <c r="K9" i="45" l="1"/>
  <c r="N9" i="68" s="1"/>
  <c r="K24" i="45"/>
  <c r="N24" i="68" s="1"/>
  <c r="M102" i="34"/>
  <c r="M118" i="34"/>
  <c r="K16" i="45"/>
  <c r="N16" i="68" s="1"/>
  <c r="N77" i="36"/>
  <c r="N61" i="36"/>
  <c r="N183" i="34"/>
  <c r="N167" i="34"/>
  <c r="L16" i="45" l="1"/>
  <c r="O16" i="68" s="1"/>
  <c r="L9" i="45"/>
  <c r="O9" i="68" s="1"/>
  <c r="N102" i="34"/>
  <c r="L24" i="45"/>
  <c r="O24" i="68" s="1"/>
  <c r="N118" i="34"/>
  <c r="O61" i="36"/>
  <c r="O77" i="36"/>
  <c r="O167" i="34"/>
  <c r="O183" i="34"/>
  <c r="M9" i="45" l="1"/>
  <c r="P9" i="68" s="1"/>
  <c r="O102" i="34"/>
  <c r="M24" i="45"/>
  <c r="P24" i="68" s="1"/>
  <c r="M16" i="45"/>
  <c r="P16" i="68" s="1"/>
  <c r="O118" i="34"/>
  <c r="P77" i="36"/>
  <c r="P61" i="36"/>
  <c r="P167" i="34"/>
  <c r="P183" i="34"/>
  <c r="N16" i="45" l="1"/>
  <c r="Q16" i="68" s="1"/>
  <c r="P102" i="34"/>
  <c r="P118" i="34"/>
  <c r="N24" i="45"/>
  <c r="Q24" i="68" s="1"/>
  <c r="N9" i="45"/>
  <c r="Q9" i="68" s="1"/>
  <c r="Q77" i="36"/>
  <c r="Q61" i="36"/>
  <c r="Q167" i="34"/>
  <c r="Q183" i="34"/>
  <c r="O24" i="45" l="1"/>
  <c r="R24" i="68" s="1"/>
  <c r="O9" i="45"/>
  <c r="R9" i="68" s="1"/>
  <c r="Q118" i="34"/>
  <c r="Q102" i="34"/>
  <c r="O16" i="45"/>
  <c r="R16" i="68" s="1"/>
  <c r="R77" i="36"/>
  <c r="R61" i="36"/>
  <c r="R183" i="34"/>
  <c r="R167" i="34"/>
  <c r="R102" i="34" l="1"/>
  <c r="R118" i="34"/>
  <c r="P16" i="45"/>
  <c r="S16" i="68" s="1"/>
  <c r="P24" i="45"/>
  <c r="S24" i="68" s="1"/>
  <c r="P9" i="45"/>
  <c r="S9" i="68" s="1"/>
  <c r="S61" i="36"/>
  <c r="S77" i="36"/>
  <c r="S183" i="34"/>
  <c r="S167" i="34"/>
  <c r="Q24" i="45" l="1"/>
  <c r="T24" i="68" s="1"/>
  <c r="Q16" i="45"/>
  <c r="T16" i="68" s="1"/>
  <c r="S102" i="34"/>
  <c r="Q9" i="45"/>
  <c r="T9" i="68" s="1"/>
  <c r="S118" i="34"/>
  <c r="T77" i="36"/>
  <c r="T61" i="36"/>
  <c r="T183" i="34"/>
  <c r="T167" i="34"/>
  <c r="R9" i="45" l="1"/>
  <c r="U9" i="68" s="1"/>
  <c r="T102" i="34"/>
  <c r="R16" i="45"/>
  <c r="U16" i="68" s="1"/>
  <c r="T118" i="34"/>
  <c r="R24" i="45"/>
  <c r="U24" i="68" s="1"/>
  <c r="U77" i="36"/>
  <c r="U61" i="36"/>
  <c r="U167" i="34"/>
  <c r="U183" i="34"/>
  <c r="U102" i="34" l="1"/>
  <c r="U118" i="34"/>
  <c r="S9" i="45"/>
  <c r="V9" i="68" s="1"/>
  <c r="S24" i="45"/>
  <c r="V24" i="68" s="1"/>
  <c r="S16" i="45"/>
  <c r="V16" i="68" s="1"/>
  <c r="V77" i="36"/>
  <c r="V61" i="36"/>
  <c r="V167" i="34"/>
  <c r="V183" i="34"/>
  <c r="T9" i="45" l="1"/>
  <c r="W9" i="68" s="1"/>
  <c r="T24" i="45"/>
  <c r="W24" i="68" s="1"/>
  <c r="V118" i="34"/>
  <c r="V102" i="34"/>
  <c r="T16" i="45"/>
  <c r="W16" i="68" s="1"/>
  <c r="W77" i="36"/>
  <c r="W61" i="36"/>
  <c r="W167" i="34"/>
  <c r="W183" i="34"/>
  <c r="U24" i="45" l="1"/>
  <c r="X24" i="68" s="1"/>
  <c r="W118" i="34"/>
  <c r="U9" i="45"/>
  <c r="X9" i="68" s="1"/>
  <c r="U16" i="45"/>
  <c r="X16" i="68" s="1"/>
  <c r="W102" i="34"/>
  <c r="X61" i="36"/>
  <c r="X77" i="36"/>
  <c r="X167" i="34"/>
  <c r="X183" i="34"/>
  <c r="X102" i="34" l="1"/>
  <c r="V9" i="45"/>
  <c r="Y9" i="68" s="1"/>
  <c r="V24" i="45"/>
  <c r="Y24" i="68" s="1"/>
  <c r="X118" i="34"/>
  <c r="V16" i="45"/>
  <c r="Y16" i="68" s="1"/>
  <c r="Y61" i="36"/>
  <c r="Y77" i="36"/>
  <c r="Y183" i="34"/>
  <c r="Y167" i="34"/>
  <c r="W9" i="45" l="1"/>
  <c r="Z9" i="68" s="1"/>
  <c r="Y102" i="34"/>
  <c r="Y118" i="34"/>
  <c r="W24" i="45"/>
  <c r="Z24" i="68" s="1"/>
  <c r="W16" i="45"/>
  <c r="Z16" i="68" s="1"/>
  <c r="Z77" i="36"/>
  <c r="Z61" i="36"/>
  <c r="Z167" i="34"/>
  <c r="Z183" i="34"/>
  <c r="Z102" i="34" l="1"/>
  <c r="X24" i="45"/>
  <c r="AA24" i="68" s="1"/>
  <c r="Z118" i="34"/>
  <c r="X16" i="45"/>
  <c r="AA16" i="68" s="1"/>
  <c r="X9" i="45"/>
  <c r="AA9" i="68" s="1"/>
  <c r="AA77" i="36"/>
  <c r="AA61" i="36"/>
  <c r="AA167" i="34"/>
  <c r="AA183" i="34"/>
  <c r="Y9" i="45" l="1"/>
  <c r="AB9" i="68" s="1"/>
  <c r="Y16" i="45"/>
  <c r="AB16" i="68" s="1"/>
  <c r="AA102" i="34"/>
  <c r="Y24" i="45"/>
  <c r="AB24" i="68" s="1"/>
  <c r="AA118" i="34"/>
  <c r="AB77" i="36"/>
  <c r="AB61" i="36"/>
  <c r="AB167" i="34"/>
  <c r="AB183" i="34"/>
  <c r="Z9" i="45" l="1"/>
  <c r="AC9" i="68" s="1"/>
  <c r="Z24" i="45"/>
  <c r="AC24" i="68" s="1"/>
  <c r="AB118" i="34"/>
  <c r="AB102" i="34"/>
  <c r="Z16" i="45"/>
  <c r="AC16" i="68" s="1"/>
  <c r="AC77" i="36"/>
  <c r="AC61" i="36"/>
  <c r="AC167" i="34"/>
  <c r="AC183" i="34"/>
  <c r="AA9" i="45" l="1"/>
  <c r="AD9" i="68" s="1"/>
  <c r="AC118" i="34"/>
  <c r="AC102" i="34"/>
  <c r="AA24" i="45"/>
  <c r="AD24" i="68" s="1"/>
  <c r="AA16" i="45"/>
  <c r="AD16" i="68" s="1"/>
  <c r="AD183" i="34"/>
  <c r="AD167" i="34"/>
  <c r="AD118" i="34" l="1"/>
  <c r="AB24" i="45"/>
  <c r="AB9" i="45"/>
  <c r="AD102" i="34"/>
  <c r="AB16" i="45"/>
  <c r="AE167" i="34"/>
  <c r="AE183" i="34"/>
  <c r="AE118" i="34" l="1"/>
  <c r="AC9" i="45"/>
  <c r="AE102" i="34"/>
  <c r="AC24" i="45"/>
  <c r="AC16" i="45"/>
  <c r="AF167" i="34"/>
  <c r="AF183" i="34"/>
  <c r="AF118" i="34" l="1"/>
  <c r="AD9" i="45"/>
  <c r="AD16" i="45"/>
  <c r="AD24" i="45"/>
  <c r="AF102" i="34"/>
  <c r="AG167" i="34"/>
  <c r="AG183" i="34"/>
  <c r="AE16" i="45" l="1"/>
  <c r="AE24" i="45"/>
  <c r="AE9" i="45"/>
  <c r="AG102" i="34"/>
  <c r="AG118" i="34"/>
  <c r="AH183" i="34"/>
  <c r="AH167" i="34"/>
  <c r="AF16" i="45" l="1"/>
  <c r="AF24" i="45"/>
  <c r="AF9" i="45"/>
  <c r="AH102" i="34"/>
  <c r="AH118" i="34"/>
  <c r="AI183" i="34"/>
  <c r="AI167" i="34"/>
  <c r="AG24" i="45" l="1"/>
  <c r="AI118" i="34"/>
  <c r="AG9" i="45"/>
  <c r="AG16" i="45"/>
  <c r="AI102" i="34"/>
  <c r="AJ77" i="36" l="1"/>
  <c r="AJ167" i="34"/>
  <c r="AJ183" i="34"/>
  <c r="AJ61" i="36"/>
  <c r="AH16" i="45" l="1"/>
  <c r="AH9" i="45"/>
  <c r="AH24" i="45"/>
  <c r="AJ102" i="34"/>
  <c r="AJ118" i="34"/>
  <c r="AK77" i="36"/>
  <c r="AK167" i="34"/>
  <c r="AK183" i="34"/>
  <c r="AK61" i="36"/>
  <c r="AK102" i="34" l="1"/>
  <c r="AI24" i="45"/>
  <c r="AI16" i="45"/>
  <c r="AK118" i="34"/>
  <c r="AI9" i="45"/>
  <c r="AL77" i="36"/>
  <c r="AL167" i="34"/>
  <c r="AL183" i="34"/>
  <c r="AL61" i="36"/>
  <c r="AL102" i="34" l="1"/>
  <c r="AJ9" i="45"/>
  <c r="AJ24" i="45"/>
  <c r="AJ16" i="45"/>
  <c r="AL118" i="34"/>
  <c r="AM77" i="36"/>
  <c r="AM167" i="34"/>
  <c r="AM183" i="34"/>
  <c r="AM61" i="36"/>
  <c r="AM102" i="34" l="1"/>
  <c r="AK24" i="45"/>
  <c r="AK9" i="45"/>
  <c r="AM118" i="34"/>
  <c r="AK16" i="45"/>
  <c r="AN77" i="36"/>
  <c r="AN167" i="34"/>
  <c r="AN183" i="34"/>
  <c r="AN61" i="36"/>
  <c r="AL9" i="45" l="1"/>
  <c r="AN102" i="34"/>
  <c r="AN118" i="34"/>
  <c r="AL24" i="45"/>
  <c r="AL16" i="45"/>
  <c r="AO77" i="36"/>
  <c r="AO167" i="34"/>
  <c r="AO183" i="34"/>
  <c r="AO61" i="36"/>
  <c r="AM16" i="45" l="1"/>
  <c r="AO118" i="34"/>
  <c r="AM9" i="45"/>
  <c r="AO102" i="34"/>
  <c r="AM24" i="45"/>
  <c r="AP77" i="36"/>
  <c r="AP167" i="34"/>
  <c r="AP183" i="34"/>
  <c r="AP61" i="36"/>
  <c r="AP102" i="34" l="1"/>
  <c r="AP118" i="34"/>
  <c r="AN9" i="45"/>
  <c r="AN24" i="45"/>
  <c r="AN16" i="45"/>
  <c r="AQ77" i="36"/>
  <c r="AQ167" i="34"/>
  <c r="AQ183" i="34"/>
  <c r="AQ61" i="36"/>
  <c r="AO9" i="45" l="1"/>
  <c r="AQ118" i="34"/>
  <c r="AO24" i="45"/>
  <c r="AQ102" i="34"/>
  <c r="AO16" i="45"/>
  <c r="AR77" i="36"/>
  <c r="AR167" i="34"/>
  <c r="AR183" i="34"/>
  <c r="AR61" i="36"/>
  <c r="AP16" i="45" l="1"/>
  <c r="AR118" i="34"/>
  <c r="AP24" i="45"/>
  <c r="AR102" i="34"/>
  <c r="AP9" i="45"/>
  <c r="AS77" i="36"/>
  <c r="AS167" i="34"/>
  <c r="AS183" i="34"/>
  <c r="AS61" i="36"/>
  <c r="AQ16" i="45" l="1"/>
  <c r="AS102" i="34"/>
  <c r="AS118" i="34"/>
  <c r="AQ9" i="45"/>
  <c r="AQ24" i="45"/>
  <c r="AT77" i="36"/>
  <c r="AT167" i="34"/>
  <c r="AT183" i="34"/>
  <c r="AT61" i="36"/>
  <c r="AR16" i="45" l="1"/>
  <c r="AT102" i="34"/>
  <c r="AT118" i="34"/>
  <c r="AR9" i="45"/>
  <c r="AR24" i="45"/>
  <c r="AU77" i="36"/>
  <c r="AU167" i="34"/>
  <c r="AU183" i="34"/>
  <c r="AU61" i="36"/>
  <c r="AU102" i="34" l="1"/>
  <c r="AU118" i="34"/>
  <c r="AS16" i="45"/>
  <c r="AS9" i="45"/>
  <c r="AS24" i="45"/>
  <c r="AV77" i="36"/>
  <c r="AV167" i="34"/>
  <c r="AV183" i="34"/>
  <c r="AV61" i="36"/>
  <c r="AV102" i="34" l="1"/>
  <c r="AV118" i="34"/>
  <c r="AT16" i="45"/>
  <c r="AT24" i="45"/>
  <c r="AT9" i="45"/>
  <c r="AW77" i="36"/>
  <c r="AW167" i="34"/>
  <c r="AW183" i="34"/>
  <c r="AW61" i="36"/>
  <c r="AU9" i="45" l="1"/>
  <c r="AW118" i="34"/>
  <c r="AW102" i="34"/>
  <c r="AU24" i="45"/>
  <c r="AU16" i="45"/>
  <c r="AX77" i="36"/>
  <c r="AX167" i="34"/>
  <c r="AX183" i="34"/>
  <c r="AX61" i="36"/>
  <c r="AV9" i="45" l="1"/>
  <c r="AX102" i="34"/>
  <c r="AX118" i="34"/>
  <c r="AV24" i="45"/>
  <c r="AV16" i="45"/>
  <c r="AY77" i="36"/>
  <c r="AY167" i="34"/>
  <c r="AY183" i="34"/>
  <c r="AY61" i="36"/>
  <c r="AY102" i="34" l="1"/>
  <c r="AW9" i="45"/>
  <c r="AW24" i="45"/>
  <c r="AW16" i="45"/>
  <c r="AY118" i="34"/>
  <c r="AZ77" i="36"/>
  <c r="AZ167" i="34"/>
  <c r="AZ183" i="34"/>
  <c r="AZ61" i="36"/>
  <c r="AZ102" i="34" l="1"/>
  <c r="AZ118" i="34"/>
  <c r="AX16" i="45"/>
  <c r="AX24" i="45"/>
  <c r="AX9" i="45"/>
  <c r="BA77" i="36"/>
  <c r="BA167" i="34"/>
  <c r="BA183" i="34"/>
  <c r="BA61" i="36"/>
  <c r="AY9" i="45" l="1"/>
  <c r="BA102" i="34"/>
  <c r="BA118" i="34"/>
  <c r="AY24" i="45"/>
  <c r="AY16" i="45"/>
  <c r="BB77" i="36"/>
  <c r="BB167" i="34"/>
  <c r="BB183" i="34"/>
  <c r="BB61" i="36"/>
  <c r="AZ9" i="45" l="1"/>
  <c r="BB102" i="34"/>
  <c r="BB118" i="34"/>
  <c r="AZ24" i="45"/>
  <c r="AZ16" i="45"/>
  <c r="BC77" i="36"/>
  <c r="BC167" i="34"/>
  <c r="BC183" i="34"/>
  <c r="BC61" i="36"/>
  <c r="BA16" i="45" l="1"/>
  <c r="BC118" i="34"/>
  <c r="BA9" i="45"/>
  <c r="BA24" i="45"/>
  <c r="BC102" i="34"/>
  <c r="BD77" i="36"/>
  <c r="BD167" i="34"/>
  <c r="BD183" i="34"/>
  <c r="BD61" i="36"/>
  <c r="BB16" i="45" l="1"/>
  <c r="BD102" i="34"/>
  <c r="BD118" i="34"/>
  <c r="BB9" i="45"/>
  <c r="BB24" i="45"/>
  <c r="BE77" i="36"/>
  <c r="BE167" i="34"/>
  <c r="BE183" i="34"/>
  <c r="BE61" i="36"/>
  <c r="BC9" i="45" l="1"/>
  <c r="BE102" i="34"/>
  <c r="BE118" i="34"/>
  <c r="BC24" i="45"/>
  <c r="BC16" i="45"/>
  <c r="BF77" i="36"/>
  <c r="BF167" i="34"/>
  <c r="BF183" i="34"/>
  <c r="BF61" i="36"/>
  <c r="BD9" i="45" l="1"/>
  <c r="BF102" i="34"/>
  <c r="BF118" i="34"/>
  <c r="BD16" i="45"/>
  <c r="BD24" i="45"/>
  <c r="BG77" i="36"/>
  <c r="BG167" i="34"/>
  <c r="BG183" i="34"/>
  <c r="BG61" i="36"/>
  <c r="BE9" i="45" l="1"/>
  <c r="BG102" i="34"/>
  <c r="BG118" i="34"/>
  <c r="BE24" i="45"/>
  <c r="BE16" i="45"/>
  <c r="BH77" i="36"/>
  <c r="BH183" i="34"/>
  <c r="BH167" i="34"/>
  <c r="BH61" i="36"/>
  <c r="BH118" i="34" l="1"/>
  <c r="BF24" i="45"/>
  <c r="BF9" i="45"/>
  <c r="BH102" i="34"/>
  <c r="BF16" i="45"/>
  <c r="BI77" i="36"/>
  <c r="BI167" i="34"/>
  <c r="BI183" i="34"/>
  <c r="BI61" i="36"/>
  <c r="BG16" i="45" l="1"/>
  <c r="BI102" i="34"/>
  <c r="BI118" i="34"/>
  <c r="BG9" i="45"/>
  <c r="BG24" i="45"/>
  <c r="BJ77" i="36"/>
  <c r="BJ167" i="34"/>
  <c r="BJ183" i="34"/>
  <c r="BJ61" i="36"/>
  <c r="BH9" i="45" l="1"/>
  <c r="BH16" i="45"/>
  <c r="BJ102" i="34"/>
  <c r="BJ118" i="34"/>
  <c r="BH24" i="45"/>
  <c r="BK77" i="36"/>
  <c r="BK167" i="34"/>
  <c r="BK183" i="34"/>
  <c r="BK61" i="36"/>
  <c r="BI16" i="45" l="1"/>
  <c r="BK102" i="34"/>
  <c r="BK118" i="34"/>
  <c r="BI9" i="45"/>
  <c r="BI24" i="45"/>
  <c r="BL77" i="36"/>
  <c r="BL167" i="34"/>
  <c r="BL183" i="34"/>
  <c r="BL61" i="36"/>
  <c r="BL102" i="34" l="1"/>
  <c r="BJ9" i="45"/>
  <c r="BL118" i="34"/>
  <c r="BJ24" i="45"/>
  <c r="BJ16" i="45"/>
  <c r="BM77" i="36"/>
  <c r="BM167" i="34"/>
  <c r="BM183" i="34"/>
  <c r="BM61" i="36"/>
  <c r="BK16" i="45" l="1"/>
  <c r="BM102" i="34"/>
  <c r="BM118" i="34"/>
  <c r="BK9" i="45"/>
  <c r="BK24" i="45"/>
  <c r="BN77" i="36"/>
  <c r="BN167" i="34"/>
  <c r="BN183" i="34"/>
  <c r="BN61" i="36"/>
  <c r="BL9" i="45" l="1"/>
  <c r="BN102" i="34"/>
  <c r="BN118" i="34"/>
  <c r="BL24" i="45"/>
  <c r="BL16" i="45"/>
  <c r="BP77" i="36"/>
  <c r="BP167" i="34"/>
  <c r="BP183" i="34"/>
  <c r="BO77" i="36"/>
  <c r="BO167" i="34"/>
  <c r="BO183" i="34"/>
  <c r="BP61" i="36"/>
  <c r="BO61" i="36"/>
  <c r="BN16" i="45" l="1"/>
  <c r="BO102" i="34"/>
  <c r="BM24" i="45"/>
  <c r="BP118" i="34"/>
  <c r="BM9" i="45"/>
  <c r="BN9" i="45"/>
  <c r="BM16" i="45"/>
  <c r="BP102" i="34"/>
  <c r="BO118" i="34"/>
  <c r="BN24" i="45"/>
  <c r="G55" i="33"/>
  <c r="F55" i="33"/>
  <c r="F5" i="33"/>
  <c r="E19" i="33"/>
  <c r="E5" i="33"/>
  <c r="E6" i="33" s="1"/>
  <c r="G5" i="33"/>
  <c r="D20" i="36"/>
  <c r="D78" i="46" s="1"/>
  <c r="D21" i="36"/>
  <c r="D79" i="46" s="1"/>
  <c r="D22" i="36"/>
  <c r="D80" i="46" s="1"/>
  <c r="D19" i="36"/>
  <c r="D77" i="46" s="1"/>
  <c r="C19" i="36"/>
  <c r="C17" i="36"/>
  <c r="A63" i="57" s="1"/>
  <c r="D16" i="36"/>
  <c r="D74" i="46" s="1"/>
  <c r="C16" i="36"/>
  <c r="A62" i="57" s="1"/>
  <c r="D15" i="36"/>
  <c r="D73" i="46" s="1"/>
  <c r="C15" i="36"/>
  <c r="C13" i="36"/>
  <c r="A59" i="57" s="1"/>
  <c r="D12" i="36"/>
  <c r="C11" i="36"/>
  <c r="A57" i="57" s="1"/>
  <c r="D10" i="36"/>
  <c r="D68" i="46" s="1"/>
  <c r="D9" i="36"/>
  <c r="D67" i="46" s="1"/>
  <c r="D8" i="36"/>
  <c r="F6" i="36"/>
  <c r="F5" i="34"/>
  <c r="D6" i="36"/>
  <c r="D64" i="46" s="1"/>
  <c r="D5" i="36"/>
  <c r="D63" i="46" s="1"/>
  <c r="E5" i="36"/>
  <c r="E6" i="36" s="1"/>
  <c r="C5" i="36"/>
  <c r="G5" i="34"/>
  <c r="A65" i="57" l="1"/>
  <c r="D66" i="46"/>
  <c r="D84" i="46" s="1"/>
  <c r="A54" i="57"/>
  <c r="D70" i="46"/>
  <c r="E70" i="46" s="1"/>
  <c r="A58" i="57"/>
  <c r="A51" i="57"/>
  <c r="A61" i="57"/>
  <c r="D91" i="46"/>
  <c r="E73" i="46"/>
  <c r="D81" i="46"/>
  <c r="E63" i="46"/>
  <c r="E66" i="46"/>
  <c r="D95" i="46"/>
  <c r="E77" i="46"/>
  <c r="D85" i="46"/>
  <c r="E67" i="46"/>
  <c r="D92" i="46"/>
  <c r="E74" i="46"/>
  <c r="D98" i="46"/>
  <c r="E98" i="46" s="1"/>
  <c r="E80" i="46"/>
  <c r="D96" i="46"/>
  <c r="E78" i="46"/>
  <c r="E64" i="46"/>
  <c r="D82" i="46"/>
  <c r="D86" i="46"/>
  <c r="E68" i="46"/>
  <c r="D97" i="46"/>
  <c r="E97" i="46" s="1"/>
  <c r="E79" i="46"/>
  <c r="E20" i="33"/>
  <c r="E38" i="33" s="1"/>
  <c r="E37" i="33"/>
  <c r="G7" i="34"/>
  <c r="G8" i="34" s="1"/>
  <c r="G9" i="34" s="1"/>
  <c r="G10" i="34" s="1"/>
  <c r="G11" i="34" s="1"/>
  <c r="G12" i="34" s="1"/>
  <c r="G13" i="34" s="1"/>
  <c r="G14" i="34" s="1"/>
  <c r="G15" i="34" s="1"/>
  <c r="G16" i="34" s="1"/>
  <c r="G6" i="34"/>
  <c r="F7" i="34"/>
  <c r="F8" i="34" s="1"/>
  <c r="F9" i="34" s="1"/>
  <c r="F10" i="34" s="1"/>
  <c r="F11" i="34" s="1"/>
  <c r="F12" i="34" s="1"/>
  <c r="F13" i="34" s="1"/>
  <c r="F14" i="34" s="1"/>
  <c r="F15" i="34" s="1"/>
  <c r="F16" i="34" s="1"/>
  <c r="F6" i="34"/>
  <c r="C18" i="36"/>
  <c r="A64" i="57" s="1"/>
  <c r="F57" i="33"/>
  <c r="F58" i="33" s="1"/>
  <c r="F59" i="33" s="1"/>
  <c r="F60" i="33" s="1"/>
  <c r="F61" i="33" s="1"/>
  <c r="F62" i="33" s="1"/>
  <c r="F63" i="33" s="1"/>
  <c r="F64" i="33" s="1"/>
  <c r="F65" i="33" s="1"/>
  <c r="F66" i="33" s="1"/>
  <c r="F67" i="33" s="1"/>
  <c r="F68" i="33" s="1"/>
  <c r="F69" i="33" s="1"/>
  <c r="F70" i="33" s="1"/>
  <c r="F71" i="33" s="1"/>
  <c r="F56" i="33"/>
  <c r="G57" i="33"/>
  <c r="G58" i="33" s="1"/>
  <c r="G59" i="33" s="1"/>
  <c r="G60" i="33" s="1"/>
  <c r="G61" i="33" s="1"/>
  <c r="G62" i="33" s="1"/>
  <c r="G63" i="33" s="1"/>
  <c r="G64" i="33" s="1"/>
  <c r="G65" i="33" s="1"/>
  <c r="G66" i="33" s="1"/>
  <c r="G67" i="33" s="1"/>
  <c r="G68" i="33" s="1"/>
  <c r="G69" i="33" s="1"/>
  <c r="G70" i="33" s="1"/>
  <c r="G71" i="33" s="1"/>
  <c r="G56" i="33"/>
  <c r="G7" i="33"/>
  <c r="G8" i="33" s="1"/>
  <c r="G9" i="33" s="1"/>
  <c r="G10" i="33" s="1"/>
  <c r="G11" i="33" s="1"/>
  <c r="G12" i="33" s="1"/>
  <c r="G13" i="33" s="1"/>
  <c r="G14" i="33" s="1"/>
  <c r="G15" i="33" s="1"/>
  <c r="G16" i="33" s="1"/>
  <c r="G17" i="33" s="1"/>
  <c r="G6" i="33"/>
  <c r="F7" i="33"/>
  <c r="F8" i="33" s="1"/>
  <c r="F9" i="33" s="1"/>
  <c r="F10" i="33" s="1"/>
  <c r="F11" i="33" s="1"/>
  <c r="F12" i="33" s="1"/>
  <c r="F13" i="33" s="1"/>
  <c r="F14" i="33" s="1"/>
  <c r="F15" i="33" s="1"/>
  <c r="F16" i="33" s="1"/>
  <c r="F17" i="33" s="1"/>
  <c r="F18" i="33" s="1"/>
  <c r="F19" i="33" s="1"/>
  <c r="F6" i="33"/>
  <c r="E8" i="36"/>
  <c r="E9" i="36" s="1"/>
  <c r="E10" i="36" s="1"/>
  <c r="E11" i="36" s="1"/>
  <c r="E12" i="36" s="1"/>
  <c r="E13" i="36" s="1"/>
  <c r="E14" i="36" s="1"/>
  <c r="E15" i="36" s="1"/>
  <c r="E16" i="36" s="1"/>
  <c r="E17" i="36" s="1"/>
  <c r="E18" i="36" s="1"/>
  <c r="E19" i="36" s="1"/>
  <c r="E20" i="36" s="1"/>
  <c r="E21" i="36" s="1"/>
  <c r="E22" i="36" s="1"/>
  <c r="E7" i="36"/>
  <c r="F8" i="36"/>
  <c r="F9" i="36" s="1"/>
  <c r="F10" i="36" s="1"/>
  <c r="F11" i="36" s="1"/>
  <c r="F12" i="36" s="1"/>
  <c r="F13" i="36" s="1"/>
  <c r="F14" i="36" s="1"/>
  <c r="F15" i="36" s="1"/>
  <c r="F16" i="36" s="1"/>
  <c r="F17" i="36" s="1"/>
  <c r="F18" i="36" s="1"/>
  <c r="F19" i="36" s="1"/>
  <c r="F20" i="36" s="1"/>
  <c r="F21" i="36" s="1"/>
  <c r="F22" i="36" s="1"/>
  <c r="F7" i="36"/>
  <c r="C14" i="36"/>
  <c r="E21" i="33"/>
  <c r="E39" i="33" s="1"/>
  <c r="E7" i="33"/>
  <c r="D18" i="33"/>
  <c r="D54" i="33"/>
  <c r="D4" i="33"/>
  <c r="C24" i="33"/>
  <c r="C60" i="33"/>
  <c r="C10" i="33"/>
  <c r="D16" i="33"/>
  <c r="D30" i="33"/>
  <c r="D66" i="33"/>
  <c r="D33" i="33"/>
  <c r="D69" i="33"/>
  <c r="D55" i="33"/>
  <c r="D19" i="33"/>
  <c r="D5" i="33"/>
  <c r="D57" i="33"/>
  <c r="D7" i="33"/>
  <c r="D21" i="33"/>
  <c r="D10" i="33"/>
  <c r="D24" i="33"/>
  <c r="D60" i="33"/>
  <c r="D26" i="33"/>
  <c r="D62" i="33"/>
  <c r="D12" i="33"/>
  <c r="C15" i="33"/>
  <c r="C29" i="33"/>
  <c r="C65" i="33"/>
  <c r="D68" i="33"/>
  <c r="D32" i="33"/>
  <c r="D28" i="33"/>
  <c r="D64" i="33"/>
  <c r="D14" i="33"/>
  <c r="C6" i="36"/>
  <c r="A52" i="57" s="1"/>
  <c r="C54" i="33"/>
  <c r="C4" i="33"/>
  <c r="C18" i="33"/>
  <c r="D71" i="33"/>
  <c r="D35" i="33"/>
  <c r="C9" i="36"/>
  <c r="A55" i="57" s="1"/>
  <c r="C57" i="33"/>
  <c r="C21" i="33"/>
  <c r="C7" i="33"/>
  <c r="C12" i="33"/>
  <c r="C62" i="33"/>
  <c r="C26" i="33"/>
  <c r="D58" i="33"/>
  <c r="D8" i="33"/>
  <c r="D22" i="33"/>
  <c r="D29" i="33"/>
  <c r="D65" i="33"/>
  <c r="D15" i="33"/>
  <c r="C68" i="33"/>
  <c r="C32" i="33"/>
  <c r="D23" i="33"/>
  <c r="D59" i="33"/>
  <c r="D9" i="33"/>
  <c r="D14" i="36"/>
  <c r="D72" i="46" s="1"/>
  <c r="D61" i="33"/>
  <c r="D11" i="33"/>
  <c r="D25" i="33"/>
  <c r="C64" i="33"/>
  <c r="C14" i="33"/>
  <c r="C28" i="33"/>
  <c r="C30" i="33"/>
  <c r="C66" i="33"/>
  <c r="C16" i="33"/>
  <c r="D31" i="33"/>
  <c r="D67" i="33"/>
  <c r="D17" i="33"/>
  <c r="C20" i="36"/>
  <c r="A66" i="57" s="1"/>
  <c r="D34" i="33"/>
  <c r="D70" i="33"/>
  <c r="D88" i="46" l="1"/>
  <c r="A60" i="57"/>
  <c r="D103" i="46"/>
  <c r="E85" i="46"/>
  <c r="D106" i="46"/>
  <c r="E88" i="46"/>
  <c r="E81" i="46"/>
  <c r="D99" i="46"/>
  <c r="E82" i="46"/>
  <c r="D100" i="46"/>
  <c r="D90" i="46"/>
  <c r="E72" i="46"/>
  <c r="D104" i="46"/>
  <c r="E86" i="46"/>
  <c r="D114" i="46"/>
  <c r="E96" i="46"/>
  <c r="D110" i="46"/>
  <c r="E92" i="46"/>
  <c r="D113" i="46"/>
  <c r="E95" i="46"/>
  <c r="E84" i="46"/>
  <c r="D102" i="46"/>
  <c r="D109" i="46"/>
  <c r="E91" i="46"/>
  <c r="D11" i="34"/>
  <c r="D41" i="34"/>
  <c r="D15" i="34"/>
  <c r="D8" i="34"/>
  <c r="C12" i="34"/>
  <c r="C4" i="34"/>
  <c r="D46" i="34"/>
  <c r="C47" i="34"/>
  <c r="D44" i="34"/>
  <c r="D10" i="34"/>
  <c r="D5" i="34"/>
  <c r="C10" i="34"/>
  <c r="D36" i="34"/>
  <c r="C16" i="34"/>
  <c r="C14" i="34"/>
  <c r="D43" i="34"/>
  <c r="D47" i="34"/>
  <c r="D40" i="34"/>
  <c r="C7" i="34"/>
  <c r="C36" i="34"/>
  <c r="D48" i="34"/>
  <c r="C42" i="34"/>
  <c r="D17" i="34"/>
  <c r="C48" i="34"/>
  <c r="C46" i="34"/>
  <c r="D53" i="34"/>
  <c r="C15" i="34"/>
  <c r="D42" i="34"/>
  <c r="D7" i="34"/>
  <c r="D37" i="34"/>
  <c r="D52" i="34"/>
  <c r="D49" i="34"/>
  <c r="D9" i="34"/>
  <c r="C50" i="34"/>
  <c r="C44" i="34"/>
  <c r="C39" i="34"/>
  <c r="D14" i="34"/>
  <c r="D50" i="34"/>
  <c r="D12" i="34"/>
  <c r="D39" i="34"/>
  <c r="D51" i="34"/>
  <c r="D16" i="34"/>
  <c r="D4" i="34"/>
  <c r="D34" i="34"/>
  <c r="D52" i="33"/>
  <c r="D31" i="34"/>
  <c r="D49" i="33"/>
  <c r="C28" i="34"/>
  <c r="C46" i="33"/>
  <c r="D33" i="34"/>
  <c r="D51" i="33"/>
  <c r="D23" i="34"/>
  <c r="D41" i="33"/>
  <c r="D35" i="34"/>
  <c r="D53" i="33"/>
  <c r="D28" i="34"/>
  <c r="D46" i="33"/>
  <c r="C29" i="34"/>
  <c r="C47" i="33"/>
  <c r="D26" i="34"/>
  <c r="D44" i="33"/>
  <c r="D21" i="34"/>
  <c r="D39" i="33"/>
  <c r="D19" i="34"/>
  <c r="D37" i="33"/>
  <c r="D18" i="34"/>
  <c r="D36" i="33"/>
  <c r="C32" i="34"/>
  <c r="C50" i="33"/>
  <c r="D29" i="34"/>
  <c r="D47" i="33"/>
  <c r="C26" i="34"/>
  <c r="C44" i="33"/>
  <c r="C21" i="34"/>
  <c r="C39" i="33"/>
  <c r="D32" i="34"/>
  <c r="D50" i="33"/>
  <c r="D30" i="34"/>
  <c r="D48" i="33"/>
  <c r="C24" i="34"/>
  <c r="C42" i="33"/>
  <c r="C30" i="34"/>
  <c r="C48" i="33"/>
  <c r="D25" i="34"/>
  <c r="D43" i="33"/>
  <c r="D22" i="34"/>
  <c r="D40" i="33"/>
  <c r="C18" i="34"/>
  <c r="C36" i="33"/>
  <c r="D24" i="34"/>
  <c r="D42" i="33"/>
  <c r="F17" i="34"/>
  <c r="F18" i="34" s="1"/>
  <c r="F19" i="34" s="1"/>
  <c r="G17" i="34"/>
  <c r="G18" i="34" s="1"/>
  <c r="G19" i="34" s="1"/>
  <c r="F21" i="33"/>
  <c r="F22" i="33" s="1"/>
  <c r="F23" i="33" s="1"/>
  <c r="F24" i="33" s="1"/>
  <c r="F25" i="33" s="1"/>
  <c r="F26" i="33" s="1"/>
  <c r="F27" i="33" s="1"/>
  <c r="F28" i="33" s="1"/>
  <c r="F29" i="33" s="1"/>
  <c r="F30" i="33" s="1"/>
  <c r="F31" i="33" s="1"/>
  <c r="F32" i="33" s="1"/>
  <c r="F33" i="33" s="1"/>
  <c r="F34" i="33" s="1"/>
  <c r="F35" i="33" s="1"/>
  <c r="F20" i="33"/>
  <c r="C10" i="36"/>
  <c r="A56" i="57" s="1"/>
  <c r="G37" i="34"/>
  <c r="E22" i="33"/>
  <c r="E40" i="33" s="1"/>
  <c r="E8" i="33"/>
  <c r="C61" i="33"/>
  <c r="C11" i="33"/>
  <c r="C25" i="33"/>
  <c r="C69" i="33"/>
  <c r="C33" i="33"/>
  <c r="C21" i="36"/>
  <c r="A67" i="57" s="1"/>
  <c r="C19" i="33"/>
  <c r="C55" i="33"/>
  <c r="C5" i="33"/>
  <c r="C58" i="33"/>
  <c r="C8" i="33"/>
  <c r="C22" i="33"/>
  <c r="D63" i="33"/>
  <c r="D13" i="33"/>
  <c r="D27" i="33"/>
  <c r="E100" i="46" l="1"/>
  <c r="D116" i="46"/>
  <c r="E116" i="46" s="1"/>
  <c r="D126" i="46"/>
  <c r="E126" i="46" s="1"/>
  <c r="E110" i="46"/>
  <c r="D120" i="46"/>
  <c r="E120" i="46" s="1"/>
  <c r="E104" i="46"/>
  <c r="D122" i="46"/>
  <c r="E122" i="46" s="1"/>
  <c r="E106" i="46"/>
  <c r="D118" i="46"/>
  <c r="E118" i="46" s="1"/>
  <c r="E102" i="46"/>
  <c r="D115" i="46"/>
  <c r="E115" i="46" s="1"/>
  <c r="E99" i="46"/>
  <c r="D125" i="46"/>
  <c r="E125" i="46" s="1"/>
  <c r="E109" i="46"/>
  <c r="D129" i="46"/>
  <c r="E129" i="46" s="1"/>
  <c r="E113" i="46"/>
  <c r="D130" i="46"/>
  <c r="E130" i="46" s="1"/>
  <c r="E114" i="46"/>
  <c r="D108" i="46"/>
  <c r="E90" i="46"/>
  <c r="D119" i="46"/>
  <c r="E119" i="46" s="1"/>
  <c r="E103" i="46"/>
  <c r="C8" i="34"/>
  <c r="C40" i="34"/>
  <c r="C11" i="34"/>
  <c r="D13" i="34"/>
  <c r="D45" i="34"/>
  <c r="C5" i="34"/>
  <c r="C43" i="34"/>
  <c r="C37" i="34"/>
  <c r="C51" i="34"/>
  <c r="C23" i="33"/>
  <c r="C41" i="33" s="1"/>
  <c r="C22" i="34"/>
  <c r="C40" i="33"/>
  <c r="C33" i="34"/>
  <c r="C51" i="33"/>
  <c r="D27" i="34"/>
  <c r="D45" i="33"/>
  <c r="C19" i="34"/>
  <c r="C37" i="33"/>
  <c r="C25" i="34"/>
  <c r="C43" i="33"/>
  <c r="G39" i="34"/>
  <c r="G40" i="34" s="1"/>
  <c r="G41" i="34" s="1"/>
  <c r="G42" i="34" s="1"/>
  <c r="G43" i="34" s="1"/>
  <c r="G44" i="34" s="1"/>
  <c r="G45" i="34" s="1"/>
  <c r="G46" i="34" s="1"/>
  <c r="G47" i="34" s="1"/>
  <c r="G48" i="34" s="1"/>
  <c r="G49" i="34" s="1"/>
  <c r="G50" i="34" s="1"/>
  <c r="G51" i="34" s="1"/>
  <c r="G52" i="34" s="1"/>
  <c r="G53" i="34" s="1"/>
  <c r="G38" i="34"/>
  <c r="G21" i="34"/>
  <c r="G22" i="34" s="1"/>
  <c r="G23" i="34" s="1"/>
  <c r="G24" i="34" s="1"/>
  <c r="G25" i="34" s="1"/>
  <c r="G26" i="34" s="1"/>
  <c r="G27" i="34" s="1"/>
  <c r="G28" i="34" s="1"/>
  <c r="G29" i="34" s="1"/>
  <c r="G30" i="34" s="1"/>
  <c r="G31" i="34" s="1"/>
  <c r="G32" i="34" s="1"/>
  <c r="G33" i="34" s="1"/>
  <c r="G34" i="34" s="1"/>
  <c r="G35" i="34" s="1"/>
  <c r="G20" i="34"/>
  <c r="F21" i="34"/>
  <c r="F22" i="34" s="1"/>
  <c r="F23" i="34" s="1"/>
  <c r="F24" i="34" s="1"/>
  <c r="F25" i="34" s="1"/>
  <c r="F26" i="34" s="1"/>
  <c r="F27" i="34" s="1"/>
  <c r="F28" i="34" s="1"/>
  <c r="F29" i="34" s="1"/>
  <c r="F30" i="34" s="1"/>
  <c r="F31" i="34" s="1"/>
  <c r="F32" i="34" s="1"/>
  <c r="F33" i="34" s="1"/>
  <c r="F34" i="34" s="1"/>
  <c r="F35" i="34" s="1"/>
  <c r="F20" i="34"/>
  <c r="C9" i="33"/>
  <c r="C59" i="33"/>
  <c r="E23" i="33"/>
  <c r="E41" i="33" s="1"/>
  <c r="E9" i="33"/>
  <c r="C63" i="33"/>
  <c r="C27" i="33"/>
  <c r="C13" i="33"/>
  <c r="C67" i="33"/>
  <c r="C17" i="33"/>
  <c r="C31" i="33"/>
  <c r="C22" i="36"/>
  <c r="A68" i="57" s="1"/>
  <c r="C34" i="33"/>
  <c r="C70" i="33"/>
  <c r="E108" i="46" l="1"/>
  <c r="D124" i="46"/>
  <c r="E124" i="46" s="1"/>
  <c r="C52" i="34"/>
  <c r="C9" i="34"/>
  <c r="C49" i="34"/>
  <c r="C13" i="34"/>
  <c r="C23" i="34"/>
  <c r="C45" i="34"/>
  <c r="C41" i="34"/>
  <c r="C17" i="34"/>
  <c r="C31" i="34"/>
  <c r="C49" i="33"/>
  <c r="C27" i="34"/>
  <c r="C45" i="33"/>
  <c r="C34" i="34"/>
  <c r="C52" i="33"/>
  <c r="E24" i="33"/>
  <c r="E10" i="33"/>
  <c r="E11" i="33" s="1"/>
  <c r="E12" i="33" s="1"/>
  <c r="E13" i="33" s="1"/>
  <c r="E14" i="33" s="1"/>
  <c r="E15" i="33" s="1"/>
  <c r="E16" i="33" s="1"/>
  <c r="E17" i="33" s="1"/>
  <c r="C71" i="33"/>
  <c r="C35" i="33"/>
  <c r="C53" i="34" l="1"/>
  <c r="D57" i="36"/>
  <c r="D61" i="36"/>
  <c r="D54" i="36"/>
  <c r="D55" i="36"/>
  <c r="D64" i="36"/>
  <c r="D50" i="36"/>
  <c r="D65" i="36"/>
  <c r="D53" i="36"/>
  <c r="D51" i="36"/>
  <c r="D60" i="36"/>
  <c r="E25" i="33"/>
  <c r="E42" i="33"/>
  <c r="C35" i="34"/>
  <c r="C53" i="33"/>
  <c r="E51" i="36" l="1"/>
  <c r="D67" i="36"/>
  <c r="D92" i="34"/>
  <c r="D94" i="34"/>
  <c r="D69" i="36"/>
  <c r="E53" i="36"/>
  <c r="E61" i="36"/>
  <c r="D102" i="34"/>
  <c r="D77" i="36"/>
  <c r="E50" i="36"/>
  <c r="D66" i="36"/>
  <c r="D91" i="34"/>
  <c r="E60" i="36"/>
  <c r="D101" i="34"/>
  <c r="D76" i="36"/>
  <c r="D59" i="36"/>
  <c r="E65" i="36"/>
  <c r="D106" i="34"/>
  <c r="D81" i="36"/>
  <c r="E64" i="36"/>
  <c r="D80" i="36"/>
  <c r="D105" i="34"/>
  <c r="D95" i="34"/>
  <c r="E54" i="36"/>
  <c r="D70" i="36"/>
  <c r="E57" i="36"/>
  <c r="D98" i="34"/>
  <c r="D73" i="36"/>
  <c r="E55" i="36"/>
  <c r="D96" i="34"/>
  <c r="D71" i="36"/>
  <c r="E26" i="33"/>
  <c r="E43" i="33"/>
  <c r="E71" i="36" l="1"/>
  <c r="D161" i="34"/>
  <c r="D211" i="33"/>
  <c r="E211" i="33" s="1"/>
  <c r="E76" i="36"/>
  <c r="D166" i="34"/>
  <c r="D216" i="33"/>
  <c r="E216" i="33" s="1"/>
  <c r="E66" i="36"/>
  <c r="D206" i="33"/>
  <c r="E206" i="33" s="1"/>
  <c r="D156" i="34"/>
  <c r="H71" i="36"/>
  <c r="H55" i="36"/>
  <c r="H177" i="34"/>
  <c r="H161" i="34"/>
  <c r="E70" i="36"/>
  <c r="D210" i="33"/>
  <c r="E210" i="33" s="1"/>
  <c r="D160" i="34"/>
  <c r="E80" i="36"/>
  <c r="D170" i="34"/>
  <c r="D220" i="33"/>
  <c r="E220" i="33" s="1"/>
  <c r="E67" i="36"/>
  <c r="D157" i="34"/>
  <c r="D207" i="33"/>
  <c r="E207" i="33" s="1"/>
  <c r="E81" i="36"/>
  <c r="D171" i="34"/>
  <c r="D221" i="33"/>
  <c r="E221" i="33" s="1"/>
  <c r="E73" i="36"/>
  <c r="D163" i="34"/>
  <c r="D213" i="33"/>
  <c r="E213" i="33" s="1"/>
  <c r="E77" i="36"/>
  <c r="D167" i="34"/>
  <c r="D217" i="33"/>
  <c r="E217" i="33" s="1"/>
  <c r="E69" i="36"/>
  <c r="D159" i="34"/>
  <c r="D209" i="33"/>
  <c r="E209" i="33" s="1"/>
  <c r="D111" i="34"/>
  <c r="E111" i="34" s="1"/>
  <c r="E95" i="34"/>
  <c r="D107" i="34"/>
  <c r="E107" i="34" s="1"/>
  <c r="E91" i="34"/>
  <c r="D118" i="34"/>
  <c r="E118" i="34" s="1"/>
  <c r="E102" i="34"/>
  <c r="E94" i="34"/>
  <c r="D110" i="34"/>
  <c r="E110" i="34" s="1"/>
  <c r="D112" i="34"/>
  <c r="E112" i="34" s="1"/>
  <c r="E96" i="34"/>
  <c r="E105" i="34"/>
  <c r="D121" i="34"/>
  <c r="E121" i="34" s="1"/>
  <c r="D122" i="34"/>
  <c r="E122" i="34" s="1"/>
  <c r="E106" i="34"/>
  <c r="D108" i="34"/>
  <c r="E108" i="34" s="1"/>
  <c r="E92" i="34"/>
  <c r="D75" i="36"/>
  <c r="E59" i="36"/>
  <c r="D100" i="34"/>
  <c r="D114" i="34"/>
  <c r="E114" i="34" s="1"/>
  <c r="E98" i="34"/>
  <c r="E101" i="34"/>
  <c r="D117" i="34"/>
  <c r="E117" i="34" s="1"/>
  <c r="E27" i="33"/>
  <c r="E44" i="33"/>
  <c r="F54" i="45" l="1"/>
  <c r="I54" i="68" s="1"/>
  <c r="F53" i="45"/>
  <c r="I53" i="68" s="1"/>
  <c r="F17" i="45"/>
  <c r="I17" i="68" s="1"/>
  <c r="H14" i="45"/>
  <c r="K14" i="68" s="1"/>
  <c r="G22" i="45"/>
  <c r="J22" i="68" s="1"/>
  <c r="F13" i="45"/>
  <c r="I13" i="68" s="1"/>
  <c r="F23" i="45"/>
  <c r="I23" i="68" s="1"/>
  <c r="F25" i="45"/>
  <c r="I25" i="68" s="1"/>
  <c r="H22" i="45"/>
  <c r="K22" i="68" s="1"/>
  <c r="F14" i="45"/>
  <c r="I14" i="68" s="1"/>
  <c r="F8" i="45"/>
  <c r="I8" i="68" s="1"/>
  <c r="F21" i="45"/>
  <c r="I21" i="68" s="1"/>
  <c r="H7" i="45"/>
  <c r="K7" i="68" s="1"/>
  <c r="F22" i="45"/>
  <c r="I22" i="68" s="1"/>
  <c r="G7" i="45"/>
  <c r="J7" i="68" s="1"/>
  <c r="F10" i="45"/>
  <c r="I10" i="68" s="1"/>
  <c r="F7" i="45"/>
  <c r="I7" i="68" s="1"/>
  <c r="G14" i="45"/>
  <c r="J14" i="68" s="1"/>
  <c r="F15" i="45"/>
  <c r="I15" i="68" s="1"/>
  <c r="F6" i="45"/>
  <c r="I6" i="68" s="1"/>
  <c r="F52" i="45"/>
  <c r="F67" i="45" s="1"/>
  <c r="F18" i="45"/>
  <c r="I18" i="68" s="1"/>
  <c r="F26" i="45"/>
  <c r="I26" i="68" s="1"/>
  <c r="E171" i="34"/>
  <c r="D187" i="34"/>
  <c r="E187" i="34" s="1"/>
  <c r="D176" i="34"/>
  <c r="E176" i="34" s="1"/>
  <c r="E160" i="34"/>
  <c r="E75" i="36"/>
  <c r="D165" i="34"/>
  <c r="D215" i="33"/>
  <c r="E215" i="33" s="1"/>
  <c r="D179" i="34"/>
  <c r="E179" i="34" s="1"/>
  <c r="E163" i="34"/>
  <c r="H96" i="34"/>
  <c r="H137" i="34"/>
  <c r="H141" i="34"/>
  <c r="I71" i="36"/>
  <c r="I55" i="36"/>
  <c r="I161" i="34"/>
  <c r="I177" i="34"/>
  <c r="D183" i="34"/>
  <c r="E183" i="34" s="1"/>
  <c r="E167" i="34"/>
  <c r="E170" i="34"/>
  <c r="D186" i="34"/>
  <c r="E186" i="34" s="1"/>
  <c r="H112" i="34"/>
  <c r="H138" i="34"/>
  <c r="H142" i="34"/>
  <c r="D177" i="34"/>
  <c r="E177" i="34" s="1"/>
  <c r="E161" i="34"/>
  <c r="D175" i="34"/>
  <c r="E175" i="34" s="1"/>
  <c r="E159" i="34"/>
  <c r="E157" i="34"/>
  <c r="D173" i="34"/>
  <c r="E173" i="34" s="1"/>
  <c r="D172" i="34"/>
  <c r="E172" i="34" s="1"/>
  <c r="E156" i="34"/>
  <c r="E166" i="34"/>
  <c r="D182" i="34"/>
  <c r="E182" i="34" s="1"/>
  <c r="D116" i="34"/>
  <c r="E116" i="34" s="1"/>
  <c r="E100" i="34"/>
  <c r="E28" i="33"/>
  <c r="E45" i="33"/>
  <c r="I52" i="68" l="1"/>
  <c r="I67" i="68" s="1"/>
  <c r="F45" i="45"/>
  <c r="I45" i="68" s="1"/>
  <c r="G53" i="45"/>
  <c r="F47" i="45"/>
  <c r="I47" i="68" s="1"/>
  <c r="G54" i="45"/>
  <c r="J54" i="68" s="1"/>
  <c r="F51" i="45"/>
  <c r="I51" i="68" s="1"/>
  <c r="G25" i="45"/>
  <c r="J25" i="68" s="1"/>
  <c r="I22" i="45"/>
  <c r="L22" i="68" s="1"/>
  <c r="G8" i="45"/>
  <c r="J8" i="68" s="1"/>
  <c r="G13" i="45"/>
  <c r="J13" i="68" s="1"/>
  <c r="G18" i="45"/>
  <c r="J18" i="68" s="1"/>
  <c r="G17" i="45"/>
  <c r="J17" i="68" s="1"/>
  <c r="G6" i="45"/>
  <c r="J6" i="68" s="1"/>
  <c r="I14" i="45"/>
  <c r="L14" i="68" s="1"/>
  <c r="G15" i="45"/>
  <c r="J15" i="68" s="1"/>
  <c r="G23" i="45"/>
  <c r="J23" i="68" s="1"/>
  <c r="G26" i="45"/>
  <c r="J26" i="68" s="1"/>
  <c r="G10" i="45"/>
  <c r="J10" i="68" s="1"/>
  <c r="G21" i="45"/>
  <c r="J21" i="68" s="1"/>
  <c r="I7" i="45"/>
  <c r="L7" i="68" s="1"/>
  <c r="F50" i="45"/>
  <c r="I50" i="68" s="1"/>
  <c r="I96" i="34"/>
  <c r="I141" i="34"/>
  <c r="I137" i="34"/>
  <c r="D181" i="34"/>
  <c r="E181" i="34" s="1"/>
  <c r="E165" i="34"/>
  <c r="J71" i="36"/>
  <c r="J55" i="36"/>
  <c r="J161" i="34"/>
  <c r="J177" i="34"/>
  <c r="I112" i="34"/>
  <c r="I138" i="34"/>
  <c r="I142" i="34"/>
  <c r="E29" i="33"/>
  <c r="E46" i="33"/>
  <c r="I49" i="68" l="1"/>
  <c r="I66" i="68" s="1"/>
  <c r="F43" i="45"/>
  <c r="F65" i="45" s="1"/>
  <c r="G52" i="45"/>
  <c r="G67" i="45" s="1"/>
  <c r="J53" i="68"/>
  <c r="J52" i="68" s="1"/>
  <c r="J67" i="68" s="1"/>
  <c r="I43" i="68"/>
  <c r="I65" i="68" s="1"/>
  <c r="G47" i="45"/>
  <c r="J47" i="68" s="1"/>
  <c r="H54" i="45"/>
  <c r="K54" i="68" s="1"/>
  <c r="G45" i="45"/>
  <c r="J45" i="68" s="1"/>
  <c r="J43" i="68" s="1"/>
  <c r="J65" i="68" s="1"/>
  <c r="H53" i="45"/>
  <c r="K53" i="68" s="1"/>
  <c r="G51" i="45"/>
  <c r="J51" i="68" s="1"/>
  <c r="H26" i="45"/>
  <c r="K26" i="68" s="1"/>
  <c r="H17" i="45"/>
  <c r="K17" i="68" s="1"/>
  <c r="H15" i="45"/>
  <c r="K15" i="68" s="1"/>
  <c r="H13" i="45"/>
  <c r="K13" i="68" s="1"/>
  <c r="H18" i="45"/>
  <c r="K18" i="68" s="1"/>
  <c r="H6" i="45"/>
  <c r="K6" i="68" s="1"/>
  <c r="H10" i="45"/>
  <c r="K10" i="68" s="1"/>
  <c r="H8" i="45"/>
  <c r="K8" i="68" s="1"/>
  <c r="J14" i="45"/>
  <c r="M14" i="68" s="1"/>
  <c r="H21" i="45"/>
  <c r="K21" i="68" s="1"/>
  <c r="J22" i="45"/>
  <c r="M22" i="68" s="1"/>
  <c r="H25" i="45"/>
  <c r="K25" i="68" s="1"/>
  <c r="H23" i="45"/>
  <c r="K23" i="68" s="1"/>
  <c r="J7" i="45"/>
  <c r="M7" i="68" s="1"/>
  <c r="F49" i="45"/>
  <c r="F66" i="45" s="1"/>
  <c r="H52" i="45"/>
  <c r="H67" i="45" s="1"/>
  <c r="G50" i="45"/>
  <c r="J50" i="68" s="1"/>
  <c r="J96" i="34"/>
  <c r="J137" i="34"/>
  <c r="J141" i="34"/>
  <c r="J112" i="34"/>
  <c r="J142" i="34"/>
  <c r="J138" i="34"/>
  <c r="K71" i="36"/>
  <c r="K55" i="36"/>
  <c r="K177" i="34"/>
  <c r="K161" i="34"/>
  <c r="E30" i="33"/>
  <c r="E47" i="33"/>
  <c r="I72" i="68" l="1"/>
  <c r="F72" i="45"/>
  <c r="G43" i="45"/>
  <c r="G65" i="45" s="1"/>
  <c r="K52" i="68"/>
  <c r="K67" i="68" s="1"/>
  <c r="J49" i="68"/>
  <c r="J66" i="68" s="1"/>
  <c r="J72" i="68" s="1"/>
  <c r="I53" i="45"/>
  <c r="L53" i="68" s="1"/>
  <c r="I54" i="45"/>
  <c r="H45" i="45"/>
  <c r="K45" i="68" s="1"/>
  <c r="H47" i="45"/>
  <c r="H51" i="45"/>
  <c r="K51" i="68" s="1"/>
  <c r="G49" i="45"/>
  <c r="G66" i="45" s="1"/>
  <c r="I26" i="45"/>
  <c r="L26" i="68" s="1"/>
  <c r="I21" i="45"/>
  <c r="L21" i="68" s="1"/>
  <c r="I6" i="45"/>
  <c r="L6" i="68" s="1"/>
  <c r="K7" i="45"/>
  <c r="N7" i="68" s="1"/>
  <c r="I8" i="45"/>
  <c r="L8" i="68" s="1"/>
  <c r="I10" i="45"/>
  <c r="L10" i="68" s="1"/>
  <c r="I23" i="45"/>
  <c r="L23" i="68" s="1"/>
  <c r="I25" i="45"/>
  <c r="L25" i="68" s="1"/>
  <c r="I15" i="45"/>
  <c r="L15" i="68" s="1"/>
  <c r="I17" i="45"/>
  <c r="L17" i="68" s="1"/>
  <c r="K22" i="45"/>
  <c r="N22" i="68" s="1"/>
  <c r="I13" i="45"/>
  <c r="L13" i="68" s="1"/>
  <c r="K14" i="45"/>
  <c r="N14" i="68" s="1"/>
  <c r="I18" i="45"/>
  <c r="L18" i="68" s="1"/>
  <c r="H50" i="45"/>
  <c r="K50" i="68" s="1"/>
  <c r="L71" i="36"/>
  <c r="L55" i="36"/>
  <c r="L177" i="34"/>
  <c r="L161" i="34"/>
  <c r="K112" i="34"/>
  <c r="K142" i="34"/>
  <c r="K138" i="34"/>
  <c r="K96" i="34"/>
  <c r="K141" i="34"/>
  <c r="K137" i="34"/>
  <c r="E31" i="33"/>
  <c r="E48" i="33"/>
  <c r="G72" i="45" l="1"/>
  <c r="I52" i="45"/>
  <c r="I67" i="45" s="1"/>
  <c r="L54" i="68"/>
  <c r="L52" i="68" s="1"/>
  <c r="L67" i="68" s="1"/>
  <c r="K49" i="68"/>
  <c r="K66" i="68" s="1"/>
  <c r="H43" i="45"/>
  <c r="H65" i="45" s="1"/>
  <c r="K47" i="68"/>
  <c r="K43" i="68" s="1"/>
  <c r="K65" i="68" s="1"/>
  <c r="J53" i="45"/>
  <c r="M53" i="68" s="1"/>
  <c r="J54" i="45"/>
  <c r="M54" i="68" s="1"/>
  <c r="I45" i="45"/>
  <c r="I47" i="45"/>
  <c r="L47" i="68" s="1"/>
  <c r="I51" i="45"/>
  <c r="L51" i="68" s="1"/>
  <c r="J15" i="45"/>
  <c r="M15" i="68" s="1"/>
  <c r="J13" i="45"/>
  <c r="M13" i="68" s="1"/>
  <c r="L22" i="45"/>
  <c r="O22" i="68" s="1"/>
  <c r="J8" i="45"/>
  <c r="M8" i="68" s="1"/>
  <c r="I50" i="45"/>
  <c r="L50" i="68" s="1"/>
  <c r="J26" i="45"/>
  <c r="M26" i="68" s="1"/>
  <c r="J6" i="45"/>
  <c r="M6" i="68" s="1"/>
  <c r="J10" i="45"/>
  <c r="M10" i="68" s="1"/>
  <c r="J23" i="45"/>
  <c r="M23" i="68" s="1"/>
  <c r="L7" i="45"/>
  <c r="O7" i="68" s="1"/>
  <c r="J17" i="45"/>
  <c r="M17" i="68" s="1"/>
  <c r="J18" i="45"/>
  <c r="M18" i="68" s="1"/>
  <c r="J25" i="45"/>
  <c r="M25" i="68" s="1"/>
  <c r="L14" i="45"/>
  <c r="O14" i="68" s="1"/>
  <c r="J21" i="45"/>
  <c r="M21" i="68" s="1"/>
  <c r="H49" i="45"/>
  <c r="H66" i="45" s="1"/>
  <c r="M71" i="36"/>
  <c r="M55" i="36"/>
  <c r="M177" i="34"/>
  <c r="M161" i="34"/>
  <c r="L96" i="34"/>
  <c r="L137" i="34"/>
  <c r="L141" i="34"/>
  <c r="L112" i="34"/>
  <c r="L138" i="34"/>
  <c r="L142" i="34"/>
  <c r="E32" i="33"/>
  <c r="E49" i="33"/>
  <c r="H72" i="45" l="1"/>
  <c r="L49" i="68"/>
  <c r="L66" i="68" s="1"/>
  <c r="M52" i="68"/>
  <c r="K72" i="68"/>
  <c r="I43" i="45"/>
  <c r="I65" i="45" s="1"/>
  <c r="L45" i="68"/>
  <c r="L43" i="68" s="1"/>
  <c r="L65" i="68" s="1"/>
  <c r="L72" i="68" s="1"/>
  <c r="J52" i="45"/>
  <c r="J67" i="45" s="1"/>
  <c r="J45" i="45"/>
  <c r="M45" i="68" s="1"/>
  <c r="J47" i="45"/>
  <c r="M47" i="68" s="1"/>
  <c r="K53" i="45"/>
  <c r="N53" i="68" s="1"/>
  <c r="M67" i="68"/>
  <c r="K54" i="45"/>
  <c r="N54" i="68" s="1"/>
  <c r="J51" i="45"/>
  <c r="M51" i="68" s="1"/>
  <c r="I49" i="45"/>
  <c r="I66" i="45" s="1"/>
  <c r="K10" i="45"/>
  <c r="N10" i="68" s="1"/>
  <c r="K26" i="45"/>
  <c r="N26" i="68" s="1"/>
  <c r="K21" i="45"/>
  <c r="N21" i="68" s="1"/>
  <c r="K8" i="45"/>
  <c r="N8" i="68" s="1"/>
  <c r="M7" i="45"/>
  <c r="P7" i="68" s="1"/>
  <c r="K6" i="45"/>
  <c r="N6" i="68" s="1"/>
  <c r="M14" i="45"/>
  <c r="P14" i="68" s="1"/>
  <c r="K17" i="45"/>
  <c r="N17" i="68" s="1"/>
  <c r="K15" i="45"/>
  <c r="N15" i="68" s="1"/>
  <c r="M22" i="45"/>
  <c r="P22" i="68" s="1"/>
  <c r="K25" i="45"/>
  <c r="N25" i="68" s="1"/>
  <c r="K23" i="45"/>
  <c r="N23" i="68" s="1"/>
  <c r="K18" i="45"/>
  <c r="N18" i="68" s="1"/>
  <c r="K13" i="45"/>
  <c r="N13" i="68" s="1"/>
  <c r="J50" i="45"/>
  <c r="M50" i="68" s="1"/>
  <c r="K52" i="45"/>
  <c r="K67" i="45" s="1"/>
  <c r="M96" i="34"/>
  <c r="M137" i="34"/>
  <c r="M141" i="34"/>
  <c r="N55" i="36"/>
  <c r="N71" i="36"/>
  <c r="N177" i="34"/>
  <c r="N161" i="34"/>
  <c r="M112" i="34"/>
  <c r="M142" i="34"/>
  <c r="M138" i="34"/>
  <c r="E33" i="33"/>
  <c r="E50" i="33"/>
  <c r="J43" i="45" l="1"/>
  <c r="J65" i="45" s="1"/>
  <c r="I72" i="45"/>
  <c r="M49" i="68"/>
  <c r="M66" i="68" s="1"/>
  <c r="N52" i="68"/>
  <c r="M43" i="68"/>
  <c r="M65" i="68" s="1"/>
  <c r="K47" i="45"/>
  <c r="N47" i="68" s="1"/>
  <c r="K45" i="45"/>
  <c r="L53" i="45"/>
  <c r="O53" i="68" s="1"/>
  <c r="N67" i="68"/>
  <c r="L54" i="45"/>
  <c r="O54" i="68" s="1"/>
  <c r="K51" i="45"/>
  <c r="N51" i="68" s="1"/>
  <c r="L10" i="45"/>
  <c r="O10" i="68" s="1"/>
  <c r="L8" i="45"/>
  <c r="O8" i="68" s="1"/>
  <c r="N14" i="45"/>
  <c r="Q14" i="68" s="1"/>
  <c r="L26" i="45"/>
  <c r="O26" i="68" s="1"/>
  <c r="L23" i="45"/>
  <c r="O23" i="68" s="1"/>
  <c r="N22" i="45"/>
  <c r="Q22" i="68" s="1"/>
  <c r="L21" i="45"/>
  <c r="O21" i="68" s="1"/>
  <c r="L17" i="45"/>
  <c r="O17" i="68" s="1"/>
  <c r="L25" i="45"/>
  <c r="O25" i="68" s="1"/>
  <c r="L6" i="45"/>
  <c r="O6" i="68" s="1"/>
  <c r="L15" i="45"/>
  <c r="O15" i="68" s="1"/>
  <c r="N7" i="45"/>
  <c r="Q7" i="68" s="1"/>
  <c r="L13" i="45"/>
  <c r="O13" i="68" s="1"/>
  <c r="L18" i="45"/>
  <c r="O18" i="68" s="1"/>
  <c r="L52" i="45"/>
  <c r="L67" i="45" s="1"/>
  <c r="J49" i="45"/>
  <c r="J66" i="45" s="1"/>
  <c r="K50" i="45"/>
  <c r="N50" i="68" s="1"/>
  <c r="O71" i="36"/>
  <c r="O55" i="36"/>
  <c r="O161" i="34"/>
  <c r="O177" i="34"/>
  <c r="N112" i="34"/>
  <c r="N138" i="34"/>
  <c r="N142" i="34"/>
  <c r="N96" i="34"/>
  <c r="N137" i="34"/>
  <c r="N141" i="34"/>
  <c r="E34" i="33"/>
  <c r="E51" i="33"/>
  <c r="J72" i="45" l="1"/>
  <c r="M72" i="68"/>
  <c r="N49" i="68"/>
  <c r="N66" i="68" s="1"/>
  <c r="O52" i="68"/>
  <c r="O67" i="68" s="1"/>
  <c r="K43" i="45"/>
  <c r="K65" i="45" s="1"/>
  <c r="N45" i="68"/>
  <c r="N43" i="68" s="1"/>
  <c r="N65" i="68" s="1"/>
  <c r="L45" i="45"/>
  <c r="O45" i="68" s="1"/>
  <c r="M53" i="45"/>
  <c r="P53" i="68" s="1"/>
  <c r="M54" i="45"/>
  <c r="P54" i="68" s="1"/>
  <c r="L47" i="45"/>
  <c r="L51" i="45"/>
  <c r="O51" i="68" s="1"/>
  <c r="L50" i="45"/>
  <c r="O50" i="68" s="1"/>
  <c r="M21" i="45"/>
  <c r="P21" i="68" s="1"/>
  <c r="M23" i="45"/>
  <c r="P23" i="68" s="1"/>
  <c r="M26" i="45"/>
  <c r="P26" i="68" s="1"/>
  <c r="O22" i="45"/>
  <c r="R22" i="68" s="1"/>
  <c r="M15" i="45"/>
  <c r="P15" i="68" s="1"/>
  <c r="M18" i="45"/>
  <c r="P18" i="68" s="1"/>
  <c r="M25" i="45"/>
  <c r="P25" i="68" s="1"/>
  <c r="O7" i="45"/>
  <c r="R7" i="68" s="1"/>
  <c r="M13" i="45"/>
  <c r="P13" i="68" s="1"/>
  <c r="M10" i="45"/>
  <c r="P10" i="68" s="1"/>
  <c r="M8" i="45"/>
  <c r="P8" i="68" s="1"/>
  <c r="M6" i="45"/>
  <c r="P6" i="68" s="1"/>
  <c r="M17" i="45"/>
  <c r="P17" i="68" s="1"/>
  <c r="O14" i="45"/>
  <c r="R14" i="68" s="1"/>
  <c r="M52" i="45"/>
  <c r="M67" i="45" s="1"/>
  <c r="K49" i="45"/>
  <c r="K66" i="45" s="1"/>
  <c r="O96" i="34"/>
  <c r="O141" i="34"/>
  <c r="O137" i="34"/>
  <c r="O112" i="34"/>
  <c r="O138" i="34"/>
  <c r="O142" i="34"/>
  <c r="P71" i="36"/>
  <c r="P55" i="36"/>
  <c r="P177" i="34"/>
  <c r="P161" i="34"/>
  <c r="E35" i="33"/>
  <c r="E52" i="33"/>
  <c r="K72" i="45" l="1"/>
  <c r="N72" i="68"/>
  <c r="O49" i="68"/>
  <c r="O66" i="68" s="1"/>
  <c r="P52" i="68"/>
  <c r="P67" i="68" s="1"/>
  <c r="L43" i="45"/>
  <c r="L65" i="45" s="1"/>
  <c r="O47" i="68"/>
  <c r="O43" i="68" s="1"/>
  <c r="O65" i="68" s="1"/>
  <c r="N54" i="45"/>
  <c r="Q54" i="68" s="1"/>
  <c r="M45" i="45"/>
  <c r="P45" i="68" s="1"/>
  <c r="M47" i="45"/>
  <c r="P47" i="68" s="1"/>
  <c r="N53" i="45"/>
  <c r="M51" i="45"/>
  <c r="P51" i="68" s="1"/>
  <c r="L49" i="45"/>
  <c r="L66" i="45" s="1"/>
  <c r="N13" i="45"/>
  <c r="Q13" i="68" s="1"/>
  <c r="P14" i="45"/>
  <c r="S14" i="68" s="1"/>
  <c r="N6" i="45"/>
  <c r="Q6" i="68" s="1"/>
  <c r="N17" i="45"/>
  <c r="Q17" i="68" s="1"/>
  <c r="N8" i="45"/>
  <c r="Q8" i="68" s="1"/>
  <c r="N15" i="45"/>
  <c r="Q15" i="68" s="1"/>
  <c r="P7" i="45"/>
  <c r="S7" i="68" s="1"/>
  <c r="N21" i="45"/>
  <c r="Q21" i="68" s="1"/>
  <c r="N25" i="45"/>
  <c r="Q25" i="68" s="1"/>
  <c r="N23" i="45"/>
  <c r="Q23" i="68" s="1"/>
  <c r="N18" i="45"/>
  <c r="Q18" i="68" s="1"/>
  <c r="P22" i="45"/>
  <c r="S22" i="68" s="1"/>
  <c r="N26" i="45"/>
  <c r="Q26" i="68" s="1"/>
  <c r="N10" i="45"/>
  <c r="Q10" i="68" s="1"/>
  <c r="M50" i="45"/>
  <c r="P50" i="68" s="1"/>
  <c r="Q71" i="36"/>
  <c r="Q55" i="36"/>
  <c r="Q161" i="34"/>
  <c r="Q177" i="34"/>
  <c r="P96" i="34"/>
  <c r="P137" i="34"/>
  <c r="P141" i="34"/>
  <c r="P112" i="34"/>
  <c r="P138" i="34"/>
  <c r="P142" i="34"/>
  <c r="E54" i="33"/>
  <c r="E55" i="33" s="1"/>
  <c r="E56" i="33" s="1"/>
  <c r="E53" i="33"/>
  <c r="L72" i="45" l="1"/>
  <c r="P43" i="68"/>
  <c r="P65" i="68" s="1"/>
  <c r="O72" i="68"/>
  <c r="N52" i="45"/>
  <c r="N67" i="45" s="1"/>
  <c r="Q53" i="68"/>
  <c r="Q52" i="68" s="1"/>
  <c r="Q67" i="68" s="1"/>
  <c r="M43" i="45"/>
  <c r="M65" i="45" s="1"/>
  <c r="P49" i="68"/>
  <c r="P66" i="68" s="1"/>
  <c r="N45" i="45"/>
  <c r="Q45" i="68" s="1"/>
  <c r="N47" i="45"/>
  <c r="Q47" i="68" s="1"/>
  <c r="O54" i="45"/>
  <c r="R54" i="68" s="1"/>
  <c r="O53" i="45"/>
  <c r="R53" i="68" s="1"/>
  <c r="N51" i="45"/>
  <c r="Q51" i="68" s="1"/>
  <c r="O15" i="45"/>
  <c r="R15" i="68" s="1"/>
  <c r="O18" i="45"/>
  <c r="R18" i="68" s="1"/>
  <c r="O8" i="45"/>
  <c r="R8" i="68" s="1"/>
  <c r="O26" i="45"/>
  <c r="R26" i="68" s="1"/>
  <c r="Q7" i="45"/>
  <c r="T7" i="68" s="1"/>
  <c r="O25" i="45"/>
  <c r="R25" i="68" s="1"/>
  <c r="O23" i="45"/>
  <c r="R23" i="68" s="1"/>
  <c r="O13" i="45"/>
  <c r="R13" i="68" s="1"/>
  <c r="Q14" i="45"/>
  <c r="T14" i="68" s="1"/>
  <c r="O17" i="45"/>
  <c r="R17" i="68" s="1"/>
  <c r="O21" i="45"/>
  <c r="R21" i="68" s="1"/>
  <c r="Q22" i="45"/>
  <c r="T22" i="68" s="1"/>
  <c r="O10" i="45"/>
  <c r="R10" i="68" s="1"/>
  <c r="O6" i="45"/>
  <c r="R6" i="68" s="1"/>
  <c r="M49" i="45"/>
  <c r="M66" i="45" s="1"/>
  <c r="O52" i="45"/>
  <c r="O67" i="45" s="1"/>
  <c r="N50" i="45"/>
  <c r="Q50" i="68" s="1"/>
  <c r="Q96" i="34"/>
  <c r="Q141" i="34"/>
  <c r="Q137" i="34"/>
  <c r="R71" i="36"/>
  <c r="R55" i="36"/>
  <c r="R177" i="34"/>
  <c r="R161" i="34"/>
  <c r="Q112" i="34"/>
  <c r="Q142" i="34"/>
  <c r="Q138" i="34"/>
  <c r="M72" i="45" l="1"/>
  <c r="R52" i="68"/>
  <c r="R67" i="68" s="1"/>
  <c r="P72" i="68"/>
  <c r="Q49" i="68"/>
  <c r="Q66" i="68" s="1"/>
  <c r="Q43" i="68"/>
  <c r="Q65" i="68" s="1"/>
  <c r="N43" i="45"/>
  <c r="N65" i="45" s="1"/>
  <c r="O45" i="45"/>
  <c r="R45" i="68" s="1"/>
  <c r="P54" i="45"/>
  <c r="S54" i="68" s="1"/>
  <c r="O47" i="45"/>
  <c r="R47" i="68" s="1"/>
  <c r="P53" i="45"/>
  <c r="S53" i="68" s="1"/>
  <c r="O51" i="45"/>
  <c r="R51" i="68" s="1"/>
  <c r="N49" i="45"/>
  <c r="N66" i="45" s="1"/>
  <c r="P13" i="45"/>
  <c r="S13" i="68" s="1"/>
  <c r="R14" i="45"/>
  <c r="U14" i="68" s="1"/>
  <c r="P8" i="45"/>
  <c r="S8" i="68" s="1"/>
  <c r="P6" i="45"/>
  <c r="S6" i="68" s="1"/>
  <c r="P18" i="45"/>
  <c r="S18" i="68" s="1"/>
  <c r="P17" i="45"/>
  <c r="S17" i="68" s="1"/>
  <c r="R22" i="45"/>
  <c r="U22" i="68" s="1"/>
  <c r="P23" i="45"/>
  <c r="S23" i="68" s="1"/>
  <c r="P10" i="45"/>
  <c r="S10" i="68" s="1"/>
  <c r="P21" i="45"/>
  <c r="S21" i="68" s="1"/>
  <c r="P26" i="45"/>
  <c r="S26" i="68" s="1"/>
  <c r="R7" i="45"/>
  <c r="U7" i="68" s="1"/>
  <c r="P15" i="45"/>
  <c r="S15" i="68" s="1"/>
  <c r="P25" i="45"/>
  <c r="S25" i="68" s="1"/>
  <c r="P52" i="45"/>
  <c r="P67" i="45" s="1"/>
  <c r="O50" i="45"/>
  <c r="R50" i="68" s="1"/>
  <c r="R112" i="34"/>
  <c r="R142" i="34"/>
  <c r="R138" i="34"/>
  <c r="S71" i="36"/>
  <c r="S55" i="36"/>
  <c r="S177" i="34"/>
  <c r="S161" i="34"/>
  <c r="R96" i="34"/>
  <c r="R137" i="34"/>
  <c r="R141" i="34"/>
  <c r="N72" i="45" l="1"/>
  <c r="O43" i="45"/>
  <c r="O65" i="45" s="1"/>
  <c r="Q72" i="68"/>
  <c r="R49" i="68"/>
  <c r="R66" i="68" s="1"/>
  <c r="S52" i="68"/>
  <c r="S67" i="68" s="1"/>
  <c r="R43" i="68"/>
  <c r="R65" i="68" s="1"/>
  <c r="Q53" i="45"/>
  <c r="T53" i="68" s="1"/>
  <c r="Q54" i="45"/>
  <c r="T54" i="68" s="1"/>
  <c r="P47" i="45"/>
  <c r="S47" i="68" s="1"/>
  <c r="P45" i="45"/>
  <c r="S45" i="68" s="1"/>
  <c r="P51" i="45"/>
  <c r="S51" i="68" s="1"/>
  <c r="S22" i="45"/>
  <c r="V22" i="68" s="1"/>
  <c r="S7" i="45"/>
  <c r="V7" i="68" s="1"/>
  <c r="Q18" i="45"/>
  <c r="T18" i="68" s="1"/>
  <c r="Q6" i="45"/>
  <c r="T6" i="68" s="1"/>
  <c r="Q10" i="45"/>
  <c r="T10" i="68" s="1"/>
  <c r="Q26" i="45"/>
  <c r="T26" i="68" s="1"/>
  <c r="Q21" i="45"/>
  <c r="T21" i="68" s="1"/>
  <c r="Q17" i="45"/>
  <c r="T17" i="68" s="1"/>
  <c r="Q8" i="45"/>
  <c r="T8" i="68" s="1"/>
  <c r="O49" i="45"/>
  <c r="O66" i="45" s="1"/>
  <c r="Q13" i="45"/>
  <c r="T13" i="68" s="1"/>
  <c r="Q15" i="45"/>
  <c r="T15" i="68" s="1"/>
  <c r="S14" i="45"/>
  <c r="V14" i="68" s="1"/>
  <c r="Q25" i="45"/>
  <c r="T25" i="68" s="1"/>
  <c r="Q23" i="45"/>
  <c r="T23" i="68" s="1"/>
  <c r="P50" i="45"/>
  <c r="S50" i="68" s="1"/>
  <c r="T55" i="36"/>
  <c r="T71" i="36"/>
  <c r="T161" i="34"/>
  <c r="T177" i="34"/>
  <c r="S96" i="34"/>
  <c r="S141" i="34"/>
  <c r="S137" i="34"/>
  <c r="S112" i="34"/>
  <c r="S138" i="34"/>
  <c r="S142" i="34"/>
  <c r="O72" i="45" l="1"/>
  <c r="S43" i="68"/>
  <c r="S65" i="68" s="1"/>
  <c r="R72" i="68"/>
  <c r="P43" i="45"/>
  <c r="P65" i="45" s="1"/>
  <c r="T52" i="68"/>
  <c r="T67" i="68" s="1"/>
  <c r="S49" i="68"/>
  <c r="S66" i="68" s="1"/>
  <c r="Q52" i="45"/>
  <c r="Q67" i="45" s="1"/>
  <c r="Q45" i="45"/>
  <c r="T45" i="68" s="1"/>
  <c r="Q47" i="45"/>
  <c r="R54" i="45"/>
  <c r="U54" i="68" s="1"/>
  <c r="R53" i="45"/>
  <c r="U53" i="68" s="1"/>
  <c r="P49" i="45"/>
  <c r="P66" i="45" s="1"/>
  <c r="Q51" i="45"/>
  <c r="T51" i="68" s="1"/>
  <c r="R8" i="45"/>
  <c r="U8" i="68" s="1"/>
  <c r="R23" i="45"/>
  <c r="U23" i="68" s="1"/>
  <c r="T7" i="45"/>
  <c r="W7" i="68" s="1"/>
  <c r="R21" i="45"/>
  <c r="U21" i="68" s="1"/>
  <c r="R18" i="45"/>
  <c r="U18" i="68" s="1"/>
  <c r="T22" i="45"/>
  <c r="W22" i="68" s="1"/>
  <c r="R17" i="45"/>
  <c r="U17" i="68" s="1"/>
  <c r="R15" i="45"/>
  <c r="U15" i="68" s="1"/>
  <c r="R26" i="45"/>
  <c r="U26" i="68" s="1"/>
  <c r="R10" i="45"/>
  <c r="U10" i="68" s="1"/>
  <c r="R13" i="45"/>
  <c r="U13" i="68" s="1"/>
  <c r="T14" i="45"/>
  <c r="W14" i="68" s="1"/>
  <c r="R25" i="45"/>
  <c r="U25" i="68" s="1"/>
  <c r="R6" i="45"/>
  <c r="U6" i="68" s="1"/>
  <c r="Q50" i="45"/>
  <c r="T50" i="68" s="1"/>
  <c r="R52" i="45"/>
  <c r="R67" i="45" s="1"/>
  <c r="T112" i="34"/>
  <c r="T142" i="34"/>
  <c r="T138" i="34"/>
  <c r="U71" i="36"/>
  <c r="U55" i="36"/>
  <c r="U161" i="34"/>
  <c r="U177" i="34"/>
  <c r="T96" i="34"/>
  <c r="T141" i="34"/>
  <c r="T137" i="34"/>
  <c r="S72" i="68" l="1"/>
  <c r="P72" i="45"/>
  <c r="U52" i="68"/>
  <c r="U67" i="68" s="1"/>
  <c r="T49" i="68"/>
  <c r="T66" i="68" s="1"/>
  <c r="Q43" i="45"/>
  <c r="Q65" i="45" s="1"/>
  <c r="T47" i="68"/>
  <c r="T43" i="68" s="1"/>
  <c r="T65" i="68" s="1"/>
  <c r="R47" i="45"/>
  <c r="U47" i="68" s="1"/>
  <c r="R45" i="45"/>
  <c r="U45" i="68" s="1"/>
  <c r="S54" i="45"/>
  <c r="V54" i="68" s="1"/>
  <c r="S53" i="45"/>
  <c r="V53" i="68" s="1"/>
  <c r="R51" i="45"/>
  <c r="U51" i="68" s="1"/>
  <c r="Q49" i="45"/>
  <c r="Q66" i="45" s="1"/>
  <c r="S13" i="45"/>
  <c r="V13" i="68" s="1"/>
  <c r="S15" i="45"/>
  <c r="V15" i="68" s="1"/>
  <c r="S26" i="45"/>
  <c r="V26" i="68" s="1"/>
  <c r="S10" i="45"/>
  <c r="V10" i="68" s="1"/>
  <c r="S23" i="45"/>
  <c r="V23" i="68" s="1"/>
  <c r="U14" i="45"/>
  <c r="X14" i="68" s="1"/>
  <c r="S8" i="45"/>
  <c r="V8" i="68" s="1"/>
  <c r="S17" i="45"/>
  <c r="V17" i="68" s="1"/>
  <c r="S21" i="45"/>
  <c r="V21" i="68" s="1"/>
  <c r="S25" i="45"/>
  <c r="V25" i="68" s="1"/>
  <c r="S6" i="45"/>
  <c r="V6" i="68" s="1"/>
  <c r="U22" i="45"/>
  <c r="X22" i="68" s="1"/>
  <c r="S18" i="45"/>
  <c r="V18" i="68" s="1"/>
  <c r="U7" i="45"/>
  <c r="X7" i="68" s="1"/>
  <c r="R50" i="45"/>
  <c r="U50" i="68" s="1"/>
  <c r="U96" i="34"/>
  <c r="U137" i="34"/>
  <c r="U141" i="34"/>
  <c r="V71" i="36"/>
  <c r="V55" i="36"/>
  <c r="V161" i="34"/>
  <c r="V177" i="34"/>
  <c r="U112" i="34"/>
  <c r="U138" i="34"/>
  <c r="U142" i="34"/>
  <c r="Q72" i="45" l="1"/>
  <c r="U43" i="68"/>
  <c r="U65" i="68" s="1"/>
  <c r="V52" i="68"/>
  <c r="V67" i="68" s="1"/>
  <c r="S52" i="45"/>
  <c r="S67" i="45" s="1"/>
  <c r="T72" i="68"/>
  <c r="R43" i="45"/>
  <c r="R65" i="45" s="1"/>
  <c r="U49" i="68"/>
  <c r="U66" i="68" s="1"/>
  <c r="T53" i="45"/>
  <c r="W53" i="68" s="1"/>
  <c r="S45" i="45"/>
  <c r="V45" i="68" s="1"/>
  <c r="S47" i="45"/>
  <c r="V47" i="68" s="1"/>
  <c r="T54" i="45"/>
  <c r="W54" i="68" s="1"/>
  <c r="S51" i="45"/>
  <c r="V51" i="68" s="1"/>
  <c r="R49" i="45"/>
  <c r="R66" i="45" s="1"/>
  <c r="T26" i="45"/>
  <c r="W26" i="68" s="1"/>
  <c r="T6" i="45"/>
  <c r="W6" i="68" s="1"/>
  <c r="T10" i="45"/>
  <c r="W10" i="68" s="1"/>
  <c r="V22" i="45"/>
  <c r="Y22" i="68" s="1"/>
  <c r="T8" i="45"/>
  <c r="W8" i="68" s="1"/>
  <c r="T18" i="45"/>
  <c r="W18" i="68" s="1"/>
  <c r="T17" i="45"/>
  <c r="W17" i="68" s="1"/>
  <c r="V14" i="45"/>
  <c r="Y14" i="68" s="1"/>
  <c r="T15" i="45"/>
  <c r="W15" i="68" s="1"/>
  <c r="T13" i="45"/>
  <c r="W13" i="68" s="1"/>
  <c r="T25" i="45"/>
  <c r="W25" i="68" s="1"/>
  <c r="T23" i="45"/>
  <c r="W23" i="68" s="1"/>
  <c r="T21" i="45"/>
  <c r="W21" i="68" s="1"/>
  <c r="V7" i="45"/>
  <c r="Y7" i="68" s="1"/>
  <c r="T52" i="45"/>
  <c r="T67" i="45" s="1"/>
  <c r="S50" i="45"/>
  <c r="V50" i="68" s="1"/>
  <c r="W71" i="36"/>
  <c r="W55" i="36"/>
  <c r="W177" i="34"/>
  <c r="W161" i="34"/>
  <c r="V112" i="34"/>
  <c r="V142" i="34"/>
  <c r="V138" i="34"/>
  <c r="V96" i="34"/>
  <c r="V137" i="34"/>
  <c r="V141" i="34"/>
  <c r="U72" i="68" l="1"/>
  <c r="R72" i="45"/>
  <c r="V43" i="68"/>
  <c r="V65" i="68" s="1"/>
  <c r="S43" i="45"/>
  <c r="S65" i="45" s="1"/>
  <c r="V49" i="68"/>
  <c r="V66" i="68" s="1"/>
  <c r="W52" i="68"/>
  <c r="U54" i="45"/>
  <c r="X54" i="68" s="1"/>
  <c r="T47" i="45"/>
  <c r="W47" i="68" s="1"/>
  <c r="W67" i="68"/>
  <c r="T45" i="45"/>
  <c r="U53" i="45"/>
  <c r="X53" i="68" s="1"/>
  <c r="T51" i="45"/>
  <c r="W51" i="68" s="1"/>
  <c r="W22" i="45"/>
  <c r="Z22" i="68" s="1"/>
  <c r="U23" i="45"/>
  <c r="X23" i="68" s="1"/>
  <c r="U17" i="45"/>
  <c r="X17" i="68" s="1"/>
  <c r="U18" i="45"/>
  <c r="X18" i="68" s="1"/>
  <c r="U25" i="45"/>
  <c r="X25" i="68" s="1"/>
  <c r="W14" i="45"/>
  <c r="Z14" i="68" s="1"/>
  <c r="U6" i="45"/>
  <c r="X6" i="68" s="1"/>
  <c r="U15" i="45"/>
  <c r="X15" i="68" s="1"/>
  <c r="U10" i="45"/>
  <c r="X10" i="68" s="1"/>
  <c r="U26" i="45"/>
  <c r="X26" i="68" s="1"/>
  <c r="U13" i="45"/>
  <c r="X13" i="68" s="1"/>
  <c r="W7" i="45"/>
  <c r="Z7" i="68" s="1"/>
  <c r="U21" i="45"/>
  <c r="X21" i="68" s="1"/>
  <c r="U8" i="45"/>
  <c r="X8" i="68" s="1"/>
  <c r="U52" i="45"/>
  <c r="U67" i="45" s="1"/>
  <c r="S49" i="45"/>
  <c r="S66" i="45" s="1"/>
  <c r="T50" i="45"/>
  <c r="W50" i="68" s="1"/>
  <c r="X71" i="36"/>
  <c r="X55" i="36"/>
  <c r="X161" i="34"/>
  <c r="X177" i="34"/>
  <c r="W96" i="34"/>
  <c r="W141" i="34"/>
  <c r="W137" i="34"/>
  <c r="W112" i="34"/>
  <c r="W138" i="34"/>
  <c r="W142" i="34"/>
  <c r="E57" i="33"/>
  <c r="S72" i="45" l="1"/>
  <c r="V72" i="68"/>
  <c r="W49" i="68"/>
  <c r="W66" i="68" s="1"/>
  <c r="X52" i="68"/>
  <c r="X67" i="68" s="1"/>
  <c r="T43" i="45"/>
  <c r="T65" i="45" s="1"/>
  <c r="W45" i="68"/>
  <c r="W43" i="68" s="1"/>
  <c r="W65" i="68" s="1"/>
  <c r="U45" i="45"/>
  <c r="X45" i="68" s="1"/>
  <c r="U47" i="45"/>
  <c r="V54" i="45"/>
  <c r="Y54" i="68" s="1"/>
  <c r="V53" i="45"/>
  <c r="Y53" i="68" s="1"/>
  <c r="U51" i="45"/>
  <c r="X51" i="68" s="1"/>
  <c r="T49" i="45"/>
  <c r="T66" i="45" s="1"/>
  <c r="X14" i="45"/>
  <c r="AA14" i="68" s="1"/>
  <c r="V8" i="45"/>
  <c r="Y8" i="68" s="1"/>
  <c r="X7" i="45"/>
  <c r="AA7" i="68" s="1"/>
  <c r="V25" i="45"/>
  <c r="Y25" i="68" s="1"/>
  <c r="X22" i="45"/>
  <c r="AA22" i="68" s="1"/>
  <c r="V18" i="45"/>
  <c r="Y18" i="68" s="1"/>
  <c r="V10" i="45"/>
  <c r="Y10" i="68" s="1"/>
  <c r="V13" i="45"/>
  <c r="Y13" i="68" s="1"/>
  <c r="V17" i="45"/>
  <c r="Y17" i="68" s="1"/>
  <c r="V21" i="45"/>
  <c r="Y21" i="68" s="1"/>
  <c r="V23" i="45"/>
  <c r="Y23" i="68" s="1"/>
  <c r="V26" i="45"/>
  <c r="Y26" i="68" s="1"/>
  <c r="V15" i="45"/>
  <c r="Y15" i="68" s="1"/>
  <c r="V6" i="45"/>
  <c r="Y6" i="68" s="1"/>
  <c r="U50" i="45"/>
  <c r="X50" i="68" s="1"/>
  <c r="Y71" i="36"/>
  <c r="Y55" i="36"/>
  <c r="Y161" i="34"/>
  <c r="Y177" i="34"/>
  <c r="X96" i="34"/>
  <c r="X141" i="34"/>
  <c r="X137" i="34"/>
  <c r="X112" i="34"/>
  <c r="X142" i="34"/>
  <c r="X138" i="34"/>
  <c r="E58" i="33"/>
  <c r="W72" i="68" l="1"/>
  <c r="V52" i="45"/>
  <c r="V67" i="45" s="1"/>
  <c r="T72" i="45"/>
  <c r="U43" i="45"/>
  <c r="U65" i="45" s="1"/>
  <c r="X47" i="68"/>
  <c r="X43" i="68" s="1"/>
  <c r="X65" i="68" s="1"/>
  <c r="X49" i="68"/>
  <c r="X66" i="68" s="1"/>
  <c r="Y52" i="68"/>
  <c r="Y67" i="68" s="1"/>
  <c r="V45" i="45"/>
  <c r="Y45" i="68" s="1"/>
  <c r="V47" i="45"/>
  <c r="Y47" i="68" s="1"/>
  <c r="W54" i="45"/>
  <c r="Z54" i="68" s="1"/>
  <c r="W53" i="45"/>
  <c r="Z53" i="68" s="1"/>
  <c r="V51" i="45"/>
  <c r="Y51" i="68" s="1"/>
  <c r="W26" i="45"/>
  <c r="Z26" i="68" s="1"/>
  <c r="W8" i="45"/>
  <c r="Z8" i="68" s="1"/>
  <c r="W17" i="45"/>
  <c r="Z17" i="68" s="1"/>
  <c r="W13" i="45"/>
  <c r="Z13" i="68" s="1"/>
  <c r="W18" i="45"/>
  <c r="Z18" i="68" s="1"/>
  <c r="W15" i="45"/>
  <c r="Z15" i="68" s="1"/>
  <c r="W6" i="45"/>
  <c r="Z6" i="68" s="1"/>
  <c r="Y14" i="45"/>
  <c r="AB14" i="68" s="1"/>
  <c r="W10" i="45"/>
  <c r="Z10" i="68" s="1"/>
  <c r="Y7" i="45"/>
  <c r="AB7" i="68" s="1"/>
  <c r="Y22" i="45"/>
  <c r="AB22" i="68" s="1"/>
  <c r="W25" i="45"/>
  <c r="Z25" i="68" s="1"/>
  <c r="W23" i="45"/>
  <c r="Z23" i="68" s="1"/>
  <c r="W21" i="45"/>
  <c r="Z21" i="68" s="1"/>
  <c r="V50" i="45"/>
  <c r="Y50" i="68" s="1"/>
  <c r="U49" i="45"/>
  <c r="U66" i="45" s="1"/>
  <c r="W52" i="45"/>
  <c r="W67" i="45" s="1"/>
  <c r="Z71" i="36"/>
  <c r="Z55" i="36"/>
  <c r="Z161" i="34"/>
  <c r="Z177" i="34"/>
  <c r="Y96" i="34"/>
  <c r="Y141" i="34"/>
  <c r="Y137" i="34"/>
  <c r="Y112" i="34"/>
  <c r="Y142" i="34"/>
  <c r="Y138" i="34"/>
  <c r="E59" i="33"/>
  <c r="U72" i="45" l="1"/>
  <c r="Z52" i="68"/>
  <c r="Z67" i="68" s="1"/>
  <c r="V43" i="45"/>
  <c r="V65" i="45" s="1"/>
  <c r="Y43" i="68"/>
  <c r="Y65" i="68" s="1"/>
  <c r="X72" i="68"/>
  <c r="Y49" i="68"/>
  <c r="Y66" i="68" s="1"/>
  <c r="W45" i="45"/>
  <c r="Z45" i="68" s="1"/>
  <c r="X53" i="45"/>
  <c r="AA53" i="68" s="1"/>
  <c r="W47" i="45"/>
  <c r="Z47" i="68" s="1"/>
  <c r="X54" i="45"/>
  <c r="AA54" i="68" s="1"/>
  <c r="W51" i="45"/>
  <c r="Z51" i="68" s="1"/>
  <c r="X13" i="45"/>
  <c r="AA13" i="68" s="1"/>
  <c r="Z22" i="45"/>
  <c r="AC22" i="68" s="1"/>
  <c r="X21" i="45"/>
  <c r="AA21" i="68" s="1"/>
  <c r="X15" i="45"/>
  <c r="AA15" i="68" s="1"/>
  <c r="Z14" i="45"/>
  <c r="AC14" i="68" s="1"/>
  <c r="X17" i="45"/>
  <c r="AA17" i="68" s="1"/>
  <c r="X8" i="45"/>
  <c r="AA8" i="68" s="1"/>
  <c r="V49" i="45"/>
  <c r="V66" i="45" s="1"/>
  <c r="X18" i="45"/>
  <c r="AA18" i="68" s="1"/>
  <c r="X10" i="45"/>
  <c r="AA10" i="68" s="1"/>
  <c r="X26" i="45"/>
  <c r="AA26" i="68" s="1"/>
  <c r="X6" i="45"/>
  <c r="AA6" i="68" s="1"/>
  <c r="Z7" i="45"/>
  <c r="AC7" i="68" s="1"/>
  <c r="X25" i="45"/>
  <c r="AA25" i="68" s="1"/>
  <c r="X23" i="45"/>
  <c r="AA23" i="68" s="1"/>
  <c r="X52" i="45"/>
  <c r="X67" i="45" s="1"/>
  <c r="W50" i="45"/>
  <c r="Z50" i="68" s="1"/>
  <c r="AA71" i="36"/>
  <c r="AA55" i="36"/>
  <c r="AA161" i="34"/>
  <c r="AA177" i="34"/>
  <c r="Z96" i="34"/>
  <c r="Z141" i="34"/>
  <c r="Z137" i="34"/>
  <c r="Z112" i="34"/>
  <c r="Z142" i="34"/>
  <c r="Z138" i="34"/>
  <c r="E60" i="33"/>
  <c r="E61" i="33" s="1"/>
  <c r="E62" i="33" s="1"/>
  <c r="E63" i="33" s="1"/>
  <c r="E64" i="33" s="1"/>
  <c r="E65" i="33" s="1"/>
  <c r="E66" i="33" s="1"/>
  <c r="E67" i="33" s="1"/>
  <c r="E68" i="33" s="1"/>
  <c r="E69" i="33" s="1"/>
  <c r="E70" i="33" s="1"/>
  <c r="E71" i="33" s="1"/>
  <c r="V72" i="45" l="1"/>
  <c r="W43" i="45"/>
  <c r="W65" i="45" s="1"/>
  <c r="Z43" i="68"/>
  <c r="Z65" i="68" s="1"/>
  <c r="Y72" i="68"/>
  <c r="Z49" i="68"/>
  <c r="Z66" i="68" s="1"/>
  <c r="AA52" i="68"/>
  <c r="AA67" i="68" s="1"/>
  <c r="Y53" i="45"/>
  <c r="AB53" i="68" s="1"/>
  <c r="X45" i="45"/>
  <c r="AA45" i="68" s="1"/>
  <c r="X47" i="45"/>
  <c r="AA47" i="68" s="1"/>
  <c r="Y54" i="45"/>
  <c r="AB54" i="68" s="1"/>
  <c r="X51" i="45"/>
  <c r="AA51" i="68" s="1"/>
  <c r="Y25" i="45"/>
  <c r="AB25" i="68" s="1"/>
  <c r="AA14" i="45"/>
  <c r="AD14" i="68" s="1"/>
  <c r="Y18" i="45"/>
  <c r="AB18" i="68" s="1"/>
  <c r="Y10" i="45"/>
  <c r="AB10" i="68" s="1"/>
  <c r="Y21" i="45"/>
  <c r="AB21" i="68" s="1"/>
  <c r="Y15" i="45"/>
  <c r="AB15" i="68" s="1"/>
  <c r="AA7" i="45"/>
  <c r="AD7" i="68" s="1"/>
  <c r="Y13" i="45"/>
  <c r="AB13" i="68" s="1"/>
  <c r="Y26" i="45"/>
  <c r="AB26" i="68" s="1"/>
  <c r="W49" i="45"/>
  <c r="W66" i="45" s="1"/>
  <c r="W72" i="45" s="1"/>
  <c r="Y23" i="45"/>
  <c r="AB23" i="68" s="1"/>
  <c r="Y17" i="45"/>
  <c r="AB17" i="68" s="1"/>
  <c r="Y8" i="45"/>
  <c r="AB8" i="68" s="1"/>
  <c r="AA22" i="45"/>
  <c r="AD22" i="68" s="1"/>
  <c r="Y6" i="45"/>
  <c r="AB6" i="68" s="1"/>
  <c r="X50" i="45"/>
  <c r="AA50" i="68" s="1"/>
  <c r="Y52" i="45"/>
  <c r="Y67" i="45" s="1"/>
  <c r="AA96" i="34"/>
  <c r="AA137" i="34"/>
  <c r="AA141" i="34"/>
  <c r="AB71" i="36"/>
  <c r="AB55" i="36"/>
  <c r="AB161" i="34"/>
  <c r="AB177" i="34"/>
  <c r="AA112" i="34"/>
  <c r="AA142" i="34"/>
  <c r="AA138" i="34"/>
  <c r="Z72" i="68" l="1"/>
  <c r="AA43" i="68"/>
  <c r="AA65" i="68" s="1"/>
  <c r="X43" i="45"/>
  <c r="X65" i="45" s="1"/>
  <c r="AB52" i="68"/>
  <c r="AB67" i="68" s="1"/>
  <c r="AA49" i="68"/>
  <c r="AA66" i="68" s="1"/>
  <c r="Y47" i="45"/>
  <c r="AB47" i="68" s="1"/>
  <c r="Y45" i="45"/>
  <c r="AB45" i="68" s="1"/>
  <c r="Z54" i="45"/>
  <c r="AC54" i="68" s="1"/>
  <c r="Z53" i="45"/>
  <c r="AC53" i="68" s="1"/>
  <c r="Y51" i="45"/>
  <c r="AB51" i="68" s="1"/>
  <c r="X49" i="45"/>
  <c r="X66" i="45" s="1"/>
  <c r="Z8" i="45"/>
  <c r="AC8" i="68" s="1"/>
  <c r="Z25" i="45"/>
  <c r="AC25" i="68" s="1"/>
  <c r="AB22" i="45"/>
  <c r="Z18" i="45"/>
  <c r="AC18" i="68" s="1"/>
  <c r="Z21" i="45"/>
  <c r="AC21" i="68" s="1"/>
  <c r="AB7" i="45"/>
  <c r="Z6" i="45"/>
  <c r="AC6" i="68" s="1"/>
  <c r="Z15" i="45"/>
  <c r="AC15" i="68" s="1"/>
  <c r="Z10" i="45"/>
  <c r="AC10" i="68" s="1"/>
  <c r="Z26" i="45"/>
  <c r="AC26" i="68" s="1"/>
  <c r="Z17" i="45"/>
  <c r="AC17" i="68" s="1"/>
  <c r="Z23" i="45"/>
  <c r="AC23" i="68" s="1"/>
  <c r="AB14" i="45"/>
  <c r="Z13" i="45"/>
  <c r="AC13" i="68" s="1"/>
  <c r="Y50" i="45"/>
  <c r="AB50" i="68" s="1"/>
  <c r="AB96" i="34"/>
  <c r="AB141" i="34"/>
  <c r="AB137" i="34"/>
  <c r="AC71" i="36"/>
  <c r="AC55" i="36"/>
  <c r="AC161" i="34"/>
  <c r="AC177" i="34"/>
  <c r="AB112" i="34"/>
  <c r="AB138" i="34"/>
  <c r="AB142" i="34"/>
  <c r="X72" i="45" l="1"/>
  <c r="AB43" i="68"/>
  <c r="AB65" i="68" s="1"/>
  <c r="Z52" i="45"/>
  <c r="Z67" i="45" s="1"/>
  <c r="Y43" i="45"/>
  <c r="Y65" i="45" s="1"/>
  <c r="AA72" i="68"/>
  <c r="AC52" i="68"/>
  <c r="AC67" i="68" s="1"/>
  <c r="AB49" i="68"/>
  <c r="AB66" i="68" s="1"/>
  <c r="Z47" i="45"/>
  <c r="AC47" i="68" s="1"/>
  <c r="AA54" i="45"/>
  <c r="AD54" i="68" s="1"/>
  <c r="AA53" i="45"/>
  <c r="AD53" i="68" s="1"/>
  <c r="Z45" i="45"/>
  <c r="AC45" i="68" s="1"/>
  <c r="Z51" i="45"/>
  <c r="AC51" i="68" s="1"/>
  <c r="AC7" i="45"/>
  <c r="AA26" i="45"/>
  <c r="AD26" i="68" s="1"/>
  <c r="AC22" i="45"/>
  <c r="AA10" i="45"/>
  <c r="AD10" i="68" s="1"/>
  <c r="AA13" i="45"/>
  <c r="AD13" i="68" s="1"/>
  <c r="AA8" i="45"/>
  <c r="AD8" i="68" s="1"/>
  <c r="AA25" i="45"/>
  <c r="AD25" i="68" s="1"/>
  <c r="AA21" i="45"/>
  <c r="AD21" i="68" s="1"/>
  <c r="AA15" i="45"/>
  <c r="AD15" i="68" s="1"/>
  <c r="AC14" i="45"/>
  <c r="AA18" i="45"/>
  <c r="AD18" i="68" s="1"/>
  <c r="AA6" i="45"/>
  <c r="AD6" i="68" s="1"/>
  <c r="AA23" i="45"/>
  <c r="AD23" i="68" s="1"/>
  <c r="AA17" i="45"/>
  <c r="AD17" i="68" s="1"/>
  <c r="Y49" i="45"/>
  <c r="Y66" i="45" s="1"/>
  <c r="Z50" i="45"/>
  <c r="AC50" i="68" s="1"/>
  <c r="AC96" i="34"/>
  <c r="AC137" i="34"/>
  <c r="AC141" i="34"/>
  <c r="AD177" i="34"/>
  <c r="AD161" i="34"/>
  <c r="AC112" i="34"/>
  <c r="AC138" i="34"/>
  <c r="AC142" i="34"/>
  <c r="Y72" i="45" l="1"/>
  <c r="AB72" i="68"/>
  <c r="Z43" i="45"/>
  <c r="Z65" i="45" s="1"/>
  <c r="AC43" i="68"/>
  <c r="AC65" i="68" s="1"/>
  <c r="AA52" i="45"/>
  <c r="AA67" i="45" s="1"/>
  <c r="AC49" i="68"/>
  <c r="AC66" i="68" s="1"/>
  <c r="AD52" i="68"/>
  <c r="AD67" i="68" s="1"/>
  <c r="AA45" i="45"/>
  <c r="AD45" i="68" s="1"/>
  <c r="AA47" i="45"/>
  <c r="AD47" i="68" s="1"/>
  <c r="AA51" i="45"/>
  <c r="AD51" i="68" s="1"/>
  <c r="AD14" i="45"/>
  <c r="AB17" i="45"/>
  <c r="AD22" i="45"/>
  <c r="AB15" i="45"/>
  <c r="AB10" i="45"/>
  <c r="AD7" i="45"/>
  <c r="AB23" i="45"/>
  <c r="AB8" i="45"/>
  <c r="AB25" i="45"/>
  <c r="Z49" i="45"/>
  <c r="Z66" i="45" s="1"/>
  <c r="AE177" i="34"/>
  <c r="AE161" i="34"/>
  <c r="AA50" i="45"/>
  <c r="AD50" i="68" s="1"/>
  <c r="AD112" i="34"/>
  <c r="AD96" i="34"/>
  <c r="AD43" i="68" l="1"/>
  <c r="AD65" i="68" s="1"/>
  <c r="AA43" i="45"/>
  <c r="AA65" i="45" s="1"/>
  <c r="AD49" i="68"/>
  <c r="AD66" i="68" s="1"/>
  <c r="AC8" i="45"/>
  <c r="AE22" i="45"/>
  <c r="AC10" i="45"/>
  <c r="AC23" i="45"/>
  <c r="AC25" i="45"/>
  <c r="AC15" i="45"/>
  <c r="AE7" i="45"/>
  <c r="AC17" i="45"/>
  <c r="AE14" i="45"/>
  <c r="AA49" i="45"/>
  <c r="AA66" i="45" s="1"/>
  <c r="AF161" i="34"/>
  <c r="AF177" i="34"/>
  <c r="AE96" i="34"/>
  <c r="AE112" i="34"/>
  <c r="AD23" i="45" l="1"/>
  <c r="AF22" i="45"/>
  <c r="AD10" i="45"/>
  <c r="AD15" i="45"/>
  <c r="AF7" i="45"/>
  <c r="AD25" i="45"/>
  <c r="AF14" i="45"/>
  <c r="AD17" i="45"/>
  <c r="AD8" i="45"/>
  <c r="AF96" i="34"/>
  <c r="AG161" i="34"/>
  <c r="AG177" i="34"/>
  <c r="AF112" i="34"/>
  <c r="AE25" i="45" l="1"/>
  <c r="AE10" i="45"/>
  <c r="AG22" i="45"/>
  <c r="AE15" i="45"/>
  <c r="AE23" i="45"/>
  <c r="AG7" i="45"/>
  <c r="AE17" i="45"/>
  <c r="AE8" i="45"/>
  <c r="AG14" i="45"/>
  <c r="AH177" i="34"/>
  <c r="AH161" i="34"/>
  <c r="AG96" i="34"/>
  <c r="AG112" i="34"/>
  <c r="AF25" i="45" l="1"/>
  <c r="AF15" i="45"/>
  <c r="AF17" i="45"/>
  <c r="AF8" i="45"/>
  <c r="AF10" i="45"/>
  <c r="AF23" i="45"/>
  <c r="AI177" i="34"/>
  <c r="AI161" i="34"/>
  <c r="AH96" i="34"/>
  <c r="AH112" i="34"/>
  <c r="AG8" i="45" l="1"/>
  <c r="AG23" i="45"/>
  <c r="AG10" i="45"/>
  <c r="AG17" i="45"/>
  <c r="AG15" i="45"/>
  <c r="AG25" i="45"/>
  <c r="AI96" i="34"/>
  <c r="AI112" i="34"/>
  <c r="AH22" i="45" l="1"/>
  <c r="AH14" i="45" l="1"/>
  <c r="AH7" i="45"/>
  <c r="AI22" i="45"/>
  <c r="AH23" i="45" l="1"/>
  <c r="AI14" i="45"/>
  <c r="AI7" i="45"/>
  <c r="AJ22" i="45"/>
  <c r="AI23" i="45" l="1"/>
  <c r="AH8" i="45"/>
  <c r="AH15" i="45"/>
  <c r="AJ14" i="45"/>
  <c r="AK22" i="45"/>
  <c r="AJ7" i="45"/>
  <c r="AK71" i="36"/>
  <c r="R1487" i="67" s="1"/>
  <c r="AK161" i="34"/>
  <c r="AK177" i="34"/>
  <c r="AK55" i="36"/>
  <c r="R1471" i="67" s="1"/>
  <c r="R384" i="67" l="1"/>
  <c r="R536" i="67"/>
  <c r="R839" i="67"/>
  <c r="R688" i="67"/>
  <c r="R78" i="67"/>
  <c r="R231" i="67"/>
  <c r="R368" i="67"/>
  <c r="R215" i="67"/>
  <c r="R520" i="67"/>
  <c r="R823" i="67"/>
  <c r="R62" i="67"/>
  <c r="AI15" i="45"/>
  <c r="AI8" i="45"/>
  <c r="AJ23" i="45"/>
  <c r="AL22" i="45"/>
  <c r="AK14" i="45"/>
  <c r="AK7" i="45"/>
  <c r="AK112" i="34"/>
  <c r="AL71" i="36"/>
  <c r="S1487" i="67" s="1"/>
  <c r="AL161" i="34"/>
  <c r="AL177" i="34"/>
  <c r="AK96" i="34"/>
  <c r="AL55" i="36"/>
  <c r="S1471" i="67" s="1"/>
  <c r="S78" i="67" l="1"/>
  <c r="S384" i="67"/>
  <c r="S536" i="67"/>
  <c r="S231" i="67"/>
  <c r="S839" i="67"/>
  <c r="S688" i="67"/>
  <c r="S368" i="67"/>
  <c r="S520" i="67"/>
  <c r="S823" i="67"/>
  <c r="S62" i="67"/>
  <c r="S215" i="67"/>
  <c r="AJ15" i="45"/>
  <c r="AJ8" i="45"/>
  <c r="AK23" i="45"/>
  <c r="AL14" i="45"/>
  <c r="AL7" i="45"/>
  <c r="AM22" i="45"/>
  <c r="AL112" i="34"/>
  <c r="AM71" i="36"/>
  <c r="T1487" i="67" s="1"/>
  <c r="AM161" i="34"/>
  <c r="AM177" i="34"/>
  <c r="AL96" i="34"/>
  <c r="AM55" i="36"/>
  <c r="T1471" i="67" s="1"/>
  <c r="T368" i="67" l="1"/>
  <c r="T823" i="67"/>
  <c r="T215" i="67"/>
  <c r="T520" i="67"/>
  <c r="T62" i="67"/>
  <c r="T231" i="67"/>
  <c r="T839" i="67"/>
  <c r="T536" i="67"/>
  <c r="T384" i="67"/>
  <c r="T688" i="67"/>
  <c r="T78" i="67"/>
  <c r="AK15" i="45"/>
  <c r="AK8" i="45"/>
  <c r="AL23" i="45"/>
  <c r="AN22" i="45"/>
  <c r="AM7" i="45"/>
  <c r="AM14" i="45"/>
  <c r="AM112" i="34"/>
  <c r="AN71" i="36"/>
  <c r="U1487" i="67" s="1"/>
  <c r="AN177" i="34"/>
  <c r="AN161" i="34"/>
  <c r="AM96" i="34"/>
  <c r="AN55" i="36"/>
  <c r="U1471" i="67" s="1"/>
  <c r="U536" i="67" l="1"/>
  <c r="U78" i="67"/>
  <c r="U688" i="67"/>
  <c r="U231" i="67"/>
  <c r="U384" i="67"/>
  <c r="U839" i="67"/>
  <c r="U368" i="67"/>
  <c r="U520" i="67"/>
  <c r="U823" i="67"/>
  <c r="U215" i="67"/>
  <c r="U62" i="67"/>
  <c r="AM23" i="45"/>
  <c r="AL8" i="45"/>
  <c r="AL15" i="45"/>
  <c r="AN7" i="45"/>
  <c r="AO22" i="45"/>
  <c r="AN14" i="45"/>
  <c r="AN112" i="34"/>
  <c r="AO71" i="36"/>
  <c r="V1487" i="67" s="1"/>
  <c r="AO161" i="34"/>
  <c r="AO177" i="34"/>
  <c r="AN96" i="34"/>
  <c r="AO55" i="36"/>
  <c r="V1471" i="67" s="1"/>
  <c r="V520" i="67" l="1"/>
  <c r="V215" i="67"/>
  <c r="V368" i="67"/>
  <c r="V823" i="67"/>
  <c r="V62" i="67"/>
  <c r="V231" i="67"/>
  <c r="V384" i="67"/>
  <c r="V536" i="67"/>
  <c r="V839" i="67"/>
  <c r="V688" i="67"/>
  <c r="V78" i="67"/>
  <c r="AN23" i="45"/>
  <c r="AM8" i="45"/>
  <c r="AM15" i="45"/>
  <c r="AO14" i="45"/>
  <c r="AO7" i="45"/>
  <c r="AP22" i="45"/>
  <c r="AO112" i="34"/>
  <c r="AP71" i="36"/>
  <c r="W1487" i="67" s="1"/>
  <c r="AP161" i="34"/>
  <c r="AP177" i="34"/>
  <c r="AO96" i="34"/>
  <c r="AP55" i="36"/>
  <c r="W1471" i="67" s="1"/>
  <c r="W368" i="67" l="1"/>
  <c r="W823" i="67"/>
  <c r="W62" i="67"/>
  <c r="W215" i="67"/>
  <c r="W520" i="67"/>
  <c r="W688" i="67"/>
  <c r="W839" i="67"/>
  <c r="W78" i="67"/>
  <c r="W231" i="67"/>
  <c r="W384" i="67"/>
  <c r="W536" i="67"/>
  <c r="AN15" i="45"/>
  <c r="AO23" i="45"/>
  <c r="AN8" i="45"/>
  <c r="AQ22" i="45"/>
  <c r="AP7" i="45"/>
  <c r="AP14" i="45"/>
  <c r="AP112" i="34"/>
  <c r="AQ71" i="36"/>
  <c r="X1487" i="67" s="1"/>
  <c r="AQ161" i="34"/>
  <c r="AQ177" i="34"/>
  <c r="AP96" i="34"/>
  <c r="AQ55" i="36"/>
  <c r="X1471" i="67" s="1"/>
  <c r="X536" i="67" l="1"/>
  <c r="X78" i="67"/>
  <c r="X688" i="67"/>
  <c r="X231" i="67"/>
  <c r="X839" i="67"/>
  <c r="X384" i="67"/>
  <c r="X823" i="67"/>
  <c r="X215" i="67"/>
  <c r="X368" i="67"/>
  <c r="X520" i="67"/>
  <c r="X62" i="67"/>
  <c r="AO15" i="45"/>
  <c r="AP23" i="45"/>
  <c r="AO8" i="45"/>
  <c r="AR22" i="45"/>
  <c r="AQ7" i="45"/>
  <c r="AQ14" i="45"/>
  <c r="AQ112" i="34"/>
  <c r="AR71" i="36"/>
  <c r="Y1487" i="67" s="1"/>
  <c r="AR161" i="34"/>
  <c r="AR177" i="34"/>
  <c r="AQ96" i="34"/>
  <c r="AR55" i="36"/>
  <c r="Y1471" i="67" s="1"/>
  <c r="Y520" i="67" l="1"/>
  <c r="Y62" i="67"/>
  <c r="Y823" i="67"/>
  <c r="Y215" i="67"/>
  <c r="Y368" i="67"/>
  <c r="Y688" i="67"/>
  <c r="Y231" i="67"/>
  <c r="Y384" i="67"/>
  <c r="Y839" i="67"/>
  <c r="Y536" i="67"/>
  <c r="Y78" i="67"/>
  <c r="AP15" i="45"/>
  <c r="AQ23" i="45"/>
  <c r="AP8" i="45"/>
  <c r="AS22" i="45"/>
  <c r="AR14" i="45"/>
  <c r="AR7" i="45"/>
  <c r="AR112" i="34"/>
  <c r="AS71" i="36"/>
  <c r="Z1487" i="67" s="1"/>
  <c r="AS161" i="34"/>
  <c r="AS177" i="34"/>
  <c r="AR96" i="34"/>
  <c r="AS55" i="36"/>
  <c r="Z1471" i="67" s="1"/>
  <c r="Z839" i="67" l="1"/>
  <c r="Z688" i="67"/>
  <c r="Z231" i="67"/>
  <c r="Z384" i="67"/>
  <c r="Z536" i="67"/>
  <c r="Z78" i="67"/>
  <c r="Z520" i="67"/>
  <c r="Z62" i="67"/>
  <c r="Z368" i="67"/>
  <c r="Z823" i="67"/>
  <c r="Z215" i="67"/>
  <c r="AQ15" i="45"/>
  <c r="AQ8" i="45"/>
  <c r="AR23" i="45"/>
  <c r="AS14" i="45"/>
  <c r="AT22" i="45"/>
  <c r="AS7" i="45"/>
  <c r="AS112" i="34"/>
  <c r="AT71" i="36"/>
  <c r="AA1487" i="67" s="1"/>
  <c r="AT161" i="34"/>
  <c r="AT177" i="34"/>
  <c r="AS96" i="34"/>
  <c r="AT55" i="36"/>
  <c r="AA1471" i="67" s="1"/>
  <c r="AA839" i="67" l="1"/>
  <c r="AA688" i="67"/>
  <c r="AA78" i="67"/>
  <c r="AA231" i="67"/>
  <c r="AA384" i="67"/>
  <c r="AA536" i="67"/>
  <c r="AA368" i="67"/>
  <c r="AA520" i="67"/>
  <c r="AA62" i="67"/>
  <c r="AA823" i="67"/>
  <c r="AA215" i="67"/>
  <c r="AR15" i="45"/>
  <c r="AS23" i="45"/>
  <c r="AR8" i="45"/>
  <c r="AT7" i="45"/>
  <c r="AU22" i="45"/>
  <c r="AT14" i="45"/>
  <c r="AT112" i="34"/>
  <c r="AU71" i="36"/>
  <c r="AB1487" i="67" s="1"/>
  <c r="AU161" i="34"/>
  <c r="AU177" i="34"/>
  <c r="AT96" i="34"/>
  <c r="AU55" i="36"/>
  <c r="AB1471" i="67" s="1"/>
  <c r="AB823" i="67" l="1"/>
  <c r="AB215" i="67"/>
  <c r="AB368" i="67"/>
  <c r="AB520" i="67"/>
  <c r="AB62" i="67"/>
  <c r="AB231" i="67"/>
  <c r="AB384" i="67"/>
  <c r="AB536" i="67"/>
  <c r="AB688" i="67"/>
  <c r="AB839" i="67"/>
  <c r="AB78" i="67"/>
  <c r="AT23" i="45"/>
  <c r="AS15" i="45"/>
  <c r="AS8" i="45"/>
  <c r="AU7" i="45"/>
  <c r="AV22" i="45"/>
  <c r="AU14" i="45"/>
  <c r="AU112" i="34"/>
  <c r="AV71" i="36"/>
  <c r="AC1487" i="67" s="1"/>
  <c r="AV177" i="34"/>
  <c r="AV161" i="34"/>
  <c r="AU96" i="34"/>
  <c r="AV55" i="36"/>
  <c r="AC1471" i="67" s="1"/>
  <c r="AC839" i="67" l="1"/>
  <c r="AC688" i="67"/>
  <c r="AC231" i="67"/>
  <c r="AC384" i="67"/>
  <c r="AC536" i="67"/>
  <c r="AC78" i="67"/>
  <c r="AC215" i="67"/>
  <c r="AC368" i="67"/>
  <c r="AC520" i="67"/>
  <c r="AC823" i="67"/>
  <c r="AC62" i="67"/>
  <c r="AU23" i="45"/>
  <c r="AT8" i="45"/>
  <c r="AT15" i="45"/>
  <c r="AV7" i="45"/>
  <c r="AW22" i="45"/>
  <c r="AV14" i="45"/>
  <c r="AV112" i="34"/>
  <c r="AW71" i="36"/>
  <c r="AD1487" i="67" s="1"/>
  <c r="AW161" i="34"/>
  <c r="AW177" i="34"/>
  <c r="AV96" i="34"/>
  <c r="AW55" i="36"/>
  <c r="AD1471" i="67" s="1"/>
  <c r="AD368" i="67" l="1"/>
  <c r="AD520" i="67"/>
  <c r="AD62" i="67"/>
  <c r="AD823" i="67"/>
  <c r="AD215" i="67"/>
  <c r="AD231" i="67"/>
  <c r="AD536" i="67"/>
  <c r="AD688" i="67"/>
  <c r="AD384" i="67"/>
  <c r="AD839" i="67"/>
  <c r="AD78" i="67"/>
  <c r="AV23" i="45"/>
  <c r="AU8" i="45"/>
  <c r="AU15" i="45"/>
  <c r="AW7" i="45"/>
  <c r="AX22" i="45"/>
  <c r="AW14" i="45"/>
  <c r="AW112" i="34"/>
  <c r="AX71" i="36"/>
  <c r="AE1487" i="67" s="1"/>
  <c r="AX161" i="34"/>
  <c r="AX177" i="34"/>
  <c r="AW96" i="34"/>
  <c r="AX55" i="36"/>
  <c r="AE1471" i="67" s="1"/>
  <c r="AE823" i="67" l="1"/>
  <c r="AE62" i="67"/>
  <c r="AE215" i="67"/>
  <c r="AE368" i="67"/>
  <c r="AE520" i="67"/>
  <c r="AE384" i="67"/>
  <c r="AE688" i="67"/>
  <c r="AE231" i="67"/>
  <c r="AE839" i="67"/>
  <c r="AE536" i="67"/>
  <c r="AE78" i="67"/>
  <c r="AV8" i="45"/>
  <c r="AW23" i="45"/>
  <c r="AV15" i="45"/>
  <c r="AX7" i="45"/>
  <c r="AY22" i="45"/>
  <c r="AX14" i="45"/>
  <c r="AX112" i="34"/>
  <c r="AY71" i="36"/>
  <c r="AF1487" i="67" s="1"/>
  <c r="AY161" i="34"/>
  <c r="AY177" i="34"/>
  <c r="AX96" i="34"/>
  <c r="AY55" i="36"/>
  <c r="AF1471" i="67" s="1"/>
  <c r="AF839" i="67" l="1"/>
  <c r="AF688" i="67"/>
  <c r="AF231" i="67"/>
  <c r="AF384" i="67"/>
  <c r="AF536" i="67"/>
  <c r="AF78" i="67"/>
  <c r="AF368" i="67"/>
  <c r="AF520" i="67"/>
  <c r="AF823" i="67"/>
  <c r="AF215" i="67"/>
  <c r="AF62" i="67"/>
  <c r="AX23" i="45"/>
  <c r="AW8" i="45"/>
  <c r="AW15" i="45"/>
  <c r="AY7" i="45"/>
  <c r="AY14" i="45"/>
  <c r="AZ22" i="45"/>
  <c r="AY112" i="34"/>
  <c r="AZ71" i="36"/>
  <c r="AG1487" i="67" s="1"/>
  <c r="AZ161" i="34"/>
  <c r="AZ177" i="34"/>
  <c r="AY96" i="34"/>
  <c r="AZ55" i="36"/>
  <c r="AG1471" i="67" s="1"/>
  <c r="AG839" i="67" l="1"/>
  <c r="AG536" i="67"/>
  <c r="AG78" i="67"/>
  <c r="AG688" i="67"/>
  <c r="AG231" i="67"/>
  <c r="AG384" i="67"/>
  <c r="AG215" i="67"/>
  <c r="AG368" i="67"/>
  <c r="AG520" i="67"/>
  <c r="AG823" i="67"/>
  <c r="AG62" i="67"/>
  <c r="AX8" i="45"/>
  <c r="AY23" i="45"/>
  <c r="AX15" i="45"/>
  <c r="BA22" i="45"/>
  <c r="AZ7" i="45"/>
  <c r="AZ14" i="45"/>
  <c r="AZ112" i="34"/>
  <c r="BA71" i="36"/>
  <c r="AH1487" i="67" s="1"/>
  <c r="BA161" i="34"/>
  <c r="BA177" i="34"/>
  <c r="AZ96" i="34"/>
  <c r="BA55" i="36"/>
  <c r="AH1471" i="67" s="1"/>
  <c r="AH368" i="67" l="1"/>
  <c r="AH520" i="67"/>
  <c r="AH215" i="67"/>
  <c r="AH823" i="67"/>
  <c r="AH62" i="67"/>
  <c r="AH839" i="67"/>
  <c r="AH536" i="67"/>
  <c r="AH688" i="67"/>
  <c r="AH78" i="67"/>
  <c r="AH231" i="67"/>
  <c r="AH384" i="67"/>
  <c r="AY15" i="45"/>
  <c r="AY8" i="45"/>
  <c r="AZ23" i="45"/>
  <c r="BA14" i="45"/>
  <c r="BA7" i="45"/>
  <c r="BB22" i="45"/>
  <c r="BA112" i="34"/>
  <c r="BB71" i="36"/>
  <c r="AI1487" i="67" s="1"/>
  <c r="BB161" i="34"/>
  <c r="BB177" i="34"/>
  <c r="BA96" i="34"/>
  <c r="BB55" i="36"/>
  <c r="AI1471" i="67" s="1"/>
  <c r="AI384" i="67" l="1"/>
  <c r="AI839" i="67"/>
  <c r="AI536" i="67"/>
  <c r="AI78" i="67"/>
  <c r="AI688" i="67"/>
  <c r="AI231" i="67"/>
  <c r="AI823" i="67"/>
  <c r="AI62" i="67"/>
  <c r="AI215" i="67"/>
  <c r="AI368" i="67"/>
  <c r="AI520" i="67"/>
  <c r="G5" i="45"/>
  <c r="F5" i="45"/>
  <c r="G12" i="45"/>
  <c r="AZ8" i="45"/>
  <c r="BA23" i="45"/>
  <c r="F12" i="45"/>
  <c r="G20" i="45"/>
  <c r="AZ15" i="45"/>
  <c r="F20" i="45"/>
  <c r="BB7" i="45"/>
  <c r="BC22" i="45"/>
  <c r="BB14" i="45"/>
  <c r="BB112" i="34"/>
  <c r="BC71" i="36"/>
  <c r="AJ1487" i="67" s="1"/>
  <c r="BC161" i="34"/>
  <c r="BC177" i="34"/>
  <c r="BB96" i="34"/>
  <c r="BC55" i="36"/>
  <c r="AJ1471" i="67" s="1"/>
  <c r="AJ368" i="67" l="1"/>
  <c r="AJ520" i="67"/>
  <c r="AJ62" i="67"/>
  <c r="AJ823" i="67"/>
  <c r="AJ215" i="67"/>
  <c r="AJ688" i="67"/>
  <c r="AJ231" i="67"/>
  <c r="AJ384" i="67"/>
  <c r="AJ839" i="67"/>
  <c r="AJ536" i="67"/>
  <c r="AJ78" i="67"/>
  <c r="G19" i="45"/>
  <c r="G60" i="45" s="1"/>
  <c r="J20" i="68"/>
  <c r="J19" i="68" s="1"/>
  <c r="J60" i="68" s="1"/>
  <c r="G11" i="45"/>
  <c r="G59" i="45" s="1"/>
  <c r="G71" i="45" s="1"/>
  <c r="G73" i="45" s="1"/>
  <c r="G80" i="45" s="1"/>
  <c r="J12" i="68"/>
  <c r="J11" i="68" s="1"/>
  <c r="J59" i="68" s="1"/>
  <c r="F11" i="45"/>
  <c r="F59" i="45" s="1"/>
  <c r="I12" i="68"/>
  <c r="I11" i="68" s="1"/>
  <c r="I59" i="68" s="1"/>
  <c r="F4" i="45"/>
  <c r="F58" i="45" s="1"/>
  <c r="I5" i="68"/>
  <c r="I4" i="68" s="1"/>
  <c r="I58" i="68" s="1"/>
  <c r="F19" i="45"/>
  <c r="F60" i="45" s="1"/>
  <c r="I20" i="68"/>
  <c r="I19" i="68" s="1"/>
  <c r="I60" i="68" s="1"/>
  <c r="G4" i="45"/>
  <c r="G58" i="45" s="1"/>
  <c r="J5" i="68"/>
  <c r="J4" i="68" s="1"/>
  <c r="J58" i="68" s="1"/>
  <c r="BB23" i="45"/>
  <c r="H5" i="45"/>
  <c r="H20" i="45"/>
  <c r="H12" i="45"/>
  <c r="BA15" i="45"/>
  <c r="BA8" i="45"/>
  <c r="BC7" i="45"/>
  <c r="BC14" i="45"/>
  <c r="BD22" i="45"/>
  <c r="BC112" i="34"/>
  <c r="BD71" i="36"/>
  <c r="AK1487" i="67" s="1"/>
  <c r="BD177" i="34"/>
  <c r="BD161" i="34"/>
  <c r="BC96" i="34"/>
  <c r="BD55" i="36"/>
  <c r="AK1471" i="67" s="1"/>
  <c r="AK839" i="67" l="1"/>
  <c r="AK536" i="67"/>
  <c r="AK78" i="67"/>
  <c r="AK688" i="67"/>
  <c r="AK231" i="67"/>
  <c r="AK384" i="67"/>
  <c r="AK62" i="67"/>
  <c r="AK368" i="67"/>
  <c r="AK215" i="67"/>
  <c r="AK823" i="67"/>
  <c r="AK520" i="67"/>
  <c r="J71" i="68"/>
  <c r="J73" i="68" s="1"/>
  <c r="J80" i="68" s="1"/>
  <c r="I71" i="68"/>
  <c r="I73" i="68" s="1"/>
  <c r="I80" i="68" s="1"/>
  <c r="F71" i="45"/>
  <c r="F73" i="45" s="1"/>
  <c r="F80" i="45" s="1"/>
  <c r="H11" i="45"/>
  <c r="H59" i="45" s="1"/>
  <c r="K12" i="68"/>
  <c r="K11" i="68" s="1"/>
  <c r="K59" i="68" s="1"/>
  <c r="H4" i="45"/>
  <c r="H58" i="45" s="1"/>
  <c r="H71" i="45" s="1"/>
  <c r="H73" i="45" s="1"/>
  <c r="H80" i="45" s="1"/>
  <c r="K5" i="68"/>
  <c r="K4" i="68" s="1"/>
  <c r="K58" i="68" s="1"/>
  <c r="H19" i="45"/>
  <c r="H60" i="45" s="1"/>
  <c r="K20" i="68"/>
  <c r="K19" i="68" s="1"/>
  <c r="K60" i="68" s="1"/>
  <c r="I20" i="45"/>
  <c r="BB8" i="45"/>
  <c r="BB15" i="45"/>
  <c r="I5" i="45"/>
  <c r="BC23" i="45"/>
  <c r="I12" i="45"/>
  <c r="BD14" i="45"/>
  <c r="BE22" i="45"/>
  <c r="BD7" i="45"/>
  <c r="BD112" i="34"/>
  <c r="BE71" i="36"/>
  <c r="AL1487" i="67" s="1"/>
  <c r="BE161" i="34"/>
  <c r="BE177" i="34"/>
  <c r="BD96" i="34"/>
  <c r="BE55" i="36"/>
  <c r="AL1471" i="67" s="1"/>
  <c r="AL520" i="67" l="1"/>
  <c r="AL62" i="67"/>
  <c r="AL368" i="67"/>
  <c r="AL823" i="67"/>
  <c r="AL215" i="67"/>
  <c r="AL688" i="67"/>
  <c r="AL78" i="67"/>
  <c r="AL384" i="67"/>
  <c r="AL839" i="67"/>
  <c r="AL231" i="67"/>
  <c r="AL536" i="67"/>
  <c r="K71" i="68"/>
  <c r="K73" i="68" s="1"/>
  <c r="K80" i="68" s="1"/>
  <c r="I19" i="45"/>
  <c r="I60" i="45" s="1"/>
  <c r="L20" i="68"/>
  <c r="L19" i="68" s="1"/>
  <c r="L60" i="68" s="1"/>
  <c r="I4" i="45"/>
  <c r="I58" i="45" s="1"/>
  <c r="L5" i="68"/>
  <c r="L4" i="68" s="1"/>
  <c r="L58" i="68" s="1"/>
  <c r="I11" i="45"/>
  <c r="I59" i="45" s="1"/>
  <c r="L12" i="68"/>
  <c r="L11" i="68" s="1"/>
  <c r="L59" i="68" s="1"/>
  <c r="BD23" i="45"/>
  <c r="J20" i="45"/>
  <c r="J5" i="45"/>
  <c r="BC8" i="45"/>
  <c r="BC15" i="45"/>
  <c r="J12" i="45"/>
  <c r="BE14" i="45"/>
  <c r="BE7" i="45"/>
  <c r="BF22" i="45"/>
  <c r="BE112" i="34"/>
  <c r="BF71" i="36"/>
  <c r="AM1487" i="67" s="1"/>
  <c r="BF161" i="34"/>
  <c r="BF177" i="34"/>
  <c r="BE96" i="34"/>
  <c r="BF55" i="36"/>
  <c r="AM1471" i="67" s="1"/>
  <c r="AM215" i="67" l="1"/>
  <c r="AM368" i="67"/>
  <c r="AM520" i="67"/>
  <c r="AM823" i="67"/>
  <c r="AM62" i="67"/>
  <c r="AM536" i="67"/>
  <c r="AM688" i="67"/>
  <c r="AM78" i="67"/>
  <c r="AM384" i="67"/>
  <c r="AM231" i="67"/>
  <c r="AM839" i="67"/>
  <c r="I71" i="45"/>
  <c r="I73" i="45" s="1"/>
  <c r="I80" i="45" s="1"/>
  <c r="L71" i="68"/>
  <c r="L73" i="68" s="1"/>
  <c r="L80" i="68" s="1"/>
  <c r="J4" i="45"/>
  <c r="J58" i="45" s="1"/>
  <c r="M5" i="68"/>
  <c r="M4" i="68" s="1"/>
  <c r="M58" i="68" s="1"/>
  <c r="J11" i="45"/>
  <c r="J59" i="45" s="1"/>
  <c r="M12" i="68"/>
  <c r="M11" i="68" s="1"/>
  <c r="M59" i="68" s="1"/>
  <c r="J19" i="45"/>
  <c r="J60" i="45" s="1"/>
  <c r="M20" i="68"/>
  <c r="M19" i="68" s="1"/>
  <c r="M60" i="68" s="1"/>
  <c r="J71" i="45"/>
  <c r="J73" i="45" s="1"/>
  <c r="J80" i="45" s="1"/>
  <c r="K20" i="45"/>
  <c r="BD15" i="45"/>
  <c r="K5" i="45"/>
  <c r="BE23" i="45"/>
  <c r="BD8" i="45"/>
  <c r="K12" i="45"/>
  <c r="BF7" i="45"/>
  <c r="BG22" i="45"/>
  <c r="BF14" i="45"/>
  <c r="BF112" i="34"/>
  <c r="BG71" i="36"/>
  <c r="AN1487" i="67" s="1"/>
  <c r="BG161" i="34"/>
  <c r="BG177" i="34"/>
  <c r="BF96" i="34"/>
  <c r="BG55" i="36"/>
  <c r="AN1471" i="67" s="1"/>
  <c r="AN823" i="67" l="1"/>
  <c r="AN62" i="67"/>
  <c r="AN368" i="67"/>
  <c r="AN215" i="67"/>
  <c r="AN520" i="67"/>
  <c r="AN839" i="67"/>
  <c r="AN688" i="67"/>
  <c r="AN78" i="67"/>
  <c r="AN384" i="67"/>
  <c r="AN231" i="67"/>
  <c r="AN536" i="67"/>
  <c r="K4" i="45"/>
  <c r="K58" i="45" s="1"/>
  <c r="N5" i="68"/>
  <c r="N4" i="68" s="1"/>
  <c r="N58" i="68" s="1"/>
  <c r="K11" i="45"/>
  <c r="K59" i="45" s="1"/>
  <c r="N12" i="68"/>
  <c r="N11" i="68" s="1"/>
  <c r="N59" i="68" s="1"/>
  <c r="K19" i="45"/>
  <c r="K60" i="45" s="1"/>
  <c r="N20" i="68"/>
  <c r="N19" i="68" s="1"/>
  <c r="N60" i="68" s="1"/>
  <c r="M71" i="68"/>
  <c r="M73" i="68" s="1"/>
  <c r="M80" i="68" s="1"/>
  <c r="BF23" i="45"/>
  <c r="L5" i="45"/>
  <c r="BE15" i="45"/>
  <c r="L20" i="45"/>
  <c r="BE8" i="45"/>
  <c r="L12" i="45"/>
  <c r="BG14" i="45"/>
  <c r="BG7" i="45"/>
  <c r="BH22" i="45"/>
  <c r="BG112" i="34"/>
  <c r="BH71" i="36"/>
  <c r="AO1487" i="67" s="1"/>
  <c r="BH161" i="34"/>
  <c r="BH177" i="34"/>
  <c r="BG96" i="34"/>
  <c r="BH55" i="36"/>
  <c r="AO1471" i="67" s="1"/>
  <c r="AO384" i="67" l="1"/>
  <c r="AO839" i="67"/>
  <c r="AO688" i="67"/>
  <c r="AO231" i="67"/>
  <c r="AO536" i="67"/>
  <c r="AO78" i="67"/>
  <c r="AO520" i="67"/>
  <c r="AO62" i="67"/>
  <c r="AO823" i="67"/>
  <c r="AO215" i="67"/>
  <c r="AO368" i="67"/>
  <c r="K71" i="45"/>
  <c r="K73" i="45" s="1"/>
  <c r="K80" i="45" s="1"/>
  <c r="L19" i="45"/>
  <c r="L60" i="45" s="1"/>
  <c r="L71" i="45" s="1"/>
  <c r="L73" i="45" s="1"/>
  <c r="L80" i="45" s="1"/>
  <c r="O20" i="68"/>
  <c r="O19" i="68" s="1"/>
  <c r="O60" i="68" s="1"/>
  <c r="N71" i="68"/>
  <c r="N73" i="68" s="1"/>
  <c r="N80" i="68" s="1"/>
  <c r="L11" i="45"/>
  <c r="L59" i="45" s="1"/>
  <c r="O12" i="68"/>
  <c r="O11" i="68" s="1"/>
  <c r="O59" i="68" s="1"/>
  <c r="L4" i="45"/>
  <c r="L58" i="45" s="1"/>
  <c r="O5" i="68"/>
  <c r="O4" i="68" s="1"/>
  <c r="O58" i="68" s="1"/>
  <c r="M20" i="45"/>
  <c r="BF15" i="45"/>
  <c r="M12" i="45"/>
  <c r="BG23" i="45"/>
  <c r="BF8" i="45"/>
  <c r="M5" i="45"/>
  <c r="BI22" i="45"/>
  <c r="BH14" i="45"/>
  <c r="BH7" i="45"/>
  <c r="BH112" i="34"/>
  <c r="BI71" i="36"/>
  <c r="AP1487" i="67" s="1"/>
  <c r="BI161" i="34"/>
  <c r="BI177" i="34"/>
  <c r="BH96" i="34"/>
  <c r="BI55" i="36"/>
  <c r="AP1471" i="67" s="1"/>
  <c r="AP520" i="67" l="1"/>
  <c r="AP62" i="67"/>
  <c r="AP368" i="67"/>
  <c r="AP823" i="67"/>
  <c r="AP215" i="67"/>
  <c r="AP688" i="67"/>
  <c r="AP231" i="67"/>
  <c r="AP839" i="67"/>
  <c r="AP384" i="67"/>
  <c r="AP536" i="67"/>
  <c r="AP78" i="67"/>
  <c r="M11" i="45"/>
  <c r="M59" i="45" s="1"/>
  <c r="P12" i="68"/>
  <c r="P11" i="68" s="1"/>
  <c r="P59" i="68" s="1"/>
  <c r="M4" i="45"/>
  <c r="M58" i="45" s="1"/>
  <c r="P5" i="68"/>
  <c r="P4" i="68" s="1"/>
  <c r="P58" i="68" s="1"/>
  <c r="M19" i="45"/>
  <c r="M60" i="45" s="1"/>
  <c r="P20" i="68"/>
  <c r="P19" i="68" s="1"/>
  <c r="P60" i="68" s="1"/>
  <c r="O71" i="68"/>
  <c r="O73" i="68" s="1"/>
  <c r="O80" i="68" s="1"/>
  <c r="BG8" i="45"/>
  <c r="N20" i="45"/>
  <c r="BG15" i="45"/>
  <c r="N12" i="45"/>
  <c r="BH23" i="45"/>
  <c r="N5" i="45"/>
  <c r="BI14" i="45"/>
  <c r="BJ22" i="45"/>
  <c r="BI7" i="45"/>
  <c r="BI112" i="34"/>
  <c r="BJ71" i="36"/>
  <c r="AQ1487" i="67" s="1"/>
  <c r="BJ161" i="34"/>
  <c r="BJ177" i="34"/>
  <c r="BI96" i="34"/>
  <c r="BJ55" i="36"/>
  <c r="AQ1471" i="67" s="1"/>
  <c r="AQ520" i="67" l="1"/>
  <c r="AQ215" i="67"/>
  <c r="AQ368" i="67"/>
  <c r="AQ823" i="67"/>
  <c r="AQ62" i="67"/>
  <c r="AQ839" i="67"/>
  <c r="AQ231" i="67"/>
  <c r="AQ536" i="67"/>
  <c r="AQ384" i="67"/>
  <c r="AQ688" i="67"/>
  <c r="AQ78" i="67"/>
  <c r="M71" i="45"/>
  <c r="M73" i="45" s="1"/>
  <c r="M80" i="45" s="1"/>
  <c r="N11" i="45"/>
  <c r="N59" i="45" s="1"/>
  <c r="N71" i="45" s="1"/>
  <c r="N73" i="45" s="1"/>
  <c r="N80" i="45" s="1"/>
  <c r="Q12" i="68"/>
  <c r="Q11" i="68" s="1"/>
  <c r="Q59" i="68" s="1"/>
  <c r="P71" i="68"/>
  <c r="P73" i="68" s="1"/>
  <c r="P80" i="68" s="1"/>
  <c r="N4" i="45"/>
  <c r="N58" i="45" s="1"/>
  <c r="Q5" i="68"/>
  <c r="Q4" i="68" s="1"/>
  <c r="Q58" i="68" s="1"/>
  <c r="N19" i="45"/>
  <c r="N60" i="45" s="1"/>
  <c r="Q20" i="68"/>
  <c r="Q19" i="68" s="1"/>
  <c r="Q60" i="68" s="1"/>
  <c r="BH15" i="45"/>
  <c r="O20" i="45"/>
  <c r="BH8" i="45"/>
  <c r="O12" i="45"/>
  <c r="BI23" i="45"/>
  <c r="O5" i="45"/>
  <c r="BK22" i="45"/>
  <c r="BJ14" i="45"/>
  <c r="BJ7" i="45"/>
  <c r="BJ112" i="34"/>
  <c r="BK71" i="36"/>
  <c r="AR1487" i="67" s="1"/>
  <c r="BK161" i="34"/>
  <c r="BK177" i="34"/>
  <c r="BJ96" i="34"/>
  <c r="BK55" i="36"/>
  <c r="AR1471" i="67" s="1"/>
  <c r="AR215" i="67" l="1"/>
  <c r="AR520" i="67"/>
  <c r="AR368" i="67"/>
  <c r="AR823" i="67"/>
  <c r="AR62" i="67"/>
  <c r="AR536" i="67"/>
  <c r="AR384" i="67"/>
  <c r="AR688" i="67"/>
  <c r="AR78" i="67"/>
  <c r="AR839" i="67"/>
  <c r="AR231" i="67"/>
  <c r="O11" i="45"/>
  <c r="O59" i="45" s="1"/>
  <c r="R12" i="68"/>
  <c r="R11" i="68" s="1"/>
  <c r="R59" i="68" s="1"/>
  <c r="O4" i="45"/>
  <c r="O58" i="45" s="1"/>
  <c r="R5" i="68"/>
  <c r="R4" i="68" s="1"/>
  <c r="R58" i="68" s="1"/>
  <c r="O19" i="45"/>
  <c r="O60" i="45" s="1"/>
  <c r="R20" i="68"/>
  <c r="R19" i="68" s="1"/>
  <c r="R60" i="68" s="1"/>
  <c r="Q71" i="68"/>
  <c r="Q73" i="68" s="1"/>
  <c r="Q80" i="68" s="1"/>
  <c r="P5" i="45"/>
  <c r="BI15" i="45"/>
  <c r="P20" i="45"/>
  <c r="BJ23" i="45"/>
  <c r="BI8" i="45"/>
  <c r="P12" i="45"/>
  <c r="BL22" i="45"/>
  <c r="BK14" i="45"/>
  <c r="BK7" i="45"/>
  <c r="BK112" i="34"/>
  <c r="BL71" i="36"/>
  <c r="AS1487" i="67" s="1"/>
  <c r="BL161" i="34"/>
  <c r="BL177" i="34"/>
  <c r="BK96" i="34"/>
  <c r="BL55" i="36"/>
  <c r="AS1471" i="67" s="1"/>
  <c r="AS368" i="67" l="1"/>
  <c r="AS823" i="67"/>
  <c r="AS215" i="67"/>
  <c r="AS520" i="67"/>
  <c r="AS62" i="67"/>
  <c r="AS384" i="67"/>
  <c r="AS688" i="67"/>
  <c r="AS231" i="67"/>
  <c r="AS839" i="67"/>
  <c r="AS536" i="67"/>
  <c r="AS78" i="67"/>
  <c r="R71" i="68"/>
  <c r="R73" i="68" s="1"/>
  <c r="R80" i="68" s="1"/>
  <c r="O71" i="45"/>
  <c r="O73" i="45" s="1"/>
  <c r="O80" i="45" s="1"/>
  <c r="P19" i="45"/>
  <c r="P60" i="45" s="1"/>
  <c r="S20" i="68"/>
  <c r="S19" i="68" s="1"/>
  <c r="S60" i="68" s="1"/>
  <c r="P11" i="45"/>
  <c r="P59" i="45" s="1"/>
  <c r="S12" i="68"/>
  <c r="S11" i="68" s="1"/>
  <c r="S59" i="68" s="1"/>
  <c r="P4" i="45"/>
  <c r="P58" i="45" s="1"/>
  <c r="P71" i="45" s="1"/>
  <c r="P73" i="45" s="1"/>
  <c r="P80" i="45" s="1"/>
  <c r="S5" i="68"/>
  <c r="S4" i="68" s="1"/>
  <c r="S58" i="68" s="1"/>
  <c r="BK23" i="45"/>
  <c r="BJ8" i="45"/>
  <c r="Q12" i="45"/>
  <c r="Q20" i="45"/>
  <c r="BJ15" i="45"/>
  <c r="Q5" i="45"/>
  <c r="BL7" i="45"/>
  <c r="BN22" i="45"/>
  <c r="BM22" i="45"/>
  <c r="BL14" i="45"/>
  <c r="BL112" i="34"/>
  <c r="BM71" i="36"/>
  <c r="AT1487" i="67" s="1"/>
  <c r="BM161" i="34"/>
  <c r="BM177" i="34"/>
  <c r="BL96" i="34"/>
  <c r="BM55" i="36"/>
  <c r="AT1471" i="67" s="1"/>
  <c r="AT215" i="67" l="1"/>
  <c r="AT520" i="67"/>
  <c r="AT823" i="67"/>
  <c r="AT368" i="67"/>
  <c r="AT62" i="67"/>
  <c r="AT384" i="67"/>
  <c r="AT231" i="67"/>
  <c r="AT536" i="67"/>
  <c r="AT688" i="67"/>
  <c r="AT839" i="67"/>
  <c r="AT78" i="67"/>
  <c r="S71" i="68"/>
  <c r="S73" i="68" s="1"/>
  <c r="S80" i="68" s="1"/>
  <c r="Q19" i="45"/>
  <c r="Q60" i="45" s="1"/>
  <c r="T20" i="68"/>
  <c r="T19" i="68" s="1"/>
  <c r="T60" i="68" s="1"/>
  <c r="Q11" i="45"/>
  <c r="Q59" i="45" s="1"/>
  <c r="T12" i="68"/>
  <c r="T11" i="68" s="1"/>
  <c r="T59" i="68" s="1"/>
  <c r="Q4" i="45"/>
  <c r="Q58" i="45" s="1"/>
  <c r="T5" i="68"/>
  <c r="T4" i="68" s="1"/>
  <c r="T58" i="68" s="1"/>
  <c r="Q71" i="45"/>
  <c r="Q73" i="45" s="1"/>
  <c r="Q80" i="45" s="1"/>
  <c r="BK8" i="45"/>
  <c r="R5" i="45"/>
  <c r="BL23" i="45"/>
  <c r="R20" i="45"/>
  <c r="BK15" i="45"/>
  <c r="R12" i="45"/>
  <c r="BM7" i="45"/>
  <c r="BN7" i="45"/>
  <c r="BN14" i="45"/>
  <c r="BM14" i="45"/>
  <c r="BM112" i="34"/>
  <c r="BN71" i="36"/>
  <c r="AU1487" i="67" s="1"/>
  <c r="BN161" i="34"/>
  <c r="BN177" i="34"/>
  <c r="BM96" i="34"/>
  <c r="BN55" i="36"/>
  <c r="AU1471" i="67" s="1"/>
  <c r="AU823" i="67" l="1"/>
  <c r="AU215" i="67"/>
  <c r="AU368" i="67"/>
  <c r="AU520" i="67"/>
  <c r="AU62" i="67"/>
  <c r="AU384" i="67"/>
  <c r="AU536" i="67"/>
  <c r="AU78" i="67"/>
  <c r="AU839" i="67"/>
  <c r="AU688" i="67"/>
  <c r="AU231" i="67"/>
  <c r="T71" i="68"/>
  <c r="T73" i="68" s="1"/>
  <c r="T80" i="68" s="1"/>
  <c r="R11" i="45"/>
  <c r="R59" i="45" s="1"/>
  <c r="U12" i="68"/>
  <c r="U11" i="68" s="1"/>
  <c r="U59" i="68" s="1"/>
  <c r="R19" i="45"/>
  <c r="R60" i="45" s="1"/>
  <c r="U20" i="68"/>
  <c r="U19" i="68" s="1"/>
  <c r="U60" i="68" s="1"/>
  <c r="R4" i="45"/>
  <c r="R58" i="45" s="1"/>
  <c r="R71" i="45" s="1"/>
  <c r="R73" i="45" s="1"/>
  <c r="R80" i="45" s="1"/>
  <c r="U5" i="68"/>
  <c r="U4" i="68" s="1"/>
  <c r="U58" i="68" s="1"/>
  <c r="BM23" i="45"/>
  <c r="BN23" i="45"/>
  <c r="S12" i="45"/>
  <c r="S5" i="45"/>
  <c r="S20" i="45"/>
  <c r="BL15" i="45"/>
  <c r="BL8" i="45"/>
  <c r="BN112" i="34"/>
  <c r="BP71" i="36"/>
  <c r="AW1487" i="67" s="1"/>
  <c r="BP161" i="34"/>
  <c r="BP177" i="34"/>
  <c r="BO71" i="36"/>
  <c r="AV1487" i="67" s="1"/>
  <c r="BO161" i="34"/>
  <c r="BO177" i="34"/>
  <c r="BN96" i="34"/>
  <c r="BP55" i="36"/>
  <c r="AW1471" i="67" s="1"/>
  <c r="BO55" i="36"/>
  <c r="AV1471" i="67" s="1"/>
  <c r="AV384" i="67" l="1"/>
  <c r="AV688" i="67"/>
  <c r="AV231" i="67"/>
  <c r="AV839" i="67"/>
  <c r="AV536" i="67"/>
  <c r="AV78" i="67"/>
  <c r="AW823" i="67"/>
  <c r="AW215" i="67"/>
  <c r="AW368" i="67"/>
  <c r="AW520" i="67"/>
  <c r="AW62" i="67"/>
  <c r="AV62" i="67"/>
  <c r="AV368" i="67"/>
  <c r="AV215" i="67"/>
  <c r="AV823" i="67"/>
  <c r="AV520" i="67"/>
  <c r="AW536" i="67"/>
  <c r="AW78" i="67"/>
  <c r="AW384" i="67"/>
  <c r="AW839" i="67"/>
  <c r="AW688" i="67"/>
  <c r="AW231" i="67"/>
  <c r="U71" i="68"/>
  <c r="U73" i="68" s="1"/>
  <c r="U80" i="68" s="1"/>
  <c r="S4" i="45"/>
  <c r="S58" i="45" s="1"/>
  <c r="V5" i="68"/>
  <c r="V4" i="68" s="1"/>
  <c r="V58" i="68" s="1"/>
  <c r="S11" i="45"/>
  <c r="S59" i="45" s="1"/>
  <c r="V12" i="68"/>
  <c r="V11" i="68" s="1"/>
  <c r="V59" i="68" s="1"/>
  <c r="S19" i="45"/>
  <c r="S60" i="45" s="1"/>
  <c r="V20" i="68"/>
  <c r="V19" i="68" s="1"/>
  <c r="V60" i="68" s="1"/>
  <c r="S71" i="45"/>
  <c r="S73" i="45" s="1"/>
  <c r="S80" i="45" s="1"/>
  <c r="BN15" i="45"/>
  <c r="BN8" i="45"/>
  <c r="BM8" i="45"/>
  <c r="T12" i="45"/>
  <c r="T5" i="45"/>
  <c r="BM15" i="45"/>
  <c r="T20" i="45"/>
  <c r="BP112" i="34"/>
  <c r="BO112" i="34"/>
  <c r="BP96" i="34"/>
  <c r="BO96" i="34"/>
  <c r="T4" i="45" l="1"/>
  <c r="T58" i="45" s="1"/>
  <c r="W5" i="68"/>
  <c r="W4" i="68" s="1"/>
  <c r="W58" i="68" s="1"/>
  <c r="T11" i="45"/>
  <c r="T59" i="45" s="1"/>
  <c r="W12" i="68"/>
  <c r="W11" i="68" s="1"/>
  <c r="W59" i="68" s="1"/>
  <c r="T19" i="45"/>
  <c r="T60" i="45" s="1"/>
  <c r="W20" i="68"/>
  <c r="W19" i="68" s="1"/>
  <c r="W60" i="68" s="1"/>
  <c r="V71" i="68"/>
  <c r="V73" i="68" s="1"/>
  <c r="V80" i="68" s="1"/>
  <c r="U5" i="45"/>
  <c r="U12" i="45"/>
  <c r="U20" i="45"/>
  <c r="T71" i="45" l="1"/>
  <c r="T73" i="45" s="1"/>
  <c r="T80" i="45" s="1"/>
  <c r="W71" i="68"/>
  <c r="W73" i="68" s="1"/>
  <c r="W80" i="68" s="1"/>
  <c r="U4" i="45"/>
  <c r="U58" i="45" s="1"/>
  <c r="X5" i="68"/>
  <c r="X4" i="68" s="1"/>
  <c r="X58" i="68" s="1"/>
  <c r="U19" i="45"/>
  <c r="U60" i="45" s="1"/>
  <c r="X20" i="68"/>
  <c r="X19" i="68" s="1"/>
  <c r="X60" i="68" s="1"/>
  <c r="U11" i="45"/>
  <c r="U59" i="45" s="1"/>
  <c r="U71" i="45" s="1"/>
  <c r="U73" i="45" s="1"/>
  <c r="U80" i="45" s="1"/>
  <c r="X12" i="68"/>
  <c r="X11" i="68" s="1"/>
  <c r="X59" i="68" s="1"/>
  <c r="V20" i="45"/>
  <c r="V5" i="45"/>
  <c r="V12" i="45"/>
  <c r="X71" i="68" l="1"/>
  <c r="X73" i="68" s="1"/>
  <c r="X80" i="68" s="1"/>
  <c r="V11" i="45"/>
  <c r="V59" i="45" s="1"/>
  <c r="Y12" i="68"/>
  <c r="Y11" i="68" s="1"/>
  <c r="Y59" i="68" s="1"/>
  <c r="V19" i="45"/>
  <c r="V60" i="45" s="1"/>
  <c r="Y20" i="68"/>
  <c r="Y19" i="68" s="1"/>
  <c r="Y60" i="68" s="1"/>
  <c r="V4" i="45"/>
  <c r="V58" i="45" s="1"/>
  <c r="V71" i="45" s="1"/>
  <c r="V73" i="45" s="1"/>
  <c r="V80" i="45" s="1"/>
  <c r="Y5" i="68"/>
  <c r="Y4" i="68" s="1"/>
  <c r="Y58" i="68" s="1"/>
  <c r="W12" i="45"/>
  <c r="W20" i="45"/>
  <c r="W5" i="45"/>
  <c r="W11" i="45" l="1"/>
  <c r="W59" i="45" s="1"/>
  <c r="Z12" i="68"/>
  <c r="Z11" i="68" s="1"/>
  <c r="Z59" i="68" s="1"/>
  <c r="Y71" i="68"/>
  <c r="Y73" i="68" s="1"/>
  <c r="Y80" i="68" s="1"/>
  <c r="W4" i="45"/>
  <c r="W58" i="45" s="1"/>
  <c r="Z5" i="68"/>
  <c r="Z4" i="68" s="1"/>
  <c r="Z58" i="68" s="1"/>
  <c r="W19" i="45"/>
  <c r="W60" i="45" s="1"/>
  <c r="Z20" i="68"/>
  <c r="Z19" i="68" s="1"/>
  <c r="Z60" i="68" s="1"/>
  <c r="X20" i="45"/>
  <c r="X5" i="45"/>
  <c r="X12" i="45"/>
  <c r="W71" i="45" l="1"/>
  <c r="W73" i="45" s="1"/>
  <c r="W80" i="45" s="1"/>
  <c r="Z71" i="68"/>
  <c r="Z73" i="68" s="1"/>
  <c r="Z80" i="68" s="1"/>
  <c r="X11" i="45"/>
  <c r="X59" i="45" s="1"/>
  <c r="AA12" i="68"/>
  <c r="AA11" i="68" s="1"/>
  <c r="AA59" i="68" s="1"/>
  <c r="X4" i="45"/>
  <c r="X58" i="45" s="1"/>
  <c r="AA5" i="68"/>
  <c r="AA4" i="68" s="1"/>
  <c r="AA58" i="68" s="1"/>
  <c r="X19" i="45"/>
  <c r="X60" i="45" s="1"/>
  <c r="AA20" i="68"/>
  <c r="AA19" i="68" s="1"/>
  <c r="AA60" i="68" s="1"/>
  <c r="Y12" i="45"/>
  <c r="Y20" i="45"/>
  <c r="Y5" i="45"/>
  <c r="X71" i="45" l="1"/>
  <c r="X73" i="45" s="1"/>
  <c r="X80" i="45" s="1"/>
  <c r="AA71" i="68"/>
  <c r="AA73" i="68" s="1"/>
  <c r="AA80" i="68" s="1"/>
  <c r="Y4" i="45"/>
  <c r="Y58" i="45" s="1"/>
  <c r="AB5" i="68"/>
  <c r="AB4" i="68" s="1"/>
  <c r="AB58" i="68" s="1"/>
  <c r="Y19" i="45"/>
  <c r="Y60" i="45" s="1"/>
  <c r="AB20" i="68"/>
  <c r="AB19" i="68" s="1"/>
  <c r="AB60" i="68" s="1"/>
  <c r="Y11" i="45"/>
  <c r="Y59" i="45" s="1"/>
  <c r="AB12" i="68"/>
  <c r="AB11" i="68" s="1"/>
  <c r="AB59" i="68" s="1"/>
  <c r="Z5" i="45"/>
  <c r="Z20" i="45"/>
  <c r="Z12" i="45"/>
  <c r="AB71" i="68" l="1"/>
  <c r="AB73" i="68" s="1"/>
  <c r="AB80" i="68" s="1"/>
  <c r="Y71" i="45"/>
  <c r="Y73" i="45" s="1"/>
  <c r="Y80" i="45" s="1"/>
  <c r="Z4" i="45"/>
  <c r="Z58" i="45" s="1"/>
  <c r="AC5" i="68"/>
  <c r="AC4" i="68" s="1"/>
  <c r="AC58" i="68" s="1"/>
  <c r="Z11" i="45"/>
  <c r="Z59" i="45" s="1"/>
  <c r="AC12" i="68"/>
  <c r="AC11" i="68" s="1"/>
  <c r="AC59" i="68" s="1"/>
  <c r="Z19" i="45"/>
  <c r="Z60" i="45" s="1"/>
  <c r="AC20" i="68"/>
  <c r="AC19" i="68" s="1"/>
  <c r="AC60" i="68" s="1"/>
  <c r="AA5" i="45"/>
  <c r="AA20" i="45"/>
  <c r="AA12" i="45"/>
  <c r="Z71" i="45" l="1"/>
  <c r="AA11" i="45"/>
  <c r="AA59" i="45" s="1"/>
  <c r="AD12" i="68"/>
  <c r="AD11" i="68" s="1"/>
  <c r="AD59" i="68" s="1"/>
  <c r="AA4" i="45"/>
  <c r="AA58" i="45" s="1"/>
  <c r="AD5" i="68"/>
  <c r="AD4" i="68" s="1"/>
  <c r="AD58" i="68" s="1"/>
  <c r="AC71" i="68"/>
  <c r="AA19" i="45"/>
  <c r="AA60" i="45" s="1"/>
  <c r="AA71" i="45" s="1"/>
  <c r="AD20" i="68"/>
  <c r="AD19" i="68" s="1"/>
  <c r="AD60" i="68" s="1"/>
  <c r="AD71" i="68" l="1"/>
  <c r="AA30" i="45"/>
  <c r="AD30" i="68" s="1"/>
  <c r="AA37" i="45"/>
  <c r="AD37" i="68" s="1"/>
  <c r="Z37" i="45"/>
  <c r="AC37" i="68" s="1"/>
  <c r="Z30" i="45"/>
  <c r="AC30" i="68" s="1"/>
  <c r="AA31" i="45" l="1"/>
  <c r="AD31" i="68" s="1"/>
  <c r="AA38" i="45"/>
  <c r="AD38" i="68" s="1"/>
  <c r="Z33" i="45"/>
  <c r="AC33" i="68" s="1"/>
  <c r="Z40" i="45"/>
  <c r="AC40" i="68" s="1"/>
  <c r="Z31" i="45"/>
  <c r="AC31" i="68" s="1"/>
  <c r="Z38" i="45"/>
  <c r="AC38" i="68" s="1"/>
  <c r="Z32" i="45"/>
  <c r="AC32" i="68" s="1"/>
  <c r="Z39" i="45"/>
  <c r="AC39" i="68" s="1"/>
  <c r="AA40" i="45"/>
  <c r="AD40" i="68" s="1"/>
  <c r="AA33" i="45"/>
  <c r="AD33" i="68" s="1"/>
  <c r="AA32" i="45"/>
  <c r="AD32" i="68" s="1"/>
  <c r="AA39" i="45"/>
  <c r="AD39" i="68" s="1"/>
  <c r="Z35" i="45" l="1"/>
  <c r="AC35" i="68" s="1"/>
  <c r="Z29" i="45"/>
  <c r="AC29" i="68" s="1"/>
  <c r="Z28" i="45"/>
  <c r="AC28" i="68" s="1"/>
  <c r="Z36" i="45"/>
  <c r="AC36" i="68" s="1"/>
  <c r="AA28" i="45"/>
  <c r="AD28" i="68" s="1"/>
  <c r="AA29" i="45"/>
  <c r="AD29" i="68" s="1"/>
  <c r="AA35" i="45"/>
  <c r="AD35" i="68" s="1"/>
  <c r="AA36" i="45"/>
  <c r="AD36" i="68" s="1"/>
  <c r="AD34" i="68" l="1"/>
  <c r="AD62" i="68" s="1"/>
  <c r="AC34" i="68"/>
  <c r="AC62" i="68" s="1"/>
  <c r="AD27" i="68"/>
  <c r="AD61" i="68" s="1"/>
  <c r="AC27" i="68"/>
  <c r="AC61" i="68" s="1"/>
  <c r="Z27" i="45"/>
  <c r="Z61" i="45" s="1"/>
  <c r="Z34" i="45"/>
  <c r="Z62" i="45" s="1"/>
  <c r="AA34" i="45"/>
  <c r="AA62" i="45" s="1"/>
  <c r="AA27" i="45"/>
  <c r="AA61" i="45" s="1"/>
  <c r="AD72" i="68" l="1"/>
  <c r="AD73" i="68" s="1"/>
  <c r="AD80" i="68" s="1"/>
  <c r="AC72" i="68"/>
  <c r="AC73" i="68" s="1"/>
  <c r="AC80" i="68" s="1"/>
  <c r="AA72" i="45"/>
  <c r="AA73" i="45" s="1"/>
  <c r="AA80" i="45" s="1"/>
  <c r="Z72" i="45"/>
  <c r="Z73" i="45" s="1"/>
  <c r="Z80" i="45" s="1"/>
  <c r="AJ71" i="36" l="1"/>
  <c r="Q1487" i="67" s="1"/>
  <c r="AJ177" i="34"/>
  <c r="AJ161" i="34"/>
  <c r="AJ41" i="34"/>
  <c r="AJ9" i="34"/>
  <c r="AJ23" i="34"/>
  <c r="AJ55" i="36"/>
  <c r="Q1471" i="67" s="1"/>
  <c r="Q520" i="67" l="1"/>
  <c r="Q62" i="67"/>
  <c r="Q368" i="67"/>
  <c r="Q823" i="67"/>
  <c r="Q215" i="67"/>
  <c r="Q536" i="67"/>
  <c r="Q231" i="67"/>
  <c r="Q384" i="67"/>
  <c r="Q839" i="67"/>
  <c r="Q688" i="67"/>
  <c r="Q78" i="67"/>
  <c r="AJ112" i="34"/>
  <c r="AJ96" i="34"/>
  <c r="T24" i="55"/>
  <c r="AJ39" i="57"/>
  <c r="AK29" i="57"/>
  <c r="AK40" i="57"/>
  <c r="AJ40" i="57" l="1"/>
  <c r="AK39" i="57"/>
  <c r="AR45" i="50" s="1"/>
  <c r="AR44" i="50" s="1"/>
  <c r="AJ29" i="57"/>
  <c r="AK33" i="57"/>
  <c r="AJ33" i="57"/>
  <c r="AK41" i="57"/>
  <c r="AJ41" i="57"/>
  <c r="BG45" i="69" l="1"/>
  <c r="BG44" i="69" s="1"/>
  <c r="BG46" i="69" s="1"/>
  <c r="AX45" i="69"/>
  <c r="AX44" i="69" s="1"/>
  <c r="AX46" i="69" s="1"/>
  <c r="AU45" i="69"/>
  <c r="AU44" i="69" s="1"/>
  <c r="AU46" i="69" s="1"/>
  <c r="BC45" i="69"/>
  <c r="BC44" i="69" s="1"/>
  <c r="BC46" i="69" s="1"/>
  <c r="AJ45" i="69"/>
  <c r="AJ44" i="69" s="1"/>
  <c r="AJ46" i="69" s="1"/>
  <c r="BK45" i="69"/>
  <c r="BK44" i="69" s="1"/>
  <c r="BK46" i="69" s="1"/>
  <c r="AZ45" i="69"/>
  <c r="AZ44" i="69" s="1"/>
  <c r="AZ46" i="69" s="1"/>
  <c r="AE45" i="69"/>
  <c r="AE44" i="69" s="1"/>
  <c r="AE46" i="69" s="1"/>
  <c r="AQ45" i="69"/>
  <c r="AQ44" i="69" s="1"/>
  <c r="AQ46" i="69" s="1"/>
  <c r="AA45" i="69"/>
  <c r="AA44" i="69" s="1"/>
  <c r="AA46" i="69" s="1"/>
  <c r="AF45" i="69"/>
  <c r="AF44" i="69" s="1"/>
  <c r="AF46" i="69" s="1"/>
  <c r="AR45" i="69"/>
  <c r="AR44" i="69" s="1"/>
  <c r="AR46" i="69" s="1"/>
  <c r="AV45" i="69"/>
  <c r="AV44" i="69" s="1"/>
  <c r="AV46" i="69" s="1"/>
  <c r="BD45" i="69"/>
  <c r="BD44" i="69" s="1"/>
  <c r="BD46" i="69" s="1"/>
  <c r="Y45" i="69"/>
  <c r="Y44" i="69" s="1"/>
  <c r="Y46" i="69" s="1"/>
  <c r="AK45" i="69"/>
  <c r="AK44" i="69" s="1"/>
  <c r="AK46" i="69" s="1"/>
  <c r="AD45" i="69"/>
  <c r="AD44" i="69" s="1"/>
  <c r="AD46" i="69" s="1"/>
  <c r="AC45" i="69"/>
  <c r="AC44" i="69" s="1"/>
  <c r="AC46" i="69" s="1"/>
  <c r="AI45" i="69"/>
  <c r="AI44" i="69" s="1"/>
  <c r="AI46" i="69" s="1"/>
  <c r="BJ45" i="69"/>
  <c r="BJ44" i="69" s="1"/>
  <c r="BJ46" i="69" s="1"/>
  <c r="AM45" i="69"/>
  <c r="AM44" i="69" s="1"/>
  <c r="AM46" i="69" s="1"/>
  <c r="AY45" i="69"/>
  <c r="AY44" i="69" s="1"/>
  <c r="AY46" i="69" s="1"/>
  <c r="BH45" i="69"/>
  <c r="BH44" i="69" s="1"/>
  <c r="BH46" i="69" s="1"/>
  <c r="AG45" i="69"/>
  <c r="AG44" i="69" s="1"/>
  <c r="AG46" i="69" s="1"/>
  <c r="AB45" i="69"/>
  <c r="AB44" i="69" s="1"/>
  <c r="AB46" i="69" s="1"/>
  <c r="AS45" i="69"/>
  <c r="AS44" i="69" s="1"/>
  <c r="AS46" i="69" s="1"/>
  <c r="BE45" i="69"/>
  <c r="BE44" i="69" s="1"/>
  <c r="BE46" i="69" s="1"/>
  <c r="AH45" i="69"/>
  <c r="AH44" i="69" s="1"/>
  <c r="AH46" i="69" s="1"/>
  <c r="Z45" i="69"/>
  <c r="Z44" i="69" s="1"/>
  <c r="Z46" i="69" s="1"/>
  <c r="AO45" i="69"/>
  <c r="AO44" i="69" s="1"/>
  <c r="AO46" i="69" s="1"/>
  <c r="AN45" i="69"/>
  <c r="AN44" i="69" s="1"/>
  <c r="AN46" i="69" s="1"/>
  <c r="AW45" i="69"/>
  <c r="AW44" i="69" s="1"/>
  <c r="AW46" i="69" s="1"/>
  <c r="BI45" i="69"/>
  <c r="BI44" i="69" s="1"/>
  <c r="BI46" i="69" s="1"/>
  <c r="AP45" i="69"/>
  <c r="AP44" i="69" s="1"/>
  <c r="AP46" i="69" s="1"/>
  <c r="AT45" i="69"/>
  <c r="AT44" i="69" s="1"/>
  <c r="AT46" i="69" s="1"/>
  <c r="BB45" i="69"/>
  <c r="BB44" i="69" s="1"/>
  <c r="BB46" i="69" s="1"/>
  <c r="BF45" i="69"/>
  <c r="BF44" i="69" s="1"/>
  <c r="BF46" i="69" s="1"/>
  <c r="AL45" i="69"/>
  <c r="AL44" i="69" s="1"/>
  <c r="AL46" i="69" s="1"/>
  <c r="BA45" i="69"/>
  <c r="BA44" i="69" s="1"/>
  <c r="BA46" i="69" s="1"/>
  <c r="X60" i="50"/>
  <c r="W60" i="50"/>
  <c r="W61" i="50" s="1"/>
  <c r="V60" i="50"/>
  <c r="V61" i="50" s="1"/>
  <c r="U60" i="50"/>
  <c r="U61" i="50" s="1"/>
  <c r="T60" i="50"/>
  <c r="T61" i="50" s="1"/>
  <c r="K60" i="50"/>
  <c r="K61" i="50" s="1"/>
  <c r="N60" i="50"/>
  <c r="N61" i="50" s="1"/>
  <c r="D60" i="50"/>
  <c r="D61" i="50" s="1"/>
  <c r="I60" i="50"/>
  <c r="I61" i="50" s="1"/>
  <c r="R60" i="50"/>
  <c r="R61" i="50" s="1"/>
  <c r="H60" i="50"/>
  <c r="H61" i="50" s="1"/>
  <c r="G60" i="50"/>
  <c r="G61" i="50" s="1"/>
  <c r="J60" i="50"/>
  <c r="J61" i="50" s="1"/>
  <c r="C60" i="50"/>
  <c r="C61" i="50" s="1"/>
  <c r="E60" i="50"/>
  <c r="E61" i="50" s="1"/>
  <c r="M60" i="50"/>
  <c r="M61" i="50" s="1"/>
  <c r="S60" i="50"/>
  <c r="S61" i="50" s="1"/>
  <c r="L60" i="50"/>
  <c r="L61" i="50" s="1"/>
  <c r="F60" i="50"/>
  <c r="F61" i="50" s="1"/>
  <c r="Q60" i="50"/>
  <c r="Q61" i="50" s="1"/>
  <c r="O60" i="50"/>
  <c r="O61" i="50" s="1"/>
  <c r="P60" i="50"/>
  <c r="P61" i="50" s="1"/>
  <c r="AE42" i="50"/>
  <c r="AE55" i="50" s="1"/>
  <c r="AN42" i="50"/>
  <c r="AN55" i="50" s="1"/>
  <c r="AA42" i="50"/>
  <c r="AA55" i="50" s="1"/>
  <c r="AI42" i="50"/>
  <c r="AI55" i="50" s="1"/>
  <c r="AO42" i="50"/>
  <c r="AO55" i="50" s="1"/>
  <c r="AD42" i="50"/>
  <c r="AD55" i="50" s="1"/>
  <c r="AM42" i="50"/>
  <c r="AM55" i="50" s="1"/>
  <c r="Z42" i="50"/>
  <c r="Z55" i="50" s="1"/>
  <c r="AB42" i="50"/>
  <c r="AB55" i="50" s="1"/>
  <c r="AH42" i="50"/>
  <c r="AH55" i="50" s="1"/>
  <c r="Y42" i="50"/>
  <c r="AD20" i="36" s="1"/>
  <c r="AC42" i="50"/>
  <c r="AC55" i="50" s="1"/>
  <c r="BF42" i="50"/>
  <c r="BF55" i="50" s="1"/>
  <c r="AP42" i="50"/>
  <c r="AP55" i="50" s="1"/>
  <c r="AK42" i="50"/>
  <c r="AK55" i="50" s="1"/>
  <c r="AT42" i="50"/>
  <c r="AT55" i="50" s="1"/>
  <c r="BE42" i="50"/>
  <c r="BE55" i="50" s="1"/>
  <c r="AY42" i="50"/>
  <c r="AY55" i="50" s="1"/>
  <c r="AL42" i="50"/>
  <c r="AL55" i="50" s="1"/>
  <c r="AX42" i="50"/>
  <c r="AX55" i="50" s="1"/>
  <c r="AV42" i="50"/>
  <c r="AV55" i="50" s="1"/>
  <c r="AQ42" i="50"/>
  <c r="AQ55" i="50" s="1"/>
  <c r="AF42" i="50"/>
  <c r="AF55" i="50" s="1"/>
  <c r="AZ42" i="50"/>
  <c r="AZ55" i="50" s="1"/>
  <c r="AS42" i="50"/>
  <c r="AS55" i="50" s="1"/>
  <c r="BG42" i="50"/>
  <c r="BG55" i="50" s="1"/>
  <c r="BD42" i="50"/>
  <c r="BD55" i="50" s="1"/>
  <c r="AJ42" i="50"/>
  <c r="AJ55" i="50" s="1"/>
  <c r="AG42" i="50"/>
  <c r="AG55" i="50" s="1"/>
  <c r="BB42" i="50"/>
  <c r="BB55" i="50" s="1"/>
  <c r="BK42" i="50"/>
  <c r="BK55" i="50" s="1"/>
  <c r="AW42" i="50"/>
  <c r="AW55" i="50" s="1"/>
  <c r="BH42" i="50"/>
  <c r="BH55" i="50" s="1"/>
  <c r="BJ42" i="50"/>
  <c r="BJ55" i="50" s="1"/>
  <c r="BI42" i="50"/>
  <c r="BI55" i="50" s="1"/>
  <c r="BC42" i="50"/>
  <c r="BC55" i="50" s="1"/>
  <c r="AR42" i="50"/>
  <c r="AR55" i="50" s="1"/>
  <c r="BA42" i="50"/>
  <c r="BA55" i="50" s="1"/>
  <c r="AU42" i="50"/>
  <c r="AU55" i="50" s="1"/>
  <c r="Z27" i="50"/>
  <c r="Z18" i="50" s="1"/>
  <c r="Z52" i="50" s="1"/>
  <c r="Y27" i="50"/>
  <c r="Y18" i="50" s="1"/>
  <c r="Y52" i="50" s="1"/>
  <c r="AD37" i="50"/>
  <c r="AD54" i="50" s="1"/>
  <c r="AB37" i="50"/>
  <c r="AB54" i="50" s="1"/>
  <c r="AE37" i="50"/>
  <c r="AE54" i="50" s="1"/>
  <c r="AC37" i="50"/>
  <c r="AC54" i="50" s="1"/>
  <c r="Z37" i="50"/>
  <c r="Z54" i="50" s="1"/>
  <c r="AA37" i="50"/>
  <c r="AA54" i="50" s="1"/>
  <c r="AN37" i="50"/>
  <c r="AN54" i="50" s="1"/>
  <c r="AI37" i="50"/>
  <c r="AI54" i="50" s="1"/>
  <c r="AO37" i="50"/>
  <c r="AO54" i="50" s="1"/>
  <c r="AH37" i="50"/>
  <c r="AH54" i="50" s="1"/>
  <c r="AM37" i="50"/>
  <c r="AM54" i="50" s="1"/>
  <c r="AP37" i="50"/>
  <c r="AP54" i="50" s="1"/>
  <c r="AK37" i="50"/>
  <c r="AK54" i="50" s="1"/>
  <c r="AY37" i="50"/>
  <c r="AY54" i="50" s="1"/>
  <c r="AW37" i="50"/>
  <c r="AW54" i="50" s="1"/>
  <c r="AQ37" i="50"/>
  <c r="AQ54" i="50" s="1"/>
  <c r="AZ37" i="50"/>
  <c r="AZ54" i="50" s="1"/>
  <c r="AT37" i="50"/>
  <c r="AT54" i="50" s="1"/>
  <c r="AX37" i="50"/>
  <c r="AX54" i="50" s="1"/>
  <c r="AV37" i="50"/>
  <c r="AV54" i="50" s="1"/>
  <c r="BK37" i="50"/>
  <c r="BK54" i="50" s="1"/>
  <c r="BJ37" i="50"/>
  <c r="BJ54" i="50" s="1"/>
  <c r="BC37" i="50"/>
  <c r="BC54" i="50" s="1"/>
  <c r="BA37" i="50"/>
  <c r="BA54" i="50" s="1"/>
  <c r="BB37" i="50"/>
  <c r="BB54" i="50" s="1"/>
  <c r="BH37" i="50"/>
  <c r="BH54" i="50" s="1"/>
  <c r="BF37" i="50"/>
  <c r="BF54" i="50" s="1"/>
  <c r="BD37" i="50"/>
  <c r="BD54" i="50" s="1"/>
  <c r="BG37" i="50"/>
  <c r="BG54" i="50" s="1"/>
  <c r="AF37" i="50"/>
  <c r="AF54" i="50" s="1"/>
  <c r="AS37" i="50"/>
  <c r="AS54" i="50" s="1"/>
  <c r="BE37" i="50"/>
  <c r="BE54" i="50" s="1"/>
  <c r="AJ37" i="50"/>
  <c r="AJ54" i="50" s="1"/>
  <c r="AU37" i="50"/>
  <c r="AU54" i="50" s="1"/>
  <c r="AL37" i="50"/>
  <c r="AL54" i="50" s="1"/>
  <c r="BI37" i="50"/>
  <c r="BI54" i="50" s="1"/>
  <c r="AR37" i="50"/>
  <c r="AR54" i="50" s="1"/>
  <c r="AG37" i="50"/>
  <c r="AG54" i="50" s="1"/>
  <c r="AI15" i="50"/>
  <c r="AI50" i="50" s="1"/>
  <c r="Y50" i="50"/>
  <c r="AC15" i="50"/>
  <c r="AC50" i="50" s="1"/>
  <c r="AB15" i="50"/>
  <c r="AB50" i="50" s="1"/>
  <c r="Z15" i="50"/>
  <c r="Z50" i="50" s="1"/>
  <c r="AD15" i="50"/>
  <c r="AD50" i="50" s="1"/>
  <c r="AA15" i="50"/>
  <c r="AA50" i="50" s="1"/>
  <c r="Y37" i="50"/>
  <c r="AE49" i="50"/>
  <c r="AD49" i="50"/>
  <c r="AA49" i="50"/>
  <c r="AC49" i="50"/>
  <c r="Y49" i="50"/>
  <c r="AB49" i="50"/>
  <c r="Z49" i="50"/>
  <c r="AD45" i="50"/>
  <c r="AD44" i="50" s="1"/>
  <c r="AA27" i="50"/>
  <c r="AA18" i="50" s="1"/>
  <c r="AA52" i="50" s="1"/>
  <c r="AB27" i="50"/>
  <c r="AB18" i="50" s="1"/>
  <c r="AB52" i="50" s="1"/>
  <c r="AC27" i="50"/>
  <c r="AC18" i="50" s="1"/>
  <c r="AC52" i="50" s="1"/>
  <c r="AD27" i="50"/>
  <c r="AD18" i="50" s="1"/>
  <c r="AD52" i="50" s="1"/>
  <c r="Z45" i="50"/>
  <c r="Z44" i="50" s="1"/>
  <c r="AA45" i="50"/>
  <c r="AA44" i="50" s="1"/>
  <c r="AC45" i="50"/>
  <c r="AC44" i="50" s="1"/>
  <c r="AB45" i="50"/>
  <c r="AB44" i="50" s="1"/>
  <c r="Y45" i="50"/>
  <c r="Y44" i="50" s="1"/>
  <c r="AE15" i="50"/>
  <c r="AE50" i="50" s="1"/>
  <c r="AO27" i="50"/>
  <c r="AO18" i="50" s="1"/>
  <c r="AO52" i="50" s="1"/>
  <c r="AE27" i="50"/>
  <c r="AE18" i="50" s="1"/>
  <c r="AE52" i="50" s="1"/>
  <c r="AE45" i="50"/>
  <c r="AE44" i="50" s="1"/>
  <c r="BG27" i="50"/>
  <c r="BG18" i="50" s="1"/>
  <c r="BG52" i="50" s="1"/>
  <c r="AJ27" i="50"/>
  <c r="AJ18" i="50" s="1"/>
  <c r="AJ52" i="50" s="1"/>
  <c r="BK27" i="50"/>
  <c r="BK18" i="50" s="1"/>
  <c r="BK52" i="50" s="1"/>
  <c r="BC27" i="50"/>
  <c r="BC18" i="50" s="1"/>
  <c r="BC52" i="50" s="1"/>
  <c r="AP27" i="50"/>
  <c r="AP18" i="50" s="1"/>
  <c r="AP52" i="50" s="1"/>
  <c r="BF27" i="50"/>
  <c r="BF18" i="50" s="1"/>
  <c r="BF52" i="50" s="1"/>
  <c r="AS27" i="50"/>
  <c r="AS18" i="50" s="1"/>
  <c r="AS52" i="50" s="1"/>
  <c r="BI27" i="50"/>
  <c r="BI18" i="50" s="1"/>
  <c r="BI52" i="50" s="1"/>
  <c r="AY27" i="50"/>
  <c r="AY18" i="50" s="1"/>
  <c r="AY52" i="50" s="1"/>
  <c r="AT27" i="50"/>
  <c r="AT18" i="50" s="1"/>
  <c r="AT52" i="50" s="1"/>
  <c r="AG27" i="50"/>
  <c r="AQ27" i="50"/>
  <c r="AQ18" i="50" s="1"/>
  <c r="AQ52" i="50" s="1"/>
  <c r="AF27" i="50"/>
  <c r="AF18" i="50" s="1"/>
  <c r="AF52" i="50" s="1"/>
  <c r="AL27" i="50"/>
  <c r="AL18" i="50" s="1"/>
  <c r="AL52" i="50" s="1"/>
  <c r="BB27" i="50"/>
  <c r="BB18" i="50" s="1"/>
  <c r="BB52" i="50" s="1"/>
  <c r="AV27" i="50"/>
  <c r="AV18" i="50" s="1"/>
  <c r="AV52" i="50" s="1"/>
  <c r="BE27" i="50"/>
  <c r="BE18" i="50" s="1"/>
  <c r="BE52" i="50" s="1"/>
  <c r="BD27" i="50"/>
  <c r="BD18" i="50" s="1"/>
  <c r="BD52" i="50" s="1"/>
  <c r="AX27" i="50"/>
  <c r="AX18" i="50" s="1"/>
  <c r="AX52" i="50" s="1"/>
  <c r="AU27" i="50"/>
  <c r="AU18" i="50" s="1"/>
  <c r="AU52" i="50" s="1"/>
  <c r="AW27" i="50"/>
  <c r="AW18" i="50" s="1"/>
  <c r="AW52" i="50" s="1"/>
  <c r="AM27" i="50"/>
  <c r="AM18" i="50" s="1"/>
  <c r="AM52" i="50" s="1"/>
  <c r="AR27" i="50"/>
  <c r="AR18" i="50" s="1"/>
  <c r="AR52" i="50" s="1"/>
  <c r="BA27" i="50"/>
  <c r="BA18" i="50" s="1"/>
  <c r="BA52" i="50" s="1"/>
  <c r="AI27" i="50"/>
  <c r="AI18" i="50" s="1"/>
  <c r="AI52" i="50" s="1"/>
  <c r="BH27" i="50"/>
  <c r="BH18" i="50" s="1"/>
  <c r="BH52" i="50" s="1"/>
  <c r="AH27" i="50"/>
  <c r="AH18" i="50" s="1"/>
  <c r="AH52" i="50" s="1"/>
  <c r="BJ27" i="50"/>
  <c r="BJ18" i="50" s="1"/>
  <c r="BJ52" i="50" s="1"/>
  <c r="AU15" i="50"/>
  <c r="AU50" i="50" s="1"/>
  <c r="AT15" i="50"/>
  <c r="AT50" i="50" s="1"/>
  <c r="AW15" i="50"/>
  <c r="AW50" i="50" s="1"/>
  <c r="BK15" i="50"/>
  <c r="BK50" i="50" s="1"/>
  <c r="AS15" i="50"/>
  <c r="AS50" i="50" s="1"/>
  <c r="BE15" i="50"/>
  <c r="BE50" i="50" s="1"/>
  <c r="BB15" i="50"/>
  <c r="BB50" i="50" s="1"/>
  <c r="AN15" i="50"/>
  <c r="AN50" i="50" s="1"/>
  <c r="BI15" i="50"/>
  <c r="BI50" i="50" s="1"/>
  <c r="AL15" i="50"/>
  <c r="AL50" i="50" s="1"/>
  <c r="BD15" i="50"/>
  <c r="BD50" i="50" s="1"/>
  <c r="AZ15" i="50"/>
  <c r="AZ50" i="50" s="1"/>
  <c r="AH15" i="50"/>
  <c r="AH50" i="50" s="1"/>
  <c r="AG15" i="50"/>
  <c r="AG50" i="50" s="1"/>
  <c r="AK15" i="50"/>
  <c r="AK50" i="50" s="1"/>
  <c r="AV45" i="50"/>
  <c r="AV44" i="50" s="1"/>
  <c r="AK27" i="50"/>
  <c r="AK18" i="50" s="1"/>
  <c r="AK52" i="50" s="1"/>
  <c r="BE45" i="50"/>
  <c r="BE44" i="50" s="1"/>
  <c r="AX45" i="50"/>
  <c r="AX44" i="50" s="1"/>
  <c r="BI45" i="50"/>
  <c r="BI44" i="50" s="1"/>
  <c r="AI45" i="50"/>
  <c r="AI44" i="50" s="1"/>
  <c r="BF15" i="50"/>
  <c r="BF50" i="50" s="1"/>
  <c r="BA15" i="50"/>
  <c r="BA50" i="50" s="1"/>
  <c r="BJ15" i="50"/>
  <c r="BJ50" i="50" s="1"/>
  <c r="AF15" i="50"/>
  <c r="AF50" i="50" s="1"/>
  <c r="AJ15" i="50"/>
  <c r="AJ50" i="50" s="1"/>
  <c r="BH15" i="50"/>
  <c r="BH50" i="50" s="1"/>
  <c r="BC15" i="50"/>
  <c r="BC50" i="50" s="1"/>
  <c r="AX15" i="50"/>
  <c r="AX50" i="50" s="1"/>
  <c r="AF45" i="50"/>
  <c r="AF44" i="50" s="1"/>
  <c r="AG45" i="50"/>
  <c r="AG44" i="50" s="1"/>
  <c r="AG46" i="50" s="1"/>
  <c r="AN45" i="50"/>
  <c r="AN44" i="50" s="1"/>
  <c r="AY15" i="50"/>
  <c r="AY50" i="50" s="1"/>
  <c r="AM15" i="50"/>
  <c r="AM50" i="50" s="1"/>
  <c r="AV15" i="50"/>
  <c r="AV50" i="50" s="1"/>
  <c r="AP15" i="50"/>
  <c r="AP50" i="50" s="1"/>
  <c r="AR15" i="50"/>
  <c r="AR50" i="50" s="1"/>
  <c r="AQ15" i="50"/>
  <c r="AQ50" i="50" s="1"/>
  <c r="BG15" i="50"/>
  <c r="BG50" i="50" s="1"/>
  <c r="AO15" i="50"/>
  <c r="AO50" i="50" s="1"/>
  <c r="BG45" i="50"/>
  <c r="BG44" i="50" s="1"/>
  <c r="BA45" i="50"/>
  <c r="BA44" i="50" s="1"/>
  <c r="AM45" i="50"/>
  <c r="AM44" i="50" s="1"/>
  <c r="BK45" i="50"/>
  <c r="BK44" i="50" s="1"/>
  <c r="AZ45" i="50"/>
  <c r="AZ44" i="50" s="1"/>
  <c r="AO45" i="50"/>
  <c r="AO44" i="50" s="1"/>
  <c r="AH45" i="50"/>
  <c r="AH44" i="50" s="1"/>
  <c r="BF45" i="50"/>
  <c r="BF44" i="50" s="1"/>
  <c r="AK45" i="50"/>
  <c r="AK44" i="50" s="1"/>
  <c r="AS45" i="50"/>
  <c r="AS44" i="50" s="1"/>
  <c r="BB45" i="50"/>
  <c r="BB44" i="50" s="1"/>
  <c r="BJ45" i="50"/>
  <c r="BJ44" i="50" s="1"/>
  <c r="AU45" i="50"/>
  <c r="AU44" i="50" s="1"/>
  <c r="AJ45" i="50"/>
  <c r="AJ44" i="50" s="1"/>
  <c r="AJ46" i="50" s="1"/>
  <c r="BH45" i="50"/>
  <c r="BH44" i="50" s="1"/>
  <c r="AQ45" i="50"/>
  <c r="AQ44" i="50" s="1"/>
  <c r="AY45" i="50"/>
  <c r="AY44" i="50" s="1"/>
  <c r="BD45" i="50"/>
  <c r="BD44" i="50" s="1"/>
  <c r="AL45" i="50"/>
  <c r="AL44" i="50" s="1"/>
  <c r="AT45" i="50"/>
  <c r="AT44" i="50" s="1"/>
  <c r="BC45" i="50"/>
  <c r="BC44" i="50" s="1"/>
  <c r="AN27" i="50"/>
  <c r="AN18" i="50" s="1"/>
  <c r="AN52" i="50" s="1"/>
  <c r="AZ27" i="50"/>
  <c r="AZ18" i="50" s="1"/>
  <c r="AZ52" i="50" s="1"/>
  <c r="AW45" i="50"/>
  <c r="AW44" i="50" s="1"/>
  <c r="AP45" i="50"/>
  <c r="AP44" i="50" s="1"/>
  <c r="AY49" i="50"/>
  <c r="AS49" i="50"/>
  <c r="AM49" i="50"/>
  <c r="AG49" i="50"/>
  <c r="AQ49" i="50"/>
  <c r="AK49" i="50"/>
  <c r="AU49" i="50"/>
  <c r="AO49" i="50"/>
  <c r="AH49" i="50"/>
  <c r="AF49" i="50"/>
  <c r="BI49" i="50"/>
  <c r="BC49" i="50"/>
  <c r="AW49" i="50"/>
  <c r="BG49" i="50"/>
  <c r="BA49" i="50"/>
  <c r="BK49" i="50"/>
  <c r="BE49" i="50"/>
  <c r="AX49" i="50"/>
  <c r="AV49" i="50"/>
  <c r="AL49" i="50"/>
  <c r="AJ49" i="50"/>
  <c r="AP49" i="50"/>
  <c r="AN49" i="50"/>
  <c r="AT49" i="50"/>
  <c r="AR49" i="50"/>
  <c r="AZ49" i="50"/>
  <c r="BH49" i="50"/>
  <c r="AI49" i="50"/>
  <c r="BF49" i="50"/>
  <c r="BD49" i="50"/>
  <c r="BB49" i="50"/>
  <c r="BJ49" i="50"/>
  <c r="AR46" i="50"/>
  <c r="K1065" i="67" l="1"/>
  <c r="K1426" i="67"/>
  <c r="K1408" i="67"/>
  <c r="K1562" i="67"/>
  <c r="K1546" i="67"/>
  <c r="K945" i="67"/>
  <c r="K1096" i="67"/>
  <c r="K1114" i="67"/>
  <c r="K1216" i="67"/>
  <c r="K963" i="67"/>
  <c r="K1200" i="67"/>
  <c r="K1049" i="67"/>
  <c r="Y55" i="50"/>
  <c r="BC56" i="50"/>
  <c r="BC58" i="50" s="1"/>
  <c r="BC59" i="50" s="1"/>
  <c r="BC60" i="50" s="1"/>
  <c r="BI41" i="70" s="1"/>
  <c r="BE56" i="50"/>
  <c r="AO56" i="50"/>
  <c r="AP56" i="50"/>
  <c r="BJ56" i="50"/>
  <c r="BK56" i="50"/>
  <c r="Z56" i="50"/>
  <c r="BG56" i="50"/>
  <c r="BH56" i="50"/>
  <c r="AK56" i="50"/>
  <c r="BD56" i="50"/>
  <c r="BB56" i="50"/>
  <c r="X61" i="50"/>
  <c r="AD41" i="36"/>
  <c r="BA56" i="50"/>
  <c r="AQ56" i="50"/>
  <c r="AV56" i="50"/>
  <c r="AR56" i="50"/>
  <c r="AY56" i="50"/>
  <c r="AF56" i="50"/>
  <c r="AH56" i="50"/>
  <c r="BI56" i="50"/>
  <c r="AU56" i="50"/>
  <c r="AZ56" i="50"/>
  <c r="AN56" i="50"/>
  <c r="AI56" i="50"/>
  <c r="AG18" i="50"/>
  <c r="AG52" i="50" s="1"/>
  <c r="AG56" i="50" s="1"/>
  <c r="AB56" i="50"/>
  <c r="AA56" i="50"/>
  <c r="AD56" i="50"/>
  <c r="AM56" i="50"/>
  <c r="BF56" i="50"/>
  <c r="AL56" i="50"/>
  <c r="AS56" i="50"/>
  <c r="AE56" i="50"/>
  <c r="AW56" i="50"/>
  <c r="AJ56" i="50"/>
  <c r="AT56" i="50"/>
  <c r="AC56" i="50"/>
  <c r="AX56" i="50"/>
  <c r="AD21" i="36"/>
  <c r="Y54" i="50"/>
  <c r="BB20" i="36"/>
  <c r="BB22" i="36"/>
  <c r="BE22" i="36"/>
  <c r="BE20" i="36"/>
  <c r="AY20" i="36"/>
  <c r="AY22" i="36"/>
  <c r="AE22" i="36"/>
  <c r="AE20" i="36"/>
  <c r="AZ20" i="36"/>
  <c r="AZ22" i="36"/>
  <c r="BN20" i="36"/>
  <c r="BN22" i="36"/>
  <c r="BP22" i="36"/>
  <c r="BP20" i="36"/>
  <c r="BI20" i="36"/>
  <c r="BI22" i="36"/>
  <c r="AK22" i="36"/>
  <c r="AK20" i="36"/>
  <c r="AQ22" i="36"/>
  <c r="AQ20" i="36"/>
  <c r="AP22" i="36"/>
  <c r="AP20" i="36"/>
  <c r="AD22" i="36"/>
  <c r="AR22" i="36"/>
  <c r="AR20" i="36"/>
  <c r="AF20" i="36"/>
  <c r="AF22" i="36"/>
  <c r="BH22" i="36"/>
  <c r="BH20" i="36"/>
  <c r="AO20" i="36"/>
  <c r="AO22" i="36"/>
  <c r="BC20" i="36"/>
  <c r="BC22" i="36"/>
  <c r="AH20" i="36"/>
  <c r="AH22" i="36"/>
  <c r="BF22" i="36"/>
  <c r="BF20" i="36"/>
  <c r="BO20" i="36"/>
  <c r="BO22" i="36"/>
  <c r="BG22" i="36"/>
  <c r="BG20" i="36"/>
  <c r="BL22" i="36"/>
  <c r="BL20" i="36"/>
  <c r="AV22" i="36"/>
  <c r="AV20" i="36"/>
  <c r="BD22" i="36"/>
  <c r="BD20" i="36"/>
  <c r="AU20" i="36"/>
  <c r="AU22" i="36"/>
  <c r="AM22" i="36"/>
  <c r="AM20" i="36"/>
  <c r="AI22" i="36"/>
  <c r="AI20" i="36"/>
  <c r="AS22" i="36"/>
  <c r="AS20" i="36"/>
  <c r="AN20" i="36"/>
  <c r="AN22" i="36"/>
  <c r="AW22" i="36"/>
  <c r="AW20" i="36"/>
  <c r="BM22" i="36"/>
  <c r="BM20" i="36"/>
  <c r="AL22" i="36"/>
  <c r="AL20" i="36"/>
  <c r="AX22" i="36"/>
  <c r="AX20" i="36"/>
  <c r="BA22" i="36"/>
  <c r="BA20" i="36"/>
  <c r="BJ20" i="36"/>
  <c r="BJ22" i="36"/>
  <c r="BK20" i="36"/>
  <c r="BK22" i="36"/>
  <c r="AG20" i="36"/>
  <c r="AG22" i="36"/>
  <c r="AT22" i="36"/>
  <c r="AT20" i="36"/>
  <c r="AJ22" i="36"/>
  <c r="AJ20" i="36"/>
  <c r="BM7" i="36"/>
  <c r="BM5" i="36"/>
  <c r="BM6" i="36"/>
  <c r="AP6" i="36"/>
  <c r="AP5" i="36"/>
  <c r="AP7" i="36"/>
  <c r="BB7" i="36"/>
  <c r="BB5" i="36"/>
  <c r="BB6" i="36"/>
  <c r="AV7" i="36"/>
  <c r="AV5" i="36"/>
  <c r="AV6" i="36"/>
  <c r="AR5" i="36"/>
  <c r="AR6" i="36"/>
  <c r="AR7" i="36"/>
  <c r="AO5" i="36"/>
  <c r="AO7" i="36"/>
  <c r="AO6" i="36"/>
  <c r="BK7" i="36"/>
  <c r="BK6" i="36"/>
  <c r="BK5" i="36"/>
  <c r="AL5" i="36"/>
  <c r="AL7" i="36"/>
  <c r="AL6" i="36"/>
  <c r="BJ6" i="36"/>
  <c r="BJ7" i="36"/>
  <c r="BJ5" i="36"/>
  <c r="AY5" i="36"/>
  <c r="AY7" i="36"/>
  <c r="AY6" i="36"/>
  <c r="AF7" i="36"/>
  <c r="AF6" i="36"/>
  <c r="AF5" i="36"/>
  <c r="AH5" i="36"/>
  <c r="AH6" i="36"/>
  <c r="AH7" i="36"/>
  <c r="BL5" i="36"/>
  <c r="BL7" i="36"/>
  <c r="BL6" i="36"/>
  <c r="BG6" i="36"/>
  <c r="BG7" i="36"/>
  <c r="BG5" i="36"/>
  <c r="AG6" i="36"/>
  <c r="AG7" i="36"/>
  <c r="AG5" i="36"/>
  <c r="AW5" i="36"/>
  <c r="AW7" i="36"/>
  <c r="AW6" i="36"/>
  <c r="BD6" i="36"/>
  <c r="BD5" i="36"/>
  <c r="BD7" i="36"/>
  <c r="BC6" i="36"/>
  <c r="BC7" i="36"/>
  <c r="BC5" i="36"/>
  <c r="AK6" i="36"/>
  <c r="AK7" i="36"/>
  <c r="AK5" i="36"/>
  <c r="AM6" i="36"/>
  <c r="AM5" i="36"/>
  <c r="AM7" i="36"/>
  <c r="BN5" i="36"/>
  <c r="BN7" i="36"/>
  <c r="BN6" i="36"/>
  <c r="AX5" i="36"/>
  <c r="AX6" i="36"/>
  <c r="AX7" i="36"/>
  <c r="AZ6" i="36"/>
  <c r="AZ7" i="36"/>
  <c r="AZ5" i="36"/>
  <c r="AJ6" i="36"/>
  <c r="AJ5" i="36"/>
  <c r="AJ7" i="36"/>
  <c r="AI7" i="36"/>
  <c r="AI6" i="36"/>
  <c r="AI5" i="36"/>
  <c r="BA5" i="36"/>
  <c r="BA7" i="36"/>
  <c r="BA6" i="36"/>
  <c r="BF5" i="36"/>
  <c r="BF7" i="36"/>
  <c r="BF6" i="36"/>
  <c r="BI5" i="36"/>
  <c r="BI7" i="36"/>
  <c r="BI6" i="36"/>
  <c r="AT5" i="36"/>
  <c r="AT7" i="36"/>
  <c r="AT6" i="36"/>
  <c r="AU7" i="36"/>
  <c r="AU5" i="36"/>
  <c r="AU6" i="36"/>
  <c r="BH6" i="36"/>
  <c r="BH7" i="36"/>
  <c r="BH5" i="36"/>
  <c r="BO7" i="36"/>
  <c r="BO6" i="36"/>
  <c r="BO5" i="36"/>
  <c r="BE6" i="36"/>
  <c r="BE5" i="36"/>
  <c r="BE7" i="36"/>
  <c r="AS5" i="36"/>
  <c r="AS6" i="36"/>
  <c r="AS7" i="36"/>
  <c r="BP5" i="36"/>
  <c r="BP6" i="36"/>
  <c r="BP7" i="36"/>
  <c r="AE5" i="36"/>
  <c r="AE6" i="36"/>
  <c r="AE7" i="36"/>
  <c r="AN7" i="36"/>
  <c r="AN5" i="36"/>
  <c r="AN6" i="36"/>
  <c r="AQ5" i="36"/>
  <c r="AQ7" i="36"/>
  <c r="AQ6" i="36"/>
  <c r="AD6" i="36"/>
  <c r="AD7" i="36"/>
  <c r="AD5" i="36"/>
  <c r="AW31" i="55"/>
  <c r="AL31" i="55"/>
  <c r="AX31" i="55"/>
  <c r="AQ31" i="55"/>
  <c r="AA31" i="55"/>
  <c r="AT31" i="55"/>
  <c r="AR31" i="55"/>
  <c r="AM31" i="55"/>
  <c r="AC31" i="55"/>
  <c r="Z31" i="55"/>
  <c r="AV31" i="55"/>
  <c r="W31" i="55"/>
  <c r="AB31" i="55"/>
  <c r="AU31" i="55"/>
  <c r="AJ31" i="55"/>
  <c r="AH31" i="55"/>
  <c r="AO31" i="55"/>
  <c r="AN31" i="55"/>
  <c r="V31" i="55"/>
  <c r="X31" i="55"/>
  <c r="AY31" i="55"/>
  <c r="AI31" i="55"/>
  <c r="AK31" i="55"/>
  <c r="AE31" i="55"/>
  <c r="AF31" i="55"/>
  <c r="AS31" i="55"/>
  <c r="AZ31" i="55"/>
  <c r="AP31" i="55"/>
  <c r="AD31" i="55"/>
  <c r="BA31" i="55"/>
  <c r="Y31" i="55"/>
  <c r="AL19" i="36"/>
  <c r="AL21" i="36"/>
  <c r="BM19" i="36"/>
  <c r="BM21" i="36"/>
  <c r="AY21" i="36"/>
  <c r="AY19" i="36"/>
  <c r="AM21" i="36"/>
  <c r="AM19" i="36"/>
  <c r="AG19" i="36"/>
  <c r="AG21" i="36"/>
  <c r="AW19" i="36"/>
  <c r="AW21" i="36"/>
  <c r="AO19" i="36"/>
  <c r="AO21" i="36"/>
  <c r="BL21" i="36"/>
  <c r="BL19" i="36"/>
  <c r="BG21" i="36"/>
  <c r="BG19" i="36"/>
  <c r="BP19" i="36"/>
  <c r="BP21" i="36"/>
  <c r="BE19" i="36"/>
  <c r="BE21" i="36"/>
  <c r="AP21" i="36"/>
  <c r="AP19" i="36"/>
  <c r="AT19" i="36"/>
  <c r="AT21" i="36"/>
  <c r="AE21" i="36"/>
  <c r="AE19" i="36"/>
  <c r="AI21" i="36"/>
  <c r="AI19" i="36"/>
  <c r="AZ21" i="36"/>
  <c r="AZ19" i="36"/>
  <c r="AK19" i="36"/>
  <c r="AK21" i="36"/>
  <c r="BO21" i="36"/>
  <c r="BO19" i="36"/>
  <c r="BD19" i="36"/>
  <c r="BD21" i="36"/>
  <c r="AF19" i="36"/>
  <c r="AF21" i="36"/>
  <c r="AD19" i="36"/>
  <c r="BN21" i="36"/>
  <c r="BN19" i="36"/>
  <c r="BJ19" i="36"/>
  <c r="BJ21" i="36"/>
  <c r="BI19" i="36"/>
  <c r="BI21" i="36"/>
  <c r="BF21" i="36"/>
  <c r="BF19" i="36"/>
  <c r="BA19" i="36"/>
  <c r="BA21" i="36"/>
  <c r="AV19" i="36"/>
  <c r="AV21" i="36"/>
  <c r="AU21" i="36"/>
  <c r="AU19" i="36"/>
  <c r="AN19" i="36"/>
  <c r="AN21" i="36"/>
  <c r="AH19" i="36"/>
  <c r="AH21" i="36"/>
  <c r="AQ21" i="36"/>
  <c r="AQ19" i="36"/>
  <c r="AX21" i="36"/>
  <c r="AX19" i="36"/>
  <c r="BK21" i="36"/>
  <c r="BK19" i="36"/>
  <c r="BH19" i="36"/>
  <c r="BH21" i="36"/>
  <c r="BC21" i="36"/>
  <c r="BC19" i="36"/>
  <c r="BB19" i="36"/>
  <c r="BB21" i="36"/>
  <c r="AR21" i="36"/>
  <c r="AR19" i="36"/>
  <c r="AS19" i="36"/>
  <c r="AS21" i="36"/>
  <c r="AJ21" i="36"/>
  <c r="AJ19" i="36"/>
  <c r="BE12" i="36"/>
  <c r="BE11" i="36"/>
  <c r="AM12" i="36"/>
  <c r="AM11" i="36"/>
  <c r="BC12" i="36"/>
  <c r="BC11" i="36"/>
  <c r="AL12" i="36"/>
  <c r="AL11" i="36"/>
  <c r="BP11" i="36"/>
  <c r="BP12" i="36"/>
  <c r="AI12" i="36"/>
  <c r="AI11" i="36"/>
  <c r="AS12" i="36"/>
  <c r="AS11" i="36"/>
  <c r="AR12" i="36"/>
  <c r="AR11" i="36"/>
  <c r="AP12" i="36"/>
  <c r="AP11" i="36"/>
  <c r="AN12" i="36"/>
  <c r="AN11" i="36"/>
  <c r="BB12" i="36"/>
  <c r="BB11" i="36"/>
  <c r="BJ12" i="36"/>
  <c r="BJ11" i="36"/>
  <c r="AK12" i="36"/>
  <c r="AK11" i="36"/>
  <c r="BD12" i="36"/>
  <c r="BD11" i="36"/>
  <c r="AU12" i="36"/>
  <c r="AU11" i="36"/>
  <c r="BL12" i="36"/>
  <c r="BL11" i="36"/>
  <c r="AG12" i="36"/>
  <c r="AG11" i="36"/>
  <c r="AD11" i="36"/>
  <c r="AD12" i="36"/>
  <c r="AW12" i="36"/>
  <c r="AW11" i="36"/>
  <c r="BG12" i="36"/>
  <c r="BG11" i="36"/>
  <c r="AX12" i="36"/>
  <c r="AX11" i="36"/>
  <c r="AJ12" i="36"/>
  <c r="AJ11" i="36"/>
  <c r="BM12" i="36"/>
  <c r="BM11" i="36"/>
  <c r="BI12" i="36"/>
  <c r="BI11" i="36"/>
  <c r="AQ12" i="36"/>
  <c r="AQ11" i="36"/>
  <c r="AY12" i="36"/>
  <c r="AY11" i="36"/>
  <c r="BK12" i="36"/>
  <c r="BK11" i="36"/>
  <c r="AO12" i="36"/>
  <c r="AO11" i="36"/>
  <c r="AT12" i="36"/>
  <c r="AT11" i="36"/>
  <c r="AH12" i="36"/>
  <c r="AH11" i="36"/>
  <c r="BO12" i="36"/>
  <c r="BO11" i="36"/>
  <c r="BF12" i="36"/>
  <c r="BF11" i="36"/>
  <c r="AZ12" i="36"/>
  <c r="AZ11" i="36"/>
  <c r="BA12" i="36"/>
  <c r="BA11" i="36"/>
  <c r="AV12" i="36"/>
  <c r="AV11" i="36"/>
  <c r="BN12" i="36"/>
  <c r="BN11" i="36"/>
  <c r="BH12" i="36"/>
  <c r="BH11" i="36"/>
  <c r="AF12" i="36"/>
  <c r="AF11" i="36"/>
  <c r="AE11" i="36"/>
  <c r="AE12" i="36"/>
  <c r="AN37" i="55"/>
  <c r="AR37" i="55"/>
  <c r="AI37" i="55"/>
  <c r="AX37" i="55"/>
  <c r="AJ37" i="55"/>
  <c r="AH37" i="55"/>
  <c r="AE37" i="55"/>
  <c r="AA37" i="55"/>
  <c r="AC37" i="55"/>
  <c r="AB37" i="55"/>
  <c r="Z37" i="55"/>
  <c r="X37" i="55"/>
  <c r="W37" i="55"/>
  <c r="U37" i="55"/>
  <c r="BA37" i="55"/>
  <c r="S12" i="55"/>
  <c r="T12" i="55"/>
  <c r="R31" i="55"/>
  <c r="AV46" i="50"/>
  <c r="O12" i="55"/>
  <c r="Q6" i="55"/>
  <c r="Q31" i="55"/>
  <c r="S31" i="55"/>
  <c r="T6" i="55"/>
  <c r="BI46" i="50"/>
  <c r="U31" i="55"/>
  <c r="P12" i="55"/>
  <c r="O6" i="55"/>
  <c r="P6" i="55"/>
  <c r="T31" i="55"/>
  <c r="O31" i="55"/>
  <c r="AM46" i="50"/>
  <c r="Q12" i="55"/>
  <c r="R12" i="55"/>
  <c r="R6" i="55"/>
  <c r="S6" i="55"/>
  <c r="P31" i="55"/>
  <c r="AM37" i="55"/>
  <c r="AO37" i="55"/>
  <c r="V37" i="55"/>
  <c r="AW37" i="55"/>
  <c r="Y37" i="55"/>
  <c r="AU37" i="55"/>
  <c r="AF37" i="55"/>
  <c r="Y46" i="50"/>
  <c r="Z46" i="50"/>
  <c r="O37" i="55"/>
  <c r="AB46" i="50"/>
  <c r="T37" i="55"/>
  <c r="R37" i="55"/>
  <c r="AC46" i="50"/>
  <c r="P37" i="55"/>
  <c r="Q37" i="55"/>
  <c r="AA46" i="50"/>
  <c r="S37" i="55"/>
  <c r="AD46" i="50"/>
  <c r="AD37" i="55"/>
  <c r="BD46" i="50"/>
  <c r="AS46" i="50"/>
  <c r="AO46" i="50"/>
  <c r="BA46" i="50"/>
  <c r="AX46" i="50"/>
  <c r="AP46" i="50"/>
  <c r="BC46" i="50"/>
  <c r="AY46" i="50"/>
  <c r="AU46" i="50"/>
  <c r="AZ46" i="50"/>
  <c r="BG46" i="50"/>
  <c r="BE46" i="50"/>
  <c r="AW46" i="50"/>
  <c r="AT46" i="50"/>
  <c r="AQ46" i="50"/>
  <c r="BJ46" i="50"/>
  <c r="BF46" i="50"/>
  <c r="BK46" i="50"/>
  <c r="BH46" i="50"/>
  <c r="BB46" i="50"/>
  <c r="AN46" i="50"/>
  <c r="AT37" i="55"/>
  <c r="AV37" i="55"/>
  <c r="AH46" i="50"/>
  <c r="AE46" i="50"/>
  <c r="AQ31" i="50"/>
  <c r="AQ36" i="50"/>
  <c r="AQ41" i="50"/>
  <c r="AG31" i="55"/>
  <c r="AO41" i="50"/>
  <c r="AX24" i="55"/>
  <c r="AT24" i="55"/>
  <c r="BA24" i="55"/>
  <c r="AL24" i="55"/>
  <c r="AQ24" i="55"/>
  <c r="AN24" i="55"/>
  <c r="AP24" i="55"/>
  <c r="AM24" i="55"/>
  <c r="AO24" i="55"/>
  <c r="AV24" i="55"/>
  <c r="AI24" i="55"/>
  <c r="AY24" i="55"/>
  <c r="AH24" i="55"/>
  <c r="AJ24" i="55"/>
  <c r="AK24" i="55"/>
  <c r="AU24" i="55"/>
  <c r="AS24" i="55"/>
  <c r="AW24" i="55"/>
  <c r="AR24" i="55"/>
  <c r="AZ24" i="55"/>
  <c r="AQ37" i="55"/>
  <c r="AK37" i="55"/>
  <c r="AL37" i="55"/>
  <c r="AG37" i="55"/>
  <c r="AS37" i="55"/>
  <c r="AY37" i="55"/>
  <c r="AZ37" i="55"/>
  <c r="AK46" i="50"/>
  <c r="AF46" i="50"/>
  <c r="AI46" i="50"/>
  <c r="AP37" i="55"/>
  <c r="AL46" i="50"/>
  <c r="W24" i="55"/>
  <c r="AA24" i="55"/>
  <c r="BA12" i="55"/>
  <c r="AS12" i="55"/>
  <c r="X12" i="55"/>
  <c r="AA12" i="55"/>
  <c r="AV12" i="55"/>
  <c r="AK12" i="55"/>
  <c r="W12" i="55"/>
  <c r="U12" i="55"/>
  <c r="AW6" i="55"/>
  <c r="AT6" i="55"/>
  <c r="AV6" i="55"/>
  <c r="AC6" i="55"/>
  <c r="AQ6" i="55"/>
  <c r="AF6" i="55"/>
  <c r="AZ6" i="55"/>
  <c r="AO6" i="55"/>
  <c r="V24" i="55"/>
  <c r="AE24" i="55"/>
  <c r="AO31" i="50"/>
  <c r="Z24" i="55"/>
  <c r="AG12" i="55"/>
  <c r="AZ12" i="55"/>
  <c r="AY12" i="55"/>
  <c r="AC12" i="55"/>
  <c r="AR12" i="55"/>
  <c r="AM12" i="55"/>
  <c r="AF12" i="55"/>
  <c r="AN12" i="55"/>
  <c r="AO36" i="50"/>
  <c r="AE12" i="55"/>
  <c r="AX6" i="55"/>
  <c r="AY6" i="55"/>
  <c r="AK6" i="55"/>
  <c r="W6" i="55"/>
  <c r="AN6" i="55"/>
  <c r="BA6" i="55"/>
  <c r="AI6" i="55"/>
  <c r="U6" i="55"/>
  <c r="X24" i="55"/>
  <c r="AC24" i="55"/>
  <c r="U24" i="55"/>
  <c r="Y12" i="55"/>
  <c r="AQ12" i="55"/>
  <c r="Z12" i="55"/>
  <c r="AJ12" i="55"/>
  <c r="AI12" i="55"/>
  <c r="AX12" i="55"/>
  <c r="AW12" i="55"/>
  <c r="AB12" i="55"/>
  <c r="AS6" i="55"/>
  <c r="AP6" i="55"/>
  <c r="AJ6" i="55"/>
  <c r="AD6" i="55"/>
  <c r="AU6" i="55"/>
  <c r="AG6" i="55"/>
  <c r="Z6" i="55"/>
  <c r="X6" i="55"/>
  <c r="AE6" i="55"/>
  <c r="Y24" i="55"/>
  <c r="AD24" i="55"/>
  <c r="AG24" i="55"/>
  <c r="AB24" i="55"/>
  <c r="AF24" i="55"/>
  <c r="AD12" i="55"/>
  <c r="AT12" i="55"/>
  <c r="V12" i="55"/>
  <c r="AO12" i="55"/>
  <c r="AL12" i="55"/>
  <c r="AU12" i="55"/>
  <c r="AH12" i="55"/>
  <c r="AP12" i="55"/>
  <c r="Y6" i="55"/>
  <c r="AA6" i="55"/>
  <c r="V6" i="55"/>
  <c r="AH6" i="55"/>
  <c r="AB6" i="55"/>
  <c r="AR6" i="55"/>
  <c r="AL6" i="55"/>
  <c r="AM6" i="55"/>
  <c r="Y56" i="50" l="1"/>
  <c r="M1386" i="67"/>
  <c r="M1400" i="67"/>
  <c r="M1418" i="67"/>
  <c r="M1538" i="67"/>
  <c r="M1554" i="67"/>
  <c r="AM1386" i="67"/>
  <c r="AM1418" i="67"/>
  <c r="AM1400" i="67"/>
  <c r="AM1538" i="67"/>
  <c r="AM1554" i="67"/>
  <c r="V1386" i="67"/>
  <c r="V1400" i="67"/>
  <c r="V1418" i="67"/>
  <c r="V1538" i="67"/>
  <c r="V1554" i="67"/>
  <c r="Q1386" i="67"/>
  <c r="Q1400" i="67"/>
  <c r="Q1418" i="67"/>
  <c r="Q1538" i="67"/>
  <c r="Q1554" i="67"/>
  <c r="K1417" i="67"/>
  <c r="K1385" i="67"/>
  <c r="K1553" i="67"/>
  <c r="K1537" i="67"/>
  <c r="K1399" i="67"/>
  <c r="K954" i="67"/>
  <c r="K1191" i="67"/>
  <c r="K922" i="67"/>
  <c r="K936" i="67"/>
  <c r="K1105" i="67"/>
  <c r="K1087" i="67"/>
  <c r="K1040" i="67"/>
  <c r="K1073" i="67"/>
  <c r="K1056" i="67"/>
  <c r="K1207" i="67"/>
  <c r="B138" i="65"/>
  <c r="K468" i="67" s="1"/>
  <c r="AQ1386" i="67"/>
  <c r="AQ1418" i="67"/>
  <c r="AQ1400" i="67"/>
  <c r="AQ1538" i="67"/>
  <c r="AQ1554" i="67"/>
  <c r="Y1386" i="67"/>
  <c r="Y1400" i="67"/>
  <c r="Y1418" i="67"/>
  <c r="Y1538" i="67"/>
  <c r="Y1554" i="67"/>
  <c r="S1386" i="67"/>
  <c r="S1400" i="67"/>
  <c r="S1418" i="67"/>
  <c r="S1538" i="67"/>
  <c r="S1554" i="67"/>
  <c r="Q964" i="67"/>
  <c r="Q946" i="67"/>
  <c r="Q1097" i="67"/>
  <c r="Q1115" i="67"/>
  <c r="Q1427" i="67"/>
  <c r="Q1409" i="67"/>
  <c r="AJ964" i="67"/>
  <c r="AJ946" i="67"/>
  <c r="AJ1097" i="67"/>
  <c r="AJ1115" i="67"/>
  <c r="AJ1409" i="67"/>
  <c r="AJ1427" i="67"/>
  <c r="X964" i="67"/>
  <c r="X946" i="67"/>
  <c r="X1097" i="67"/>
  <c r="X1115" i="67"/>
  <c r="X1409" i="67"/>
  <c r="X1427" i="67"/>
  <c r="AM946" i="67"/>
  <c r="AM964" i="67"/>
  <c r="AM1097" i="67"/>
  <c r="AM1115" i="67"/>
  <c r="AM1409" i="67"/>
  <c r="AM1427" i="67"/>
  <c r="AQ962" i="67"/>
  <c r="AQ1064" i="67"/>
  <c r="AQ1048" i="67"/>
  <c r="AQ944" i="67"/>
  <c r="AQ1095" i="67"/>
  <c r="AQ1199" i="67"/>
  <c r="AQ1113" i="67"/>
  <c r="AQ1215" i="67"/>
  <c r="AQ1407" i="67"/>
  <c r="AQ1425" i="67"/>
  <c r="AQ1545" i="67"/>
  <c r="AQ1561" i="67"/>
  <c r="AQ793" i="67"/>
  <c r="AG1064" i="67"/>
  <c r="AG1048" i="67"/>
  <c r="AG962" i="67"/>
  <c r="AG944" i="67"/>
  <c r="AG1095" i="67"/>
  <c r="AG1113" i="67"/>
  <c r="AG1215" i="67"/>
  <c r="AG1199" i="67"/>
  <c r="AG1407" i="67"/>
  <c r="AG1425" i="67"/>
  <c r="AG1545" i="67"/>
  <c r="AG1561" i="67"/>
  <c r="AG793" i="67"/>
  <c r="W962" i="67"/>
  <c r="W944" i="67"/>
  <c r="W1064" i="67"/>
  <c r="W1048" i="67"/>
  <c r="W1095" i="67"/>
  <c r="W1113" i="67"/>
  <c r="W1199" i="67"/>
  <c r="W1215" i="67"/>
  <c r="W1407" i="67"/>
  <c r="W1425" i="67"/>
  <c r="W1545" i="67"/>
  <c r="W1561" i="67"/>
  <c r="W793" i="67"/>
  <c r="AS1064" i="67"/>
  <c r="AS1048" i="67"/>
  <c r="AS944" i="67"/>
  <c r="AS962" i="67"/>
  <c r="AS1095" i="67"/>
  <c r="AS1113" i="67"/>
  <c r="AS1215" i="67"/>
  <c r="AS1199" i="67"/>
  <c r="AS1425" i="67"/>
  <c r="AS1407" i="67"/>
  <c r="AS1545" i="67"/>
  <c r="AS1561" i="67"/>
  <c r="AS793" i="67"/>
  <c r="T1064" i="67"/>
  <c r="T1048" i="67"/>
  <c r="T962" i="67"/>
  <c r="T944" i="67"/>
  <c r="T1113" i="67"/>
  <c r="T1095" i="67"/>
  <c r="T1199" i="67"/>
  <c r="T1215" i="67"/>
  <c r="T1407" i="67"/>
  <c r="T1425" i="67"/>
  <c r="T1545" i="67"/>
  <c r="T1561" i="67"/>
  <c r="T793" i="67"/>
  <c r="X1379" i="67"/>
  <c r="X916" i="67" s="1"/>
  <c r="X1393" i="67"/>
  <c r="X930" i="67" s="1"/>
  <c r="X1411" i="67"/>
  <c r="X948" i="67" s="1"/>
  <c r="X1531" i="67"/>
  <c r="X1034" i="67" s="1"/>
  <c r="X1547" i="67"/>
  <c r="X1050" i="67" s="1"/>
  <c r="AW1380" i="67"/>
  <c r="AW1394" i="67"/>
  <c r="AW931" i="67" s="1"/>
  <c r="AW1412" i="67"/>
  <c r="AW949" i="67" s="1"/>
  <c r="AW1548" i="67"/>
  <c r="AW1051" i="67" s="1"/>
  <c r="AW1532" i="67"/>
  <c r="AW1035" i="67" s="1"/>
  <c r="AV1379" i="67"/>
  <c r="AV916" i="67" s="1"/>
  <c r="AV1393" i="67"/>
  <c r="AV930" i="67" s="1"/>
  <c r="AV1411" i="67"/>
  <c r="AV948" i="67" s="1"/>
  <c r="AV1531" i="67"/>
  <c r="AV1034" i="67" s="1"/>
  <c r="AV1547" i="67"/>
  <c r="AV1050" i="67" s="1"/>
  <c r="AB1381" i="67"/>
  <c r="AB1395" i="67"/>
  <c r="AB932" i="67" s="1"/>
  <c r="AB1413" i="67"/>
  <c r="AB950" i="67" s="1"/>
  <c r="AB1533" i="67"/>
  <c r="AB1036" i="67" s="1"/>
  <c r="AB1549" i="67"/>
  <c r="AB1052" i="67" s="1"/>
  <c r="AM1381" i="67"/>
  <c r="AM1395" i="67"/>
  <c r="AM932" i="67" s="1"/>
  <c r="AM1413" i="67"/>
  <c r="AM950" i="67" s="1"/>
  <c r="AM1549" i="67"/>
  <c r="AM1052" i="67" s="1"/>
  <c r="AM1533" i="67"/>
  <c r="AM1036" i="67" s="1"/>
  <c r="Q1395" i="67"/>
  <c r="Q932" i="67" s="1"/>
  <c r="Q1381" i="67"/>
  <c r="Q1413" i="67"/>
  <c r="Q950" i="67" s="1"/>
  <c r="Q1533" i="67"/>
  <c r="Q1036" i="67" s="1"/>
  <c r="Q1549" i="67"/>
  <c r="Q1052" i="67" s="1"/>
  <c r="AE1379" i="67"/>
  <c r="AE916" i="67" s="1"/>
  <c r="AE1393" i="67"/>
  <c r="AE930" i="67" s="1"/>
  <c r="AE1411" i="67"/>
  <c r="AE948" i="67" s="1"/>
  <c r="AE1547" i="67"/>
  <c r="AE1050" i="67" s="1"/>
  <c r="AE1531" i="67"/>
  <c r="AE1034" i="67" s="1"/>
  <c r="R1381" i="67"/>
  <c r="R1395" i="67"/>
  <c r="R932" i="67" s="1"/>
  <c r="R1413" i="67"/>
  <c r="R950" i="67" s="1"/>
  <c r="R1533" i="67"/>
  <c r="R1036" i="67" s="1"/>
  <c r="R1549" i="67"/>
  <c r="R1052" i="67" s="1"/>
  <c r="AD1380" i="67"/>
  <c r="AD1394" i="67"/>
  <c r="AD931" i="67" s="1"/>
  <c r="AD1412" i="67"/>
  <c r="AD949" i="67" s="1"/>
  <c r="AD1532" i="67"/>
  <c r="AD1035" i="67" s="1"/>
  <c r="AD1548" i="67"/>
  <c r="AD1051" i="67" s="1"/>
  <c r="AN1380" i="67"/>
  <c r="AN1394" i="67"/>
  <c r="AN931" i="67" s="1"/>
  <c r="AN1412" i="67"/>
  <c r="AN949" i="67" s="1"/>
  <c r="AN1532" i="67"/>
  <c r="AN1035" i="67" s="1"/>
  <c r="AN1548" i="67"/>
  <c r="AN1051" i="67" s="1"/>
  <c r="M1380" i="67"/>
  <c r="M1394" i="67"/>
  <c r="M931" i="67" s="1"/>
  <c r="M1412" i="67"/>
  <c r="M949" i="67" s="1"/>
  <c r="M1548" i="67"/>
  <c r="M1051" i="67" s="1"/>
  <c r="M1532" i="67"/>
  <c r="M1035" i="67" s="1"/>
  <c r="S1380" i="67"/>
  <c r="S1412" i="67"/>
  <c r="S949" i="67" s="1"/>
  <c r="S1394" i="67"/>
  <c r="S931" i="67" s="1"/>
  <c r="S1532" i="67"/>
  <c r="S1035" i="67" s="1"/>
  <c r="S1548" i="67"/>
  <c r="S1051" i="67" s="1"/>
  <c r="V1379" i="67"/>
  <c r="V916" i="67" s="1"/>
  <c r="V1393" i="67"/>
  <c r="V930" i="67" s="1"/>
  <c r="V1411" i="67"/>
  <c r="V948" i="67" s="1"/>
  <c r="V1531" i="67"/>
  <c r="V1034" i="67" s="1"/>
  <c r="V1547" i="67"/>
  <c r="V1050" i="67" s="1"/>
  <c r="AC1380" i="67"/>
  <c r="AC1394" i="67"/>
  <c r="AC931" i="67" s="1"/>
  <c r="AC1412" i="67"/>
  <c r="AC949" i="67" s="1"/>
  <c r="AC1548" i="67"/>
  <c r="AC1051" i="67" s="1"/>
  <c r="AC1532" i="67"/>
  <c r="AC1035" i="67" s="1"/>
  <c r="W1394" i="67"/>
  <c r="W931" i="67" s="1"/>
  <c r="W1380" i="67"/>
  <c r="W1412" i="67"/>
  <c r="W949" i="67" s="1"/>
  <c r="W1532" i="67"/>
  <c r="W1035" i="67" s="1"/>
  <c r="W1548" i="67"/>
  <c r="W1051" i="67" s="1"/>
  <c r="N1410" i="67"/>
  <c r="N1428" i="67"/>
  <c r="AE1065" i="67"/>
  <c r="AE1408" i="67"/>
  <c r="AE1426" i="67"/>
  <c r="AE1546" i="67"/>
  <c r="AE1562" i="67"/>
  <c r="U1410" i="67"/>
  <c r="U1428" i="67"/>
  <c r="AB1410" i="67"/>
  <c r="AB1428" i="67"/>
  <c r="AM1065" i="67"/>
  <c r="AM1426" i="67"/>
  <c r="AM1408" i="67"/>
  <c r="AM1546" i="67"/>
  <c r="AM1562" i="67"/>
  <c r="AO1065" i="67"/>
  <c r="AO1408" i="67"/>
  <c r="AO1426" i="67"/>
  <c r="AO1546" i="67"/>
  <c r="AO1562" i="67"/>
  <c r="W1410" i="67"/>
  <c r="W1428" i="67"/>
  <c r="AW1410" i="67"/>
  <c r="AW1428" i="67"/>
  <c r="AG1065" i="67"/>
  <c r="AG1408" i="67"/>
  <c r="AG1426" i="67"/>
  <c r="AG1546" i="67"/>
  <c r="AG1562" i="67"/>
  <c r="AI1065" i="67"/>
  <c r="AI1408" i="67"/>
  <c r="AI1426" i="67"/>
  <c r="AI1546" i="67"/>
  <c r="AI1562" i="67"/>
  <c r="AC1385" i="67"/>
  <c r="AC1417" i="67"/>
  <c r="AC1399" i="67"/>
  <c r="AC1537" i="67"/>
  <c r="AC1553" i="67"/>
  <c r="AT162" i="34"/>
  <c r="AA1385" i="67"/>
  <c r="AA1399" i="67"/>
  <c r="AA1417" i="67"/>
  <c r="AA1553" i="67"/>
  <c r="AA1537" i="67"/>
  <c r="AT1385" i="67"/>
  <c r="AT1399" i="67"/>
  <c r="AT1417" i="67"/>
  <c r="AT1537" i="67"/>
  <c r="AT1553" i="67"/>
  <c r="N1385" i="67"/>
  <c r="N1399" i="67"/>
  <c r="N1417" i="67"/>
  <c r="N1553" i="67"/>
  <c r="N1537" i="67"/>
  <c r="AI1385" i="67"/>
  <c r="AI1399" i="67"/>
  <c r="AI1417" i="67"/>
  <c r="AI1537" i="67"/>
  <c r="AI1553" i="67"/>
  <c r="Z1385" i="67"/>
  <c r="Z1399" i="67"/>
  <c r="Z1417" i="67"/>
  <c r="Z1537" i="67"/>
  <c r="Z1553" i="67"/>
  <c r="AL1385" i="67"/>
  <c r="AL1399" i="67"/>
  <c r="AL1417" i="67"/>
  <c r="AL1537" i="67"/>
  <c r="AL1553" i="67"/>
  <c r="AO964" i="67"/>
  <c r="AO946" i="67"/>
  <c r="AO1097" i="67"/>
  <c r="AO1115" i="67"/>
  <c r="AO1409" i="67"/>
  <c r="AO1427" i="67"/>
  <c r="AH964" i="67"/>
  <c r="AH946" i="67"/>
  <c r="AH1115" i="67"/>
  <c r="AH1097" i="67"/>
  <c r="AH1409" i="67"/>
  <c r="AH1427" i="67"/>
  <c r="AH1386" i="67"/>
  <c r="AH1400" i="67"/>
  <c r="AH1418" i="67"/>
  <c r="AH1538" i="67"/>
  <c r="AH1554" i="67"/>
  <c r="AF1386" i="67"/>
  <c r="AF1400" i="67"/>
  <c r="AF1418" i="67"/>
  <c r="AF1538" i="67"/>
  <c r="AF1554" i="67"/>
  <c r="AK1386" i="67"/>
  <c r="AK1400" i="67"/>
  <c r="AK1418" i="67"/>
  <c r="AK1538" i="67"/>
  <c r="AK1554" i="67"/>
  <c r="AV1064" i="67"/>
  <c r="AV1048" i="67"/>
  <c r="AV944" i="67"/>
  <c r="AV962" i="67"/>
  <c r="AV1095" i="67"/>
  <c r="AV1113" i="67"/>
  <c r="AV1199" i="67"/>
  <c r="AV1215" i="67"/>
  <c r="AV1407" i="67"/>
  <c r="AV1425" i="67"/>
  <c r="AV1545" i="67"/>
  <c r="AV1561" i="67"/>
  <c r="AV793" i="67"/>
  <c r="AO1385" i="67"/>
  <c r="AO1399" i="67"/>
  <c r="AO1417" i="67"/>
  <c r="AO1537" i="67"/>
  <c r="AO1553" i="67"/>
  <c r="AR1385" i="67"/>
  <c r="AR1399" i="67"/>
  <c r="AR1417" i="67"/>
  <c r="AR1537" i="67"/>
  <c r="AR1553" i="67"/>
  <c r="AE1385" i="67"/>
  <c r="AE1399" i="67"/>
  <c r="AE1417" i="67"/>
  <c r="AE1537" i="67"/>
  <c r="AE1553" i="67"/>
  <c r="AK162" i="34"/>
  <c r="R1385" i="67"/>
  <c r="R1399" i="67"/>
  <c r="R1417" i="67"/>
  <c r="R1537" i="67"/>
  <c r="R1553" i="67"/>
  <c r="AW1386" i="67"/>
  <c r="AW1400" i="67"/>
  <c r="AW1418" i="67"/>
  <c r="AW1538" i="67"/>
  <c r="AW1554" i="67"/>
  <c r="AI964" i="67"/>
  <c r="AI946" i="67"/>
  <c r="AI1097" i="67"/>
  <c r="AI1115" i="67"/>
  <c r="AI1409" i="67"/>
  <c r="AI1427" i="67"/>
  <c r="O964" i="67"/>
  <c r="O946" i="67"/>
  <c r="O1097" i="67"/>
  <c r="O1115" i="67"/>
  <c r="O1409" i="67"/>
  <c r="O1427" i="67"/>
  <c r="AP946" i="67"/>
  <c r="AP964" i="67"/>
  <c r="AP1097" i="67"/>
  <c r="AP1115" i="67"/>
  <c r="AP1409" i="67"/>
  <c r="AP1427" i="67"/>
  <c r="M1064" i="67"/>
  <c r="M1048" i="67"/>
  <c r="M944" i="67"/>
  <c r="M962" i="67"/>
  <c r="M1095" i="67"/>
  <c r="M1113" i="67"/>
  <c r="M1215" i="67"/>
  <c r="M793" i="67"/>
  <c r="M1199" i="67"/>
  <c r="M1425" i="67"/>
  <c r="M1407" i="67"/>
  <c r="M1545" i="67"/>
  <c r="M1561" i="67"/>
  <c r="L964" i="67"/>
  <c r="L946" i="67"/>
  <c r="L1097" i="67"/>
  <c r="L1115" i="67"/>
  <c r="L1409" i="67"/>
  <c r="L1427" i="67"/>
  <c r="AW1064" i="67"/>
  <c r="AW1048" i="67"/>
  <c r="AW962" i="67"/>
  <c r="AW944" i="67"/>
  <c r="AW1095" i="67"/>
  <c r="AW1113" i="67"/>
  <c r="AW1215" i="67"/>
  <c r="AW1199" i="67"/>
  <c r="AW1407" i="67"/>
  <c r="AW1425" i="67"/>
  <c r="AW1545" i="67"/>
  <c r="AW1561" i="67"/>
  <c r="AW793" i="67"/>
  <c r="AD1064" i="67"/>
  <c r="AD1048" i="67"/>
  <c r="AD962" i="67"/>
  <c r="AD944" i="67"/>
  <c r="AD1095" i="67"/>
  <c r="AD1113" i="67"/>
  <c r="AD1215" i="67"/>
  <c r="AD1199" i="67"/>
  <c r="AD1407" i="67"/>
  <c r="AD1425" i="67"/>
  <c r="AD1545" i="67"/>
  <c r="AD1561" i="67"/>
  <c r="AD793" i="67"/>
  <c r="AT962" i="67"/>
  <c r="AT944" i="67"/>
  <c r="AT1064" i="67"/>
  <c r="AT1048" i="67"/>
  <c r="AT1095" i="67"/>
  <c r="AT1113" i="67"/>
  <c r="AT1215" i="67"/>
  <c r="AT1199" i="67"/>
  <c r="AT1407" i="67"/>
  <c r="AT1425" i="67"/>
  <c r="AT1545" i="67"/>
  <c r="AT1561" i="67"/>
  <c r="AT793" i="67"/>
  <c r="U1380" i="67"/>
  <c r="U1394" i="67"/>
  <c r="U931" i="67" s="1"/>
  <c r="U1412" i="67"/>
  <c r="U949" i="67" s="1"/>
  <c r="U1532" i="67"/>
  <c r="U1035" i="67" s="1"/>
  <c r="U1548" i="67"/>
  <c r="U1051" i="67" s="1"/>
  <c r="AW1393" i="67"/>
  <c r="AW930" i="67" s="1"/>
  <c r="AW1379" i="67"/>
  <c r="AW916" i="67" s="1"/>
  <c r="AW1411" i="67"/>
  <c r="AW948" i="67" s="1"/>
  <c r="AW1531" i="67"/>
  <c r="AW1034" i="67" s="1"/>
  <c r="AW1547" i="67"/>
  <c r="AW1050" i="67" s="1"/>
  <c r="AV1380" i="67"/>
  <c r="AV1394" i="67"/>
  <c r="AV931" i="67" s="1"/>
  <c r="AV1412" i="67"/>
  <c r="AV949" i="67" s="1"/>
  <c r="AV1532" i="67"/>
  <c r="AV1035" i="67" s="1"/>
  <c r="AV1548" i="67"/>
  <c r="AV1051" i="67" s="1"/>
  <c r="AP1381" i="67"/>
  <c r="AP1395" i="67"/>
  <c r="AP932" i="67" s="1"/>
  <c r="AP1413" i="67"/>
  <c r="AP950" i="67" s="1"/>
  <c r="AP1533" i="67"/>
  <c r="AP1036" i="67" s="1"/>
  <c r="AP1549" i="67"/>
  <c r="AP1052" i="67" s="1"/>
  <c r="AM1379" i="67"/>
  <c r="AM916" i="67" s="1"/>
  <c r="AM1393" i="67"/>
  <c r="AM930" i="67" s="1"/>
  <c r="AM1411" i="67"/>
  <c r="AM948" i="67" s="1"/>
  <c r="AM1547" i="67"/>
  <c r="AM1050" i="67" s="1"/>
  <c r="AM1531" i="67"/>
  <c r="AM1034" i="67" s="1"/>
  <c r="AG1380" i="67"/>
  <c r="AG1394" i="67"/>
  <c r="AG931" i="67" s="1"/>
  <c r="AG1412" i="67"/>
  <c r="AG949" i="67" s="1"/>
  <c r="AG1548" i="67"/>
  <c r="AG1051" i="67" s="1"/>
  <c r="AG1532" i="67"/>
  <c r="AG1035" i="67" s="1"/>
  <c r="T1379" i="67"/>
  <c r="T916" i="67" s="1"/>
  <c r="T1393" i="67"/>
  <c r="T930" i="67" s="1"/>
  <c r="T1411" i="67"/>
  <c r="T948" i="67" s="1"/>
  <c r="T1531" i="67"/>
  <c r="T1034" i="67" s="1"/>
  <c r="T1547" i="67"/>
  <c r="T1050" i="67" s="1"/>
  <c r="AK1395" i="67"/>
  <c r="AK932" i="67" s="1"/>
  <c r="AK1381" i="67"/>
  <c r="AK1413" i="67"/>
  <c r="AK950" i="67" s="1"/>
  <c r="AK1533" i="67"/>
  <c r="AK1036" i="67" s="1"/>
  <c r="AK1549" i="67"/>
  <c r="AK1052" i="67" s="1"/>
  <c r="N1380" i="67"/>
  <c r="N1394" i="67"/>
  <c r="N931" i="67" s="1"/>
  <c r="N1412" i="67"/>
  <c r="N949" i="67" s="1"/>
  <c r="N1532" i="67"/>
  <c r="N1035" i="67" s="1"/>
  <c r="N1548" i="67"/>
  <c r="N1051" i="67" s="1"/>
  <c r="M1381" i="67"/>
  <c r="M1413" i="67"/>
  <c r="M950" i="67" s="1"/>
  <c r="M1395" i="67"/>
  <c r="M932" i="67" s="1"/>
  <c r="M1533" i="67"/>
  <c r="M1036" i="67" s="1"/>
  <c r="M1549" i="67"/>
  <c r="M1052" i="67" s="1"/>
  <c r="S1381" i="67"/>
  <c r="S1395" i="67"/>
  <c r="S932" i="67" s="1"/>
  <c r="S1413" i="67"/>
  <c r="S950" i="67" s="1"/>
  <c r="S1549" i="67"/>
  <c r="S1052" i="67" s="1"/>
  <c r="S1533" i="67"/>
  <c r="S1036" i="67" s="1"/>
  <c r="Y1381" i="67"/>
  <c r="Y1395" i="67"/>
  <c r="Y932" i="67" s="1"/>
  <c r="Y1533" i="67"/>
  <c r="Y1036" i="67" s="1"/>
  <c r="Y1413" i="67"/>
  <c r="Y950" i="67" s="1"/>
  <c r="Y1549" i="67"/>
  <c r="Y1052" i="67" s="1"/>
  <c r="AC1393" i="67"/>
  <c r="AC930" i="67" s="1"/>
  <c r="AC1379" i="67"/>
  <c r="AC916" i="67" s="1"/>
  <c r="AC1411" i="67"/>
  <c r="AC948" i="67" s="1"/>
  <c r="AC1531" i="67"/>
  <c r="AC1034" i="67" s="1"/>
  <c r="AC1547" i="67"/>
  <c r="AC1050" i="67" s="1"/>
  <c r="AT1380" i="67"/>
  <c r="AT1394" i="67"/>
  <c r="AT931" i="67" s="1"/>
  <c r="AT1412" i="67"/>
  <c r="AT949" i="67" s="1"/>
  <c r="AT1532" i="67"/>
  <c r="AT1035" i="67" s="1"/>
  <c r="AT1548" i="67"/>
  <c r="AT1051" i="67" s="1"/>
  <c r="N1065" i="67"/>
  <c r="N1408" i="67"/>
  <c r="N1426" i="67"/>
  <c r="N1546" i="67"/>
  <c r="N1562" i="67"/>
  <c r="AE1410" i="67"/>
  <c r="AE1428" i="67"/>
  <c r="U1065" i="67"/>
  <c r="U1408" i="67"/>
  <c r="U1426" i="67"/>
  <c r="U1546" i="67"/>
  <c r="U1562" i="67"/>
  <c r="AB1065" i="67"/>
  <c r="AB1408" i="67"/>
  <c r="AB1426" i="67"/>
  <c r="AB1546" i="67"/>
  <c r="AB1562" i="67"/>
  <c r="AN1410" i="67"/>
  <c r="AN1428" i="67"/>
  <c r="AJ1065" i="67"/>
  <c r="AJ1408" i="67"/>
  <c r="AJ1426" i="67"/>
  <c r="AJ1546" i="67"/>
  <c r="AJ1562" i="67"/>
  <c r="Y1410" i="67"/>
  <c r="Y1428" i="67"/>
  <c r="AP1410" i="67"/>
  <c r="AP1428" i="67"/>
  <c r="L1065" i="67"/>
  <c r="L1408" i="67"/>
  <c r="L1426" i="67"/>
  <c r="L1546" i="67"/>
  <c r="L1562" i="67"/>
  <c r="L1385" i="67"/>
  <c r="L1399" i="67"/>
  <c r="L1417" i="67"/>
  <c r="L1537" i="67"/>
  <c r="L1553" i="67"/>
  <c r="AO1386" i="67"/>
  <c r="AO1400" i="67"/>
  <c r="AO1418" i="67"/>
  <c r="AO1538" i="67"/>
  <c r="AO1554" i="67"/>
  <c r="AC1386" i="67"/>
  <c r="AC1400" i="67"/>
  <c r="AC1418" i="67"/>
  <c r="AC1538" i="67"/>
  <c r="AC1554" i="67"/>
  <c r="AG1386" i="67"/>
  <c r="AG1400" i="67"/>
  <c r="AG1418" i="67"/>
  <c r="AG1538" i="67"/>
  <c r="AG1554" i="67"/>
  <c r="AV1386" i="67"/>
  <c r="AV1400" i="67"/>
  <c r="AV1418" i="67"/>
  <c r="AV1538" i="67"/>
  <c r="AV1554" i="67"/>
  <c r="AA1386" i="67"/>
  <c r="AA1400" i="67"/>
  <c r="AA1418" i="67"/>
  <c r="AA1538" i="67"/>
  <c r="AA1554" i="67"/>
  <c r="AR1386" i="67"/>
  <c r="AR1400" i="67"/>
  <c r="AR1418" i="67"/>
  <c r="AR1554" i="67"/>
  <c r="AR1538" i="67"/>
  <c r="X1386" i="67"/>
  <c r="X1400" i="67"/>
  <c r="X1418" i="67"/>
  <c r="X1538" i="67"/>
  <c r="X1554" i="67"/>
  <c r="AT1386" i="67"/>
  <c r="AT1400" i="67"/>
  <c r="AT1418" i="67"/>
  <c r="AT1538" i="67"/>
  <c r="AT1554" i="67"/>
  <c r="AE1386" i="67"/>
  <c r="AE1400" i="67"/>
  <c r="AE1418" i="67"/>
  <c r="AE1538" i="67"/>
  <c r="AE1554" i="67"/>
  <c r="AD1386" i="67"/>
  <c r="AD1400" i="67"/>
  <c r="AD1418" i="67"/>
  <c r="AD1538" i="67"/>
  <c r="AD1554" i="67"/>
  <c r="N1386" i="67"/>
  <c r="N1400" i="67"/>
  <c r="N1418" i="67"/>
  <c r="N1538" i="67"/>
  <c r="N1554" i="67"/>
  <c r="AB1386" i="67"/>
  <c r="AB1400" i="67"/>
  <c r="AB1418" i="67"/>
  <c r="AB1554" i="67"/>
  <c r="AB1538" i="67"/>
  <c r="R1386" i="67"/>
  <c r="R1400" i="67"/>
  <c r="R1418" i="67"/>
  <c r="R1538" i="67"/>
  <c r="R1554" i="67"/>
  <c r="AI1386" i="67"/>
  <c r="AI1400" i="67"/>
  <c r="AI1538" i="67"/>
  <c r="AI1554" i="67"/>
  <c r="AI1418" i="67"/>
  <c r="W1418" i="67"/>
  <c r="W1400" i="67"/>
  <c r="W1386" i="67"/>
  <c r="W1538" i="67"/>
  <c r="W1554" i="67"/>
  <c r="Z1386" i="67"/>
  <c r="Z1400" i="67"/>
  <c r="Z1418" i="67"/>
  <c r="Z1538" i="67"/>
  <c r="Z1554" i="67"/>
  <c r="AW1385" i="67"/>
  <c r="AW1399" i="67"/>
  <c r="AW1417" i="67"/>
  <c r="AW1537" i="67"/>
  <c r="AW1553" i="67"/>
  <c r="AJ1386" i="67"/>
  <c r="AJ1400" i="67"/>
  <c r="AJ1418" i="67"/>
  <c r="AJ1554" i="67"/>
  <c r="AJ1538" i="67"/>
  <c r="AL1386" i="67"/>
  <c r="AL1400" i="67"/>
  <c r="AL1418" i="67"/>
  <c r="AL1538" i="67"/>
  <c r="AL1554" i="67"/>
  <c r="Z1064" i="67"/>
  <c r="Z1048" i="67"/>
  <c r="Z962" i="67"/>
  <c r="Z944" i="67"/>
  <c r="Z1095" i="67"/>
  <c r="Z1113" i="67"/>
  <c r="Z1215" i="67"/>
  <c r="Z1199" i="67"/>
  <c r="Z1407" i="67"/>
  <c r="Z1425" i="67"/>
  <c r="Z1545" i="67"/>
  <c r="Z1561" i="67"/>
  <c r="Z793" i="67"/>
  <c r="AI962" i="67"/>
  <c r="AI1064" i="67"/>
  <c r="AI1048" i="67"/>
  <c r="AI944" i="67"/>
  <c r="AI1095" i="67"/>
  <c r="AI1199" i="67"/>
  <c r="AI1215" i="67"/>
  <c r="AI1113" i="67"/>
  <c r="AI1407" i="67"/>
  <c r="AI1425" i="67"/>
  <c r="AI1545" i="67"/>
  <c r="AI1561" i="67"/>
  <c r="AI793" i="67"/>
  <c r="AO1064" i="67"/>
  <c r="AO1048" i="67"/>
  <c r="AO962" i="67"/>
  <c r="AO944" i="67"/>
  <c r="AO1095" i="67"/>
  <c r="AO1113" i="67"/>
  <c r="AO1215" i="67"/>
  <c r="AO1199" i="67"/>
  <c r="AO1407" i="67"/>
  <c r="AO1425" i="67"/>
  <c r="AO1545" i="67"/>
  <c r="AO1561" i="67"/>
  <c r="AO793" i="67"/>
  <c r="AE946" i="67"/>
  <c r="AE964" i="67"/>
  <c r="AE1097" i="67"/>
  <c r="AE1115" i="67"/>
  <c r="AE1409" i="67"/>
  <c r="AE1427" i="67"/>
  <c r="O962" i="67"/>
  <c r="O944" i="67"/>
  <c r="O1064" i="67"/>
  <c r="O1048" i="67"/>
  <c r="O1095" i="67"/>
  <c r="O1199" i="67"/>
  <c r="O1113" i="67"/>
  <c r="O1215" i="67"/>
  <c r="O793" i="67"/>
  <c r="O1407" i="67"/>
  <c r="O1425" i="67"/>
  <c r="O1545" i="67"/>
  <c r="O1561" i="67"/>
  <c r="AB946" i="67"/>
  <c r="AB964" i="67"/>
  <c r="AB1097" i="67"/>
  <c r="AB1115" i="67"/>
  <c r="AB1409" i="67"/>
  <c r="AB1427" i="67"/>
  <c r="AH1064" i="67"/>
  <c r="AH1048" i="67"/>
  <c r="AH962" i="67"/>
  <c r="AH944" i="67"/>
  <c r="AH1095" i="67"/>
  <c r="AH1113" i="67"/>
  <c r="AH1215" i="67"/>
  <c r="AH1199" i="67"/>
  <c r="AH1407" i="67"/>
  <c r="AH1425" i="67"/>
  <c r="AH1545" i="67"/>
  <c r="AH1561" i="67"/>
  <c r="AH793" i="67"/>
  <c r="AP1064" i="67"/>
  <c r="AP1048" i="67"/>
  <c r="AP962" i="67"/>
  <c r="AP944" i="67"/>
  <c r="AP1095" i="67"/>
  <c r="AP1113" i="67"/>
  <c r="AP1215" i="67"/>
  <c r="AP1199" i="67"/>
  <c r="AP1407" i="67"/>
  <c r="AP1425" i="67"/>
  <c r="AP1561" i="67"/>
  <c r="AP1545" i="67"/>
  <c r="AP793" i="67"/>
  <c r="AU964" i="67"/>
  <c r="AU946" i="67"/>
  <c r="AU1097" i="67"/>
  <c r="AU1115" i="67"/>
  <c r="AU1409" i="67"/>
  <c r="AU1427" i="67"/>
  <c r="AK964" i="67"/>
  <c r="AK946" i="67"/>
  <c r="AK1097" i="67"/>
  <c r="AK1115" i="67"/>
  <c r="AK1409" i="67"/>
  <c r="AK1427" i="67"/>
  <c r="R964" i="67"/>
  <c r="R946" i="67"/>
  <c r="R1115" i="67"/>
  <c r="R1097" i="67"/>
  <c r="R1409" i="67"/>
  <c r="R1427" i="67"/>
  <c r="P1064" i="67"/>
  <c r="P1048" i="67"/>
  <c r="P962" i="67"/>
  <c r="P944" i="67"/>
  <c r="P1095" i="67"/>
  <c r="P1113" i="67"/>
  <c r="P1199" i="67"/>
  <c r="P1215" i="67"/>
  <c r="P793" i="67"/>
  <c r="P1407" i="67"/>
  <c r="P1425" i="67"/>
  <c r="P1545" i="67"/>
  <c r="P1561" i="67"/>
  <c r="AA964" i="67"/>
  <c r="AA946" i="67"/>
  <c r="AA1097" i="67"/>
  <c r="AA1115" i="67"/>
  <c r="AA1409" i="67"/>
  <c r="AA1427" i="67"/>
  <c r="AL964" i="67"/>
  <c r="AL946" i="67"/>
  <c r="AL1115" i="67"/>
  <c r="AL1097" i="67"/>
  <c r="AL1409" i="67"/>
  <c r="AL1427" i="67"/>
  <c r="AN1064" i="67"/>
  <c r="AN1048" i="67"/>
  <c r="AN962" i="67"/>
  <c r="AN944" i="67"/>
  <c r="AN1113" i="67"/>
  <c r="AN1095" i="67"/>
  <c r="AN1199" i="67"/>
  <c r="AN1215" i="67"/>
  <c r="AN1407" i="67"/>
  <c r="AN1425" i="67"/>
  <c r="AN1545" i="67"/>
  <c r="AN1561" i="67"/>
  <c r="AN793" i="67"/>
  <c r="V964" i="67"/>
  <c r="V946" i="67"/>
  <c r="V1115" i="67"/>
  <c r="V1097" i="67"/>
  <c r="V1409" i="67"/>
  <c r="V1427" i="67"/>
  <c r="N946" i="67"/>
  <c r="N964" i="67"/>
  <c r="N1115" i="67"/>
  <c r="N1097" i="67"/>
  <c r="N1409" i="67"/>
  <c r="N1427" i="67"/>
  <c r="AF1064" i="67"/>
  <c r="AF1048" i="67"/>
  <c r="AF944" i="67"/>
  <c r="AF962" i="67"/>
  <c r="AF1095" i="67"/>
  <c r="AF1113" i="67"/>
  <c r="AF1199" i="67"/>
  <c r="AF1215" i="67"/>
  <c r="AF1407" i="67"/>
  <c r="AF1425" i="67"/>
  <c r="AF1545" i="67"/>
  <c r="AF1561" i="67"/>
  <c r="AF793" i="67"/>
  <c r="S946" i="67"/>
  <c r="S964" i="67"/>
  <c r="S1097" i="67"/>
  <c r="S1115" i="67"/>
  <c r="S1409" i="67"/>
  <c r="S1427" i="67"/>
  <c r="X1380" i="67"/>
  <c r="X1394" i="67"/>
  <c r="X931" i="67" s="1"/>
  <c r="X1412" i="67"/>
  <c r="X949" i="67" s="1"/>
  <c r="X1532" i="67"/>
  <c r="X1035" i="67" s="1"/>
  <c r="X1548" i="67"/>
  <c r="X1051" i="67" s="1"/>
  <c r="U1379" i="67"/>
  <c r="U916" i="67" s="1"/>
  <c r="U1393" i="67"/>
  <c r="U930" i="67" s="1"/>
  <c r="U1531" i="67"/>
  <c r="U1034" i="67" s="1"/>
  <c r="U1411" i="67"/>
  <c r="U948" i="67" s="1"/>
  <c r="U1547" i="67"/>
  <c r="U1050" i="67" s="1"/>
  <c r="L1379" i="67"/>
  <c r="L916" i="67" s="1"/>
  <c r="L1393" i="67"/>
  <c r="L930" i="67" s="1"/>
  <c r="L1411" i="67"/>
  <c r="L948" i="67" s="1"/>
  <c r="L1531" i="67"/>
  <c r="L1034" i="67" s="1"/>
  <c r="L1547" i="67"/>
  <c r="L1050" i="67" s="1"/>
  <c r="Z1381" i="67"/>
  <c r="Z1395" i="67"/>
  <c r="Z932" i="67" s="1"/>
  <c r="Z1413" i="67"/>
  <c r="Z950" i="67" s="1"/>
  <c r="Z1533" i="67"/>
  <c r="Z1036" i="67" s="1"/>
  <c r="Z1549" i="67"/>
  <c r="Z1052" i="67" s="1"/>
  <c r="AL1379" i="67"/>
  <c r="AL916" i="67" s="1"/>
  <c r="AL1393" i="67"/>
  <c r="AL930" i="67" s="1"/>
  <c r="AL1411" i="67"/>
  <c r="AL948" i="67" s="1"/>
  <c r="AL1531" i="67"/>
  <c r="AL1034" i="67" s="1"/>
  <c r="AL1547" i="67"/>
  <c r="AL1050" i="67" s="1"/>
  <c r="AV1381" i="67"/>
  <c r="AV1395" i="67"/>
  <c r="AV932" i="67" s="1"/>
  <c r="AV1413" i="67"/>
  <c r="AV950" i="67" s="1"/>
  <c r="AV1533" i="67"/>
  <c r="AV1036" i="67" s="1"/>
  <c r="AV1549" i="67"/>
  <c r="AV1052" i="67" s="1"/>
  <c r="AB1380" i="67"/>
  <c r="AB1394" i="67"/>
  <c r="AB931" i="67" s="1"/>
  <c r="AB1412" i="67"/>
  <c r="AB949" i="67" s="1"/>
  <c r="AB1532" i="67"/>
  <c r="AB1035" i="67" s="1"/>
  <c r="AB1548" i="67"/>
  <c r="AB1051" i="67" s="1"/>
  <c r="AA1381" i="67"/>
  <c r="AA1395" i="67"/>
  <c r="AA932" i="67" s="1"/>
  <c r="AA1413" i="67"/>
  <c r="AA950" i="67" s="1"/>
  <c r="AA1549" i="67"/>
  <c r="AA1052" i="67" s="1"/>
  <c r="AA1533" i="67"/>
  <c r="AA1036" i="67" s="1"/>
  <c r="AP1379" i="67"/>
  <c r="AP916" i="67" s="1"/>
  <c r="AP1393" i="67"/>
  <c r="AP930" i="67" s="1"/>
  <c r="AP1411" i="67"/>
  <c r="AP948" i="67" s="1"/>
  <c r="AP1531" i="67"/>
  <c r="AP1034" i="67" s="1"/>
  <c r="AP1547" i="67"/>
  <c r="AP1050" i="67" s="1"/>
  <c r="AH1380" i="67"/>
  <c r="AH1394" i="67"/>
  <c r="AH931" i="67" s="1"/>
  <c r="AH1412" i="67"/>
  <c r="AH949" i="67" s="1"/>
  <c r="AH1532" i="67"/>
  <c r="AH1035" i="67" s="1"/>
  <c r="AH1548" i="67"/>
  <c r="AH1051" i="67" s="1"/>
  <c r="P1380" i="67"/>
  <c r="P1394" i="67"/>
  <c r="P931" i="67" s="1"/>
  <c r="P1412" i="67"/>
  <c r="P949" i="67" s="1"/>
  <c r="P1532" i="67"/>
  <c r="P1035" i="67" s="1"/>
  <c r="P1548" i="67"/>
  <c r="P1051" i="67" s="1"/>
  <c r="Q1380" i="67"/>
  <c r="Q1394" i="67"/>
  <c r="Q931" i="67" s="1"/>
  <c r="Q1412" i="67"/>
  <c r="Q949" i="67" s="1"/>
  <c r="Q1548" i="67"/>
  <c r="Q1051" i="67" s="1"/>
  <c r="Q1532" i="67"/>
  <c r="Q1035" i="67" s="1"/>
  <c r="AE1381" i="67"/>
  <c r="AE1395" i="67"/>
  <c r="AE932" i="67" s="1"/>
  <c r="AE1413" i="67"/>
  <c r="AE950" i="67" s="1"/>
  <c r="AE1533" i="67"/>
  <c r="AE1036" i="67" s="1"/>
  <c r="AE1549" i="67"/>
  <c r="AE1052" i="67" s="1"/>
  <c r="AU1381" i="67"/>
  <c r="AU1395" i="67"/>
  <c r="AU932" i="67" s="1"/>
  <c r="AU1413" i="67"/>
  <c r="AU950" i="67" s="1"/>
  <c r="AU1533" i="67"/>
  <c r="AU1036" i="67" s="1"/>
  <c r="AU1549" i="67"/>
  <c r="AU1052" i="67" s="1"/>
  <c r="T1380" i="67"/>
  <c r="T1394" i="67"/>
  <c r="T931" i="67" s="1"/>
  <c r="T1412" i="67"/>
  <c r="T949" i="67" s="1"/>
  <c r="T1532" i="67"/>
  <c r="T1035" i="67" s="1"/>
  <c r="T1548" i="67"/>
  <c r="T1051" i="67" s="1"/>
  <c r="AJ1379" i="67"/>
  <c r="AJ916" i="67" s="1"/>
  <c r="AJ1393" i="67"/>
  <c r="AJ930" i="67" s="1"/>
  <c r="AJ1411" i="67"/>
  <c r="AJ948" i="67" s="1"/>
  <c r="AJ1531" i="67"/>
  <c r="AJ1034" i="67" s="1"/>
  <c r="AJ1547" i="67"/>
  <c r="AJ1050" i="67" s="1"/>
  <c r="AK1379" i="67"/>
  <c r="AK916" i="67" s="1"/>
  <c r="AK1393" i="67"/>
  <c r="AK930" i="67" s="1"/>
  <c r="AK1531" i="67"/>
  <c r="AK1034" i="67" s="1"/>
  <c r="AK1411" i="67"/>
  <c r="AK948" i="67" s="1"/>
  <c r="AK1547" i="67"/>
  <c r="AK1050" i="67" s="1"/>
  <c r="AD1379" i="67"/>
  <c r="AD916" i="67" s="1"/>
  <c r="AD1393" i="67"/>
  <c r="AD930" i="67" s="1"/>
  <c r="AD1411" i="67"/>
  <c r="AD948" i="67" s="1"/>
  <c r="AD1531" i="67"/>
  <c r="AD1034" i="67" s="1"/>
  <c r="AD1547" i="67"/>
  <c r="AD1050" i="67" s="1"/>
  <c r="AN1379" i="67"/>
  <c r="AN916" i="67" s="1"/>
  <c r="AN1393" i="67"/>
  <c r="AN930" i="67" s="1"/>
  <c r="AN1411" i="67"/>
  <c r="AN948" i="67" s="1"/>
  <c r="AN1531" i="67"/>
  <c r="AN1034" i="67" s="1"/>
  <c r="AN1547" i="67"/>
  <c r="AN1050" i="67" s="1"/>
  <c r="AS1381" i="67"/>
  <c r="AS1395" i="67"/>
  <c r="AS932" i="67" s="1"/>
  <c r="AS1413" i="67"/>
  <c r="AS950" i="67" s="1"/>
  <c r="AS1533" i="67"/>
  <c r="AS1036" i="67" s="1"/>
  <c r="AS1549" i="67"/>
  <c r="AS1052" i="67" s="1"/>
  <c r="O1379" i="67"/>
  <c r="O916" i="67" s="1"/>
  <c r="O1393" i="67"/>
  <c r="O930" i="67" s="1"/>
  <c r="O1411" i="67"/>
  <c r="O948" i="67" s="1"/>
  <c r="O1547" i="67"/>
  <c r="O1050" i="67" s="1"/>
  <c r="O1531" i="67"/>
  <c r="O1034" i="67" s="1"/>
  <c r="AF1380" i="67"/>
  <c r="AF1394" i="67"/>
  <c r="AF931" i="67" s="1"/>
  <c r="AF1412" i="67"/>
  <c r="AF949" i="67" s="1"/>
  <c r="AF1532" i="67"/>
  <c r="AF1035" i="67" s="1"/>
  <c r="AF1548" i="67"/>
  <c r="AF1051" i="67" s="1"/>
  <c r="AQ1381" i="67"/>
  <c r="AQ1395" i="67"/>
  <c r="AQ932" i="67" s="1"/>
  <c r="AQ1413" i="67"/>
  <c r="AQ950" i="67" s="1"/>
  <c r="AQ1549" i="67"/>
  <c r="AQ1052" i="67" s="1"/>
  <c r="AQ1533" i="67"/>
  <c r="AQ1036" i="67" s="1"/>
  <c r="S1379" i="67"/>
  <c r="S916" i="67" s="1"/>
  <c r="S1393" i="67"/>
  <c r="S930" i="67" s="1"/>
  <c r="S1411" i="67"/>
  <c r="S948" i="67" s="1"/>
  <c r="S1547" i="67"/>
  <c r="S1050" i="67" s="1"/>
  <c r="S1531" i="67"/>
  <c r="S1034" i="67" s="1"/>
  <c r="V1380" i="67"/>
  <c r="V1394" i="67"/>
  <c r="V931" i="67" s="1"/>
  <c r="V1412" i="67"/>
  <c r="V949" i="67" s="1"/>
  <c r="V1532" i="67"/>
  <c r="V1035" i="67" s="1"/>
  <c r="V1548" i="67"/>
  <c r="V1051" i="67" s="1"/>
  <c r="Y1380" i="67"/>
  <c r="Y1394" i="67"/>
  <c r="Y931" i="67" s="1"/>
  <c r="Y1412" i="67"/>
  <c r="Y949" i="67" s="1"/>
  <c r="Y1548" i="67"/>
  <c r="Y1051" i="67" s="1"/>
  <c r="Y1532" i="67"/>
  <c r="Y1035" i="67" s="1"/>
  <c r="AC1381" i="67"/>
  <c r="AC1395" i="67"/>
  <c r="AC932" i="67" s="1"/>
  <c r="AC1413" i="67"/>
  <c r="AC950" i="67" s="1"/>
  <c r="AC1533" i="67"/>
  <c r="AC1036" i="67" s="1"/>
  <c r="AC1549" i="67"/>
  <c r="AC1052" i="67" s="1"/>
  <c r="W1381" i="67"/>
  <c r="W1395" i="67"/>
  <c r="W932" i="67" s="1"/>
  <c r="W1413" i="67"/>
  <c r="W950" i="67" s="1"/>
  <c r="W1549" i="67"/>
  <c r="W1052" i="67" s="1"/>
  <c r="W1533" i="67"/>
  <c r="W1036" i="67" s="1"/>
  <c r="AT1379" i="67"/>
  <c r="AT916" i="67" s="1"/>
  <c r="AT1393" i="67"/>
  <c r="AT930" i="67" s="1"/>
  <c r="AT1411" i="67"/>
  <c r="AT948" i="67" s="1"/>
  <c r="AT1531" i="67"/>
  <c r="AT1034" i="67" s="1"/>
  <c r="AT1547" i="67"/>
  <c r="AT1050" i="67" s="1"/>
  <c r="AA1065" i="67"/>
  <c r="AA1408" i="67"/>
  <c r="AA1426" i="67"/>
  <c r="AA1546" i="67"/>
  <c r="AA1562" i="67"/>
  <c r="AR1410" i="67"/>
  <c r="AR1428" i="67"/>
  <c r="AH1065" i="67"/>
  <c r="AH1408" i="67"/>
  <c r="AH1426" i="67"/>
  <c r="AH1546" i="67"/>
  <c r="AH1562" i="67"/>
  <c r="S1065" i="67"/>
  <c r="S1408" i="67"/>
  <c r="S1426" i="67"/>
  <c r="S1546" i="67"/>
  <c r="S1562" i="67"/>
  <c r="AD1065" i="67"/>
  <c r="AD1408" i="67"/>
  <c r="AD1426" i="67"/>
  <c r="AD1546" i="67"/>
  <c r="AD1562" i="67"/>
  <c r="Z1065" i="67"/>
  <c r="Z1408" i="67"/>
  <c r="Z1426" i="67"/>
  <c r="Z1546" i="67"/>
  <c r="Z1562" i="67"/>
  <c r="T1065" i="67"/>
  <c r="T1408" i="67"/>
  <c r="T1426" i="67"/>
  <c r="T1546" i="67"/>
  <c r="T1562" i="67"/>
  <c r="AK1065" i="67"/>
  <c r="AK1408" i="67"/>
  <c r="AK1426" i="67"/>
  <c r="AK1546" i="67"/>
  <c r="AK1562" i="67"/>
  <c r="AS1065" i="67"/>
  <c r="AS1408" i="67"/>
  <c r="AS1426" i="67"/>
  <c r="AS1546" i="67"/>
  <c r="AS1562" i="67"/>
  <c r="AV1410" i="67"/>
  <c r="AV1428" i="67"/>
  <c r="O1410" i="67"/>
  <c r="O1428" i="67"/>
  <c r="V1410" i="67"/>
  <c r="V1428" i="67"/>
  <c r="M1410" i="67"/>
  <c r="M1428" i="67"/>
  <c r="K1410" i="67"/>
  <c r="K1428" i="67"/>
  <c r="K947" i="67"/>
  <c r="K1116" i="67"/>
  <c r="K965" i="67"/>
  <c r="K1098" i="67"/>
  <c r="X1410" i="67"/>
  <c r="X1428" i="67"/>
  <c r="AP1065" i="67"/>
  <c r="AP1408" i="67"/>
  <c r="AP1426" i="67"/>
  <c r="AP1546" i="67"/>
  <c r="AP1562" i="67"/>
  <c r="AU1065" i="67"/>
  <c r="AU1408" i="67"/>
  <c r="AU1426" i="67"/>
  <c r="AU1546" i="67"/>
  <c r="AU1562" i="67"/>
  <c r="L1410" i="67"/>
  <c r="L1428" i="67"/>
  <c r="AL1410" i="67"/>
  <c r="AL1428" i="67"/>
  <c r="K946" i="67"/>
  <c r="K964" i="67"/>
  <c r="K1097" i="67"/>
  <c r="K1115" i="67"/>
  <c r="K1409" i="67"/>
  <c r="K1427" i="67"/>
  <c r="K357" i="67"/>
  <c r="K51" i="67"/>
  <c r="K812" i="67"/>
  <c r="K661" i="67"/>
  <c r="K204" i="67"/>
  <c r="K509" i="67"/>
  <c r="AU1386" i="67"/>
  <c r="AU1400" i="67"/>
  <c r="AU1418" i="67"/>
  <c r="AU1538" i="67"/>
  <c r="AU1554" i="67"/>
  <c r="O1386" i="67"/>
  <c r="O1400" i="67"/>
  <c r="O1418" i="67"/>
  <c r="O1538" i="67"/>
  <c r="O1554" i="67"/>
  <c r="AP1386" i="67"/>
  <c r="AP1400" i="67"/>
  <c r="AP1418" i="67"/>
  <c r="AP1538" i="67"/>
  <c r="AP1554" i="67"/>
  <c r="AN1386" i="67"/>
  <c r="AN1400" i="67"/>
  <c r="AN1418" i="67"/>
  <c r="AN1538" i="67"/>
  <c r="AN1554" i="67"/>
  <c r="AS1386" i="67"/>
  <c r="AS1400" i="67"/>
  <c r="AS1418" i="67"/>
  <c r="AS1538" i="67"/>
  <c r="AS1554" i="67"/>
  <c r="U1386" i="67"/>
  <c r="U1400" i="67"/>
  <c r="U1418" i="67"/>
  <c r="U1538" i="67"/>
  <c r="U1554" i="67"/>
  <c r="P1386" i="67"/>
  <c r="P1400" i="67"/>
  <c r="P1418" i="67"/>
  <c r="P1538" i="67"/>
  <c r="P1554" i="67"/>
  <c r="T1386" i="67"/>
  <c r="T1400" i="67"/>
  <c r="T1418" i="67"/>
  <c r="T1554" i="67"/>
  <c r="T1538" i="67"/>
  <c r="Y964" i="67"/>
  <c r="Y946" i="67"/>
  <c r="Y1097" i="67"/>
  <c r="Y1115" i="67"/>
  <c r="Y1409" i="67"/>
  <c r="Y1427" i="67"/>
  <c r="AR964" i="67"/>
  <c r="AR946" i="67"/>
  <c r="AR1097" i="67"/>
  <c r="AR1115" i="67"/>
  <c r="AR1409" i="67"/>
  <c r="AR1427" i="67"/>
  <c r="U1064" i="67"/>
  <c r="U1048" i="67"/>
  <c r="U944" i="67"/>
  <c r="U962" i="67"/>
  <c r="U1095" i="67"/>
  <c r="U1113" i="67"/>
  <c r="U1215" i="67"/>
  <c r="U1199" i="67"/>
  <c r="U1407" i="67"/>
  <c r="U1425" i="67"/>
  <c r="U1545" i="67"/>
  <c r="U1561" i="67"/>
  <c r="U793" i="67"/>
  <c r="AC1064" i="67"/>
  <c r="AC1048" i="67"/>
  <c r="AC944" i="67"/>
  <c r="AC962" i="67"/>
  <c r="AC1095" i="67"/>
  <c r="AC1113" i="67"/>
  <c r="AC1215" i="67"/>
  <c r="AC1199" i="67"/>
  <c r="AC1425" i="67"/>
  <c r="AC1407" i="67"/>
  <c r="AC1545" i="67"/>
  <c r="AC1561" i="67"/>
  <c r="AC793" i="67"/>
  <c r="M964" i="67"/>
  <c r="M946" i="67"/>
  <c r="M1097" i="67"/>
  <c r="M1115" i="67"/>
  <c r="M1409" i="67"/>
  <c r="M1427" i="67"/>
  <c r="L1064" i="67"/>
  <c r="L1048" i="67"/>
  <c r="L962" i="67"/>
  <c r="L944" i="67"/>
  <c r="L1113" i="67"/>
  <c r="L1199" i="67"/>
  <c r="L1095" i="67"/>
  <c r="L1215" i="67"/>
  <c r="L793" i="67"/>
  <c r="L1407" i="67"/>
  <c r="L1425" i="67"/>
  <c r="L1545" i="67"/>
  <c r="L1561" i="67"/>
  <c r="AW946" i="67"/>
  <c r="AW964" i="67"/>
  <c r="AW1097" i="67"/>
  <c r="AW1115" i="67"/>
  <c r="AW1427" i="67"/>
  <c r="AW1409" i="67"/>
  <c r="AD946" i="67"/>
  <c r="AD964" i="67"/>
  <c r="AD1115" i="67"/>
  <c r="AD1097" i="67"/>
  <c r="AD1409" i="67"/>
  <c r="AD1427" i="67"/>
  <c r="AT964" i="67"/>
  <c r="AT946" i="67"/>
  <c r="AT1115" i="67"/>
  <c r="AT1097" i="67"/>
  <c r="AT1409" i="67"/>
  <c r="AT1427" i="67"/>
  <c r="K1413" i="67"/>
  <c r="K950" i="67" s="1"/>
  <c r="K1381" i="67"/>
  <c r="K1549" i="67"/>
  <c r="K1052" i="67" s="1"/>
  <c r="K1533" i="67"/>
  <c r="K1036" i="67" s="1"/>
  <c r="K1395" i="67"/>
  <c r="K932" i="67" s="1"/>
  <c r="L1381" i="67"/>
  <c r="L1395" i="67"/>
  <c r="L932" i="67" s="1"/>
  <c r="L1413" i="67"/>
  <c r="L950" i="67" s="1"/>
  <c r="L1533" i="67"/>
  <c r="L1036" i="67" s="1"/>
  <c r="L1549" i="67"/>
  <c r="L1052" i="67" s="1"/>
  <c r="Z1379" i="67"/>
  <c r="Z916" i="67" s="1"/>
  <c r="Z1393" i="67"/>
  <c r="Z930" i="67" s="1"/>
  <c r="Z1411" i="67"/>
  <c r="Z948" i="67" s="1"/>
  <c r="Z1531" i="67"/>
  <c r="Z1034" i="67" s="1"/>
  <c r="Z1547" i="67"/>
  <c r="Z1050" i="67" s="1"/>
  <c r="AO1381" i="67"/>
  <c r="AO1395" i="67"/>
  <c r="AO932" i="67" s="1"/>
  <c r="AO1413" i="67"/>
  <c r="AO950" i="67" s="1"/>
  <c r="AO1533" i="67"/>
  <c r="AO1036" i="67" s="1"/>
  <c r="AO1549" i="67"/>
  <c r="AO1052" i="67" s="1"/>
  <c r="AP1380" i="67"/>
  <c r="AP1394" i="67"/>
  <c r="AP931" i="67" s="1"/>
  <c r="AP1412" i="67"/>
  <c r="AP949" i="67" s="1"/>
  <c r="AP1532" i="67"/>
  <c r="AP1035" i="67" s="1"/>
  <c r="AP1548" i="67"/>
  <c r="AP1051" i="67" s="1"/>
  <c r="AH1379" i="67"/>
  <c r="AH916" i="67" s="1"/>
  <c r="AH1393" i="67"/>
  <c r="AH930" i="67" s="1"/>
  <c r="AH1411" i="67"/>
  <c r="AH948" i="67" s="1"/>
  <c r="AH1531" i="67"/>
  <c r="AH1034" i="67" s="1"/>
  <c r="AH1547" i="67"/>
  <c r="AH1050" i="67" s="1"/>
  <c r="AG1395" i="67"/>
  <c r="AG932" i="67" s="1"/>
  <c r="AG1381" i="67"/>
  <c r="AG1413" i="67"/>
  <c r="AG950" i="67" s="1"/>
  <c r="AG1533" i="67"/>
  <c r="AG1036" i="67" s="1"/>
  <c r="AG1549" i="67"/>
  <c r="AG1052" i="67" s="1"/>
  <c r="T1381" i="67"/>
  <c r="T1395" i="67"/>
  <c r="T932" i="67" s="1"/>
  <c r="T1413" i="67"/>
  <c r="T950" i="67" s="1"/>
  <c r="T1533" i="67"/>
  <c r="T1036" i="67" s="1"/>
  <c r="T1549" i="67"/>
  <c r="T1052" i="67" s="1"/>
  <c r="AJ1380" i="67"/>
  <c r="AJ1394" i="67"/>
  <c r="AJ931" i="67" s="1"/>
  <c r="AJ1412" i="67"/>
  <c r="AJ949" i="67" s="1"/>
  <c r="AJ1532" i="67"/>
  <c r="AJ1035" i="67" s="1"/>
  <c r="AJ1548" i="67"/>
  <c r="AJ1051" i="67" s="1"/>
  <c r="N1381" i="67"/>
  <c r="N1395" i="67"/>
  <c r="N932" i="67" s="1"/>
  <c r="N1413" i="67"/>
  <c r="N950" i="67" s="1"/>
  <c r="N1533" i="67"/>
  <c r="N1036" i="67" s="1"/>
  <c r="N1549" i="67"/>
  <c r="N1052" i="67" s="1"/>
  <c r="O1381" i="67"/>
  <c r="O1395" i="67"/>
  <c r="O932" i="67" s="1"/>
  <c r="O1413" i="67"/>
  <c r="O950" i="67" s="1"/>
  <c r="O1533" i="67"/>
  <c r="O1036" i="67" s="1"/>
  <c r="O1549" i="67"/>
  <c r="O1052" i="67" s="1"/>
  <c r="AF1379" i="67"/>
  <c r="AF916" i="67" s="1"/>
  <c r="AF1393" i="67"/>
  <c r="AF930" i="67" s="1"/>
  <c r="AF1411" i="67"/>
  <c r="AF948" i="67" s="1"/>
  <c r="AF1531" i="67"/>
  <c r="AF1034" i="67" s="1"/>
  <c r="AF1547" i="67"/>
  <c r="AF1050" i="67" s="1"/>
  <c r="AR1380" i="67"/>
  <c r="AR1394" i="67"/>
  <c r="AR931" i="67" s="1"/>
  <c r="AR1412" i="67"/>
  <c r="AR949" i="67" s="1"/>
  <c r="AR1532" i="67"/>
  <c r="AR1035" i="67" s="1"/>
  <c r="AR1548" i="67"/>
  <c r="AR1051" i="67" s="1"/>
  <c r="AI1379" i="67"/>
  <c r="AI916" i="67" s="1"/>
  <c r="AI1393" i="67"/>
  <c r="AI930" i="67" s="1"/>
  <c r="AI1411" i="67"/>
  <c r="AI948" i="67" s="1"/>
  <c r="AI1547" i="67"/>
  <c r="AI1050" i="67" s="1"/>
  <c r="AI1531" i="67"/>
  <c r="AI1034" i="67" s="1"/>
  <c r="Q1065" i="67"/>
  <c r="Q1408" i="67"/>
  <c r="Q1426" i="67"/>
  <c r="Q1546" i="67"/>
  <c r="Q1562" i="67"/>
  <c r="AQ1428" i="67"/>
  <c r="AQ1410" i="67"/>
  <c r="AT1065" i="67"/>
  <c r="AT1408" i="67"/>
  <c r="AT1426" i="67"/>
  <c r="AT1546" i="67"/>
  <c r="AT1562" i="67"/>
  <c r="P1065" i="67"/>
  <c r="P1408" i="67"/>
  <c r="P1426" i="67"/>
  <c r="P1546" i="67"/>
  <c r="P1562" i="67"/>
  <c r="AC1065" i="67"/>
  <c r="AC1408" i="67"/>
  <c r="AC1426" i="67"/>
  <c r="AC1546" i="67"/>
  <c r="AC1562" i="67"/>
  <c r="AN1065" i="67"/>
  <c r="AN1408" i="67"/>
  <c r="AN1426" i="67"/>
  <c r="AN1546" i="67"/>
  <c r="AN1562" i="67"/>
  <c r="AJ1410" i="67"/>
  <c r="AJ1428" i="67"/>
  <c r="Y1065" i="67"/>
  <c r="Y1408" i="67"/>
  <c r="Y1426" i="67"/>
  <c r="Y1546" i="67"/>
  <c r="Y1562" i="67"/>
  <c r="R1410" i="67"/>
  <c r="R1428" i="67"/>
  <c r="AF1065" i="67"/>
  <c r="AF1408" i="67"/>
  <c r="AF1426" i="67"/>
  <c r="AF1546" i="67"/>
  <c r="AF1562" i="67"/>
  <c r="K153" i="67"/>
  <c r="K611" i="67"/>
  <c r="K459" i="67"/>
  <c r="K306" i="67"/>
  <c r="K763" i="67"/>
  <c r="K914" i="67"/>
  <c r="L1386" i="67"/>
  <c r="L1400" i="67"/>
  <c r="L1418" i="67"/>
  <c r="L1554" i="67"/>
  <c r="L1538" i="67"/>
  <c r="AG1385" i="67"/>
  <c r="AG1417" i="67"/>
  <c r="AG1399" i="67"/>
  <c r="AG1537" i="67"/>
  <c r="AG1553" i="67"/>
  <c r="AV1385" i="67"/>
  <c r="AV1399" i="67"/>
  <c r="AV1417" i="67"/>
  <c r="AV1537" i="67"/>
  <c r="AV1553" i="67"/>
  <c r="X1385" i="67"/>
  <c r="X1399" i="67"/>
  <c r="X1417" i="67"/>
  <c r="X1537" i="67"/>
  <c r="X1553" i="67"/>
  <c r="AD1385" i="67"/>
  <c r="AD1399" i="67"/>
  <c r="AD1417" i="67"/>
  <c r="AD1553" i="67"/>
  <c r="AD1537" i="67"/>
  <c r="AU10" i="34"/>
  <c r="AB1385" i="67"/>
  <c r="AB1399" i="67"/>
  <c r="AB1417" i="67"/>
  <c r="AB1537" i="67"/>
  <c r="AB1553" i="67"/>
  <c r="W1385" i="67"/>
  <c r="W1399" i="67"/>
  <c r="W1417" i="67"/>
  <c r="W1553" i="67"/>
  <c r="W1537" i="67"/>
  <c r="AJ1385" i="67"/>
  <c r="AJ1399" i="67"/>
  <c r="AJ1417" i="67"/>
  <c r="AJ1537" i="67"/>
  <c r="AJ1553" i="67"/>
  <c r="Z964" i="67"/>
  <c r="Z946" i="67"/>
  <c r="Z1097" i="67"/>
  <c r="Z1115" i="67"/>
  <c r="Z1409" i="67"/>
  <c r="Z1427" i="67"/>
  <c r="AE962" i="67"/>
  <c r="AE944" i="67"/>
  <c r="AE1064" i="67"/>
  <c r="AE1048" i="67"/>
  <c r="AE1095" i="67"/>
  <c r="AE1199" i="67"/>
  <c r="AE1113" i="67"/>
  <c r="AE1215" i="67"/>
  <c r="AE1407" i="67"/>
  <c r="AE1425" i="67"/>
  <c r="AE1545" i="67"/>
  <c r="AE1561" i="67"/>
  <c r="AE793" i="67"/>
  <c r="AB1064" i="67"/>
  <c r="AB1048" i="67"/>
  <c r="AB962" i="67"/>
  <c r="AB944" i="67"/>
  <c r="AB1113" i="67"/>
  <c r="AB1095" i="67"/>
  <c r="AB1199" i="67"/>
  <c r="AB1215" i="67"/>
  <c r="AB1407" i="67"/>
  <c r="AB1425" i="67"/>
  <c r="AB1545" i="67"/>
  <c r="AB1561" i="67"/>
  <c r="AB793" i="67"/>
  <c r="AU962" i="67"/>
  <c r="AU944" i="67"/>
  <c r="AU1064" i="67"/>
  <c r="AU1048" i="67"/>
  <c r="AU1095" i="67"/>
  <c r="AU1199" i="67"/>
  <c r="AU1113" i="67"/>
  <c r="AU1215" i="67"/>
  <c r="AU1407" i="67"/>
  <c r="AU1425" i="67"/>
  <c r="AU1545" i="67"/>
  <c r="AU1561" i="67"/>
  <c r="AU793" i="67"/>
  <c r="AV946" i="67"/>
  <c r="AV964" i="67"/>
  <c r="AV1097" i="67"/>
  <c r="AV1115" i="67"/>
  <c r="AV1409" i="67"/>
  <c r="AV1427" i="67"/>
  <c r="AG964" i="67"/>
  <c r="AG946" i="67"/>
  <c r="AG1097" i="67"/>
  <c r="AG1115" i="67"/>
  <c r="AG1427" i="67"/>
  <c r="AG1409" i="67"/>
  <c r="W964" i="67"/>
  <c r="W946" i="67"/>
  <c r="W1097" i="67"/>
  <c r="W1115" i="67"/>
  <c r="W1409" i="67"/>
  <c r="W1427" i="67"/>
  <c r="AS946" i="67"/>
  <c r="AS964" i="67"/>
  <c r="AS1097" i="67"/>
  <c r="AS1115" i="67"/>
  <c r="AS1409" i="67"/>
  <c r="AS1427" i="67"/>
  <c r="T946" i="67"/>
  <c r="T964" i="67"/>
  <c r="T1097" i="67"/>
  <c r="T1115" i="67"/>
  <c r="T1409" i="67"/>
  <c r="T1427" i="67"/>
  <c r="K1548" i="67"/>
  <c r="K1051" i="67" s="1"/>
  <c r="K1532" i="67"/>
  <c r="K1035" i="67" s="1"/>
  <c r="K1394" i="67"/>
  <c r="K931" i="67" s="1"/>
  <c r="K1412" i="67"/>
  <c r="K949" i="67" s="1"/>
  <c r="K1380" i="67"/>
  <c r="L1380" i="67"/>
  <c r="L1394" i="67"/>
  <c r="L931" i="67" s="1"/>
  <c r="L1412" i="67"/>
  <c r="L949" i="67" s="1"/>
  <c r="L1532" i="67"/>
  <c r="L1035" i="67" s="1"/>
  <c r="L1548" i="67"/>
  <c r="L1051" i="67" s="1"/>
  <c r="AL1381" i="67"/>
  <c r="AL1395" i="67"/>
  <c r="AL932" i="67" s="1"/>
  <c r="AL1413" i="67"/>
  <c r="AL950" i="67" s="1"/>
  <c r="AL1533" i="67"/>
  <c r="AL1036" i="67" s="1"/>
  <c r="AL1549" i="67"/>
  <c r="AL1052" i="67" s="1"/>
  <c r="AO1380" i="67"/>
  <c r="AO1394" i="67"/>
  <c r="AO931" i="67" s="1"/>
  <c r="AO1412" i="67"/>
  <c r="AO949" i="67" s="1"/>
  <c r="AO1548" i="67"/>
  <c r="AO1051" i="67" s="1"/>
  <c r="AO1532" i="67"/>
  <c r="AO1035" i="67" s="1"/>
  <c r="AA1394" i="67"/>
  <c r="AA931" i="67" s="1"/>
  <c r="AA1380" i="67"/>
  <c r="AA1412" i="67"/>
  <c r="AA949" i="67" s="1"/>
  <c r="AA1532" i="67"/>
  <c r="AA1035" i="67" s="1"/>
  <c r="AA1548" i="67"/>
  <c r="AA1051" i="67" s="1"/>
  <c r="P1379" i="67"/>
  <c r="P916" i="67" s="1"/>
  <c r="P1393" i="67"/>
  <c r="P930" i="67" s="1"/>
  <c r="P1411" i="67"/>
  <c r="P948" i="67" s="1"/>
  <c r="P1531" i="67"/>
  <c r="P1034" i="67" s="1"/>
  <c r="P1547" i="67"/>
  <c r="P1050" i="67" s="1"/>
  <c r="Q1393" i="67"/>
  <c r="Q930" i="67" s="1"/>
  <c r="Q1379" i="67"/>
  <c r="Q916" i="67" s="1"/>
  <c r="Q1411" i="67"/>
  <c r="Q948" i="67" s="1"/>
  <c r="Q1531" i="67"/>
  <c r="Q1034" i="67" s="1"/>
  <c r="Q1547" i="67"/>
  <c r="Q1050" i="67" s="1"/>
  <c r="AU1380" i="67"/>
  <c r="AU1394" i="67"/>
  <c r="AU931" i="67" s="1"/>
  <c r="AU1532" i="67"/>
  <c r="AU1035" i="67" s="1"/>
  <c r="AU1412" i="67"/>
  <c r="AU949" i="67" s="1"/>
  <c r="AU1548" i="67"/>
  <c r="AU1051" i="67" s="1"/>
  <c r="R1380" i="67"/>
  <c r="R1394" i="67"/>
  <c r="R931" i="67" s="1"/>
  <c r="R1412" i="67"/>
  <c r="R949" i="67" s="1"/>
  <c r="R1532" i="67"/>
  <c r="R1035" i="67" s="1"/>
  <c r="R1548" i="67"/>
  <c r="R1051" i="67" s="1"/>
  <c r="AD1381" i="67"/>
  <c r="AD1395" i="67"/>
  <c r="AD932" i="67" s="1"/>
  <c r="AD1413" i="67"/>
  <c r="AD950" i="67" s="1"/>
  <c r="AD1533" i="67"/>
  <c r="AD1036" i="67" s="1"/>
  <c r="AD1549" i="67"/>
  <c r="AD1052" i="67" s="1"/>
  <c r="AS1380" i="67"/>
  <c r="AS1394" i="67"/>
  <c r="AS931" i="67" s="1"/>
  <c r="AS1412" i="67"/>
  <c r="AS949" i="67" s="1"/>
  <c r="AS1548" i="67"/>
  <c r="AS1051" i="67" s="1"/>
  <c r="AS1532" i="67"/>
  <c r="AS1035" i="67" s="1"/>
  <c r="O1380" i="67"/>
  <c r="O1394" i="67"/>
  <c r="O931" i="67" s="1"/>
  <c r="O1412" i="67"/>
  <c r="O949" i="67" s="1"/>
  <c r="O1532" i="67"/>
  <c r="O1035" i="67" s="1"/>
  <c r="O1548" i="67"/>
  <c r="O1051" i="67" s="1"/>
  <c r="AQ1379" i="67"/>
  <c r="AQ916" i="67" s="1"/>
  <c r="AQ1393" i="67"/>
  <c r="AQ930" i="67" s="1"/>
  <c r="AQ1411" i="67"/>
  <c r="AQ948" i="67" s="1"/>
  <c r="AQ1531" i="67"/>
  <c r="AQ1034" i="67" s="1"/>
  <c r="AQ1547" i="67"/>
  <c r="AQ1050" i="67" s="1"/>
  <c r="AR1381" i="67"/>
  <c r="AR1395" i="67"/>
  <c r="AR932" i="67" s="1"/>
  <c r="AR1413" i="67"/>
  <c r="AR950" i="67" s="1"/>
  <c r="AR1533" i="67"/>
  <c r="AR1036" i="67" s="1"/>
  <c r="AR1549" i="67"/>
  <c r="AR1052" i="67" s="1"/>
  <c r="AI1381" i="67"/>
  <c r="AI1395" i="67"/>
  <c r="AI932" i="67" s="1"/>
  <c r="AI1413" i="67"/>
  <c r="AI950" i="67" s="1"/>
  <c r="AI1549" i="67"/>
  <c r="AI1052" i="67" s="1"/>
  <c r="AI1533" i="67"/>
  <c r="AI1036" i="67" s="1"/>
  <c r="Q1410" i="67"/>
  <c r="Q1428" i="67"/>
  <c r="AQ1065" i="67"/>
  <c r="AQ1408" i="67"/>
  <c r="AQ1426" i="67"/>
  <c r="AQ1546" i="67"/>
  <c r="AQ1562" i="67"/>
  <c r="AT1410" i="67"/>
  <c r="AT1428" i="67"/>
  <c r="P1410" i="67"/>
  <c r="P1428" i="67"/>
  <c r="AC1410" i="67"/>
  <c r="AC1428" i="67"/>
  <c r="AM1410" i="67"/>
  <c r="AM1428" i="67"/>
  <c r="AO1410" i="67"/>
  <c r="AO1428" i="67"/>
  <c r="X1065" i="67"/>
  <c r="X1408" i="67"/>
  <c r="X1426" i="67"/>
  <c r="X1546" i="67"/>
  <c r="X1562" i="67"/>
  <c r="AU1410" i="67"/>
  <c r="AU1428" i="67"/>
  <c r="AL1065" i="67"/>
  <c r="AL1408" i="67"/>
  <c r="AL1426" i="67"/>
  <c r="AL1546" i="67"/>
  <c r="AL1562" i="67"/>
  <c r="K339" i="67"/>
  <c r="K491" i="67"/>
  <c r="K643" i="67"/>
  <c r="K186" i="67"/>
  <c r="K33" i="67"/>
  <c r="K794" i="67"/>
  <c r="M1385" i="67"/>
  <c r="M1417" i="67"/>
  <c r="M1399" i="67"/>
  <c r="M1537" i="67"/>
  <c r="M1553" i="67"/>
  <c r="AU1385" i="67"/>
  <c r="AU1399" i="67"/>
  <c r="AU1417" i="67"/>
  <c r="AU1537" i="67"/>
  <c r="AU1553" i="67"/>
  <c r="AH1385" i="67"/>
  <c r="AH1399" i="67"/>
  <c r="AH1417" i="67"/>
  <c r="AH1537" i="67"/>
  <c r="AH1553" i="67"/>
  <c r="AM1385" i="67"/>
  <c r="AM1399" i="67"/>
  <c r="AM1417" i="67"/>
  <c r="AM1537" i="67"/>
  <c r="AM1553" i="67"/>
  <c r="O1385" i="67"/>
  <c r="O1399" i="67"/>
  <c r="O1417" i="67"/>
  <c r="O1553" i="67"/>
  <c r="O1537" i="67"/>
  <c r="V1385" i="67"/>
  <c r="V1399" i="67"/>
  <c r="V1417" i="67"/>
  <c r="V1553" i="67"/>
  <c r="V1537" i="67"/>
  <c r="AF1385" i="67"/>
  <c r="AF1399" i="67"/>
  <c r="AF1417" i="67"/>
  <c r="AF1537" i="67"/>
  <c r="AF1553" i="67"/>
  <c r="AP1385" i="67"/>
  <c r="AP1399" i="67"/>
  <c r="AP1417" i="67"/>
  <c r="AP1553" i="67"/>
  <c r="AP1537" i="67"/>
  <c r="Q1385" i="67"/>
  <c r="Q1417" i="67"/>
  <c r="Q1537" i="67"/>
  <c r="Q1399" i="67"/>
  <c r="Q1553" i="67"/>
  <c r="AN1385" i="67"/>
  <c r="AN1399" i="67"/>
  <c r="AN1417" i="67"/>
  <c r="AN1537" i="67"/>
  <c r="AN1553" i="67"/>
  <c r="K1418" i="67"/>
  <c r="K1386" i="67"/>
  <c r="K1538" i="67"/>
  <c r="K1554" i="67"/>
  <c r="K1400" i="67"/>
  <c r="K1041" i="67"/>
  <c r="K1208" i="67"/>
  <c r="K1074" i="67"/>
  <c r="K955" i="67"/>
  <c r="K1192" i="67"/>
  <c r="K923" i="67"/>
  <c r="K937" i="67"/>
  <c r="K1088" i="67"/>
  <c r="K1057" i="67"/>
  <c r="K1106" i="67"/>
  <c r="B139" i="65"/>
  <c r="K469" i="67" s="1"/>
  <c r="AS1417" i="67"/>
  <c r="AS1385" i="67"/>
  <c r="AS1399" i="67"/>
  <c r="AS1537" i="67"/>
  <c r="AS1553" i="67"/>
  <c r="AK1385" i="67"/>
  <c r="AK1399" i="67"/>
  <c r="AK1417" i="67"/>
  <c r="AK1537" i="67"/>
  <c r="AK1553" i="67"/>
  <c r="AQ1385" i="67"/>
  <c r="AQ1399" i="67"/>
  <c r="AQ1417" i="67"/>
  <c r="AQ1537" i="67"/>
  <c r="AQ1553" i="67"/>
  <c r="U1385" i="67"/>
  <c r="U1399" i="67"/>
  <c r="U1417" i="67"/>
  <c r="U1537" i="67"/>
  <c r="U1553" i="67"/>
  <c r="Y1385" i="67"/>
  <c r="Y1399" i="67"/>
  <c r="Y1417" i="67"/>
  <c r="Y1537" i="67"/>
  <c r="Y1553" i="67"/>
  <c r="P1385" i="67"/>
  <c r="P1399" i="67"/>
  <c r="P1417" i="67"/>
  <c r="P1537" i="67"/>
  <c r="P1553" i="67"/>
  <c r="S1385" i="67"/>
  <c r="S1399" i="67"/>
  <c r="S1417" i="67"/>
  <c r="S1553" i="67"/>
  <c r="S1537" i="67"/>
  <c r="T1385" i="67"/>
  <c r="T1399" i="67"/>
  <c r="T1417" i="67"/>
  <c r="T1537" i="67"/>
  <c r="T1553" i="67"/>
  <c r="Q1064" i="67"/>
  <c r="Q1048" i="67"/>
  <c r="Q962" i="67"/>
  <c r="Q944" i="67"/>
  <c r="Q1095" i="67"/>
  <c r="Q1113" i="67"/>
  <c r="Q1215" i="67"/>
  <c r="Q793" i="67"/>
  <c r="Q1199" i="67"/>
  <c r="Q1407" i="67"/>
  <c r="Q1425" i="67"/>
  <c r="Q1545" i="67"/>
  <c r="Q1561" i="67"/>
  <c r="Y1064" i="67"/>
  <c r="Y1048" i="67"/>
  <c r="Y962" i="67"/>
  <c r="Y944" i="67"/>
  <c r="Y1095" i="67"/>
  <c r="Y1113" i="67"/>
  <c r="Y1215" i="67"/>
  <c r="Y1199" i="67"/>
  <c r="Y1407" i="67"/>
  <c r="Y1425" i="67"/>
  <c r="Y1545" i="67"/>
  <c r="Y1561" i="67"/>
  <c r="Y793" i="67"/>
  <c r="AJ1064" i="67"/>
  <c r="AJ1048" i="67"/>
  <c r="AJ962" i="67"/>
  <c r="AJ944" i="67"/>
  <c r="AJ1113" i="67"/>
  <c r="AJ1095" i="67"/>
  <c r="AJ1199" i="67"/>
  <c r="AJ1215" i="67"/>
  <c r="AJ1407" i="67"/>
  <c r="AJ1425" i="67"/>
  <c r="AJ1545" i="67"/>
  <c r="AJ1561" i="67"/>
  <c r="AJ793" i="67"/>
  <c r="AR1064" i="67"/>
  <c r="AR1048" i="67"/>
  <c r="AR962" i="67"/>
  <c r="AR944" i="67"/>
  <c r="AR1113" i="67"/>
  <c r="AR1095" i="67"/>
  <c r="AR1199" i="67"/>
  <c r="AR1215" i="67"/>
  <c r="AR1407" i="67"/>
  <c r="AR1425" i="67"/>
  <c r="AR1545" i="67"/>
  <c r="AR1561" i="67"/>
  <c r="AR793" i="67"/>
  <c r="X1064" i="67"/>
  <c r="X1048" i="67"/>
  <c r="X962" i="67"/>
  <c r="X944" i="67"/>
  <c r="X1113" i="67"/>
  <c r="X1095" i="67"/>
  <c r="X1199" i="67"/>
  <c r="X1215" i="67"/>
  <c r="X1407" i="67"/>
  <c r="X1425" i="67"/>
  <c r="X1545" i="67"/>
  <c r="X1561" i="67"/>
  <c r="X793" i="67"/>
  <c r="U964" i="67"/>
  <c r="U946" i="67"/>
  <c r="U1097" i="67"/>
  <c r="U1115" i="67"/>
  <c r="U1409" i="67"/>
  <c r="U1427" i="67"/>
  <c r="AC964" i="67"/>
  <c r="AC946" i="67"/>
  <c r="AC1097" i="67"/>
  <c r="AC1115" i="67"/>
  <c r="AC1409" i="67"/>
  <c r="AC1427" i="67"/>
  <c r="AM962" i="67"/>
  <c r="AM944" i="67"/>
  <c r="AM1064" i="67"/>
  <c r="AM1048" i="67"/>
  <c r="AM1095" i="67"/>
  <c r="AM1113" i="67"/>
  <c r="AM1199" i="67"/>
  <c r="AM1215" i="67"/>
  <c r="AM1407" i="67"/>
  <c r="AM1425" i="67"/>
  <c r="AM1545" i="67"/>
  <c r="AM1561" i="67"/>
  <c r="AM793" i="67"/>
  <c r="AQ964" i="67"/>
  <c r="AQ946" i="67"/>
  <c r="AQ1097" i="67"/>
  <c r="AQ1115" i="67"/>
  <c r="AQ1409" i="67"/>
  <c r="AQ1427" i="67"/>
  <c r="K1064" i="67"/>
  <c r="K1048" i="67"/>
  <c r="K962" i="67"/>
  <c r="K944" i="67"/>
  <c r="K1095" i="67"/>
  <c r="K1215" i="67"/>
  <c r="K1199" i="67"/>
  <c r="K1113" i="67"/>
  <c r="K793" i="67"/>
  <c r="K1425" i="67"/>
  <c r="K1561" i="67"/>
  <c r="K1545" i="67"/>
  <c r="K1407" i="67"/>
  <c r="AK1064" i="67"/>
  <c r="AK1048" i="67"/>
  <c r="AK944" i="67"/>
  <c r="AK962" i="67"/>
  <c r="AK1095" i="67"/>
  <c r="AK1113" i="67"/>
  <c r="AK1215" i="67"/>
  <c r="AK1199" i="67"/>
  <c r="AK1407" i="67"/>
  <c r="AK1425" i="67"/>
  <c r="AK1545" i="67"/>
  <c r="AK1561" i="67"/>
  <c r="AK793" i="67"/>
  <c r="R1064" i="67"/>
  <c r="R1048" i="67"/>
  <c r="R944" i="67"/>
  <c r="R962" i="67"/>
  <c r="R1095" i="67"/>
  <c r="R1113" i="67"/>
  <c r="R1215" i="67"/>
  <c r="R793" i="67"/>
  <c r="R1199" i="67"/>
  <c r="R1407" i="67"/>
  <c r="R1425" i="67"/>
  <c r="R1561" i="67"/>
  <c r="R1545" i="67"/>
  <c r="P964" i="67"/>
  <c r="P946" i="67"/>
  <c r="P1097" i="67"/>
  <c r="P1115" i="67"/>
  <c r="P1409" i="67"/>
  <c r="P1427" i="67"/>
  <c r="AA962" i="67"/>
  <c r="AA1064" i="67"/>
  <c r="AA1048" i="67"/>
  <c r="AA944" i="67"/>
  <c r="AA1095" i="67"/>
  <c r="AA1199" i="67"/>
  <c r="AA1113" i="67"/>
  <c r="AA1215" i="67"/>
  <c r="AA1407" i="67"/>
  <c r="AA1425" i="67"/>
  <c r="AA1545" i="67"/>
  <c r="AA1561" i="67"/>
  <c r="AA793" i="67"/>
  <c r="AL1064" i="67"/>
  <c r="AL1048" i="67"/>
  <c r="AL962" i="67"/>
  <c r="AL944" i="67"/>
  <c r="AL1095" i="67"/>
  <c r="AL1113" i="67"/>
  <c r="AL1215" i="67"/>
  <c r="AL1199" i="67"/>
  <c r="AL1407" i="67"/>
  <c r="AL1425" i="67"/>
  <c r="AL1545" i="67"/>
  <c r="AL1561" i="67"/>
  <c r="AL793" i="67"/>
  <c r="AN964" i="67"/>
  <c r="AN946" i="67"/>
  <c r="AN1097" i="67"/>
  <c r="AN1115" i="67"/>
  <c r="AN1409" i="67"/>
  <c r="AN1427" i="67"/>
  <c r="V1064" i="67"/>
  <c r="V1048" i="67"/>
  <c r="V962" i="67"/>
  <c r="V944" i="67"/>
  <c r="V1095" i="67"/>
  <c r="V1113" i="67"/>
  <c r="V1215" i="67"/>
  <c r="V1199" i="67"/>
  <c r="V1407" i="67"/>
  <c r="V1425" i="67"/>
  <c r="V1545" i="67"/>
  <c r="V1561" i="67"/>
  <c r="V793" i="67"/>
  <c r="N1048" i="67"/>
  <c r="N944" i="67"/>
  <c r="N1064" i="67"/>
  <c r="N962" i="67"/>
  <c r="N1095" i="67"/>
  <c r="N1113" i="67"/>
  <c r="N1215" i="67"/>
  <c r="N793" i="67"/>
  <c r="N1199" i="67"/>
  <c r="N1407" i="67"/>
  <c r="N1425" i="67"/>
  <c r="N1545" i="67"/>
  <c r="N1561" i="67"/>
  <c r="AF964" i="67"/>
  <c r="AF946" i="67"/>
  <c r="AF1097" i="67"/>
  <c r="AF1115" i="67"/>
  <c r="AF1409" i="67"/>
  <c r="AF1427" i="67"/>
  <c r="S962" i="67"/>
  <c r="S1064" i="67"/>
  <c r="S1048" i="67"/>
  <c r="S944" i="67"/>
  <c r="S1095" i="67"/>
  <c r="S1199" i="67"/>
  <c r="S1113" i="67"/>
  <c r="S1215" i="67"/>
  <c r="S793" i="67"/>
  <c r="S1407" i="67"/>
  <c r="S1425" i="67"/>
  <c r="S1545" i="67"/>
  <c r="S1561" i="67"/>
  <c r="K1547" i="67"/>
  <c r="K1050" i="67" s="1"/>
  <c r="K1531" i="67"/>
  <c r="K1034" i="67" s="1"/>
  <c r="K1411" i="67"/>
  <c r="K948" i="67" s="1"/>
  <c r="K1379" i="67"/>
  <c r="K916" i="67" s="1"/>
  <c r="K1393" i="67"/>
  <c r="K930" i="67" s="1"/>
  <c r="X1381" i="67"/>
  <c r="X1395" i="67"/>
  <c r="X932" i="67" s="1"/>
  <c r="X1413" i="67"/>
  <c r="X950" i="67" s="1"/>
  <c r="X1533" i="67"/>
  <c r="X1036" i="67" s="1"/>
  <c r="X1549" i="67"/>
  <c r="X1052" i="67" s="1"/>
  <c r="U1395" i="67"/>
  <c r="U932" i="67" s="1"/>
  <c r="U1413" i="67"/>
  <c r="U950" i="67" s="1"/>
  <c r="U1533" i="67"/>
  <c r="U1036" i="67" s="1"/>
  <c r="U1381" i="67"/>
  <c r="U1549" i="67"/>
  <c r="U1052" i="67" s="1"/>
  <c r="AW1395" i="67"/>
  <c r="AW932" i="67" s="1"/>
  <c r="AW1381" i="67"/>
  <c r="AW1413" i="67"/>
  <c r="AW950" i="67" s="1"/>
  <c r="AW1533" i="67"/>
  <c r="AW1036" i="67" s="1"/>
  <c r="AW1549" i="67"/>
  <c r="AW1052" i="67" s="1"/>
  <c r="Z1380" i="67"/>
  <c r="Z1394" i="67"/>
  <c r="Z931" i="67" s="1"/>
  <c r="Z1412" i="67"/>
  <c r="Z949" i="67" s="1"/>
  <c r="Z1532" i="67"/>
  <c r="Z1035" i="67" s="1"/>
  <c r="Z1548" i="67"/>
  <c r="Z1051" i="67" s="1"/>
  <c r="AL1380" i="67"/>
  <c r="AL1394" i="67"/>
  <c r="AL931" i="67" s="1"/>
  <c r="AL1412" i="67"/>
  <c r="AL949" i="67" s="1"/>
  <c r="AL1532" i="67"/>
  <c r="AL1035" i="67" s="1"/>
  <c r="AL1548" i="67"/>
  <c r="AL1051" i="67" s="1"/>
  <c r="AO1379" i="67"/>
  <c r="AO916" i="67" s="1"/>
  <c r="AO1393" i="67"/>
  <c r="AO930" i="67" s="1"/>
  <c r="AO1411" i="67"/>
  <c r="AO948" i="67" s="1"/>
  <c r="AO1531" i="67"/>
  <c r="AO1034" i="67" s="1"/>
  <c r="AO1547" i="67"/>
  <c r="AO1050" i="67" s="1"/>
  <c r="AB1379" i="67"/>
  <c r="AB916" i="67" s="1"/>
  <c r="AB1393" i="67"/>
  <c r="AB930" i="67" s="1"/>
  <c r="AB1411" i="67"/>
  <c r="AB948" i="67" s="1"/>
  <c r="AB1531" i="67"/>
  <c r="AB1034" i="67" s="1"/>
  <c r="AB1547" i="67"/>
  <c r="AB1050" i="67" s="1"/>
  <c r="AA1379" i="67"/>
  <c r="AA916" i="67" s="1"/>
  <c r="AA1393" i="67"/>
  <c r="AA930" i="67" s="1"/>
  <c r="AA1411" i="67"/>
  <c r="AA948" i="67" s="1"/>
  <c r="AA1531" i="67"/>
  <c r="AA1034" i="67" s="1"/>
  <c r="AA1547" i="67"/>
  <c r="AA1050" i="67" s="1"/>
  <c r="AM1394" i="67"/>
  <c r="AM931" i="67" s="1"/>
  <c r="AM1380" i="67"/>
  <c r="AM1412" i="67"/>
  <c r="AM949" i="67" s="1"/>
  <c r="AM1532" i="67"/>
  <c r="AM1035" i="67" s="1"/>
  <c r="AM1548" i="67"/>
  <c r="AM1051" i="67" s="1"/>
  <c r="AH1381" i="67"/>
  <c r="AH1395" i="67"/>
  <c r="AH932" i="67" s="1"/>
  <c r="AH1413" i="67"/>
  <c r="AH950" i="67" s="1"/>
  <c r="AH1533" i="67"/>
  <c r="AH1036" i="67" s="1"/>
  <c r="AH1549" i="67"/>
  <c r="AH1052" i="67" s="1"/>
  <c r="P1381" i="67"/>
  <c r="P1395" i="67"/>
  <c r="P932" i="67" s="1"/>
  <c r="P1413" i="67"/>
  <c r="P950" i="67" s="1"/>
  <c r="P1533" i="67"/>
  <c r="P1036" i="67" s="1"/>
  <c r="P1549" i="67"/>
  <c r="P1052" i="67" s="1"/>
  <c r="AG1393" i="67"/>
  <c r="AG930" i="67" s="1"/>
  <c r="AG1411" i="67"/>
  <c r="AG948" i="67" s="1"/>
  <c r="AG1531" i="67"/>
  <c r="AG1034" i="67" s="1"/>
  <c r="AG1379" i="67"/>
  <c r="AG916" i="67" s="1"/>
  <c r="AG1547" i="67"/>
  <c r="AG1050" i="67" s="1"/>
  <c r="AE1380" i="67"/>
  <c r="AE1394" i="67"/>
  <c r="AE931" i="67" s="1"/>
  <c r="AE1412" i="67"/>
  <c r="AE949" i="67" s="1"/>
  <c r="AE1532" i="67"/>
  <c r="AE1035" i="67" s="1"/>
  <c r="AE1548" i="67"/>
  <c r="AE1051" i="67" s="1"/>
  <c r="AU1379" i="67"/>
  <c r="AU916" i="67" s="1"/>
  <c r="AU1393" i="67"/>
  <c r="AU930" i="67" s="1"/>
  <c r="AU1411" i="67"/>
  <c r="AU948" i="67" s="1"/>
  <c r="AU1547" i="67"/>
  <c r="AU1050" i="67" s="1"/>
  <c r="AU1531" i="67"/>
  <c r="AU1034" i="67" s="1"/>
  <c r="R1379" i="67"/>
  <c r="R916" i="67" s="1"/>
  <c r="R1393" i="67"/>
  <c r="R930" i="67" s="1"/>
  <c r="R1411" i="67"/>
  <c r="R948" i="67" s="1"/>
  <c r="R1531" i="67"/>
  <c r="R1034" i="67" s="1"/>
  <c r="R1547" i="67"/>
  <c r="R1050" i="67" s="1"/>
  <c r="AJ1381" i="67"/>
  <c r="AJ1395" i="67"/>
  <c r="AJ932" i="67" s="1"/>
  <c r="AJ1413" i="67"/>
  <c r="AJ950" i="67" s="1"/>
  <c r="AJ1533" i="67"/>
  <c r="AJ1036" i="67" s="1"/>
  <c r="AJ1549" i="67"/>
  <c r="AJ1052" i="67" s="1"/>
  <c r="AK1380" i="67"/>
  <c r="AK1394" i="67"/>
  <c r="AK931" i="67" s="1"/>
  <c r="AK1412" i="67"/>
  <c r="AK949" i="67" s="1"/>
  <c r="AK1532" i="67"/>
  <c r="AK1035" i="67" s="1"/>
  <c r="AK1548" i="67"/>
  <c r="AK1051" i="67" s="1"/>
  <c r="N1379" i="67"/>
  <c r="N916" i="67" s="1"/>
  <c r="N1393" i="67"/>
  <c r="N930" i="67" s="1"/>
  <c r="N1411" i="67"/>
  <c r="N948" i="67" s="1"/>
  <c r="N1531" i="67"/>
  <c r="N1034" i="67" s="1"/>
  <c r="N1547" i="67"/>
  <c r="N1050" i="67" s="1"/>
  <c r="AN1381" i="67"/>
  <c r="AN1395" i="67"/>
  <c r="AN932" i="67" s="1"/>
  <c r="AN1413" i="67"/>
  <c r="AN950" i="67" s="1"/>
  <c r="AN1533" i="67"/>
  <c r="AN1036" i="67" s="1"/>
  <c r="AN1549" i="67"/>
  <c r="AN1052" i="67" s="1"/>
  <c r="AS1393" i="67"/>
  <c r="AS930" i="67" s="1"/>
  <c r="AS1379" i="67"/>
  <c r="AS916" i="67" s="1"/>
  <c r="AS1411" i="67"/>
  <c r="AS948" i="67" s="1"/>
  <c r="AS1531" i="67"/>
  <c r="AS1034" i="67" s="1"/>
  <c r="AS1547" i="67"/>
  <c r="AS1050" i="67" s="1"/>
  <c r="M1393" i="67"/>
  <c r="M930" i="67" s="1"/>
  <c r="M1379" i="67"/>
  <c r="M916" i="67" s="1"/>
  <c r="M1411" i="67"/>
  <c r="M948" i="67" s="1"/>
  <c r="M1531" i="67"/>
  <c r="M1034" i="67" s="1"/>
  <c r="M1547" i="67"/>
  <c r="M1050" i="67" s="1"/>
  <c r="AF1381" i="67"/>
  <c r="AF1395" i="67"/>
  <c r="AF932" i="67" s="1"/>
  <c r="AF1413" i="67"/>
  <c r="AF950" i="67" s="1"/>
  <c r="AF1533" i="67"/>
  <c r="AF1036" i="67" s="1"/>
  <c r="AF1549" i="67"/>
  <c r="AF1052" i="67" s="1"/>
  <c r="AQ1394" i="67"/>
  <c r="AQ931" i="67" s="1"/>
  <c r="AQ1380" i="67"/>
  <c r="AQ1412" i="67"/>
  <c r="AQ949" i="67" s="1"/>
  <c r="AQ1532" i="67"/>
  <c r="AQ1035" i="67" s="1"/>
  <c r="AQ1548" i="67"/>
  <c r="AQ1051" i="67" s="1"/>
  <c r="AR1379" i="67"/>
  <c r="AR916" i="67" s="1"/>
  <c r="AR1393" i="67"/>
  <c r="AR930" i="67" s="1"/>
  <c r="AR1411" i="67"/>
  <c r="AR948" i="67" s="1"/>
  <c r="AR1531" i="67"/>
  <c r="AR1034" i="67" s="1"/>
  <c r="AR1547" i="67"/>
  <c r="AR1050" i="67" s="1"/>
  <c r="V1381" i="67"/>
  <c r="V1395" i="67"/>
  <c r="V932" i="67" s="1"/>
  <c r="V1413" i="67"/>
  <c r="V950" i="67" s="1"/>
  <c r="V1533" i="67"/>
  <c r="V1036" i="67" s="1"/>
  <c r="V1549" i="67"/>
  <c r="V1052" i="67" s="1"/>
  <c r="Y1379" i="67"/>
  <c r="Y916" i="67" s="1"/>
  <c r="Y1411" i="67"/>
  <c r="Y948" i="67" s="1"/>
  <c r="Y1393" i="67"/>
  <c r="Y930" i="67" s="1"/>
  <c r="Y1531" i="67"/>
  <c r="Y1034" i="67" s="1"/>
  <c r="Y1547" i="67"/>
  <c r="Y1050" i="67" s="1"/>
  <c r="AI1380" i="67"/>
  <c r="AI1412" i="67"/>
  <c r="AI949" i="67" s="1"/>
  <c r="AI1394" i="67"/>
  <c r="AI931" i="67" s="1"/>
  <c r="AI1532" i="67"/>
  <c r="AI1035" i="67" s="1"/>
  <c r="AI1548" i="67"/>
  <c r="AI1051" i="67" s="1"/>
  <c r="W1379" i="67"/>
  <c r="W916" i="67" s="1"/>
  <c r="W1393" i="67"/>
  <c r="W930" i="67" s="1"/>
  <c r="W1411" i="67"/>
  <c r="W948" i="67" s="1"/>
  <c r="W1547" i="67"/>
  <c r="W1050" i="67" s="1"/>
  <c r="W1531" i="67"/>
  <c r="W1034" i="67" s="1"/>
  <c r="AT1381" i="67"/>
  <c r="AT1395" i="67"/>
  <c r="AT932" i="67" s="1"/>
  <c r="AT1413" i="67"/>
  <c r="AT950" i="67" s="1"/>
  <c r="AT1533" i="67"/>
  <c r="AT1036" i="67" s="1"/>
  <c r="AT1549" i="67"/>
  <c r="AT1052" i="67" s="1"/>
  <c r="AA1428" i="67"/>
  <c r="AA1410" i="67"/>
  <c r="AR1065" i="67"/>
  <c r="AR1408" i="67"/>
  <c r="AR1426" i="67"/>
  <c r="AR1546" i="67"/>
  <c r="AR1562" i="67"/>
  <c r="AH1410" i="67"/>
  <c r="AH1428" i="67"/>
  <c r="S1410" i="67"/>
  <c r="S1428" i="67"/>
  <c r="AD1410" i="67"/>
  <c r="AD1428" i="67"/>
  <c r="Z1410" i="67"/>
  <c r="Z1428" i="67"/>
  <c r="T1410" i="67"/>
  <c r="T1428" i="67"/>
  <c r="AK1410" i="67"/>
  <c r="AK1428" i="67"/>
  <c r="AS1410" i="67"/>
  <c r="AS1428" i="67"/>
  <c r="AV1065" i="67"/>
  <c r="AV1408" i="67"/>
  <c r="AV1426" i="67"/>
  <c r="AV1546" i="67"/>
  <c r="AV1562" i="67"/>
  <c r="O1065" i="67"/>
  <c r="O1408" i="67"/>
  <c r="O1426" i="67"/>
  <c r="O1546" i="67"/>
  <c r="O1562" i="67"/>
  <c r="V1065" i="67"/>
  <c r="V1408" i="67"/>
  <c r="V1426" i="67"/>
  <c r="V1546" i="67"/>
  <c r="V1562" i="67"/>
  <c r="M1065" i="67"/>
  <c r="M1408" i="67"/>
  <c r="M1426" i="67"/>
  <c r="M1546" i="67"/>
  <c r="M1562" i="67"/>
  <c r="W1065" i="67"/>
  <c r="W1426" i="67"/>
  <c r="W1408" i="67"/>
  <c r="W1546" i="67"/>
  <c r="W1562" i="67"/>
  <c r="R1065" i="67"/>
  <c r="R1408" i="67"/>
  <c r="R1426" i="67"/>
  <c r="R1546" i="67"/>
  <c r="R1562" i="67"/>
  <c r="AW1065" i="67"/>
  <c r="AW1408" i="67"/>
  <c r="AW1426" i="67"/>
  <c r="AW1546" i="67"/>
  <c r="AW1562" i="67"/>
  <c r="AG1410" i="67"/>
  <c r="AG1428" i="67"/>
  <c r="AF1410" i="67"/>
  <c r="AF1428" i="67"/>
  <c r="AI1410" i="67"/>
  <c r="AI1428" i="67"/>
  <c r="K443" i="67"/>
  <c r="K137" i="67"/>
  <c r="K290" i="67"/>
  <c r="K747" i="67"/>
  <c r="K898" i="67"/>
  <c r="K595" i="67"/>
  <c r="BI82" i="70"/>
  <c r="BI85" i="70" s="1"/>
  <c r="BI47" i="70"/>
  <c r="AD45" i="36"/>
  <c r="K1461" i="67" s="1"/>
  <c r="AE41" i="68" s="1"/>
  <c r="D37" i="62" s="1"/>
  <c r="AD82" i="36"/>
  <c r="AD85" i="36" s="1"/>
  <c r="BE58" i="50"/>
  <c r="BE59" i="50" s="1"/>
  <c r="BE60" i="50" s="1"/>
  <c r="BK58" i="50"/>
  <c r="BK59" i="50" s="1"/>
  <c r="BK60" i="50" s="1"/>
  <c r="BK61" i="50" s="1"/>
  <c r="BJ58" i="50"/>
  <c r="BJ59" i="50" s="1"/>
  <c r="BJ60" i="50" s="1"/>
  <c r="BB58" i="50"/>
  <c r="BB59" i="50" s="1"/>
  <c r="BB60" i="50" s="1"/>
  <c r="BG58" i="50"/>
  <c r="BG59" i="50" s="1"/>
  <c r="BG60" i="50" s="1"/>
  <c r="AP58" i="50"/>
  <c r="AP59" i="50" s="1"/>
  <c r="AP60" i="50" s="1"/>
  <c r="AK58" i="50"/>
  <c r="AK59" i="50" s="1"/>
  <c r="AK60" i="50" s="1"/>
  <c r="BH58" i="50"/>
  <c r="BH59" i="50" s="1"/>
  <c r="BH60" i="50" s="1"/>
  <c r="BD58" i="50"/>
  <c r="BD59" i="50" s="1"/>
  <c r="BD60" i="50" s="1"/>
  <c r="Z58" i="50"/>
  <c r="Z59" i="50" s="1"/>
  <c r="Z60" i="50" s="1"/>
  <c r="AO58" i="50"/>
  <c r="AO59" i="50" s="1"/>
  <c r="AO60" i="50" s="1"/>
  <c r="AX58" i="50"/>
  <c r="AX59" i="50" s="1"/>
  <c r="AX60" i="50" s="1"/>
  <c r="BD41" i="70" s="1"/>
  <c r="BF58" i="50"/>
  <c r="BF59" i="50" s="1"/>
  <c r="BF60" i="50" s="1"/>
  <c r="BL41" i="70" s="1"/>
  <c r="AG58" i="50"/>
  <c r="AG59" i="50" s="1"/>
  <c r="AG60" i="50" s="1"/>
  <c r="AM41" i="70" s="1"/>
  <c r="AI58" i="50"/>
  <c r="AI59" i="50" s="1"/>
  <c r="AI60" i="50" s="1"/>
  <c r="AO41" i="70" s="1"/>
  <c r="BI58" i="50"/>
  <c r="BI59" i="50" s="1"/>
  <c r="BI60" i="50" s="1"/>
  <c r="BO41" i="70" s="1"/>
  <c r="AR58" i="50"/>
  <c r="AR59" i="50" s="1"/>
  <c r="AR60" i="50" s="1"/>
  <c r="AX41" i="70" s="1"/>
  <c r="AE58" i="50"/>
  <c r="AE59" i="50" s="1"/>
  <c r="AE60" i="50" s="1"/>
  <c r="AK41" i="70" s="1"/>
  <c r="AM58" i="50"/>
  <c r="AM59" i="50" s="1"/>
  <c r="AM60" i="50" s="1"/>
  <c r="AS41" i="70" s="1"/>
  <c r="AN58" i="50"/>
  <c r="AN59" i="50" s="1"/>
  <c r="AN60" i="50" s="1"/>
  <c r="AT41" i="70" s="1"/>
  <c r="AH58" i="50"/>
  <c r="AH59" i="50" s="1"/>
  <c r="AH60" i="50" s="1"/>
  <c r="AN41" i="70" s="1"/>
  <c r="AV58" i="50"/>
  <c r="AV59" i="50" s="1"/>
  <c r="AV60" i="50" s="1"/>
  <c r="BB41" i="70" s="1"/>
  <c r="Y58" i="50"/>
  <c r="Y59" i="50" s="1"/>
  <c r="Y60" i="50" s="1"/>
  <c r="AE41" i="70" s="1"/>
  <c r="AT58" i="50"/>
  <c r="AT59" i="50" s="1"/>
  <c r="AT60" i="50" s="1"/>
  <c r="AZ41" i="70" s="1"/>
  <c r="AS58" i="50"/>
  <c r="AS59" i="50" s="1"/>
  <c r="AS60" i="50" s="1"/>
  <c r="AY41" i="70" s="1"/>
  <c r="AD58" i="50"/>
  <c r="AD59" i="50" s="1"/>
  <c r="AD60" i="50" s="1"/>
  <c r="AJ41" i="70" s="1"/>
  <c r="AZ58" i="50"/>
  <c r="AZ59" i="50" s="1"/>
  <c r="AZ60" i="50" s="1"/>
  <c r="BF41" i="70" s="1"/>
  <c r="AF58" i="50"/>
  <c r="AF59" i="50" s="1"/>
  <c r="AF60" i="50" s="1"/>
  <c r="AL41" i="70" s="1"/>
  <c r="AQ58" i="50"/>
  <c r="AQ59" i="50" s="1"/>
  <c r="AQ60" i="50" s="1"/>
  <c r="AW41" i="70" s="1"/>
  <c r="AW58" i="50"/>
  <c r="AW59" i="50" s="1"/>
  <c r="AW60" i="50" s="1"/>
  <c r="BC41" i="70" s="1"/>
  <c r="BI41" i="36"/>
  <c r="BI82" i="36" s="1"/>
  <c r="BC61" i="50"/>
  <c r="AC58" i="50"/>
  <c r="AC59" i="50" s="1"/>
  <c r="AC60" i="50" s="1"/>
  <c r="AI41" i="70" s="1"/>
  <c r="AB58" i="50"/>
  <c r="AB59" i="50" s="1"/>
  <c r="AB60" i="50" s="1"/>
  <c r="AH41" i="70" s="1"/>
  <c r="AJ58" i="50"/>
  <c r="AJ59" i="50" s="1"/>
  <c r="AJ60" i="50" s="1"/>
  <c r="AP41" i="70" s="1"/>
  <c r="AL58" i="50"/>
  <c r="AL59" i="50" s="1"/>
  <c r="AL60" i="50" s="1"/>
  <c r="AR41" i="70" s="1"/>
  <c r="AA58" i="50"/>
  <c r="AA59" i="50" s="1"/>
  <c r="AA60" i="50" s="1"/>
  <c r="AG41" i="70" s="1"/>
  <c r="AU58" i="50"/>
  <c r="AU59" i="50" s="1"/>
  <c r="AU60" i="50" s="1"/>
  <c r="BA41" i="70" s="1"/>
  <c r="AY58" i="50"/>
  <c r="AY59" i="50" s="1"/>
  <c r="AY60" i="50" s="1"/>
  <c r="BE41" i="70" s="1"/>
  <c r="BA58" i="50"/>
  <c r="BA59" i="50" s="1"/>
  <c r="BA60" i="50" s="1"/>
  <c r="BG41" i="70" s="1"/>
  <c r="AP178" i="34"/>
  <c r="AP179" i="34"/>
  <c r="AL179" i="34"/>
  <c r="AL72" i="36"/>
  <c r="AL42" i="34"/>
  <c r="AO25" i="34"/>
  <c r="AO56" i="36"/>
  <c r="AM24" i="34"/>
  <c r="AM43" i="34"/>
  <c r="AN72" i="36"/>
  <c r="AK10" i="34"/>
  <c r="AQ24" i="34"/>
  <c r="AQ178" i="34"/>
  <c r="AU162" i="34"/>
  <c r="AJ56" i="36"/>
  <c r="AQ10" i="34"/>
  <c r="AU43" i="34"/>
  <c r="AU4" i="36"/>
  <c r="AU56" i="36"/>
  <c r="AO10" i="34"/>
  <c r="AO72" i="36"/>
  <c r="AK178" i="34"/>
  <c r="AN24" i="34"/>
  <c r="AN56" i="36"/>
  <c r="AJ42" i="34"/>
  <c r="AJ72" i="36"/>
  <c r="AV4" i="36"/>
  <c r="AU24" i="34"/>
  <c r="AU72" i="36"/>
  <c r="AO42" i="34"/>
  <c r="AO162" i="34"/>
  <c r="AN10" i="34"/>
  <c r="AN178" i="34"/>
  <c r="AJ10" i="34"/>
  <c r="AJ162" i="34"/>
  <c r="AU42" i="34"/>
  <c r="AU178" i="34"/>
  <c r="AO24" i="34"/>
  <c r="AO178" i="34"/>
  <c r="AN42" i="34"/>
  <c r="AN162" i="34"/>
  <c r="AJ24" i="34"/>
  <c r="AJ178" i="34"/>
  <c r="AT179" i="34"/>
  <c r="AT4" i="36"/>
  <c r="AQ56" i="36"/>
  <c r="AP10" i="34"/>
  <c r="AM56" i="36"/>
  <c r="AL162" i="34"/>
  <c r="AQ42" i="34"/>
  <c r="AQ162" i="34"/>
  <c r="AP72" i="36"/>
  <c r="AM72" i="36"/>
  <c r="AL10" i="34"/>
  <c r="AT56" i="36"/>
  <c r="AQ72" i="36"/>
  <c r="AP42" i="34"/>
  <c r="AP56" i="36"/>
  <c r="AM10" i="34"/>
  <c r="AM178" i="34"/>
  <c r="AL178" i="34"/>
  <c r="AT10" i="34"/>
  <c r="AP24" i="34"/>
  <c r="AP162" i="34"/>
  <c r="AM42" i="34"/>
  <c r="AM162" i="34"/>
  <c r="AL24" i="34"/>
  <c r="AL56" i="36"/>
  <c r="AT42" i="34"/>
  <c r="AS72" i="36"/>
  <c r="AT72" i="36"/>
  <c r="AT24" i="34"/>
  <c r="AT178" i="34"/>
  <c r="AR72" i="36"/>
  <c r="AR10" i="34"/>
  <c r="AR56" i="36"/>
  <c r="AR24" i="34"/>
  <c r="AR178" i="34"/>
  <c r="AR42" i="34"/>
  <c r="AR162" i="34"/>
  <c r="AD80" i="36"/>
  <c r="AD64" i="36"/>
  <c r="AD186" i="34"/>
  <c r="AD170" i="34"/>
  <c r="AD50" i="34"/>
  <c r="AD32" i="34"/>
  <c r="AK72" i="36"/>
  <c r="AH81" i="36"/>
  <c r="AH65" i="36"/>
  <c r="AH187" i="34"/>
  <c r="AH171" i="34"/>
  <c r="AH33" i="34"/>
  <c r="AH51" i="34"/>
  <c r="AG80" i="36"/>
  <c r="AG64" i="36"/>
  <c r="AG186" i="34"/>
  <c r="AG170" i="34"/>
  <c r="AG32" i="34"/>
  <c r="AG50" i="34"/>
  <c r="AK11" i="34"/>
  <c r="AE65" i="36"/>
  <c r="AE81" i="36"/>
  <c r="AE187" i="34"/>
  <c r="AE171" i="34"/>
  <c r="AE33" i="34"/>
  <c r="AE51" i="34"/>
  <c r="AE64" i="36"/>
  <c r="AE80" i="36"/>
  <c r="AE186" i="34"/>
  <c r="AE170" i="34"/>
  <c r="AE50" i="34"/>
  <c r="AE32" i="34"/>
  <c r="AH64" i="36"/>
  <c r="AH80" i="36"/>
  <c r="AH186" i="34"/>
  <c r="AH170" i="34"/>
  <c r="AH32" i="34"/>
  <c r="AH50" i="34"/>
  <c r="AK24" i="34"/>
  <c r="AK56" i="36"/>
  <c r="AI51" i="34"/>
  <c r="AI65" i="36"/>
  <c r="AI81" i="36"/>
  <c r="AI187" i="34"/>
  <c r="AI171" i="34"/>
  <c r="AI33" i="34"/>
  <c r="AF65" i="36"/>
  <c r="AF81" i="36"/>
  <c r="AF171" i="34"/>
  <c r="AF187" i="34"/>
  <c r="AF33" i="34"/>
  <c r="AF51" i="34"/>
  <c r="AK42" i="34"/>
  <c r="AG81" i="36"/>
  <c r="AG65" i="36"/>
  <c r="AG171" i="34"/>
  <c r="AG187" i="34"/>
  <c r="AG51" i="34"/>
  <c r="AG33" i="34"/>
  <c r="AF64" i="36"/>
  <c r="AF80" i="36"/>
  <c r="AF186" i="34"/>
  <c r="AF170" i="34"/>
  <c r="AF50" i="34"/>
  <c r="AF32" i="34"/>
  <c r="AD81" i="36"/>
  <c r="AD65" i="36"/>
  <c r="AD187" i="34"/>
  <c r="AD171" i="34"/>
  <c r="AD33" i="34"/>
  <c r="AD51" i="34"/>
  <c r="AI50" i="34"/>
  <c r="AI80" i="36"/>
  <c r="AI64" i="36"/>
  <c r="AI186" i="34"/>
  <c r="AI170" i="34"/>
  <c r="AI32" i="34"/>
  <c r="AE56" i="36"/>
  <c r="L1472" i="67" s="1"/>
  <c r="AE72" i="36"/>
  <c r="L1488" i="67" s="1"/>
  <c r="AE162" i="34"/>
  <c r="AE10" i="34"/>
  <c r="AE24" i="34"/>
  <c r="AE42" i="34"/>
  <c r="AE178" i="34"/>
  <c r="AG72" i="36"/>
  <c r="N1488" i="67" s="1"/>
  <c r="AG56" i="36"/>
  <c r="N1472" i="67" s="1"/>
  <c r="AG10" i="34"/>
  <c r="AG42" i="34"/>
  <c r="AG24" i="34"/>
  <c r="AG162" i="34"/>
  <c r="AG178" i="34"/>
  <c r="AH56" i="36"/>
  <c r="O1472" i="67" s="1"/>
  <c r="AH72" i="36"/>
  <c r="O1488" i="67" s="1"/>
  <c r="AH24" i="34"/>
  <c r="AH42" i="34"/>
  <c r="AH10" i="34"/>
  <c r="AH162" i="34"/>
  <c r="AH178" i="34"/>
  <c r="AF56" i="36"/>
  <c r="M1472" i="67" s="1"/>
  <c r="AF72" i="36"/>
  <c r="M1488" i="67" s="1"/>
  <c r="AF42" i="34"/>
  <c r="AF24" i="34"/>
  <c r="AF10" i="34"/>
  <c r="AF162" i="34"/>
  <c r="AF178" i="34"/>
  <c r="AI56" i="36"/>
  <c r="P1472" i="67" s="1"/>
  <c r="AI72" i="36"/>
  <c r="P1488" i="67" s="1"/>
  <c r="AI42" i="34"/>
  <c r="AI10" i="34"/>
  <c r="AI24" i="34"/>
  <c r="AI162" i="34"/>
  <c r="AI178" i="34"/>
  <c r="AD56" i="36"/>
  <c r="AD72" i="36"/>
  <c r="AD162" i="34"/>
  <c r="AD178" i="34"/>
  <c r="AD42" i="34"/>
  <c r="AD10" i="34"/>
  <c r="AD24" i="34"/>
  <c r="AS162" i="34"/>
  <c r="AS10" i="34"/>
  <c r="AS56" i="36"/>
  <c r="AS42" i="34"/>
  <c r="AS178" i="34"/>
  <c r="AS24" i="34"/>
  <c r="AV10" i="34"/>
  <c r="AV56" i="36"/>
  <c r="AV162" i="34"/>
  <c r="BE170" i="34"/>
  <c r="BE186" i="34"/>
  <c r="BE80" i="36"/>
  <c r="BE64" i="36"/>
  <c r="BE50" i="34"/>
  <c r="BE32" i="34"/>
  <c r="BD170" i="34"/>
  <c r="BD186" i="34"/>
  <c r="BD80" i="36"/>
  <c r="BD64" i="36"/>
  <c r="BD32" i="34"/>
  <c r="BD50" i="34"/>
  <c r="AO51" i="34"/>
  <c r="AO187" i="34"/>
  <c r="AO171" i="34"/>
  <c r="AO33" i="34"/>
  <c r="AO65" i="36"/>
  <c r="AO81" i="36"/>
  <c r="BJ171" i="34"/>
  <c r="BJ33" i="34"/>
  <c r="BJ187" i="34"/>
  <c r="BJ51" i="34"/>
  <c r="BJ65" i="36"/>
  <c r="BJ81" i="36"/>
  <c r="BH171" i="34"/>
  <c r="BH187" i="34"/>
  <c r="BH33" i="34"/>
  <c r="BH51" i="34"/>
  <c r="BH81" i="36"/>
  <c r="BH65" i="36"/>
  <c r="BL170" i="34"/>
  <c r="BL186" i="34"/>
  <c r="BL80" i="36"/>
  <c r="BL64" i="36"/>
  <c r="BL50" i="34"/>
  <c r="BL32" i="34"/>
  <c r="AX186" i="34"/>
  <c r="AX170" i="34"/>
  <c r="AX64" i="36"/>
  <c r="AX80" i="36"/>
  <c r="AX32" i="34"/>
  <c r="AX50" i="34"/>
  <c r="AO170" i="34"/>
  <c r="AO186" i="34"/>
  <c r="AO64" i="36"/>
  <c r="AO80" i="36"/>
  <c r="AO50" i="34"/>
  <c r="AO32" i="34"/>
  <c r="AN170" i="34"/>
  <c r="AN186" i="34"/>
  <c r="AN80" i="36"/>
  <c r="AN64" i="36"/>
  <c r="AN32" i="34"/>
  <c r="AN50" i="34"/>
  <c r="AR168" i="34"/>
  <c r="AR184" i="34"/>
  <c r="AR62" i="36"/>
  <c r="AR78" i="36"/>
  <c r="AR16" i="34"/>
  <c r="AR48" i="34"/>
  <c r="AR30" i="34"/>
  <c r="AJ187" i="34"/>
  <c r="AJ171" i="34"/>
  <c r="AJ33" i="34"/>
  <c r="AJ51" i="34"/>
  <c r="AJ65" i="36"/>
  <c r="AJ81" i="36"/>
  <c r="BP171" i="34"/>
  <c r="BP33" i="34"/>
  <c r="BP51" i="34"/>
  <c r="BP65" i="36"/>
  <c r="BP187" i="34"/>
  <c r="BP81" i="36"/>
  <c r="AL171" i="34"/>
  <c r="AL33" i="34"/>
  <c r="AL51" i="34"/>
  <c r="AL187" i="34"/>
  <c r="AL81" i="36"/>
  <c r="AL65" i="36"/>
  <c r="BN187" i="34"/>
  <c r="BN171" i="34"/>
  <c r="BN33" i="34"/>
  <c r="BN51" i="34"/>
  <c r="BN81" i="36"/>
  <c r="BN65" i="36"/>
  <c r="AT186" i="34"/>
  <c r="AT170" i="34"/>
  <c r="AT80" i="36"/>
  <c r="AT64" i="36"/>
  <c r="AT32" i="34"/>
  <c r="AT50" i="34"/>
  <c r="AK168" i="34"/>
  <c r="AK184" i="34"/>
  <c r="AK78" i="36"/>
  <c r="AK62" i="36"/>
  <c r="AK48" i="34"/>
  <c r="AK30" i="34"/>
  <c r="AK16" i="34"/>
  <c r="BO187" i="34"/>
  <c r="BO33" i="34"/>
  <c r="BO51" i="34"/>
  <c r="BO171" i="34"/>
  <c r="BO65" i="36"/>
  <c r="BO81" i="36"/>
  <c r="BF187" i="34"/>
  <c r="BF33" i="34"/>
  <c r="BF51" i="34"/>
  <c r="BF171" i="34"/>
  <c r="BF81" i="36"/>
  <c r="BF65" i="36"/>
  <c r="BK187" i="34"/>
  <c r="BK33" i="34"/>
  <c r="BK51" i="34"/>
  <c r="BK171" i="34"/>
  <c r="BK65" i="36"/>
  <c r="BK81" i="36"/>
  <c r="BL171" i="34"/>
  <c r="BL51" i="34"/>
  <c r="BL33" i="34"/>
  <c r="BL187" i="34"/>
  <c r="BL81" i="36"/>
  <c r="BL65" i="36"/>
  <c r="AL170" i="34"/>
  <c r="AL186" i="34"/>
  <c r="AL80" i="36"/>
  <c r="AL64" i="36"/>
  <c r="AL50" i="34"/>
  <c r="AL32" i="34"/>
  <c r="BK170" i="34"/>
  <c r="BK186" i="34"/>
  <c r="BK64" i="36"/>
  <c r="BK80" i="36"/>
  <c r="BK32" i="34"/>
  <c r="BK50" i="34"/>
  <c r="AM186" i="34"/>
  <c r="AM170" i="34"/>
  <c r="AM64" i="36"/>
  <c r="AM80" i="36"/>
  <c r="AM50" i="34"/>
  <c r="AM32" i="34"/>
  <c r="BP186" i="34"/>
  <c r="BP170" i="34"/>
  <c r="BP80" i="36"/>
  <c r="BP64" i="36"/>
  <c r="BP32" i="34"/>
  <c r="BP50" i="34"/>
  <c r="AN43" i="34"/>
  <c r="AN25" i="34"/>
  <c r="AN11" i="34"/>
  <c r="AN179" i="34"/>
  <c r="AN57" i="36"/>
  <c r="AN163" i="34"/>
  <c r="AN73" i="36"/>
  <c r="BJ186" i="34"/>
  <c r="BJ170" i="34"/>
  <c r="BJ64" i="36"/>
  <c r="BJ80" i="36"/>
  <c r="BJ32" i="34"/>
  <c r="BJ50" i="34"/>
  <c r="BI186" i="34"/>
  <c r="BI170" i="34"/>
  <c r="BI80" i="36"/>
  <c r="BI64" i="36"/>
  <c r="BI32" i="34"/>
  <c r="BI50" i="34"/>
  <c r="AY187" i="34"/>
  <c r="AY33" i="34"/>
  <c r="AY51" i="34"/>
  <c r="AY171" i="34"/>
  <c r="AY65" i="36"/>
  <c r="AY81" i="36"/>
  <c r="BB187" i="34"/>
  <c r="BB33" i="34"/>
  <c r="BB51" i="34"/>
  <c r="BB171" i="34"/>
  <c r="BB65" i="36"/>
  <c r="BB81" i="36"/>
  <c r="BG187" i="34"/>
  <c r="BG33" i="34"/>
  <c r="BG51" i="34"/>
  <c r="BG171" i="34"/>
  <c r="BG81" i="36"/>
  <c r="BG65" i="36"/>
  <c r="AW187" i="34"/>
  <c r="AW33" i="34"/>
  <c r="AW51" i="34"/>
  <c r="AW171" i="34"/>
  <c r="AW65" i="36"/>
  <c r="AW81" i="36"/>
  <c r="AP171" i="34"/>
  <c r="AP33" i="34"/>
  <c r="AP51" i="34"/>
  <c r="AP187" i="34"/>
  <c r="AP81" i="36"/>
  <c r="AP65" i="36"/>
  <c r="AQ184" i="34"/>
  <c r="AQ168" i="34"/>
  <c r="AQ62" i="36"/>
  <c r="AQ78" i="36"/>
  <c r="AQ30" i="34"/>
  <c r="AQ16" i="34"/>
  <c r="AQ48" i="34"/>
  <c r="AS168" i="34"/>
  <c r="AS184" i="34"/>
  <c r="AS78" i="36"/>
  <c r="AS62" i="36"/>
  <c r="AS16" i="34"/>
  <c r="AS30" i="34"/>
  <c r="AS48" i="34"/>
  <c r="AU186" i="34"/>
  <c r="AU170" i="34"/>
  <c r="AU80" i="36"/>
  <c r="AU64" i="36"/>
  <c r="AU50" i="34"/>
  <c r="AU32" i="34"/>
  <c r="BG186" i="34"/>
  <c r="BG170" i="34"/>
  <c r="BG80" i="36"/>
  <c r="BG64" i="36"/>
  <c r="BG50" i="34"/>
  <c r="BG32" i="34"/>
  <c r="BN170" i="34"/>
  <c r="BN186" i="34"/>
  <c r="BN64" i="36"/>
  <c r="BN80" i="36"/>
  <c r="BN32" i="34"/>
  <c r="BN50" i="34"/>
  <c r="AV186" i="34"/>
  <c r="AV170" i="34"/>
  <c r="AV64" i="36"/>
  <c r="AV80" i="36"/>
  <c r="AV50" i="34"/>
  <c r="AV32" i="34"/>
  <c r="AT168" i="34"/>
  <c r="AT184" i="34"/>
  <c r="AT78" i="36"/>
  <c r="AT62" i="36"/>
  <c r="AT16" i="34"/>
  <c r="AT48" i="34"/>
  <c r="AT30" i="34"/>
  <c r="AP184" i="34"/>
  <c r="AP168" i="34"/>
  <c r="AP78" i="36"/>
  <c r="AP62" i="36"/>
  <c r="AP30" i="34"/>
  <c r="AP16" i="34"/>
  <c r="AP48" i="34"/>
  <c r="BA186" i="34"/>
  <c r="BA170" i="34"/>
  <c r="BA64" i="36"/>
  <c r="BA80" i="36"/>
  <c r="BA32" i="34"/>
  <c r="BA50" i="34"/>
  <c r="AK186" i="34"/>
  <c r="AK170" i="34"/>
  <c r="AK64" i="36"/>
  <c r="AK80" i="36"/>
  <c r="AK50" i="34"/>
  <c r="AK32" i="34"/>
  <c r="AM171" i="34"/>
  <c r="AM33" i="34"/>
  <c r="AM51" i="34"/>
  <c r="AM187" i="34"/>
  <c r="AM65" i="36"/>
  <c r="AM81" i="36"/>
  <c r="AV187" i="34"/>
  <c r="AV171" i="34"/>
  <c r="AV33" i="34"/>
  <c r="AV81" i="36"/>
  <c r="AV65" i="36"/>
  <c r="AV51" i="34"/>
  <c r="AS187" i="34"/>
  <c r="AS33" i="34"/>
  <c r="AS51" i="34"/>
  <c r="AS171" i="34"/>
  <c r="AS65" i="36"/>
  <c r="AS81" i="36"/>
  <c r="BE171" i="34"/>
  <c r="BE33" i="34"/>
  <c r="BE51" i="34"/>
  <c r="BE187" i="34"/>
  <c r="BE65" i="36"/>
  <c r="BE81" i="36"/>
  <c r="AQ186" i="34"/>
  <c r="AQ170" i="34"/>
  <c r="AQ80" i="36"/>
  <c r="AQ64" i="36"/>
  <c r="AQ50" i="34"/>
  <c r="AQ32" i="34"/>
  <c r="BM170" i="34"/>
  <c r="BM186" i="34"/>
  <c r="BM64" i="36"/>
  <c r="BM80" i="36"/>
  <c r="BM50" i="34"/>
  <c r="BM32" i="34"/>
  <c r="AY170" i="34"/>
  <c r="AY186" i="34"/>
  <c r="AY80" i="36"/>
  <c r="AY64" i="36"/>
  <c r="AY32" i="34"/>
  <c r="AY50" i="34"/>
  <c r="BF170" i="34"/>
  <c r="BF186" i="34"/>
  <c r="BF80" i="36"/>
  <c r="BF64" i="36"/>
  <c r="BF50" i="34"/>
  <c r="BF32" i="34"/>
  <c r="AJ184" i="34"/>
  <c r="AJ168" i="34"/>
  <c r="AJ78" i="36"/>
  <c r="AJ62" i="36"/>
  <c r="AJ48" i="34"/>
  <c r="AJ16" i="34"/>
  <c r="AJ30" i="34"/>
  <c r="AM184" i="34"/>
  <c r="AM168" i="34"/>
  <c r="AM78" i="36"/>
  <c r="AM62" i="36"/>
  <c r="AM30" i="34"/>
  <c r="AM16" i="34"/>
  <c r="AM48" i="34"/>
  <c r="AR11" i="34"/>
  <c r="AR179" i="34"/>
  <c r="AR25" i="34"/>
  <c r="AR43" i="34"/>
  <c r="AR163" i="34"/>
  <c r="AR57" i="36"/>
  <c r="AR73" i="36"/>
  <c r="AX171" i="34"/>
  <c r="AX33" i="34"/>
  <c r="AX51" i="34"/>
  <c r="AX187" i="34"/>
  <c r="AX81" i="36"/>
  <c r="AX65" i="36"/>
  <c r="BC187" i="34"/>
  <c r="BC33" i="34"/>
  <c r="BC51" i="34"/>
  <c r="BC65" i="36"/>
  <c r="BC171" i="34"/>
  <c r="BC81" i="36"/>
  <c r="AZ187" i="34"/>
  <c r="AZ171" i="34"/>
  <c r="AZ33" i="34"/>
  <c r="AZ51" i="34"/>
  <c r="AZ65" i="36"/>
  <c r="AZ81" i="36"/>
  <c r="BM187" i="34"/>
  <c r="BM33" i="34"/>
  <c r="BM51" i="34"/>
  <c r="BM171" i="34"/>
  <c r="BM65" i="36"/>
  <c r="BM81" i="36"/>
  <c r="AS43" i="34"/>
  <c r="AS25" i="34"/>
  <c r="AS11" i="34"/>
  <c r="AS179" i="34"/>
  <c r="AS163" i="34"/>
  <c r="AS73" i="36"/>
  <c r="AS57" i="36"/>
  <c r="BD171" i="34"/>
  <c r="BD187" i="34"/>
  <c r="BD33" i="34"/>
  <c r="BD51" i="34"/>
  <c r="BD81" i="36"/>
  <c r="BD65" i="36"/>
  <c r="AU187" i="34"/>
  <c r="AU33" i="34"/>
  <c r="AU51" i="34"/>
  <c r="AU171" i="34"/>
  <c r="AU65" i="36"/>
  <c r="AU81" i="36"/>
  <c r="AR171" i="34"/>
  <c r="AR187" i="34"/>
  <c r="AR33" i="34"/>
  <c r="AR51" i="34"/>
  <c r="AR65" i="36"/>
  <c r="AR81" i="36"/>
  <c r="BI171" i="34"/>
  <c r="BI33" i="34"/>
  <c r="BI51" i="34"/>
  <c r="BI187" i="34"/>
  <c r="BI81" i="36"/>
  <c r="BI65" i="36"/>
  <c r="AJ170" i="34"/>
  <c r="AJ186" i="34"/>
  <c r="AJ64" i="36"/>
  <c r="AJ80" i="36"/>
  <c r="AJ50" i="34"/>
  <c r="AJ32" i="34"/>
  <c r="AZ186" i="34"/>
  <c r="AZ170" i="34"/>
  <c r="AZ64" i="36"/>
  <c r="AZ80" i="36"/>
  <c r="AZ50" i="34"/>
  <c r="AZ32" i="34"/>
  <c r="AP186" i="34"/>
  <c r="AP170" i="34"/>
  <c r="AP80" i="36"/>
  <c r="AP64" i="36"/>
  <c r="AP50" i="34"/>
  <c r="AP32" i="34"/>
  <c r="BH186" i="34"/>
  <c r="BH170" i="34"/>
  <c r="BH64" i="36"/>
  <c r="BH80" i="36"/>
  <c r="BH50" i="34"/>
  <c r="BH32" i="34"/>
  <c r="AW186" i="34"/>
  <c r="AW170" i="34"/>
  <c r="AW64" i="36"/>
  <c r="AW80" i="36"/>
  <c r="AW32" i="34"/>
  <c r="AW50" i="34"/>
  <c r="AS170" i="34"/>
  <c r="AS186" i="34"/>
  <c r="AS64" i="36"/>
  <c r="AS80" i="36"/>
  <c r="AS32" i="34"/>
  <c r="AS50" i="34"/>
  <c r="BA187" i="34"/>
  <c r="BA33" i="34"/>
  <c r="BA51" i="34"/>
  <c r="BA171" i="34"/>
  <c r="BA65" i="36"/>
  <c r="BA81" i="36"/>
  <c r="AQ171" i="34"/>
  <c r="AQ33" i="34"/>
  <c r="AQ51" i="34"/>
  <c r="AQ187" i="34"/>
  <c r="AQ81" i="36"/>
  <c r="AQ65" i="36"/>
  <c r="AK51" i="34"/>
  <c r="AK171" i="34"/>
  <c r="AK187" i="34"/>
  <c r="AK33" i="34"/>
  <c r="AK81" i="36"/>
  <c r="AK65" i="36"/>
  <c r="AN51" i="34"/>
  <c r="AN187" i="34"/>
  <c r="AN171" i="34"/>
  <c r="AN33" i="34"/>
  <c r="AN65" i="36"/>
  <c r="AN81" i="36"/>
  <c r="AU168" i="34"/>
  <c r="AU184" i="34"/>
  <c r="AU78" i="36"/>
  <c r="AU62" i="36"/>
  <c r="AU48" i="34"/>
  <c r="AU16" i="34"/>
  <c r="AU30" i="34"/>
  <c r="AV168" i="34"/>
  <c r="AV184" i="34"/>
  <c r="AV62" i="36"/>
  <c r="AV78" i="36"/>
  <c r="AV30" i="34"/>
  <c r="AV48" i="34"/>
  <c r="AV16" i="34"/>
  <c r="AN184" i="34"/>
  <c r="AN168" i="34"/>
  <c r="AN78" i="36"/>
  <c r="AN62" i="36"/>
  <c r="AN48" i="34"/>
  <c r="AN30" i="34"/>
  <c r="AN16" i="34"/>
  <c r="AV43" i="34"/>
  <c r="AV25" i="34"/>
  <c r="AV179" i="34"/>
  <c r="AV163" i="34"/>
  <c r="AV11" i="34"/>
  <c r="AV57" i="36"/>
  <c r="AV73" i="36"/>
  <c r="AQ11" i="34"/>
  <c r="AQ179" i="34"/>
  <c r="AQ25" i="34"/>
  <c r="AQ43" i="34"/>
  <c r="AQ163" i="34"/>
  <c r="AQ57" i="36"/>
  <c r="AQ73" i="36"/>
  <c r="AT187" i="34"/>
  <c r="AT33" i="34"/>
  <c r="AT51" i="34"/>
  <c r="AT171" i="34"/>
  <c r="AT65" i="36"/>
  <c r="AT81" i="36"/>
  <c r="BC186" i="34"/>
  <c r="BC170" i="34"/>
  <c r="BC80" i="36"/>
  <c r="BC64" i="36"/>
  <c r="BC50" i="34"/>
  <c r="BC32" i="34"/>
  <c r="BB170" i="34"/>
  <c r="BB186" i="34"/>
  <c r="BB64" i="36"/>
  <c r="BB80" i="36"/>
  <c r="BB50" i="34"/>
  <c r="BB32" i="34"/>
  <c r="AR186" i="34"/>
  <c r="AR170" i="34"/>
  <c r="AR80" i="36"/>
  <c r="AR64" i="36"/>
  <c r="AR32" i="34"/>
  <c r="AR50" i="34"/>
  <c r="BO170" i="34"/>
  <c r="BO186" i="34"/>
  <c r="BO64" i="36"/>
  <c r="BO80" i="36"/>
  <c r="BO32" i="34"/>
  <c r="BO50" i="34"/>
  <c r="AO168" i="34"/>
  <c r="AO184" i="34"/>
  <c r="AO78" i="36"/>
  <c r="AO62" i="36"/>
  <c r="AO16" i="34"/>
  <c r="AO30" i="34"/>
  <c r="AO48" i="34"/>
  <c r="AP163" i="34"/>
  <c r="AL168" i="34"/>
  <c r="AL184" i="34"/>
  <c r="AL78" i="36"/>
  <c r="AL62" i="36"/>
  <c r="AL30" i="34"/>
  <c r="AL48" i="34"/>
  <c r="AL16" i="34"/>
  <c r="AM179" i="34"/>
  <c r="AJ179" i="34"/>
  <c r="AJ11" i="34"/>
  <c r="AJ43" i="34"/>
  <c r="AJ163" i="34"/>
  <c r="AJ57" i="36"/>
  <c r="AJ25" i="34"/>
  <c r="AJ73" i="36"/>
  <c r="K1518" i="67" l="1"/>
  <c r="K1465" i="67"/>
  <c r="K1369" i="67"/>
  <c r="K1249" i="67"/>
  <c r="K1353" i="67"/>
  <c r="K1267" i="67"/>
  <c r="AU119" i="34"/>
  <c r="AB1494" i="67"/>
  <c r="AB1148" i="67"/>
  <c r="AB997" i="67"/>
  <c r="AQ122" i="34"/>
  <c r="X1497" i="67"/>
  <c r="AW105" i="34"/>
  <c r="AD983" i="67"/>
  <c r="AD1134" i="67"/>
  <c r="AD1480" i="67"/>
  <c r="AD681" i="67"/>
  <c r="AU106" i="34"/>
  <c r="AB1481" i="67"/>
  <c r="AZ122" i="34"/>
  <c r="AG1497" i="67"/>
  <c r="AX106" i="34"/>
  <c r="AE1481" i="67"/>
  <c r="BA105" i="34"/>
  <c r="AH983" i="67"/>
  <c r="AH1134" i="67"/>
  <c r="AH1480" i="67"/>
  <c r="AH681" i="67"/>
  <c r="BG121" i="34"/>
  <c r="AN999" i="67"/>
  <c r="AN1150" i="67"/>
  <c r="AN1496" i="67"/>
  <c r="BG122" i="34"/>
  <c r="AN1497" i="67"/>
  <c r="BF106" i="34"/>
  <c r="AM1481" i="67"/>
  <c r="AO121" i="34"/>
  <c r="V999" i="67"/>
  <c r="V1150" i="67"/>
  <c r="V1496" i="67"/>
  <c r="BL105" i="34"/>
  <c r="AS983" i="67"/>
  <c r="AS1134" i="67"/>
  <c r="AS1480" i="67"/>
  <c r="AS681" i="67"/>
  <c r="BH106" i="34"/>
  <c r="AO1481" i="67"/>
  <c r="BD105" i="34"/>
  <c r="AK983" i="67"/>
  <c r="AK1134" i="67"/>
  <c r="AK1480" i="67"/>
  <c r="AK681" i="67"/>
  <c r="P63" i="67"/>
  <c r="P369" i="67"/>
  <c r="P216" i="67"/>
  <c r="P521" i="67"/>
  <c r="P824" i="67"/>
  <c r="L216" i="67"/>
  <c r="L369" i="67"/>
  <c r="L521" i="67"/>
  <c r="L63" i="67"/>
  <c r="L824" i="67"/>
  <c r="AD122" i="34"/>
  <c r="K1497" i="67"/>
  <c r="K1151" i="67"/>
  <c r="K1000" i="67"/>
  <c r="AI106" i="34"/>
  <c r="P1481" i="67"/>
  <c r="AS113" i="34"/>
  <c r="Z1488" i="67"/>
  <c r="AP97" i="34"/>
  <c r="W1472" i="67"/>
  <c r="AJ113" i="34"/>
  <c r="Q1488" i="67"/>
  <c r="AF341" i="67"/>
  <c r="AF493" i="67"/>
  <c r="AF188" i="67"/>
  <c r="AF645" i="67"/>
  <c r="AF35" i="67"/>
  <c r="AF796" i="67"/>
  <c r="V898" i="67"/>
  <c r="V443" i="67"/>
  <c r="V747" i="67"/>
  <c r="V137" i="67"/>
  <c r="V290" i="67"/>
  <c r="V595" i="67"/>
  <c r="AK359" i="67"/>
  <c r="AK663" i="67"/>
  <c r="AK53" i="67"/>
  <c r="AK206" i="67"/>
  <c r="AK511" i="67"/>
  <c r="AK814" i="67"/>
  <c r="AW159" i="67"/>
  <c r="AW918" i="67"/>
  <c r="AK356" i="67"/>
  <c r="AK660" i="67"/>
  <c r="AK811" i="67"/>
  <c r="AK508" i="67"/>
  <c r="AK50" i="67"/>
  <c r="AK203" i="67"/>
  <c r="BE26" i="68"/>
  <c r="AD24" i="62" s="1"/>
  <c r="AQ340" i="67"/>
  <c r="AQ795" i="67"/>
  <c r="AQ644" i="67"/>
  <c r="AQ492" i="67"/>
  <c r="AQ34" i="67"/>
  <c r="AQ187" i="67"/>
  <c r="AM811" i="67"/>
  <c r="AM356" i="67"/>
  <c r="AM660" i="67"/>
  <c r="AM508" i="67"/>
  <c r="AM50" i="67"/>
  <c r="AM203" i="67"/>
  <c r="BG26" i="68"/>
  <c r="AF24" i="62" s="1"/>
  <c r="AR458" i="67"/>
  <c r="AR762" i="67"/>
  <c r="AR913" i="67"/>
  <c r="AR152" i="67"/>
  <c r="AR305" i="67"/>
  <c r="AR610" i="67"/>
  <c r="Q356" i="67"/>
  <c r="Q811" i="67"/>
  <c r="Q660" i="67"/>
  <c r="Q508" i="67"/>
  <c r="Q50" i="67"/>
  <c r="Q203" i="67"/>
  <c r="AK26" i="68"/>
  <c r="J24" i="62" s="1"/>
  <c r="S586" i="67"/>
  <c r="S281" i="67"/>
  <c r="S128" i="67"/>
  <c r="S434" i="67"/>
  <c r="S738" i="67"/>
  <c r="S889" i="67"/>
  <c r="Y348" i="67"/>
  <c r="Y42" i="67"/>
  <c r="Y652" i="67"/>
  <c r="Y195" i="67"/>
  <c r="Y803" i="67"/>
  <c r="AS21" i="68"/>
  <c r="R21" i="62" s="1"/>
  <c r="Y500" i="67"/>
  <c r="AQ450" i="67"/>
  <c r="AQ297" i="67"/>
  <c r="AQ602" i="67"/>
  <c r="AQ144" i="67"/>
  <c r="AQ754" i="67"/>
  <c r="AQ905" i="67"/>
  <c r="BE13" i="68"/>
  <c r="AD14" i="62" s="1"/>
  <c r="AK330" i="67"/>
  <c r="AK634" i="67"/>
  <c r="AK24" i="67"/>
  <c r="AK785" i="67"/>
  <c r="AK482" i="67"/>
  <c r="AK177" i="67"/>
  <c r="AS340" i="67"/>
  <c r="AS795" i="67"/>
  <c r="AS492" i="67"/>
  <c r="AS644" i="67"/>
  <c r="AS34" i="67"/>
  <c r="AS187" i="67"/>
  <c r="AJ163" i="67"/>
  <c r="AJ316" i="67"/>
  <c r="AJ771" i="67"/>
  <c r="AJ10" i="67"/>
  <c r="AJ620" i="67"/>
  <c r="AV348" i="67"/>
  <c r="BP21" i="68"/>
  <c r="AO21" i="62" s="1"/>
  <c r="AV652" i="67"/>
  <c r="AV42" i="67"/>
  <c r="AV803" i="67"/>
  <c r="AV500" i="67"/>
  <c r="AV195" i="67"/>
  <c r="AC290" i="67"/>
  <c r="AC137" i="67"/>
  <c r="AC443" i="67"/>
  <c r="AC595" i="67"/>
  <c r="AC898" i="67"/>
  <c r="AC747" i="67"/>
  <c r="AT339" i="67"/>
  <c r="AT643" i="67"/>
  <c r="AT33" i="67"/>
  <c r="AT794" i="67"/>
  <c r="AT491" i="67"/>
  <c r="AT186" i="67"/>
  <c r="P435" i="67"/>
  <c r="P282" i="67"/>
  <c r="P587" i="67"/>
  <c r="P129" i="67"/>
  <c r="P739" i="67"/>
  <c r="P890" i="67"/>
  <c r="AS331" i="67"/>
  <c r="AS635" i="67"/>
  <c r="AS483" i="67"/>
  <c r="AS25" i="67"/>
  <c r="AS178" i="67"/>
  <c r="AS786" i="67"/>
  <c r="O164" i="67"/>
  <c r="O317" i="67"/>
  <c r="O772" i="67"/>
  <c r="O621" i="67"/>
  <c r="O11" i="67"/>
  <c r="AP153" i="67"/>
  <c r="AP459" i="67"/>
  <c r="AP611" i="67"/>
  <c r="AP914" i="67"/>
  <c r="AP763" i="67"/>
  <c r="AP306" i="67"/>
  <c r="AV341" i="67"/>
  <c r="AV645" i="67"/>
  <c r="AV35" i="67"/>
  <c r="AV796" i="67"/>
  <c r="AV493" i="67"/>
  <c r="AV188" i="67"/>
  <c r="S357" i="67"/>
  <c r="S812" i="67"/>
  <c r="S509" i="67"/>
  <c r="S204" i="67"/>
  <c r="S51" i="67"/>
  <c r="S661" i="67"/>
  <c r="AA357" i="67"/>
  <c r="AA509" i="67"/>
  <c r="AA51" i="67"/>
  <c r="AA661" i="67"/>
  <c r="AA204" i="67"/>
  <c r="AA812" i="67"/>
  <c r="P913" i="67"/>
  <c r="P458" i="67"/>
  <c r="P762" i="67"/>
  <c r="P152" i="67"/>
  <c r="P305" i="67"/>
  <c r="P610" i="67"/>
  <c r="AK340" i="67"/>
  <c r="AK795" i="67"/>
  <c r="AK644" i="67"/>
  <c r="AK492" i="67"/>
  <c r="AK34" i="67"/>
  <c r="AK187" i="67"/>
  <c r="AH338" i="67"/>
  <c r="AH642" i="67"/>
  <c r="AH490" i="67"/>
  <c r="AH32" i="67"/>
  <c r="AH185" i="67"/>
  <c r="AO442" i="67"/>
  <c r="AO746" i="67"/>
  <c r="AO897" i="67"/>
  <c r="AO289" i="67"/>
  <c r="AO594" i="67"/>
  <c r="AO136" i="67"/>
  <c r="AI762" i="67"/>
  <c r="AI458" i="67"/>
  <c r="AI913" i="67"/>
  <c r="AI152" i="67"/>
  <c r="AI610" i="67"/>
  <c r="AI305" i="67"/>
  <c r="Z338" i="67"/>
  <c r="Z642" i="67"/>
  <c r="Z490" i="67"/>
  <c r="Z32" i="67"/>
  <c r="Z185" i="67"/>
  <c r="AL331" i="67"/>
  <c r="AL786" i="67"/>
  <c r="AL483" i="67"/>
  <c r="AL25" i="67"/>
  <c r="AL635" i="67"/>
  <c r="AL178" i="67"/>
  <c r="AJ349" i="67"/>
  <c r="AJ501" i="67"/>
  <c r="AJ653" i="67"/>
  <c r="AJ196" i="67"/>
  <c r="AJ804" i="67"/>
  <c r="AJ43" i="67"/>
  <c r="AW434" i="67"/>
  <c r="AW889" i="67"/>
  <c r="AW128" i="67"/>
  <c r="AW281" i="67"/>
  <c r="AW586" i="67"/>
  <c r="AW738" i="67"/>
  <c r="Z145" i="67"/>
  <c r="Z603" i="67"/>
  <c r="Z755" i="67"/>
  <c r="Z451" i="67"/>
  <c r="Z906" i="67"/>
  <c r="Z298" i="67"/>
  <c r="Z164" i="67"/>
  <c r="Z317" i="67"/>
  <c r="Z772" i="67"/>
  <c r="Z11" i="67"/>
  <c r="Z621" i="67"/>
  <c r="W331" i="67"/>
  <c r="W178" i="67"/>
  <c r="W483" i="67"/>
  <c r="W635" i="67"/>
  <c r="W25" i="67"/>
  <c r="W786" i="67"/>
  <c r="AI435" i="67"/>
  <c r="AI890" i="67"/>
  <c r="AI129" i="67"/>
  <c r="AI282" i="67"/>
  <c r="AI587" i="67"/>
  <c r="AI739" i="67"/>
  <c r="R129" i="67"/>
  <c r="R435" i="67"/>
  <c r="R282" i="67"/>
  <c r="R739" i="67"/>
  <c r="R587" i="67"/>
  <c r="R890" i="67"/>
  <c r="AB739" i="67"/>
  <c r="AB129" i="67"/>
  <c r="AB282" i="67"/>
  <c r="AB435" i="67"/>
  <c r="AB890" i="67"/>
  <c r="AB587" i="67"/>
  <c r="AB164" i="67"/>
  <c r="AB317" i="67"/>
  <c r="AB11" i="67"/>
  <c r="AB621" i="67"/>
  <c r="AB772" i="67"/>
  <c r="N331" i="67"/>
  <c r="N25" i="67"/>
  <c r="N483" i="67"/>
  <c r="N178" i="67"/>
  <c r="N635" i="67"/>
  <c r="N786" i="67"/>
  <c r="AD349" i="67"/>
  <c r="AD501" i="67"/>
  <c r="AD196" i="67"/>
  <c r="AD804" i="67"/>
  <c r="AD653" i="67"/>
  <c r="AD43" i="67"/>
  <c r="AE435" i="67"/>
  <c r="AE890" i="67"/>
  <c r="AE587" i="67"/>
  <c r="AE739" i="67"/>
  <c r="AE129" i="67"/>
  <c r="AE282" i="67"/>
  <c r="X331" i="67"/>
  <c r="X483" i="67"/>
  <c r="X635" i="67"/>
  <c r="X25" i="67"/>
  <c r="X786" i="67"/>
  <c r="X178" i="67"/>
  <c r="AR349" i="67"/>
  <c r="AR501" i="67"/>
  <c r="AR804" i="67"/>
  <c r="AR43" i="67"/>
  <c r="AR196" i="67"/>
  <c r="AR653" i="67"/>
  <c r="AA435" i="67"/>
  <c r="AA890" i="67"/>
  <c r="AA129" i="67"/>
  <c r="AA282" i="67"/>
  <c r="AA587" i="67"/>
  <c r="AA739" i="67"/>
  <c r="AV451" i="67"/>
  <c r="AV906" i="67"/>
  <c r="AV298" i="67"/>
  <c r="AV755" i="67"/>
  <c r="AV145" i="67"/>
  <c r="AV603" i="67"/>
  <c r="AV164" i="67"/>
  <c r="AV317" i="67"/>
  <c r="AV11" i="67"/>
  <c r="AV772" i="67"/>
  <c r="AV621" i="67"/>
  <c r="AG331" i="67"/>
  <c r="AG786" i="67"/>
  <c r="AG635" i="67"/>
  <c r="AG25" i="67"/>
  <c r="AG483" i="67"/>
  <c r="AG178" i="67"/>
  <c r="AC349" i="67"/>
  <c r="AC501" i="67"/>
  <c r="AC43" i="67"/>
  <c r="AC653" i="67"/>
  <c r="AC196" i="67"/>
  <c r="AC804" i="67"/>
  <c r="AO282" i="67"/>
  <c r="AO129" i="67"/>
  <c r="AO587" i="67"/>
  <c r="AO435" i="67"/>
  <c r="AO739" i="67"/>
  <c r="AO890" i="67"/>
  <c r="L450" i="67"/>
  <c r="L754" i="67"/>
  <c r="L144" i="67"/>
  <c r="L602" i="67"/>
  <c r="L297" i="67"/>
  <c r="L905" i="67"/>
  <c r="L163" i="67"/>
  <c r="L316" i="67"/>
  <c r="L771" i="67"/>
  <c r="L10" i="67"/>
  <c r="L620" i="67"/>
  <c r="L339" i="67"/>
  <c r="L491" i="67"/>
  <c r="L643" i="67"/>
  <c r="L186" i="67"/>
  <c r="L794" i="67"/>
  <c r="L33" i="67"/>
  <c r="Y359" i="67"/>
  <c r="Y206" i="67"/>
  <c r="Y511" i="67"/>
  <c r="Y53" i="67"/>
  <c r="Y663" i="67"/>
  <c r="Y814" i="67"/>
  <c r="AJ357" i="67"/>
  <c r="AJ509" i="67"/>
  <c r="AJ204" i="67"/>
  <c r="AJ661" i="67"/>
  <c r="AJ51" i="67"/>
  <c r="AJ812" i="67"/>
  <c r="AN341" i="67"/>
  <c r="AN796" i="67"/>
  <c r="AN493" i="67"/>
  <c r="AN188" i="67"/>
  <c r="AN645" i="67"/>
  <c r="AN35" i="67"/>
  <c r="AB339" i="67"/>
  <c r="AB794" i="67"/>
  <c r="AB33" i="67"/>
  <c r="AB186" i="67"/>
  <c r="AB643" i="67"/>
  <c r="AB491" i="67"/>
  <c r="U357" i="67"/>
  <c r="U661" i="67"/>
  <c r="U812" i="67"/>
  <c r="U51" i="67"/>
  <c r="U509" i="67"/>
  <c r="U204" i="67"/>
  <c r="AE341" i="67"/>
  <c r="AE796" i="67"/>
  <c r="AE493" i="67"/>
  <c r="AE188" i="67"/>
  <c r="AE645" i="67"/>
  <c r="AE35" i="67"/>
  <c r="N339" i="67"/>
  <c r="N643" i="67"/>
  <c r="N33" i="67"/>
  <c r="N794" i="67"/>
  <c r="N491" i="67"/>
  <c r="N186" i="67"/>
  <c r="Y159" i="67"/>
  <c r="Y918" i="67"/>
  <c r="AP918" i="67"/>
  <c r="AP159" i="67"/>
  <c r="AT338" i="67"/>
  <c r="AT642" i="67"/>
  <c r="AT490" i="67"/>
  <c r="AT32" i="67"/>
  <c r="AT185" i="67"/>
  <c r="AD356" i="67"/>
  <c r="AD660" i="67"/>
  <c r="AD811" i="67"/>
  <c r="AD508" i="67"/>
  <c r="AD50" i="67"/>
  <c r="AD203" i="67"/>
  <c r="AX26" i="68"/>
  <c r="W24" i="62" s="1"/>
  <c r="AW746" i="67"/>
  <c r="AW442" i="67"/>
  <c r="AW897" i="67"/>
  <c r="AW136" i="67"/>
  <c r="AW289" i="67"/>
  <c r="AW594" i="67"/>
  <c r="L340" i="67"/>
  <c r="L644" i="67"/>
  <c r="L795" i="67"/>
  <c r="L492" i="67"/>
  <c r="L34" i="67"/>
  <c r="L187" i="67"/>
  <c r="M356" i="67"/>
  <c r="M508" i="67"/>
  <c r="M660" i="67"/>
  <c r="M811" i="67"/>
  <c r="M50" i="67"/>
  <c r="M203" i="67"/>
  <c r="AG26" i="68"/>
  <c r="F24" i="62" s="1"/>
  <c r="O358" i="67"/>
  <c r="O813" i="67"/>
  <c r="O510" i="67"/>
  <c r="O662" i="67"/>
  <c r="O52" i="67"/>
  <c r="O205" i="67"/>
  <c r="AW451" i="67"/>
  <c r="AW906" i="67"/>
  <c r="AW603" i="67"/>
  <c r="AW755" i="67"/>
  <c r="AW145" i="67"/>
  <c r="AW298" i="67"/>
  <c r="AW164" i="67"/>
  <c r="AW317" i="67"/>
  <c r="AW621" i="67"/>
  <c r="AW11" i="67"/>
  <c r="AW772" i="67"/>
  <c r="AL13" i="68"/>
  <c r="K14" i="62" s="1"/>
  <c r="R330" i="67"/>
  <c r="R482" i="67"/>
  <c r="R24" i="67"/>
  <c r="R634" i="67"/>
  <c r="R177" i="67"/>
  <c r="R785" i="67"/>
  <c r="AE434" i="67"/>
  <c r="AE738" i="67"/>
  <c r="AE281" i="67"/>
  <c r="AE128" i="67"/>
  <c r="AE586" i="67"/>
  <c r="AE889" i="67"/>
  <c r="AR144" i="67"/>
  <c r="AR754" i="67"/>
  <c r="AR602" i="67"/>
  <c r="AR450" i="67"/>
  <c r="AR297" i="67"/>
  <c r="AR905" i="67"/>
  <c r="AR163" i="67"/>
  <c r="AR316" i="67"/>
  <c r="AR771" i="67"/>
  <c r="AR10" i="67"/>
  <c r="AR620" i="67"/>
  <c r="AO330" i="67"/>
  <c r="BI13" i="68"/>
  <c r="AH14" i="62" s="1"/>
  <c r="AO785" i="67"/>
  <c r="AO634" i="67"/>
  <c r="AO177" i="67"/>
  <c r="AO482" i="67"/>
  <c r="AO24" i="67"/>
  <c r="AV897" i="67"/>
  <c r="AV442" i="67"/>
  <c r="AV746" i="67"/>
  <c r="AV289" i="67"/>
  <c r="AV136" i="67"/>
  <c r="AV594" i="67"/>
  <c r="AK129" i="67"/>
  <c r="AK739" i="67"/>
  <c r="AK587" i="67"/>
  <c r="AK435" i="67"/>
  <c r="AK282" i="67"/>
  <c r="AK890" i="67"/>
  <c r="AF603" i="67"/>
  <c r="AF145" i="67"/>
  <c r="AF298" i="67"/>
  <c r="AF451" i="67"/>
  <c r="AF755" i="67"/>
  <c r="AF906" i="67"/>
  <c r="AF164" i="67"/>
  <c r="AF317" i="67"/>
  <c r="AF772" i="67"/>
  <c r="AF621" i="67"/>
  <c r="AF11" i="67"/>
  <c r="AH331" i="67"/>
  <c r="AH786" i="67"/>
  <c r="AH25" i="67"/>
  <c r="AH178" i="67"/>
  <c r="AH635" i="67"/>
  <c r="AH483" i="67"/>
  <c r="AO358" i="67"/>
  <c r="AO813" i="67"/>
  <c r="AO662" i="67"/>
  <c r="AO205" i="67"/>
  <c r="AO510" i="67"/>
  <c r="AO52" i="67"/>
  <c r="BF21" i="68"/>
  <c r="AE21" i="62" s="1"/>
  <c r="AL348" i="67"/>
  <c r="AL652" i="67"/>
  <c r="AL42" i="67"/>
  <c r="AL803" i="67"/>
  <c r="AL195" i="67"/>
  <c r="AL500" i="67"/>
  <c r="Z586" i="67"/>
  <c r="Z738" i="67"/>
  <c r="Z281" i="67"/>
  <c r="Z128" i="67"/>
  <c r="Z434" i="67"/>
  <c r="Z889" i="67"/>
  <c r="AI297" i="67"/>
  <c r="AI144" i="67"/>
  <c r="AI450" i="67"/>
  <c r="AI602" i="67"/>
  <c r="AI754" i="67"/>
  <c r="AI905" i="67"/>
  <c r="AI163" i="67"/>
  <c r="AI316" i="67"/>
  <c r="AI10" i="67"/>
  <c r="AI620" i="67"/>
  <c r="AI771" i="67"/>
  <c r="AH13" i="68"/>
  <c r="G14" i="62" s="1"/>
  <c r="N330" i="67"/>
  <c r="N634" i="67"/>
  <c r="N24" i="67"/>
  <c r="N785" i="67"/>
  <c r="N482" i="67"/>
  <c r="N177" i="67"/>
  <c r="AT348" i="67"/>
  <c r="BN21" i="68"/>
  <c r="AM21" i="62" s="1"/>
  <c r="AT803" i="67"/>
  <c r="AT195" i="67"/>
  <c r="AT500" i="67"/>
  <c r="AT652" i="67"/>
  <c r="AT42" i="67"/>
  <c r="AA450" i="67"/>
  <c r="AA144" i="67"/>
  <c r="AA297" i="67"/>
  <c r="AA602" i="67"/>
  <c r="AA905" i="67"/>
  <c r="AA754" i="67"/>
  <c r="AC348" i="67"/>
  <c r="AC652" i="67"/>
  <c r="AC803" i="67"/>
  <c r="AC42" i="67"/>
  <c r="AC500" i="67"/>
  <c r="AW21" i="68"/>
  <c r="V21" i="62" s="1"/>
  <c r="AC195" i="67"/>
  <c r="AI357" i="67"/>
  <c r="AI812" i="67"/>
  <c r="AI509" i="67"/>
  <c r="AI51" i="67"/>
  <c r="AI661" i="67"/>
  <c r="AI204" i="67"/>
  <c r="AG747" i="67"/>
  <c r="AG898" i="67"/>
  <c r="AG443" i="67"/>
  <c r="AG290" i="67"/>
  <c r="AG595" i="67"/>
  <c r="AG137" i="67"/>
  <c r="AW359" i="67"/>
  <c r="AW511" i="67"/>
  <c r="AW206" i="67"/>
  <c r="AW663" i="67"/>
  <c r="AW53" i="67"/>
  <c r="AW814" i="67"/>
  <c r="AO459" i="67"/>
  <c r="AO306" i="67"/>
  <c r="AO611" i="67"/>
  <c r="AO153" i="67"/>
  <c r="AO914" i="67"/>
  <c r="AO763" i="67"/>
  <c r="AM357" i="67"/>
  <c r="AM51" i="67"/>
  <c r="AM661" i="67"/>
  <c r="AM204" i="67"/>
  <c r="AM812" i="67"/>
  <c r="AM509" i="67"/>
  <c r="U359" i="67"/>
  <c r="U814" i="67"/>
  <c r="U511" i="67"/>
  <c r="U53" i="67"/>
  <c r="U663" i="67"/>
  <c r="U206" i="67"/>
  <c r="AE357" i="67"/>
  <c r="AE661" i="67"/>
  <c r="AE51" i="67"/>
  <c r="AE204" i="67"/>
  <c r="AE509" i="67"/>
  <c r="AE812" i="67"/>
  <c r="N341" i="67"/>
  <c r="N796" i="67"/>
  <c r="N493" i="67"/>
  <c r="N35" i="67"/>
  <c r="N645" i="67"/>
  <c r="N188" i="67"/>
  <c r="W158" i="67"/>
  <c r="W917" i="67"/>
  <c r="S158" i="67"/>
  <c r="S917" i="67"/>
  <c r="R918" i="67"/>
  <c r="R159" i="67"/>
  <c r="AB918" i="67"/>
  <c r="AB159" i="67"/>
  <c r="T338" i="67"/>
  <c r="T642" i="67"/>
  <c r="T490" i="67"/>
  <c r="T32" i="67"/>
  <c r="T185" i="67"/>
  <c r="AS338" i="67"/>
  <c r="AS642" i="67"/>
  <c r="AS185" i="67"/>
  <c r="AS490" i="67"/>
  <c r="AS32" i="67"/>
  <c r="W746" i="67"/>
  <c r="W897" i="67"/>
  <c r="W442" i="67"/>
  <c r="W289" i="67"/>
  <c r="W594" i="67"/>
  <c r="W136" i="67"/>
  <c r="AG913" i="67"/>
  <c r="AG458" i="67"/>
  <c r="AG762" i="67"/>
  <c r="AG610" i="67"/>
  <c r="AG305" i="67"/>
  <c r="AG152" i="67"/>
  <c r="AQ338" i="67"/>
  <c r="AQ642" i="67"/>
  <c r="AQ490" i="67"/>
  <c r="AQ32" i="67"/>
  <c r="AQ185" i="67"/>
  <c r="X340" i="67"/>
  <c r="X644" i="67"/>
  <c r="X795" i="67"/>
  <c r="X492" i="67"/>
  <c r="X34" i="67"/>
  <c r="X187" i="67"/>
  <c r="Q358" i="67"/>
  <c r="Q813" i="67"/>
  <c r="Q662" i="67"/>
  <c r="Q510" i="67"/>
  <c r="Q52" i="67"/>
  <c r="Q205" i="67"/>
  <c r="S331" i="67"/>
  <c r="S25" i="67"/>
  <c r="S483" i="67"/>
  <c r="S635" i="67"/>
  <c r="S178" i="67"/>
  <c r="S786" i="67"/>
  <c r="Y349" i="67"/>
  <c r="Y804" i="67"/>
  <c r="Y196" i="67"/>
  <c r="Y501" i="67"/>
  <c r="Y653" i="67"/>
  <c r="Y43" i="67"/>
  <c r="AQ435" i="67"/>
  <c r="AQ890" i="67"/>
  <c r="AQ587" i="67"/>
  <c r="AQ129" i="67"/>
  <c r="AQ739" i="67"/>
  <c r="AQ282" i="67"/>
  <c r="K128" i="67"/>
  <c r="K586" i="67"/>
  <c r="K738" i="67"/>
  <c r="K434" i="67"/>
  <c r="K281" i="67"/>
  <c r="K889" i="67"/>
  <c r="Q451" i="67"/>
  <c r="Q298" i="67"/>
  <c r="Q603" i="67"/>
  <c r="Q755" i="67"/>
  <c r="Q145" i="67"/>
  <c r="Q906" i="67"/>
  <c r="Q164" i="67"/>
  <c r="Q317" i="67"/>
  <c r="Q621" i="67"/>
  <c r="Q11" i="67"/>
  <c r="Q772" i="67"/>
  <c r="V331" i="67"/>
  <c r="V483" i="67"/>
  <c r="V25" i="67"/>
  <c r="V635" i="67"/>
  <c r="V178" i="67"/>
  <c r="V786" i="67"/>
  <c r="AM331" i="67"/>
  <c r="AM786" i="67"/>
  <c r="AM178" i="67"/>
  <c r="AM483" i="67"/>
  <c r="AM635" i="67"/>
  <c r="AM25" i="67"/>
  <c r="M282" i="67"/>
  <c r="M435" i="67"/>
  <c r="M587" i="67"/>
  <c r="M739" i="67"/>
  <c r="M129" i="67"/>
  <c r="M890" i="67"/>
  <c r="N746" i="67"/>
  <c r="N897" i="67"/>
  <c r="N442" i="67"/>
  <c r="N594" i="67"/>
  <c r="N136" i="67"/>
  <c r="N289" i="67"/>
  <c r="Q297" i="67"/>
  <c r="Q450" i="67"/>
  <c r="Q602" i="67"/>
  <c r="Q144" i="67"/>
  <c r="Q754" i="67"/>
  <c r="Q905" i="67"/>
  <c r="AC359" i="67"/>
  <c r="AC53" i="67"/>
  <c r="AC511" i="67"/>
  <c r="AC663" i="67"/>
  <c r="AC206" i="67"/>
  <c r="AC814" i="67"/>
  <c r="AO158" i="67"/>
  <c r="AO917" i="67"/>
  <c r="AD358" i="67"/>
  <c r="AD662" i="67"/>
  <c r="AD813" i="67"/>
  <c r="AD52" i="67"/>
  <c r="AD510" i="67"/>
  <c r="AD205" i="67"/>
  <c r="AA348" i="67"/>
  <c r="AU21" i="68"/>
  <c r="T21" i="62" s="1"/>
  <c r="AA195" i="67"/>
  <c r="AA500" i="67"/>
  <c r="AA42" i="67"/>
  <c r="AA652" i="67"/>
  <c r="AA803" i="67"/>
  <c r="AC905" i="67"/>
  <c r="AC754" i="67"/>
  <c r="AC450" i="67"/>
  <c r="AC144" i="67"/>
  <c r="AC297" i="67"/>
  <c r="AC602" i="67"/>
  <c r="AC163" i="67"/>
  <c r="AC316" i="67"/>
  <c r="AC771" i="67"/>
  <c r="AC10" i="67"/>
  <c r="AC620" i="67"/>
  <c r="AI339" i="67"/>
  <c r="AI794" i="67"/>
  <c r="AI491" i="67"/>
  <c r="AI186" i="67"/>
  <c r="AI643" i="67"/>
  <c r="AI33" i="67"/>
  <c r="AG357" i="67"/>
  <c r="AG204" i="67"/>
  <c r="AG509" i="67"/>
  <c r="AG661" i="67"/>
  <c r="AG51" i="67"/>
  <c r="AG812" i="67"/>
  <c r="AW341" i="67"/>
  <c r="AW645" i="67"/>
  <c r="AW35" i="67"/>
  <c r="AW796" i="67"/>
  <c r="AW493" i="67"/>
  <c r="AW188" i="67"/>
  <c r="AO898" i="67"/>
  <c r="AO443" i="67"/>
  <c r="AO747" i="67"/>
  <c r="AO137" i="67"/>
  <c r="AO290" i="67"/>
  <c r="AO595" i="67"/>
  <c r="AM459" i="67"/>
  <c r="AM763" i="67"/>
  <c r="AM914" i="67"/>
  <c r="AM153" i="67"/>
  <c r="AM611" i="67"/>
  <c r="AM306" i="67"/>
  <c r="U341" i="67"/>
  <c r="U796" i="67"/>
  <c r="U35" i="67"/>
  <c r="U493" i="67"/>
  <c r="U645" i="67"/>
  <c r="U188" i="67"/>
  <c r="AE339" i="67"/>
  <c r="AE643" i="67"/>
  <c r="AE491" i="67"/>
  <c r="AE794" i="67"/>
  <c r="AE33" i="67"/>
  <c r="AE186" i="67"/>
  <c r="M158" i="67"/>
  <c r="M917" i="67"/>
  <c r="Q159" i="67"/>
  <c r="Q918" i="67"/>
  <c r="T762" i="67"/>
  <c r="T458" i="67"/>
  <c r="T913" i="67"/>
  <c r="T305" i="67"/>
  <c r="T610" i="67"/>
  <c r="T152" i="67"/>
  <c r="AS356" i="67"/>
  <c r="AS508" i="67"/>
  <c r="AS660" i="67"/>
  <c r="AS811" i="67"/>
  <c r="AS50" i="67"/>
  <c r="AS203" i="67"/>
  <c r="BM26" i="68"/>
  <c r="AL24" i="62" s="1"/>
  <c r="W811" i="67"/>
  <c r="W356" i="67"/>
  <c r="W660" i="67"/>
  <c r="W508" i="67"/>
  <c r="W50" i="67"/>
  <c r="W203" i="67"/>
  <c r="AQ26" i="68"/>
  <c r="P24" i="62" s="1"/>
  <c r="AG746" i="67"/>
  <c r="AG442" i="67"/>
  <c r="AG897" i="67"/>
  <c r="AG136" i="67"/>
  <c r="AG289" i="67"/>
  <c r="AG594" i="67"/>
  <c r="AQ458" i="67"/>
  <c r="AQ762" i="67"/>
  <c r="AQ913" i="67"/>
  <c r="AQ610" i="67"/>
  <c r="AQ305" i="67"/>
  <c r="AQ152" i="67"/>
  <c r="AM358" i="67"/>
  <c r="AM813" i="67"/>
  <c r="AM662" i="67"/>
  <c r="AM510" i="67"/>
  <c r="AM52" i="67"/>
  <c r="AM205" i="67"/>
  <c r="AJ813" i="67"/>
  <c r="AJ358" i="67"/>
  <c r="AJ662" i="67"/>
  <c r="AJ205" i="67"/>
  <c r="AJ510" i="67"/>
  <c r="AJ52" i="67"/>
  <c r="S451" i="67"/>
  <c r="S755" i="67"/>
  <c r="S145" i="67"/>
  <c r="S906" i="67"/>
  <c r="S603" i="67"/>
  <c r="S298" i="67"/>
  <c r="S164" i="67"/>
  <c r="S317" i="67"/>
  <c r="S772" i="67"/>
  <c r="S11" i="67"/>
  <c r="S621" i="67"/>
  <c r="Y331" i="67"/>
  <c r="Y178" i="67"/>
  <c r="Y635" i="67"/>
  <c r="Y483" i="67"/>
  <c r="Y786" i="67"/>
  <c r="Y25" i="67"/>
  <c r="AQ331" i="67"/>
  <c r="AQ786" i="67"/>
  <c r="AQ483" i="67"/>
  <c r="AQ25" i="67"/>
  <c r="AQ635" i="67"/>
  <c r="AQ178" i="67"/>
  <c r="K450" i="67"/>
  <c r="K905" i="67"/>
  <c r="K602" i="67"/>
  <c r="K144" i="67"/>
  <c r="K754" i="67"/>
  <c r="K297" i="67"/>
  <c r="Q435" i="67"/>
  <c r="Q282" i="67"/>
  <c r="Q739" i="67"/>
  <c r="Q129" i="67"/>
  <c r="Q587" i="67"/>
  <c r="Q890" i="67"/>
  <c r="V451" i="67"/>
  <c r="V145" i="67"/>
  <c r="V906" i="67"/>
  <c r="V298" i="67"/>
  <c r="V755" i="67"/>
  <c r="V603" i="67"/>
  <c r="V164" i="67"/>
  <c r="V317" i="67"/>
  <c r="V621" i="67"/>
  <c r="V772" i="67"/>
  <c r="V11" i="67"/>
  <c r="AM349" i="67"/>
  <c r="AM196" i="67"/>
  <c r="AM501" i="67"/>
  <c r="AM653" i="67"/>
  <c r="AM43" i="67"/>
  <c r="AM804" i="67"/>
  <c r="M349" i="67"/>
  <c r="M501" i="67"/>
  <c r="M43" i="67"/>
  <c r="M804" i="67"/>
  <c r="M653" i="67"/>
  <c r="M196" i="67"/>
  <c r="BO121" i="34"/>
  <c r="AV999" i="67"/>
  <c r="AV1150" i="67"/>
  <c r="AV1496" i="67"/>
  <c r="BB121" i="34"/>
  <c r="AI999" i="67"/>
  <c r="AI1150" i="67"/>
  <c r="AI1496" i="67"/>
  <c r="AV98" i="34"/>
  <c r="AC1473" i="67"/>
  <c r="AN106" i="34"/>
  <c r="U1481" i="67"/>
  <c r="AP121" i="34"/>
  <c r="W999" i="67"/>
  <c r="W1150" i="67"/>
  <c r="W1496" i="67"/>
  <c r="AJ105" i="34"/>
  <c r="Q983" i="67"/>
  <c r="Q1134" i="67"/>
  <c r="Q1480" i="67"/>
  <c r="Q681" i="67"/>
  <c r="AS114" i="34"/>
  <c r="Z1489" i="67"/>
  <c r="AM103" i="34"/>
  <c r="T1478" i="67"/>
  <c r="T1132" i="67"/>
  <c r="T981" i="67"/>
  <c r="T679" i="67"/>
  <c r="AY121" i="34"/>
  <c r="AF999" i="67"/>
  <c r="AF1150" i="67"/>
  <c r="AF1496" i="67"/>
  <c r="AQ121" i="34"/>
  <c r="X999" i="67"/>
  <c r="X1150" i="67"/>
  <c r="X1496" i="67"/>
  <c r="BE106" i="34"/>
  <c r="AL1481" i="67"/>
  <c r="AV106" i="34"/>
  <c r="AC1481" i="67"/>
  <c r="AQ103" i="34"/>
  <c r="X1478" i="67"/>
  <c r="X1132" i="67"/>
  <c r="X981" i="67"/>
  <c r="X679" i="67"/>
  <c r="AP122" i="34"/>
  <c r="W1497" i="67"/>
  <c r="AY106" i="34"/>
  <c r="AF1481" i="67"/>
  <c r="AK119" i="34"/>
  <c r="R1494" i="67"/>
  <c r="R1148" i="67"/>
  <c r="R997" i="67"/>
  <c r="AL122" i="34"/>
  <c r="S1497" i="67"/>
  <c r="AJ106" i="34"/>
  <c r="Q1481" i="67"/>
  <c r="AO122" i="34"/>
  <c r="V1497" i="67"/>
  <c r="K1488" i="67"/>
  <c r="K1142" i="67"/>
  <c r="K991" i="67"/>
  <c r="N369" i="67"/>
  <c r="N63" i="67"/>
  <c r="N521" i="67"/>
  <c r="N824" i="67"/>
  <c r="N216" i="67"/>
  <c r="AI105" i="34"/>
  <c r="P983" i="67"/>
  <c r="P1134" i="67"/>
  <c r="P1480" i="67"/>
  <c r="P681" i="67"/>
  <c r="AG122" i="34"/>
  <c r="N1497" i="67"/>
  <c r="AH121" i="34"/>
  <c r="O999" i="67"/>
  <c r="O1150" i="67"/>
  <c r="O1496" i="67"/>
  <c r="AE122" i="34"/>
  <c r="L1497" i="67"/>
  <c r="AG121" i="34"/>
  <c r="N999" i="67"/>
  <c r="N1150" i="67"/>
  <c r="N1496" i="67"/>
  <c r="AN113" i="34"/>
  <c r="U1488" i="67"/>
  <c r="AW898" i="67"/>
  <c r="AW595" i="67"/>
  <c r="AW137" i="67"/>
  <c r="AW290" i="67"/>
  <c r="AW443" i="67"/>
  <c r="AW747" i="67"/>
  <c r="M357" i="67"/>
  <c r="M51" i="67"/>
  <c r="M661" i="67"/>
  <c r="M204" i="67"/>
  <c r="M812" i="67"/>
  <c r="M509" i="67"/>
  <c r="O763" i="67"/>
  <c r="O459" i="67"/>
  <c r="O914" i="67"/>
  <c r="O153" i="67"/>
  <c r="O611" i="67"/>
  <c r="O306" i="67"/>
  <c r="AV339" i="67"/>
  <c r="AV794" i="67"/>
  <c r="AV491" i="67"/>
  <c r="AV33" i="67"/>
  <c r="AV643" i="67"/>
  <c r="AV186" i="67"/>
  <c r="S359" i="67"/>
  <c r="S814" i="67"/>
  <c r="S511" i="67"/>
  <c r="S206" i="67"/>
  <c r="S663" i="67"/>
  <c r="S53" i="67"/>
  <c r="AJ918" i="67"/>
  <c r="AJ159" i="67"/>
  <c r="Z917" i="67"/>
  <c r="Z158" i="67"/>
  <c r="N913" i="67"/>
  <c r="N458" i="67"/>
  <c r="N762" i="67"/>
  <c r="N610" i="67"/>
  <c r="N305" i="67"/>
  <c r="N152" i="67"/>
  <c r="V356" i="67"/>
  <c r="V660" i="67"/>
  <c r="V811" i="67"/>
  <c r="V508" i="67"/>
  <c r="V50" i="67"/>
  <c r="V203" i="67"/>
  <c r="AP26" i="68"/>
  <c r="O24" i="62" s="1"/>
  <c r="R897" i="67"/>
  <c r="R442" i="67"/>
  <c r="R746" i="67"/>
  <c r="R289" i="67"/>
  <c r="R136" i="67"/>
  <c r="R594" i="67"/>
  <c r="AN754" i="67"/>
  <c r="AN144" i="67"/>
  <c r="AN297" i="67"/>
  <c r="AN602" i="67"/>
  <c r="AN450" i="67"/>
  <c r="AN905" i="67"/>
  <c r="Q348" i="67"/>
  <c r="Q500" i="67"/>
  <c r="Q195" i="67"/>
  <c r="Q652" i="67"/>
  <c r="AK21" i="68"/>
  <c r="J21" i="62" s="1"/>
  <c r="Q803" i="67"/>
  <c r="Q42" i="67"/>
  <c r="AF434" i="67"/>
  <c r="AF128" i="67"/>
  <c r="AF586" i="67"/>
  <c r="AF281" i="67"/>
  <c r="AF738" i="67"/>
  <c r="AF889" i="67"/>
  <c r="V163" i="67"/>
  <c r="V316" i="67"/>
  <c r="V10" i="67"/>
  <c r="V771" i="67"/>
  <c r="V620" i="67"/>
  <c r="O330" i="67"/>
  <c r="O177" i="67"/>
  <c r="O24" i="67"/>
  <c r="O785" i="67"/>
  <c r="O634" i="67"/>
  <c r="O482" i="67"/>
  <c r="AI13" i="68"/>
  <c r="H14" i="62" s="1"/>
  <c r="AH738" i="67"/>
  <c r="AH434" i="67"/>
  <c r="AH128" i="67"/>
  <c r="AH281" i="67"/>
  <c r="AH586" i="67"/>
  <c r="AH889" i="67"/>
  <c r="M348" i="67"/>
  <c r="M500" i="67"/>
  <c r="AG21" i="68"/>
  <c r="F21" i="62" s="1"/>
  <c r="M652" i="67"/>
  <c r="M195" i="67"/>
  <c r="M803" i="67"/>
  <c r="M42" i="67"/>
  <c r="AL339" i="67"/>
  <c r="AL794" i="67"/>
  <c r="AL491" i="67"/>
  <c r="AL186" i="67"/>
  <c r="AL643" i="67"/>
  <c r="AL33" i="67"/>
  <c r="AM341" i="67"/>
  <c r="AM645" i="67"/>
  <c r="AM188" i="67"/>
  <c r="AM796" i="67"/>
  <c r="AM493" i="67"/>
  <c r="AM35" i="67"/>
  <c r="Q359" i="67"/>
  <c r="Q814" i="67"/>
  <c r="Q511" i="67"/>
  <c r="Q53" i="67"/>
  <c r="Q663" i="67"/>
  <c r="Q206" i="67"/>
  <c r="K158" i="67"/>
  <c r="K917" i="67"/>
  <c r="AG358" i="67"/>
  <c r="AG813" i="67"/>
  <c r="AG662" i="67"/>
  <c r="AG510" i="67"/>
  <c r="AG52" i="67"/>
  <c r="AG205" i="67"/>
  <c r="AJ450" i="67"/>
  <c r="AJ754" i="67"/>
  <c r="AJ297" i="67"/>
  <c r="AJ602" i="67"/>
  <c r="AJ144" i="67"/>
  <c r="AJ905" i="67"/>
  <c r="W330" i="67"/>
  <c r="W177" i="67"/>
  <c r="W482" i="67"/>
  <c r="W785" i="67"/>
  <c r="W24" i="67"/>
  <c r="W634" i="67"/>
  <c r="AQ13" i="68"/>
  <c r="P14" i="62" s="1"/>
  <c r="AD434" i="67"/>
  <c r="AD128" i="67"/>
  <c r="AD738" i="67"/>
  <c r="AD281" i="67"/>
  <c r="AD586" i="67"/>
  <c r="AD889" i="67"/>
  <c r="X330" i="67"/>
  <c r="X24" i="67"/>
  <c r="X482" i="67"/>
  <c r="X634" i="67"/>
  <c r="X177" i="67"/>
  <c r="X785" i="67"/>
  <c r="AR13" i="68"/>
  <c r="Q14" i="62" s="1"/>
  <c r="L435" i="67"/>
  <c r="L587" i="67"/>
  <c r="L739" i="67"/>
  <c r="L129" i="67"/>
  <c r="L282" i="67"/>
  <c r="L890" i="67"/>
  <c r="AF459" i="67"/>
  <c r="AF763" i="67"/>
  <c r="AF914" i="67"/>
  <c r="AF611" i="67"/>
  <c r="AF153" i="67"/>
  <c r="AF306" i="67"/>
  <c r="AJ359" i="67"/>
  <c r="AJ53" i="67"/>
  <c r="AJ206" i="67"/>
  <c r="AJ663" i="67"/>
  <c r="AJ814" i="67"/>
  <c r="AJ511" i="67"/>
  <c r="P459" i="67"/>
  <c r="P763" i="67"/>
  <c r="P611" i="67"/>
  <c r="P153" i="67"/>
  <c r="P306" i="67"/>
  <c r="P914" i="67"/>
  <c r="Q611" i="67"/>
  <c r="Q153" i="67"/>
  <c r="Q914" i="67"/>
  <c r="Q763" i="67"/>
  <c r="Q459" i="67"/>
  <c r="Q306" i="67"/>
  <c r="O918" i="67"/>
  <c r="O159" i="67"/>
  <c r="AC356" i="67"/>
  <c r="AC508" i="67"/>
  <c r="AC660" i="67"/>
  <c r="AC811" i="67"/>
  <c r="AC50" i="67"/>
  <c r="AC203" i="67"/>
  <c r="AW26" i="68"/>
  <c r="V24" i="62" s="1"/>
  <c r="U356" i="67"/>
  <c r="U660" i="67"/>
  <c r="U811" i="67"/>
  <c r="U508" i="67"/>
  <c r="U50" i="67"/>
  <c r="U203" i="67"/>
  <c r="AO26" i="68"/>
  <c r="N24" i="62" s="1"/>
  <c r="U145" i="67"/>
  <c r="U451" i="67"/>
  <c r="U298" i="67"/>
  <c r="U603" i="67"/>
  <c r="U755" i="67"/>
  <c r="U906" i="67"/>
  <c r="AN349" i="67"/>
  <c r="AN43" i="67"/>
  <c r="AN501" i="67"/>
  <c r="AN196" i="67"/>
  <c r="AN653" i="67"/>
  <c r="AN804" i="67"/>
  <c r="O906" i="67"/>
  <c r="O603" i="67"/>
  <c r="O451" i="67"/>
  <c r="O145" i="67"/>
  <c r="O755" i="67"/>
  <c r="O298" i="67"/>
  <c r="AL341" i="67"/>
  <c r="AL796" i="67"/>
  <c r="AL35" i="67"/>
  <c r="AL493" i="67"/>
  <c r="AL645" i="67"/>
  <c r="AL188" i="67"/>
  <c r="K341" i="67"/>
  <c r="K35" i="67"/>
  <c r="K188" i="67"/>
  <c r="K645" i="67"/>
  <c r="K493" i="67"/>
  <c r="K796" i="67"/>
  <c r="AS339" i="67"/>
  <c r="AS643" i="67"/>
  <c r="AS33" i="67"/>
  <c r="AS794" i="67"/>
  <c r="AS186" i="67"/>
  <c r="AS491" i="67"/>
  <c r="T290" i="67"/>
  <c r="T137" i="67"/>
  <c r="T898" i="67"/>
  <c r="T443" i="67"/>
  <c r="T747" i="67"/>
  <c r="T595" i="67"/>
  <c r="Z306" i="67"/>
  <c r="Z611" i="67"/>
  <c r="Z914" i="67"/>
  <c r="Z763" i="67"/>
  <c r="Z153" i="67"/>
  <c r="Z459" i="67"/>
  <c r="AR359" i="67"/>
  <c r="AR206" i="67"/>
  <c r="AR663" i="67"/>
  <c r="AR53" i="67"/>
  <c r="AR814" i="67"/>
  <c r="AR511" i="67"/>
  <c r="AS159" i="67"/>
  <c r="AS918" i="67"/>
  <c r="N340" i="67"/>
  <c r="N492" i="67"/>
  <c r="N644" i="67"/>
  <c r="N34" i="67"/>
  <c r="N795" i="67"/>
  <c r="N187" i="67"/>
  <c r="AN913" i="67"/>
  <c r="AN458" i="67"/>
  <c r="AN762" i="67"/>
  <c r="AN610" i="67"/>
  <c r="AN152" i="67"/>
  <c r="AN305" i="67"/>
  <c r="AP442" i="67"/>
  <c r="AP897" i="67"/>
  <c r="AP746" i="67"/>
  <c r="AP289" i="67"/>
  <c r="AP594" i="67"/>
  <c r="AP136" i="67"/>
  <c r="O442" i="67"/>
  <c r="O746" i="67"/>
  <c r="O897" i="67"/>
  <c r="O289" i="67"/>
  <c r="O594" i="67"/>
  <c r="O136" i="67"/>
  <c r="AE358" i="67"/>
  <c r="AE813" i="67"/>
  <c r="AE510" i="67"/>
  <c r="AE662" i="67"/>
  <c r="AE52" i="67"/>
  <c r="AE205" i="67"/>
  <c r="AT603" i="67"/>
  <c r="AT298" i="67"/>
  <c r="AT755" i="67"/>
  <c r="AT145" i="67"/>
  <c r="AT451" i="67"/>
  <c r="AT906" i="67"/>
  <c r="AJ98" i="34"/>
  <c r="Q1473" i="67"/>
  <c r="BO105" i="34"/>
  <c r="AV983" i="67"/>
  <c r="AV1134" i="67"/>
  <c r="AV1480" i="67"/>
  <c r="AV681" i="67"/>
  <c r="BB105" i="34"/>
  <c r="AI983" i="67"/>
  <c r="AI1134" i="67"/>
  <c r="AI1480" i="67"/>
  <c r="AI681" i="67"/>
  <c r="AQ98" i="34"/>
  <c r="X1473" i="67"/>
  <c r="AN103" i="34"/>
  <c r="U1478" i="67"/>
  <c r="U1132" i="67"/>
  <c r="U981" i="67"/>
  <c r="U679" i="67"/>
  <c r="AV103" i="34"/>
  <c r="AC1478" i="67"/>
  <c r="AC1132" i="67"/>
  <c r="AC679" i="67"/>
  <c r="AC981" i="67"/>
  <c r="AS121" i="34"/>
  <c r="Z999" i="67"/>
  <c r="Z1150" i="67"/>
  <c r="Z1496" i="67"/>
  <c r="AZ121" i="34"/>
  <c r="AG999" i="67"/>
  <c r="AG1150" i="67"/>
  <c r="AG1496" i="67"/>
  <c r="AR122" i="34"/>
  <c r="Y1497" i="67"/>
  <c r="BD106" i="34"/>
  <c r="AK1481" i="67"/>
  <c r="BF105" i="34"/>
  <c r="AM983" i="67"/>
  <c r="AM1134" i="67"/>
  <c r="AM1480" i="67"/>
  <c r="AM681" i="67"/>
  <c r="BM121" i="34"/>
  <c r="AT999" i="67"/>
  <c r="AT1150" i="67"/>
  <c r="AT1496" i="67"/>
  <c r="AS122" i="34"/>
  <c r="Z1497" i="67"/>
  <c r="AV122" i="34"/>
  <c r="AC1497" i="67"/>
  <c r="AM122" i="34"/>
  <c r="T1497" i="67"/>
  <c r="AT103" i="34"/>
  <c r="AA1478" i="67"/>
  <c r="AA1132" i="67"/>
  <c r="AA981" i="67"/>
  <c r="AA679" i="67"/>
  <c r="BN121" i="34"/>
  <c r="AU999" i="67"/>
  <c r="AU1150" i="67"/>
  <c r="AU1496" i="67"/>
  <c r="AU105" i="34"/>
  <c r="AB983" i="67"/>
  <c r="AB1134" i="67"/>
  <c r="AB1480" i="67"/>
  <c r="AB681" i="67"/>
  <c r="BJ121" i="34"/>
  <c r="AQ999" i="67"/>
  <c r="AQ1150" i="67"/>
  <c r="AQ1496" i="67"/>
  <c r="AL121" i="34"/>
  <c r="S999" i="67"/>
  <c r="S1150" i="67"/>
  <c r="S1496" i="67"/>
  <c r="BF122" i="34"/>
  <c r="AM1497" i="67"/>
  <c r="BN106" i="34"/>
  <c r="AU1481" i="67"/>
  <c r="AR103" i="34"/>
  <c r="Y1478" i="67"/>
  <c r="Y1132" i="67"/>
  <c r="Y981" i="67"/>
  <c r="Y679" i="67"/>
  <c r="BH122" i="34"/>
  <c r="AO1497" i="67"/>
  <c r="AO106" i="34"/>
  <c r="V1481" i="67"/>
  <c r="K1472" i="67"/>
  <c r="K1126" i="67"/>
  <c r="K673" i="67"/>
  <c r="K975" i="67"/>
  <c r="N385" i="67"/>
  <c r="N79" i="67"/>
  <c r="N689" i="67"/>
  <c r="N840" i="67"/>
  <c r="N232" i="67"/>
  <c r="N537" i="67"/>
  <c r="AE106" i="34"/>
  <c r="L1481" i="67"/>
  <c r="AM113" i="34"/>
  <c r="T1488" i="67"/>
  <c r="AG359" i="67"/>
  <c r="AG511" i="67"/>
  <c r="AG663" i="67"/>
  <c r="AG206" i="67"/>
  <c r="AG53" i="67"/>
  <c r="AG814" i="67"/>
  <c r="R443" i="67"/>
  <c r="R747" i="67"/>
  <c r="R898" i="67"/>
  <c r="R290" i="67"/>
  <c r="R595" i="67"/>
  <c r="R137" i="67"/>
  <c r="W459" i="67"/>
  <c r="W763" i="67"/>
  <c r="W914" i="67"/>
  <c r="W153" i="67"/>
  <c r="W611" i="67"/>
  <c r="W306" i="67"/>
  <c r="M339" i="67"/>
  <c r="M186" i="67"/>
  <c r="M643" i="67"/>
  <c r="M33" i="67"/>
  <c r="M491" i="67"/>
  <c r="M794" i="67"/>
  <c r="O443" i="67"/>
  <c r="O595" i="67"/>
  <c r="O747" i="67"/>
  <c r="O137" i="67"/>
  <c r="O898" i="67"/>
  <c r="O290" i="67"/>
  <c r="Z341" i="67"/>
  <c r="Z796" i="67"/>
  <c r="Z35" i="67"/>
  <c r="Z645" i="67"/>
  <c r="Z188" i="67"/>
  <c r="Z493" i="67"/>
  <c r="AR898" i="67"/>
  <c r="AR443" i="67"/>
  <c r="AR747" i="67"/>
  <c r="AR137" i="67"/>
  <c r="AR595" i="67"/>
  <c r="AR290" i="67"/>
  <c r="AA341" i="67"/>
  <c r="AA493" i="67"/>
  <c r="AA645" i="67"/>
  <c r="AA188" i="67"/>
  <c r="AA35" i="67"/>
  <c r="AA796" i="67"/>
  <c r="AI158" i="67"/>
  <c r="AI917" i="67"/>
  <c r="AN159" i="67"/>
  <c r="AN918" i="67"/>
  <c r="S762" i="67"/>
  <c r="S458" i="67"/>
  <c r="S913" i="67"/>
  <c r="S152" i="67"/>
  <c r="S610" i="67"/>
  <c r="S305" i="67"/>
  <c r="V338" i="67"/>
  <c r="V642" i="67"/>
  <c r="V490" i="67"/>
  <c r="V32" i="67"/>
  <c r="V185" i="67"/>
  <c r="AA338" i="67"/>
  <c r="AA642" i="67"/>
  <c r="AA490" i="67"/>
  <c r="AA32" i="67"/>
  <c r="AA185" i="67"/>
  <c r="K660" i="67"/>
  <c r="K356" i="67"/>
  <c r="K811" i="67"/>
  <c r="K203" i="67"/>
  <c r="K508" i="67"/>
  <c r="K50" i="67"/>
  <c r="AE26" i="68"/>
  <c r="D24" i="62" s="1"/>
  <c r="X356" i="67"/>
  <c r="X660" i="67"/>
  <c r="X811" i="67"/>
  <c r="X508" i="67"/>
  <c r="X203" i="67"/>
  <c r="X50" i="67"/>
  <c r="AR26" i="68"/>
  <c r="Q24" i="62" s="1"/>
  <c r="AJ762" i="67"/>
  <c r="AJ458" i="67"/>
  <c r="AJ913" i="67"/>
  <c r="AJ305" i="67"/>
  <c r="AJ610" i="67"/>
  <c r="AJ152" i="67"/>
  <c r="Y338" i="67"/>
  <c r="Y642" i="67"/>
  <c r="Y185" i="67"/>
  <c r="Y490" i="67"/>
  <c r="Y32" i="67"/>
  <c r="T348" i="67"/>
  <c r="T803" i="67"/>
  <c r="T42" i="67"/>
  <c r="T652" i="67"/>
  <c r="T195" i="67"/>
  <c r="T500" i="67"/>
  <c r="AN21" i="68"/>
  <c r="M21" i="62" s="1"/>
  <c r="P754" i="67"/>
  <c r="P450" i="67"/>
  <c r="P144" i="67"/>
  <c r="P602" i="67"/>
  <c r="P297" i="67"/>
  <c r="P905" i="67"/>
  <c r="Y330" i="67"/>
  <c r="AS13" i="68"/>
  <c r="R14" i="62" s="1"/>
  <c r="Y785" i="67"/>
  <c r="Y482" i="67"/>
  <c r="Y24" i="67"/>
  <c r="Y634" i="67"/>
  <c r="Y177" i="67"/>
  <c r="AQ128" i="67"/>
  <c r="AQ586" i="67"/>
  <c r="AQ281" i="67"/>
  <c r="AQ434" i="67"/>
  <c r="AQ738" i="67"/>
  <c r="AQ889" i="67"/>
  <c r="AK163" i="67"/>
  <c r="AK316" i="67"/>
  <c r="AK771" i="67"/>
  <c r="AK10" i="67"/>
  <c r="AK620" i="67"/>
  <c r="K435" i="67"/>
  <c r="K282" i="67"/>
  <c r="K587" i="67"/>
  <c r="K129" i="67"/>
  <c r="K739" i="67"/>
  <c r="K890" i="67"/>
  <c r="Q163" i="67"/>
  <c r="Q316" i="67"/>
  <c r="Q10" i="67"/>
  <c r="Q620" i="67"/>
  <c r="Q771" i="67"/>
  <c r="AF348" i="67"/>
  <c r="AZ21" i="68"/>
  <c r="Y21" i="62" s="1"/>
  <c r="AF803" i="67"/>
  <c r="AF42" i="67"/>
  <c r="AF500" i="67"/>
  <c r="AF652" i="67"/>
  <c r="AF195" i="67"/>
  <c r="O738" i="67"/>
  <c r="O128" i="67"/>
  <c r="O434" i="67"/>
  <c r="O586" i="67"/>
  <c r="O281" i="67"/>
  <c r="O889" i="67"/>
  <c r="AH348" i="67"/>
  <c r="AH42" i="67"/>
  <c r="AH652" i="67"/>
  <c r="AH195" i="67"/>
  <c r="AH803" i="67"/>
  <c r="BB21" i="68"/>
  <c r="AA21" i="62" s="1"/>
  <c r="AH500" i="67"/>
  <c r="M450" i="67"/>
  <c r="M144" i="67"/>
  <c r="M754" i="67"/>
  <c r="M602" i="67"/>
  <c r="M297" i="67"/>
  <c r="M905" i="67"/>
  <c r="AL306" i="67"/>
  <c r="AL611" i="67"/>
  <c r="AL914" i="67"/>
  <c r="AL763" i="67"/>
  <c r="AL153" i="67"/>
  <c r="AL459" i="67"/>
  <c r="AO359" i="67"/>
  <c r="AO663" i="67"/>
  <c r="AO206" i="67"/>
  <c r="AO814" i="67"/>
  <c r="AO511" i="67"/>
  <c r="AO53" i="67"/>
  <c r="AQ357" i="67"/>
  <c r="AQ661" i="67"/>
  <c r="AQ509" i="67"/>
  <c r="AQ812" i="67"/>
  <c r="AQ204" i="67"/>
  <c r="AQ51" i="67"/>
  <c r="Q341" i="67"/>
  <c r="Q796" i="67"/>
  <c r="Q493" i="67"/>
  <c r="Q188" i="67"/>
  <c r="Q645" i="67"/>
  <c r="Q35" i="67"/>
  <c r="W358" i="67"/>
  <c r="W813" i="67"/>
  <c r="W662" i="67"/>
  <c r="W510" i="67"/>
  <c r="W52" i="67"/>
  <c r="W205" i="67"/>
  <c r="AJ128" i="67"/>
  <c r="AJ281" i="67"/>
  <c r="AJ586" i="67"/>
  <c r="AJ434" i="67"/>
  <c r="AJ738" i="67"/>
  <c r="AJ889" i="67"/>
  <c r="W163" i="67"/>
  <c r="W316" i="67"/>
  <c r="W10" i="67"/>
  <c r="W620" i="67"/>
  <c r="W771" i="67"/>
  <c r="AD754" i="67"/>
  <c r="AD602" i="67"/>
  <c r="AD144" i="67"/>
  <c r="AD450" i="67"/>
  <c r="AD297" i="67"/>
  <c r="AD905" i="67"/>
  <c r="X163" i="67"/>
  <c r="X316" i="67"/>
  <c r="X10" i="67"/>
  <c r="X620" i="67"/>
  <c r="X771" i="67"/>
  <c r="BA13" i="68"/>
  <c r="Z14" i="62" s="1"/>
  <c r="AG330" i="67"/>
  <c r="AG785" i="67"/>
  <c r="AG482" i="67"/>
  <c r="AG177" i="67"/>
  <c r="AG634" i="67"/>
  <c r="AG24" i="67"/>
  <c r="L451" i="67"/>
  <c r="L603" i="67"/>
  <c r="L755" i="67"/>
  <c r="L298" i="67"/>
  <c r="L145" i="67"/>
  <c r="L906" i="67"/>
  <c r="R359" i="67"/>
  <c r="R53" i="67"/>
  <c r="R663" i="67"/>
  <c r="R206" i="67"/>
  <c r="R511" i="67"/>
  <c r="R814" i="67"/>
  <c r="AJ341" i="67"/>
  <c r="AJ796" i="67"/>
  <c r="AJ645" i="67"/>
  <c r="AJ188" i="67"/>
  <c r="AJ493" i="67"/>
  <c r="AJ35" i="67"/>
  <c r="AN339" i="67"/>
  <c r="AN794" i="67"/>
  <c r="AN186" i="67"/>
  <c r="AN491" i="67"/>
  <c r="AN33" i="67"/>
  <c r="AN643" i="67"/>
  <c r="P443" i="67"/>
  <c r="P898" i="67"/>
  <c r="P595" i="67"/>
  <c r="P290" i="67"/>
  <c r="P137" i="67"/>
  <c r="P747" i="67"/>
  <c r="K159" i="67"/>
  <c r="K918" i="67"/>
  <c r="L458" i="67"/>
  <c r="L762" i="67"/>
  <c r="L913" i="67"/>
  <c r="L152" i="67"/>
  <c r="L305" i="67"/>
  <c r="L610" i="67"/>
  <c r="P349" i="67"/>
  <c r="P43" i="67"/>
  <c r="P653" i="67"/>
  <c r="P196" i="67"/>
  <c r="P804" i="67"/>
  <c r="P501" i="67"/>
  <c r="AS755" i="67"/>
  <c r="AS603" i="67"/>
  <c r="AS298" i="67"/>
  <c r="AS451" i="67"/>
  <c r="AS906" i="67"/>
  <c r="AS145" i="67"/>
  <c r="AN331" i="67"/>
  <c r="AN786" i="67"/>
  <c r="AN178" i="67"/>
  <c r="AN635" i="67"/>
  <c r="AN25" i="67"/>
  <c r="AN483" i="67"/>
  <c r="O435" i="67"/>
  <c r="O890" i="67"/>
  <c r="O587" i="67"/>
  <c r="O739" i="67"/>
  <c r="O129" i="67"/>
  <c r="O282" i="67"/>
  <c r="AU164" i="67"/>
  <c r="AU317" i="67"/>
  <c r="AU772" i="67"/>
  <c r="AU621" i="67"/>
  <c r="AU11" i="67"/>
  <c r="AU357" i="67"/>
  <c r="AU51" i="67"/>
  <c r="AU204" i="67"/>
  <c r="AU661" i="67"/>
  <c r="AU509" i="67"/>
  <c r="AU812" i="67"/>
  <c r="M359" i="67"/>
  <c r="M814" i="67"/>
  <c r="M511" i="67"/>
  <c r="M206" i="67"/>
  <c r="M663" i="67"/>
  <c r="M53" i="67"/>
  <c r="AS306" i="67"/>
  <c r="AS153" i="67"/>
  <c r="AS459" i="67"/>
  <c r="AS763" i="67"/>
  <c r="AS611" i="67"/>
  <c r="AS914" i="67"/>
  <c r="AK339" i="67"/>
  <c r="AK186" i="67"/>
  <c r="AK491" i="67"/>
  <c r="AK643" i="67"/>
  <c r="AK33" i="67"/>
  <c r="AK794" i="67"/>
  <c r="Z747" i="67"/>
  <c r="Z443" i="67"/>
  <c r="Z898" i="67"/>
  <c r="Z290" i="67"/>
  <c r="Z595" i="67"/>
  <c r="Z137" i="67"/>
  <c r="AD914" i="67"/>
  <c r="AD459" i="67"/>
  <c r="AD763" i="67"/>
  <c r="AD611" i="67"/>
  <c r="AD153" i="67"/>
  <c r="AD306" i="67"/>
  <c r="S339" i="67"/>
  <c r="S186" i="67"/>
  <c r="S643" i="67"/>
  <c r="S33" i="67"/>
  <c r="S794" i="67"/>
  <c r="S491" i="67"/>
  <c r="AR341" i="67"/>
  <c r="AR35" i="67"/>
  <c r="AR796" i="67"/>
  <c r="AR645" i="67"/>
  <c r="AR188" i="67"/>
  <c r="AR493" i="67"/>
  <c r="AA339" i="67"/>
  <c r="AA491" i="67"/>
  <c r="AA186" i="67"/>
  <c r="AA643" i="67"/>
  <c r="AA33" i="67"/>
  <c r="AA794" i="67"/>
  <c r="AC159" i="67"/>
  <c r="AC918" i="67"/>
  <c r="AQ159" i="67"/>
  <c r="AQ918" i="67"/>
  <c r="AB158" i="67"/>
  <c r="AB917" i="67"/>
  <c r="S340" i="67"/>
  <c r="S795" i="67"/>
  <c r="S644" i="67"/>
  <c r="S34" i="67"/>
  <c r="S492" i="67"/>
  <c r="S187" i="67"/>
  <c r="AB358" i="67"/>
  <c r="AB813" i="67"/>
  <c r="AB662" i="67"/>
  <c r="AB510" i="67"/>
  <c r="AB205" i="67"/>
  <c r="AB52" i="67"/>
  <c r="AO356" i="67"/>
  <c r="AO811" i="67"/>
  <c r="AO508" i="67"/>
  <c r="AO660" i="67"/>
  <c r="AO50" i="67"/>
  <c r="AO203" i="67"/>
  <c r="BI26" i="68"/>
  <c r="AH24" i="62" s="1"/>
  <c r="Z458" i="67"/>
  <c r="Z762" i="67"/>
  <c r="Z913" i="67"/>
  <c r="Z610" i="67"/>
  <c r="Z305" i="67"/>
  <c r="Z152" i="67"/>
  <c r="AL164" i="67"/>
  <c r="AL317" i="67"/>
  <c r="AL621" i="67"/>
  <c r="AL772" i="67"/>
  <c r="AL11" i="67"/>
  <c r="AW348" i="67"/>
  <c r="AW500" i="67"/>
  <c r="AW195" i="67"/>
  <c r="AW652" i="67"/>
  <c r="BQ21" i="68"/>
  <c r="AP21" i="62" s="1"/>
  <c r="AW803" i="67"/>
  <c r="AW42" i="67"/>
  <c r="W906" i="67"/>
  <c r="W755" i="67"/>
  <c r="W451" i="67"/>
  <c r="W145" i="67"/>
  <c r="W603" i="67"/>
  <c r="W298" i="67"/>
  <c r="AI331" i="67"/>
  <c r="AI786" i="67"/>
  <c r="AI25" i="67"/>
  <c r="AI483" i="67"/>
  <c r="AI635" i="67"/>
  <c r="AI178" i="67"/>
  <c r="AB298" i="67"/>
  <c r="AB145" i="67"/>
  <c r="AB755" i="67"/>
  <c r="AB451" i="67"/>
  <c r="AB603" i="67"/>
  <c r="AB906" i="67"/>
  <c r="N164" i="67"/>
  <c r="N317" i="67"/>
  <c r="N11" i="67"/>
  <c r="N621" i="67"/>
  <c r="N772" i="67"/>
  <c r="AD331" i="67"/>
  <c r="AD786" i="67"/>
  <c r="AD25" i="67"/>
  <c r="AD483" i="67"/>
  <c r="AD178" i="67"/>
  <c r="AD635" i="67"/>
  <c r="AT435" i="67"/>
  <c r="AT587" i="67"/>
  <c r="AT282" i="67"/>
  <c r="AT129" i="67"/>
  <c r="AT739" i="67"/>
  <c r="AT890" i="67"/>
  <c r="X164" i="67"/>
  <c r="X317" i="67"/>
  <c r="X772" i="67"/>
  <c r="X11" i="67"/>
  <c r="X621" i="67"/>
  <c r="AR331" i="67"/>
  <c r="AR483" i="67"/>
  <c r="AR25" i="67"/>
  <c r="AR635" i="67"/>
  <c r="AR178" i="67"/>
  <c r="AR786" i="67"/>
  <c r="AV739" i="67"/>
  <c r="AV587" i="67"/>
  <c r="AV282" i="67"/>
  <c r="AV435" i="67"/>
  <c r="AV129" i="67"/>
  <c r="AV890" i="67"/>
  <c r="AG164" i="67"/>
  <c r="AG317" i="67"/>
  <c r="AG621" i="67"/>
  <c r="AG11" i="67"/>
  <c r="AG772" i="67"/>
  <c r="AO349" i="67"/>
  <c r="AO804" i="67"/>
  <c r="AO196" i="67"/>
  <c r="AO501" i="67"/>
  <c r="AO653" i="67"/>
  <c r="AO43" i="67"/>
  <c r="L459" i="67"/>
  <c r="L611" i="67"/>
  <c r="L914" i="67"/>
  <c r="L763" i="67"/>
  <c r="L306" i="67"/>
  <c r="L153" i="67"/>
  <c r="Y341" i="67"/>
  <c r="Y796" i="67"/>
  <c r="Y493" i="67"/>
  <c r="Y188" i="67"/>
  <c r="Y645" i="67"/>
  <c r="Y35" i="67"/>
  <c r="AB459" i="67"/>
  <c r="AB914" i="67"/>
  <c r="AB763" i="67"/>
  <c r="AB611" i="67"/>
  <c r="AB306" i="67"/>
  <c r="AB153" i="67"/>
  <c r="U339" i="67"/>
  <c r="U186" i="67"/>
  <c r="U794" i="67"/>
  <c r="U491" i="67"/>
  <c r="U643" i="67"/>
  <c r="U33" i="67"/>
  <c r="AT913" i="67"/>
  <c r="AT458" i="67"/>
  <c r="AT762" i="67"/>
  <c r="AT610" i="67"/>
  <c r="AT305" i="67"/>
  <c r="AT152" i="67"/>
  <c r="AW587" i="67"/>
  <c r="AW739" i="67"/>
  <c r="AW129" i="67"/>
  <c r="AW435" i="67"/>
  <c r="AW282" i="67"/>
  <c r="AW890" i="67"/>
  <c r="AY21" i="68"/>
  <c r="X21" i="62" s="1"/>
  <c r="AE348" i="67"/>
  <c r="AE652" i="67"/>
  <c r="AE42" i="67"/>
  <c r="AE803" i="67"/>
  <c r="AE195" i="67"/>
  <c r="AE500" i="67"/>
  <c r="AO754" i="67"/>
  <c r="AO905" i="67"/>
  <c r="AO450" i="67"/>
  <c r="AO602" i="67"/>
  <c r="AO297" i="67"/>
  <c r="AO144" i="67"/>
  <c r="AV356" i="67"/>
  <c r="AV660" i="67"/>
  <c r="AV811" i="67"/>
  <c r="AV508" i="67"/>
  <c r="AV50" i="67"/>
  <c r="AV203" i="67"/>
  <c r="BP26" i="68"/>
  <c r="AO24" i="62" s="1"/>
  <c r="AK349" i="67"/>
  <c r="AK501" i="67"/>
  <c r="AK196" i="67"/>
  <c r="AK653" i="67"/>
  <c r="AK804" i="67"/>
  <c r="AK43" i="67"/>
  <c r="AH451" i="67"/>
  <c r="AH298" i="67"/>
  <c r="AH145" i="67"/>
  <c r="AH906" i="67"/>
  <c r="AH603" i="67"/>
  <c r="AH755" i="67"/>
  <c r="AH164" i="67"/>
  <c r="AH317" i="67"/>
  <c r="AH11" i="67"/>
  <c r="AH772" i="67"/>
  <c r="AH621" i="67"/>
  <c r="AL330" i="67"/>
  <c r="BF13" i="68"/>
  <c r="AE14" i="62" s="1"/>
  <c r="AL785" i="67"/>
  <c r="AL177" i="67"/>
  <c r="AL482" i="67"/>
  <c r="AL634" i="67"/>
  <c r="AL24" i="67"/>
  <c r="N586" i="67"/>
  <c r="N128" i="67"/>
  <c r="N281" i="67"/>
  <c r="N434" i="67"/>
  <c r="N738" i="67"/>
  <c r="N889" i="67"/>
  <c r="BN13" i="68"/>
  <c r="AM14" i="62" s="1"/>
  <c r="AT330" i="67"/>
  <c r="AT634" i="67"/>
  <c r="AT177" i="67"/>
  <c r="AT785" i="67"/>
  <c r="AT482" i="67"/>
  <c r="AT24" i="67"/>
  <c r="AL103" i="34"/>
  <c r="S1478" i="67"/>
  <c r="S1132" i="67"/>
  <c r="S981" i="67"/>
  <c r="S679" i="67"/>
  <c r="AO103" i="34"/>
  <c r="V1478" i="67"/>
  <c r="V1132" i="67"/>
  <c r="V981" i="67"/>
  <c r="V679" i="67"/>
  <c r="AR105" i="34"/>
  <c r="Y983" i="67"/>
  <c r="Y1134" i="67"/>
  <c r="Y1480" i="67"/>
  <c r="Y681" i="67"/>
  <c r="BC105" i="34"/>
  <c r="AJ983" i="67"/>
  <c r="AJ1134" i="67"/>
  <c r="AJ1480" i="67"/>
  <c r="AJ681" i="67"/>
  <c r="AT122" i="34"/>
  <c r="AA1497" i="67"/>
  <c r="AN119" i="34"/>
  <c r="U1494" i="67"/>
  <c r="U1148" i="67"/>
  <c r="U997" i="67"/>
  <c r="AK122" i="34"/>
  <c r="R1497" i="67"/>
  <c r="BA106" i="34"/>
  <c r="AH1481" i="67"/>
  <c r="AS105" i="34"/>
  <c r="Z983" i="67"/>
  <c r="Z1134" i="67"/>
  <c r="Z1480" i="67"/>
  <c r="Z681" i="67"/>
  <c r="BH105" i="34"/>
  <c r="AO983" i="67"/>
  <c r="AO1134" i="67"/>
  <c r="AO1480" i="67"/>
  <c r="AO681" i="67"/>
  <c r="AZ105" i="34"/>
  <c r="AG983" i="67"/>
  <c r="AG1134" i="67"/>
  <c r="AG1480" i="67"/>
  <c r="AG681" i="67"/>
  <c r="AR106" i="34"/>
  <c r="Y1481" i="67"/>
  <c r="BD122" i="34"/>
  <c r="AK1497" i="67"/>
  <c r="BM122" i="34"/>
  <c r="AT1497" i="67"/>
  <c r="BC122" i="34"/>
  <c r="AJ1497" i="67"/>
  <c r="AR114" i="34"/>
  <c r="Y1489" i="67"/>
  <c r="BF121" i="34"/>
  <c r="AM999" i="67"/>
  <c r="AM1150" i="67"/>
  <c r="AM1496" i="67"/>
  <c r="BM105" i="34"/>
  <c r="AT983" i="67"/>
  <c r="AT1134" i="67"/>
  <c r="AT1480" i="67"/>
  <c r="AT681" i="67"/>
  <c r="AS106" i="34"/>
  <c r="Z1481" i="67"/>
  <c r="AM106" i="34"/>
  <c r="T1481" i="67"/>
  <c r="AK105" i="34"/>
  <c r="R983" i="67"/>
  <c r="R1134" i="67"/>
  <c r="R1480" i="67"/>
  <c r="R681" i="67"/>
  <c r="AP103" i="34"/>
  <c r="W1478" i="67"/>
  <c r="W1132" i="67"/>
  <c r="W981" i="67"/>
  <c r="W679" i="67"/>
  <c r="AT119" i="34"/>
  <c r="AA1494" i="67"/>
  <c r="AA1148" i="67"/>
  <c r="AA997" i="67"/>
  <c r="BN105" i="34"/>
  <c r="AU983" i="67"/>
  <c r="AU1134" i="67"/>
  <c r="AU1480" i="67"/>
  <c r="AU681" i="67"/>
  <c r="AU121" i="34"/>
  <c r="AB999" i="67"/>
  <c r="AB1150" i="67"/>
  <c r="AB1496" i="67"/>
  <c r="AW106" i="34"/>
  <c r="AD1481" i="67"/>
  <c r="BB106" i="34"/>
  <c r="AI1481" i="67"/>
  <c r="BJ105" i="34"/>
  <c r="AQ983" i="67"/>
  <c r="AQ1134" i="67"/>
  <c r="AQ1480" i="67"/>
  <c r="AQ681" i="67"/>
  <c r="BP105" i="34"/>
  <c r="AW983" i="67"/>
  <c r="AW1134" i="67"/>
  <c r="AW1480" i="67"/>
  <c r="AW681" i="67"/>
  <c r="BK121" i="34"/>
  <c r="AR999" i="67"/>
  <c r="AR1150" i="67"/>
  <c r="AR1496" i="67"/>
  <c r="BK122" i="34"/>
  <c r="AR1497" i="67"/>
  <c r="BO122" i="34"/>
  <c r="AV1497" i="67"/>
  <c r="AT121" i="34"/>
  <c r="AA999" i="67"/>
  <c r="AA1150" i="67"/>
  <c r="AA1496" i="67"/>
  <c r="BN122" i="34"/>
  <c r="AU1497" i="67"/>
  <c r="AN105" i="34"/>
  <c r="U983" i="67"/>
  <c r="U1134" i="67"/>
  <c r="U1480" i="67"/>
  <c r="U681" i="67"/>
  <c r="AX121" i="34"/>
  <c r="AE999" i="67"/>
  <c r="AE1150" i="67"/>
  <c r="AE1496" i="67"/>
  <c r="BJ122" i="34"/>
  <c r="AQ1497" i="67"/>
  <c r="BE105" i="34"/>
  <c r="AL983" i="67"/>
  <c r="AL1134" i="67"/>
  <c r="AL1480" i="67"/>
  <c r="AL681" i="67"/>
  <c r="M385" i="67"/>
  <c r="M537" i="67"/>
  <c r="M689" i="67"/>
  <c r="M232" i="67"/>
  <c r="M840" i="67"/>
  <c r="M79" i="67"/>
  <c r="O63" i="67"/>
  <c r="O369" i="67"/>
  <c r="O824" i="67"/>
  <c r="O216" i="67"/>
  <c r="O521" i="67"/>
  <c r="AF105" i="34"/>
  <c r="M983" i="67"/>
  <c r="M1134" i="67"/>
  <c r="M1480" i="67"/>
  <c r="M681" i="67"/>
  <c r="AF122" i="34"/>
  <c r="M1497" i="67"/>
  <c r="AK97" i="34"/>
  <c r="R1472" i="67"/>
  <c r="AE121" i="34"/>
  <c r="L999" i="67"/>
  <c r="L1150" i="67"/>
  <c r="L1496" i="67"/>
  <c r="AH122" i="34"/>
  <c r="O1497" i="67"/>
  <c r="AR97" i="34"/>
  <c r="Y1472" i="67"/>
  <c r="AL97" i="34"/>
  <c r="S1472" i="67"/>
  <c r="AQ113" i="34"/>
  <c r="X1488" i="67"/>
  <c r="AP113" i="34"/>
  <c r="W1488" i="67"/>
  <c r="AM97" i="34"/>
  <c r="T1472" i="67"/>
  <c r="AN97" i="34"/>
  <c r="U1472" i="67"/>
  <c r="AL113" i="34"/>
  <c r="S1488" i="67"/>
  <c r="AI341" i="67"/>
  <c r="AI188" i="67"/>
  <c r="AI796" i="67"/>
  <c r="AI645" i="67"/>
  <c r="AI493" i="67"/>
  <c r="AI35" i="67"/>
  <c r="AG341" i="67"/>
  <c r="AG188" i="67"/>
  <c r="AG645" i="67"/>
  <c r="AG35" i="67"/>
  <c r="AG796" i="67"/>
  <c r="AG493" i="67"/>
  <c r="AW339" i="67"/>
  <c r="AW491" i="67"/>
  <c r="AW33" i="67"/>
  <c r="AW643" i="67"/>
  <c r="AW186" i="67"/>
  <c r="AW794" i="67"/>
  <c r="R357" i="67"/>
  <c r="R812" i="67"/>
  <c r="R51" i="67"/>
  <c r="R661" i="67"/>
  <c r="R204" i="67"/>
  <c r="R509" i="67"/>
  <c r="W443" i="67"/>
  <c r="W290" i="67"/>
  <c r="W898" i="67"/>
  <c r="W747" i="67"/>
  <c r="W137" i="67"/>
  <c r="W595" i="67"/>
  <c r="M763" i="67"/>
  <c r="M459" i="67"/>
  <c r="M914" i="67"/>
  <c r="M153" i="67"/>
  <c r="M611" i="67"/>
  <c r="M306" i="67"/>
  <c r="V339" i="67"/>
  <c r="V186" i="67"/>
  <c r="V643" i="67"/>
  <c r="V33" i="67"/>
  <c r="V794" i="67"/>
  <c r="V491" i="67"/>
  <c r="O357" i="67"/>
  <c r="O51" i="67"/>
  <c r="O509" i="67"/>
  <c r="O661" i="67"/>
  <c r="O204" i="67"/>
  <c r="O812" i="67"/>
  <c r="AV898" i="67"/>
  <c r="AV443" i="67"/>
  <c r="AV595" i="67"/>
  <c r="AV290" i="67"/>
  <c r="AV137" i="67"/>
  <c r="AV747" i="67"/>
  <c r="AS359" i="67"/>
  <c r="AS663" i="67"/>
  <c r="AS206" i="67"/>
  <c r="AS814" i="67"/>
  <c r="AS511" i="67"/>
  <c r="AS53" i="67"/>
  <c r="T359" i="67"/>
  <c r="T663" i="67"/>
  <c r="T511" i="67"/>
  <c r="T814" i="67"/>
  <c r="T53" i="67"/>
  <c r="T206" i="67"/>
  <c r="AD359" i="67"/>
  <c r="AD663" i="67"/>
  <c r="AD53" i="67"/>
  <c r="AD814" i="67"/>
  <c r="AD511" i="67"/>
  <c r="AD206" i="67"/>
  <c r="AH359" i="67"/>
  <c r="AH814" i="67"/>
  <c r="AH511" i="67"/>
  <c r="AH53" i="67"/>
  <c r="AH663" i="67"/>
  <c r="AH206" i="67"/>
  <c r="AR357" i="67"/>
  <c r="AR509" i="67"/>
  <c r="AR204" i="67"/>
  <c r="AR661" i="67"/>
  <c r="AR51" i="67"/>
  <c r="AR812" i="67"/>
  <c r="AA359" i="67"/>
  <c r="AA663" i="67"/>
  <c r="AA511" i="67"/>
  <c r="AA814" i="67"/>
  <c r="AA206" i="67"/>
  <c r="AA53" i="67"/>
  <c r="AF159" i="67"/>
  <c r="AF918" i="67"/>
  <c r="AH918" i="67"/>
  <c r="AH159" i="67"/>
  <c r="AM158" i="67"/>
  <c r="AM917" i="67"/>
  <c r="S442" i="67"/>
  <c r="S897" i="67"/>
  <c r="S746" i="67"/>
  <c r="S289" i="67"/>
  <c r="S136" i="67"/>
  <c r="S594" i="67"/>
  <c r="AF662" i="67"/>
  <c r="AF813" i="67"/>
  <c r="AF358" i="67"/>
  <c r="AF52" i="67"/>
  <c r="AF205" i="67"/>
  <c r="AF510" i="67"/>
  <c r="N356" i="67"/>
  <c r="N660" i="67"/>
  <c r="N811" i="67"/>
  <c r="N508" i="67"/>
  <c r="N50" i="67"/>
  <c r="N203" i="67"/>
  <c r="AH26" i="68"/>
  <c r="G24" i="62" s="1"/>
  <c r="V913" i="67"/>
  <c r="V458" i="67"/>
  <c r="V762" i="67"/>
  <c r="V610" i="67"/>
  <c r="V305" i="67"/>
  <c r="V152" i="67"/>
  <c r="AN358" i="67"/>
  <c r="AN662" i="67"/>
  <c r="AN813" i="67"/>
  <c r="AN52" i="67"/>
  <c r="AN510" i="67"/>
  <c r="AN205" i="67"/>
  <c r="AL442" i="67"/>
  <c r="AL746" i="67"/>
  <c r="AL897" i="67"/>
  <c r="AL594" i="67"/>
  <c r="AL136" i="67"/>
  <c r="AL289" i="67"/>
  <c r="AA458" i="67"/>
  <c r="AA762" i="67"/>
  <c r="AA913" i="67"/>
  <c r="AA610" i="67"/>
  <c r="AA305" i="67"/>
  <c r="AA152" i="67"/>
  <c r="P662" i="67"/>
  <c r="P813" i="67"/>
  <c r="P358" i="67"/>
  <c r="P52" i="67"/>
  <c r="P510" i="67"/>
  <c r="P205" i="67"/>
  <c r="R356" i="67"/>
  <c r="R811" i="67"/>
  <c r="R660" i="67"/>
  <c r="R203" i="67"/>
  <c r="R508" i="67"/>
  <c r="R50" i="67"/>
  <c r="AL26" i="68"/>
  <c r="K24" i="62" s="1"/>
  <c r="AK458" i="67"/>
  <c r="AK762" i="67"/>
  <c r="AK913" i="67"/>
  <c r="AK305" i="67"/>
  <c r="AK152" i="67"/>
  <c r="AK610" i="67"/>
  <c r="K338" i="67"/>
  <c r="K642" i="67"/>
  <c r="K490" i="67"/>
  <c r="K32" i="67"/>
  <c r="K185" i="67"/>
  <c r="AM913" i="67"/>
  <c r="AM458" i="67"/>
  <c r="AM762" i="67"/>
  <c r="AM610" i="67"/>
  <c r="AM305" i="67"/>
  <c r="AM152" i="67"/>
  <c r="AC358" i="67"/>
  <c r="AC662" i="67"/>
  <c r="AC813" i="67"/>
  <c r="AC510" i="67"/>
  <c r="AC52" i="67"/>
  <c r="AC205" i="67"/>
  <c r="X338" i="67"/>
  <c r="X642" i="67"/>
  <c r="X185" i="67"/>
  <c r="X490" i="67"/>
  <c r="X32" i="67"/>
  <c r="AR356" i="67"/>
  <c r="AR660" i="67"/>
  <c r="AR811" i="67"/>
  <c r="AR203" i="67"/>
  <c r="AR508" i="67"/>
  <c r="AR50" i="67"/>
  <c r="BL26" i="68"/>
  <c r="AK24" i="62" s="1"/>
  <c r="AJ442" i="67"/>
  <c r="AJ746" i="67"/>
  <c r="AJ897" i="67"/>
  <c r="AJ289" i="67"/>
  <c r="AJ594" i="67"/>
  <c r="AJ136" i="67"/>
  <c r="Y913" i="67"/>
  <c r="Y458" i="67"/>
  <c r="Y762" i="67"/>
  <c r="Y152" i="67"/>
  <c r="Y610" i="67"/>
  <c r="Y305" i="67"/>
  <c r="Q913" i="67"/>
  <c r="Q458" i="67"/>
  <c r="Q762" i="67"/>
  <c r="Q610" i="67"/>
  <c r="Q305" i="67"/>
  <c r="Q152" i="67"/>
  <c r="T330" i="67"/>
  <c r="T634" i="67"/>
  <c r="T482" i="67"/>
  <c r="T177" i="67"/>
  <c r="AN13" i="68"/>
  <c r="M14" i="62" s="1"/>
  <c r="T785" i="67"/>
  <c r="T24" i="67"/>
  <c r="S348" i="67"/>
  <c r="AM21" i="68"/>
  <c r="L21" i="62" s="1"/>
  <c r="S195" i="67"/>
  <c r="S652" i="67"/>
  <c r="S42" i="67"/>
  <c r="S803" i="67"/>
  <c r="S500" i="67"/>
  <c r="P738" i="67"/>
  <c r="P586" i="67"/>
  <c r="P281" i="67"/>
  <c r="P128" i="67"/>
  <c r="P434" i="67"/>
  <c r="P889" i="67"/>
  <c r="Y297" i="67"/>
  <c r="Y602" i="67"/>
  <c r="Y450" i="67"/>
  <c r="Y144" i="67"/>
  <c r="Y754" i="67"/>
  <c r="Y905" i="67"/>
  <c r="Y163" i="67"/>
  <c r="Y316" i="67"/>
  <c r="Y10" i="67"/>
  <c r="Y771" i="67"/>
  <c r="Y620" i="67"/>
  <c r="U330" i="67"/>
  <c r="AO13" i="68"/>
  <c r="N14" i="62" s="1"/>
  <c r="U482" i="67"/>
  <c r="U177" i="67"/>
  <c r="U634" i="67"/>
  <c r="U24" i="67"/>
  <c r="U785" i="67"/>
  <c r="AQ348" i="67"/>
  <c r="AQ500" i="67"/>
  <c r="AQ652" i="67"/>
  <c r="AQ195" i="67"/>
  <c r="AQ803" i="67"/>
  <c r="BK21" i="68"/>
  <c r="AJ21" i="62" s="1"/>
  <c r="AQ42" i="67"/>
  <c r="AK434" i="67"/>
  <c r="AK889" i="67"/>
  <c r="AK586" i="67"/>
  <c r="AK128" i="67"/>
  <c r="AK738" i="67"/>
  <c r="AK281" i="67"/>
  <c r="AS450" i="67"/>
  <c r="AS754" i="67"/>
  <c r="AS144" i="67"/>
  <c r="AS602" i="67"/>
  <c r="AS297" i="67"/>
  <c r="AS905" i="67"/>
  <c r="AS348" i="67"/>
  <c r="AS500" i="67"/>
  <c r="BM21" i="68"/>
  <c r="AL21" i="62" s="1"/>
  <c r="AS652" i="67"/>
  <c r="AS195" i="67"/>
  <c r="AS803" i="67"/>
  <c r="AS42" i="67"/>
  <c r="K164" i="67"/>
  <c r="K317" i="67"/>
  <c r="K772" i="67"/>
  <c r="K11" i="67"/>
  <c r="K621" i="67"/>
  <c r="AN348" i="67"/>
  <c r="AN803" i="67"/>
  <c r="AN652" i="67"/>
  <c r="AN195" i="67"/>
  <c r="AN500" i="67"/>
  <c r="BH21" i="68"/>
  <c r="AG21" i="62" s="1"/>
  <c r="AN42" i="67"/>
  <c r="AK13" i="68"/>
  <c r="J14" i="62" s="1"/>
  <c r="Q330" i="67"/>
  <c r="Q177" i="67"/>
  <c r="Q634" i="67"/>
  <c r="Q24" i="67"/>
  <c r="Q482" i="67"/>
  <c r="Q785" i="67"/>
  <c r="AP434" i="67"/>
  <c r="AP128" i="67"/>
  <c r="AP281" i="67"/>
  <c r="AP738" i="67"/>
  <c r="AP586" i="67"/>
  <c r="AP889" i="67"/>
  <c r="AP163" i="67"/>
  <c r="AP316" i="67"/>
  <c r="AP620" i="67"/>
  <c r="AP10" i="67"/>
  <c r="AP771" i="67"/>
  <c r="AF330" i="67"/>
  <c r="AF634" i="67"/>
  <c r="AF785" i="67"/>
  <c r="AF482" i="67"/>
  <c r="AZ13" i="68"/>
  <c r="Y14" i="62" s="1"/>
  <c r="AF24" i="67"/>
  <c r="AF177" i="67"/>
  <c r="V348" i="67"/>
  <c r="AP21" i="68"/>
  <c r="O21" i="62" s="1"/>
  <c r="V803" i="67"/>
  <c r="V195" i="67"/>
  <c r="V42" i="67"/>
  <c r="V652" i="67"/>
  <c r="V500" i="67"/>
  <c r="O602" i="67"/>
  <c r="O144" i="67"/>
  <c r="O450" i="67"/>
  <c r="O754" i="67"/>
  <c r="O297" i="67"/>
  <c r="O905" i="67"/>
  <c r="AM754" i="67"/>
  <c r="AM144" i="67"/>
  <c r="AM297" i="67"/>
  <c r="AM602" i="67"/>
  <c r="AM450" i="67"/>
  <c r="AM905" i="67"/>
  <c r="AM163" i="67"/>
  <c r="AM316" i="67"/>
  <c r="AM620" i="67"/>
  <c r="AM10" i="67"/>
  <c r="AM771" i="67"/>
  <c r="AH330" i="67"/>
  <c r="BB13" i="68"/>
  <c r="AA14" i="62" s="1"/>
  <c r="AH177" i="67"/>
  <c r="AH482" i="67"/>
  <c r="AH24" i="67"/>
  <c r="AH634" i="67"/>
  <c r="AH785" i="67"/>
  <c r="AU348" i="67"/>
  <c r="AU803" i="67"/>
  <c r="BO21" i="68"/>
  <c r="AN21" i="62" s="1"/>
  <c r="AU500" i="67"/>
  <c r="AU42" i="67"/>
  <c r="AU652" i="67"/>
  <c r="AU195" i="67"/>
  <c r="M889" i="67"/>
  <c r="M434" i="67"/>
  <c r="M586" i="67"/>
  <c r="M738" i="67"/>
  <c r="M128" i="67"/>
  <c r="M281" i="67"/>
  <c r="AL747" i="67"/>
  <c r="AL898" i="67"/>
  <c r="AL443" i="67"/>
  <c r="AL290" i="67"/>
  <c r="AL595" i="67"/>
  <c r="AL137" i="67"/>
  <c r="AU359" i="67"/>
  <c r="AU53" i="67"/>
  <c r="AU511" i="67"/>
  <c r="AU206" i="67"/>
  <c r="AU663" i="67"/>
  <c r="AU814" i="67"/>
  <c r="X357" i="67"/>
  <c r="X509" i="67"/>
  <c r="X51" i="67"/>
  <c r="X812" i="67"/>
  <c r="X661" i="67"/>
  <c r="X204" i="67"/>
  <c r="AO341" i="67"/>
  <c r="AO796" i="67"/>
  <c r="AO493" i="67"/>
  <c r="AO188" i="67"/>
  <c r="AO645" i="67"/>
  <c r="AO35" i="67"/>
  <c r="AC341" i="67"/>
  <c r="AC188" i="67"/>
  <c r="AC645" i="67"/>
  <c r="AC796" i="67"/>
  <c r="AC493" i="67"/>
  <c r="AC35" i="67"/>
  <c r="AT341" i="67"/>
  <c r="AT493" i="67"/>
  <c r="AT645" i="67"/>
  <c r="AT35" i="67"/>
  <c r="AT796" i="67"/>
  <c r="AT188" i="67"/>
  <c r="AQ339" i="67"/>
  <c r="AQ643" i="67"/>
  <c r="AQ33" i="67"/>
  <c r="AQ794" i="67"/>
  <c r="AQ491" i="67"/>
  <c r="AQ186" i="67"/>
  <c r="AI159" i="67"/>
  <c r="AI918" i="67"/>
  <c r="AS158" i="67"/>
  <c r="AS917" i="67"/>
  <c r="AL159" i="67"/>
  <c r="AL918" i="67"/>
  <c r="T340" i="67"/>
  <c r="T644" i="67"/>
  <c r="T795" i="67"/>
  <c r="T492" i="67"/>
  <c r="T34" i="67"/>
  <c r="T187" i="67"/>
  <c r="W340" i="67"/>
  <c r="W644" i="67"/>
  <c r="W795" i="67"/>
  <c r="W492" i="67"/>
  <c r="W34" i="67"/>
  <c r="W187" i="67"/>
  <c r="AV644" i="67"/>
  <c r="AV340" i="67"/>
  <c r="AV795" i="67"/>
  <c r="AV34" i="67"/>
  <c r="AV492" i="67"/>
  <c r="AV187" i="67"/>
  <c r="AU811" i="67"/>
  <c r="AU356" i="67"/>
  <c r="AU660" i="67"/>
  <c r="AU203" i="67"/>
  <c r="AU508" i="67"/>
  <c r="AU50" i="67"/>
  <c r="BO26" i="68"/>
  <c r="AN24" i="62" s="1"/>
  <c r="AB746" i="67"/>
  <c r="AB897" i="67"/>
  <c r="AB442" i="67"/>
  <c r="AB289" i="67"/>
  <c r="AB594" i="67"/>
  <c r="AB136" i="67"/>
  <c r="AE913" i="67"/>
  <c r="AE458" i="67"/>
  <c r="AE762" i="67"/>
  <c r="AE305" i="67"/>
  <c r="AE152" i="67"/>
  <c r="AE610" i="67"/>
  <c r="Z358" i="67"/>
  <c r="Z813" i="67"/>
  <c r="Z662" i="67"/>
  <c r="Z205" i="67"/>
  <c r="Z510" i="67"/>
  <c r="Z52" i="67"/>
  <c r="AJ348" i="67"/>
  <c r="BD21" i="68"/>
  <c r="AC21" i="62" s="1"/>
  <c r="AJ652" i="67"/>
  <c r="AJ42" i="67"/>
  <c r="AJ803" i="67"/>
  <c r="AJ195" i="67"/>
  <c r="AJ500" i="67"/>
  <c r="W450" i="67"/>
  <c r="W297" i="67"/>
  <c r="W144" i="67"/>
  <c r="W754" i="67"/>
  <c r="W602" i="67"/>
  <c r="W905" i="67"/>
  <c r="AB754" i="67"/>
  <c r="AB144" i="67"/>
  <c r="AB602" i="67"/>
  <c r="AB450" i="67"/>
  <c r="AB297" i="67"/>
  <c r="AB905" i="67"/>
  <c r="AB163" i="67"/>
  <c r="AB316" i="67"/>
  <c r="AB620" i="67"/>
  <c r="AB771" i="67"/>
  <c r="AB10" i="67"/>
  <c r="AX21" i="68"/>
  <c r="W21" i="62" s="1"/>
  <c r="AD348" i="67"/>
  <c r="AD195" i="67"/>
  <c r="AD500" i="67"/>
  <c r="AD652" i="67"/>
  <c r="AD42" i="67"/>
  <c r="AD803" i="67"/>
  <c r="X434" i="67"/>
  <c r="X738" i="67"/>
  <c r="X128" i="67"/>
  <c r="X586" i="67"/>
  <c r="X281" i="67"/>
  <c r="X889" i="67"/>
  <c r="AV450" i="67"/>
  <c r="AV297" i="67"/>
  <c r="AV144" i="67"/>
  <c r="AV754" i="67"/>
  <c r="AV905" i="67"/>
  <c r="AV602" i="67"/>
  <c r="AV163" i="67"/>
  <c r="AV316" i="67"/>
  <c r="AV10" i="67"/>
  <c r="AV771" i="67"/>
  <c r="AV620" i="67"/>
  <c r="AG348" i="67"/>
  <c r="AG803" i="67"/>
  <c r="AG42" i="67"/>
  <c r="AG500" i="67"/>
  <c r="AG195" i="67"/>
  <c r="AG652" i="67"/>
  <c r="BA21" i="68"/>
  <c r="Z21" i="62" s="1"/>
  <c r="L349" i="67"/>
  <c r="L196" i="67"/>
  <c r="L501" i="67"/>
  <c r="L653" i="67"/>
  <c r="L804" i="67"/>
  <c r="L43" i="67"/>
  <c r="AF357" i="67"/>
  <c r="AF661" i="67"/>
  <c r="AF204" i="67"/>
  <c r="AF812" i="67"/>
  <c r="AF509" i="67"/>
  <c r="AF51" i="67"/>
  <c r="R341" i="67"/>
  <c r="R796" i="67"/>
  <c r="R645" i="67"/>
  <c r="R188" i="67"/>
  <c r="R493" i="67"/>
  <c r="R35" i="67"/>
  <c r="Y339" i="67"/>
  <c r="Y643" i="67"/>
  <c r="Y186" i="67"/>
  <c r="Y491" i="67"/>
  <c r="Y794" i="67"/>
  <c r="Y33" i="67"/>
  <c r="AN153" i="67"/>
  <c r="AN914" i="67"/>
  <c r="AN763" i="67"/>
  <c r="AN459" i="67"/>
  <c r="AN306" i="67"/>
  <c r="AN611" i="67"/>
  <c r="AC339" i="67"/>
  <c r="AC794" i="67"/>
  <c r="AC643" i="67"/>
  <c r="AC491" i="67"/>
  <c r="AC186" i="67"/>
  <c r="AC33" i="67"/>
  <c r="P357" i="67"/>
  <c r="P509" i="67"/>
  <c r="P661" i="67"/>
  <c r="P204" i="67"/>
  <c r="P812" i="67"/>
  <c r="P51" i="67"/>
  <c r="AT290" i="67"/>
  <c r="AT137" i="67"/>
  <c r="AT595" i="67"/>
  <c r="AT443" i="67"/>
  <c r="AT747" i="67"/>
  <c r="AT898" i="67"/>
  <c r="AQ341" i="67"/>
  <c r="AQ35" i="67"/>
  <c r="AQ645" i="67"/>
  <c r="AQ188" i="67"/>
  <c r="AQ796" i="67"/>
  <c r="AQ493" i="67"/>
  <c r="Q357" i="67"/>
  <c r="Q51" i="67"/>
  <c r="Q661" i="67"/>
  <c r="Q509" i="67"/>
  <c r="Q812" i="67"/>
  <c r="Q204" i="67"/>
  <c r="AR158" i="67"/>
  <c r="AR917" i="67"/>
  <c r="AJ158" i="67"/>
  <c r="AJ917" i="67"/>
  <c r="AP917" i="67"/>
  <c r="AP158" i="67"/>
  <c r="AD340" i="67"/>
  <c r="AD492" i="67"/>
  <c r="AD644" i="67"/>
  <c r="AD34" i="67"/>
  <c r="AD795" i="67"/>
  <c r="AD187" i="67"/>
  <c r="L746" i="67"/>
  <c r="L897" i="67"/>
  <c r="L442" i="67"/>
  <c r="L289" i="67"/>
  <c r="L594" i="67"/>
  <c r="L136" i="67"/>
  <c r="M358" i="67"/>
  <c r="M662" i="67"/>
  <c r="M813" i="67"/>
  <c r="M510" i="67"/>
  <c r="M52" i="67"/>
  <c r="M205" i="67"/>
  <c r="AC897" i="67"/>
  <c r="AC442" i="67"/>
  <c r="AC746" i="67"/>
  <c r="AC594" i="67"/>
  <c r="AC136" i="67"/>
  <c r="AC289" i="67"/>
  <c r="U458" i="67"/>
  <c r="U762" i="67"/>
  <c r="U913" i="67"/>
  <c r="U305" i="67"/>
  <c r="U152" i="67"/>
  <c r="U610" i="67"/>
  <c r="AR358" i="67"/>
  <c r="AR813" i="67"/>
  <c r="AR662" i="67"/>
  <c r="AR205" i="67"/>
  <c r="AR510" i="67"/>
  <c r="AR52" i="67"/>
  <c r="T435" i="67"/>
  <c r="T587" i="67"/>
  <c r="T282" i="67"/>
  <c r="T129" i="67"/>
  <c r="T739" i="67"/>
  <c r="T890" i="67"/>
  <c r="T164" i="67"/>
  <c r="T317" i="67"/>
  <c r="T11" i="67"/>
  <c r="T621" i="67"/>
  <c r="T772" i="67"/>
  <c r="P331" i="67"/>
  <c r="P178" i="67"/>
  <c r="P635" i="67"/>
  <c r="P483" i="67"/>
  <c r="P786" i="67"/>
  <c r="P25" i="67"/>
  <c r="U349" i="67"/>
  <c r="U653" i="67"/>
  <c r="U196" i="67"/>
  <c r="U804" i="67"/>
  <c r="U43" i="67"/>
  <c r="U501" i="67"/>
  <c r="AS587" i="67"/>
  <c r="AS739" i="67"/>
  <c r="AS282" i="67"/>
  <c r="AS129" i="67"/>
  <c r="AS435" i="67"/>
  <c r="AS890" i="67"/>
  <c r="AN451" i="67"/>
  <c r="AN145" i="67"/>
  <c r="AN603" i="67"/>
  <c r="AN298" i="67"/>
  <c r="AN906" i="67"/>
  <c r="AN755" i="67"/>
  <c r="AN164" i="67"/>
  <c r="AN317" i="67"/>
  <c r="AN621" i="67"/>
  <c r="AN772" i="67"/>
  <c r="AN11" i="67"/>
  <c r="AP331" i="67"/>
  <c r="AP483" i="67"/>
  <c r="AP178" i="67"/>
  <c r="AP25" i="67"/>
  <c r="AP786" i="67"/>
  <c r="AP635" i="67"/>
  <c r="O349" i="67"/>
  <c r="O196" i="67"/>
  <c r="O653" i="67"/>
  <c r="O43" i="67"/>
  <c r="O804" i="67"/>
  <c r="O501" i="67"/>
  <c r="AU435" i="67"/>
  <c r="AU890" i="67"/>
  <c r="AU587" i="67"/>
  <c r="AU129" i="67"/>
  <c r="AU739" i="67"/>
  <c r="AU282" i="67"/>
  <c r="K340" i="67"/>
  <c r="K795" i="67"/>
  <c r="K644" i="67"/>
  <c r="K492" i="67"/>
  <c r="K34" i="67"/>
  <c r="K187" i="67"/>
  <c r="L341" i="67"/>
  <c r="L35" i="67"/>
  <c r="L796" i="67"/>
  <c r="L645" i="67"/>
  <c r="L188" i="67"/>
  <c r="L493" i="67"/>
  <c r="AU339" i="67"/>
  <c r="AU794" i="67"/>
  <c r="AU643" i="67"/>
  <c r="AU186" i="67"/>
  <c r="AU491" i="67"/>
  <c r="AU33" i="67"/>
  <c r="AP357" i="67"/>
  <c r="AP204" i="67"/>
  <c r="AP509" i="67"/>
  <c r="AP812" i="67"/>
  <c r="AP51" i="67"/>
  <c r="AP661" i="67"/>
  <c r="X341" i="67"/>
  <c r="X493" i="67"/>
  <c r="X188" i="67"/>
  <c r="X645" i="67"/>
  <c r="X35" i="67"/>
  <c r="X796" i="67"/>
  <c r="M341" i="67"/>
  <c r="M35" i="67"/>
  <c r="M493" i="67"/>
  <c r="M645" i="67"/>
  <c r="M188" i="67"/>
  <c r="M796" i="67"/>
  <c r="O341" i="67"/>
  <c r="O796" i="67"/>
  <c r="O645" i="67"/>
  <c r="O188" i="67"/>
  <c r="O493" i="67"/>
  <c r="O35" i="67"/>
  <c r="AS443" i="67"/>
  <c r="AS747" i="67"/>
  <c r="AS595" i="67"/>
  <c r="AS898" i="67"/>
  <c r="AS290" i="67"/>
  <c r="AS137" i="67"/>
  <c r="AK763" i="67"/>
  <c r="AK459" i="67"/>
  <c r="AK914" i="67"/>
  <c r="AK611" i="67"/>
  <c r="AK306" i="67"/>
  <c r="AK153" i="67"/>
  <c r="T339" i="67"/>
  <c r="T33" i="67"/>
  <c r="T186" i="67"/>
  <c r="T643" i="67"/>
  <c r="T491" i="67"/>
  <c r="T794" i="67"/>
  <c r="Z357" i="67"/>
  <c r="Z661" i="67"/>
  <c r="Z204" i="67"/>
  <c r="Z812" i="67"/>
  <c r="Z51" i="67"/>
  <c r="Z509" i="67"/>
  <c r="AD595" i="67"/>
  <c r="AD898" i="67"/>
  <c r="AD290" i="67"/>
  <c r="AD443" i="67"/>
  <c r="AD747" i="67"/>
  <c r="AD137" i="67"/>
  <c r="S914" i="67"/>
  <c r="S459" i="67"/>
  <c r="S763" i="67"/>
  <c r="S306" i="67"/>
  <c r="S153" i="67"/>
  <c r="S611" i="67"/>
  <c r="AH339" i="67"/>
  <c r="AH33" i="67"/>
  <c r="AH643" i="67"/>
  <c r="AH186" i="67"/>
  <c r="AH794" i="67"/>
  <c r="AH491" i="67"/>
  <c r="AA914" i="67"/>
  <c r="AA459" i="67"/>
  <c r="AA763" i="67"/>
  <c r="AA611" i="67"/>
  <c r="AA306" i="67"/>
  <c r="AA153" i="67"/>
  <c r="Y158" i="67"/>
  <c r="Y917" i="67"/>
  <c r="AF917" i="67"/>
  <c r="AF158" i="67"/>
  <c r="AU918" i="67"/>
  <c r="AU159" i="67"/>
  <c r="AH917" i="67"/>
  <c r="AH158" i="67"/>
  <c r="AV159" i="67"/>
  <c r="AV918" i="67"/>
  <c r="AF338" i="67"/>
  <c r="AF642" i="67"/>
  <c r="AF185" i="67"/>
  <c r="AF490" i="67"/>
  <c r="AF32" i="67"/>
  <c r="V340" i="67"/>
  <c r="V644" i="67"/>
  <c r="V34" i="67"/>
  <c r="V795" i="67"/>
  <c r="V492" i="67"/>
  <c r="V187" i="67"/>
  <c r="AN356" i="67"/>
  <c r="AN811" i="67"/>
  <c r="AN660" i="67"/>
  <c r="AN203" i="67"/>
  <c r="AN508" i="67"/>
  <c r="AN50" i="67"/>
  <c r="BH26" i="68"/>
  <c r="AG24" i="62" s="1"/>
  <c r="AA358" i="67"/>
  <c r="AA662" i="67"/>
  <c r="AA813" i="67"/>
  <c r="AA510" i="67"/>
  <c r="AA52" i="67"/>
  <c r="AA205" i="67"/>
  <c r="P356" i="67"/>
  <c r="P811" i="67"/>
  <c r="P660" i="67"/>
  <c r="P50" i="67"/>
  <c r="P203" i="67"/>
  <c r="P508" i="67"/>
  <c r="AJ26" i="68"/>
  <c r="I24" i="62" s="1"/>
  <c r="R340" i="67"/>
  <c r="R795" i="67"/>
  <c r="R187" i="67"/>
  <c r="R644" i="67"/>
  <c r="R492" i="67"/>
  <c r="R34" i="67"/>
  <c r="AU340" i="67"/>
  <c r="AU644" i="67"/>
  <c r="AU795" i="67"/>
  <c r="AU34" i="67"/>
  <c r="AU187" i="67"/>
  <c r="AU492" i="67"/>
  <c r="AP356" i="67"/>
  <c r="AP811" i="67"/>
  <c r="AP660" i="67"/>
  <c r="AP203" i="67"/>
  <c r="AP508" i="67"/>
  <c r="AP50" i="67"/>
  <c r="BJ26" i="68"/>
  <c r="AI24" i="62" s="1"/>
  <c r="AH897" i="67"/>
  <c r="AH442" i="67"/>
  <c r="AH746" i="67"/>
  <c r="AH289" i="67"/>
  <c r="AH136" i="67"/>
  <c r="AH594" i="67"/>
  <c r="AB340" i="67"/>
  <c r="AB795" i="67"/>
  <c r="AB492" i="67"/>
  <c r="AB34" i="67"/>
  <c r="AB187" i="67"/>
  <c r="AB644" i="67"/>
  <c r="O338" i="67"/>
  <c r="O642" i="67"/>
  <c r="O490" i="67"/>
  <c r="O32" i="67"/>
  <c r="O185" i="67"/>
  <c r="AO338" i="67"/>
  <c r="AO642" i="67"/>
  <c r="AO490" i="67"/>
  <c r="AO32" i="67"/>
  <c r="AO185" i="67"/>
  <c r="AI356" i="67"/>
  <c r="AI660" i="67"/>
  <c r="AI811" i="67"/>
  <c r="AI508" i="67"/>
  <c r="AI50" i="67"/>
  <c r="AI203" i="67"/>
  <c r="BC26" i="68"/>
  <c r="AB24" i="62" s="1"/>
  <c r="Z442" i="67"/>
  <c r="Z897" i="67"/>
  <c r="Z746" i="67"/>
  <c r="Z289" i="67"/>
  <c r="Z594" i="67"/>
  <c r="Z136" i="67"/>
  <c r="AL435" i="67"/>
  <c r="AL587" i="67"/>
  <c r="AL282" i="67"/>
  <c r="AL739" i="67"/>
  <c r="AL890" i="67"/>
  <c r="AL129" i="67"/>
  <c r="AJ739" i="67"/>
  <c r="AJ282" i="67"/>
  <c r="AJ587" i="67"/>
  <c r="AJ435" i="67"/>
  <c r="AJ129" i="67"/>
  <c r="AJ890" i="67"/>
  <c r="AJ164" i="67"/>
  <c r="AJ317" i="67"/>
  <c r="AJ11" i="67"/>
  <c r="AJ621" i="67"/>
  <c r="AJ772" i="67"/>
  <c r="BQ13" i="68"/>
  <c r="AP14" i="62" s="1"/>
  <c r="AW330" i="67"/>
  <c r="AW785" i="67"/>
  <c r="AW634" i="67"/>
  <c r="AW24" i="67"/>
  <c r="AW177" i="67"/>
  <c r="AW482" i="67"/>
  <c r="Z349" i="67"/>
  <c r="Z43" i="67"/>
  <c r="Z653" i="67"/>
  <c r="Z196" i="67"/>
  <c r="Z804" i="67"/>
  <c r="Z501" i="67"/>
  <c r="W890" i="67"/>
  <c r="W435" i="67"/>
  <c r="W587" i="67"/>
  <c r="W739" i="67"/>
  <c r="W129" i="67"/>
  <c r="W282" i="67"/>
  <c r="AI349" i="67"/>
  <c r="AI196" i="67"/>
  <c r="AI501" i="67"/>
  <c r="AI653" i="67"/>
  <c r="AI43" i="67"/>
  <c r="AI804" i="67"/>
  <c r="AI164" i="67"/>
  <c r="AI317" i="67"/>
  <c r="AI621" i="67"/>
  <c r="AI11" i="67"/>
  <c r="AI772" i="67"/>
  <c r="R331" i="67"/>
  <c r="R635" i="67"/>
  <c r="R178" i="67"/>
  <c r="R483" i="67"/>
  <c r="R786" i="67"/>
  <c r="R25" i="67"/>
  <c r="AB349" i="67"/>
  <c r="AB196" i="67"/>
  <c r="AB43" i="67"/>
  <c r="AB804" i="67"/>
  <c r="AB653" i="67"/>
  <c r="AB501" i="67"/>
  <c r="N435" i="67"/>
  <c r="N129" i="67"/>
  <c r="N282" i="67"/>
  <c r="N739" i="67"/>
  <c r="N587" i="67"/>
  <c r="N890" i="67"/>
  <c r="AD145" i="67"/>
  <c r="AD603" i="67"/>
  <c r="AD755" i="67"/>
  <c r="AD298" i="67"/>
  <c r="AD451" i="67"/>
  <c r="AD906" i="67"/>
  <c r="AD164" i="67"/>
  <c r="AD317" i="67"/>
  <c r="AD772" i="67"/>
  <c r="AD11" i="67"/>
  <c r="AD621" i="67"/>
  <c r="AE331" i="67"/>
  <c r="AE178" i="67"/>
  <c r="AE786" i="67"/>
  <c r="AE483" i="67"/>
  <c r="AE635" i="67"/>
  <c r="AE25" i="67"/>
  <c r="AT349" i="67"/>
  <c r="AT653" i="67"/>
  <c r="AT43" i="67"/>
  <c r="AT804" i="67"/>
  <c r="AT501" i="67"/>
  <c r="AT196" i="67"/>
  <c r="X435" i="67"/>
  <c r="X587" i="67"/>
  <c r="X739" i="67"/>
  <c r="X282" i="67"/>
  <c r="X129" i="67"/>
  <c r="X890" i="67"/>
  <c r="AR587" i="67"/>
  <c r="AR435" i="67"/>
  <c r="AR739" i="67"/>
  <c r="AR129" i="67"/>
  <c r="AR890" i="67"/>
  <c r="AR282" i="67"/>
  <c r="AR164" i="67"/>
  <c r="AR317" i="67"/>
  <c r="AR11" i="67"/>
  <c r="AR621" i="67"/>
  <c r="AR772" i="67"/>
  <c r="AA331" i="67"/>
  <c r="AA25" i="67"/>
  <c r="AA178" i="67"/>
  <c r="AA635" i="67"/>
  <c r="AA786" i="67"/>
  <c r="AA483" i="67"/>
  <c r="AV349" i="67"/>
  <c r="AV804" i="67"/>
  <c r="AV501" i="67"/>
  <c r="AV43" i="67"/>
  <c r="AV653" i="67"/>
  <c r="AV196" i="67"/>
  <c r="AG129" i="67"/>
  <c r="AG282" i="67"/>
  <c r="AG435" i="67"/>
  <c r="AG739" i="67"/>
  <c r="AG587" i="67"/>
  <c r="AG890" i="67"/>
  <c r="AC451" i="67"/>
  <c r="AC906" i="67"/>
  <c r="AC755" i="67"/>
  <c r="AC298" i="67"/>
  <c r="AC145" i="67"/>
  <c r="AC603" i="67"/>
  <c r="AC164" i="67"/>
  <c r="AC317" i="67"/>
  <c r="AC11" i="67"/>
  <c r="AC621" i="67"/>
  <c r="AC772" i="67"/>
  <c r="AO331" i="67"/>
  <c r="AO483" i="67"/>
  <c r="AO635" i="67"/>
  <c r="AO25" i="67"/>
  <c r="AO178" i="67"/>
  <c r="AO786" i="67"/>
  <c r="AF21" i="68"/>
  <c r="E21" i="62" s="1"/>
  <c r="L348" i="67"/>
  <c r="L652" i="67"/>
  <c r="L195" i="67"/>
  <c r="L803" i="67"/>
  <c r="L500" i="67"/>
  <c r="L42" i="67"/>
  <c r="L898" i="67"/>
  <c r="L443" i="67"/>
  <c r="L290" i="67"/>
  <c r="L747" i="67"/>
  <c r="L137" i="67"/>
  <c r="L595" i="67"/>
  <c r="AP359" i="67"/>
  <c r="AP663" i="67"/>
  <c r="AP206" i="67"/>
  <c r="AP814" i="67"/>
  <c r="AP511" i="67"/>
  <c r="AP53" i="67"/>
  <c r="AJ611" i="67"/>
  <c r="AJ153" i="67"/>
  <c r="AJ459" i="67"/>
  <c r="AJ763" i="67"/>
  <c r="AJ306" i="67"/>
  <c r="AJ914" i="67"/>
  <c r="AB747" i="67"/>
  <c r="AB443" i="67"/>
  <c r="AB595" i="67"/>
  <c r="AB898" i="67"/>
  <c r="AB137" i="67"/>
  <c r="AB290" i="67"/>
  <c r="U914" i="67"/>
  <c r="U763" i="67"/>
  <c r="U153" i="67"/>
  <c r="U459" i="67"/>
  <c r="U611" i="67"/>
  <c r="U306" i="67"/>
  <c r="N443" i="67"/>
  <c r="N137" i="67"/>
  <c r="N898" i="67"/>
  <c r="N290" i="67"/>
  <c r="N747" i="67"/>
  <c r="N595" i="67"/>
  <c r="AT158" i="67"/>
  <c r="AT917" i="67"/>
  <c r="M159" i="67"/>
  <c r="M918" i="67"/>
  <c r="AG158" i="67"/>
  <c r="AG917" i="67"/>
  <c r="AT746" i="67"/>
  <c r="AT897" i="67"/>
  <c r="AT442" i="67"/>
  <c r="AT594" i="67"/>
  <c r="AT136" i="67"/>
  <c r="AT289" i="67"/>
  <c r="AD913" i="67"/>
  <c r="AD458" i="67"/>
  <c r="AD762" i="67"/>
  <c r="AD610" i="67"/>
  <c r="AD305" i="67"/>
  <c r="AD152" i="67"/>
  <c r="AW338" i="67"/>
  <c r="AW642" i="67"/>
  <c r="AW490" i="67"/>
  <c r="AW32" i="67"/>
  <c r="AW185" i="67"/>
  <c r="M897" i="67"/>
  <c r="M442" i="67"/>
  <c r="M746" i="67"/>
  <c r="M594" i="67"/>
  <c r="M136" i="67"/>
  <c r="M289" i="67"/>
  <c r="AP358" i="67"/>
  <c r="AP662" i="67"/>
  <c r="AP813" i="67"/>
  <c r="AP510" i="67"/>
  <c r="AP52" i="67"/>
  <c r="AP205" i="67"/>
  <c r="AI358" i="67"/>
  <c r="AI510" i="67"/>
  <c r="AI662" i="67"/>
  <c r="AI813" i="67"/>
  <c r="AI52" i="67"/>
  <c r="AI205" i="67"/>
  <c r="AW349" i="67"/>
  <c r="AW196" i="67"/>
  <c r="AW43" i="67"/>
  <c r="AW653" i="67"/>
  <c r="AW501" i="67"/>
  <c r="AW804" i="67"/>
  <c r="R281" i="67"/>
  <c r="R434" i="67"/>
  <c r="R738" i="67"/>
  <c r="R128" i="67"/>
  <c r="R889" i="67"/>
  <c r="R586" i="67"/>
  <c r="AE330" i="67"/>
  <c r="AE785" i="67"/>
  <c r="AE24" i="67"/>
  <c r="AE482" i="67"/>
  <c r="AY13" i="68"/>
  <c r="X14" i="62" s="1"/>
  <c r="AE177" i="67"/>
  <c r="AE634" i="67"/>
  <c r="BL21" i="68"/>
  <c r="AK21" i="62" s="1"/>
  <c r="AR348" i="67"/>
  <c r="AR42" i="67"/>
  <c r="AR803" i="67"/>
  <c r="AR652" i="67"/>
  <c r="AR195" i="67"/>
  <c r="AR500" i="67"/>
  <c r="AO434" i="67"/>
  <c r="AO889" i="67"/>
  <c r="AO586" i="67"/>
  <c r="AO128" i="67"/>
  <c r="AO738" i="67"/>
  <c r="AO281" i="67"/>
  <c r="AV338" i="67"/>
  <c r="AV642" i="67"/>
  <c r="AV185" i="67"/>
  <c r="AV490" i="67"/>
  <c r="AV32" i="67"/>
  <c r="AK331" i="67"/>
  <c r="AK635" i="67"/>
  <c r="AK178" i="67"/>
  <c r="AK786" i="67"/>
  <c r="AK25" i="67"/>
  <c r="AK483" i="67"/>
  <c r="AF349" i="67"/>
  <c r="AF501" i="67"/>
  <c r="AF43" i="67"/>
  <c r="AF653" i="67"/>
  <c r="AF196" i="67"/>
  <c r="AF804" i="67"/>
  <c r="AH282" i="67"/>
  <c r="AH435" i="67"/>
  <c r="AH587" i="67"/>
  <c r="AH129" i="67"/>
  <c r="AH739" i="67"/>
  <c r="AH890" i="67"/>
  <c r="AH358" i="67"/>
  <c r="AH662" i="67"/>
  <c r="AH813" i="67"/>
  <c r="AH205" i="67"/>
  <c r="AH510" i="67"/>
  <c r="AH52" i="67"/>
  <c r="AL297" i="67"/>
  <c r="AL144" i="67"/>
  <c r="AL754" i="67"/>
  <c r="AL450" i="67"/>
  <c r="AL602" i="67"/>
  <c r="AL905" i="67"/>
  <c r="AL163" i="67"/>
  <c r="AL316" i="67"/>
  <c r="AL620" i="67"/>
  <c r="AL10" i="67"/>
  <c r="AL771" i="67"/>
  <c r="AT13" i="68"/>
  <c r="S14" i="62" s="1"/>
  <c r="Z330" i="67"/>
  <c r="Z634" i="67"/>
  <c r="Z785" i="67"/>
  <c r="Z24" i="67"/>
  <c r="Z177" i="67"/>
  <c r="Z482" i="67"/>
  <c r="BC21" i="68"/>
  <c r="AB21" i="62" s="1"/>
  <c r="AI348" i="67"/>
  <c r="AI803" i="67"/>
  <c r="AI652" i="67"/>
  <c r="AI195" i="67"/>
  <c r="AI500" i="67"/>
  <c r="AI42" i="67"/>
  <c r="N450" i="67"/>
  <c r="N754" i="67"/>
  <c r="N297" i="67"/>
  <c r="N602" i="67"/>
  <c r="N144" i="67"/>
  <c r="N905" i="67"/>
  <c r="AT754" i="67"/>
  <c r="AT144" i="67"/>
  <c r="AT602" i="67"/>
  <c r="AT450" i="67"/>
  <c r="AT297" i="67"/>
  <c r="AT905" i="67"/>
  <c r="AT163" i="67"/>
  <c r="AT316" i="67"/>
  <c r="AT10" i="67"/>
  <c r="AT620" i="67"/>
  <c r="AT771" i="67"/>
  <c r="AA330" i="67"/>
  <c r="AA482" i="67"/>
  <c r="AA24" i="67"/>
  <c r="AA634" i="67"/>
  <c r="AA177" i="67"/>
  <c r="AA785" i="67"/>
  <c r="AU13" i="68"/>
  <c r="T14" i="62" s="1"/>
  <c r="AC889" i="67"/>
  <c r="AC434" i="67"/>
  <c r="AC586" i="67"/>
  <c r="AC738" i="67"/>
  <c r="AC128" i="67"/>
  <c r="AC281" i="67"/>
  <c r="AI914" i="67"/>
  <c r="AI459" i="67"/>
  <c r="AI763" i="67"/>
  <c r="AI153" i="67"/>
  <c r="AI611" i="67"/>
  <c r="AI306" i="67"/>
  <c r="AG339" i="67"/>
  <c r="AG491" i="67"/>
  <c r="AG33" i="67"/>
  <c r="AG643" i="67"/>
  <c r="AG186" i="67"/>
  <c r="AG794" i="67"/>
  <c r="W359" i="67"/>
  <c r="W511" i="67"/>
  <c r="W53" i="67"/>
  <c r="W663" i="67"/>
  <c r="W206" i="67"/>
  <c r="W814" i="67"/>
  <c r="AO357" i="67"/>
  <c r="AO661" i="67"/>
  <c r="AO51" i="67"/>
  <c r="AO812" i="67"/>
  <c r="AO509" i="67"/>
  <c r="AO204" i="67"/>
  <c r="AM290" i="67"/>
  <c r="AM443" i="67"/>
  <c r="AM595" i="67"/>
  <c r="AM898" i="67"/>
  <c r="AM747" i="67"/>
  <c r="AM137" i="67"/>
  <c r="AB359" i="67"/>
  <c r="AB663" i="67"/>
  <c r="AB206" i="67"/>
  <c r="AB814" i="67"/>
  <c r="AB53" i="67"/>
  <c r="AB511" i="67"/>
  <c r="AE763" i="67"/>
  <c r="AE459" i="67"/>
  <c r="AE914" i="67"/>
  <c r="AE306" i="67"/>
  <c r="AE153" i="67"/>
  <c r="AE611" i="67"/>
  <c r="AC158" i="67"/>
  <c r="AC917" i="67"/>
  <c r="AN917" i="67"/>
  <c r="AN158" i="67"/>
  <c r="AW158" i="67"/>
  <c r="AW917" i="67"/>
  <c r="T442" i="67"/>
  <c r="T746" i="67"/>
  <c r="T897" i="67"/>
  <c r="T289" i="67"/>
  <c r="T594" i="67"/>
  <c r="T136" i="67"/>
  <c r="AS762" i="67"/>
  <c r="AS458" i="67"/>
  <c r="AS913" i="67"/>
  <c r="AS152" i="67"/>
  <c r="AS610" i="67"/>
  <c r="AS305" i="67"/>
  <c r="W338" i="67"/>
  <c r="W642" i="67"/>
  <c r="W490" i="67"/>
  <c r="W32" i="67"/>
  <c r="W185" i="67"/>
  <c r="AG356" i="67"/>
  <c r="AG811" i="67"/>
  <c r="AG660" i="67"/>
  <c r="AG508" i="67"/>
  <c r="AG50" i="67"/>
  <c r="AG203" i="67"/>
  <c r="BA26" i="68"/>
  <c r="Z24" i="62" s="1"/>
  <c r="AQ897" i="67"/>
  <c r="AQ442" i="67"/>
  <c r="AQ746" i="67"/>
  <c r="AQ136" i="67"/>
  <c r="AQ289" i="67"/>
  <c r="AQ594" i="67"/>
  <c r="AM340" i="67"/>
  <c r="AM644" i="67"/>
  <c r="AM795" i="67"/>
  <c r="AM492" i="67"/>
  <c r="AM34" i="67"/>
  <c r="AM187" i="67"/>
  <c r="AJ795" i="67"/>
  <c r="AJ340" i="67"/>
  <c r="AJ644" i="67"/>
  <c r="AJ492" i="67"/>
  <c r="AJ34" i="67"/>
  <c r="AJ187" i="67"/>
  <c r="S435" i="67"/>
  <c r="S890" i="67"/>
  <c r="S129" i="67"/>
  <c r="S282" i="67"/>
  <c r="S587" i="67"/>
  <c r="S739" i="67"/>
  <c r="Y298" i="67"/>
  <c r="Y755" i="67"/>
  <c r="Y145" i="67"/>
  <c r="Y906" i="67"/>
  <c r="Y451" i="67"/>
  <c r="Y603" i="67"/>
  <c r="Y164" i="67"/>
  <c r="Y317" i="67"/>
  <c r="Y11" i="67"/>
  <c r="Y621" i="67"/>
  <c r="Y772" i="67"/>
  <c r="AQ349" i="67"/>
  <c r="AQ653" i="67"/>
  <c r="AQ196" i="67"/>
  <c r="AQ804" i="67"/>
  <c r="AQ501" i="67"/>
  <c r="AQ43" i="67"/>
  <c r="K163" i="67"/>
  <c r="K316" i="67"/>
  <c r="K620" i="67"/>
  <c r="K771" i="67"/>
  <c r="K10" i="67"/>
  <c r="Q349" i="67"/>
  <c r="Q653" i="67"/>
  <c r="Q501" i="67"/>
  <c r="Q804" i="67"/>
  <c r="Q196" i="67"/>
  <c r="Q43" i="67"/>
  <c r="V435" i="67"/>
  <c r="V587" i="67"/>
  <c r="V282" i="67"/>
  <c r="V739" i="67"/>
  <c r="V129" i="67"/>
  <c r="V890" i="67"/>
  <c r="AM145" i="67"/>
  <c r="AM603" i="67"/>
  <c r="AM451" i="67"/>
  <c r="AM906" i="67"/>
  <c r="AM755" i="67"/>
  <c r="AM298" i="67"/>
  <c r="AM164" i="67"/>
  <c r="AM317" i="67"/>
  <c r="AM621" i="67"/>
  <c r="AM772" i="67"/>
  <c r="AM11" i="67"/>
  <c r="M331" i="67"/>
  <c r="M178" i="67"/>
  <c r="M635" i="67"/>
  <c r="M25" i="67"/>
  <c r="M786" i="67"/>
  <c r="M483" i="67"/>
  <c r="AQ114" i="34"/>
  <c r="X1489" i="67"/>
  <c r="AV119" i="34"/>
  <c r="AC1494" i="67"/>
  <c r="AC1148" i="67"/>
  <c r="AC997" i="67"/>
  <c r="BI122" i="34"/>
  <c r="AP1497" i="67"/>
  <c r="BC106" i="34"/>
  <c r="AJ1481" i="67"/>
  <c r="AJ119" i="34"/>
  <c r="Q1494" i="67"/>
  <c r="Q1148" i="67"/>
  <c r="Q997" i="67"/>
  <c r="AV105" i="34"/>
  <c r="AC983" i="67"/>
  <c r="AC1134" i="67"/>
  <c r="AC1480" i="67"/>
  <c r="AC681" i="67"/>
  <c r="AS103" i="34"/>
  <c r="Z1478" i="67"/>
  <c r="Z1132" i="67"/>
  <c r="Z981" i="67"/>
  <c r="Z679" i="67"/>
  <c r="BI121" i="34"/>
  <c r="AP999" i="67"/>
  <c r="AP1150" i="67"/>
  <c r="AP1496" i="67"/>
  <c r="AM121" i="34"/>
  <c r="T999" i="67"/>
  <c r="T1150" i="67"/>
  <c r="T1496" i="67"/>
  <c r="AL105" i="34"/>
  <c r="S983" i="67"/>
  <c r="S1134" i="67"/>
  <c r="S1480" i="67"/>
  <c r="S681" i="67"/>
  <c r="BL106" i="34"/>
  <c r="AS1481" i="67"/>
  <c r="AR119" i="34"/>
  <c r="Y1494" i="67"/>
  <c r="Y1148" i="67"/>
  <c r="Y997" i="67"/>
  <c r="AS97" i="34"/>
  <c r="Z1472" i="67"/>
  <c r="AD105" i="34"/>
  <c r="K983" i="67"/>
  <c r="K1134" i="67"/>
  <c r="K1480" i="67"/>
  <c r="K681" i="67"/>
  <c r="AR113" i="34"/>
  <c r="Y1488" i="67"/>
  <c r="AQ97" i="34"/>
  <c r="X1472" i="67"/>
  <c r="R914" i="67"/>
  <c r="R306" i="67"/>
  <c r="R459" i="67"/>
  <c r="R153" i="67"/>
  <c r="R611" i="67"/>
  <c r="R763" i="67"/>
  <c r="W357" i="67"/>
  <c r="W812" i="67"/>
  <c r="W204" i="67"/>
  <c r="W509" i="67"/>
  <c r="W661" i="67"/>
  <c r="W51" i="67"/>
  <c r="Z359" i="67"/>
  <c r="Z53" i="67"/>
  <c r="Z511" i="67"/>
  <c r="Z663" i="67"/>
  <c r="Z206" i="67"/>
  <c r="Z814" i="67"/>
  <c r="AR306" i="67"/>
  <c r="AR914" i="67"/>
  <c r="AR459" i="67"/>
  <c r="AR763" i="67"/>
  <c r="AR611" i="67"/>
  <c r="AR153" i="67"/>
  <c r="AQ158" i="67"/>
  <c r="AQ917" i="67"/>
  <c r="S338" i="67"/>
  <c r="S642" i="67"/>
  <c r="S490" i="67"/>
  <c r="S32" i="67"/>
  <c r="S185" i="67"/>
  <c r="AL338" i="67"/>
  <c r="AL642" i="67"/>
  <c r="AL490" i="67"/>
  <c r="AL32" i="67"/>
  <c r="AL185" i="67"/>
  <c r="AA660" i="67"/>
  <c r="AA356" i="67"/>
  <c r="AA811" i="67"/>
  <c r="AA203" i="67"/>
  <c r="AA508" i="67"/>
  <c r="AA50" i="67"/>
  <c r="AU26" i="68"/>
  <c r="T24" i="62" s="1"/>
  <c r="K458" i="67"/>
  <c r="K913" i="67"/>
  <c r="K762" i="67"/>
  <c r="K152" i="67"/>
  <c r="K305" i="67"/>
  <c r="K610" i="67"/>
  <c r="U358" i="67"/>
  <c r="U662" i="67"/>
  <c r="U813" i="67"/>
  <c r="U510" i="67"/>
  <c r="U52" i="67"/>
  <c r="U205" i="67"/>
  <c r="X442" i="67"/>
  <c r="X897" i="67"/>
  <c r="X746" i="67"/>
  <c r="X136" i="67"/>
  <c r="X289" i="67"/>
  <c r="X594" i="67"/>
  <c r="AJ338" i="67"/>
  <c r="AJ642" i="67"/>
  <c r="AJ490" i="67"/>
  <c r="AJ32" i="67"/>
  <c r="AJ185" i="67"/>
  <c r="Y356" i="67"/>
  <c r="Y811" i="67"/>
  <c r="Y508" i="67"/>
  <c r="Y660" i="67"/>
  <c r="Y50" i="67"/>
  <c r="Y203" i="67"/>
  <c r="AS26" i="68"/>
  <c r="R24" i="62" s="1"/>
  <c r="T434" i="67"/>
  <c r="T738" i="67"/>
  <c r="T586" i="67"/>
  <c r="T128" i="67"/>
  <c r="T281" i="67"/>
  <c r="T889" i="67"/>
  <c r="S163" i="67"/>
  <c r="S316" i="67"/>
  <c r="S620" i="67"/>
  <c r="S771" i="67"/>
  <c r="S10" i="67"/>
  <c r="AJ13" i="68"/>
  <c r="I14" i="62" s="1"/>
  <c r="P330" i="67"/>
  <c r="P177" i="67"/>
  <c r="P634" i="67"/>
  <c r="P785" i="67"/>
  <c r="P482" i="67"/>
  <c r="P24" i="67"/>
  <c r="U434" i="67"/>
  <c r="U889" i="67"/>
  <c r="U586" i="67"/>
  <c r="U738" i="67"/>
  <c r="U128" i="67"/>
  <c r="U281" i="67"/>
  <c r="AQ163" i="67"/>
  <c r="AQ316" i="67"/>
  <c r="AQ620" i="67"/>
  <c r="AQ771" i="67"/>
  <c r="AQ10" i="67"/>
  <c r="AS330" i="67"/>
  <c r="BM13" i="68"/>
  <c r="AL14" i="62" s="1"/>
  <c r="AS482" i="67"/>
  <c r="AS634" i="67"/>
  <c r="AS177" i="67"/>
  <c r="AS785" i="67"/>
  <c r="AS24" i="67"/>
  <c r="K451" i="67"/>
  <c r="K298" i="67"/>
  <c r="K145" i="67"/>
  <c r="K603" i="67"/>
  <c r="K755" i="67"/>
  <c r="K906" i="67"/>
  <c r="AN163" i="67"/>
  <c r="AN316" i="67"/>
  <c r="AN620" i="67"/>
  <c r="AN10" i="67"/>
  <c r="AN771" i="67"/>
  <c r="AP348" i="67"/>
  <c r="AP500" i="67"/>
  <c r="AP195" i="67"/>
  <c r="AP652" i="67"/>
  <c r="AP803" i="67"/>
  <c r="AP42" i="67"/>
  <c r="BJ21" i="68"/>
  <c r="AI21" i="62" s="1"/>
  <c r="V738" i="67"/>
  <c r="V586" i="67"/>
  <c r="V434" i="67"/>
  <c r="V128" i="67"/>
  <c r="V281" i="67"/>
  <c r="V889" i="67"/>
  <c r="BG21" i="68"/>
  <c r="AF21" i="62" s="1"/>
  <c r="AM348" i="67"/>
  <c r="AM500" i="67"/>
  <c r="AM652" i="67"/>
  <c r="AM42" i="67"/>
  <c r="AM803" i="67"/>
  <c r="AM195" i="67"/>
  <c r="AU602" i="67"/>
  <c r="AU297" i="67"/>
  <c r="AU450" i="67"/>
  <c r="AU144" i="67"/>
  <c r="AU754" i="67"/>
  <c r="AU905" i="67"/>
  <c r="AU163" i="67"/>
  <c r="AU316" i="67"/>
  <c r="AU620" i="67"/>
  <c r="AU771" i="67"/>
  <c r="AU10" i="67"/>
  <c r="X459" i="67"/>
  <c r="X914" i="67"/>
  <c r="X611" i="67"/>
  <c r="X153" i="67"/>
  <c r="X306" i="67"/>
  <c r="X763" i="67"/>
  <c r="P341" i="67"/>
  <c r="P645" i="67"/>
  <c r="P35" i="67"/>
  <c r="P796" i="67"/>
  <c r="P493" i="67"/>
  <c r="P188" i="67"/>
  <c r="AQ443" i="67"/>
  <c r="AQ595" i="67"/>
  <c r="AQ137" i="67"/>
  <c r="AQ898" i="67"/>
  <c r="AQ290" i="67"/>
  <c r="AQ747" i="67"/>
  <c r="R917" i="67"/>
  <c r="R158" i="67"/>
  <c r="AU913" i="67"/>
  <c r="AU458" i="67"/>
  <c r="AU762" i="67"/>
  <c r="AU305" i="67"/>
  <c r="AU152" i="67"/>
  <c r="AU610" i="67"/>
  <c r="AB338" i="67"/>
  <c r="AB642" i="67"/>
  <c r="AB32" i="67"/>
  <c r="AB490" i="67"/>
  <c r="AB185" i="67"/>
  <c r="AE811" i="67"/>
  <c r="AE356" i="67"/>
  <c r="AE660" i="67"/>
  <c r="AE508" i="67"/>
  <c r="AE50" i="67"/>
  <c r="AE203" i="67"/>
  <c r="AY26" i="68"/>
  <c r="X24" i="62" s="1"/>
  <c r="AV21" i="68"/>
  <c r="U21" i="62" s="1"/>
  <c r="AB348" i="67"/>
  <c r="AB195" i="67"/>
  <c r="AB500" i="67"/>
  <c r="AB42" i="67"/>
  <c r="AB652" i="67"/>
  <c r="AB803" i="67"/>
  <c r="AD163" i="67"/>
  <c r="AD316" i="67"/>
  <c r="AD620" i="67"/>
  <c r="AD771" i="67"/>
  <c r="AD10" i="67"/>
  <c r="AG434" i="67"/>
  <c r="AG889" i="67"/>
  <c r="AG128" i="67"/>
  <c r="AG281" i="67"/>
  <c r="AG586" i="67"/>
  <c r="AG738" i="67"/>
  <c r="L164" i="67"/>
  <c r="L317" i="67"/>
  <c r="L772" i="67"/>
  <c r="L11" i="67"/>
  <c r="L621" i="67"/>
  <c r="Y595" i="67"/>
  <c r="Y747" i="67"/>
  <c r="Y290" i="67"/>
  <c r="Y137" i="67"/>
  <c r="Y443" i="67"/>
  <c r="Y898" i="67"/>
  <c r="AN357" i="67"/>
  <c r="AN812" i="67"/>
  <c r="AN204" i="67"/>
  <c r="AN661" i="67"/>
  <c r="AN509" i="67"/>
  <c r="AN51" i="67"/>
  <c r="AT340" i="67"/>
  <c r="AT492" i="67"/>
  <c r="AT644" i="67"/>
  <c r="AT34" i="67"/>
  <c r="AT795" i="67"/>
  <c r="AT187" i="67"/>
  <c r="AW358" i="67"/>
  <c r="AW813" i="67"/>
  <c r="AW662" i="67"/>
  <c r="AW510" i="67"/>
  <c r="AW52" i="67"/>
  <c r="AW205" i="67"/>
  <c r="L338" i="67"/>
  <c r="L642" i="67"/>
  <c r="L32" i="67"/>
  <c r="L490" i="67"/>
  <c r="L185" i="67"/>
  <c r="Y358" i="67"/>
  <c r="Y813" i="67"/>
  <c r="Y662" i="67"/>
  <c r="Y205" i="67"/>
  <c r="Y510" i="67"/>
  <c r="Y52" i="67"/>
  <c r="T349" i="67"/>
  <c r="T804" i="67"/>
  <c r="T653" i="67"/>
  <c r="T501" i="67"/>
  <c r="T196" i="67"/>
  <c r="T43" i="67"/>
  <c r="U164" i="67"/>
  <c r="U317" i="67"/>
  <c r="U11" i="67"/>
  <c r="U772" i="67"/>
  <c r="U621" i="67"/>
  <c r="AP129" i="67"/>
  <c r="AP435" i="67"/>
  <c r="AP739" i="67"/>
  <c r="AP587" i="67"/>
  <c r="AP282" i="67"/>
  <c r="AP890" i="67"/>
  <c r="AU331" i="67"/>
  <c r="AU635" i="67"/>
  <c r="AU483" i="67"/>
  <c r="AU178" i="67"/>
  <c r="AU25" i="67"/>
  <c r="AU786" i="67"/>
  <c r="AU290" i="67"/>
  <c r="AU595" i="67"/>
  <c r="AU137" i="67"/>
  <c r="AU443" i="67"/>
  <c r="AU898" i="67"/>
  <c r="AU747" i="67"/>
  <c r="V341" i="67"/>
  <c r="V493" i="67"/>
  <c r="V188" i="67"/>
  <c r="V645" i="67"/>
  <c r="V35" i="67"/>
  <c r="V796" i="67"/>
  <c r="AK357" i="67"/>
  <c r="AK812" i="67"/>
  <c r="AK51" i="67"/>
  <c r="AK509" i="67"/>
  <c r="AK204" i="67"/>
  <c r="AK661" i="67"/>
  <c r="AD339" i="67"/>
  <c r="AD491" i="67"/>
  <c r="AD186" i="67"/>
  <c r="AD643" i="67"/>
  <c r="AD33" i="67"/>
  <c r="AD794" i="67"/>
  <c r="AH443" i="67"/>
  <c r="AH898" i="67"/>
  <c r="AH747" i="67"/>
  <c r="AH290" i="67"/>
  <c r="AH137" i="67"/>
  <c r="AH595" i="67"/>
  <c r="W159" i="67"/>
  <c r="W918" i="67"/>
  <c r="Q158" i="67"/>
  <c r="Q917" i="67"/>
  <c r="AA159" i="67"/>
  <c r="AA918" i="67"/>
  <c r="Z918" i="67"/>
  <c r="Z159" i="67"/>
  <c r="S358" i="67"/>
  <c r="S510" i="67"/>
  <c r="S662" i="67"/>
  <c r="S813" i="67"/>
  <c r="S52" i="67"/>
  <c r="S205" i="67"/>
  <c r="AF897" i="67"/>
  <c r="AF442" i="67"/>
  <c r="AF746" i="67"/>
  <c r="AF289" i="67"/>
  <c r="AF136" i="67"/>
  <c r="AF594" i="67"/>
  <c r="AL358" i="67"/>
  <c r="AL813" i="67"/>
  <c r="AL205" i="67"/>
  <c r="AL510" i="67"/>
  <c r="AL662" i="67"/>
  <c r="AL52" i="67"/>
  <c r="AT164" i="67"/>
  <c r="AT317" i="67"/>
  <c r="AT621" i="67"/>
  <c r="AT772" i="67"/>
  <c r="AT11" i="67"/>
  <c r="AK106" i="34"/>
  <c r="R1481" i="67"/>
  <c r="BA122" i="34"/>
  <c r="AH1497" i="67"/>
  <c r="BH121" i="34"/>
  <c r="AO999" i="67"/>
  <c r="AO1150" i="67"/>
  <c r="AO1496" i="67"/>
  <c r="AZ106" i="34"/>
  <c r="AG1481" i="67"/>
  <c r="AX122" i="34"/>
  <c r="AE1497" i="67"/>
  <c r="AM119" i="34"/>
  <c r="T1494" i="67"/>
  <c r="T1148" i="67"/>
  <c r="T997" i="67"/>
  <c r="AK121" i="34"/>
  <c r="R999" i="67"/>
  <c r="R1150" i="67"/>
  <c r="R1496" i="67"/>
  <c r="AS119" i="34"/>
  <c r="Z1494" i="67"/>
  <c r="Z1148" i="67"/>
  <c r="Z997" i="67"/>
  <c r="AW122" i="34"/>
  <c r="AD1497" i="67"/>
  <c r="BB122" i="34"/>
  <c r="AI1497" i="67"/>
  <c r="AN114" i="34"/>
  <c r="U1489" i="67"/>
  <c r="AM105" i="34"/>
  <c r="T983" i="67"/>
  <c r="T1134" i="67"/>
  <c r="T1480" i="67"/>
  <c r="T681" i="67"/>
  <c r="BL122" i="34"/>
  <c r="AS1497" i="67"/>
  <c r="AT105" i="34"/>
  <c r="AA983" i="67"/>
  <c r="AA1134" i="67"/>
  <c r="AA1480" i="67"/>
  <c r="AA681" i="67"/>
  <c r="BP122" i="34"/>
  <c r="AW1497" i="67"/>
  <c r="AO105" i="34"/>
  <c r="V983" i="67"/>
  <c r="V1134" i="67"/>
  <c r="V1480" i="67"/>
  <c r="V681" i="67"/>
  <c r="BL121" i="34"/>
  <c r="AS999" i="67"/>
  <c r="AS1150" i="67"/>
  <c r="AS1496" i="67"/>
  <c r="BD121" i="34"/>
  <c r="AK999" i="67"/>
  <c r="AK1150" i="67"/>
  <c r="AK1496" i="67"/>
  <c r="O385" i="67"/>
  <c r="O840" i="67"/>
  <c r="O689" i="67"/>
  <c r="O79" i="67"/>
  <c r="O537" i="67"/>
  <c r="O232" i="67"/>
  <c r="AI121" i="34"/>
  <c r="P999" i="67"/>
  <c r="P1150" i="67"/>
  <c r="P1496" i="67"/>
  <c r="AF121" i="34"/>
  <c r="M999" i="67"/>
  <c r="M1150" i="67"/>
  <c r="M1496" i="67"/>
  <c r="AH105" i="34"/>
  <c r="O983" i="67"/>
  <c r="O1134" i="67"/>
  <c r="O1480" i="67"/>
  <c r="O681" i="67"/>
  <c r="AH106" i="34"/>
  <c r="O1481" i="67"/>
  <c r="AD121" i="34"/>
  <c r="K999" i="67"/>
  <c r="K1150" i="67"/>
  <c r="K1496" i="67"/>
  <c r="AU113" i="34"/>
  <c r="AB1488" i="67"/>
  <c r="AO113" i="34"/>
  <c r="V1488" i="67"/>
  <c r="AI359" i="67"/>
  <c r="AI206" i="67"/>
  <c r="AI663" i="67"/>
  <c r="AI53" i="67"/>
  <c r="AI814" i="67"/>
  <c r="AI511" i="67"/>
  <c r="AW357" i="67"/>
  <c r="AW661" i="67"/>
  <c r="AW51" i="67"/>
  <c r="AW812" i="67"/>
  <c r="AW509" i="67"/>
  <c r="AW204" i="67"/>
  <c r="V357" i="67"/>
  <c r="V204" i="67"/>
  <c r="V661" i="67"/>
  <c r="V51" i="67"/>
  <c r="V812" i="67"/>
  <c r="V509" i="67"/>
  <c r="AV459" i="67"/>
  <c r="AV153" i="67"/>
  <c r="AV306" i="67"/>
  <c r="AV914" i="67"/>
  <c r="AV763" i="67"/>
  <c r="AV611" i="67"/>
  <c r="AK341" i="67"/>
  <c r="AK645" i="67"/>
  <c r="AK188" i="67"/>
  <c r="AK796" i="67"/>
  <c r="AK493" i="67"/>
  <c r="AK35" i="67"/>
  <c r="S341" i="67"/>
  <c r="S493" i="67"/>
  <c r="S188" i="67"/>
  <c r="S645" i="67"/>
  <c r="S796" i="67"/>
  <c r="S35" i="67"/>
  <c r="P159" i="67"/>
  <c r="P918" i="67"/>
  <c r="AL913" i="67"/>
  <c r="AL458" i="67"/>
  <c r="AL762" i="67"/>
  <c r="AL610" i="67"/>
  <c r="AL305" i="67"/>
  <c r="AL152" i="67"/>
  <c r="R762" i="67"/>
  <c r="R458" i="67"/>
  <c r="R913" i="67"/>
  <c r="R610" i="67"/>
  <c r="R305" i="67"/>
  <c r="R152" i="67"/>
  <c r="AK338" i="67"/>
  <c r="AK642" i="67"/>
  <c r="AK490" i="67"/>
  <c r="AK32" i="67"/>
  <c r="AK185" i="67"/>
  <c r="AM338" i="67"/>
  <c r="AM642" i="67"/>
  <c r="AM490" i="67"/>
  <c r="AM32" i="67"/>
  <c r="AM185" i="67"/>
  <c r="U340" i="67"/>
  <c r="U795" i="67"/>
  <c r="U644" i="67"/>
  <c r="U492" i="67"/>
  <c r="U34" i="67"/>
  <c r="U187" i="67"/>
  <c r="AR746" i="67"/>
  <c r="AR897" i="67"/>
  <c r="AR442" i="67"/>
  <c r="AR289" i="67"/>
  <c r="AR594" i="67"/>
  <c r="AR136" i="67"/>
  <c r="Q338" i="67"/>
  <c r="Q642" i="67"/>
  <c r="Q490" i="67"/>
  <c r="Q32" i="67"/>
  <c r="Q185" i="67"/>
  <c r="S450" i="67"/>
  <c r="S144" i="67"/>
  <c r="S602" i="67"/>
  <c r="S754" i="67"/>
  <c r="S297" i="67"/>
  <c r="S905" i="67"/>
  <c r="P163" i="67"/>
  <c r="P316" i="67"/>
  <c r="P10" i="67"/>
  <c r="P620" i="67"/>
  <c r="P771" i="67"/>
  <c r="U348" i="67"/>
  <c r="U42" i="67"/>
  <c r="U803" i="67"/>
  <c r="U652" i="67"/>
  <c r="U195" i="67"/>
  <c r="AO21" i="68"/>
  <c r="N21" i="62" s="1"/>
  <c r="U500" i="67"/>
  <c r="AK297" i="67"/>
  <c r="AK144" i="67"/>
  <c r="AK754" i="67"/>
  <c r="AK450" i="67"/>
  <c r="AK602" i="67"/>
  <c r="AK905" i="67"/>
  <c r="AS163" i="67"/>
  <c r="AS316" i="67"/>
  <c r="AS620" i="67"/>
  <c r="AS771" i="67"/>
  <c r="AS10" i="67"/>
  <c r="AN586" i="67"/>
  <c r="AN128" i="67"/>
  <c r="AN738" i="67"/>
  <c r="AN281" i="67"/>
  <c r="AN434" i="67"/>
  <c r="AN889" i="67"/>
  <c r="AP330" i="67"/>
  <c r="BJ13" i="68"/>
  <c r="AI14" i="62" s="1"/>
  <c r="AP482" i="67"/>
  <c r="AP634" i="67"/>
  <c r="AP177" i="67"/>
  <c r="AP785" i="67"/>
  <c r="AP24" i="67"/>
  <c r="V450" i="67"/>
  <c r="V602" i="67"/>
  <c r="V297" i="67"/>
  <c r="V144" i="67"/>
  <c r="V754" i="67"/>
  <c r="V905" i="67"/>
  <c r="O163" i="67"/>
  <c r="O316" i="67"/>
  <c r="O10" i="67"/>
  <c r="O620" i="67"/>
  <c r="O771" i="67"/>
  <c r="AM330" i="67"/>
  <c r="AM177" i="67"/>
  <c r="AM24" i="67"/>
  <c r="AM785" i="67"/>
  <c r="AM634" i="67"/>
  <c r="AM482" i="67"/>
  <c r="BG13" i="68"/>
  <c r="AF14" i="62" s="1"/>
  <c r="AU128" i="67"/>
  <c r="AU738" i="67"/>
  <c r="AU281" i="67"/>
  <c r="AU434" i="67"/>
  <c r="AU586" i="67"/>
  <c r="AU889" i="67"/>
  <c r="M163" i="67"/>
  <c r="M316" i="67"/>
  <c r="M620" i="67"/>
  <c r="M771" i="67"/>
  <c r="M10" i="67"/>
  <c r="X137" i="67"/>
  <c r="X290" i="67"/>
  <c r="X443" i="67"/>
  <c r="X595" i="67"/>
  <c r="X898" i="67"/>
  <c r="X747" i="67"/>
  <c r="AT359" i="67"/>
  <c r="AT511" i="67"/>
  <c r="AT206" i="67"/>
  <c r="AT663" i="67"/>
  <c r="AT53" i="67"/>
  <c r="AT814" i="67"/>
  <c r="O158" i="67"/>
  <c r="O917" i="67"/>
  <c r="AU158" i="67"/>
  <c r="AU917" i="67"/>
  <c r="T813" i="67"/>
  <c r="T358" i="67"/>
  <c r="T662" i="67"/>
  <c r="T510" i="67"/>
  <c r="T205" i="67"/>
  <c r="T52" i="67"/>
  <c r="AV662" i="67"/>
  <c r="AV813" i="67"/>
  <c r="AV358" i="67"/>
  <c r="AV510" i="67"/>
  <c r="AV52" i="67"/>
  <c r="AV205" i="67"/>
  <c r="AU442" i="67"/>
  <c r="AU746" i="67"/>
  <c r="AU897" i="67"/>
  <c r="AU289" i="67"/>
  <c r="AU594" i="67"/>
  <c r="AU136" i="67"/>
  <c r="AB458" i="67"/>
  <c r="AB762" i="67"/>
  <c r="AB913" i="67"/>
  <c r="AB152" i="67"/>
  <c r="AB305" i="67"/>
  <c r="AB610" i="67"/>
  <c r="AE338" i="67"/>
  <c r="AE642" i="67"/>
  <c r="AE490" i="67"/>
  <c r="AE32" i="67"/>
  <c r="AE185" i="67"/>
  <c r="W434" i="67"/>
  <c r="W586" i="67"/>
  <c r="W128" i="67"/>
  <c r="W281" i="67"/>
  <c r="W889" i="67"/>
  <c r="W738" i="67"/>
  <c r="AB330" i="67"/>
  <c r="AB482" i="67"/>
  <c r="AB634" i="67"/>
  <c r="AB24" i="67"/>
  <c r="AB785" i="67"/>
  <c r="AV13" i="68"/>
  <c r="U14" i="62" s="1"/>
  <c r="AB177" i="67"/>
  <c r="X297" i="67"/>
  <c r="X450" i="67"/>
  <c r="X144" i="67"/>
  <c r="X754" i="67"/>
  <c r="X602" i="67"/>
  <c r="X905" i="67"/>
  <c r="AV330" i="67"/>
  <c r="AV482" i="67"/>
  <c r="BP13" i="68"/>
  <c r="AO14" i="62" s="1"/>
  <c r="AV24" i="67"/>
  <c r="AV177" i="67"/>
  <c r="AV634" i="67"/>
  <c r="AV785" i="67"/>
  <c r="AF443" i="67"/>
  <c r="AF595" i="67"/>
  <c r="AF898" i="67"/>
  <c r="AF747" i="67"/>
  <c r="AF290" i="67"/>
  <c r="AF137" i="67"/>
  <c r="Y357" i="67"/>
  <c r="Y812" i="67"/>
  <c r="Y509" i="67"/>
  <c r="Y204" i="67"/>
  <c r="Y661" i="67"/>
  <c r="Y51" i="67"/>
  <c r="AC357" i="67"/>
  <c r="AC509" i="67"/>
  <c r="AC51" i="67"/>
  <c r="AC661" i="67"/>
  <c r="AC204" i="67"/>
  <c r="AC812" i="67"/>
  <c r="AT459" i="67"/>
  <c r="AT763" i="67"/>
  <c r="AT914" i="67"/>
  <c r="AT153" i="67"/>
  <c r="AT306" i="67"/>
  <c r="AT611" i="67"/>
  <c r="Q595" i="67"/>
  <c r="Q290" i="67"/>
  <c r="Q443" i="67"/>
  <c r="Q137" i="67"/>
  <c r="Q747" i="67"/>
  <c r="Q898" i="67"/>
  <c r="N159" i="67"/>
  <c r="N918" i="67"/>
  <c r="L918" i="67"/>
  <c r="L159" i="67"/>
  <c r="AC762" i="67"/>
  <c r="AC458" i="67"/>
  <c r="AC913" i="67"/>
  <c r="AC152" i="67"/>
  <c r="AC610" i="67"/>
  <c r="AC305" i="67"/>
  <c r="U338" i="67"/>
  <c r="U642" i="67"/>
  <c r="U490" i="67"/>
  <c r="U32" i="67"/>
  <c r="U185" i="67"/>
  <c r="Y340" i="67"/>
  <c r="Y644" i="67"/>
  <c r="Y795" i="67"/>
  <c r="Y492" i="67"/>
  <c r="Y34" i="67"/>
  <c r="Y187" i="67"/>
  <c r="T331" i="67"/>
  <c r="T483" i="67"/>
  <c r="T178" i="67"/>
  <c r="T635" i="67"/>
  <c r="T25" i="67"/>
  <c r="T786" i="67"/>
  <c r="U739" i="67"/>
  <c r="U129" i="67"/>
  <c r="U435" i="67"/>
  <c r="U282" i="67"/>
  <c r="U587" i="67"/>
  <c r="U890" i="67"/>
  <c r="AS164" i="67"/>
  <c r="AS317" i="67"/>
  <c r="AS11" i="67"/>
  <c r="AS621" i="67"/>
  <c r="AS772" i="67"/>
  <c r="AP349" i="67"/>
  <c r="AP501" i="67"/>
  <c r="AP43" i="67"/>
  <c r="AP653" i="67"/>
  <c r="AP196" i="67"/>
  <c r="AP804" i="67"/>
  <c r="AU451" i="67"/>
  <c r="AU906" i="67"/>
  <c r="AU755" i="67"/>
  <c r="AU298" i="67"/>
  <c r="AU145" i="67"/>
  <c r="AU603" i="67"/>
  <c r="K358" i="67"/>
  <c r="K662" i="67"/>
  <c r="K813" i="67"/>
  <c r="K510" i="67"/>
  <c r="K52" i="67"/>
  <c r="K205" i="67"/>
  <c r="L359" i="67"/>
  <c r="L511" i="67"/>
  <c r="L814" i="67"/>
  <c r="L53" i="67"/>
  <c r="L663" i="67"/>
  <c r="L206" i="67"/>
  <c r="AP898" i="67"/>
  <c r="AP443" i="67"/>
  <c r="AP747" i="67"/>
  <c r="AP137" i="67"/>
  <c r="AP290" i="67"/>
  <c r="AP595" i="67"/>
  <c r="X359" i="67"/>
  <c r="X53" i="67"/>
  <c r="X663" i="67"/>
  <c r="X206" i="67"/>
  <c r="X814" i="67"/>
  <c r="X511" i="67"/>
  <c r="O359" i="67"/>
  <c r="O206" i="67"/>
  <c r="O511" i="67"/>
  <c r="O814" i="67"/>
  <c r="O663" i="67"/>
  <c r="O53" i="67"/>
  <c r="T357" i="67"/>
  <c r="T204" i="67"/>
  <c r="T661" i="67"/>
  <c r="T51" i="67"/>
  <c r="T812" i="67"/>
  <c r="T509" i="67"/>
  <c r="AH357" i="67"/>
  <c r="AH661" i="67"/>
  <c r="AH509" i="67"/>
  <c r="AH812" i="67"/>
  <c r="AH51" i="67"/>
  <c r="AH204" i="67"/>
  <c r="T158" i="67"/>
  <c r="T917" i="67"/>
  <c r="P917" i="67"/>
  <c r="P158" i="67"/>
  <c r="AF356" i="67"/>
  <c r="AF660" i="67"/>
  <c r="AF811" i="67"/>
  <c r="AF50" i="67"/>
  <c r="AF508" i="67"/>
  <c r="AF203" i="67"/>
  <c r="AZ26" i="68"/>
  <c r="Y24" i="62" s="1"/>
  <c r="V358" i="67"/>
  <c r="V662" i="67"/>
  <c r="V52" i="67"/>
  <c r="V813" i="67"/>
  <c r="V510" i="67"/>
  <c r="V205" i="67"/>
  <c r="AN442" i="67"/>
  <c r="AN897" i="67"/>
  <c r="AN746" i="67"/>
  <c r="AN136" i="67"/>
  <c r="AN289" i="67"/>
  <c r="AN594" i="67"/>
  <c r="AL340" i="67"/>
  <c r="AL644" i="67"/>
  <c r="AL34" i="67"/>
  <c r="AL795" i="67"/>
  <c r="AL492" i="67"/>
  <c r="AL187" i="67"/>
  <c r="P897" i="67"/>
  <c r="P442" i="67"/>
  <c r="P746" i="67"/>
  <c r="P289" i="67"/>
  <c r="P136" i="67"/>
  <c r="P594" i="67"/>
  <c r="R358" i="67"/>
  <c r="R813" i="67"/>
  <c r="R662" i="67"/>
  <c r="R52" i="67"/>
  <c r="R205" i="67"/>
  <c r="R510" i="67"/>
  <c r="AU358" i="67"/>
  <c r="AU813" i="67"/>
  <c r="AU510" i="67"/>
  <c r="AU662" i="67"/>
  <c r="AU52" i="67"/>
  <c r="AU205" i="67"/>
  <c r="AP458" i="67"/>
  <c r="AP762" i="67"/>
  <c r="AP913" i="67"/>
  <c r="AP610" i="67"/>
  <c r="AP305" i="67"/>
  <c r="AP152" i="67"/>
  <c r="AH762" i="67"/>
  <c r="AH458" i="67"/>
  <c r="AH913" i="67"/>
  <c r="AH610" i="67"/>
  <c r="AH305" i="67"/>
  <c r="AH152" i="67"/>
  <c r="O811" i="67"/>
  <c r="O356" i="67"/>
  <c r="O660" i="67"/>
  <c r="O508" i="67"/>
  <c r="O50" i="67"/>
  <c r="O203" i="67"/>
  <c r="AI26" i="68"/>
  <c r="H24" i="62" s="1"/>
  <c r="AE340" i="67"/>
  <c r="AE644" i="67"/>
  <c r="AE795" i="67"/>
  <c r="AE187" i="67"/>
  <c r="AE492" i="67"/>
  <c r="AE34" i="67"/>
  <c r="AI442" i="67"/>
  <c r="AI897" i="67"/>
  <c r="AI746" i="67"/>
  <c r="AI289" i="67"/>
  <c r="AI136" i="67"/>
  <c r="AI594" i="67"/>
  <c r="AL906" i="67"/>
  <c r="AL145" i="67"/>
  <c r="AL298" i="67"/>
  <c r="AL451" i="67"/>
  <c r="AL755" i="67"/>
  <c r="AL603" i="67"/>
  <c r="AJ331" i="67"/>
  <c r="AJ635" i="67"/>
  <c r="AJ25" i="67"/>
  <c r="AJ786" i="67"/>
  <c r="AJ178" i="67"/>
  <c r="AJ483" i="67"/>
  <c r="Z739" i="67"/>
  <c r="Z129" i="67"/>
  <c r="Z587" i="67"/>
  <c r="Z435" i="67"/>
  <c r="Z282" i="67"/>
  <c r="Z890" i="67"/>
  <c r="W349" i="67"/>
  <c r="W804" i="67"/>
  <c r="W653" i="67"/>
  <c r="W43" i="67"/>
  <c r="W196" i="67"/>
  <c r="W501" i="67"/>
  <c r="R349" i="67"/>
  <c r="R501" i="67"/>
  <c r="R653" i="67"/>
  <c r="R43" i="67"/>
  <c r="R804" i="67"/>
  <c r="R196" i="67"/>
  <c r="N145" i="67"/>
  <c r="N451" i="67"/>
  <c r="N755" i="67"/>
  <c r="N298" i="67"/>
  <c r="N603" i="67"/>
  <c r="N906" i="67"/>
  <c r="AE349" i="67"/>
  <c r="AE501" i="67"/>
  <c r="AE43" i="67"/>
  <c r="AE653" i="67"/>
  <c r="AE196" i="67"/>
  <c r="AE804" i="67"/>
  <c r="X451" i="67"/>
  <c r="X906" i="67"/>
  <c r="X145" i="67"/>
  <c r="X603" i="67"/>
  <c r="X298" i="67"/>
  <c r="X755" i="67"/>
  <c r="AA349" i="67"/>
  <c r="AA43" i="67"/>
  <c r="AA196" i="67"/>
  <c r="AA653" i="67"/>
  <c r="AA501" i="67"/>
  <c r="AA804" i="67"/>
  <c r="AG906" i="67"/>
  <c r="AG298" i="67"/>
  <c r="AG603" i="67"/>
  <c r="AG451" i="67"/>
  <c r="AG755" i="67"/>
  <c r="AG145" i="67"/>
  <c r="AC331" i="67"/>
  <c r="AC635" i="67"/>
  <c r="AC25" i="67"/>
  <c r="AC786" i="67"/>
  <c r="AC483" i="67"/>
  <c r="AC178" i="67"/>
  <c r="L586" i="67"/>
  <c r="L434" i="67"/>
  <c r="L281" i="67"/>
  <c r="L738" i="67"/>
  <c r="L128" i="67"/>
  <c r="L889" i="67"/>
  <c r="AJ339" i="67"/>
  <c r="AJ643" i="67"/>
  <c r="AJ186" i="67"/>
  <c r="AJ794" i="67"/>
  <c r="AJ33" i="67"/>
  <c r="AJ491" i="67"/>
  <c r="N459" i="67"/>
  <c r="N763" i="67"/>
  <c r="N914" i="67"/>
  <c r="N306" i="67"/>
  <c r="N611" i="67"/>
  <c r="N153" i="67"/>
  <c r="S159" i="67"/>
  <c r="S918" i="67"/>
  <c r="AV917" i="67"/>
  <c r="AV158" i="67"/>
  <c r="AD338" i="67"/>
  <c r="AD642" i="67"/>
  <c r="AD490" i="67"/>
  <c r="AD32" i="67"/>
  <c r="AD185" i="67"/>
  <c r="AW356" i="67"/>
  <c r="AW811" i="67"/>
  <c r="AW660" i="67"/>
  <c r="AW508" i="67"/>
  <c r="AW50" i="67"/>
  <c r="AW203" i="67"/>
  <c r="BQ26" i="68"/>
  <c r="AP24" i="62" s="1"/>
  <c r="M762" i="67"/>
  <c r="M458" i="67"/>
  <c r="M913" i="67"/>
  <c r="M152" i="67"/>
  <c r="M610" i="67"/>
  <c r="M305" i="67"/>
  <c r="O340" i="67"/>
  <c r="O644" i="67"/>
  <c r="O795" i="67"/>
  <c r="O492" i="67"/>
  <c r="O34" i="67"/>
  <c r="O187" i="67"/>
  <c r="R297" i="67"/>
  <c r="R754" i="67"/>
  <c r="R144" i="67"/>
  <c r="R450" i="67"/>
  <c r="R602" i="67"/>
  <c r="R905" i="67"/>
  <c r="R163" i="67"/>
  <c r="R316" i="67"/>
  <c r="R620" i="67"/>
  <c r="R771" i="67"/>
  <c r="R10" i="67"/>
  <c r="AR586" i="67"/>
  <c r="AR434" i="67"/>
  <c r="AR281" i="67"/>
  <c r="AR738" i="67"/>
  <c r="AR889" i="67"/>
  <c r="AR128" i="67"/>
  <c r="AO163" i="67"/>
  <c r="AO316" i="67"/>
  <c r="AO620" i="67"/>
  <c r="AO10" i="67"/>
  <c r="AO771" i="67"/>
  <c r="AF587" i="67"/>
  <c r="AF739" i="67"/>
  <c r="AF129" i="67"/>
  <c r="AF435" i="67"/>
  <c r="AF282" i="67"/>
  <c r="AF890" i="67"/>
  <c r="AO340" i="67"/>
  <c r="AO644" i="67"/>
  <c r="AO795" i="67"/>
  <c r="AO492" i="67"/>
  <c r="AO34" i="67"/>
  <c r="AO187" i="67"/>
  <c r="Z348" i="67"/>
  <c r="Z652" i="67"/>
  <c r="Z195" i="67"/>
  <c r="Z803" i="67"/>
  <c r="AT21" i="68"/>
  <c r="S21" i="62" s="1"/>
  <c r="Z42" i="67"/>
  <c r="Z500" i="67"/>
  <c r="AI434" i="67"/>
  <c r="AI586" i="67"/>
  <c r="AI738" i="67"/>
  <c r="AI281" i="67"/>
  <c r="AI128" i="67"/>
  <c r="AI889" i="67"/>
  <c r="N163" i="67"/>
  <c r="N316" i="67"/>
  <c r="N620" i="67"/>
  <c r="N771" i="67"/>
  <c r="N10" i="67"/>
  <c r="AJ114" i="34"/>
  <c r="Q1489" i="67"/>
  <c r="AL119" i="34"/>
  <c r="S1494" i="67"/>
  <c r="S1148" i="67"/>
  <c r="S997" i="67"/>
  <c r="AO119" i="34"/>
  <c r="V1494" i="67"/>
  <c r="V1148" i="67"/>
  <c r="V997" i="67"/>
  <c r="AR121" i="34"/>
  <c r="Y999" i="67"/>
  <c r="Y1150" i="67"/>
  <c r="Y1496" i="67"/>
  <c r="BC121" i="34"/>
  <c r="AJ999" i="67"/>
  <c r="AJ1150" i="67"/>
  <c r="AJ1496" i="67"/>
  <c r="AT106" i="34"/>
  <c r="AA1481" i="67"/>
  <c r="AV114" i="34"/>
  <c r="AC1489" i="67"/>
  <c r="AU103" i="34"/>
  <c r="AB1478" i="67"/>
  <c r="AB1132" i="67"/>
  <c r="AB981" i="67"/>
  <c r="AB679" i="67"/>
  <c r="AN122" i="34"/>
  <c r="U1497" i="67"/>
  <c r="AQ106" i="34"/>
  <c r="X1481" i="67"/>
  <c r="AW121" i="34"/>
  <c r="AD999" i="67"/>
  <c r="AD1150" i="67"/>
  <c r="AD1496" i="67"/>
  <c r="AP105" i="34"/>
  <c r="W983" i="67"/>
  <c r="W1134" i="67"/>
  <c r="W1480" i="67"/>
  <c r="W681" i="67"/>
  <c r="AJ121" i="34"/>
  <c r="Q999" i="67"/>
  <c r="Q1150" i="67"/>
  <c r="Q1496" i="67"/>
  <c r="BI106" i="34"/>
  <c r="AP1481" i="67"/>
  <c r="AU122" i="34"/>
  <c r="AB1497" i="67"/>
  <c r="AS98" i="34"/>
  <c r="Z1473" i="67"/>
  <c r="BM106" i="34"/>
  <c r="AT1481" i="67"/>
  <c r="AR98" i="34"/>
  <c r="Y1473" i="67"/>
  <c r="AJ103" i="34"/>
  <c r="Q1478" i="67"/>
  <c r="Q1132" i="67"/>
  <c r="Q981" i="67"/>
  <c r="Q679" i="67"/>
  <c r="AY105" i="34"/>
  <c r="AF983" i="67"/>
  <c r="AF1134" i="67"/>
  <c r="AF1480" i="67"/>
  <c r="AF681" i="67"/>
  <c r="AQ105" i="34"/>
  <c r="X983" i="67"/>
  <c r="X1134" i="67"/>
  <c r="X1480" i="67"/>
  <c r="X681" i="67"/>
  <c r="BE122" i="34"/>
  <c r="AL1497" i="67"/>
  <c r="BA121" i="34"/>
  <c r="AH999" i="67"/>
  <c r="AH1150" i="67"/>
  <c r="AH1496" i="67"/>
  <c r="AP119" i="34"/>
  <c r="W1494" i="67"/>
  <c r="W1148" i="67"/>
  <c r="W997" i="67"/>
  <c r="AV121" i="34"/>
  <c r="AC999" i="67"/>
  <c r="AC1150" i="67"/>
  <c r="AC1496" i="67"/>
  <c r="BG105" i="34"/>
  <c r="AN983" i="67"/>
  <c r="AN1134" i="67"/>
  <c r="AN1480" i="67"/>
  <c r="AN681" i="67"/>
  <c r="AQ119" i="34"/>
  <c r="X1494" i="67"/>
  <c r="X1148" i="67"/>
  <c r="X997" i="67"/>
  <c r="AP106" i="34"/>
  <c r="W1481" i="67"/>
  <c r="BG106" i="34"/>
  <c r="AN1481" i="67"/>
  <c r="AY122" i="34"/>
  <c r="AF1497" i="67"/>
  <c r="BI105" i="34"/>
  <c r="AP983" i="67"/>
  <c r="AP1134" i="67"/>
  <c r="AP1480" i="67"/>
  <c r="AP681" i="67"/>
  <c r="AN98" i="34"/>
  <c r="U1473" i="67"/>
  <c r="BP121" i="34"/>
  <c r="AW999" i="67"/>
  <c r="AW1150" i="67"/>
  <c r="AW1496" i="67"/>
  <c r="BK105" i="34"/>
  <c r="AR983" i="67"/>
  <c r="AR1134" i="67"/>
  <c r="AR1480" i="67"/>
  <c r="AR681" i="67"/>
  <c r="BK106" i="34"/>
  <c r="AR1481" i="67"/>
  <c r="BO106" i="34"/>
  <c r="AV1481" i="67"/>
  <c r="AK103" i="34"/>
  <c r="R1478" i="67"/>
  <c r="R1132" i="67"/>
  <c r="R981" i="67"/>
  <c r="R679" i="67"/>
  <c r="AL106" i="34"/>
  <c r="S1481" i="67"/>
  <c r="BP106" i="34"/>
  <c r="AW1481" i="67"/>
  <c r="AJ122" i="34"/>
  <c r="Q1497" i="67"/>
  <c r="AN121" i="34"/>
  <c r="U999" i="67"/>
  <c r="U1150" i="67"/>
  <c r="U1496" i="67"/>
  <c r="AX105" i="34"/>
  <c r="AE983" i="67"/>
  <c r="AE1134" i="67"/>
  <c r="AE1480" i="67"/>
  <c r="AE681" i="67"/>
  <c r="BJ106" i="34"/>
  <c r="AQ1481" i="67"/>
  <c r="BE121" i="34"/>
  <c r="AL999" i="67"/>
  <c r="AL1150" i="67"/>
  <c r="AL1496" i="67"/>
  <c r="AV97" i="34"/>
  <c r="AC1472" i="67"/>
  <c r="P385" i="67"/>
  <c r="P537" i="67"/>
  <c r="P79" i="67"/>
  <c r="P689" i="67"/>
  <c r="P232" i="67"/>
  <c r="P840" i="67"/>
  <c r="M369" i="67"/>
  <c r="M63" i="67"/>
  <c r="M216" i="67"/>
  <c r="M521" i="67"/>
  <c r="M824" i="67"/>
  <c r="L385" i="67"/>
  <c r="L537" i="67"/>
  <c r="L689" i="67"/>
  <c r="L79" i="67"/>
  <c r="L232" i="67"/>
  <c r="L840" i="67"/>
  <c r="AD106" i="34"/>
  <c r="K1481" i="67"/>
  <c r="K1135" i="67"/>
  <c r="K682" i="67"/>
  <c r="K984" i="67"/>
  <c r="AG106" i="34"/>
  <c r="N1481" i="67"/>
  <c r="AF106" i="34"/>
  <c r="M1481" i="67"/>
  <c r="AI122" i="34"/>
  <c r="P1497" i="67"/>
  <c r="AE105" i="34"/>
  <c r="L983" i="67"/>
  <c r="L1134" i="67"/>
  <c r="L1480" i="67"/>
  <c r="L681" i="67"/>
  <c r="AG105" i="34"/>
  <c r="N983" i="67"/>
  <c r="N1134" i="67"/>
  <c r="N1480" i="67"/>
  <c r="N681" i="67"/>
  <c r="AK113" i="34"/>
  <c r="R1488" i="67"/>
  <c r="AT113" i="34"/>
  <c r="AA1488" i="67"/>
  <c r="AT97" i="34"/>
  <c r="AA1472" i="67"/>
  <c r="AU97" i="34"/>
  <c r="AB1472" i="67"/>
  <c r="AJ97" i="34"/>
  <c r="Q1472" i="67"/>
  <c r="AO97" i="34"/>
  <c r="V1472" i="67"/>
  <c r="AF359" i="67"/>
  <c r="AF814" i="67"/>
  <c r="AF511" i="67"/>
  <c r="AF206" i="67"/>
  <c r="AF663" i="67"/>
  <c r="AF53" i="67"/>
  <c r="AW459" i="67"/>
  <c r="AW914" i="67"/>
  <c r="AW763" i="67"/>
  <c r="AW306" i="67"/>
  <c r="AW153" i="67"/>
  <c r="AW611" i="67"/>
  <c r="R339" i="67"/>
  <c r="R643" i="67"/>
  <c r="R186" i="67"/>
  <c r="R33" i="67"/>
  <c r="R794" i="67"/>
  <c r="R491" i="67"/>
  <c r="W339" i="67"/>
  <c r="W491" i="67"/>
  <c r="W33" i="67"/>
  <c r="W643" i="67"/>
  <c r="W186" i="67"/>
  <c r="W794" i="67"/>
  <c r="M290" i="67"/>
  <c r="M747" i="67"/>
  <c r="M443" i="67"/>
  <c r="M595" i="67"/>
  <c r="M898" i="67"/>
  <c r="M137" i="67"/>
  <c r="V306" i="67"/>
  <c r="V611" i="67"/>
  <c r="V459" i="67"/>
  <c r="V914" i="67"/>
  <c r="V153" i="67"/>
  <c r="V763" i="67"/>
  <c r="O339" i="67"/>
  <c r="O794" i="67"/>
  <c r="O491" i="67"/>
  <c r="O33" i="67"/>
  <c r="O643" i="67"/>
  <c r="O186" i="67"/>
  <c r="AV357" i="67"/>
  <c r="AV812" i="67"/>
  <c r="AV51" i="67"/>
  <c r="AV509" i="67"/>
  <c r="AV661" i="67"/>
  <c r="AV204" i="67"/>
  <c r="AS341" i="67"/>
  <c r="AS645" i="67"/>
  <c r="AS493" i="67"/>
  <c r="AS35" i="67"/>
  <c r="AS796" i="67"/>
  <c r="AS188" i="67"/>
  <c r="T341" i="67"/>
  <c r="T796" i="67"/>
  <c r="T35" i="67"/>
  <c r="T493" i="67"/>
  <c r="T645" i="67"/>
  <c r="T188" i="67"/>
  <c r="AD341" i="67"/>
  <c r="AD645" i="67"/>
  <c r="AD493" i="67"/>
  <c r="AD796" i="67"/>
  <c r="AD35" i="67"/>
  <c r="AD188" i="67"/>
  <c r="AH341" i="67"/>
  <c r="AH493" i="67"/>
  <c r="AH188" i="67"/>
  <c r="AH796" i="67"/>
  <c r="AH645" i="67"/>
  <c r="AH35" i="67"/>
  <c r="AR339" i="67"/>
  <c r="AR33" i="67"/>
  <c r="AR643" i="67"/>
  <c r="AR186" i="67"/>
  <c r="AR794" i="67"/>
  <c r="AR491" i="67"/>
  <c r="AT159" i="67"/>
  <c r="AT918" i="67"/>
  <c r="V159" i="67"/>
  <c r="V918" i="67"/>
  <c r="AK917" i="67"/>
  <c r="AK158" i="67"/>
  <c r="AE158" i="67"/>
  <c r="AE917" i="67"/>
  <c r="AL158" i="67"/>
  <c r="AL917" i="67"/>
  <c r="U159" i="67"/>
  <c r="U918" i="67"/>
  <c r="X159" i="67"/>
  <c r="X918" i="67"/>
  <c r="S356" i="67"/>
  <c r="S660" i="67"/>
  <c r="S811" i="67"/>
  <c r="S508" i="67"/>
  <c r="S50" i="67"/>
  <c r="S203" i="67"/>
  <c r="AM26" i="68"/>
  <c r="L24" i="62" s="1"/>
  <c r="AF795" i="67"/>
  <c r="AF340" i="67"/>
  <c r="AF644" i="67"/>
  <c r="AF492" i="67"/>
  <c r="AF34" i="67"/>
  <c r="AF187" i="67"/>
  <c r="N338" i="67"/>
  <c r="N642" i="67"/>
  <c r="N185" i="67"/>
  <c r="N490" i="67"/>
  <c r="N32" i="67"/>
  <c r="V442" i="67"/>
  <c r="V746" i="67"/>
  <c r="V897" i="67"/>
  <c r="V594" i="67"/>
  <c r="V136" i="67"/>
  <c r="V289" i="67"/>
  <c r="AN340" i="67"/>
  <c r="AN795" i="67"/>
  <c r="AN644" i="67"/>
  <c r="AN187" i="67"/>
  <c r="AN492" i="67"/>
  <c r="AN34" i="67"/>
  <c r="AL356" i="67"/>
  <c r="AL660" i="67"/>
  <c r="AL811" i="67"/>
  <c r="AL508" i="67"/>
  <c r="AL50" i="67"/>
  <c r="AL203" i="67"/>
  <c r="BF26" i="68"/>
  <c r="AE24" i="62" s="1"/>
  <c r="AA897" i="67"/>
  <c r="AA442" i="67"/>
  <c r="AA746" i="67"/>
  <c r="AA136" i="67"/>
  <c r="AA289" i="67"/>
  <c r="AA594" i="67"/>
  <c r="P644" i="67"/>
  <c r="P340" i="67"/>
  <c r="P795" i="67"/>
  <c r="P492" i="67"/>
  <c r="P34" i="67"/>
  <c r="P187" i="67"/>
  <c r="R338" i="67"/>
  <c r="R642" i="67"/>
  <c r="R490" i="67"/>
  <c r="R32" i="67"/>
  <c r="R185" i="67"/>
  <c r="AK897" i="67"/>
  <c r="AK442" i="67"/>
  <c r="AK746" i="67"/>
  <c r="AK594" i="67"/>
  <c r="AK289" i="67"/>
  <c r="AK136" i="67"/>
  <c r="K897" i="67"/>
  <c r="K442" i="67"/>
  <c r="K746" i="67"/>
  <c r="K289" i="67"/>
  <c r="K594" i="67"/>
  <c r="K136" i="67"/>
  <c r="AQ358" i="67"/>
  <c r="AQ662" i="67"/>
  <c r="AQ813" i="67"/>
  <c r="AQ510" i="67"/>
  <c r="AQ52" i="67"/>
  <c r="AQ205" i="67"/>
  <c r="AM746" i="67"/>
  <c r="AM897" i="67"/>
  <c r="AM442" i="67"/>
  <c r="AM289" i="67"/>
  <c r="AM594" i="67"/>
  <c r="AM136" i="67"/>
  <c r="AC340" i="67"/>
  <c r="AC795" i="67"/>
  <c r="AC492" i="67"/>
  <c r="AC644" i="67"/>
  <c r="AC34" i="67"/>
  <c r="AC187" i="67"/>
  <c r="X913" i="67"/>
  <c r="X458" i="67"/>
  <c r="X762" i="67"/>
  <c r="X610" i="67"/>
  <c r="X152" i="67"/>
  <c r="X305" i="67"/>
  <c r="AR338" i="67"/>
  <c r="AR642" i="67"/>
  <c r="AR32" i="67"/>
  <c r="AR490" i="67"/>
  <c r="AR185" i="67"/>
  <c r="AJ356" i="67"/>
  <c r="AJ811" i="67"/>
  <c r="AJ660" i="67"/>
  <c r="AJ50" i="67"/>
  <c r="AJ203" i="67"/>
  <c r="AJ508" i="67"/>
  <c r="BD26" i="68"/>
  <c r="AC24" i="62" s="1"/>
  <c r="Y442" i="67"/>
  <c r="Y746" i="67"/>
  <c r="Y897" i="67"/>
  <c r="Y289" i="67"/>
  <c r="Y594" i="67"/>
  <c r="Y136" i="67"/>
  <c r="Q746" i="67"/>
  <c r="Q442" i="67"/>
  <c r="Q897" i="67"/>
  <c r="Q136" i="67"/>
  <c r="Q289" i="67"/>
  <c r="Q594" i="67"/>
  <c r="T602" i="67"/>
  <c r="T144" i="67"/>
  <c r="T450" i="67"/>
  <c r="T754" i="67"/>
  <c r="T297" i="67"/>
  <c r="T905" i="67"/>
  <c r="T163" i="67"/>
  <c r="T316" i="67"/>
  <c r="T620" i="67"/>
  <c r="T771" i="67"/>
  <c r="T10" i="67"/>
  <c r="S330" i="67"/>
  <c r="S482" i="67"/>
  <c r="S177" i="67"/>
  <c r="S634" i="67"/>
  <c r="AM13" i="68"/>
  <c r="L14" i="62" s="1"/>
  <c r="S785" i="67"/>
  <c r="S24" i="67"/>
  <c r="P348" i="67"/>
  <c r="AJ21" i="68"/>
  <c r="I21" i="62" s="1"/>
  <c r="P195" i="67"/>
  <c r="P500" i="67"/>
  <c r="P42" i="67"/>
  <c r="P652" i="67"/>
  <c r="P803" i="67"/>
  <c r="Y434" i="67"/>
  <c r="Y889" i="67"/>
  <c r="Y128" i="67"/>
  <c r="Y281" i="67"/>
  <c r="Y586" i="67"/>
  <c r="Y738" i="67"/>
  <c r="U754" i="67"/>
  <c r="U144" i="67"/>
  <c r="U450" i="67"/>
  <c r="U602" i="67"/>
  <c r="U297" i="67"/>
  <c r="U905" i="67"/>
  <c r="U163" i="67"/>
  <c r="U316" i="67"/>
  <c r="U620" i="67"/>
  <c r="U771" i="67"/>
  <c r="U10" i="67"/>
  <c r="AQ330" i="67"/>
  <c r="AQ482" i="67"/>
  <c r="AQ24" i="67"/>
  <c r="AQ634" i="67"/>
  <c r="AQ177" i="67"/>
  <c r="AQ785" i="67"/>
  <c r="BK13" i="68"/>
  <c r="AJ14" i="62" s="1"/>
  <c r="AK348" i="67"/>
  <c r="AK195" i="67"/>
  <c r="BE21" i="68"/>
  <c r="AD21" i="62" s="1"/>
  <c r="AK42" i="67"/>
  <c r="AK652" i="67"/>
  <c r="AK803" i="67"/>
  <c r="AK500" i="67"/>
  <c r="AS889" i="67"/>
  <c r="AS434" i="67"/>
  <c r="AS586" i="67"/>
  <c r="AS738" i="67"/>
  <c r="AS128" i="67"/>
  <c r="AS281" i="67"/>
  <c r="K331" i="67"/>
  <c r="K483" i="67"/>
  <c r="K786" i="67"/>
  <c r="K178" i="67"/>
  <c r="K635" i="67"/>
  <c r="K25" i="67"/>
  <c r="K349" i="67"/>
  <c r="K653" i="67"/>
  <c r="K43" i="67"/>
  <c r="K804" i="67"/>
  <c r="K196" i="67"/>
  <c r="K501" i="67"/>
  <c r="AN330" i="67"/>
  <c r="AN634" i="67"/>
  <c r="AN177" i="67"/>
  <c r="AN785" i="67"/>
  <c r="BH13" i="68"/>
  <c r="AG14" i="62" s="1"/>
  <c r="AN24" i="67"/>
  <c r="AN482" i="67"/>
  <c r="Q434" i="67"/>
  <c r="Q889" i="67"/>
  <c r="Q128" i="67"/>
  <c r="Q281" i="67"/>
  <c r="Q586" i="67"/>
  <c r="Q738" i="67"/>
  <c r="AP450" i="67"/>
  <c r="AP144" i="67"/>
  <c r="AP602" i="67"/>
  <c r="AP754" i="67"/>
  <c r="AP297" i="67"/>
  <c r="AP905" i="67"/>
  <c r="AF144" i="67"/>
  <c r="AF450" i="67"/>
  <c r="AF754" i="67"/>
  <c r="AF297" i="67"/>
  <c r="AF905" i="67"/>
  <c r="AF602" i="67"/>
  <c r="AF163" i="67"/>
  <c r="AF316" i="67"/>
  <c r="AF620" i="67"/>
  <c r="AF771" i="67"/>
  <c r="AF10" i="67"/>
  <c r="AP13" i="68"/>
  <c r="O14" i="62" s="1"/>
  <c r="V330" i="67"/>
  <c r="V482" i="67"/>
  <c r="V634" i="67"/>
  <c r="V24" i="67"/>
  <c r="V177" i="67"/>
  <c r="V785" i="67"/>
  <c r="O348" i="67"/>
  <c r="AI21" i="68"/>
  <c r="H21" i="62" s="1"/>
  <c r="O803" i="67"/>
  <c r="O500" i="67"/>
  <c r="O42" i="67"/>
  <c r="O652" i="67"/>
  <c r="O195" i="67"/>
  <c r="AM281" i="67"/>
  <c r="AM586" i="67"/>
  <c r="AM434" i="67"/>
  <c r="AM738" i="67"/>
  <c r="AM128" i="67"/>
  <c r="AM889" i="67"/>
  <c r="AH450" i="67"/>
  <c r="AH144" i="67"/>
  <c r="AH602" i="67"/>
  <c r="AH297" i="67"/>
  <c r="AH754" i="67"/>
  <c r="AH905" i="67"/>
  <c r="AH163" i="67"/>
  <c r="AH316" i="67"/>
  <c r="AH771" i="67"/>
  <c r="AH10" i="67"/>
  <c r="AH620" i="67"/>
  <c r="AU330" i="67"/>
  <c r="AU482" i="67"/>
  <c r="BO13" i="68"/>
  <c r="AN14" i="62" s="1"/>
  <c r="AU177" i="67"/>
  <c r="AU24" i="67"/>
  <c r="AU785" i="67"/>
  <c r="AU634" i="67"/>
  <c r="M330" i="67"/>
  <c r="AG13" i="68"/>
  <c r="F14" i="62" s="1"/>
  <c r="M482" i="67"/>
  <c r="M634" i="67"/>
  <c r="M177" i="67"/>
  <c r="M785" i="67"/>
  <c r="M24" i="67"/>
  <c r="AL357" i="67"/>
  <c r="AL812" i="67"/>
  <c r="AL509" i="67"/>
  <c r="AL204" i="67"/>
  <c r="AL661" i="67"/>
  <c r="AL51" i="67"/>
  <c r="AU341" i="67"/>
  <c r="AU493" i="67"/>
  <c r="AU645" i="67"/>
  <c r="AU35" i="67"/>
  <c r="AU796" i="67"/>
  <c r="AU188" i="67"/>
  <c r="X339" i="67"/>
  <c r="X491" i="67"/>
  <c r="X33" i="67"/>
  <c r="X643" i="67"/>
  <c r="X186" i="67"/>
  <c r="X794" i="67"/>
  <c r="AM359" i="67"/>
  <c r="AM663" i="67"/>
  <c r="AM206" i="67"/>
  <c r="AM814" i="67"/>
  <c r="AM511" i="67"/>
  <c r="AM53" i="67"/>
  <c r="P359" i="67"/>
  <c r="P53" i="67"/>
  <c r="P663" i="67"/>
  <c r="P511" i="67"/>
  <c r="P814" i="67"/>
  <c r="P206" i="67"/>
  <c r="AQ914" i="67"/>
  <c r="AQ459" i="67"/>
  <c r="AQ763" i="67"/>
  <c r="AQ611" i="67"/>
  <c r="AQ306" i="67"/>
  <c r="AQ153" i="67"/>
  <c r="AR918" i="67"/>
  <c r="AR159" i="67"/>
  <c r="AD159" i="67"/>
  <c r="AD918" i="67"/>
  <c r="AA158" i="67"/>
  <c r="AA917" i="67"/>
  <c r="L158" i="67"/>
  <c r="L917" i="67"/>
  <c r="AS358" i="67"/>
  <c r="AS662" i="67"/>
  <c r="AS813" i="67"/>
  <c r="AS510" i="67"/>
  <c r="AS52" i="67"/>
  <c r="AS205" i="67"/>
  <c r="AG340" i="67"/>
  <c r="AG492" i="67"/>
  <c r="AG644" i="67"/>
  <c r="AG795" i="67"/>
  <c r="AG34" i="67"/>
  <c r="AG187" i="67"/>
  <c r="AU338" i="67"/>
  <c r="AU642" i="67"/>
  <c r="AU490" i="67"/>
  <c r="AU32" i="67"/>
  <c r="AU185" i="67"/>
  <c r="AB356" i="67"/>
  <c r="AB811" i="67"/>
  <c r="AB203" i="67"/>
  <c r="AB508" i="67"/>
  <c r="AB660" i="67"/>
  <c r="AB50" i="67"/>
  <c r="AV26" i="68"/>
  <c r="U24" i="62" s="1"/>
  <c r="AE442" i="67"/>
  <c r="AE746" i="67"/>
  <c r="AE897" i="67"/>
  <c r="AE289" i="67"/>
  <c r="AE594" i="67"/>
  <c r="AE136" i="67"/>
  <c r="Z340" i="67"/>
  <c r="Z795" i="67"/>
  <c r="Z187" i="67"/>
  <c r="Z492" i="67"/>
  <c r="Z644" i="67"/>
  <c r="Z34" i="67"/>
  <c r="AJ330" i="67"/>
  <c r="AJ785" i="67"/>
  <c r="AJ482" i="67"/>
  <c r="AJ634" i="67"/>
  <c r="AJ24" i="67"/>
  <c r="AJ177" i="67"/>
  <c r="BD13" i="68"/>
  <c r="AC14" i="62" s="1"/>
  <c r="W348" i="67"/>
  <c r="AQ21" i="68"/>
  <c r="P21" i="62" s="1"/>
  <c r="W195" i="67"/>
  <c r="W652" i="67"/>
  <c r="W500" i="67"/>
  <c r="W803" i="67"/>
  <c r="W42" i="67"/>
  <c r="AB434" i="67"/>
  <c r="AB586" i="67"/>
  <c r="AB281" i="67"/>
  <c r="AB738" i="67"/>
  <c r="AB128" i="67"/>
  <c r="AB889" i="67"/>
  <c r="AD330" i="67"/>
  <c r="AX13" i="68"/>
  <c r="W14" i="62" s="1"/>
  <c r="AD785" i="67"/>
  <c r="AD177" i="67"/>
  <c r="AD634" i="67"/>
  <c r="AD482" i="67"/>
  <c r="AD24" i="67"/>
  <c r="AR21" i="68"/>
  <c r="Q21" i="62" s="1"/>
  <c r="X348" i="67"/>
  <c r="X652" i="67"/>
  <c r="X42" i="67"/>
  <c r="X803" i="67"/>
  <c r="X195" i="67"/>
  <c r="X500" i="67"/>
  <c r="AV586" i="67"/>
  <c r="AV128" i="67"/>
  <c r="AV281" i="67"/>
  <c r="AV434" i="67"/>
  <c r="AV738" i="67"/>
  <c r="AV889" i="67"/>
  <c r="AG144" i="67"/>
  <c r="AG602" i="67"/>
  <c r="AG297" i="67"/>
  <c r="AG905" i="67"/>
  <c r="AG450" i="67"/>
  <c r="AG754" i="67"/>
  <c r="AG163" i="67"/>
  <c r="AG316" i="67"/>
  <c r="AG620" i="67"/>
  <c r="AG771" i="67"/>
  <c r="AG10" i="67"/>
  <c r="L331" i="67"/>
  <c r="L635" i="67"/>
  <c r="L25" i="67"/>
  <c r="L786" i="67"/>
  <c r="L483" i="67"/>
  <c r="L178" i="67"/>
  <c r="AF339" i="67"/>
  <c r="AF33" i="67"/>
  <c r="AF643" i="67"/>
  <c r="AF186" i="67"/>
  <c r="AF794" i="67"/>
  <c r="AF491" i="67"/>
  <c r="Y459" i="67"/>
  <c r="Y914" i="67"/>
  <c r="Y763" i="67"/>
  <c r="Y611" i="67"/>
  <c r="Y306" i="67"/>
  <c r="Y153" i="67"/>
  <c r="AN290" i="67"/>
  <c r="AN898" i="67"/>
  <c r="AN137" i="67"/>
  <c r="AN595" i="67"/>
  <c r="AN443" i="67"/>
  <c r="AN747" i="67"/>
  <c r="AC306" i="67"/>
  <c r="AC459" i="67"/>
  <c r="AC153" i="67"/>
  <c r="AC763" i="67"/>
  <c r="AC914" i="67"/>
  <c r="AC611" i="67"/>
  <c r="P339" i="67"/>
  <c r="P794" i="67"/>
  <c r="P491" i="67"/>
  <c r="P33" i="67"/>
  <c r="P643" i="67"/>
  <c r="P186" i="67"/>
  <c r="AT357" i="67"/>
  <c r="AT661" i="67"/>
  <c r="AT204" i="67"/>
  <c r="AT812" i="67"/>
  <c r="AT509" i="67"/>
  <c r="AT51" i="67"/>
  <c r="AQ359" i="67"/>
  <c r="AQ511" i="67"/>
  <c r="AQ206" i="67"/>
  <c r="AQ663" i="67"/>
  <c r="AQ53" i="67"/>
  <c r="AQ814" i="67"/>
  <c r="Q339" i="67"/>
  <c r="Q491" i="67"/>
  <c r="Q33" i="67"/>
  <c r="Q794" i="67"/>
  <c r="Q643" i="67"/>
  <c r="Q186" i="67"/>
  <c r="T918" i="67"/>
  <c r="T159" i="67"/>
  <c r="AG159" i="67"/>
  <c r="AG918" i="67"/>
  <c r="AO159" i="67"/>
  <c r="AO918" i="67"/>
  <c r="AT358" i="67"/>
  <c r="AT813" i="67"/>
  <c r="AT662" i="67"/>
  <c r="AT205" i="67"/>
  <c r="AT510" i="67"/>
  <c r="AT52" i="67"/>
  <c r="AW340" i="67"/>
  <c r="AW492" i="67"/>
  <c r="AW644" i="67"/>
  <c r="AW795" i="67"/>
  <c r="AW34" i="67"/>
  <c r="AW187" i="67"/>
  <c r="L356" i="67"/>
  <c r="L508" i="67"/>
  <c r="L203" i="67"/>
  <c r="L660" i="67"/>
  <c r="L811" i="67"/>
  <c r="L50" i="67"/>
  <c r="AF26" i="68"/>
  <c r="E24" i="62" s="1"/>
  <c r="M340" i="67"/>
  <c r="M795" i="67"/>
  <c r="M492" i="67"/>
  <c r="M644" i="67"/>
  <c r="M34" i="67"/>
  <c r="M187" i="67"/>
  <c r="AC338" i="67"/>
  <c r="AC642" i="67"/>
  <c r="AC490" i="67"/>
  <c r="AC32" i="67"/>
  <c r="AC185" i="67"/>
  <c r="U897" i="67"/>
  <c r="U442" i="67"/>
  <c r="U746" i="67"/>
  <c r="U594" i="67"/>
  <c r="U289" i="67"/>
  <c r="U136" i="67"/>
  <c r="AR644" i="67"/>
  <c r="AR795" i="67"/>
  <c r="AR340" i="67"/>
  <c r="AR492" i="67"/>
  <c r="AR34" i="67"/>
  <c r="AR187" i="67"/>
  <c r="T906" i="67"/>
  <c r="T755" i="67"/>
  <c r="T145" i="67"/>
  <c r="T298" i="67"/>
  <c r="T451" i="67"/>
  <c r="T603" i="67"/>
  <c r="P451" i="67"/>
  <c r="P145" i="67"/>
  <c r="P603" i="67"/>
  <c r="P906" i="67"/>
  <c r="P298" i="67"/>
  <c r="P755" i="67"/>
  <c r="P164" i="67"/>
  <c r="P317" i="67"/>
  <c r="P621" i="67"/>
  <c r="P11" i="67"/>
  <c r="P772" i="67"/>
  <c r="U331" i="67"/>
  <c r="U786" i="67"/>
  <c r="U635" i="67"/>
  <c r="U178" i="67"/>
  <c r="U483" i="67"/>
  <c r="U25" i="67"/>
  <c r="AS349" i="67"/>
  <c r="AS804" i="67"/>
  <c r="AS653" i="67"/>
  <c r="AS196" i="67"/>
  <c r="AS501" i="67"/>
  <c r="AS43" i="67"/>
  <c r="AN282" i="67"/>
  <c r="AN129" i="67"/>
  <c r="AN587" i="67"/>
  <c r="AN435" i="67"/>
  <c r="AN739" i="67"/>
  <c r="AN890" i="67"/>
  <c r="AP298" i="67"/>
  <c r="AP145" i="67"/>
  <c r="AP451" i="67"/>
  <c r="AP603" i="67"/>
  <c r="AP755" i="67"/>
  <c r="AP906" i="67"/>
  <c r="AP164" i="67"/>
  <c r="AP317" i="67"/>
  <c r="AP621" i="67"/>
  <c r="AP772" i="67"/>
  <c r="AP11" i="67"/>
  <c r="O331" i="67"/>
  <c r="O786" i="67"/>
  <c r="O25" i="67"/>
  <c r="O635" i="67"/>
  <c r="O483" i="67"/>
  <c r="O178" i="67"/>
  <c r="AU349" i="67"/>
  <c r="AU501" i="67"/>
  <c r="AU196" i="67"/>
  <c r="AU804" i="67"/>
  <c r="AU653" i="67"/>
  <c r="AU43" i="67"/>
  <c r="AL359" i="67"/>
  <c r="AL206" i="67"/>
  <c r="AL663" i="67"/>
  <c r="AL53" i="67"/>
  <c r="AL814" i="67"/>
  <c r="AL511" i="67"/>
  <c r="AU763" i="67"/>
  <c r="AU459" i="67"/>
  <c r="AU914" i="67"/>
  <c r="AU306" i="67"/>
  <c r="AU153" i="67"/>
  <c r="AU611" i="67"/>
  <c r="AP339" i="67"/>
  <c r="AP186" i="67"/>
  <c r="AP794" i="67"/>
  <c r="AP643" i="67"/>
  <c r="AP491" i="67"/>
  <c r="AP33" i="67"/>
  <c r="K359" i="67"/>
  <c r="K206" i="67"/>
  <c r="K663" i="67"/>
  <c r="K511" i="67"/>
  <c r="K53" i="67"/>
  <c r="K814" i="67"/>
  <c r="V359" i="67"/>
  <c r="V814" i="67"/>
  <c r="V511" i="67"/>
  <c r="V206" i="67"/>
  <c r="V663" i="67"/>
  <c r="V53" i="67"/>
  <c r="AV359" i="67"/>
  <c r="AV511" i="67"/>
  <c r="AV663" i="67"/>
  <c r="AV206" i="67"/>
  <c r="AV814" i="67"/>
  <c r="AV53" i="67"/>
  <c r="AS357" i="67"/>
  <c r="AS51" i="67"/>
  <c r="AS204" i="67"/>
  <c r="AS661" i="67"/>
  <c r="AS509" i="67"/>
  <c r="AS812" i="67"/>
  <c r="AK290" i="67"/>
  <c r="AK595" i="67"/>
  <c r="AK443" i="67"/>
  <c r="AK898" i="67"/>
  <c r="AK137" i="67"/>
  <c r="AK747" i="67"/>
  <c r="T611" i="67"/>
  <c r="T459" i="67"/>
  <c r="T153" i="67"/>
  <c r="T763" i="67"/>
  <c r="T914" i="67"/>
  <c r="T306" i="67"/>
  <c r="Z339" i="67"/>
  <c r="Z33" i="67"/>
  <c r="Z643" i="67"/>
  <c r="Z186" i="67"/>
  <c r="Z794" i="67"/>
  <c r="Z491" i="67"/>
  <c r="AD357" i="67"/>
  <c r="AD509" i="67"/>
  <c r="AD51" i="67"/>
  <c r="AD661" i="67"/>
  <c r="AD204" i="67"/>
  <c r="AD812" i="67"/>
  <c r="S443" i="67"/>
  <c r="S290" i="67"/>
  <c r="S898" i="67"/>
  <c r="S595" i="67"/>
  <c r="S747" i="67"/>
  <c r="S137" i="67"/>
  <c r="AH914" i="67"/>
  <c r="AH611" i="67"/>
  <c r="AH459" i="67"/>
  <c r="AH153" i="67"/>
  <c r="AH306" i="67"/>
  <c r="AH763" i="67"/>
  <c r="AA137" i="67"/>
  <c r="AA747" i="67"/>
  <c r="AA290" i="67"/>
  <c r="AA443" i="67"/>
  <c r="AA595" i="67"/>
  <c r="AA898" i="67"/>
  <c r="V158" i="67"/>
  <c r="V917" i="67"/>
  <c r="AE918" i="67"/>
  <c r="AE159" i="67"/>
  <c r="X917" i="67"/>
  <c r="X158" i="67"/>
  <c r="AF913" i="67"/>
  <c r="AF458" i="67"/>
  <c r="AF762" i="67"/>
  <c r="AF152" i="67"/>
  <c r="AF305" i="67"/>
  <c r="AF610" i="67"/>
  <c r="N358" i="67"/>
  <c r="N813" i="67"/>
  <c r="N662" i="67"/>
  <c r="N510" i="67"/>
  <c r="N205" i="67"/>
  <c r="N52" i="67"/>
  <c r="AN338" i="67"/>
  <c r="AN642" i="67"/>
  <c r="AN185" i="67"/>
  <c r="AN490" i="67"/>
  <c r="AN32" i="67"/>
  <c r="AA340" i="67"/>
  <c r="AA795" i="67"/>
  <c r="AA644" i="67"/>
  <c r="AA492" i="67"/>
  <c r="AA34" i="67"/>
  <c r="AA187" i="67"/>
  <c r="P338" i="67"/>
  <c r="P642" i="67"/>
  <c r="P185" i="67"/>
  <c r="P490" i="67"/>
  <c r="P32" i="67"/>
  <c r="AK358" i="67"/>
  <c r="AK662" i="67"/>
  <c r="AK813" i="67"/>
  <c r="AK510" i="67"/>
  <c r="AK52" i="67"/>
  <c r="AK205" i="67"/>
  <c r="AP338" i="67"/>
  <c r="AP642" i="67"/>
  <c r="AP490" i="67"/>
  <c r="AP32" i="67"/>
  <c r="AP185" i="67"/>
  <c r="AH356" i="67"/>
  <c r="AH811" i="67"/>
  <c r="AH660" i="67"/>
  <c r="AH203" i="67"/>
  <c r="AH508" i="67"/>
  <c r="AH50" i="67"/>
  <c r="BB26" i="68"/>
  <c r="AA24" i="62" s="1"/>
  <c r="O913" i="67"/>
  <c r="O458" i="67"/>
  <c r="O762" i="67"/>
  <c r="O305" i="67"/>
  <c r="O152" i="67"/>
  <c r="O610" i="67"/>
  <c r="AO913" i="67"/>
  <c r="AO458" i="67"/>
  <c r="AO762" i="67"/>
  <c r="AO305" i="67"/>
  <c r="AO152" i="67"/>
  <c r="AO610" i="67"/>
  <c r="AI338" i="67"/>
  <c r="AI642" i="67"/>
  <c r="AI490" i="67"/>
  <c r="AI32" i="67"/>
  <c r="AI185" i="67"/>
  <c r="Z356" i="67"/>
  <c r="Z811" i="67"/>
  <c r="Z660" i="67"/>
  <c r="Z203" i="67"/>
  <c r="Z508" i="67"/>
  <c r="Z50" i="67"/>
  <c r="AT26" i="68"/>
  <c r="S24" i="62" s="1"/>
  <c r="AL349" i="67"/>
  <c r="AL43" i="67"/>
  <c r="AL501" i="67"/>
  <c r="AL653" i="67"/>
  <c r="AL196" i="67"/>
  <c r="AL804" i="67"/>
  <c r="AJ298" i="67"/>
  <c r="AJ451" i="67"/>
  <c r="AJ603" i="67"/>
  <c r="AJ145" i="67"/>
  <c r="AJ755" i="67"/>
  <c r="AJ906" i="67"/>
  <c r="AW602" i="67"/>
  <c r="AW144" i="67"/>
  <c r="AW754" i="67"/>
  <c r="AW297" i="67"/>
  <c r="AW450" i="67"/>
  <c r="AW905" i="67"/>
  <c r="AW163" i="67"/>
  <c r="AW316" i="67"/>
  <c r="AW10" i="67"/>
  <c r="AW620" i="67"/>
  <c r="AW771" i="67"/>
  <c r="Z331" i="67"/>
  <c r="Z178" i="67"/>
  <c r="Z25" i="67"/>
  <c r="Z786" i="67"/>
  <c r="Z635" i="67"/>
  <c r="Z483" i="67"/>
  <c r="W164" i="67"/>
  <c r="W317" i="67"/>
  <c r="W772" i="67"/>
  <c r="W11" i="67"/>
  <c r="W621" i="67"/>
  <c r="AI451" i="67"/>
  <c r="AI298" i="67"/>
  <c r="AI603" i="67"/>
  <c r="AI906" i="67"/>
  <c r="AI145" i="67"/>
  <c r="AI755" i="67"/>
  <c r="R906" i="67"/>
  <c r="R298" i="67"/>
  <c r="R603" i="67"/>
  <c r="R451" i="67"/>
  <c r="R145" i="67"/>
  <c r="R755" i="67"/>
  <c r="R164" i="67"/>
  <c r="R317" i="67"/>
  <c r="R11" i="67"/>
  <c r="R621" i="67"/>
  <c r="R772" i="67"/>
  <c r="AB331" i="67"/>
  <c r="AB483" i="67"/>
  <c r="AB25" i="67"/>
  <c r="AB635" i="67"/>
  <c r="AB178" i="67"/>
  <c r="AB786" i="67"/>
  <c r="N349" i="67"/>
  <c r="N501" i="67"/>
  <c r="N196" i="67"/>
  <c r="N653" i="67"/>
  <c r="N43" i="67"/>
  <c r="N804" i="67"/>
  <c r="AD739" i="67"/>
  <c r="AD587" i="67"/>
  <c r="AD435" i="67"/>
  <c r="AD129" i="67"/>
  <c r="AD282" i="67"/>
  <c r="AD890" i="67"/>
  <c r="AE906" i="67"/>
  <c r="AE603" i="67"/>
  <c r="AE298" i="67"/>
  <c r="AE755" i="67"/>
  <c r="AE145" i="67"/>
  <c r="AE451" i="67"/>
  <c r="AE164" i="67"/>
  <c r="AE317" i="67"/>
  <c r="AE772" i="67"/>
  <c r="AE11" i="67"/>
  <c r="AE621" i="67"/>
  <c r="AT331" i="67"/>
  <c r="AT635" i="67"/>
  <c r="AT786" i="67"/>
  <c r="AT25" i="67"/>
  <c r="AT483" i="67"/>
  <c r="AT178" i="67"/>
  <c r="X349" i="67"/>
  <c r="X804" i="67"/>
  <c r="X43" i="67"/>
  <c r="X501" i="67"/>
  <c r="X196" i="67"/>
  <c r="X653" i="67"/>
  <c r="AR451" i="67"/>
  <c r="AR603" i="67"/>
  <c r="AR145" i="67"/>
  <c r="AR298" i="67"/>
  <c r="AR755" i="67"/>
  <c r="AR906" i="67"/>
  <c r="AA451" i="67"/>
  <c r="AA298" i="67"/>
  <c r="AA755" i="67"/>
  <c r="AA906" i="67"/>
  <c r="AA145" i="67"/>
  <c r="AA603" i="67"/>
  <c r="AA164" i="67"/>
  <c r="AA317" i="67"/>
  <c r="AA772" i="67"/>
  <c r="AA11" i="67"/>
  <c r="AA621" i="67"/>
  <c r="AV331" i="67"/>
  <c r="AV786" i="67"/>
  <c r="AV483" i="67"/>
  <c r="AV635" i="67"/>
  <c r="AV25" i="67"/>
  <c r="AV178" i="67"/>
  <c r="AG349" i="67"/>
  <c r="AG804" i="67"/>
  <c r="AG196" i="67"/>
  <c r="AG501" i="67"/>
  <c r="AG653" i="67"/>
  <c r="AG43" i="67"/>
  <c r="AC435" i="67"/>
  <c r="AC739" i="67"/>
  <c r="AC282" i="67"/>
  <c r="AC129" i="67"/>
  <c r="AC587" i="67"/>
  <c r="AC890" i="67"/>
  <c r="AO755" i="67"/>
  <c r="AO451" i="67"/>
  <c r="AO145" i="67"/>
  <c r="AO298" i="67"/>
  <c r="AO603" i="67"/>
  <c r="AO906" i="67"/>
  <c r="AO164" i="67"/>
  <c r="AO317" i="67"/>
  <c r="AO621" i="67"/>
  <c r="AO772" i="67"/>
  <c r="AO11" i="67"/>
  <c r="L330" i="67"/>
  <c r="AF13" i="68"/>
  <c r="E14" i="62" s="1"/>
  <c r="L177" i="67"/>
  <c r="L482" i="67"/>
  <c r="L634" i="67"/>
  <c r="L24" i="67"/>
  <c r="L785" i="67"/>
  <c r="L357" i="67"/>
  <c r="L661" i="67"/>
  <c r="L51" i="67"/>
  <c r="L812" i="67"/>
  <c r="L509" i="67"/>
  <c r="L204" i="67"/>
  <c r="AP341" i="67"/>
  <c r="AP645" i="67"/>
  <c r="AP188" i="67"/>
  <c r="AP493" i="67"/>
  <c r="AP796" i="67"/>
  <c r="AP35" i="67"/>
  <c r="AJ595" i="67"/>
  <c r="AJ898" i="67"/>
  <c r="AJ290" i="67"/>
  <c r="AJ443" i="67"/>
  <c r="AJ747" i="67"/>
  <c r="AJ137" i="67"/>
  <c r="AN359" i="67"/>
  <c r="AN663" i="67"/>
  <c r="AN206" i="67"/>
  <c r="AN814" i="67"/>
  <c r="AN511" i="67"/>
  <c r="AN53" i="67"/>
  <c r="AB357" i="67"/>
  <c r="AB204" i="67"/>
  <c r="AB661" i="67"/>
  <c r="AB51" i="67"/>
  <c r="AB812" i="67"/>
  <c r="AB509" i="67"/>
  <c r="U898" i="67"/>
  <c r="U443" i="67"/>
  <c r="U747" i="67"/>
  <c r="U290" i="67"/>
  <c r="U137" i="67"/>
  <c r="U595" i="67"/>
  <c r="AE359" i="67"/>
  <c r="AE511" i="67"/>
  <c r="AE53" i="67"/>
  <c r="AE814" i="67"/>
  <c r="AE663" i="67"/>
  <c r="AE206" i="67"/>
  <c r="N357" i="67"/>
  <c r="N661" i="67"/>
  <c r="N204" i="67"/>
  <c r="N812" i="67"/>
  <c r="N51" i="67"/>
  <c r="N509" i="67"/>
  <c r="N158" i="67"/>
  <c r="N917" i="67"/>
  <c r="AK159" i="67"/>
  <c r="AK918" i="67"/>
  <c r="U917" i="67"/>
  <c r="U158" i="67"/>
  <c r="AT356" i="67"/>
  <c r="AT660" i="67"/>
  <c r="AT811" i="67"/>
  <c r="AT50" i="67"/>
  <c r="AT203" i="67"/>
  <c r="AT508" i="67"/>
  <c r="BN26" i="68"/>
  <c r="AM24" i="62" s="1"/>
  <c r="AD746" i="67"/>
  <c r="AD897" i="67"/>
  <c r="AD442" i="67"/>
  <c r="AD594" i="67"/>
  <c r="AD136" i="67"/>
  <c r="AD289" i="67"/>
  <c r="AW913" i="67"/>
  <c r="AW458" i="67"/>
  <c r="AW762" i="67"/>
  <c r="AW610" i="67"/>
  <c r="AW305" i="67"/>
  <c r="AW152" i="67"/>
  <c r="L358" i="67"/>
  <c r="L813" i="67"/>
  <c r="L662" i="67"/>
  <c r="L205" i="67"/>
  <c r="L510" i="67"/>
  <c r="L52" i="67"/>
  <c r="M338" i="67"/>
  <c r="M642" i="67"/>
  <c r="M490" i="67"/>
  <c r="M32" i="67"/>
  <c r="M185" i="67"/>
  <c r="AP340" i="67"/>
  <c r="AP795" i="67"/>
  <c r="AP187" i="67"/>
  <c r="AP492" i="67"/>
  <c r="AP644" i="67"/>
  <c r="AP34" i="67"/>
  <c r="AI340" i="67"/>
  <c r="AI795" i="67"/>
  <c r="AI644" i="67"/>
  <c r="AI492" i="67"/>
  <c r="AI34" i="67"/>
  <c r="AI187" i="67"/>
  <c r="AW331" i="67"/>
  <c r="AW483" i="67"/>
  <c r="AW635" i="67"/>
  <c r="AW178" i="67"/>
  <c r="AW786" i="67"/>
  <c r="AW25" i="67"/>
  <c r="R348" i="67"/>
  <c r="R500" i="67"/>
  <c r="AL21" i="68"/>
  <c r="K21" i="62" s="1"/>
  <c r="R42" i="67"/>
  <c r="R803" i="67"/>
  <c r="R652" i="67"/>
  <c r="R195" i="67"/>
  <c r="AE450" i="67"/>
  <c r="AE144" i="67"/>
  <c r="AE297" i="67"/>
  <c r="AE754" i="67"/>
  <c r="AE602" i="67"/>
  <c r="AE905" i="67"/>
  <c r="AE163" i="67"/>
  <c r="AE316" i="67"/>
  <c r="AE10" i="67"/>
  <c r="AE771" i="67"/>
  <c r="AE620" i="67"/>
  <c r="AR330" i="67"/>
  <c r="AR177" i="67"/>
  <c r="AR482" i="67"/>
  <c r="AR634" i="67"/>
  <c r="AR24" i="67"/>
  <c r="AR785" i="67"/>
  <c r="BL13" i="68"/>
  <c r="AK14" i="62" s="1"/>
  <c r="AO348" i="67"/>
  <c r="AO803" i="67"/>
  <c r="BI21" i="68"/>
  <c r="AH21" i="62" s="1"/>
  <c r="AO500" i="67"/>
  <c r="AO42" i="67"/>
  <c r="AO652" i="67"/>
  <c r="AO195" i="67"/>
  <c r="AV913" i="67"/>
  <c r="AV458" i="67"/>
  <c r="AV762" i="67"/>
  <c r="AV152" i="67"/>
  <c r="AV305" i="67"/>
  <c r="AV610" i="67"/>
  <c r="AK451" i="67"/>
  <c r="AK603" i="67"/>
  <c r="AK145" i="67"/>
  <c r="AK298" i="67"/>
  <c r="AK755" i="67"/>
  <c r="AK906" i="67"/>
  <c r="AK164" i="67"/>
  <c r="AK317" i="67"/>
  <c r="AK772" i="67"/>
  <c r="AK621" i="67"/>
  <c r="AK11" i="67"/>
  <c r="AF331" i="67"/>
  <c r="AF178" i="67"/>
  <c r="AF786" i="67"/>
  <c r="AF25" i="67"/>
  <c r="AF635" i="67"/>
  <c r="AF483" i="67"/>
  <c r="AH349" i="67"/>
  <c r="AH196" i="67"/>
  <c r="AH501" i="67"/>
  <c r="AH653" i="67"/>
  <c r="AH43" i="67"/>
  <c r="AH804" i="67"/>
  <c r="AH340" i="67"/>
  <c r="AH795" i="67"/>
  <c r="AH187" i="67"/>
  <c r="AH644" i="67"/>
  <c r="AH492" i="67"/>
  <c r="AH34" i="67"/>
  <c r="AL434" i="67"/>
  <c r="AL128" i="67"/>
  <c r="AL738" i="67"/>
  <c r="AL281" i="67"/>
  <c r="AL586" i="67"/>
  <c r="AL889" i="67"/>
  <c r="Z144" i="67"/>
  <c r="Z754" i="67"/>
  <c r="Z450" i="67"/>
  <c r="Z602" i="67"/>
  <c r="Z297" i="67"/>
  <c r="Z905" i="67"/>
  <c r="Z163" i="67"/>
  <c r="Z316" i="67"/>
  <c r="Z771" i="67"/>
  <c r="Z620" i="67"/>
  <c r="Z10" i="67"/>
  <c r="AI330" i="67"/>
  <c r="AI785" i="67"/>
  <c r="AI24" i="67"/>
  <c r="AI482" i="67"/>
  <c r="AI177" i="67"/>
  <c r="AI634" i="67"/>
  <c r="BC13" i="68"/>
  <c r="AB14" i="62" s="1"/>
  <c r="N348" i="67"/>
  <c r="N652" i="67"/>
  <c r="N42" i="67"/>
  <c r="N803" i="67"/>
  <c r="AH21" i="68"/>
  <c r="G21" i="62" s="1"/>
  <c r="N195" i="67"/>
  <c r="N500" i="67"/>
  <c r="AT281" i="67"/>
  <c r="AT128" i="67"/>
  <c r="AT738" i="67"/>
  <c r="AT434" i="67"/>
  <c r="AT586" i="67"/>
  <c r="AT889" i="67"/>
  <c r="AA434" i="67"/>
  <c r="AA128" i="67"/>
  <c r="AA281" i="67"/>
  <c r="AA586" i="67"/>
  <c r="AA738" i="67"/>
  <c r="AA889" i="67"/>
  <c r="AA163" i="67"/>
  <c r="AA316" i="67"/>
  <c r="AA620" i="67"/>
  <c r="AA771" i="67"/>
  <c r="AA10" i="67"/>
  <c r="AC330" i="67"/>
  <c r="AW13" i="68"/>
  <c r="V14" i="62" s="1"/>
  <c r="AC785" i="67"/>
  <c r="AC24" i="67"/>
  <c r="AC482" i="67"/>
  <c r="AC634" i="67"/>
  <c r="AC177" i="67"/>
  <c r="AI137" i="67"/>
  <c r="AI595" i="67"/>
  <c r="AI443" i="67"/>
  <c r="AI290" i="67"/>
  <c r="AI747" i="67"/>
  <c r="AI898" i="67"/>
  <c r="AG459" i="67"/>
  <c r="AG306" i="67"/>
  <c r="AG153" i="67"/>
  <c r="AG611" i="67"/>
  <c r="AG914" i="67"/>
  <c r="AG763" i="67"/>
  <c r="W341" i="67"/>
  <c r="W493" i="67"/>
  <c r="W35" i="67"/>
  <c r="W645" i="67"/>
  <c r="W188" i="67"/>
  <c r="W796" i="67"/>
  <c r="AO339" i="67"/>
  <c r="AO491" i="67"/>
  <c r="AO33" i="67"/>
  <c r="AO643" i="67"/>
  <c r="AO186" i="67"/>
  <c r="AO794" i="67"/>
  <c r="AM339" i="67"/>
  <c r="AM794" i="67"/>
  <c r="AM33" i="67"/>
  <c r="AM491" i="67"/>
  <c r="AM643" i="67"/>
  <c r="AM186" i="67"/>
  <c r="AB341" i="67"/>
  <c r="AB645" i="67"/>
  <c r="AB188" i="67"/>
  <c r="AB796" i="67"/>
  <c r="AB35" i="67"/>
  <c r="AB493" i="67"/>
  <c r="AE747" i="67"/>
  <c r="AE137" i="67"/>
  <c r="AE290" i="67"/>
  <c r="AE898" i="67"/>
  <c r="AE443" i="67"/>
  <c r="AE595" i="67"/>
  <c r="N359" i="67"/>
  <c r="N511" i="67"/>
  <c r="N206" i="67"/>
  <c r="N663" i="67"/>
  <c r="N53" i="67"/>
  <c r="N814" i="67"/>
  <c r="AD158" i="67"/>
  <c r="AD917" i="67"/>
  <c r="AM159" i="67"/>
  <c r="AM918" i="67"/>
  <c r="T356" i="67"/>
  <c r="T660" i="67"/>
  <c r="T811" i="67"/>
  <c r="T50" i="67"/>
  <c r="T203" i="67"/>
  <c r="T508" i="67"/>
  <c r="AN26" i="68"/>
  <c r="M24" i="62" s="1"/>
  <c r="AS897" i="67"/>
  <c r="AS442" i="67"/>
  <c r="AS746" i="67"/>
  <c r="AS594" i="67"/>
  <c r="AS136" i="67"/>
  <c r="AS289" i="67"/>
  <c r="W913" i="67"/>
  <c r="W458" i="67"/>
  <c r="W762" i="67"/>
  <c r="W610" i="67"/>
  <c r="W305" i="67"/>
  <c r="W152" i="67"/>
  <c r="AG338" i="67"/>
  <c r="AG642" i="67"/>
  <c r="AG490" i="67"/>
  <c r="AG32" i="67"/>
  <c r="AG185" i="67"/>
  <c r="AQ660" i="67"/>
  <c r="AQ356" i="67"/>
  <c r="AQ811" i="67"/>
  <c r="AQ508" i="67"/>
  <c r="AQ50" i="67"/>
  <c r="AQ203" i="67"/>
  <c r="BK26" i="68"/>
  <c r="AJ24" i="62" s="1"/>
  <c r="X358" i="67"/>
  <c r="X662" i="67"/>
  <c r="X813" i="67"/>
  <c r="X510" i="67"/>
  <c r="X52" i="67"/>
  <c r="X205" i="67"/>
  <c r="Q340" i="67"/>
  <c r="Q492" i="67"/>
  <c r="Q644" i="67"/>
  <c r="Q795" i="67"/>
  <c r="Q34" i="67"/>
  <c r="Q187" i="67"/>
  <c r="S349" i="67"/>
  <c r="S196" i="67"/>
  <c r="S653" i="67"/>
  <c r="S501" i="67"/>
  <c r="S804" i="67"/>
  <c r="S43" i="67"/>
  <c r="Y435" i="67"/>
  <c r="Y587" i="67"/>
  <c r="Y739" i="67"/>
  <c r="Y282" i="67"/>
  <c r="Y129" i="67"/>
  <c r="Y890" i="67"/>
  <c r="AQ298" i="67"/>
  <c r="AQ145" i="67"/>
  <c r="AQ603" i="67"/>
  <c r="AQ755" i="67"/>
  <c r="AQ451" i="67"/>
  <c r="AQ906" i="67"/>
  <c r="AQ164" i="67"/>
  <c r="AQ317" i="67"/>
  <c r="AQ772" i="67"/>
  <c r="AQ11" i="67"/>
  <c r="AQ621" i="67"/>
  <c r="K330" i="67"/>
  <c r="AE13" i="68"/>
  <c r="D14" i="62" s="1"/>
  <c r="K634" i="67"/>
  <c r="K24" i="67"/>
  <c r="K482" i="67"/>
  <c r="K785" i="67"/>
  <c r="K177" i="67"/>
  <c r="K348" i="67"/>
  <c r="AE21" i="68"/>
  <c r="D21" i="62" s="1"/>
  <c r="K803" i="67"/>
  <c r="K500" i="67"/>
  <c r="K195" i="67"/>
  <c r="K652" i="67"/>
  <c r="K42" i="67"/>
  <c r="Q331" i="67"/>
  <c r="Q178" i="67"/>
  <c r="Q483" i="67"/>
  <c r="Q635" i="67"/>
  <c r="Q25" i="67"/>
  <c r="Q786" i="67"/>
  <c r="V349" i="67"/>
  <c r="V196" i="67"/>
  <c r="V653" i="67"/>
  <c r="V804" i="67"/>
  <c r="V43" i="67"/>
  <c r="V501" i="67"/>
  <c r="AM890" i="67"/>
  <c r="AM435" i="67"/>
  <c r="AM587" i="67"/>
  <c r="AM739" i="67"/>
  <c r="AM129" i="67"/>
  <c r="AM282" i="67"/>
  <c r="M451" i="67"/>
  <c r="M298" i="67"/>
  <c r="M906" i="67"/>
  <c r="M755" i="67"/>
  <c r="M145" i="67"/>
  <c r="M603" i="67"/>
  <c r="M164" i="67"/>
  <c r="M317" i="67"/>
  <c r="M621" i="67"/>
  <c r="M772" i="67"/>
  <c r="M11" i="67"/>
  <c r="BG82" i="70"/>
  <c r="BG85" i="70" s="1"/>
  <c r="BG47" i="70"/>
  <c r="AL82" i="70"/>
  <c r="AL85" i="70" s="1"/>
  <c r="AL47" i="70"/>
  <c r="BO82" i="70"/>
  <c r="BO85" i="70" s="1"/>
  <c r="BO47" i="70"/>
  <c r="BE82" i="70"/>
  <c r="BE85" i="70" s="1"/>
  <c r="BE47" i="70"/>
  <c r="AP82" i="70"/>
  <c r="AP85" i="70" s="1"/>
  <c r="AP47" i="70"/>
  <c r="BF82" i="70"/>
  <c r="BF85" i="70" s="1"/>
  <c r="BF47" i="70"/>
  <c r="AE82" i="70"/>
  <c r="AE85" i="70" s="1"/>
  <c r="AE47" i="70"/>
  <c r="AE45" i="70"/>
  <c r="AS82" i="70"/>
  <c r="AS85" i="70" s="1"/>
  <c r="AS47" i="70"/>
  <c r="AO82" i="70"/>
  <c r="AO85" i="70" s="1"/>
  <c r="AO47" i="70"/>
  <c r="AO61" i="50"/>
  <c r="AU41" i="70"/>
  <c r="AK61" i="50"/>
  <c r="AQ41" i="70"/>
  <c r="BP41" i="36"/>
  <c r="BP82" i="36" s="1"/>
  <c r="BP41" i="70"/>
  <c r="AZ82" i="70"/>
  <c r="AZ85" i="70" s="1"/>
  <c r="AZ47" i="70"/>
  <c r="BN41" i="36"/>
  <c r="BN82" i="36" s="1"/>
  <c r="BN41" i="70"/>
  <c r="BA82" i="70"/>
  <c r="BA85" i="70" s="1"/>
  <c r="BA47" i="70"/>
  <c r="AH82" i="70"/>
  <c r="AH85" i="70" s="1"/>
  <c r="AH47" i="70"/>
  <c r="BC82" i="70"/>
  <c r="BC85" i="70" s="1"/>
  <c r="BC47" i="70"/>
  <c r="AJ82" i="70"/>
  <c r="AJ85" i="70" s="1"/>
  <c r="AJ47" i="70"/>
  <c r="BB82" i="70"/>
  <c r="BB85" i="70" s="1"/>
  <c r="BB47" i="70"/>
  <c r="AK82" i="70"/>
  <c r="AK85" i="70" s="1"/>
  <c r="AK47" i="70"/>
  <c r="AM82" i="70"/>
  <c r="AM85" i="70" s="1"/>
  <c r="AM47" i="70"/>
  <c r="Z61" i="50"/>
  <c r="AF41" i="70"/>
  <c r="AP61" i="50"/>
  <c r="AV41" i="70"/>
  <c r="BI46" i="70"/>
  <c r="AG157" i="65"/>
  <c r="AG169" i="65" s="1"/>
  <c r="BI48" i="70"/>
  <c r="AR82" i="70"/>
  <c r="AR85" i="70" s="1"/>
  <c r="AR47" i="70"/>
  <c r="AT82" i="70"/>
  <c r="AT85" i="70" s="1"/>
  <c r="AT47" i="70"/>
  <c r="BD47" i="70"/>
  <c r="BD82" i="70"/>
  <c r="BD85" i="70" s="1"/>
  <c r="BB61" i="50"/>
  <c r="BH41" i="70"/>
  <c r="AG82" i="70"/>
  <c r="AG85" i="70" s="1"/>
  <c r="AG47" i="70"/>
  <c r="AI82" i="70"/>
  <c r="AI85" i="70" s="1"/>
  <c r="AI47" i="70"/>
  <c r="AW82" i="70"/>
  <c r="AW85" i="70" s="1"/>
  <c r="AW47" i="70"/>
  <c r="AY82" i="70"/>
  <c r="AY85" i="70" s="1"/>
  <c r="AY47" i="70"/>
  <c r="AN82" i="70"/>
  <c r="AN85" i="70" s="1"/>
  <c r="AN47" i="70"/>
  <c r="AX82" i="70"/>
  <c r="AX85" i="70" s="1"/>
  <c r="AX47" i="70"/>
  <c r="BL82" i="70"/>
  <c r="BL85" i="70" s="1"/>
  <c r="BL47" i="70"/>
  <c r="BD61" i="50"/>
  <c r="BJ41" i="70"/>
  <c r="BG61" i="50"/>
  <c r="BM41" i="70"/>
  <c r="BE61" i="50"/>
  <c r="BK41" i="70"/>
  <c r="BK41" i="36"/>
  <c r="BK82" i="36" s="1"/>
  <c r="AV41" i="36"/>
  <c r="AV82" i="36" s="1"/>
  <c r="BH41" i="36"/>
  <c r="BH82" i="36" s="1"/>
  <c r="AF41" i="36"/>
  <c r="AF82" i="36" s="1"/>
  <c r="BH61" i="50"/>
  <c r="BM41" i="36"/>
  <c r="BM82" i="36" s="1"/>
  <c r="BJ41" i="36"/>
  <c r="BJ82" i="36" s="1"/>
  <c r="AQ41" i="36"/>
  <c r="AQ82" i="36" s="1"/>
  <c r="BJ61" i="50"/>
  <c r="AU41" i="36"/>
  <c r="AU82" i="36" s="1"/>
  <c r="BA41" i="36"/>
  <c r="BA82" i="36" s="1"/>
  <c r="AU61" i="50"/>
  <c r="AH41" i="36"/>
  <c r="AH82" i="36" s="1"/>
  <c r="AB61" i="50"/>
  <c r="BF41" i="36"/>
  <c r="BF82" i="36" s="1"/>
  <c r="AZ61" i="50"/>
  <c r="Y61" i="50"/>
  <c r="AE41" i="36"/>
  <c r="AE82" i="36" s="1"/>
  <c r="AS41" i="36"/>
  <c r="AS82" i="36" s="1"/>
  <c r="AM61" i="50"/>
  <c r="AR61" i="50"/>
  <c r="AX41" i="36"/>
  <c r="AX82" i="36" s="1"/>
  <c r="BL41" i="36"/>
  <c r="BL82" i="36" s="1"/>
  <c r="BF61" i="50"/>
  <c r="BE41" i="36"/>
  <c r="BE82" i="36" s="1"/>
  <c r="AY61" i="50"/>
  <c r="AG41" i="36"/>
  <c r="AG82" i="36" s="1"/>
  <c r="AG85" i="36" s="1"/>
  <c r="AA61" i="50"/>
  <c r="AJ61" i="50"/>
  <c r="AP41" i="36"/>
  <c r="AP82" i="36" s="1"/>
  <c r="AC61" i="50"/>
  <c r="AI41" i="36"/>
  <c r="AI82" i="36" s="1"/>
  <c r="AW61" i="50"/>
  <c r="BC41" i="36"/>
  <c r="BC82" i="36" s="1"/>
  <c r="AF61" i="50"/>
  <c r="AL41" i="36"/>
  <c r="AL82" i="36" s="1"/>
  <c r="AJ41" i="36"/>
  <c r="AJ82" i="36" s="1"/>
  <c r="AD61" i="50"/>
  <c r="AZ41" i="36"/>
  <c r="AZ82" i="36" s="1"/>
  <c r="AT61" i="50"/>
  <c r="AV61" i="50"/>
  <c r="BB41" i="36"/>
  <c r="BB82" i="36" s="1"/>
  <c r="AT41" i="36"/>
  <c r="AT82" i="36" s="1"/>
  <c r="AN61" i="50"/>
  <c r="AK41" i="36"/>
  <c r="AK82" i="36" s="1"/>
  <c r="AE61" i="50"/>
  <c r="BI61" i="50"/>
  <c r="BO41" i="36"/>
  <c r="BO82" i="36" s="1"/>
  <c r="AG61" i="50"/>
  <c r="AM41" i="36"/>
  <c r="AM82" i="36" s="1"/>
  <c r="BD41" i="36"/>
  <c r="BD82" i="36" s="1"/>
  <c r="AX61" i="50"/>
  <c r="BA61" i="50"/>
  <c r="BG41" i="36"/>
  <c r="BG82" i="36" s="1"/>
  <c r="AR41" i="36"/>
  <c r="AR82" i="36" s="1"/>
  <c r="AL61" i="50"/>
  <c r="AW41" i="36"/>
  <c r="AW82" i="36" s="1"/>
  <c r="AQ61" i="50"/>
  <c r="AS61" i="50"/>
  <c r="AY41" i="36"/>
  <c r="AY82" i="36" s="1"/>
  <c r="AN41" i="36"/>
  <c r="AN82" i="36" s="1"/>
  <c r="AH61" i="50"/>
  <c r="AO41" i="36"/>
  <c r="AO82" i="36" s="1"/>
  <c r="AI61" i="50"/>
  <c r="AT52" i="36"/>
  <c r="AA1468" i="67" s="1"/>
  <c r="AA971" i="67" s="1"/>
  <c r="BH172" i="34"/>
  <c r="BH38" i="34"/>
  <c r="AQ173" i="34"/>
  <c r="BF6" i="34"/>
  <c r="AP158" i="34"/>
  <c r="AP172" i="34"/>
  <c r="BL157" i="34"/>
  <c r="BL38" i="34"/>
  <c r="AR38" i="34"/>
  <c r="AR18" i="34"/>
  <c r="BO158" i="34"/>
  <c r="AE50" i="36"/>
  <c r="AE20" i="34"/>
  <c r="BE38" i="34"/>
  <c r="BE50" i="36"/>
  <c r="AO18" i="34"/>
  <c r="AO6" i="34"/>
  <c r="AU19" i="34"/>
  <c r="AU38" i="34"/>
  <c r="BP173" i="34"/>
  <c r="BP174" i="34"/>
  <c r="AS4" i="34"/>
  <c r="AS52" i="36"/>
  <c r="Z1468" i="67" s="1"/>
  <c r="Z971" i="67" s="1"/>
  <c r="BK18" i="34"/>
  <c r="BK6" i="34"/>
  <c r="AI67" i="36"/>
  <c r="BB20" i="34"/>
  <c r="AL50" i="36"/>
  <c r="AL37" i="34"/>
  <c r="BD158" i="34"/>
  <c r="AD172" i="34"/>
  <c r="BA6" i="34"/>
  <c r="BA37" i="34"/>
  <c r="AK36" i="34"/>
  <c r="AK38" i="34"/>
  <c r="BJ157" i="34"/>
  <c r="BJ66" i="36"/>
  <c r="AV174" i="34"/>
  <c r="AV67" i="36"/>
  <c r="AC1483" i="67" s="1"/>
  <c r="AC986" i="67" s="1"/>
  <c r="AV36" i="34"/>
  <c r="BI6" i="34"/>
  <c r="BC6" i="34"/>
  <c r="BC4" i="34"/>
  <c r="BN67" i="36"/>
  <c r="AU1483" i="67" s="1"/>
  <c r="AU986" i="67" s="1"/>
  <c r="BN36" i="34"/>
  <c r="BN6" i="34"/>
  <c r="AX37" i="34"/>
  <c r="AH20" i="34"/>
  <c r="AH18" i="34"/>
  <c r="AZ174" i="34"/>
  <c r="AY51" i="36"/>
  <c r="AF1467" i="67" s="1"/>
  <c r="AF970" i="67" s="1"/>
  <c r="AY6" i="34"/>
  <c r="BM174" i="34"/>
  <c r="BM5" i="34"/>
  <c r="AW50" i="36"/>
  <c r="AW6" i="34"/>
  <c r="AG52" i="36"/>
  <c r="AG37" i="34"/>
  <c r="AL18" i="34"/>
  <c r="AQ172" i="34"/>
  <c r="AQ51" i="36"/>
  <c r="X1467" i="67" s="1"/>
  <c r="X970" i="67" s="1"/>
  <c r="AQ4" i="34"/>
  <c r="AQ156" i="34"/>
  <c r="AQ67" i="36"/>
  <c r="X1483" i="67" s="1"/>
  <c r="X986" i="67" s="1"/>
  <c r="AM163" i="34"/>
  <c r="AL6" i="45"/>
  <c r="AP11" i="34"/>
  <c r="AN6" i="45" s="1"/>
  <c r="AM25" i="34"/>
  <c r="AK13" i="45" s="1"/>
  <c r="AP25" i="34"/>
  <c r="AN13" i="45" s="1"/>
  <c r="AM57" i="36"/>
  <c r="AM11" i="34"/>
  <c r="AK6" i="45" s="1"/>
  <c r="AP73" i="36"/>
  <c r="AO179" i="34"/>
  <c r="AP57" i="36"/>
  <c r="AP43" i="34"/>
  <c r="AN21" i="45" s="1"/>
  <c r="AM73" i="36"/>
  <c r="AO43" i="34"/>
  <c r="AM21" i="45" s="1"/>
  <c r="AL73" i="36"/>
  <c r="AL163" i="34"/>
  <c r="AL43" i="34"/>
  <c r="AJ21" i="45" s="1"/>
  <c r="AL57" i="36"/>
  <c r="AL25" i="34"/>
  <c r="AJ13" i="45" s="1"/>
  <c r="AL11" i="34"/>
  <c r="AJ6" i="45" s="1"/>
  <c r="AO73" i="36"/>
  <c r="AO11" i="34"/>
  <c r="AM6" i="45" s="1"/>
  <c r="AO163" i="34"/>
  <c r="AW10" i="34"/>
  <c r="AO57" i="36"/>
  <c r="AO13" i="45"/>
  <c r="BP156" i="34"/>
  <c r="AU179" i="34"/>
  <c r="AH6" i="45"/>
  <c r="AO6" i="45"/>
  <c r="AT163" i="34"/>
  <c r="AU73" i="36"/>
  <c r="AI6" i="45"/>
  <c r="AU57" i="36"/>
  <c r="AU11" i="34"/>
  <c r="BA158" i="34"/>
  <c r="AH13" i="45"/>
  <c r="AU25" i="34"/>
  <c r="AS13" i="45" s="1"/>
  <c r="AH21" i="45"/>
  <c r="AU163" i="34"/>
  <c r="AL13" i="45"/>
  <c r="AL4" i="34"/>
  <c r="AM13" i="45"/>
  <c r="AS21" i="45"/>
  <c r="AT57" i="36"/>
  <c r="AT43" i="34"/>
  <c r="AR21" i="45" s="1"/>
  <c r="AT73" i="36"/>
  <c r="AT25" i="34"/>
  <c r="AR13" i="45" s="1"/>
  <c r="AL21" i="45"/>
  <c r="AT11" i="34"/>
  <c r="AR6" i="45" s="1"/>
  <c r="AU174" i="34"/>
  <c r="AU18" i="34"/>
  <c r="BF18" i="34"/>
  <c r="AK21" i="45"/>
  <c r="AR174" i="34"/>
  <c r="AO21" i="45"/>
  <c r="AQ21" i="45"/>
  <c r="AU50" i="36"/>
  <c r="BF66" i="36"/>
  <c r="BN174" i="34"/>
  <c r="AZ52" i="36"/>
  <c r="AG1468" i="67" s="1"/>
  <c r="AG971" i="67" s="1"/>
  <c r="AP13" i="45"/>
  <c r="BI172" i="34"/>
  <c r="AZ38" i="34"/>
  <c r="BO52" i="36"/>
  <c r="AV1468" i="67" s="1"/>
  <c r="AV971" i="67" s="1"/>
  <c r="AZ158" i="34"/>
  <c r="BO38" i="34"/>
  <c r="BO174" i="34"/>
  <c r="AR172" i="34"/>
  <c r="AU172" i="34"/>
  <c r="AK20" i="34"/>
  <c r="BN158" i="34"/>
  <c r="AO68" i="36"/>
  <c r="V1484" i="67" s="1"/>
  <c r="V987" i="67" s="1"/>
  <c r="AZ68" i="36"/>
  <c r="AG1484" i="67" s="1"/>
  <c r="AG987" i="67" s="1"/>
  <c r="AZ20" i="34"/>
  <c r="AU4" i="34"/>
  <c r="AU156" i="34"/>
  <c r="AK174" i="34"/>
  <c r="BO68" i="36"/>
  <c r="AV1484" i="67" s="1"/>
  <c r="AV987" i="67" s="1"/>
  <c r="BO20" i="34"/>
  <c r="AZ6" i="34"/>
  <c r="AU36" i="34"/>
  <c r="AU66" i="36"/>
  <c r="BO6" i="34"/>
  <c r="BC156" i="34"/>
  <c r="BP4" i="34"/>
  <c r="BA20" i="34"/>
  <c r="BL18" i="34"/>
  <c r="BE52" i="36"/>
  <c r="AL1468" i="67" s="1"/>
  <c r="AL971" i="67" s="1"/>
  <c r="BP50" i="36"/>
  <c r="BI38" i="34"/>
  <c r="BE20" i="34"/>
  <c r="BL156" i="34"/>
  <c r="BE174" i="34"/>
  <c r="BP172" i="34"/>
  <c r="BA38" i="34"/>
  <c r="BK36" i="34"/>
  <c r="BI20" i="34"/>
  <c r="BE68" i="36"/>
  <c r="AL1484" i="67" s="1"/>
  <c r="AL987" i="67" s="1"/>
  <c r="BE6" i="34"/>
  <c r="BP18" i="34"/>
  <c r="BA52" i="36"/>
  <c r="AH1468" i="67" s="1"/>
  <c r="AH971" i="67" s="1"/>
  <c r="BK4" i="34"/>
  <c r="AK43" i="34"/>
  <c r="AI21" i="45" s="1"/>
  <c r="BK66" i="36"/>
  <c r="AK25" i="34"/>
  <c r="AI13" i="45" s="1"/>
  <c r="AK179" i="34"/>
  <c r="AK57" i="36"/>
  <c r="AK163" i="34"/>
  <c r="AK73" i="36"/>
  <c r="AP6" i="45"/>
  <c r="AP21" i="45"/>
  <c r="AI52" i="34"/>
  <c r="AI34" i="34"/>
  <c r="AD35" i="34"/>
  <c r="AD53" i="34"/>
  <c r="AH4" i="34"/>
  <c r="AH172" i="34"/>
  <c r="AE53" i="34"/>
  <c r="AE35" i="34"/>
  <c r="BA4" i="34"/>
  <c r="AG35" i="34"/>
  <c r="AG53" i="34"/>
  <c r="AE34" i="34"/>
  <c r="AE52" i="34"/>
  <c r="AD66" i="36"/>
  <c r="AD50" i="36"/>
  <c r="AD4" i="34"/>
  <c r="AD156" i="34"/>
  <c r="AD36" i="34"/>
  <c r="AH35" i="34"/>
  <c r="AH53" i="34"/>
  <c r="BA50" i="36"/>
  <c r="AI38" i="34"/>
  <c r="AI52" i="36"/>
  <c r="AI68" i="36"/>
  <c r="AI158" i="34"/>
  <c r="AI174" i="34"/>
  <c r="AI20" i="34"/>
  <c r="AI6" i="34"/>
  <c r="AF52" i="34"/>
  <c r="AF34" i="34"/>
  <c r="AF50" i="36"/>
  <c r="AF66" i="36"/>
  <c r="AF18" i="34"/>
  <c r="AF172" i="34"/>
  <c r="AF4" i="34"/>
  <c r="AF36" i="34"/>
  <c r="AF156" i="34"/>
  <c r="AF35" i="34"/>
  <c r="AF53" i="34"/>
  <c r="AG50" i="36"/>
  <c r="AG66" i="36"/>
  <c r="AG36" i="34"/>
  <c r="AG4" i="34"/>
  <c r="AG156" i="34"/>
  <c r="AG18" i="34"/>
  <c r="AG172" i="34"/>
  <c r="AG52" i="34"/>
  <c r="AG34" i="34"/>
  <c r="AI36" i="34"/>
  <c r="AI50" i="36"/>
  <c r="AI66" i="36"/>
  <c r="AI156" i="34"/>
  <c r="AI4" i="34"/>
  <c r="AI18" i="34"/>
  <c r="AI172" i="34"/>
  <c r="AE4" i="34"/>
  <c r="AF52" i="36"/>
  <c r="AF68" i="36"/>
  <c r="AF38" i="34"/>
  <c r="AF158" i="34"/>
  <c r="AF20" i="34"/>
  <c r="AF6" i="34"/>
  <c r="AF174" i="34"/>
  <c r="AH52" i="36"/>
  <c r="AH68" i="36"/>
  <c r="AH6" i="34"/>
  <c r="AH174" i="34"/>
  <c r="AH38" i="34"/>
  <c r="AI53" i="34"/>
  <c r="AI35" i="34"/>
  <c r="AH52" i="34"/>
  <c r="AH34" i="34"/>
  <c r="AD34" i="34"/>
  <c r="AD52" i="34"/>
  <c r="AQ6" i="45"/>
  <c r="AQ13" i="45"/>
  <c r="AR6" i="34"/>
  <c r="AU68" i="36"/>
  <c r="AB1484" i="67" s="1"/>
  <c r="AB987" i="67" s="1"/>
  <c r="AU20" i="34"/>
  <c r="AO4" i="34"/>
  <c r="AO172" i="34"/>
  <c r="BF156" i="34"/>
  <c r="BF50" i="36"/>
  <c r="AV158" i="34"/>
  <c r="AR52" i="36"/>
  <c r="Y1468" i="67" s="1"/>
  <c r="Y971" i="67" s="1"/>
  <c r="AR158" i="34"/>
  <c r="AU6" i="34"/>
  <c r="AU158" i="34"/>
  <c r="AO36" i="34"/>
  <c r="AO50" i="36"/>
  <c r="BF36" i="34"/>
  <c r="AV68" i="36"/>
  <c r="AC1484" i="67" s="1"/>
  <c r="AC987" i="67" s="1"/>
  <c r="AV20" i="34"/>
  <c r="AR68" i="36"/>
  <c r="Y1484" i="67" s="1"/>
  <c r="Y987" i="67" s="1"/>
  <c r="AO66" i="36"/>
  <c r="BF4" i="34"/>
  <c r="BF172" i="34"/>
  <c r="AV52" i="36"/>
  <c r="AC1468" i="67" s="1"/>
  <c r="AC971" i="67" s="1"/>
  <c r="AV38" i="34"/>
  <c r="AI113" i="34"/>
  <c r="AH113" i="34"/>
  <c r="AG113" i="34"/>
  <c r="AD73" i="36"/>
  <c r="AD57" i="36"/>
  <c r="AD11" i="34"/>
  <c r="AB6" i="45" s="1"/>
  <c r="AD163" i="34"/>
  <c r="AD43" i="34"/>
  <c r="AB21" i="45" s="1"/>
  <c r="AD25" i="34"/>
  <c r="AB13" i="45" s="1"/>
  <c r="AD179" i="34"/>
  <c r="AI97" i="34"/>
  <c r="AF57" i="36"/>
  <c r="AF73" i="36"/>
  <c r="AF179" i="34"/>
  <c r="AF43" i="34"/>
  <c r="AD21" i="45" s="1"/>
  <c r="AF25" i="34"/>
  <c r="AD13" i="45" s="1"/>
  <c r="AF11" i="34"/>
  <c r="AD6" i="45" s="1"/>
  <c r="AF163" i="34"/>
  <c r="AH97" i="34"/>
  <c r="AG57" i="36"/>
  <c r="AG73" i="36"/>
  <c r="AG43" i="34"/>
  <c r="AE21" i="45" s="1"/>
  <c r="AG25" i="34"/>
  <c r="AE13" i="45" s="1"/>
  <c r="AG163" i="34"/>
  <c r="AG11" i="34"/>
  <c r="AE6" i="45" s="1"/>
  <c r="AG179" i="34"/>
  <c r="AE113" i="34"/>
  <c r="AD113" i="34"/>
  <c r="AF113" i="34"/>
  <c r="AE97" i="34"/>
  <c r="AW158" i="34"/>
  <c r="AD97" i="34"/>
  <c r="AI73" i="36"/>
  <c r="AI57" i="36"/>
  <c r="AI43" i="34"/>
  <c r="AG21" i="45" s="1"/>
  <c r="AI11" i="34"/>
  <c r="AG6" i="45" s="1"/>
  <c r="AI25" i="34"/>
  <c r="AG13" i="45" s="1"/>
  <c r="AI163" i="34"/>
  <c r="AI179" i="34"/>
  <c r="AF97" i="34"/>
  <c r="AH57" i="36"/>
  <c r="AH73" i="36"/>
  <c r="AH43" i="34"/>
  <c r="AF21" i="45" s="1"/>
  <c r="AH11" i="34"/>
  <c r="AF6" i="45" s="1"/>
  <c r="AH25" i="34"/>
  <c r="AF13" i="45" s="1"/>
  <c r="AH163" i="34"/>
  <c r="AH179" i="34"/>
  <c r="AG97" i="34"/>
  <c r="AE57" i="36"/>
  <c r="AE73" i="36"/>
  <c r="AE43" i="34"/>
  <c r="AC21" i="45" s="1"/>
  <c r="AE163" i="34"/>
  <c r="AE25" i="34"/>
  <c r="AC13" i="45" s="1"/>
  <c r="AE179" i="34"/>
  <c r="AE11" i="34"/>
  <c r="AC6" i="45" s="1"/>
  <c r="BA66" i="36"/>
  <c r="BD52" i="36"/>
  <c r="AK1468" i="67" s="1"/>
  <c r="AK971" i="67" s="1"/>
  <c r="BA174" i="34"/>
  <c r="BA36" i="34"/>
  <c r="BA172" i="34"/>
  <c r="BK156" i="34"/>
  <c r="BK50" i="36"/>
  <c r="BD6" i="34"/>
  <c r="BE158" i="34"/>
  <c r="BI18" i="34"/>
  <c r="BP36" i="34"/>
  <c r="BP66" i="36"/>
  <c r="BM18" i="34"/>
  <c r="BA68" i="36"/>
  <c r="AH1484" i="67" s="1"/>
  <c r="AH987" i="67" s="1"/>
  <c r="BA156" i="34"/>
  <c r="BA18" i="34"/>
  <c r="BK172" i="34"/>
  <c r="BD50" i="36"/>
  <c r="BI66" i="36"/>
  <c r="BK52" i="36"/>
  <c r="AR1468" i="67" s="1"/>
  <c r="AR971" i="67" s="1"/>
  <c r="BN38" i="34"/>
  <c r="BD4" i="34"/>
  <c r="BI36" i="34"/>
  <c r="BI4" i="34"/>
  <c r="AW20" i="34"/>
  <c r="AW174" i="34"/>
  <c r="BK68" i="36"/>
  <c r="AR1484" i="67" s="1"/>
  <c r="AR987" i="67" s="1"/>
  <c r="BK20" i="34"/>
  <c r="BE51" i="36"/>
  <c r="AL1467" i="67" s="1"/>
  <c r="AL970" i="67" s="1"/>
  <c r="BI156" i="34"/>
  <c r="BI50" i="36"/>
  <c r="AW38" i="34"/>
  <c r="BK174" i="34"/>
  <c r="BK38" i="34"/>
  <c r="BF19" i="34"/>
  <c r="BN68" i="36"/>
  <c r="AU1484" i="67" s="1"/>
  <c r="AU987" i="67" s="1"/>
  <c r="BN20" i="34"/>
  <c r="BN52" i="36"/>
  <c r="AU1468" i="67" s="1"/>
  <c r="AU971" i="67" s="1"/>
  <c r="AW68" i="36"/>
  <c r="AD1484" i="67" s="1"/>
  <c r="AD987" i="67" s="1"/>
  <c r="BL66" i="36"/>
  <c r="BL172" i="34"/>
  <c r="BN19" i="34"/>
  <c r="BH36" i="34"/>
  <c r="BL36" i="34"/>
  <c r="BC18" i="34"/>
  <c r="BD174" i="34"/>
  <c r="BD38" i="34"/>
  <c r="BL4" i="34"/>
  <c r="BL50" i="36"/>
  <c r="BC172" i="34"/>
  <c r="BC50" i="36"/>
  <c r="BN37" i="34"/>
  <c r="BH4" i="34"/>
  <c r="BD68" i="36"/>
  <c r="AK1484" i="67" s="1"/>
  <c r="AK987" i="67" s="1"/>
  <c r="BD20" i="34"/>
  <c r="BC36" i="34"/>
  <c r="AP6" i="34"/>
  <c r="BH18" i="34"/>
  <c r="BL67" i="36"/>
  <c r="AS1483" i="67" s="1"/>
  <c r="AS986" i="67" s="1"/>
  <c r="BL37" i="34"/>
  <c r="BL173" i="34"/>
  <c r="BL51" i="36"/>
  <c r="AS1467" i="67" s="1"/>
  <c r="AS970" i="67" s="1"/>
  <c r="BL19" i="34"/>
  <c r="BL5" i="34"/>
  <c r="BM19" i="34"/>
  <c r="BI174" i="34"/>
  <c r="BD66" i="36"/>
  <c r="BM4" i="34"/>
  <c r="BM172" i="34"/>
  <c r="AP38" i="34"/>
  <c r="AT20" i="34"/>
  <c r="AT68" i="36"/>
  <c r="AA1484" i="67" s="1"/>
  <c r="AA987" i="67" s="1"/>
  <c r="AT6" i="34"/>
  <c r="AT38" i="34"/>
  <c r="AT174" i="34"/>
  <c r="BI68" i="36"/>
  <c r="AP1484" i="67" s="1"/>
  <c r="AP987" i="67" s="1"/>
  <c r="BI158" i="34"/>
  <c r="BD18" i="34"/>
  <c r="BD156" i="34"/>
  <c r="BM36" i="34"/>
  <c r="BM66" i="36"/>
  <c r="AP20" i="34"/>
  <c r="BI52" i="36"/>
  <c r="AP1468" i="67" s="1"/>
  <c r="AP971" i="67" s="1"/>
  <c r="BD36" i="34"/>
  <c r="BD172" i="34"/>
  <c r="BM156" i="34"/>
  <c r="BM50" i="36"/>
  <c r="AT156" i="34"/>
  <c r="AT172" i="34"/>
  <c r="AT50" i="36"/>
  <c r="AT4" i="34"/>
  <c r="AT66" i="36"/>
  <c r="AT36" i="34"/>
  <c r="AT18" i="34"/>
  <c r="AV42" i="34"/>
  <c r="AT6" i="45"/>
  <c r="AT5" i="34"/>
  <c r="AT173" i="34"/>
  <c r="AT67" i="36"/>
  <c r="AA1483" i="67" s="1"/>
  <c r="AA986" i="67" s="1"/>
  <c r="AT37" i="34"/>
  <c r="AT157" i="34"/>
  <c r="AT51" i="36"/>
  <c r="AA1467" i="67" s="1"/>
  <c r="AA970" i="67" s="1"/>
  <c r="AT19" i="34"/>
  <c r="AV157" i="34"/>
  <c r="AV178" i="34"/>
  <c r="AV72" i="36"/>
  <c r="AV24" i="34"/>
  <c r="AK37" i="34"/>
  <c r="AK173" i="34"/>
  <c r="AK51" i="36"/>
  <c r="AS5" i="34"/>
  <c r="AS36" i="34"/>
  <c r="AS18" i="34"/>
  <c r="AS172" i="34"/>
  <c r="AS156" i="34"/>
  <c r="AV5" i="34"/>
  <c r="AV37" i="34"/>
  <c r="AV51" i="36"/>
  <c r="AC1467" i="67" s="1"/>
  <c r="AC970" i="67" s="1"/>
  <c r="AV19" i="34"/>
  <c r="AL49" i="34"/>
  <c r="AJ25" i="45" s="1"/>
  <c r="AL31" i="34"/>
  <c r="AJ17" i="45" s="1"/>
  <c r="AL169" i="34"/>
  <c r="AL185" i="34"/>
  <c r="AL17" i="34"/>
  <c r="AJ10" i="45" s="1"/>
  <c r="AL79" i="36"/>
  <c r="AL63" i="36"/>
  <c r="BC34" i="34"/>
  <c r="BC52" i="34"/>
  <c r="AN49" i="34"/>
  <c r="AL25" i="45" s="1"/>
  <c r="AN31" i="34"/>
  <c r="AL17" i="45" s="1"/>
  <c r="AN169" i="34"/>
  <c r="AN185" i="34"/>
  <c r="AN63" i="36"/>
  <c r="AN17" i="34"/>
  <c r="AL10" i="45" s="1"/>
  <c r="AN79" i="36"/>
  <c r="AV49" i="34"/>
  <c r="AT25" i="45" s="1"/>
  <c r="AV31" i="34"/>
  <c r="AT17" i="45" s="1"/>
  <c r="AV17" i="34"/>
  <c r="AT10" i="45" s="1"/>
  <c r="AV169" i="34"/>
  <c r="AV185" i="34"/>
  <c r="AV79" i="36"/>
  <c r="AV63" i="36"/>
  <c r="AN53" i="34"/>
  <c r="AN35" i="34"/>
  <c r="AW52" i="34"/>
  <c r="AW34" i="34"/>
  <c r="AJ52" i="34"/>
  <c r="AJ34" i="34"/>
  <c r="AR53" i="34"/>
  <c r="AR35" i="34"/>
  <c r="AS19" i="34"/>
  <c r="AS173" i="34"/>
  <c r="AS157" i="34"/>
  <c r="AS37" i="34"/>
  <c r="AS67" i="36"/>
  <c r="Z1483" i="67" s="1"/>
  <c r="Z986" i="67" s="1"/>
  <c r="AS51" i="36"/>
  <c r="Z1467" i="67" s="1"/>
  <c r="Z970" i="67" s="1"/>
  <c r="BM53" i="34"/>
  <c r="BM35" i="34"/>
  <c r="AY34" i="34"/>
  <c r="AY52" i="34"/>
  <c r="BM52" i="34"/>
  <c r="BM34" i="34"/>
  <c r="BE53" i="34"/>
  <c r="BE35" i="34"/>
  <c r="AM53" i="34"/>
  <c r="AM35" i="34"/>
  <c r="AU52" i="34"/>
  <c r="AU34" i="34"/>
  <c r="AL34" i="34"/>
  <c r="AL52" i="34"/>
  <c r="BK53" i="34"/>
  <c r="BK35" i="34"/>
  <c r="AK31" i="34"/>
  <c r="AI17" i="45" s="1"/>
  <c r="AK169" i="34"/>
  <c r="AK17" i="34"/>
  <c r="AI10" i="45" s="1"/>
  <c r="AK185" i="34"/>
  <c r="AK49" i="34"/>
  <c r="AI25" i="45" s="1"/>
  <c r="AK63" i="36"/>
  <c r="AK79" i="36"/>
  <c r="AJ53" i="34"/>
  <c r="AJ35" i="34"/>
  <c r="BL34" i="34"/>
  <c r="BL52" i="34"/>
  <c r="BO173" i="34"/>
  <c r="BO19" i="34"/>
  <c r="BO37" i="34"/>
  <c r="BO157" i="34"/>
  <c r="BO5" i="34"/>
  <c r="BO67" i="36"/>
  <c r="AV1483" i="67" s="1"/>
  <c r="AV986" i="67" s="1"/>
  <c r="BO51" i="36"/>
  <c r="AV1467" i="67" s="1"/>
  <c r="AV970" i="67" s="1"/>
  <c r="BB52" i="34"/>
  <c r="BB34" i="34"/>
  <c r="BA53" i="34"/>
  <c r="BA35" i="34"/>
  <c r="AS52" i="34"/>
  <c r="AS34" i="34"/>
  <c r="BH37" i="34"/>
  <c r="BH19" i="34"/>
  <c r="BH5" i="34"/>
  <c r="BH157" i="34"/>
  <c r="BH173" i="34"/>
  <c r="BH51" i="36"/>
  <c r="AO1467" i="67" s="1"/>
  <c r="AO970" i="67" s="1"/>
  <c r="BH67" i="36"/>
  <c r="AO1483" i="67" s="1"/>
  <c r="AO986" i="67" s="1"/>
  <c r="AZ34" i="34"/>
  <c r="AZ52" i="34"/>
  <c r="BI53" i="34"/>
  <c r="BI35" i="34"/>
  <c r="BF34" i="34"/>
  <c r="BF52" i="34"/>
  <c r="AV53" i="34"/>
  <c r="AV35" i="34"/>
  <c r="AK52" i="34"/>
  <c r="AK34" i="34"/>
  <c r="BA52" i="34"/>
  <c r="BA34" i="34"/>
  <c r="AP169" i="34"/>
  <c r="AP31" i="34"/>
  <c r="AN17" i="45" s="1"/>
  <c r="AP185" i="34"/>
  <c r="AP49" i="34"/>
  <c r="AN25" i="45" s="1"/>
  <c r="AP17" i="34"/>
  <c r="AN10" i="45" s="1"/>
  <c r="AP79" i="36"/>
  <c r="AP63" i="36"/>
  <c r="AT49" i="34"/>
  <c r="AR25" i="45" s="1"/>
  <c r="AT17" i="34"/>
  <c r="AR10" i="45" s="1"/>
  <c r="AT31" i="34"/>
  <c r="AR17" i="45" s="1"/>
  <c r="AT169" i="34"/>
  <c r="AT185" i="34"/>
  <c r="AT79" i="36"/>
  <c r="AT63" i="36"/>
  <c r="BG52" i="34"/>
  <c r="BG34" i="34"/>
  <c r="AS49" i="34"/>
  <c r="AQ25" i="45" s="1"/>
  <c r="AS31" i="34"/>
  <c r="AQ17" i="45" s="1"/>
  <c r="AS169" i="34"/>
  <c r="AS185" i="34"/>
  <c r="AS17" i="34"/>
  <c r="AQ10" i="45" s="1"/>
  <c r="AS63" i="36"/>
  <c r="AS79" i="36"/>
  <c r="AP53" i="34"/>
  <c r="AP35" i="34"/>
  <c r="AY53" i="34"/>
  <c r="AY35" i="34"/>
  <c r="BK34" i="34"/>
  <c r="BK52" i="34"/>
  <c r="BL53" i="34"/>
  <c r="BL35" i="34"/>
  <c r="BP53" i="34"/>
  <c r="BP35" i="34"/>
  <c r="AR169" i="34"/>
  <c r="AR31" i="34"/>
  <c r="AP17" i="45" s="1"/>
  <c r="AR185" i="34"/>
  <c r="AR49" i="34"/>
  <c r="AP25" i="45" s="1"/>
  <c r="AR17" i="34"/>
  <c r="AP10" i="45" s="1"/>
  <c r="AR79" i="36"/>
  <c r="AR63" i="36"/>
  <c r="AX34" i="34"/>
  <c r="AX52" i="34"/>
  <c r="BH53" i="34"/>
  <c r="BH35" i="34"/>
  <c r="BP37" i="34"/>
  <c r="BP19" i="34"/>
  <c r="BP157" i="34"/>
  <c r="BP5" i="34"/>
  <c r="BP67" i="36"/>
  <c r="AW1483" i="67" s="1"/>
  <c r="AW986" i="67" s="1"/>
  <c r="AY173" i="34"/>
  <c r="AY5" i="34"/>
  <c r="AY37" i="34"/>
  <c r="AY157" i="34"/>
  <c r="AY67" i="36"/>
  <c r="AF1483" i="67" s="1"/>
  <c r="AF986" i="67" s="1"/>
  <c r="AY19" i="34"/>
  <c r="AO185" i="34"/>
  <c r="AO17" i="34"/>
  <c r="AM10" i="45" s="1"/>
  <c r="AO169" i="34"/>
  <c r="AO49" i="34"/>
  <c r="AM25" i="45" s="1"/>
  <c r="AO31" i="34"/>
  <c r="AM17" i="45" s="1"/>
  <c r="AO63" i="36"/>
  <c r="AO79" i="36"/>
  <c r="AR52" i="34"/>
  <c r="AR34" i="34"/>
  <c r="AQ53" i="34"/>
  <c r="AQ35" i="34"/>
  <c r="BD53" i="34"/>
  <c r="BD35" i="34"/>
  <c r="BC53" i="34"/>
  <c r="BC35" i="34"/>
  <c r="AX53" i="34"/>
  <c r="AX35" i="34"/>
  <c r="BA19" i="34"/>
  <c r="BA173" i="34"/>
  <c r="BA5" i="34"/>
  <c r="BA157" i="34"/>
  <c r="BA51" i="36"/>
  <c r="AH1467" i="67" s="1"/>
  <c r="AH970" i="67" s="1"/>
  <c r="BA67" i="36"/>
  <c r="AH1483" i="67" s="1"/>
  <c r="AH986" i="67" s="1"/>
  <c r="AM169" i="34"/>
  <c r="AM31" i="34"/>
  <c r="AK17" i="45" s="1"/>
  <c r="AM185" i="34"/>
  <c r="AM49" i="34"/>
  <c r="AK25" i="45" s="1"/>
  <c r="AM17" i="34"/>
  <c r="AK10" i="45" s="1"/>
  <c r="AM63" i="36"/>
  <c r="AM79" i="36"/>
  <c r="AJ185" i="34"/>
  <c r="AJ31" i="34"/>
  <c r="AH17" i="45" s="1"/>
  <c r="AJ49" i="34"/>
  <c r="AH25" i="45" s="1"/>
  <c r="AJ17" i="34"/>
  <c r="AH10" i="45" s="1"/>
  <c r="AJ169" i="34"/>
  <c r="AJ63" i="36"/>
  <c r="AJ79" i="36"/>
  <c r="AQ34" i="34"/>
  <c r="AQ52" i="34"/>
  <c r="AS53" i="34"/>
  <c r="AS35" i="34"/>
  <c r="AQ49" i="34"/>
  <c r="AO25" i="45" s="1"/>
  <c r="AQ31" i="34"/>
  <c r="AO17" i="45" s="1"/>
  <c r="AQ17" i="34"/>
  <c r="AO10" i="45" s="1"/>
  <c r="AQ185" i="34"/>
  <c r="AQ169" i="34"/>
  <c r="AQ63" i="36"/>
  <c r="AQ79" i="36"/>
  <c r="AW53" i="34"/>
  <c r="AW35" i="34"/>
  <c r="BB53" i="34"/>
  <c r="BB35" i="34"/>
  <c r="AM34" i="34"/>
  <c r="AM52" i="34"/>
  <c r="AT34" i="34"/>
  <c r="AT52" i="34"/>
  <c r="AL53" i="34"/>
  <c r="AL35" i="34"/>
  <c r="AN34" i="34"/>
  <c r="AN52" i="34"/>
  <c r="AO52" i="34"/>
  <c r="AO34" i="34"/>
  <c r="AO53" i="34"/>
  <c r="AO35" i="34"/>
  <c r="BD34" i="34"/>
  <c r="BD52" i="34"/>
  <c r="BE52" i="34"/>
  <c r="BE34" i="34"/>
  <c r="BO52" i="34"/>
  <c r="BO34" i="34"/>
  <c r="AT53" i="34"/>
  <c r="AT35" i="34"/>
  <c r="AU169" i="34"/>
  <c r="AU31" i="34"/>
  <c r="AS17" i="45" s="1"/>
  <c r="AU49" i="34"/>
  <c r="AS25" i="45" s="1"/>
  <c r="AU17" i="34"/>
  <c r="AS10" i="45" s="1"/>
  <c r="AU185" i="34"/>
  <c r="AU63" i="36"/>
  <c r="AU79" i="36"/>
  <c r="AK53" i="34"/>
  <c r="AK35" i="34"/>
  <c r="BH34" i="34"/>
  <c r="BH52" i="34"/>
  <c r="AP52" i="34"/>
  <c r="AP34" i="34"/>
  <c r="AU53" i="34"/>
  <c r="AU35" i="34"/>
  <c r="BJ37" i="34"/>
  <c r="BJ5" i="34"/>
  <c r="BJ19" i="34"/>
  <c r="BJ51" i="36"/>
  <c r="AQ1467" i="67" s="1"/>
  <c r="AQ970" i="67" s="1"/>
  <c r="BJ67" i="36"/>
  <c r="AQ1483" i="67" s="1"/>
  <c r="AQ986" i="67" s="1"/>
  <c r="AZ53" i="34"/>
  <c r="AZ35" i="34"/>
  <c r="BF37" i="34"/>
  <c r="AV52" i="34"/>
  <c r="AV34" i="34"/>
  <c r="BN52" i="34"/>
  <c r="BN34" i="34"/>
  <c r="BG53" i="34"/>
  <c r="BG35" i="34"/>
  <c r="BI52" i="34"/>
  <c r="BI34" i="34"/>
  <c r="BJ52" i="34"/>
  <c r="BJ34" i="34"/>
  <c r="BP34" i="34"/>
  <c r="BP52" i="34"/>
  <c r="BF53" i="34"/>
  <c r="BF35" i="34"/>
  <c r="BO53" i="34"/>
  <c r="BO35" i="34"/>
  <c r="BN53" i="34"/>
  <c r="BN35" i="34"/>
  <c r="BJ53" i="34"/>
  <c r="BJ35" i="34"/>
  <c r="K968" i="67" l="1"/>
  <c r="K666" i="67"/>
  <c r="K1119" i="67"/>
  <c r="K362" i="67"/>
  <c r="AE46" i="68"/>
  <c r="K56" i="67"/>
  <c r="K209" i="67"/>
  <c r="K514" i="67"/>
  <c r="K817" i="67"/>
  <c r="K1172" i="67"/>
  <c r="K1021" i="67"/>
  <c r="K415" i="67"/>
  <c r="K870" i="67"/>
  <c r="K719" i="67"/>
  <c r="K567" i="67"/>
  <c r="K262" i="67"/>
  <c r="K109" i="67"/>
  <c r="N1248" i="67"/>
  <c r="AS1352" i="67"/>
  <c r="T1266" i="67"/>
  <c r="AT1268" i="67"/>
  <c r="K1241" i="67"/>
  <c r="W1248" i="67"/>
  <c r="AI1266" i="67"/>
  <c r="AB1250" i="67"/>
  <c r="AF1248" i="67"/>
  <c r="X1266" i="67"/>
  <c r="K1251" i="67"/>
  <c r="Q1268" i="67"/>
  <c r="K1344" i="67"/>
  <c r="K1227" i="67"/>
  <c r="AR1266" i="67"/>
  <c r="X1248" i="67"/>
  <c r="K1345" i="67"/>
  <c r="AL1268" i="67"/>
  <c r="AW1268" i="67"/>
  <c r="AJ1248" i="67"/>
  <c r="AK1248" i="67"/>
  <c r="R1368" i="67"/>
  <c r="AT1248" i="67"/>
  <c r="K1240" i="67"/>
  <c r="AG1248" i="67"/>
  <c r="AI1248" i="67"/>
  <c r="AP1248" i="67"/>
  <c r="AR1250" i="67"/>
  <c r="AC1248" i="67"/>
  <c r="AU1248" i="67"/>
  <c r="AK1352" i="67"/>
  <c r="P1250" i="67"/>
  <c r="AF1266" i="67"/>
  <c r="Y1250" i="67"/>
  <c r="U1248" i="67"/>
  <c r="AC1368" i="67"/>
  <c r="AE1248" i="67"/>
  <c r="AF1352" i="67"/>
  <c r="Y1268" i="67"/>
  <c r="AB1248" i="67"/>
  <c r="AW1248" i="67"/>
  <c r="AV1250" i="67"/>
  <c r="AA1248" i="67"/>
  <c r="V1248" i="67"/>
  <c r="S1368" i="67"/>
  <c r="O1352" i="67"/>
  <c r="N1250" i="67"/>
  <c r="K1360" i="67"/>
  <c r="AS1266" i="67"/>
  <c r="AQ1248" i="67"/>
  <c r="L1250" i="67"/>
  <c r="K1258" i="67"/>
  <c r="AK1268" i="67"/>
  <c r="AN1248" i="67"/>
  <c r="K1259" i="67"/>
  <c r="AJ1266" i="67"/>
  <c r="AR1248" i="67"/>
  <c r="V1268" i="67"/>
  <c r="K1226" i="67"/>
  <c r="AQ1352" i="67"/>
  <c r="AH1268" i="67"/>
  <c r="AV1248" i="67"/>
  <c r="AO1248" i="67"/>
  <c r="P1266" i="67"/>
  <c r="V1250" i="67"/>
  <c r="K1250" i="67"/>
  <c r="AC1352" i="67"/>
  <c r="Z1268" i="67"/>
  <c r="AB1352" i="67"/>
  <c r="AG1268" i="67"/>
  <c r="AS1248" i="67"/>
  <c r="AR1368" i="67"/>
  <c r="AQ1250" i="67"/>
  <c r="AN1250" i="67"/>
  <c r="S1266" i="67"/>
  <c r="M1368" i="67"/>
  <c r="AD1248" i="67"/>
  <c r="AU1268" i="67"/>
  <c r="P1352" i="67"/>
  <c r="AL1250" i="67"/>
  <c r="AM1248" i="67"/>
  <c r="K1361" i="67"/>
  <c r="U1268" i="67"/>
  <c r="AA1266" i="67"/>
  <c r="AL1248" i="67"/>
  <c r="S1248" i="67"/>
  <c r="O1248" i="67"/>
  <c r="AH1352" i="67"/>
  <c r="AK1368" i="67"/>
  <c r="AN1268" i="67"/>
  <c r="V1368" i="67"/>
  <c r="AF1268" i="67"/>
  <c r="AV1266" i="67"/>
  <c r="Y1248" i="67"/>
  <c r="X1250" i="67"/>
  <c r="T1248" i="67"/>
  <c r="Z1248" i="67"/>
  <c r="AH1248" i="67"/>
  <c r="Q1266" i="67"/>
  <c r="AP1466" i="67"/>
  <c r="AP969" i="67" s="1"/>
  <c r="AP1482" i="67"/>
  <c r="AP985" i="67" s="1"/>
  <c r="AE114" i="34"/>
  <c r="L1489" i="67"/>
  <c r="AH114" i="34"/>
  <c r="O1489" i="67"/>
  <c r="AF93" i="34"/>
  <c r="M1468" i="67"/>
  <c r="M971" i="67" s="1"/>
  <c r="AH1466" i="67"/>
  <c r="AH969" i="67" s="1"/>
  <c r="AO98" i="34"/>
  <c r="V1473" i="67"/>
  <c r="AP114" i="34"/>
  <c r="W1489" i="67"/>
  <c r="K393" i="67"/>
  <c r="K848" i="67"/>
  <c r="K87" i="67"/>
  <c r="K240" i="67"/>
  <c r="K545" i="67"/>
  <c r="K697" i="67"/>
  <c r="U690" i="67"/>
  <c r="U80" i="67"/>
  <c r="U386" i="67"/>
  <c r="U538" i="67"/>
  <c r="U233" i="67"/>
  <c r="U841" i="67"/>
  <c r="T695" i="67"/>
  <c r="T391" i="67"/>
  <c r="T846" i="67"/>
  <c r="T85" i="67"/>
  <c r="T238" i="67"/>
  <c r="T543" i="67"/>
  <c r="T393" i="67"/>
  <c r="T848" i="67"/>
  <c r="T87" i="67"/>
  <c r="T240" i="67"/>
  <c r="T545" i="67"/>
  <c r="T697" i="67"/>
  <c r="AP394" i="67"/>
  <c r="AP546" i="67"/>
  <c r="AP849" i="67"/>
  <c r="AP88" i="67"/>
  <c r="AP698" i="67"/>
  <c r="AP241" i="67"/>
  <c r="W385" i="67"/>
  <c r="W689" i="67"/>
  <c r="W537" i="67"/>
  <c r="W840" i="67"/>
  <c r="W79" i="67"/>
  <c r="W232" i="67"/>
  <c r="AA393" i="67"/>
  <c r="AA848" i="67"/>
  <c r="AA545" i="67"/>
  <c r="AA697" i="67"/>
  <c r="AA87" i="67"/>
  <c r="AA240" i="67"/>
  <c r="AD378" i="67"/>
  <c r="AD72" i="67"/>
  <c r="AD225" i="67"/>
  <c r="AD833" i="67"/>
  <c r="AD530" i="67"/>
  <c r="AJ698" i="67"/>
  <c r="AJ394" i="67"/>
  <c r="AJ546" i="67"/>
  <c r="AJ88" i="67"/>
  <c r="AJ849" i="67"/>
  <c r="AJ241" i="67"/>
  <c r="AG393" i="67"/>
  <c r="AG848" i="67"/>
  <c r="AG545" i="67"/>
  <c r="AG87" i="67"/>
  <c r="AG697" i="67"/>
  <c r="AG240" i="67"/>
  <c r="AQ120" i="34"/>
  <c r="X1495" i="67"/>
  <c r="X1149" i="67"/>
  <c r="X998" i="67"/>
  <c r="AP104" i="34"/>
  <c r="W1479" i="67"/>
  <c r="W1133" i="67"/>
  <c r="W982" i="67"/>
  <c r="AL104" i="34"/>
  <c r="S1479" i="67"/>
  <c r="S1133" i="67"/>
  <c r="S982" i="67"/>
  <c r="AV113" i="34"/>
  <c r="AC1488" i="67"/>
  <c r="AK1466" i="67"/>
  <c r="AK969" i="67" s="1"/>
  <c r="AE98" i="34"/>
  <c r="L1473" i="67"/>
  <c r="AH98" i="34"/>
  <c r="O1473" i="67"/>
  <c r="AI114" i="34"/>
  <c r="P1489" i="67"/>
  <c r="AG114" i="34"/>
  <c r="N1489" i="67"/>
  <c r="AF114" i="34"/>
  <c r="M1489" i="67"/>
  <c r="AD98" i="34"/>
  <c r="K1473" i="67"/>
  <c r="K1127" i="67"/>
  <c r="K976" i="67"/>
  <c r="AH93" i="34"/>
  <c r="O1468" i="67"/>
  <c r="O971" i="67" s="1"/>
  <c r="AG91" i="34"/>
  <c r="N1466" i="67"/>
  <c r="N969" i="67" s="1"/>
  <c r="AF107" i="34"/>
  <c r="M1482" i="67"/>
  <c r="M985" i="67" s="1"/>
  <c r="AI109" i="34"/>
  <c r="P1484" i="67"/>
  <c r="P987" i="67" s="1"/>
  <c r="AK98" i="34"/>
  <c r="R1473" i="67"/>
  <c r="AU114" i="34"/>
  <c r="AB1489" i="67"/>
  <c r="AD1466" i="67"/>
  <c r="AD969" i="67" s="1"/>
  <c r="AL1466" i="67"/>
  <c r="AL969" i="67" s="1"/>
  <c r="Q1250" i="67"/>
  <c r="W1368" i="67"/>
  <c r="AI1250" i="67"/>
  <c r="M1248" i="67"/>
  <c r="L1268" i="67"/>
  <c r="O1368" i="67"/>
  <c r="P1248" i="67"/>
  <c r="U1352" i="67"/>
  <c r="M1250" i="67"/>
  <c r="AW1250" i="67"/>
  <c r="Z1250" i="67"/>
  <c r="AS1268" i="67"/>
  <c r="AC1250" i="67"/>
  <c r="AQ1268" i="67"/>
  <c r="AL1266" i="67"/>
  <c r="N377" i="67"/>
  <c r="N529" i="67"/>
  <c r="N832" i="67"/>
  <c r="N71" i="67"/>
  <c r="N224" i="67"/>
  <c r="AW378" i="67"/>
  <c r="AW833" i="67"/>
  <c r="AW530" i="67"/>
  <c r="AW72" i="67"/>
  <c r="AW225" i="67"/>
  <c r="AN832" i="67"/>
  <c r="AN377" i="67"/>
  <c r="AN529" i="67"/>
  <c r="AN71" i="67"/>
  <c r="AN224" i="67"/>
  <c r="AC393" i="67"/>
  <c r="AC848" i="67"/>
  <c r="AC545" i="67"/>
  <c r="AC87" i="67"/>
  <c r="AC697" i="67"/>
  <c r="AC240" i="67"/>
  <c r="AH393" i="67"/>
  <c r="AH848" i="67"/>
  <c r="AH545" i="67"/>
  <c r="AH697" i="67"/>
  <c r="AH87" i="67"/>
  <c r="AH240" i="67"/>
  <c r="AL546" i="67"/>
  <c r="AL394" i="67"/>
  <c r="AL88" i="67"/>
  <c r="AL698" i="67"/>
  <c r="AL849" i="67"/>
  <c r="AL241" i="67"/>
  <c r="AF832" i="67"/>
  <c r="AF377" i="67"/>
  <c r="AF529" i="67"/>
  <c r="AF71" i="67"/>
  <c r="AF224" i="67"/>
  <c r="W377" i="67"/>
  <c r="W529" i="67"/>
  <c r="W832" i="67"/>
  <c r="W71" i="67"/>
  <c r="W224" i="67"/>
  <c r="AD393" i="67"/>
  <c r="AD848" i="67"/>
  <c r="AD87" i="67"/>
  <c r="AD240" i="67"/>
  <c r="AD545" i="67"/>
  <c r="AD697" i="67"/>
  <c r="X378" i="67"/>
  <c r="X833" i="67"/>
  <c r="X72" i="67"/>
  <c r="X225" i="67"/>
  <c r="X530" i="67"/>
  <c r="O1250" i="67"/>
  <c r="AI1352" i="67"/>
  <c r="AP1368" i="67"/>
  <c r="AN1352" i="67"/>
  <c r="K1268" i="67"/>
  <c r="Q1248" i="67"/>
  <c r="U1250" i="67"/>
  <c r="AK393" i="67"/>
  <c r="AK848" i="67"/>
  <c r="AK545" i="67"/>
  <c r="AK87" i="67"/>
  <c r="AK697" i="67"/>
  <c r="AK240" i="67"/>
  <c r="AS393" i="67"/>
  <c r="AS848" i="67"/>
  <c r="AS87" i="67"/>
  <c r="AS240" i="67"/>
  <c r="AS545" i="67"/>
  <c r="AS697" i="67"/>
  <c r="AA832" i="67"/>
  <c r="AA377" i="67"/>
  <c r="AA529" i="67"/>
  <c r="AA71" i="67"/>
  <c r="AA224" i="67"/>
  <c r="AS546" i="67"/>
  <c r="AS394" i="67"/>
  <c r="AS849" i="67"/>
  <c r="AS88" i="67"/>
  <c r="AS241" i="67"/>
  <c r="AS698" i="67"/>
  <c r="L1248" i="67"/>
  <c r="AT1250" i="67"/>
  <c r="AU1368" i="67"/>
  <c r="AS378" i="67"/>
  <c r="AS72" i="67"/>
  <c r="AS225" i="67"/>
  <c r="AS833" i="67"/>
  <c r="AS530" i="67"/>
  <c r="AM1250" i="67"/>
  <c r="AP1268" i="67"/>
  <c r="AT1352" i="67"/>
  <c r="AA1268" i="67"/>
  <c r="W1250" i="67"/>
  <c r="AL1352" i="67"/>
  <c r="N1266" i="67"/>
  <c r="S1352" i="67"/>
  <c r="AE393" i="67"/>
  <c r="AE848" i="67"/>
  <c r="AE87" i="67"/>
  <c r="AE240" i="67"/>
  <c r="AE545" i="67"/>
  <c r="AE697" i="67"/>
  <c r="AW832" i="67"/>
  <c r="AW377" i="67"/>
  <c r="AW529" i="67"/>
  <c r="AW71" i="67"/>
  <c r="AW224" i="67"/>
  <c r="AA391" i="67"/>
  <c r="AA85" i="67"/>
  <c r="AA238" i="67"/>
  <c r="AA846" i="67"/>
  <c r="AA543" i="67"/>
  <c r="AA695" i="67"/>
  <c r="R832" i="67"/>
  <c r="R377" i="67"/>
  <c r="R529" i="67"/>
  <c r="R71" i="67"/>
  <c r="R224" i="67"/>
  <c r="T378" i="67"/>
  <c r="T72" i="67"/>
  <c r="T225" i="67"/>
  <c r="T833" i="67"/>
  <c r="T530" i="67"/>
  <c r="AG832" i="67"/>
  <c r="AG377" i="67"/>
  <c r="AG529" i="67"/>
  <c r="AG71" i="67"/>
  <c r="AG224" i="67"/>
  <c r="R88" i="67"/>
  <c r="R241" i="67"/>
  <c r="R546" i="67"/>
  <c r="R698" i="67"/>
  <c r="R849" i="67"/>
  <c r="R394" i="67"/>
  <c r="U391" i="67"/>
  <c r="U543" i="67"/>
  <c r="U695" i="67"/>
  <c r="U846" i="67"/>
  <c r="U85" i="67"/>
  <c r="U238" i="67"/>
  <c r="AT1368" i="67"/>
  <c r="AJ1368" i="67"/>
  <c r="K1266" i="67"/>
  <c r="K369" i="67"/>
  <c r="K521" i="67"/>
  <c r="K216" i="67"/>
  <c r="K824" i="67"/>
  <c r="K63" i="67"/>
  <c r="Y375" i="67"/>
  <c r="Y527" i="67"/>
  <c r="Y69" i="67"/>
  <c r="Y830" i="67"/>
  <c r="Y222" i="67"/>
  <c r="AM698" i="67"/>
  <c r="AM394" i="67"/>
  <c r="AM88" i="67"/>
  <c r="AM241" i="67"/>
  <c r="AM546" i="67"/>
  <c r="AM849" i="67"/>
  <c r="T698" i="67"/>
  <c r="T394" i="67"/>
  <c r="T241" i="67"/>
  <c r="T546" i="67"/>
  <c r="T88" i="67"/>
  <c r="T849" i="67"/>
  <c r="Z394" i="67"/>
  <c r="Z88" i="67"/>
  <c r="Z698" i="67"/>
  <c r="Z241" i="67"/>
  <c r="Z546" i="67"/>
  <c r="Z849" i="67"/>
  <c r="AI832" i="67"/>
  <c r="AI377" i="67"/>
  <c r="AI529" i="67"/>
  <c r="AI71" i="67"/>
  <c r="AI224" i="67"/>
  <c r="AN1368" i="67"/>
  <c r="V1266" i="67"/>
  <c r="P832" i="67"/>
  <c r="P377" i="67"/>
  <c r="P529" i="67"/>
  <c r="P71" i="67"/>
  <c r="P224" i="67"/>
  <c r="V546" i="67"/>
  <c r="V394" i="67"/>
  <c r="V698" i="67"/>
  <c r="V849" i="67"/>
  <c r="V241" i="67"/>
  <c r="V88" i="67"/>
  <c r="S88" i="67"/>
  <c r="S394" i="67"/>
  <c r="S849" i="67"/>
  <c r="S546" i="67"/>
  <c r="S241" i="67"/>
  <c r="S698" i="67"/>
  <c r="R391" i="67"/>
  <c r="R238" i="67"/>
  <c r="R846" i="67"/>
  <c r="R543" i="67"/>
  <c r="R695" i="67"/>
  <c r="R85" i="67"/>
  <c r="W394" i="67"/>
  <c r="W698" i="67"/>
  <c r="W241" i="67"/>
  <c r="W849" i="67"/>
  <c r="W546" i="67"/>
  <c r="W88" i="67"/>
  <c r="Z386" i="67"/>
  <c r="Z538" i="67"/>
  <c r="Z690" i="67"/>
  <c r="Z80" i="67"/>
  <c r="Z841" i="67"/>
  <c r="Z233" i="67"/>
  <c r="W1266" i="67"/>
  <c r="N1352" i="67"/>
  <c r="W1352" i="67"/>
  <c r="AO1268" i="67"/>
  <c r="AD1266" i="67"/>
  <c r="P1368" i="67"/>
  <c r="Q232" i="67"/>
  <c r="Q385" i="67"/>
  <c r="Q840" i="67"/>
  <c r="Q79" i="67"/>
  <c r="Q537" i="67"/>
  <c r="Q689" i="67"/>
  <c r="Z840" i="67"/>
  <c r="Z232" i="67"/>
  <c r="Z385" i="67"/>
  <c r="Z537" i="67"/>
  <c r="Z689" i="67"/>
  <c r="Z79" i="67"/>
  <c r="AN698" i="67"/>
  <c r="AN394" i="67"/>
  <c r="AN546" i="67"/>
  <c r="AN241" i="67"/>
  <c r="AN88" i="67"/>
  <c r="AN849" i="67"/>
  <c r="AK120" i="34"/>
  <c r="R1495" i="67"/>
  <c r="R1149" i="67"/>
  <c r="R998" i="67"/>
  <c r="U1495" i="67"/>
  <c r="U1149" i="67"/>
  <c r="U998" i="67"/>
  <c r="AJ1466" i="67"/>
  <c r="AJ969" i="67" s="1"/>
  <c r="AH109" i="34"/>
  <c r="O1484" i="67"/>
  <c r="O987" i="67" s="1"/>
  <c r="AG107" i="34"/>
  <c r="N1482" i="67"/>
  <c r="N985" i="67" s="1"/>
  <c r="AR1482" i="67"/>
  <c r="AR985" i="67" s="1"/>
  <c r="AT98" i="34"/>
  <c r="AA1473" i="67"/>
  <c r="AO114" i="34"/>
  <c r="V1489" i="67"/>
  <c r="AM114" i="34"/>
  <c r="T1489" i="67"/>
  <c r="S1466" i="67"/>
  <c r="S969" i="67" s="1"/>
  <c r="AB216" i="67"/>
  <c r="AB369" i="67"/>
  <c r="AB521" i="67"/>
  <c r="AB63" i="67"/>
  <c r="AB824" i="67"/>
  <c r="AQ378" i="67"/>
  <c r="AQ72" i="67"/>
  <c r="AQ225" i="67"/>
  <c r="AQ833" i="67"/>
  <c r="AQ530" i="67"/>
  <c r="R375" i="67"/>
  <c r="R830" i="67"/>
  <c r="R69" i="67"/>
  <c r="R222" i="67"/>
  <c r="R527" i="67"/>
  <c r="X832" i="67"/>
  <c r="X377" i="67"/>
  <c r="X529" i="67"/>
  <c r="X71" i="67"/>
  <c r="X224" i="67"/>
  <c r="AT378" i="67"/>
  <c r="AT833" i="67"/>
  <c r="AT530" i="67"/>
  <c r="AT72" i="67"/>
  <c r="AT225" i="67"/>
  <c r="Q393" i="67"/>
  <c r="Q848" i="67"/>
  <c r="Q545" i="67"/>
  <c r="Q87" i="67"/>
  <c r="Q697" i="67"/>
  <c r="Q240" i="67"/>
  <c r="AB375" i="67"/>
  <c r="AB69" i="67"/>
  <c r="AB527" i="67"/>
  <c r="AB222" i="67"/>
  <c r="AB830" i="67"/>
  <c r="V238" i="67"/>
  <c r="V391" i="67"/>
  <c r="V846" i="67"/>
  <c r="V543" i="67"/>
  <c r="V695" i="67"/>
  <c r="V85" i="67"/>
  <c r="O378" i="67"/>
  <c r="O72" i="67"/>
  <c r="O833" i="67"/>
  <c r="O225" i="67"/>
  <c r="O530" i="67"/>
  <c r="T529" i="67"/>
  <c r="T377" i="67"/>
  <c r="T832" i="67"/>
  <c r="T71" i="67"/>
  <c r="T224" i="67"/>
  <c r="Z391" i="67"/>
  <c r="Z846" i="67"/>
  <c r="Z238" i="67"/>
  <c r="Z695" i="67"/>
  <c r="Z543" i="67"/>
  <c r="Z85" i="67"/>
  <c r="Y385" i="67"/>
  <c r="Y840" i="67"/>
  <c r="Y537" i="67"/>
  <c r="Y232" i="67"/>
  <c r="Y689" i="67"/>
  <c r="Y79" i="67"/>
  <c r="S832" i="67"/>
  <c r="S377" i="67"/>
  <c r="S529" i="67"/>
  <c r="S71" i="67"/>
  <c r="S224" i="67"/>
  <c r="AP393" i="67"/>
  <c r="AP848" i="67"/>
  <c r="AP545" i="67"/>
  <c r="AP697" i="67"/>
  <c r="AP87" i="67"/>
  <c r="AP240" i="67"/>
  <c r="Q391" i="67"/>
  <c r="Q543" i="67"/>
  <c r="Q846" i="67"/>
  <c r="Q238" i="67"/>
  <c r="Q695" i="67"/>
  <c r="Q85" i="67"/>
  <c r="AM1368" i="67"/>
  <c r="U521" i="67"/>
  <c r="U824" i="67"/>
  <c r="U63" i="67"/>
  <c r="U216" i="67"/>
  <c r="O88" i="67"/>
  <c r="O394" i="67"/>
  <c r="O546" i="67"/>
  <c r="O849" i="67"/>
  <c r="O698" i="67"/>
  <c r="O241" i="67"/>
  <c r="AR393" i="67"/>
  <c r="AR848" i="67"/>
  <c r="AR87" i="67"/>
  <c r="AR240" i="67"/>
  <c r="AR545" i="67"/>
  <c r="AR697" i="67"/>
  <c r="AK378" i="67"/>
  <c r="AK225" i="67"/>
  <c r="AK833" i="67"/>
  <c r="AK530" i="67"/>
  <c r="AK72" i="67"/>
  <c r="Z393" i="67"/>
  <c r="Z848" i="67"/>
  <c r="Z545" i="67"/>
  <c r="Z697" i="67"/>
  <c r="Z87" i="67"/>
  <c r="Z240" i="67"/>
  <c r="N393" i="67"/>
  <c r="N848" i="67"/>
  <c r="N87" i="67"/>
  <c r="N240" i="67"/>
  <c r="N545" i="67"/>
  <c r="N697" i="67"/>
  <c r="AR120" i="34"/>
  <c r="Y1495" i="67"/>
  <c r="Y1149" i="67"/>
  <c r="Y998" i="67"/>
  <c r="AS120" i="34"/>
  <c r="Z1495" i="67"/>
  <c r="Z1149" i="67"/>
  <c r="Z998" i="67"/>
  <c r="AK104" i="34"/>
  <c r="R1479" i="67"/>
  <c r="R1133" i="67"/>
  <c r="R982" i="67"/>
  <c r="AV104" i="34"/>
  <c r="AC1479" i="67"/>
  <c r="AC1133" i="67"/>
  <c r="AC982" i="67"/>
  <c r="AA1466" i="67"/>
  <c r="AA969" i="67" s="1"/>
  <c r="AU120" i="34"/>
  <c r="AB1495" i="67"/>
  <c r="AB1149" i="67"/>
  <c r="AB998" i="67"/>
  <c r="AQ104" i="34"/>
  <c r="X1479" i="67"/>
  <c r="X1133" i="67"/>
  <c r="X982" i="67"/>
  <c r="AO120" i="34"/>
  <c r="V1495" i="67"/>
  <c r="V1149" i="67"/>
  <c r="V998" i="67"/>
  <c r="AS104" i="34"/>
  <c r="Z1479" i="67"/>
  <c r="Z1133" i="67"/>
  <c r="Z982" i="67"/>
  <c r="AT104" i="34"/>
  <c r="AA1479" i="67"/>
  <c r="AA1133" i="67"/>
  <c r="AA982" i="67"/>
  <c r="AP120" i="34"/>
  <c r="W1495" i="67"/>
  <c r="W1149" i="67"/>
  <c r="W998" i="67"/>
  <c r="AV120" i="34"/>
  <c r="AC1495" i="67"/>
  <c r="AC1149" i="67"/>
  <c r="AC998" i="67"/>
  <c r="AN104" i="34"/>
  <c r="U1479" i="67"/>
  <c r="U1133" i="67"/>
  <c r="U982" i="67"/>
  <c r="AL120" i="34"/>
  <c r="S1495" i="67"/>
  <c r="S1149" i="67"/>
  <c r="S998" i="67"/>
  <c r="AT1482" i="67"/>
  <c r="AT985" i="67" s="1"/>
  <c r="AS1466" i="67"/>
  <c r="AS969" i="67" s="1"/>
  <c r="AH1482" i="67"/>
  <c r="AH985" i="67" s="1"/>
  <c r="AG98" i="34"/>
  <c r="N1473" i="67"/>
  <c r="AF98" i="34"/>
  <c r="M1473" i="67"/>
  <c r="AD114" i="34"/>
  <c r="K1489" i="67"/>
  <c r="K1143" i="67"/>
  <c r="K992" i="67"/>
  <c r="V1482" i="67"/>
  <c r="V985" i="67" s="1"/>
  <c r="AM1466" i="67"/>
  <c r="AM969" i="67" s="1"/>
  <c r="AI107" i="34"/>
  <c r="P1482" i="67"/>
  <c r="P985" i="67" s="1"/>
  <c r="P1513" i="67"/>
  <c r="P1517" i="67"/>
  <c r="AF91" i="34"/>
  <c r="M1466" i="67"/>
  <c r="M969" i="67" s="1"/>
  <c r="AI93" i="34"/>
  <c r="P1468" i="67"/>
  <c r="P971" i="67" s="1"/>
  <c r="K1466" i="67"/>
  <c r="K969" i="67" s="1"/>
  <c r="AB1482" i="67"/>
  <c r="AB985" i="67" s="1"/>
  <c r="AM1482" i="67"/>
  <c r="AM985" i="67" s="1"/>
  <c r="AT114" i="34"/>
  <c r="AA1489" i="67"/>
  <c r="AL114" i="34"/>
  <c r="S1489" i="67"/>
  <c r="AP98" i="34"/>
  <c r="W1473" i="67"/>
  <c r="AM98" i="34"/>
  <c r="T1473" i="67"/>
  <c r="AI108" i="34"/>
  <c r="P1483" i="67"/>
  <c r="P986" i="67" s="1"/>
  <c r="N1518" i="67"/>
  <c r="N1465" i="67"/>
  <c r="N362" i="67" s="1"/>
  <c r="AQ1266" i="67"/>
  <c r="AV1368" i="67"/>
  <c r="AP1250" i="67"/>
  <c r="AD1352" i="67"/>
  <c r="AT1266" i="67"/>
  <c r="Z1266" i="67"/>
  <c r="K1269" i="67"/>
  <c r="AB1266" i="67"/>
  <c r="AM1352" i="67"/>
  <c r="K1352" i="67"/>
  <c r="V1352" i="67"/>
  <c r="Q63" i="67"/>
  <c r="Q369" i="67"/>
  <c r="Q521" i="67"/>
  <c r="Q824" i="67"/>
  <c r="Q216" i="67"/>
  <c r="AA63" i="67"/>
  <c r="AA369" i="67"/>
  <c r="AA521" i="67"/>
  <c r="AA824" i="67"/>
  <c r="AA216" i="67"/>
  <c r="R385" i="67"/>
  <c r="R840" i="67"/>
  <c r="R79" i="67"/>
  <c r="R232" i="67"/>
  <c r="R537" i="67"/>
  <c r="R689" i="67"/>
  <c r="L377" i="67"/>
  <c r="L529" i="67"/>
  <c r="L832" i="67"/>
  <c r="L71" i="67"/>
  <c r="L224" i="67"/>
  <c r="P698" i="67"/>
  <c r="P394" i="67"/>
  <c r="P849" i="67"/>
  <c r="P546" i="67"/>
  <c r="P241" i="67"/>
  <c r="P88" i="67"/>
  <c r="N378" i="67"/>
  <c r="N833" i="67"/>
  <c r="N530" i="67"/>
  <c r="N72" i="67"/>
  <c r="N225" i="67"/>
  <c r="AC369" i="67"/>
  <c r="AC824" i="67"/>
  <c r="AC63" i="67"/>
  <c r="AC216" i="67"/>
  <c r="AC521" i="67"/>
  <c r="AV378" i="67"/>
  <c r="AV72" i="67"/>
  <c r="AV225" i="67"/>
  <c r="AV530" i="67"/>
  <c r="AV833" i="67"/>
  <c r="AP832" i="67"/>
  <c r="AP377" i="67"/>
  <c r="AP529" i="67"/>
  <c r="AP71" i="67"/>
  <c r="AP224" i="67"/>
  <c r="AF394" i="67"/>
  <c r="AF698" i="67"/>
  <c r="AF88" i="67"/>
  <c r="AF849" i="67"/>
  <c r="AF546" i="67"/>
  <c r="AF241" i="67"/>
  <c r="W378" i="67"/>
  <c r="W225" i="67"/>
  <c r="W833" i="67"/>
  <c r="W530" i="67"/>
  <c r="W72" i="67"/>
  <c r="X391" i="67"/>
  <c r="X846" i="67"/>
  <c r="X238" i="67"/>
  <c r="X695" i="67"/>
  <c r="X543" i="67"/>
  <c r="X85" i="67"/>
  <c r="Y370" i="67"/>
  <c r="Y522" i="67"/>
  <c r="Y217" i="67"/>
  <c r="Y825" i="67"/>
  <c r="Y64" i="67"/>
  <c r="Y674" i="67"/>
  <c r="Z370" i="67"/>
  <c r="Z64" i="67"/>
  <c r="Z522" i="67"/>
  <c r="Z825" i="67"/>
  <c r="Z217" i="67"/>
  <c r="Z674" i="67"/>
  <c r="AP378" i="67"/>
  <c r="AP225" i="67"/>
  <c r="AP833" i="67"/>
  <c r="AP530" i="67"/>
  <c r="AP72" i="67"/>
  <c r="AC386" i="67"/>
  <c r="AC690" i="67"/>
  <c r="AC538" i="67"/>
  <c r="AC233" i="67"/>
  <c r="AC80" i="67"/>
  <c r="AC841" i="67"/>
  <c r="AJ393" i="67"/>
  <c r="AJ848" i="67"/>
  <c r="AJ87" i="67"/>
  <c r="AJ240" i="67"/>
  <c r="AJ545" i="67"/>
  <c r="AJ697" i="67"/>
  <c r="Y393" i="67"/>
  <c r="Y848" i="67"/>
  <c r="Y545" i="67"/>
  <c r="Y87" i="67"/>
  <c r="Y697" i="67"/>
  <c r="Y240" i="67"/>
  <c r="Q386" i="67"/>
  <c r="Q80" i="67"/>
  <c r="Q841" i="67"/>
  <c r="Q538" i="67"/>
  <c r="Q690" i="67"/>
  <c r="Q233" i="67"/>
  <c r="AW1266" i="67"/>
  <c r="AE1250" i="67"/>
  <c r="O1266" i="67"/>
  <c r="AV1268" i="67"/>
  <c r="AR1352" i="67"/>
  <c r="AB385" i="67"/>
  <c r="AB840" i="67"/>
  <c r="AB537" i="67"/>
  <c r="AB689" i="67"/>
  <c r="AB79" i="67"/>
  <c r="AB232" i="67"/>
  <c r="V529" i="67"/>
  <c r="V377" i="67"/>
  <c r="V832" i="67"/>
  <c r="V71" i="67"/>
  <c r="V224" i="67"/>
  <c r="AW698" i="67"/>
  <c r="AW394" i="67"/>
  <c r="AW241" i="67"/>
  <c r="AW849" i="67"/>
  <c r="AW546" i="67"/>
  <c r="AW88" i="67"/>
  <c r="AI88" i="67"/>
  <c r="AI394" i="67"/>
  <c r="AI241" i="67"/>
  <c r="AI546" i="67"/>
  <c r="AI698" i="67"/>
  <c r="AI849" i="67"/>
  <c r="R393" i="67"/>
  <c r="R848" i="67"/>
  <c r="R545" i="67"/>
  <c r="R697" i="67"/>
  <c r="R87" i="67"/>
  <c r="R240" i="67"/>
  <c r="AE394" i="67"/>
  <c r="AE849" i="67"/>
  <c r="AE698" i="67"/>
  <c r="AE88" i="67"/>
  <c r="AE241" i="67"/>
  <c r="AE546" i="67"/>
  <c r="AO393" i="67"/>
  <c r="AO848" i="67"/>
  <c r="AO545" i="67"/>
  <c r="AO697" i="67"/>
  <c r="AO87" i="67"/>
  <c r="AO240" i="67"/>
  <c r="AH394" i="67"/>
  <c r="AH88" i="67"/>
  <c r="AH698" i="67"/>
  <c r="AH849" i="67"/>
  <c r="AH241" i="67"/>
  <c r="AH546" i="67"/>
  <c r="S1268" i="67"/>
  <c r="AE1266" i="67"/>
  <c r="X63" i="67"/>
  <c r="X369" i="67"/>
  <c r="X824" i="67"/>
  <c r="X216" i="67"/>
  <c r="X521" i="67"/>
  <c r="AC377" i="67"/>
  <c r="AC529" i="67"/>
  <c r="AC832" i="67"/>
  <c r="AC71" i="67"/>
  <c r="AC224" i="67"/>
  <c r="AJ378" i="67"/>
  <c r="AJ833" i="67"/>
  <c r="AJ530" i="67"/>
  <c r="AJ72" i="67"/>
  <c r="AJ225" i="67"/>
  <c r="X386" i="67"/>
  <c r="X690" i="67"/>
  <c r="X841" i="67"/>
  <c r="X80" i="67"/>
  <c r="X233" i="67"/>
  <c r="X538" i="67"/>
  <c r="AG1266" i="67"/>
  <c r="AD1368" i="67"/>
  <c r="AP1266" i="67"/>
  <c r="AU1250" i="67"/>
  <c r="R1250" i="67"/>
  <c r="U1368" i="67"/>
  <c r="M1268" i="67"/>
  <c r="Q1368" i="67"/>
  <c r="Y1368" i="67"/>
  <c r="AJ1352" i="67"/>
  <c r="R1266" i="67"/>
  <c r="P1268" i="67"/>
  <c r="AA1368" i="67"/>
  <c r="S232" i="67"/>
  <c r="S385" i="67"/>
  <c r="S537" i="67"/>
  <c r="S689" i="67"/>
  <c r="S79" i="67"/>
  <c r="S840" i="67"/>
  <c r="T521" i="67"/>
  <c r="T824" i="67"/>
  <c r="T216" i="67"/>
  <c r="T63" i="67"/>
  <c r="X385" i="67"/>
  <c r="X840" i="67"/>
  <c r="X537" i="67"/>
  <c r="X79" i="67"/>
  <c r="X689" i="67"/>
  <c r="X232" i="67"/>
  <c r="Y369" i="67"/>
  <c r="Y63" i="67"/>
  <c r="Y216" i="67"/>
  <c r="Y521" i="67"/>
  <c r="Y824" i="67"/>
  <c r="L393" i="67"/>
  <c r="L848" i="67"/>
  <c r="L87" i="67"/>
  <c r="L240" i="67"/>
  <c r="L545" i="67"/>
  <c r="L697" i="67"/>
  <c r="R521" i="67"/>
  <c r="R216" i="67"/>
  <c r="R824" i="67"/>
  <c r="R63" i="67"/>
  <c r="U529" i="67"/>
  <c r="U377" i="67"/>
  <c r="U832" i="67"/>
  <c r="U71" i="67"/>
  <c r="U224" i="67"/>
  <c r="AU88" i="67"/>
  <c r="AU394" i="67"/>
  <c r="AU241" i="67"/>
  <c r="AU698" i="67"/>
  <c r="AU546" i="67"/>
  <c r="AU849" i="67"/>
  <c r="AR849" i="67"/>
  <c r="AR394" i="67"/>
  <c r="AR546" i="67"/>
  <c r="AR698" i="67"/>
  <c r="AR88" i="67"/>
  <c r="AR241" i="67"/>
  <c r="AQ832" i="67"/>
  <c r="AQ377" i="67"/>
  <c r="AQ529" i="67"/>
  <c r="AQ71" i="67"/>
  <c r="AQ224" i="67"/>
  <c r="AI378" i="67"/>
  <c r="AI72" i="67"/>
  <c r="AI530" i="67"/>
  <c r="AI833" i="67"/>
  <c r="AI225" i="67"/>
  <c r="AB393" i="67"/>
  <c r="AB848" i="67"/>
  <c r="AB87" i="67"/>
  <c r="AB240" i="67"/>
  <c r="AB545" i="67"/>
  <c r="AB697" i="67"/>
  <c r="W375" i="67"/>
  <c r="W527" i="67"/>
  <c r="W830" i="67"/>
  <c r="W69" i="67"/>
  <c r="W222" i="67"/>
  <c r="AT377" i="67"/>
  <c r="AT529" i="67"/>
  <c r="AT832" i="67"/>
  <c r="AT71" i="67"/>
  <c r="AT224" i="67"/>
  <c r="AM393" i="67"/>
  <c r="AM848" i="67"/>
  <c r="AM87" i="67"/>
  <c r="AM240" i="67"/>
  <c r="AM545" i="67"/>
  <c r="AM697" i="67"/>
  <c r="Y386" i="67"/>
  <c r="Y80" i="67"/>
  <c r="Y690" i="67"/>
  <c r="Y233" i="67"/>
  <c r="Y841" i="67"/>
  <c r="Y538" i="67"/>
  <c r="AT546" i="67"/>
  <c r="AT394" i="67"/>
  <c r="AT241" i="67"/>
  <c r="AT849" i="67"/>
  <c r="AT698" i="67"/>
  <c r="AT88" i="67"/>
  <c r="Y378" i="67"/>
  <c r="Y225" i="67"/>
  <c r="Y833" i="67"/>
  <c r="Y530" i="67"/>
  <c r="Y72" i="67"/>
  <c r="AO832" i="67"/>
  <c r="AO377" i="67"/>
  <c r="AO529" i="67"/>
  <c r="AO71" i="67"/>
  <c r="AO224" i="67"/>
  <c r="AJ529" i="67"/>
  <c r="AJ377" i="67"/>
  <c r="AJ832" i="67"/>
  <c r="AJ71" i="67"/>
  <c r="AJ224" i="67"/>
  <c r="V375" i="67"/>
  <c r="V222" i="67"/>
  <c r="V527" i="67"/>
  <c r="V830" i="67"/>
  <c r="V69" i="67"/>
  <c r="Z1368" i="67"/>
  <c r="AO1266" i="67"/>
  <c r="W1268" i="67"/>
  <c r="L378" i="67"/>
  <c r="L225" i="67"/>
  <c r="L72" i="67"/>
  <c r="L833" i="67"/>
  <c r="L530" i="67"/>
  <c r="V378" i="67"/>
  <c r="V225" i="67"/>
  <c r="V833" i="67"/>
  <c r="V530" i="67"/>
  <c r="V72" i="67"/>
  <c r="Y698" i="67"/>
  <c r="Y394" i="67"/>
  <c r="Y88" i="67"/>
  <c r="Y849" i="67"/>
  <c r="Y241" i="67"/>
  <c r="Y546" i="67"/>
  <c r="X64" i="67"/>
  <c r="X370" i="67"/>
  <c r="X217" i="67"/>
  <c r="X522" i="67"/>
  <c r="X825" i="67"/>
  <c r="X674" i="67"/>
  <c r="AV832" i="67"/>
  <c r="AV377" i="67"/>
  <c r="AV529" i="67"/>
  <c r="AV71" i="67"/>
  <c r="AV224" i="67"/>
  <c r="Q217" i="67"/>
  <c r="Q370" i="67"/>
  <c r="Q825" i="67"/>
  <c r="Q64" i="67"/>
  <c r="Q522" i="67"/>
  <c r="Q674" i="67"/>
  <c r="AP1352" i="67"/>
  <c r="AC1266" i="67"/>
  <c r="R1352" i="67"/>
  <c r="N1368" i="67"/>
  <c r="U385" i="67"/>
  <c r="U689" i="67"/>
  <c r="U840" i="67"/>
  <c r="U232" i="67"/>
  <c r="U537" i="67"/>
  <c r="U79" i="67"/>
  <c r="O393" i="67"/>
  <c r="O848" i="67"/>
  <c r="O87" i="67"/>
  <c r="O240" i="67"/>
  <c r="O545" i="67"/>
  <c r="O697" i="67"/>
  <c r="N88" i="67"/>
  <c r="N394" i="67"/>
  <c r="N698" i="67"/>
  <c r="N849" i="67"/>
  <c r="N241" i="67"/>
  <c r="N546" i="67"/>
  <c r="X375" i="67"/>
  <c r="X527" i="67"/>
  <c r="X69" i="67"/>
  <c r="X830" i="67"/>
  <c r="X222" i="67"/>
  <c r="AL378" i="67"/>
  <c r="AL72" i="67"/>
  <c r="AL225" i="67"/>
  <c r="AL833" i="67"/>
  <c r="AL530" i="67"/>
  <c r="AC370" i="67"/>
  <c r="AC522" i="67"/>
  <c r="AC64" i="67"/>
  <c r="AC825" i="67"/>
  <c r="AC217" i="67"/>
  <c r="AC674" i="67"/>
  <c r="AM1268" i="67"/>
  <c r="T1368" i="67"/>
  <c r="AD1268" i="67"/>
  <c r="M1266" i="67"/>
  <c r="AI1368" i="67"/>
  <c r="AO1352" i="67"/>
  <c r="AK1250" i="67"/>
  <c r="AM1266" i="67"/>
  <c r="AG698" i="67"/>
  <c r="AG394" i="67"/>
  <c r="AG88" i="67"/>
  <c r="AG241" i="67"/>
  <c r="AG849" i="67"/>
  <c r="AG546" i="67"/>
  <c r="AJ120" i="34"/>
  <c r="Q1495" i="67"/>
  <c r="Q1149" i="67"/>
  <c r="Q998" i="67"/>
  <c r="AM104" i="34"/>
  <c r="T1479" i="67"/>
  <c r="T1133" i="67"/>
  <c r="T982" i="67"/>
  <c r="AR104" i="34"/>
  <c r="Y1479" i="67"/>
  <c r="Y1133" i="67"/>
  <c r="Y982" i="67"/>
  <c r="AT1466" i="67"/>
  <c r="AT969" i="67" s="1"/>
  <c r="AK1482" i="67"/>
  <c r="AK985" i="67" s="1"/>
  <c r="AR1466" i="67"/>
  <c r="AR969" i="67" s="1"/>
  <c r="AI98" i="34"/>
  <c r="P1473" i="67"/>
  <c r="AE91" i="34"/>
  <c r="L1466" i="67"/>
  <c r="L969" i="67" s="1"/>
  <c r="V521" i="67"/>
  <c r="V216" i="67"/>
  <c r="V824" i="67"/>
  <c r="V63" i="67"/>
  <c r="AA689" i="67"/>
  <c r="AA385" i="67"/>
  <c r="AA232" i="67"/>
  <c r="AA840" i="67"/>
  <c r="AA537" i="67"/>
  <c r="AA79" i="67"/>
  <c r="M378" i="67"/>
  <c r="M72" i="67"/>
  <c r="M225" i="67"/>
  <c r="M833" i="67"/>
  <c r="M530" i="67"/>
  <c r="AL393" i="67"/>
  <c r="AL848" i="67"/>
  <c r="AL87" i="67"/>
  <c r="AL240" i="67"/>
  <c r="AL545" i="67"/>
  <c r="AL697" i="67"/>
  <c r="AR378" i="67"/>
  <c r="AR225" i="67"/>
  <c r="AR72" i="67"/>
  <c r="AR833" i="67"/>
  <c r="AR530" i="67"/>
  <c r="AN378" i="67"/>
  <c r="AN72" i="67"/>
  <c r="AN225" i="67"/>
  <c r="AN530" i="67"/>
  <c r="AN833" i="67"/>
  <c r="Q375" i="67"/>
  <c r="Q222" i="67"/>
  <c r="Q527" i="67"/>
  <c r="Q830" i="67"/>
  <c r="Q69" i="67"/>
  <c r="AB698" i="67"/>
  <c r="AB394" i="67"/>
  <c r="AB88" i="67"/>
  <c r="AB241" i="67"/>
  <c r="AB849" i="67"/>
  <c r="AB546" i="67"/>
  <c r="AA378" i="67"/>
  <c r="AA530" i="67"/>
  <c r="AA72" i="67"/>
  <c r="AA833" i="67"/>
  <c r="AA225" i="67"/>
  <c r="S391" i="67"/>
  <c r="S695" i="67"/>
  <c r="S238" i="67"/>
  <c r="S543" i="67"/>
  <c r="S846" i="67"/>
  <c r="S85" i="67"/>
  <c r="V79" i="67"/>
  <c r="V385" i="67"/>
  <c r="V232" i="67"/>
  <c r="V537" i="67"/>
  <c r="V840" i="67"/>
  <c r="V689" i="67"/>
  <c r="AD394" i="67"/>
  <c r="AD546" i="67"/>
  <c r="AD698" i="67"/>
  <c r="AD241" i="67"/>
  <c r="AD88" i="67"/>
  <c r="AD849" i="67"/>
  <c r="AG378" i="67"/>
  <c r="AG833" i="67"/>
  <c r="AG530" i="67"/>
  <c r="AG72" i="67"/>
  <c r="AG225" i="67"/>
  <c r="R378" i="67"/>
  <c r="R72" i="67"/>
  <c r="R225" i="67"/>
  <c r="R833" i="67"/>
  <c r="R530" i="67"/>
  <c r="AC391" i="67"/>
  <c r="AC238" i="67"/>
  <c r="AC846" i="67"/>
  <c r="AC695" i="67"/>
  <c r="AC543" i="67"/>
  <c r="AC85" i="67"/>
  <c r="S521" i="67"/>
  <c r="S824" i="67"/>
  <c r="S63" i="67"/>
  <c r="S216" i="67"/>
  <c r="M546" i="67"/>
  <c r="M394" i="67"/>
  <c r="M88" i="67"/>
  <c r="M849" i="67"/>
  <c r="M698" i="67"/>
  <c r="M241" i="67"/>
  <c r="AV394" i="67"/>
  <c r="AV546" i="67"/>
  <c r="AV849" i="67"/>
  <c r="AV241" i="67"/>
  <c r="AV698" i="67"/>
  <c r="AV88" i="67"/>
  <c r="AK394" i="67"/>
  <c r="AK546" i="67"/>
  <c r="AK849" i="67"/>
  <c r="AK88" i="67"/>
  <c r="AK698" i="67"/>
  <c r="AK241" i="67"/>
  <c r="T79" i="67"/>
  <c r="T385" i="67"/>
  <c r="T840" i="67"/>
  <c r="T537" i="67"/>
  <c r="T689" i="67"/>
  <c r="T232" i="67"/>
  <c r="AO698" i="67"/>
  <c r="AO394" i="67"/>
  <c r="AO546" i="67"/>
  <c r="AO88" i="67"/>
  <c r="AO849" i="67"/>
  <c r="AO241" i="67"/>
  <c r="AB377" i="67"/>
  <c r="AB529" i="67"/>
  <c r="AB832" i="67"/>
  <c r="AB71" i="67"/>
  <c r="AB224" i="67"/>
  <c r="AU393" i="67"/>
  <c r="AU848" i="67"/>
  <c r="AU87" i="67"/>
  <c r="AU240" i="67"/>
  <c r="AU545" i="67"/>
  <c r="AU697" i="67"/>
  <c r="AM377" i="67"/>
  <c r="AM529" i="67"/>
  <c r="AM832" i="67"/>
  <c r="AM71" i="67"/>
  <c r="AM224" i="67"/>
  <c r="U375" i="67"/>
  <c r="U69" i="67"/>
  <c r="U527" i="67"/>
  <c r="U222" i="67"/>
  <c r="U830" i="67"/>
  <c r="AJ104" i="34"/>
  <c r="Q1479" i="67"/>
  <c r="Q1133" i="67"/>
  <c r="Q982" i="67"/>
  <c r="AK92" i="34"/>
  <c r="R1467" i="67"/>
  <c r="R970" i="67" s="1"/>
  <c r="AU104" i="34"/>
  <c r="AB1479" i="67"/>
  <c r="AB1133" i="67"/>
  <c r="AB982" i="67"/>
  <c r="AM120" i="34"/>
  <c r="T1495" i="67"/>
  <c r="T1149" i="67"/>
  <c r="T998" i="67"/>
  <c r="AO104" i="34"/>
  <c r="V1479" i="67"/>
  <c r="V1133" i="67"/>
  <c r="V982" i="67"/>
  <c r="AA1495" i="67"/>
  <c r="AA1149" i="67"/>
  <c r="AA998" i="67"/>
  <c r="AA1482" i="67"/>
  <c r="AA985" i="67" s="1"/>
  <c r="AS1482" i="67"/>
  <c r="AS985" i="67" s="1"/>
  <c r="AW1482" i="67"/>
  <c r="AW985" i="67" s="1"/>
  <c r="V1466" i="67"/>
  <c r="V969" i="67" s="1"/>
  <c r="AF109" i="34"/>
  <c r="M1484" i="67"/>
  <c r="M987" i="67" s="1"/>
  <c r="AI91" i="34"/>
  <c r="P1466" i="67"/>
  <c r="P969" i="67" s="1"/>
  <c r="K1482" i="67"/>
  <c r="K985" i="67" s="1"/>
  <c r="AK114" i="34"/>
  <c r="R1489" i="67"/>
  <c r="AW1466" i="67"/>
  <c r="AW969" i="67" s="1"/>
  <c r="AB1466" i="67"/>
  <c r="AB969" i="67" s="1"/>
  <c r="AU98" i="34"/>
  <c r="AB1473" i="67"/>
  <c r="AL98" i="34"/>
  <c r="S1473" i="67"/>
  <c r="AG93" i="34"/>
  <c r="N1468" i="67"/>
  <c r="N971" i="67" s="1"/>
  <c r="AQ1482" i="67"/>
  <c r="AQ985" i="67" s="1"/>
  <c r="X1268" i="67"/>
  <c r="AH1250" i="67"/>
  <c r="AW1368" i="67"/>
  <c r="AO1368" i="67"/>
  <c r="AH1266" i="67"/>
  <c r="AA1250" i="67"/>
  <c r="N1268" i="67"/>
  <c r="AF1368" i="67"/>
  <c r="L1266" i="67"/>
  <c r="AE1352" i="67"/>
  <c r="AG1250" i="67"/>
  <c r="Q1352" i="67"/>
  <c r="Y1352" i="67"/>
  <c r="X1368" i="67"/>
  <c r="R1248" i="67"/>
  <c r="AA1352" i="67"/>
  <c r="AF1250" i="67"/>
  <c r="K378" i="67"/>
  <c r="K530" i="67"/>
  <c r="K833" i="67"/>
  <c r="K225" i="67"/>
  <c r="K72" i="67"/>
  <c r="AE529" i="67"/>
  <c r="AE377" i="67"/>
  <c r="AE832" i="67"/>
  <c r="AE71" i="67"/>
  <c r="AE224" i="67"/>
  <c r="U393" i="67"/>
  <c r="U848" i="67"/>
  <c r="U545" i="67"/>
  <c r="U87" i="67"/>
  <c r="U697" i="67"/>
  <c r="U240" i="67"/>
  <c r="Q698" i="67"/>
  <c r="Q394" i="67"/>
  <c r="Q241" i="67"/>
  <c r="Q849" i="67"/>
  <c r="Q546" i="67"/>
  <c r="Q88" i="67"/>
  <c r="S378" i="67"/>
  <c r="S72" i="67"/>
  <c r="S225" i="67"/>
  <c r="S833" i="67"/>
  <c r="S530" i="67"/>
  <c r="AR377" i="67"/>
  <c r="AR529" i="67"/>
  <c r="AR832" i="67"/>
  <c r="AR71" i="67"/>
  <c r="AR224" i="67"/>
  <c r="AW393" i="67"/>
  <c r="AW848" i="67"/>
  <c r="AW545" i="67"/>
  <c r="AW87" i="67"/>
  <c r="AW697" i="67"/>
  <c r="AW240" i="67"/>
  <c r="U64" i="67"/>
  <c r="U370" i="67"/>
  <c r="U522" i="67"/>
  <c r="U825" i="67"/>
  <c r="U217" i="67"/>
  <c r="U674" i="67"/>
  <c r="W391" i="67"/>
  <c r="W85" i="67"/>
  <c r="W543" i="67"/>
  <c r="W695" i="67"/>
  <c r="W846" i="67"/>
  <c r="W238" i="67"/>
  <c r="U394" i="67"/>
  <c r="U546" i="67"/>
  <c r="U88" i="67"/>
  <c r="U698" i="67"/>
  <c r="U849" i="67"/>
  <c r="U241" i="67"/>
  <c r="AO1250" i="67"/>
  <c r="AH1368" i="67"/>
  <c r="R1268" i="67"/>
  <c r="AB1368" i="67"/>
  <c r="AU1352" i="67"/>
  <c r="T1268" i="67"/>
  <c r="AL1368" i="67"/>
  <c r="O529" i="67"/>
  <c r="O377" i="67"/>
  <c r="O832" i="67"/>
  <c r="O71" i="67"/>
  <c r="O224" i="67"/>
  <c r="M393" i="67"/>
  <c r="M848" i="67"/>
  <c r="M545" i="67"/>
  <c r="M87" i="67"/>
  <c r="M697" i="67"/>
  <c r="M240" i="67"/>
  <c r="P393" i="67"/>
  <c r="P848" i="67"/>
  <c r="P545" i="67"/>
  <c r="P697" i="67"/>
  <c r="P87" i="67"/>
  <c r="P240" i="67"/>
  <c r="Y1266" i="67"/>
  <c r="X1352" i="67"/>
  <c r="K1368" i="67"/>
  <c r="K832" i="67"/>
  <c r="K377" i="67"/>
  <c r="K529" i="67"/>
  <c r="K71" i="67"/>
  <c r="K224" i="67"/>
  <c r="Z369" i="67"/>
  <c r="Z63" i="67"/>
  <c r="Z521" i="67"/>
  <c r="Z824" i="67"/>
  <c r="Z216" i="67"/>
  <c r="Y391" i="67"/>
  <c r="Y85" i="67"/>
  <c r="Y238" i="67"/>
  <c r="Y846" i="67"/>
  <c r="Y543" i="67"/>
  <c r="Y695" i="67"/>
  <c r="Z375" i="67"/>
  <c r="Z830" i="67"/>
  <c r="Z69" i="67"/>
  <c r="Z527" i="67"/>
  <c r="Z222" i="67"/>
  <c r="AJ1250" i="67"/>
  <c r="AS1368" i="67"/>
  <c r="T1352" i="67"/>
  <c r="AI1268" i="67"/>
  <c r="M1352" i="67"/>
  <c r="Z1352" i="67"/>
  <c r="AN1266" i="67"/>
  <c r="AR1268" i="67"/>
  <c r="L1352" i="67"/>
  <c r="AD1250" i="67"/>
  <c r="AE1368" i="67"/>
  <c r="AU1266" i="67"/>
  <c r="T1250" i="67"/>
  <c r="AC1268" i="67"/>
  <c r="K1248" i="67"/>
  <c r="M377" i="67"/>
  <c r="M529" i="67"/>
  <c r="M832" i="67"/>
  <c r="M71" i="67"/>
  <c r="M224" i="67"/>
  <c r="AL529" i="67"/>
  <c r="AL377" i="67"/>
  <c r="AL832" i="67"/>
  <c r="AL71" i="67"/>
  <c r="AL224" i="67"/>
  <c r="AQ88" i="67"/>
  <c r="AQ394" i="67"/>
  <c r="AQ546" i="67"/>
  <c r="AQ849" i="67"/>
  <c r="AQ241" i="67"/>
  <c r="AQ698" i="67"/>
  <c r="AU529" i="67"/>
  <c r="AU377" i="67"/>
  <c r="AU832" i="67"/>
  <c r="AU71" i="67"/>
  <c r="AU224" i="67"/>
  <c r="Z378" i="67"/>
  <c r="Z530" i="67"/>
  <c r="Z72" i="67"/>
  <c r="Z225" i="67"/>
  <c r="Z833" i="67"/>
  <c r="Z832" i="67"/>
  <c r="Z377" i="67"/>
  <c r="Z529" i="67"/>
  <c r="Z71" i="67"/>
  <c r="Z224" i="67"/>
  <c r="AH378" i="67"/>
  <c r="AH530" i="67"/>
  <c r="AH72" i="67"/>
  <c r="AH225" i="67"/>
  <c r="AH833" i="67"/>
  <c r="AA88" i="67"/>
  <c r="AA394" i="67"/>
  <c r="AA698" i="67"/>
  <c r="AA546" i="67"/>
  <c r="AA849" i="67"/>
  <c r="AA241" i="67"/>
  <c r="Y832" i="67"/>
  <c r="Y377" i="67"/>
  <c r="Y529" i="67"/>
  <c r="Y71" i="67"/>
  <c r="Y224" i="67"/>
  <c r="S375" i="67"/>
  <c r="S222" i="67"/>
  <c r="S830" i="67"/>
  <c r="S69" i="67"/>
  <c r="S527" i="67"/>
  <c r="AB1268" i="67"/>
  <c r="S1250" i="67"/>
  <c r="L1368" i="67"/>
  <c r="AU378" i="67"/>
  <c r="AU833" i="67"/>
  <c r="AU530" i="67"/>
  <c r="AU72" i="67"/>
  <c r="AU225" i="67"/>
  <c r="S393" i="67"/>
  <c r="S848" i="67"/>
  <c r="S545" i="67"/>
  <c r="S697" i="67"/>
  <c r="S87" i="67"/>
  <c r="S240" i="67"/>
  <c r="AQ393" i="67"/>
  <c r="AQ848" i="67"/>
  <c r="AQ545" i="67"/>
  <c r="AQ697" i="67"/>
  <c r="AQ87" i="67"/>
  <c r="AQ240" i="67"/>
  <c r="AA375" i="67"/>
  <c r="AA222" i="67"/>
  <c r="AA830" i="67"/>
  <c r="AA527" i="67"/>
  <c r="AA69" i="67"/>
  <c r="AC546" i="67"/>
  <c r="AC394" i="67"/>
  <c r="AC88" i="67"/>
  <c r="AC241" i="67"/>
  <c r="AC698" i="67"/>
  <c r="AC849" i="67"/>
  <c r="AT393" i="67"/>
  <c r="AT848" i="67"/>
  <c r="AT87" i="67"/>
  <c r="AT240" i="67"/>
  <c r="AT545" i="67"/>
  <c r="AT697" i="67"/>
  <c r="AC375" i="67"/>
  <c r="AC222" i="67"/>
  <c r="AC830" i="67"/>
  <c r="AC69" i="67"/>
  <c r="AC527" i="67"/>
  <c r="AE1268" i="67"/>
  <c r="U1266" i="67"/>
  <c r="Q378" i="67"/>
  <c r="Q833" i="67"/>
  <c r="Q530" i="67"/>
  <c r="Q72" i="67"/>
  <c r="Q225" i="67"/>
  <c r="AF378" i="67"/>
  <c r="AF225" i="67"/>
  <c r="AF530" i="67"/>
  <c r="AF833" i="67"/>
  <c r="AF72" i="67"/>
  <c r="T375" i="67"/>
  <c r="T69" i="67"/>
  <c r="T527" i="67"/>
  <c r="T222" i="67"/>
  <c r="T830" i="67"/>
  <c r="AJ1268" i="67"/>
  <c r="AQ1368" i="67"/>
  <c r="AG1352" i="67"/>
  <c r="AG1368" i="67"/>
  <c r="AV1352" i="67"/>
  <c r="O1268" i="67"/>
  <c r="AW1352" i="67"/>
  <c r="AS1250" i="67"/>
  <c r="AK1266" i="67"/>
  <c r="W63" i="67"/>
  <c r="W369" i="67"/>
  <c r="W521" i="67"/>
  <c r="W216" i="67"/>
  <c r="W824" i="67"/>
  <c r="P378" i="67"/>
  <c r="P833" i="67"/>
  <c r="P72" i="67"/>
  <c r="P225" i="67"/>
  <c r="P530" i="67"/>
  <c r="K698" i="67"/>
  <c r="K394" i="67"/>
  <c r="K546" i="67"/>
  <c r="K88" i="67"/>
  <c r="K849" i="67"/>
  <c r="K241" i="67"/>
  <c r="AS377" i="67"/>
  <c r="AS529" i="67"/>
  <c r="AS832" i="67"/>
  <c r="AS71" i="67"/>
  <c r="AS224" i="67"/>
  <c r="V393" i="67"/>
  <c r="V848" i="67"/>
  <c r="V87" i="67"/>
  <c r="V240" i="67"/>
  <c r="V545" i="67"/>
  <c r="V697" i="67"/>
  <c r="AM378" i="67"/>
  <c r="AM530" i="67"/>
  <c r="AM72" i="67"/>
  <c r="AM833" i="67"/>
  <c r="AM225" i="67"/>
  <c r="AN393" i="67"/>
  <c r="AN848" i="67"/>
  <c r="AN545" i="67"/>
  <c r="AN697" i="67"/>
  <c r="AN87" i="67"/>
  <c r="AN240" i="67"/>
  <c r="AD377" i="67"/>
  <c r="AD529" i="67"/>
  <c r="AD832" i="67"/>
  <c r="AD71" i="67"/>
  <c r="AD224" i="67"/>
  <c r="X698" i="67"/>
  <c r="X394" i="67"/>
  <c r="X849" i="67"/>
  <c r="X546" i="67"/>
  <c r="X241" i="67"/>
  <c r="X88" i="67"/>
  <c r="AB391" i="67"/>
  <c r="AB238" i="67"/>
  <c r="AB846" i="67"/>
  <c r="AB695" i="67"/>
  <c r="AB85" i="67"/>
  <c r="AB543" i="67"/>
  <c r="L698" i="67"/>
  <c r="L394" i="67"/>
  <c r="L849" i="67"/>
  <c r="L546" i="67"/>
  <c r="L88" i="67"/>
  <c r="L241" i="67"/>
  <c r="K232" i="67"/>
  <c r="K385" i="67"/>
  <c r="K537" i="67"/>
  <c r="K840" i="67"/>
  <c r="K689" i="67"/>
  <c r="K79" i="67"/>
  <c r="AC378" i="67"/>
  <c r="AC530" i="67"/>
  <c r="AC833" i="67"/>
  <c r="AC72" i="67"/>
  <c r="AC225" i="67"/>
  <c r="X393" i="67"/>
  <c r="X848" i="67"/>
  <c r="X545" i="67"/>
  <c r="X697" i="67"/>
  <c r="X87" i="67"/>
  <c r="X240" i="67"/>
  <c r="AF393" i="67"/>
  <c r="AF848" i="67"/>
  <c r="AF545" i="67"/>
  <c r="AF697" i="67"/>
  <c r="AF87" i="67"/>
  <c r="AF240" i="67"/>
  <c r="Q832" i="67"/>
  <c r="Q377" i="67"/>
  <c r="Q529" i="67"/>
  <c r="Q71" i="67"/>
  <c r="Q224" i="67"/>
  <c r="W393" i="67"/>
  <c r="W848" i="67"/>
  <c r="W87" i="67"/>
  <c r="W240" i="67"/>
  <c r="W545" i="67"/>
  <c r="W697" i="67"/>
  <c r="U378" i="67"/>
  <c r="U72" i="67"/>
  <c r="U833" i="67"/>
  <c r="U530" i="67"/>
  <c r="U225" i="67"/>
  <c r="AI393" i="67"/>
  <c r="AI848" i="67"/>
  <c r="AI545" i="67"/>
  <c r="AI697" i="67"/>
  <c r="AI87" i="67"/>
  <c r="AI240" i="67"/>
  <c r="AV393" i="67"/>
  <c r="AV848" i="67"/>
  <c r="AV545" i="67"/>
  <c r="AV697" i="67"/>
  <c r="AV87" i="67"/>
  <c r="AV240" i="67"/>
  <c r="AK529" i="67"/>
  <c r="AK377" i="67"/>
  <c r="AK832" i="67"/>
  <c r="AK71" i="67"/>
  <c r="AK224" i="67"/>
  <c r="AO378" i="67"/>
  <c r="AO833" i="67"/>
  <c r="AO530" i="67"/>
  <c r="AO72" i="67"/>
  <c r="AO225" i="67"/>
  <c r="AH832" i="67"/>
  <c r="AH377" i="67"/>
  <c r="AH529" i="67"/>
  <c r="AH71" i="67"/>
  <c r="AH224" i="67"/>
  <c r="AE378" i="67"/>
  <c r="AE72" i="67"/>
  <c r="AE225" i="67"/>
  <c r="AE833" i="67"/>
  <c r="AE530" i="67"/>
  <c r="AB378" i="67"/>
  <c r="AB833" i="67"/>
  <c r="AB530" i="67"/>
  <c r="AB72" i="67"/>
  <c r="AB225" i="67"/>
  <c r="AJ157" i="65"/>
  <c r="AJ169" i="65" s="1"/>
  <c r="BL46" i="70"/>
  <c r="BL48" i="70"/>
  <c r="BE48" i="70"/>
  <c r="BE46" i="70"/>
  <c r="AC157" i="65"/>
  <c r="AC169" i="65" s="1"/>
  <c r="BD48" i="70"/>
  <c r="BD46" i="70"/>
  <c r="AB157" i="65"/>
  <c r="AB169" i="65" s="1"/>
  <c r="AV82" i="70"/>
  <c r="AV85" i="70" s="1"/>
  <c r="AV47" i="70"/>
  <c r="AM48" i="70"/>
  <c r="AM46" i="70"/>
  <c r="K157" i="65"/>
  <c r="K169" i="65" s="1"/>
  <c r="BB46" i="70"/>
  <c r="BB48" i="70"/>
  <c r="Z157" i="65"/>
  <c r="Z169" i="65" s="1"/>
  <c r="BC46" i="70"/>
  <c r="BC48" i="70"/>
  <c r="AA157" i="65"/>
  <c r="AA169" i="65" s="1"/>
  <c r="BA48" i="70"/>
  <c r="BA46" i="70"/>
  <c r="Y157" i="65"/>
  <c r="Y169" i="65" s="1"/>
  <c r="AZ46" i="70"/>
  <c r="AZ48" i="70"/>
  <c r="X157" i="65"/>
  <c r="X169" i="65" s="1"/>
  <c r="AQ82" i="70"/>
  <c r="AQ85" i="70" s="1"/>
  <c r="AQ47" i="70"/>
  <c r="AO48" i="70"/>
  <c r="AO46" i="70"/>
  <c r="M157" i="65"/>
  <c r="M169" i="65" s="1"/>
  <c r="AF45" i="70"/>
  <c r="BM82" i="70"/>
  <c r="BM85" i="70" s="1"/>
  <c r="BM47" i="70"/>
  <c r="AN48" i="70"/>
  <c r="AN46" i="70"/>
  <c r="L157" i="65"/>
  <c r="L169" i="65" s="1"/>
  <c r="AW46" i="70"/>
  <c r="U157" i="65"/>
  <c r="U169" i="65" s="1"/>
  <c r="AW48" i="70"/>
  <c r="E157" i="65"/>
  <c r="E169" i="65" s="1"/>
  <c r="AG48" i="70"/>
  <c r="AG46" i="70"/>
  <c r="AR48" i="70"/>
  <c r="AR46" i="70"/>
  <c r="P157" i="65"/>
  <c r="P169" i="65" s="1"/>
  <c r="BF46" i="70"/>
  <c r="AD157" i="65"/>
  <c r="AD169" i="65" s="1"/>
  <c r="BF48" i="70"/>
  <c r="BK82" i="70"/>
  <c r="BK85" i="70" s="1"/>
  <c r="BK47" i="70"/>
  <c r="BJ82" i="70"/>
  <c r="BJ85" i="70" s="1"/>
  <c r="BJ47" i="70"/>
  <c r="AX48" i="70"/>
  <c r="AX46" i="70"/>
  <c r="V157" i="65"/>
  <c r="V169" i="65" s="1"/>
  <c r="AY48" i="70"/>
  <c r="AY46" i="70"/>
  <c r="W157" i="65"/>
  <c r="W169" i="65" s="1"/>
  <c r="G157" i="65"/>
  <c r="G169" i="65" s="1"/>
  <c r="AI46" i="70"/>
  <c r="AI48" i="70"/>
  <c r="BH82" i="70"/>
  <c r="BH85" i="70" s="1"/>
  <c r="BH47" i="70"/>
  <c r="AT48" i="70"/>
  <c r="AT46" i="70"/>
  <c r="R157" i="65"/>
  <c r="R169" i="65" s="1"/>
  <c r="C157" i="65"/>
  <c r="C169" i="65" s="1"/>
  <c r="AE48" i="70"/>
  <c r="AE46" i="70"/>
  <c r="AP46" i="70"/>
  <c r="AP48" i="70"/>
  <c r="N157" i="65"/>
  <c r="N169" i="65" s="1"/>
  <c r="AM157" i="65"/>
  <c r="AM169" i="65" s="1"/>
  <c r="BO48" i="70"/>
  <c r="BO46" i="70"/>
  <c r="AE157" i="65"/>
  <c r="AE169" i="65" s="1"/>
  <c r="BG48" i="70"/>
  <c r="BG46" i="70"/>
  <c r="J157" i="65"/>
  <c r="J169" i="65" s="1"/>
  <c r="AL46" i="70"/>
  <c r="AL48" i="70"/>
  <c r="AG158" i="65"/>
  <c r="AG170" i="65" s="1"/>
  <c r="AF47" i="70"/>
  <c r="AF82" i="70"/>
  <c r="AF85" i="70" s="1"/>
  <c r="I157" i="65"/>
  <c r="I169" i="65" s="1"/>
  <c r="AK48" i="70"/>
  <c r="AK46" i="70"/>
  <c r="H157" i="65"/>
  <c r="H169" i="65" s="1"/>
  <c r="AJ46" i="70"/>
  <c r="AJ48" i="70"/>
  <c r="AH48" i="70"/>
  <c r="AH46" i="70"/>
  <c r="F157" i="65"/>
  <c r="F169" i="65" s="1"/>
  <c r="BN82" i="70"/>
  <c r="BN85" i="70" s="1"/>
  <c r="BN47" i="70"/>
  <c r="BP82" i="70"/>
  <c r="BP85" i="70" s="1"/>
  <c r="BP47" i="70"/>
  <c r="AU82" i="70"/>
  <c r="AU85" i="70" s="1"/>
  <c r="AU47" i="70"/>
  <c r="AS48" i="70"/>
  <c r="AS46" i="70"/>
  <c r="Q157" i="65"/>
  <c r="Q169" i="65" s="1"/>
  <c r="BJ108" i="34"/>
  <c r="BJ92" i="34"/>
  <c r="BA108" i="34"/>
  <c r="AY108" i="34"/>
  <c r="BO108" i="34"/>
  <c r="BM107" i="34"/>
  <c r="BL91" i="34"/>
  <c r="BE92" i="34"/>
  <c r="BA107" i="34"/>
  <c r="AO107" i="34"/>
  <c r="BF91" i="34"/>
  <c r="BE109" i="34"/>
  <c r="AU107" i="34"/>
  <c r="BO109" i="34"/>
  <c r="BF107" i="34"/>
  <c r="BA92" i="34"/>
  <c r="BP108" i="34"/>
  <c r="AS92" i="34"/>
  <c r="AT107" i="34"/>
  <c r="BI109" i="34"/>
  <c r="AT109" i="34"/>
  <c r="BL107" i="34"/>
  <c r="BN109" i="34"/>
  <c r="BK93" i="34"/>
  <c r="BP107" i="34"/>
  <c r="AV93" i="34"/>
  <c r="AR109" i="34"/>
  <c r="AO91" i="34"/>
  <c r="AU109" i="34"/>
  <c r="BA93" i="34"/>
  <c r="BP91" i="34"/>
  <c r="AZ109" i="34"/>
  <c r="AU91" i="34"/>
  <c r="AQ92" i="34"/>
  <c r="BJ107" i="34"/>
  <c r="BH108" i="34"/>
  <c r="AS108" i="34"/>
  <c r="AT108" i="34"/>
  <c r="BM91" i="34"/>
  <c r="BI93" i="34"/>
  <c r="BD107" i="34"/>
  <c r="BL108" i="34"/>
  <c r="BC91" i="34"/>
  <c r="AW109" i="34"/>
  <c r="BI91" i="34"/>
  <c r="BK109" i="34"/>
  <c r="BI107" i="34"/>
  <c r="BK91" i="34"/>
  <c r="AR93" i="34"/>
  <c r="BA91" i="34"/>
  <c r="BK107" i="34"/>
  <c r="BE93" i="34"/>
  <c r="AO109" i="34"/>
  <c r="BO93" i="34"/>
  <c r="AZ93" i="34"/>
  <c r="AQ108" i="34"/>
  <c r="BN108" i="34"/>
  <c r="AT93" i="34"/>
  <c r="BH92" i="34"/>
  <c r="BO92" i="34"/>
  <c r="AV92" i="34"/>
  <c r="AT92" i="34"/>
  <c r="AT91" i="34"/>
  <c r="BL92" i="34"/>
  <c r="BD109" i="34"/>
  <c r="BN93" i="34"/>
  <c r="BD91" i="34"/>
  <c r="BA109" i="34"/>
  <c r="BD93" i="34"/>
  <c r="AV109" i="34"/>
  <c r="AW91" i="34"/>
  <c r="AY92" i="34"/>
  <c r="AV108" i="34"/>
  <c r="AS93" i="34"/>
  <c r="BE91" i="34"/>
  <c r="AL91" i="34"/>
  <c r="AD91" i="34"/>
  <c r="AD107" i="34"/>
  <c r="AT21" i="45"/>
  <c r="AS6" i="45"/>
  <c r="AT13" i="45"/>
  <c r="AE45" i="36"/>
  <c r="L1461" i="67" s="1"/>
  <c r="AF41" i="68" s="1"/>
  <c r="E37" i="62" s="1"/>
  <c r="AG158" i="34"/>
  <c r="BM6" i="34"/>
  <c r="AK158" i="34"/>
  <c r="AL172" i="34"/>
  <c r="AL156" i="34"/>
  <c r="AL36" i="34"/>
  <c r="AW52" i="36"/>
  <c r="AD1468" i="67" s="1"/>
  <c r="AD971" i="67" s="1"/>
  <c r="BM38" i="34"/>
  <c r="BM20" i="34"/>
  <c r="BM158" i="34"/>
  <c r="BM52" i="36"/>
  <c r="AT1468" i="67" s="1"/>
  <c r="AT971" i="67" s="1"/>
  <c r="AK6" i="34"/>
  <c r="AH158" i="34"/>
  <c r="AD18" i="34"/>
  <c r="AK52" i="36"/>
  <c r="AO156" i="34"/>
  <c r="AG68" i="36"/>
  <c r="AV6" i="34"/>
  <c r="AK68" i="36"/>
  <c r="BM68" i="36"/>
  <c r="AT1484" i="67" s="1"/>
  <c r="AT987" i="67" s="1"/>
  <c r="AK4" i="34"/>
  <c r="AI51" i="36"/>
  <c r="BC66" i="36"/>
  <c r="AS38" i="34"/>
  <c r="BM173" i="34"/>
  <c r="AX157" i="34"/>
  <c r="AE172" i="34"/>
  <c r="AH50" i="36"/>
  <c r="AR66" i="36"/>
  <c r="AY174" i="34"/>
  <c r="AS20" i="34"/>
  <c r="BP6" i="34"/>
  <c r="BM67" i="36"/>
  <c r="AT1483" i="67" s="1"/>
  <c r="AT986" i="67" s="1"/>
  <c r="AX173" i="34"/>
  <c r="AX51" i="36"/>
  <c r="AE1467" i="67" s="1"/>
  <c r="AE970" i="67" s="1"/>
  <c r="BK158" i="34"/>
  <c r="AS50" i="36"/>
  <c r="AE156" i="34"/>
  <c r="AG6" i="34"/>
  <c r="AH66" i="36"/>
  <c r="AR4" i="34"/>
  <c r="AO158" i="34"/>
  <c r="AR36" i="34"/>
  <c r="AO20" i="34"/>
  <c r="AY52" i="36"/>
  <c r="AF1468" i="67" s="1"/>
  <c r="AF971" i="67" s="1"/>
  <c r="AW18" i="34"/>
  <c r="AD158" i="34"/>
  <c r="BJ36" i="34"/>
  <c r="AU173" i="34"/>
  <c r="BN18" i="34"/>
  <c r="BH52" i="36"/>
  <c r="AO1468" i="67" s="1"/>
  <c r="AO971" i="67" s="1"/>
  <c r="AG173" i="34"/>
  <c r="AS66" i="36"/>
  <c r="BN4" i="34"/>
  <c r="AE18" i="34"/>
  <c r="AE66" i="36"/>
  <c r="AE158" i="34"/>
  <c r="AG38" i="34"/>
  <c r="AE20" i="45" s="1"/>
  <c r="AG20" i="34"/>
  <c r="AW172" i="34"/>
  <c r="AG51" i="36"/>
  <c r="AH156" i="34"/>
  <c r="BH156" i="34"/>
  <c r="AO52" i="36"/>
  <c r="V1468" i="67" s="1"/>
  <c r="V971" i="67" s="1"/>
  <c r="AR50" i="36"/>
  <c r="BH50" i="36"/>
  <c r="AY38" i="34"/>
  <c r="BJ4" i="34"/>
  <c r="BB52" i="36"/>
  <c r="AI1468" i="67" s="1"/>
  <c r="AI971" i="67" s="1"/>
  <c r="AU51" i="36"/>
  <c r="AB1467" i="67" s="1"/>
  <c r="AB970" i="67" s="1"/>
  <c r="BH68" i="36"/>
  <c r="AO1484" i="67" s="1"/>
  <c r="AO987" i="67" s="1"/>
  <c r="BL20" i="34"/>
  <c r="AK18" i="34"/>
  <c r="AV4" i="34"/>
  <c r="AW66" i="36"/>
  <c r="AU67" i="36"/>
  <c r="AB1483" i="67" s="1"/>
  <c r="AB986" i="67" s="1"/>
  <c r="BE36" i="34"/>
  <c r="BE66" i="36"/>
  <c r="BJ173" i="34"/>
  <c r="BP51" i="36"/>
  <c r="AW1467" i="67" s="1"/>
  <c r="AW970" i="67" s="1"/>
  <c r="AV173" i="34"/>
  <c r="BC20" i="34"/>
  <c r="AP174" i="34"/>
  <c r="AP68" i="36"/>
  <c r="W1484" i="67" s="1"/>
  <c r="W987" i="67" s="1"/>
  <c r="AT158" i="34"/>
  <c r="AP52" i="36"/>
  <c r="W1468" i="67" s="1"/>
  <c r="W971" i="67" s="1"/>
  <c r="BM51" i="36"/>
  <c r="AT1467" i="67" s="1"/>
  <c r="AT970" i="67" s="1"/>
  <c r="BM37" i="34"/>
  <c r="AX67" i="36"/>
  <c r="AE1483" i="67" s="1"/>
  <c r="AE986" i="67" s="1"/>
  <c r="BH66" i="36"/>
  <c r="BN173" i="34"/>
  <c r="AX19" i="34"/>
  <c r="AX5" i="34"/>
  <c r="BL174" i="34"/>
  <c r="AP18" i="34"/>
  <c r="AE36" i="34"/>
  <c r="AE174" i="34"/>
  <c r="AG174" i="34"/>
  <c r="AI5" i="34"/>
  <c r="AG5" i="45" s="1"/>
  <c r="AH36" i="34"/>
  <c r="AR156" i="34"/>
  <c r="AO174" i="34"/>
  <c r="AO38" i="34"/>
  <c r="BN156" i="34"/>
  <c r="AU52" i="36"/>
  <c r="AB1468" i="67" s="1"/>
  <c r="AB971" i="67" s="1"/>
  <c r="AL66" i="36"/>
  <c r="AR20" i="34"/>
  <c r="AY20" i="34"/>
  <c r="AX66" i="36"/>
  <c r="AX4" i="34"/>
  <c r="AX18" i="34"/>
  <c r="AX172" i="34"/>
  <c r="AX36" i="34"/>
  <c r="AX50" i="36"/>
  <c r="AX156" i="34"/>
  <c r="BC158" i="34"/>
  <c r="AW4" i="34"/>
  <c r="BP38" i="34"/>
  <c r="AW156" i="34"/>
  <c r="BP52" i="36"/>
  <c r="AW1468" i="67" s="1"/>
  <c r="AW971" i="67" s="1"/>
  <c r="BE156" i="34"/>
  <c r="AP36" i="34"/>
  <c r="AP156" i="34"/>
  <c r="BL6" i="34"/>
  <c r="BL68" i="36"/>
  <c r="AS1484" i="67" s="1"/>
  <c r="AS987" i="67" s="1"/>
  <c r="BE172" i="34"/>
  <c r="BL158" i="34"/>
  <c r="AW36" i="34"/>
  <c r="BH174" i="34"/>
  <c r="AP66" i="36"/>
  <c r="AD174" i="34"/>
  <c r="AD38" i="34"/>
  <c r="AE38" i="34"/>
  <c r="AE52" i="36"/>
  <c r="AI19" i="34"/>
  <c r="AG12" i="45" s="1"/>
  <c r="AI37" i="34"/>
  <c r="AG20" i="45" s="1"/>
  <c r="AG5" i="34"/>
  <c r="AG67" i="36"/>
  <c r="AS158" i="34"/>
  <c r="AS174" i="34"/>
  <c r="AY68" i="36"/>
  <c r="AF1484" i="67" s="1"/>
  <c r="AF987" i="67" s="1"/>
  <c r="AL51" i="36"/>
  <c r="S1467" i="67" s="1"/>
  <c r="S970" i="67" s="1"/>
  <c r="BB6" i="34"/>
  <c r="AJ172" i="34"/>
  <c r="AJ18" i="34"/>
  <c r="AJ50" i="36"/>
  <c r="AJ4" i="34"/>
  <c r="AJ156" i="34"/>
  <c r="AJ36" i="34"/>
  <c r="AJ66" i="36"/>
  <c r="BG174" i="34"/>
  <c r="BG6" i="34"/>
  <c r="BG52" i="36"/>
  <c r="AN1468" i="67" s="1"/>
  <c r="AN971" i="67" s="1"/>
  <c r="BG20" i="34"/>
  <c r="BG68" i="36"/>
  <c r="AN1484" i="67" s="1"/>
  <c r="AN987" i="67" s="1"/>
  <c r="BG38" i="34"/>
  <c r="BG158" i="34"/>
  <c r="AL20" i="34"/>
  <c r="AL52" i="36"/>
  <c r="S1468" i="67" s="1"/>
  <c r="S971" i="67" s="1"/>
  <c r="AL68" i="36"/>
  <c r="S1484" i="67" s="1"/>
  <c r="S987" i="67" s="1"/>
  <c r="AL38" i="34"/>
  <c r="AL158" i="34"/>
  <c r="AL6" i="34"/>
  <c r="AL174" i="34"/>
  <c r="BB157" i="34"/>
  <c r="BB19" i="34"/>
  <c r="BB5" i="34"/>
  <c r="BB51" i="36"/>
  <c r="AI1467" i="67" s="1"/>
  <c r="AI970" i="67" s="1"/>
  <c r="BB37" i="34"/>
  <c r="BB173" i="34"/>
  <c r="BB67" i="36"/>
  <c r="AI1483" i="67" s="1"/>
  <c r="AI986" i="67" s="1"/>
  <c r="AQ20" i="34"/>
  <c r="AQ68" i="36"/>
  <c r="X1484" i="67" s="1"/>
  <c r="X987" i="67" s="1"/>
  <c r="AQ38" i="34"/>
  <c r="AQ52" i="36"/>
  <c r="X1468" i="67" s="1"/>
  <c r="X971" i="67" s="1"/>
  <c r="AQ158" i="34"/>
  <c r="AQ174" i="34"/>
  <c r="AQ6" i="34"/>
  <c r="AM6" i="34"/>
  <c r="AM52" i="36"/>
  <c r="T1468" i="67" s="1"/>
  <c r="T971" i="67" s="1"/>
  <c r="AM20" i="34"/>
  <c r="AM158" i="34"/>
  <c r="AM174" i="34"/>
  <c r="AM68" i="36"/>
  <c r="T1484" i="67" s="1"/>
  <c r="T987" i="67" s="1"/>
  <c r="AM38" i="34"/>
  <c r="BO18" i="34"/>
  <c r="BO50" i="36"/>
  <c r="BO156" i="34"/>
  <c r="BO36" i="34"/>
  <c r="BO172" i="34"/>
  <c r="BO4" i="34"/>
  <c r="BO66" i="36"/>
  <c r="AM5" i="34"/>
  <c r="AM19" i="34"/>
  <c r="AM157" i="34"/>
  <c r="AM67" i="36"/>
  <c r="T1483" i="67" s="1"/>
  <c r="T986" i="67" s="1"/>
  <c r="AM173" i="34"/>
  <c r="AM37" i="34"/>
  <c r="AM51" i="36"/>
  <c r="T1467" i="67" s="1"/>
  <c r="T970" i="67" s="1"/>
  <c r="AV172" i="34"/>
  <c r="AV156" i="34"/>
  <c r="AV66" i="36"/>
  <c r="BC68" i="36"/>
  <c r="AJ1484" i="67" s="1"/>
  <c r="AJ987" i="67" s="1"/>
  <c r="AS68" i="36"/>
  <c r="Z1484" i="67" s="1"/>
  <c r="Z987" i="67" s="1"/>
  <c r="BP158" i="34"/>
  <c r="AP50" i="36"/>
  <c r="BH158" i="34"/>
  <c r="BF158" i="34"/>
  <c r="BP68" i="36"/>
  <c r="AW1484" i="67" s="1"/>
  <c r="AW987" i="67" s="1"/>
  <c r="BC52" i="36"/>
  <c r="AJ1468" i="67" s="1"/>
  <c r="AJ971" i="67" s="1"/>
  <c r="AK172" i="34"/>
  <c r="BN66" i="36"/>
  <c r="AD6" i="34"/>
  <c r="AD52" i="36"/>
  <c r="K1468" i="67" s="1"/>
  <c r="K971" i="67" s="1"/>
  <c r="AE6" i="34"/>
  <c r="AE68" i="36"/>
  <c r="AI157" i="34"/>
  <c r="AG53" i="45" s="1"/>
  <c r="AG19" i="34"/>
  <c r="BF38" i="34"/>
  <c r="BF20" i="34"/>
  <c r="AL157" i="34"/>
  <c r="AL173" i="34"/>
  <c r="AL19" i="34"/>
  <c r="BJ50" i="36"/>
  <c r="BB68" i="36"/>
  <c r="AI1484" i="67" s="1"/>
  <c r="AI987" i="67" s="1"/>
  <c r="BB38" i="34"/>
  <c r="BB174" i="34"/>
  <c r="BB158" i="34"/>
  <c r="AY156" i="34"/>
  <c r="AY4" i="34"/>
  <c r="AY66" i="36"/>
  <c r="AY36" i="34"/>
  <c r="AY172" i="34"/>
  <c r="AY18" i="34"/>
  <c r="AY50" i="36"/>
  <c r="AZ19" i="34"/>
  <c r="AZ51" i="36"/>
  <c r="AG1467" i="67" s="1"/>
  <c r="AG970" i="67" s="1"/>
  <c r="AZ173" i="34"/>
  <c r="AZ67" i="36"/>
  <c r="AG1483" i="67" s="1"/>
  <c r="AG986" i="67" s="1"/>
  <c r="AZ37" i="34"/>
  <c r="AZ157" i="34"/>
  <c r="AZ5" i="34"/>
  <c r="AX38" i="34"/>
  <c r="AX20" i="34"/>
  <c r="AX6" i="34"/>
  <c r="AX174" i="34"/>
  <c r="AX158" i="34"/>
  <c r="AX52" i="36"/>
  <c r="AE1468" i="67" s="1"/>
  <c r="AE971" i="67" s="1"/>
  <c r="AX68" i="36"/>
  <c r="AE1484" i="67" s="1"/>
  <c r="AE987" i="67" s="1"/>
  <c r="AN6" i="34"/>
  <c r="AN174" i="34"/>
  <c r="AN68" i="36"/>
  <c r="U1484" i="67" s="1"/>
  <c r="U987" i="67" s="1"/>
  <c r="AN38" i="34"/>
  <c r="AN20" i="34"/>
  <c r="AN158" i="34"/>
  <c r="AN52" i="36"/>
  <c r="U1468" i="67" s="1"/>
  <c r="U971" i="67" s="1"/>
  <c r="AQ19" i="34"/>
  <c r="AQ37" i="34"/>
  <c r="AQ5" i="34"/>
  <c r="AQ157" i="34"/>
  <c r="AJ173" i="34"/>
  <c r="AJ51" i="36"/>
  <c r="AJ67" i="36"/>
  <c r="AJ157" i="34"/>
  <c r="AJ19" i="34"/>
  <c r="AJ5" i="34"/>
  <c r="AJ37" i="34"/>
  <c r="AZ172" i="34"/>
  <c r="AZ4" i="34"/>
  <c r="AZ156" i="34"/>
  <c r="AZ18" i="34"/>
  <c r="AZ66" i="36"/>
  <c r="AZ50" i="36"/>
  <c r="AZ36" i="34"/>
  <c r="BG4" i="34"/>
  <c r="BG18" i="34"/>
  <c r="BG50" i="36"/>
  <c r="BG66" i="36"/>
  <c r="BG156" i="34"/>
  <c r="BG172" i="34"/>
  <c r="BG36" i="34"/>
  <c r="AN173" i="34"/>
  <c r="AN37" i="34"/>
  <c r="AN5" i="34"/>
  <c r="AN67" i="36"/>
  <c r="U1483" i="67" s="1"/>
  <c r="U986" i="67" s="1"/>
  <c r="AN19" i="34"/>
  <c r="AN51" i="36"/>
  <c r="U1467" i="67" s="1"/>
  <c r="U970" i="67" s="1"/>
  <c r="AN157" i="34"/>
  <c r="AV50" i="36"/>
  <c r="AV18" i="34"/>
  <c r="BC174" i="34"/>
  <c r="AS6" i="34"/>
  <c r="BF68" i="36"/>
  <c r="AM1484" i="67" s="1"/>
  <c r="AM987" i="67" s="1"/>
  <c r="AP4" i="34"/>
  <c r="BE18" i="34"/>
  <c r="BH20" i="34"/>
  <c r="BF52" i="36"/>
  <c r="AM1468" i="67" s="1"/>
  <c r="AM971" i="67" s="1"/>
  <c r="BH6" i="34"/>
  <c r="BF174" i="34"/>
  <c r="BC38" i="34"/>
  <c r="BE4" i="34"/>
  <c r="BL52" i="36"/>
  <c r="AS1468" i="67" s="1"/>
  <c r="AS971" i="67" s="1"/>
  <c r="BN50" i="36"/>
  <c r="BN172" i="34"/>
  <c r="AK50" i="36"/>
  <c r="AK156" i="34"/>
  <c r="AD20" i="34"/>
  <c r="AD68" i="36"/>
  <c r="K1484" i="67" s="1"/>
  <c r="K987" i="67" s="1"/>
  <c r="AI173" i="34"/>
  <c r="AG54" i="45" s="1"/>
  <c r="AG157" i="34"/>
  <c r="BP20" i="34"/>
  <c r="AK66" i="36"/>
  <c r="AL67" i="36"/>
  <c r="S1483" i="67" s="1"/>
  <c r="S986" i="67" s="1"/>
  <c r="AL5" i="34"/>
  <c r="AY158" i="34"/>
  <c r="BJ156" i="34"/>
  <c r="BJ18" i="34"/>
  <c r="BJ172" i="34"/>
  <c r="AJ38" i="34"/>
  <c r="AJ6" i="34"/>
  <c r="AJ68" i="36"/>
  <c r="AJ20" i="34"/>
  <c r="AJ52" i="36"/>
  <c r="AJ174" i="34"/>
  <c r="AJ158" i="34"/>
  <c r="BJ38" i="34"/>
  <c r="BJ52" i="36"/>
  <c r="AQ1468" i="67" s="1"/>
  <c r="AQ971" i="67" s="1"/>
  <c r="BJ68" i="36"/>
  <c r="AQ1484" i="67" s="1"/>
  <c r="AQ987" i="67" s="1"/>
  <c r="BJ20" i="34"/>
  <c r="BJ174" i="34"/>
  <c r="BJ6" i="34"/>
  <c r="BJ158" i="34"/>
  <c r="BG157" i="34"/>
  <c r="BG67" i="36"/>
  <c r="AN1483" i="67" s="1"/>
  <c r="AN986" i="67" s="1"/>
  <c r="BG37" i="34"/>
  <c r="BG51" i="36"/>
  <c r="AN1467" i="67" s="1"/>
  <c r="AN970" i="67" s="1"/>
  <c r="BG173" i="34"/>
  <c r="BG5" i="34"/>
  <c r="BG19" i="34"/>
  <c r="AN66" i="36"/>
  <c r="AN156" i="34"/>
  <c r="AN36" i="34"/>
  <c r="AN172" i="34"/>
  <c r="AN50" i="36"/>
  <c r="AN4" i="34"/>
  <c r="AN18" i="34"/>
  <c r="BB50" i="36"/>
  <c r="BB18" i="34"/>
  <c r="BB36" i="34"/>
  <c r="BB172" i="34"/>
  <c r="BB4" i="34"/>
  <c r="BB66" i="36"/>
  <c r="BB156" i="34"/>
  <c r="AQ50" i="36"/>
  <c r="AQ66" i="36"/>
  <c r="AQ18" i="34"/>
  <c r="AQ36" i="34"/>
  <c r="AM66" i="36"/>
  <c r="AM18" i="34"/>
  <c r="AM156" i="34"/>
  <c r="AM172" i="34"/>
  <c r="AM36" i="34"/>
  <c r="AM4" i="34"/>
  <c r="AM50" i="36"/>
  <c r="AW24" i="34"/>
  <c r="AW43" i="34"/>
  <c r="AW4" i="36"/>
  <c r="AW42" i="34"/>
  <c r="AW72" i="36"/>
  <c r="AX4" i="36"/>
  <c r="AW56" i="36"/>
  <c r="AW162" i="34"/>
  <c r="AW178" i="34"/>
  <c r="AF26" i="45"/>
  <c r="AB18" i="45"/>
  <c r="AE26" i="45"/>
  <c r="AC26" i="45"/>
  <c r="AY18" i="45"/>
  <c r="AB26" i="45"/>
  <c r="AG18" i="45"/>
  <c r="AE18" i="45"/>
  <c r="AF18" i="45"/>
  <c r="AC18" i="45"/>
  <c r="AQ26" i="45"/>
  <c r="AG26" i="45"/>
  <c r="AD26" i="45"/>
  <c r="AD18" i="45"/>
  <c r="AF67" i="36"/>
  <c r="M1483" i="67" s="1"/>
  <c r="M986" i="67" s="1"/>
  <c r="AF51" i="36"/>
  <c r="M1512" i="67" s="1"/>
  <c r="AF37" i="34"/>
  <c r="AD20" i="45" s="1"/>
  <c r="AF19" i="34"/>
  <c r="AD12" i="45" s="1"/>
  <c r="AF5" i="34"/>
  <c r="AD5" i="45" s="1"/>
  <c r="AF157" i="34"/>
  <c r="AD53" i="45" s="1"/>
  <c r="AF173" i="34"/>
  <c r="AD54" i="45" s="1"/>
  <c r="AE51" i="36"/>
  <c r="AE67" i="36"/>
  <c r="AE19" i="34"/>
  <c r="AE5" i="34"/>
  <c r="AE37" i="34"/>
  <c r="AE173" i="34"/>
  <c r="AE157" i="34"/>
  <c r="AH51" i="36"/>
  <c r="AH67" i="36"/>
  <c r="AH19" i="34"/>
  <c r="AF12" i="45" s="1"/>
  <c r="AH5" i="34"/>
  <c r="AF5" i="45" s="1"/>
  <c r="AH37" i="34"/>
  <c r="AH157" i="34"/>
  <c r="AH173" i="34"/>
  <c r="AF54" i="45" s="1"/>
  <c r="AD67" i="36"/>
  <c r="K1483" i="67" s="1"/>
  <c r="K986" i="67" s="1"/>
  <c r="AD51" i="36"/>
  <c r="K1467" i="67" s="1"/>
  <c r="K970" i="67" s="1"/>
  <c r="AD37" i="34"/>
  <c r="AD173" i="34"/>
  <c r="AD19" i="34"/>
  <c r="AD5" i="34"/>
  <c r="AD157" i="34"/>
  <c r="AI138" i="34"/>
  <c r="AI142" i="34"/>
  <c r="BB26" i="45"/>
  <c r="BF5" i="34"/>
  <c r="BF173" i="34"/>
  <c r="BE67" i="36"/>
  <c r="AL1483" i="67" s="1"/>
  <c r="AL986" i="67" s="1"/>
  <c r="BE37" i="34"/>
  <c r="BF67" i="36"/>
  <c r="AM1483" i="67" s="1"/>
  <c r="AM986" i="67" s="1"/>
  <c r="AU157" i="34"/>
  <c r="AU5" i="34"/>
  <c r="AU37" i="34"/>
  <c r="BE173" i="34"/>
  <c r="BE157" i="34"/>
  <c r="BE19" i="34"/>
  <c r="BF157" i="34"/>
  <c r="BF51" i="36"/>
  <c r="AM1467" i="67" s="1"/>
  <c r="AM970" i="67" s="1"/>
  <c r="BE5" i="34"/>
  <c r="BN51" i="36"/>
  <c r="AU1467" i="67" s="1"/>
  <c r="AU970" i="67" s="1"/>
  <c r="BN5" i="34"/>
  <c r="BN157" i="34"/>
  <c r="BM157" i="34"/>
  <c r="AK157" i="34"/>
  <c r="AK67" i="36"/>
  <c r="AK19" i="34"/>
  <c r="AK5" i="34"/>
  <c r="AR19" i="34"/>
  <c r="AR173" i="34"/>
  <c r="AR5" i="34"/>
  <c r="AR67" i="36"/>
  <c r="Y1483" i="67" s="1"/>
  <c r="Y986" i="67" s="1"/>
  <c r="AR157" i="34"/>
  <c r="AR37" i="34"/>
  <c r="AR51" i="36"/>
  <c r="Y1467" i="67" s="1"/>
  <c r="Y970" i="67" s="1"/>
  <c r="BI157" i="34"/>
  <c r="BI19" i="34"/>
  <c r="BI37" i="34"/>
  <c r="BI173" i="34"/>
  <c r="BI51" i="36"/>
  <c r="AP1467" i="67" s="1"/>
  <c r="AP970" i="67" s="1"/>
  <c r="BI5" i="34"/>
  <c r="BI67" i="36"/>
  <c r="AP1483" i="67" s="1"/>
  <c r="AP986" i="67" s="1"/>
  <c r="AP19" i="34"/>
  <c r="AP51" i="36"/>
  <c r="W1467" i="67" s="1"/>
  <c r="W970" i="67" s="1"/>
  <c r="AP173" i="34"/>
  <c r="AP67" i="36"/>
  <c r="W1483" i="67" s="1"/>
  <c r="W986" i="67" s="1"/>
  <c r="AP37" i="34"/>
  <c r="AP5" i="34"/>
  <c r="AP157" i="34"/>
  <c r="BK37" i="34"/>
  <c r="BK173" i="34"/>
  <c r="BK5" i="34"/>
  <c r="BK51" i="36"/>
  <c r="AR1467" i="67" s="1"/>
  <c r="AR970" i="67" s="1"/>
  <c r="BK19" i="34"/>
  <c r="BK67" i="36"/>
  <c r="AR1483" i="67" s="1"/>
  <c r="AR986" i="67" s="1"/>
  <c r="BK157" i="34"/>
  <c r="BD157" i="34"/>
  <c r="BD67" i="36"/>
  <c r="AK1483" i="67" s="1"/>
  <c r="AK986" i="67" s="1"/>
  <c r="BD37" i="34"/>
  <c r="BD173" i="34"/>
  <c r="BD19" i="34"/>
  <c r="BD5" i="34"/>
  <c r="BD51" i="36"/>
  <c r="AK1467" i="67" s="1"/>
  <c r="AK970" i="67" s="1"/>
  <c r="AW19" i="34"/>
  <c r="AW51" i="36"/>
  <c r="AD1467" i="67" s="1"/>
  <c r="AD970" i="67" s="1"/>
  <c r="AW37" i="34"/>
  <c r="AW67" i="36"/>
  <c r="AD1483" i="67" s="1"/>
  <c r="AD986" i="67" s="1"/>
  <c r="AW173" i="34"/>
  <c r="AW5" i="34"/>
  <c r="AW157" i="34"/>
  <c r="AO37" i="34"/>
  <c r="AO67" i="36"/>
  <c r="V1483" i="67" s="1"/>
  <c r="V986" i="67" s="1"/>
  <c r="AO173" i="34"/>
  <c r="AO19" i="34"/>
  <c r="AO5" i="34"/>
  <c r="AO157" i="34"/>
  <c r="AO51" i="36"/>
  <c r="V1467" i="67" s="1"/>
  <c r="V970" i="67" s="1"/>
  <c r="BC5" i="34"/>
  <c r="BC51" i="36"/>
  <c r="AJ1467" i="67" s="1"/>
  <c r="AJ970" i="67" s="1"/>
  <c r="BC173" i="34"/>
  <c r="BC67" i="36"/>
  <c r="AJ1483" i="67" s="1"/>
  <c r="AJ986" i="67" s="1"/>
  <c r="BC157" i="34"/>
  <c r="BC37" i="34"/>
  <c r="BC19" i="34"/>
  <c r="BG26" i="45"/>
  <c r="AU18" i="45"/>
  <c r="AS26" i="45"/>
  <c r="AN26" i="45"/>
  <c r="AL18" i="45"/>
  <c r="AV26" i="45"/>
  <c r="BD18" i="45"/>
  <c r="AS18" i="45"/>
  <c r="BF26" i="45"/>
  <c r="BJ26" i="45"/>
  <c r="AP18" i="45"/>
  <c r="AT18" i="45"/>
  <c r="BI26" i="45"/>
  <c r="BK26" i="45"/>
  <c r="BN18" i="45"/>
  <c r="AK26" i="45"/>
  <c r="AZ18" i="45"/>
  <c r="AP26" i="45"/>
  <c r="BA18" i="45"/>
  <c r="AJ26" i="45"/>
  <c r="BK18" i="45"/>
  <c r="AW26" i="45"/>
  <c r="AY26" i="45"/>
  <c r="BJ18" i="45"/>
  <c r="BA26" i="45"/>
  <c r="AL26" i="45"/>
  <c r="BI18" i="45"/>
  <c r="BC18" i="45"/>
  <c r="AH18" i="45"/>
  <c r="BB18" i="45"/>
  <c r="AW18" i="45"/>
  <c r="AH26" i="45"/>
  <c r="AK18" i="45"/>
  <c r="AO18" i="45"/>
  <c r="BN26" i="45"/>
  <c r="AT26" i="45"/>
  <c r="BF18" i="45"/>
  <c r="AU26" i="45"/>
  <c r="BE18" i="45"/>
  <c r="AX18" i="45"/>
  <c r="BG18" i="45"/>
  <c r="AN18" i="45"/>
  <c r="BC26" i="45"/>
  <c r="AJ18" i="45"/>
  <c r="AO26" i="45"/>
  <c r="BH18" i="45"/>
  <c r="BL26" i="45"/>
  <c r="BE26" i="45"/>
  <c r="AI18" i="45"/>
  <c r="BH26" i="45"/>
  <c r="AR26" i="45"/>
  <c r="AI26" i="45"/>
  <c r="AQ18" i="45"/>
  <c r="BM18" i="45"/>
  <c r="AM18" i="45"/>
  <c r="AR18" i="45"/>
  <c r="AV18" i="45"/>
  <c r="BD26" i="45"/>
  <c r="BL18" i="45"/>
  <c r="BM26" i="45"/>
  <c r="AM26" i="45"/>
  <c r="AX26" i="45"/>
  <c r="AZ26" i="45"/>
  <c r="AN120" i="34"/>
  <c r="AT120" i="34"/>
  <c r="AE6" i="68" l="1"/>
  <c r="D8" i="62" s="1"/>
  <c r="K1272" i="67"/>
  <c r="K1325" i="67"/>
  <c r="AE18" i="68"/>
  <c r="D19" i="62" s="1"/>
  <c r="AG47" i="45"/>
  <c r="N1517" i="67"/>
  <c r="AB1287" i="67"/>
  <c r="S1301" i="67"/>
  <c r="X1285" i="67"/>
  <c r="AV1287" i="67"/>
  <c r="AO1287" i="67"/>
  <c r="AM1303" i="67"/>
  <c r="AT1287" i="67"/>
  <c r="W1285" i="67"/>
  <c r="AO1303" i="67"/>
  <c r="R1303" i="67"/>
  <c r="AG1303" i="67"/>
  <c r="L1516" i="67"/>
  <c r="AH1287" i="67"/>
  <c r="AD1287" i="67"/>
  <c r="K1304" i="67"/>
  <c r="Y1301" i="67"/>
  <c r="O1287" i="67"/>
  <c r="X1301" i="67"/>
  <c r="L1287" i="67"/>
  <c r="Q1301" i="67"/>
  <c r="W1301" i="67"/>
  <c r="K1288" i="67"/>
  <c r="AC1301" i="67"/>
  <c r="Z1301" i="67"/>
  <c r="T1287" i="67"/>
  <c r="X1287" i="67"/>
  <c r="R1285" i="67"/>
  <c r="K1279" i="67"/>
  <c r="AA1287" i="67"/>
  <c r="W1287" i="67"/>
  <c r="AC1285" i="67"/>
  <c r="AL1287" i="67"/>
  <c r="S1287" i="67"/>
  <c r="Q1285" i="67"/>
  <c r="L1303" i="67"/>
  <c r="V1287" i="67"/>
  <c r="V1301" i="67"/>
  <c r="Y1285" i="67"/>
  <c r="R1287" i="67"/>
  <c r="AF1287" i="67"/>
  <c r="AN1287" i="67"/>
  <c r="T1301" i="67"/>
  <c r="M1287" i="67"/>
  <c r="AK1287" i="67"/>
  <c r="Q1287" i="67"/>
  <c r="AS1287" i="67"/>
  <c r="S1285" i="67"/>
  <c r="Z1285" i="67"/>
  <c r="AR1287" i="67"/>
  <c r="AM1287" i="67"/>
  <c r="U1287" i="67"/>
  <c r="AC1287" i="67"/>
  <c r="AP1287" i="67"/>
  <c r="AP1303" i="67"/>
  <c r="AB1285" i="67"/>
  <c r="AI1287" i="67"/>
  <c r="AG1287" i="67"/>
  <c r="N1287" i="67"/>
  <c r="M1517" i="67"/>
  <c r="K1303" i="67"/>
  <c r="AI1303" i="67"/>
  <c r="AB1301" i="67"/>
  <c r="T1285" i="67"/>
  <c r="AU1287" i="67"/>
  <c r="K1295" i="67"/>
  <c r="AA1285" i="67"/>
  <c r="Y1287" i="67"/>
  <c r="Z1287" i="67"/>
  <c r="K1287" i="67"/>
  <c r="AE1287" i="67"/>
  <c r="U1285" i="67"/>
  <c r="O1303" i="67"/>
  <c r="V1285" i="67"/>
  <c r="AJ1287" i="67"/>
  <c r="AQ1287" i="67"/>
  <c r="R1301" i="67"/>
  <c r="P1287" i="67"/>
  <c r="U1301" i="67"/>
  <c r="AA1301" i="67"/>
  <c r="T1482" i="67"/>
  <c r="T985" i="67" s="1"/>
  <c r="X1466" i="67"/>
  <c r="X969" i="67" s="1"/>
  <c r="AJ92" i="34"/>
  <c r="Q1467" i="67"/>
  <c r="Q970" i="67" s="1"/>
  <c r="AE93" i="34"/>
  <c r="L1468" i="67"/>
  <c r="L971" i="67" s="1"/>
  <c r="W1482" i="67"/>
  <c r="W985" i="67" s="1"/>
  <c r="AE1466" i="67"/>
  <c r="AE969" i="67" s="1"/>
  <c r="AO1482" i="67"/>
  <c r="AO985" i="67" s="1"/>
  <c r="AL1482" i="67"/>
  <c r="AL985" i="67" s="1"/>
  <c r="AW113" i="34"/>
  <c r="AD1488" i="67"/>
  <c r="AJ109" i="34"/>
  <c r="Q1484" i="67"/>
  <c r="Q987" i="67" s="1"/>
  <c r="AN1466" i="67"/>
  <c r="AN969" i="67" s="1"/>
  <c r="AE1482" i="67"/>
  <c r="AE985" i="67" s="1"/>
  <c r="AG92" i="34"/>
  <c r="N1467" i="67"/>
  <c r="N970" i="67" s="1"/>
  <c r="Z1482" i="67"/>
  <c r="Z985" i="67" s="1"/>
  <c r="Z1466" i="67"/>
  <c r="Z969" i="67" s="1"/>
  <c r="Y1482" i="67"/>
  <c r="Y985" i="67" s="1"/>
  <c r="W1303" i="67"/>
  <c r="X1303" i="67"/>
  <c r="AN1303" i="67"/>
  <c r="K1517" i="67"/>
  <c r="P64" i="67"/>
  <c r="P370" i="67"/>
  <c r="P825" i="67"/>
  <c r="P217" i="67"/>
  <c r="P522" i="67"/>
  <c r="P674" i="67"/>
  <c r="AA233" i="67"/>
  <c r="AA386" i="67"/>
  <c r="AA841" i="67"/>
  <c r="AA80" i="67"/>
  <c r="AA538" i="67"/>
  <c r="AA690" i="67"/>
  <c r="AA217" i="67"/>
  <c r="AA370" i="67"/>
  <c r="AA522" i="67"/>
  <c r="AA825" i="67"/>
  <c r="AA64" i="67"/>
  <c r="AA674" i="67"/>
  <c r="U392" i="67"/>
  <c r="U86" i="67"/>
  <c r="U239" i="67"/>
  <c r="U847" i="67"/>
  <c r="U544" i="67"/>
  <c r="U696" i="67"/>
  <c r="R64" i="67"/>
  <c r="R370" i="67"/>
  <c r="R825" i="67"/>
  <c r="R217" i="67"/>
  <c r="R522" i="67"/>
  <c r="R674" i="67"/>
  <c r="N1516" i="67"/>
  <c r="K370" i="67"/>
  <c r="K522" i="67"/>
  <c r="K825" i="67"/>
  <c r="K217" i="67"/>
  <c r="K64" i="67"/>
  <c r="K674" i="67"/>
  <c r="O64" i="67"/>
  <c r="O370" i="67"/>
  <c r="O217" i="67"/>
  <c r="O522" i="67"/>
  <c r="O825" i="67"/>
  <c r="O674" i="67"/>
  <c r="L538" i="67"/>
  <c r="L386" i="67"/>
  <c r="L690" i="67"/>
  <c r="L233" i="67"/>
  <c r="L841" i="67"/>
  <c r="L80" i="67"/>
  <c r="AE108" i="34"/>
  <c r="L1483" i="67"/>
  <c r="L986" i="67" s="1"/>
  <c r="U1466" i="67"/>
  <c r="U969" i="67" s="1"/>
  <c r="U1482" i="67"/>
  <c r="U985" i="67" s="1"/>
  <c r="AG1482" i="67"/>
  <c r="AG985" i="67" s="1"/>
  <c r="AQ1466" i="67"/>
  <c r="AQ969" i="67" s="1"/>
  <c r="AE109" i="34"/>
  <c r="L1484" i="67"/>
  <c r="L987" i="67" s="1"/>
  <c r="AU1482" i="67"/>
  <c r="AU985" i="67" s="1"/>
  <c r="AV1482" i="67"/>
  <c r="AV985" i="67" s="1"/>
  <c r="AE107" i="34"/>
  <c r="L1513" i="67"/>
  <c r="L1517" i="67"/>
  <c r="L1482" i="67"/>
  <c r="L985" i="67" s="1"/>
  <c r="AH107" i="34"/>
  <c r="O1513" i="67"/>
  <c r="O1482" i="67"/>
  <c r="O985" i="67" s="1"/>
  <c r="O1517" i="67"/>
  <c r="AH91" i="34"/>
  <c r="O1466" i="67"/>
  <c r="O969" i="67" s="1"/>
  <c r="O1512" i="67"/>
  <c r="O1516" i="67"/>
  <c r="AV1303" i="67"/>
  <c r="V1303" i="67"/>
  <c r="M1303" i="67"/>
  <c r="U1303" i="67"/>
  <c r="AB370" i="67"/>
  <c r="AB217" i="67"/>
  <c r="AB522" i="67"/>
  <c r="AB64" i="67"/>
  <c r="AB825" i="67"/>
  <c r="AB674" i="67"/>
  <c r="R386" i="67"/>
  <c r="R690" i="67"/>
  <c r="R80" i="67"/>
  <c r="R841" i="67"/>
  <c r="R233" i="67"/>
  <c r="R538" i="67"/>
  <c r="V376" i="67"/>
  <c r="V70" i="67"/>
  <c r="V528" i="67"/>
  <c r="V223" i="67"/>
  <c r="V831" i="67"/>
  <c r="V680" i="67"/>
  <c r="T392" i="67"/>
  <c r="T544" i="67"/>
  <c r="T86" i="67"/>
  <c r="T847" i="67"/>
  <c r="T239" i="67"/>
  <c r="T696" i="67"/>
  <c r="AB376" i="67"/>
  <c r="AB223" i="67"/>
  <c r="AB831" i="67"/>
  <c r="AB528" i="67"/>
  <c r="AB70" i="67"/>
  <c r="AB680" i="67"/>
  <c r="AL1303" i="67"/>
  <c r="Y376" i="67"/>
  <c r="Y70" i="67"/>
  <c r="Y223" i="67"/>
  <c r="Y528" i="67"/>
  <c r="Y831" i="67"/>
  <c r="Y680" i="67"/>
  <c r="T376" i="67"/>
  <c r="T223" i="67"/>
  <c r="T831" i="67"/>
  <c r="T70" i="67"/>
  <c r="T528" i="67"/>
  <c r="T680" i="67"/>
  <c r="Q392" i="67"/>
  <c r="Q544" i="67"/>
  <c r="Q696" i="67"/>
  <c r="Q847" i="67"/>
  <c r="Q239" i="67"/>
  <c r="Q86" i="67"/>
  <c r="AB1303" i="67"/>
  <c r="K1516" i="67"/>
  <c r="K233" i="67"/>
  <c r="K386" i="67"/>
  <c r="K538" i="67"/>
  <c r="K841" i="67"/>
  <c r="K690" i="67"/>
  <c r="K80" i="67"/>
  <c r="N370" i="67"/>
  <c r="N522" i="67"/>
  <c r="N825" i="67"/>
  <c r="N217" i="67"/>
  <c r="N64" i="67"/>
  <c r="N674" i="67"/>
  <c r="AC376" i="67"/>
  <c r="AC528" i="67"/>
  <c r="AC831" i="67"/>
  <c r="AC70" i="67"/>
  <c r="AC223" i="67"/>
  <c r="AC680" i="67"/>
  <c r="R376" i="67"/>
  <c r="R831" i="67"/>
  <c r="R223" i="67"/>
  <c r="R528" i="67"/>
  <c r="R70" i="67"/>
  <c r="R680" i="67"/>
  <c r="Z392" i="67"/>
  <c r="Z544" i="67"/>
  <c r="Z847" i="67"/>
  <c r="Z86" i="67"/>
  <c r="Z696" i="67"/>
  <c r="Z239" i="67"/>
  <c r="Y392" i="67"/>
  <c r="Y544" i="67"/>
  <c r="Y696" i="67"/>
  <c r="Y847" i="67"/>
  <c r="Y239" i="67"/>
  <c r="Y86" i="67"/>
  <c r="AS1303" i="67"/>
  <c r="M1513" i="67"/>
  <c r="N1512" i="67"/>
  <c r="AW1287" i="67"/>
  <c r="W386" i="67"/>
  <c r="W841" i="67"/>
  <c r="W233" i="67"/>
  <c r="W538" i="67"/>
  <c r="W690" i="67"/>
  <c r="W80" i="67"/>
  <c r="AH92" i="34"/>
  <c r="O1467" i="67"/>
  <c r="O970" i="67" s="1"/>
  <c r="AN1482" i="67"/>
  <c r="AN985" i="67" s="1"/>
  <c r="W1466" i="67"/>
  <c r="W969" i="67" s="1"/>
  <c r="AC1482" i="67"/>
  <c r="AC985" i="67" s="1"/>
  <c r="AJ107" i="34"/>
  <c r="Q1482" i="67"/>
  <c r="Q985" i="67" s="1"/>
  <c r="AJ91" i="34"/>
  <c r="Q1466" i="67"/>
  <c r="Q969" i="67" s="1"/>
  <c r="AG108" i="34"/>
  <c r="N1483" i="67"/>
  <c r="N986" i="67" s="1"/>
  <c r="S1482" i="67"/>
  <c r="S985" i="67" s="1"/>
  <c r="AO1466" i="67"/>
  <c r="AO969" i="67" s="1"/>
  <c r="AI92" i="34"/>
  <c r="P1467" i="67"/>
  <c r="P970" i="67" s="1"/>
  <c r="AF92" i="34"/>
  <c r="M1467" i="67"/>
  <c r="M970" i="67" s="1"/>
  <c r="AK91" i="34"/>
  <c r="R1466" i="67"/>
  <c r="R969" i="67" s="1"/>
  <c r="AC1466" i="67"/>
  <c r="AC969" i="67" s="1"/>
  <c r="AG1466" i="67"/>
  <c r="AG969" i="67" s="1"/>
  <c r="Y1466" i="67"/>
  <c r="Y969" i="67" s="1"/>
  <c r="AG109" i="34"/>
  <c r="N1484" i="67"/>
  <c r="N987" i="67" s="1"/>
  <c r="S1303" i="67"/>
  <c r="W370" i="67"/>
  <c r="W64" i="67"/>
  <c r="W522" i="67"/>
  <c r="W825" i="67"/>
  <c r="W217" i="67"/>
  <c r="W674" i="67"/>
  <c r="K1512" i="67"/>
  <c r="T386" i="67"/>
  <c r="T841" i="67"/>
  <c r="T538" i="67"/>
  <c r="T690" i="67"/>
  <c r="T233" i="67"/>
  <c r="T80" i="67"/>
  <c r="N80" i="67"/>
  <c r="N386" i="67"/>
  <c r="N690" i="67"/>
  <c r="N841" i="67"/>
  <c r="N233" i="67"/>
  <c r="N538" i="67"/>
  <c r="T1466" i="67"/>
  <c r="T969" i="67" s="1"/>
  <c r="AI1482" i="67"/>
  <c r="AI985" i="67" s="1"/>
  <c r="AK107" i="34"/>
  <c r="R1482" i="67"/>
  <c r="R985" i="67" s="1"/>
  <c r="AK108" i="34"/>
  <c r="R1483" i="67"/>
  <c r="R986" i="67" s="1"/>
  <c r="AH108" i="34"/>
  <c r="O1483" i="67"/>
  <c r="O986" i="67" s="1"/>
  <c r="AE92" i="34"/>
  <c r="L1467" i="67"/>
  <c r="L970" i="67" s="1"/>
  <c r="AW97" i="34"/>
  <c r="AD1472" i="67"/>
  <c r="X1482" i="67"/>
  <c r="X985" i="67" s="1"/>
  <c r="AI1466" i="67"/>
  <c r="AI969" i="67" s="1"/>
  <c r="AJ93" i="34"/>
  <c r="Q1468" i="67"/>
  <c r="Q971" i="67" s="1"/>
  <c r="AU1466" i="67"/>
  <c r="AU969" i="67" s="1"/>
  <c r="AJ108" i="34"/>
  <c r="Q1483" i="67"/>
  <c r="Q986" i="67" s="1"/>
  <c r="AF1466" i="67"/>
  <c r="AF969" i="67" s="1"/>
  <c r="AF1482" i="67"/>
  <c r="AF985" i="67" s="1"/>
  <c r="AV1466" i="67"/>
  <c r="AV969" i="67" s="1"/>
  <c r="AD1482" i="67"/>
  <c r="AD985" i="67" s="1"/>
  <c r="AJ1482" i="67"/>
  <c r="AJ985" i="67" s="1"/>
  <c r="AK109" i="34"/>
  <c r="R1484" i="67"/>
  <c r="R987" i="67" s="1"/>
  <c r="AK93" i="34"/>
  <c r="R1468" i="67"/>
  <c r="R971" i="67" s="1"/>
  <c r="AF1303" i="67"/>
  <c r="AT1303" i="67"/>
  <c r="AQ1303" i="67"/>
  <c r="P1303" i="67"/>
  <c r="P1516" i="67"/>
  <c r="AA392" i="67"/>
  <c r="AA847" i="67"/>
  <c r="AA544" i="67"/>
  <c r="AA86" i="67"/>
  <c r="AA696" i="67"/>
  <c r="AA239" i="67"/>
  <c r="AU1303" i="67"/>
  <c r="L1512" i="67"/>
  <c r="AJ1303" i="67"/>
  <c r="N1119" i="67"/>
  <c r="N968" i="67"/>
  <c r="N666" i="67"/>
  <c r="T64" i="67"/>
  <c r="T370" i="67"/>
  <c r="T522" i="67"/>
  <c r="T825" i="67"/>
  <c r="T217" i="67"/>
  <c r="T674" i="67"/>
  <c r="S80" i="67"/>
  <c r="S386" i="67"/>
  <c r="S841" i="67"/>
  <c r="S538" i="67"/>
  <c r="S690" i="67"/>
  <c r="S233" i="67"/>
  <c r="M1516" i="67"/>
  <c r="S392" i="67"/>
  <c r="S544" i="67"/>
  <c r="S86" i="67"/>
  <c r="S239" i="67"/>
  <c r="S696" i="67"/>
  <c r="S847" i="67"/>
  <c r="U376" i="67"/>
  <c r="U528" i="67"/>
  <c r="U70" i="67"/>
  <c r="U223" i="67"/>
  <c r="U831" i="67"/>
  <c r="U680" i="67"/>
  <c r="AC392" i="67"/>
  <c r="AC86" i="67"/>
  <c r="AC847" i="67"/>
  <c r="AC239" i="67"/>
  <c r="AC696" i="67"/>
  <c r="AC544" i="67"/>
  <c r="W392" i="67"/>
  <c r="W696" i="67"/>
  <c r="W847" i="67"/>
  <c r="W86" i="67"/>
  <c r="W239" i="67"/>
  <c r="W544" i="67"/>
  <c r="AA376" i="67"/>
  <c r="AA528" i="67"/>
  <c r="AA831" i="67"/>
  <c r="AA70" i="67"/>
  <c r="AA223" i="67"/>
  <c r="AA680" i="67"/>
  <c r="Z376" i="67"/>
  <c r="Z831" i="67"/>
  <c r="Z528" i="67"/>
  <c r="Z70" i="67"/>
  <c r="Z223" i="67"/>
  <c r="Z680" i="67"/>
  <c r="V392" i="67"/>
  <c r="V847" i="67"/>
  <c r="V696" i="67"/>
  <c r="V86" i="67"/>
  <c r="V544" i="67"/>
  <c r="V239" i="67"/>
  <c r="X376" i="67"/>
  <c r="X70" i="67"/>
  <c r="X223" i="67"/>
  <c r="X528" i="67"/>
  <c r="X831" i="67"/>
  <c r="X680" i="67"/>
  <c r="AB392" i="67"/>
  <c r="AB847" i="67"/>
  <c r="AB544" i="67"/>
  <c r="AB696" i="67"/>
  <c r="AB86" i="67"/>
  <c r="AB239" i="67"/>
  <c r="N1303" i="67"/>
  <c r="AR1303" i="67"/>
  <c r="V386" i="67"/>
  <c r="V841" i="67"/>
  <c r="V80" i="67"/>
  <c r="V538" i="67"/>
  <c r="V690" i="67"/>
  <c r="V233" i="67"/>
  <c r="N1513" i="67"/>
  <c r="AE1303" i="67"/>
  <c r="AK1303" i="67"/>
  <c r="AD1303" i="67"/>
  <c r="AC1303" i="67"/>
  <c r="AB538" i="67"/>
  <c r="AB386" i="67"/>
  <c r="AB690" i="67"/>
  <c r="AB233" i="67"/>
  <c r="AB841" i="67"/>
  <c r="AB80" i="67"/>
  <c r="M690" i="67"/>
  <c r="M233" i="67"/>
  <c r="M538" i="67"/>
  <c r="M80" i="67"/>
  <c r="M386" i="67"/>
  <c r="M841" i="67"/>
  <c r="P386" i="67"/>
  <c r="P80" i="67"/>
  <c r="P233" i="67"/>
  <c r="P538" i="67"/>
  <c r="P841" i="67"/>
  <c r="P690" i="67"/>
  <c r="L370" i="67"/>
  <c r="L522" i="67"/>
  <c r="L825" i="67"/>
  <c r="L64" i="67"/>
  <c r="L217" i="67"/>
  <c r="L674" i="67"/>
  <c r="O386" i="67"/>
  <c r="O538" i="67"/>
  <c r="O690" i="67"/>
  <c r="O233" i="67"/>
  <c r="O80" i="67"/>
  <c r="O841" i="67"/>
  <c r="AW1303" i="67"/>
  <c r="S370" i="67"/>
  <c r="S522" i="67"/>
  <c r="S64" i="67"/>
  <c r="S825" i="67"/>
  <c r="S217" i="67"/>
  <c r="S674" i="67"/>
  <c r="K1513" i="67"/>
  <c r="P1512" i="67"/>
  <c r="Q376" i="67"/>
  <c r="Q528" i="67"/>
  <c r="Q831" i="67"/>
  <c r="Q70" i="67"/>
  <c r="Q223" i="67"/>
  <c r="Q680" i="67"/>
  <c r="Y1303" i="67"/>
  <c r="N1172" i="67"/>
  <c r="N1021" i="67"/>
  <c r="M370" i="67"/>
  <c r="M825" i="67"/>
  <c r="M217" i="67"/>
  <c r="M522" i="67"/>
  <c r="M64" i="67"/>
  <c r="M674" i="67"/>
  <c r="Z1303" i="67"/>
  <c r="Q1303" i="67"/>
  <c r="R392" i="67"/>
  <c r="R696" i="67"/>
  <c r="R544" i="67"/>
  <c r="R86" i="67"/>
  <c r="R847" i="67"/>
  <c r="R239" i="67"/>
  <c r="AH1303" i="67"/>
  <c r="AC385" i="67"/>
  <c r="AC840" i="67"/>
  <c r="AC537" i="67"/>
  <c r="AC79" i="67"/>
  <c r="AC689" i="67"/>
  <c r="AC232" i="67"/>
  <c r="S376" i="67"/>
  <c r="S528" i="67"/>
  <c r="S70" i="67"/>
  <c r="S831" i="67"/>
  <c r="S223" i="67"/>
  <c r="S680" i="67"/>
  <c r="W376" i="67"/>
  <c r="W831" i="67"/>
  <c r="W223" i="67"/>
  <c r="W528" i="67"/>
  <c r="W70" i="67"/>
  <c r="W680" i="67"/>
  <c r="X392" i="67"/>
  <c r="X696" i="67"/>
  <c r="X847" i="67"/>
  <c r="X544" i="67"/>
  <c r="X239" i="67"/>
  <c r="X86" i="67"/>
  <c r="AA1303" i="67"/>
  <c r="T1303" i="67"/>
  <c r="V370" i="67"/>
  <c r="V217" i="67"/>
  <c r="V825" i="67"/>
  <c r="V64" i="67"/>
  <c r="V522" i="67"/>
  <c r="V674" i="67"/>
  <c r="N415" i="67"/>
  <c r="N817" i="67"/>
  <c r="N567" i="67"/>
  <c r="N870" i="67"/>
  <c r="N209" i="67"/>
  <c r="N514" i="67"/>
  <c r="N109" i="67"/>
  <c r="N262" i="67"/>
  <c r="AH46" i="68"/>
  <c r="N56" i="67"/>
  <c r="N719" i="67"/>
  <c r="F158" i="65"/>
  <c r="F170" i="65" s="1"/>
  <c r="H158" i="65"/>
  <c r="H170" i="65" s="1"/>
  <c r="J158" i="65"/>
  <c r="J170" i="65" s="1"/>
  <c r="AM158" i="65"/>
  <c r="AM170" i="65" s="1"/>
  <c r="N158" i="65"/>
  <c r="N170" i="65" s="1"/>
  <c r="BK48" i="70"/>
  <c r="BK46" i="70"/>
  <c r="AI157" i="65"/>
  <c r="AI169" i="65" s="1"/>
  <c r="E158" i="65"/>
  <c r="E170" i="65" s="1"/>
  <c r="M158" i="65"/>
  <c r="M170" i="65" s="1"/>
  <c r="AQ46" i="70"/>
  <c r="AQ48" i="70"/>
  <c r="O157" i="65"/>
  <c r="O169" i="65" s="1"/>
  <c r="X158" i="65"/>
  <c r="X170" i="65" s="1"/>
  <c r="Y158" i="65"/>
  <c r="Y170" i="65" s="1"/>
  <c r="AB158" i="65"/>
  <c r="AB170" i="65" s="1"/>
  <c r="I158" i="65"/>
  <c r="I170" i="65" s="1"/>
  <c r="Z158" i="65"/>
  <c r="Z170" i="65" s="1"/>
  <c r="K158" i="65"/>
  <c r="K170" i="65" s="1"/>
  <c r="T157" i="65"/>
  <c r="T169" i="65" s="1"/>
  <c r="AV46" i="70"/>
  <c r="AV48" i="70"/>
  <c r="AJ158" i="65"/>
  <c r="AJ170" i="65" s="1"/>
  <c r="AN157" i="65"/>
  <c r="AN169" i="65" s="1"/>
  <c r="BP48" i="70"/>
  <c r="BP46" i="70"/>
  <c r="AE158" i="65"/>
  <c r="AE170" i="65" s="1"/>
  <c r="G158" i="65"/>
  <c r="G170" i="65" s="1"/>
  <c r="V158" i="65"/>
  <c r="V170" i="65" s="1"/>
  <c r="BJ48" i="70"/>
  <c r="BJ46" i="70"/>
  <c r="AH157" i="65"/>
  <c r="AH169" i="65" s="1"/>
  <c r="P158" i="65"/>
  <c r="P170" i="65" s="1"/>
  <c r="U158" i="65"/>
  <c r="U170" i="65" s="1"/>
  <c r="AA158" i="65"/>
  <c r="AA170" i="65" s="1"/>
  <c r="Q158" i="65"/>
  <c r="Q170" i="65" s="1"/>
  <c r="AU46" i="70"/>
  <c r="AU48" i="70"/>
  <c r="S157" i="65"/>
  <c r="S169" i="65" s="1"/>
  <c r="BN48" i="70"/>
  <c r="BN46" i="70"/>
  <c r="AL157" i="65"/>
  <c r="AL169" i="65" s="1"/>
  <c r="D157" i="65"/>
  <c r="D169" i="65" s="1"/>
  <c r="AF46" i="70"/>
  <c r="AF48" i="70"/>
  <c r="C158" i="65"/>
  <c r="C170" i="65" s="1"/>
  <c r="R158" i="65"/>
  <c r="R170" i="65" s="1"/>
  <c r="AF157" i="65"/>
  <c r="AF169" i="65" s="1"/>
  <c r="BH46" i="70"/>
  <c r="BH48" i="70"/>
  <c r="W158" i="65"/>
  <c r="W170" i="65" s="1"/>
  <c r="AD158" i="65"/>
  <c r="AD170" i="65" s="1"/>
  <c r="L158" i="65"/>
  <c r="L170" i="65" s="1"/>
  <c r="AK157" i="65"/>
  <c r="AK169" i="65" s="1"/>
  <c r="BM48" i="70"/>
  <c r="BM46" i="70"/>
  <c r="AG45" i="70"/>
  <c r="AC158" i="65"/>
  <c r="AC170" i="65" s="1"/>
  <c r="AF45" i="36"/>
  <c r="M1461" i="67" s="1"/>
  <c r="AG41" i="68" s="1"/>
  <c r="F37" i="62" s="1"/>
  <c r="AO108" i="34"/>
  <c r="AP92" i="34"/>
  <c r="BI92" i="34"/>
  <c r="AR108" i="34"/>
  <c r="BF93" i="34"/>
  <c r="BF109" i="34"/>
  <c r="AV91" i="34"/>
  <c r="AN108" i="34"/>
  <c r="BG91" i="34"/>
  <c r="AZ91" i="34"/>
  <c r="AX109" i="34"/>
  <c r="AZ92" i="34"/>
  <c r="BB109" i="34"/>
  <c r="BP109" i="34"/>
  <c r="AQ109" i="34"/>
  <c r="BG93" i="34"/>
  <c r="AY109" i="34"/>
  <c r="BL109" i="34"/>
  <c r="AX107" i="34"/>
  <c r="AU93" i="34"/>
  <c r="AX108" i="34"/>
  <c r="BB93" i="34"/>
  <c r="AR91" i="34"/>
  <c r="AS107" i="34"/>
  <c r="AY93" i="34"/>
  <c r="AS91" i="34"/>
  <c r="BM108" i="34"/>
  <c r="AR107" i="34"/>
  <c r="BC92" i="34"/>
  <c r="AW108" i="34"/>
  <c r="BD92" i="34"/>
  <c r="BK108" i="34"/>
  <c r="AR92" i="34"/>
  <c r="BF92" i="34"/>
  <c r="BF108" i="34"/>
  <c r="AM91" i="34"/>
  <c r="BB107" i="34"/>
  <c r="AN91" i="34"/>
  <c r="AN107" i="34"/>
  <c r="BG92" i="34"/>
  <c r="BJ109" i="34"/>
  <c r="AZ107" i="34"/>
  <c r="AN93" i="34"/>
  <c r="AN109" i="34"/>
  <c r="AX93" i="34"/>
  <c r="BJ91" i="34"/>
  <c r="BN107" i="34"/>
  <c r="AS109" i="34"/>
  <c r="AM108" i="34"/>
  <c r="BO107" i="34"/>
  <c r="AM109" i="34"/>
  <c r="AM93" i="34"/>
  <c r="BB92" i="34"/>
  <c r="BP93" i="34"/>
  <c r="AP109" i="34"/>
  <c r="BP92" i="34"/>
  <c r="AU108" i="34"/>
  <c r="AO93" i="34"/>
  <c r="BM109" i="34"/>
  <c r="BC108" i="34"/>
  <c r="BD108" i="34"/>
  <c r="AP108" i="34"/>
  <c r="BI108" i="34"/>
  <c r="AQ107" i="34"/>
  <c r="BB91" i="34"/>
  <c r="BJ93" i="34"/>
  <c r="BN91" i="34"/>
  <c r="AN92" i="34"/>
  <c r="AZ108" i="34"/>
  <c r="AY91" i="34"/>
  <c r="AY107" i="34"/>
  <c r="BC109" i="34"/>
  <c r="AM92" i="34"/>
  <c r="BO91" i="34"/>
  <c r="AQ93" i="34"/>
  <c r="BB108" i="34"/>
  <c r="BG109" i="34"/>
  <c r="BM92" i="34"/>
  <c r="AW107" i="34"/>
  <c r="BH109" i="34"/>
  <c r="BH93" i="34"/>
  <c r="AX92" i="34"/>
  <c r="BC107" i="34"/>
  <c r="BM93" i="34"/>
  <c r="AW93" i="34"/>
  <c r="AO92" i="34"/>
  <c r="AW92" i="34"/>
  <c r="BK92" i="34"/>
  <c r="BN92" i="34"/>
  <c r="BE108" i="34"/>
  <c r="AM107" i="34"/>
  <c r="AQ91" i="34"/>
  <c r="BG108" i="34"/>
  <c r="BL93" i="34"/>
  <c r="BG107" i="34"/>
  <c r="BC93" i="34"/>
  <c r="AP91" i="34"/>
  <c r="AV107" i="34"/>
  <c r="AP107" i="34"/>
  <c r="AX91" i="34"/>
  <c r="BH107" i="34"/>
  <c r="AP93" i="34"/>
  <c r="BE107" i="34"/>
  <c r="AU92" i="34"/>
  <c r="BH91" i="34"/>
  <c r="AL109" i="34"/>
  <c r="AL93" i="34"/>
  <c r="AL92" i="34"/>
  <c r="AL107" i="34"/>
  <c r="AL108" i="34"/>
  <c r="AD109" i="34"/>
  <c r="AD92" i="34"/>
  <c r="AD93" i="34"/>
  <c r="AD108" i="34"/>
  <c r="AC5" i="45"/>
  <c r="AO85" i="36"/>
  <c r="AP85" i="36"/>
  <c r="AE85" i="36"/>
  <c r="BG85" i="36"/>
  <c r="AS85" i="36"/>
  <c r="AF85" i="36"/>
  <c r="AV85" i="36"/>
  <c r="AX85" i="36"/>
  <c r="BH85" i="36"/>
  <c r="AQ85" i="36"/>
  <c r="AN85" i="36"/>
  <c r="AU85" i="36"/>
  <c r="BC85" i="36"/>
  <c r="BA85" i="36"/>
  <c r="AZ85" i="36"/>
  <c r="AY85" i="36"/>
  <c r="AM85" i="36"/>
  <c r="BF85" i="36"/>
  <c r="AT85" i="36"/>
  <c r="AJ85" i="36"/>
  <c r="BE85" i="36"/>
  <c r="BI85" i="36"/>
  <c r="BB85" i="36"/>
  <c r="BD85" i="36"/>
  <c r="AI85" i="36"/>
  <c r="AK85" i="36"/>
  <c r="AR85" i="36"/>
  <c r="AL85" i="36"/>
  <c r="AH85" i="36"/>
  <c r="AW85" i="36"/>
  <c r="AD4" i="45"/>
  <c r="AD58" i="45" s="1"/>
  <c r="AG4" i="45"/>
  <c r="AG58" i="45" s="1"/>
  <c r="AF4" i="45"/>
  <c r="AF58" i="45" s="1"/>
  <c r="AD19" i="45"/>
  <c r="AD60" i="45" s="1"/>
  <c r="AD11" i="45"/>
  <c r="AD59" i="45" s="1"/>
  <c r="AE12" i="45"/>
  <c r="AE53" i="45"/>
  <c r="AF20" i="45"/>
  <c r="AC53" i="45"/>
  <c r="AB53" i="45"/>
  <c r="AB54" i="45"/>
  <c r="AE54" i="45"/>
  <c r="AE5" i="45"/>
  <c r="AE19" i="45"/>
  <c r="AE60" i="45" s="1"/>
  <c r="AG141" i="34"/>
  <c r="AI141" i="34"/>
  <c r="AG137" i="34"/>
  <c r="AI137" i="34"/>
  <c r="AC20" i="45"/>
  <c r="AC12" i="45"/>
  <c r="AG138" i="34"/>
  <c r="AB5" i="45"/>
  <c r="AC54" i="45"/>
  <c r="AG142" i="34"/>
  <c r="AF53" i="45"/>
  <c r="AB20" i="45"/>
  <c r="AB12" i="45"/>
  <c r="AW57" i="36"/>
  <c r="AW11" i="34"/>
  <c r="AW73" i="36"/>
  <c r="AW179" i="34"/>
  <c r="AW163" i="34"/>
  <c r="AX42" i="34"/>
  <c r="AX24" i="34"/>
  <c r="AW25" i="34"/>
  <c r="AU13" i="45" s="1"/>
  <c r="AX72" i="36"/>
  <c r="AX10" i="34"/>
  <c r="AX56" i="36"/>
  <c r="AX57" i="36"/>
  <c r="AX162" i="34"/>
  <c r="AX178" i="34"/>
  <c r="AU21" i="45"/>
  <c r="AY10" i="34"/>
  <c r="AG19" i="45"/>
  <c r="AG60" i="45" s="1"/>
  <c r="AW168" i="34"/>
  <c r="AW48" i="34"/>
  <c r="AW184" i="34"/>
  <c r="AW16" i="34"/>
  <c r="AW78" i="36"/>
  <c r="AW30" i="34"/>
  <c r="AW62" i="36"/>
  <c r="AE142" i="34"/>
  <c r="AE138" i="34"/>
  <c r="AG11" i="45"/>
  <c r="AG59" i="45" s="1"/>
  <c r="AF11" i="45"/>
  <c r="AF59" i="45" s="1"/>
  <c r="AD137" i="34"/>
  <c r="AD141" i="34"/>
  <c r="AD138" i="34"/>
  <c r="AH142" i="34"/>
  <c r="AE141" i="34"/>
  <c r="AE137" i="34"/>
  <c r="AH138" i="34"/>
  <c r="AF137" i="34"/>
  <c r="AF141" i="34"/>
  <c r="AD142" i="34"/>
  <c r="AD52" i="45"/>
  <c r="AG52" i="45"/>
  <c r="AF108" i="34"/>
  <c r="AF138" i="34"/>
  <c r="AH141" i="34"/>
  <c r="AF142" i="34"/>
  <c r="AH137" i="34"/>
  <c r="U1302" i="67" l="1"/>
  <c r="R1302" i="67"/>
  <c r="V1302" i="67"/>
  <c r="Z1302" i="67"/>
  <c r="AF47" i="45"/>
  <c r="AC47" i="45"/>
  <c r="AC1302" i="67"/>
  <c r="S1302" i="67"/>
  <c r="K1296" i="67"/>
  <c r="AA1302" i="67"/>
  <c r="Q1302" i="67"/>
  <c r="T1286" i="67"/>
  <c r="X1302" i="67"/>
  <c r="S1286" i="67"/>
  <c r="AE47" i="45"/>
  <c r="AB1302" i="67"/>
  <c r="W1302" i="67"/>
  <c r="Y1302" i="67"/>
  <c r="T1302" i="67"/>
  <c r="V1286" i="67"/>
  <c r="AX97" i="34"/>
  <c r="AE1472" i="67"/>
  <c r="AD1518" i="67"/>
  <c r="AD1465" i="67"/>
  <c r="AM1465" i="67"/>
  <c r="AM1518" i="67"/>
  <c r="M1465" i="67"/>
  <c r="M209" i="67" s="1"/>
  <c r="M1518" i="67"/>
  <c r="M415" i="67" s="1"/>
  <c r="O1465" i="67"/>
  <c r="O1518" i="67"/>
  <c r="AL1465" i="67"/>
  <c r="AL1518" i="67"/>
  <c r="AJ1465" i="67"/>
  <c r="AJ1518" i="67"/>
  <c r="Z1518" i="67"/>
  <c r="Z1465" i="67"/>
  <c r="AD63" i="67"/>
  <c r="AD369" i="67"/>
  <c r="AD824" i="67"/>
  <c r="AD216" i="67"/>
  <c r="AD521" i="67"/>
  <c r="AC1286" i="67"/>
  <c r="AW114" i="34"/>
  <c r="AD1489" i="67"/>
  <c r="AP1518" i="67"/>
  <c r="AP1465" i="67"/>
  <c r="X1465" i="67"/>
  <c r="X56" i="67" s="1"/>
  <c r="X1518" i="67"/>
  <c r="X567" i="67" s="1"/>
  <c r="N1272" i="67"/>
  <c r="W1286" i="67"/>
  <c r="X1286" i="67"/>
  <c r="Y1286" i="67"/>
  <c r="K1280" i="67"/>
  <c r="R1518" i="67"/>
  <c r="R1465" i="67"/>
  <c r="AH1518" i="67"/>
  <c r="AH1465" i="67"/>
  <c r="W1465" i="67"/>
  <c r="W1518" i="67"/>
  <c r="AW119" i="34"/>
  <c r="AD1494" i="67"/>
  <c r="AD1148" i="67"/>
  <c r="AD997" i="67"/>
  <c r="P1465" i="67"/>
  <c r="P1518" i="67"/>
  <c r="T1465" i="67"/>
  <c r="T1518" i="67"/>
  <c r="AO1465" i="67"/>
  <c r="AO56" i="67" s="1"/>
  <c r="AO1518" i="67"/>
  <c r="AO567" i="67" s="1"/>
  <c r="V1465" i="67"/>
  <c r="V1518" i="67"/>
  <c r="AB47" i="45"/>
  <c r="Q1286" i="67"/>
  <c r="AA1286" i="67"/>
  <c r="U1286" i="67"/>
  <c r="AX113" i="34"/>
  <c r="AE1488" i="67"/>
  <c r="AW98" i="34"/>
  <c r="AD1473" i="67"/>
  <c r="S1465" i="67"/>
  <c r="S1518" i="67"/>
  <c r="AK1465" i="67"/>
  <c r="AK1518" i="67"/>
  <c r="Q1465" i="67"/>
  <c r="Q1518" i="67"/>
  <c r="AF1465" i="67"/>
  <c r="AF1518" i="67"/>
  <c r="AB1465" i="67"/>
  <c r="AV46" i="68" s="1"/>
  <c r="AB1518" i="67"/>
  <c r="AB415" i="67" s="1"/>
  <c r="AE1465" i="67"/>
  <c r="AE1518" i="67"/>
  <c r="AN1465" i="67"/>
  <c r="AN1518" i="67"/>
  <c r="AW103" i="34"/>
  <c r="AD1478" i="67"/>
  <c r="AD1132" i="67"/>
  <c r="AD981" i="67"/>
  <c r="AD679" i="67"/>
  <c r="AX98" i="34"/>
  <c r="AE1473" i="67"/>
  <c r="Y1465" i="67"/>
  <c r="Y1518" i="67"/>
  <c r="AI1465" i="67"/>
  <c r="AI1518" i="67"/>
  <c r="AA1465" i="67"/>
  <c r="AA1518" i="67"/>
  <c r="AG1465" i="67"/>
  <c r="AG1518" i="67"/>
  <c r="U1465" i="67"/>
  <c r="U1518" i="67"/>
  <c r="AC1465" i="67"/>
  <c r="AW46" i="68" s="1"/>
  <c r="AC1518" i="67"/>
  <c r="AC415" i="67" s="1"/>
  <c r="L1465" i="67"/>
  <c r="L1518" i="67"/>
  <c r="Z1286" i="67"/>
  <c r="R1286" i="67"/>
  <c r="AB1286" i="67"/>
  <c r="AD385" i="67"/>
  <c r="AD689" i="67"/>
  <c r="AD79" i="67"/>
  <c r="AD232" i="67"/>
  <c r="AD537" i="67"/>
  <c r="AD840" i="67"/>
  <c r="N1325" i="67"/>
  <c r="D158" i="65"/>
  <c r="D170" i="65" s="1"/>
  <c r="S158" i="65"/>
  <c r="S170" i="65" s="1"/>
  <c r="T158" i="65"/>
  <c r="T170" i="65" s="1"/>
  <c r="O158" i="65"/>
  <c r="O170" i="65" s="1"/>
  <c r="AK158" i="65"/>
  <c r="AK170" i="65" s="1"/>
  <c r="AF158" i="65"/>
  <c r="AF170" i="65" s="1"/>
  <c r="AL158" i="65"/>
  <c r="AL170" i="65" s="1"/>
  <c r="AH158" i="65"/>
  <c r="AH170" i="65" s="1"/>
  <c r="AI158" i="65"/>
  <c r="AI170" i="65" s="1"/>
  <c r="AH45" i="70"/>
  <c r="AN158" i="65"/>
  <c r="AN170" i="65" s="1"/>
  <c r="AG45" i="36"/>
  <c r="N1461" i="67" s="1"/>
  <c r="AH41" i="68" s="1"/>
  <c r="G37" i="62" s="1"/>
  <c r="AC4" i="45"/>
  <c r="AC58" i="45" s="1"/>
  <c r="AF52" i="45"/>
  <c r="AF67" i="45" s="1"/>
  <c r="AU6" i="45"/>
  <c r="AD47" i="45"/>
  <c r="BJ85" i="36"/>
  <c r="AD67" i="45"/>
  <c r="AB11" i="45"/>
  <c r="AB59" i="45" s="1"/>
  <c r="AB19" i="45"/>
  <c r="AB60" i="45" s="1"/>
  <c r="AB4" i="45"/>
  <c r="AB58" i="45" s="1"/>
  <c r="AC19" i="45"/>
  <c r="AC60" i="45" s="1"/>
  <c r="AE4" i="45"/>
  <c r="AE58" i="45" s="1"/>
  <c r="AE11" i="45"/>
  <c r="AE59" i="45" s="1"/>
  <c r="AF19" i="45"/>
  <c r="AF60" i="45" s="1"/>
  <c r="AF71" i="45" s="1"/>
  <c r="AG67" i="45"/>
  <c r="AC11" i="45"/>
  <c r="AC59" i="45" s="1"/>
  <c r="AD71" i="45"/>
  <c r="AE52" i="45"/>
  <c r="AC52" i="45"/>
  <c r="AB52" i="45"/>
  <c r="AY56" i="36"/>
  <c r="AX73" i="36"/>
  <c r="AX11" i="34"/>
  <c r="AV6" i="45" s="1"/>
  <c r="AY73" i="36"/>
  <c r="AY42" i="34"/>
  <c r="AY24" i="34"/>
  <c r="AX163" i="34"/>
  <c r="AX43" i="34"/>
  <c r="AV21" i="45" s="1"/>
  <c r="AX179" i="34"/>
  <c r="AX25" i="34"/>
  <c r="AV13" i="45" s="1"/>
  <c r="AY178" i="34"/>
  <c r="AY72" i="36"/>
  <c r="AY4" i="36"/>
  <c r="AY162" i="34"/>
  <c r="AG71" i="45"/>
  <c r="AW49" i="34"/>
  <c r="AU25" i="45" s="1"/>
  <c r="AW79" i="36"/>
  <c r="AW31" i="34"/>
  <c r="AU17" i="45" s="1"/>
  <c r="AW169" i="34"/>
  <c r="AW17" i="34"/>
  <c r="AU10" i="45" s="1"/>
  <c r="AW63" i="36"/>
  <c r="AW185" i="34"/>
  <c r="AX62" i="36"/>
  <c r="AX16" i="34"/>
  <c r="AX184" i="34"/>
  <c r="AX30" i="34"/>
  <c r="AX168" i="34"/>
  <c r="AX78" i="36"/>
  <c r="AX48" i="34"/>
  <c r="M817" i="67" l="1"/>
  <c r="M56" i="67"/>
  <c r="AG46" i="68"/>
  <c r="M514" i="67"/>
  <c r="AO262" i="67"/>
  <c r="AB817" i="67"/>
  <c r="AB870" i="67"/>
  <c r="AO415" i="67"/>
  <c r="X514" i="67"/>
  <c r="X817" i="67"/>
  <c r="AR46" i="68"/>
  <c r="X719" i="67"/>
  <c r="M262" i="67"/>
  <c r="BI46" i="68"/>
  <c r="AB514" i="67"/>
  <c r="M870" i="67"/>
  <c r="AO109" i="67"/>
  <c r="AB567" i="67"/>
  <c r="AB719" i="67"/>
  <c r="AB262" i="67"/>
  <c r="AO870" i="67"/>
  <c r="AO719" i="67"/>
  <c r="AB109" i="67"/>
  <c r="M719" i="67"/>
  <c r="AB56" i="67"/>
  <c r="M109" i="67"/>
  <c r="AB209" i="67"/>
  <c r="M567" i="67"/>
  <c r="X415" i="67"/>
  <c r="AC719" i="67"/>
  <c r="X262" i="67"/>
  <c r="AC262" i="67"/>
  <c r="AO514" i="67"/>
  <c r="X870" i="67"/>
  <c r="AC870" i="67"/>
  <c r="X109" i="67"/>
  <c r="AC109" i="67"/>
  <c r="AC567" i="67"/>
  <c r="AO1119" i="67"/>
  <c r="AO666" i="67"/>
  <c r="AO968" i="67"/>
  <c r="AO362" i="67"/>
  <c r="P968" i="67"/>
  <c r="P666" i="67"/>
  <c r="P1119" i="67"/>
  <c r="P362" i="67"/>
  <c r="P817" i="67"/>
  <c r="AJ46" i="68"/>
  <c r="P56" i="67"/>
  <c r="P209" i="67"/>
  <c r="P514" i="67"/>
  <c r="AH1172" i="67"/>
  <c r="AH1021" i="67"/>
  <c r="AH567" i="67"/>
  <c r="AH109" i="67"/>
  <c r="AH719" i="67"/>
  <c r="AH415" i="67"/>
  <c r="AH870" i="67"/>
  <c r="AH262" i="67"/>
  <c r="X666" i="67"/>
  <c r="X968" i="67"/>
  <c r="X1119" i="67"/>
  <c r="X362" i="67"/>
  <c r="Z1172" i="67"/>
  <c r="Z1021" i="67"/>
  <c r="Z567" i="67"/>
  <c r="Z109" i="67"/>
  <c r="Z870" i="67"/>
  <c r="Z262" i="67"/>
  <c r="Z719" i="67"/>
  <c r="Z415" i="67"/>
  <c r="AL968" i="67"/>
  <c r="AL1119" i="67"/>
  <c r="AL666" i="67"/>
  <c r="AL362" i="67"/>
  <c r="AL209" i="67"/>
  <c r="BF46" i="68"/>
  <c r="AL817" i="67"/>
  <c r="AL514" i="67"/>
  <c r="AL56" i="67"/>
  <c r="M1172" i="67"/>
  <c r="M1021" i="67"/>
  <c r="AD1119" i="67"/>
  <c r="AD968" i="67"/>
  <c r="AD666" i="67"/>
  <c r="AD362" i="67"/>
  <c r="AD817" i="67"/>
  <c r="AD209" i="67"/>
  <c r="AX46" i="68"/>
  <c r="AD514" i="67"/>
  <c r="AD56" i="67"/>
  <c r="AC666" i="67"/>
  <c r="AC1119" i="67"/>
  <c r="AC968" i="67"/>
  <c r="AC362" i="67"/>
  <c r="AD217" i="67"/>
  <c r="AD370" i="67"/>
  <c r="AD522" i="67"/>
  <c r="AD64" i="67"/>
  <c r="AD825" i="67"/>
  <c r="AD674" i="67"/>
  <c r="AC514" i="67"/>
  <c r="L1172" i="67"/>
  <c r="L1021" i="67"/>
  <c r="L567" i="67"/>
  <c r="L109" i="67"/>
  <c r="L415" i="67"/>
  <c r="L870" i="67"/>
  <c r="L262" i="67"/>
  <c r="L719" i="67"/>
  <c r="U1172" i="67"/>
  <c r="U1021" i="67"/>
  <c r="U415" i="67"/>
  <c r="U719" i="67"/>
  <c r="U262" i="67"/>
  <c r="U567" i="67"/>
  <c r="U109" i="67"/>
  <c r="U870" i="67"/>
  <c r="AA1172" i="67"/>
  <c r="AA1021" i="67"/>
  <c r="AA415" i="67"/>
  <c r="AA567" i="67"/>
  <c r="AA109" i="67"/>
  <c r="AA719" i="67"/>
  <c r="AA870" i="67"/>
  <c r="AA262" i="67"/>
  <c r="Y1172" i="67"/>
  <c r="Y1021" i="67"/>
  <c r="Y415" i="67"/>
  <c r="Y567" i="67"/>
  <c r="Y109" i="67"/>
  <c r="Y870" i="67"/>
  <c r="Y262" i="67"/>
  <c r="Y719" i="67"/>
  <c r="AE968" i="67"/>
  <c r="AE666" i="67"/>
  <c r="AE1119" i="67"/>
  <c r="AE362" i="67"/>
  <c r="AE209" i="67"/>
  <c r="AY46" i="68"/>
  <c r="AE817" i="67"/>
  <c r="AE514" i="67"/>
  <c r="AE56" i="67"/>
  <c r="AF968" i="67"/>
  <c r="AF666" i="67"/>
  <c r="AF1119" i="67"/>
  <c r="AF362" i="67"/>
  <c r="AF209" i="67"/>
  <c r="AF817" i="67"/>
  <c r="AF514" i="67"/>
  <c r="AF56" i="67"/>
  <c r="AZ46" i="68"/>
  <c r="AK968" i="67"/>
  <c r="AK1119" i="67"/>
  <c r="AK666" i="67"/>
  <c r="AK362" i="67"/>
  <c r="AK209" i="67"/>
  <c r="BE46" i="68"/>
  <c r="AK514" i="67"/>
  <c r="AK56" i="67"/>
  <c r="AK817" i="67"/>
  <c r="V1021" i="67"/>
  <c r="V1172" i="67"/>
  <c r="V415" i="67"/>
  <c r="V567" i="67"/>
  <c r="V870" i="67"/>
  <c r="V262" i="67"/>
  <c r="V719" i="67"/>
  <c r="V109" i="67"/>
  <c r="T1021" i="67"/>
  <c r="T1172" i="67"/>
  <c r="T567" i="67"/>
  <c r="T109" i="67"/>
  <c r="T415" i="67"/>
  <c r="T719" i="67"/>
  <c r="T870" i="67"/>
  <c r="T262" i="67"/>
  <c r="W1172" i="67"/>
  <c r="W1021" i="67"/>
  <c r="W415" i="67"/>
  <c r="W567" i="67"/>
  <c r="W109" i="67"/>
  <c r="W870" i="67"/>
  <c r="W262" i="67"/>
  <c r="W719" i="67"/>
  <c r="R968" i="67"/>
  <c r="R666" i="67"/>
  <c r="R1119" i="67"/>
  <c r="R362" i="67"/>
  <c r="R817" i="67"/>
  <c r="R209" i="67"/>
  <c r="AL46" i="68"/>
  <c r="R514" i="67"/>
  <c r="R56" i="67"/>
  <c r="AP968" i="67"/>
  <c r="AP666" i="67"/>
  <c r="AP1119" i="67"/>
  <c r="AP362" i="67"/>
  <c r="AP817" i="67"/>
  <c r="AP56" i="67"/>
  <c r="AP514" i="67"/>
  <c r="AP209" i="67"/>
  <c r="BJ46" i="68"/>
  <c r="AJ1172" i="67"/>
  <c r="AJ1021" i="67"/>
  <c r="AJ109" i="67"/>
  <c r="AJ870" i="67"/>
  <c r="AJ415" i="67"/>
  <c r="AJ262" i="67"/>
  <c r="AJ719" i="67"/>
  <c r="AJ567" i="67"/>
  <c r="O1172" i="67"/>
  <c r="O1021" i="67"/>
  <c r="O567" i="67"/>
  <c r="O109" i="67"/>
  <c r="O719" i="67"/>
  <c r="O415" i="67"/>
  <c r="O870" i="67"/>
  <c r="O262" i="67"/>
  <c r="M666" i="67"/>
  <c r="M1119" i="67"/>
  <c r="M968" i="67"/>
  <c r="M362" i="67"/>
  <c r="AD1172" i="67"/>
  <c r="AD1021" i="67"/>
  <c r="AD109" i="67"/>
  <c r="AD719" i="67"/>
  <c r="AD870" i="67"/>
  <c r="AD262" i="67"/>
  <c r="AD415" i="67"/>
  <c r="AD567" i="67"/>
  <c r="AG968" i="67"/>
  <c r="AG666" i="67"/>
  <c r="AG1119" i="67"/>
  <c r="AG362" i="67"/>
  <c r="AG817" i="67"/>
  <c r="AG209" i="67"/>
  <c r="BA46" i="68"/>
  <c r="AG56" i="67"/>
  <c r="AG514" i="67"/>
  <c r="AE1172" i="67"/>
  <c r="AE1021" i="67"/>
  <c r="AE567" i="67"/>
  <c r="AE109" i="67"/>
  <c r="AE415" i="67"/>
  <c r="AE870" i="67"/>
  <c r="AE262" i="67"/>
  <c r="AE719" i="67"/>
  <c r="AX103" i="34"/>
  <c r="AE1478" i="67"/>
  <c r="AE1132" i="67"/>
  <c r="AE981" i="67"/>
  <c r="AE679" i="67"/>
  <c r="AX114" i="34"/>
  <c r="AE1489" i="67"/>
  <c r="AQ1465" i="67"/>
  <c r="AQ1518" i="67"/>
  <c r="AO209" i="67"/>
  <c r="X209" i="67"/>
  <c r="AC209" i="67"/>
  <c r="AO817" i="67"/>
  <c r="AC817" i="67"/>
  <c r="L1119" i="67"/>
  <c r="L666" i="67"/>
  <c r="L968" i="67"/>
  <c r="L362" i="67"/>
  <c r="L209" i="67"/>
  <c r="AF46" i="68"/>
  <c r="L817" i="67"/>
  <c r="L514" i="67"/>
  <c r="L56" i="67"/>
  <c r="U968" i="67"/>
  <c r="U1119" i="67"/>
  <c r="U666" i="67"/>
  <c r="U362" i="67"/>
  <c r="U209" i="67"/>
  <c r="AO46" i="68"/>
  <c r="U817" i="67"/>
  <c r="U56" i="67"/>
  <c r="U514" i="67"/>
  <c r="AA1119" i="67"/>
  <c r="AA968" i="67"/>
  <c r="AA666" i="67"/>
  <c r="AA362" i="67"/>
  <c r="AA209" i="67"/>
  <c r="AU46" i="68"/>
  <c r="AA817" i="67"/>
  <c r="AA514" i="67"/>
  <c r="AA56" i="67"/>
  <c r="Y1119" i="67"/>
  <c r="Y666" i="67"/>
  <c r="Y968" i="67"/>
  <c r="Y362" i="67"/>
  <c r="Y817" i="67"/>
  <c r="Y514" i="67"/>
  <c r="Y209" i="67"/>
  <c r="AS46" i="68"/>
  <c r="Y56" i="67"/>
  <c r="AN1172" i="67"/>
  <c r="AN1021" i="67"/>
  <c r="AN567" i="67"/>
  <c r="AN109" i="67"/>
  <c r="AN719" i="67"/>
  <c r="AN415" i="67"/>
  <c r="AN870" i="67"/>
  <c r="AN262" i="67"/>
  <c r="AB1172" i="67"/>
  <c r="AB1021" i="67"/>
  <c r="Q1172" i="67"/>
  <c r="Q1021" i="67"/>
  <c r="Q109" i="67"/>
  <c r="Q567" i="67"/>
  <c r="Q719" i="67"/>
  <c r="Q415" i="67"/>
  <c r="Q262" i="67"/>
  <c r="Q870" i="67"/>
  <c r="S1172" i="67"/>
  <c r="S1021" i="67"/>
  <c r="S415" i="67"/>
  <c r="S567" i="67"/>
  <c r="S870" i="67"/>
  <c r="S719" i="67"/>
  <c r="S262" i="67"/>
  <c r="S109" i="67"/>
  <c r="AE385" i="67"/>
  <c r="AE840" i="67"/>
  <c r="AE79" i="67"/>
  <c r="AE232" i="67"/>
  <c r="AE537" i="67"/>
  <c r="AE689" i="67"/>
  <c r="V968" i="67"/>
  <c r="V1119" i="67"/>
  <c r="V666" i="67"/>
  <c r="V362" i="67"/>
  <c r="V209" i="67"/>
  <c r="AP46" i="68"/>
  <c r="V56" i="67"/>
  <c r="V817" i="67"/>
  <c r="V514" i="67"/>
  <c r="T1119" i="67"/>
  <c r="T968" i="67"/>
  <c r="T666" i="67"/>
  <c r="T362" i="67"/>
  <c r="T817" i="67"/>
  <c r="T56" i="67"/>
  <c r="T514" i="67"/>
  <c r="T209" i="67"/>
  <c r="AN46" i="68"/>
  <c r="W666" i="67"/>
  <c r="W968" i="67"/>
  <c r="W1119" i="67"/>
  <c r="W362" i="67"/>
  <c r="W817" i="67"/>
  <c r="W209" i="67"/>
  <c r="AQ46" i="68"/>
  <c r="W514" i="67"/>
  <c r="W56" i="67"/>
  <c r="R1172" i="67"/>
  <c r="R1021" i="67"/>
  <c r="R567" i="67"/>
  <c r="R109" i="67"/>
  <c r="R719" i="67"/>
  <c r="R870" i="67"/>
  <c r="R262" i="67"/>
  <c r="R415" i="67"/>
  <c r="AP1172" i="67"/>
  <c r="AP1021" i="67"/>
  <c r="AP870" i="67"/>
  <c r="AP262" i="67"/>
  <c r="AP567" i="67"/>
  <c r="AP109" i="67"/>
  <c r="AP415" i="67"/>
  <c r="AP719" i="67"/>
  <c r="AJ1119" i="67"/>
  <c r="AJ968" i="67"/>
  <c r="AJ666" i="67"/>
  <c r="AJ362" i="67"/>
  <c r="AJ209" i="67"/>
  <c r="BD46" i="68"/>
  <c r="AJ817" i="67"/>
  <c r="AJ514" i="67"/>
  <c r="AJ56" i="67"/>
  <c r="O968" i="67"/>
  <c r="O666" i="67"/>
  <c r="O1119" i="67"/>
  <c r="O362" i="67"/>
  <c r="O817" i="67"/>
  <c r="O209" i="67"/>
  <c r="AI46" i="68"/>
  <c r="O514" i="67"/>
  <c r="O56" i="67"/>
  <c r="AM1172" i="67"/>
  <c r="AM1021" i="67"/>
  <c r="AM567" i="67"/>
  <c r="AM109" i="67"/>
  <c r="AM415" i="67"/>
  <c r="AM870" i="67"/>
  <c r="AM262" i="67"/>
  <c r="AM719" i="67"/>
  <c r="AE369" i="67"/>
  <c r="AE63" i="67"/>
  <c r="AE824" i="67"/>
  <c r="AE216" i="67"/>
  <c r="AE521" i="67"/>
  <c r="AX119" i="34"/>
  <c r="AE1494" i="67"/>
  <c r="AE1148" i="67"/>
  <c r="AE997" i="67"/>
  <c r="AY113" i="34"/>
  <c r="AF1488" i="67"/>
  <c r="AY114" i="34"/>
  <c r="AF1489" i="67"/>
  <c r="AI1119" i="67"/>
  <c r="AI968" i="67"/>
  <c r="AI666" i="67"/>
  <c r="AI362" i="67"/>
  <c r="AI209" i="67"/>
  <c r="BC46" i="68"/>
  <c r="AI817" i="67"/>
  <c r="AI514" i="67"/>
  <c r="AI56" i="67"/>
  <c r="AD375" i="67"/>
  <c r="AD69" i="67"/>
  <c r="AD527" i="67"/>
  <c r="AD830" i="67"/>
  <c r="AD222" i="67"/>
  <c r="AF1172" i="67"/>
  <c r="AF1021" i="67"/>
  <c r="AF567" i="67"/>
  <c r="AF109" i="67"/>
  <c r="AF719" i="67"/>
  <c r="AF870" i="67"/>
  <c r="AF262" i="67"/>
  <c r="AF415" i="67"/>
  <c r="AK1172" i="67"/>
  <c r="AK1021" i="67"/>
  <c r="AK415" i="67"/>
  <c r="AK567" i="67"/>
  <c r="AK109" i="67"/>
  <c r="AK262" i="67"/>
  <c r="AK870" i="67"/>
  <c r="AK719" i="67"/>
  <c r="AW104" i="34"/>
  <c r="AD1479" i="67"/>
  <c r="AD1133" i="67"/>
  <c r="AD982" i="67"/>
  <c r="AW120" i="34"/>
  <c r="AD1495" i="67"/>
  <c r="AD1149" i="67"/>
  <c r="AD998" i="67"/>
  <c r="AY97" i="34"/>
  <c r="AF1472" i="67"/>
  <c r="AC56" i="67"/>
  <c r="AC1172" i="67"/>
  <c r="AC1021" i="67"/>
  <c r="AG1021" i="67"/>
  <c r="AG1172" i="67"/>
  <c r="AG415" i="67"/>
  <c r="AG567" i="67"/>
  <c r="AG719" i="67"/>
  <c r="AG262" i="67"/>
  <c r="AG870" i="67"/>
  <c r="AG109" i="67"/>
  <c r="AI1172" i="67"/>
  <c r="AI1021" i="67"/>
  <c r="AI415" i="67"/>
  <c r="AI109" i="67"/>
  <c r="AI870" i="67"/>
  <c r="AI262" i="67"/>
  <c r="AI567" i="67"/>
  <c r="AI719" i="67"/>
  <c r="AE64" i="67"/>
  <c r="AE370" i="67"/>
  <c r="AE522" i="67"/>
  <c r="AE217" i="67"/>
  <c r="AE825" i="67"/>
  <c r="AE674" i="67"/>
  <c r="AN666" i="67"/>
  <c r="AN968" i="67"/>
  <c r="AN1119" i="67"/>
  <c r="AN362" i="67"/>
  <c r="AN209" i="67"/>
  <c r="BH46" i="68"/>
  <c r="AN817" i="67"/>
  <c r="AN514" i="67"/>
  <c r="AN56" i="67"/>
  <c r="AB1119" i="67"/>
  <c r="AB666" i="67"/>
  <c r="AB968" i="67"/>
  <c r="AB362" i="67"/>
  <c r="Q968" i="67"/>
  <c r="Q666" i="67"/>
  <c r="Q1119" i="67"/>
  <c r="Q362" i="67"/>
  <c r="Q817" i="67"/>
  <c r="Q209" i="67"/>
  <c r="Q56" i="67"/>
  <c r="AK46" i="68"/>
  <c r="Q514" i="67"/>
  <c r="S1119" i="67"/>
  <c r="S666" i="67"/>
  <c r="S968" i="67"/>
  <c r="S362" i="67"/>
  <c r="S209" i="67"/>
  <c r="AM46" i="68"/>
  <c r="S514" i="67"/>
  <c r="S56" i="67"/>
  <c r="S817" i="67"/>
  <c r="AO1172" i="67"/>
  <c r="AO1021" i="67"/>
  <c r="P1172" i="67"/>
  <c r="P1021" i="67"/>
  <c r="P109" i="67"/>
  <c r="P719" i="67"/>
  <c r="P415" i="67"/>
  <c r="P262" i="67"/>
  <c r="P567" i="67"/>
  <c r="P870" i="67"/>
  <c r="AD391" i="67"/>
  <c r="AD85" i="67"/>
  <c r="AD695" i="67"/>
  <c r="AD238" i="67"/>
  <c r="AD846" i="67"/>
  <c r="AD543" i="67"/>
  <c r="AH968" i="67"/>
  <c r="AH666" i="67"/>
  <c r="AH1119" i="67"/>
  <c r="AH362" i="67"/>
  <c r="AH209" i="67"/>
  <c r="BB46" i="68"/>
  <c r="AH514" i="67"/>
  <c r="AH56" i="67"/>
  <c r="AH817" i="67"/>
  <c r="X1172" i="67"/>
  <c r="X1021" i="67"/>
  <c r="AD80" i="67"/>
  <c r="AD386" i="67"/>
  <c r="AD538" i="67"/>
  <c r="AD233" i="67"/>
  <c r="AD690" i="67"/>
  <c r="AD841" i="67"/>
  <c r="Z666" i="67"/>
  <c r="Z1119" i="67"/>
  <c r="Z968" i="67"/>
  <c r="Z362" i="67"/>
  <c r="Z817" i="67"/>
  <c r="Z209" i="67"/>
  <c r="Z514" i="67"/>
  <c r="AT46" i="68"/>
  <c r="Z56" i="67"/>
  <c r="AL1172" i="67"/>
  <c r="AL1021" i="67"/>
  <c r="AL567" i="67"/>
  <c r="AL870" i="67"/>
  <c r="AL719" i="67"/>
  <c r="AL109" i="67"/>
  <c r="AL415" i="67"/>
  <c r="AL262" i="67"/>
  <c r="AM666" i="67"/>
  <c r="AM968" i="67"/>
  <c r="AM1119" i="67"/>
  <c r="AM362" i="67"/>
  <c r="AM209" i="67"/>
  <c r="BG46" i="68"/>
  <c r="AM817" i="67"/>
  <c r="AM514" i="67"/>
  <c r="AM56" i="67"/>
  <c r="AI45" i="70"/>
  <c r="AH45" i="36"/>
  <c r="O1461" i="67" s="1"/>
  <c r="AI41" i="68" s="1"/>
  <c r="H37" i="62" s="1"/>
  <c r="BK85" i="36"/>
  <c r="AC71" i="45"/>
  <c r="AB71" i="45"/>
  <c r="AE71" i="45"/>
  <c r="AE67" i="45"/>
  <c r="AB67" i="45"/>
  <c r="AC67" i="45"/>
  <c r="AZ162" i="34"/>
  <c r="AY57" i="36"/>
  <c r="AY25" i="34"/>
  <c r="AW13" i="45" s="1"/>
  <c r="AZ10" i="34"/>
  <c r="AY11" i="34"/>
  <c r="AZ72" i="36"/>
  <c r="AY163" i="34"/>
  <c r="AY43" i="34"/>
  <c r="AW21" i="45" s="1"/>
  <c r="AY179" i="34"/>
  <c r="AZ42" i="34"/>
  <c r="AZ4" i="36"/>
  <c r="AZ56" i="36"/>
  <c r="AZ24" i="34"/>
  <c r="AZ178" i="34"/>
  <c r="AY184" i="34"/>
  <c r="AY48" i="34"/>
  <c r="AY62" i="36"/>
  <c r="AY168" i="34"/>
  <c r="AY16" i="34"/>
  <c r="AY30" i="34"/>
  <c r="AY78" i="36"/>
  <c r="AX169" i="34"/>
  <c r="AX17" i="34"/>
  <c r="AV10" i="45" s="1"/>
  <c r="AX63" i="36"/>
  <c r="AX49" i="34"/>
  <c r="AV25" i="45" s="1"/>
  <c r="AX185" i="34"/>
  <c r="AX79" i="36"/>
  <c r="AX31" i="34"/>
  <c r="AV17" i="45" s="1"/>
  <c r="AZ43" i="34"/>
  <c r="AZ57" i="36"/>
  <c r="AZ25" i="34"/>
  <c r="AZ179" i="34"/>
  <c r="AZ11" i="34"/>
  <c r="AZ163" i="34"/>
  <c r="AZ73" i="36"/>
  <c r="M1325" i="67" l="1"/>
  <c r="X1272" i="67"/>
  <c r="AC1272" i="67"/>
  <c r="X1325" i="67"/>
  <c r="AO1325" i="67"/>
  <c r="AO1272" i="67"/>
  <c r="V1325" i="67"/>
  <c r="AC1325" i="67"/>
  <c r="S1325" i="67"/>
  <c r="AB1325" i="67"/>
  <c r="AL1272" i="67"/>
  <c r="AF1325" i="67"/>
  <c r="U1325" i="67"/>
  <c r="AE1325" i="67"/>
  <c r="AD1301" i="67"/>
  <c r="AB1272" i="67"/>
  <c r="AN1272" i="67"/>
  <c r="AD1285" i="67"/>
  <c r="M1272" i="67"/>
  <c r="T1325" i="67"/>
  <c r="L1325" i="67"/>
  <c r="AZ97" i="34"/>
  <c r="AG1472" i="67"/>
  <c r="AF369" i="67"/>
  <c r="AF63" i="67"/>
  <c r="AF521" i="67"/>
  <c r="AF824" i="67"/>
  <c r="AF216" i="67"/>
  <c r="AD376" i="67"/>
  <c r="AD70" i="67"/>
  <c r="AD528" i="67"/>
  <c r="AD223" i="67"/>
  <c r="AD831" i="67"/>
  <c r="AD680" i="67"/>
  <c r="AZ114" i="34"/>
  <c r="AG1489" i="67"/>
  <c r="AX120" i="34"/>
  <c r="AE1495" i="67"/>
  <c r="AE1149" i="67"/>
  <c r="AE998" i="67"/>
  <c r="AR1465" i="67"/>
  <c r="AR1518" i="67"/>
  <c r="AL1325" i="67"/>
  <c r="AH1272" i="67"/>
  <c r="P1325" i="67"/>
  <c r="Q1272" i="67"/>
  <c r="AK1325" i="67"/>
  <c r="AM1325" i="67"/>
  <c r="O1272" i="67"/>
  <c r="AP1325" i="67"/>
  <c r="Q1325" i="67"/>
  <c r="U1272" i="67"/>
  <c r="L1272" i="67"/>
  <c r="AQ1119" i="67"/>
  <c r="AQ968" i="67"/>
  <c r="AQ666" i="67"/>
  <c r="AQ362" i="67"/>
  <c r="AQ56" i="67"/>
  <c r="BK46" i="68"/>
  <c r="AQ817" i="67"/>
  <c r="AQ209" i="67"/>
  <c r="AQ514" i="67"/>
  <c r="AP1272" i="67"/>
  <c r="AK1272" i="67"/>
  <c r="AD1272" i="67"/>
  <c r="Z1325" i="67"/>
  <c r="AH1325" i="67"/>
  <c r="AX104" i="34"/>
  <c r="AE1479" i="67"/>
  <c r="AE1133" i="67"/>
  <c r="AE982" i="67"/>
  <c r="AD392" i="67"/>
  <c r="AD86" i="67"/>
  <c r="AD544" i="67"/>
  <c r="AD239" i="67"/>
  <c r="AD847" i="67"/>
  <c r="AD696" i="67"/>
  <c r="AF386" i="67"/>
  <c r="AF841" i="67"/>
  <c r="AF690" i="67"/>
  <c r="AF80" i="67"/>
  <c r="AF233" i="67"/>
  <c r="AF538" i="67"/>
  <c r="AQ1172" i="67"/>
  <c r="AQ1021" i="67"/>
  <c r="AQ870" i="67"/>
  <c r="AQ567" i="67"/>
  <c r="AQ109" i="67"/>
  <c r="AQ719" i="67"/>
  <c r="AQ415" i="67"/>
  <c r="AQ262" i="67"/>
  <c r="AZ98" i="34"/>
  <c r="AG1473" i="67"/>
  <c r="AZ113" i="34"/>
  <c r="AG1488" i="67"/>
  <c r="AY98" i="34"/>
  <c r="AF1473" i="67"/>
  <c r="AM1272" i="67"/>
  <c r="AF385" i="67"/>
  <c r="AF840" i="67"/>
  <c r="AF537" i="67"/>
  <c r="AF79" i="67"/>
  <c r="AF689" i="67"/>
  <c r="AF232" i="67"/>
  <c r="AE391" i="67"/>
  <c r="AE543" i="67"/>
  <c r="AE695" i="67"/>
  <c r="AE846" i="67"/>
  <c r="AE238" i="67"/>
  <c r="AE85" i="67"/>
  <c r="AJ1272" i="67"/>
  <c r="AN1325" i="67"/>
  <c r="Y1272" i="67"/>
  <c r="AE386" i="67"/>
  <c r="AE841" i="67"/>
  <c r="AE80" i="67"/>
  <c r="AE538" i="67"/>
  <c r="AE690" i="67"/>
  <c r="AE233" i="67"/>
  <c r="AG1272" i="67"/>
  <c r="O1325" i="67"/>
  <c r="AF1272" i="67"/>
  <c r="AE1272" i="67"/>
  <c r="AY119" i="34"/>
  <c r="AF1494" i="67"/>
  <c r="AF1148" i="67"/>
  <c r="AF997" i="67"/>
  <c r="AY103" i="34"/>
  <c r="AF1478" i="67"/>
  <c r="AF1132" i="67"/>
  <c r="AF981" i="67"/>
  <c r="AF679" i="67"/>
  <c r="Z1272" i="67"/>
  <c r="S1272" i="67"/>
  <c r="AI1325" i="67"/>
  <c r="AG1325" i="67"/>
  <c r="AI1272" i="67"/>
  <c r="R1325" i="67"/>
  <c r="W1272" i="67"/>
  <c r="T1272" i="67"/>
  <c r="V1272" i="67"/>
  <c r="AA1272" i="67"/>
  <c r="AE375" i="67"/>
  <c r="AE830" i="67"/>
  <c r="AE69" i="67"/>
  <c r="AE222" i="67"/>
  <c r="AE527" i="67"/>
  <c r="AD1325" i="67"/>
  <c r="AJ1325" i="67"/>
  <c r="R1272" i="67"/>
  <c r="W1325" i="67"/>
  <c r="Y1325" i="67"/>
  <c r="AA1325" i="67"/>
  <c r="P1272" i="67"/>
  <c r="AJ45" i="70"/>
  <c r="AI45" i="36"/>
  <c r="P1461" i="67" s="1"/>
  <c r="AJ41" i="68" s="1"/>
  <c r="I37" i="62" s="1"/>
  <c r="AW6" i="45"/>
  <c r="BL85" i="36"/>
  <c r="BA42" i="34"/>
  <c r="AX6" i="45"/>
  <c r="BA72" i="36"/>
  <c r="AX21" i="45"/>
  <c r="BA162" i="34"/>
  <c r="BA56" i="36"/>
  <c r="AX13" i="45"/>
  <c r="BA178" i="34"/>
  <c r="BA10" i="34"/>
  <c r="BA24" i="34"/>
  <c r="BB24" i="34"/>
  <c r="AY185" i="34"/>
  <c r="AY79" i="36"/>
  <c r="AY169" i="34"/>
  <c r="AY49" i="34"/>
  <c r="AW25" i="45" s="1"/>
  <c r="AY31" i="34"/>
  <c r="AW17" i="45" s="1"/>
  <c r="AY17" i="34"/>
  <c r="AW10" i="45" s="1"/>
  <c r="AY63" i="36"/>
  <c r="AZ78" i="36"/>
  <c r="AZ48" i="34"/>
  <c r="AZ184" i="34"/>
  <c r="AZ168" i="34"/>
  <c r="AZ30" i="34"/>
  <c r="AZ16" i="34"/>
  <c r="AZ62" i="36"/>
  <c r="BA179" i="34"/>
  <c r="BA25" i="34"/>
  <c r="BA73" i="36"/>
  <c r="BA163" i="34"/>
  <c r="BA11" i="34"/>
  <c r="BA43" i="34"/>
  <c r="BA57" i="36"/>
  <c r="AE1301" i="67" l="1"/>
  <c r="AD1302" i="67"/>
  <c r="AQ1325" i="67"/>
  <c r="AE1285" i="67"/>
  <c r="AZ119" i="34"/>
  <c r="AG1494" i="67"/>
  <c r="AG1148" i="67"/>
  <c r="AG997" i="67"/>
  <c r="BA113" i="34"/>
  <c r="AH1488" i="67"/>
  <c r="BA97" i="34"/>
  <c r="AH1472" i="67"/>
  <c r="AE376" i="67"/>
  <c r="AE70" i="67"/>
  <c r="AE223" i="67"/>
  <c r="AE528" i="67"/>
  <c r="AE831" i="67"/>
  <c r="AE680" i="67"/>
  <c r="AR1119" i="67"/>
  <c r="AR666" i="67"/>
  <c r="AR968" i="67"/>
  <c r="AR362" i="67"/>
  <c r="AR56" i="67"/>
  <c r="BL46" i="68"/>
  <c r="AR209" i="67"/>
  <c r="AR817" i="67"/>
  <c r="AR514" i="67"/>
  <c r="AD1286" i="67"/>
  <c r="AG217" i="67"/>
  <c r="AG370" i="67"/>
  <c r="AG64" i="67"/>
  <c r="AG522" i="67"/>
  <c r="AG825" i="67"/>
  <c r="AG674" i="67"/>
  <c r="AQ1272" i="67"/>
  <c r="AR1021" i="67"/>
  <c r="AR1172" i="67"/>
  <c r="AR262" i="67"/>
  <c r="AR415" i="67"/>
  <c r="AR109" i="67"/>
  <c r="AR567" i="67"/>
  <c r="AR719" i="67"/>
  <c r="AR870" i="67"/>
  <c r="AY104" i="34"/>
  <c r="AF1479" i="67"/>
  <c r="AF1133" i="67"/>
  <c r="AF982" i="67"/>
  <c r="AZ103" i="34"/>
  <c r="AG1478" i="67"/>
  <c r="AG1132" i="67"/>
  <c r="AG981" i="67"/>
  <c r="AG679" i="67"/>
  <c r="AY120" i="34"/>
  <c r="AF1495" i="67"/>
  <c r="AF1149" i="67"/>
  <c r="AF998" i="67"/>
  <c r="AG79" i="67"/>
  <c r="AG385" i="67"/>
  <c r="AG537" i="67"/>
  <c r="AG232" i="67"/>
  <c r="AG689" i="67"/>
  <c r="AG840" i="67"/>
  <c r="AG386" i="67"/>
  <c r="AG80" i="67"/>
  <c r="AG841" i="67"/>
  <c r="AG233" i="67"/>
  <c r="AG538" i="67"/>
  <c r="AG690" i="67"/>
  <c r="AF64" i="67"/>
  <c r="AF370" i="67"/>
  <c r="AF825" i="67"/>
  <c r="AF217" i="67"/>
  <c r="AF522" i="67"/>
  <c r="AF674" i="67"/>
  <c r="AE392" i="67"/>
  <c r="AE544" i="67"/>
  <c r="AE239" i="67"/>
  <c r="AE847" i="67"/>
  <c r="AE696" i="67"/>
  <c r="AE86" i="67"/>
  <c r="AG216" i="67"/>
  <c r="AG369" i="67"/>
  <c r="AG521" i="67"/>
  <c r="AG63" i="67"/>
  <c r="AG824" i="67"/>
  <c r="BA98" i="34"/>
  <c r="AH1473" i="67"/>
  <c r="BA114" i="34"/>
  <c r="AH1489" i="67"/>
  <c r="AS1465" i="67"/>
  <c r="AS1518" i="67"/>
  <c r="AF375" i="67"/>
  <c r="AF69" i="67"/>
  <c r="AF222" i="67"/>
  <c r="AF830" i="67"/>
  <c r="AF527" i="67"/>
  <c r="AF391" i="67"/>
  <c r="AF695" i="67"/>
  <c r="AF238" i="67"/>
  <c r="AF543" i="67"/>
  <c r="AF846" i="67"/>
  <c r="AF85" i="67"/>
  <c r="AK45" i="70"/>
  <c r="AJ45" i="36"/>
  <c r="Q1461" i="67" s="1"/>
  <c r="AK41" i="68" s="1"/>
  <c r="J37" i="62" s="1"/>
  <c r="BM85" i="36"/>
  <c r="AY21" i="45"/>
  <c r="BB56" i="36"/>
  <c r="BB72" i="36"/>
  <c r="AY6" i="45"/>
  <c r="BB162" i="34"/>
  <c r="AY13" i="45"/>
  <c r="BB178" i="34"/>
  <c r="BB42" i="34"/>
  <c r="BC42" i="34"/>
  <c r="BB10" i="34"/>
  <c r="BA16" i="34"/>
  <c r="BA184" i="34"/>
  <c r="BA30" i="34"/>
  <c r="BA168" i="34"/>
  <c r="BA62" i="36"/>
  <c r="BA48" i="34"/>
  <c r="BA78" i="36"/>
  <c r="AZ169" i="34"/>
  <c r="AZ185" i="34"/>
  <c r="AZ17" i="34"/>
  <c r="AX10" i="45" s="1"/>
  <c r="AZ63" i="36"/>
  <c r="AZ31" i="34"/>
  <c r="AX17" i="45" s="1"/>
  <c r="AZ49" i="34"/>
  <c r="AX25" i="45" s="1"/>
  <c r="AZ79" i="36"/>
  <c r="BB43" i="34"/>
  <c r="BB163" i="34"/>
  <c r="BB73" i="36"/>
  <c r="BB179" i="34"/>
  <c r="BB57" i="36"/>
  <c r="BB25" i="34"/>
  <c r="AZ13" i="45" s="1"/>
  <c r="BB11" i="34"/>
  <c r="AE1302" i="67" l="1"/>
  <c r="AR1325" i="67"/>
  <c r="AF1301" i="67"/>
  <c r="AF1285" i="67"/>
  <c r="AH63" i="67"/>
  <c r="AH216" i="67"/>
  <c r="AH521" i="67"/>
  <c r="AH824" i="67"/>
  <c r="AF376" i="67"/>
  <c r="AF70" i="67"/>
  <c r="AF528" i="67"/>
  <c r="AF831" i="67"/>
  <c r="AF223" i="67"/>
  <c r="AF680" i="67"/>
  <c r="AR1272" i="67"/>
  <c r="BB98" i="34"/>
  <c r="AI1473" i="67"/>
  <c r="BA119" i="34"/>
  <c r="AH1494" i="67"/>
  <c r="AH1148" i="67"/>
  <c r="AH997" i="67"/>
  <c r="AZ120" i="34"/>
  <c r="AG1495" i="67"/>
  <c r="AG1149" i="67"/>
  <c r="AG998" i="67"/>
  <c r="BB113" i="34"/>
  <c r="AI1488" i="67"/>
  <c r="AH370" i="67"/>
  <c r="AH64" i="67"/>
  <c r="AH522" i="67"/>
  <c r="AH825" i="67"/>
  <c r="AH217" i="67"/>
  <c r="AH674" i="67"/>
  <c r="AE1286" i="67"/>
  <c r="AH385" i="67"/>
  <c r="AH840" i="67"/>
  <c r="AH537" i="67"/>
  <c r="AH689" i="67"/>
  <c r="AH79" i="67"/>
  <c r="AH232" i="67"/>
  <c r="AG391" i="67"/>
  <c r="AG543" i="67"/>
  <c r="AG846" i="67"/>
  <c r="AG85" i="67"/>
  <c r="AG695" i="67"/>
  <c r="AG238" i="67"/>
  <c r="AZ104" i="34"/>
  <c r="AG1479" i="67"/>
  <c r="AG1133" i="67"/>
  <c r="AG982" i="67"/>
  <c r="AH386" i="67"/>
  <c r="AH841" i="67"/>
  <c r="AH233" i="67"/>
  <c r="AH538" i="67"/>
  <c r="AH690" i="67"/>
  <c r="AH80" i="67"/>
  <c r="AF392" i="67"/>
  <c r="AF86" i="67"/>
  <c r="AF239" i="67"/>
  <c r="AF847" i="67"/>
  <c r="AF544" i="67"/>
  <c r="AF696" i="67"/>
  <c r="AT1518" i="67"/>
  <c r="AT1465" i="67"/>
  <c r="AG375" i="67"/>
  <c r="AG527" i="67"/>
  <c r="AG69" i="67"/>
  <c r="AG830" i="67"/>
  <c r="AG222" i="67"/>
  <c r="BB114" i="34"/>
  <c r="AI1489" i="67"/>
  <c r="BA103" i="34"/>
  <c r="AH1478" i="67"/>
  <c r="AH1132" i="67"/>
  <c r="AH981" i="67"/>
  <c r="AH679" i="67"/>
  <c r="AS1172" i="67"/>
  <c r="AS1021" i="67"/>
  <c r="AS415" i="67"/>
  <c r="AS567" i="67"/>
  <c r="AS870" i="67"/>
  <c r="AS719" i="67"/>
  <c r="AS109" i="67"/>
  <c r="AS262" i="67"/>
  <c r="BB97" i="34"/>
  <c r="AI1472" i="67"/>
  <c r="AS666" i="67"/>
  <c r="AS1119" i="67"/>
  <c r="AS968" i="67"/>
  <c r="AS362" i="67"/>
  <c r="AS209" i="67"/>
  <c r="BM46" i="68"/>
  <c r="AS817" i="67"/>
  <c r="AS514" i="67"/>
  <c r="AS56" i="67"/>
  <c r="AL45" i="70"/>
  <c r="AK45" i="36"/>
  <c r="R1461" i="67" s="1"/>
  <c r="AL41" i="68" s="1"/>
  <c r="K37" i="62" s="1"/>
  <c r="BN85" i="36"/>
  <c r="BC10" i="34"/>
  <c r="AZ21" i="45"/>
  <c r="AZ6" i="45"/>
  <c r="BC162" i="34"/>
  <c r="BC24" i="34"/>
  <c r="BC178" i="34"/>
  <c r="BC56" i="36"/>
  <c r="BD72" i="36"/>
  <c r="BC72" i="36"/>
  <c r="BB78" i="36"/>
  <c r="BB16" i="34"/>
  <c r="BB30" i="34"/>
  <c r="BB184" i="34"/>
  <c r="BB62" i="36"/>
  <c r="BB48" i="34"/>
  <c r="BB168" i="34"/>
  <c r="BA17" i="34"/>
  <c r="AY10" i="45" s="1"/>
  <c r="BA169" i="34"/>
  <c r="BA79" i="36"/>
  <c r="BA49" i="34"/>
  <c r="AY25" i="45" s="1"/>
  <c r="BA63" i="36"/>
  <c r="BA31" i="34"/>
  <c r="AY17" i="45" s="1"/>
  <c r="BA185" i="34"/>
  <c r="BC25" i="34"/>
  <c r="BC73" i="36"/>
  <c r="BC43" i="34"/>
  <c r="BA21" i="45" s="1"/>
  <c r="BC163" i="34"/>
  <c r="BC11" i="34"/>
  <c r="BC179" i="34"/>
  <c r="BC57" i="36"/>
  <c r="BD178" i="34"/>
  <c r="AG1301" i="67" l="1"/>
  <c r="AS1325" i="67"/>
  <c r="AG1285" i="67"/>
  <c r="AF1302" i="67"/>
  <c r="BA120" i="34"/>
  <c r="AH1495" i="67"/>
  <c r="AH1149" i="67"/>
  <c r="AH998" i="67"/>
  <c r="BB103" i="34"/>
  <c r="AI1478" i="67"/>
  <c r="AI1132" i="67"/>
  <c r="AI981" i="67"/>
  <c r="AI679" i="67"/>
  <c r="BB119" i="34"/>
  <c r="AI1494" i="67"/>
  <c r="AI1148" i="67"/>
  <c r="AI997" i="67"/>
  <c r="AS1272" i="67"/>
  <c r="AT1119" i="67"/>
  <c r="AT968" i="67"/>
  <c r="AT666" i="67"/>
  <c r="AT362" i="67"/>
  <c r="AT817" i="67"/>
  <c r="AT514" i="67"/>
  <c r="BN46" i="68"/>
  <c r="AT56" i="67"/>
  <c r="AT209" i="67"/>
  <c r="AI232" i="67"/>
  <c r="AI385" i="67"/>
  <c r="AI689" i="67"/>
  <c r="AI79" i="67"/>
  <c r="AI840" i="67"/>
  <c r="AI537" i="67"/>
  <c r="AG392" i="67"/>
  <c r="AG239" i="67"/>
  <c r="AG847" i="67"/>
  <c r="AG696" i="67"/>
  <c r="AG86" i="67"/>
  <c r="AG544" i="67"/>
  <c r="AH391" i="67"/>
  <c r="AH695" i="67"/>
  <c r="AH85" i="67"/>
  <c r="AH238" i="67"/>
  <c r="AH846" i="67"/>
  <c r="AH543" i="67"/>
  <c r="BC97" i="34"/>
  <c r="AJ1472" i="67"/>
  <c r="AH375" i="67"/>
  <c r="AH830" i="67"/>
  <c r="AH527" i="67"/>
  <c r="AH69" i="67"/>
  <c r="AH222" i="67"/>
  <c r="BC98" i="34"/>
  <c r="AJ1473" i="67"/>
  <c r="BC114" i="34"/>
  <c r="AJ1489" i="67"/>
  <c r="BA104" i="34"/>
  <c r="AH1479" i="67"/>
  <c r="AH1133" i="67"/>
  <c r="AH982" i="67"/>
  <c r="BC113" i="34"/>
  <c r="AJ1488" i="67"/>
  <c r="AI521" i="67"/>
  <c r="AI63" i="67"/>
  <c r="AI824" i="67"/>
  <c r="AI216" i="67"/>
  <c r="AI80" i="67"/>
  <c r="AI386" i="67"/>
  <c r="AI690" i="67"/>
  <c r="AI233" i="67"/>
  <c r="AI841" i="67"/>
  <c r="AI538" i="67"/>
  <c r="AT1021" i="67"/>
  <c r="AT1172" i="67"/>
  <c r="AT415" i="67"/>
  <c r="AT870" i="67"/>
  <c r="AT262" i="67"/>
  <c r="AT567" i="67"/>
  <c r="AT109" i="67"/>
  <c r="AT719" i="67"/>
  <c r="AG376" i="67"/>
  <c r="AG528" i="67"/>
  <c r="AG831" i="67"/>
  <c r="AG70" i="67"/>
  <c r="AG223" i="67"/>
  <c r="AG680" i="67"/>
  <c r="AF1286" i="67"/>
  <c r="BD113" i="34"/>
  <c r="AK1488" i="67"/>
  <c r="AU1465" i="67"/>
  <c r="AU1518" i="67"/>
  <c r="AI370" i="67"/>
  <c r="AI217" i="67"/>
  <c r="AI522" i="67"/>
  <c r="AI64" i="67"/>
  <c r="AI825" i="67"/>
  <c r="AI674" i="67"/>
  <c r="AM45" i="70"/>
  <c r="AL45" i="36"/>
  <c r="S1461" i="67" s="1"/>
  <c r="AM41" i="68" s="1"/>
  <c r="L37" i="62" s="1"/>
  <c r="BO85" i="36"/>
  <c r="BA6" i="45"/>
  <c r="BD56" i="36"/>
  <c r="BD162" i="34"/>
  <c r="BD43" i="34"/>
  <c r="BD10" i="34"/>
  <c r="BD24" i="34"/>
  <c r="BD42" i="34"/>
  <c r="BA13" i="45"/>
  <c r="BC168" i="34"/>
  <c r="BC16" i="34"/>
  <c r="BC30" i="34"/>
  <c r="BC184" i="34"/>
  <c r="BC48" i="34"/>
  <c r="BC78" i="36"/>
  <c r="BC62" i="36"/>
  <c r="BB169" i="34"/>
  <c r="BB63" i="36"/>
  <c r="BB185" i="34"/>
  <c r="BB17" i="34"/>
  <c r="AZ10" i="45" s="1"/>
  <c r="BB31" i="34"/>
  <c r="AZ17" i="45" s="1"/>
  <c r="BB79" i="36"/>
  <c r="BB49" i="34"/>
  <c r="AZ25" i="45" s="1"/>
  <c r="BE42" i="34"/>
  <c r="AT1325" i="67" l="1"/>
  <c r="AH1301" i="67"/>
  <c r="AG1302" i="67"/>
  <c r="AH1285" i="67"/>
  <c r="BC119" i="34"/>
  <c r="AJ1494" i="67"/>
  <c r="AJ1148" i="67"/>
  <c r="AJ997" i="67"/>
  <c r="BB120" i="34"/>
  <c r="AI1495" i="67"/>
  <c r="AI1149" i="67"/>
  <c r="AI998" i="67"/>
  <c r="BB104" i="34"/>
  <c r="AI1479" i="67"/>
  <c r="AI1133" i="67"/>
  <c r="AI982" i="67"/>
  <c r="AU1172" i="67"/>
  <c r="AU1021" i="67"/>
  <c r="AU415" i="67"/>
  <c r="AU870" i="67"/>
  <c r="AU262" i="67"/>
  <c r="AU719" i="67"/>
  <c r="AU567" i="67"/>
  <c r="AU109" i="67"/>
  <c r="AJ386" i="67"/>
  <c r="AJ80" i="67"/>
  <c r="AJ538" i="67"/>
  <c r="AJ841" i="67"/>
  <c r="AJ690" i="67"/>
  <c r="AJ233" i="67"/>
  <c r="AT1272" i="67"/>
  <c r="AI391" i="67"/>
  <c r="AI85" i="67"/>
  <c r="AI846" i="67"/>
  <c r="AI238" i="67"/>
  <c r="AI695" i="67"/>
  <c r="AI543" i="67"/>
  <c r="AV1465" i="67"/>
  <c r="AV1518" i="67"/>
  <c r="AU968" i="67"/>
  <c r="AU666" i="67"/>
  <c r="AU1119" i="67"/>
  <c r="AU362" i="67"/>
  <c r="AU817" i="67"/>
  <c r="AU514" i="67"/>
  <c r="AU209" i="67"/>
  <c r="BO46" i="68"/>
  <c r="AU56" i="67"/>
  <c r="AG1286" i="67"/>
  <c r="AJ63" i="67"/>
  <c r="AJ521" i="67"/>
  <c r="AJ216" i="67"/>
  <c r="AJ824" i="67"/>
  <c r="AI375" i="67"/>
  <c r="AI527" i="67"/>
  <c r="AI830" i="67"/>
  <c r="AI69" i="67"/>
  <c r="AI222" i="67"/>
  <c r="AH392" i="67"/>
  <c r="AH544" i="67"/>
  <c r="AH86" i="67"/>
  <c r="AH847" i="67"/>
  <c r="AH239" i="67"/>
  <c r="AH696" i="67"/>
  <c r="BD97" i="34"/>
  <c r="AK1472" i="67"/>
  <c r="BC103" i="34"/>
  <c r="AJ1478" i="67"/>
  <c r="AJ1132" i="67"/>
  <c r="AJ981" i="67"/>
  <c r="AJ679" i="67"/>
  <c r="AK232" i="67"/>
  <c r="AK385" i="67"/>
  <c r="AK689" i="67"/>
  <c r="AK79" i="67"/>
  <c r="AK840" i="67"/>
  <c r="AK537" i="67"/>
  <c r="AJ79" i="67"/>
  <c r="AJ385" i="67"/>
  <c r="AJ232" i="67"/>
  <c r="AJ840" i="67"/>
  <c r="AJ537" i="67"/>
  <c r="AJ689" i="67"/>
  <c r="AH376" i="67"/>
  <c r="AH831" i="67"/>
  <c r="AH223" i="67"/>
  <c r="AH528" i="67"/>
  <c r="AH70" i="67"/>
  <c r="AH680" i="67"/>
  <c r="AJ64" i="67"/>
  <c r="AJ370" i="67"/>
  <c r="AJ217" i="67"/>
  <c r="AJ522" i="67"/>
  <c r="AJ825" i="67"/>
  <c r="AJ674" i="67"/>
  <c r="AN45" i="70"/>
  <c r="AM45" i="36"/>
  <c r="T1461" i="67" s="1"/>
  <c r="AN41" i="68" s="1"/>
  <c r="M37" i="62" s="1"/>
  <c r="BE178" i="34"/>
  <c r="BD73" i="36"/>
  <c r="BD11" i="34"/>
  <c r="BB6" i="45" s="1"/>
  <c r="BD25" i="34"/>
  <c r="BB13" i="45" s="1"/>
  <c r="BE24" i="34"/>
  <c r="BE72" i="36"/>
  <c r="BE10" i="34"/>
  <c r="BB21" i="45"/>
  <c r="BE56" i="36"/>
  <c r="BD179" i="34"/>
  <c r="BD163" i="34"/>
  <c r="BD57" i="36"/>
  <c r="BE162" i="34"/>
  <c r="BF10" i="34"/>
  <c r="BD168" i="34"/>
  <c r="BD30" i="34"/>
  <c r="BD184" i="34"/>
  <c r="BD48" i="34"/>
  <c r="BD78" i="36"/>
  <c r="BD62" i="36"/>
  <c r="BD16" i="34"/>
  <c r="BC31" i="34"/>
  <c r="BA17" i="45" s="1"/>
  <c r="BC63" i="36"/>
  <c r="BC185" i="34"/>
  <c r="BC169" i="34"/>
  <c r="BC79" i="36"/>
  <c r="BC17" i="34"/>
  <c r="BA10" i="45" s="1"/>
  <c r="BC49" i="34"/>
  <c r="BA25" i="45" s="1"/>
  <c r="BE25" i="34"/>
  <c r="BE57" i="36"/>
  <c r="BE179" i="34"/>
  <c r="BE163" i="34"/>
  <c r="BE73" i="36"/>
  <c r="BE43" i="34"/>
  <c r="BC21" i="45" s="1"/>
  <c r="BE11" i="34"/>
  <c r="AH1302" i="67" l="1"/>
  <c r="AH1286" i="67"/>
  <c r="AI1285" i="67"/>
  <c r="AU1325" i="67"/>
  <c r="AI1301" i="67"/>
  <c r="BE98" i="34"/>
  <c r="AL1473" i="67"/>
  <c r="BE114" i="34"/>
  <c r="AL1489" i="67"/>
  <c r="AJ375" i="67"/>
  <c r="AJ69" i="67"/>
  <c r="AJ527" i="67"/>
  <c r="AJ222" i="67"/>
  <c r="AJ830" i="67"/>
  <c r="BD114" i="34"/>
  <c r="AK1489" i="67"/>
  <c r="BE97" i="34"/>
  <c r="AL1472" i="67"/>
  <c r="BD103" i="34"/>
  <c r="AK1478" i="67"/>
  <c r="AK1132" i="67"/>
  <c r="AK679" i="67"/>
  <c r="AK981" i="67"/>
  <c r="BD98" i="34"/>
  <c r="AK1473" i="67"/>
  <c r="AU1272" i="67"/>
  <c r="AI376" i="67"/>
  <c r="AI528" i="67"/>
  <c r="AI831" i="67"/>
  <c r="AI70" i="67"/>
  <c r="AI223" i="67"/>
  <c r="AI680" i="67"/>
  <c r="AI847" i="67"/>
  <c r="AI392" i="67"/>
  <c r="AI544" i="67"/>
  <c r="AI86" i="67"/>
  <c r="AI696" i="67"/>
  <c r="AI239" i="67"/>
  <c r="AJ391" i="67"/>
  <c r="AJ846" i="67"/>
  <c r="AJ695" i="67"/>
  <c r="AJ85" i="67"/>
  <c r="AJ543" i="67"/>
  <c r="AJ238" i="67"/>
  <c r="BC120" i="34"/>
  <c r="AJ1495" i="67"/>
  <c r="AJ1149" i="67"/>
  <c r="AJ998" i="67"/>
  <c r="BE113" i="34"/>
  <c r="AL1488" i="67"/>
  <c r="AV968" i="67"/>
  <c r="AV666" i="67"/>
  <c r="AV1119" i="67"/>
  <c r="AV362" i="67"/>
  <c r="AV209" i="67"/>
  <c r="BP46" i="68"/>
  <c r="AV817" i="67"/>
  <c r="AV514" i="67"/>
  <c r="AV56" i="67"/>
  <c r="BC104" i="34"/>
  <c r="AJ1479" i="67"/>
  <c r="AJ1133" i="67"/>
  <c r="AJ982" i="67"/>
  <c r="BD119" i="34"/>
  <c r="AK1494" i="67"/>
  <c r="AK1148" i="67"/>
  <c r="AK997" i="67"/>
  <c r="AK521" i="67"/>
  <c r="AK216" i="67"/>
  <c r="AK824" i="67"/>
  <c r="AK63" i="67"/>
  <c r="AV1172" i="67"/>
  <c r="AV1021" i="67"/>
  <c r="AV109" i="67"/>
  <c r="AV719" i="67"/>
  <c r="AV870" i="67"/>
  <c r="AV415" i="67"/>
  <c r="AV262" i="67"/>
  <c r="AV567" i="67"/>
  <c r="AO45" i="70"/>
  <c r="AN45" i="36"/>
  <c r="U1461" i="67" s="1"/>
  <c r="AO41" i="68" s="1"/>
  <c r="N37" i="62" s="1"/>
  <c r="BF56" i="36"/>
  <c r="BF24" i="34"/>
  <c r="BF162" i="34"/>
  <c r="BF42" i="34"/>
  <c r="BF72" i="36"/>
  <c r="BC13" i="45"/>
  <c r="BC6" i="45"/>
  <c r="BF178" i="34"/>
  <c r="BG56" i="36"/>
  <c r="BE184" i="34"/>
  <c r="BE30" i="34"/>
  <c r="BE78" i="36"/>
  <c r="BE16" i="34"/>
  <c r="BE62" i="36"/>
  <c r="BE168" i="34"/>
  <c r="BE48" i="34"/>
  <c r="BD49" i="34"/>
  <c r="BB25" i="45" s="1"/>
  <c r="BD17" i="34"/>
  <c r="BB10" i="45" s="1"/>
  <c r="BD79" i="36"/>
  <c r="BD185" i="34"/>
  <c r="BD31" i="34"/>
  <c r="BB17" i="45" s="1"/>
  <c r="BD169" i="34"/>
  <c r="BD63" i="36"/>
  <c r="BF11" i="34"/>
  <c r="BD6" i="45" s="1"/>
  <c r="BF73" i="36"/>
  <c r="BF25" i="34"/>
  <c r="BF179" i="34"/>
  <c r="BF163" i="34"/>
  <c r="BF43" i="34"/>
  <c r="BF57" i="36"/>
  <c r="AJ1285" i="67" l="1"/>
  <c r="AI1302" i="67"/>
  <c r="AI1286" i="67"/>
  <c r="AJ1301" i="67"/>
  <c r="AV1325" i="67"/>
  <c r="AL385" i="67"/>
  <c r="AL689" i="67"/>
  <c r="AL79" i="67"/>
  <c r="AL232" i="67"/>
  <c r="AL537" i="67"/>
  <c r="AL840" i="67"/>
  <c r="AJ392" i="67"/>
  <c r="AJ86" i="67"/>
  <c r="AJ847" i="67"/>
  <c r="AJ239" i="67"/>
  <c r="AJ696" i="67"/>
  <c r="AJ544" i="67"/>
  <c r="AK370" i="67"/>
  <c r="AK217" i="67"/>
  <c r="AK64" i="67"/>
  <c r="AK522" i="67"/>
  <c r="AK825" i="67"/>
  <c r="AK674" i="67"/>
  <c r="AL386" i="67"/>
  <c r="AL841" i="67"/>
  <c r="AL80" i="67"/>
  <c r="AL233" i="67"/>
  <c r="AL538" i="67"/>
  <c r="AL690" i="67"/>
  <c r="BG97" i="34"/>
  <c r="AN1472" i="67"/>
  <c r="BF97" i="34"/>
  <c r="AM1472" i="67"/>
  <c r="BE119" i="34"/>
  <c r="AL1494" i="67"/>
  <c r="AL1148" i="67"/>
  <c r="AL997" i="67"/>
  <c r="AK391" i="67"/>
  <c r="AK846" i="67"/>
  <c r="AK85" i="67"/>
  <c r="AK238" i="67"/>
  <c r="AK543" i="67"/>
  <c r="AK695" i="67"/>
  <c r="AJ376" i="67"/>
  <c r="AJ528" i="67"/>
  <c r="AJ831" i="67"/>
  <c r="AJ70" i="67"/>
  <c r="AJ223" i="67"/>
  <c r="AJ680" i="67"/>
  <c r="AK375" i="67"/>
  <c r="AK830" i="67"/>
  <c r="AK222" i="67"/>
  <c r="AK527" i="67"/>
  <c r="AK69" i="67"/>
  <c r="AK538" i="67"/>
  <c r="AK690" i="67"/>
  <c r="AK386" i="67"/>
  <c r="AK80" i="67"/>
  <c r="AK233" i="67"/>
  <c r="AK841" i="67"/>
  <c r="BF114" i="34"/>
  <c r="AM1489" i="67"/>
  <c r="BF113" i="34"/>
  <c r="AM1488" i="67"/>
  <c r="BD104" i="34"/>
  <c r="AK1479" i="67"/>
  <c r="AK1133" i="67"/>
  <c r="AK982" i="67"/>
  <c r="BD120" i="34"/>
  <c r="AK1495" i="67"/>
  <c r="AK1149" i="67"/>
  <c r="AK998" i="67"/>
  <c r="AL370" i="67"/>
  <c r="AL522" i="67"/>
  <c r="AL217" i="67"/>
  <c r="AL825" i="67"/>
  <c r="AL64" i="67"/>
  <c r="AL674" i="67"/>
  <c r="BF98" i="34"/>
  <c r="AM1473" i="67"/>
  <c r="BE103" i="34"/>
  <c r="AL1478" i="67"/>
  <c r="AL1132" i="67"/>
  <c r="AL981" i="67"/>
  <c r="AL679" i="67"/>
  <c r="AV1272" i="67"/>
  <c r="AL216" i="67"/>
  <c r="AL369" i="67"/>
  <c r="AL63" i="67"/>
  <c r="AL521" i="67"/>
  <c r="AL824" i="67"/>
  <c r="AP45" i="70"/>
  <c r="AO45" i="36"/>
  <c r="V1461" i="67" s="1"/>
  <c r="AP41" i="68" s="1"/>
  <c r="O37" i="62" s="1"/>
  <c r="BD13" i="45"/>
  <c r="BG178" i="34"/>
  <c r="BD21" i="45"/>
  <c r="BG10" i="34"/>
  <c r="BG72" i="36"/>
  <c r="BG43" i="34"/>
  <c r="BG162" i="34"/>
  <c r="BG24" i="34"/>
  <c r="BG42" i="34"/>
  <c r="BE185" i="34"/>
  <c r="BE79" i="36"/>
  <c r="BE31" i="34"/>
  <c r="BC17" i="45" s="1"/>
  <c r="BE17" i="34"/>
  <c r="BC10" i="45" s="1"/>
  <c r="BE63" i="36"/>
  <c r="BE49" i="34"/>
  <c r="BC25" i="45" s="1"/>
  <c r="BE169" i="34"/>
  <c r="BF184" i="34"/>
  <c r="BF16" i="34"/>
  <c r="BF168" i="34"/>
  <c r="BF48" i="34"/>
  <c r="BF62" i="36"/>
  <c r="BF30" i="34"/>
  <c r="BF78" i="36"/>
  <c r="AK1285" i="67" l="1"/>
  <c r="AK1301" i="67"/>
  <c r="AJ1302" i="67"/>
  <c r="BF119" i="34"/>
  <c r="AM1494" i="67"/>
  <c r="AM1148" i="67"/>
  <c r="AM997" i="67"/>
  <c r="BE120" i="34"/>
  <c r="AL1495" i="67"/>
  <c r="AL1149" i="67"/>
  <c r="AL998" i="67"/>
  <c r="AL375" i="67"/>
  <c r="AL222" i="67"/>
  <c r="AL830" i="67"/>
  <c r="AL69" i="67"/>
  <c r="AL527" i="67"/>
  <c r="AK392" i="67"/>
  <c r="AK239" i="67"/>
  <c r="AK544" i="67"/>
  <c r="AK847" i="67"/>
  <c r="AK86" i="67"/>
  <c r="AK696" i="67"/>
  <c r="AK376" i="67"/>
  <c r="AK70" i="67"/>
  <c r="AK223" i="67"/>
  <c r="AK528" i="67"/>
  <c r="AK831" i="67"/>
  <c r="AK680" i="67"/>
  <c r="AM386" i="67"/>
  <c r="AM690" i="67"/>
  <c r="AM841" i="67"/>
  <c r="AM233" i="67"/>
  <c r="AM538" i="67"/>
  <c r="AM80" i="67"/>
  <c r="AL391" i="67"/>
  <c r="AL238" i="67"/>
  <c r="AL846" i="67"/>
  <c r="AL543" i="67"/>
  <c r="AL695" i="67"/>
  <c r="AL85" i="67"/>
  <c r="AN369" i="67"/>
  <c r="AN63" i="67"/>
  <c r="AN824" i="67"/>
  <c r="AN521" i="67"/>
  <c r="AN216" i="67"/>
  <c r="BE104" i="34"/>
  <c r="AL1479" i="67"/>
  <c r="AL1133" i="67"/>
  <c r="AL982" i="67"/>
  <c r="AJ1286" i="67"/>
  <c r="BF103" i="34"/>
  <c r="AM1478" i="67"/>
  <c r="AM1132" i="67"/>
  <c r="AM679" i="67"/>
  <c r="AM981" i="67"/>
  <c r="BG113" i="34"/>
  <c r="AN1488" i="67"/>
  <c r="AM370" i="67"/>
  <c r="AM64" i="67"/>
  <c r="AM522" i="67"/>
  <c r="AM217" i="67"/>
  <c r="AM825" i="67"/>
  <c r="AM674" i="67"/>
  <c r="AM385" i="67"/>
  <c r="AM840" i="67"/>
  <c r="AM79" i="67"/>
  <c r="AM232" i="67"/>
  <c r="AM537" i="67"/>
  <c r="AM689" i="67"/>
  <c r="AM369" i="67"/>
  <c r="AM824" i="67"/>
  <c r="AM63" i="67"/>
  <c r="AM216" i="67"/>
  <c r="AM521" i="67"/>
  <c r="AQ45" i="70"/>
  <c r="AP45" i="36"/>
  <c r="W1461" i="67" s="1"/>
  <c r="AQ41" i="68" s="1"/>
  <c r="P37" i="62" s="1"/>
  <c r="BG163" i="34"/>
  <c r="BH56" i="36"/>
  <c r="BG73" i="36"/>
  <c r="BG179" i="34"/>
  <c r="BG11" i="34"/>
  <c r="BE6" i="45" s="1"/>
  <c r="BH24" i="34"/>
  <c r="BH178" i="34"/>
  <c r="BH72" i="36"/>
  <c r="BG57" i="36"/>
  <c r="BH162" i="34"/>
  <c r="BG25" i="34"/>
  <c r="BE13" i="45" s="1"/>
  <c r="BH10" i="34"/>
  <c r="BH42" i="34"/>
  <c r="BE21" i="45"/>
  <c r="BI10" i="34"/>
  <c r="BF31" i="34"/>
  <c r="BD17" i="45" s="1"/>
  <c r="BF63" i="36"/>
  <c r="BF169" i="34"/>
  <c r="BF79" i="36"/>
  <c r="BF49" i="34"/>
  <c r="BD25" i="45" s="1"/>
  <c r="BF185" i="34"/>
  <c r="BF17" i="34"/>
  <c r="BD10" i="45" s="1"/>
  <c r="BG168" i="34"/>
  <c r="BG48" i="34"/>
  <c r="BG62" i="36"/>
  <c r="BG78" i="36"/>
  <c r="BG30" i="34"/>
  <c r="BG184" i="34"/>
  <c r="BG16" i="34"/>
  <c r="BI162" i="34"/>
  <c r="BH43" i="34"/>
  <c r="BH179" i="34"/>
  <c r="BH57" i="36"/>
  <c r="BH11" i="34"/>
  <c r="BH25" i="34"/>
  <c r="BH163" i="34"/>
  <c r="BH73" i="36"/>
  <c r="AK1302" i="67" l="1"/>
  <c r="AL1301" i="67"/>
  <c r="AL1285" i="67"/>
  <c r="BG119" i="34"/>
  <c r="AN1494" i="67"/>
  <c r="AN1148" i="67"/>
  <c r="AN997" i="67"/>
  <c r="BH114" i="34"/>
  <c r="AO1489" i="67"/>
  <c r="BG98" i="34"/>
  <c r="AN1473" i="67"/>
  <c r="AM375" i="67"/>
  <c r="AM830" i="67"/>
  <c r="AM69" i="67"/>
  <c r="AM222" i="67"/>
  <c r="AM527" i="67"/>
  <c r="BH113" i="34"/>
  <c r="AO1488" i="67"/>
  <c r="AL376" i="67"/>
  <c r="AL70" i="67"/>
  <c r="AL528" i="67"/>
  <c r="AL223" i="67"/>
  <c r="AL831" i="67"/>
  <c r="AL680" i="67"/>
  <c r="AK1286" i="67"/>
  <c r="AL392" i="67"/>
  <c r="AL544" i="67"/>
  <c r="AL239" i="67"/>
  <c r="AL847" i="67"/>
  <c r="AL696" i="67"/>
  <c r="AL86" i="67"/>
  <c r="AM391" i="67"/>
  <c r="AM543" i="67"/>
  <c r="AM695" i="67"/>
  <c r="AM846" i="67"/>
  <c r="AM238" i="67"/>
  <c r="AM85" i="67"/>
  <c r="BH97" i="34"/>
  <c r="AO1472" i="67"/>
  <c r="BH98" i="34"/>
  <c r="AO1473" i="67"/>
  <c r="BG103" i="34"/>
  <c r="AN1478" i="67"/>
  <c r="AN1132" i="67"/>
  <c r="AN981" i="67"/>
  <c r="AN679" i="67"/>
  <c r="BF104" i="34"/>
  <c r="AM1479" i="67"/>
  <c r="AM1133" i="67"/>
  <c r="AM982" i="67"/>
  <c r="BF120" i="34"/>
  <c r="AM1495" i="67"/>
  <c r="AM1149" i="67"/>
  <c r="AM998" i="67"/>
  <c r="BG114" i="34"/>
  <c r="AN1489" i="67"/>
  <c r="AN385" i="67"/>
  <c r="AN689" i="67"/>
  <c r="AN232" i="67"/>
  <c r="AN840" i="67"/>
  <c r="AN537" i="67"/>
  <c r="AN79" i="67"/>
  <c r="AR45" i="70"/>
  <c r="AQ45" i="36"/>
  <c r="X1461" i="67" s="1"/>
  <c r="AR41" i="68" s="1"/>
  <c r="Q37" i="62" s="1"/>
  <c r="BF13" i="45"/>
  <c r="BI72" i="36"/>
  <c r="BF21" i="45"/>
  <c r="BF6" i="45"/>
  <c r="BI42" i="34"/>
  <c r="BI24" i="34"/>
  <c r="BI178" i="34"/>
  <c r="BI25" i="34"/>
  <c r="BI56" i="36"/>
  <c r="BJ162" i="34"/>
  <c r="BG17" i="34"/>
  <c r="BE10" i="45" s="1"/>
  <c r="BG79" i="36"/>
  <c r="BG49" i="34"/>
  <c r="BE25" i="45" s="1"/>
  <c r="BG185" i="34"/>
  <c r="BG169" i="34"/>
  <c r="BG31" i="34"/>
  <c r="BE17" i="45" s="1"/>
  <c r="BG63" i="36"/>
  <c r="BH184" i="34"/>
  <c r="BH30" i="34"/>
  <c r="BH62" i="36"/>
  <c r="BH78" i="36"/>
  <c r="BH168" i="34"/>
  <c r="BH48" i="34"/>
  <c r="BH16" i="34"/>
  <c r="AM1301" i="67" l="1"/>
  <c r="AM1285" i="67"/>
  <c r="AL1302" i="67"/>
  <c r="BH103" i="34"/>
  <c r="AO1478" i="67"/>
  <c r="AO1132" i="67"/>
  <c r="AO981" i="67"/>
  <c r="AO679" i="67"/>
  <c r="AO370" i="67"/>
  <c r="AO64" i="67"/>
  <c r="AO522" i="67"/>
  <c r="AO217" i="67"/>
  <c r="AO825" i="67"/>
  <c r="AO674" i="67"/>
  <c r="BI113" i="34"/>
  <c r="AP1488" i="67"/>
  <c r="AN386" i="67"/>
  <c r="AN690" i="67"/>
  <c r="AN841" i="67"/>
  <c r="AN80" i="67"/>
  <c r="AN233" i="67"/>
  <c r="AN538" i="67"/>
  <c r="AM392" i="67"/>
  <c r="AM847" i="67"/>
  <c r="AM86" i="67"/>
  <c r="AM544" i="67"/>
  <c r="AM696" i="67"/>
  <c r="AM239" i="67"/>
  <c r="AM376" i="67"/>
  <c r="AM831" i="67"/>
  <c r="AM223" i="67"/>
  <c r="AM70" i="67"/>
  <c r="AM528" i="67"/>
  <c r="AM680" i="67"/>
  <c r="AO232" i="67"/>
  <c r="AO385" i="67"/>
  <c r="AO840" i="67"/>
  <c r="AO537" i="67"/>
  <c r="AO79" i="67"/>
  <c r="AO689" i="67"/>
  <c r="AN370" i="67"/>
  <c r="AN64" i="67"/>
  <c r="AN522" i="67"/>
  <c r="AN217" i="67"/>
  <c r="AN825" i="67"/>
  <c r="AN674" i="67"/>
  <c r="BH119" i="34"/>
  <c r="AO1494" i="67"/>
  <c r="AO1148" i="67"/>
  <c r="AO997" i="67"/>
  <c r="BG104" i="34"/>
  <c r="AN1479" i="67"/>
  <c r="AN1133" i="67"/>
  <c r="AN982" i="67"/>
  <c r="BI97" i="34"/>
  <c r="AP1472" i="67"/>
  <c r="AN375" i="67"/>
  <c r="AN527" i="67"/>
  <c r="AN69" i="67"/>
  <c r="AN830" i="67"/>
  <c r="AN222" i="67"/>
  <c r="AO824" i="67"/>
  <c r="AO63" i="67"/>
  <c r="AO216" i="67"/>
  <c r="AO521" i="67"/>
  <c r="BG120" i="34"/>
  <c r="AN1495" i="67"/>
  <c r="AN1149" i="67"/>
  <c r="AN998" i="67"/>
  <c r="AL1286" i="67"/>
  <c r="AO80" i="67"/>
  <c r="AO386" i="67"/>
  <c r="AO538" i="67"/>
  <c r="AO690" i="67"/>
  <c r="AO233" i="67"/>
  <c r="AO841" i="67"/>
  <c r="AN391" i="67"/>
  <c r="AN85" i="67"/>
  <c r="AN846" i="67"/>
  <c r="AN238" i="67"/>
  <c r="AN695" i="67"/>
  <c r="AN543" i="67"/>
  <c r="AS45" i="70"/>
  <c r="AR45" i="36"/>
  <c r="Y1461" i="67" s="1"/>
  <c r="AS41" i="68" s="1"/>
  <c r="R37" i="62" s="1"/>
  <c r="BJ10" i="34"/>
  <c r="BI11" i="34"/>
  <c r="BI163" i="34"/>
  <c r="BG13" i="45"/>
  <c r="BI179" i="34"/>
  <c r="BI73" i="36"/>
  <c r="BI43" i="34"/>
  <c r="BG21" i="45" s="1"/>
  <c r="BI57" i="36"/>
  <c r="BJ24" i="34"/>
  <c r="BJ56" i="36"/>
  <c r="BJ11" i="34"/>
  <c r="BJ72" i="36"/>
  <c r="BJ42" i="34"/>
  <c r="BJ178" i="34"/>
  <c r="BK24" i="34"/>
  <c r="BH49" i="34"/>
  <c r="BF25" i="45" s="1"/>
  <c r="BH185" i="34"/>
  <c r="BH17" i="34"/>
  <c r="BF10" i="45" s="1"/>
  <c r="BH79" i="36"/>
  <c r="BH31" i="34"/>
  <c r="BF17" i="45" s="1"/>
  <c r="BH169" i="34"/>
  <c r="BH63" i="36"/>
  <c r="BI168" i="34"/>
  <c r="BI184" i="34"/>
  <c r="BI30" i="34"/>
  <c r="BI16" i="34"/>
  <c r="BI62" i="36"/>
  <c r="BI78" i="36"/>
  <c r="BI48" i="34"/>
  <c r="AN1285" i="67" l="1"/>
  <c r="AM1302" i="67"/>
  <c r="AN1301" i="67"/>
  <c r="AM1286" i="67"/>
  <c r="BJ97" i="34"/>
  <c r="AQ1472" i="67"/>
  <c r="BH104" i="34"/>
  <c r="AO1479" i="67"/>
  <c r="AO1133" i="67"/>
  <c r="AO982" i="67"/>
  <c r="BI114" i="34"/>
  <c r="AP1489" i="67"/>
  <c r="BI119" i="34"/>
  <c r="AP1494" i="67"/>
  <c r="AP1148" i="67"/>
  <c r="AP997" i="67"/>
  <c r="BJ113" i="34"/>
  <c r="AQ1488" i="67"/>
  <c r="BI98" i="34"/>
  <c r="AP1473" i="67"/>
  <c r="AP63" i="67"/>
  <c r="AP369" i="67"/>
  <c r="AP521" i="67"/>
  <c r="AP824" i="67"/>
  <c r="AP216" i="67"/>
  <c r="AN376" i="67"/>
  <c r="AN223" i="67"/>
  <c r="AN831" i="67"/>
  <c r="AN70" i="67"/>
  <c r="AN528" i="67"/>
  <c r="AN680" i="67"/>
  <c r="AO391" i="67"/>
  <c r="AO846" i="67"/>
  <c r="AO85" i="67"/>
  <c r="AO695" i="67"/>
  <c r="AO238" i="67"/>
  <c r="AO543" i="67"/>
  <c r="AO375" i="67"/>
  <c r="AO527" i="67"/>
  <c r="AO222" i="67"/>
  <c r="AO830" i="67"/>
  <c r="AO69" i="67"/>
  <c r="BI103" i="34"/>
  <c r="AP1478" i="67"/>
  <c r="AP1132" i="67"/>
  <c r="AP981" i="67"/>
  <c r="AP679" i="67"/>
  <c r="BH120" i="34"/>
  <c r="AO1495" i="67"/>
  <c r="AO1149" i="67"/>
  <c r="AO998" i="67"/>
  <c r="AN392" i="67"/>
  <c r="AN696" i="67"/>
  <c r="AN847" i="67"/>
  <c r="AN544" i="67"/>
  <c r="AN86" i="67"/>
  <c r="AN239" i="67"/>
  <c r="AP385" i="67"/>
  <c r="AP689" i="67"/>
  <c r="AP840" i="67"/>
  <c r="AP232" i="67"/>
  <c r="AP79" i="67"/>
  <c r="AP537" i="67"/>
  <c r="AT45" i="70"/>
  <c r="AS45" i="36"/>
  <c r="Z1461" i="67" s="1"/>
  <c r="AT41" i="68" s="1"/>
  <c r="S37" i="62" s="1"/>
  <c r="BG6" i="45"/>
  <c r="BH6" i="45"/>
  <c r="BK42" i="34"/>
  <c r="BJ179" i="34"/>
  <c r="BK56" i="36"/>
  <c r="BJ163" i="34"/>
  <c r="BJ57" i="36"/>
  <c r="BK72" i="36"/>
  <c r="BK163" i="34"/>
  <c r="BK178" i="34"/>
  <c r="BK10" i="34"/>
  <c r="BJ73" i="36"/>
  <c r="BJ25" i="34"/>
  <c r="BH13" i="45" s="1"/>
  <c r="BK162" i="34"/>
  <c r="BJ43" i="34"/>
  <c r="BH21" i="45" s="1"/>
  <c r="BL56" i="36"/>
  <c r="BJ184" i="34"/>
  <c r="BJ16" i="34"/>
  <c r="BJ78" i="36"/>
  <c r="BJ30" i="34"/>
  <c r="BJ62" i="36"/>
  <c r="BJ168" i="34"/>
  <c r="BJ48" i="34"/>
  <c r="BI49" i="34"/>
  <c r="BG25" i="45" s="1"/>
  <c r="BI185" i="34"/>
  <c r="BI79" i="36"/>
  <c r="BI17" i="34"/>
  <c r="BG10" i="45" s="1"/>
  <c r="BI31" i="34"/>
  <c r="BG17" i="45" s="1"/>
  <c r="BI63" i="36"/>
  <c r="BI169" i="34"/>
  <c r="BK25" i="34"/>
  <c r="BI13" i="45" s="1"/>
  <c r="BK43" i="34"/>
  <c r="BK179" i="34"/>
  <c r="BK11" i="34"/>
  <c r="BK57" i="36"/>
  <c r="AN1302" i="67" l="1"/>
  <c r="AO1301" i="67"/>
  <c r="AO1285" i="67"/>
  <c r="AP386" i="67"/>
  <c r="AP80" i="67"/>
  <c r="AP841" i="67"/>
  <c r="AP233" i="67"/>
  <c r="AP538" i="67"/>
  <c r="AP690" i="67"/>
  <c r="AO376" i="67"/>
  <c r="AO70" i="67"/>
  <c r="AO223" i="67"/>
  <c r="AO528" i="67"/>
  <c r="AO831" i="67"/>
  <c r="AO680" i="67"/>
  <c r="BI120" i="34"/>
  <c r="AP1495" i="67"/>
  <c r="AP1149" i="67"/>
  <c r="AP998" i="67"/>
  <c r="BI104" i="34"/>
  <c r="AP1479" i="67"/>
  <c r="AP1133" i="67"/>
  <c r="AP982" i="67"/>
  <c r="BJ103" i="34"/>
  <c r="AQ1478" i="67"/>
  <c r="AQ1132" i="67"/>
  <c r="AQ981" i="67"/>
  <c r="AQ679" i="67"/>
  <c r="BK97" i="34"/>
  <c r="AR1472" i="67"/>
  <c r="AN1286" i="67"/>
  <c r="AP370" i="67"/>
  <c r="AP64" i="67"/>
  <c r="AP825" i="67"/>
  <c r="AP217" i="67"/>
  <c r="AP522" i="67"/>
  <c r="AP674" i="67"/>
  <c r="BL97" i="34"/>
  <c r="AS1472" i="67"/>
  <c r="BJ114" i="34"/>
  <c r="AQ1489" i="67"/>
  <c r="BK113" i="34"/>
  <c r="AR1488" i="67"/>
  <c r="AO392" i="67"/>
  <c r="AO86" i="67"/>
  <c r="AO544" i="67"/>
  <c r="AO239" i="67"/>
  <c r="AO847" i="67"/>
  <c r="AO696" i="67"/>
  <c r="AQ232" i="67"/>
  <c r="AQ385" i="67"/>
  <c r="AQ537" i="67"/>
  <c r="AQ689" i="67"/>
  <c r="AQ79" i="67"/>
  <c r="AQ840" i="67"/>
  <c r="AP391" i="67"/>
  <c r="AP543" i="67"/>
  <c r="AP85" i="67"/>
  <c r="AP846" i="67"/>
  <c r="AP238" i="67"/>
  <c r="AP695" i="67"/>
  <c r="AQ369" i="67"/>
  <c r="AQ63" i="67"/>
  <c r="AQ216" i="67"/>
  <c r="AQ521" i="67"/>
  <c r="AQ824" i="67"/>
  <c r="BK98" i="34"/>
  <c r="AR1473" i="67"/>
  <c r="BJ119" i="34"/>
  <c r="AQ1494" i="67"/>
  <c r="AQ1148" i="67"/>
  <c r="AQ997" i="67"/>
  <c r="BJ98" i="34"/>
  <c r="AQ1473" i="67"/>
  <c r="AP375" i="67"/>
  <c r="AP830" i="67"/>
  <c r="AP69" i="67"/>
  <c r="AP222" i="67"/>
  <c r="AP527" i="67"/>
  <c r="AU45" i="70"/>
  <c r="AT45" i="36"/>
  <c r="AA1461" i="67" s="1"/>
  <c r="AU41" i="68" s="1"/>
  <c r="T37" i="62" s="1"/>
  <c r="BI21" i="45"/>
  <c r="BK73" i="36"/>
  <c r="BL162" i="34"/>
  <c r="BL42" i="34"/>
  <c r="BL72" i="36"/>
  <c r="BL10" i="34"/>
  <c r="BI6" i="45"/>
  <c r="BL178" i="34"/>
  <c r="BL25" i="34"/>
  <c r="BM42" i="34"/>
  <c r="BL24" i="34"/>
  <c r="BK184" i="34"/>
  <c r="BK16" i="34"/>
  <c r="BK62" i="36"/>
  <c r="BK168" i="34"/>
  <c r="BK30" i="34"/>
  <c r="BK78" i="36"/>
  <c r="BK48" i="34"/>
  <c r="BJ185" i="34"/>
  <c r="BJ31" i="34"/>
  <c r="BH17" i="45" s="1"/>
  <c r="BJ169" i="34"/>
  <c r="BJ49" i="34"/>
  <c r="BH25" i="45" s="1"/>
  <c r="BJ79" i="36"/>
  <c r="BJ17" i="34"/>
  <c r="BH10" i="45" s="1"/>
  <c r="BJ63" i="36"/>
  <c r="AO1302" i="67" l="1"/>
  <c r="AO1286" i="67"/>
  <c r="AP1285" i="67"/>
  <c r="AP1301" i="67"/>
  <c r="AR370" i="67"/>
  <c r="AR522" i="67"/>
  <c r="AR825" i="67"/>
  <c r="AR217" i="67"/>
  <c r="AR64" i="67"/>
  <c r="AR674" i="67"/>
  <c r="BJ120" i="34"/>
  <c r="AQ1495" i="67"/>
  <c r="AQ1149" i="67"/>
  <c r="AQ998" i="67"/>
  <c r="AQ386" i="67"/>
  <c r="AQ690" i="67"/>
  <c r="AQ80" i="67"/>
  <c r="AQ841" i="67"/>
  <c r="AQ538" i="67"/>
  <c r="AQ233" i="67"/>
  <c r="AQ375" i="67"/>
  <c r="AQ527" i="67"/>
  <c r="AQ830" i="67"/>
  <c r="AQ69" i="67"/>
  <c r="AQ222" i="67"/>
  <c r="AP376" i="67"/>
  <c r="AP831" i="67"/>
  <c r="AP70" i="67"/>
  <c r="AP528" i="67"/>
  <c r="AP223" i="67"/>
  <c r="AP680" i="67"/>
  <c r="BK114" i="34"/>
  <c r="AR1489" i="67"/>
  <c r="AQ64" i="67"/>
  <c r="AQ370" i="67"/>
  <c r="AQ522" i="67"/>
  <c r="AQ217" i="67"/>
  <c r="AQ825" i="67"/>
  <c r="AQ674" i="67"/>
  <c r="AQ391" i="67"/>
  <c r="AQ846" i="67"/>
  <c r="AQ238" i="67"/>
  <c r="AQ695" i="67"/>
  <c r="AQ85" i="67"/>
  <c r="AQ543" i="67"/>
  <c r="AP392" i="67"/>
  <c r="AP847" i="67"/>
  <c r="AP86" i="67"/>
  <c r="AP696" i="67"/>
  <c r="AP239" i="67"/>
  <c r="AP544" i="67"/>
  <c r="AR216" i="67"/>
  <c r="AR369" i="67"/>
  <c r="AR521" i="67"/>
  <c r="AR63" i="67"/>
  <c r="AR824" i="67"/>
  <c r="BK103" i="34"/>
  <c r="AR1478" i="67"/>
  <c r="AR1132" i="67"/>
  <c r="AR981" i="67"/>
  <c r="AR679" i="67"/>
  <c r="BJ104" i="34"/>
  <c r="AQ1479" i="67"/>
  <c r="AQ1133" i="67"/>
  <c r="AQ982" i="67"/>
  <c r="BK119" i="34"/>
  <c r="AR1494" i="67"/>
  <c r="AR1148" i="67"/>
  <c r="AR997" i="67"/>
  <c r="BL113" i="34"/>
  <c r="AS1488" i="67"/>
  <c r="AR385" i="67"/>
  <c r="AR840" i="67"/>
  <c r="AR232" i="67"/>
  <c r="AR537" i="67"/>
  <c r="AR689" i="67"/>
  <c r="AR79" i="67"/>
  <c r="AS369" i="67"/>
  <c r="AS63" i="67"/>
  <c r="AS824" i="67"/>
  <c r="AS521" i="67"/>
  <c r="AS216" i="67"/>
  <c r="AV45" i="70"/>
  <c r="AU45" i="36"/>
  <c r="AB1461" i="67" s="1"/>
  <c r="AV41" i="68" s="1"/>
  <c r="U37" i="62" s="1"/>
  <c r="BL179" i="34"/>
  <c r="BM10" i="34"/>
  <c r="BL57" i="36"/>
  <c r="BL11" i="34"/>
  <c r="BJ6" i="45" s="1"/>
  <c r="BL163" i="34"/>
  <c r="BL73" i="36"/>
  <c r="BL43" i="34"/>
  <c r="BJ21" i="45" s="1"/>
  <c r="BM178" i="34"/>
  <c r="BM24" i="34"/>
  <c r="BM11" i="34"/>
  <c r="BJ13" i="45"/>
  <c r="BM56" i="36"/>
  <c r="BM72" i="36"/>
  <c r="BN56" i="36"/>
  <c r="BM162" i="34"/>
  <c r="BL184" i="34"/>
  <c r="BL62" i="36"/>
  <c r="BL48" i="34"/>
  <c r="BL30" i="34"/>
  <c r="BL78" i="36"/>
  <c r="BL168" i="34"/>
  <c r="BL16" i="34"/>
  <c r="BK31" i="34"/>
  <c r="BI17" i="45" s="1"/>
  <c r="BK49" i="34"/>
  <c r="BI25" i="45" s="1"/>
  <c r="BK185" i="34"/>
  <c r="BK169" i="34"/>
  <c r="BK17" i="34"/>
  <c r="BI10" i="45" s="1"/>
  <c r="BK79" i="36"/>
  <c r="BK63" i="36"/>
  <c r="BK6" i="45" l="1"/>
  <c r="AQ1301" i="67"/>
  <c r="AP1302" i="67"/>
  <c r="AQ1285" i="67"/>
  <c r="BK120" i="34"/>
  <c r="AR1495" i="67"/>
  <c r="AR1149" i="67"/>
  <c r="AR998" i="67"/>
  <c r="BL119" i="34"/>
  <c r="AS1494" i="67"/>
  <c r="AS1148" i="67"/>
  <c r="AS997" i="67"/>
  <c r="AQ392" i="67"/>
  <c r="AQ696" i="67"/>
  <c r="AQ86" i="67"/>
  <c r="AQ239" i="67"/>
  <c r="AQ544" i="67"/>
  <c r="AQ847" i="67"/>
  <c r="BL98" i="34"/>
  <c r="AS1473" i="67"/>
  <c r="AP1286" i="67"/>
  <c r="BM97" i="34"/>
  <c r="AT1472" i="67"/>
  <c r="BN97" i="34"/>
  <c r="AU1472" i="67"/>
  <c r="BL114" i="34"/>
  <c r="AS1489" i="67"/>
  <c r="AS385" i="67"/>
  <c r="AS840" i="67"/>
  <c r="AS79" i="67"/>
  <c r="AS537" i="67"/>
  <c r="AS689" i="67"/>
  <c r="AS232" i="67"/>
  <c r="AR391" i="67"/>
  <c r="AR85" i="67"/>
  <c r="AR543" i="67"/>
  <c r="AR238" i="67"/>
  <c r="AR846" i="67"/>
  <c r="AR695" i="67"/>
  <c r="AQ376" i="67"/>
  <c r="AQ70" i="67"/>
  <c r="AQ223" i="67"/>
  <c r="AQ528" i="67"/>
  <c r="AQ831" i="67"/>
  <c r="AQ680" i="67"/>
  <c r="BK104" i="34"/>
  <c r="AR1479" i="67"/>
  <c r="AR1133" i="67"/>
  <c r="AR982" i="67"/>
  <c r="BL103" i="34"/>
  <c r="AS1478" i="67"/>
  <c r="AS1132" i="67"/>
  <c r="AS981" i="67"/>
  <c r="AS679" i="67"/>
  <c r="BM113" i="34"/>
  <c r="AT1488" i="67"/>
  <c r="AR375" i="67"/>
  <c r="AR69" i="67"/>
  <c r="AR527" i="67"/>
  <c r="AR222" i="67"/>
  <c r="AR830" i="67"/>
  <c r="AR538" i="67"/>
  <c r="AR386" i="67"/>
  <c r="AR690" i="67"/>
  <c r="AR233" i="67"/>
  <c r="AR80" i="67"/>
  <c r="AR841" i="67"/>
  <c r="AW45" i="70"/>
  <c r="AV45" i="36"/>
  <c r="AC1461" i="67" s="1"/>
  <c r="AW41" i="68" s="1"/>
  <c r="V37" i="62" s="1"/>
  <c r="BN162" i="34"/>
  <c r="BM163" i="34"/>
  <c r="BM43" i="34"/>
  <c r="BM73" i="36"/>
  <c r="BN42" i="34"/>
  <c r="BN24" i="34"/>
  <c r="BM57" i="36"/>
  <c r="BM179" i="34"/>
  <c r="BN57" i="36"/>
  <c r="BM25" i="34"/>
  <c r="BK13" i="45" s="1"/>
  <c r="BN72" i="36"/>
  <c r="BN178" i="34"/>
  <c r="BN10" i="34"/>
  <c r="BO72" i="36"/>
  <c r="BM184" i="34"/>
  <c r="BM30" i="34"/>
  <c r="BM78" i="36"/>
  <c r="BM62" i="36"/>
  <c r="BM48" i="34"/>
  <c r="BM168" i="34"/>
  <c r="BM16" i="34"/>
  <c r="BL17" i="34"/>
  <c r="BJ10" i="45" s="1"/>
  <c r="BL79" i="36"/>
  <c r="BL49" i="34"/>
  <c r="BJ25" i="45" s="1"/>
  <c r="BL63" i="36"/>
  <c r="BL169" i="34"/>
  <c r="BL31" i="34"/>
  <c r="BJ17" i="45" s="1"/>
  <c r="BL185" i="34"/>
  <c r="BN25" i="34"/>
  <c r="BN73" i="36"/>
  <c r="AQ1302" i="67" l="1"/>
  <c r="AQ1286" i="67"/>
  <c r="AR1301" i="67"/>
  <c r="AR1285" i="67"/>
  <c r="BL104" i="34"/>
  <c r="AS1479" i="67"/>
  <c r="AS1133" i="67"/>
  <c r="AS982" i="67"/>
  <c r="BL120" i="34"/>
  <c r="AS1495" i="67"/>
  <c r="AS1149" i="67"/>
  <c r="AS998" i="67"/>
  <c r="BN113" i="34"/>
  <c r="AU1488" i="67"/>
  <c r="BM98" i="34"/>
  <c r="AT1473" i="67"/>
  <c r="BN114" i="34"/>
  <c r="AU1489" i="67"/>
  <c r="BM103" i="34"/>
  <c r="AT1478" i="67"/>
  <c r="AT1132" i="67"/>
  <c r="AT981" i="67"/>
  <c r="AT679" i="67"/>
  <c r="BO113" i="34"/>
  <c r="AV1488" i="67"/>
  <c r="AS80" i="67"/>
  <c r="AS233" i="67"/>
  <c r="AS386" i="67"/>
  <c r="AS690" i="67"/>
  <c r="AS538" i="67"/>
  <c r="AS841" i="67"/>
  <c r="AT63" i="67"/>
  <c r="AT369" i="67"/>
  <c r="AT521" i="67"/>
  <c r="AT216" i="67"/>
  <c r="AT824" i="67"/>
  <c r="BM119" i="34"/>
  <c r="AT1494" i="67"/>
  <c r="AT1148" i="67"/>
  <c r="AT997" i="67"/>
  <c r="BN98" i="34"/>
  <c r="AU1473" i="67"/>
  <c r="AT385" i="67"/>
  <c r="AT840" i="67"/>
  <c r="AT689" i="67"/>
  <c r="AT79" i="67"/>
  <c r="AT232" i="67"/>
  <c r="AT537" i="67"/>
  <c r="BM114" i="34"/>
  <c r="AT1489" i="67"/>
  <c r="AS375" i="67"/>
  <c r="AS222" i="67"/>
  <c r="AS830" i="67"/>
  <c r="AS69" i="67"/>
  <c r="AS527" i="67"/>
  <c r="AR376" i="67"/>
  <c r="AR528" i="67"/>
  <c r="AR831" i="67"/>
  <c r="AR70" i="67"/>
  <c r="AR223" i="67"/>
  <c r="AR680" i="67"/>
  <c r="AU369" i="67"/>
  <c r="AU63" i="67"/>
  <c r="AU216" i="67"/>
  <c r="AU521" i="67"/>
  <c r="AU824" i="67"/>
  <c r="AS391" i="67"/>
  <c r="AS85" i="67"/>
  <c r="AS543" i="67"/>
  <c r="AS238" i="67"/>
  <c r="AS846" i="67"/>
  <c r="AS695" i="67"/>
  <c r="AR392" i="67"/>
  <c r="AR696" i="67"/>
  <c r="AR86" i="67"/>
  <c r="AR239" i="67"/>
  <c r="AR847" i="67"/>
  <c r="AR544" i="67"/>
  <c r="AS370" i="67"/>
  <c r="AS64" i="67"/>
  <c r="AS522" i="67"/>
  <c r="AS217" i="67"/>
  <c r="AS825" i="67"/>
  <c r="AS674" i="67"/>
  <c r="AX45" i="70"/>
  <c r="AW45" i="36"/>
  <c r="AD1461" i="67" s="1"/>
  <c r="AX41" i="68" s="1"/>
  <c r="W37" i="62" s="1"/>
  <c r="BK21" i="45"/>
  <c r="BN163" i="34"/>
  <c r="BL13" i="45"/>
  <c r="BN11" i="34"/>
  <c r="BL6" i="45" s="1"/>
  <c r="BN179" i="34"/>
  <c r="BN43" i="34"/>
  <c r="BL21" i="45" s="1"/>
  <c r="BO56" i="36"/>
  <c r="BO162" i="34"/>
  <c r="BO24" i="34"/>
  <c r="BO178" i="34"/>
  <c r="BO42" i="34"/>
  <c r="BO10" i="34"/>
  <c r="BM31" i="34"/>
  <c r="BK17" i="45" s="1"/>
  <c r="BM169" i="34"/>
  <c r="BM79" i="36"/>
  <c r="BM49" i="34"/>
  <c r="BK25" i="45" s="1"/>
  <c r="BM185" i="34"/>
  <c r="BM17" i="34"/>
  <c r="BK10" i="45" s="1"/>
  <c r="BM63" i="36"/>
  <c r="BN62" i="36"/>
  <c r="BN48" i="34"/>
  <c r="BN184" i="34"/>
  <c r="BN78" i="36"/>
  <c r="BN168" i="34"/>
  <c r="BN16" i="34"/>
  <c r="BN30" i="34"/>
  <c r="BO163" i="34"/>
  <c r="BO73" i="36"/>
  <c r="BO43" i="34"/>
  <c r="BO11" i="34"/>
  <c r="BO57" i="36"/>
  <c r="BO25" i="34"/>
  <c r="BO179" i="34"/>
  <c r="BP56" i="36"/>
  <c r="BP24" i="34"/>
  <c r="BP42" i="34"/>
  <c r="BP72" i="36"/>
  <c r="BP178" i="34"/>
  <c r="BP10" i="34"/>
  <c r="BP162" i="34"/>
  <c r="AR1302" i="67" l="1"/>
  <c r="AS1301" i="67"/>
  <c r="AS1285" i="67"/>
  <c r="BP97" i="34"/>
  <c r="AW1472" i="67"/>
  <c r="AT375" i="67"/>
  <c r="AT527" i="67"/>
  <c r="AT222" i="67"/>
  <c r="AT830" i="67"/>
  <c r="AT69" i="67"/>
  <c r="AT370" i="67"/>
  <c r="AT217" i="67"/>
  <c r="AT825" i="67"/>
  <c r="AT522" i="67"/>
  <c r="AT64" i="67"/>
  <c r="AT674" i="67"/>
  <c r="BP113" i="34"/>
  <c r="AW1488" i="67"/>
  <c r="BO114" i="34"/>
  <c r="AV1489" i="67"/>
  <c r="BN103" i="34"/>
  <c r="AU1478" i="67"/>
  <c r="AU1132" i="67"/>
  <c r="AU981" i="67"/>
  <c r="AU679" i="67"/>
  <c r="AT80" i="67"/>
  <c r="AT386" i="67"/>
  <c r="AT841" i="67"/>
  <c r="AT538" i="67"/>
  <c r="AT690" i="67"/>
  <c r="AT233" i="67"/>
  <c r="AU64" i="67"/>
  <c r="AU370" i="67"/>
  <c r="AU522" i="67"/>
  <c r="AU825" i="67"/>
  <c r="AU217" i="67"/>
  <c r="AU674" i="67"/>
  <c r="AT391" i="67"/>
  <c r="AT85" i="67"/>
  <c r="AT695" i="67"/>
  <c r="AT846" i="67"/>
  <c r="AT238" i="67"/>
  <c r="AT543" i="67"/>
  <c r="AU386" i="67"/>
  <c r="AU538" i="67"/>
  <c r="AU80" i="67"/>
  <c r="AU690" i="67"/>
  <c r="AU233" i="67"/>
  <c r="AU841" i="67"/>
  <c r="AU385" i="67"/>
  <c r="AU689" i="67"/>
  <c r="AU840" i="67"/>
  <c r="AU79" i="67"/>
  <c r="AU232" i="67"/>
  <c r="AU537" i="67"/>
  <c r="AS392" i="67"/>
  <c r="AS847" i="67"/>
  <c r="AS239" i="67"/>
  <c r="AS696" i="67"/>
  <c r="AS544" i="67"/>
  <c r="AS86" i="67"/>
  <c r="AS376" i="67"/>
  <c r="AS831" i="67"/>
  <c r="AS70" i="67"/>
  <c r="AS528" i="67"/>
  <c r="AS223" i="67"/>
  <c r="AS680" i="67"/>
  <c r="BO98" i="34"/>
  <c r="AV1473" i="67"/>
  <c r="BN119" i="34"/>
  <c r="AU1494" i="67"/>
  <c r="AU1148" i="67"/>
  <c r="AU997" i="67"/>
  <c r="BM104" i="34"/>
  <c r="AT1479" i="67"/>
  <c r="AT1133" i="67"/>
  <c r="AT982" i="67"/>
  <c r="BM120" i="34"/>
  <c r="AT1495" i="67"/>
  <c r="AT1149" i="67"/>
  <c r="AT998" i="67"/>
  <c r="BO97" i="34"/>
  <c r="AV1472" i="67"/>
  <c r="AR1286" i="67"/>
  <c r="AV385" i="67"/>
  <c r="AV537" i="67"/>
  <c r="AV79" i="67"/>
  <c r="AV689" i="67"/>
  <c r="AV232" i="67"/>
  <c r="AV840" i="67"/>
  <c r="AY45" i="70"/>
  <c r="AX45" i="36"/>
  <c r="AE1461" i="67" s="1"/>
  <c r="AY41" i="68" s="1"/>
  <c r="X37" i="62" s="1"/>
  <c r="BM13" i="45"/>
  <c r="BP168" i="34"/>
  <c r="BP30" i="34"/>
  <c r="BP78" i="36"/>
  <c r="BM6" i="45"/>
  <c r="BM21" i="45"/>
  <c r="BP48" i="34"/>
  <c r="BP184" i="34"/>
  <c r="BP16" i="34"/>
  <c r="BP62" i="36"/>
  <c r="BO168" i="34"/>
  <c r="BO16" i="34"/>
  <c r="BO184" i="34"/>
  <c r="BO48" i="34"/>
  <c r="BO62" i="36"/>
  <c r="BO30" i="34"/>
  <c r="BO78" i="36"/>
  <c r="BN185" i="34"/>
  <c r="BN63" i="36"/>
  <c r="BN31" i="34"/>
  <c r="BL17" i="45" s="1"/>
  <c r="BN79" i="36"/>
  <c r="BN17" i="34"/>
  <c r="BL10" i="45" s="1"/>
  <c r="BN49" i="34"/>
  <c r="BL25" i="45" s="1"/>
  <c r="BN169" i="34"/>
  <c r="BP43" i="34"/>
  <c r="BN21" i="45" s="1"/>
  <c r="BP179" i="34"/>
  <c r="BP11" i="34"/>
  <c r="BN6" i="45" s="1"/>
  <c r="BP57" i="36"/>
  <c r="BP163" i="34"/>
  <c r="BP25" i="34"/>
  <c r="BN13" i="45" s="1"/>
  <c r="BP73" i="36"/>
  <c r="BP185" i="34"/>
  <c r="BP31" i="34"/>
  <c r="BP49" i="34"/>
  <c r="BP169" i="34"/>
  <c r="BP17" i="34"/>
  <c r="BP79" i="36"/>
  <c r="BP63" i="36"/>
  <c r="AT1285" i="67" l="1"/>
  <c r="AT1301" i="67"/>
  <c r="AS1302" i="67"/>
  <c r="AU375" i="67"/>
  <c r="AU830" i="67"/>
  <c r="AU69" i="67"/>
  <c r="AU222" i="67"/>
  <c r="AU527" i="67"/>
  <c r="BP98" i="34"/>
  <c r="AW1473" i="67"/>
  <c r="BP119" i="34"/>
  <c r="AW1494" i="67"/>
  <c r="AW1148" i="67"/>
  <c r="AW997" i="67"/>
  <c r="AV369" i="67"/>
  <c r="AV63" i="67"/>
  <c r="AV216" i="67"/>
  <c r="AV521" i="67"/>
  <c r="AV824" i="67"/>
  <c r="AT392" i="67"/>
  <c r="AT239" i="67"/>
  <c r="AT847" i="67"/>
  <c r="AT696" i="67"/>
  <c r="AT86" i="67"/>
  <c r="AT544" i="67"/>
  <c r="AT376" i="67"/>
  <c r="AT70" i="67"/>
  <c r="AT528" i="67"/>
  <c r="AT223" i="67"/>
  <c r="AT831" i="67"/>
  <c r="AT680" i="67"/>
  <c r="AU391" i="67"/>
  <c r="AU238" i="67"/>
  <c r="AU846" i="67"/>
  <c r="AU695" i="67"/>
  <c r="AU85" i="67"/>
  <c r="AU543" i="67"/>
  <c r="AS1286" i="67"/>
  <c r="AW385" i="67"/>
  <c r="AW232" i="67"/>
  <c r="AW840" i="67"/>
  <c r="AW537" i="67"/>
  <c r="AW79" i="67"/>
  <c r="AW689" i="67"/>
  <c r="BO119" i="34"/>
  <c r="AV1494" i="67"/>
  <c r="AV1148" i="67"/>
  <c r="AV997" i="67"/>
  <c r="BP114" i="34"/>
  <c r="AW1489" i="67"/>
  <c r="BN104" i="34"/>
  <c r="AU1479" i="67"/>
  <c r="AU1133" i="67"/>
  <c r="AU982" i="67"/>
  <c r="BO103" i="34"/>
  <c r="AV1478" i="67"/>
  <c r="AV1132" i="67"/>
  <c r="AV981" i="67"/>
  <c r="AV679" i="67"/>
  <c r="AV386" i="67"/>
  <c r="AV80" i="67"/>
  <c r="AV233" i="67"/>
  <c r="AV538" i="67"/>
  <c r="AV841" i="67"/>
  <c r="AV690" i="67"/>
  <c r="AW369" i="67"/>
  <c r="AW824" i="67"/>
  <c r="AW63" i="67"/>
  <c r="AW216" i="67"/>
  <c r="AW521" i="67"/>
  <c r="BP120" i="34"/>
  <c r="AW1495" i="67"/>
  <c r="AW1149" i="67"/>
  <c r="AW998" i="67"/>
  <c r="BN120" i="34"/>
  <c r="AU1495" i="67"/>
  <c r="AU1149" i="67"/>
  <c r="AU998" i="67"/>
  <c r="BP104" i="34"/>
  <c r="AW1479" i="67"/>
  <c r="AW1133" i="67"/>
  <c r="AW982" i="67"/>
  <c r="BP103" i="34"/>
  <c r="AW1478" i="67"/>
  <c r="AW1132" i="67"/>
  <c r="AW679" i="67"/>
  <c r="AW981" i="67"/>
  <c r="AV370" i="67"/>
  <c r="AV64" i="67"/>
  <c r="AV825" i="67"/>
  <c r="AV217" i="67"/>
  <c r="AV522" i="67"/>
  <c r="AV674" i="67"/>
  <c r="AZ45" i="70"/>
  <c r="AY45" i="36"/>
  <c r="AF1461" i="67" s="1"/>
  <c r="AZ41" i="68" s="1"/>
  <c r="Y37" i="62" s="1"/>
  <c r="BN17" i="45"/>
  <c r="BN10" i="45"/>
  <c r="BN25" i="45"/>
  <c r="BO169" i="34"/>
  <c r="BO63" i="36"/>
  <c r="BO185" i="34"/>
  <c r="BO31" i="34"/>
  <c r="BM17" i="45" s="1"/>
  <c r="BO79" i="36"/>
  <c r="BO49" i="34"/>
  <c r="BM25" i="45" s="1"/>
  <c r="BO17" i="34"/>
  <c r="BM10" i="45" s="1"/>
  <c r="AU1301" i="67" l="1"/>
  <c r="AU1285" i="67"/>
  <c r="AT1302" i="67"/>
  <c r="BO104" i="34"/>
  <c r="AV1479" i="67"/>
  <c r="AV1133" i="67"/>
  <c r="AV982" i="67"/>
  <c r="AU392" i="67"/>
  <c r="AU86" i="67"/>
  <c r="AU847" i="67"/>
  <c r="AU696" i="67"/>
  <c r="AU239" i="67"/>
  <c r="AU544" i="67"/>
  <c r="AU376" i="67"/>
  <c r="AU831" i="67"/>
  <c r="AU70" i="67"/>
  <c r="AU528" i="67"/>
  <c r="AU223" i="67"/>
  <c r="AU680" i="67"/>
  <c r="BO120" i="34"/>
  <c r="AV1495" i="67"/>
  <c r="AV1149" i="67"/>
  <c r="AV998" i="67"/>
  <c r="AW370" i="67"/>
  <c r="AW64" i="67"/>
  <c r="AW825" i="67"/>
  <c r="AW217" i="67"/>
  <c r="AW522" i="67"/>
  <c r="AW674" i="67"/>
  <c r="AW376" i="67"/>
  <c r="AW831" i="67"/>
  <c r="AW70" i="67"/>
  <c r="AW223" i="67"/>
  <c r="AW528" i="67"/>
  <c r="AW680" i="67"/>
  <c r="AV375" i="67"/>
  <c r="AV527" i="67"/>
  <c r="AV222" i="67"/>
  <c r="AV830" i="67"/>
  <c r="AV69" i="67"/>
  <c r="AW386" i="67"/>
  <c r="AW690" i="67"/>
  <c r="AW841" i="67"/>
  <c r="AW538" i="67"/>
  <c r="AW80" i="67"/>
  <c r="AW233" i="67"/>
  <c r="AV391" i="67"/>
  <c r="AV846" i="67"/>
  <c r="AV85" i="67"/>
  <c r="AV695" i="67"/>
  <c r="AV238" i="67"/>
  <c r="AV543" i="67"/>
  <c r="AW375" i="67"/>
  <c r="AW222" i="67"/>
  <c r="AW527" i="67"/>
  <c r="AW69" i="67"/>
  <c r="AW830" i="67"/>
  <c r="AW392" i="67"/>
  <c r="AW847" i="67"/>
  <c r="AW696" i="67"/>
  <c r="AW86" i="67"/>
  <c r="AW544" i="67"/>
  <c r="AW239" i="67"/>
  <c r="AT1286" i="67"/>
  <c r="AW391" i="67"/>
  <c r="AW846" i="67"/>
  <c r="AW543" i="67"/>
  <c r="AW695" i="67"/>
  <c r="AW85" i="67"/>
  <c r="AW238" i="67"/>
  <c r="BA45" i="70"/>
  <c r="AZ45" i="36"/>
  <c r="AG1461" i="67" s="1"/>
  <c r="BA41" i="68" s="1"/>
  <c r="Z37" i="62" s="1"/>
  <c r="T18" i="55"/>
  <c r="AV1285" i="67" l="1"/>
  <c r="AU1302" i="67"/>
  <c r="AW1301" i="67"/>
  <c r="AW1302" i="67"/>
  <c r="AV1301" i="67"/>
  <c r="AU1286" i="67"/>
  <c r="AV392" i="67"/>
  <c r="AV86" i="67"/>
  <c r="AV239" i="67"/>
  <c r="AV847" i="67"/>
  <c r="AV544" i="67"/>
  <c r="AV696" i="67"/>
  <c r="AW1285" i="67"/>
  <c r="AW1286" i="67"/>
  <c r="AV376" i="67"/>
  <c r="AV831" i="67"/>
  <c r="AV70" i="67"/>
  <c r="AV223" i="67"/>
  <c r="AV528" i="67"/>
  <c r="AV680" i="67"/>
  <c r="BB45" i="70"/>
  <c r="BA45" i="36"/>
  <c r="AH1461" i="67" s="1"/>
  <c r="BB41" i="68" s="1"/>
  <c r="AA37" i="62" s="1"/>
  <c r="BA18" i="55"/>
  <c r="AC18" i="55"/>
  <c r="Y18" i="55"/>
  <c r="AJ18" i="55"/>
  <c r="AA18" i="55"/>
  <c r="U18" i="55"/>
  <c r="AE18" i="55"/>
  <c r="AP18" i="55"/>
  <c r="AB18" i="55"/>
  <c r="AV1302" i="67" l="1"/>
  <c r="AV1286" i="67"/>
  <c r="BC45" i="70"/>
  <c r="BB45" i="36"/>
  <c r="AI1461" i="67" s="1"/>
  <c r="BC41" i="68" s="1"/>
  <c r="AB37" i="62" s="1"/>
  <c r="AL18" i="55"/>
  <c r="AK18" i="55"/>
  <c r="AF18" i="55"/>
  <c r="AG18" i="55"/>
  <c r="AY18" i="55"/>
  <c r="AD18" i="55"/>
  <c r="AM18" i="55"/>
  <c r="AH18" i="55"/>
  <c r="W18" i="55"/>
  <c r="AV18" i="55"/>
  <c r="AN18" i="55"/>
  <c r="AT18" i="55"/>
  <c r="AU18" i="55"/>
  <c r="V18" i="55"/>
  <c r="AQ18" i="55"/>
  <c r="AI18" i="55"/>
  <c r="Z18" i="55"/>
  <c r="AO69" i="36"/>
  <c r="AX18" i="55"/>
  <c r="AR18" i="55"/>
  <c r="AZ18" i="55"/>
  <c r="AW18" i="55"/>
  <c r="X18" i="55"/>
  <c r="AS18" i="55"/>
  <c r="AO18" i="55"/>
  <c r="AJ7" i="34"/>
  <c r="AJ175" i="34"/>
  <c r="AJ159" i="34"/>
  <c r="AJ21" i="34"/>
  <c r="AJ69" i="36"/>
  <c r="AJ53" i="36"/>
  <c r="AJ39" i="34"/>
  <c r="AP175" i="34"/>
  <c r="AP39" i="34"/>
  <c r="AP159" i="34"/>
  <c r="AP53" i="36"/>
  <c r="AP7" i="34"/>
  <c r="AP69" i="36"/>
  <c r="AP21" i="34"/>
  <c r="AS39" i="34"/>
  <c r="AS159" i="34"/>
  <c r="AS21" i="34"/>
  <c r="AS53" i="36"/>
  <c r="AS69" i="36"/>
  <c r="AS175" i="34"/>
  <c r="AS7" i="34"/>
  <c r="AN175" i="34"/>
  <c r="AN21" i="34"/>
  <c r="AN7" i="34"/>
  <c r="AN53" i="36"/>
  <c r="AN159" i="34"/>
  <c r="AN39" i="34"/>
  <c r="AN69" i="36"/>
  <c r="AQ7" i="34"/>
  <c r="AQ69" i="36"/>
  <c r="AQ175" i="34"/>
  <c r="AQ53" i="36"/>
  <c r="AQ159" i="34"/>
  <c r="AQ21" i="34"/>
  <c r="AQ39" i="34"/>
  <c r="AK21" i="34"/>
  <c r="AK175" i="34"/>
  <c r="AK53" i="36"/>
  <c r="AK39" i="34"/>
  <c r="AK7" i="34"/>
  <c r="AK69" i="36"/>
  <c r="AK159" i="34"/>
  <c r="AU175" i="34"/>
  <c r="AU69" i="36"/>
  <c r="AU21" i="34"/>
  <c r="AU159" i="34"/>
  <c r="AU39" i="34"/>
  <c r="AU7" i="34"/>
  <c r="AU53" i="36"/>
  <c r="AM175" i="34"/>
  <c r="AM21" i="34"/>
  <c r="AM69" i="36"/>
  <c r="AM7" i="34"/>
  <c r="AM39" i="34"/>
  <c r="AM159" i="34"/>
  <c r="AM53" i="36"/>
  <c r="AR175" i="34"/>
  <c r="AR69" i="36"/>
  <c r="AR21" i="34"/>
  <c r="AR39" i="34"/>
  <c r="AR7" i="34"/>
  <c r="AR159" i="34"/>
  <c r="AR53" i="36"/>
  <c r="AV69" i="36"/>
  <c r="AV175" i="34"/>
  <c r="AV39" i="34"/>
  <c r="AV21" i="34"/>
  <c r="AV7" i="34"/>
  <c r="AV159" i="34"/>
  <c r="AV53" i="36"/>
  <c r="AL69" i="36"/>
  <c r="AL175" i="34"/>
  <c r="AL21" i="34"/>
  <c r="AL53" i="36"/>
  <c r="AL159" i="34"/>
  <c r="AL7" i="34"/>
  <c r="AL39" i="34"/>
  <c r="AT7" i="34"/>
  <c r="AT175" i="34"/>
  <c r="AT159" i="34"/>
  <c r="AT69" i="36"/>
  <c r="AT53" i="36"/>
  <c r="AT21" i="34"/>
  <c r="AT39" i="34"/>
  <c r="Z1485" i="67" l="1"/>
  <c r="Z1513" i="67"/>
  <c r="Z1517" i="67"/>
  <c r="W1469" i="67"/>
  <c r="W1516" i="67"/>
  <c r="W1512" i="67"/>
  <c r="S1485" i="67"/>
  <c r="S1513" i="67"/>
  <c r="S1517" i="67"/>
  <c r="Y1469" i="67"/>
  <c r="Y1512" i="67"/>
  <c r="Y1516" i="67"/>
  <c r="AA1469" i="67"/>
  <c r="AA1512" i="67"/>
  <c r="AA1516" i="67"/>
  <c r="S1469" i="67"/>
  <c r="S1516" i="67"/>
  <c r="S1512" i="67"/>
  <c r="AC1469" i="67"/>
  <c r="AC1512" i="67"/>
  <c r="AC1516" i="67"/>
  <c r="Y1485" i="67"/>
  <c r="Y1513" i="67"/>
  <c r="Y1517" i="67"/>
  <c r="R1469" i="67"/>
  <c r="R1512" i="67"/>
  <c r="R1516" i="67"/>
  <c r="X1485" i="67"/>
  <c r="X1513" i="67"/>
  <c r="X1517" i="67"/>
  <c r="Z1469" i="67"/>
  <c r="Z1516" i="67"/>
  <c r="Z1512" i="67"/>
  <c r="Q1469" i="67"/>
  <c r="Q1512" i="67"/>
  <c r="Q1516" i="67"/>
  <c r="AA1485" i="67"/>
  <c r="AA1517" i="67"/>
  <c r="AA1513" i="67"/>
  <c r="AB1469" i="67"/>
  <c r="AB1516" i="67"/>
  <c r="AB1512" i="67"/>
  <c r="R1485" i="67"/>
  <c r="R1517" i="67"/>
  <c r="R1513" i="67"/>
  <c r="U1469" i="67"/>
  <c r="U1512" i="67"/>
  <c r="U1516" i="67"/>
  <c r="W1485" i="67"/>
  <c r="W1517" i="67"/>
  <c r="W1513" i="67"/>
  <c r="Q1485" i="67"/>
  <c r="Q1513" i="67"/>
  <c r="Q1517" i="67"/>
  <c r="V1485" i="67"/>
  <c r="V1517" i="67"/>
  <c r="V1513" i="67"/>
  <c r="AC1485" i="67"/>
  <c r="AC1517" i="67"/>
  <c r="AC1513" i="67"/>
  <c r="T1469" i="67"/>
  <c r="T1516" i="67"/>
  <c r="T1512" i="67"/>
  <c r="T1485" i="67"/>
  <c r="T1513" i="67"/>
  <c r="T1517" i="67"/>
  <c r="AB1485" i="67"/>
  <c r="AB1517" i="67"/>
  <c r="AB1513" i="67"/>
  <c r="X1469" i="67"/>
  <c r="X1512" i="67"/>
  <c r="X1516" i="67"/>
  <c r="U1485" i="67"/>
  <c r="U1513" i="67"/>
  <c r="U1517" i="67"/>
  <c r="BD45" i="70"/>
  <c r="BC45" i="36"/>
  <c r="AJ1461" i="67" s="1"/>
  <c r="BD41" i="68" s="1"/>
  <c r="AC37" i="62" s="1"/>
  <c r="AR12" i="45"/>
  <c r="AR11" i="45" s="1"/>
  <c r="AR59" i="45" s="1"/>
  <c r="AT12" i="45"/>
  <c r="AT11" i="45" s="1"/>
  <c r="AT59" i="45" s="1"/>
  <c r="AS20" i="45"/>
  <c r="AS19" i="45" s="1"/>
  <c r="AS60" i="45" s="1"/>
  <c r="AO20" i="45"/>
  <c r="AO19" i="45" s="1"/>
  <c r="AO60" i="45" s="1"/>
  <c r="AQ20" i="45"/>
  <c r="AQ19" i="45" s="1"/>
  <c r="AQ60" i="45" s="1"/>
  <c r="AH20" i="45"/>
  <c r="AH19" i="45" s="1"/>
  <c r="AH60" i="45" s="1"/>
  <c r="AH53" i="45"/>
  <c r="AR5" i="45"/>
  <c r="AR4" i="45" s="1"/>
  <c r="AR58" i="45" s="1"/>
  <c r="AT20" i="45"/>
  <c r="AT19" i="45" s="1"/>
  <c r="AT60" i="45" s="1"/>
  <c r="AP53" i="45"/>
  <c r="AK20" i="45"/>
  <c r="AK19" i="45" s="1"/>
  <c r="AK60" i="45" s="1"/>
  <c r="AK54" i="45"/>
  <c r="AS53" i="45"/>
  <c r="AI53" i="45"/>
  <c r="AO12" i="45"/>
  <c r="AL53" i="45"/>
  <c r="AL54" i="45"/>
  <c r="AN12" i="45"/>
  <c r="AN11" i="45" s="1"/>
  <c r="AN59" i="45" s="1"/>
  <c r="AN53" i="45"/>
  <c r="AH54" i="45"/>
  <c r="AJ53" i="45"/>
  <c r="AK53" i="45"/>
  <c r="AS54" i="45"/>
  <c r="AL20" i="45"/>
  <c r="AL19" i="45" s="1"/>
  <c r="AL60" i="45" s="1"/>
  <c r="AJ20" i="45"/>
  <c r="AT53" i="45"/>
  <c r="AP5" i="45"/>
  <c r="AP4" i="45" s="1"/>
  <c r="AP58" i="45" s="1"/>
  <c r="AP54" i="45"/>
  <c r="AK5" i="45"/>
  <c r="AK4" i="45" s="1"/>
  <c r="AK58" i="45" s="1"/>
  <c r="AS12" i="45"/>
  <c r="AS11" i="45" s="1"/>
  <c r="AS59" i="45" s="1"/>
  <c r="AI54" i="45"/>
  <c r="AO53" i="45"/>
  <c r="AO5" i="45"/>
  <c r="AO4" i="45" s="1"/>
  <c r="AO58" i="45" s="1"/>
  <c r="AQ5" i="45"/>
  <c r="AQ4" i="45" s="1"/>
  <c r="AQ58" i="45" s="1"/>
  <c r="AQ12" i="45"/>
  <c r="AQ11" i="45" s="1"/>
  <c r="AQ59" i="45" s="1"/>
  <c r="AN20" i="45"/>
  <c r="AN19" i="45" s="1"/>
  <c r="AN60" i="45" s="1"/>
  <c r="AH5" i="45"/>
  <c r="AH4" i="45" s="1"/>
  <c r="AH58" i="45" s="1"/>
  <c r="AR54" i="45"/>
  <c r="AP12" i="45"/>
  <c r="AP11" i="45" s="1"/>
  <c r="AP59" i="45" s="1"/>
  <c r="AK12" i="45"/>
  <c r="AK11" i="45" s="1"/>
  <c r="AK59" i="45" s="1"/>
  <c r="AI20" i="45"/>
  <c r="AI19" i="45" s="1"/>
  <c r="AI60" i="45" s="1"/>
  <c r="AO54" i="45"/>
  <c r="AL12" i="45"/>
  <c r="AL11" i="45" s="1"/>
  <c r="AL59" i="45" s="1"/>
  <c r="AJ12" i="45"/>
  <c r="AT54" i="45"/>
  <c r="AR20" i="45"/>
  <c r="AR19" i="45" s="1"/>
  <c r="AR60" i="45" s="1"/>
  <c r="AR53" i="45"/>
  <c r="AJ5" i="45"/>
  <c r="AJ4" i="45" s="1"/>
  <c r="AJ58" i="45" s="1"/>
  <c r="AJ54" i="45"/>
  <c r="AT5" i="45"/>
  <c r="AT4" i="45" s="1"/>
  <c r="AT58" i="45" s="1"/>
  <c r="AP20" i="45"/>
  <c r="AS5" i="45"/>
  <c r="AI5" i="45"/>
  <c r="AI4" i="45" s="1"/>
  <c r="AI58" i="45" s="1"/>
  <c r="AI12" i="45"/>
  <c r="AI11" i="45" s="1"/>
  <c r="AI59" i="45" s="1"/>
  <c r="AL5" i="45"/>
  <c r="AL4" i="45" s="1"/>
  <c r="AL58" i="45" s="1"/>
  <c r="AQ54" i="45"/>
  <c r="AQ53" i="45"/>
  <c r="AN5" i="45"/>
  <c r="AN4" i="45" s="1"/>
  <c r="AN58" i="45" s="1"/>
  <c r="AN54" i="45"/>
  <c r="AH12" i="45"/>
  <c r="AH11" i="45" s="1"/>
  <c r="AH59" i="45" s="1"/>
  <c r="AO39" i="34"/>
  <c r="AO175" i="34"/>
  <c r="AO7" i="34"/>
  <c r="AO21" i="34"/>
  <c r="AO159" i="34"/>
  <c r="AO53" i="36"/>
  <c r="AL94" i="34"/>
  <c r="AL141" i="34"/>
  <c r="AL137" i="34"/>
  <c r="AK110" i="34"/>
  <c r="AK138" i="34"/>
  <c r="AK142" i="34"/>
  <c r="AK94" i="34"/>
  <c r="AK141" i="34"/>
  <c r="AK137" i="34"/>
  <c r="AP138" i="34"/>
  <c r="AP142" i="34"/>
  <c r="AP110" i="34"/>
  <c r="AJ137" i="34"/>
  <c r="AJ141" i="34"/>
  <c r="AJ94" i="34"/>
  <c r="AT142" i="34"/>
  <c r="AT138" i="34"/>
  <c r="AT110" i="34"/>
  <c r="AV110" i="34"/>
  <c r="AV138" i="34"/>
  <c r="AV142" i="34"/>
  <c r="AV141" i="34"/>
  <c r="AV94" i="34"/>
  <c r="AV137" i="34"/>
  <c r="AR141" i="34"/>
  <c r="AR137" i="34"/>
  <c r="AR94" i="34"/>
  <c r="AM141" i="34"/>
  <c r="AM137" i="34"/>
  <c r="AM94" i="34"/>
  <c r="AM142" i="34"/>
  <c r="AM138" i="34"/>
  <c r="AM110" i="34"/>
  <c r="AU141" i="34"/>
  <c r="AU137" i="34"/>
  <c r="AU94" i="34"/>
  <c r="AQ138" i="34"/>
  <c r="AQ142" i="34"/>
  <c r="AQ110" i="34"/>
  <c r="AS138" i="34"/>
  <c r="AS142" i="34"/>
  <c r="AS110" i="34"/>
  <c r="AJ138" i="34"/>
  <c r="AJ110" i="34"/>
  <c r="AJ142" i="34"/>
  <c r="AO142" i="34"/>
  <c r="AO138" i="34"/>
  <c r="AO110" i="34"/>
  <c r="AU110" i="34"/>
  <c r="AU138" i="34"/>
  <c r="AU142" i="34"/>
  <c r="AQ137" i="34"/>
  <c r="AQ141" i="34"/>
  <c r="AQ94" i="34"/>
  <c r="AN94" i="34"/>
  <c r="AN141" i="34"/>
  <c r="AN137" i="34"/>
  <c r="AS141" i="34"/>
  <c r="AS137" i="34"/>
  <c r="AS94" i="34"/>
  <c r="AP141" i="34"/>
  <c r="AP137" i="34"/>
  <c r="AP94" i="34"/>
  <c r="AT141" i="34"/>
  <c r="AT94" i="34"/>
  <c r="AT137" i="34"/>
  <c r="AL142" i="34"/>
  <c r="AL138" i="34"/>
  <c r="AL110" i="34"/>
  <c r="AR110" i="34"/>
  <c r="AR138" i="34"/>
  <c r="AR142" i="34"/>
  <c r="AN142" i="34"/>
  <c r="AN138" i="34"/>
  <c r="AN110" i="34"/>
  <c r="AP52" i="45" l="1"/>
  <c r="AP67" i="45" s="1"/>
  <c r="AJ52" i="45"/>
  <c r="AQ52" i="45"/>
  <c r="AQ67" i="45" s="1"/>
  <c r="AL52" i="45"/>
  <c r="AL67" i="45" s="1"/>
  <c r="AN52" i="45"/>
  <c r="AN67" i="45" s="1"/>
  <c r="AO11" i="45"/>
  <c r="AO59" i="45" s="1"/>
  <c r="AO71" i="45" s="1"/>
  <c r="AS52" i="45"/>
  <c r="AS67" i="45" s="1"/>
  <c r="AR52" i="45"/>
  <c r="AR67" i="45" s="1"/>
  <c r="AH52" i="45"/>
  <c r="AH67" i="45" s="1"/>
  <c r="AP19" i="45"/>
  <c r="AP60" i="45" s="1"/>
  <c r="AP71" i="45" s="1"/>
  <c r="AO52" i="45"/>
  <c r="AO67" i="45" s="1"/>
  <c r="AK52" i="45"/>
  <c r="AK67" i="45" s="1"/>
  <c r="AS4" i="45"/>
  <c r="AS58" i="45" s="1"/>
  <c r="AS71" i="45" s="1"/>
  <c r="AT52" i="45"/>
  <c r="AT67" i="45" s="1"/>
  <c r="AI52" i="45"/>
  <c r="AI67" i="45" s="1"/>
  <c r="AO141" i="34"/>
  <c r="V1469" i="67"/>
  <c r="V1516" i="67"/>
  <c r="V1512" i="67"/>
  <c r="BE45" i="70"/>
  <c r="BD45" i="36"/>
  <c r="AK1461" i="67" s="1"/>
  <c r="BE41" i="68" s="1"/>
  <c r="AD37" i="62" s="1"/>
  <c r="AJ19" i="45"/>
  <c r="AJ60" i="45" s="1"/>
  <c r="AJ11" i="45"/>
  <c r="AJ59" i="45" s="1"/>
  <c r="AM12" i="45"/>
  <c r="AM11" i="45" s="1"/>
  <c r="AM59" i="45" s="1"/>
  <c r="AJ47" i="45"/>
  <c r="AQ47" i="45"/>
  <c r="AO47" i="45"/>
  <c r="AN47" i="45"/>
  <c r="AM5" i="45"/>
  <c r="AT47" i="45"/>
  <c r="AI47" i="45"/>
  <c r="AM54" i="45"/>
  <c r="AP47" i="45"/>
  <c r="AS47" i="45"/>
  <c r="AL47" i="45"/>
  <c r="AM47" i="45"/>
  <c r="AH47" i="45"/>
  <c r="AK47" i="45"/>
  <c r="AR47" i="45"/>
  <c r="AM53" i="45"/>
  <c r="AM20" i="45"/>
  <c r="AM19" i="45" s="1"/>
  <c r="AM60" i="45" s="1"/>
  <c r="AR71" i="45"/>
  <c r="AI71" i="45"/>
  <c r="AH71" i="45"/>
  <c r="AN71" i="45"/>
  <c r="AT71" i="45"/>
  <c r="AQ71" i="45"/>
  <c r="AL71" i="45"/>
  <c r="AK71" i="45"/>
  <c r="AJ67" i="45"/>
  <c r="AO137" i="34"/>
  <c r="AO94" i="34"/>
  <c r="AK47" i="57"/>
  <c r="AK48" i="57"/>
  <c r="AK49" i="57"/>
  <c r="BF45" i="70" l="1"/>
  <c r="BE45" i="36"/>
  <c r="AL1461" i="67" s="1"/>
  <c r="BF41" i="68" s="1"/>
  <c r="AE37" i="62" s="1"/>
  <c r="AM4" i="45"/>
  <c r="AM58" i="45" s="1"/>
  <c r="AM71" i="45" s="1"/>
  <c r="AM52" i="45"/>
  <c r="AJ71" i="45"/>
  <c r="AD47" i="36"/>
  <c r="AE47" i="36"/>
  <c r="AI47" i="36"/>
  <c r="AF47" i="36"/>
  <c r="AL47" i="36"/>
  <c r="AK47" i="36"/>
  <c r="AG47" i="36"/>
  <c r="AJ47" i="36"/>
  <c r="AM47" i="36"/>
  <c r="AH47" i="36"/>
  <c r="BA47" i="36"/>
  <c r="BN47" i="36"/>
  <c r="BK47" i="36"/>
  <c r="AN47" i="36"/>
  <c r="BI47" i="36"/>
  <c r="AX47" i="36"/>
  <c r="BB47" i="36"/>
  <c r="AS47" i="36"/>
  <c r="AO47" i="36"/>
  <c r="AV47" i="36"/>
  <c r="AW47" i="36"/>
  <c r="AT47" i="36"/>
  <c r="BC47" i="36"/>
  <c r="AP47" i="36"/>
  <c r="BP47" i="36"/>
  <c r="BF47" i="36"/>
  <c r="BE47" i="36"/>
  <c r="BM47" i="36"/>
  <c r="BG47" i="36"/>
  <c r="BD47" i="36"/>
  <c r="AZ47" i="36"/>
  <c r="AY47" i="36"/>
  <c r="BL47" i="36"/>
  <c r="BO47" i="36"/>
  <c r="AR47" i="36"/>
  <c r="BJ47" i="36"/>
  <c r="AU47" i="36"/>
  <c r="AJ48" i="57"/>
  <c r="AJ47" i="57"/>
  <c r="BH47" i="36"/>
  <c r="AQ47" i="36"/>
  <c r="K1168" i="67" l="1"/>
  <c r="K1164" i="67"/>
  <c r="K1514" i="67"/>
  <c r="K1510" i="67"/>
  <c r="K1463" i="67"/>
  <c r="AF1164" i="67"/>
  <c r="AF1168" i="67"/>
  <c r="AF1463" i="67"/>
  <c r="AF1510" i="67"/>
  <c r="AF1514" i="67"/>
  <c r="AT1164" i="67"/>
  <c r="AT1168" i="67"/>
  <c r="AT1510" i="67"/>
  <c r="AT1514" i="67"/>
  <c r="AT1463" i="67"/>
  <c r="W1164" i="67"/>
  <c r="W1168" i="67"/>
  <c r="W1463" i="67"/>
  <c r="W1510" i="67"/>
  <c r="W1514" i="67"/>
  <c r="AC1164" i="67"/>
  <c r="AC1168" i="67"/>
  <c r="AC1463" i="67"/>
  <c r="AC1514" i="67"/>
  <c r="AC1510" i="67"/>
  <c r="AE1164" i="67"/>
  <c r="AE1168" i="67"/>
  <c r="AE1463" i="67"/>
  <c r="AE1510" i="67"/>
  <c r="AE1514" i="67"/>
  <c r="AU1164" i="67"/>
  <c r="AU1168" i="67"/>
  <c r="AU1463" i="67"/>
  <c r="AU1510" i="67"/>
  <c r="AU1514" i="67"/>
  <c r="Q1168" i="67"/>
  <c r="Q1164" i="67"/>
  <c r="Q1463" i="67"/>
  <c r="Q1510" i="67"/>
  <c r="Q1514" i="67"/>
  <c r="M1164" i="67"/>
  <c r="M1168" i="67"/>
  <c r="M1463" i="67"/>
  <c r="M1514" i="67"/>
  <c r="M1510" i="67"/>
  <c r="AB1168" i="67"/>
  <c r="AB1164" i="67"/>
  <c r="AB1463" i="67"/>
  <c r="AB1510" i="67"/>
  <c r="AB1514" i="67"/>
  <c r="AN1164" i="67"/>
  <c r="AN1168" i="67"/>
  <c r="AN1463" i="67"/>
  <c r="AN1510" i="67"/>
  <c r="AN1514" i="67"/>
  <c r="AD1164" i="67"/>
  <c r="AD1168" i="67"/>
  <c r="AD1510" i="67"/>
  <c r="AD1514" i="67"/>
  <c r="AD1463" i="67"/>
  <c r="AI1164" i="67"/>
  <c r="AI1168" i="67"/>
  <c r="AI1463" i="67"/>
  <c r="AI1510" i="67"/>
  <c r="AI1514" i="67"/>
  <c r="T1168" i="67"/>
  <c r="T1164" i="67"/>
  <c r="T1463" i="67"/>
  <c r="T1510" i="67"/>
  <c r="T1514" i="67"/>
  <c r="AQ1164" i="67"/>
  <c r="AQ1168" i="67"/>
  <c r="AQ1463" i="67"/>
  <c r="AQ1510" i="67"/>
  <c r="AQ1514" i="67"/>
  <c r="AG1164" i="67"/>
  <c r="AG1168" i="67"/>
  <c r="AG1463" i="67"/>
  <c r="AG1510" i="67"/>
  <c r="AG1514" i="67"/>
  <c r="AJ1168" i="67"/>
  <c r="AJ1164" i="67"/>
  <c r="AJ1463" i="67"/>
  <c r="AJ1510" i="67"/>
  <c r="AJ1514" i="67"/>
  <c r="V1164" i="67"/>
  <c r="V1168" i="67"/>
  <c r="V1463" i="67"/>
  <c r="V1510" i="67"/>
  <c r="V1514" i="67"/>
  <c r="AP1164" i="67"/>
  <c r="AP1168" i="67"/>
  <c r="AP1510" i="67"/>
  <c r="AP1514" i="67"/>
  <c r="AP1463" i="67"/>
  <c r="AH1164" i="67"/>
  <c r="AH1168" i="67"/>
  <c r="AH1463" i="67"/>
  <c r="AH1510" i="67"/>
  <c r="AH1514" i="67"/>
  <c r="N1164" i="67"/>
  <c r="N1168" i="67"/>
  <c r="N1463" i="67"/>
  <c r="N1510" i="67"/>
  <c r="N1514" i="67"/>
  <c r="P1164" i="67"/>
  <c r="P1168" i="67"/>
  <c r="P1463" i="67"/>
  <c r="P1510" i="67"/>
  <c r="P1514" i="67"/>
  <c r="X1164" i="67"/>
  <c r="X1168" i="67"/>
  <c r="X1463" i="67"/>
  <c r="X1510" i="67"/>
  <c r="X1514" i="67"/>
  <c r="AS1164" i="67"/>
  <c r="AS1168" i="67"/>
  <c r="AS1463" i="67"/>
  <c r="AS1514" i="67"/>
  <c r="AS1510" i="67"/>
  <c r="AW1164" i="67"/>
  <c r="AW1168" i="67"/>
  <c r="AW1463" i="67"/>
  <c r="AW1510" i="67"/>
  <c r="AW1514" i="67"/>
  <c r="AR1168" i="67"/>
  <c r="AR1164" i="67"/>
  <c r="AR1463" i="67"/>
  <c r="AR1510" i="67"/>
  <c r="AR1514" i="67"/>
  <c r="S1164" i="67"/>
  <c r="S1168" i="67"/>
  <c r="S1463" i="67"/>
  <c r="S1510" i="67"/>
  <c r="S1514" i="67"/>
  <c r="AO1164" i="67"/>
  <c r="AO1168" i="67"/>
  <c r="AO1463" i="67"/>
  <c r="AO1514" i="67"/>
  <c r="AO1510" i="67"/>
  <c r="Y1164" i="67"/>
  <c r="Y1168" i="67"/>
  <c r="Y1463" i="67"/>
  <c r="Y1514" i="67"/>
  <c r="Y1510" i="67"/>
  <c r="AL1164" i="67"/>
  <c r="AL1168" i="67"/>
  <c r="AL1510" i="67"/>
  <c r="AL1514" i="67"/>
  <c r="AL1463" i="67"/>
  <c r="AV1164" i="67"/>
  <c r="AV1168" i="67"/>
  <c r="AV1463" i="67"/>
  <c r="AV1510" i="67"/>
  <c r="AV1514" i="67"/>
  <c r="AK1164" i="67"/>
  <c r="AK1168" i="67"/>
  <c r="AK1463" i="67"/>
  <c r="AK1510" i="67"/>
  <c r="AK1514" i="67"/>
  <c r="AM1164" i="67"/>
  <c r="AM1168" i="67"/>
  <c r="AM1463" i="67"/>
  <c r="AM1510" i="67"/>
  <c r="AM1514" i="67"/>
  <c r="AA1164" i="67"/>
  <c r="AA1168" i="67"/>
  <c r="AA1463" i="67"/>
  <c r="AA1510" i="67"/>
  <c r="AA1514" i="67"/>
  <c r="Z1164" i="67"/>
  <c r="Z1168" i="67"/>
  <c r="Z1510" i="67"/>
  <c r="Z1514" i="67"/>
  <c r="Z1463" i="67"/>
  <c r="U1164" i="67"/>
  <c r="U1168" i="67"/>
  <c r="U1463" i="67"/>
  <c r="U1510" i="67"/>
  <c r="U1514" i="67"/>
  <c r="O1164" i="67"/>
  <c r="O1168" i="67"/>
  <c r="O1463" i="67"/>
  <c r="O1510" i="67"/>
  <c r="O1514" i="67"/>
  <c r="R1164" i="67"/>
  <c r="R1168" i="67"/>
  <c r="R1463" i="67"/>
  <c r="R1510" i="67"/>
  <c r="R1514" i="67"/>
  <c r="L1168" i="67"/>
  <c r="L1164" i="67"/>
  <c r="L1463" i="67"/>
  <c r="L1510" i="67"/>
  <c r="L1514" i="67"/>
  <c r="AO715" i="67"/>
  <c r="AO664" i="67"/>
  <c r="AO711" i="67"/>
  <c r="AT711" i="67"/>
  <c r="AT715" i="67"/>
  <c r="AT664" i="67"/>
  <c r="X715" i="67"/>
  <c r="X711" i="67"/>
  <c r="X664" i="67"/>
  <c r="AB715" i="67"/>
  <c r="AB664" i="67"/>
  <c r="AB711" i="67"/>
  <c r="AS715" i="67"/>
  <c r="AS711" i="67"/>
  <c r="AS664" i="67"/>
  <c r="AN715" i="67"/>
  <c r="AN711" i="67"/>
  <c r="AN664" i="67"/>
  <c r="AW715" i="67"/>
  <c r="AW664" i="67"/>
  <c r="AW711" i="67"/>
  <c r="AD711" i="67"/>
  <c r="AD715" i="67"/>
  <c r="AD664" i="67"/>
  <c r="AI711" i="67"/>
  <c r="AI715" i="67"/>
  <c r="AI664" i="67"/>
  <c r="AR715" i="67"/>
  <c r="AR664" i="67"/>
  <c r="AR711" i="67"/>
  <c r="T715" i="67"/>
  <c r="T664" i="67"/>
  <c r="T711" i="67"/>
  <c r="S711" i="67"/>
  <c r="S715" i="67"/>
  <c r="S664" i="67"/>
  <c r="K715" i="67"/>
  <c r="K711" i="67"/>
  <c r="K664" i="67"/>
  <c r="AF715" i="67"/>
  <c r="AF711" i="67"/>
  <c r="AF664" i="67"/>
  <c r="W711" i="67"/>
  <c r="W715" i="67"/>
  <c r="W664" i="67"/>
  <c r="AC715" i="67"/>
  <c r="AC664" i="67"/>
  <c r="AC711" i="67"/>
  <c r="AE711" i="67"/>
  <c r="AE715" i="67"/>
  <c r="AE664" i="67"/>
  <c r="AU711" i="67"/>
  <c r="AU715" i="67"/>
  <c r="AU664" i="67"/>
  <c r="Q715" i="67"/>
  <c r="Q711" i="67"/>
  <c r="Q664" i="67"/>
  <c r="M715" i="67"/>
  <c r="M664" i="67"/>
  <c r="M711" i="67"/>
  <c r="Y715" i="67"/>
  <c r="Y711" i="67"/>
  <c r="Y664" i="67"/>
  <c r="AL711" i="67"/>
  <c r="AL715" i="67"/>
  <c r="AL664" i="67"/>
  <c r="V711" i="67"/>
  <c r="V715" i="67"/>
  <c r="V664" i="67"/>
  <c r="BA135" i="34"/>
  <c r="AH711" i="67"/>
  <c r="AH715" i="67"/>
  <c r="AH664" i="67"/>
  <c r="N711" i="67"/>
  <c r="N715" i="67"/>
  <c r="N664" i="67"/>
  <c r="P715" i="67"/>
  <c r="P711" i="67"/>
  <c r="P664" i="67"/>
  <c r="AQ711" i="67"/>
  <c r="AQ715" i="67"/>
  <c r="AQ664" i="67"/>
  <c r="AG715" i="67"/>
  <c r="AG664" i="67"/>
  <c r="AG711" i="67"/>
  <c r="AJ715" i="67"/>
  <c r="AJ664" i="67"/>
  <c r="AJ711" i="67"/>
  <c r="AP711" i="67"/>
  <c r="AP715" i="67"/>
  <c r="AP664" i="67"/>
  <c r="AV715" i="67"/>
  <c r="AV711" i="67"/>
  <c r="AV664" i="67"/>
  <c r="AK715" i="67"/>
  <c r="AK664" i="67"/>
  <c r="AK711" i="67"/>
  <c r="AM711" i="67"/>
  <c r="AM715" i="67"/>
  <c r="AM664" i="67"/>
  <c r="AA711" i="67"/>
  <c r="AA715" i="67"/>
  <c r="AA664" i="67"/>
  <c r="Z711" i="67"/>
  <c r="Z715" i="67"/>
  <c r="Z664" i="67"/>
  <c r="U715" i="67"/>
  <c r="U664" i="67"/>
  <c r="U711" i="67"/>
  <c r="O711" i="67"/>
  <c r="O715" i="67"/>
  <c r="O664" i="67"/>
  <c r="R711" i="67"/>
  <c r="R715" i="67"/>
  <c r="R664" i="67"/>
  <c r="L715" i="67"/>
  <c r="L664" i="67"/>
  <c r="L711" i="67"/>
  <c r="BG45" i="70"/>
  <c r="BF45" i="36"/>
  <c r="AM67" i="45"/>
  <c r="BA48" i="36"/>
  <c r="BA88" i="34"/>
  <c r="BA139" i="34"/>
  <c r="AH46" i="36"/>
  <c r="O1462" i="67" s="1"/>
  <c r="AI42" i="68" s="1"/>
  <c r="H38" i="62" s="1"/>
  <c r="AG46" i="36"/>
  <c r="N1462" i="67" s="1"/>
  <c r="AH42" i="68" s="1"/>
  <c r="G38" i="62" s="1"/>
  <c r="AI46" i="36"/>
  <c r="P1462" i="67" s="1"/>
  <c r="AJ42" i="68" s="1"/>
  <c r="I38" i="62" s="1"/>
  <c r="AD46" i="36"/>
  <c r="K1462" i="67" s="1"/>
  <c r="AE42" i="68" s="1"/>
  <c r="D38" i="62" s="1"/>
  <c r="AE46" i="36"/>
  <c r="L1462" i="67" s="1"/>
  <c r="AF42" i="68" s="1"/>
  <c r="E38" i="62" s="1"/>
  <c r="AF46" i="36"/>
  <c r="M1462" i="67" s="1"/>
  <c r="AG42" i="68" s="1"/>
  <c r="F38" i="62" s="1"/>
  <c r="AI48" i="36"/>
  <c r="AI88" i="34"/>
  <c r="AI139" i="34"/>
  <c r="AI135" i="34"/>
  <c r="AD48" i="36"/>
  <c r="AD135" i="34"/>
  <c r="AD88" i="34"/>
  <c r="AD139" i="34"/>
  <c r="AE48" i="36"/>
  <c r="AE139" i="34"/>
  <c r="AE135" i="34"/>
  <c r="AE88" i="34"/>
  <c r="AF48" i="36"/>
  <c r="AF88" i="34"/>
  <c r="AF135" i="34"/>
  <c r="AF139" i="34"/>
  <c r="AG48" i="36"/>
  <c r="AG135" i="34"/>
  <c r="AG139" i="34"/>
  <c r="AG88" i="34"/>
  <c r="AF86" i="34"/>
  <c r="AE86" i="34"/>
  <c r="AD86" i="34"/>
  <c r="AI86" i="34"/>
  <c r="AH86" i="34"/>
  <c r="AG86" i="34"/>
  <c r="AH48" i="36"/>
  <c r="AH135" i="34"/>
  <c r="AH88" i="34"/>
  <c r="AH139" i="34"/>
  <c r="AQ88" i="34"/>
  <c r="AQ139" i="34"/>
  <c r="AQ48" i="36"/>
  <c r="AQ135" i="34"/>
  <c r="AU139" i="34"/>
  <c r="AU135" i="34"/>
  <c r="AU88" i="34"/>
  <c r="AU48" i="36"/>
  <c r="BL88" i="34"/>
  <c r="BL48" i="36"/>
  <c r="BL139" i="34"/>
  <c r="BL135" i="34"/>
  <c r="BG139" i="34"/>
  <c r="BG88" i="34"/>
  <c r="BG48" i="36"/>
  <c r="BG135" i="34"/>
  <c r="BF135" i="34"/>
  <c r="BF88" i="34"/>
  <c r="BF139" i="34"/>
  <c r="BF48" i="36"/>
  <c r="AT48" i="36"/>
  <c r="AT139" i="34"/>
  <c r="AT88" i="34"/>
  <c r="AT135" i="34"/>
  <c r="AO88" i="34"/>
  <c r="AO48" i="36"/>
  <c r="AO139" i="34"/>
  <c r="AO135" i="34"/>
  <c r="BB88" i="34"/>
  <c r="BB48" i="36"/>
  <c r="BB139" i="34"/>
  <c r="BB135" i="34"/>
  <c r="BK48" i="36"/>
  <c r="BK139" i="34"/>
  <c r="BK88" i="34"/>
  <c r="BK135" i="34"/>
  <c r="BH48" i="36"/>
  <c r="BH88" i="34"/>
  <c r="BH135" i="34"/>
  <c r="BH139" i="34"/>
  <c r="BJ48" i="36"/>
  <c r="BJ139" i="34"/>
  <c r="BJ135" i="34"/>
  <c r="BJ88" i="34"/>
  <c r="AY139" i="34"/>
  <c r="AY135" i="34"/>
  <c r="AY88" i="34"/>
  <c r="AY48" i="36"/>
  <c r="BM139" i="34"/>
  <c r="BM48" i="36"/>
  <c r="BM88" i="34"/>
  <c r="BM135" i="34"/>
  <c r="BP48" i="36"/>
  <c r="BP135" i="34"/>
  <c r="BP139" i="34"/>
  <c r="BP88" i="34"/>
  <c r="AL48" i="36"/>
  <c r="AL88" i="34"/>
  <c r="AL139" i="34"/>
  <c r="AL135" i="34"/>
  <c r="AS88" i="34"/>
  <c r="AS139" i="34"/>
  <c r="AS48" i="36"/>
  <c r="AS135" i="34"/>
  <c r="AX139" i="34"/>
  <c r="AX48" i="36"/>
  <c r="AX135" i="34"/>
  <c r="AX88" i="34"/>
  <c r="BN48" i="36"/>
  <c r="BN135" i="34"/>
  <c r="BN139" i="34"/>
  <c r="BN88" i="34"/>
  <c r="AJ86" i="34"/>
  <c r="AP86" i="34"/>
  <c r="AU86" i="34"/>
  <c r="BD86" i="34"/>
  <c r="AO86" i="34"/>
  <c r="AM86" i="34"/>
  <c r="AT86" i="34"/>
  <c r="AV86" i="34"/>
  <c r="AL86" i="34"/>
  <c r="AS86" i="34"/>
  <c r="AW86" i="34"/>
  <c r="AY86" i="34"/>
  <c r="BC86" i="34"/>
  <c r="AQ86" i="34"/>
  <c r="AR86" i="34"/>
  <c r="BB86" i="34"/>
  <c r="AZ86" i="34"/>
  <c r="AN86" i="34"/>
  <c r="BE86" i="34"/>
  <c r="BA86" i="34"/>
  <c r="AK86" i="34"/>
  <c r="AX86" i="34"/>
  <c r="AR139" i="34"/>
  <c r="AR48" i="36"/>
  <c r="AR135" i="34"/>
  <c r="AR88" i="34"/>
  <c r="AZ139" i="34"/>
  <c r="AZ48" i="36"/>
  <c r="AZ135" i="34"/>
  <c r="AZ88" i="34"/>
  <c r="AJ139" i="34"/>
  <c r="AJ135" i="34"/>
  <c r="AJ48" i="36"/>
  <c r="AJ88" i="34"/>
  <c r="AP48" i="36"/>
  <c r="AP139" i="34"/>
  <c r="AP135" i="34"/>
  <c r="AP88" i="34"/>
  <c r="AW135" i="34"/>
  <c r="AW48" i="36"/>
  <c r="AW88" i="34"/>
  <c r="AW139" i="34"/>
  <c r="AK88" i="34"/>
  <c r="AK135" i="34"/>
  <c r="AK48" i="36"/>
  <c r="AK139" i="34"/>
  <c r="BI48" i="36"/>
  <c r="BI139" i="34"/>
  <c r="BI88" i="34"/>
  <c r="BI135" i="34"/>
  <c r="AP46" i="36"/>
  <c r="W1462" i="67" s="1"/>
  <c r="AQ42" i="68" s="1"/>
  <c r="P38" i="62" s="1"/>
  <c r="AK46" i="36"/>
  <c r="R1462" i="67" s="1"/>
  <c r="AL42" i="68" s="1"/>
  <c r="K38" i="62" s="1"/>
  <c r="AU46" i="36"/>
  <c r="AB1462" i="67" s="1"/>
  <c r="AV42" i="68" s="1"/>
  <c r="U38" i="62" s="1"/>
  <c r="AT46" i="36"/>
  <c r="AA1462" i="67" s="1"/>
  <c r="AU42" i="68" s="1"/>
  <c r="T38" i="62" s="1"/>
  <c r="AR46" i="36"/>
  <c r="Y1462" i="67" s="1"/>
  <c r="AS42" i="68" s="1"/>
  <c r="R38" i="62" s="1"/>
  <c r="AM46" i="36"/>
  <c r="T1462" i="67" s="1"/>
  <c r="AN42" i="68" s="1"/>
  <c r="M38" i="62" s="1"/>
  <c r="AJ46" i="36"/>
  <c r="Q1462" i="67" s="1"/>
  <c r="AK42" i="68" s="1"/>
  <c r="J38" i="62" s="1"/>
  <c r="AS46" i="36"/>
  <c r="Z1462" i="67" s="1"/>
  <c r="AT42" i="68" s="1"/>
  <c r="S38" i="62" s="1"/>
  <c r="AW46" i="36"/>
  <c r="AD1462" i="67" s="1"/>
  <c r="AX42" i="68" s="1"/>
  <c r="W38" i="62" s="1"/>
  <c r="AY46" i="36"/>
  <c r="AF1462" i="67" s="1"/>
  <c r="AZ42" i="68" s="1"/>
  <c r="Y38" i="62" s="1"/>
  <c r="AZ46" i="36"/>
  <c r="AG1462" i="67" s="1"/>
  <c r="BA42" i="68" s="1"/>
  <c r="Z38" i="62" s="1"/>
  <c r="AO46" i="36"/>
  <c r="V1462" i="67" s="1"/>
  <c r="AP42" i="68" s="1"/>
  <c r="O38" i="62" s="1"/>
  <c r="AQ46" i="36"/>
  <c r="X1462" i="67" s="1"/>
  <c r="AR42" i="68" s="1"/>
  <c r="Q38" i="62" s="1"/>
  <c r="AN46" i="36"/>
  <c r="U1462" i="67" s="1"/>
  <c r="AO42" i="68" s="1"/>
  <c r="N38" i="62" s="1"/>
  <c r="BB46" i="36"/>
  <c r="AI1462" i="67" s="1"/>
  <c r="BC42" i="68" s="1"/>
  <c r="AB38" i="62" s="1"/>
  <c r="BJ46" i="36"/>
  <c r="AQ1462" i="67" s="1"/>
  <c r="BK42" i="68" s="1"/>
  <c r="AJ38" i="62" s="1"/>
  <c r="BC46" i="36"/>
  <c r="AJ1462" i="67" s="1"/>
  <c r="BD42" i="68" s="1"/>
  <c r="AC38" i="62" s="1"/>
  <c r="BH46" i="36"/>
  <c r="AO1462" i="67" s="1"/>
  <c r="BI42" i="68" s="1"/>
  <c r="AH38" i="62" s="1"/>
  <c r="BM46" i="36"/>
  <c r="AT1462" i="67" s="1"/>
  <c r="BN42" i="68" s="1"/>
  <c r="AM38" i="62" s="1"/>
  <c r="AL46" i="36"/>
  <c r="S1462" i="67" s="1"/>
  <c r="AM42" i="68" s="1"/>
  <c r="L38" i="62" s="1"/>
  <c r="BE46" i="36"/>
  <c r="AL1462" i="67" s="1"/>
  <c r="BF42" i="68" s="1"/>
  <c r="AE38" i="62" s="1"/>
  <c r="AX46" i="36"/>
  <c r="AE1462" i="67" s="1"/>
  <c r="AY42" i="68" s="1"/>
  <c r="X38" i="62" s="1"/>
  <c r="BA46" i="36"/>
  <c r="AH1462" i="67" s="1"/>
  <c r="BB42" i="68" s="1"/>
  <c r="AA38" i="62" s="1"/>
  <c r="BK46" i="36"/>
  <c r="AR1462" i="67" s="1"/>
  <c r="BL42" i="68" s="1"/>
  <c r="AK38" i="62" s="1"/>
  <c r="AV46" i="36"/>
  <c r="AC1462" i="67" s="1"/>
  <c r="AW42" i="68" s="1"/>
  <c r="V38" i="62" s="1"/>
  <c r="BN46" i="36"/>
  <c r="AU1462" i="67" s="1"/>
  <c r="BO42" i="68" s="1"/>
  <c r="AN38" i="62" s="1"/>
  <c r="BI46" i="36"/>
  <c r="AP1462" i="67" s="1"/>
  <c r="BJ42" i="68" s="1"/>
  <c r="AI38" i="62" s="1"/>
  <c r="BF46" i="36"/>
  <c r="AM1462" i="67" s="1"/>
  <c r="BG42" i="68" s="1"/>
  <c r="AF38" i="62" s="1"/>
  <c r="BP46" i="36"/>
  <c r="AW1462" i="67" s="1"/>
  <c r="BQ42" i="68" s="1"/>
  <c r="AP38" i="62" s="1"/>
  <c r="BD46" i="36"/>
  <c r="AK1462" i="67" s="1"/>
  <c r="BE42" i="68" s="1"/>
  <c r="AD38" i="62" s="1"/>
  <c r="BG46" i="36"/>
  <c r="AN1462" i="67" s="1"/>
  <c r="BH42" i="68" s="1"/>
  <c r="AG38" i="62" s="1"/>
  <c r="BL46" i="36"/>
  <c r="AS1462" i="67" s="1"/>
  <c r="BM42" i="68" s="1"/>
  <c r="AL38" i="62" s="1"/>
  <c r="BO46" i="36"/>
  <c r="AV1462" i="67" s="1"/>
  <c r="BP42" i="68" s="1"/>
  <c r="AO38" i="62" s="1"/>
  <c r="BO88" i="34"/>
  <c r="BO135" i="34"/>
  <c r="BO139" i="34"/>
  <c r="BO48" i="36"/>
  <c r="BD135" i="34"/>
  <c r="BD88" i="34"/>
  <c r="BD139" i="34"/>
  <c r="BD48" i="36"/>
  <c r="BE48" i="36"/>
  <c r="BE88" i="34"/>
  <c r="BE139" i="34"/>
  <c r="BE135" i="34"/>
  <c r="BC48" i="36"/>
  <c r="BC135" i="34"/>
  <c r="BC139" i="34"/>
  <c r="BC88" i="34"/>
  <c r="AV88" i="34"/>
  <c r="AV48" i="36"/>
  <c r="AV139" i="34"/>
  <c r="AV135" i="34"/>
  <c r="AM135" i="34"/>
  <c r="AM139" i="34"/>
  <c r="AM48" i="36"/>
  <c r="AM88" i="34"/>
  <c r="AN88" i="34"/>
  <c r="AN48" i="36"/>
  <c r="AN139" i="34"/>
  <c r="AN135" i="34"/>
  <c r="K1018" i="67" l="1"/>
  <c r="K1014" i="67"/>
  <c r="K967" i="67"/>
  <c r="K1165" i="67"/>
  <c r="K1118" i="67"/>
  <c r="K1169" i="67"/>
  <c r="K1515" i="67"/>
  <c r="K1464" i="67"/>
  <c r="K1511" i="67"/>
  <c r="K1117" i="67"/>
  <c r="K966" i="67"/>
  <c r="K512" i="67"/>
  <c r="K54" i="67"/>
  <c r="K815" i="67"/>
  <c r="K207" i="67"/>
  <c r="K360" i="67"/>
  <c r="K1013" i="67"/>
  <c r="K254" i="67"/>
  <c r="K559" i="67"/>
  <c r="K407" i="67"/>
  <c r="K862" i="67"/>
  <c r="K101" i="67"/>
  <c r="K1017" i="67"/>
  <c r="K866" i="67"/>
  <c r="K411" i="67"/>
  <c r="K105" i="67"/>
  <c r="K258" i="67"/>
  <c r="K563" i="67"/>
  <c r="AP1013" i="67"/>
  <c r="AP407" i="67"/>
  <c r="AP862" i="67"/>
  <c r="AP559" i="67"/>
  <c r="AP101" i="67"/>
  <c r="AP254" i="67"/>
  <c r="V1013" i="67"/>
  <c r="V407" i="67"/>
  <c r="V559" i="67"/>
  <c r="V101" i="67"/>
  <c r="V862" i="67"/>
  <c r="V254" i="67"/>
  <c r="AJ1017" i="67"/>
  <c r="AJ563" i="67"/>
  <c r="AJ105" i="67"/>
  <c r="AJ258" i="67"/>
  <c r="AJ866" i="67"/>
  <c r="AJ411" i="67"/>
  <c r="AQ966" i="67"/>
  <c r="AQ1117" i="67"/>
  <c r="AQ207" i="67"/>
  <c r="AQ512" i="67"/>
  <c r="AQ54" i="67"/>
  <c r="AQ360" i="67"/>
  <c r="AQ815" i="67"/>
  <c r="T1013" i="67"/>
  <c r="T559" i="67"/>
  <c r="T101" i="67"/>
  <c r="T862" i="67"/>
  <c r="T254" i="67"/>
  <c r="T407" i="67"/>
  <c r="AI1017" i="67"/>
  <c r="AI563" i="67"/>
  <c r="AI105" i="67"/>
  <c r="AI258" i="67"/>
  <c r="AI411" i="67"/>
  <c r="AI866" i="67"/>
  <c r="AN966" i="67"/>
  <c r="AN1117" i="67"/>
  <c r="AN360" i="67"/>
  <c r="AN512" i="67"/>
  <c r="AN54" i="67"/>
  <c r="AN815" i="67"/>
  <c r="AN207" i="67"/>
  <c r="AB1013" i="67"/>
  <c r="AB254" i="67"/>
  <c r="AB407" i="67"/>
  <c r="AB559" i="67"/>
  <c r="AB862" i="67"/>
  <c r="AB101" i="67"/>
  <c r="M1013" i="67"/>
  <c r="M407" i="67"/>
  <c r="M862" i="67"/>
  <c r="M254" i="67"/>
  <c r="M559" i="67"/>
  <c r="M101" i="67"/>
  <c r="AU1117" i="67"/>
  <c r="AU966" i="67"/>
  <c r="AU512" i="67"/>
  <c r="AU54" i="67"/>
  <c r="AU360" i="67"/>
  <c r="AU815" i="67"/>
  <c r="AU207" i="67"/>
  <c r="AE1013" i="67"/>
  <c r="AE559" i="67"/>
  <c r="AE101" i="67"/>
  <c r="AE862" i="67"/>
  <c r="AE254" i="67"/>
  <c r="AE407" i="67"/>
  <c r="AC1013" i="67"/>
  <c r="AC407" i="67"/>
  <c r="AC862" i="67"/>
  <c r="AC254" i="67"/>
  <c r="AC559" i="67"/>
  <c r="AC101" i="67"/>
  <c r="AT1013" i="67"/>
  <c r="AT407" i="67"/>
  <c r="AT862" i="67"/>
  <c r="AT254" i="67"/>
  <c r="AT559" i="67"/>
  <c r="AT101" i="67"/>
  <c r="AF1013" i="67"/>
  <c r="AF559" i="67"/>
  <c r="AF101" i="67"/>
  <c r="AF407" i="67"/>
  <c r="AF254" i="67"/>
  <c r="AF862" i="67"/>
  <c r="R1014" i="67"/>
  <c r="R1018" i="67"/>
  <c r="R967" i="67"/>
  <c r="R1118" i="67"/>
  <c r="R1165" i="67"/>
  <c r="R1169" i="67"/>
  <c r="R1464" i="67"/>
  <c r="R1511" i="67"/>
  <c r="R1515" i="67"/>
  <c r="Q1014" i="67"/>
  <c r="Q1018" i="67"/>
  <c r="Q967" i="67"/>
  <c r="Q1118" i="67"/>
  <c r="Q1165" i="67"/>
  <c r="Q1169" i="67"/>
  <c r="Q1464" i="67"/>
  <c r="Q1511" i="67"/>
  <c r="Q1515" i="67"/>
  <c r="S1014" i="67"/>
  <c r="S967" i="67"/>
  <c r="S1018" i="67"/>
  <c r="S1118" i="67"/>
  <c r="S1165" i="67"/>
  <c r="S1169" i="67"/>
  <c r="S1464" i="67"/>
  <c r="S1515" i="67"/>
  <c r="S1511" i="67"/>
  <c r="AQ1014" i="67"/>
  <c r="AQ1018" i="67"/>
  <c r="AQ967" i="67"/>
  <c r="AQ1118" i="67"/>
  <c r="AQ1165" i="67"/>
  <c r="AQ1169" i="67"/>
  <c r="AQ1464" i="67"/>
  <c r="AQ1511" i="67"/>
  <c r="AQ1515" i="67"/>
  <c r="AR1014" i="67"/>
  <c r="AR1018" i="67"/>
  <c r="AR967" i="67"/>
  <c r="AR1118" i="67"/>
  <c r="AR1165" i="67"/>
  <c r="AR1169" i="67"/>
  <c r="AR1464" i="67"/>
  <c r="AR1511" i="67"/>
  <c r="AR1515" i="67"/>
  <c r="AA1014" i="67"/>
  <c r="AA1018" i="67"/>
  <c r="AA967" i="67"/>
  <c r="AA1118" i="67"/>
  <c r="AA1165" i="67"/>
  <c r="AA1169" i="67"/>
  <c r="AA1464" i="67"/>
  <c r="AA1511" i="67"/>
  <c r="AA1515" i="67"/>
  <c r="L1117" i="67"/>
  <c r="L966" i="67"/>
  <c r="L54" i="67"/>
  <c r="L512" i="67"/>
  <c r="L207" i="67"/>
  <c r="L360" i="67"/>
  <c r="L815" i="67"/>
  <c r="R1013" i="67"/>
  <c r="R254" i="67"/>
  <c r="R407" i="67"/>
  <c r="R559" i="67"/>
  <c r="R101" i="67"/>
  <c r="R862" i="67"/>
  <c r="O1017" i="67"/>
  <c r="O411" i="67"/>
  <c r="O866" i="67"/>
  <c r="O258" i="67"/>
  <c r="O563" i="67"/>
  <c r="O105" i="67"/>
  <c r="AA1013" i="67"/>
  <c r="AA559" i="67"/>
  <c r="AA101" i="67"/>
  <c r="AA862" i="67"/>
  <c r="AA407" i="67"/>
  <c r="AA254" i="67"/>
  <c r="AM1017" i="67"/>
  <c r="AM105" i="67"/>
  <c r="AM866" i="67"/>
  <c r="AM258" i="67"/>
  <c r="AM411" i="67"/>
  <c r="AM563" i="67"/>
  <c r="Y1013" i="67"/>
  <c r="Y101" i="67"/>
  <c r="Y407" i="67"/>
  <c r="Y862" i="67"/>
  <c r="Y254" i="67"/>
  <c r="Y559" i="67"/>
  <c r="S966" i="67"/>
  <c r="S1117" i="67"/>
  <c r="S54" i="67"/>
  <c r="S512" i="67"/>
  <c r="S360" i="67"/>
  <c r="S207" i="67"/>
  <c r="S815" i="67"/>
  <c r="AW1017" i="67"/>
  <c r="AW411" i="67"/>
  <c r="AW563" i="67"/>
  <c r="AW105" i="67"/>
  <c r="AW866" i="67"/>
  <c r="AW258" i="67"/>
  <c r="P1013" i="67"/>
  <c r="P407" i="67"/>
  <c r="P559" i="67"/>
  <c r="P101" i="67"/>
  <c r="P862" i="67"/>
  <c r="P254" i="67"/>
  <c r="N1017" i="67"/>
  <c r="N411" i="67"/>
  <c r="N563" i="67"/>
  <c r="N105" i="67"/>
  <c r="N866" i="67"/>
  <c r="N258" i="67"/>
  <c r="AJ1014" i="67"/>
  <c r="AJ967" i="67"/>
  <c r="AJ1018" i="67"/>
  <c r="AJ1118" i="67"/>
  <c r="AJ1165" i="67"/>
  <c r="AJ1169" i="67"/>
  <c r="AJ1511" i="67"/>
  <c r="AJ1515" i="67"/>
  <c r="AJ1464" i="67"/>
  <c r="AL1014" i="67"/>
  <c r="AL1018" i="67"/>
  <c r="AL967" i="67"/>
  <c r="AL1118" i="67"/>
  <c r="AL1169" i="67"/>
  <c r="AL1165" i="67"/>
  <c r="AL1464" i="67"/>
  <c r="AL1511" i="67"/>
  <c r="AL1515" i="67"/>
  <c r="AD1014" i="67"/>
  <c r="AD1018" i="67"/>
  <c r="AD967" i="67"/>
  <c r="AD1118" i="67"/>
  <c r="AD1169" i="67"/>
  <c r="AD1165" i="67"/>
  <c r="AD1464" i="67"/>
  <c r="AD1511" i="67"/>
  <c r="AD1515" i="67"/>
  <c r="AG1014" i="67"/>
  <c r="AG1018" i="67"/>
  <c r="AG967" i="67"/>
  <c r="AG1118" i="67"/>
  <c r="AG1165" i="67"/>
  <c r="AG1169" i="67"/>
  <c r="AG1464" i="67"/>
  <c r="AG1511" i="67"/>
  <c r="AG1515" i="67"/>
  <c r="Y1014" i="67"/>
  <c r="Y1018" i="67"/>
  <c r="Y967" i="67"/>
  <c r="Y1118" i="67"/>
  <c r="Y1165" i="67"/>
  <c r="Y1169" i="67"/>
  <c r="Y1464" i="67"/>
  <c r="Y1511" i="67"/>
  <c r="Y1515" i="67"/>
  <c r="AF1018" i="67"/>
  <c r="AF967" i="67"/>
  <c r="AF1014" i="67"/>
  <c r="AF1118" i="67"/>
  <c r="AF1165" i="67"/>
  <c r="AF1169" i="67"/>
  <c r="AF1511" i="67"/>
  <c r="AF1515" i="67"/>
  <c r="AF1464" i="67"/>
  <c r="AM1018" i="67"/>
  <c r="AM1014" i="67"/>
  <c r="AM967" i="67"/>
  <c r="AM1165" i="67"/>
  <c r="AM1118" i="67"/>
  <c r="AM1169" i="67"/>
  <c r="AM1464" i="67"/>
  <c r="AM1515" i="67"/>
  <c r="AM1511" i="67"/>
  <c r="AB1014" i="67"/>
  <c r="AB1018" i="67"/>
  <c r="AB967" i="67"/>
  <c r="AB1118" i="67"/>
  <c r="AB1165" i="67"/>
  <c r="AB1169" i="67"/>
  <c r="AB1464" i="67"/>
  <c r="AB1511" i="67"/>
  <c r="AB1515" i="67"/>
  <c r="BF86" i="34"/>
  <c r="BD41" i="45" s="1"/>
  <c r="BD63" i="45" s="1"/>
  <c r="AM1461" i="67"/>
  <c r="BG41" i="68" s="1"/>
  <c r="AF37" i="62" s="1"/>
  <c r="R1117" i="67"/>
  <c r="R966" i="67"/>
  <c r="R54" i="67"/>
  <c r="R815" i="67"/>
  <c r="R360" i="67"/>
  <c r="R207" i="67"/>
  <c r="R512" i="67"/>
  <c r="O1013" i="67"/>
  <c r="O559" i="67"/>
  <c r="O101" i="67"/>
  <c r="O862" i="67"/>
  <c r="O254" i="67"/>
  <c r="O407" i="67"/>
  <c r="U1017" i="67"/>
  <c r="U563" i="67"/>
  <c r="U105" i="67"/>
  <c r="U866" i="67"/>
  <c r="U258" i="67"/>
  <c r="U411" i="67"/>
  <c r="AA966" i="67"/>
  <c r="AA1117" i="67"/>
  <c r="AA360" i="67"/>
  <c r="AA512" i="67"/>
  <c r="AA54" i="67"/>
  <c r="AA815" i="67"/>
  <c r="AA207" i="67"/>
  <c r="AM1013" i="67"/>
  <c r="AM407" i="67"/>
  <c r="AM559" i="67"/>
  <c r="AM101" i="67"/>
  <c r="AM862" i="67"/>
  <c r="AM254" i="67"/>
  <c r="AK1017" i="67"/>
  <c r="AK563" i="67"/>
  <c r="AK105" i="67"/>
  <c r="AK411" i="67"/>
  <c r="AK866" i="67"/>
  <c r="AK258" i="67"/>
  <c r="AL1013" i="67"/>
  <c r="AL559" i="67"/>
  <c r="AL101" i="67"/>
  <c r="AL407" i="67"/>
  <c r="AL862" i="67"/>
  <c r="AL254" i="67"/>
  <c r="Y1017" i="67"/>
  <c r="Y411" i="67"/>
  <c r="Y563" i="67"/>
  <c r="Y105" i="67"/>
  <c r="Y866" i="67"/>
  <c r="Y258" i="67"/>
  <c r="AO1013" i="67"/>
  <c r="AO407" i="67"/>
  <c r="AO559" i="67"/>
  <c r="AO101" i="67"/>
  <c r="AO862" i="67"/>
  <c r="AO254" i="67"/>
  <c r="AR1117" i="67"/>
  <c r="AR966" i="67"/>
  <c r="AR207" i="67"/>
  <c r="AR512" i="67"/>
  <c r="AR54" i="67"/>
  <c r="AR360" i="67"/>
  <c r="AR815" i="67"/>
  <c r="AW1013" i="67"/>
  <c r="AW862" i="67"/>
  <c r="AW254" i="67"/>
  <c r="AW559" i="67"/>
  <c r="AW101" i="67"/>
  <c r="AW407" i="67"/>
  <c r="AS1013" i="67"/>
  <c r="AS407" i="67"/>
  <c r="AS559" i="67"/>
  <c r="AS101" i="67"/>
  <c r="AS862" i="67"/>
  <c r="AS254" i="67"/>
  <c r="P1117" i="67"/>
  <c r="P966" i="67"/>
  <c r="P360" i="67"/>
  <c r="P512" i="67"/>
  <c r="P54" i="67"/>
  <c r="P815" i="67"/>
  <c r="P207" i="67"/>
  <c r="N1013" i="67"/>
  <c r="N559" i="67"/>
  <c r="N407" i="67"/>
  <c r="N101" i="67"/>
  <c r="N862" i="67"/>
  <c r="N254" i="67"/>
  <c r="AH1017" i="67"/>
  <c r="AH411" i="67"/>
  <c r="AH563" i="67"/>
  <c r="AH105" i="67"/>
  <c r="AH866" i="67"/>
  <c r="AH258" i="67"/>
  <c r="V966" i="67"/>
  <c r="V1117" i="67"/>
  <c r="V360" i="67"/>
  <c r="V512" i="67"/>
  <c r="V54" i="67"/>
  <c r="V815" i="67"/>
  <c r="V207" i="67"/>
  <c r="AJ1013" i="67"/>
  <c r="AJ407" i="67"/>
  <c r="AJ559" i="67"/>
  <c r="AJ101" i="67"/>
  <c r="AJ862" i="67"/>
  <c r="AJ254" i="67"/>
  <c r="AG1017" i="67"/>
  <c r="AG411" i="67"/>
  <c r="AG866" i="67"/>
  <c r="AG563" i="67"/>
  <c r="AG105" i="67"/>
  <c r="AG258" i="67"/>
  <c r="T1117" i="67"/>
  <c r="T966" i="67"/>
  <c r="T512" i="67"/>
  <c r="T815" i="67"/>
  <c r="T207" i="67"/>
  <c r="T360" i="67"/>
  <c r="T54" i="67"/>
  <c r="AI1013" i="67"/>
  <c r="AI407" i="67"/>
  <c r="AI559" i="67"/>
  <c r="AI101" i="67"/>
  <c r="AI862" i="67"/>
  <c r="AI254" i="67"/>
  <c r="AD966" i="67"/>
  <c r="AD1117" i="67"/>
  <c r="AD512" i="67"/>
  <c r="AD54" i="67"/>
  <c r="AD360" i="67"/>
  <c r="AD815" i="67"/>
  <c r="AD207" i="67"/>
  <c r="AB1117" i="67"/>
  <c r="AB966" i="67"/>
  <c r="AB512" i="67"/>
  <c r="AB54" i="67"/>
  <c r="AB360" i="67"/>
  <c r="AB815" i="67"/>
  <c r="AB207" i="67"/>
  <c r="M1017" i="67"/>
  <c r="M866" i="67"/>
  <c r="M563" i="67"/>
  <c r="M105" i="67"/>
  <c r="M411" i="67"/>
  <c r="M258" i="67"/>
  <c r="Q1017" i="67"/>
  <c r="Q411" i="67"/>
  <c r="Q563" i="67"/>
  <c r="Q105" i="67"/>
  <c r="Q866" i="67"/>
  <c r="Q258" i="67"/>
  <c r="AE1117" i="67"/>
  <c r="AE966" i="67"/>
  <c r="AE512" i="67"/>
  <c r="AE54" i="67"/>
  <c r="AE360" i="67"/>
  <c r="AE815" i="67"/>
  <c r="AE207" i="67"/>
  <c r="AC1017" i="67"/>
  <c r="AC411" i="67"/>
  <c r="AC258" i="67"/>
  <c r="AC563" i="67"/>
  <c r="AC105" i="67"/>
  <c r="AC866" i="67"/>
  <c r="W1017" i="67"/>
  <c r="W563" i="67"/>
  <c r="W411" i="67"/>
  <c r="W105" i="67"/>
  <c r="W866" i="67"/>
  <c r="W258" i="67"/>
  <c r="AF1117" i="67"/>
  <c r="AF966" i="67"/>
  <c r="AF512" i="67"/>
  <c r="AF54" i="67"/>
  <c r="AF360" i="67"/>
  <c r="AF815" i="67"/>
  <c r="AF207" i="67"/>
  <c r="AU1014" i="67"/>
  <c r="AU967" i="67"/>
  <c r="AU1018" i="67"/>
  <c r="AU1165" i="67"/>
  <c r="AU1118" i="67"/>
  <c r="AU1169" i="67"/>
  <c r="AU1464" i="67"/>
  <c r="AU1511" i="67"/>
  <c r="AU1515" i="67"/>
  <c r="AW1014" i="67"/>
  <c r="AW1018" i="67"/>
  <c r="AW967" i="67"/>
  <c r="AW1118" i="67"/>
  <c r="AW1165" i="67"/>
  <c r="AW1169" i="67"/>
  <c r="AW1464" i="67"/>
  <c r="AW1511" i="67"/>
  <c r="AW1515" i="67"/>
  <c r="AO1014" i="67"/>
  <c r="AO967" i="67"/>
  <c r="AO1018" i="67"/>
  <c r="AO1118" i="67"/>
  <c r="AO1165" i="67"/>
  <c r="AO1169" i="67"/>
  <c r="AO1464" i="67"/>
  <c r="AO1511" i="67"/>
  <c r="AO1515" i="67"/>
  <c r="O1018" i="67"/>
  <c r="O967" i="67"/>
  <c r="O1014" i="67"/>
  <c r="O1165" i="67"/>
  <c r="O1118" i="67"/>
  <c r="O1169" i="67"/>
  <c r="O1464" i="67"/>
  <c r="O1511" i="67"/>
  <c r="O1515" i="67"/>
  <c r="Z1013" i="67"/>
  <c r="Z559" i="67"/>
  <c r="Z101" i="67"/>
  <c r="Z407" i="67"/>
  <c r="Z862" i="67"/>
  <c r="Z254" i="67"/>
  <c r="AV1117" i="67"/>
  <c r="AV966" i="67"/>
  <c r="AV815" i="67"/>
  <c r="AV207" i="67"/>
  <c r="AV360" i="67"/>
  <c r="AV512" i="67"/>
  <c r="AV54" i="67"/>
  <c r="AL1017" i="67"/>
  <c r="AL563" i="67"/>
  <c r="AL105" i="67"/>
  <c r="AL866" i="67"/>
  <c r="AL258" i="67"/>
  <c r="AL411" i="67"/>
  <c r="AR1013" i="67"/>
  <c r="AR407" i="67"/>
  <c r="AR559" i="67"/>
  <c r="AR101" i="67"/>
  <c r="AR862" i="67"/>
  <c r="AR254" i="67"/>
  <c r="X966" i="67"/>
  <c r="X1117" i="67"/>
  <c r="X815" i="67"/>
  <c r="X360" i="67"/>
  <c r="X54" i="67"/>
  <c r="X512" i="67"/>
  <c r="X207" i="67"/>
  <c r="AK1014" i="67"/>
  <c r="AK1018" i="67"/>
  <c r="AK967" i="67"/>
  <c r="AK1118" i="67"/>
  <c r="AK1165" i="67"/>
  <c r="AK1169" i="67"/>
  <c r="AK1464" i="67"/>
  <c r="AK1511" i="67"/>
  <c r="AK1515" i="67"/>
  <c r="AV1018" i="67"/>
  <c r="AV1014" i="67"/>
  <c r="AV967" i="67"/>
  <c r="AV1118" i="67"/>
  <c r="AV1165" i="67"/>
  <c r="AV1169" i="67"/>
  <c r="AV1511" i="67"/>
  <c r="AV1515" i="67"/>
  <c r="AV1464" i="67"/>
  <c r="AP1014" i="67"/>
  <c r="AP1018" i="67"/>
  <c r="AP967" i="67"/>
  <c r="AP1118" i="67"/>
  <c r="AP1165" i="67"/>
  <c r="AP1169" i="67"/>
  <c r="AP1464" i="67"/>
  <c r="AP1511" i="67"/>
  <c r="AP1515" i="67"/>
  <c r="W1018" i="67"/>
  <c r="W967" i="67"/>
  <c r="W1014" i="67"/>
  <c r="W1165" i="67"/>
  <c r="W1169" i="67"/>
  <c r="W1118" i="67"/>
  <c r="W1464" i="67"/>
  <c r="W1515" i="67"/>
  <c r="W1511" i="67"/>
  <c r="Z1014" i="67"/>
  <c r="Z1018" i="67"/>
  <c r="Z967" i="67"/>
  <c r="Z1118" i="67"/>
  <c r="Z1165" i="67"/>
  <c r="Z1169" i="67"/>
  <c r="Z1464" i="67"/>
  <c r="Z1511" i="67"/>
  <c r="Z1515" i="67"/>
  <c r="AN1018" i="67"/>
  <c r="AN1014" i="67"/>
  <c r="AN967" i="67"/>
  <c r="AN1118" i="67"/>
  <c r="AN1165" i="67"/>
  <c r="AN1169" i="67"/>
  <c r="AN1511" i="67"/>
  <c r="AN1515" i="67"/>
  <c r="AN1464" i="67"/>
  <c r="X1014" i="67"/>
  <c r="X1018" i="67"/>
  <c r="X967" i="67"/>
  <c r="X1118" i="67"/>
  <c r="X1165" i="67"/>
  <c r="X1169" i="67"/>
  <c r="X1511" i="67"/>
  <c r="X1515" i="67"/>
  <c r="X1464" i="67"/>
  <c r="N1014" i="67"/>
  <c r="N1018" i="67"/>
  <c r="N967" i="67"/>
  <c r="N1118" i="67"/>
  <c r="N1169" i="67"/>
  <c r="N1165" i="67"/>
  <c r="N1464" i="67"/>
  <c r="N1511" i="67"/>
  <c r="N1515" i="67"/>
  <c r="M1014" i="67"/>
  <c r="M1018" i="67"/>
  <c r="M967" i="67"/>
  <c r="M1118" i="67"/>
  <c r="M1165" i="67"/>
  <c r="M1169" i="67"/>
  <c r="M1464" i="67"/>
  <c r="M1511" i="67"/>
  <c r="M1515" i="67"/>
  <c r="L1014" i="67"/>
  <c r="L967" i="67"/>
  <c r="L1018" i="67"/>
  <c r="L1118" i="67"/>
  <c r="L1165" i="67"/>
  <c r="L1169" i="67"/>
  <c r="L1464" i="67"/>
  <c r="L1511" i="67"/>
  <c r="L1515" i="67"/>
  <c r="P1018" i="67"/>
  <c r="P967" i="67"/>
  <c r="P1014" i="67"/>
  <c r="P1118" i="67"/>
  <c r="P1165" i="67"/>
  <c r="P1169" i="67"/>
  <c r="P1511" i="67"/>
  <c r="P1515" i="67"/>
  <c r="P1464" i="67"/>
  <c r="L1017" i="67"/>
  <c r="L563" i="67"/>
  <c r="L105" i="67"/>
  <c r="L411" i="67"/>
  <c r="L866" i="67"/>
  <c r="L258" i="67"/>
  <c r="O1117" i="67"/>
  <c r="O966" i="67"/>
  <c r="O512" i="67"/>
  <c r="O54" i="67"/>
  <c r="O207" i="67"/>
  <c r="O360" i="67"/>
  <c r="O815" i="67"/>
  <c r="U1013" i="67"/>
  <c r="U559" i="67"/>
  <c r="U101" i="67"/>
  <c r="U407" i="67"/>
  <c r="U862" i="67"/>
  <c r="U254" i="67"/>
  <c r="Z1117" i="67"/>
  <c r="Z966" i="67"/>
  <c r="Z512" i="67"/>
  <c r="Z54" i="67"/>
  <c r="Z360" i="67"/>
  <c r="Z815" i="67"/>
  <c r="Z207" i="67"/>
  <c r="AM1117" i="67"/>
  <c r="AM966" i="67"/>
  <c r="AM360" i="67"/>
  <c r="AM815" i="67"/>
  <c r="AM207" i="67"/>
  <c r="AM512" i="67"/>
  <c r="AM54" i="67"/>
  <c r="AK1013" i="67"/>
  <c r="AK559" i="67"/>
  <c r="AK407" i="67"/>
  <c r="AK862" i="67"/>
  <c r="AK101" i="67"/>
  <c r="AK254" i="67"/>
  <c r="AV1017" i="67"/>
  <c r="AV258" i="67"/>
  <c r="AV411" i="67"/>
  <c r="AV563" i="67"/>
  <c r="AV105" i="67"/>
  <c r="AV866" i="67"/>
  <c r="Y966" i="67"/>
  <c r="Y1117" i="67"/>
  <c r="Y360" i="67"/>
  <c r="Y512" i="67"/>
  <c r="Y54" i="67"/>
  <c r="Y815" i="67"/>
  <c r="Y207" i="67"/>
  <c r="AO1017" i="67"/>
  <c r="AO563" i="67"/>
  <c r="AO105" i="67"/>
  <c r="AO411" i="67"/>
  <c r="AO866" i="67"/>
  <c r="AO258" i="67"/>
  <c r="S1017" i="67"/>
  <c r="S411" i="67"/>
  <c r="S563" i="67"/>
  <c r="S866" i="67"/>
  <c r="S258" i="67"/>
  <c r="S105" i="67"/>
  <c r="AW966" i="67"/>
  <c r="AW1117" i="67"/>
  <c r="AW207" i="67"/>
  <c r="AW54" i="67"/>
  <c r="AW512" i="67"/>
  <c r="AW360" i="67"/>
  <c r="AW815" i="67"/>
  <c r="AS1017" i="67"/>
  <c r="AS411" i="67"/>
  <c r="AS563" i="67"/>
  <c r="AS866" i="67"/>
  <c r="AS105" i="67"/>
  <c r="AS258" i="67"/>
  <c r="X1017" i="67"/>
  <c r="X866" i="67"/>
  <c r="X411" i="67"/>
  <c r="X105" i="67"/>
  <c r="X563" i="67"/>
  <c r="X258" i="67"/>
  <c r="N966" i="67"/>
  <c r="N1117" i="67"/>
  <c r="N360" i="67"/>
  <c r="N512" i="67"/>
  <c r="N54" i="67"/>
  <c r="N815" i="67"/>
  <c r="N207" i="67"/>
  <c r="AH1013" i="67"/>
  <c r="AH559" i="67"/>
  <c r="AH101" i="67"/>
  <c r="AH407" i="67"/>
  <c r="AH862" i="67"/>
  <c r="AH254" i="67"/>
  <c r="AP1117" i="67"/>
  <c r="AP966" i="67"/>
  <c r="AP207" i="67"/>
  <c r="AP512" i="67"/>
  <c r="AP360" i="67"/>
  <c r="AP815" i="67"/>
  <c r="AP54" i="67"/>
  <c r="AJ1117" i="67"/>
  <c r="AJ966" i="67"/>
  <c r="AJ54" i="67"/>
  <c r="AJ512" i="67"/>
  <c r="AJ360" i="67"/>
  <c r="AJ815" i="67"/>
  <c r="AJ207" i="67"/>
  <c r="AG1013" i="67"/>
  <c r="AG559" i="67"/>
  <c r="AG101" i="67"/>
  <c r="AG407" i="67"/>
  <c r="AG862" i="67"/>
  <c r="AG254" i="67"/>
  <c r="AQ1017" i="67"/>
  <c r="AQ411" i="67"/>
  <c r="AQ563" i="67"/>
  <c r="AQ105" i="67"/>
  <c r="AQ866" i="67"/>
  <c r="AQ258" i="67"/>
  <c r="AI966" i="67"/>
  <c r="AI1117" i="67"/>
  <c r="AI360" i="67"/>
  <c r="AI512" i="67"/>
  <c r="AI54" i="67"/>
  <c r="AI815" i="67"/>
  <c r="AI207" i="67"/>
  <c r="AD1017" i="67"/>
  <c r="AD563" i="67"/>
  <c r="AD105" i="67"/>
  <c r="AD411" i="67"/>
  <c r="AD866" i="67"/>
  <c r="AD258" i="67"/>
  <c r="AN1017" i="67"/>
  <c r="AN411" i="67"/>
  <c r="AN563" i="67"/>
  <c r="AN105" i="67"/>
  <c r="AN866" i="67"/>
  <c r="AN258" i="67"/>
  <c r="M1117" i="67"/>
  <c r="M966" i="67"/>
  <c r="M207" i="67"/>
  <c r="M54" i="67"/>
  <c r="M360" i="67"/>
  <c r="M512" i="67"/>
  <c r="M815" i="67"/>
  <c r="Q1013" i="67"/>
  <c r="Q559" i="67"/>
  <c r="Q407" i="67"/>
  <c r="Q254" i="67"/>
  <c r="Q101" i="67"/>
  <c r="Q862" i="67"/>
  <c r="AU1017" i="67"/>
  <c r="AU411" i="67"/>
  <c r="AU866" i="67"/>
  <c r="AU258" i="67"/>
  <c r="AU105" i="67"/>
  <c r="AU563" i="67"/>
  <c r="AC1117" i="67"/>
  <c r="AC966" i="67"/>
  <c r="AC512" i="67"/>
  <c r="AC54" i="67"/>
  <c r="AC360" i="67"/>
  <c r="AC815" i="67"/>
  <c r="AC207" i="67"/>
  <c r="W1013" i="67"/>
  <c r="W559" i="67"/>
  <c r="W101" i="67"/>
  <c r="W862" i="67"/>
  <c r="W254" i="67"/>
  <c r="W407" i="67"/>
  <c r="AT966" i="67"/>
  <c r="AT1117" i="67"/>
  <c r="AT360" i="67"/>
  <c r="AT207" i="67"/>
  <c r="AT512" i="67"/>
  <c r="AT815" i="67"/>
  <c r="AT54" i="67"/>
  <c r="U1014" i="67"/>
  <c r="U1018" i="67"/>
  <c r="U967" i="67"/>
  <c r="U1118" i="67"/>
  <c r="U1165" i="67"/>
  <c r="U1169" i="67"/>
  <c r="U1464" i="67"/>
  <c r="U1511" i="67"/>
  <c r="U1515" i="67"/>
  <c r="AC1014" i="67"/>
  <c r="AC1018" i="67"/>
  <c r="AC967" i="67"/>
  <c r="AC1118" i="67"/>
  <c r="AC1165" i="67"/>
  <c r="AC1169" i="67"/>
  <c r="AC1464" i="67"/>
  <c r="AC1511" i="67"/>
  <c r="AC1515" i="67"/>
  <c r="T1014" i="67"/>
  <c r="T967" i="67"/>
  <c r="T1018" i="67"/>
  <c r="T1118" i="67"/>
  <c r="T1165" i="67"/>
  <c r="T1169" i="67"/>
  <c r="T1511" i="67"/>
  <c r="T1515" i="67"/>
  <c r="T1464" i="67"/>
  <c r="AE967" i="67"/>
  <c r="AE1014" i="67"/>
  <c r="AE1018" i="67"/>
  <c r="AE1165" i="67"/>
  <c r="AE1118" i="67"/>
  <c r="AE1169" i="67"/>
  <c r="AE1464" i="67"/>
  <c r="AE1511" i="67"/>
  <c r="AE1515" i="67"/>
  <c r="AT1014" i="67"/>
  <c r="AT1018" i="67"/>
  <c r="AT967" i="67"/>
  <c r="AT1118" i="67"/>
  <c r="AT1169" i="67"/>
  <c r="AT1165" i="67"/>
  <c r="AT1464" i="67"/>
  <c r="AT1511" i="67"/>
  <c r="AT1515" i="67"/>
  <c r="AI1014" i="67"/>
  <c r="AI967" i="67"/>
  <c r="AI1018" i="67"/>
  <c r="AI1118" i="67"/>
  <c r="AI1165" i="67"/>
  <c r="AI1169" i="67"/>
  <c r="AI1464" i="67"/>
  <c r="AI1515" i="67"/>
  <c r="AI1511" i="67"/>
  <c r="V1014" i="67"/>
  <c r="V1018" i="67"/>
  <c r="V967" i="67"/>
  <c r="V1118" i="67"/>
  <c r="V1169" i="67"/>
  <c r="V1165" i="67"/>
  <c r="V1464" i="67"/>
  <c r="V1511" i="67"/>
  <c r="V1515" i="67"/>
  <c r="AS1014" i="67"/>
  <c r="AS1018" i="67"/>
  <c r="AS967" i="67"/>
  <c r="AS1118" i="67"/>
  <c r="AS1165" i="67"/>
  <c r="AS1169" i="67"/>
  <c r="AS1464" i="67"/>
  <c r="AS1511" i="67"/>
  <c r="AS1515" i="67"/>
  <c r="AH1014" i="67"/>
  <c r="AH1018" i="67"/>
  <c r="AH967" i="67"/>
  <c r="AH1118" i="67"/>
  <c r="AH1165" i="67"/>
  <c r="AH1169" i="67"/>
  <c r="AH1464" i="67"/>
  <c r="AH1511" i="67"/>
  <c r="AH1515" i="67"/>
  <c r="L1013" i="67"/>
  <c r="L101" i="67"/>
  <c r="L559" i="67"/>
  <c r="L407" i="67"/>
  <c r="L254" i="67"/>
  <c r="L862" i="67"/>
  <c r="R1017" i="67"/>
  <c r="R563" i="67"/>
  <c r="R105" i="67"/>
  <c r="R411" i="67"/>
  <c r="R866" i="67"/>
  <c r="R258" i="67"/>
  <c r="U1117" i="67"/>
  <c r="U966" i="67"/>
  <c r="U54" i="67"/>
  <c r="U360" i="67"/>
  <c r="U815" i="67"/>
  <c r="U207" i="67"/>
  <c r="U512" i="67"/>
  <c r="Z1017" i="67"/>
  <c r="Z563" i="67"/>
  <c r="Z105" i="67"/>
  <c r="Z411" i="67"/>
  <c r="Z866" i="67"/>
  <c r="Z258" i="67"/>
  <c r="AA1017" i="67"/>
  <c r="AA563" i="67"/>
  <c r="AA105" i="67"/>
  <c r="AA411" i="67"/>
  <c r="AA866" i="67"/>
  <c r="AA258" i="67"/>
  <c r="AK1117" i="67"/>
  <c r="AK966" i="67"/>
  <c r="AK512" i="67"/>
  <c r="AK54" i="67"/>
  <c r="AK360" i="67"/>
  <c r="AK815" i="67"/>
  <c r="AK207" i="67"/>
  <c r="AV1013" i="67"/>
  <c r="AV101" i="67"/>
  <c r="AV559" i="67"/>
  <c r="AV862" i="67"/>
  <c r="AV407" i="67"/>
  <c r="AV254" i="67"/>
  <c r="AL966" i="67"/>
  <c r="AL1117" i="67"/>
  <c r="AL512" i="67"/>
  <c r="AL54" i="67"/>
  <c r="AL815" i="67"/>
  <c r="AL360" i="67"/>
  <c r="AL207" i="67"/>
  <c r="AO966" i="67"/>
  <c r="AO1117" i="67"/>
  <c r="AO360" i="67"/>
  <c r="AO207" i="67"/>
  <c r="AO512" i="67"/>
  <c r="AO54" i="67"/>
  <c r="AO815" i="67"/>
  <c r="S1013" i="67"/>
  <c r="S559" i="67"/>
  <c r="S101" i="67"/>
  <c r="S407" i="67"/>
  <c r="S862" i="67"/>
  <c r="S254" i="67"/>
  <c r="AR1017" i="67"/>
  <c r="AR411" i="67"/>
  <c r="AR258" i="67"/>
  <c r="AR563" i="67"/>
  <c r="AR105" i="67"/>
  <c r="AR866" i="67"/>
  <c r="AS1117" i="67"/>
  <c r="AS966" i="67"/>
  <c r="AS360" i="67"/>
  <c r="AS512" i="67"/>
  <c r="AS54" i="67"/>
  <c r="AS815" i="67"/>
  <c r="AS207" i="67"/>
  <c r="X1013" i="67"/>
  <c r="X407" i="67"/>
  <c r="X559" i="67"/>
  <c r="X101" i="67"/>
  <c r="X862" i="67"/>
  <c r="X254" i="67"/>
  <c r="P1017" i="67"/>
  <c r="P258" i="67"/>
  <c r="P411" i="67"/>
  <c r="P563" i="67"/>
  <c r="P105" i="67"/>
  <c r="P866" i="67"/>
  <c r="AH1117" i="67"/>
  <c r="AH966" i="67"/>
  <c r="AH512" i="67"/>
  <c r="AH54" i="67"/>
  <c r="AH360" i="67"/>
  <c r="AH815" i="67"/>
  <c r="AH207" i="67"/>
  <c r="AP1017" i="67"/>
  <c r="AP866" i="67"/>
  <c r="AP258" i="67"/>
  <c r="AP105" i="67"/>
  <c r="AP411" i="67"/>
  <c r="AP563" i="67"/>
  <c r="V1017" i="67"/>
  <c r="V411" i="67"/>
  <c r="V105" i="67"/>
  <c r="V258" i="67"/>
  <c r="V866" i="67"/>
  <c r="V563" i="67"/>
  <c r="AG966" i="67"/>
  <c r="AG1117" i="67"/>
  <c r="AG512" i="67"/>
  <c r="AG207" i="67"/>
  <c r="AG360" i="67"/>
  <c r="AG815" i="67"/>
  <c r="AG54" i="67"/>
  <c r="AQ1013" i="67"/>
  <c r="AQ407" i="67"/>
  <c r="AQ559" i="67"/>
  <c r="AQ101" i="67"/>
  <c r="AQ862" i="67"/>
  <c r="AQ254" i="67"/>
  <c r="T1017" i="67"/>
  <c r="T105" i="67"/>
  <c r="T258" i="67"/>
  <c r="T411" i="67"/>
  <c r="T563" i="67"/>
  <c r="T866" i="67"/>
  <c r="AD1013" i="67"/>
  <c r="AD559" i="67"/>
  <c r="AD101" i="67"/>
  <c r="AD407" i="67"/>
  <c r="AD862" i="67"/>
  <c r="AD254" i="67"/>
  <c r="AN1013" i="67"/>
  <c r="AN407" i="67"/>
  <c r="AN101" i="67"/>
  <c r="AN559" i="67"/>
  <c r="AN862" i="67"/>
  <c r="AN254" i="67"/>
  <c r="AB1017" i="67"/>
  <c r="AB866" i="67"/>
  <c r="AB411" i="67"/>
  <c r="AB105" i="67"/>
  <c r="AB563" i="67"/>
  <c r="AB258" i="67"/>
  <c r="Q966" i="67"/>
  <c r="Q1117" i="67"/>
  <c r="Q360" i="67"/>
  <c r="Q512" i="67"/>
  <c r="Q54" i="67"/>
  <c r="Q815" i="67"/>
  <c r="Q207" i="67"/>
  <c r="AU1013" i="67"/>
  <c r="AU407" i="67"/>
  <c r="AU254" i="67"/>
  <c r="AU101" i="67"/>
  <c r="AU559" i="67"/>
  <c r="AU862" i="67"/>
  <c r="AE1017" i="67"/>
  <c r="AE563" i="67"/>
  <c r="AE105" i="67"/>
  <c r="AE411" i="67"/>
  <c r="AE866" i="67"/>
  <c r="AE258" i="67"/>
  <c r="W1117" i="67"/>
  <c r="W966" i="67"/>
  <c r="W512" i="67"/>
  <c r="W360" i="67"/>
  <c r="W815" i="67"/>
  <c r="W54" i="67"/>
  <c r="W207" i="67"/>
  <c r="AT1017" i="67"/>
  <c r="AT866" i="67"/>
  <c r="AT258" i="67"/>
  <c r="AT563" i="67"/>
  <c r="AT105" i="67"/>
  <c r="AT411" i="67"/>
  <c r="AF1017" i="67"/>
  <c r="AF563" i="67"/>
  <c r="AF411" i="67"/>
  <c r="AF866" i="67"/>
  <c r="AF258" i="67"/>
  <c r="AF105" i="67"/>
  <c r="U712" i="67"/>
  <c r="U716" i="67"/>
  <c r="U665" i="67"/>
  <c r="AT716" i="67"/>
  <c r="AT712" i="67"/>
  <c r="AT665" i="67"/>
  <c r="V716" i="67"/>
  <c r="V712" i="67"/>
  <c r="V665" i="67"/>
  <c r="AS712" i="67"/>
  <c r="AS665" i="67"/>
  <c r="AS716" i="67"/>
  <c r="BA89" i="34"/>
  <c r="AH716" i="67"/>
  <c r="AH712" i="67"/>
  <c r="AH665" i="67"/>
  <c r="BH45" i="70"/>
  <c r="T712" i="67"/>
  <c r="T716" i="67"/>
  <c r="T665" i="67"/>
  <c r="Z716" i="67"/>
  <c r="Z712" i="67"/>
  <c r="Z665" i="67"/>
  <c r="AN712" i="67"/>
  <c r="AN716" i="67"/>
  <c r="AN665" i="67"/>
  <c r="X712" i="67"/>
  <c r="X716" i="67"/>
  <c r="X665" i="67"/>
  <c r="N716" i="67"/>
  <c r="N712" i="67"/>
  <c r="N665" i="67"/>
  <c r="M712" i="67"/>
  <c r="M716" i="67"/>
  <c r="M665" i="67"/>
  <c r="L712" i="67"/>
  <c r="L716" i="67"/>
  <c r="L665" i="67"/>
  <c r="K712" i="67"/>
  <c r="K716" i="67"/>
  <c r="K665" i="67"/>
  <c r="P712" i="67"/>
  <c r="P716" i="67"/>
  <c r="P665" i="67"/>
  <c r="Q712" i="67"/>
  <c r="Q665" i="67"/>
  <c r="Q716" i="67"/>
  <c r="AE716" i="67"/>
  <c r="AE712" i="67"/>
  <c r="AE665" i="67"/>
  <c r="AI716" i="67"/>
  <c r="AI712" i="67"/>
  <c r="AI665" i="67"/>
  <c r="R716" i="67"/>
  <c r="R712" i="67"/>
  <c r="R665" i="67"/>
  <c r="AJ712" i="67"/>
  <c r="AJ716" i="67"/>
  <c r="AJ665" i="67"/>
  <c r="AR712" i="67"/>
  <c r="AR716" i="67"/>
  <c r="AR665" i="67"/>
  <c r="AC712" i="67"/>
  <c r="AC665" i="67"/>
  <c r="AC716" i="67"/>
  <c r="AL716" i="67"/>
  <c r="AL712" i="67"/>
  <c r="AL665" i="67"/>
  <c r="AD716" i="67"/>
  <c r="AD712" i="67"/>
  <c r="AD665" i="67"/>
  <c r="AG712" i="67"/>
  <c r="AG665" i="67"/>
  <c r="AG716" i="67"/>
  <c r="Y712" i="67"/>
  <c r="Y665" i="67"/>
  <c r="Y716" i="67"/>
  <c r="AU716" i="67"/>
  <c r="AU712" i="67"/>
  <c r="AU665" i="67"/>
  <c r="S716" i="67"/>
  <c r="S665" i="67"/>
  <c r="S712" i="67"/>
  <c r="AW712" i="67"/>
  <c r="AW665" i="67"/>
  <c r="AW716" i="67"/>
  <c r="AQ716" i="67"/>
  <c r="AQ712" i="67"/>
  <c r="AQ665" i="67"/>
  <c r="AO712" i="67"/>
  <c r="AO665" i="67"/>
  <c r="AO716" i="67"/>
  <c r="AA716" i="67"/>
  <c r="AA712" i="67"/>
  <c r="AA665" i="67"/>
  <c r="O716" i="67"/>
  <c r="O712" i="67"/>
  <c r="O665" i="67"/>
  <c r="AK712" i="67"/>
  <c r="AK716" i="67"/>
  <c r="AK665" i="67"/>
  <c r="AV712" i="67"/>
  <c r="AV716" i="67"/>
  <c r="AV665" i="67"/>
  <c r="AP716" i="67"/>
  <c r="AP712" i="67"/>
  <c r="AP665" i="67"/>
  <c r="W716" i="67"/>
  <c r="W712" i="67"/>
  <c r="W665" i="67"/>
  <c r="AF712" i="67"/>
  <c r="AF716" i="67"/>
  <c r="AF665" i="67"/>
  <c r="AM716" i="67"/>
  <c r="AM712" i="67"/>
  <c r="AM665" i="67"/>
  <c r="AB712" i="67"/>
  <c r="AB716" i="67"/>
  <c r="AB665" i="67"/>
  <c r="BP87" i="34"/>
  <c r="BN42" i="45" s="1"/>
  <c r="BN64" i="45" s="1"/>
  <c r="BD87" i="34"/>
  <c r="BB42" i="45" s="1"/>
  <c r="BB64" i="45" s="1"/>
  <c r="BN87" i="34"/>
  <c r="BL42" i="45" s="1"/>
  <c r="BL64" i="45" s="1"/>
  <c r="AX87" i="34"/>
  <c r="AV42" i="45" s="1"/>
  <c r="AV64" i="45" s="1"/>
  <c r="BH87" i="34"/>
  <c r="BF42" i="45" s="1"/>
  <c r="BF64" i="45" s="1"/>
  <c r="AN87" i="34"/>
  <c r="AL42" i="45" s="1"/>
  <c r="AL64" i="45" s="1"/>
  <c r="AY87" i="34"/>
  <c r="AW42" i="45" s="1"/>
  <c r="AM87" i="34"/>
  <c r="AK42" i="45" s="1"/>
  <c r="AK87" i="34"/>
  <c r="AI42" i="45" s="1"/>
  <c r="AI64" i="45" s="1"/>
  <c r="AI87" i="34"/>
  <c r="AG42" i="45" s="1"/>
  <c r="AG64" i="45" s="1"/>
  <c r="BG45" i="36"/>
  <c r="AN1461" i="67" s="1"/>
  <c r="BH41" i="68" s="1"/>
  <c r="AG37" i="62" s="1"/>
  <c r="AV87" i="34"/>
  <c r="AT42" i="45" s="1"/>
  <c r="BE87" i="34"/>
  <c r="BC42" i="45" s="1"/>
  <c r="BC64" i="45" s="1"/>
  <c r="BC87" i="34"/>
  <c r="BA42" i="45" s="1"/>
  <c r="AQ87" i="34"/>
  <c r="AO42" i="45" s="1"/>
  <c r="AO64" i="45" s="1"/>
  <c r="AW87" i="34"/>
  <c r="AU42" i="45" s="1"/>
  <c r="AR87" i="34"/>
  <c r="AP42" i="45" s="1"/>
  <c r="AP64" i="45" s="1"/>
  <c r="AP87" i="34"/>
  <c r="AN42" i="45" s="1"/>
  <c r="AF87" i="34"/>
  <c r="AD42" i="45" s="1"/>
  <c r="AG87" i="34"/>
  <c r="AE42" i="45" s="1"/>
  <c r="BL87" i="34"/>
  <c r="BJ42" i="45" s="1"/>
  <c r="BJ64" i="45" s="1"/>
  <c r="BK87" i="34"/>
  <c r="BI42" i="45" s="1"/>
  <c r="BI64" i="45" s="1"/>
  <c r="AL87" i="34"/>
  <c r="AJ42" i="45" s="1"/>
  <c r="BJ87" i="34"/>
  <c r="BH42" i="45" s="1"/>
  <c r="BH64" i="45" s="1"/>
  <c r="AO87" i="34"/>
  <c r="AM42" i="45" s="1"/>
  <c r="AS87" i="34"/>
  <c r="AQ42" i="45" s="1"/>
  <c r="AQ64" i="45" s="1"/>
  <c r="AT87" i="34"/>
  <c r="AR42" i="45" s="1"/>
  <c r="AE87" i="34"/>
  <c r="AC42" i="45" s="1"/>
  <c r="AH87" i="34"/>
  <c r="AF42" i="45" s="1"/>
  <c r="BO87" i="34"/>
  <c r="BM42" i="45" s="1"/>
  <c r="BF87" i="34"/>
  <c r="BD42" i="45" s="1"/>
  <c r="BG87" i="34"/>
  <c r="BE42" i="45" s="1"/>
  <c r="BE64" i="45" s="1"/>
  <c r="BI87" i="34"/>
  <c r="BG42" i="45" s="1"/>
  <c r="BG64" i="45" s="1"/>
  <c r="BA87" i="34"/>
  <c r="AY42" i="45" s="1"/>
  <c r="AY64" i="45" s="1"/>
  <c r="BM87" i="34"/>
  <c r="BK42" i="45" s="1"/>
  <c r="BB87" i="34"/>
  <c r="AZ42" i="45" s="1"/>
  <c r="AZ64" i="45" s="1"/>
  <c r="AZ87" i="34"/>
  <c r="AX42" i="45" s="1"/>
  <c r="AJ87" i="34"/>
  <c r="AH42" i="45" s="1"/>
  <c r="AH64" i="45" s="1"/>
  <c r="AU87" i="34"/>
  <c r="AS42" i="45" s="1"/>
  <c r="AD87" i="34"/>
  <c r="AB42" i="45" s="1"/>
  <c r="AB64" i="45" s="1"/>
  <c r="BM44" i="45"/>
  <c r="AY64" i="68"/>
  <c r="BG63" i="68"/>
  <c r="AF44" i="45"/>
  <c r="AD41" i="45"/>
  <c r="AG63" i="68"/>
  <c r="AY44" i="45"/>
  <c r="AK44" i="45"/>
  <c r="BA44" i="45"/>
  <c r="BP64" i="68"/>
  <c r="BQ64" i="68"/>
  <c r="AW64" i="68"/>
  <c r="BF64" i="68"/>
  <c r="BD64" i="68"/>
  <c r="AR64" i="68"/>
  <c r="AX64" i="68"/>
  <c r="AS64" i="68"/>
  <c r="AQ64" i="68"/>
  <c r="AI44" i="45"/>
  <c r="AI41" i="45"/>
  <c r="AI63" i="45" s="1"/>
  <c r="AL63" i="68"/>
  <c r="BC41" i="45"/>
  <c r="BF63" i="68"/>
  <c r="AX41" i="45"/>
  <c r="AX63" i="45" s="1"/>
  <c r="BA63" i="68"/>
  <c r="AO41" i="45"/>
  <c r="AR63" i="68"/>
  <c r="AQ41" i="45"/>
  <c r="AQ63" i="45" s="1"/>
  <c r="AT63" i="68"/>
  <c r="AK41" i="45"/>
  <c r="AN63" i="68"/>
  <c r="AN41" i="45"/>
  <c r="AN63" i="45" s="1"/>
  <c r="AQ63" i="68"/>
  <c r="AJ44" i="45"/>
  <c r="BF44" i="45"/>
  <c r="BD44" i="45"/>
  <c r="BE44" i="45"/>
  <c r="AG41" i="45"/>
  <c r="AG63" i="45" s="1"/>
  <c r="AJ63" i="68"/>
  <c r="AE44" i="45"/>
  <c r="AC44" i="45"/>
  <c r="AG64" i="68"/>
  <c r="AH64" i="68"/>
  <c r="AL44" i="45"/>
  <c r="AT44" i="45"/>
  <c r="BE64" i="68"/>
  <c r="BI64" i="68"/>
  <c r="AN64" i="68"/>
  <c r="AV41" i="45"/>
  <c r="AY63" i="68"/>
  <c r="AS41" i="45"/>
  <c r="AV63" i="68"/>
  <c r="BI44" i="45"/>
  <c r="AR44" i="45"/>
  <c r="AJ64" i="68"/>
  <c r="BM64" i="68"/>
  <c r="BG64" i="68"/>
  <c r="BL64" i="68"/>
  <c r="AM64" i="68"/>
  <c r="BK64" i="68"/>
  <c r="AP64" i="68"/>
  <c r="AT64" i="68"/>
  <c r="AU64" i="68"/>
  <c r="AN44" i="45"/>
  <c r="AH44" i="45"/>
  <c r="AX44" i="45"/>
  <c r="AP44" i="45"/>
  <c r="AL41" i="45"/>
  <c r="AO63" i="68"/>
  <c r="AZ41" i="45"/>
  <c r="AZ63" i="45" s="1"/>
  <c r="BC63" i="68"/>
  <c r="BA41" i="45"/>
  <c r="BD63" i="68"/>
  <c r="AJ41" i="45"/>
  <c r="AJ63" i="45" s="1"/>
  <c r="AM63" i="68"/>
  <c r="AM41" i="45"/>
  <c r="AP63" i="68"/>
  <c r="AH41" i="45"/>
  <c r="AH63" i="45" s="1"/>
  <c r="AK63" i="68"/>
  <c r="AQ44" i="45"/>
  <c r="AZ44" i="45"/>
  <c r="AM44" i="45"/>
  <c r="BJ44" i="45"/>
  <c r="AO44" i="45"/>
  <c r="AB41" i="45"/>
  <c r="AE63" i="68"/>
  <c r="AB44" i="45"/>
  <c r="AF64" i="68"/>
  <c r="AI64" i="68"/>
  <c r="BO64" i="68"/>
  <c r="AO64" i="68"/>
  <c r="AZ64" i="68"/>
  <c r="AL64" i="68"/>
  <c r="AU41" i="45"/>
  <c r="AU63" i="45" s="1"/>
  <c r="AX63" i="68"/>
  <c r="AR41" i="45"/>
  <c r="AR63" i="45" s="1"/>
  <c r="AU63" i="68"/>
  <c r="BK44" i="45"/>
  <c r="AW44" i="45"/>
  <c r="AS44" i="45"/>
  <c r="AF41" i="45"/>
  <c r="AI63" i="68"/>
  <c r="BC44" i="45"/>
  <c r="BB44" i="45"/>
  <c r="BH64" i="68"/>
  <c r="BJ64" i="68"/>
  <c r="BB64" i="68"/>
  <c r="BN64" i="68"/>
  <c r="BC64" i="68"/>
  <c r="BA64" i="68"/>
  <c r="AK64" i="68"/>
  <c r="AV64" i="68"/>
  <c r="BG44" i="45"/>
  <c r="AU44" i="45"/>
  <c r="AY41" i="45"/>
  <c r="AY63" i="45" s="1"/>
  <c r="BB63" i="68"/>
  <c r="AP41" i="45"/>
  <c r="AS63" i="68"/>
  <c r="AW41" i="45"/>
  <c r="AZ63" i="68"/>
  <c r="AT41" i="45"/>
  <c r="AW63" i="68"/>
  <c r="BB41" i="45"/>
  <c r="BE63" i="68"/>
  <c r="BL44" i="45"/>
  <c r="AV44" i="45"/>
  <c r="BN44" i="45"/>
  <c r="BH44" i="45"/>
  <c r="AE41" i="45"/>
  <c r="AH63" i="68"/>
  <c r="AC41" i="45"/>
  <c r="AC63" i="45" s="1"/>
  <c r="AF63" i="68"/>
  <c r="AD44" i="45"/>
  <c r="AG44" i="45"/>
  <c r="AE64" i="68"/>
  <c r="BA136" i="34"/>
  <c r="BA140" i="34"/>
  <c r="AG140" i="34"/>
  <c r="AG89" i="34"/>
  <c r="AG136" i="34"/>
  <c r="AE50" i="45" s="1"/>
  <c r="AF140" i="34"/>
  <c r="AF89" i="34"/>
  <c r="AF136" i="34"/>
  <c r="AD50" i="45" s="1"/>
  <c r="AE136" i="34"/>
  <c r="AC50" i="45" s="1"/>
  <c r="AE89" i="34"/>
  <c r="AE140" i="34"/>
  <c r="AD136" i="34"/>
  <c r="AB50" i="45" s="1"/>
  <c r="AD89" i="34"/>
  <c r="AD140" i="34"/>
  <c r="AI136" i="34"/>
  <c r="AG50" i="45" s="1"/>
  <c r="AI140" i="34"/>
  <c r="AI89" i="34"/>
  <c r="AH89" i="34"/>
  <c r="AH136" i="34"/>
  <c r="AF50" i="45" s="1"/>
  <c r="AH140" i="34"/>
  <c r="AT140" i="34"/>
  <c r="AT89" i="34"/>
  <c r="AT136" i="34"/>
  <c r="AR50" i="45" s="1"/>
  <c r="BC136" i="34"/>
  <c r="BC140" i="34"/>
  <c r="BC89" i="34"/>
  <c r="BE140" i="34"/>
  <c r="BE136" i="34"/>
  <c r="BE89" i="34"/>
  <c r="BI136" i="34"/>
  <c r="BI140" i="34"/>
  <c r="BI89" i="34"/>
  <c r="AP136" i="34"/>
  <c r="AN50" i="45" s="1"/>
  <c r="AP140" i="34"/>
  <c r="AP89" i="34"/>
  <c r="BN140" i="34"/>
  <c r="BN136" i="34"/>
  <c r="BN89" i="34"/>
  <c r="AL136" i="34"/>
  <c r="AJ50" i="45" s="1"/>
  <c r="AL140" i="34"/>
  <c r="AL89" i="34"/>
  <c r="BP136" i="34"/>
  <c r="BP89" i="34"/>
  <c r="BP140" i="34"/>
  <c r="BJ136" i="34"/>
  <c r="BJ89" i="34"/>
  <c r="BJ140" i="34"/>
  <c r="BH136" i="34"/>
  <c r="BH89" i="34"/>
  <c r="BH140" i="34"/>
  <c r="BB140" i="34"/>
  <c r="BB136" i="34"/>
  <c r="BB89" i="34"/>
  <c r="AO136" i="34"/>
  <c r="AM50" i="45" s="1"/>
  <c r="AO140" i="34"/>
  <c r="AO89" i="34"/>
  <c r="BL136" i="34"/>
  <c r="BL140" i="34"/>
  <c r="BL89" i="34"/>
  <c r="BO136" i="34"/>
  <c r="BO140" i="34"/>
  <c r="BO89" i="34"/>
  <c r="AY140" i="34"/>
  <c r="AY136" i="34"/>
  <c r="AY89" i="34"/>
  <c r="BK136" i="34"/>
  <c r="BK140" i="34"/>
  <c r="BK89" i="34"/>
  <c r="AM140" i="34"/>
  <c r="AM136" i="34"/>
  <c r="AK50" i="45" s="1"/>
  <c r="AM89" i="34"/>
  <c r="AK136" i="34"/>
  <c r="AI50" i="45" s="1"/>
  <c r="AK140" i="34"/>
  <c r="AK89" i="34"/>
  <c r="AJ140" i="34"/>
  <c r="AJ136" i="34"/>
  <c r="AH50" i="45" s="1"/>
  <c r="AJ89" i="34"/>
  <c r="AS136" i="34"/>
  <c r="AQ50" i="45" s="1"/>
  <c r="AS140" i="34"/>
  <c r="AS89" i="34"/>
  <c r="BF136" i="34"/>
  <c r="BF140" i="34"/>
  <c r="BF89" i="34"/>
  <c r="AU136" i="34"/>
  <c r="AS50" i="45" s="1"/>
  <c r="AU140" i="34"/>
  <c r="AU89" i="34"/>
  <c r="BD136" i="34"/>
  <c r="BD140" i="34"/>
  <c r="BD89" i="34"/>
  <c r="AN140" i="34"/>
  <c r="AN136" i="34"/>
  <c r="AL50" i="45" s="1"/>
  <c r="AN89" i="34"/>
  <c r="AV136" i="34"/>
  <c r="AT50" i="45" s="1"/>
  <c r="AV140" i="34"/>
  <c r="AV89" i="34"/>
  <c r="AW136" i="34"/>
  <c r="AW140" i="34"/>
  <c r="AW89" i="34"/>
  <c r="AZ140" i="34"/>
  <c r="AZ136" i="34"/>
  <c r="AZ89" i="34"/>
  <c r="AR136" i="34"/>
  <c r="AP50" i="45" s="1"/>
  <c r="AR140" i="34"/>
  <c r="AR89" i="34"/>
  <c r="AX140" i="34"/>
  <c r="AX136" i="34"/>
  <c r="AX89" i="34"/>
  <c r="BM136" i="34"/>
  <c r="BM140" i="34"/>
  <c r="BM89" i="34"/>
  <c r="BG136" i="34"/>
  <c r="BG140" i="34"/>
  <c r="BG89" i="34"/>
  <c r="AQ140" i="34"/>
  <c r="AQ136" i="34"/>
  <c r="AO50" i="45" s="1"/>
  <c r="AQ89" i="34"/>
  <c r="AK45" i="57"/>
  <c r="AJ45" i="57"/>
  <c r="K1270" i="67" l="1"/>
  <c r="AE44" i="68" s="1"/>
  <c r="K1317" i="67"/>
  <c r="K1321" i="67"/>
  <c r="K513" i="67"/>
  <c r="K55" i="67"/>
  <c r="K816" i="67"/>
  <c r="K361" i="67"/>
  <c r="K208" i="67"/>
  <c r="K255" i="67"/>
  <c r="K560" i="67"/>
  <c r="K102" i="67"/>
  <c r="K408" i="67"/>
  <c r="K863" i="67"/>
  <c r="K259" i="67"/>
  <c r="K564" i="67"/>
  <c r="K412" i="67"/>
  <c r="K867" i="67"/>
  <c r="K106" i="67"/>
  <c r="AB1317" i="67"/>
  <c r="T1317" i="67"/>
  <c r="V1317" i="67"/>
  <c r="AM1321" i="67"/>
  <c r="AJ1321" i="67"/>
  <c r="S1270" i="67"/>
  <c r="AM44" i="68" s="1"/>
  <c r="Y1317" i="67"/>
  <c r="AA1317" i="67"/>
  <c r="O1321" i="67"/>
  <c r="R1317" i="67"/>
  <c r="AF1317" i="67"/>
  <c r="AT1317" i="67"/>
  <c r="AC1317" i="67"/>
  <c r="AE1317" i="67"/>
  <c r="AU1270" i="67"/>
  <c r="BO44" i="68" s="1"/>
  <c r="M1317" i="67"/>
  <c r="AN1270" i="67"/>
  <c r="BH44" i="68" s="1"/>
  <c r="AI1321" i="67"/>
  <c r="P1317" i="67"/>
  <c r="AK63" i="45"/>
  <c r="AQ1270" i="67"/>
  <c r="BK44" i="68" s="1"/>
  <c r="AP1317" i="67"/>
  <c r="AC1321" i="67"/>
  <c r="AE1270" i="67"/>
  <c r="AY44" i="68" s="1"/>
  <c r="AG1321" i="67"/>
  <c r="O1317" i="67"/>
  <c r="AV63" i="45"/>
  <c r="Q1317" i="67"/>
  <c r="AN1321" i="67"/>
  <c r="AD1321" i="67"/>
  <c r="AP1270" i="67"/>
  <c r="BJ44" i="68" s="1"/>
  <c r="X1321" i="67"/>
  <c r="Z1270" i="67"/>
  <c r="AT44" i="68" s="1"/>
  <c r="L1321" i="67"/>
  <c r="L1270" i="67"/>
  <c r="AF44" i="68" s="1"/>
  <c r="AT1321" i="67"/>
  <c r="AU1317" i="67"/>
  <c r="AP1321" i="67"/>
  <c r="P1321" i="67"/>
  <c r="AL1270" i="67"/>
  <c r="BF44" i="68" s="1"/>
  <c r="AA1321" i="67"/>
  <c r="W1321" i="67"/>
  <c r="R1270" i="67"/>
  <c r="AL44" i="68" s="1"/>
  <c r="AR1317" i="67"/>
  <c r="AV1317" i="67"/>
  <c r="AF1321" i="67"/>
  <c r="AB1321" i="67"/>
  <c r="AQ1317" i="67"/>
  <c r="AG1270" i="67"/>
  <c r="BA44" i="68" s="1"/>
  <c r="AK1270" i="67"/>
  <c r="BE44" i="68" s="1"/>
  <c r="W1317" i="67"/>
  <c r="AC1270" i="67"/>
  <c r="AW44" i="68" s="1"/>
  <c r="AU1321" i="67"/>
  <c r="M1270" i="67"/>
  <c r="AG44" i="68" s="1"/>
  <c r="AI1270" i="67"/>
  <c r="BC44" i="68" s="1"/>
  <c r="AG1317" i="67"/>
  <c r="AJ1270" i="67"/>
  <c r="BD44" i="68" s="1"/>
  <c r="AH1317" i="67"/>
  <c r="N1270" i="67"/>
  <c r="AH44" i="68" s="1"/>
  <c r="S1321" i="67"/>
  <c r="AO1321" i="67"/>
  <c r="Y1270" i="67"/>
  <c r="AS44" i="68" s="1"/>
  <c r="AV1321" i="67"/>
  <c r="AK1317" i="67"/>
  <c r="O1270" i="67"/>
  <c r="AI44" i="68" s="1"/>
  <c r="X1270" i="67"/>
  <c r="AR44" i="68" s="1"/>
  <c r="Z1317" i="67"/>
  <c r="N1317" i="67"/>
  <c r="W1270" i="67"/>
  <c r="AQ44" i="68" s="1"/>
  <c r="Q1270" i="67"/>
  <c r="AK44" i="68" s="1"/>
  <c r="AD1317" i="67"/>
  <c r="Z1321" i="67"/>
  <c r="L1317" i="67"/>
  <c r="AM1270" i="67"/>
  <c r="BG44" i="68" s="1"/>
  <c r="AV1270" i="67"/>
  <c r="BP44" i="68" s="1"/>
  <c r="AR1270" i="67"/>
  <c r="BL44" i="68" s="1"/>
  <c r="AE1321" i="67"/>
  <c r="AN1317" i="67"/>
  <c r="T1321" i="67"/>
  <c r="V1321" i="67"/>
  <c r="AH1270" i="67"/>
  <c r="BB44" i="68" s="1"/>
  <c r="X1317" i="67"/>
  <c r="AS1270" i="67"/>
  <c r="BM44" i="68" s="1"/>
  <c r="AR1321" i="67"/>
  <c r="S1317" i="67"/>
  <c r="AO1270" i="67"/>
  <c r="BI44" i="68" s="1"/>
  <c r="U1270" i="67"/>
  <c r="AO44" i="68" s="1"/>
  <c r="R1321" i="67"/>
  <c r="AT1270" i="67"/>
  <c r="BN44" i="68" s="1"/>
  <c r="AQ1321" i="67"/>
  <c r="AS1321" i="67"/>
  <c r="U1317" i="67"/>
  <c r="AL1321" i="67"/>
  <c r="AF1270" i="67"/>
  <c r="AZ44" i="68" s="1"/>
  <c r="Q1321" i="67"/>
  <c r="M1321" i="67"/>
  <c r="AB1270" i="67"/>
  <c r="AV44" i="68" s="1"/>
  <c r="AD1270" i="67"/>
  <c r="AX44" i="68" s="1"/>
  <c r="AI1317" i="67"/>
  <c r="T1270" i="67"/>
  <c r="AN44" i="68" s="1"/>
  <c r="AJ1317" i="67"/>
  <c r="V1270" i="67"/>
  <c r="AP44" i="68" s="1"/>
  <c r="AH1321" i="67"/>
  <c r="P1270" i="67"/>
  <c r="AJ44" i="68" s="1"/>
  <c r="AS1317" i="67"/>
  <c r="AO1317" i="67"/>
  <c r="Y1321" i="67"/>
  <c r="AL1317" i="67"/>
  <c r="AK1321" i="67"/>
  <c r="AM1317" i="67"/>
  <c r="AA1270" i="67"/>
  <c r="AU44" i="68" s="1"/>
  <c r="U1321" i="67"/>
  <c r="P259" i="67"/>
  <c r="P106" i="67"/>
  <c r="P412" i="67"/>
  <c r="P564" i="67"/>
  <c r="P867" i="67"/>
  <c r="L564" i="67"/>
  <c r="L106" i="67"/>
  <c r="L412" i="67"/>
  <c r="L867" i="67"/>
  <c r="L259" i="67"/>
  <c r="N816" i="67"/>
  <c r="N513" i="67"/>
  <c r="N55" i="67"/>
  <c r="N208" i="67"/>
  <c r="N361" i="67"/>
  <c r="O816" i="67"/>
  <c r="O208" i="67"/>
  <c r="O361" i="67"/>
  <c r="O513" i="67"/>
  <c r="O55" i="67"/>
  <c r="AO560" i="67"/>
  <c r="AO863" i="67"/>
  <c r="AO255" i="67"/>
  <c r="AO408" i="67"/>
  <c r="AO102" i="67"/>
  <c r="AW412" i="67"/>
  <c r="AW564" i="67"/>
  <c r="AW867" i="67"/>
  <c r="AW106" i="67"/>
  <c r="AW259" i="67"/>
  <c r="AB408" i="67"/>
  <c r="AB102" i="67"/>
  <c r="AB255" i="67"/>
  <c r="AB863" i="67"/>
  <c r="AB560" i="67"/>
  <c r="AM408" i="67"/>
  <c r="AM863" i="67"/>
  <c r="AM255" i="67"/>
  <c r="AM102" i="67"/>
  <c r="AM560" i="67"/>
  <c r="Y816" i="67"/>
  <c r="Y208" i="67"/>
  <c r="Y55" i="67"/>
  <c r="Y361" i="67"/>
  <c r="Y513" i="67"/>
  <c r="AG408" i="67"/>
  <c r="AG560" i="67"/>
  <c r="AG102" i="67"/>
  <c r="AG863" i="67"/>
  <c r="AG255" i="67"/>
  <c r="AD867" i="67"/>
  <c r="AD259" i="67"/>
  <c r="AD564" i="67"/>
  <c r="AD106" i="67"/>
  <c r="AD412" i="67"/>
  <c r="AJ863" i="67"/>
  <c r="AJ408" i="67"/>
  <c r="AJ560" i="67"/>
  <c r="AJ102" i="67"/>
  <c r="AJ255" i="67"/>
  <c r="AA863" i="67"/>
  <c r="AA255" i="67"/>
  <c r="AA560" i="67"/>
  <c r="AA102" i="67"/>
  <c r="AA408" i="67"/>
  <c r="AR564" i="67"/>
  <c r="AR867" i="67"/>
  <c r="AR106" i="67"/>
  <c r="AR412" i="67"/>
  <c r="AR259" i="67"/>
  <c r="S816" i="67"/>
  <c r="S55" i="67"/>
  <c r="S361" i="67"/>
  <c r="S208" i="67"/>
  <c r="S513" i="67"/>
  <c r="Q408" i="67"/>
  <c r="Q255" i="67"/>
  <c r="Q102" i="67"/>
  <c r="Q560" i="67"/>
  <c r="Q863" i="67"/>
  <c r="R867" i="67"/>
  <c r="R106" i="67"/>
  <c r="R412" i="67"/>
  <c r="R564" i="67"/>
  <c r="R259" i="67"/>
  <c r="AS816" i="67"/>
  <c r="AS208" i="67"/>
  <c r="AS513" i="67"/>
  <c r="AS361" i="67"/>
  <c r="AS55" i="67"/>
  <c r="V863" i="67"/>
  <c r="V255" i="67"/>
  <c r="V560" i="67"/>
  <c r="V102" i="67"/>
  <c r="V408" i="67"/>
  <c r="AI863" i="67"/>
  <c r="AI560" i="67"/>
  <c r="AI102" i="67"/>
  <c r="AI408" i="67"/>
  <c r="AI255" i="67"/>
  <c r="W816" i="67"/>
  <c r="W208" i="67"/>
  <c r="W55" i="67"/>
  <c r="W361" i="67"/>
  <c r="W513" i="67"/>
  <c r="AP408" i="67"/>
  <c r="AP560" i="67"/>
  <c r="AP863" i="67"/>
  <c r="AP102" i="67"/>
  <c r="AP255" i="67"/>
  <c r="AV361" i="67"/>
  <c r="AV816" i="67"/>
  <c r="AV513" i="67"/>
  <c r="AV55" i="67"/>
  <c r="AV208" i="67"/>
  <c r="BC63" i="45"/>
  <c r="AW1321" i="67"/>
  <c r="AH867" i="67"/>
  <c r="AH564" i="67"/>
  <c r="AH412" i="67"/>
  <c r="AH106" i="67"/>
  <c r="AH259" i="67"/>
  <c r="V361" i="67"/>
  <c r="V208" i="67"/>
  <c r="V55" i="67"/>
  <c r="V513" i="67"/>
  <c r="V816" i="67"/>
  <c r="AI259" i="67"/>
  <c r="AI106" i="67"/>
  <c r="AI564" i="67"/>
  <c r="AI412" i="67"/>
  <c r="AI867" i="67"/>
  <c r="AT564" i="67"/>
  <c r="AT867" i="67"/>
  <c r="AT259" i="67"/>
  <c r="AT106" i="67"/>
  <c r="AT412" i="67"/>
  <c r="T863" i="67"/>
  <c r="T102" i="67"/>
  <c r="T408" i="67"/>
  <c r="T560" i="67"/>
  <c r="T255" i="67"/>
  <c r="AC408" i="67"/>
  <c r="AC560" i="67"/>
  <c r="AC863" i="67"/>
  <c r="AC102" i="67"/>
  <c r="AC255" i="67"/>
  <c r="U564" i="67"/>
  <c r="U106" i="67"/>
  <c r="U867" i="67"/>
  <c r="U259" i="67"/>
  <c r="U412" i="67"/>
  <c r="P255" i="67"/>
  <c r="P102" i="67"/>
  <c r="P560" i="67"/>
  <c r="P408" i="67"/>
  <c r="P863" i="67"/>
  <c r="L255" i="67"/>
  <c r="L560" i="67"/>
  <c r="L408" i="67"/>
  <c r="L863" i="67"/>
  <c r="L102" i="67"/>
  <c r="M564" i="67"/>
  <c r="M867" i="67"/>
  <c r="M106" i="67"/>
  <c r="M412" i="67"/>
  <c r="M259" i="67"/>
  <c r="X102" i="67"/>
  <c r="X255" i="67"/>
  <c r="X408" i="67"/>
  <c r="X560" i="67"/>
  <c r="X863" i="67"/>
  <c r="AN867" i="67"/>
  <c r="AN564" i="67"/>
  <c r="AN106" i="67"/>
  <c r="AN412" i="67"/>
  <c r="AN259" i="67"/>
  <c r="Z259" i="67"/>
  <c r="Z564" i="67"/>
  <c r="Z106" i="67"/>
  <c r="Z412" i="67"/>
  <c r="Z867" i="67"/>
  <c r="AP513" i="67"/>
  <c r="AP361" i="67"/>
  <c r="AP208" i="67"/>
  <c r="AP816" i="67"/>
  <c r="AP55" i="67"/>
  <c r="AV412" i="67"/>
  <c r="AV259" i="67"/>
  <c r="AV106" i="67"/>
  <c r="AV564" i="67"/>
  <c r="AV867" i="67"/>
  <c r="AK259" i="67"/>
  <c r="AK412" i="67"/>
  <c r="AK564" i="67"/>
  <c r="AK106" i="67"/>
  <c r="AK867" i="67"/>
  <c r="AO816" i="67"/>
  <c r="AO361" i="67"/>
  <c r="AO513" i="67"/>
  <c r="AO55" i="67"/>
  <c r="AO208" i="67"/>
  <c r="AW102" i="67"/>
  <c r="AW255" i="67"/>
  <c r="AW863" i="67"/>
  <c r="AW408" i="67"/>
  <c r="AW560" i="67"/>
  <c r="AU564" i="67"/>
  <c r="AU106" i="67"/>
  <c r="AU412" i="67"/>
  <c r="AU867" i="67"/>
  <c r="AU259" i="67"/>
  <c r="AW1317" i="67"/>
  <c r="AB55" i="67"/>
  <c r="AB208" i="67"/>
  <c r="AB816" i="67"/>
  <c r="AB361" i="67"/>
  <c r="AB513" i="67"/>
  <c r="AM412" i="67"/>
  <c r="AM564" i="67"/>
  <c r="AM106" i="67"/>
  <c r="AM867" i="67"/>
  <c r="AM259" i="67"/>
  <c r="AF816" i="67"/>
  <c r="AF361" i="67"/>
  <c r="AF55" i="67"/>
  <c r="AF513" i="67"/>
  <c r="AF208" i="67"/>
  <c r="AG208" i="67"/>
  <c r="AG513" i="67"/>
  <c r="AG361" i="67"/>
  <c r="AG816" i="67"/>
  <c r="AG55" i="67"/>
  <c r="AD408" i="67"/>
  <c r="AD560" i="67"/>
  <c r="AD102" i="67"/>
  <c r="AD863" i="67"/>
  <c r="AD255" i="67"/>
  <c r="AL564" i="67"/>
  <c r="AL106" i="67"/>
  <c r="AL412" i="67"/>
  <c r="AL867" i="67"/>
  <c r="AL259" i="67"/>
  <c r="AA816" i="67"/>
  <c r="AA361" i="67"/>
  <c r="AA55" i="67"/>
  <c r="AA208" i="67"/>
  <c r="AA513" i="67"/>
  <c r="AR102" i="67"/>
  <c r="AR408" i="67"/>
  <c r="AR255" i="67"/>
  <c r="AR863" i="67"/>
  <c r="AR560" i="67"/>
  <c r="AQ412" i="67"/>
  <c r="AQ106" i="67"/>
  <c r="AQ259" i="67"/>
  <c r="AQ564" i="67"/>
  <c r="AQ867" i="67"/>
  <c r="Q208" i="67"/>
  <c r="Q513" i="67"/>
  <c r="Q55" i="67"/>
  <c r="Q361" i="67"/>
  <c r="Q816" i="67"/>
  <c r="R408" i="67"/>
  <c r="R863" i="67"/>
  <c r="R102" i="67"/>
  <c r="R255" i="67"/>
  <c r="R560" i="67"/>
  <c r="AE816" i="67"/>
  <c r="AE513" i="67"/>
  <c r="AE361" i="67"/>
  <c r="AE55" i="67"/>
  <c r="AE208" i="67"/>
  <c r="T259" i="67"/>
  <c r="T106" i="67"/>
  <c r="T412" i="67"/>
  <c r="T564" i="67"/>
  <c r="T867" i="67"/>
  <c r="AC564" i="67"/>
  <c r="AC412" i="67"/>
  <c r="AC867" i="67"/>
  <c r="AC259" i="67"/>
  <c r="AC106" i="67"/>
  <c r="X412" i="67"/>
  <c r="X106" i="67"/>
  <c r="X259" i="67"/>
  <c r="X867" i="67"/>
  <c r="X564" i="67"/>
  <c r="AN816" i="67"/>
  <c r="AN361" i="67"/>
  <c r="AN55" i="67"/>
  <c r="AN208" i="67"/>
  <c r="AN513" i="67"/>
  <c r="N1321" i="67"/>
  <c r="AH863" i="67"/>
  <c r="AH102" i="67"/>
  <c r="AH560" i="67"/>
  <c r="AH408" i="67"/>
  <c r="AH255" i="67"/>
  <c r="AS564" i="67"/>
  <c r="AS106" i="67"/>
  <c r="AS412" i="67"/>
  <c r="AS867" i="67"/>
  <c r="AS259" i="67"/>
  <c r="AI361" i="67"/>
  <c r="AI208" i="67"/>
  <c r="AI513" i="67"/>
  <c r="AI55" i="67"/>
  <c r="AI816" i="67"/>
  <c r="AT560" i="67"/>
  <c r="AT102" i="67"/>
  <c r="AT863" i="67"/>
  <c r="AT255" i="67"/>
  <c r="AT408" i="67"/>
  <c r="AE867" i="67"/>
  <c r="AE564" i="67"/>
  <c r="AE106" i="67"/>
  <c r="AE259" i="67"/>
  <c r="AE412" i="67"/>
  <c r="AC513" i="67"/>
  <c r="AC55" i="67"/>
  <c r="AC361" i="67"/>
  <c r="AC816" i="67"/>
  <c r="AC208" i="67"/>
  <c r="U560" i="67"/>
  <c r="U102" i="67"/>
  <c r="U408" i="67"/>
  <c r="U863" i="67"/>
  <c r="U255" i="67"/>
  <c r="AW1270" i="67"/>
  <c r="L361" i="67"/>
  <c r="L816" i="67"/>
  <c r="L208" i="67"/>
  <c r="L513" i="67"/>
  <c r="L55" i="67"/>
  <c r="M560" i="67"/>
  <c r="M408" i="67"/>
  <c r="M863" i="67"/>
  <c r="M102" i="67"/>
  <c r="M255" i="67"/>
  <c r="N867" i="67"/>
  <c r="N564" i="67"/>
  <c r="N412" i="67"/>
  <c r="N106" i="67"/>
  <c r="N259" i="67"/>
  <c r="AN863" i="67"/>
  <c r="AN255" i="67"/>
  <c r="AN408" i="67"/>
  <c r="AN560" i="67"/>
  <c r="AN102" i="67"/>
  <c r="Z863" i="67"/>
  <c r="Z102" i="67"/>
  <c r="Z408" i="67"/>
  <c r="Z255" i="67"/>
  <c r="Z560" i="67"/>
  <c r="W255" i="67"/>
  <c r="W560" i="67"/>
  <c r="W102" i="67"/>
  <c r="W863" i="67"/>
  <c r="W408" i="67"/>
  <c r="AV560" i="67"/>
  <c r="AV102" i="67"/>
  <c r="AV408" i="67"/>
  <c r="AV863" i="67"/>
  <c r="AV255" i="67"/>
  <c r="AK255" i="67"/>
  <c r="AK102" i="67"/>
  <c r="AK560" i="67"/>
  <c r="AK408" i="67"/>
  <c r="AK863" i="67"/>
  <c r="O867" i="67"/>
  <c r="O412" i="67"/>
  <c r="O564" i="67"/>
  <c r="O106" i="67"/>
  <c r="O259" i="67"/>
  <c r="AW513" i="67"/>
  <c r="AW361" i="67"/>
  <c r="AW816" i="67"/>
  <c r="AW208" i="67"/>
  <c r="AW55" i="67"/>
  <c r="AU560" i="67"/>
  <c r="AU102" i="67"/>
  <c r="AU408" i="67"/>
  <c r="AU863" i="67"/>
  <c r="AU255" i="67"/>
  <c r="AM208" i="67"/>
  <c r="AM55" i="67"/>
  <c r="AM513" i="67"/>
  <c r="AM816" i="67"/>
  <c r="AM361" i="67"/>
  <c r="AF564" i="67"/>
  <c r="AF106" i="67"/>
  <c r="AF412" i="67"/>
  <c r="AF867" i="67"/>
  <c r="AF259" i="67"/>
  <c r="Y412" i="67"/>
  <c r="Y867" i="67"/>
  <c r="Y259" i="67"/>
  <c r="Y564" i="67"/>
  <c r="Y106" i="67"/>
  <c r="AD361" i="67"/>
  <c r="AD208" i="67"/>
  <c r="AD55" i="67"/>
  <c r="AD513" i="67"/>
  <c r="AD816" i="67"/>
  <c r="AL408" i="67"/>
  <c r="AL560" i="67"/>
  <c r="AL102" i="67"/>
  <c r="AL863" i="67"/>
  <c r="AL255" i="67"/>
  <c r="AJ361" i="67"/>
  <c r="AJ513" i="67"/>
  <c r="AJ55" i="67"/>
  <c r="AJ816" i="67"/>
  <c r="AJ208" i="67"/>
  <c r="AR361" i="67"/>
  <c r="AR513" i="67"/>
  <c r="AR55" i="67"/>
  <c r="AR816" i="67"/>
  <c r="AR208" i="67"/>
  <c r="AQ408" i="67"/>
  <c r="AQ863" i="67"/>
  <c r="AQ560" i="67"/>
  <c r="AQ102" i="67"/>
  <c r="AQ255" i="67"/>
  <c r="S255" i="67"/>
  <c r="S408" i="67"/>
  <c r="S560" i="67"/>
  <c r="S863" i="67"/>
  <c r="S102" i="67"/>
  <c r="R816" i="67"/>
  <c r="R361" i="67"/>
  <c r="R55" i="67"/>
  <c r="R208" i="67"/>
  <c r="R513" i="67"/>
  <c r="AH816" i="67"/>
  <c r="AH208" i="67"/>
  <c r="AH361" i="67"/>
  <c r="AH513" i="67"/>
  <c r="AH55" i="67"/>
  <c r="AS863" i="67"/>
  <c r="AS408" i="67"/>
  <c r="AS102" i="67"/>
  <c r="AS560" i="67"/>
  <c r="AS255" i="67"/>
  <c r="V259" i="67"/>
  <c r="V564" i="67"/>
  <c r="V106" i="67"/>
  <c r="V412" i="67"/>
  <c r="V867" i="67"/>
  <c r="AT55" i="67"/>
  <c r="AT208" i="67"/>
  <c r="AT513" i="67"/>
  <c r="AT361" i="67"/>
  <c r="AT816" i="67"/>
  <c r="AE408" i="67"/>
  <c r="AE863" i="67"/>
  <c r="AE255" i="67"/>
  <c r="AE560" i="67"/>
  <c r="AE102" i="67"/>
  <c r="T816" i="67"/>
  <c r="T513" i="67"/>
  <c r="T361" i="67"/>
  <c r="T55" i="67"/>
  <c r="T208" i="67"/>
  <c r="U816" i="67"/>
  <c r="U208" i="67"/>
  <c r="U361" i="67"/>
  <c r="U513" i="67"/>
  <c r="U55" i="67"/>
  <c r="P361" i="67"/>
  <c r="P208" i="67"/>
  <c r="P513" i="67"/>
  <c r="P816" i="67"/>
  <c r="P55" i="67"/>
  <c r="M513" i="67"/>
  <c r="M55" i="67"/>
  <c r="M816" i="67"/>
  <c r="M208" i="67"/>
  <c r="M361" i="67"/>
  <c r="N255" i="67"/>
  <c r="N102" i="67"/>
  <c r="N408" i="67"/>
  <c r="N560" i="67"/>
  <c r="N863" i="67"/>
  <c r="X361" i="67"/>
  <c r="X208" i="67"/>
  <c r="X513" i="67"/>
  <c r="X55" i="67"/>
  <c r="X816" i="67"/>
  <c r="Z361" i="67"/>
  <c r="Z816" i="67"/>
  <c r="Z208" i="67"/>
  <c r="Z55" i="67"/>
  <c r="Z513" i="67"/>
  <c r="W867" i="67"/>
  <c r="W106" i="67"/>
  <c r="W412" i="67"/>
  <c r="W259" i="67"/>
  <c r="W564" i="67"/>
  <c r="AP564" i="67"/>
  <c r="AP106" i="67"/>
  <c r="AP412" i="67"/>
  <c r="AP867" i="67"/>
  <c r="AP259" i="67"/>
  <c r="AK361" i="67"/>
  <c r="AK208" i="67"/>
  <c r="AK513" i="67"/>
  <c r="AK55" i="67"/>
  <c r="AK816" i="67"/>
  <c r="O560" i="67"/>
  <c r="O102" i="67"/>
  <c r="O408" i="67"/>
  <c r="O863" i="67"/>
  <c r="O255" i="67"/>
  <c r="AO259" i="67"/>
  <c r="AO412" i="67"/>
  <c r="AO564" i="67"/>
  <c r="AO106" i="67"/>
  <c r="AO867" i="67"/>
  <c r="AU513" i="67"/>
  <c r="AU816" i="67"/>
  <c r="AU208" i="67"/>
  <c r="AU361" i="67"/>
  <c r="AU55" i="67"/>
  <c r="AB106" i="67"/>
  <c r="AB259" i="67"/>
  <c r="AB412" i="67"/>
  <c r="AB564" i="67"/>
  <c r="AB867" i="67"/>
  <c r="AF408" i="67"/>
  <c r="AF863" i="67"/>
  <c r="AF255" i="67"/>
  <c r="AF560" i="67"/>
  <c r="AF102" i="67"/>
  <c r="Y863" i="67"/>
  <c r="Y408" i="67"/>
  <c r="Y102" i="67"/>
  <c r="Y560" i="67"/>
  <c r="Y255" i="67"/>
  <c r="AG564" i="67"/>
  <c r="AG106" i="67"/>
  <c r="AG412" i="67"/>
  <c r="AG867" i="67"/>
  <c r="AG259" i="67"/>
  <c r="AL816" i="67"/>
  <c r="AL361" i="67"/>
  <c r="AL55" i="67"/>
  <c r="AL513" i="67"/>
  <c r="AL208" i="67"/>
  <c r="AJ867" i="67"/>
  <c r="AJ259" i="67"/>
  <c r="AJ564" i="67"/>
  <c r="AJ412" i="67"/>
  <c r="AJ106" i="67"/>
  <c r="AA867" i="67"/>
  <c r="AA106" i="67"/>
  <c r="AA412" i="67"/>
  <c r="AA564" i="67"/>
  <c r="AA259" i="67"/>
  <c r="AQ55" i="67"/>
  <c r="AQ361" i="67"/>
  <c r="AQ208" i="67"/>
  <c r="AQ816" i="67"/>
  <c r="AQ513" i="67"/>
  <c r="S867" i="67"/>
  <c r="S412" i="67"/>
  <c r="S106" i="67"/>
  <c r="S564" i="67"/>
  <c r="S259" i="67"/>
  <c r="Q867" i="67"/>
  <c r="Q106" i="67"/>
  <c r="Q412" i="67"/>
  <c r="Q259" i="67"/>
  <c r="Q564" i="67"/>
  <c r="AF63" i="45"/>
  <c r="AD63" i="45"/>
  <c r="AP63" i="45"/>
  <c r="AW64" i="45"/>
  <c r="BB63" i="45"/>
  <c r="AL63" i="45"/>
  <c r="AE63" i="45"/>
  <c r="BA63" i="45"/>
  <c r="AT63" i="45"/>
  <c r="AR64" i="45"/>
  <c r="AJ64" i="45"/>
  <c r="AO63" i="45"/>
  <c r="AS63" i="45"/>
  <c r="AW63" i="45"/>
  <c r="AX64" i="45"/>
  <c r="AM63" i="45"/>
  <c r="AC64" i="45"/>
  <c r="AU64" i="45"/>
  <c r="AK64" i="45"/>
  <c r="AT64" i="45"/>
  <c r="AD64" i="45"/>
  <c r="BM64" i="45"/>
  <c r="AN64" i="45"/>
  <c r="BA64" i="45"/>
  <c r="AE64" i="45"/>
  <c r="AS64" i="45"/>
  <c r="BK64" i="45"/>
  <c r="AF64" i="45"/>
  <c r="AB63" i="45"/>
  <c r="AM64" i="45"/>
  <c r="BD64" i="45"/>
  <c r="BI45" i="70"/>
  <c r="BH45" i="36"/>
  <c r="AO1461" i="67" s="1"/>
  <c r="BI41" i="68" s="1"/>
  <c r="AH37" i="62" s="1"/>
  <c r="BG86" i="34"/>
  <c r="AM45" i="45"/>
  <c r="AE45" i="45"/>
  <c r="AT45" i="45"/>
  <c r="AK45" i="45"/>
  <c r="AN45" i="45"/>
  <c r="AD45" i="45"/>
  <c r="AO45" i="45"/>
  <c r="AP45" i="45"/>
  <c r="AL45" i="45"/>
  <c r="AQ45" i="45"/>
  <c r="AR45" i="45"/>
  <c r="AF45" i="45"/>
  <c r="AC45" i="45"/>
  <c r="AS45" i="45"/>
  <c r="AI45" i="45"/>
  <c r="AH45" i="45"/>
  <c r="AJ45" i="45"/>
  <c r="AG45" i="45"/>
  <c r="AB45" i="45"/>
  <c r="AV90" i="34"/>
  <c r="AF90" i="34"/>
  <c r="AF143" i="34"/>
  <c r="AI143" i="34"/>
  <c r="AG51" i="45" s="1"/>
  <c r="AI90" i="34"/>
  <c r="AH90" i="34"/>
  <c r="AH143" i="34"/>
  <c r="AF51" i="45" s="1"/>
  <c r="AD143" i="34"/>
  <c r="AD90" i="34"/>
  <c r="AE90" i="34"/>
  <c r="AE143" i="34"/>
  <c r="AC51" i="45" s="1"/>
  <c r="AG90" i="34"/>
  <c r="AG143" i="34"/>
  <c r="AE51" i="45" s="1"/>
  <c r="AP143" i="34"/>
  <c r="AN51" i="45" s="1"/>
  <c r="AP90" i="34"/>
  <c r="AR143" i="34"/>
  <c r="AP51" i="45" s="1"/>
  <c r="AR90" i="34"/>
  <c r="AU143" i="34"/>
  <c r="AS51" i="45" s="1"/>
  <c r="AU90" i="34"/>
  <c r="AM143" i="34"/>
  <c r="AK51" i="45" s="1"/>
  <c r="AM90" i="34"/>
  <c r="AQ90" i="34"/>
  <c r="AQ143" i="34"/>
  <c r="AO51" i="45" s="1"/>
  <c r="AN143" i="34"/>
  <c r="AN90" i="34"/>
  <c r="AK143" i="34"/>
  <c r="AI51" i="45" s="1"/>
  <c r="AK90" i="34"/>
  <c r="AO90" i="34"/>
  <c r="AO143" i="34"/>
  <c r="AM51" i="45" s="1"/>
  <c r="AT90" i="34"/>
  <c r="AT143" i="34"/>
  <c r="AJ143" i="34"/>
  <c r="AH51" i="45" s="1"/>
  <c r="AJ90" i="34"/>
  <c r="AS143" i="34"/>
  <c r="AQ51" i="45" s="1"/>
  <c r="AS90" i="34"/>
  <c r="AL90" i="34"/>
  <c r="AL143" i="34"/>
  <c r="AJ51" i="45" s="1"/>
  <c r="K1322" i="67" l="1"/>
  <c r="K1318" i="67"/>
  <c r="K1271" i="67"/>
  <c r="AM1318" i="67"/>
  <c r="AL1322" i="67"/>
  <c r="AN1322" i="67"/>
  <c r="AE1271" i="67"/>
  <c r="AV1271" i="67"/>
  <c r="Q1318" i="67"/>
  <c r="S1271" i="67"/>
  <c r="AD1322" i="67"/>
  <c r="Y1271" i="67"/>
  <c r="AF1322" i="67"/>
  <c r="O1322" i="67"/>
  <c r="AH1318" i="67"/>
  <c r="AG1318" i="67"/>
  <c r="O1271" i="67"/>
  <c r="AB1318" i="67"/>
  <c r="AM1271" i="67"/>
  <c r="R1318" i="67"/>
  <c r="AQ1322" i="67"/>
  <c r="AA1271" i="67"/>
  <c r="AD1318" i="67"/>
  <c r="AG1271" i="67"/>
  <c r="AM1322" i="67"/>
  <c r="AB1271" i="67"/>
  <c r="M1322" i="67"/>
  <c r="AC1318" i="67"/>
  <c r="T1318" i="67"/>
  <c r="AT1322" i="67"/>
  <c r="AI1322" i="67"/>
  <c r="AD1271" i="67"/>
  <c r="AC1271" i="67"/>
  <c r="AF1318" i="67"/>
  <c r="AO1322" i="67"/>
  <c r="AE1318" i="67"/>
  <c r="AG1322" i="67"/>
  <c r="AB1322" i="67"/>
  <c r="AK1271" i="67"/>
  <c r="N1318" i="67"/>
  <c r="U1271" i="67"/>
  <c r="AS1318" i="67"/>
  <c r="AN1318" i="67"/>
  <c r="T1322" i="67"/>
  <c r="AS1271" i="67"/>
  <c r="AQ1271" i="67"/>
  <c r="W1322" i="67"/>
  <c r="V1322" i="67"/>
  <c r="R1271" i="67"/>
  <c r="S1318" i="67"/>
  <c r="AQ1318" i="67"/>
  <c r="AR1271" i="67"/>
  <c r="AJ1271" i="67"/>
  <c r="AL1318" i="67"/>
  <c r="Y1322" i="67"/>
  <c r="AK1318" i="67"/>
  <c r="AV1318" i="67"/>
  <c r="Z1318" i="67"/>
  <c r="N1322" i="67"/>
  <c r="L1271" i="67"/>
  <c r="U1318" i="67"/>
  <c r="AE1322" i="67"/>
  <c r="AT1318" i="67"/>
  <c r="AI1271" i="67"/>
  <c r="Q1271" i="67"/>
  <c r="AR1318" i="67"/>
  <c r="AF1271" i="67"/>
  <c r="AU1322" i="67"/>
  <c r="AO1271" i="67"/>
  <c r="AV1322" i="67"/>
  <c r="AP1271" i="67"/>
  <c r="X1318" i="67"/>
  <c r="L1318" i="67"/>
  <c r="P1318" i="67"/>
  <c r="U1322" i="67"/>
  <c r="V1271" i="67"/>
  <c r="AH1322" i="67"/>
  <c r="R1322" i="67"/>
  <c r="AR1322" i="67"/>
  <c r="AA1318" i="67"/>
  <c r="AJ1318" i="67"/>
  <c r="AO1318" i="67"/>
  <c r="N1271" i="67"/>
  <c r="L1322" i="67"/>
  <c r="P1322" i="67"/>
  <c r="Y1318" i="67"/>
  <c r="Z1271" i="67"/>
  <c r="X1271" i="67"/>
  <c r="T1271" i="67"/>
  <c r="AU1318" i="67"/>
  <c r="W1318" i="67"/>
  <c r="M1318" i="67"/>
  <c r="AC1322" i="67"/>
  <c r="AP1318" i="67"/>
  <c r="Q1322" i="67"/>
  <c r="S1322" i="67"/>
  <c r="AA1322" i="67"/>
  <c r="AJ1322" i="67"/>
  <c r="AL1271" i="67"/>
  <c r="AU1271" i="67"/>
  <c r="O1318" i="67"/>
  <c r="M1271" i="67"/>
  <c r="AS1322" i="67"/>
  <c r="AN1271" i="67"/>
  <c r="X1322" i="67"/>
  <c r="AK1322" i="67"/>
  <c r="Z1322" i="67"/>
  <c r="W1271" i="67"/>
  <c r="AI1318" i="67"/>
  <c r="AP1322" i="67"/>
  <c r="P1271" i="67"/>
  <c r="AT1271" i="67"/>
  <c r="AH1271" i="67"/>
  <c r="V1318" i="67"/>
  <c r="AW1322" i="67"/>
  <c r="AW1271" i="67"/>
  <c r="BQ44" i="68"/>
  <c r="AW1318" i="67"/>
  <c r="BJ45" i="70"/>
  <c r="BH63" i="68"/>
  <c r="BE41" i="45"/>
  <c r="BI45" i="36"/>
  <c r="AP1461" i="67" s="1"/>
  <c r="BJ41" i="68" s="1"/>
  <c r="AI37" i="62" s="1"/>
  <c r="BH86" i="34"/>
  <c r="AG49" i="45"/>
  <c r="AO49" i="45"/>
  <c r="AO66" i="45" s="1"/>
  <c r="AC49" i="45"/>
  <c r="AF49" i="45"/>
  <c r="AH49" i="45"/>
  <c r="AH66" i="45" s="1"/>
  <c r="AK49" i="45"/>
  <c r="AP49" i="45"/>
  <c r="AQ49" i="45"/>
  <c r="AQ66" i="45" s="1"/>
  <c r="AI49" i="45"/>
  <c r="AI66" i="45" s="1"/>
  <c r="AS49" i="45"/>
  <c r="AN49" i="45"/>
  <c r="AJ49" i="45"/>
  <c r="AM49" i="45"/>
  <c r="AE49" i="45"/>
  <c r="AE66" i="45" s="1"/>
  <c r="AR46" i="45"/>
  <c r="AO46" i="45"/>
  <c r="AC46" i="45"/>
  <c r="AF46" i="45"/>
  <c r="AD46" i="45"/>
  <c r="AR51" i="45"/>
  <c r="AI46" i="45"/>
  <c r="AS46" i="45"/>
  <c r="AN46" i="45"/>
  <c r="AD51" i="45"/>
  <c r="AH46" i="45"/>
  <c r="AL46" i="45"/>
  <c r="AK46" i="45"/>
  <c r="AP46" i="45"/>
  <c r="AB46" i="45"/>
  <c r="AG46" i="45"/>
  <c r="AT46" i="45"/>
  <c r="AQ46" i="45"/>
  <c r="AJ46" i="45"/>
  <c r="AM46" i="45"/>
  <c r="AL51" i="45"/>
  <c r="AE46" i="45"/>
  <c r="AV143" i="34"/>
  <c r="BM53" i="36"/>
  <c r="BB7" i="34"/>
  <c r="BE159" i="34"/>
  <c r="AY39" i="34"/>
  <c r="BH175" i="34"/>
  <c r="AW53" i="36"/>
  <c r="BJ159" i="34"/>
  <c r="BG53" i="36"/>
  <c r="BA53" i="36"/>
  <c r="BI53" i="36"/>
  <c r="BL53" i="36"/>
  <c r="AC66" i="45" l="1"/>
  <c r="AP66" i="45"/>
  <c r="AN66" i="45"/>
  <c r="BL94" i="34"/>
  <c r="BJ45" i="45" s="1"/>
  <c r="AS1469" i="67"/>
  <c r="AS1512" i="67"/>
  <c r="AS1516" i="67"/>
  <c r="AM66" i="45"/>
  <c r="AG66" i="45"/>
  <c r="AH1469" i="67"/>
  <c r="AH1512" i="67"/>
  <c r="AH1516" i="67"/>
  <c r="AT1469" i="67"/>
  <c r="AT1516" i="67"/>
  <c r="AT1512" i="67"/>
  <c r="AN1469" i="67"/>
  <c r="AN1512" i="67"/>
  <c r="AN1516" i="67"/>
  <c r="AP1469" i="67"/>
  <c r="AP1512" i="67"/>
  <c r="AP1516" i="67"/>
  <c r="AW94" i="34"/>
  <c r="AU45" i="45" s="1"/>
  <c r="AD1469" i="67"/>
  <c r="AD1512" i="67"/>
  <c r="AD1516" i="67"/>
  <c r="AK66" i="45"/>
  <c r="BK45" i="70"/>
  <c r="BJ45" i="36"/>
  <c r="AQ1461" i="67" s="1"/>
  <c r="BK41" i="68" s="1"/>
  <c r="AJ37" i="62" s="1"/>
  <c r="BI86" i="34"/>
  <c r="BE63" i="45"/>
  <c r="BI63" i="68"/>
  <c r="BF41" i="45"/>
  <c r="AE43" i="45"/>
  <c r="AP43" i="45"/>
  <c r="AL43" i="45"/>
  <c r="AL65" i="45" s="1"/>
  <c r="AJ43" i="45"/>
  <c r="AG43" i="45"/>
  <c r="AN43" i="45"/>
  <c r="AI43" i="45"/>
  <c r="AD43" i="45"/>
  <c r="AC43" i="45"/>
  <c r="AR43" i="45"/>
  <c r="AK43" i="45"/>
  <c r="AK65" i="45" s="1"/>
  <c r="AH43" i="45"/>
  <c r="AM43" i="45"/>
  <c r="AM65" i="45" s="1"/>
  <c r="AQ43" i="45"/>
  <c r="AT43" i="45"/>
  <c r="AT65" i="45" s="1"/>
  <c r="AS43" i="45"/>
  <c r="AF43" i="45"/>
  <c r="AO43" i="45"/>
  <c r="AF66" i="45"/>
  <c r="AS66" i="45"/>
  <c r="AJ66" i="45"/>
  <c r="AL49" i="45"/>
  <c r="AR49" i="45"/>
  <c r="AD49" i="45"/>
  <c r="AT51" i="45"/>
  <c r="BH53" i="45"/>
  <c r="BC53" i="45"/>
  <c r="AW20" i="45"/>
  <c r="AZ5" i="45"/>
  <c r="BF54" i="45"/>
  <c r="AW143" i="34"/>
  <c r="AW90" i="34"/>
  <c r="BE69" i="36"/>
  <c r="BI94" i="34"/>
  <c r="BI141" i="34"/>
  <c r="BJ53" i="36"/>
  <c r="AY53" i="36"/>
  <c r="AY137" i="34" s="1"/>
  <c r="BA141" i="34"/>
  <c r="BA137" i="34"/>
  <c r="BA94" i="34"/>
  <c r="BG141" i="34"/>
  <c r="BG94" i="34"/>
  <c r="BG137" i="34"/>
  <c r="BI21" i="34"/>
  <c r="BI175" i="34"/>
  <c r="BI39" i="34"/>
  <c r="BI4" i="36"/>
  <c r="BI7" i="34"/>
  <c r="BI159" i="34"/>
  <c r="BI69" i="36"/>
  <c r="BC4" i="36"/>
  <c r="BC69" i="36"/>
  <c r="BC21" i="34"/>
  <c r="BC175" i="34"/>
  <c r="BC39" i="34"/>
  <c r="BC7" i="34"/>
  <c r="BC53" i="36"/>
  <c r="BP4" i="36"/>
  <c r="BP21" i="34"/>
  <c r="BP69" i="36"/>
  <c r="BP7" i="34"/>
  <c r="BP159" i="34"/>
  <c r="BP175" i="34"/>
  <c r="BP39" i="34"/>
  <c r="BO39" i="34"/>
  <c r="BO4" i="36"/>
  <c r="BO69" i="36"/>
  <c r="BO7" i="34"/>
  <c r="BO21" i="34"/>
  <c r="BO159" i="34"/>
  <c r="BO175" i="34"/>
  <c r="BK4" i="36"/>
  <c r="BK175" i="34"/>
  <c r="BK7" i="34"/>
  <c r="BK159" i="34"/>
  <c r="BK21" i="34"/>
  <c r="BK39" i="34"/>
  <c r="BK69" i="36"/>
  <c r="BN4" i="36"/>
  <c r="BN7" i="34"/>
  <c r="BN39" i="34"/>
  <c r="BN21" i="34"/>
  <c r="BN175" i="34"/>
  <c r="BN69" i="36"/>
  <c r="BN159" i="34"/>
  <c r="BL141" i="34"/>
  <c r="BL137" i="34"/>
  <c r="BL4" i="36"/>
  <c r="BL7" i="34"/>
  <c r="BL175" i="34"/>
  <c r="BL69" i="36"/>
  <c r="BL21" i="34"/>
  <c r="BL39" i="34"/>
  <c r="BL159" i="34"/>
  <c r="BD7" i="34"/>
  <c r="BD4" i="36"/>
  <c r="BD175" i="34"/>
  <c r="BD21" i="34"/>
  <c r="BD69" i="36"/>
  <c r="BD39" i="34"/>
  <c r="BD159" i="34"/>
  <c r="BK53" i="36"/>
  <c r="BI137" i="34"/>
  <c r="BN53" i="36"/>
  <c r="BM137" i="34"/>
  <c r="BM141" i="34"/>
  <c r="BM94" i="34"/>
  <c r="BA4" i="36"/>
  <c r="BA69" i="36"/>
  <c r="BA21" i="34"/>
  <c r="BA7" i="34"/>
  <c r="BA175" i="34"/>
  <c r="BA159" i="34"/>
  <c r="BA39" i="34"/>
  <c r="BG175" i="34"/>
  <c r="BG4" i="36"/>
  <c r="BG69" i="36"/>
  <c r="BG7" i="34"/>
  <c r="BG21" i="34"/>
  <c r="BG159" i="34"/>
  <c r="BG39" i="34"/>
  <c r="AW137" i="34"/>
  <c r="AW141" i="34"/>
  <c r="AX175" i="34"/>
  <c r="AX39" i="34"/>
  <c r="AX7" i="34"/>
  <c r="AX69" i="36"/>
  <c r="AX21" i="34"/>
  <c r="AX53" i="36"/>
  <c r="AZ21" i="34"/>
  <c r="AZ175" i="34"/>
  <c r="AZ69" i="36"/>
  <c r="AZ159" i="34"/>
  <c r="AZ53" i="36"/>
  <c r="AZ7" i="34"/>
  <c r="AZ39" i="34"/>
  <c r="BJ4" i="36"/>
  <c r="BJ39" i="34"/>
  <c r="BJ21" i="34"/>
  <c r="BJ7" i="34"/>
  <c r="BJ175" i="34"/>
  <c r="BJ69" i="36"/>
  <c r="BD53" i="36"/>
  <c r="AW21" i="34"/>
  <c r="AW175" i="34"/>
  <c r="AW7" i="34"/>
  <c r="AW159" i="34"/>
  <c r="AW39" i="34"/>
  <c r="AW69" i="36"/>
  <c r="BP53" i="36"/>
  <c r="BO53" i="36"/>
  <c r="BC159" i="34"/>
  <c r="BF4" i="36"/>
  <c r="BF21" i="34"/>
  <c r="BF7" i="34"/>
  <c r="BF175" i="34"/>
  <c r="BF159" i="34"/>
  <c r="BF39" i="34"/>
  <c r="BF69" i="36"/>
  <c r="BF53" i="36"/>
  <c r="AX159" i="34"/>
  <c r="BB53" i="36"/>
  <c r="BM21" i="34"/>
  <c r="BM69" i="36"/>
  <c r="BH21" i="34"/>
  <c r="BB159" i="34"/>
  <c r="BM159" i="34"/>
  <c r="BH159" i="34"/>
  <c r="BH53" i="36"/>
  <c r="AY69" i="36"/>
  <c r="AY159" i="34"/>
  <c r="AY21" i="34"/>
  <c r="AY175" i="34"/>
  <c r="BE175" i="34"/>
  <c r="BE21" i="34"/>
  <c r="BE39" i="34"/>
  <c r="BE4" i="36"/>
  <c r="BH69" i="36"/>
  <c r="BH4" i="36"/>
  <c r="BH7" i="34"/>
  <c r="BH39" i="34"/>
  <c r="AY7" i="34"/>
  <c r="BB4" i="36"/>
  <c r="BB69" i="36"/>
  <c r="BB175" i="34"/>
  <c r="BB21" i="34"/>
  <c r="BB39" i="34"/>
  <c r="BE7" i="34"/>
  <c r="BE53" i="36"/>
  <c r="BM7" i="34"/>
  <c r="BM39" i="34"/>
  <c r="BM175" i="34"/>
  <c r="BM4" i="36"/>
  <c r="AW1469" i="67" l="1"/>
  <c r="AW1516" i="67"/>
  <c r="AW1512" i="67"/>
  <c r="AO1485" i="67"/>
  <c r="AO1513" i="67"/>
  <c r="AO1517" i="67"/>
  <c r="AG1469" i="67"/>
  <c r="AG1512" i="67"/>
  <c r="AG1516" i="67"/>
  <c r="AL1469" i="67"/>
  <c r="AL1512" i="67"/>
  <c r="AL1516" i="67"/>
  <c r="AO1469" i="67"/>
  <c r="AO1516" i="67"/>
  <c r="AO1512" i="67"/>
  <c r="AD1485" i="67"/>
  <c r="AD1513" i="67"/>
  <c r="AD1517" i="67"/>
  <c r="AE1469" i="67"/>
  <c r="AE1516" i="67"/>
  <c r="AE1512" i="67"/>
  <c r="AN1485" i="67"/>
  <c r="AN1517" i="67"/>
  <c r="AN1513" i="67"/>
  <c r="AH1485" i="67"/>
  <c r="AH1517" i="67"/>
  <c r="AH1513" i="67"/>
  <c r="AR1469" i="67"/>
  <c r="AR1512" i="67"/>
  <c r="AR1516" i="67"/>
  <c r="AR1485" i="67"/>
  <c r="AR1513" i="67"/>
  <c r="AR1517" i="67"/>
  <c r="AP1485" i="67"/>
  <c r="AP1517" i="67"/>
  <c r="AP1513" i="67"/>
  <c r="AF1485" i="67"/>
  <c r="AF1513" i="67"/>
  <c r="AF1517" i="67"/>
  <c r="AI1469" i="67"/>
  <c r="AI1516" i="67"/>
  <c r="AI1512" i="67"/>
  <c r="AK1485" i="67"/>
  <c r="AK1513" i="67"/>
  <c r="AK1517" i="67"/>
  <c r="AS1485" i="67"/>
  <c r="AS1513" i="67"/>
  <c r="AS1517" i="67"/>
  <c r="AV1485" i="67"/>
  <c r="AV1513" i="67"/>
  <c r="AV1517" i="67"/>
  <c r="AI1485" i="67"/>
  <c r="AI1517" i="67"/>
  <c r="AI1513" i="67"/>
  <c r="AT1485" i="67"/>
  <c r="AT1517" i="67"/>
  <c r="AT1513" i="67"/>
  <c r="AM1469" i="67"/>
  <c r="AM1512" i="67"/>
  <c r="AM1516" i="67"/>
  <c r="AG1485" i="67"/>
  <c r="AG1517" i="67"/>
  <c r="AG1513" i="67"/>
  <c r="AJ1469" i="67"/>
  <c r="AJ1512" i="67"/>
  <c r="AJ1516" i="67"/>
  <c r="AY141" i="34"/>
  <c r="AF1469" i="67"/>
  <c r="AF1516" i="67"/>
  <c r="AF1512" i="67"/>
  <c r="BE138" i="34"/>
  <c r="AL1485" i="67"/>
  <c r="AL1513" i="67"/>
  <c r="AL1517" i="67"/>
  <c r="AQ1485" i="67"/>
  <c r="AQ1513" i="67"/>
  <c r="AQ1517" i="67"/>
  <c r="AM1485" i="67"/>
  <c r="AM1513" i="67"/>
  <c r="AM1517" i="67"/>
  <c r="AV1469" i="67"/>
  <c r="AV1516" i="67"/>
  <c r="AV1512" i="67"/>
  <c r="AK1469" i="67"/>
  <c r="AK1516" i="67"/>
  <c r="AK1512" i="67"/>
  <c r="AE1485" i="67"/>
  <c r="AE1517" i="67"/>
  <c r="AE1513" i="67"/>
  <c r="AU1469" i="67"/>
  <c r="AU1512" i="67"/>
  <c r="AU1516" i="67"/>
  <c r="AU1485" i="67"/>
  <c r="AU1517" i="67"/>
  <c r="AU1513" i="67"/>
  <c r="AW1485" i="67"/>
  <c r="AW1517" i="67"/>
  <c r="AW1513" i="67"/>
  <c r="AJ1485" i="67"/>
  <c r="AJ1513" i="67"/>
  <c r="AJ1517" i="67"/>
  <c r="BJ94" i="34"/>
  <c r="BH45" i="45" s="1"/>
  <c r="AQ1469" i="67"/>
  <c r="AQ1512" i="67"/>
  <c r="AQ1516" i="67"/>
  <c r="AS65" i="45"/>
  <c r="BL45" i="70"/>
  <c r="BF63" i="45"/>
  <c r="BJ63" i="68"/>
  <c r="BG41" i="45"/>
  <c r="BK45" i="36"/>
  <c r="AR1461" i="67" s="1"/>
  <c r="BL41" i="68" s="1"/>
  <c r="AK37" i="62" s="1"/>
  <c r="BJ86" i="34"/>
  <c r="AW19" i="45"/>
  <c r="AW60" i="45" s="1"/>
  <c r="AO65" i="45"/>
  <c r="AQ65" i="45"/>
  <c r="AH65" i="45"/>
  <c r="AR65" i="45"/>
  <c r="AD65" i="45"/>
  <c r="AN65" i="45"/>
  <c r="AJ65" i="45"/>
  <c r="AP65" i="45"/>
  <c r="AZ4" i="45"/>
  <c r="AZ58" i="45" s="1"/>
  <c r="AF65" i="45"/>
  <c r="AC65" i="45"/>
  <c r="AI65" i="45"/>
  <c r="AG65" i="45"/>
  <c r="AE65" i="45"/>
  <c r="AT49" i="45"/>
  <c r="AR66" i="45"/>
  <c r="AD66" i="45"/>
  <c r="AL66" i="45"/>
  <c r="BF5" i="45"/>
  <c r="BF4" i="45" s="1"/>
  <c r="BF58" i="45" s="1"/>
  <c r="BF53" i="45"/>
  <c r="BA53" i="45"/>
  <c r="AX20" i="45"/>
  <c r="AX19" i="45" s="1"/>
  <c r="AX60" i="45" s="1"/>
  <c r="BB54" i="45"/>
  <c r="BL53" i="45"/>
  <c r="BI54" i="45"/>
  <c r="BN5" i="45"/>
  <c r="BA12" i="45"/>
  <c r="BA11" i="45" s="1"/>
  <c r="BA59" i="45" s="1"/>
  <c r="BG54" i="45"/>
  <c r="BK20" i="45"/>
  <c r="BK19" i="45" s="1"/>
  <c r="BK60" i="45" s="1"/>
  <c r="AZ20" i="45"/>
  <c r="AZ19" i="45" s="1"/>
  <c r="AZ60" i="45" s="1"/>
  <c r="BC12" i="45"/>
  <c r="BC11" i="45" s="1"/>
  <c r="BC59" i="45" s="1"/>
  <c r="AW53" i="45"/>
  <c r="BK53" i="45"/>
  <c r="BK12" i="45"/>
  <c r="BK11" i="45" s="1"/>
  <c r="BK59" i="45" s="1"/>
  <c r="BD5" i="45"/>
  <c r="BD4" i="45" s="1"/>
  <c r="BD58" i="45" s="1"/>
  <c r="AU53" i="45"/>
  <c r="BH12" i="45"/>
  <c r="AX5" i="45"/>
  <c r="AX4" i="45" s="1"/>
  <c r="AX58" i="45" s="1"/>
  <c r="AX54" i="45"/>
  <c r="BE12" i="45"/>
  <c r="BE54" i="45"/>
  <c r="AY5" i="45"/>
  <c r="BK45" i="45"/>
  <c r="BB20" i="45"/>
  <c r="BB19" i="45" s="1"/>
  <c r="BB60" i="45" s="1"/>
  <c r="BJ12" i="45"/>
  <c r="BJ11" i="45" s="1"/>
  <c r="BJ59" i="45" s="1"/>
  <c r="BL5" i="45"/>
  <c r="BL4" i="45" s="1"/>
  <c r="BL58" i="45" s="1"/>
  <c r="BI12" i="45"/>
  <c r="BI11" i="45" s="1"/>
  <c r="BI59" i="45" s="1"/>
  <c r="BM5" i="45"/>
  <c r="BM4" i="45" s="1"/>
  <c r="BM58" i="45" s="1"/>
  <c r="BN20" i="45"/>
  <c r="BN19" i="45" s="1"/>
  <c r="BN60" i="45" s="1"/>
  <c r="BA5" i="45"/>
  <c r="BG5" i="45"/>
  <c r="BG4" i="45" s="1"/>
  <c r="BG58" i="45" s="1"/>
  <c r="BG12" i="45"/>
  <c r="BG11" i="45" s="1"/>
  <c r="BG59" i="45" s="1"/>
  <c r="AY45" i="45"/>
  <c r="AU46" i="45"/>
  <c r="BC5" i="45"/>
  <c r="BC4" i="45" s="1"/>
  <c r="BC58" i="45" s="1"/>
  <c r="AW12" i="45"/>
  <c r="AW11" i="45" s="1"/>
  <c r="AW59" i="45" s="1"/>
  <c r="BD54" i="45"/>
  <c r="AU12" i="45"/>
  <c r="AU11" i="45" s="1"/>
  <c r="AU59" i="45" s="1"/>
  <c r="AV12" i="45"/>
  <c r="BE53" i="45"/>
  <c r="BJ20" i="45"/>
  <c r="BJ19" i="45" s="1"/>
  <c r="BJ60" i="45" s="1"/>
  <c r="BL20" i="45"/>
  <c r="BL19" i="45" s="1"/>
  <c r="BL60" i="45" s="1"/>
  <c r="BM12" i="45"/>
  <c r="BM11" i="45" s="1"/>
  <c r="BM59" i="45" s="1"/>
  <c r="BK5" i="45"/>
  <c r="BK4" i="45" s="1"/>
  <c r="BK58" i="45" s="1"/>
  <c r="AW5" i="45"/>
  <c r="AW4" i="45" s="1"/>
  <c r="AW58" i="45" s="1"/>
  <c r="BD20" i="45"/>
  <c r="BD19" i="45" s="1"/>
  <c r="BD60" i="45" s="1"/>
  <c r="BH20" i="45"/>
  <c r="BH19" i="45" s="1"/>
  <c r="BH60" i="45" s="1"/>
  <c r="AV5" i="45"/>
  <c r="AV4" i="45" s="1"/>
  <c r="AV58" i="45" s="1"/>
  <c r="BE5" i="45"/>
  <c r="AY20" i="45"/>
  <c r="AY19" i="45" s="1"/>
  <c r="AY60" i="45" s="1"/>
  <c r="AY12" i="45"/>
  <c r="AY11" i="45" s="1"/>
  <c r="AY59" i="45" s="1"/>
  <c r="BB5" i="45"/>
  <c r="BB4" i="45" s="1"/>
  <c r="BB58" i="45" s="1"/>
  <c r="BL54" i="45"/>
  <c r="BI53" i="45"/>
  <c r="BM54" i="45"/>
  <c r="BN54" i="45"/>
  <c r="BN12" i="45"/>
  <c r="BA20" i="45"/>
  <c r="BK54" i="45"/>
  <c r="BC20" i="45"/>
  <c r="AU20" i="45"/>
  <c r="BH5" i="45"/>
  <c r="BH4" i="45" s="1"/>
  <c r="BH58" i="45" s="1"/>
  <c r="AV54" i="45"/>
  <c r="AY54" i="45"/>
  <c r="BB53" i="45"/>
  <c r="BJ5" i="45"/>
  <c r="BJ4" i="45" s="1"/>
  <c r="BJ58" i="45" s="1"/>
  <c r="BI20" i="45"/>
  <c r="BM20" i="45"/>
  <c r="BG53" i="45"/>
  <c r="AZ12" i="45"/>
  <c r="AZ11" i="45" s="1"/>
  <c r="AZ59" i="45" s="1"/>
  <c r="BC54" i="45"/>
  <c r="AZ53" i="45"/>
  <c r="BD12" i="45"/>
  <c r="BD11" i="45" s="1"/>
  <c r="BD59" i="45" s="1"/>
  <c r="AU5" i="45"/>
  <c r="AU4" i="45" s="1"/>
  <c r="AU58" i="45" s="1"/>
  <c r="AX12" i="45"/>
  <c r="AZ54" i="45"/>
  <c r="BF20" i="45"/>
  <c r="BF19" i="45" s="1"/>
  <c r="BF60" i="45" s="1"/>
  <c r="AW54" i="45"/>
  <c r="BF12" i="45"/>
  <c r="AV53" i="45"/>
  <c r="BD53" i="45"/>
  <c r="AU54" i="45"/>
  <c r="BH54" i="45"/>
  <c r="AX53" i="45"/>
  <c r="AV20" i="45"/>
  <c r="BE20" i="45"/>
  <c r="AY53" i="45"/>
  <c r="BB12" i="45"/>
  <c r="BB11" i="45" s="1"/>
  <c r="BB59" i="45" s="1"/>
  <c r="BJ53" i="45"/>
  <c r="BJ54" i="45"/>
  <c r="BL12" i="45"/>
  <c r="BL11" i="45" s="1"/>
  <c r="BL59" i="45" s="1"/>
  <c r="BI5" i="45"/>
  <c r="BI4" i="45" s="1"/>
  <c r="BI58" i="45" s="1"/>
  <c r="BM53" i="45"/>
  <c r="BN53" i="45"/>
  <c r="BA54" i="45"/>
  <c r="BG20" i="45"/>
  <c r="BG19" i="45" s="1"/>
  <c r="BG60" i="45" s="1"/>
  <c r="BE45" i="45"/>
  <c r="BG45" i="45"/>
  <c r="BE110" i="34"/>
  <c r="BE142" i="34"/>
  <c r="AY94" i="34"/>
  <c r="AX90" i="34"/>
  <c r="AX143" i="34"/>
  <c r="BJ137" i="34"/>
  <c r="BJ141" i="34"/>
  <c r="BB142" i="34"/>
  <c r="BB138" i="34"/>
  <c r="BB110" i="34"/>
  <c r="BF137" i="34"/>
  <c r="BF94" i="34"/>
  <c r="BF141" i="34"/>
  <c r="AW142" i="34"/>
  <c r="AU51" i="45" s="1"/>
  <c r="AW138" i="34"/>
  <c r="AU50" i="45" s="1"/>
  <c r="AW110" i="34"/>
  <c r="BJ110" i="34"/>
  <c r="BJ138" i="34"/>
  <c r="BJ142" i="34"/>
  <c r="BA138" i="34"/>
  <c r="AY50" i="45" s="1"/>
  <c r="BA142" i="34"/>
  <c r="BA110" i="34"/>
  <c r="BD138" i="34"/>
  <c r="BD142" i="34"/>
  <c r="BD110" i="34"/>
  <c r="BK142" i="34"/>
  <c r="BK138" i="34"/>
  <c r="BK110" i="34"/>
  <c r="BC141" i="34"/>
  <c r="BC137" i="34"/>
  <c r="BC94" i="34"/>
  <c r="BI138" i="34"/>
  <c r="BG50" i="45" s="1"/>
  <c r="BI142" i="34"/>
  <c r="BI110" i="34"/>
  <c r="BH138" i="34"/>
  <c r="BH142" i="34"/>
  <c r="BH110" i="34"/>
  <c r="BM142" i="34"/>
  <c r="BM138" i="34"/>
  <c r="BK50" i="45" s="1"/>
  <c r="BM110" i="34"/>
  <c r="AY142" i="34"/>
  <c r="AY110" i="34"/>
  <c r="AY138" i="34"/>
  <c r="AW50" i="45" s="1"/>
  <c r="BB137" i="34"/>
  <c r="BB141" i="34"/>
  <c r="BB94" i="34"/>
  <c r="BF142" i="34"/>
  <c r="BF110" i="34"/>
  <c r="BF138" i="34"/>
  <c r="AZ94" i="34"/>
  <c r="AZ137" i="34"/>
  <c r="AZ141" i="34"/>
  <c r="AX137" i="34"/>
  <c r="AX94" i="34"/>
  <c r="AX141" i="34"/>
  <c r="BK141" i="34"/>
  <c r="BK94" i="34"/>
  <c r="BK137" i="34"/>
  <c r="BN138" i="34"/>
  <c r="BN142" i="34"/>
  <c r="BN110" i="34"/>
  <c r="BO142" i="34"/>
  <c r="BO110" i="34"/>
  <c r="BO138" i="34"/>
  <c r="BP142" i="34"/>
  <c r="BP110" i="34"/>
  <c r="BP138" i="34"/>
  <c r="BO141" i="34"/>
  <c r="BO94" i="34"/>
  <c r="BO137" i="34"/>
  <c r="BL110" i="34"/>
  <c r="BL138" i="34"/>
  <c r="BJ50" i="45" s="1"/>
  <c r="BL142" i="34"/>
  <c r="BC110" i="34"/>
  <c r="BC138" i="34"/>
  <c r="BC142" i="34"/>
  <c r="BE137" i="34"/>
  <c r="BE94" i="34"/>
  <c r="BE141" i="34"/>
  <c r="BH141" i="34"/>
  <c r="BH137" i="34"/>
  <c r="BH94" i="34"/>
  <c r="BP141" i="34"/>
  <c r="BP94" i="34"/>
  <c r="BP137" i="34"/>
  <c r="BD137" i="34"/>
  <c r="BD141" i="34"/>
  <c r="BD94" i="34"/>
  <c r="AZ142" i="34"/>
  <c r="AZ138" i="34"/>
  <c r="AZ110" i="34"/>
  <c r="AX142" i="34"/>
  <c r="AX138" i="34"/>
  <c r="AX110" i="34"/>
  <c r="BG142" i="34"/>
  <c r="BG110" i="34"/>
  <c r="BG138" i="34"/>
  <c r="BE50" i="45" s="1"/>
  <c r="BN141" i="34"/>
  <c r="BN137" i="34"/>
  <c r="BN94" i="34"/>
  <c r="BK52" i="45" l="1"/>
  <c r="BK67" i="45" s="1"/>
  <c r="BD52" i="45"/>
  <c r="BD67" i="45" s="1"/>
  <c r="AX52" i="45"/>
  <c r="AX67" i="45" s="1"/>
  <c r="AU52" i="45"/>
  <c r="AU67" i="45" s="1"/>
  <c r="BG52" i="45"/>
  <c r="BG67" i="45" s="1"/>
  <c r="BL52" i="45"/>
  <c r="BL67" i="45" s="1"/>
  <c r="BI19" i="45"/>
  <c r="BI60" i="45" s="1"/>
  <c r="BI71" i="45" s="1"/>
  <c r="AV52" i="45"/>
  <c r="AV67" i="45" s="1"/>
  <c r="AV19" i="45"/>
  <c r="AV60" i="45" s="1"/>
  <c r="AU19" i="45"/>
  <c r="AU60" i="45" s="1"/>
  <c r="AU71" i="45" s="1"/>
  <c r="BN11" i="45"/>
  <c r="BN59" i="45" s="1"/>
  <c r="BA4" i="45"/>
  <c r="BA58" i="45" s="1"/>
  <c r="BN4" i="45"/>
  <c r="BN58" i="45" s="1"/>
  <c r="AY4" i="45"/>
  <c r="AY58" i="45" s="1"/>
  <c r="AY71" i="45" s="1"/>
  <c r="BE4" i="45"/>
  <c r="BE58" i="45" s="1"/>
  <c r="AZ52" i="45"/>
  <c r="AZ67" i="45" s="1"/>
  <c r="BN52" i="45"/>
  <c r="BN67" i="45" s="1"/>
  <c r="BA52" i="45"/>
  <c r="BA67" i="45" s="1"/>
  <c r="BM45" i="70"/>
  <c r="BG63" i="45"/>
  <c r="BK63" i="68"/>
  <c r="BH41" i="45"/>
  <c r="BL45" i="36"/>
  <c r="AS1461" i="67" s="1"/>
  <c r="BM41" i="68" s="1"/>
  <c r="AL37" i="62" s="1"/>
  <c r="BK86" i="34"/>
  <c r="BM52" i="45"/>
  <c r="BM67" i="45" s="1"/>
  <c r="BI52" i="45"/>
  <c r="BI67" i="45" s="1"/>
  <c r="BB52" i="45"/>
  <c r="BB67" i="45" s="1"/>
  <c r="AX11" i="45"/>
  <c r="AX59" i="45" s="1"/>
  <c r="AX71" i="45" s="1"/>
  <c r="BH11" i="45"/>
  <c r="BH59" i="45" s="1"/>
  <c r="BH71" i="45" s="1"/>
  <c r="AV11" i="45"/>
  <c r="AV59" i="45" s="1"/>
  <c r="BE19" i="45"/>
  <c r="BE60" i="45" s="1"/>
  <c r="BF11" i="45"/>
  <c r="BF59" i="45" s="1"/>
  <c r="BF71" i="45" s="1"/>
  <c r="BA19" i="45"/>
  <c r="BA60" i="45" s="1"/>
  <c r="BE11" i="45"/>
  <c r="BE59" i="45" s="1"/>
  <c r="BC52" i="45"/>
  <c r="AY52" i="45"/>
  <c r="AY67" i="45" s="1"/>
  <c r="BM19" i="45"/>
  <c r="BM60" i="45" s="1"/>
  <c r="BM71" i="45" s="1"/>
  <c r="BF52" i="45"/>
  <c r="BJ52" i="45"/>
  <c r="BH52" i="45"/>
  <c r="BE52" i="45"/>
  <c r="BE67" i="45" s="1"/>
  <c r="AW52" i="45"/>
  <c r="AW67" i="45" s="1"/>
  <c r="BC19" i="45"/>
  <c r="BC60" i="45" s="1"/>
  <c r="BC71" i="45" s="1"/>
  <c r="AT66" i="45"/>
  <c r="BL45" i="45"/>
  <c r="AY47" i="45"/>
  <c r="AX47" i="45"/>
  <c r="BJ47" i="45"/>
  <c r="BM47" i="45"/>
  <c r="BK47" i="45"/>
  <c r="BI47" i="45"/>
  <c r="BB47" i="45"/>
  <c r="BH47" i="45"/>
  <c r="AZ47" i="45"/>
  <c r="AW45" i="45"/>
  <c r="BE47" i="45"/>
  <c r="BB45" i="45"/>
  <c r="BD47" i="45"/>
  <c r="AV46" i="45"/>
  <c r="BC45" i="45"/>
  <c r="BA47" i="45"/>
  <c r="BN47" i="45"/>
  <c r="AV45" i="45"/>
  <c r="AZ45" i="45"/>
  <c r="AU47" i="45"/>
  <c r="BD45" i="45"/>
  <c r="BN45" i="45"/>
  <c r="BF47" i="45"/>
  <c r="AV47" i="45"/>
  <c r="BF45" i="45"/>
  <c r="AX45" i="45"/>
  <c r="BA45" i="45"/>
  <c r="BC50" i="45"/>
  <c r="BM45" i="45"/>
  <c r="BL47" i="45"/>
  <c r="BI45" i="45"/>
  <c r="AW47" i="45"/>
  <c r="BG47" i="45"/>
  <c r="BC47" i="45"/>
  <c r="AW71" i="45"/>
  <c r="BK71" i="45"/>
  <c r="BL71" i="45"/>
  <c r="BJ71" i="45"/>
  <c r="AZ71" i="45"/>
  <c r="BG71" i="45"/>
  <c r="BD71" i="45"/>
  <c r="BB71" i="45"/>
  <c r="BH50" i="45"/>
  <c r="AY90" i="34"/>
  <c r="AY143" i="34"/>
  <c r="BF50" i="45"/>
  <c r="BI50" i="45"/>
  <c r="BL50" i="45"/>
  <c r="BN50" i="45"/>
  <c r="BM50" i="45"/>
  <c r="BB50" i="45"/>
  <c r="AZ50" i="45"/>
  <c r="AU49" i="45"/>
  <c r="AV50" i="45"/>
  <c r="BA50" i="45"/>
  <c r="AV51" i="45"/>
  <c r="AX50" i="45"/>
  <c r="BD50" i="45"/>
  <c r="BA71" i="45" l="1"/>
  <c r="BN71" i="45"/>
  <c r="AV71" i="45"/>
  <c r="BJ67" i="45"/>
  <c r="BE71" i="45"/>
  <c r="AV43" i="45"/>
  <c r="AV65" i="45" s="1"/>
  <c r="BN45" i="70"/>
  <c r="BH63" i="45"/>
  <c r="BL63" i="68"/>
  <c r="BI41" i="45"/>
  <c r="BM45" i="36"/>
  <c r="AT1461" i="67" s="1"/>
  <c r="BN41" i="68" s="1"/>
  <c r="AM37" i="62" s="1"/>
  <c r="BL86" i="34"/>
  <c r="AU43" i="45"/>
  <c r="BH67" i="45"/>
  <c r="BC67" i="45"/>
  <c r="BF67" i="45"/>
  <c r="AW46" i="45"/>
  <c r="AW51" i="45"/>
  <c r="AU66" i="45"/>
  <c r="AZ90" i="34"/>
  <c r="AZ143" i="34"/>
  <c r="AV49" i="45"/>
  <c r="BO45" i="70" l="1"/>
  <c r="BI63" i="45"/>
  <c r="BM63" i="68"/>
  <c r="BJ41" i="45"/>
  <c r="BN45" i="36"/>
  <c r="AU1461" i="67" s="1"/>
  <c r="BO41" i="68" s="1"/>
  <c r="AN37" i="62" s="1"/>
  <c r="BM86" i="34"/>
  <c r="AW43" i="45"/>
  <c r="AU65" i="45"/>
  <c r="AW49" i="45"/>
  <c r="AX51" i="45"/>
  <c r="AX46" i="45"/>
  <c r="AV66" i="45"/>
  <c r="BA143" i="34"/>
  <c r="BA90" i="34"/>
  <c r="BP45" i="70" l="1"/>
  <c r="BJ63" i="45"/>
  <c r="BN63" i="68"/>
  <c r="BK41" i="45"/>
  <c r="BO45" i="36"/>
  <c r="AV1461" i="67" s="1"/>
  <c r="BP41" i="68" s="1"/>
  <c r="AO37" i="62" s="1"/>
  <c r="BN86" i="34"/>
  <c r="AW66" i="45"/>
  <c r="AX43" i="45"/>
  <c r="AW65" i="45"/>
  <c r="AX49" i="45"/>
  <c r="AY51" i="45"/>
  <c r="AY46" i="45"/>
  <c r="BB143" i="34"/>
  <c r="BB90" i="34"/>
  <c r="BP45" i="36" l="1"/>
  <c r="AW1461" i="67" s="1"/>
  <c r="BQ41" i="68" s="1"/>
  <c r="AP37" i="62" s="1"/>
  <c r="BO86" i="34"/>
  <c r="BK63" i="45"/>
  <c r="BO63" i="68"/>
  <c r="BL41" i="45"/>
  <c r="AY43" i="45"/>
  <c r="AX65" i="45"/>
  <c r="AY49" i="45"/>
  <c r="AX66" i="45"/>
  <c r="AZ46" i="45"/>
  <c r="AZ51" i="45"/>
  <c r="BC143" i="34"/>
  <c r="BC90" i="34"/>
  <c r="BP85" i="36" l="1"/>
  <c r="BP86" i="34"/>
  <c r="BL63" i="45"/>
  <c r="BP63" i="68"/>
  <c r="BM41" i="45"/>
  <c r="AZ43" i="45"/>
  <c r="AY65" i="45"/>
  <c r="AZ49" i="45"/>
  <c r="AY66" i="45"/>
  <c r="BA46" i="45"/>
  <c r="BA51" i="45"/>
  <c r="BD90" i="34"/>
  <c r="BD143" i="34"/>
  <c r="AW1465" i="67" l="1"/>
  <c r="AW1518" i="67"/>
  <c r="BM63" i="45"/>
  <c r="BQ63" i="68"/>
  <c r="BN41" i="45"/>
  <c r="BA43" i="45"/>
  <c r="AZ65" i="45"/>
  <c r="BA49" i="45"/>
  <c r="AZ66" i="45"/>
  <c r="BB51" i="45"/>
  <c r="BB46" i="45"/>
  <c r="BE90" i="34"/>
  <c r="BE143" i="34"/>
  <c r="AW1021" i="67" l="1"/>
  <c r="AW1172" i="67"/>
  <c r="AW719" i="67"/>
  <c r="AW567" i="67"/>
  <c r="AW109" i="67"/>
  <c r="AW415" i="67"/>
  <c r="AW870" i="67"/>
  <c r="AW262" i="67"/>
  <c r="AW968" i="67"/>
  <c r="AW666" i="67"/>
  <c r="AW1119" i="67"/>
  <c r="AW362" i="67"/>
  <c r="AW514" i="67"/>
  <c r="BQ46" i="68"/>
  <c r="AW209" i="67"/>
  <c r="AW817" i="67"/>
  <c r="AW56" i="67"/>
  <c r="BN63" i="45"/>
  <c r="BB43" i="45"/>
  <c r="BB65" i="45" s="1"/>
  <c r="BA65" i="45"/>
  <c r="BB49" i="45"/>
  <c r="BA66" i="45"/>
  <c r="BC51" i="45"/>
  <c r="BC46" i="45"/>
  <c r="BF143" i="34"/>
  <c r="BF90" i="34"/>
  <c r="AW1272" i="67" l="1"/>
  <c r="AW1325" i="67"/>
  <c r="BC43" i="45"/>
  <c r="BC49" i="45"/>
  <c r="BB66" i="45"/>
  <c r="BD46" i="45"/>
  <c r="BD51" i="45"/>
  <c r="BG143" i="34"/>
  <c r="BG90" i="34"/>
  <c r="BC65" i="45" l="1"/>
  <c r="BD43" i="45"/>
  <c r="BD49" i="45"/>
  <c r="BC66" i="45"/>
  <c r="BE46" i="45"/>
  <c r="BE51" i="45"/>
  <c r="BH90" i="34"/>
  <c r="BH143" i="34"/>
  <c r="BD65" i="45" l="1"/>
  <c r="BE43" i="45"/>
  <c r="BE49" i="45"/>
  <c r="BD66" i="45"/>
  <c r="BF51" i="45"/>
  <c r="BF46" i="45"/>
  <c r="BI143" i="34"/>
  <c r="BI90" i="34"/>
  <c r="BF43" i="45" l="1"/>
  <c r="BE65" i="45"/>
  <c r="BF49" i="45"/>
  <c r="BE66" i="45"/>
  <c r="BG46" i="45"/>
  <c r="BG51" i="45"/>
  <c r="BJ143" i="34"/>
  <c r="BJ90" i="34"/>
  <c r="BF65" i="45" l="1"/>
  <c r="BG43" i="45"/>
  <c r="BG49" i="45"/>
  <c r="BF66" i="45"/>
  <c r="BH46" i="45"/>
  <c r="BH51" i="45"/>
  <c r="BK143" i="34"/>
  <c r="BK90" i="34"/>
  <c r="BG65" i="45" l="1"/>
  <c r="BH43" i="45"/>
  <c r="BH49" i="45"/>
  <c r="BG66" i="45"/>
  <c r="BI46" i="45"/>
  <c r="BI51" i="45"/>
  <c r="BL90" i="34"/>
  <c r="BL143" i="34"/>
  <c r="BH65" i="45" l="1"/>
  <c r="BI43" i="45"/>
  <c r="BI49" i="45"/>
  <c r="BH66" i="45"/>
  <c r="BJ51" i="45"/>
  <c r="BJ46" i="45"/>
  <c r="BM90" i="34"/>
  <c r="BM143" i="34"/>
  <c r="BJ43" i="45" l="1"/>
  <c r="BI65" i="45"/>
  <c r="BJ49" i="45"/>
  <c r="BI66" i="45"/>
  <c r="BK51" i="45"/>
  <c r="BK46" i="45"/>
  <c r="BN143" i="34"/>
  <c r="BN90" i="34"/>
  <c r="BJ65" i="45" l="1"/>
  <c r="BK43" i="45"/>
  <c r="BK65" i="45" s="1"/>
  <c r="BK49" i="45"/>
  <c r="BJ66" i="45"/>
  <c r="BL46" i="45"/>
  <c r="BL51" i="45"/>
  <c r="BO143" i="34"/>
  <c r="BO90" i="34"/>
  <c r="BP90" i="34"/>
  <c r="BP143" i="34"/>
  <c r="BL43" i="45" l="1"/>
  <c r="BL49" i="45"/>
  <c r="BK66" i="45"/>
  <c r="BN51" i="45"/>
  <c r="BN46" i="45"/>
  <c r="BM46" i="45"/>
  <c r="BM51" i="45"/>
  <c r="BM43" i="45" l="1"/>
  <c r="BN43" i="45"/>
  <c r="BL65" i="45"/>
  <c r="BM49" i="45"/>
  <c r="BN49" i="45"/>
  <c r="BL66" i="45"/>
  <c r="AD123" i="34"/>
  <c r="BN65" i="45" l="1"/>
  <c r="BM65" i="45"/>
  <c r="BN66" i="45"/>
  <c r="BM66" i="45"/>
  <c r="AB48" i="45"/>
  <c r="AD144" i="34"/>
  <c r="AB43" i="45" l="1"/>
  <c r="AB51" i="45"/>
  <c r="AB49" i="45" l="1"/>
  <c r="AB65" i="45"/>
  <c r="AB66" i="45" l="1"/>
  <c r="BL82" i="34"/>
  <c r="BL66" i="34"/>
  <c r="AI56" i="34"/>
  <c r="AI72" i="34"/>
  <c r="AG60" i="34"/>
  <c r="AG76" i="34"/>
  <c r="AG64" i="34"/>
  <c r="AG80" i="34"/>
  <c r="AI61" i="34"/>
  <c r="AI77" i="34"/>
  <c r="AG55" i="34"/>
  <c r="AG71" i="34"/>
  <c r="AH79" i="34"/>
  <c r="AH63" i="34"/>
  <c r="AI59" i="34"/>
  <c r="AI75" i="34"/>
  <c r="AG85" i="34"/>
  <c r="AG69" i="34"/>
  <c r="AI74" i="34"/>
  <c r="AI58" i="34"/>
  <c r="BM82" i="34"/>
  <c r="BM66" i="34"/>
  <c r="AW82" i="34"/>
  <c r="AW66" i="34"/>
  <c r="BN82" i="34"/>
  <c r="BN66" i="34"/>
  <c r="AK82" i="34"/>
  <c r="AK66" i="34"/>
  <c r="AD79" i="34"/>
  <c r="AD63" i="34"/>
  <c r="AG56" i="34"/>
  <c r="AG72" i="34"/>
  <c r="AE67" i="34"/>
  <c r="AE83" i="34"/>
  <c r="AH64" i="34"/>
  <c r="AH80" i="34"/>
  <c r="AH61" i="34"/>
  <c r="AH77" i="34"/>
  <c r="AH67" i="34"/>
  <c r="AH83" i="34"/>
  <c r="AD61" i="34"/>
  <c r="AD77" i="34"/>
  <c r="AE58" i="34"/>
  <c r="AE74" i="34"/>
  <c r="AP66" i="34"/>
  <c r="AP82" i="34"/>
  <c r="AZ82" i="34"/>
  <c r="AZ66" i="34"/>
  <c r="AR82" i="34"/>
  <c r="AR66" i="34"/>
  <c r="BC82" i="34"/>
  <c r="BC66" i="34"/>
  <c r="AI78" i="34"/>
  <c r="AI62" i="34"/>
  <c r="AD56" i="34"/>
  <c r="AD72" i="34"/>
  <c r="AD80" i="34"/>
  <c r="AD64" i="34"/>
  <c r="AD54" i="34"/>
  <c r="AD70" i="34"/>
  <c r="AI79" i="34"/>
  <c r="AI63" i="34"/>
  <c r="AD59" i="34"/>
  <c r="AD75" i="34"/>
  <c r="AD68" i="34"/>
  <c r="AD84" i="34"/>
  <c r="AG75" i="34"/>
  <c r="AG59" i="34"/>
  <c r="AH81" i="34"/>
  <c r="AH65" i="34"/>
  <c r="AE85" i="34"/>
  <c r="AE69" i="34"/>
  <c r="BA66" i="34"/>
  <c r="BA82" i="34"/>
  <c r="AU66" i="34"/>
  <c r="AU82" i="34"/>
  <c r="BJ82" i="34"/>
  <c r="BJ66" i="34"/>
  <c r="AI54" i="34"/>
  <c r="AI70" i="34"/>
  <c r="AD58" i="34"/>
  <c r="AD74" i="34"/>
  <c r="AE76" i="34"/>
  <c r="AE60" i="34"/>
  <c r="AI55" i="34"/>
  <c r="AI71" i="34"/>
  <c r="AI83" i="34"/>
  <c r="AI67" i="34"/>
  <c r="AG57" i="34"/>
  <c r="AG73" i="34"/>
  <c r="AE72" i="34"/>
  <c r="AE56" i="34"/>
  <c r="AI81" i="34"/>
  <c r="AI65" i="34"/>
  <c r="AD78" i="34"/>
  <c r="AD62" i="34"/>
  <c r="AE59" i="34"/>
  <c r="AE75" i="34"/>
  <c r="AE62" i="34"/>
  <c r="AE78" i="34"/>
  <c r="AD69" i="34"/>
  <c r="AD85" i="34"/>
  <c r="AV82" i="34"/>
  <c r="AV66" i="34"/>
  <c r="BG82" i="34"/>
  <c r="BG66" i="34"/>
  <c r="AN66" i="34"/>
  <c r="AN82" i="34"/>
  <c r="BB66" i="34"/>
  <c r="BB82" i="34"/>
  <c r="AI82" i="34"/>
  <c r="AI66" i="34"/>
  <c r="AH60" i="34"/>
  <c r="AH76" i="34"/>
  <c r="AG70" i="34"/>
  <c r="AG54" i="34"/>
  <c r="AI57" i="34"/>
  <c r="AI73" i="34"/>
  <c r="AD60" i="34"/>
  <c r="AD76" i="34"/>
  <c r="AE55" i="34"/>
  <c r="AE71" i="34"/>
  <c r="AH56" i="34"/>
  <c r="AH72" i="34"/>
  <c r="AI69" i="34"/>
  <c r="AI85" i="34"/>
  <c r="AH58" i="34"/>
  <c r="AH74" i="34"/>
  <c r="AI68" i="34"/>
  <c r="AI84" i="34"/>
  <c r="AG65" i="34"/>
  <c r="AG81" i="34"/>
  <c r="BE82" i="34"/>
  <c r="BE66" i="34"/>
  <c r="BP82" i="34"/>
  <c r="BP66" i="34"/>
  <c r="AG82" i="34"/>
  <c r="AG66" i="34"/>
  <c r="AG58" i="34"/>
  <c r="AG74" i="34"/>
  <c r="AE61" i="34"/>
  <c r="AE77" i="34"/>
  <c r="AI60" i="34"/>
  <c r="AI76" i="34"/>
  <c r="AD83" i="34"/>
  <c r="AD67" i="34"/>
  <c r="AI64" i="34"/>
  <c r="AI80" i="34"/>
  <c r="AG67" i="34"/>
  <c r="AG83" i="34"/>
  <c r="AH55" i="34"/>
  <c r="AH71" i="34"/>
  <c r="AE81" i="34"/>
  <c r="AE65" i="34"/>
  <c r="AE63" i="34"/>
  <c r="AE79" i="34"/>
  <c r="AJ82" i="34"/>
  <c r="AJ66" i="34"/>
  <c r="BD66" i="34"/>
  <c r="BD82" i="34"/>
  <c r="BK82" i="34"/>
  <c r="BK66" i="34"/>
  <c r="AG78" i="34"/>
  <c r="AG62" i="34"/>
  <c r="AD66" i="34"/>
  <c r="AD82" i="34"/>
  <c r="AE70" i="34"/>
  <c r="AE54" i="34"/>
  <c r="AH73" i="34"/>
  <c r="AH57" i="34"/>
  <c r="AG61" i="34"/>
  <c r="AG77" i="34"/>
  <c r="AG68" i="34"/>
  <c r="AG84" i="34"/>
  <c r="AH78" i="34"/>
  <c r="AH62" i="34"/>
  <c r="AE84" i="34"/>
  <c r="AE68" i="34"/>
  <c r="AD81" i="34"/>
  <c r="AD65" i="34"/>
  <c r="AO82" i="34"/>
  <c r="AO66" i="34"/>
  <c r="BI82" i="34"/>
  <c r="BI66" i="34"/>
  <c r="BF82" i="34"/>
  <c r="BF66" i="34"/>
  <c r="AM82" i="34"/>
  <c r="AM66" i="34"/>
  <c r="AQ82" i="34"/>
  <c r="AQ66" i="34"/>
  <c r="AE66" i="34"/>
  <c r="AE82" i="34"/>
  <c r="AH85" i="34"/>
  <c r="AH69" i="34"/>
  <c r="AD71" i="34"/>
  <c r="AD55" i="34"/>
  <c r="AE57" i="34"/>
  <c r="AE73" i="34"/>
  <c r="AE80" i="34"/>
  <c r="AE64" i="34"/>
  <c r="AH54" i="34"/>
  <c r="AH70" i="34"/>
  <c r="AD73" i="34"/>
  <c r="AD57" i="34"/>
  <c r="AH68" i="34"/>
  <c r="AH84" i="34"/>
  <c r="AH75" i="34"/>
  <c r="AH59" i="34"/>
  <c r="AG79" i="34"/>
  <c r="AG63" i="34"/>
  <c r="AH82" i="34"/>
  <c r="AH66" i="34"/>
  <c r="BH82" i="34"/>
  <c r="BH66" i="34"/>
  <c r="BO82" i="34"/>
  <c r="BO66" i="34"/>
  <c r="AY66" i="34"/>
  <c r="AY82" i="34"/>
  <c r="AT66" i="34"/>
  <c r="AT82" i="34"/>
  <c r="AX66" i="34"/>
  <c r="AX82" i="34"/>
  <c r="AF65" i="34"/>
  <c r="AF81" i="34"/>
  <c r="AF82" i="34"/>
  <c r="AF66" i="34"/>
  <c r="AF69" i="34"/>
  <c r="AF85" i="34"/>
  <c r="AF71" i="34"/>
  <c r="AF55" i="34"/>
  <c r="AF84" i="34"/>
  <c r="AF68" i="34"/>
  <c r="AF57" i="34"/>
  <c r="AF73" i="34"/>
  <c r="AF77" i="34"/>
  <c r="AF61" i="34"/>
  <c r="AF67" i="34"/>
  <c r="AF83" i="34"/>
  <c r="AF63" i="34"/>
  <c r="AF79" i="34"/>
  <c r="AF59" i="34"/>
  <c r="AF75" i="34"/>
  <c r="AF78" i="34"/>
  <c r="AF62" i="34"/>
  <c r="AF74" i="34"/>
  <c r="AF58" i="34"/>
  <c r="AF70" i="34"/>
  <c r="AF54" i="34"/>
  <c r="AF76" i="34"/>
  <c r="AF60" i="34"/>
  <c r="AF64" i="34"/>
  <c r="AF80" i="34"/>
  <c r="AF72" i="34"/>
  <c r="AF56" i="34"/>
  <c r="AR38" i="45" l="1"/>
  <c r="AC38" i="45"/>
  <c r="BG31" i="45"/>
  <c r="BB38" i="45"/>
  <c r="BN31" i="45"/>
  <c r="AG31" i="45"/>
  <c r="AC33" i="45"/>
  <c r="AX31" i="45"/>
  <c r="AI31" i="45"/>
  <c r="AU31" i="45"/>
  <c r="AD33" i="45"/>
  <c r="AR31" i="45"/>
  <c r="BM38" i="45"/>
  <c r="AF38" i="45"/>
  <c r="AC31" i="45"/>
  <c r="AK38" i="45"/>
  <c r="BG38" i="45"/>
  <c r="BB31" i="45"/>
  <c r="BN38" i="45"/>
  <c r="AG38" i="45"/>
  <c r="AL31" i="45"/>
  <c r="AT38" i="45"/>
  <c r="AS31" i="45"/>
  <c r="AC40" i="45"/>
  <c r="BA38" i="45"/>
  <c r="AX38" i="45"/>
  <c r="AI38" i="45"/>
  <c r="AU38" i="45"/>
  <c r="AF31" i="45"/>
  <c r="AL38" i="45"/>
  <c r="AV38" i="45"/>
  <c r="AW38" i="45"/>
  <c r="BF31" i="45"/>
  <c r="AF33" i="45"/>
  <c r="AO31" i="45"/>
  <c r="BD31" i="45"/>
  <c r="AM31" i="45"/>
  <c r="AB38" i="45"/>
  <c r="BI31" i="45"/>
  <c r="AH31" i="45"/>
  <c r="AE31" i="45"/>
  <c r="BC31" i="45"/>
  <c r="AG40" i="45"/>
  <c r="AZ38" i="45"/>
  <c r="BE31" i="45"/>
  <c r="AB40" i="45"/>
  <c r="BH31" i="45"/>
  <c r="AY38" i="45"/>
  <c r="AP31" i="45"/>
  <c r="AN38" i="45"/>
  <c r="BL31" i="45"/>
  <c r="BK31" i="45"/>
  <c r="AE33" i="45"/>
  <c r="BJ31" i="45"/>
  <c r="AD40" i="45"/>
  <c r="BM31" i="45"/>
  <c r="AK31" i="45"/>
  <c r="AT31" i="45"/>
  <c r="AS38" i="45"/>
  <c r="BA31" i="45"/>
  <c r="AD31" i="45"/>
  <c r="AD38" i="45"/>
  <c r="AV31" i="45"/>
  <c r="AW31" i="45"/>
  <c r="BF38" i="45"/>
  <c r="AF40" i="45"/>
  <c r="AO38" i="45"/>
  <c r="BD38" i="45"/>
  <c r="AM38" i="45"/>
  <c r="AB31" i="45"/>
  <c r="BI38" i="45"/>
  <c r="AH38" i="45"/>
  <c r="AE38" i="45"/>
  <c r="BC38" i="45"/>
  <c r="AG33" i="45"/>
  <c r="AZ31" i="45"/>
  <c r="BE38" i="45"/>
  <c r="AB33" i="45"/>
  <c r="BH38" i="45"/>
  <c r="AY31" i="45"/>
  <c r="AP38" i="45"/>
  <c r="AN31" i="45"/>
  <c r="BL38" i="45"/>
  <c r="BK38" i="45"/>
  <c r="AE40" i="45"/>
  <c r="BJ38" i="45"/>
  <c r="AB39" i="45"/>
  <c r="AE30" i="45"/>
  <c r="AB32" i="45"/>
  <c r="AE35" i="45"/>
  <c r="AE37" i="45"/>
  <c r="AF28" i="45"/>
  <c r="AE28" i="45"/>
  <c r="AF35" i="45"/>
  <c r="AC28" i="45"/>
  <c r="AC37" i="45"/>
  <c r="AE36" i="45"/>
  <c r="AF36" i="45"/>
  <c r="BE85" i="34"/>
  <c r="BE69" i="34"/>
  <c r="AW73" i="34"/>
  <c r="AW57" i="34"/>
  <c r="AO83" i="34"/>
  <c r="AO67" i="34"/>
  <c r="BH70" i="34"/>
  <c r="BH54" i="34"/>
  <c r="AU78" i="34"/>
  <c r="AU62" i="34"/>
  <c r="BM83" i="34"/>
  <c r="BM67" i="34"/>
  <c r="BP76" i="34"/>
  <c r="BP60" i="34"/>
  <c r="BL76" i="34"/>
  <c r="BL60" i="34"/>
  <c r="AU76" i="34"/>
  <c r="AU60" i="34"/>
  <c r="BP78" i="34"/>
  <c r="BP62" i="34"/>
  <c r="BB73" i="34"/>
  <c r="BB57" i="34"/>
  <c r="BB56" i="34"/>
  <c r="BB72" i="34"/>
  <c r="AZ70" i="34"/>
  <c r="AZ54" i="34"/>
  <c r="AN80" i="34"/>
  <c r="AN64" i="34"/>
  <c r="AW80" i="34"/>
  <c r="AW64" i="34"/>
  <c r="BO83" i="34"/>
  <c r="BO67" i="34"/>
  <c r="AU83" i="34"/>
  <c r="AU67" i="34"/>
  <c r="BH73" i="34"/>
  <c r="BH57" i="34"/>
  <c r="BE80" i="34"/>
  <c r="BE64" i="34"/>
  <c r="AW72" i="34"/>
  <c r="AW56" i="34"/>
  <c r="BP73" i="34"/>
  <c r="BP57" i="34"/>
  <c r="BE81" i="34"/>
  <c r="BE65" i="34"/>
  <c r="AJ85" i="34"/>
  <c r="AJ69" i="34"/>
  <c r="AX79" i="34"/>
  <c r="AX63" i="34"/>
  <c r="BN85" i="34"/>
  <c r="BN69" i="34"/>
  <c r="BB79" i="34"/>
  <c r="BB63" i="34"/>
  <c r="AT85" i="34"/>
  <c r="AT69" i="34"/>
  <c r="AY69" i="34"/>
  <c r="AY85" i="34"/>
  <c r="AS79" i="34"/>
  <c r="AS63" i="34"/>
  <c r="AL81" i="34"/>
  <c r="AL65" i="34"/>
  <c r="AQ74" i="34"/>
  <c r="AQ58" i="34"/>
  <c r="AT78" i="34"/>
  <c r="AT62" i="34"/>
  <c r="BM73" i="34"/>
  <c r="BM57" i="34"/>
  <c r="AW81" i="34"/>
  <c r="AW65" i="34"/>
  <c r="BL71" i="34"/>
  <c r="BL55" i="34"/>
  <c r="BJ74" i="34"/>
  <c r="BJ58" i="34"/>
  <c r="BM75" i="34"/>
  <c r="BM59" i="34"/>
  <c r="AS78" i="34"/>
  <c r="AS62" i="34"/>
  <c r="BH75" i="34"/>
  <c r="BH59" i="34"/>
  <c r="BI83" i="34"/>
  <c r="BI67" i="34"/>
  <c r="AT80" i="34"/>
  <c r="AT64" i="34"/>
  <c r="BD76" i="34"/>
  <c r="BD60" i="34"/>
  <c r="BM84" i="34"/>
  <c r="BM68" i="34"/>
  <c r="AS80" i="34"/>
  <c r="AS64" i="34"/>
  <c r="AX81" i="34"/>
  <c r="AX65" i="34"/>
  <c r="BE78" i="34"/>
  <c r="BE62" i="34"/>
  <c r="AK78" i="34"/>
  <c r="AK62" i="34"/>
  <c r="AZ75" i="34"/>
  <c r="AZ59" i="34"/>
  <c r="BB76" i="34"/>
  <c r="BB60" i="34"/>
  <c r="AN71" i="34"/>
  <c r="AN55" i="34"/>
  <c r="BA54" i="34"/>
  <c r="BA70" i="34"/>
  <c r="AN74" i="34"/>
  <c r="AN58" i="34"/>
  <c r="AN84" i="34"/>
  <c r="AN68" i="34"/>
  <c r="AO84" i="34"/>
  <c r="AO68" i="34"/>
  <c r="BH71" i="34"/>
  <c r="BH55" i="34"/>
  <c r="BN72" i="34"/>
  <c r="BN56" i="34"/>
  <c r="AS70" i="34"/>
  <c r="AS54" i="34"/>
  <c r="BH69" i="34"/>
  <c r="BH85" i="34"/>
  <c r="AL78" i="34"/>
  <c r="AL62" i="34"/>
  <c r="BA76" i="34"/>
  <c r="BA60" i="34"/>
  <c r="AG39" i="45"/>
  <c r="AG28" i="45"/>
  <c r="AB28" i="45"/>
  <c r="AC29" i="45"/>
  <c r="AF32" i="45"/>
  <c r="AG36" i="45"/>
  <c r="BK85" i="34"/>
  <c r="BK69" i="34"/>
  <c r="AZ80" i="34"/>
  <c r="AZ64" i="34"/>
  <c r="AY55" i="34"/>
  <c r="AY71" i="34"/>
  <c r="AO71" i="34"/>
  <c r="AO55" i="34"/>
  <c r="BI57" i="34"/>
  <c r="BI73" i="34"/>
  <c r="BN71" i="34"/>
  <c r="BN55" i="34"/>
  <c r="AN70" i="34"/>
  <c r="AN54" i="34"/>
  <c r="BG60" i="34"/>
  <c r="BG76" i="34"/>
  <c r="BC73" i="34"/>
  <c r="BC57" i="34"/>
  <c r="AS84" i="34"/>
  <c r="AS68" i="34"/>
  <c r="BM70" i="34"/>
  <c r="BM54" i="34"/>
  <c r="AQ72" i="34"/>
  <c r="AQ56" i="34"/>
  <c r="AR72" i="34"/>
  <c r="AR56" i="34"/>
  <c r="AP83" i="34"/>
  <c r="AP67" i="34"/>
  <c r="AX72" i="34"/>
  <c r="AX56" i="34"/>
  <c r="AT70" i="34"/>
  <c r="AT54" i="34"/>
  <c r="BO81" i="34"/>
  <c r="BO65" i="34"/>
  <c r="AY73" i="34"/>
  <c r="AY57" i="34"/>
  <c r="BJ83" i="34"/>
  <c r="BJ67" i="34"/>
  <c r="BF71" i="34"/>
  <c r="BF55" i="34"/>
  <c r="AJ72" i="34"/>
  <c r="AJ56" i="34"/>
  <c r="AT81" i="34"/>
  <c r="AT65" i="34"/>
  <c r="AN85" i="34"/>
  <c r="AN69" i="34"/>
  <c r="AQ81" i="34"/>
  <c r="AQ65" i="34"/>
  <c r="BF85" i="34"/>
  <c r="BF69" i="34"/>
  <c r="AP81" i="34"/>
  <c r="AP65" i="34"/>
  <c r="AW69" i="34"/>
  <c r="AW85" i="34"/>
  <c r="AZ85" i="34"/>
  <c r="AZ69" i="34"/>
  <c r="AO79" i="34"/>
  <c r="AO63" i="34"/>
  <c r="AQ79" i="34"/>
  <c r="AQ63" i="34"/>
  <c r="BO59" i="34"/>
  <c r="BO75" i="34"/>
  <c r="AP73" i="34"/>
  <c r="AP57" i="34"/>
  <c r="BG74" i="34"/>
  <c r="BG58" i="34"/>
  <c r="BC80" i="34"/>
  <c r="BC64" i="34"/>
  <c r="AO80" i="34"/>
  <c r="AO64" i="34"/>
  <c r="AN75" i="34"/>
  <c r="AN59" i="34"/>
  <c r="AV74" i="34"/>
  <c r="AV58" i="34"/>
  <c r="AX74" i="34"/>
  <c r="AX58" i="34"/>
  <c r="BD73" i="34"/>
  <c r="BD57" i="34"/>
  <c r="AJ54" i="34"/>
  <c r="AJ70" i="34"/>
  <c r="AX76" i="34"/>
  <c r="AX60" i="34"/>
  <c r="AL80" i="34"/>
  <c r="AL64" i="34"/>
  <c r="BC58" i="34"/>
  <c r="BC74" i="34"/>
  <c r="AY79" i="34"/>
  <c r="AY63" i="34"/>
  <c r="BK75" i="34"/>
  <c r="BK59" i="34"/>
  <c r="BP75" i="34"/>
  <c r="BP59" i="34"/>
  <c r="AJ80" i="34"/>
  <c r="AJ64" i="34"/>
  <c r="AK80" i="34"/>
  <c r="AK64" i="34"/>
  <c r="BM71" i="34"/>
  <c r="BM55" i="34"/>
  <c r="AW62" i="34"/>
  <c r="AW78" i="34"/>
  <c r="AY78" i="34"/>
  <c r="AY62" i="34"/>
  <c r="AO62" i="34"/>
  <c r="AO78" i="34"/>
  <c r="BA75" i="34"/>
  <c r="BA59" i="34"/>
  <c r="AW83" i="34"/>
  <c r="AW67" i="34"/>
  <c r="BL85" i="34"/>
  <c r="BL69" i="34"/>
  <c r="BB80" i="34"/>
  <c r="BB64" i="34"/>
  <c r="AV75" i="34"/>
  <c r="AV59" i="34"/>
  <c r="AV79" i="34"/>
  <c r="AV63" i="34"/>
  <c r="BH56" i="34"/>
  <c r="BH72" i="34"/>
  <c r="BC72" i="34"/>
  <c r="BC56" i="34"/>
  <c r="AK76" i="34"/>
  <c r="AK60" i="34"/>
  <c r="AX78" i="34"/>
  <c r="AX62" i="34"/>
  <c r="BF76" i="34"/>
  <c r="BF60" i="34"/>
  <c r="BN83" i="34"/>
  <c r="BN67" i="34"/>
  <c r="BM60" i="34"/>
  <c r="BM76" i="34"/>
  <c r="AO76" i="34"/>
  <c r="AO60" i="34"/>
  <c r="AY75" i="34"/>
  <c r="AY59" i="34"/>
  <c r="AK71" i="34"/>
  <c r="AK55" i="34"/>
  <c r="BI72" i="34"/>
  <c r="BI56" i="34"/>
  <c r="AW76" i="34"/>
  <c r="AW60" i="34"/>
  <c r="AR83" i="34"/>
  <c r="AR67" i="34"/>
  <c r="AK70" i="34"/>
  <c r="AK54" i="34"/>
  <c r="AT83" i="34"/>
  <c r="AT67" i="34"/>
  <c r="BG80" i="34"/>
  <c r="BG64" i="34"/>
  <c r="BJ73" i="34"/>
  <c r="BJ57" i="34"/>
  <c r="AO73" i="34"/>
  <c r="AO57" i="34"/>
  <c r="BP54" i="34"/>
  <c r="BP70" i="34"/>
  <c r="BG54" i="34"/>
  <c r="BG70" i="34"/>
  <c r="BI81" i="34"/>
  <c r="BI65" i="34"/>
  <c r="BI85" i="34"/>
  <c r="BI69" i="34"/>
  <c r="BF81" i="34"/>
  <c r="BF65" i="34"/>
  <c r="AK85" i="34"/>
  <c r="AK69" i="34"/>
  <c r="BH79" i="34"/>
  <c r="BH63" i="34"/>
  <c r="BH81" i="34"/>
  <c r="BH65" i="34"/>
  <c r="AX85" i="34"/>
  <c r="AX69" i="34"/>
  <c r="BE79" i="34"/>
  <c r="BE63" i="34"/>
  <c r="BK81" i="34"/>
  <c r="BK65" i="34"/>
  <c r="BL74" i="34"/>
  <c r="BL58" i="34"/>
  <c r="AR68" i="34"/>
  <c r="AR84" i="34"/>
  <c r="BI54" i="34"/>
  <c r="BI70" i="34"/>
  <c r="AU55" i="34"/>
  <c r="AU71" i="34"/>
  <c r="BC59" i="34"/>
  <c r="BC75" i="34"/>
  <c r="BJ81" i="34"/>
  <c r="BJ65" i="34"/>
  <c r="AK59" i="34"/>
  <c r="AK75" i="34"/>
  <c r="BO74" i="34"/>
  <c r="BO58" i="34"/>
  <c r="BF59" i="34"/>
  <c r="BF75" i="34"/>
  <c r="AX83" i="34"/>
  <c r="AX67" i="34"/>
  <c r="AN81" i="34"/>
  <c r="AN65" i="34"/>
  <c r="AK84" i="34"/>
  <c r="AK68" i="34"/>
  <c r="AU74" i="34"/>
  <c r="AU58" i="34"/>
  <c r="AU84" i="34"/>
  <c r="AU68" i="34"/>
  <c r="AY74" i="34"/>
  <c r="AY58" i="34"/>
  <c r="AT84" i="34"/>
  <c r="AT68" i="34"/>
  <c r="BM72" i="34"/>
  <c r="BM56" i="34"/>
  <c r="BC70" i="34"/>
  <c r="BC54" i="34"/>
  <c r="AM70" i="34"/>
  <c r="AM54" i="34"/>
  <c r="BK83" i="34"/>
  <c r="BK67" i="34"/>
  <c r="AS75" i="34"/>
  <c r="AS59" i="34"/>
  <c r="BH84" i="34"/>
  <c r="BH68" i="34"/>
  <c r="AN78" i="34"/>
  <c r="AN62" i="34"/>
  <c r="BB55" i="34"/>
  <c r="BB71" i="34"/>
  <c r="BB83" i="34"/>
  <c r="BB67" i="34"/>
  <c r="AN72" i="34"/>
  <c r="AN56" i="34"/>
  <c r="BI68" i="34"/>
  <c r="BI84" i="34"/>
  <c r="BO76" i="34"/>
  <c r="BO60" i="34"/>
  <c r="AD39" i="45"/>
  <c r="AC35" i="45"/>
  <c r="AC30" i="45"/>
  <c r="AE29" i="45"/>
  <c r="AF29" i="45"/>
  <c r="BI79" i="34"/>
  <c r="BI63" i="34"/>
  <c r="BK73" i="34"/>
  <c r="BK57" i="34"/>
  <c r="BJ72" i="34"/>
  <c r="BJ56" i="34"/>
  <c r="AP72" i="34"/>
  <c r="AP56" i="34"/>
  <c r="AU57" i="34"/>
  <c r="AU73" i="34"/>
  <c r="AM72" i="34"/>
  <c r="AM56" i="34"/>
  <c r="AX71" i="34"/>
  <c r="AX55" i="34"/>
  <c r="AJ76" i="34"/>
  <c r="AJ60" i="34"/>
  <c r="BI74" i="34"/>
  <c r="BI58" i="34"/>
  <c r="BG59" i="34"/>
  <c r="BG75" i="34"/>
  <c r="BC76" i="34"/>
  <c r="BC60" i="34"/>
  <c r="BF70" i="34"/>
  <c r="BF54" i="34"/>
  <c r="AJ77" i="34"/>
  <c r="AJ61" i="34"/>
  <c r="AZ72" i="34"/>
  <c r="AZ56" i="34"/>
  <c r="BI80" i="34"/>
  <c r="BI64" i="34"/>
  <c r="AL83" i="34"/>
  <c r="AL67" i="34"/>
  <c r="AU75" i="34"/>
  <c r="AU59" i="34"/>
  <c r="AP80" i="34"/>
  <c r="AP64" i="34"/>
  <c r="AW55" i="34"/>
  <c r="AW71" i="34"/>
  <c r="BH80" i="34"/>
  <c r="BH64" i="34"/>
  <c r="AP76" i="34"/>
  <c r="AP60" i="34"/>
  <c r="BN81" i="34"/>
  <c r="BN65" i="34"/>
  <c r="AJ81" i="34"/>
  <c r="AJ65" i="34"/>
  <c r="AU79" i="34"/>
  <c r="AU63" i="34"/>
  <c r="BO85" i="34"/>
  <c r="BO69" i="34"/>
  <c r="BC79" i="34"/>
  <c r="BC63" i="34"/>
  <c r="AM85" i="34"/>
  <c r="AM69" i="34"/>
  <c r="BJ69" i="34"/>
  <c r="BJ85" i="34"/>
  <c r="AP79" i="34"/>
  <c r="AP63" i="34"/>
  <c r="AS85" i="34"/>
  <c r="AS69" i="34"/>
  <c r="AR75" i="34"/>
  <c r="AR59" i="34"/>
  <c r="AP70" i="34"/>
  <c r="AP54" i="34"/>
  <c r="BG69" i="34"/>
  <c r="BG85" i="34"/>
  <c r="BL80" i="34"/>
  <c r="BL64" i="34"/>
  <c r="AQ71" i="34"/>
  <c r="AQ55" i="34"/>
  <c r="BA74" i="34"/>
  <c r="BA58" i="34"/>
  <c r="AZ78" i="34"/>
  <c r="AZ62" i="34"/>
  <c r="BC84" i="34"/>
  <c r="BC68" i="34"/>
  <c r="BD55" i="34"/>
  <c r="BD71" i="34"/>
  <c r="AZ71" i="34"/>
  <c r="AZ55" i="34"/>
  <c r="AS73" i="34"/>
  <c r="AS57" i="34"/>
  <c r="AT74" i="34"/>
  <c r="AT58" i="34"/>
  <c r="BL73" i="34"/>
  <c r="BL57" i="34"/>
  <c r="BA56" i="34"/>
  <c r="BA72" i="34"/>
  <c r="AP68" i="34"/>
  <c r="AP84" i="34"/>
  <c r="AQ78" i="34"/>
  <c r="AQ62" i="34"/>
  <c r="AT59" i="34"/>
  <c r="AT75" i="34"/>
  <c r="AX80" i="34"/>
  <c r="AX64" i="34"/>
  <c r="BG78" i="34"/>
  <c r="BG62" i="34"/>
  <c r="AX70" i="34"/>
  <c r="AX54" i="34"/>
  <c r="AR58" i="34"/>
  <c r="AR74" i="34"/>
  <c r="AR62" i="34"/>
  <c r="AR78" i="34"/>
  <c r="BL84" i="34"/>
  <c r="BL68" i="34"/>
  <c r="BJ70" i="34"/>
  <c r="BJ54" i="34"/>
  <c r="BK54" i="34"/>
  <c r="BK70" i="34"/>
  <c r="AO74" i="34"/>
  <c r="AO58" i="34"/>
  <c r="BN80" i="34"/>
  <c r="BN64" i="34"/>
  <c r="AB36" i="45"/>
  <c r="AG30" i="45"/>
  <c r="AC39" i="45"/>
  <c r="AB30" i="45"/>
  <c r="AF30" i="45"/>
  <c r="AD32" i="45"/>
  <c r="AE39" i="45"/>
  <c r="AO81" i="34"/>
  <c r="AO65" i="34"/>
  <c r="BN73" i="34"/>
  <c r="BN57" i="34"/>
  <c r="AN73" i="34"/>
  <c r="AN57" i="34"/>
  <c r="AO54" i="34"/>
  <c r="AO70" i="34"/>
  <c r="AJ71" i="34"/>
  <c r="AJ55" i="34"/>
  <c r="AS72" i="34"/>
  <c r="AS56" i="34"/>
  <c r="BA83" i="34"/>
  <c r="BA67" i="34"/>
  <c r="AM71" i="34"/>
  <c r="AM55" i="34"/>
  <c r="BI78" i="34"/>
  <c r="BI62" i="34"/>
  <c r="BE72" i="34"/>
  <c r="BE56" i="34"/>
  <c r="AM80" i="34"/>
  <c r="AM64" i="34"/>
  <c r="BD83" i="34"/>
  <c r="BD67" i="34"/>
  <c r="BE71" i="34"/>
  <c r="BE55" i="34"/>
  <c r="AY76" i="34"/>
  <c r="AY60" i="34"/>
  <c r="BP83" i="34"/>
  <c r="BP67" i="34"/>
  <c r="BK71" i="34"/>
  <c r="BK55" i="34"/>
  <c r="AK72" i="34"/>
  <c r="AK56" i="34"/>
  <c r="AQ70" i="34"/>
  <c r="AQ54" i="34"/>
  <c r="BC83" i="34"/>
  <c r="BC67" i="34"/>
  <c r="BM80" i="34"/>
  <c r="BM64" i="34"/>
  <c r="AS76" i="34"/>
  <c r="AS60" i="34"/>
  <c r="AO85" i="34"/>
  <c r="AO69" i="34"/>
  <c r="BP81" i="34"/>
  <c r="BP65" i="34"/>
  <c r="AM63" i="34"/>
  <c r="AM79" i="34"/>
  <c r="BP79" i="34"/>
  <c r="BP63" i="34"/>
  <c r="BN79" i="34"/>
  <c r="BN63" i="34"/>
  <c r="AL85" i="34"/>
  <c r="AL69" i="34"/>
  <c r="AJ79" i="34"/>
  <c r="AJ63" i="34"/>
  <c r="AL79" i="34"/>
  <c r="AL63" i="34"/>
  <c r="BC85" i="34"/>
  <c r="BC69" i="34"/>
  <c r="BG84" i="34"/>
  <c r="BG68" i="34"/>
  <c r="AS71" i="34"/>
  <c r="AS55" i="34"/>
  <c r="BN70" i="34"/>
  <c r="BN54" i="34"/>
  <c r="AW59" i="34"/>
  <c r="AW75" i="34"/>
  <c r="BD84" i="34"/>
  <c r="BD68" i="34"/>
  <c r="BB58" i="34"/>
  <c r="BB74" i="34"/>
  <c r="AV78" i="34"/>
  <c r="AV62" i="34"/>
  <c r="BO78" i="34"/>
  <c r="BO62" i="34"/>
  <c r="AL72" i="34"/>
  <c r="AL56" i="34"/>
  <c r="BF83" i="34"/>
  <c r="BF67" i="34"/>
  <c r="BI71" i="34"/>
  <c r="BI55" i="34"/>
  <c r="AU81" i="34"/>
  <c r="AU65" i="34"/>
  <c r="AL68" i="34"/>
  <c r="AL84" i="34"/>
  <c r="AX84" i="34"/>
  <c r="AX68" i="34"/>
  <c r="BE58" i="34"/>
  <c r="BE74" i="34"/>
  <c r="AP75" i="34"/>
  <c r="AP59" i="34"/>
  <c r="BK62" i="34"/>
  <c r="BK78" i="34"/>
  <c r="BH83" i="34"/>
  <c r="BH67" i="34"/>
  <c r="BG55" i="34"/>
  <c r="BG71" i="34"/>
  <c r="BM81" i="34"/>
  <c r="BM65" i="34"/>
  <c r="AY80" i="34"/>
  <c r="AY64" i="34"/>
  <c r="AY84" i="34"/>
  <c r="AY68" i="34"/>
  <c r="BC78" i="34"/>
  <c r="BC62" i="34"/>
  <c r="BA78" i="34"/>
  <c r="BA62" i="34"/>
  <c r="AO72" i="34"/>
  <c r="AO56" i="34"/>
  <c r="AM60" i="34"/>
  <c r="AM76" i="34"/>
  <c r="BE76" i="34"/>
  <c r="BE60" i="34"/>
  <c r="AZ58" i="34"/>
  <c r="AZ74" i="34"/>
  <c r="BM78" i="34"/>
  <c r="BM62" i="34"/>
  <c r="AB29" i="45"/>
  <c r="AG37" i="45"/>
  <c r="AC32" i="45"/>
  <c r="AB37" i="45"/>
  <c r="AF37" i="45"/>
  <c r="BK79" i="34"/>
  <c r="BK63" i="34"/>
  <c r="AY72" i="34"/>
  <c r="AY56" i="34"/>
  <c r="AZ76" i="34"/>
  <c r="AZ60" i="34"/>
  <c r="BH74" i="34"/>
  <c r="BH58" i="34"/>
  <c r="AZ83" i="34"/>
  <c r="AZ67" i="34"/>
  <c r="BI76" i="34"/>
  <c r="BI60" i="34"/>
  <c r="BJ60" i="34"/>
  <c r="BJ76" i="34"/>
  <c r="AM83" i="34"/>
  <c r="AM67" i="34"/>
  <c r="BP84" i="34"/>
  <c r="BP68" i="34"/>
  <c r="BF73" i="34"/>
  <c r="BF57" i="34"/>
  <c r="AR80" i="34"/>
  <c r="AR64" i="34"/>
  <c r="AK83" i="34"/>
  <c r="AK67" i="34"/>
  <c r="AL73" i="34"/>
  <c r="AL57" i="34"/>
  <c r="AJ73" i="34"/>
  <c r="AJ57" i="34"/>
  <c r="AN83" i="34"/>
  <c r="AN67" i="34"/>
  <c r="BL83" i="34"/>
  <c r="BL67" i="34"/>
  <c r="AQ57" i="34"/>
  <c r="AQ73" i="34"/>
  <c r="AR70" i="34"/>
  <c r="AR54" i="34"/>
  <c r="BE83" i="34"/>
  <c r="BE67" i="34"/>
  <c r="BK80" i="34"/>
  <c r="BK64" i="34"/>
  <c r="AV76" i="34"/>
  <c r="AV60" i="34"/>
  <c r="BA85" i="34"/>
  <c r="BA69" i="34"/>
  <c r="BA79" i="34"/>
  <c r="BA63" i="34"/>
  <c r="BA81" i="34"/>
  <c r="BA65" i="34"/>
  <c r="BL79" i="34"/>
  <c r="BL63" i="34"/>
  <c r="AR81" i="34"/>
  <c r="AR65" i="34"/>
  <c r="AU85" i="34"/>
  <c r="AU69" i="34"/>
  <c r="BM85" i="34"/>
  <c r="BM69" i="34"/>
  <c r="AY81" i="34"/>
  <c r="AY65" i="34"/>
  <c r="AS81" i="34"/>
  <c r="AS65" i="34"/>
  <c r="BB78" i="34"/>
  <c r="BB62" i="34"/>
  <c r="AV81" i="34"/>
  <c r="AV65" i="34"/>
  <c r="BG72" i="34"/>
  <c r="BG56" i="34"/>
  <c r="BE75" i="34"/>
  <c r="BE59" i="34"/>
  <c r="BD74" i="34"/>
  <c r="BD58" i="34"/>
  <c r="AK74" i="34"/>
  <c r="AK58" i="34"/>
  <c r="BI75" i="34"/>
  <c r="BI59" i="34"/>
  <c r="BL75" i="34"/>
  <c r="BL59" i="34"/>
  <c r="AP55" i="34"/>
  <c r="AP71" i="34"/>
  <c r="BB70" i="34"/>
  <c r="BB54" i="34"/>
  <c r="AM73" i="34"/>
  <c r="AM57" i="34"/>
  <c r="BG81" i="34"/>
  <c r="BG65" i="34"/>
  <c r="BF74" i="34"/>
  <c r="BF58" i="34"/>
  <c r="BF84" i="34"/>
  <c r="BF68" i="34"/>
  <c r="AM74" i="34"/>
  <c r="AM58" i="34"/>
  <c r="AO75" i="34"/>
  <c r="AO59" i="34"/>
  <c r="AR57" i="34"/>
  <c r="AR73" i="34"/>
  <c r="BL81" i="34"/>
  <c r="BL65" i="34"/>
  <c r="AV71" i="34"/>
  <c r="AV55" i="34"/>
  <c r="BN75" i="34"/>
  <c r="BN59" i="34"/>
  <c r="BB75" i="34"/>
  <c r="BB59" i="34"/>
  <c r="BF78" i="34"/>
  <c r="BF62" i="34"/>
  <c r="BO54" i="34"/>
  <c r="BO70" i="34"/>
  <c r="BG73" i="34"/>
  <c r="BG57" i="34"/>
  <c r="BA84" i="34"/>
  <c r="BA68" i="34"/>
  <c r="BK56" i="34"/>
  <c r="BK72" i="34"/>
  <c r="BN76" i="34"/>
  <c r="BN60" i="34"/>
  <c r="AL82" i="34"/>
  <c r="AL66" i="34"/>
  <c r="AM81" i="34"/>
  <c r="AM65" i="34"/>
  <c r="BA80" i="34"/>
  <c r="BA64" i="34"/>
  <c r="AV70" i="34"/>
  <c r="AV54" i="34"/>
  <c r="AL60" i="34"/>
  <c r="AL76" i="34"/>
  <c r="AK73" i="34"/>
  <c r="AK57" i="34"/>
  <c r="BO73" i="34"/>
  <c r="BO57" i="34"/>
  <c r="AS83" i="34"/>
  <c r="AS67" i="34"/>
  <c r="BJ80" i="34"/>
  <c r="BJ64" i="34"/>
  <c r="BM74" i="34"/>
  <c r="BM58" i="34"/>
  <c r="AW84" i="34"/>
  <c r="AW68" i="34"/>
  <c r="BE70" i="34"/>
  <c r="BE54" i="34"/>
  <c r="AV72" i="34"/>
  <c r="AV56" i="34"/>
  <c r="AY70" i="34"/>
  <c r="AY54" i="34"/>
  <c r="AY83" i="34"/>
  <c r="AY67" i="34"/>
  <c r="BK84" i="34"/>
  <c r="BK68" i="34"/>
  <c r="AW54" i="34"/>
  <c r="AW70" i="34"/>
  <c r="AW74" i="34"/>
  <c r="AW58" i="34"/>
  <c r="BD80" i="34"/>
  <c r="BD64" i="34"/>
  <c r="AV80" i="34"/>
  <c r="AV64" i="34"/>
  <c r="AV73" i="34"/>
  <c r="AV57" i="34"/>
  <c r="AQ80" i="34"/>
  <c r="AQ64" i="34"/>
  <c r="BG63" i="34"/>
  <c r="BG79" i="34"/>
  <c r="BM79" i="34"/>
  <c r="BM63" i="34"/>
  <c r="AK81" i="34"/>
  <c r="AK65" i="34"/>
  <c r="AR79" i="34"/>
  <c r="AR63" i="34"/>
  <c r="AK79" i="34"/>
  <c r="AK63" i="34"/>
  <c r="BB85" i="34"/>
  <c r="BB69" i="34"/>
  <c r="AV85" i="34"/>
  <c r="AV69" i="34"/>
  <c r="AT79" i="34"/>
  <c r="AT63" i="34"/>
  <c r="BP85" i="34"/>
  <c r="BP69" i="34"/>
  <c r="BJ84" i="34"/>
  <c r="BJ68" i="34"/>
  <c r="BD72" i="34"/>
  <c r="BD56" i="34"/>
  <c r="AL71" i="34"/>
  <c r="AL55" i="34"/>
  <c r="BB81" i="34"/>
  <c r="BB65" i="34"/>
  <c r="BF72" i="34"/>
  <c r="BF56" i="34"/>
  <c r="BN74" i="34"/>
  <c r="BN58" i="34"/>
  <c r="BN78" i="34"/>
  <c r="BN62" i="34"/>
  <c r="BJ75" i="34"/>
  <c r="BJ59" i="34"/>
  <c r="BN68" i="34"/>
  <c r="BN84" i="34"/>
  <c r="BK76" i="34"/>
  <c r="BK60" i="34"/>
  <c r="BP74" i="34"/>
  <c r="BP58" i="34"/>
  <c r="BO72" i="34"/>
  <c r="BO56" i="34"/>
  <c r="AN60" i="34"/>
  <c r="AN76" i="34"/>
  <c r="AL58" i="34"/>
  <c r="AL74" i="34"/>
  <c r="AQ59" i="34"/>
  <c r="AQ75" i="34"/>
  <c r="BB84" i="34"/>
  <c r="BB68" i="34"/>
  <c r="AZ32" i="45" s="1"/>
  <c r="AL70" i="34"/>
  <c r="AL54" i="34"/>
  <c r="BP71" i="34"/>
  <c r="BP55" i="34"/>
  <c r="AJ59" i="34"/>
  <c r="AJ75" i="34"/>
  <c r="AM78" i="34"/>
  <c r="AM62" i="34"/>
  <c r="AS74" i="34"/>
  <c r="AS58" i="34"/>
  <c r="AQ84" i="34"/>
  <c r="AQ68" i="34"/>
  <c r="BP72" i="34"/>
  <c r="BP56" i="34"/>
  <c r="AX73" i="34"/>
  <c r="AX57" i="34"/>
  <c r="AZ73" i="34"/>
  <c r="AZ57" i="34"/>
  <c r="AZ81" i="34"/>
  <c r="AZ65" i="34"/>
  <c r="AQ85" i="34"/>
  <c r="AQ69" i="34"/>
  <c r="AU70" i="34"/>
  <c r="AU54" i="34"/>
  <c r="AE32" i="45"/>
  <c r="AS82" i="34"/>
  <c r="AS66" i="34"/>
  <c r="AJ68" i="34"/>
  <c r="AJ84" i="34"/>
  <c r="BL72" i="34"/>
  <c r="BL56" i="34"/>
  <c r="AU72" i="34"/>
  <c r="AU56" i="34"/>
  <c r="BH78" i="34"/>
  <c r="BH62" i="34"/>
  <c r="BH76" i="34"/>
  <c r="BH60" i="34"/>
  <c r="BG67" i="34"/>
  <c r="BG83" i="34"/>
  <c r="AT57" i="34"/>
  <c r="AT73" i="34"/>
  <c r="AR76" i="34"/>
  <c r="AR60" i="34"/>
  <c r="AJ78" i="34"/>
  <c r="AJ62" i="34"/>
  <c r="AT71" i="34"/>
  <c r="AT55" i="34"/>
  <c r="BA73" i="34"/>
  <c r="BA57" i="34"/>
  <c r="BA71" i="34"/>
  <c r="BA55" i="34"/>
  <c r="BF80" i="34"/>
  <c r="BF64" i="34"/>
  <c r="AQ67" i="34"/>
  <c r="AQ83" i="34"/>
  <c r="BE57" i="34"/>
  <c r="BE73" i="34"/>
  <c r="AU80" i="34"/>
  <c r="AU64" i="34"/>
  <c r="BC71" i="34"/>
  <c r="BC55" i="34"/>
  <c r="AT72" i="34"/>
  <c r="AT56" i="34"/>
  <c r="BO71" i="34"/>
  <c r="BO55" i="34"/>
  <c r="AQ76" i="34"/>
  <c r="AQ60" i="34"/>
  <c r="BJ79" i="34"/>
  <c r="BJ63" i="34"/>
  <c r="AZ79" i="34"/>
  <c r="AZ63" i="34"/>
  <c r="BF79" i="34"/>
  <c r="BF63" i="34"/>
  <c r="BD85" i="34"/>
  <c r="BD69" i="34"/>
  <c r="AN79" i="34"/>
  <c r="AN63" i="34"/>
  <c r="BO79" i="34"/>
  <c r="BO63" i="34"/>
  <c r="AR85" i="34"/>
  <c r="AR69" i="34"/>
  <c r="AW79" i="34"/>
  <c r="AW63" i="34"/>
  <c r="BD79" i="34"/>
  <c r="BD63" i="34"/>
  <c r="BK74" i="34"/>
  <c r="BK58" i="34"/>
  <c r="AV84" i="34"/>
  <c r="AV68" i="34"/>
  <c r="BD54" i="34"/>
  <c r="BD70" i="34"/>
  <c r="AJ74" i="34"/>
  <c r="AJ58" i="34"/>
  <c r="BO84" i="34"/>
  <c r="BM39" i="45" s="1"/>
  <c r="BO68" i="34"/>
  <c r="AV83" i="34"/>
  <c r="AV67" i="34"/>
  <c r="AM59" i="34"/>
  <c r="AM75" i="34"/>
  <c r="AX75" i="34"/>
  <c r="AX59" i="34"/>
  <c r="AM68" i="34"/>
  <c r="AM84" i="34"/>
  <c r="AR71" i="34"/>
  <c r="AR55" i="34"/>
  <c r="BJ71" i="34"/>
  <c r="BJ55" i="34"/>
  <c r="BD81" i="34"/>
  <c r="BD65" i="34"/>
  <c r="BD62" i="34"/>
  <c r="BD78" i="34"/>
  <c r="AZ84" i="34"/>
  <c r="AZ68" i="34"/>
  <c r="AP74" i="34"/>
  <c r="AP58" i="34"/>
  <c r="BJ78" i="34"/>
  <c r="BJ62" i="34"/>
  <c r="AP62" i="34"/>
  <c r="AP78" i="34"/>
  <c r="AJ83" i="34"/>
  <c r="AJ67" i="34"/>
  <c r="AP85" i="34"/>
  <c r="AP69" i="34"/>
  <c r="BP80" i="34"/>
  <c r="BP64" i="34"/>
  <c r="BO80" i="34"/>
  <c r="BO64" i="34"/>
  <c r="BE84" i="34"/>
  <c r="BE68" i="34"/>
  <c r="BD75" i="34"/>
  <c r="BD59" i="34"/>
  <c r="BL78" i="34"/>
  <c r="BL62" i="34"/>
  <c r="BL54" i="34"/>
  <c r="BL70" i="34"/>
  <c r="AT76" i="34"/>
  <c r="AT60" i="34"/>
  <c r="AL75" i="34"/>
  <c r="AL59" i="34"/>
  <c r="BC81" i="34"/>
  <c r="BC65" i="34"/>
  <c r="AG32" i="45"/>
  <c r="AG35" i="45"/>
  <c r="AB35" i="45"/>
  <c r="AC36" i="45"/>
  <c r="AF39" i="45"/>
  <c r="AG29" i="45"/>
  <c r="AD28" i="45"/>
  <c r="AD35" i="45"/>
  <c r="AD29" i="45"/>
  <c r="AD36" i="45"/>
  <c r="AD37" i="45"/>
  <c r="AD30" i="45"/>
  <c r="AT32" i="45" l="1"/>
  <c r="BN40" i="45"/>
  <c r="AJ38" i="45"/>
  <c r="BK40" i="45"/>
  <c r="AY40" i="45"/>
  <c r="AQ33" i="45"/>
  <c r="BC37" i="45"/>
  <c r="AH40" i="45"/>
  <c r="BC40" i="45"/>
  <c r="AP40" i="45"/>
  <c r="AO33" i="45"/>
  <c r="AZ33" i="45"/>
  <c r="AS33" i="45"/>
  <c r="AJ40" i="45"/>
  <c r="AQ40" i="45"/>
  <c r="BH33" i="45"/>
  <c r="AV33" i="45"/>
  <c r="BJ33" i="45"/>
  <c r="AU40" i="45"/>
  <c r="BD33" i="45"/>
  <c r="AL33" i="45"/>
  <c r="BI33" i="45"/>
  <c r="BF40" i="45"/>
  <c r="AW40" i="45"/>
  <c r="AT40" i="45"/>
  <c r="AI40" i="45"/>
  <c r="AR40" i="45"/>
  <c r="BB33" i="45"/>
  <c r="AQ31" i="45"/>
  <c r="AF27" i="45"/>
  <c r="AF61" i="45" s="1"/>
  <c r="AR37" i="45"/>
  <c r="AZ40" i="45"/>
  <c r="AS40" i="45"/>
  <c r="AL39" i="45"/>
  <c r="BA33" i="45"/>
  <c r="AM33" i="45"/>
  <c r="BE40" i="45"/>
  <c r="AK33" i="45"/>
  <c r="BM33" i="45"/>
  <c r="AV40" i="45"/>
  <c r="BJ40" i="45"/>
  <c r="AU33" i="45"/>
  <c r="BD40" i="45"/>
  <c r="AL40" i="45"/>
  <c r="BI40" i="45"/>
  <c r="BF33" i="45"/>
  <c r="AW33" i="45"/>
  <c r="AP33" i="45"/>
  <c r="AJ33" i="45"/>
  <c r="BH40" i="45"/>
  <c r="BG40" i="45"/>
  <c r="AX40" i="45"/>
  <c r="BL40" i="45"/>
  <c r="AN33" i="45"/>
  <c r="AO40" i="45"/>
  <c r="AN40" i="45"/>
  <c r="BB40" i="45"/>
  <c r="AO32" i="45"/>
  <c r="AQ38" i="45"/>
  <c r="BN33" i="45"/>
  <c r="AT33" i="45"/>
  <c r="AJ31" i="45"/>
  <c r="BK33" i="45"/>
  <c r="AY33" i="45"/>
  <c r="BA40" i="45"/>
  <c r="AM40" i="45"/>
  <c r="BE33" i="45"/>
  <c r="AK40" i="45"/>
  <c r="BM40" i="45"/>
  <c r="AI33" i="45"/>
  <c r="BG33" i="45"/>
  <c r="AX33" i="45"/>
  <c r="AR33" i="45"/>
  <c r="BL33" i="45"/>
  <c r="AH33" i="45"/>
  <c r="BC33" i="45"/>
  <c r="BK39" i="45"/>
  <c r="AY39" i="45"/>
  <c r="BN39" i="45"/>
  <c r="AI32" i="45"/>
  <c r="BE39" i="45"/>
  <c r="BC32" i="45"/>
  <c r="AX32" i="45"/>
  <c r="AL30" i="45"/>
  <c r="BD30" i="45"/>
  <c r="AU28" i="45"/>
  <c r="AJ30" i="45"/>
  <c r="AU30" i="45"/>
  <c r="BF32" i="45"/>
  <c r="AV32" i="45"/>
  <c r="BH30" i="45"/>
  <c r="AW35" i="45"/>
  <c r="AH30" i="45"/>
  <c r="BL30" i="45"/>
  <c r="AU35" i="45"/>
  <c r="BJ32" i="45"/>
  <c r="BD37" i="45"/>
  <c r="AP30" i="45"/>
  <c r="AU37" i="45"/>
  <c r="AI37" i="45"/>
  <c r="AZ35" i="45"/>
  <c r="AS39" i="45"/>
  <c r="AM39" i="45"/>
  <c r="AJ37" i="45"/>
  <c r="AM32" i="45"/>
  <c r="AH36" i="45"/>
  <c r="AL37" i="45"/>
  <c r="AR30" i="45"/>
  <c r="AW28" i="45"/>
  <c r="AI30" i="45"/>
  <c r="AU32" i="45"/>
  <c r="AL32" i="45"/>
  <c r="AS32" i="45"/>
  <c r="AN30" i="45"/>
  <c r="AJ35" i="45"/>
  <c r="BB28" i="45"/>
  <c r="BC39" i="45"/>
  <c r="AH39" i="45"/>
  <c r="AX39" i="45"/>
  <c r="BH37" i="45"/>
  <c r="BK30" i="45"/>
  <c r="AZ28" i="45"/>
  <c r="AH37" i="45"/>
  <c r="BL37" i="45"/>
  <c r="BJ35" i="45"/>
  <c r="AX30" i="45"/>
  <c r="BE37" i="45"/>
  <c r="AJ28" i="45"/>
  <c r="BN32" i="45"/>
  <c r="BJ28" i="45"/>
  <c r="AH29" i="45"/>
  <c r="AE34" i="45"/>
  <c r="AE62" i="45" s="1"/>
  <c r="AT39" i="45"/>
  <c r="BB35" i="45"/>
  <c r="AO39" i="45"/>
  <c r="AP37" i="45"/>
  <c r="BK37" i="45"/>
  <c r="BB32" i="45"/>
  <c r="BL28" i="45"/>
  <c r="BC30" i="45"/>
  <c r="AX37" i="45"/>
  <c r="AW32" i="45"/>
  <c r="AW39" i="45"/>
  <c r="AT28" i="45"/>
  <c r="BB37" i="45"/>
  <c r="BC28" i="45"/>
  <c r="AP28" i="45"/>
  <c r="AK32" i="45"/>
  <c r="BD39" i="45"/>
  <c r="AK30" i="45"/>
  <c r="AO35" i="45"/>
  <c r="AM28" i="45"/>
  <c r="AE27" i="45"/>
  <c r="AE61" i="45" s="1"/>
  <c r="BH35" i="45"/>
  <c r="AV35" i="45"/>
  <c r="BA39" i="45"/>
  <c r="AN35" i="45"/>
  <c r="BA37" i="45"/>
  <c r="AS37" i="45"/>
  <c r="AJ39" i="45"/>
  <c r="BD35" i="45"/>
  <c r="AZ39" i="45"/>
  <c r="AK35" i="45"/>
  <c r="BG28" i="45"/>
  <c r="BE28" i="45"/>
  <c r="AI35" i="45"/>
  <c r="BL39" i="45"/>
  <c r="AT37" i="45"/>
  <c r="AW30" i="45"/>
  <c r="AH35" i="45"/>
  <c r="AO30" i="45"/>
  <c r="AR28" i="45"/>
  <c r="AN32" i="45"/>
  <c r="AQ32" i="45"/>
  <c r="AB27" i="45"/>
  <c r="AB61" i="45" s="1"/>
  <c r="BG39" i="45"/>
  <c r="AZ37" i="45"/>
  <c r="AV37" i="45"/>
  <c r="BF35" i="45"/>
  <c r="AB34" i="45"/>
  <c r="AB62" i="45" s="1"/>
  <c r="BM30" i="45"/>
  <c r="BC35" i="45"/>
  <c r="AT35" i="45"/>
  <c r="AP35" i="45"/>
  <c r="AK39" i="45"/>
  <c r="BE32" i="45"/>
  <c r="BN30" i="45"/>
  <c r="AY32" i="45"/>
  <c r="BI35" i="45"/>
  <c r="BG30" i="45"/>
  <c r="BI32" i="45"/>
  <c r="BA28" i="45"/>
  <c r="BF30" i="45"/>
  <c r="BN35" i="45"/>
  <c r="AR32" i="45"/>
  <c r="AP32" i="45"/>
  <c r="AU39" i="45"/>
  <c r="AW37" i="45"/>
  <c r="AH28" i="45"/>
  <c r="AO37" i="45"/>
  <c r="AR35" i="45"/>
  <c r="AN39" i="45"/>
  <c r="AQ39" i="45"/>
  <c r="AG27" i="45"/>
  <c r="AG61" i="45" s="1"/>
  <c r="AQ28" i="45"/>
  <c r="AY35" i="45"/>
  <c r="AQ30" i="45"/>
  <c r="AX28" i="45"/>
  <c r="AG34" i="45"/>
  <c r="AG62" i="45" s="1"/>
  <c r="BM37" i="45"/>
  <c r="AS28" i="45"/>
  <c r="BM35" i="45"/>
  <c r="BJ30" i="45"/>
  <c r="AY30" i="45"/>
  <c r="BI30" i="45"/>
  <c r="BB39" i="45"/>
  <c r="BL35" i="45"/>
  <c r="BN37" i="45"/>
  <c r="BI28" i="45"/>
  <c r="BJ39" i="45"/>
  <c r="AN37" i="45"/>
  <c r="AC34" i="45"/>
  <c r="AC62" i="45" s="1"/>
  <c r="BF39" i="45"/>
  <c r="BI39" i="45"/>
  <c r="BA35" i="45"/>
  <c r="AI39" i="45"/>
  <c r="AV39" i="45"/>
  <c r="BF37" i="45"/>
  <c r="BG37" i="45"/>
  <c r="BN28" i="45"/>
  <c r="AR39" i="45"/>
  <c r="AP39" i="45"/>
  <c r="AM30" i="45"/>
  <c r="BH32" i="45"/>
  <c r="BK28" i="45"/>
  <c r="AL28" i="45"/>
  <c r="AQ35" i="45"/>
  <c r="AY28" i="45"/>
  <c r="AQ37" i="45"/>
  <c r="AX35" i="45"/>
  <c r="AH32" i="45"/>
  <c r="BB30" i="45"/>
  <c r="AS35" i="45"/>
  <c r="BE30" i="45"/>
  <c r="BM28" i="45"/>
  <c r="BJ37" i="45"/>
  <c r="AY37" i="45"/>
  <c r="BI37" i="45"/>
  <c r="BD32" i="45"/>
  <c r="AK37" i="45"/>
  <c r="AO28" i="45"/>
  <c r="AM35" i="45"/>
  <c r="AF34" i="45"/>
  <c r="AF62" i="45" s="1"/>
  <c r="BH28" i="45"/>
  <c r="AV28" i="45"/>
  <c r="BA32" i="45"/>
  <c r="AN28" i="45"/>
  <c r="BA30" i="45"/>
  <c r="AS30" i="45"/>
  <c r="AJ32" i="45"/>
  <c r="BD28" i="45"/>
  <c r="AK28" i="45"/>
  <c r="BG35" i="45"/>
  <c r="BE35" i="45"/>
  <c r="AI28" i="45"/>
  <c r="BL32" i="45"/>
  <c r="AT30" i="45"/>
  <c r="AM37" i="45"/>
  <c r="BH39" i="45"/>
  <c r="BK35" i="45"/>
  <c r="AL35" i="45"/>
  <c r="BG32" i="45"/>
  <c r="AZ30" i="45"/>
  <c r="AV30" i="45"/>
  <c r="BM32" i="45"/>
  <c r="BK32" i="45"/>
  <c r="BF28" i="45"/>
  <c r="AC27" i="45"/>
  <c r="AC61" i="45" s="1"/>
  <c r="AD34" i="45"/>
  <c r="AD62" i="45" s="1"/>
  <c r="AD27" i="45"/>
  <c r="AD61" i="45" s="1"/>
  <c r="AE27" i="68" l="1"/>
  <c r="AE61" i="68" s="1"/>
  <c r="AE34" i="68"/>
  <c r="AE62" i="68" s="1"/>
  <c r="AF61" i="68"/>
  <c r="AF62" i="68"/>
  <c r="AI62" i="68"/>
  <c r="AI61" i="68"/>
  <c r="AJ62" i="68"/>
  <c r="AJ61" i="68"/>
  <c r="AH61" i="68"/>
  <c r="AG62" i="68"/>
  <c r="AH62" i="68"/>
  <c r="AG61" i="68"/>
  <c r="AF72" i="45"/>
  <c r="AF73" i="45" s="1"/>
  <c r="AE72" i="45"/>
  <c r="AE73" i="45" s="1"/>
  <c r="AC72" i="45"/>
  <c r="AC73" i="45" s="1"/>
  <c r="AG72" i="45"/>
  <c r="AG73" i="45" s="1"/>
  <c r="AH34" i="45"/>
  <c r="AH62" i="45" s="1"/>
  <c r="AB72" i="45"/>
  <c r="AB73" i="45" s="1"/>
  <c r="AH27" i="45"/>
  <c r="AH61" i="45" s="1"/>
  <c r="AD72" i="45"/>
  <c r="AD73" i="45" s="1"/>
  <c r="AD80" i="45" l="1"/>
  <c r="D4" i="63"/>
  <c r="AC80" i="45"/>
  <c r="C4" i="63"/>
  <c r="AB80" i="45"/>
  <c r="B4" i="63"/>
  <c r="AK62" i="68"/>
  <c r="AK61" i="68"/>
  <c r="AF80" i="45"/>
  <c r="F4" i="63"/>
  <c r="AG80" i="45"/>
  <c r="G4" i="63"/>
  <c r="AE80" i="45"/>
  <c r="E4" i="63"/>
  <c r="AH72" i="45"/>
  <c r="AH73" i="45" s="1"/>
  <c r="H4" i="63" s="1"/>
  <c r="AL77" i="34"/>
  <c r="AL61" i="34"/>
  <c r="AK77" i="34"/>
  <c r="AK61" i="34"/>
  <c r="AJ29" i="45" l="1"/>
  <c r="AM61" i="68" s="1"/>
  <c r="AJ36" i="45"/>
  <c r="AM62" i="68" s="1"/>
  <c r="AI29" i="45"/>
  <c r="AL61" i="68" s="1"/>
  <c r="AI36" i="45"/>
  <c r="AL62" i="68" s="1"/>
  <c r="AM61" i="34"/>
  <c r="AM77" i="34"/>
  <c r="AJ27" i="45" l="1"/>
  <c r="AJ61" i="45" s="1"/>
  <c r="AJ34" i="45"/>
  <c r="AJ62" i="45" s="1"/>
  <c r="AI27" i="45"/>
  <c r="AI61" i="45" s="1"/>
  <c r="AI34" i="45"/>
  <c r="AI62" i="45" s="1"/>
  <c r="AI72" i="45" s="1"/>
  <c r="AI73" i="45" s="1"/>
  <c r="I4" i="63" s="1"/>
  <c r="AK36" i="45"/>
  <c r="AN62" i="68" s="1"/>
  <c r="AK29" i="45"/>
  <c r="AN61" i="68" s="1"/>
  <c r="AN77" i="34"/>
  <c r="AN61" i="34"/>
  <c r="AJ72" i="45" l="1"/>
  <c r="AJ73" i="45" s="1"/>
  <c r="J4" i="63" s="1"/>
  <c r="AK27" i="45"/>
  <c r="AK61" i="45" s="1"/>
  <c r="AK34" i="45"/>
  <c r="AK62" i="45" s="1"/>
  <c r="AL36" i="45"/>
  <c r="AO62" i="68" s="1"/>
  <c r="AL29" i="45"/>
  <c r="AO77" i="34"/>
  <c r="AO61" i="34"/>
  <c r="AK72" i="45" l="1"/>
  <c r="AK73" i="45" s="1"/>
  <c r="K4" i="63" s="1"/>
  <c r="AO61" i="68"/>
  <c r="AL34" i="45"/>
  <c r="AL62" i="45" s="1"/>
  <c r="AM36" i="45"/>
  <c r="AP62" i="68" s="1"/>
  <c r="AM29" i="45"/>
  <c r="AP61" i="68" s="1"/>
  <c r="AL27" i="45"/>
  <c r="AL61" i="45" s="1"/>
  <c r="AP77" i="34"/>
  <c r="AP61" i="34"/>
  <c r="AL72" i="45" l="1"/>
  <c r="AL73" i="45" s="1"/>
  <c r="L4" i="63" s="1"/>
  <c r="AM34" i="45"/>
  <c r="AM62" i="45" s="1"/>
  <c r="AM27" i="45"/>
  <c r="AM61" i="45" s="1"/>
  <c r="AN36" i="45"/>
  <c r="AQ62" i="68" s="1"/>
  <c r="AN29" i="45"/>
  <c r="AQ61" i="68" s="1"/>
  <c r="AQ77" i="34"/>
  <c r="AQ61" i="34"/>
  <c r="AM72" i="45" l="1"/>
  <c r="AM73" i="45" s="1"/>
  <c r="M4" i="63" s="1"/>
  <c r="AN27" i="45"/>
  <c r="AN61" i="45" s="1"/>
  <c r="AN34" i="45"/>
  <c r="AN62" i="45" s="1"/>
  <c r="AO29" i="45"/>
  <c r="AR61" i="68" s="1"/>
  <c r="AO36" i="45"/>
  <c r="AR77" i="34"/>
  <c r="AR61" i="34"/>
  <c r="AN72" i="45" l="1"/>
  <c r="AN73" i="45" s="1"/>
  <c r="N4" i="63" s="1"/>
  <c r="AO27" i="45"/>
  <c r="AO61" i="45" s="1"/>
  <c r="AO34" i="45"/>
  <c r="AO62" i="45" s="1"/>
  <c r="AR62" i="68"/>
  <c r="AP29" i="45"/>
  <c r="AS61" i="68" s="1"/>
  <c r="AP36" i="45"/>
  <c r="AS62" i="68" s="1"/>
  <c r="AS77" i="34"/>
  <c r="AS61" i="34"/>
  <c r="AO72" i="45" l="1"/>
  <c r="AO73" i="45" s="1"/>
  <c r="O4" i="63" s="1"/>
  <c r="AP27" i="45"/>
  <c r="AP61" i="45" s="1"/>
  <c r="AP34" i="45"/>
  <c r="AP62" i="45" s="1"/>
  <c r="AQ29" i="45"/>
  <c r="AQ36" i="45"/>
  <c r="AT62" i="68" s="1"/>
  <c r="AT77" i="34"/>
  <c r="AT61" i="34"/>
  <c r="AP72" i="45" l="1"/>
  <c r="AP73" i="45" s="1"/>
  <c r="P4" i="63" s="1"/>
  <c r="AQ34" i="45"/>
  <c r="AQ62" i="45" s="1"/>
  <c r="AQ27" i="45"/>
  <c r="AQ61" i="45" s="1"/>
  <c r="AT61" i="68"/>
  <c r="AR36" i="45"/>
  <c r="AU62" i="68" s="1"/>
  <c r="AR29" i="45"/>
  <c r="AU61" i="34"/>
  <c r="AU77" i="34"/>
  <c r="AQ72" i="45" l="1"/>
  <c r="AQ73" i="45" s="1"/>
  <c r="Q4" i="63" s="1"/>
  <c r="AR27" i="45"/>
  <c r="AR61" i="45" s="1"/>
  <c r="AU61" i="68"/>
  <c r="AR34" i="45"/>
  <c r="AR62" i="45" s="1"/>
  <c r="AS36" i="45"/>
  <c r="AV62" i="68" s="1"/>
  <c r="AS29" i="45"/>
  <c r="AV61" i="68" s="1"/>
  <c r="AV77" i="34"/>
  <c r="AV61" i="34"/>
  <c r="AR72" i="45" l="1"/>
  <c r="AR73" i="45" s="1"/>
  <c r="R4" i="63" s="1"/>
  <c r="AS27" i="45"/>
  <c r="AS61" i="45" s="1"/>
  <c r="AS34" i="45"/>
  <c r="AS62" i="45" s="1"/>
  <c r="AT36" i="45"/>
  <c r="AW62" i="68" s="1"/>
  <c r="AT29" i="45"/>
  <c r="AW61" i="68" s="1"/>
  <c r="AW61" i="34"/>
  <c r="AW77" i="34"/>
  <c r="AS72" i="45" l="1"/>
  <c r="AS73" i="45" s="1"/>
  <c r="S4" i="63" s="1"/>
  <c r="AT34" i="45"/>
  <c r="AT62" i="45" s="1"/>
  <c r="AT27" i="45"/>
  <c r="AT61" i="45" s="1"/>
  <c r="AU36" i="45"/>
  <c r="AX62" i="68" s="1"/>
  <c r="AU29" i="45"/>
  <c r="AX77" i="34"/>
  <c r="AX61" i="34"/>
  <c r="AT72" i="45" l="1"/>
  <c r="AT73" i="45" s="1"/>
  <c r="T4" i="63" s="1"/>
  <c r="AU34" i="45"/>
  <c r="AU62" i="45" s="1"/>
  <c r="AU72" i="45" s="1"/>
  <c r="AU73" i="45" s="1"/>
  <c r="U4" i="63" s="1"/>
  <c r="AU27" i="45"/>
  <c r="AU61" i="45" s="1"/>
  <c r="AX61" i="68"/>
  <c r="AV29" i="45"/>
  <c r="AY61" i="68" s="1"/>
  <c r="AV36" i="45"/>
  <c r="AY77" i="34"/>
  <c r="AY61" i="34"/>
  <c r="AV27" i="45" l="1"/>
  <c r="AV61" i="45" s="1"/>
  <c r="AY62" i="68"/>
  <c r="AW29" i="45"/>
  <c r="AZ61" i="68" s="1"/>
  <c r="AW36" i="45"/>
  <c r="AV34" i="45"/>
  <c r="AV62" i="45" s="1"/>
  <c r="AZ61" i="34"/>
  <c r="AZ77" i="34"/>
  <c r="AW27" i="45" l="1"/>
  <c r="AW61" i="45" s="1"/>
  <c r="AZ62" i="68"/>
  <c r="AV72" i="45"/>
  <c r="AV73" i="45" s="1"/>
  <c r="V4" i="63" s="1"/>
  <c r="AW34" i="45"/>
  <c r="AW62" i="45" s="1"/>
  <c r="AX36" i="45"/>
  <c r="AX34" i="45" s="1"/>
  <c r="AX62" i="45" s="1"/>
  <c r="AX29" i="45"/>
  <c r="BA77" i="34"/>
  <c r="BA61" i="34"/>
  <c r="BA61" i="68" l="1"/>
  <c r="AW72" i="45"/>
  <c r="AW73" i="45" s="1"/>
  <c r="W4" i="63" s="1"/>
  <c r="BA62" i="68"/>
  <c r="AY29" i="45"/>
  <c r="BB61" i="68" s="1"/>
  <c r="AX27" i="45"/>
  <c r="AX61" i="45" s="1"/>
  <c r="AX72" i="45" s="1"/>
  <c r="AX73" i="45" s="1"/>
  <c r="X4" i="63" s="1"/>
  <c r="AY36" i="45"/>
  <c r="BB77" i="34"/>
  <c r="BB61" i="34"/>
  <c r="AY27" i="45" l="1"/>
  <c r="AY61" i="45" s="1"/>
  <c r="AY34" i="45"/>
  <c r="AY62" i="45" s="1"/>
  <c r="BB62" i="68"/>
  <c r="AZ36" i="45"/>
  <c r="BC62" i="68" s="1"/>
  <c r="AZ29" i="45"/>
  <c r="BC61" i="68" s="1"/>
  <c r="BC77" i="34"/>
  <c r="BC61" i="34"/>
  <c r="AY72" i="45" l="1"/>
  <c r="AY73" i="45" s="1"/>
  <c r="Y4" i="63" s="1"/>
  <c r="AZ34" i="45"/>
  <c r="AZ62" i="45" s="1"/>
  <c r="AZ27" i="45"/>
  <c r="AZ61" i="45" s="1"/>
  <c r="AZ72" i="45" s="1"/>
  <c r="AZ73" i="45" s="1"/>
  <c r="Z4" i="63" s="1"/>
  <c r="BA36" i="45"/>
  <c r="BD62" i="68" s="1"/>
  <c r="BA29" i="45"/>
  <c r="BD61" i="68" s="1"/>
  <c r="BD61" i="34"/>
  <c r="BD77" i="34"/>
  <c r="BA27" i="45" l="1"/>
  <c r="BA61" i="45" s="1"/>
  <c r="BA34" i="45"/>
  <c r="BA62" i="45" s="1"/>
  <c r="BB36" i="45"/>
  <c r="BE62" i="68" s="1"/>
  <c r="BB29" i="45"/>
  <c r="BE61" i="68" s="1"/>
  <c r="BE77" i="34"/>
  <c r="BE61" i="34"/>
  <c r="BA72" i="45" l="1"/>
  <c r="BA73" i="45" s="1"/>
  <c r="AA4" i="63" s="1"/>
  <c r="BB34" i="45"/>
  <c r="BB62" i="45" s="1"/>
  <c r="BB27" i="45"/>
  <c r="BB61" i="45" s="1"/>
  <c r="BC29" i="45"/>
  <c r="BC27" i="45" s="1"/>
  <c r="BC61" i="45" s="1"/>
  <c r="BC36" i="45"/>
  <c r="BF62" i="68" s="1"/>
  <c r="BF77" i="34"/>
  <c r="BF61" i="34"/>
  <c r="BB72" i="45" l="1"/>
  <c r="BB73" i="45" s="1"/>
  <c r="AB4" i="63" s="1"/>
  <c r="BC34" i="45"/>
  <c r="BC62" i="45" s="1"/>
  <c r="BC72" i="45" s="1"/>
  <c r="BC73" i="45" s="1"/>
  <c r="AC4" i="63" s="1"/>
  <c r="BF61" i="68"/>
  <c r="BD36" i="45"/>
  <c r="BD29" i="45"/>
  <c r="BG77" i="34"/>
  <c r="BG61" i="34"/>
  <c r="BG62" i="68" l="1"/>
  <c r="BG61" i="68"/>
  <c r="BD34" i="45"/>
  <c r="BD62" i="45" s="1"/>
  <c r="BE36" i="45"/>
  <c r="BH62" i="68" s="1"/>
  <c r="BE29" i="45"/>
  <c r="BH61" i="68" s="1"/>
  <c r="BD27" i="45"/>
  <c r="BD61" i="45" s="1"/>
  <c r="BH77" i="34"/>
  <c r="BH61" i="34"/>
  <c r="BE34" i="45" l="1"/>
  <c r="BE62" i="45" s="1"/>
  <c r="BE27" i="45"/>
  <c r="BE61" i="45" s="1"/>
  <c r="BD72" i="45"/>
  <c r="BD73" i="45" s="1"/>
  <c r="AD4" i="63" s="1"/>
  <c r="BF36" i="45"/>
  <c r="BI62" i="68" s="1"/>
  <c r="BF29" i="45"/>
  <c r="BI77" i="34"/>
  <c r="BI61" i="34"/>
  <c r="BE72" i="45" l="1"/>
  <c r="BE73" i="45" s="1"/>
  <c r="AE4" i="63" s="1"/>
  <c r="BI61" i="68"/>
  <c r="BF34" i="45"/>
  <c r="BF62" i="45" s="1"/>
  <c r="BG36" i="45"/>
  <c r="BF27" i="45"/>
  <c r="BF61" i="45" s="1"/>
  <c r="BG29" i="45"/>
  <c r="BG27" i="45" s="1"/>
  <c r="BG61" i="45" s="1"/>
  <c r="BJ77" i="34"/>
  <c r="BJ61" i="34"/>
  <c r="BF72" i="45" l="1"/>
  <c r="BF73" i="45" s="1"/>
  <c r="AF4" i="63" s="1"/>
  <c r="BJ61" i="68"/>
  <c r="BG34" i="45"/>
  <c r="BG62" i="45" s="1"/>
  <c r="BJ62" i="68"/>
  <c r="BH36" i="45"/>
  <c r="BK62" i="68" s="1"/>
  <c r="BH29" i="45"/>
  <c r="BK61" i="68" s="1"/>
  <c r="BG72" i="45"/>
  <c r="BG73" i="45" s="1"/>
  <c r="AG4" i="63" s="1"/>
  <c r="BK61" i="34"/>
  <c r="BK77" i="34"/>
  <c r="BH34" i="45" l="1"/>
  <c r="BH62" i="45" s="1"/>
  <c r="BH27" i="45"/>
  <c r="BH61" i="45" s="1"/>
  <c r="BI29" i="45"/>
  <c r="BL61" i="68" s="1"/>
  <c r="BI36" i="45"/>
  <c r="BL77" i="34"/>
  <c r="BL61" i="34"/>
  <c r="BI27" i="45" l="1"/>
  <c r="BI61" i="45" s="1"/>
  <c r="BL62" i="68"/>
  <c r="BH72" i="45"/>
  <c r="BH73" i="45" s="1"/>
  <c r="AH4" i="63" s="1"/>
  <c r="BJ36" i="45"/>
  <c r="BJ34" i="45" s="1"/>
  <c r="BJ62" i="45" s="1"/>
  <c r="BJ29" i="45"/>
  <c r="BM61" i="68" s="1"/>
  <c r="BI34" i="45"/>
  <c r="BI62" i="45" s="1"/>
  <c r="BM77" i="34"/>
  <c r="BM61" i="34"/>
  <c r="BJ27" i="45" l="1"/>
  <c r="BJ61" i="45" s="1"/>
  <c r="BM62" i="68"/>
  <c r="BI72" i="45"/>
  <c r="BI73" i="45" s="1"/>
  <c r="AI4" i="63" s="1"/>
  <c r="BK29" i="45"/>
  <c r="BN61" i="68" s="1"/>
  <c r="BK36" i="45"/>
  <c r="BN77" i="34"/>
  <c r="BN61" i="34"/>
  <c r="BJ72" i="45" l="1"/>
  <c r="BJ73" i="45" s="1"/>
  <c r="AJ4" i="63" s="1"/>
  <c r="BN62" i="68"/>
  <c r="BK27" i="45"/>
  <c r="BK61" i="45" s="1"/>
  <c r="BL36" i="45"/>
  <c r="BK34" i="45"/>
  <c r="BK62" i="45" s="1"/>
  <c r="BL29" i="45"/>
  <c r="BO61" i="68" s="1"/>
  <c r="BO77" i="34"/>
  <c r="BO61" i="34"/>
  <c r="BK72" i="45" l="1"/>
  <c r="BK73" i="45" s="1"/>
  <c r="AK4" i="63" s="1"/>
  <c r="BL27" i="45"/>
  <c r="BL61" i="45" s="1"/>
  <c r="BL34" i="45"/>
  <c r="BL62" i="45" s="1"/>
  <c r="BO62" i="68"/>
  <c r="BM36" i="45"/>
  <c r="BP62" i="68" s="1"/>
  <c r="BM29" i="45"/>
  <c r="BP61" i="68" s="1"/>
  <c r="BL72" i="45"/>
  <c r="BL73" i="45" s="1"/>
  <c r="AL4" i="63" s="1"/>
  <c r="BP77" i="34"/>
  <c r="BP61" i="34"/>
  <c r="BM27" i="45" l="1"/>
  <c r="BM61" i="45" s="1"/>
  <c r="BM34" i="45"/>
  <c r="BM62" i="45" s="1"/>
  <c r="BN29" i="45"/>
  <c r="BQ61" i="68" s="1"/>
  <c r="BN36" i="45"/>
  <c r="BQ62" i="68" s="1"/>
  <c r="BM72" i="45" l="1"/>
  <c r="BM73" i="45" s="1"/>
  <c r="AM4" i="63" s="1"/>
  <c r="BN27" i="45"/>
  <c r="BN61" i="45" s="1"/>
  <c r="BN34" i="45"/>
  <c r="BN62" i="45" s="1"/>
  <c r="BN72" i="45" l="1"/>
  <c r="BN73" i="45" s="1"/>
  <c r="AN4" i="63" s="1"/>
  <c r="AN9" i="63" l="1"/>
  <c r="AN10" i="63"/>
  <c r="C97" i="65"/>
  <c r="C99" i="65" s="1"/>
  <c r="C82" i="65" l="1"/>
  <c r="Z16" i="69"/>
  <c r="D97" i="65"/>
  <c r="D99" i="65" s="1"/>
  <c r="D82" i="65" l="1"/>
  <c r="AA16" i="69"/>
  <c r="E97" i="65"/>
  <c r="E99" i="65" s="1"/>
  <c r="E82" i="65" l="1"/>
  <c r="AB16" i="69"/>
  <c r="F97" i="65"/>
  <c r="F99" i="65" s="1"/>
  <c r="F82" i="65" l="1"/>
  <c r="AC16" i="69"/>
  <c r="G97" i="65"/>
  <c r="G99" i="65" s="1"/>
  <c r="G82" i="65" l="1"/>
  <c r="AD16" i="69"/>
  <c r="H97" i="65"/>
  <c r="H99" i="65" s="1"/>
  <c r="H82" i="65" l="1"/>
  <c r="AE16" i="69"/>
  <c r="I97" i="65"/>
  <c r="I99" i="65" s="1"/>
  <c r="I82" i="65" l="1"/>
  <c r="AF16" i="69"/>
  <c r="J97" i="65"/>
  <c r="J99" i="65" s="1"/>
  <c r="J82" i="65" l="1"/>
  <c r="AG16" i="69"/>
  <c r="K97" i="65"/>
  <c r="K99" i="65" s="1"/>
  <c r="K82" i="65" l="1"/>
  <c r="AH16" i="69"/>
  <c r="L97" i="65"/>
  <c r="L99" i="65" s="1"/>
  <c r="L82" i="65" l="1"/>
  <c r="AI16" i="69"/>
  <c r="M97" i="65"/>
  <c r="M99" i="65" s="1"/>
  <c r="M82" i="65" l="1"/>
  <c r="AJ16" i="69"/>
  <c r="N97" i="65"/>
  <c r="N99" i="65" s="1"/>
  <c r="N82" i="65" l="1"/>
  <c r="AK16" i="69"/>
  <c r="O97" i="65"/>
  <c r="O99" i="65" s="1"/>
  <c r="O82" i="65" l="1"/>
  <c r="AL16" i="69"/>
  <c r="P97" i="65"/>
  <c r="P99" i="65" s="1"/>
  <c r="P82" i="65" l="1"/>
  <c r="AM16" i="69"/>
  <c r="Q97" i="65"/>
  <c r="Q99" i="65" s="1"/>
  <c r="Q82" i="65" l="1"/>
  <c r="AN16" i="69"/>
  <c r="R97" i="65"/>
  <c r="R99" i="65" s="1"/>
  <c r="R82" i="65" l="1"/>
  <c r="AO16" i="69"/>
  <c r="S97" i="65"/>
  <c r="S99" i="65" s="1"/>
  <c r="S82" i="65" l="1"/>
  <c r="AP16" i="69"/>
  <c r="T97" i="65"/>
  <c r="T99" i="65" s="1"/>
  <c r="T82" i="65" l="1"/>
  <c r="AQ16" i="69"/>
  <c r="U97" i="65"/>
  <c r="U99" i="65" s="1"/>
  <c r="U82" i="65" l="1"/>
  <c r="AR16" i="69"/>
  <c r="V97" i="65"/>
  <c r="V99" i="65" s="1"/>
  <c r="V82" i="65" l="1"/>
  <c r="AS16" i="69"/>
  <c r="W97" i="65"/>
  <c r="W99" i="65" s="1"/>
  <c r="W82" i="65" l="1"/>
  <c r="AT16" i="69"/>
  <c r="X97" i="65"/>
  <c r="X99" i="65" s="1"/>
  <c r="X82" i="65" l="1"/>
  <c r="AU16" i="69"/>
  <c r="Y97" i="65"/>
  <c r="Y99" i="65" s="1"/>
  <c r="Y82" i="65" l="1"/>
  <c r="AV16" i="69"/>
  <c r="Z97" i="65"/>
  <c r="Z99" i="65" s="1"/>
  <c r="Z82" i="65" l="1"/>
  <c r="AW16" i="69"/>
  <c r="AA97" i="65"/>
  <c r="AA99" i="65" s="1"/>
  <c r="AA82" i="65" l="1"/>
  <c r="AX16" i="69"/>
  <c r="AB97" i="65"/>
  <c r="AB99" i="65" s="1"/>
  <c r="AB82" i="65" l="1"/>
  <c r="AY16" i="69"/>
  <c r="AC97" i="65"/>
  <c r="AC99" i="65" s="1"/>
  <c r="AC82" i="65" l="1"/>
  <c r="AZ16" i="69"/>
  <c r="AD97" i="65"/>
  <c r="AD99" i="65" s="1"/>
  <c r="AD82" i="65" l="1"/>
  <c r="BA16" i="69"/>
  <c r="AE97" i="65"/>
  <c r="AE99" i="65" s="1"/>
  <c r="AE82" i="65" l="1"/>
  <c r="BB16" i="69"/>
  <c r="AF97" i="65"/>
  <c r="AF99" i="65" s="1"/>
  <c r="AF82" i="65" l="1"/>
  <c r="BC16" i="69"/>
  <c r="AG97" i="65"/>
  <c r="AG99" i="65" s="1"/>
  <c r="AG82" i="65" l="1"/>
  <c r="BD16" i="69"/>
  <c r="AH97" i="65"/>
  <c r="AH99" i="65" s="1"/>
  <c r="AH82" i="65" l="1"/>
  <c r="BE16" i="69"/>
  <c r="AI97" i="65"/>
  <c r="AI99" i="65" s="1"/>
  <c r="AI82" i="65" l="1"/>
  <c r="BF16" i="69"/>
  <c r="AJ97" i="65"/>
  <c r="AJ99" i="65" s="1"/>
  <c r="AJ82" i="65" l="1"/>
  <c r="BG16" i="69"/>
  <c r="AK97" i="65"/>
  <c r="AK99" i="65" s="1"/>
  <c r="AK82" i="65" l="1"/>
  <c r="BH16" i="69"/>
  <c r="AL97" i="65"/>
  <c r="AL99" i="65" s="1"/>
  <c r="AM97" i="65" l="1"/>
  <c r="AM99" i="65" s="1"/>
  <c r="AM82" i="65" s="1"/>
  <c r="AL82" i="65"/>
  <c r="BI16" i="69"/>
  <c r="BJ16" i="69"/>
  <c r="AN97" i="65" l="1"/>
  <c r="AN99" i="65" s="1"/>
  <c r="AN82" i="65" s="1"/>
  <c r="BK16" i="69"/>
  <c r="AD8" i="70"/>
  <c r="AD9" i="70"/>
  <c r="AE6" i="70"/>
  <c r="L780" i="67" s="1"/>
  <c r="AF6" i="70"/>
  <c r="M780" i="67" s="1"/>
  <c r="AJ7" i="70"/>
  <c r="AG5" i="70"/>
  <c r="AH6" i="70"/>
  <c r="O780" i="67" s="1"/>
  <c r="AJ6" i="70"/>
  <c r="Q780" i="67" s="1"/>
  <c r="AI5" i="70"/>
  <c r="P779" i="67" s="1"/>
  <c r="AM6" i="70"/>
  <c r="T780" i="67" s="1"/>
  <c r="AN7" i="70"/>
  <c r="AO6" i="70"/>
  <c r="V780" i="67" s="1"/>
  <c r="AP7" i="70"/>
  <c r="AQ5" i="70"/>
  <c r="X779" i="67" s="1"/>
  <c r="AR5" i="70"/>
  <c r="Y779" i="67" s="1"/>
  <c r="AT6" i="70"/>
  <c r="AA780" i="67" s="1"/>
  <c r="AS5" i="70"/>
  <c r="Z779" i="67" s="1"/>
  <c r="AU7" i="70"/>
  <c r="AU5" i="70"/>
  <c r="AB779" i="67" s="1"/>
  <c r="AV7" i="70"/>
  <c r="AW7" i="70"/>
  <c r="AX6" i="70"/>
  <c r="AE780" i="67" s="1"/>
  <c r="AX5" i="70"/>
  <c r="AE779" i="67" s="1"/>
  <c r="AY6" i="70"/>
  <c r="AF780" i="67" s="1"/>
  <c r="AY5" i="70"/>
  <c r="AF779" i="67" s="1"/>
  <c r="AZ6" i="70"/>
  <c r="AG780" i="67" s="1"/>
  <c r="BA6" i="70"/>
  <c r="AH780" i="67" s="1"/>
  <c r="BB7" i="70"/>
  <c r="BB5" i="70"/>
  <c r="AI779" i="67" s="1"/>
  <c r="BC6" i="70"/>
  <c r="AJ780" i="67" s="1"/>
  <c r="BD7" i="70"/>
  <c r="BF6" i="70"/>
  <c r="AM780" i="67" s="1"/>
  <c r="BE6" i="70"/>
  <c r="AL780" i="67" s="1"/>
  <c r="BJ7" i="70"/>
  <c r="BG6" i="70"/>
  <c r="AN780" i="67" s="1"/>
  <c r="BH6" i="70"/>
  <c r="AO780" i="67" s="1"/>
  <c r="BH5" i="70"/>
  <c r="AO779" i="67" s="1"/>
  <c r="BI7" i="70"/>
  <c r="BJ6" i="70"/>
  <c r="AQ780" i="67" s="1"/>
  <c r="BJ5" i="70"/>
  <c r="AQ779" i="67" s="1"/>
  <c r="BK7" i="70"/>
  <c r="BL7" i="70"/>
  <c r="BM7" i="70"/>
  <c r="BN5" i="70"/>
  <c r="AU779" i="67" s="1"/>
  <c r="BO7" i="70"/>
  <c r="BP6" i="70"/>
  <c r="AW780" i="67" s="1"/>
  <c r="K920" i="67" l="1"/>
  <c r="K1054" i="67"/>
  <c r="K1038" i="67"/>
  <c r="K934" i="67"/>
  <c r="K952" i="67"/>
  <c r="K919" i="67"/>
  <c r="K1053" i="67"/>
  <c r="K1037" i="67"/>
  <c r="K951" i="67"/>
  <c r="K933" i="67"/>
  <c r="N779" i="67"/>
  <c r="AG2" i="70"/>
  <c r="AU1067" i="67"/>
  <c r="AU1099" i="67"/>
  <c r="AU1081" i="67"/>
  <c r="AU1201" i="67"/>
  <c r="AU1185" i="67"/>
  <c r="AH122" i="65"/>
  <c r="AH132" i="65" s="1"/>
  <c r="AQ462" i="67" s="1"/>
  <c r="AQ1099" i="67"/>
  <c r="AQ1081" i="67"/>
  <c r="AQ1067" i="67"/>
  <c r="AQ1185" i="67"/>
  <c r="AQ1201" i="67"/>
  <c r="AO1068" i="67"/>
  <c r="AO1100" i="67"/>
  <c r="AO1082" i="67"/>
  <c r="AO1202" i="67"/>
  <c r="AO1186" i="67"/>
  <c r="AD123" i="65"/>
  <c r="AD133" i="65" s="1"/>
  <c r="AM463" i="67" s="1"/>
  <c r="AM1068" i="67"/>
  <c r="AM1082" i="67"/>
  <c r="AM1100" i="67"/>
  <c r="AM1186" i="67"/>
  <c r="AM1202" i="67"/>
  <c r="AI1069" i="67"/>
  <c r="AI1101" i="67"/>
  <c r="AI1083" i="67"/>
  <c r="AI1187" i="67"/>
  <c r="AI1203" i="67"/>
  <c r="AF1068" i="67"/>
  <c r="AF1082" i="67"/>
  <c r="AF1100" i="67"/>
  <c r="AF1202" i="67"/>
  <c r="AF1186" i="67"/>
  <c r="AC1069" i="67"/>
  <c r="AC1083" i="67"/>
  <c r="AC1101" i="67"/>
  <c r="AC1187" i="67"/>
  <c r="AC1203" i="67"/>
  <c r="AA1068" i="67"/>
  <c r="AA1082" i="67"/>
  <c r="AA1100" i="67"/>
  <c r="AA1186" i="67"/>
  <c r="AA1202" i="67"/>
  <c r="V1068" i="67"/>
  <c r="V1082" i="67"/>
  <c r="V1100" i="67"/>
  <c r="V1186" i="67"/>
  <c r="V1202" i="67"/>
  <c r="Q1068" i="67"/>
  <c r="Q1100" i="67"/>
  <c r="Q1082" i="67"/>
  <c r="Q1186" i="67"/>
  <c r="Q1202" i="67"/>
  <c r="M1082" i="67"/>
  <c r="M1100" i="67"/>
  <c r="M1068" i="67"/>
  <c r="M1202" i="67"/>
  <c r="M1186" i="67"/>
  <c r="AT1069" i="67"/>
  <c r="AT1083" i="67"/>
  <c r="AT1101" i="67"/>
  <c r="AT1187" i="67"/>
  <c r="AT1203" i="67"/>
  <c r="AQ1068" i="67"/>
  <c r="AQ1082" i="67"/>
  <c r="AQ1100" i="67"/>
  <c r="AQ1186" i="67"/>
  <c r="AQ1202" i="67"/>
  <c r="AN1068" i="67"/>
  <c r="AN1082" i="67"/>
  <c r="AN1100" i="67"/>
  <c r="AN1202" i="67"/>
  <c r="AN1186" i="67"/>
  <c r="AK1069" i="67"/>
  <c r="AK1083" i="67"/>
  <c r="AK1101" i="67"/>
  <c r="AK1187" i="67"/>
  <c r="AK1203" i="67"/>
  <c r="AH1068" i="67"/>
  <c r="AH1082" i="67"/>
  <c r="AH1186" i="67"/>
  <c r="AH1100" i="67"/>
  <c r="AH1202" i="67"/>
  <c r="AX50" i="70"/>
  <c r="AE1067" i="67"/>
  <c r="AE1099" i="67"/>
  <c r="AE1081" i="67"/>
  <c r="AE1201" i="67"/>
  <c r="AE1185" i="67"/>
  <c r="AB1067" i="67"/>
  <c r="AB1081" i="67"/>
  <c r="AB1099" i="67"/>
  <c r="AB1185" i="67"/>
  <c r="AB1201" i="67"/>
  <c r="P122" i="65"/>
  <c r="P132" i="65" s="1"/>
  <c r="Y462" i="67" s="1"/>
  <c r="Y1067" i="67"/>
  <c r="Y1081" i="67"/>
  <c r="Y1099" i="67"/>
  <c r="Y1185" i="67"/>
  <c r="Y1201" i="67"/>
  <c r="U1069" i="67"/>
  <c r="U1101" i="67"/>
  <c r="U1083" i="67"/>
  <c r="U1187" i="67"/>
  <c r="U1203" i="67"/>
  <c r="O1068" i="67"/>
  <c r="O1100" i="67"/>
  <c r="O1082" i="67"/>
  <c r="O1186" i="67"/>
  <c r="O1202" i="67"/>
  <c r="AE51" i="70"/>
  <c r="L1068" i="67"/>
  <c r="L1082" i="67"/>
  <c r="L1100" i="67"/>
  <c r="L1186" i="67"/>
  <c r="L1202" i="67"/>
  <c r="AW1068" i="67"/>
  <c r="AW1100" i="67"/>
  <c r="AW1082" i="67"/>
  <c r="AW1186" i="67"/>
  <c r="AW1202" i="67"/>
  <c r="AS1069" i="67"/>
  <c r="AS1083" i="67"/>
  <c r="AS1101" i="67"/>
  <c r="AS1187" i="67"/>
  <c r="AS1203" i="67"/>
  <c r="AG17" i="65"/>
  <c r="AP6" i="67" s="1"/>
  <c r="AP1069" i="67"/>
  <c r="AP1101" i="67"/>
  <c r="AP1083" i="67"/>
  <c r="AP1187" i="67"/>
  <c r="AP1203" i="67"/>
  <c r="AQ1069" i="67"/>
  <c r="AQ1101" i="67"/>
  <c r="AQ1083" i="67"/>
  <c r="AQ1187" i="67"/>
  <c r="AQ1203" i="67"/>
  <c r="AJ1100" i="67"/>
  <c r="AJ1068" i="67"/>
  <c r="AJ1082" i="67"/>
  <c r="AJ1202" i="67"/>
  <c r="AJ1186" i="67"/>
  <c r="AG1068" i="67"/>
  <c r="AG1100" i="67"/>
  <c r="AG1082" i="67"/>
  <c r="AG1186" i="67"/>
  <c r="AG1202" i="67"/>
  <c r="AE1068" i="67"/>
  <c r="AE1100" i="67"/>
  <c r="AE1082" i="67"/>
  <c r="AE1186" i="67"/>
  <c r="AE1202" i="67"/>
  <c r="AB1069" i="67"/>
  <c r="AB1083" i="67"/>
  <c r="AB1101" i="67"/>
  <c r="AB1187" i="67"/>
  <c r="AB1203" i="67"/>
  <c r="AQ50" i="70"/>
  <c r="X1067" i="67"/>
  <c r="X1081" i="67"/>
  <c r="X1099" i="67"/>
  <c r="X1185" i="67"/>
  <c r="X1201" i="67"/>
  <c r="AM67" i="70"/>
  <c r="T1137" i="67" s="1"/>
  <c r="T1068" i="67"/>
  <c r="T1082" i="67"/>
  <c r="T1100" i="67"/>
  <c r="T1186" i="67"/>
  <c r="T1202" i="67"/>
  <c r="AG50" i="70"/>
  <c r="N1067" i="67"/>
  <c r="N1081" i="67"/>
  <c r="N1099" i="67"/>
  <c r="N1185" i="67"/>
  <c r="N1201" i="67"/>
  <c r="K1205" i="67"/>
  <c r="K1189" i="67"/>
  <c r="K1085" i="67"/>
  <c r="K1103" i="67"/>
  <c r="K1071" i="67"/>
  <c r="AV1069" i="67"/>
  <c r="AV1083" i="67"/>
  <c r="AV1101" i="67"/>
  <c r="AV1187" i="67"/>
  <c r="AV1203" i="67"/>
  <c r="AR1069" i="67"/>
  <c r="AR1083" i="67"/>
  <c r="AR1101" i="67"/>
  <c r="AR1187" i="67"/>
  <c r="AR1203" i="67"/>
  <c r="AF122" i="65"/>
  <c r="AF132" i="65" s="1"/>
  <c r="AO462" i="67" s="1"/>
  <c r="AO1067" i="67"/>
  <c r="AO1081" i="67"/>
  <c r="AO1099" i="67"/>
  <c r="AO1185" i="67"/>
  <c r="AO1201" i="67"/>
  <c r="AL1068" i="67"/>
  <c r="AL1082" i="67"/>
  <c r="AL1100" i="67"/>
  <c r="AL1186" i="67"/>
  <c r="AL1202" i="67"/>
  <c r="AI1081" i="67"/>
  <c r="AI1099" i="67"/>
  <c r="AI1067" i="67"/>
  <c r="AI1201" i="67"/>
  <c r="AI1185" i="67"/>
  <c r="W122" i="65"/>
  <c r="W132" i="65" s="1"/>
  <c r="AF462" i="67" s="1"/>
  <c r="AF1067" i="67"/>
  <c r="AF1081" i="67"/>
  <c r="AF1099" i="67"/>
  <c r="AF1185" i="67"/>
  <c r="AF1201" i="67"/>
  <c r="AW52" i="70"/>
  <c r="AD1122" i="67" s="1"/>
  <c r="AD1083" i="67"/>
  <c r="AD1101" i="67"/>
  <c r="AD1069" i="67"/>
  <c r="AD1187" i="67"/>
  <c r="AD1203" i="67"/>
  <c r="Z1067" i="67"/>
  <c r="Z1099" i="67"/>
  <c r="Z1081" i="67"/>
  <c r="Z1185" i="67"/>
  <c r="Z1201" i="67"/>
  <c r="W1083" i="67"/>
  <c r="W1101" i="67"/>
  <c r="W1069" i="67"/>
  <c r="W1187" i="67"/>
  <c r="W1203" i="67"/>
  <c r="G122" i="65"/>
  <c r="G132" i="65" s="1"/>
  <c r="P462" i="67" s="1"/>
  <c r="P1067" i="67"/>
  <c r="P1081" i="67"/>
  <c r="P1099" i="67"/>
  <c r="P1185" i="67"/>
  <c r="P1201" i="67"/>
  <c r="Q1069" i="67"/>
  <c r="Q1083" i="67"/>
  <c r="Q1101" i="67"/>
  <c r="Q1187" i="67"/>
  <c r="Q1203" i="67"/>
  <c r="K1204" i="67"/>
  <c r="K1188" i="67"/>
  <c r="K1084" i="67"/>
  <c r="K1102" i="67"/>
  <c r="K1070" i="67"/>
  <c r="Q19" i="67"/>
  <c r="BD5" i="70"/>
  <c r="AK779" i="67" s="1"/>
  <c r="AE7" i="70"/>
  <c r="BO5" i="70"/>
  <c r="AV779" i="67" s="1"/>
  <c r="BG5" i="70"/>
  <c r="AN779" i="67" s="1"/>
  <c r="BD6" i="70"/>
  <c r="AK780" i="67" s="1"/>
  <c r="AY7" i="70"/>
  <c r="AX7" i="70"/>
  <c r="V73" i="65" s="1"/>
  <c r="V78" i="65" s="1"/>
  <c r="AE312" i="67" s="1"/>
  <c r="BO6" i="70"/>
  <c r="BG7" i="70"/>
  <c r="BL5" i="70"/>
  <c r="AS779" i="67" s="1"/>
  <c r="BN7" i="70"/>
  <c r="BI5" i="70"/>
  <c r="AP779" i="67" s="1"/>
  <c r="BI6" i="70"/>
  <c r="AP780" i="67" s="1"/>
  <c r="BH7" i="70"/>
  <c r="BC5" i="70"/>
  <c r="AZ5" i="70"/>
  <c r="AG779" i="67" s="1"/>
  <c r="AU6" i="70"/>
  <c r="AB780" i="67" s="1"/>
  <c r="AN6" i="70"/>
  <c r="U780" i="67" s="1"/>
  <c r="AG7" i="70"/>
  <c r="AI7" i="70"/>
  <c r="BM5" i="70"/>
  <c r="AT779" i="67" s="1"/>
  <c r="BL6" i="70"/>
  <c r="AS780" i="67" s="1"/>
  <c r="BF5" i="70"/>
  <c r="AM779" i="67" s="1"/>
  <c r="BF7" i="70"/>
  <c r="BC7" i="70"/>
  <c r="BB6" i="70"/>
  <c r="AI780" i="67" s="1"/>
  <c r="AP5" i="70"/>
  <c r="W779" i="67" s="1"/>
  <c r="AP6" i="70"/>
  <c r="W780" i="67" s="1"/>
  <c r="AE5" i="70"/>
  <c r="L779" i="67" s="1"/>
  <c r="BM68" i="70"/>
  <c r="AT1138" i="67" s="1"/>
  <c r="BH67" i="70"/>
  <c r="AO1137" i="67" s="1"/>
  <c r="AT67" i="70"/>
  <c r="AA1137" i="67" s="1"/>
  <c r="R123" i="65"/>
  <c r="R133" i="65" s="1"/>
  <c r="AA463" i="67" s="1"/>
  <c r="Z124" i="65"/>
  <c r="Z134" i="65" s="1"/>
  <c r="AI464" i="67" s="1"/>
  <c r="BP51" i="70"/>
  <c r="AW1121" i="67" s="1"/>
  <c r="BP67" i="70"/>
  <c r="AW1137" i="67" s="1"/>
  <c r="AZ51" i="70"/>
  <c r="X123" i="65"/>
  <c r="X133" i="65" s="1"/>
  <c r="AG463" i="67" s="1"/>
  <c r="BP5" i="70"/>
  <c r="AW779" i="67" s="1"/>
  <c r="BP7" i="70"/>
  <c r="AN124" i="65" s="1"/>
  <c r="AN134" i="65" s="1"/>
  <c r="AW464" i="67" s="1"/>
  <c r="BN6" i="70"/>
  <c r="AU780" i="67" s="1"/>
  <c r="BM6" i="70"/>
  <c r="AT780" i="67" s="1"/>
  <c r="AZ7" i="70"/>
  <c r="AW5" i="70"/>
  <c r="AV5" i="70"/>
  <c r="AC779" i="67" s="1"/>
  <c r="AW6" i="70"/>
  <c r="AD780" i="67" s="1"/>
  <c r="AT5" i="70"/>
  <c r="AA779" i="67" s="1"/>
  <c r="AT7" i="70"/>
  <c r="R124" i="65" s="1"/>
  <c r="R134" i="65" s="1"/>
  <c r="AA464" i="67" s="1"/>
  <c r="AK7" i="70"/>
  <c r="AK6" i="70"/>
  <c r="R780" i="67" s="1"/>
  <c r="AK5" i="70"/>
  <c r="R779" i="67" s="1"/>
  <c r="BA7" i="70"/>
  <c r="AV6" i="70"/>
  <c r="AC780" i="67" s="1"/>
  <c r="AL7" i="70"/>
  <c r="AL5" i="70"/>
  <c r="J38" i="65" s="1"/>
  <c r="J40" i="65" s="1"/>
  <c r="S157" i="67" s="1"/>
  <c r="AL6" i="70"/>
  <c r="S780" i="67" s="1"/>
  <c r="BK6" i="70"/>
  <c r="AR780" i="67" s="1"/>
  <c r="BK5" i="70"/>
  <c r="AR779" i="67" s="1"/>
  <c r="BE5" i="70"/>
  <c r="AL779" i="67" s="1"/>
  <c r="BE7" i="70"/>
  <c r="BA5" i="70"/>
  <c r="AH779" i="67" s="1"/>
  <c r="AP68" i="70"/>
  <c r="W1138" i="67" s="1"/>
  <c r="AS7" i="70"/>
  <c r="AS6" i="70"/>
  <c r="Z780" i="67" s="1"/>
  <c r="AR7" i="70"/>
  <c r="AR6" i="70"/>
  <c r="Y780" i="67" s="1"/>
  <c r="AQ7" i="70"/>
  <c r="AQ6" i="70"/>
  <c r="X780" i="67" s="1"/>
  <c r="AM7" i="70"/>
  <c r="AM5" i="70"/>
  <c r="T779" i="67" s="1"/>
  <c r="AN5" i="70"/>
  <c r="U779" i="67" s="1"/>
  <c r="AO7" i="70"/>
  <c r="AO52" i="70" s="1"/>
  <c r="V1122" i="67" s="1"/>
  <c r="AJ5" i="70"/>
  <c r="Q779" i="67" s="1"/>
  <c r="AH5" i="70"/>
  <c r="O779" i="67" s="1"/>
  <c r="AH7" i="70"/>
  <c r="AJ68" i="70"/>
  <c r="Q1138" i="67" s="1"/>
  <c r="AF5" i="70"/>
  <c r="M779" i="67" s="1"/>
  <c r="AI6" i="70"/>
  <c r="P780" i="67" s="1"/>
  <c r="AG6" i="70"/>
  <c r="N780" i="67" s="1"/>
  <c r="AF7" i="70"/>
  <c r="AO5" i="70"/>
  <c r="V779" i="67" s="1"/>
  <c r="AE67" i="70"/>
  <c r="L1137" i="67" s="1"/>
  <c r="AJ67" i="70"/>
  <c r="Q1137" i="67" s="1"/>
  <c r="AW68" i="70"/>
  <c r="AD1138" i="67" s="1"/>
  <c r="Z15" i="65"/>
  <c r="Z122" i="65"/>
  <c r="Z132" i="65" s="1"/>
  <c r="AI462" i="67" s="1"/>
  <c r="BM52" i="70"/>
  <c r="AT1122" i="67" s="1"/>
  <c r="BK68" i="70"/>
  <c r="AR1138" i="67" s="1"/>
  <c r="AY51" i="70"/>
  <c r="AF1121" i="67" s="1"/>
  <c r="S15" i="65"/>
  <c r="AU50" i="70"/>
  <c r="AR344" i="67"/>
  <c r="AR496" i="67"/>
  <c r="AR799" i="67"/>
  <c r="AR38" i="67"/>
  <c r="AR191" i="67"/>
  <c r="AR648" i="67"/>
  <c r="AU517" i="67"/>
  <c r="AV227" i="67"/>
  <c r="AV532" i="67"/>
  <c r="AV74" i="67"/>
  <c r="AV380" i="67"/>
  <c r="AV684" i="67"/>
  <c r="AV835" i="67"/>
  <c r="AS885" i="67"/>
  <c r="AS124" i="67"/>
  <c r="AS582" i="67"/>
  <c r="AS734" i="67"/>
  <c r="AS430" i="67"/>
  <c r="AS277" i="67"/>
  <c r="BN50" i="70"/>
  <c r="BJ50" i="70"/>
  <c r="AL38" i="65"/>
  <c r="AL40" i="65" s="1"/>
  <c r="AU157" i="67" s="1"/>
  <c r="AL71" i="65"/>
  <c r="AL76" i="65" s="1"/>
  <c r="AU310" i="67" s="1"/>
  <c r="BL52" i="70"/>
  <c r="AS1122" i="67" s="1"/>
  <c r="BH50" i="70"/>
  <c r="BJ66" i="70"/>
  <c r="BK52" i="70"/>
  <c r="AR1122" i="67" s="1"/>
  <c r="AL122" i="65"/>
  <c r="AL132" i="65" s="1"/>
  <c r="AU462" i="67" s="1"/>
  <c r="AW616" i="67"/>
  <c r="AN123" i="65"/>
  <c r="AN133" i="65" s="1"/>
  <c r="AW463" i="67" s="1"/>
  <c r="AM73" i="65"/>
  <c r="AM78" i="65" s="1"/>
  <c r="AV312" i="67" s="1"/>
  <c r="BL68" i="70"/>
  <c r="AS1138" i="67" s="1"/>
  <c r="AI73" i="65"/>
  <c r="AI78" i="65" s="1"/>
  <c r="AR312" i="67" s="1"/>
  <c r="AI124" i="65"/>
  <c r="AI134" i="65" s="1"/>
  <c r="AR464" i="67" s="1"/>
  <c r="AI17" i="65"/>
  <c r="AK17" i="65"/>
  <c r="AK73" i="65"/>
  <c r="AK78" i="65" s="1"/>
  <c r="AT312" i="67" s="1"/>
  <c r="AH17" i="65"/>
  <c r="AH73" i="65"/>
  <c r="AH78" i="65" s="1"/>
  <c r="AQ312" i="67" s="1"/>
  <c r="AH124" i="65"/>
  <c r="AH134" i="65" s="1"/>
  <c r="AQ464" i="67" s="1"/>
  <c r="BJ68" i="70"/>
  <c r="AQ1138" i="67" s="1"/>
  <c r="BJ52" i="70"/>
  <c r="AQ1122" i="67" s="1"/>
  <c r="AW767" i="67"/>
  <c r="AN72" i="65"/>
  <c r="AN77" i="65" s="1"/>
  <c r="AN16" i="65"/>
  <c r="AH71" i="65"/>
  <c r="AH76" i="65" s="1"/>
  <c r="AQ310" i="67" s="1"/>
  <c r="AH38" i="65"/>
  <c r="AH40" i="65" s="1"/>
  <c r="AQ157" i="67" s="1"/>
  <c r="AH15" i="65"/>
  <c r="AM17" i="65"/>
  <c r="AJ17" i="65"/>
  <c r="AJ124" i="65"/>
  <c r="AJ134" i="65" s="1"/>
  <c r="AS464" i="67" s="1"/>
  <c r="AL15" i="65"/>
  <c r="AF15" i="65"/>
  <c r="AF71" i="65"/>
  <c r="AF76" i="65" s="1"/>
  <c r="AO310" i="67" s="1"/>
  <c r="AF38" i="65"/>
  <c r="AF40" i="65" s="1"/>
  <c r="AO157" i="67" s="1"/>
  <c r="BH66" i="70"/>
  <c r="AL517" i="67"/>
  <c r="AL212" i="67"/>
  <c r="AL820" i="67"/>
  <c r="AL59" i="67"/>
  <c r="AL365" i="67"/>
  <c r="AJ429" i="67"/>
  <c r="AJ733" i="67"/>
  <c r="AJ276" i="67"/>
  <c r="AJ581" i="67"/>
  <c r="AJ123" i="67"/>
  <c r="AJ884" i="67"/>
  <c r="BN66" i="70"/>
  <c r="BO68" i="70"/>
  <c r="AV1138" i="67" s="1"/>
  <c r="BO52" i="70"/>
  <c r="AV1122" i="67" s="1"/>
  <c r="AM124" i="65"/>
  <c r="AM134" i="65" s="1"/>
  <c r="AV464" i="67" s="1"/>
  <c r="AK124" i="65"/>
  <c r="AK134" i="65" s="1"/>
  <c r="AT464" i="67" s="1"/>
  <c r="AJ73" i="65"/>
  <c r="AJ78" i="65" s="1"/>
  <c r="AS312" i="67" s="1"/>
  <c r="AH766" i="67"/>
  <c r="AH615" i="67"/>
  <c r="BJ51" i="70"/>
  <c r="AQ1121" i="67" s="1"/>
  <c r="BI52" i="70"/>
  <c r="AP1122" i="67" s="1"/>
  <c r="AH72" i="65"/>
  <c r="AH77" i="65" s="1"/>
  <c r="AQ311" i="67" s="1"/>
  <c r="AH123" i="65"/>
  <c r="AH133" i="65" s="1"/>
  <c r="AQ463" i="67" s="1"/>
  <c r="BH51" i="70"/>
  <c r="AO1121" i="67" s="1"/>
  <c r="BF67" i="70"/>
  <c r="AM1137" i="67" s="1"/>
  <c r="BB50" i="70"/>
  <c r="AE16" i="65"/>
  <c r="AN5" i="67" s="1"/>
  <c r="AD72" i="65"/>
  <c r="AD77" i="65" s="1"/>
  <c r="AM311" i="67" s="1"/>
  <c r="AB17" i="65"/>
  <c r="AB73" i="65"/>
  <c r="AB78" i="65" s="1"/>
  <c r="AK312" i="67" s="1"/>
  <c r="AC123" i="65"/>
  <c r="AC133" i="65" s="1"/>
  <c r="AL463" i="67" s="1"/>
  <c r="AC16" i="65"/>
  <c r="AC72" i="65"/>
  <c r="AC77" i="65" s="1"/>
  <c r="AL311" i="67" s="1"/>
  <c r="AA72" i="65"/>
  <c r="AA77" i="65" s="1"/>
  <c r="AJ311" i="67" s="1"/>
  <c r="AA16" i="65"/>
  <c r="BI68" i="70"/>
  <c r="AP1138" i="67" s="1"/>
  <c r="AH16" i="65"/>
  <c r="AF16" i="65"/>
  <c r="AF72" i="65"/>
  <c r="AF77" i="65" s="1"/>
  <c r="AO311" i="67" s="1"/>
  <c r="AE72" i="65"/>
  <c r="AE77" i="65" s="1"/>
  <c r="AN311" i="67" s="1"/>
  <c r="BE67" i="70"/>
  <c r="AL1137" i="67" s="1"/>
  <c r="BE51" i="70"/>
  <c r="AL1121" i="67" s="1"/>
  <c r="AD16" i="65"/>
  <c r="BD52" i="70"/>
  <c r="AK1122" i="67" s="1"/>
  <c r="W38" i="65"/>
  <c r="W40" i="65" s="1"/>
  <c r="AF157" i="67" s="1"/>
  <c r="W71" i="65"/>
  <c r="W76" i="65" s="1"/>
  <c r="AF310" i="67" s="1"/>
  <c r="W15" i="65"/>
  <c r="AY50" i="70"/>
  <c r="AJ343" i="67"/>
  <c r="Y72" i="65"/>
  <c r="Y77" i="65" s="1"/>
  <c r="AH311" i="67" s="1"/>
  <c r="Y123" i="65"/>
  <c r="Y133" i="65" s="1"/>
  <c r="AH463" i="67" s="1"/>
  <c r="Y16" i="65"/>
  <c r="BA67" i="70"/>
  <c r="AH1137" i="67" s="1"/>
  <c r="BA51" i="70"/>
  <c r="AH1121" i="67" s="1"/>
  <c r="AY66" i="70"/>
  <c r="Z765" i="67"/>
  <c r="Z614" i="67"/>
  <c r="AA75" i="67"/>
  <c r="AA228" i="67"/>
  <c r="AA533" i="67"/>
  <c r="AA381" i="67"/>
  <c r="AA685" i="67"/>
  <c r="AA836" i="67"/>
  <c r="AG124" i="65"/>
  <c r="AG134" i="65" s="1"/>
  <c r="AP464" i="67" s="1"/>
  <c r="AG73" i="65"/>
  <c r="AG78" i="65" s="1"/>
  <c r="AP312" i="67" s="1"/>
  <c r="BG67" i="70"/>
  <c r="AN1137" i="67" s="1"/>
  <c r="BG51" i="70"/>
  <c r="AN1121" i="67" s="1"/>
  <c r="AF123" i="65"/>
  <c r="AF133" i="65" s="1"/>
  <c r="AO463" i="67" s="1"/>
  <c r="BF51" i="70"/>
  <c r="AM1121" i="67" s="1"/>
  <c r="Z71" i="65"/>
  <c r="Z76" i="65" s="1"/>
  <c r="AI310" i="67" s="1"/>
  <c r="AE123" i="65"/>
  <c r="AE133" i="65" s="1"/>
  <c r="AN463" i="67" s="1"/>
  <c r="BB66" i="70"/>
  <c r="BC51" i="70"/>
  <c r="AJ1121" i="67" s="1"/>
  <c r="AB124" i="65"/>
  <c r="AB134" i="65" s="1"/>
  <c r="AK464" i="67" s="1"/>
  <c r="BB52" i="70"/>
  <c r="AI1122" i="67" s="1"/>
  <c r="BB68" i="70"/>
  <c r="AI1138" i="67" s="1"/>
  <c r="Z38" i="65"/>
  <c r="Z40" i="65" s="1"/>
  <c r="AI157" i="67" s="1"/>
  <c r="AD533" i="67"/>
  <c r="BJ67" i="70"/>
  <c r="AQ1137" i="67" s="1"/>
  <c r="BD68" i="70"/>
  <c r="AK1138" i="67" s="1"/>
  <c r="AA123" i="65"/>
  <c r="AA133" i="65" s="1"/>
  <c r="AJ463" i="67" s="1"/>
  <c r="BC67" i="70"/>
  <c r="AJ1137" i="67" s="1"/>
  <c r="Z73" i="65"/>
  <c r="Z78" i="65" s="1"/>
  <c r="AI312" i="67" s="1"/>
  <c r="V38" i="65"/>
  <c r="V40" i="65" s="1"/>
  <c r="AE157" i="67" s="1"/>
  <c r="AX66" i="70"/>
  <c r="V71" i="65"/>
  <c r="V76" i="65" s="1"/>
  <c r="AE310" i="67" s="1"/>
  <c r="V15" i="65"/>
  <c r="V122" i="65"/>
  <c r="V132" i="65" s="1"/>
  <c r="AE462" i="67" s="1"/>
  <c r="Z17" i="65"/>
  <c r="AY67" i="70"/>
  <c r="AF1137" i="67" s="1"/>
  <c r="S122" i="65"/>
  <c r="S132" i="65" s="1"/>
  <c r="AB462" i="67" s="1"/>
  <c r="AF495" i="67"/>
  <c r="AF884" i="67"/>
  <c r="X72" i="65"/>
  <c r="X77" i="65" s="1"/>
  <c r="AG311" i="67" s="1"/>
  <c r="AX51" i="70"/>
  <c r="AE1121" i="67" s="1"/>
  <c r="W72" i="65"/>
  <c r="W77" i="65" s="1"/>
  <c r="AF311" i="67" s="1"/>
  <c r="Q122" i="65"/>
  <c r="Q132" i="65" s="1"/>
  <c r="Z462" i="67" s="1"/>
  <c r="P71" i="65"/>
  <c r="P76" i="65" s="1"/>
  <c r="Y310" i="67" s="1"/>
  <c r="P15" i="65"/>
  <c r="P38" i="65"/>
  <c r="P40" i="65" s="1"/>
  <c r="Y157" i="67" s="1"/>
  <c r="U124" i="65"/>
  <c r="U134" i="65" s="1"/>
  <c r="AD464" i="67" s="1"/>
  <c r="O71" i="65"/>
  <c r="O76" i="65" s="1"/>
  <c r="X310" i="67" s="1"/>
  <c r="O38" i="65"/>
  <c r="O40" i="65" s="1"/>
  <c r="X157" i="67" s="1"/>
  <c r="O15" i="65"/>
  <c r="O122" i="65"/>
  <c r="O132" i="65" s="1"/>
  <c r="X462" i="67" s="1"/>
  <c r="AA615" i="67"/>
  <c r="AF798" i="67"/>
  <c r="W16" i="65"/>
  <c r="U73" i="65"/>
  <c r="U78" i="65" s="1"/>
  <c r="AD312" i="67" s="1"/>
  <c r="T17" i="65"/>
  <c r="AR66" i="70"/>
  <c r="Q71" i="65"/>
  <c r="Q76" i="65" s="1"/>
  <c r="Z310" i="67" s="1"/>
  <c r="AZ67" i="70"/>
  <c r="AG1137" i="67" s="1"/>
  <c r="AF749" i="67"/>
  <c r="AX67" i="70"/>
  <c r="AE1137" i="67" s="1"/>
  <c r="X16" i="65"/>
  <c r="W123" i="65"/>
  <c r="W133" i="65" s="1"/>
  <c r="AF463" i="67" s="1"/>
  <c r="AS50" i="70"/>
  <c r="V72" i="65"/>
  <c r="V77" i="65" s="1"/>
  <c r="AE311" i="67" s="1"/>
  <c r="V16" i="65"/>
  <c r="AV68" i="70"/>
  <c r="AC1138" i="67" s="1"/>
  <c r="AU66" i="70"/>
  <c r="AV52" i="70"/>
  <c r="AC1122" i="67" s="1"/>
  <c r="AR50" i="70"/>
  <c r="U17" i="65"/>
  <c r="AU68" i="70"/>
  <c r="AB1138" i="67" s="1"/>
  <c r="AU52" i="70"/>
  <c r="AB1122" i="67" s="1"/>
  <c r="AS66" i="70"/>
  <c r="R16" i="65"/>
  <c r="AT51" i="70"/>
  <c r="AA1121" i="67" s="1"/>
  <c r="R72" i="65"/>
  <c r="R77" i="65" s="1"/>
  <c r="AA311" i="67" s="1"/>
  <c r="W533" i="67"/>
  <c r="W381" i="67"/>
  <c r="W685" i="67"/>
  <c r="W836" i="67"/>
  <c r="W75" i="67"/>
  <c r="W228" i="67"/>
  <c r="U478" i="67"/>
  <c r="U630" i="67"/>
  <c r="U20" i="67"/>
  <c r="U781" i="67"/>
  <c r="U173" i="67"/>
  <c r="U326" i="67"/>
  <c r="T380" i="67"/>
  <c r="T532" i="67"/>
  <c r="T227" i="67"/>
  <c r="T835" i="67"/>
  <c r="T684" i="67"/>
  <c r="T74" i="67"/>
  <c r="Q15" i="65"/>
  <c r="Q38" i="65"/>
  <c r="Q40" i="65" s="1"/>
  <c r="Z157" i="67" s="1"/>
  <c r="V123" i="65"/>
  <c r="V133" i="65" s="1"/>
  <c r="AE463" i="67" s="1"/>
  <c r="S17" i="65"/>
  <c r="T124" i="65"/>
  <c r="T134" i="65" s="1"/>
  <c r="AC464" i="67" s="1"/>
  <c r="T73" i="65"/>
  <c r="T78" i="65" s="1"/>
  <c r="AC312" i="67" s="1"/>
  <c r="AA766" i="67"/>
  <c r="S71" i="65"/>
  <c r="S76" i="65" s="1"/>
  <c r="AB310" i="67" s="1"/>
  <c r="S38" i="65"/>
  <c r="S40" i="65" s="1"/>
  <c r="AB157" i="67" s="1"/>
  <c r="S124" i="65"/>
  <c r="S134" i="65" s="1"/>
  <c r="AB464" i="67" s="1"/>
  <c r="S73" i="65"/>
  <c r="S78" i="65" s="1"/>
  <c r="AB312" i="67" s="1"/>
  <c r="AQ66" i="70"/>
  <c r="AP52" i="70"/>
  <c r="W1122" i="67" s="1"/>
  <c r="AO67" i="70"/>
  <c r="V1137" i="67" s="1"/>
  <c r="AO51" i="70"/>
  <c r="V1121" i="67" s="1"/>
  <c r="N124" i="65"/>
  <c r="N134" i="65" s="1"/>
  <c r="W464" i="67" s="1"/>
  <c r="N73" i="65"/>
  <c r="N78" i="65" s="1"/>
  <c r="W312" i="67" s="1"/>
  <c r="M16" i="65"/>
  <c r="M72" i="65"/>
  <c r="M77" i="65" s="1"/>
  <c r="V311" i="67" s="1"/>
  <c r="O429" i="67"/>
  <c r="O733" i="67"/>
  <c r="O884" i="67"/>
  <c r="O123" i="67"/>
  <c r="O581" i="67"/>
  <c r="O276" i="67"/>
  <c r="X123" i="67"/>
  <c r="AN68" i="70"/>
  <c r="U1138" i="67" s="1"/>
  <c r="N17" i="65"/>
  <c r="AN52" i="70"/>
  <c r="U1122" i="67" s="1"/>
  <c r="L17" i="65"/>
  <c r="L73" i="65"/>
  <c r="L78" i="65" s="1"/>
  <c r="U312" i="67" s="1"/>
  <c r="L124" i="65"/>
  <c r="L134" i="65" s="1"/>
  <c r="U464" i="67" s="1"/>
  <c r="G38" i="65"/>
  <c r="G40" i="65" s="1"/>
  <c r="P157" i="67" s="1"/>
  <c r="G71" i="65"/>
  <c r="G76" i="65" s="1"/>
  <c r="P310" i="67" s="1"/>
  <c r="G15" i="65"/>
  <c r="AI66" i="70"/>
  <c r="AI50" i="70"/>
  <c r="M123" i="65"/>
  <c r="M133" i="65" s="1"/>
  <c r="V463" i="67" s="1"/>
  <c r="K72" i="65"/>
  <c r="K77" i="65" s="1"/>
  <c r="T311" i="67" s="1"/>
  <c r="K123" i="65"/>
  <c r="K133" i="65" s="1"/>
  <c r="T463" i="67" s="1"/>
  <c r="K16" i="65"/>
  <c r="AM51" i="70"/>
  <c r="T1121" i="67" s="1"/>
  <c r="E15" i="65"/>
  <c r="E38" i="65"/>
  <c r="E40" i="65" s="1"/>
  <c r="N157" i="67" s="1"/>
  <c r="E71" i="65"/>
  <c r="E76" i="65" s="1"/>
  <c r="N310" i="67" s="1"/>
  <c r="AJ52" i="70"/>
  <c r="Q1122" i="67" s="1"/>
  <c r="AJ51" i="70"/>
  <c r="Q1121" i="67" s="1"/>
  <c r="Q477" i="67"/>
  <c r="Q598" i="67"/>
  <c r="Q901" i="67"/>
  <c r="AG66" i="70"/>
  <c r="H73" i="65"/>
  <c r="H78" i="65" s="1"/>
  <c r="Q312" i="67" s="1"/>
  <c r="Q381" i="67"/>
  <c r="Q629" i="67"/>
  <c r="Q446" i="67"/>
  <c r="H72" i="65"/>
  <c r="H77" i="65" s="1"/>
  <c r="Q311" i="67" s="1"/>
  <c r="AH51" i="70"/>
  <c r="O1121" i="67" s="1"/>
  <c r="AH67" i="70"/>
  <c r="O1137" i="67" s="1"/>
  <c r="H17" i="65"/>
  <c r="AW886" i="67"/>
  <c r="AW735" i="67"/>
  <c r="AW125" i="67"/>
  <c r="AW278" i="67"/>
  <c r="AW431" i="67"/>
  <c r="AW583" i="67"/>
  <c r="Q172" i="67"/>
  <c r="Q325" i="67"/>
  <c r="Q140" i="67"/>
  <c r="Q750" i="67"/>
  <c r="H16" i="65"/>
  <c r="F16" i="65"/>
  <c r="F123" i="65"/>
  <c r="F133" i="65" s="1"/>
  <c r="O463" i="67" s="1"/>
  <c r="F72" i="65"/>
  <c r="F77" i="65" s="1"/>
  <c r="O311" i="67" s="1"/>
  <c r="H124" i="65"/>
  <c r="H134" i="65" s="1"/>
  <c r="Q464" i="67" s="1"/>
  <c r="AU649" i="67"/>
  <c r="AU192" i="67"/>
  <c r="AU800" i="67"/>
  <c r="AU497" i="67"/>
  <c r="AU345" i="67"/>
  <c r="AU39" i="67"/>
  <c r="E122" i="65"/>
  <c r="E132" i="65" s="1"/>
  <c r="N462" i="67" s="1"/>
  <c r="Q293" i="67"/>
  <c r="H123" i="65"/>
  <c r="H133" i="65" s="1"/>
  <c r="Q463" i="67" s="1"/>
  <c r="AT534" i="67"/>
  <c r="AT76" i="67"/>
  <c r="AT837" i="67"/>
  <c r="AT686" i="67"/>
  <c r="AQ686" i="67"/>
  <c r="D16" i="65"/>
  <c r="D72" i="65"/>
  <c r="D77" i="65" s="1"/>
  <c r="M311" i="67" s="1"/>
  <c r="C16" i="65"/>
  <c r="C72" i="65"/>
  <c r="C77" i="65" s="1"/>
  <c r="L311" i="67" s="1"/>
  <c r="AT382" i="67"/>
  <c r="AN382" i="67"/>
  <c r="AN76" i="67"/>
  <c r="AN837" i="67"/>
  <c r="AN686" i="67"/>
  <c r="AN229" i="67"/>
  <c r="AN534" i="67"/>
  <c r="AF51" i="70"/>
  <c r="M1121" i="67" s="1"/>
  <c r="AF67" i="70"/>
  <c r="M1137" i="67" s="1"/>
  <c r="D123" i="65"/>
  <c r="D133" i="65" s="1"/>
  <c r="M463" i="67" s="1"/>
  <c r="C123" i="65"/>
  <c r="C133" i="65" s="1"/>
  <c r="L463" i="67" s="1"/>
  <c r="AM229" i="67"/>
  <c r="AM686" i="67"/>
  <c r="AM382" i="67"/>
  <c r="AM534" i="67"/>
  <c r="AM76" i="67"/>
  <c r="AM837" i="67"/>
  <c r="AR39" i="67"/>
  <c r="AR192" i="67"/>
  <c r="AR800" i="67"/>
  <c r="AH213" i="67"/>
  <c r="AH366" i="67"/>
  <c r="AH518" i="67"/>
  <c r="AH821" i="67"/>
  <c r="AH60" i="67"/>
  <c r="AR497" i="67"/>
  <c r="AO768" i="67"/>
  <c r="AR345" i="67"/>
  <c r="AK382" i="67"/>
  <c r="AK76" i="67"/>
  <c r="AK686" i="67"/>
  <c r="AK837" i="67"/>
  <c r="AK229" i="67"/>
  <c r="AK534" i="67"/>
  <c r="AJ382" i="67"/>
  <c r="AJ534" i="67"/>
  <c r="AJ229" i="67"/>
  <c r="AJ837" i="67"/>
  <c r="AJ686" i="67"/>
  <c r="AJ76" i="67"/>
  <c r="AI76" i="67"/>
  <c r="AI686" i="67"/>
  <c r="AI837" i="67"/>
  <c r="AC686" i="67"/>
  <c r="AC229" i="67"/>
  <c r="AC534" i="67"/>
  <c r="AC76" i="67"/>
  <c r="AC837" i="67"/>
  <c r="AC382" i="67"/>
  <c r="AI229" i="67"/>
  <c r="AD886" i="67"/>
  <c r="AD125" i="67"/>
  <c r="AD431" i="67"/>
  <c r="AD735" i="67"/>
  <c r="AD583" i="67"/>
  <c r="AD278" i="67"/>
  <c r="AI534" i="67"/>
  <c r="Z534" i="67"/>
  <c r="Z76" i="67"/>
  <c r="Z174" i="67"/>
  <c r="U686" i="67"/>
  <c r="U229" i="67"/>
  <c r="U534" i="67"/>
  <c r="U382" i="67"/>
  <c r="U76" i="67"/>
  <c r="U837" i="67"/>
  <c r="W534" i="67"/>
  <c r="W382" i="67"/>
  <c r="W686" i="67"/>
  <c r="W837" i="67"/>
  <c r="W229" i="67"/>
  <c r="W76" i="67"/>
  <c r="T686" i="67"/>
  <c r="T534" i="67"/>
  <c r="T76" i="67"/>
  <c r="T229" i="67"/>
  <c r="T382" i="67"/>
  <c r="T837" i="67"/>
  <c r="Q837" i="67"/>
  <c r="Q76" i="67"/>
  <c r="Q686" i="67"/>
  <c r="O518" i="67"/>
  <c r="O60" i="67"/>
  <c r="O214" i="67"/>
  <c r="O822" i="67"/>
  <c r="O367" i="67"/>
  <c r="O671" i="67"/>
  <c r="O61" i="67"/>
  <c r="O519" i="67"/>
  <c r="O768" i="67"/>
  <c r="O617" i="67"/>
  <c r="Q534" i="67"/>
  <c r="Q229" i="67"/>
  <c r="N382" i="67"/>
  <c r="N76" i="67"/>
  <c r="N229" i="67"/>
  <c r="N837" i="67"/>
  <c r="N534" i="67"/>
  <c r="N686" i="67"/>
  <c r="M174" i="67"/>
  <c r="M782" i="67"/>
  <c r="M631" i="67"/>
  <c r="M21" i="67"/>
  <c r="M327" i="67"/>
  <c r="M479" i="67"/>
  <c r="AD54" i="70"/>
  <c r="K973" i="67" s="1"/>
  <c r="B126" i="65"/>
  <c r="B136" i="65" s="1"/>
  <c r="K466" i="67" s="1"/>
  <c r="B125" i="65"/>
  <c r="B135" i="65" s="1"/>
  <c r="K465" i="67" s="1"/>
  <c r="AD69" i="70"/>
  <c r="K988" i="67" s="1"/>
  <c r="B74" i="65"/>
  <c r="B79" i="65" s="1"/>
  <c r="K313" i="67" s="1"/>
  <c r="AD53" i="70"/>
  <c r="K972" i="67" s="1"/>
  <c r="B197" i="65"/>
  <c r="B198" i="65" s="1"/>
  <c r="B18" i="65"/>
  <c r="AQ67" i="70" l="1"/>
  <c r="X1137" i="67" s="1"/>
  <c r="J15" i="65"/>
  <c r="E159" i="65"/>
  <c r="O159" i="65"/>
  <c r="O171" i="65" s="1"/>
  <c r="X667" i="67" s="1"/>
  <c r="AS1340" i="67"/>
  <c r="O1339" i="67"/>
  <c r="AR1254" i="67"/>
  <c r="T1290" i="67"/>
  <c r="W1291" i="67"/>
  <c r="Q1356" i="67"/>
  <c r="U1236" i="67"/>
  <c r="Q1235" i="67"/>
  <c r="AJ1339" i="67"/>
  <c r="BD50" i="70"/>
  <c r="AB159" i="65" s="1"/>
  <c r="AS67" i="70"/>
  <c r="Z1137" i="67" s="1"/>
  <c r="AG22" i="65"/>
  <c r="R73" i="65"/>
  <c r="R78" i="65" s="1"/>
  <c r="AA312" i="67" s="1"/>
  <c r="V159" i="65"/>
  <c r="V171" i="65" s="1"/>
  <c r="AE667" i="67" s="1"/>
  <c r="K1139" i="67"/>
  <c r="K1124" i="67"/>
  <c r="K1123" i="67"/>
  <c r="AB122" i="65"/>
  <c r="AB132" i="65" s="1"/>
  <c r="AK462" i="67" s="1"/>
  <c r="Q16" i="65"/>
  <c r="Q21" i="65" s="1"/>
  <c r="O72" i="65"/>
  <c r="O77" i="65" s="1"/>
  <c r="X311" i="67" s="1"/>
  <c r="O16" i="65"/>
  <c r="O21" i="65" s="1"/>
  <c r="O123" i="65"/>
  <c r="O133" i="65" s="1"/>
  <c r="X463" i="67" s="1"/>
  <c r="Q72" i="65"/>
  <c r="Q77" i="65" s="1"/>
  <c r="Z311" i="67" s="1"/>
  <c r="U38" i="65"/>
  <c r="U40" i="65" s="1"/>
  <c r="AD157" i="67" s="1"/>
  <c r="AD779" i="67"/>
  <c r="BO51" i="70"/>
  <c r="AM160" i="65" s="1"/>
  <c r="AM172" i="65" s="1"/>
  <c r="AV668" i="67" s="1"/>
  <c r="AV780" i="67"/>
  <c r="AL66" i="70"/>
  <c r="S1136" i="67" s="1"/>
  <c r="S779" i="67"/>
  <c r="AA38" i="65"/>
  <c r="AA40" i="65" s="1"/>
  <c r="AJ157" i="67" s="1"/>
  <c r="AJ779" i="67"/>
  <c r="U71" i="65"/>
  <c r="U76" i="65" s="1"/>
  <c r="AD310" i="67" s="1"/>
  <c r="J122" i="65"/>
  <c r="J132" i="65" s="1"/>
  <c r="S462" i="67" s="1"/>
  <c r="J71" i="65"/>
  <c r="J76" i="65" s="1"/>
  <c r="S310" i="67" s="1"/>
  <c r="AN73" i="65"/>
  <c r="AN78" i="65" s="1"/>
  <c r="AW312" i="67" s="1"/>
  <c r="AW50" i="70"/>
  <c r="U159" i="65" s="1"/>
  <c r="U122" i="65"/>
  <c r="U132" i="65" s="1"/>
  <c r="AD462" i="67" s="1"/>
  <c r="BP68" i="70"/>
  <c r="AW1138" i="67" s="1"/>
  <c r="AN17" i="65"/>
  <c r="AN22" i="65" s="1"/>
  <c r="AT52" i="70"/>
  <c r="AA1122" i="67" s="1"/>
  <c r="AW66" i="70"/>
  <c r="AD1136" i="67" s="1"/>
  <c r="U15" i="65"/>
  <c r="U20" i="65" s="1"/>
  <c r="BP52" i="70"/>
  <c r="AW1122" i="67" s="1"/>
  <c r="U161" i="65"/>
  <c r="U173" i="65" s="1"/>
  <c r="AD669" i="67" s="1"/>
  <c r="R17" i="65"/>
  <c r="R22" i="65" s="1"/>
  <c r="P1120" i="67"/>
  <c r="X1136" i="67"/>
  <c r="Z1136" i="67"/>
  <c r="Y1120" i="67"/>
  <c r="AI1136" i="67"/>
  <c r="AI1120" i="67"/>
  <c r="AQ1136" i="67"/>
  <c r="AB1120" i="67"/>
  <c r="G72" i="65"/>
  <c r="G77" i="65" s="1"/>
  <c r="P311" i="67" s="1"/>
  <c r="P1068" i="67"/>
  <c r="P1100" i="67"/>
  <c r="P1082" i="67"/>
  <c r="P1186" i="67"/>
  <c r="P1202" i="67"/>
  <c r="AH66" i="70"/>
  <c r="O1067" i="67"/>
  <c r="O1099" i="67"/>
  <c r="O1081" i="67"/>
  <c r="O1201" i="67"/>
  <c r="O1185" i="67"/>
  <c r="K38" i="65"/>
  <c r="K40" i="65" s="1"/>
  <c r="T157" i="67" s="1"/>
  <c r="T1067" i="67"/>
  <c r="T1081" i="67"/>
  <c r="T1099" i="67"/>
  <c r="T1185" i="67"/>
  <c r="T1201" i="67"/>
  <c r="Y1068" i="67"/>
  <c r="Y1100" i="67"/>
  <c r="Y1082" i="67"/>
  <c r="Y1202" i="67"/>
  <c r="Y1186" i="67"/>
  <c r="S1068" i="67"/>
  <c r="S1082" i="67"/>
  <c r="S1100" i="67"/>
  <c r="S1186" i="67"/>
  <c r="S1202" i="67"/>
  <c r="Y124" i="65"/>
  <c r="Y134" i="65" s="1"/>
  <c r="AH464" i="67" s="1"/>
  <c r="AH1069" i="67"/>
  <c r="AH1083" i="67"/>
  <c r="AH1101" i="67"/>
  <c r="AH1187" i="67"/>
  <c r="AH1203" i="67"/>
  <c r="AT68" i="70"/>
  <c r="AA1138" i="67" s="1"/>
  <c r="AA1291" i="67" s="1"/>
  <c r="AA1069" i="67"/>
  <c r="AA1101" i="67"/>
  <c r="AA1083" i="67"/>
  <c r="AA1187" i="67"/>
  <c r="AA1203" i="67"/>
  <c r="AD1067" i="67"/>
  <c r="AD1081" i="67"/>
  <c r="AD1099" i="67"/>
  <c r="AD1185" i="67"/>
  <c r="AD1201" i="67"/>
  <c r="AW1069" i="67"/>
  <c r="AW1083" i="67"/>
  <c r="AW1101" i="67"/>
  <c r="AW1187" i="67"/>
  <c r="AW1203" i="67"/>
  <c r="W1068" i="67"/>
  <c r="W1082" i="67"/>
  <c r="W1100" i="67"/>
  <c r="W1186" i="67"/>
  <c r="W1202" i="67"/>
  <c r="AD73" i="65"/>
  <c r="AD78" i="65" s="1"/>
  <c r="AM312" i="67" s="1"/>
  <c r="AM1083" i="67"/>
  <c r="AM1101" i="67"/>
  <c r="AM1069" i="67"/>
  <c r="AM1187" i="67"/>
  <c r="AM1203" i="67"/>
  <c r="P1069" i="67"/>
  <c r="P1083" i="67"/>
  <c r="P1101" i="67"/>
  <c r="P1187" i="67"/>
  <c r="P1203" i="67"/>
  <c r="AG1067" i="67"/>
  <c r="AG1099" i="67"/>
  <c r="AG1081" i="67"/>
  <c r="AG1185" i="67"/>
  <c r="AG1201" i="67"/>
  <c r="AP1081" i="67"/>
  <c r="AP1099" i="67"/>
  <c r="AP1067" i="67"/>
  <c r="AP1185" i="67"/>
  <c r="AP1201" i="67"/>
  <c r="BO67" i="70"/>
  <c r="AV1137" i="67" s="1"/>
  <c r="AV1290" i="67" s="1"/>
  <c r="AV1068" i="67"/>
  <c r="AV1082" i="67"/>
  <c r="AV1100" i="67"/>
  <c r="AV1186" i="67"/>
  <c r="AV1202" i="67"/>
  <c r="AE122" i="65"/>
  <c r="AE132" i="65" s="1"/>
  <c r="AN462" i="67" s="1"/>
  <c r="AN1067" i="67"/>
  <c r="AN1081" i="67"/>
  <c r="AN1099" i="67"/>
  <c r="AN1185" i="67"/>
  <c r="AN1201" i="67"/>
  <c r="N1136" i="67"/>
  <c r="P1136" i="67"/>
  <c r="Y1136" i="67"/>
  <c r="AE1136" i="67"/>
  <c r="AF1136" i="67"/>
  <c r="AF1120" i="67"/>
  <c r="AO1120" i="67"/>
  <c r="AQ1120" i="67"/>
  <c r="V1067" i="67"/>
  <c r="V1081" i="67"/>
  <c r="V1099" i="67"/>
  <c r="V1185" i="67"/>
  <c r="V1201" i="67"/>
  <c r="M1067" i="67"/>
  <c r="M1081" i="67"/>
  <c r="M1099" i="67"/>
  <c r="M1185" i="67"/>
  <c r="M1201" i="67"/>
  <c r="Q1067" i="67"/>
  <c r="Q1081" i="67"/>
  <c r="Q1099" i="67"/>
  <c r="Q1185" i="67"/>
  <c r="Q1201" i="67"/>
  <c r="T1069" i="67"/>
  <c r="T1083" i="67"/>
  <c r="T1101" i="67"/>
  <c r="T1187" i="67"/>
  <c r="T1203" i="67"/>
  <c r="Y1069" i="67"/>
  <c r="Y1083" i="67"/>
  <c r="Y1101" i="67"/>
  <c r="Y1187" i="67"/>
  <c r="Y1203" i="67"/>
  <c r="AH1067" i="67"/>
  <c r="AH1081" i="67"/>
  <c r="AH1099" i="67"/>
  <c r="AH1185" i="67"/>
  <c r="AH1201" i="67"/>
  <c r="AL1067" i="67"/>
  <c r="AL1081" i="67"/>
  <c r="AL1099" i="67"/>
  <c r="AL1185" i="67"/>
  <c r="AL1201" i="67"/>
  <c r="AL50" i="70"/>
  <c r="S1081" i="67"/>
  <c r="S1099" i="67"/>
  <c r="S1067" i="67"/>
  <c r="S1201" i="67"/>
  <c r="S1185" i="67"/>
  <c r="R1067" i="67"/>
  <c r="R1081" i="67"/>
  <c r="R1099" i="67"/>
  <c r="R1185" i="67"/>
  <c r="R1201" i="67"/>
  <c r="AA1099" i="67"/>
  <c r="AA1081" i="67"/>
  <c r="AA1067" i="67"/>
  <c r="AA1185" i="67"/>
  <c r="AA1201" i="67"/>
  <c r="AG1069" i="67"/>
  <c r="AG1083" i="67"/>
  <c r="AG1101" i="67"/>
  <c r="AG1187" i="67"/>
  <c r="AG1203" i="67"/>
  <c r="AW1067" i="67"/>
  <c r="AW1081" i="67"/>
  <c r="AW1099" i="67"/>
  <c r="AW1185" i="67"/>
  <c r="AW1201" i="67"/>
  <c r="W1067" i="67"/>
  <c r="W1099" i="67"/>
  <c r="W1081" i="67"/>
  <c r="W1185" i="67"/>
  <c r="W1201" i="67"/>
  <c r="BF50" i="70"/>
  <c r="AD159" i="65" s="1"/>
  <c r="AM1067" i="67"/>
  <c r="AM1099" i="67"/>
  <c r="AM1081" i="67"/>
  <c r="AM1185" i="67"/>
  <c r="AM1201" i="67"/>
  <c r="AG68" i="70"/>
  <c r="N1138" i="67" s="1"/>
  <c r="N1069" i="67"/>
  <c r="N1101" i="67"/>
  <c r="N1083" i="67"/>
  <c r="N1187" i="67"/>
  <c r="N1203" i="67"/>
  <c r="AA71" i="65"/>
  <c r="AA76" i="65" s="1"/>
  <c r="AJ310" i="67" s="1"/>
  <c r="AJ1067" i="67"/>
  <c r="AJ1081" i="67"/>
  <c r="AJ1099" i="67"/>
  <c r="AJ1185" i="67"/>
  <c r="AJ1201" i="67"/>
  <c r="BN68" i="70"/>
  <c r="AU1138" i="67" s="1"/>
  <c r="AU1101" i="67"/>
  <c r="AU1069" i="67"/>
  <c r="AU1083" i="67"/>
  <c r="AU1187" i="67"/>
  <c r="AU1203" i="67"/>
  <c r="AE1101" i="67"/>
  <c r="AE1083" i="67"/>
  <c r="AE1069" i="67"/>
  <c r="AE1187" i="67"/>
  <c r="AE1203" i="67"/>
  <c r="AV1067" i="67"/>
  <c r="AV1081" i="67"/>
  <c r="AV1099" i="67"/>
  <c r="AV1185" i="67"/>
  <c r="AV1201" i="67"/>
  <c r="AE1120" i="67"/>
  <c r="AB1136" i="67"/>
  <c r="Z1120" i="67"/>
  <c r="M1069" i="67"/>
  <c r="M1083" i="67"/>
  <c r="M1101" i="67"/>
  <c r="M1187" i="67"/>
  <c r="M1203" i="67"/>
  <c r="M124" i="65"/>
  <c r="M134" i="65" s="1"/>
  <c r="V464" i="67" s="1"/>
  <c r="V1069" i="67"/>
  <c r="V1083" i="67"/>
  <c r="V1101" i="67"/>
  <c r="V1187" i="67"/>
  <c r="V1203" i="67"/>
  <c r="AQ51" i="70"/>
  <c r="X1121" i="67" s="1"/>
  <c r="X1068" i="67"/>
  <c r="X1082" i="67"/>
  <c r="X1100" i="67"/>
  <c r="X1186" i="67"/>
  <c r="X1202" i="67"/>
  <c r="Q123" i="65"/>
  <c r="Q133" i="65" s="1"/>
  <c r="Z463" i="67" s="1"/>
  <c r="Z1068" i="67"/>
  <c r="Z1082" i="67"/>
  <c r="Z1100" i="67"/>
  <c r="Z1186" i="67"/>
  <c r="Z1202" i="67"/>
  <c r="BE52" i="70"/>
  <c r="AL1069" i="67"/>
  <c r="AL1083" i="67"/>
  <c r="AL1101" i="67"/>
  <c r="AL1187" i="67"/>
  <c r="AL1203" i="67"/>
  <c r="AI71" i="65"/>
  <c r="AI76" i="65" s="1"/>
  <c r="AR310" i="67" s="1"/>
  <c r="AR1067" i="67"/>
  <c r="AR1081" i="67"/>
  <c r="AR1099" i="67"/>
  <c r="AR1185" i="67"/>
  <c r="AR1201" i="67"/>
  <c r="S1069" i="67"/>
  <c r="S1101" i="67"/>
  <c r="S1083" i="67"/>
  <c r="S1187" i="67"/>
  <c r="S1203" i="67"/>
  <c r="AK67" i="70"/>
  <c r="R1137" i="67" s="1"/>
  <c r="R1068" i="67"/>
  <c r="R1082" i="67"/>
  <c r="R1100" i="67"/>
  <c r="R1186" i="67"/>
  <c r="R1202" i="67"/>
  <c r="AD1068" i="67"/>
  <c r="AD1082" i="67"/>
  <c r="AD1100" i="67"/>
  <c r="AD1186" i="67"/>
  <c r="AD1202" i="67"/>
  <c r="AT1068" i="67"/>
  <c r="AT1082" i="67"/>
  <c r="AT1100" i="67"/>
  <c r="AT1186" i="67"/>
  <c r="AT1202" i="67"/>
  <c r="AI1068" i="67"/>
  <c r="AI1082" i="67"/>
  <c r="AI1100" i="67"/>
  <c r="AI1186" i="67"/>
  <c r="AI1202" i="67"/>
  <c r="AJ16" i="65"/>
  <c r="AS5" i="67" s="1"/>
  <c r="AS1082" i="67"/>
  <c r="AS1100" i="67"/>
  <c r="AS1068" i="67"/>
  <c r="AS1186" i="67"/>
  <c r="AS1202" i="67"/>
  <c r="U1100" i="67"/>
  <c r="U1068" i="67"/>
  <c r="U1082" i="67"/>
  <c r="U1186" i="67"/>
  <c r="U1202" i="67"/>
  <c r="AO1069" i="67"/>
  <c r="AO1101" i="67"/>
  <c r="AO1083" i="67"/>
  <c r="AO1187" i="67"/>
  <c r="AO1203" i="67"/>
  <c r="AS1067" i="67"/>
  <c r="AS1099" i="67"/>
  <c r="AS1081" i="67"/>
  <c r="AS1185" i="67"/>
  <c r="AS1201" i="67"/>
  <c r="AF1069" i="67"/>
  <c r="AF1083" i="67"/>
  <c r="AF1101" i="67"/>
  <c r="AF1187" i="67"/>
  <c r="AF1203" i="67"/>
  <c r="AE52" i="70"/>
  <c r="L1122" i="67" s="1"/>
  <c r="L1069" i="67"/>
  <c r="L1083" i="67"/>
  <c r="L1101" i="67"/>
  <c r="L1187" i="67"/>
  <c r="L1203" i="67"/>
  <c r="C160" i="65"/>
  <c r="C172" i="65" s="1"/>
  <c r="L668" i="67" s="1"/>
  <c r="L1121" i="67"/>
  <c r="AU1136" i="67"/>
  <c r="AO1136" i="67"/>
  <c r="AU1120" i="67"/>
  <c r="N1068" i="67"/>
  <c r="N1082" i="67"/>
  <c r="N1100" i="67"/>
  <c r="N1186" i="67"/>
  <c r="N1202" i="67"/>
  <c r="F73" i="65"/>
  <c r="F78" i="65" s="1"/>
  <c r="O312" i="67" s="1"/>
  <c r="O1101" i="67"/>
  <c r="O1083" i="67"/>
  <c r="O1069" i="67"/>
  <c r="O1187" i="67"/>
  <c r="O1203" i="67"/>
  <c r="U1067" i="67"/>
  <c r="U1081" i="67"/>
  <c r="U1099" i="67"/>
  <c r="U1185" i="67"/>
  <c r="U1201" i="67"/>
  <c r="AQ68" i="70"/>
  <c r="X1138" i="67" s="1"/>
  <c r="X1069" i="67"/>
  <c r="X1083" i="67"/>
  <c r="X1101" i="67"/>
  <c r="X1187" i="67"/>
  <c r="X1203" i="67"/>
  <c r="Z1069" i="67"/>
  <c r="Z1083" i="67"/>
  <c r="Z1101" i="67"/>
  <c r="Z1187" i="67"/>
  <c r="Z1203" i="67"/>
  <c r="AR1068" i="67"/>
  <c r="AR1082" i="67"/>
  <c r="AR1100" i="67"/>
  <c r="AR1186" i="67"/>
  <c r="AR1202" i="67"/>
  <c r="AC1082" i="67"/>
  <c r="AC1100" i="67"/>
  <c r="AC1068" i="67"/>
  <c r="AC1186" i="67"/>
  <c r="AC1202" i="67"/>
  <c r="I17" i="65"/>
  <c r="I22" i="65" s="1"/>
  <c r="R1069" i="67"/>
  <c r="R1083" i="67"/>
  <c r="R1101" i="67"/>
  <c r="R1187" i="67"/>
  <c r="R1203" i="67"/>
  <c r="AC1067" i="67"/>
  <c r="AC1081" i="67"/>
  <c r="AC1099" i="67"/>
  <c r="AC1185" i="67"/>
  <c r="AC1201" i="67"/>
  <c r="AL16" i="65"/>
  <c r="AL21" i="65" s="1"/>
  <c r="AU1068" i="67"/>
  <c r="AU1082" i="67"/>
  <c r="AU1100" i="67"/>
  <c r="AU1186" i="67"/>
  <c r="AU1202" i="67"/>
  <c r="X160" i="65"/>
  <c r="X172" i="65" s="1"/>
  <c r="AG668" i="67" s="1"/>
  <c r="AG1121" i="67"/>
  <c r="C71" i="65"/>
  <c r="C76" i="65" s="1"/>
  <c r="L310" i="67" s="1"/>
  <c r="L1067" i="67"/>
  <c r="L1081" i="67"/>
  <c r="L1099" i="67"/>
  <c r="L1185" i="67"/>
  <c r="L1201" i="67"/>
  <c r="AJ1069" i="67"/>
  <c r="AJ1083" i="67"/>
  <c r="AJ1101" i="67"/>
  <c r="AJ1187" i="67"/>
  <c r="AJ1203" i="67"/>
  <c r="AT1067" i="67"/>
  <c r="AT1081" i="67"/>
  <c r="AT1099" i="67"/>
  <c r="AT1185" i="67"/>
  <c r="AT1201" i="67"/>
  <c r="AB1068" i="67"/>
  <c r="AB1082" i="67"/>
  <c r="AB1100" i="67"/>
  <c r="AB1186" i="67"/>
  <c r="AB1202" i="67"/>
  <c r="AP1068" i="67"/>
  <c r="AP1082" i="67"/>
  <c r="AP1100" i="67"/>
  <c r="AP1186" i="67"/>
  <c r="AP1202" i="67"/>
  <c r="BG68" i="70"/>
  <c r="AN1138" i="67" s="1"/>
  <c r="AN1069" i="67"/>
  <c r="AN1083" i="67"/>
  <c r="AN1101" i="67"/>
  <c r="AN1187" i="67"/>
  <c r="AN1203" i="67"/>
  <c r="AB72" i="65"/>
  <c r="AB77" i="65" s="1"/>
  <c r="AK311" i="67" s="1"/>
  <c r="AK1100" i="67"/>
  <c r="AK1068" i="67"/>
  <c r="AK1082" i="67"/>
  <c r="AK1202" i="67"/>
  <c r="AK1186" i="67"/>
  <c r="AB15" i="65"/>
  <c r="AK4" i="67" s="1"/>
  <c r="AK1067" i="67"/>
  <c r="AK1081" i="67"/>
  <c r="AK1099" i="67"/>
  <c r="AK1185" i="67"/>
  <c r="AK1201" i="67"/>
  <c r="N1120" i="67"/>
  <c r="X1120" i="67"/>
  <c r="AS51" i="70"/>
  <c r="Z1121" i="67" s="1"/>
  <c r="AI67" i="70"/>
  <c r="P1137" i="67" s="1"/>
  <c r="M17" i="65"/>
  <c r="M22" i="65" s="1"/>
  <c r="AO68" i="70"/>
  <c r="V1138" i="67" s="1"/>
  <c r="G123" i="65"/>
  <c r="G133" i="65" s="1"/>
  <c r="P463" i="67" s="1"/>
  <c r="M73" i="65"/>
  <c r="M78" i="65" s="1"/>
  <c r="V312" i="67" s="1"/>
  <c r="AC124" i="65"/>
  <c r="AC134" i="65" s="1"/>
  <c r="AL464" i="67" s="1"/>
  <c r="AW311" i="67"/>
  <c r="AG52" i="70"/>
  <c r="N1122" i="67" s="1"/>
  <c r="BG66" i="70"/>
  <c r="AL17" i="65"/>
  <c r="AL22" i="65" s="1"/>
  <c r="AB71" i="65"/>
  <c r="AB76" i="65" s="1"/>
  <c r="AK310" i="67" s="1"/>
  <c r="AJ72" i="65"/>
  <c r="AJ77" i="65" s="1"/>
  <c r="AS311" i="67" s="1"/>
  <c r="AE71" i="65"/>
  <c r="AE76" i="65" s="1"/>
  <c r="AN310" i="67" s="1"/>
  <c r="E124" i="65"/>
  <c r="E134" i="65" s="1"/>
  <c r="N464" i="67" s="1"/>
  <c r="Z16" i="65"/>
  <c r="Z21" i="65" s="1"/>
  <c r="AL124" i="65"/>
  <c r="AL134" i="65" s="1"/>
  <c r="AU464" i="67" s="1"/>
  <c r="E73" i="65"/>
  <c r="E78" i="65" s="1"/>
  <c r="N312" i="67" s="1"/>
  <c r="BB51" i="70"/>
  <c r="AL73" i="65"/>
  <c r="AL78" i="65" s="1"/>
  <c r="AU312" i="67" s="1"/>
  <c r="E17" i="65"/>
  <c r="E22" i="65" s="1"/>
  <c r="BC66" i="70"/>
  <c r="AA15" i="65"/>
  <c r="AA20" i="65" s="1"/>
  <c r="AA122" i="65"/>
  <c r="AA132" i="65" s="1"/>
  <c r="AJ462" i="67" s="1"/>
  <c r="AJ123" i="65"/>
  <c r="AJ133" i="65" s="1"/>
  <c r="AS463" i="67" s="1"/>
  <c r="AE38" i="65"/>
  <c r="AE40" i="65" s="1"/>
  <c r="AN157" i="67" s="1"/>
  <c r="BG50" i="70"/>
  <c r="AM72" i="65"/>
  <c r="AM77" i="65" s="1"/>
  <c r="AV311" i="67" s="1"/>
  <c r="Z123" i="65"/>
  <c r="Z133" i="65" s="1"/>
  <c r="AI463" i="67" s="1"/>
  <c r="BN52" i="70"/>
  <c r="K71" i="65"/>
  <c r="K76" i="65" s="1"/>
  <c r="T310" i="67" s="1"/>
  <c r="BD51" i="70"/>
  <c r="BC50" i="70"/>
  <c r="BD66" i="70"/>
  <c r="AB38" i="65"/>
  <c r="AB40" i="65" s="1"/>
  <c r="AK157" i="67" s="1"/>
  <c r="AE15" i="65"/>
  <c r="AE20" i="65" s="1"/>
  <c r="AM123" i="65"/>
  <c r="AM133" i="65" s="1"/>
  <c r="AV463" i="67" s="1"/>
  <c r="AM16" i="65"/>
  <c r="AM21" i="65" s="1"/>
  <c r="AC17" i="65"/>
  <c r="AC22" i="65" s="1"/>
  <c r="AC73" i="65"/>
  <c r="AC78" i="65" s="1"/>
  <c r="AL312" i="67" s="1"/>
  <c r="AI38" i="65"/>
  <c r="AI40" i="65" s="1"/>
  <c r="AR157" i="67" s="1"/>
  <c r="BE68" i="70"/>
  <c r="AL1138" i="67" s="1"/>
  <c r="AE21" i="65"/>
  <c r="AE17" i="65"/>
  <c r="AE22" i="65" s="1"/>
  <c r="I72" i="65"/>
  <c r="I77" i="65" s="1"/>
  <c r="R311" i="67" s="1"/>
  <c r="AD70" i="70"/>
  <c r="K989" i="67" s="1"/>
  <c r="E171" i="65"/>
  <c r="N667" i="67" s="1"/>
  <c r="X19" i="67"/>
  <c r="X884" i="67"/>
  <c r="X429" i="67"/>
  <c r="AG292" i="67"/>
  <c r="AG749" i="67"/>
  <c r="S159" i="65"/>
  <c r="AR533" i="67"/>
  <c r="Q835" i="67"/>
  <c r="Q532" i="67"/>
  <c r="Z292" i="67"/>
  <c r="AN21" i="65"/>
  <c r="AW5" i="67"/>
  <c r="AH22" i="65"/>
  <c r="AQ6" i="67"/>
  <c r="U22" i="65"/>
  <c r="AD6" i="67"/>
  <c r="X21" i="65"/>
  <c r="AG5" i="67"/>
  <c r="D21" i="65"/>
  <c r="M5" i="67"/>
  <c r="P20" i="65"/>
  <c r="Y4" i="67"/>
  <c r="AH21" i="65"/>
  <c r="AQ5" i="67"/>
  <c r="AA21" i="65"/>
  <c r="AJ5" i="67"/>
  <c r="AB22" i="65"/>
  <c r="AK6" i="67"/>
  <c r="AJ22" i="65"/>
  <c r="AS6" i="67"/>
  <c r="AO597" i="67"/>
  <c r="X71" i="65"/>
  <c r="X76" i="65" s="1"/>
  <c r="AG310" i="67" s="1"/>
  <c r="AG189" i="67"/>
  <c r="BI66" i="70"/>
  <c r="AE73" i="65"/>
  <c r="AE78" i="65" s="1"/>
  <c r="AN312" i="67" s="1"/>
  <c r="AN293" i="67"/>
  <c r="BG52" i="70"/>
  <c r="AE124" i="65"/>
  <c r="AE134" i="65" s="1"/>
  <c r="AN464" i="67" s="1"/>
  <c r="BD67" i="70"/>
  <c r="AK1137" i="67" s="1"/>
  <c r="AK429" i="67"/>
  <c r="AB123" i="65"/>
  <c r="AB133" i="65" s="1"/>
  <c r="AK463" i="67" s="1"/>
  <c r="AB16" i="65"/>
  <c r="C17" i="65"/>
  <c r="L6" i="67" s="1"/>
  <c r="C73" i="65"/>
  <c r="C78" i="65" s="1"/>
  <c r="L312" i="67" s="1"/>
  <c r="AE68" i="70"/>
  <c r="L1138" i="67" s="1"/>
  <c r="C124" i="65"/>
  <c r="C134" i="65" s="1"/>
  <c r="L464" i="67" s="1"/>
  <c r="H21" i="65"/>
  <c r="Q5" i="67"/>
  <c r="B23" i="65"/>
  <c r="K7" i="67"/>
  <c r="X581" i="67"/>
  <c r="W21" i="65"/>
  <c r="AF5" i="67"/>
  <c r="AG597" i="67"/>
  <c r="P229" i="67"/>
  <c r="BE66" i="70"/>
  <c r="AC15" i="65"/>
  <c r="Q382" i="67"/>
  <c r="J16" i="65"/>
  <c r="AK68" i="70"/>
  <c r="AV66" i="70"/>
  <c r="T38" i="65"/>
  <c r="T40" i="65" s="1"/>
  <c r="AC157" i="67" s="1"/>
  <c r="AL72" i="65"/>
  <c r="AL77" i="65" s="1"/>
  <c r="AU311" i="67" s="1"/>
  <c r="AO227" i="67"/>
  <c r="G20" i="65"/>
  <c r="P4" i="67"/>
  <c r="L22" i="65"/>
  <c r="U6" i="67"/>
  <c r="M21" i="65"/>
  <c r="V5" i="67"/>
  <c r="S22" i="65"/>
  <c r="AB6" i="67"/>
  <c r="Q20" i="65"/>
  <c r="Z4" i="67"/>
  <c r="Z1220" i="67" s="1"/>
  <c r="R21" i="65"/>
  <c r="AA5" i="67"/>
  <c r="AA1221" i="67" s="1"/>
  <c r="AD21" i="65"/>
  <c r="AM5" i="67"/>
  <c r="AH20" i="65"/>
  <c r="AQ4" i="67"/>
  <c r="AR649" i="67"/>
  <c r="AJ798" i="67"/>
  <c r="S20" i="65"/>
  <c r="AB4" i="67"/>
  <c r="Z20" i="65"/>
  <c r="AI4" i="67"/>
  <c r="AT229" i="67"/>
  <c r="AI382" i="67"/>
  <c r="AA227" i="67"/>
  <c r="H22" i="65"/>
  <c r="Q6" i="67"/>
  <c r="E20" i="65"/>
  <c r="N4" i="67"/>
  <c r="J20" i="65"/>
  <c r="S4" i="67"/>
  <c r="N22" i="65"/>
  <c r="W6" i="67"/>
  <c r="O20" i="65"/>
  <c r="X4" i="67"/>
  <c r="Z22" i="65"/>
  <c r="AI6" i="67"/>
  <c r="V20" i="65"/>
  <c r="AE4" i="67"/>
  <c r="Y21" i="65"/>
  <c r="AH5" i="67"/>
  <c r="AH1221" i="67" s="1"/>
  <c r="AL20" i="65"/>
  <c r="AU4" i="67"/>
  <c r="AM22" i="65"/>
  <c r="AV6" i="67"/>
  <c r="X684" i="67"/>
  <c r="AL533" i="67"/>
  <c r="AT191" i="67"/>
  <c r="L380" i="67"/>
  <c r="AI800" i="67"/>
  <c r="W781" i="67"/>
  <c r="AJ886" i="67"/>
  <c r="C21" i="65"/>
  <c r="L5" i="67"/>
  <c r="F21" i="65"/>
  <c r="O5" i="67"/>
  <c r="K21" i="65"/>
  <c r="T5" i="67"/>
  <c r="V21" i="65"/>
  <c r="AE5" i="67"/>
  <c r="T22" i="65"/>
  <c r="AC6" i="67"/>
  <c r="W20" i="65"/>
  <c r="AF4" i="67"/>
  <c r="AF21" i="65"/>
  <c r="AO5" i="67"/>
  <c r="AC21" i="65"/>
  <c r="AL5" i="67"/>
  <c r="AF20" i="65"/>
  <c r="AO4" i="67"/>
  <c r="AK22" i="65"/>
  <c r="AT6" i="67"/>
  <c r="AI22" i="65"/>
  <c r="AR6" i="67"/>
  <c r="AF581" i="67"/>
  <c r="AF445" i="67"/>
  <c r="AD75" i="67"/>
  <c r="AI733" i="67"/>
  <c r="O821" i="67"/>
  <c r="Z382" i="67"/>
  <c r="AR837" i="67"/>
  <c r="AG229" i="67"/>
  <c r="N650" i="67"/>
  <c r="Z229" i="67"/>
  <c r="AG534" i="67"/>
  <c r="AG686" i="67"/>
  <c r="L16" i="65"/>
  <c r="AN51" i="70"/>
  <c r="U1121" i="67" s="1"/>
  <c r="AR685" i="67"/>
  <c r="W630" i="67"/>
  <c r="AM71" i="65"/>
  <c r="AM76" i="65" s="1"/>
  <c r="AV310" i="67" s="1"/>
  <c r="AJ15" i="65"/>
  <c r="AL75" i="67"/>
  <c r="AL381" i="67"/>
  <c r="AL228" i="67"/>
  <c r="AD582" i="67"/>
  <c r="AD124" i="67"/>
  <c r="AD430" i="67"/>
  <c r="AD885" i="67"/>
  <c r="M15" i="65"/>
  <c r="AT228" i="67"/>
  <c r="AT533" i="67"/>
  <c r="AE50" i="70"/>
  <c r="C122" i="65"/>
  <c r="C132" i="65" s="1"/>
  <c r="L462" i="67" s="1"/>
  <c r="C38" i="65"/>
  <c r="C40" i="65" s="1"/>
  <c r="L157" i="67" s="1"/>
  <c r="L765" i="67"/>
  <c r="C15" i="65"/>
  <c r="AK71" i="65"/>
  <c r="AK76" i="65" s="1"/>
  <c r="AT310" i="67" s="1"/>
  <c r="AK38" i="65"/>
  <c r="AK40" i="65" s="1"/>
  <c r="AT157" i="67" s="1"/>
  <c r="BM50" i="70"/>
  <c r="AK15" i="65"/>
  <c r="AF73" i="65"/>
  <c r="AF78" i="65" s="1"/>
  <c r="AO312" i="67" s="1"/>
  <c r="BH52" i="70"/>
  <c r="AF17" i="65"/>
  <c r="AD277" i="67"/>
  <c r="V17" i="65"/>
  <c r="AO767" i="67"/>
  <c r="BH68" i="70"/>
  <c r="AO1138" i="67" s="1"/>
  <c r="BM66" i="70"/>
  <c r="AL836" i="67"/>
  <c r="BO50" i="70"/>
  <c r="AQ76" i="67"/>
  <c r="AQ534" i="67"/>
  <c r="L616" i="67"/>
  <c r="L767" i="67"/>
  <c r="D17" i="65"/>
  <c r="D124" i="65"/>
  <c r="D134" i="65" s="1"/>
  <c r="M464" i="67" s="1"/>
  <c r="D73" i="65"/>
  <c r="D78" i="65" s="1"/>
  <c r="M312" i="67" s="1"/>
  <c r="AF68" i="70"/>
  <c r="M1138" i="67" s="1"/>
  <c r="F15" i="65"/>
  <c r="F38" i="65"/>
  <c r="F40" i="65" s="1"/>
  <c r="O157" i="67" s="1"/>
  <c r="K15" i="65"/>
  <c r="AM66" i="70"/>
  <c r="AF37" i="67"/>
  <c r="AF190" i="67"/>
  <c r="AV51" i="70"/>
  <c r="AC1121" i="67" s="1"/>
  <c r="T123" i="65"/>
  <c r="T133" i="65" s="1"/>
  <c r="AC463" i="67" s="1"/>
  <c r="T16" i="65"/>
  <c r="AV67" i="70"/>
  <c r="AC1137" i="67" s="1"/>
  <c r="AK123" i="65"/>
  <c r="AK133" i="65" s="1"/>
  <c r="AT463" i="67" s="1"/>
  <c r="AW647" i="67"/>
  <c r="AW798" i="67"/>
  <c r="O213" i="67"/>
  <c r="O366" i="67"/>
  <c r="Z686" i="67"/>
  <c r="AG76" i="67"/>
  <c r="AQ229" i="67"/>
  <c r="AF52" i="70"/>
  <c r="AH50" i="70"/>
  <c r="I123" i="65"/>
  <c r="I133" i="65" s="1"/>
  <c r="R463" i="67" s="1"/>
  <c r="AE66" i="70"/>
  <c r="I16" i="65"/>
  <c r="D15" i="65"/>
  <c r="AD734" i="67"/>
  <c r="T72" i="65"/>
  <c r="T77" i="65" s="1"/>
  <c r="AC311" i="67" s="1"/>
  <c r="AA17" i="65"/>
  <c r="AL685" i="67"/>
  <c r="AK122" i="65"/>
  <c r="AK132" i="65" s="1"/>
  <c r="AT462" i="67" s="1"/>
  <c r="AT496" i="67"/>
  <c r="Q380" i="67"/>
  <c r="Q74" i="67"/>
  <c r="Q227" i="67"/>
  <c r="Q684" i="67"/>
  <c r="AU381" i="67"/>
  <c r="AU685" i="67"/>
  <c r="AX52" i="70"/>
  <c r="AE1122" i="67" s="1"/>
  <c r="W160" i="65"/>
  <c r="AH68" i="70"/>
  <c r="O1138" i="67" s="1"/>
  <c r="AI123" i="65"/>
  <c r="AI133" i="65" s="1"/>
  <c r="AR463" i="67" s="1"/>
  <c r="AA124" i="65"/>
  <c r="AA134" i="65" s="1"/>
  <c r="AJ464" i="67" s="1"/>
  <c r="BC68" i="70"/>
  <c r="AJ1138" i="67" s="1"/>
  <c r="BC52" i="70"/>
  <c r="AJ1122" i="67" s="1"/>
  <c r="AN67" i="70"/>
  <c r="U1137" i="67" s="1"/>
  <c r="L123" i="65"/>
  <c r="L133" i="65" s="1"/>
  <c r="U463" i="67" s="1"/>
  <c r="BL66" i="70"/>
  <c r="BL50" i="70"/>
  <c r="AJ38" i="65"/>
  <c r="AJ40" i="65" s="1"/>
  <c r="AS157" i="67" s="1"/>
  <c r="AJ122" i="65"/>
  <c r="AJ132" i="65" s="1"/>
  <c r="AS462" i="67" s="1"/>
  <c r="AM122" i="65"/>
  <c r="AM132" i="65" s="1"/>
  <c r="AV462" i="67" s="1"/>
  <c r="BO66" i="70"/>
  <c r="AM38" i="65"/>
  <c r="AM40" i="65" s="1"/>
  <c r="AV157" i="67" s="1"/>
  <c r="AM15" i="65"/>
  <c r="AI649" i="67"/>
  <c r="D122" i="65"/>
  <c r="D132" i="65" s="1"/>
  <c r="M462" i="67" s="1"/>
  <c r="F124" i="65"/>
  <c r="F134" i="65" s="1"/>
  <c r="O464" i="67" s="1"/>
  <c r="BK51" i="70"/>
  <c r="AR1121" i="67" s="1"/>
  <c r="AJ71" i="65"/>
  <c r="AJ76" i="65" s="1"/>
  <c r="AS310" i="67" s="1"/>
  <c r="Q533" i="67"/>
  <c r="Q75" i="67"/>
  <c r="Q836" i="67"/>
  <c r="Q685" i="67"/>
  <c r="AR51" i="70"/>
  <c r="Y1121" i="67" s="1"/>
  <c r="P123" i="65"/>
  <c r="P133" i="65" s="1"/>
  <c r="Y463" i="67" s="1"/>
  <c r="P72" i="65"/>
  <c r="P77" i="65" s="1"/>
  <c r="Y311" i="67" s="1"/>
  <c r="P16" i="65"/>
  <c r="U123" i="65"/>
  <c r="U133" i="65" s="1"/>
  <c r="AD463" i="67" s="1"/>
  <c r="W124" i="65"/>
  <c r="W134" i="65" s="1"/>
  <c r="AF464" i="67" s="1"/>
  <c r="W73" i="65"/>
  <c r="W78" i="65" s="1"/>
  <c r="AF312" i="67" s="1"/>
  <c r="AY52" i="70"/>
  <c r="AF1122" i="67" s="1"/>
  <c r="W17" i="65"/>
  <c r="AY68" i="70"/>
  <c r="AF1138" i="67" s="1"/>
  <c r="Z837" i="67"/>
  <c r="AG382" i="67"/>
  <c r="AG837" i="67"/>
  <c r="AI345" i="67"/>
  <c r="F71" i="65"/>
  <c r="F76" i="65" s="1"/>
  <c r="O310" i="67" s="1"/>
  <c r="Q228" i="67"/>
  <c r="L72" i="65"/>
  <c r="L77" i="65" s="1"/>
  <c r="U311" i="67" s="1"/>
  <c r="AR67" i="70"/>
  <c r="Y1137" i="67" s="1"/>
  <c r="Y749" i="67"/>
  <c r="AF276" i="67"/>
  <c r="V124" i="65"/>
  <c r="V134" i="65" s="1"/>
  <c r="AE464" i="67" s="1"/>
  <c r="AE885" i="67"/>
  <c r="AF123" i="67"/>
  <c r="AA73" i="65"/>
  <c r="AA78" i="65" s="1"/>
  <c r="AJ312" i="67" s="1"/>
  <c r="AF124" i="65"/>
  <c r="AF134" i="65" s="1"/>
  <c r="AO464" i="67" s="1"/>
  <c r="AT748" i="67"/>
  <c r="AR495" i="67"/>
  <c r="AX68" i="70"/>
  <c r="AE1138" i="67" s="1"/>
  <c r="Z139" i="67"/>
  <c r="Z597" i="67"/>
  <c r="AR381" i="67"/>
  <c r="AR836" i="67"/>
  <c r="L835" i="67"/>
  <c r="D71" i="65"/>
  <c r="D76" i="65" s="1"/>
  <c r="M310" i="67" s="1"/>
  <c r="W326" i="67"/>
  <c r="X733" i="67"/>
  <c r="T71" i="65"/>
  <c r="T76" i="65" s="1"/>
  <c r="AC310" i="67" s="1"/>
  <c r="AG900" i="67"/>
  <c r="AD17" i="65"/>
  <c r="AD228" i="67"/>
  <c r="AD685" i="67"/>
  <c r="AT344" i="67"/>
  <c r="AT75" i="67"/>
  <c r="BL51" i="70"/>
  <c r="AS1121" i="67" s="1"/>
  <c r="AL67" i="70"/>
  <c r="S1137" i="67" s="1"/>
  <c r="Z72" i="65"/>
  <c r="Z77" i="65" s="1"/>
  <c r="AI311" i="67" s="1"/>
  <c r="BL67" i="70"/>
  <c r="AS1137" i="67" s="1"/>
  <c r="AD381" i="67"/>
  <c r="AU533" i="67"/>
  <c r="P76" i="67"/>
  <c r="L532" i="67"/>
  <c r="I73" i="65"/>
  <c r="I78" i="65" s="1"/>
  <c r="R312" i="67" s="1"/>
  <c r="AF50" i="70"/>
  <c r="AQ52" i="70"/>
  <c r="X1122" i="67" s="1"/>
  <c r="M38" i="65"/>
  <c r="M40" i="65" s="1"/>
  <c r="V157" i="67" s="1"/>
  <c r="X276" i="67"/>
  <c r="O17" i="65"/>
  <c r="X172" i="67"/>
  <c r="AF139" i="67"/>
  <c r="AG139" i="67"/>
  <c r="AG445" i="67"/>
  <c r="AD836" i="67"/>
  <c r="BB67" i="70"/>
  <c r="AI1137" i="67" s="1"/>
  <c r="L581" i="67"/>
  <c r="L276" i="67"/>
  <c r="L733" i="67"/>
  <c r="L123" i="67"/>
  <c r="E123" i="65"/>
  <c r="E133" i="65" s="1"/>
  <c r="N463" i="67" s="1"/>
  <c r="E72" i="65"/>
  <c r="E77" i="65" s="1"/>
  <c r="N311" i="67" s="1"/>
  <c r="E16" i="65"/>
  <c r="H122" i="65"/>
  <c r="H132" i="65" s="1"/>
  <c r="Q462" i="67" s="1"/>
  <c r="H15" i="65"/>
  <c r="AJ50" i="70"/>
  <c r="AJ66" i="70"/>
  <c r="H38" i="65"/>
  <c r="H40" i="65" s="1"/>
  <c r="Q157" i="67" s="1"/>
  <c r="K17" i="65"/>
  <c r="AM68" i="70"/>
  <c r="T1138" i="67" s="1"/>
  <c r="K73" i="65"/>
  <c r="K78" i="65" s="1"/>
  <c r="T312" i="67" s="1"/>
  <c r="K124" i="65"/>
  <c r="K134" i="65" s="1"/>
  <c r="T464" i="67" s="1"/>
  <c r="P124" i="65"/>
  <c r="P134" i="65" s="1"/>
  <c r="Y464" i="67" s="1"/>
  <c r="P17" i="65"/>
  <c r="AR68" i="70"/>
  <c r="Y1138" i="67" s="1"/>
  <c r="Y38" i="65"/>
  <c r="Y40" i="65" s="1"/>
  <c r="AH157" i="67" s="1"/>
  <c r="Y15" i="65"/>
  <c r="BA50" i="70"/>
  <c r="Y71" i="65"/>
  <c r="Y76" i="65" s="1"/>
  <c r="AH310" i="67" s="1"/>
  <c r="BA66" i="70"/>
  <c r="J17" i="65"/>
  <c r="AL68" i="70"/>
  <c r="S1138" i="67" s="1"/>
  <c r="J73" i="65"/>
  <c r="J78" i="65" s="1"/>
  <c r="S312" i="67" s="1"/>
  <c r="X124" i="65"/>
  <c r="X134" i="65" s="1"/>
  <c r="AG464" i="67" s="1"/>
  <c r="X17" i="65"/>
  <c r="AG616" i="67"/>
  <c r="AZ52" i="70"/>
  <c r="AZ68" i="70"/>
  <c r="AG1138" i="67" s="1"/>
  <c r="AA532" i="67"/>
  <c r="AA835" i="67"/>
  <c r="AA74" i="67"/>
  <c r="AA684" i="67"/>
  <c r="P382" i="67"/>
  <c r="S767" i="67"/>
  <c r="J124" i="65"/>
  <c r="J134" i="65" s="1"/>
  <c r="S464" i="67" s="1"/>
  <c r="H71" i="65"/>
  <c r="H76" i="65" s="1"/>
  <c r="Q310" i="67" s="1"/>
  <c r="BE50" i="70"/>
  <c r="Q430" i="67"/>
  <c r="Q277" i="67"/>
  <c r="Q734" i="67"/>
  <c r="AO76" i="67"/>
  <c r="AI429" i="67"/>
  <c r="AI123" i="67"/>
  <c r="AI884" i="67"/>
  <c r="AI581" i="67"/>
  <c r="Z479" i="67"/>
  <c r="Z782" i="67"/>
  <c r="Z21" i="67"/>
  <c r="AR382" i="67"/>
  <c r="AR686" i="67"/>
  <c r="AR229" i="67"/>
  <c r="AR534" i="67"/>
  <c r="AR76" i="67"/>
  <c r="I38" i="65"/>
  <c r="I40" i="65" s="1"/>
  <c r="R157" i="67" s="1"/>
  <c r="AK66" i="70"/>
  <c r="I71" i="65"/>
  <c r="I76" i="65" s="1"/>
  <c r="R310" i="67" s="1"/>
  <c r="I15" i="65"/>
  <c r="AW835" i="67"/>
  <c r="AW227" i="67"/>
  <c r="AW380" i="67"/>
  <c r="AW532" i="67"/>
  <c r="AW684" i="67"/>
  <c r="AW74" i="67"/>
  <c r="AO835" i="67"/>
  <c r="AO74" i="67"/>
  <c r="AO380" i="67"/>
  <c r="AO684" i="67"/>
  <c r="AO532" i="67"/>
  <c r="G73" i="65"/>
  <c r="G78" i="65" s="1"/>
  <c r="P312" i="67" s="1"/>
  <c r="P616" i="67"/>
  <c r="G124" i="65"/>
  <c r="G134" i="65" s="1"/>
  <c r="P464" i="67" s="1"/>
  <c r="Z631" i="67"/>
  <c r="AI276" i="67"/>
  <c r="AN38" i="65"/>
  <c r="AN40" i="65" s="1"/>
  <c r="AW157" i="67" s="1"/>
  <c r="X766" i="67"/>
  <c r="X615" i="67"/>
  <c r="AM52" i="70"/>
  <c r="T1122" i="67" s="1"/>
  <c r="AA380" i="67"/>
  <c r="AO900" i="67"/>
  <c r="AO445" i="67"/>
  <c r="AO292" i="67"/>
  <c r="AO139" i="67"/>
  <c r="AO749" i="67"/>
  <c r="AT519" i="67"/>
  <c r="AT822" i="67"/>
  <c r="AT671" i="67"/>
  <c r="P686" i="67"/>
  <c r="P534" i="67"/>
  <c r="AC71" i="65"/>
  <c r="AC76" i="65" s="1"/>
  <c r="AL310" i="67" s="1"/>
  <c r="AC122" i="65"/>
  <c r="AC132" i="65" s="1"/>
  <c r="AL462" i="67" s="1"/>
  <c r="AC38" i="65"/>
  <c r="AC40" i="65" s="1"/>
  <c r="AL157" i="67" s="1"/>
  <c r="AJ278" i="67"/>
  <c r="AJ125" i="67"/>
  <c r="AJ583" i="67"/>
  <c r="AJ431" i="67"/>
  <c r="R38" i="65"/>
  <c r="R40" i="65" s="1"/>
  <c r="AA157" i="67" s="1"/>
  <c r="AT50" i="70"/>
  <c r="R71" i="65"/>
  <c r="R76" i="65" s="1"/>
  <c r="AA310" i="67" s="1"/>
  <c r="AN15" i="65"/>
  <c r="AN122" i="65"/>
  <c r="AN132" i="65" s="1"/>
  <c r="AW462" i="67" s="1"/>
  <c r="BP66" i="70"/>
  <c r="AW765" i="67"/>
  <c r="AN71" i="65"/>
  <c r="AN76" i="65" s="1"/>
  <c r="AW310" i="67" s="1"/>
  <c r="BP50" i="70"/>
  <c r="AI767" i="67"/>
  <c r="AI616" i="67"/>
  <c r="P837" i="67"/>
  <c r="Z327" i="67"/>
  <c r="AJ735" i="67"/>
  <c r="X73" i="65"/>
  <c r="X78" i="65" s="1"/>
  <c r="AG312" i="67" s="1"/>
  <c r="AL52" i="70"/>
  <c r="S1122" i="67" s="1"/>
  <c r="AE38" i="67"/>
  <c r="AE344" i="67"/>
  <c r="AS629" i="67"/>
  <c r="AS477" i="67"/>
  <c r="AR228" i="67"/>
  <c r="AR75" i="67"/>
  <c r="BF52" i="70"/>
  <c r="AM1122" i="67" s="1"/>
  <c r="AD124" i="65"/>
  <c r="AD134" i="65" s="1"/>
  <c r="AM464" i="67" s="1"/>
  <c r="BI51" i="70"/>
  <c r="AP1121" i="67" s="1"/>
  <c r="AG123" i="65"/>
  <c r="AG133" i="65" s="1"/>
  <c r="AP463" i="67" s="1"/>
  <c r="AG16" i="65"/>
  <c r="AP495" i="67"/>
  <c r="AO686" i="67"/>
  <c r="Q124" i="67"/>
  <c r="Q582" i="67"/>
  <c r="N16" i="65"/>
  <c r="N72" i="65"/>
  <c r="N77" i="65" s="1"/>
  <c r="W311" i="67" s="1"/>
  <c r="AP51" i="70"/>
  <c r="X227" i="67"/>
  <c r="X74" i="67"/>
  <c r="L71" i="65"/>
  <c r="L76" i="65" s="1"/>
  <c r="U310" i="67" s="1"/>
  <c r="L122" i="65"/>
  <c r="L132" i="65" s="1"/>
  <c r="U462" i="67" s="1"/>
  <c r="BK66" i="70"/>
  <c r="BK50" i="70"/>
  <c r="AI122" i="65"/>
  <c r="AI132" i="65" s="1"/>
  <c r="AR462" i="67" s="1"/>
  <c r="AA629" i="67"/>
  <c r="AA325" i="67"/>
  <c r="AA477" i="67"/>
  <c r="AA172" i="67"/>
  <c r="AA19" i="67"/>
  <c r="N122" i="65"/>
  <c r="N132" i="65" s="1"/>
  <c r="W462" i="67" s="1"/>
  <c r="AP66" i="70"/>
  <c r="AP50" i="70"/>
  <c r="N38" i="65"/>
  <c r="N40" i="65" s="1"/>
  <c r="W157" i="67" s="1"/>
  <c r="AD38" i="65"/>
  <c r="AD40" i="65" s="1"/>
  <c r="AM157" i="67" s="1"/>
  <c r="AD122" i="65"/>
  <c r="AD132" i="65" s="1"/>
  <c r="AM462" i="67" s="1"/>
  <c r="AD15" i="65"/>
  <c r="AG122" i="65"/>
  <c r="AG132" i="65" s="1"/>
  <c r="AP462" i="67" s="1"/>
  <c r="AG15" i="65"/>
  <c r="AG38" i="65"/>
  <c r="AG40" i="65" s="1"/>
  <c r="AP157" i="67" s="1"/>
  <c r="AI39" i="67"/>
  <c r="AI192" i="67"/>
  <c r="AV650" i="67"/>
  <c r="AO837" i="67"/>
  <c r="AO382" i="67"/>
  <c r="AQ837" i="67"/>
  <c r="AQ382" i="67"/>
  <c r="AH52" i="70"/>
  <c r="O1122" i="67" s="1"/>
  <c r="AL51" i="70"/>
  <c r="AI68" i="70"/>
  <c r="P1138" i="67" s="1"/>
  <c r="J72" i="65"/>
  <c r="J77" i="65" s="1"/>
  <c r="S311" i="67" s="1"/>
  <c r="S325" i="67"/>
  <c r="L227" i="67"/>
  <c r="L74" i="67"/>
  <c r="I124" i="65"/>
  <c r="I134" i="65" s="1"/>
  <c r="R464" i="67" s="1"/>
  <c r="R767" i="67"/>
  <c r="D38" i="65"/>
  <c r="D40" i="65" s="1"/>
  <c r="M157" i="67" s="1"/>
  <c r="N123" i="65"/>
  <c r="N133" i="65" s="1"/>
  <c r="W463" i="67" s="1"/>
  <c r="W173" i="67"/>
  <c r="O124" i="65"/>
  <c r="O134" i="65" s="1"/>
  <c r="X464" i="67" s="1"/>
  <c r="AP67" i="70"/>
  <c r="W1137" i="67" s="1"/>
  <c r="W478" i="67"/>
  <c r="AN50" i="70"/>
  <c r="N71" i="65"/>
  <c r="N76" i="65" s="1"/>
  <c r="W310" i="67" s="1"/>
  <c r="X835" i="67"/>
  <c r="AG72" i="65"/>
  <c r="AG77" i="65" s="1"/>
  <c r="AP311" i="67" s="1"/>
  <c r="AD71" i="65"/>
  <c r="AD76" i="65" s="1"/>
  <c r="AM310" i="67" s="1"/>
  <c r="AF597" i="67"/>
  <c r="AF292" i="67"/>
  <c r="AF900" i="67"/>
  <c r="J123" i="65"/>
  <c r="J133" i="65" s="1"/>
  <c r="S463" i="67" s="1"/>
  <c r="AF647" i="67"/>
  <c r="AF343" i="67"/>
  <c r="AI16" i="65"/>
  <c r="AI72" i="65"/>
  <c r="AI77" i="65" s="1"/>
  <c r="AR311" i="67" s="1"/>
  <c r="AV50" i="70"/>
  <c r="T15" i="65"/>
  <c r="T122" i="65"/>
  <c r="T132" i="65" s="1"/>
  <c r="AC462" i="67" s="1"/>
  <c r="AU766" i="67"/>
  <c r="AL123" i="65"/>
  <c r="AL133" i="65" s="1"/>
  <c r="AU463" i="67" s="1"/>
  <c r="AN160" i="65"/>
  <c r="AT381" i="67"/>
  <c r="AT836" i="67"/>
  <c r="AT685" i="67"/>
  <c r="AU212" i="67"/>
  <c r="AU365" i="67"/>
  <c r="AK74" i="67"/>
  <c r="AK380" i="67"/>
  <c r="AK684" i="67"/>
  <c r="AK227" i="67"/>
  <c r="S16" i="65"/>
  <c r="AU67" i="70"/>
  <c r="AB1137" i="67" s="1"/>
  <c r="AU51" i="70"/>
  <c r="AB1121" i="67" s="1"/>
  <c r="AB615" i="67"/>
  <c r="S72" i="65"/>
  <c r="S77" i="65" s="1"/>
  <c r="AB311" i="67" s="1"/>
  <c r="AO534" i="67"/>
  <c r="G17" i="65"/>
  <c r="AS325" i="67"/>
  <c r="AS19" i="67"/>
  <c r="AS172" i="67"/>
  <c r="Q73" i="65"/>
  <c r="Q78" i="65" s="1"/>
  <c r="Z312" i="67" s="1"/>
  <c r="AS52" i="70"/>
  <c r="Z1122" i="67" s="1"/>
  <c r="Y17" i="65"/>
  <c r="AW51" i="70"/>
  <c r="AD1121" i="67" s="1"/>
  <c r="AW67" i="70"/>
  <c r="AD1137" i="67" s="1"/>
  <c r="U16" i="65"/>
  <c r="AK72" i="65"/>
  <c r="AK77" i="65" s="1"/>
  <c r="AT311" i="67" s="1"/>
  <c r="AW343" i="67"/>
  <c r="AW495" i="67"/>
  <c r="AW37" i="67"/>
  <c r="AZ50" i="70"/>
  <c r="AZ66" i="70"/>
  <c r="X122" i="65"/>
  <c r="X132" i="65" s="1"/>
  <c r="AG462" i="67" s="1"/>
  <c r="X38" i="65"/>
  <c r="X40" i="65" s="1"/>
  <c r="AG157" i="67" s="1"/>
  <c r="X15" i="65"/>
  <c r="AI497" i="67"/>
  <c r="AO229" i="67"/>
  <c r="AF66" i="70"/>
  <c r="F17" i="65"/>
  <c r="Q885" i="67"/>
  <c r="S615" i="67"/>
  <c r="L684" i="67"/>
  <c r="AK52" i="70"/>
  <c r="R1122" i="67" s="1"/>
  <c r="AI52" i="70"/>
  <c r="W20" i="67"/>
  <c r="AO66" i="70"/>
  <c r="M71" i="65"/>
  <c r="M76" i="65" s="1"/>
  <c r="V310" i="67" s="1"/>
  <c r="AN66" i="70"/>
  <c r="L38" i="65"/>
  <c r="L40" i="65" s="1"/>
  <c r="U157" i="67" s="1"/>
  <c r="L15" i="65"/>
  <c r="S123" i="65"/>
  <c r="S133" i="65" s="1"/>
  <c r="AB463" i="67" s="1"/>
  <c r="Q17" i="65"/>
  <c r="N15" i="65"/>
  <c r="U72" i="65"/>
  <c r="U77" i="65" s="1"/>
  <c r="AD311" i="67" s="1"/>
  <c r="BF66" i="70"/>
  <c r="AK835" i="67"/>
  <c r="AR614" i="67"/>
  <c r="AG71" i="65"/>
  <c r="AG76" i="65" s="1"/>
  <c r="AP310" i="67" s="1"/>
  <c r="AI15" i="65"/>
  <c r="AK16" i="65"/>
  <c r="BI50" i="70"/>
  <c r="AW190" i="67"/>
  <c r="BF68" i="70"/>
  <c r="AM1138" i="67" s="1"/>
  <c r="BI67" i="70"/>
  <c r="AP1137" i="67" s="1"/>
  <c r="AO50" i="70"/>
  <c r="M122" i="65"/>
  <c r="M132" i="65" s="1"/>
  <c r="V462" i="67" s="1"/>
  <c r="G16" i="65"/>
  <c r="AI51" i="70"/>
  <c r="P1121" i="67" s="1"/>
  <c r="AK51" i="70"/>
  <c r="R1121" i="67" s="1"/>
  <c r="R15" i="65"/>
  <c r="R122" i="65"/>
  <c r="R132" i="65" s="1"/>
  <c r="AA462" i="67" s="1"/>
  <c r="AT66" i="70"/>
  <c r="O73" i="65"/>
  <c r="O78" i="65" s="1"/>
  <c r="X312" i="67" s="1"/>
  <c r="Q124" i="65"/>
  <c r="Q134" i="65" s="1"/>
  <c r="Z464" i="67" s="1"/>
  <c r="AS68" i="70"/>
  <c r="Z1138" i="67" s="1"/>
  <c r="Y73" i="65"/>
  <c r="Y78" i="65" s="1"/>
  <c r="AH312" i="67" s="1"/>
  <c r="BA52" i="70"/>
  <c r="AH1122" i="67" s="1"/>
  <c r="BA68" i="70"/>
  <c r="AH1138" i="67" s="1"/>
  <c r="BM67" i="70"/>
  <c r="AT1137" i="67" s="1"/>
  <c r="BM51" i="70"/>
  <c r="AT1121" i="67" s="1"/>
  <c r="F122" i="65"/>
  <c r="F132" i="65" s="1"/>
  <c r="O462" i="67" s="1"/>
  <c r="AM50" i="70"/>
  <c r="K122" i="65"/>
  <c r="K132" i="65" s="1"/>
  <c r="T462" i="67" s="1"/>
  <c r="BK67" i="70"/>
  <c r="AR1137" i="67" s="1"/>
  <c r="BN51" i="70"/>
  <c r="AU1121" i="67" s="1"/>
  <c r="BN67" i="70"/>
  <c r="AU1137" i="67" s="1"/>
  <c r="AG67" i="70"/>
  <c r="N1137" i="67" s="1"/>
  <c r="AG51" i="70"/>
  <c r="N1121" i="67" s="1"/>
  <c r="P73" i="65"/>
  <c r="P78" i="65" s="1"/>
  <c r="Y312" i="67" s="1"/>
  <c r="AR52" i="70"/>
  <c r="Y1122" i="67" s="1"/>
  <c r="Y122" i="65"/>
  <c r="Y132" i="65" s="1"/>
  <c r="AH462" i="67" s="1"/>
  <c r="I122" i="65"/>
  <c r="I132" i="65" s="1"/>
  <c r="R462" i="67" s="1"/>
  <c r="AK50" i="70"/>
  <c r="L429" i="67"/>
  <c r="L884" i="67"/>
  <c r="AA581" i="67"/>
  <c r="AA123" i="67"/>
  <c r="X477" i="67"/>
  <c r="AA429" i="67"/>
  <c r="AA276" i="67"/>
  <c r="AU59" i="67"/>
  <c r="AF429" i="67"/>
  <c r="AF733" i="67"/>
  <c r="AU836" i="67"/>
  <c r="AU75" i="67"/>
  <c r="AU228" i="67"/>
  <c r="AT214" i="67"/>
  <c r="AT367" i="67"/>
  <c r="AT61" i="67"/>
  <c r="X325" i="67"/>
  <c r="X629" i="67"/>
  <c r="AE648" i="67"/>
  <c r="AE799" i="67"/>
  <c r="AE496" i="67"/>
  <c r="AA733" i="67"/>
  <c r="AJ647" i="67"/>
  <c r="AT648" i="67"/>
  <c r="AU820" i="67"/>
  <c r="AK161" i="65"/>
  <c r="Z445" i="67"/>
  <c r="Z749" i="67"/>
  <c r="Z900" i="67"/>
  <c r="AA884" i="67"/>
  <c r="AE191" i="67"/>
  <c r="AJ495" i="67"/>
  <c r="AJ37" i="67"/>
  <c r="AJ190" i="67"/>
  <c r="AT799" i="67"/>
  <c r="AT38" i="67"/>
  <c r="X380" i="67"/>
  <c r="X532" i="67"/>
  <c r="Z615" i="67"/>
  <c r="Z766" i="67"/>
  <c r="AE173" i="67"/>
  <c r="K345" i="67"/>
  <c r="K649" i="67"/>
  <c r="K39" i="67"/>
  <c r="K497" i="67"/>
  <c r="K800" i="67"/>
  <c r="K192" i="67"/>
  <c r="K599" i="67"/>
  <c r="K141" i="67"/>
  <c r="K902" i="67"/>
  <c r="K447" i="67"/>
  <c r="K294" i="67"/>
  <c r="K751" i="67"/>
  <c r="K903" i="67"/>
  <c r="K752" i="67"/>
  <c r="K448" i="67"/>
  <c r="K295" i="67"/>
  <c r="K142" i="67"/>
  <c r="K600" i="67"/>
  <c r="P752" i="67"/>
  <c r="P903" i="67"/>
  <c r="P295" i="67"/>
  <c r="P600" i="67"/>
  <c r="P448" i="67"/>
  <c r="P142" i="67"/>
  <c r="P366" i="67"/>
  <c r="P60" i="67"/>
  <c r="P821" i="67"/>
  <c r="P518" i="67"/>
  <c r="P213" i="67"/>
  <c r="R617" i="67"/>
  <c r="R768" i="67"/>
  <c r="Q480" i="67"/>
  <c r="Q783" i="67"/>
  <c r="Q175" i="67"/>
  <c r="Q328" i="67"/>
  <c r="Q632" i="67"/>
  <c r="Q22" i="67"/>
  <c r="U617" i="67"/>
  <c r="U768" i="67"/>
  <c r="W821" i="67"/>
  <c r="W366" i="67"/>
  <c r="W518" i="67"/>
  <c r="W60" i="67"/>
  <c r="W213" i="67"/>
  <c r="X518" i="67"/>
  <c r="X213" i="67"/>
  <c r="X366" i="67"/>
  <c r="X821" i="67"/>
  <c r="X60" i="67"/>
  <c r="K736" i="67"/>
  <c r="K279" i="67"/>
  <c r="K126" i="67"/>
  <c r="K432" i="67"/>
  <c r="K887" i="67"/>
  <c r="K584" i="67"/>
  <c r="B162" i="65"/>
  <c r="K193" i="67"/>
  <c r="K801" i="67"/>
  <c r="K650" i="67"/>
  <c r="K346" i="67"/>
  <c r="K40" i="67"/>
  <c r="K498" i="67"/>
  <c r="K686" i="67"/>
  <c r="K229" i="67"/>
  <c r="K534" i="67"/>
  <c r="K382" i="67"/>
  <c r="K76" i="67"/>
  <c r="K837" i="67"/>
  <c r="K782" i="67"/>
  <c r="K174" i="67"/>
  <c r="K479" i="67"/>
  <c r="K327" i="67"/>
  <c r="K21" i="67"/>
  <c r="K631" i="67"/>
  <c r="N584" i="67"/>
  <c r="M649" i="67"/>
  <c r="M497" i="67"/>
  <c r="M345" i="67"/>
  <c r="M39" i="67"/>
  <c r="M192" i="67"/>
  <c r="M800" i="67"/>
  <c r="M229" i="67"/>
  <c r="M837" i="67"/>
  <c r="M534" i="67"/>
  <c r="M76" i="67"/>
  <c r="M382" i="67"/>
  <c r="M686" i="67"/>
  <c r="L584" i="67"/>
  <c r="L126" i="67"/>
  <c r="L279" i="67"/>
  <c r="L432" i="67"/>
  <c r="L887" i="67"/>
  <c r="L736" i="67"/>
  <c r="N295" i="67"/>
  <c r="N752" i="67"/>
  <c r="N142" i="67"/>
  <c r="N903" i="67"/>
  <c r="N600" i="67"/>
  <c r="N448" i="67"/>
  <c r="O479" i="67"/>
  <c r="O327" i="67"/>
  <c r="O174" i="67"/>
  <c r="O782" i="67"/>
  <c r="O631" i="67"/>
  <c r="O21" i="67"/>
  <c r="P479" i="67"/>
  <c r="P327" i="67"/>
  <c r="P174" i="67"/>
  <c r="P782" i="67"/>
  <c r="P21" i="67"/>
  <c r="P631" i="67"/>
  <c r="N768" i="67"/>
  <c r="N617" i="67"/>
  <c r="O346" i="67"/>
  <c r="O193" i="67"/>
  <c r="O650" i="67"/>
  <c r="O801" i="67"/>
  <c r="O498" i="67"/>
  <c r="O40" i="67"/>
  <c r="P617" i="67"/>
  <c r="P768" i="67"/>
  <c r="P367" i="67"/>
  <c r="P519" i="67"/>
  <c r="P671" i="67"/>
  <c r="P822" i="67"/>
  <c r="P61" i="67"/>
  <c r="P214" i="67"/>
  <c r="S39" i="67"/>
  <c r="S800" i="67"/>
  <c r="S497" i="67"/>
  <c r="S345" i="67"/>
  <c r="S649" i="67"/>
  <c r="S192" i="67"/>
  <c r="R142" i="67"/>
  <c r="R448" i="67"/>
  <c r="R752" i="67"/>
  <c r="R295" i="67"/>
  <c r="R903" i="67"/>
  <c r="R600" i="67"/>
  <c r="R21" i="67"/>
  <c r="R174" i="67"/>
  <c r="R631" i="67"/>
  <c r="R782" i="67"/>
  <c r="R327" i="67"/>
  <c r="R479" i="67"/>
  <c r="R519" i="67"/>
  <c r="R214" i="67"/>
  <c r="R61" i="67"/>
  <c r="R367" i="67"/>
  <c r="R822" i="67"/>
  <c r="R671" i="67"/>
  <c r="R735" i="67"/>
  <c r="R431" i="67"/>
  <c r="R278" i="67"/>
  <c r="R886" i="67"/>
  <c r="R125" i="67"/>
  <c r="R583" i="67"/>
  <c r="S141" i="67"/>
  <c r="S902" i="67"/>
  <c r="S751" i="67"/>
  <c r="S599" i="67"/>
  <c r="S447" i="67"/>
  <c r="S294" i="67"/>
  <c r="U447" i="67"/>
  <c r="U751" i="67"/>
  <c r="U294" i="67"/>
  <c r="U141" i="67"/>
  <c r="U599" i="67"/>
  <c r="U902" i="67"/>
  <c r="V174" i="67"/>
  <c r="V782" i="67"/>
  <c r="V21" i="67"/>
  <c r="V631" i="67"/>
  <c r="V479" i="67"/>
  <c r="V327" i="67"/>
  <c r="U886" i="67"/>
  <c r="U735" i="67"/>
  <c r="U583" i="67"/>
  <c r="U125" i="67"/>
  <c r="U278" i="67"/>
  <c r="U431" i="67"/>
  <c r="W278" i="67"/>
  <c r="W735" i="67"/>
  <c r="W886" i="67"/>
  <c r="W583" i="67"/>
  <c r="W125" i="67"/>
  <c r="W431" i="67"/>
  <c r="T768" i="67"/>
  <c r="T617" i="67"/>
  <c r="V76" i="67"/>
  <c r="V686" i="67"/>
  <c r="V534" i="67"/>
  <c r="V229" i="67"/>
  <c r="V382" i="67"/>
  <c r="V837" i="67"/>
  <c r="AA278" i="67"/>
  <c r="AA583" i="67"/>
  <c r="AA125" i="67"/>
  <c r="AA431" i="67"/>
  <c r="AA735" i="67"/>
  <c r="AA886" i="67"/>
  <c r="Y617" i="67"/>
  <c r="Y768" i="67"/>
  <c r="AA192" i="67"/>
  <c r="AA497" i="67"/>
  <c r="AA345" i="67"/>
  <c r="AA649" i="67"/>
  <c r="AA800" i="67"/>
  <c r="AA39" i="67"/>
  <c r="Y294" i="67"/>
  <c r="Y599" i="67"/>
  <c r="Y141" i="67"/>
  <c r="Y751" i="67"/>
  <c r="Y902" i="67"/>
  <c r="Y447" i="67"/>
  <c r="Y345" i="67"/>
  <c r="Y39" i="67"/>
  <c r="Y800" i="67"/>
  <c r="Y497" i="67"/>
  <c r="Y649" i="67"/>
  <c r="Y192" i="67"/>
  <c r="AB60" i="67"/>
  <c r="X782" i="67"/>
  <c r="X479" i="67"/>
  <c r="X174" i="67"/>
  <c r="X327" i="67"/>
  <c r="X21" i="67"/>
  <c r="X631" i="67"/>
  <c r="AD617" i="67"/>
  <c r="AD768" i="67"/>
  <c r="AC431" i="67"/>
  <c r="AC735" i="67"/>
  <c r="AC278" i="67"/>
  <c r="AC886" i="67"/>
  <c r="AC125" i="67"/>
  <c r="AC583" i="67"/>
  <c r="AE617" i="67"/>
  <c r="AE768" i="67"/>
  <c r="AF229" i="67"/>
  <c r="AF382" i="67"/>
  <c r="AF837" i="67"/>
  <c r="AF686" i="67"/>
  <c r="AF534" i="67"/>
  <c r="AF76" i="67"/>
  <c r="AD21" i="67"/>
  <c r="AD479" i="67"/>
  <c r="AD327" i="67"/>
  <c r="AD174" i="67"/>
  <c r="AD782" i="67"/>
  <c r="AD631" i="67"/>
  <c r="AF902" i="67"/>
  <c r="AF751" i="67"/>
  <c r="AF599" i="67"/>
  <c r="AF294" i="67"/>
  <c r="AF447" i="67"/>
  <c r="AF141" i="67"/>
  <c r="AD229" i="67"/>
  <c r="AD837" i="67"/>
  <c r="AD686" i="67"/>
  <c r="AD76" i="67"/>
  <c r="AD382" i="67"/>
  <c r="AD534" i="67"/>
  <c r="AI751" i="67"/>
  <c r="AI599" i="67"/>
  <c r="AI294" i="67"/>
  <c r="AI447" i="67"/>
  <c r="AI141" i="67"/>
  <c r="AI902" i="67"/>
  <c r="AK649" i="67"/>
  <c r="AK497" i="67"/>
  <c r="AK39" i="67"/>
  <c r="AK800" i="67"/>
  <c r="AK192" i="67"/>
  <c r="AK345" i="67"/>
  <c r="AI617" i="67"/>
  <c r="AI768" i="67"/>
  <c r="AH649" i="67"/>
  <c r="AH192" i="67"/>
  <c r="AH497" i="67"/>
  <c r="AH800" i="67"/>
  <c r="AH345" i="67"/>
  <c r="AH39" i="67"/>
  <c r="AJ617" i="67"/>
  <c r="AJ768" i="67"/>
  <c r="AP769" i="67"/>
  <c r="AP314" i="67"/>
  <c r="AP618" i="67"/>
  <c r="AS800" i="67"/>
  <c r="AS649" i="67"/>
  <c r="AS345" i="67"/>
  <c r="AS39" i="67"/>
  <c r="AS497" i="67"/>
  <c r="AS192" i="67"/>
  <c r="X126" i="67"/>
  <c r="X279" i="67"/>
  <c r="X432" i="67"/>
  <c r="X887" i="67"/>
  <c r="X736" i="67"/>
  <c r="X584" i="67"/>
  <c r="X295" i="67"/>
  <c r="X903" i="67"/>
  <c r="X600" i="67"/>
  <c r="X142" i="67"/>
  <c r="X448" i="67"/>
  <c r="X752" i="67"/>
  <c r="AN887" i="67"/>
  <c r="AC193" i="67"/>
  <c r="AC650" i="67"/>
  <c r="AC801" i="67"/>
  <c r="AC142" i="67"/>
  <c r="AC903" i="67"/>
  <c r="AC448" i="67"/>
  <c r="AC752" i="67"/>
  <c r="AC600" i="67"/>
  <c r="AC295" i="67"/>
  <c r="V769" i="67"/>
  <c r="V314" i="67"/>
  <c r="V618" i="67"/>
  <c r="AL519" i="67"/>
  <c r="AL214" i="67"/>
  <c r="AL671" i="67"/>
  <c r="AL61" i="67"/>
  <c r="AL367" i="67"/>
  <c r="AL822" i="67"/>
  <c r="AO599" i="67"/>
  <c r="AO141" i="67"/>
  <c r="AO447" i="67"/>
  <c r="AO751" i="67"/>
  <c r="AO294" i="67"/>
  <c r="AO902" i="67"/>
  <c r="AO886" i="67"/>
  <c r="AO278" i="67"/>
  <c r="AO583" i="67"/>
  <c r="AO125" i="67"/>
  <c r="AO431" i="67"/>
  <c r="AO735" i="67"/>
  <c r="AR141" i="67"/>
  <c r="AR902" i="67"/>
  <c r="AR447" i="67"/>
  <c r="AR751" i="67"/>
  <c r="AR599" i="67"/>
  <c r="AR294" i="67"/>
  <c r="AR886" i="67"/>
  <c r="AR735" i="67"/>
  <c r="AR125" i="67"/>
  <c r="AR583" i="67"/>
  <c r="AR431" i="67"/>
  <c r="AR278" i="67"/>
  <c r="AT632" i="67"/>
  <c r="AT22" i="67"/>
  <c r="AT328" i="67"/>
  <c r="AT175" i="67"/>
  <c r="AT480" i="67"/>
  <c r="AT783" i="67"/>
  <c r="AM769" i="67"/>
  <c r="AM314" i="67"/>
  <c r="AM618" i="67"/>
  <c r="AB448" i="67"/>
  <c r="AB752" i="67"/>
  <c r="AB600" i="67"/>
  <c r="AB903" i="67"/>
  <c r="AB295" i="67"/>
  <c r="AB142" i="67"/>
  <c r="AG193" i="67"/>
  <c r="AG801" i="67"/>
  <c r="AG40" i="67"/>
  <c r="AG650" i="67"/>
  <c r="AG498" i="67"/>
  <c r="AG346" i="67"/>
  <c r="AG887" i="67"/>
  <c r="AG736" i="67"/>
  <c r="AG584" i="67"/>
  <c r="AG126" i="67"/>
  <c r="AG279" i="67"/>
  <c r="AG432" i="67"/>
  <c r="AG367" i="67"/>
  <c r="AG519" i="67"/>
  <c r="AG822" i="67"/>
  <c r="AG671" i="67"/>
  <c r="AG214" i="67"/>
  <c r="AG61" i="67"/>
  <c r="AA632" i="67"/>
  <c r="Z126" i="67"/>
  <c r="Z279" i="67"/>
  <c r="Z432" i="67"/>
  <c r="Z887" i="67"/>
  <c r="Z736" i="67"/>
  <c r="Z584" i="67"/>
  <c r="Z903" i="67"/>
  <c r="Z600" i="67"/>
  <c r="Z142" i="67"/>
  <c r="Z448" i="67"/>
  <c r="Z752" i="67"/>
  <c r="Z295" i="67"/>
  <c r="AN632" i="67"/>
  <c r="AN22" i="67"/>
  <c r="AN175" i="67"/>
  <c r="AN480" i="67"/>
  <c r="AN783" i="67"/>
  <c r="AN328" i="67"/>
  <c r="AO800" i="67"/>
  <c r="AO649" i="67"/>
  <c r="AO497" i="67"/>
  <c r="AO192" i="67"/>
  <c r="AO345" i="67"/>
  <c r="AO39" i="67"/>
  <c r="AP752" i="67"/>
  <c r="AP903" i="67"/>
  <c r="AP295" i="67"/>
  <c r="AP600" i="67"/>
  <c r="AP448" i="67"/>
  <c r="AP142" i="67"/>
  <c r="AP141" i="67"/>
  <c r="AP902" i="67"/>
  <c r="AP751" i="67"/>
  <c r="AP599" i="67"/>
  <c r="AP294" i="67"/>
  <c r="AP447" i="67"/>
  <c r="AR432" i="67"/>
  <c r="AR887" i="67"/>
  <c r="AR736" i="67"/>
  <c r="AR584" i="67"/>
  <c r="AR126" i="67"/>
  <c r="AR279" i="67"/>
  <c r="AS632" i="67"/>
  <c r="AS22" i="67"/>
  <c r="AS175" i="67"/>
  <c r="AS480" i="67"/>
  <c r="AS783" i="67"/>
  <c r="AS328" i="67"/>
  <c r="AT431" i="67"/>
  <c r="AT125" i="67"/>
  <c r="AT583" i="67"/>
  <c r="AT735" i="67"/>
  <c r="AT886" i="67"/>
  <c r="AT278" i="67"/>
  <c r="U519" i="67"/>
  <c r="U61" i="67"/>
  <c r="U822" i="67"/>
  <c r="U214" i="67"/>
  <c r="U367" i="67"/>
  <c r="U671" i="67"/>
  <c r="AK314" i="67"/>
  <c r="AK618" i="67"/>
  <c r="AK769" i="67"/>
  <c r="AK736" i="67"/>
  <c r="AK279" i="67"/>
  <c r="AK126" i="67"/>
  <c r="AK432" i="67"/>
  <c r="AK887" i="67"/>
  <c r="AK584" i="67"/>
  <c r="AI822" i="67"/>
  <c r="AI671" i="67"/>
  <c r="AI214" i="67"/>
  <c r="AI61" i="67"/>
  <c r="AI367" i="67"/>
  <c r="AI519" i="67"/>
  <c r="AD783" i="67"/>
  <c r="AD328" i="67"/>
  <c r="AD175" i="67"/>
  <c r="AD22" i="67"/>
  <c r="AD480" i="67"/>
  <c r="AD632" i="67"/>
  <c r="AD346" i="67"/>
  <c r="AD498" i="67"/>
  <c r="AD650" i="67"/>
  <c r="AD801" i="67"/>
  <c r="AD40" i="67"/>
  <c r="AD193" i="67"/>
  <c r="AM902" i="67"/>
  <c r="AM294" i="67"/>
  <c r="AM599" i="67"/>
  <c r="AM447" i="67"/>
  <c r="AM141" i="67"/>
  <c r="AM751" i="67"/>
  <c r="AS583" i="67"/>
  <c r="AS125" i="67"/>
  <c r="AS431" i="67"/>
  <c r="AS278" i="67"/>
  <c r="AS735" i="67"/>
  <c r="AS886" i="67"/>
  <c r="AT768" i="67"/>
  <c r="AT617" i="67"/>
  <c r="T40" i="67"/>
  <c r="T193" i="67"/>
  <c r="T498" i="67"/>
  <c r="T801" i="67"/>
  <c r="T346" i="67"/>
  <c r="T650" i="67"/>
  <c r="AJ584" i="67"/>
  <c r="AJ126" i="67"/>
  <c r="AJ279" i="67"/>
  <c r="AJ432" i="67"/>
  <c r="AJ887" i="67"/>
  <c r="AJ736" i="67"/>
  <c r="AV887" i="67"/>
  <c r="AV649" i="67"/>
  <c r="AV345" i="67"/>
  <c r="AV800" i="67"/>
  <c r="AV39" i="67"/>
  <c r="AV192" i="67"/>
  <c r="AV497" i="67"/>
  <c r="L750" i="67"/>
  <c r="L598" i="67"/>
  <c r="L446" i="67"/>
  <c r="L901" i="67"/>
  <c r="L293" i="67"/>
  <c r="L140" i="67"/>
  <c r="M380" i="67"/>
  <c r="M532" i="67"/>
  <c r="M835" i="67"/>
  <c r="M74" i="67"/>
  <c r="M227" i="67"/>
  <c r="M684" i="67"/>
  <c r="M381" i="67"/>
  <c r="M228" i="67"/>
  <c r="M533" i="67"/>
  <c r="M836" i="67"/>
  <c r="M75" i="67"/>
  <c r="M685" i="67"/>
  <c r="AW448" i="67"/>
  <c r="AW600" i="67"/>
  <c r="AW295" i="67"/>
  <c r="AW142" i="67"/>
  <c r="AW903" i="67"/>
  <c r="AW752" i="67"/>
  <c r="L211" i="67"/>
  <c r="L364" i="67"/>
  <c r="L819" i="67"/>
  <c r="L58" i="67"/>
  <c r="L516" i="67"/>
  <c r="AW783" i="67"/>
  <c r="AW480" i="67"/>
  <c r="AW22" i="67"/>
  <c r="AW175" i="67"/>
  <c r="AW328" i="67"/>
  <c r="AW632" i="67"/>
  <c r="AU432" i="67"/>
  <c r="AU887" i="67"/>
  <c r="AU584" i="67"/>
  <c r="AU736" i="67"/>
  <c r="AU126" i="67"/>
  <c r="AU279" i="67"/>
  <c r="AU632" i="67"/>
  <c r="AU175" i="67"/>
  <c r="AU328" i="67"/>
  <c r="AU22" i="67"/>
  <c r="AU783" i="67"/>
  <c r="AU480" i="67"/>
  <c r="AU431" i="67"/>
  <c r="AU886" i="67"/>
  <c r="AU583" i="67"/>
  <c r="AU735" i="67"/>
  <c r="AU125" i="67"/>
  <c r="AU278" i="67"/>
  <c r="AU837" i="67"/>
  <c r="AU534" i="67"/>
  <c r="AU382" i="67"/>
  <c r="AU686" i="67"/>
  <c r="AU229" i="67"/>
  <c r="AU76" i="67"/>
  <c r="R615" i="67"/>
  <c r="R766" i="67"/>
  <c r="P884" i="67"/>
  <c r="P276" i="67"/>
  <c r="P581" i="67"/>
  <c r="P123" i="67"/>
  <c r="P429" i="67"/>
  <c r="P733" i="67"/>
  <c r="O749" i="67"/>
  <c r="O900" i="67"/>
  <c r="O597" i="67"/>
  <c r="O292" i="67"/>
  <c r="O139" i="67"/>
  <c r="O445" i="67"/>
  <c r="O766" i="67"/>
  <c r="O615" i="67"/>
  <c r="Q343" i="67"/>
  <c r="Q647" i="67"/>
  <c r="Q37" i="67"/>
  <c r="Q495" i="67"/>
  <c r="Q190" i="67"/>
  <c r="Q798" i="67"/>
  <c r="S799" i="67"/>
  <c r="S191" i="67"/>
  <c r="S648" i="67"/>
  <c r="S344" i="67"/>
  <c r="S496" i="67"/>
  <c r="S38" i="67"/>
  <c r="F160" i="65"/>
  <c r="N326" i="67"/>
  <c r="N478" i="67"/>
  <c r="N173" i="67"/>
  <c r="N630" i="67"/>
  <c r="N20" i="67"/>
  <c r="N781" i="67"/>
  <c r="N648" i="67"/>
  <c r="N38" i="67"/>
  <c r="N344" i="67"/>
  <c r="N496" i="67"/>
  <c r="N799" i="67"/>
  <c r="N191" i="67"/>
  <c r="P380" i="67"/>
  <c r="P684" i="67"/>
  <c r="P835" i="67"/>
  <c r="P532" i="67"/>
  <c r="P227" i="67"/>
  <c r="P74" i="67"/>
  <c r="M171" i="67"/>
  <c r="R380" i="67"/>
  <c r="R835" i="67"/>
  <c r="R684" i="67"/>
  <c r="R227" i="67"/>
  <c r="R74" i="67"/>
  <c r="R532" i="67"/>
  <c r="N628" i="67"/>
  <c r="N476" i="67"/>
  <c r="N18" i="67"/>
  <c r="N324" i="67"/>
  <c r="N171" i="67"/>
  <c r="S797" i="67"/>
  <c r="S646" i="67"/>
  <c r="S494" i="67"/>
  <c r="S189" i="67"/>
  <c r="S342" i="67"/>
  <c r="S36" i="67"/>
  <c r="S596" i="67"/>
  <c r="S899" i="67"/>
  <c r="S444" i="67"/>
  <c r="S138" i="67"/>
  <c r="S748" i="67"/>
  <c r="S291" i="67"/>
  <c r="P275" i="67"/>
  <c r="P122" i="67"/>
  <c r="P883" i="67"/>
  <c r="P428" i="67"/>
  <c r="P732" i="67"/>
  <c r="P580" i="67"/>
  <c r="P628" i="67"/>
  <c r="P18" i="67"/>
  <c r="P171" i="67"/>
  <c r="P324" i="67"/>
  <c r="P476" i="67"/>
  <c r="P614" i="67"/>
  <c r="P765" i="67"/>
  <c r="U616" i="67"/>
  <c r="U767" i="67"/>
  <c r="W191" i="67"/>
  <c r="W648" i="67"/>
  <c r="W496" i="67"/>
  <c r="W799" i="67"/>
  <c r="W38" i="67"/>
  <c r="W344" i="67"/>
  <c r="T139" i="67"/>
  <c r="T445" i="67"/>
  <c r="T597" i="67"/>
  <c r="T749" i="67"/>
  <c r="T900" i="67"/>
  <c r="T292" i="67"/>
  <c r="U19" i="67"/>
  <c r="U798" i="67"/>
  <c r="U37" i="67"/>
  <c r="U123" i="67"/>
  <c r="U276" i="67"/>
  <c r="U429" i="67"/>
  <c r="U884" i="67"/>
  <c r="U581" i="67"/>
  <c r="U733" i="67"/>
  <c r="V648" i="67"/>
  <c r="V496" i="67"/>
  <c r="V38" i="67"/>
  <c r="V799" i="67"/>
  <c r="V344" i="67"/>
  <c r="V191" i="67"/>
  <c r="X685" i="67"/>
  <c r="X533" i="67"/>
  <c r="X75" i="67"/>
  <c r="X228" i="67"/>
  <c r="X381" i="67"/>
  <c r="X836" i="67"/>
  <c r="Z835" i="67"/>
  <c r="Z74" i="67"/>
  <c r="Z380" i="67"/>
  <c r="Z684" i="67"/>
  <c r="Z532" i="67"/>
  <c r="Z227" i="67"/>
  <c r="X818" i="67"/>
  <c r="X363" i="67"/>
  <c r="X210" i="67"/>
  <c r="X57" i="67"/>
  <c r="X515" i="67"/>
  <c r="Z596" i="67"/>
  <c r="Z444" i="67"/>
  <c r="Z291" i="67"/>
  <c r="Z748" i="67"/>
  <c r="Z138" i="67"/>
  <c r="Z899" i="67"/>
  <c r="AE733" i="67"/>
  <c r="AE276" i="67"/>
  <c r="AE123" i="67"/>
  <c r="AE429" i="67"/>
  <c r="AE884" i="67"/>
  <c r="AE581" i="67"/>
  <c r="AA190" i="67"/>
  <c r="AA647" i="67"/>
  <c r="AA798" i="67"/>
  <c r="AA343" i="67"/>
  <c r="AA37" i="67"/>
  <c r="AA495" i="67"/>
  <c r="W596" i="67"/>
  <c r="W748" i="67"/>
  <c r="W291" i="67"/>
  <c r="W899" i="67"/>
  <c r="W444" i="67"/>
  <c r="W138" i="67"/>
  <c r="S161" i="65"/>
  <c r="P159" i="65"/>
  <c r="AE766" i="67"/>
  <c r="AE615" i="67"/>
  <c r="AE74" i="67"/>
  <c r="AE380" i="67"/>
  <c r="AE227" i="67"/>
  <c r="AE835" i="67"/>
  <c r="AE684" i="67"/>
  <c r="AE532" i="67"/>
  <c r="AB818" i="67"/>
  <c r="AB57" i="67"/>
  <c r="AG766" i="67"/>
  <c r="AG615" i="67"/>
  <c r="Z428" i="67"/>
  <c r="Z275" i="67"/>
  <c r="Z732" i="67"/>
  <c r="Z122" i="67"/>
  <c r="Z580" i="67"/>
  <c r="Z883" i="67"/>
  <c r="AB765" i="67"/>
  <c r="AB614" i="67"/>
  <c r="AA767" i="67"/>
  <c r="AA616" i="67"/>
  <c r="X324" i="67"/>
  <c r="X18" i="67"/>
  <c r="X171" i="67"/>
  <c r="X628" i="67"/>
  <c r="X476" i="67"/>
  <c r="X614" i="67"/>
  <c r="X765" i="67"/>
  <c r="X580" i="67"/>
  <c r="X275" i="67"/>
  <c r="X122" i="67"/>
  <c r="X428" i="67"/>
  <c r="X883" i="67"/>
  <c r="X732" i="67"/>
  <c r="AR53" i="68"/>
  <c r="Y291" i="67"/>
  <c r="Y748" i="67"/>
  <c r="Y444" i="67"/>
  <c r="Y596" i="67"/>
  <c r="Y138" i="67"/>
  <c r="Y899" i="67"/>
  <c r="AD766" i="67"/>
  <c r="AD615" i="67"/>
  <c r="AD59" i="67"/>
  <c r="AD517" i="67"/>
  <c r="AD212" i="67"/>
  <c r="AD820" i="67"/>
  <c r="AD365" i="67"/>
  <c r="AE171" i="67"/>
  <c r="AE628" i="67"/>
  <c r="AE476" i="67"/>
  <c r="AE324" i="67"/>
  <c r="AE18" i="67"/>
  <c r="AI430" i="67"/>
  <c r="AI277" i="67"/>
  <c r="AI124" i="67"/>
  <c r="AI734" i="67"/>
  <c r="AI885" i="67"/>
  <c r="AI582" i="67"/>
  <c r="AJ532" i="67"/>
  <c r="AJ380" i="67"/>
  <c r="AJ835" i="67"/>
  <c r="AJ684" i="67"/>
  <c r="AJ227" i="67"/>
  <c r="AJ74" i="67"/>
  <c r="AJ171" i="67"/>
  <c r="AJ324" i="67"/>
  <c r="AJ628" i="67"/>
  <c r="AJ476" i="67"/>
  <c r="AJ18" i="67"/>
  <c r="AL750" i="67"/>
  <c r="AL293" i="67"/>
  <c r="AL598" i="67"/>
  <c r="AL446" i="67"/>
  <c r="AL140" i="67"/>
  <c r="AL901" i="67"/>
  <c r="AL616" i="67"/>
  <c r="AL767" i="67"/>
  <c r="AN276" i="67"/>
  <c r="AN733" i="67"/>
  <c r="AN884" i="67"/>
  <c r="AN429" i="67"/>
  <c r="AN123" i="67"/>
  <c r="AN581" i="67"/>
  <c r="AP767" i="67"/>
  <c r="AP616" i="67"/>
  <c r="AD765" i="67"/>
  <c r="AD614" i="67"/>
  <c r="AD494" i="67"/>
  <c r="AD646" i="67"/>
  <c r="AD189" i="67"/>
  <c r="AD797" i="67"/>
  <c r="AD342" i="67"/>
  <c r="AD36" i="67"/>
  <c r="AD18" i="67"/>
  <c r="AD324" i="67"/>
  <c r="AD171" i="67"/>
  <c r="AD476" i="67"/>
  <c r="AD628" i="67"/>
  <c r="AK615" i="67"/>
  <c r="AK766" i="67"/>
  <c r="AL596" i="67"/>
  <c r="AL138" i="67"/>
  <c r="AL444" i="67"/>
  <c r="AL899" i="67"/>
  <c r="AL291" i="67"/>
  <c r="AL748" i="67"/>
  <c r="AL885" i="67"/>
  <c r="AL734" i="67"/>
  <c r="AL277" i="67"/>
  <c r="AL124" i="67"/>
  <c r="AL430" i="67"/>
  <c r="AL582" i="67"/>
  <c r="AL276" i="67"/>
  <c r="AL733" i="67"/>
  <c r="AL884" i="67"/>
  <c r="AL581" i="67"/>
  <c r="AL123" i="67"/>
  <c r="AL429" i="67"/>
  <c r="AM798" i="67"/>
  <c r="AM495" i="67"/>
  <c r="AM343" i="67"/>
  <c r="AM37" i="67"/>
  <c r="AM647" i="67"/>
  <c r="AM190" i="67"/>
  <c r="AN190" i="67"/>
  <c r="AN343" i="67"/>
  <c r="AN495" i="67"/>
  <c r="AN647" i="67"/>
  <c r="AN798" i="67"/>
  <c r="AN37" i="67"/>
  <c r="AE160" i="65"/>
  <c r="AQ325" i="67"/>
  <c r="AQ19" i="67"/>
  <c r="AQ629" i="67"/>
  <c r="AQ172" i="67"/>
  <c r="AQ477" i="67"/>
  <c r="AH900" i="67"/>
  <c r="AH749" i="67"/>
  <c r="AH139" i="67"/>
  <c r="AH292" i="67"/>
  <c r="AH597" i="67"/>
  <c r="AH445" i="67"/>
  <c r="AF748" i="67"/>
  <c r="AF596" i="67"/>
  <c r="AF138" i="67"/>
  <c r="AF899" i="67"/>
  <c r="AF291" i="67"/>
  <c r="AF444" i="67"/>
  <c r="AF883" i="67"/>
  <c r="AF275" i="67"/>
  <c r="AF122" i="67"/>
  <c r="AF580" i="67"/>
  <c r="AF428" i="67"/>
  <c r="AF732" i="67"/>
  <c r="AF646" i="67"/>
  <c r="AF36" i="67"/>
  <c r="AF797" i="67"/>
  <c r="AF494" i="67"/>
  <c r="AF342" i="67"/>
  <c r="AF189" i="67"/>
  <c r="AK733" i="67"/>
  <c r="AL342" i="67"/>
  <c r="AH324" i="67"/>
  <c r="AH476" i="67"/>
  <c r="AM615" i="67"/>
  <c r="AM766" i="67"/>
  <c r="AO430" i="67"/>
  <c r="AO734" i="67"/>
  <c r="AO885" i="67"/>
  <c r="AO582" i="67"/>
  <c r="AO124" i="67"/>
  <c r="AO277" i="67"/>
  <c r="AP430" i="67"/>
  <c r="AP124" i="67"/>
  <c r="AP885" i="67"/>
  <c r="AP734" i="67"/>
  <c r="AP582" i="67"/>
  <c r="AP277" i="67"/>
  <c r="AQ597" i="67"/>
  <c r="AQ292" i="67"/>
  <c r="AQ749" i="67"/>
  <c r="AQ139" i="67"/>
  <c r="AQ445" i="67"/>
  <c r="AQ900" i="67"/>
  <c r="AG58" i="67"/>
  <c r="AG819" i="67"/>
  <c r="AG211" i="67"/>
  <c r="AG364" i="67"/>
  <c r="AG516" i="67"/>
  <c r="AI614" i="67"/>
  <c r="AI765" i="67"/>
  <c r="AJ292" i="67"/>
  <c r="AJ139" i="67"/>
  <c r="AJ900" i="67"/>
  <c r="AJ749" i="67"/>
  <c r="AJ445" i="67"/>
  <c r="AJ597" i="67"/>
  <c r="AJ767" i="67"/>
  <c r="AJ616" i="67"/>
  <c r="AM835" i="67"/>
  <c r="AM684" i="67"/>
  <c r="AM74" i="67"/>
  <c r="AM227" i="67"/>
  <c r="AM532" i="67"/>
  <c r="AM380" i="67"/>
  <c r="AN533" i="67"/>
  <c r="AN685" i="67"/>
  <c r="AN228" i="67"/>
  <c r="AN75" i="67"/>
  <c r="AN836" i="67"/>
  <c r="AN381" i="67"/>
  <c r="AQ581" i="67"/>
  <c r="AQ123" i="67"/>
  <c r="AQ429" i="67"/>
  <c r="AQ276" i="67"/>
  <c r="AQ733" i="67"/>
  <c r="AQ884" i="67"/>
  <c r="AT124" i="67"/>
  <c r="AT734" i="67"/>
  <c r="AT430" i="67"/>
  <c r="AT277" i="67"/>
  <c r="AT885" i="67"/>
  <c r="AT582" i="67"/>
  <c r="AV139" i="67"/>
  <c r="AV292" i="67"/>
  <c r="AV900" i="67"/>
  <c r="AV445" i="67"/>
  <c r="AV597" i="67"/>
  <c r="AV749" i="67"/>
  <c r="AW766" i="67"/>
  <c r="AW615" i="67"/>
  <c r="AM161" i="65"/>
  <c r="AN324" i="67"/>
  <c r="AN18" i="67"/>
  <c r="AN628" i="67"/>
  <c r="AN171" i="67"/>
  <c r="AN476" i="67"/>
  <c r="AN122" i="67"/>
  <c r="AN428" i="67"/>
  <c r="AN580" i="67"/>
  <c r="AN883" i="67"/>
  <c r="AN275" i="67"/>
  <c r="AN732" i="67"/>
  <c r="AU190" i="67"/>
  <c r="AU647" i="67"/>
  <c r="AU798" i="67"/>
  <c r="AU495" i="67"/>
  <c r="AU37" i="67"/>
  <c r="AU343" i="67"/>
  <c r="AU324" i="67"/>
  <c r="AU18" i="67"/>
  <c r="AU171" i="67"/>
  <c r="AU628" i="67"/>
  <c r="AU476" i="67"/>
  <c r="AV189" i="67"/>
  <c r="AQ885" i="67"/>
  <c r="AQ277" i="67"/>
  <c r="AQ124" i="67"/>
  <c r="AQ734" i="67"/>
  <c r="AQ430" i="67"/>
  <c r="AQ582" i="67"/>
  <c r="AQ630" i="67"/>
  <c r="AQ781" i="67"/>
  <c r="AQ20" i="67"/>
  <c r="AQ173" i="67"/>
  <c r="AQ326" i="67"/>
  <c r="AQ478" i="67"/>
  <c r="AR767" i="67"/>
  <c r="AR616" i="67"/>
  <c r="AR173" i="67"/>
  <c r="AR20" i="67"/>
  <c r="AR630" i="67"/>
  <c r="AR478" i="67"/>
  <c r="AR781" i="67"/>
  <c r="AR326" i="67"/>
  <c r="AR430" i="67"/>
  <c r="AR124" i="67"/>
  <c r="AR582" i="67"/>
  <c r="AR734" i="67"/>
  <c r="AR277" i="67"/>
  <c r="AR885" i="67"/>
  <c r="AU616" i="67"/>
  <c r="AU767" i="67"/>
  <c r="AV616" i="67"/>
  <c r="AV767" i="67"/>
  <c r="AS899" i="67"/>
  <c r="AS766" i="67"/>
  <c r="AS615" i="67"/>
  <c r="AJ161" i="65"/>
  <c r="AT767" i="67"/>
  <c r="AT616" i="67"/>
  <c r="AU38" i="67"/>
  <c r="AU191" i="67"/>
  <c r="AU344" i="67"/>
  <c r="AU799" i="67"/>
  <c r="AU648" i="67"/>
  <c r="AU496" i="67"/>
  <c r="AU781" i="67"/>
  <c r="AU20" i="67"/>
  <c r="AU326" i="67"/>
  <c r="AU478" i="67"/>
  <c r="AU630" i="67"/>
  <c r="AU173" i="67"/>
  <c r="AV628" i="67"/>
  <c r="AV476" i="67"/>
  <c r="AV324" i="67"/>
  <c r="AV171" i="67"/>
  <c r="AV18" i="67"/>
  <c r="AL159" i="65"/>
  <c r="N801" i="67"/>
  <c r="N498" i="67"/>
  <c r="N328" i="67"/>
  <c r="N480" i="67"/>
  <c r="N632" i="67"/>
  <c r="N175" i="67"/>
  <c r="N783" i="67"/>
  <c r="N22" i="67"/>
  <c r="L367" i="67"/>
  <c r="L214" i="67"/>
  <c r="L519" i="67"/>
  <c r="L61" i="67"/>
  <c r="L822" i="67"/>
  <c r="L671" i="67"/>
  <c r="M367" i="67"/>
  <c r="M519" i="67"/>
  <c r="M671" i="67"/>
  <c r="M822" i="67"/>
  <c r="M61" i="67"/>
  <c r="M214" i="67"/>
  <c r="O599" i="67"/>
  <c r="O751" i="67"/>
  <c r="O141" i="67"/>
  <c r="O294" i="67"/>
  <c r="O902" i="67"/>
  <c r="O447" i="67"/>
  <c r="P279" i="67"/>
  <c r="P736" i="67"/>
  <c r="P887" i="67"/>
  <c r="P584" i="67"/>
  <c r="P126" i="67"/>
  <c r="P432" i="67"/>
  <c r="N174" i="67"/>
  <c r="N782" i="67"/>
  <c r="N21" i="67"/>
  <c r="N631" i="67"/>
  <c r="N479" i="67"/>
  <c r="N327" i="67"/>
  <c r="P141" i="67"/>
  <c r="P294" i="67"/>
  <c r="P902" i="67"/>
  <c r="P447" i="67"/>
  <c r="P751" i="67"/>
  <c r="P599" i="67"/>
  <c r="O618" i="67"/>
  <c r="O314" i="67"/>
  <c r="O769" i="67"/>
  <c r="Q431" i="67"/>
  <c r="Q735" i="67"/>
  <c r="Q278" i="67"/>
  <c r="Q583" i="67"/>
  <c r="Q125" i="67"/>
  <c r="Q886" i="67"/>
  <c r="Q782" i="67"/>
  <c r="Q327" i="67"/>
  <c r="Q21" i="67"/>
  <c r="Q631" i="67"/>
  <c r="Q174" i="67"/>
  <c r="Q479" i="67"/>
  <c r="R22" i="67"/>
  <c r="R328" i="67"/>
  <c r="R783" i="67"/>
  <c r="R480" i="67"/>
  <c r="R632" i="67"/>
  <c r="R175" i="67"/>
  <c r="R76" i="67"/>
  <c r="R382" i="67"/>
  <c r="R686" i="67"/>
  <c r="R229" i="67"/>
  <c r="R837" i="67"/>
  <c r="R534" i="67"/>
  <c r="R498" i="67"/>
  <c r="R193" i="67"/>
  <c r="R40" i="67"/>
  <c r="R801" i="67"/>
  <c r="R346" i="67"/>
  <c r="R650" i="67"/>
  <c r="Q519" i="67"/>
  <c r="Q671" i="67"/>
  <c r="Q214" i="67"/>
  <c r="Q822" i="67"/>
  <c r="Q367" i="67"/>
  <c r="Q61" i="67"/>
  <c r="R599" i="67"/>
  <c r="R447" i="67"/>
  <c r="R751" i="67"/>
  <c r="R294" i="67"/>
  <c r="R902" i="67"/>
  <c r="R141" i="67"/>
  <c r="S617" i="67"/>
  <c r="S768" i="67"/>
  <c r="S479" i="67"/>
  <c r="S21" i="67"/>
  <c r="S174" i="67"/>
  <c r="S782" i="67"/>
  <c r="S327" i="67"/>
  <c r="S631" i="67"/>
  <c r="U782" i="67"/>
  <c r="U174" i="67"/>
  <c r="U21" i="67"/>
  <c r="U631" i="67"/>
  <c r="U327" i="67"/>
  <c r="U479" i="67"/>
  <c r="V294" i="67"/>
  <c r="V447" i="67"/>
  <c r="V141" i="67"/>
  <c r="V902" i="67"/>
  <c r="V751" i="67"/>
  <c r="V599" i="67"/>
  <c r="W649" i="67"/>
  <c r="W345" i="67"/>
  <c r="W497" i="67"/>
  <c r="W800" i="67"/>
  <c r="W192" i="67"/>
  <c r="W39" i="67"/>
  <c r="X229" i="67"/>
  <c r="X382" i="67"/>
  <c r="X686" i="67"/>
  <c r="X837" i="67"/>
  <c r="X534" i="67"/>
  <c r="X76" i="67"/>
  <c r="AB479" i="67"/>
  <c r="AB782" i="67"/>
  <c r="AB174" i="67"/>
  <c r="AB327" i="67"/>
  <c r="AB631" i="67"/>
  <c r="AB21" i="67"/>
  <c r="AA447" i="67"/>
  <c r="AA599" i="67"/>
  <c r="AA751" i="67"/>
  <c r="AA294" i="67"/>
  <c r="AA141" i="67"/>
  <c r="AA902" i="67"/>
  <c r="AA327" i="67"/>
  <c r="AA21" i="67"/>
  <c r="AA631" i="67"/>
  <c r="AA782" i="67"/>
  <c r="AA174" i="67"/>
  <c r="AA479" i="67"/>
  <c r="X431" i="67"/>
  <c r="X735" i="67"/>
  <c r="X583" i="67"/>
  <c r="X278" i="67"/>
  <c r="X886" i="67"/>
  <c r="X125" i="67"/>
  <c r="AB649" i="67"/>
  <c r="AB39" i="67"/>
  <c r="AB497" i="67"/>
  <c r="AB800" i="67"/>
  <c r="AB192" i="67"/>
  <c r="AB345" i="67"/>
  <c r="AG447" i="67"/>
  <c r="AG294" i="67"/>
  <c r="AG141" i="67"/>
  <c r="AG599" i="67"/>
  <c r="AG902" i="67"/>
  <c r="AG751" i="67"/>
  <c r="AC782" i="67"/>
  <c r="AC479" i="67"/>
  <c r="AC21" i="67"/>
  <c r="AC327" i="67"/>
  <c r="AC174" i="67"/>
  <c r="AC631" i="67"/>
  <c r="AC768" i="67"/>
  <c r="AC617" i="67"/>
  <c r="AE327" i="67"/>
  <c r="AE631" i="67"/>
  <c r="AE21" i="67"/>
  <c r="AE174" i="67"/>
  <c r="AE479" i="67"/>
  <c r="AE782" i="67"/>
  <c r="AG768" i="67"/>
  <c r="AG617" i="67"/>
  <c r="AF617" i="67"/>
  <c r="AF768" i="67"/>
  <c r="AD447" i="67"/>
  <c r="AD141" i="67"/>
  <c r="AD902" i="67"/>
  <c r="AD751" i="67"/>
  <c r="AD599" i="67"/>
  <c r="AD294" i="67"/>
  <c r="AH768" i="67"/>
  <c r="AH617" i="67"/>
  <c r="AJ800" i="67"/>
  <c r="AJ39" i="67"/>
  <c r="AJ192" i="67"/>
  <c r="AJ497" i="67"/>
  <c r="AJ345" i="67"/>
  <c r="AJ649" i="67"/>
  <c r="AK617" i="67"/>
  <c r="AK768" i="67"/>
  <c r="AH141" i="67"/>
  <c r="AH294" i="67"/>
  <c r="AH447" i="67"/>
  <c r="AH902" i="67"/>
  <c r="AH751" i="67"/>
  <c r="AH599" i="67"/>
  <c r="AJ782" i="67"/>
  <c r="AJ479" i="67"/>
  <c r="AJ327" i="67"/>
  <c r="AJ631" i="67"/>
  <c r="AJ174" i="67"/>
  <c r="AJ21" i="67"/>
  <c r="AN617" i="67"/>
  <c r="AN768" i="67"/>
  <c r="AQ583" i="67"/>
  <c r="AQ125" i="67"/>
  <c r="AQ278" i="67"/>
  <c r="AQ431" i="67"/>
  <c r="AQ886" i="67"/>
  <c r="AQ735" i="67"/>
  <c r="AS193" i="67"/>
  <c r="AS346" i="67"/>
  <c r="AS40" i="67"/>
  <c r="AS801" i="67"/>
  <c r="AS498" i="67"/>
  <c r="AS650" i="67"/>
  <c r="AT800" i="67"/>
  <c r="AT345" i="67"/>
  <c r="AT649" i="67"/>
  <c r="AT192" i="67"/>
  <c r="AT39" i="67"/>
  <c r="AT497" i="67"/>
  <c r="AE498" i="67"/>
  <c r="AE650" i="67"/>
  <c r="X193" i="67"/>
  <c r="X40" i="67"/>
  <c r="X650" i="67"/>
  <c r="X346" i="67"/>
  <c r="X498" i="67"/>
  <c r="X801" i="67"/>
  <c r="X314" i="67"/>
  <c r="X618" i="67"/>
  <c r="X769" i="67"/>
  <c r="AL783" i="67"/>
  <c r="AL632" i="67"/>
  <c r="AL175" i="67"/>
  <c r="AL480" i="67"/>
  <c r="AL328" i="67"/>
  <c r="AL22" i="67"/>
  <c r="AL432" i="67"/>
  <c r="AL736" i="67"/>
  <c r="AL887" i="67"/>
  <c r="AL279" i="67"/>
  <c r="AL584" i="67"/>
  <c r="AL126" i="67"/>
  <c r="AN61" i="67"/>
  <c r="AN519" i="67"/>
  <c r="AN214" i="67"/>
  <c r="AN822" i="67"/>
  <c r="AN367" i="67"/>
  <c r="AN671" i="67"/>
  <c r="AQ887" i="67"/>
  <c r="AQ736" i="67"/>
  <c r="AQ126" i="67"/>
  <c r="AQ584" i="67"/>
  <c r="AQ432" i="67"/>
  <c r="AQ279" i="67"/>
  <c r="AT887" i="67"/>
  <c r="AT584" i="67"/>
  <c r="AT126" i="67"/>
  <c r="AT736" i="67"/>
  <c r="AT432" i="67"/>
  <c r="AT279" i="67"/>
  <c r="AM214" i="67"/>
  <c r="AM671" i="67"/>
  <c r="AM822" i="67"/>
  <c r="AM519" i="67"/>
  <c r="AM367" i="67"/>
  <c r="AM61" i="67"/>
  <c r="AM142" i="67"/>
  <c r="AM903" i="67"/>
  <c r="AM448" i="67"/>
  <c r="AM752" i="67"/>
  <c r="AM600" i="67"/>
  <c r="AM295" i="67"/>
  <c r="AM193" i="67"/>
  <c r="AM346" i="67"/>
  <c r="AM40" i="67"/>
  <c r="AM801" i="67"/>
  <c r="AM498" i="67"/>
  <c r="AM650" i="67"/>
  <c r="AB519" i="67"/>
  <c r="AB214" i="67"/>
  <c r="AB671" i="67"/>
  <c r="AB61" i="67"/>
  <c r="AB367" i="67"/>
  <c r="AB822" i="67"/>
  <c r="AB736" i="67"/>
  <c r="AB126" i="67"/>
  <c r="AB584" i="67"/>
  <c r="AB432" i="67"/>
  <c r="AB279" i="67"/>
  <c r="AB887" i="67"/>
  <c r="AG903" i="67"/>
  <c r="AG752" i="67"/>
  <c r="AG600" i="67"/>
  <c r="AG142" i="67"/>
  <c r="AG295" i="67"/>
  <c r="AG448" i="67"/>
  <c r="AA769" i="67"/>
  <c r="Z193" i="67"/>
  <c r="Z650" i="67"/>
  <c r="AO631" i="67"/>
  <c r="AO479" i="67"/>
  <c r="AO327" i="67"/>
  <c r="AO174" i="67"/>
  <c r="AO782" i="67"/>
  <c r="AO21" i="67"/>
  <c r="AT142" i="67"/>
  <c r="AT295" i="67"/>
  <c r="AT903" i="67"/>
  <c r="AT448" i="67"/>
  <c r="AT752" i="67"/>
  <c r="AT600" i="67"/>
  <c r="AF822" i="67"/>
  <c r="AF214" i="67"/>
  <c r="AF367" i="67"/>
  <c r="AF671" i="67"/>
  <c r="AF519" i="67"/>
  <c r="AF61" i="67"/>
  <c r="AF887" i="67"/>
  <c r="AF736" i="67"/>
  <c r="AF584" i="67"/>
  <c r="AF126" i="67"/>
  <c r="AF279" i="67"/>
  <c r="AF432" i="67"/>
  <c r="U498" i="67"/>
  <c r="U801" i="67"/>
  <c r="U346" i="67"/>
  <c r="U650" i="67"/>
  <c r="U40" i="67"/>
  <c r="U193" i="67"/>
  <c r="AK193" i="67"/>
  <c r="AK650" i="67"/>
  <c r="AK498" i="67"/>
  <c r="AK801" i="67"/>
  <c r="AK40" i="67"/>
  <c r="AK346" i="67"/>
  <c r="AI618" i="67"/>
  <c r="AI769" i="67"/>
  <c r="AI314" i="67"/>
  <c r="AI193" i="67"/>
  <c r="AI801" i="67"/>
  <c r="AI498" i="67"/>
  <c r="AI346" i="67"/>
  <c r="AI650" i="67"/>
  <c r="AI40" i="67"/>
  <c r="AD367" i="67"/>
  <c r="AD822" i="67"/>
  <c r="AD519" i="67"/>
  <c r="AD671" i="67"/>
  <c r="AD214" i="67"/>
  <c r="AD61" i="67"/>
  <c r="AM649" i="67"/>
  <c r="AM345" i="67"/>
  <c r="AM39" i="67"/>
  <c r="AM497" i="67"/>
  <c r="AM800" i="67"/>
  <c r="AM192" i="67"/>
  <c r="AN599" i="67"/>
  <c r="AN447" i="67"/>
  <c r="AN141" i="67"/>
  <c r="AN751" i="67"/>
  <c r="AN902" i="67"/>
  <c r="AN294" i="67"/>
  <c r="AP783" i="67"/>
  <c r="AP480" i="67"/>
  <c r="AP632" i="67"/>
  <c r="AP175" i="67"/>
  <c r="AP22" i="67"/>
  <c r="AP328" i="67"/>
  <c r="AQ768" i="67"/>
  <c r="AQ617" i="67"/>
  <c r="AS294" i="67"/>
  <c r="AS141" i="67"/>
  <c r="AS902" i="67"/>
  <c r="AS447" i="67"/>
  <c r="AS599" i="67"/>
  <c r="AS751" i="67"/>
  <c r="W822" i="67"/>
  <c r="W214" i="67"/>
  <c r="W367" i="67"/>
  <c r="W671" i="67"/>
  <c r="W519" i="67"/>
  <c r="W61" i="67"/>
  <c r="Y175" i="67"/>
  <c r="Y328" i="67"/>
  <c r="Y783" i="67"/>
  <c r="Y22" i="67"/>
  <c r="Y632" i="67"/>
  <c r="Y480" i="67"/>
  <c r="AH498" i="67"/>
  <c r="L615" i="67"/>
  <c r="L766" i="67"/>
  <c r="AV902" i="67"/>
  <c r="AV294" i="67"/>
  <c r="AV599" i="67"/>
  <c r="AV447" i="67"/>
  <c r="AV141" i="67"/>
  <c r="AV751" i="67"/>
  <c r="L533" i="67"/>
  <c r="L75" i="67"/>
  <c r="L381" i="67"/>
  <c r="L836" i="67"/>
  <c r="L228" i="67"/>
  <c r="L685" i="67"/>
  <c r="L478" i="67"/>
  <c r="L173" i="67"/>
  <c r="L326" i="67"/>
  <c r="L781" i="67"/>
  <c r="L20" i="67"/>
  <c r="L630" i="67"/>
  <c r="M615" i="67"/>
  <c r="M766" i="67"/>
  <c r="AU902" i="67"/>
  <c r="AU447" i="67"/>
  <c r="AU141" i="67"/>
  <c r="AU599" i="67"/>
  <c r="AU751" i="67"/>
  <c r="AU294" i="67"/>
  <c r="AW21" i="67"/>
  <c r="AW631" i="67"/>
  <c r="AW782" i="67"/>
  <c r="AW479" i="67"/>
  <c r="AW327" i="67"/>
  <c r="AW174" i="67"/>
  <c r="L38" i="67"/>
  <c r="L799" i="67"/>
  <c r="L344" i="67"/>
  <c r="L648" i="67"/>
  <c r="L191" i="67"/>
  <c r="L496" i="67"/>
  <c r="M429" i="67"/>
  <c r="M884" i="67"/>
  <c r="M733" i="67"/>
  <c r="M276" i="67"/>
  <c r="M581" i="67"/>
  <c r="M123" i="67"/>
  <c r="AW768" i="67"/>
  <c r="AW617" i="67"/>
  <c r="O122" i="67"/>
  <c r="O428" i="67"/>
  <c r="O275" i="67"/>
  <c r="O732" i="67"/>
  <c r="O580" i="67"/>
  <c r="O883" i="67"/>
  <c r="Q276" i="67"/>
  <c r="Q581" i="67"/>
  <c r="Q429" i="67"/>
  <c r="Q733" i="67"/>
  <c r="Q884" i="67"/>
  <c r="Q123" i="67"/>
  <c r="O444" i="67"/>
  <c r="O138" i="67"/>
  <c r="O748" i="67"/>
  <c r="O596" i="67"/>
  <c r="O291" i="67"/>
  <c r="O899" i="67"/>
  <c r="O190" i="67"/>
  <c r="O647" i="67"/>
  <c r="O495" i="67"/>
  <c r="O343" i="67"/>
  <c r="O37" i="67"/>
  <c r="O798" i="67"/>
  <c r="Q496" i="67"/>
  <c r="Q344" i="67"/>
  <c r="Q191" i="67"/>
  <c r="Q38" i="67"/>
  <c r="Q799" i="67"/>
  <c r="Q648" i="67"/>
  <c r="P629" i="67"/>
  <c r="P325" i="67"/>
  <c r="P477" i="67"/>
  <c r="P172" i="67"/>
  <c r="P19" i="67"/>
  <c r="N381" i="67"/>
  <c r="N836" i="67"/>
  <c r="N685" i="67"/>
  <c r="N228" i="67"/>
  <c r="N533" i="67"/>
  <c r="N75" i="67"/>
  <c r="Q767" i="67"/>
  <c r="Q616" i="67"/>
  <c r="H160" i="65"/>
  <c r="R836" i="67"/>
  <c r="R533" i="67"/>
  <c r="N765" i="67"/>
  <c r="N614" i="67"/>
  <c r="N596" i="67"/>
  <c r="N444" i="67"/>
  <c r="N899" i="67"/>
  <c r="N291" i="67"/>
  <c r="N748" i="67"/>
  <c r="N138" i="67"/>
  <c r="N580" i="67"/>
  <c r="N275" i="67"/>
  <c r="N122" i="67"/>
  <c r="N428" i="67"/>
  <c r="N883" i="67"/>
  <c r="N732" i="67"/>
  <c r="T326" i="67"/>
  <c r="T173" i="67"/>
  <c r="T478" i="67"/>
  <c r="T781" i="67"/>
  <c r="T20" i="67"/>
  <c r="U277" i="67"/>
  <c r="U885" i="67"/>
  <c r="U124" i="67"/>
  <c r="U430" i="67"/>
  <c r="U734" i="67"/>
  <c r="U582" i="67"/>
  <c r="T325" i="67"/>
  <c r="T629" i="67"/>
  <c r="T19" i="67"/>
  <c r="T172" i="67"/>
  <c r="T477" i="67"/>
  <c r="S765" i="67"/>
  <c r="S614" i="67"/>
  <c r="S324" i="67"/>
  <c r="S18" i="67"/>
  <c r="S476" i="67"/>
  <c r="S171" i="67"/>
  <c r="S628" i="67"/>
  <c r="P494" i="67"/>
  <c r="P646" i="67"/>
  <c r="P36" i="67"/>
  <c r="P797" i="67"/>
  <c r="P189" i="67"/>
  <c r="P342" i="67"/>
  <c r="G159" i="65"/>
  <c r="Q189" i="67"/>
  <c r="Q342" i="67"/>
  <c r="Q122" i="67"/>
  <c r="Q428" i="67"/>
  <c r="Q883" i="67"/>
  <c r="L161" i="65"/>
  <c r="V533" i="67"/>
  <c r="V381" i="67"/>
  <c r="V685" i="67"/>
  <c r="V836" i="67"/>
  <c r="V228" i="67"/>
  <c r="V75" i="67"/>
  <c r="X885" i="67"/>
  <c r="X582" i="67"/>
  <c r="X734" i="67"/>
  <c r="X124" i="67"/>
  <c r="X430" i="67"/>
  <c r="X277" i="67"/>
  <c r="U901" i="67"/>
  <c r="U446" i="67"/>
  <c r="U598" i="67"/>
  <c r="U750" i="67"/>
  <c r="U140" i="67"/>
  <c r="U293" i="67"/>
  <c r="R765" i="67"/>
  <c r="R614" i="67"/>
  <c r="R494" i="67"/>
  <c r="R342" i="67"/>
  <c r="R646" i="67"/>
  <c r="R189" i="67"/>
  <c r="R797" i="67"/>
  <c r="R36" i="67"/>
  <c r="V899" i="67"/>
  <c r="V444" i="67"/>
  <c r="V138" i="67"/>
  <c r="V291" i="67"/>
  <c r="V748" i="67"/>
  <c r="V172" i="67"/>
  <c r="V325" i="67"/>
  <c r="V477" i="67"/>
  <c r="V19" i="67"/>
  <c r="V629" i="67"/>
  <c r="U900" i="67"/>
  <c r="U799" i="67"/>
  <c r="U38" i="67"/>
  <c r="U344" i="67"/>
  <c r="U496" i="67"/>
  <c r="U648" i="67"/>
  <c r="U191" i="67"/>
  <c r="T628" i="67"/>
  <c r="T324" i="67"/>
  <c r="T171" i="67"/>
  <c r="T476" i="67"/>
  <c r="T18" i="67"/>
  <c r="V139" i="67"/>
  <c r="V597" i="67"/>
  <c r="V445" i="67"/>
  <c r="V749" i="67"/>
  <c r="V900" i="67"/>
  <c r="V292" i="67"/>
  <c r="V276" i="67"/>
  <c r="V429" i="67"/>
  <c r="V581" i="67"/>
  <c r="V884" i="67"/>
  <c r="V733" i="67"/>
  <c r="V123" i="67"/>
  <c r="Z429" i="67"/>
  <c r="Z884" i="67"/>
  <c r="Z276" i="67"/>
  <c r="Z123" i="67"/>
  <c r="Z581" i="67"/>
  <c r="Z733" i="67"/>
  <c r="AB495" i="67"/>
  <c r="AB798" i="67"/>
  <c r="AB885" i="67"/>
  <c r="AB430" i="67"/>
  <c r="AB124" i="67"/>
  <c r="AB734" i="67"/>
  <c r="AB582" i="67"/>
  <c r="AB277" i="67"/>
  <c r="AC616" i="67"/>
  <c r="AC767" i="67"/>
  <c r="AC582" i="67"/>
  <c r="AC124" i="67"/>
  <c r="AC277" i="67"/>
  <c r="AC430" i="67"/>
  <c r="AC885" i="67"/>
  <c r="AC734" i="67"/>
  <c r="Z189" i="67"/>
  <c r="Z342" i="67"/>
  <c r="Z494" i="67"/>
  <c r="Z646" i="67"/>
  <c r="Z797" i="67"/>
  <c r="Z36" i="67"/>
  <c r="Y275" i="67"/>
  <c r="Y732" i="67"/>
  <c r="Y883" i="67"/>
  <c r="Y122" i="67"/>
  <c r="Y580" i="67"/>
  <c r="Y428" i="67"/>
  <c r="Z171" i="67"/>
  <c r="Z476" i="67"/>
  <c r="Z324" i="67"/>
  <c r="Z628" i="67"/>
  <c r="Z18" i="67"/>
  <c r="AC36" i="67"/>
  <c r="AC342" i="67"/>
  <c r="AC646" i="67"/>
  <c r="AC189" i="67"/>
  <c r="AB883" i="67"/>
  <c r="AB122" i="67"/>
  <c r="AB275" i="67"/>
  <c r="AB428" i="67"/>
  <c r="AB580" i="67"/>
  <c r="AB732" i="67"/>
  <c r="AD616" i="67"/>
  <c r="AD767" i="67"/>
  <c r="AG532" i="67"/>
  <c r="AG835" i="67"/>
  <c r="AG684" i="67"/>
  <c r="AG227" i="67"/>
  <c r="AG74" i="67"/>
  <c r="AG380" i="67"/>
  <c r="AB326" i="67"/>
  <c r="AB478" i="67"/>
  <c r="AB173" i="67"/>
  <c r="AB20" i="67"/>
  <c r="AB630" i="67"/>
  <c r="AB781" i="67"/>
  <c r="AC292" i="67"/>
  <c r="AC749" i="67"/>
  <c r="AC139" i="67"/>
  <c r="AC445" i="67"/>
  <c r="AC900" i="67"/>
  <c r="AC597" i="67"/>
  <c r="AB18" i="67"/>
  <c r="AB628" i="67"/>
  <c r="AB171" i="67"/>
  <c r="AB324" i="67"/>
  <c r="AB476" i="67"/>
  <c r="AF326" i="67"/>
  <c r="AA191" i="67"/>
  <c r="AA344" i="67"/>
  <c r="AA496" i="67"/>
  <c r="AA799" i="67"/>
  <c r="AA648" i="67"/>
  <c r="AA38" i="67"/>
  <c r="X291" i="67"/>
  <c r="X444" i="67"/>
  <c r="X748" i="67"/>
  <c r="X138" i="67"/>
  <c r="X899" i="67"/>
  <c r="X596" i="67"/>
  <c r="X494" i="67"/>
  <c r="X797" i="67"/>
  <c r="X646" i="67"/>
  <c r="X189" i="67"/>
  <c r="X342" i="67"/>
  <c r="X36" i="67"/>
  <c r="AC799" i="67"/>
  <c r="AC191" i="67"/>
  <c r="AC648" i="67"/>
  <c r="AC496" i="67"/>
  <c r="AC38" i="67"/>
  <c r="AC344" i="67"/>
  <c r="AC766" i="67"/>
  <c r="AD326" i="67"/>
  <c r="AD20" i="67"/>
  <c r="AD630" i="67"/>
  <c r="AD173" i="67"/>
  <c r="AD478" i="67"/>
  <c r="AD781" i="67"/>
  <c r="AE277" i="67"/>
  <c r="AE124" i="67"/>
  <c r="AF885" i="67"/>
  <c r="AG343" i="67"/>
  <c r="AG37" i="67"/>
  <c r="AG495" i="67"/>
  <c r="AG190" i="67"/>
  <c r="AG798" i="67"/>
  <c r="AG647" i="67"/>
  <c r="AF211" i="67"/>
  <c r="AF516" i="67"/>
  <c r="AF364" i="67"/>
  <c r="AF819" i="67"/>
  <c r="AF58" i="67"/>
  <c r="AI343" i="67"/>
  <c r="AI798" i="67"/>
  <c r="AI647" i="67"/>
  <c r="AI190" i="67"/>
  <c r="AI495" i="67"/>
  <c r="AI37" i="67"/>
  <c r="AI140" i="67"/>
  <c r="AI293" i="67"/>
  <c r="AI901" i="67"/>
  <c r="AI598" i="67"/>
  <c r="AI750" i="67"/>
  <c r="AI446" i="67"/>
  <c r="AE614" i="67"/>
  <c r="AE765" i="67"/>
  <c r="AE494" i="67"/>
  <c r="AE36" i="67"/>
  <c r="AE189" i="67"/>
  <c r="AE797" i="67"/>
  <c r="AE342" i="67"/>
  <c r="AE646" i="67"/>
  <c r="AJ629" i="67"/>
  <c r="AJ172" i="67"/>
  <c r="AJ19" i="67"/>
  <c r="AJ325" i="67"/>
  <c r="AJ477" i="67"/>
  <c r="AK799" i="67"/>
  <c r="AK344" i="67"/>
  <c r="AK648" i="67"/>
  <c r="AK38" i="67"/>
  <c r="AK496" i="67"/>
  <c r="AK191" i="67"/>
  <c r="AK629" i="67"/>
  <c r="AK172" i="67"/>
  <c r="AK19" i="67"/>
  <c r="AK325" i="67"/>
  <c r="AK477" i="67"/>
  <c r="AG18" i="67"/>
  <c r="AG171" i="67"/>
  <c r="AG324" i="67"/>
  <c r="AG628" i="67"/>
  <c r="AG476" i="67"/>
  <c r="AK381" i="67"/>
  <c r="AK836" i="67"/>
  <c r="AK685" i="67"/>
  <c r="AK75" i="67"/>
  <c r="AK228" i="67"/>
  <c r="AK533" i="67"/>
  <c r="AN477" i="67"/>
  <c r="AN629" i="67"/>
  <c r="AN19" i="67"/>
  <c r="AN325" i="67"/>
  <c r="AN172" i="67"/>
  <c r="AO884" i="67"/>
  <c r="AO123" i="67"/>
  <c r="AO276" i="67"/>
  <c r="AO429" i="67"/>
  <c r="AO733" i="67"/>
  <c r="AO581" i="67"/>
  <c r="AP326" i="67"/>
  <c r="AP173" i="67"/>
  <c r="AP781" i="67"/>
  <c r="AP20" i="67"/>
  <c r="AP630" i="67"/>
  <c r="AP478" i="67"/>
  <c r="AQ380" i="67"/>
  <c r="AQ835" i="67"/>
  <c r="AQ684" i="67"/>
  <c r="AQ227" i="67"/>
  <c r="AQ74" i="67"/>
  <c r="AQ532" i="67"/>
  <c r="AI444" i="67"/>
  <c r="AI596" i="67"/>
  <c r="AI291" i="67"/>
  <c r="AI138" i="67"/>
  <c r="AI748" i="67"/>
  <c r="AI899" i="67"/>
  <c r="AK885" i="67"/>
  <c r="AK734" i="67"/>
  <c r="AK277" i="67"/>
  <c r="AK124" i="67"/>
  <c r="AK430" i="67"/>
  <c r="AK582" i="67"/>
  <c r="AA160" i="65"/>
  <c r="AL799" i="67"/>
  <c r="AL344" i="67"/>
  <c r="AL648" i="67"/>
  <c r="AL496" i="67"/>
  <c r="AL38" i="67"/>
  <c r="AL191" i="67"/>
  <c r="AK580" i="67"/>
  <c r="AK428" i="67"/>
  <c r="AK275" i="67"/>
  <c r="AK732" i="67"/>
  <c r="BE53" i="68"/>
  <c r="AK883" i="67"/>
  <c r="AK122" i="67"/>
  <c r="AD160" i="65"/>
  <c r="AN227" i="67"/>
  <c r="AN380" i="67"/>
  <c r="AN835" i="67"/>
  <c r="AN74" i="67"/>
  <c r="AN532" i="67"/>
  <c r="AN684" i="67"/>
  <c r="AQ615" i="67"/>
  <c r="AQ766" i="67"/>
  <c r="AG173" i="67"/>
  <c r="AG478" i="67"/>
  <c r="AG326" i="67"/>
  <c r="AG630" i="67"/>
  <c r="AG20" i="67"/>
  <c r="AG781" i="67"/>
  <c r="Y160" i="65"/>
  <c r="AJ781" i="67"/>
  <c r="AJ326" i="67"/>
  <c r="AJ630" i="67"/>
  <c r="AJ478" i="67"/>
  <c r="AJ20" i="67"/>
  <c r="AJ173" i="67"/>
  <c r="AF171" i="67"/>
  <c r="AF628" i="67"/>
  <c r="AF476" i="67"/>
  <c r="AF324" i="67"/>
  <c r="AF18" i="67"/>
  <c r="AJ428" i="67"/>
  <c r="AJ732" i="67"/>
  <c r="AJ122" i="67"/>
  <c r="AJ883" i="67"/>
  <c r="AJ275" i="67"/>
  <c r="AJ580" i="67"/>
  <c r="AB161" i="65"/>
  <c r="AM429" i="67"/>
  <c r="AM276" i="67"/>
  <c r="AM884" i="67"/>
  <c r="AM581" i="67"/>
  <c r="AM123" i="67"/>
  <c r="AM733" i="67"/>
  <c r="AC160" i="65"/>
  <c r="AO615" i="67"/>
  <c r="AO766" i="67"/>
  <c r="AQ798" i="67"/>
  <c r="AQ343" i="67"/>
  <c r="AQ495" i="67"/>
  <c r="AQ647" i="67"/>
  <c r="AQ37" i="67"/>
  <c r="AQ190" i="67"/>
  <c r="AH629" i="67"/>
  <c r="AH172" i="67"/>
  <c r="AH325" i="67"/>
  <c r="AH477" i="67"/>
  <c r="AH19" i="67"/>
  <c r="AK765" i="67"/>
  <c r="AK614" i="67"/>
  <c r="AM900" i="67"/>
  <c r="AM139" i="67"/>
  <c r="AM749" i="67"/>
  <c r="AM597" i="67"/>
  <c r="AM292" i="67"/>
  <c r="AM445" i="67"/>
  <c r="AN799" i="67"/>
  <c r="AN38" i="67"/>
  <c r="AN344" i="67"/>
  <c r="AN648" i="67"/>
  <c r="AN496" i="67"/>
  <c r="AN191" i="67"/>
  <c r="AN766" i="67"/>
  <c r="AN615" i="67"/>
  <c r="AH160" i="65"/>
  <c r="AS765" i="67"/>
  <c r="AR171" i="67"/>
  <c r="AT750" i="67"/>
  <c r="AT293" i="67"/>
  <c r="AT598" i="67"/>
  <c r="AT140" i="67"/>
  <c r="AT446" i="67"/>
  <c r="AT901" i="67"/>
  <c r="AT899" i="67"/>
  <c r="AT291" i="67"/>
  <c r="AU765" i="67"/>
  <c r="AU614" i="67"/>
  <c r="AV899" i="67"/>
  <c r="AV596" i="67"/>
  <c r="AV748" i="67"/>
  <c r="AV291" i="67"/>
  <c r="AV138" i="67"/>
  <c r="AV444" i="67"/>
  <c r="AV381" i="67"/>
  <c r="AV836" i="67"/>
  <c r="AV685" i="67"/>
  <c r="AV533" i="67"/>
  <c r="AV75" i="67"/>
  <c r="AV228" i="67"/>
  <c r="AN138" i="67"/>
  <c r="AN748" i="67"/>
  <c r="AN444" i="67"/>
  <c r="AN899" i="67"/>
  <c r="AN596" i="67"/>
  <c r="AN291" i="67"/>
  <c r="AQ580" i="67"/>
  <c r="AQ275" i="67"/>
  <c r="BK53" i="68"/>
  <c r="AQ732" i="67"/>
  <c r="AQ122" i="67"/>
  <c r="AQ428" i="67"/>
  <c r="AQ883" i="67"/>
  <c r="AP646" i="67"/>
  <c r="AP36" i="67"/>
  <c r="AP342" i="67"/>
  <c r="AP797" i="67"/>
  <c r="BJ20" i="68"/>
  <c r="AP189" i="67"/>
  <c r="AP494" i="67"/>
  <c r="AP138" i="67"/>
  <c r="AU342" i="67"/>
  <c r="BO20" i="68"/>
  <c r="AU646" i="67"/>
  <c r="AU189" i="67"/>
  <c r="AU36" i="67"/>
  <c r="AU494" i="67"/>
  <c r="AU797" i="67"/>
  <c r="AQ476" i="67"/>
  <c r="AQ324" i="67"/>
  <c r="AQ18" i="67"/>
  <c r="AQ171" i="67"/>
  <c r="AQ628" i="67"/>
  <c r="AQ291" i="67"/>
  <c r="AQ748" i="67"/>
  <c r="AQ444" i="67"/>
  <c r="AQ138" i="67"/>
  <c r="AQ596" i="67"/>
  <c r="AQ899" i="67"/>
  <c r="AH161" i="65"/>
  <c r="AU430" i="67"/>
  <c r="AU885" i="67"/>
  <c r="AU582" i="67"/>
  <c r="AU734" i="67"/>
  <c r="AU277" i="67"/>
  <c r="AU124" i="67"/>
  <c r="AU750" i="67"/>
  <c r="AU293" i="67"/>
  <c r="AU446" i="67"/>
  <c r="AU901" i="67"/>
  <c r="AU598" i="67"/>
  <c r="AU140" i="67"/>
  <c r="AV58" i="67"/>
  <c r="AV364" i="67"/>
  <c r="AV819" i="67"/>
  <c r="AV211" i="67"/>
  <c r="AV516" i="67"/>
  <c r="AI161" i="65"/>
  <c r="AR429" i="67"/>
  <c r="AR581" i="67"/>
  <c r="AR276" i="67"/>
  <c r="AR123" i="67"/>
  <c r="AR884" i="67"/>
  <c r="AR733" i="67"/>
  <c r="AS781" i="67"/>
  <c r="AS478" i="67"/>
  <c r="AS630" i="67"/>
  <c r="AS173" i="67"/>
  <c r="AS20" i="67"/>
  <c r="AS326" i="67"/>
  <c r="AH159" i="65"/>
  <c r="AW172" i="67"/>
  <c r="AW19" i="67"/>
  <c r="AW325" i="67"/>
  <c r="AW477" i="67"/>
  <c r="AW629" i="67"/>
  <c r="AW444" i="67"/>
  <c r="BQ54" i="68"/>
  <c r="AW291" i="67"/>
  <c r="AW899" i="67"/>
  <c r="AW596" i="67"/>
  <c r="AW748" i="67"/>
  <c r="AW138" i="67"/>
  <c r="L382" i="67"/>
  <c r="L534" i="67"/>
  <c r="L837" i="67"/>
  <c r="L76" i="67"/>
  <c r="L686" i="67"/>
  <c r="L229" i="67"/>
  <c r="M618" i="67"/>
  <c r="M314" i="67"/>
  <c r="M769" i="67"/>
  <c r="L583" i="67"/>
  <c r="L125" i="67"/>
  <c r="L886" i="67"/>
  <c r="L431" i="67"/>
  <c r="L735" i="67"/>
  <c r="L278" i="67"/>
  <c r="L447" i="67"/>
  <c r="L294" i="67"/>
  <c r="L141" i="67"/>
  <c r="L902" i="67"/>
  <c r="L751" i="67"/>
  <c r="L599" i="67"/>
  <c r="O39" i="67"/>
  <c r="O192" i="67"/>
  <c r="O800" i="67"/>
  <c r="O345" i="67"/>
  <c r="O649" i="67"/>
  <c r="O497" i="67"/>
  <c r="N447" i="67"/>
  <c r="N751" i="67"/>
  <c r="N294" i="67"/>
  <c r="N902" i="67"/>
  <c r="N599" i="67"/>
  <c r="N141" i="67"/>
  <c r="O448" i="67"/>
  <c r="O903" i="67"/>
  <c r="O752" i="67"/>
  <c r="O295" i="67"/>
  <c r="O600" i="67"/>
  <c r="O142" i="67"/>
  <c r="P328" i="67"/>
  <c r="P632" i="67"/>
  <c r="P783" i="67"/>
  <c r="P22" i="67"/>
  <c r="P175" i="67"/>
  <c r="P480" i="67"/>
  <c r="S382" i="67"/>
  <c r="S686" i="67"/>
  <c r="S837" i="67"/>
  <c r="S229" i="67"/>
  <c r="S76" i="67"/>
  <c r="S534" i="67"/>
  <c r="W617" i="67"/>
  <c r="W768" i="67"/>
  <c r="Z447" i="67"/>
  <c r="Z141" i="67"/>
  <c r="Z902" i="67"/>
  <c r="Z751" i="67"/>
  <c r="Z599" i="67"/>
  <c r="Z294" i="67"/>
  <c r="Z497" i="67"/>
  <c r="Z345" i="67"/>
  <c r="Z192" i="67"/>
  <c r="Z800" i="67"/>
  <c r="Z39" i="67"/>
  <c r="Z649" i="67"/>
  <c r="AB617" i="67"/>
  <c r="AB768" i="67"/>
  <c r="Y21" i="67"/>
  <c r="Y174" i="67"/>
  <c r="Y631" i="67"/>
  <c r="Y327" i="67"/>
  <c r="Y479" i="67"/>
  <c r="Y782" i="67"/>
  <c r="X902" i="67"/>
  <c r="X751" i="67"/>
  <c r="X599" i="67"/>
  <c r="X294" i="67"/>
  <c r="X447" i="67"/>
  <c r="X141" i="67"/>
  <c r="Y686" i="67"/>
  <c r="Y534" i="67"/>
  <c r="Y76" i="67"/>
  <c r="Y229" i="67"/>
  <c r="Y382" i="67"/>
  <c r="Y837" i="67"/>
  <c r="AB294" i="67"/>
  <c r="AB141" i="67"/>
  <c r="AB902" i="67"/>
  <c r="AB447" i="67"/>
  <c r="AB599" i="67"/>
  <c r="AB751" i="67"/>
  <c r="AB76" i="67"/>
  <c r="AB382" i="67"/>
  <c r="AB686" i="67"/>
  <c r="AB837" i="67"/>
  <c r="AB229" i="67"/>
  <c r="AB534" i="67"/>
  <c r="AE39" i="67"/>
  <c r="AE800" i="67"/>
  <c r="AE649" i="67"/>
  <c r="AE192" i="67"/>
  <c r="AE497" i="67"/>
  <c r="AE345" i="67"/>
  <c r="AC599" i="67"/>
  <c r="AC447" i="67"/>
  <c r="AC141" i="67"/>
  <c r="AC751" i="67"/>
  <c r="AC902" i="67"/>
  <c r="AC294" i="67"/>
  <c r="AG735" i="67"/>
  <c r="AG583" i="67"/>
  <c r="AG278" i="67"/>
  <c r="AG886" i="67"/>
  <c r="AG125" i="67"/>
  <c r="AG431" i="67"/>
  <c r="AF345" i="67"/>
  <c r="AF39" i="67"/>
  <c r="AF800" i="67"/>
  <c r="AF497" i="67"/>
  <c r="AF649" i="67"/>
  <c r="AF192" i="67"/>
  <c r="AF886" i="67"/>
  <c r="AF125" i="67"/>
  <c r="AF431" i="67"/>
  <c r="AF735" i="67"/>
  <c r="AF583" i="67"/>
  <c r="AF278" i="67"/>
  <c r="AI735" i="67"/>
  <c r="AI278" i="67"/>
  <c r="AI886" i="67"/>
  <c r="AI125" i="67"/>
  <c r="AI583" i="67"/>
  <c r="AI431" i="67"/>
  <c r="AJ902" i="67"/>
  <c r="AJ599" i="67"/>
  <c r="AJ294" i="67"/>
  <c r="AJ447" i="67"/>
  <c r="AJ751" i="67"/>
  <c r="AJ141" i="67"/>
  <c r="AL431" i="67"/>
  <c r="AL735" i="67"/>
  <c r="AL278" i="67"/>
  <c r="AL886" i="67"/>
  <c r="AL125" i="67"/>
  <c r="AL583" i="67"/>
  <c r="AH327" i="67"/>
  <c r="AH479" i="67"/>
  <c r="AH631" i="67"/>
  <c r="AH782" i="67"/>
  <c r="AH21" i="67"/>
  <c r="AH174" i="67"/>
  <c r="AK599" i="67"/>
  <c r="AK141" i="67"/>
  <c r="AK902" i="67"/>
  <c r="AK447" i="67"/>
  <c r="AK294" i="67"/>
  <c r="AK751" i="67"/>
  <c r="AQ902" i="67"/>
  <c r="AQ447" i="67"/>
  <c r="AQ751" i="67"/>
  <c r="AQ599" i="67"/>
  <c r="AQ294" i="67"/>
  <c r="AQ141" i="67"/>
  <c r="AR448" i="67"/>
  <c r="AR142" i="67"/>
  <c r="AR903" i="67"/>
  <c r="AR752" i="67"/>
  <c r="AR600" i="67"/>
  <c r="AR295" i="67"/>
  <c r="AT599" i="67"/>
  <c r="AT141" i="67"/>
  <c r="AT902" i="67"/>
  <c r="AT447" i="67"/>
  <c r="AT751" i="67"/>
  <c r="AT294" i="67"/>
  <c r="AT314" i="67"/>
  <c r="AT618" i="67"/>
  <c r="AT769" i="67"/>
  <c r="X783" i="67"/>
  <c r="X632" i="67"/>
  <c r="X175" i="67"/>
  <c r="X480" i="67"/>
  <c r="X328" i="67"/>
  <c r="X22" i="67"/>
  <c r="V736" i="67"/>
  <c r="V584" i="67"/>
  <c r="V279" i="67"/>
  <c r="V887" i="67"/>
  <c r="V126" i="67"/>
  <c r="V432" i="67"/>
  <c r="V367" i="67"/>
  <c r="V519" i="67"/>
  <c r="V822" i="67"/>
  <c r="V671" i="67"/>
  <c r="V214" i="67"/>
  <c r="V61" i="67"/>
  <c r="AL752" i="67"/>
  <c r="AL903" i="67"/>
  <c r="AL600" i="67"/>
  <c r="AL142" i="67"/>
  <c r="AL448" i="67"/>
  <c r="AL295" i="67"/>
  <c r="AP192" i="67"/>
  <c r="AP345" i="67"/>
  <c r="AP649" i="67"/>
  <c r="AP39" i="67"/>
  <c r="AP497" i="67"/>
  <c r="AP800" i="67"/>
  <c r="AP735" i="67"/>
  <c r="AP583" i="67"/>
  <c r="AP278" i="67"/>
  <c r="AP886" i="67"/>
  <c r="AP125" i="67"/>
  <c r="AP431" i="67"/>
  <c r="AP617" i="67"/>
  <c r="AP768" i="67"/>
  <c r="AP229" i="67"/>
  <c r="AP534" i="67"/>
  <c r="AP76" i="67"/>
  <c r="AP382" i="67"/>
  <c r="AP686" i="67"/>
  <c r="AP837" i="67"/>
  <c r="AR617" i="67"/>
  <c r="AR768" i="67"/>
  <c r="AS736" i="67"/>
  <c r="AS584" i="67"/>
  <c r="AS279" i="67"/>
  <c r="AS887" i="67"/>
  <c r="AS126" i="67"/>
  <c r="AS432" i="67"/>
  <c r="AS837" i="67"/>
  <c r="AS382" i="67"/>
  <c r="AS534" i="67"/>
  <c r="AS76" i="67"/>
  <c r="AS686" i="67"/>
  <c r="AS229" i="67"/>
  <c r="AM432" i="67"/>
  <c r="AM279" i="67"/>
  <c r="AM736" i="67"/>
  <c r="AM887" i="67"/>
  <c r="AM584" i="67"/>
  <c r="AM126" i="67"/>
  <c r="AB498" i="67"/>
  <c r="AB40" i="67"/>
  <c r="AB346" i="67"/>
  <c r="AB801" i="67"/>
  <c r="AB650" i="67"/>
  <c r="AB193" i="67"/>
  <c r="AB22" i="67"/>
  <c r="AB328" i="67"/>
  <c r="AB783" i="67"/>
  <c r="AB480" i="67"/>
  <c r="AB632" i="67"/>
  <c r="AB175" i="67"/>
  <c r="AG175" i="67"/>
  <c r="AG632" i="67"/>
  <c r="AG328" i="67"/>
  <c r="AG480" i="67"/>
  <c r="AG783" i="67"/>
  <c r="AG22" i="67"/>
  <c r="Z214" i="67"/>
  <c r="Z822" i="67"/>
  <c r="Z367" i="67"/>
  <c r="Z671" i="67"/>
  <c r="Z61" i="67"/>
  <c r="Z519" i="67"/>
  <c r="AQ193" i="67"/>
  <c r="AQ650" i="67"/>
  <c r="AT479" i="67"/>
  <c r="AT327" i="67"/>
  <c r="AT21" i="67"/>
  <c r="AT782" i="67"/>
  <c r="AT631" i="67"/>
  <c r="AT174" i="67"/>
  <c r="S61" i="67"/>
  <c r="S822" i="67"/>
  <c r="S671" i="67"/>
  <c r="S367" i="67"/>
  <c r="S214" i="67"/>
  <c r="S519" i="67"/>
  <c r="S752" i="67"/>
  <c r="S600" i="67"/>
  <c r="S295" i="67"/>
  <c r="S142" i="67"/>
  <c r="S903" i="67"/>
  <c r="S448" i="67"/>
  <c r="AF22" i="67"/>
  <c r="AF175" i="67"/>
  <c r="AF328" i="67"/>
  <c r="AF783" i="67"/>
  <c r="AF632" i="67"/>
  <c r="AF480" i="67"/>
  <c r="AF618" i="67"/>
  <c r="AF769" i="67"/>
  <c r="AF314" i="67"/>
  <c r="U279" i="67"/>
  <c r="U584" i="67"/>
  <c r="U126" i="67"/>
  <c r="U432" i="67"/>
  <c r="U736" i="67"/>
  <c r="U887" i="67"/>
  <c r="AK448" i="67"/>
  <c r="AK903" i="67"/>
  <c r="AK752" i="67"/>
  <c r="AK600" i="67"/>
  <c r="AK142" i="67"/>
  <c r="AK295" i="67"/>
  <c r="AI279" i="67"/>
  <c r="AI126" i="67"/>
  <c r="AI584" i="67"/>
  <c r="AI432" i="67"/>
  <c r="AI736" i="67"/>
  <c r="AI887" i="67"/>
  <c r="AI632" i="67"/>
  <c r="AI22" i="67"/>
  <c r="AI480" i="67"/>
  <c r="AI328" i="67"/>
  <c r="AI175" i="67"/>
  <c r="AI783" i="67"/>
  <c r="AM617" i="67"/>
  <c r="AM768" i="67"/>
  <c r="AO214" i="67"/>
  <c r="AO822" i="67"/>
  <c r="AO367" i="67"/>
  <c r="AO671" i="67"/>
  <c r="AO61" i="67"/>
  <c r="AO519" i="67"/>
  <c r="AS142" i="67"/>
  <c r="AS295" i="67"/>
  <c r="AS448" i="67"/>
  <c r="AS903" i="67"/>
  <c r="AS752" i="67"/>
  <c r="AS600" i="67"/>
  <c r="AT346" i="67"/>
  <c r="AT801" i="67"/>
  <c r="AT193" i="67"/>
  <c r="AT650" i="67"/>
  <c r="AT40" i="67"/>
  <c r="AT498" i="67"/>
  <c r="W126" i="67"/>
  <c r="W887" i="67"/>
  <c r="W432" i="67"/>
  <c r="W736" i="67"/>
  <c r="W279" i="67"/>
  <c r="W584" i="67"/>
  <c r="W480" i="67"/>
  <c r="W328" i="67"/>
  <c r="W632" i="67"/>
  <c r="W783" i="67"/>
  <c r="W22" i="67"/>
  <c r="W175" i="67"/>
  <c r="Y769" i="67"/>
  <c r="Y314" i="67"/>
  <c r="Y618" i="67"/>
  <c r="Y584" i="67"/>
  <c r="Y126" i="67"/>
  <c r="Y887" i="67"/>
  <c r="Y736" i="67"/>
  <c r="Y432" i="67"/>
  <c r="Y279" i="67"/>
  <c r="Y193" i="67"/>
  <c r="Y346" i="67"/>
  <c r="Y40" i="67"/>
  <c r="Y801" i="67"/>
  <c r="Y650" i="67"/>
  <c r="Y498" i="67"/>
  <c r="AW76" i="67"/>
  <c r="AW382" i="67"/>
  <c r="AW229" i="67"/>
  <c r="AW837" i="67"/>
  <c r="AW534" i="67"/>
  <c r="AW686" i="67"/>
  <c r="L445" i="67"/>
  <c r="L139" i="67"/>
  <c r="L900" i="67"/>
  <c r="L749" i="67"/>
  <c r="L597" i="67"/>
  <c r="L292" i="67"/>
  <c r="M798" i="67"/>
  <c r="M190" i="67"/>
  <c r="M343" i="67"/>
  <c r="M37" i="67"/>
  <c r="M647" i="67"/>
  <c r="M495" i="67"/>
  <c r="M582" i="67"/>
  <c r="M885" i="67"/>
  <c r="M734" i="67"/>
  <c r="M277" i="67"/>
  <c r="M430" i="67"/>
  <c r="M124" i="67"/>
  <c r="AU617" i="67"/>
  <c r="AU768" i="67"/>
  <c r="AW618" i="67"/>
  <c r="AW769" i="67"/>
  <c r="AW314" i="67"/>
  <c r="AU498" i="67"/>
  <c r="AU346" i="67"/>
  <c r="AU650" i="67"/>
  <c r="AU40" i="67"/>
  <c r="AU193" i="67"/>
  <c r="AU801" i="67"/>
  <c r="AU822" i="67"/>
  <c r="AU671" i="67"/>
  <c r="AU61" i="67"/>
  <c r="AU214" i="67"/>
  <c r="AU519" i="67"/>
  <c r="AU367" i="67"/>
  <c r="AV76" i="67"/>
  <c r="AV686" i="67"/>
  <c r="AV534" i="67"/>
  <c r="AV229" i="67"/>
  <c r="AV382" i="67"/>
  <c r="AV837" i="67"/>
  <c r="AW447" i="67"/>
  <c r="AW751" i="67"/>
  <c r="AW294" i="67"/>
  <c r="AW599" i="67"/>
  <c r="AW141" i="67"/>
  <c r="AW902" i="67"/>
  <c r="AU174" i="67"/>
  <c r="AU631" i="67"/>
  <c r="AU327" i="67"/>
  <c r="AU21" i="67"/>
  <c r="AU782" i="67"/>
  <c r="AU479" i="67"/>
  <c r="AV367" i="67"/>
  <c r="AV671" i="67"/>
  <c r="AV519" i="67"/>
  <c r="AV61" i="67"/>
  <c r="AV822" i="67"/>
  <c r="AV214" i="67"/>
  <c r="O38" i="67"/>
  <c r="O799" i="67"/>
  <c r="O344" i="67"/>
  <c r="O648" i="67"/>
  <c r="O191" i="67"/>
  <c r="O496" i="67"/>
  <c r="O325" i="67"/>
  <c r="O477" i="67"/>
  <c r="O629" i="67"/>
  <c r="O19" i="67"/>
  <c r="O172" i="67"/>
  <c r="R124" i="67"/>
  <c r="O835" i="67"/>
  <c r="O74" i="67"/>
  <c r="O227" i="67"/>
  <c r="O532" i="67"/>
  <c r="O380" i="67"/>
  <c r="O684" i="67"/>
  <c r="P446" i="67"/>
  <c r="O614" i="67"/>
  <c r="O765" i="67"/>
  <c r="N140" i="67"/>
  <c r="N598" i="67"/>
  <c r="N750" i="67"/>
  <c r="N446" i="67"/>
  <c r="N293" i="67"/>
  <c r="N901" i="67"/>
  <c r="P597" i="67"/>
  <c r="P749" i="67"/>
  <c r="P900" i="67"/>
  <c r="P292" i="67"/>
  <c r="P445" i="67"/>
  <c r="P139" i="67"/>
  <c r="M646" i="67"/>
  <c r="H161" i="65"/>
  <c r="N189" i="67"/>
  <c r="N646" i="67"/>
  <c r="N342" i="67"/>
  <c r="N494" i="67"/>
  <c r="N36" i="67"/>
  <c r="N797" i="67"/>
  <c r="T276" i="67"/>
  <c r="T429" i="67"/>
  <c r="T581" i="67"/>
  <c r="T733" i="67"/>
  <c r="T884" i="67"/>
  <c r="T123" i="67"/>
  <c r="S580" i="67"/>
  <c r="S428" i="67"/>
  <c r="S275" i="67"/>
  <c r="S732" i="67"/>
  <c r="S883" i="67"/>
  <c r="S122" i="67"/>
  <c r="P899" i="67"/>
  <c r="P444" i="67"/>
  <c r="P291" i="67"/>
  <c r="P748" i="67"/>
  <c r="P596" i="67"/>
  <c r="P138" i="67"/>
  <c r="V582" i="67"/>
  <c r="V277" i="67"/>
  <c r="V734" i="67"/>
  <c r="V430" i="67"/>
  <c r="V885" i="67"/>
  <c r="V124" i="67"/>
  <c r="T36" i="67"/>
  <c r="T797" i="67"/>
  <c r="T342" i="67"/>
  <c r="T189" i="67"/>
  <c r="T646" i="67"/>
  <c r="T494" i="67"/>
  <c r="Q628" i="67"/>
  <c r="Q476" i="67"/>
  <c r="T277" i="67"/>
  <c r="T885" i="67"/>
  <c r="T430" i="67"/>
  <c r="T124" i="67"/>
  <c r="T582" i="67"/>
  <c r="T734" i="67"/>
  <c r="W582" i="67"/>
  <c r="W734" i="67"/>
  <c r="W277" i="67"/>
  <c r="W124" i="67"/>
  <c r="W430" i="67"/>
  <c r="W885" i="67"/>
  <c r="V750" i="67"/>
  <c r="V293" i="67"/>
  <c r="V901" i="67"/>
  <c r="V140" i="67"/>
  <c r="V446" i="67"/>
  <c r="V598" i="67"/>
  <c r="V616" i="67"/>
  <c r="V767" i="67"/>
  <c r="M161" i="65"/>
  <c r="T615" i="67"/>
  <c r="T766" i="67"/>
  <c r="T580" i="67"/>
  <c r="T428" i="67"/>
  <c r="T732" i="67"/>
  <c r="T275" i="67"/>
  <c r="T883" i="67"/>
  <c r="T122" i="67"/>
  <c r="V342" i="67"/>
  <c r="V189" i="67"/>
  <c r="V797" i="67"/>
  <c r="AP20" i="68"/>
  <c r="V646" i="67"/>
  <c r="V36" i="67"/>
  <c r="V494" i="67"/>
  <c r="V647" i="67"/>
  <c r="V495" i="67"/>
  <c r="V343" i="67"/>
  <c r="V37" i="67"/>
  <c r="V190" i="67"/>
  <c r="V798" i="67"/>
  <c r="W750" i="67"/>
  <c r="W293" i="67"/>
  <c r="W901" i="67"/>
  <c r="W598" i="67"/>
  <c r="W140" i="67"/>
  <c r="W446" i="67"/>
  <c r="W767" i="67"/>
  <c r="W616" i="67"/>
  <c r="X749" i="67"/>
  <c r="X292" i="67"/>
  <c r="X139" i="67"/>
  <c r="X597" i="67"/>
  <c r="X900" i="67"/>
  <c r="X445" i="67"/>
  <c r="N161" i="65"/>
  <c r="X38" i="67"/>
  <c r="Y628" i="67"/>
  <c r="Y476" i="67"/>
  <c r="Y324" i="67"/>
  <c r="Y171" i="67"/>
  <c r="Y18" i="67"/>
  <c r="U732" i="67"/>
  <c r="U275" i="67"/>
  <c r="U122" i="67"/>
  <c r="AO53" i="68"/>
  <c r="U428" i="67"/>
  <c r="U883" i="67"/>
  <c r="U580" i="67"/>
  <c r="U342" i="67"/>
  <c r="U646" i="67"/>
  <c r="U36" i="67"/>
  <c r="U494" i="67"/>
  <c r="U189" i="67"/>
  <c r="U797" i="67"/>
  <c r="AA899" i="67"/>
  <c r="AA596" i="67"/>
  <c r="AA444" i="67"/>
  <c r="AA291" i="67"/>
  <c r="AA138" i="67"/>
  <c r="AA748" i="67"/>
  <c r="AB189" i="67"/>
  <c r="AB494" i="67"/>
  <c r="AB797" i="67"/>
  <c r="AB342" i="67"/>
  <c r="AB36" i="67"/>
  <c r="AB646" i="67"/>
  <c r="AB496" i="67"/>
  <c r="AB344" i="67"/>
  <c r="AB38" i="67"/>
  <c r="AB648" i="67"/>
  <c r="AB799" i="67"/>
  <c r="AB191" i="67"/>
  <c r="AC765" i="67"/>
  <c r="AA326" i="67"/>
  <c r="AA781" i="67"/>
  <c r="AA478" i="67"/>
  <c r="AA630" i="67"/>
  <c r="AA173" i="67"/>
  <c r="AA20" i="67"/>
  <c r="AB291" i="67"/>
  <c r="AB444" i="67"/>
  <c r="AB596" i="67"/>
  <c r="AB748" i="67"/>
  <c r="AB138" i="67"/>
  <c r="AB899" i="67"/>
  <c r="AA292" i="67"/>
  <c r="AA597" i="67"/>
  <c r="AA900" i="67"/>
  <c r="AA445" i="67"/>
  <c r="AA139" i="67"/>
  <c r="AA749" i="67"/>
  <c r="AC630" i="67"/>
  <c r="AC20" i="67"/>
  <c r="AC478" i="67"/>
  <c r="AC326" i="67"/>
  <c r="AC173" i="67"/>
  <c r="AC781" i="67"/>
  <c r="AC495" i="67"/>
  <c r="AC343" i="67"/>
  <c r="AC647" i="67"/>
  <c r="AC798" i="67"/>
  <c r="AC190" i="67"/>
  <c r="AC37" i="67"/>
  <c r="AD496" i="67"/>
  <c r="AD38" i="67"/>
  <c r="AD648" i="67"/>
  <c r="AD799" i="67"/>
  <c r="AD344" i="67"/>
  <c r="AD191" i="67"/>
  <c r="Q159" i="65"/>
  <c r="AE495" i="67"/>
  <c r="AE343" i="67"/>
  <c r="AE190" i="67"/>
  <c r="AE798" i="67"/>
  <c r="AE37" i="67"/>
  <c r="AE647" i="67"/>
  <c r="AF325" i="67"/>
  <c r="AF629" i="67"/>
  <c r="AF477" i="67"/>
  <c r="AF19" i="67"/>
  <c r="AF172" i="67"/>
  <c r="AD446" i="67"/>
  <c r="AD901" i="67"/>
  <c r="AD750" i="67"/>
  <c r="AD598" i="67"/>
  <c r="AD140" i="67"/>
  <c r="AD293" i="67"/>
  <c r="AF598" i="67"/>
  <c r="AF75" i="67"/>
  <c r="AA598" i="67"/>
  <c r="AA750" i="67"/>
  <c r="AA140" i="67"/>
  <c r="AA293" i="67"/>
  <c r="AA446" i="67"/>
  <c r="AA901" i="67"/>
  <c r="AB446" i="67"/>
  <c r="AB901" i="67"/>
  <c r="AB140" i="67"/>
  <c r="AB293" i="67"/>
  <c r="AB750" i="67"/>
  <c r="AB598" i="67"/>
  <c r="AC123" i="67"/>
  <c r="AC276" i="67"/>
  <c r="AC429" i="67"/>
  <c r="AC884" i="67"/>
  <c r="AC733" i="67"/>
  <c r="AC581" i="67"/>
  <c r="AE139" i="67"/>
  <c r="AE749" i="67"/>
  <c r="AE900" i="67"/>
  <c r="AE597" i="67"/>
  <c r="AE445" i="67"/>
  <c r="AE292" i="67"/>
  <c r="AG733" i="67"/>
  <c r="AG276" i="67"/>
  <c r="AG429" i="67"/>
  <c r="AG884" i="67"/>
  <c r="AG581" i="67"/>
  <c r="AG123" i="67"/>
  <c r="AI325" i="67"/>
  <c r="AH647" i="67"/>
  <c r="AH495" i="67"/>
  <c r="AH343" i="67"/>
  <c r="AH37" i="67"/>
  <c r="AH190" i="67"/>
  <c r="AH798" i="67"/>
  <c r="AE428" i="67"/>
  <c r="AE732" i="67"/>
  <c r="AE580" i="67"/>
  <c r="AE275" i="67"/>
  <c r="AE122" i="67"/>
  <c r="AE883" i="67"/>
  <c r="AE596" i="67"/>
  <c r="AE291" i="67"/>
  <c r="AE138" i="67"/>
  <c r="AE444" i="67"/>
  <c r="AY54" i="68"/>
  <c r="AE899" i="67"/>
  <c r="AE748" i="67"/>
  <c r="AJ765" i="67"/>
  <c r="AJ614" i="67"/>
  <c r="AI326" i="67"/>
  <c r="AI630" i="67"/>
  <c r="AI478" i="67"/>
  <c r="AI173" i="67"/>
  <c r="AI20" i="67"/>
  <c r="AI781" i="67"/>
  <c r="AJ38" i="67"/>
  <c r="AJ344" i="67"/>
  <c r="AJ496" i="67"/>
  <c r="AJ799" i="67"/>
  <c r="AJ648" i="67"/>
  <c r="AJ191" i="67"/>
  <c r="AI18" i="67"/>
  <c r="AI324" i="67"/>
  <c r="AI171" i="67"/>
  <c r="AI476" i="67"/>
  <c r="AI628" i="67"/>
  <c r="AG342" i="67"/>
  <c r="AG494" i="67"/>
  <c r="AL629" i="67"/>
  <c r="AL172" i="67"/>
  <c r="AL19" i="67"/>
  <c r="AL325" i="67"/>
  <c r="AL477" i="67"/>
  <c r="AO750" i="67"/>
  <c r="AO901" i="67"/>
  <c r="AO293" i="67"/>
  <c r="AO140" i="67"/>
  <c r="AO598" i="67"/>
  <c r="AO446" i="67"/>
  <c r="AI685" i="67"/>
  <c r="AI381" i="67"/>
  <c r="AI533" i="67"/>
  <c r="AI836" i="67"/>
  <c r="AI75" i="67"/>
  <c r="AI228" i="67"/>
  <c r="AK138" i="67"/>
  <c r="AK899" i="67"/>
  <c r="AK748" i="67"/>
  <c r="AK596" i="67"/>
  <c r="BE54" i="68"/>
  <c r="AK291" i="67"/>
  <c r="AK444" i="67"/>
  <c r="AL615" i="67"/>
  <c r="AL766" i="67"/>
  <c r="AN885" i="67"/>
  <c r="AN582" i="67"/>
  <c r="AN277" i="67"/>
  <c r="AN734" i="67"/>
  <c r="AN430" i="67"/>
  <c r="AN124" i="67"/>
  <c r="AP798" i="67"/>
  <c r="AH429" i="67"/>
  <c r="AH733" i="67"/>
  <c r="AH581" i="67"/>
  <c r="AH276" i="67"/>
  <c r="AH884" i="67"/>
  <c r="AH123" i="67"/>
  <c r="AH74" i="67"/>
  <c r="AH227" i="67"/>
  <c r="AH835" i="67"/>
  <c r="AH532" i="67"/>
  <c r="AH684" i="67"/>
  <c r="AH380" i="67"/>
  <c r="AE210" i="67"/>
  <c r="AE57" i="67"/>
  <c r="AE363" i="67"/>
  <c r="AE818" i="67"/>
  <c r="AE515" i="67"/>
  <c r="AJ750" i="67"/>
  <c r="AJ901" i="67"/>
  <c r="AJ598" i="67"/>
  <c r="AJ293" i="67"/>
  <c r="AJ446" i="67"/>
  <c r="AJ140" i="67"/>
  <c r="W159" i="65"/>
  <c r="AK326" i="67"/>
  <c r="AK781" i="67"/>
  <c r="AK173" i="67"/>
  <c r="AK630" i="67"/>
  <c r="AK20" i="67"/>
  <c r="AK478" i="67"/>
  <c r="AL798" i="67"/>
  <c r="AL495" i="67"/>
  <c r="AL190" i="67"/>
  <c r="AL37" i="67"/>
  <c r="AL647" i="67"/>
  <c r="AL343" i="67"/>
  <c r="AK324" i="67"/>
  <c r="AK18" i="67"/>
  <c r="AK171" i="67"/>
  <c r="AK628" i="67"/>
  <c r="AK476" i="67"/>
  <c r="AM191" i="67"/>
  <c r="AM648" i="67"/>
  <c r="AM496" i="67"/>
  <c r="AM344" i="67"/>
  <c r="AM799" i="67"/>
  <c r="AM38" i="67"/>
  <c r="AL835" i="67"/>
  <c r="AL684" i="67"/>
  <c r="AL74" i="67"/>
  <c r="AL380" i="67"/>
  <c r="AL532" i="67"/>
  <c r="AL227" i="67"/>
  <c r="AN750" i="67"/>
  <c r="AP901" i="67"/>
  <c r="AP446" i="67"/>
  <c r="AP140" i="67"/>
  <c r="AP598" i="67"/>
  <c r="AP293" i="67"/>
  <c r="AP750" i="67"/>
  <c r="AK767" i="67"/>
  <c r="AK616" i="67"/>
  <c r="AM18" i="67"/>
  <c r="AN630" i="67"/>
  <c r="AN326" i="67"/>
  <c r="AN173" i="67"/>
  <c r="AN20" i="67"/>
  <c r="AN478" i="67"/>
  <c r="AN781" i="67"/>
  <c r="AS496" i="67"/>
  <c r="AS799" i="67"/>
  <c r="AS38" i="67"/>
  <c r="AS344" i="67"/>
  <c r="AS191" i="67"/>
  <c r="AS648" i="67"/>
  <c r="AS495" i="67"/>
  <c r="AS343" i="67"/>
  <c r="AS37" i="67"/>
  <c r="AS647" i="67"/>
  <c r="AS190" i="67"/>
  <c r="AS798" i="67"/>
  <c r="AT781" i="67"/>
  <c r="AT630" i="67"/>
  <c r="AT326" i="67"/>
  <c r="AT478" i="67"/>
  <c r="AT173" i="67"/>
  <c r="AT20" i="67"/>
  <c r="AS628" i="67"/>
  <c r="AS324" i="67"/>
  <c r="AS18" i="67"/>
  <c r="AS476" i="67"/>
  <c r="AS171" i="67"/>
  <c r="AV629" i="67"/>
  <c r="AV172" i="67"/>
  <c r="AV477" i="67"/>
  <c r="AV325" i="67"/>
  <c r="AV19" i="67"/>
  <c r="AV885" i="67"/>
  <c r="AV734" i="67"/>
  <c r="AV277" i="67"/>
  <c r="AV430" i="67"/>
  <c r="AV582" i="67"/>
  <c r="AV124" i="67"/>
  <c r="AW781" i="67"/>
  <c r="AW326" i="67"/>
  <c r="AW20" i="67"/>
  <c r="AW173" i="67"/>
  <c r="AW630" i="67"/>
  <c r="AW478" i="67"/>
  <c r="AN614" i="67"/>
  <c r="AN765" i="67"/>
  <c r="AN189" i="67"/>
  <c r="AN342" i="67"/>
  <c r="AN646" i="67"/>
  <c r="AN797" i="67"/>
  <c r="AN494" i="67"/>
  <c r="AN36" i="67"/>
  <c r="AS901" i="67"/>
  <c r="AS750" i="67"/>
  <c r="AS140" i="67"/>
  <c r="AS598" i="67"/>
  <c r="AS293" i="67"/>
  <c r="AS446" i="67"/>
  <c r="AO324" i="67"/>
  <c r="AO171" i="67"/>
  <c r="AO628" i="67"/>
  <c r="AO476" i="67"/>
  <c r="AO18" i="67"/>
  <c r="AO797" i="67"/>
  <c r="AO646" i="67"/>
  <c r="AO36" i="67"/>
  <c r="AO494" i="67"/>
  <c r="AO189" i="67"/>
  <c r="AO342" i="67"/>
  <c r="AQ765" i="67"/>
  <c r="AQ614" i="67"/>
  <c r="AQ381" i="67"/>
  <c r="AQ533" i="67"/>
  <c r="AQ836" i="67"/>
  <c r="AQ228" i="67"/>
  <c r="AQ685" i="67"/>
  <c r="AQ75" i="67"/>
  <c r="AQ293" i="67"/>
  <c r="AQ140" i="67"/>
  <c r="AQ750" i="67"/>
  <c r="AQ446" i="67"/>
  <c r="AQ901" i="67"/>
  <c r="AQ598" i="67"/>
  <c r="AS685" i="67"/>
  <c r="AS228" i="67"/>
  <c r="AS381" i="67"/>
  <c r="AS533" i="67"/>
  <c r="AS836" i="67"/>
  <c r="AS75" i="67"/>
  <c r="AU291" i="67"/>
  <c r="AU138" i="67"/>
  <c r="AU444" i="67"/>
  <c r="AU899" i="67"/>
  <c r="AU596" i="67"/>
  <c r="AU748" i="67"/>
  <c r="AV781" i="67"/>
  <c r="AV173" i="67"/>
  <c r="AV478" i="67"/>
  <c r="AV326" i="67"/>
  <c r="AV20" i="67"/>
  <c r="AV630" i="67"/>
  <c r="AV647" i="67"/>
  <c r="AV495" i="67"/>
  <c r="AV37" i="67"/>
  <c r="AV190" i="67"/>
  <c r="AV798" i="67"/>
  <c r="AV343" i="67"/>
  <c r="AW191" i="67"/>
  <c r="AW648" i="67"/>
  <c r="AW496" i="67"/>
  <c r="AW344" i="67"/>
  <c r="AW799" i="67"/>
  <c r="AW38" i="67"/>
  <c r="AW901" i="67"/>
  <c r="AW598" i="67"/>
  <c r="AW750" i="67"/>
  <c r="AW293" i="67"/>
  <c r="AW446" i="67"/>
  <c r="AW140" i="67"/>
  <c r="AF159" i="65"/>
  <c r="AV750" i="67"/>
  <c r="AV140" i="67"/>
  <c r="AV901" i="67"/>
  <c r="AV598" i="67"/>
  <c r="AV293" i="67"/>
  <c r="AV446" i="67"/>
  <c r="AW749" i="67"/>
  <c r="AW445" i="67"/>
  <c r="AW597" i="67"/>
  <c r="AW139" i="67"/>
  <c r="AW292" i="67"/>
  <c r="AW900" i="67"/>
  <c r="AW582" i="67"/>
  <c r="AW124" i="67"/>
  <c r="AW430" i="67"/>
  <c r="AW277" i="67"/>
  <c r="AW734" i="67"/>
  <c r="AW885" i="67"/>
  <c r="L39" i="67"/>
  <c r="L800" i="67"/>
  <c r="L649" i="67"/>
  <c r="L192" i="67"/>
  <c r="L497" i="67"/>
  <c r="L345" i="67"/>
  <c r="L479" i="67"/>
  <c r="L631" i="67"/>
  <c r="L782" i="67"/>
  <c r="L21" i="67"/>
  <c r="L174" i="67"/>
  <c r="L327" i="67"/>
  <c r="M902" i="67"/>
  <c r="M599" i="67"/>
  <c r="M141" i="67"/>
  <c r="M751" i="67"/>
  <c r="M294" i="67"/>
  <c r="M447" i="67"/>
  <c r="K617" i="67"/>
  <c r="K768" i="67"/>
  <c r="K214" i="67"/>
  <c r="K519" i="67"/>
  <c r="K671" i="67"/>
  <c r="K61" i="67"/>
  <c r="K367" i="67"/>
  <c r="K822" i="67"/>
  <c r="N618" i="67"/>
  <c r="N769" i="67"/>
  <c r="N314" i="67"/>
  <c r="L328" i="67"/>
  <c r="L480" i="67"/>
  <c r="Q599" i="67"/>
  <c r="Q141" i="67"/>
  <c r="Q447" i="67"/>
  <c r="Q751" i="67"/>
  <c r="Q294" i="67"/>
  <c r="Q902" i="67"/>
  <c r="N192" i="67"/>
  <c r="N497" i="67"/>
  <c r="N800" i="67"/>
  <c r="N345" i="67"/>
  <c r="N39" i="67"/>
  <c r="N649" i="67"/>
  <c r="O783" i="67"/>
  <c r="O328" i="67"/>
  <c r="O22" i="67"/>
  <c r="O632" i="67"/>
  <c r="O175" i="67"/>
  <c r="O480" i="67"/>
  <c r="Q768" i="67"/>
  <c r="Q617" i="67"/>
  <c r="S886" i="67"/>
  <c r="S583" i="67"/>
  <c r="S125" i="67"/>
  <c r="S431" i="67"/>
  <c r="S278" i="67"/>
  <c r="S735" i="67"/>
  <c r="Q314" i="67"/>
  <c r="Q618" i="67"/>
  <c r="Q769" i="67"/>
  <c r="R432" i="67"/>
  <c r="R279" i="67"/>
  <c r="R736" i="67"/>
  <c r="R887" i="67"/>
  <c r="R584" i="67"/>
  <c r="R126" i="67"/>
  <c r="U649" i="67"/>
  <c r="U192" i="67"/>
  <c r="U345" i="67"/>
  <c r="U39" i="67"/>
  <c r="U800" i="67"/>
  <c r="U497" i="67"/>
  <c r="T886" i="67"/>
  <c r="T125" i="67"/>
  <c r="T583" i="67"/>
  <c r="T431" i="67"/>
  <c r="T735" i="67"/>
  <c r="T278" i="67"/>
  <c r="AA768" i="67"/>
  <c r="AA617" i="67"/>
  <c r="K735" i="67"/>
  <c r="K278" i="67"/>
  <c r="K125" i="67"/>
  <c r="K431" i="67"/>
  <c r="K886" i="67"/>
  <c r="K583" i="67"/>
  <c r="K632" i="67"/>
  <c r="K328" i="67"/>
  <c r="K480" i="67"/>
  <c r="K783" i="67"/>
  <c r="K22" i="67"/>
  <c r="K175" i="67"/>
  <c r="L768" i="67"/>
  <c r="L617" i="67"/>
  <c r="K314" i="67"/>
  <c r="K618" i="67"/>
  <c r="K769" i="67"/>
  <c r="M617" i="67"/>
  <c r="M768" i="67"/>
  <c r="M752" i="67"/>
  <c r="M600" i="67"/>
  <c r="M584" i="67"/>
  <c r="M126" i="67"/>
  <c r="M279" i="67"/>
  <c r="M432" i="67"/>
  <c r="M887" i="67"/>
  <c r="M736" i="67"/>
  <c r="M886" i="67"/>
  <c r="M735" i="67"/>
  <c r="M583" i="67"/>
  <c r="M125" i="67"/>
  <c r="M278" i="67"/>
  <c r="M431" i="67"/>
  <c r="P314" i="67"/>
  <c r="P618" i="67"/>
  <c r="P769" i="67"/>
  <c r="O686" i="67"/>
  <c r="O534" i="67"/>
  <c r="O229" i="67"/>
  <c r="O382" i="67"/>
  <c r="O837" i="67"/>
  <c r="O76" i="67"/>
  <c r="O431" i="67"/>
  <c r="O735" i="67"/>
  <c r="O583" i="67"/>
  <c r="O278" i="67"/>
  <c r="O886" i="67"/>
  <c r="O125" i="67"/>
  <c r="P735" i="67"/>
  <c r="P278" i="67"/>
  <c r="P886" i="67"/>
  <c r="P125" i="67"/>
  <c r="P583" i="67"/>
  <c r="P431" i="67"/>
  <c r="Q192" i="67"/>
  <c r="Q800" i="67"/>
  <c r="Q649" i="67"/>
  <c r="Q345" i="67"/>
  <c r="Q39" i="67"/>
  <c r="Q497" i="67"/>
  <c r="N886" i="67"/>
  <c r="N735" i="67"/>
  <c r="N125" i="67"/>
  <c r="N583" i="67"/>
  <c r="N431" i="67"/>
  <c r="N278" i="67"/>
  <c r="O279" i="67"/>
  <c r="O584" i="67"/>
  <c r="O126" i="67"/>
  <c r="O887" i="67"/>
  <c r="O432" i="67"/>
  <c r="O736" i="67"/>
  <c r="P649" i="67"/>
  <c r="P497" i="67"/>
  <c r="P39" i="67"/>
  <c r="P192" i="67"/>
  <c r="P345" i="67"/>
  <c r="P800" i="67"/>
  <c r="Q213" i="67"/>
  <c r="Q518" i="67"/>
  <c r="Q60" i="67"/>
  <c r="Q821" i="67"/>
  <c r="Q366" i="67"/>
  <c r="R800" i="67"/>
  <c r="R649" i="67"/>
  <c r="R497" i="67"/>
  <c r="R39" i="67"/>
  <c r="R192" i="67"/>
  <c r="R345" i="67"/>
  <c r="R769" i="67"/>
  <c r="R314" i="67"/>
  <c r="R618" i="67"/>
  <c r="T649" i="67"/>
  <c r="T345" i="67"/>
  <c r="T497" i="67"/>
  <c r="T800" i="67"/>
  <c r="T192" i="67"/>
  <c r="T39" i="67"/>
  <c r="W141" i="67"/>
  <c r="W447" i="67"/>
  <c r="W751" i="67"/>
  <c r="W902" i="67"/>
  <c r="W294" i="67"/>
  <c r="W599" i="67"/>
  <c r="V39" i="67"/>
  <c r="V649" i="67"/>
  <c r="V800" i="67"/>
  <c r="V192" i="67"/>
  <c r="V497" i="67"/>
  <c r="V345" i="67"/>
  <c r="W479" i="67"/>
  <c r="W327" i="67"/>
  <c r="W21" i="67"/>
  <c r="W782" i="67"/>
  <c r="W631" i="67"/>
  <c r="W174" i="67"/>
  <c r="T327" i="67"/>
  <c r="T21" i="67"/>
  <c r="T782" i="67"/>
  <c r="T479" i="67"/>
  <c r="T631" i="67"/>
  <c r="T174" i="67"/>
  <c r="T447" i="67"/>
  <c r="T141" i="67"/>
  <c r="T902" i="67"/>
  <c r="T751" i="67"/>
  <c r="T599" i="67"/>
  <c r="T294" i="67"/>
  <c r="V617" i="67"/>
  <c r="V768" i="67"/>
  <c r="V583" i="67"/>
  <c r="V125" i="67"/>
  <c r="V431" i="67"/>
  <c r="V735" i="67"/>
  <c r="V886" i="67"/>
  <c r="V278" i="67"/>
  <c r="Z278" i="67"/>
  <c r="Z886" i="67"/>
  <c r="Z125" i="67"/>
  <c r="Z431" i="67"/>
  <c r="Z735" i="67"/>
  <c r="Z583" i="67"/>
  <c r="Z617" i="67"/>
  <c r="Z768" i="67"/>
  <c r="Y278" i="67"/>
  <c r="Y125" i="67"/>
  <c r="Y735" i="67"/>
  <c r="Y886" i="67"/>
  <c r="Y583" i="67"/>
  <c r="Y431" i="67"/>
  <c r="AB431" i="67"/>
  <c r="AB278" i="67"/>
  <c r="AB886" i="67"/>
  <c r="AB583" i="67"/>
  <c r="AB125" i="67"/>
  <c r="AB735" i="67"/>
  <c r="X768" i="67"/>
  <c r="X617" i="67"/>
  <c r="X192" i="67"/>
  <c r="X345" i="67"/>
  <c r="X649" i="67"/>
  <c r="X39" i="67"/>
  <c r="X497" i="67"/>
  <c r="X800" i="67"/>
  <c r="AA382" i="67"/>
  <c r="AA534" i="67"/>
  <c r="AA229" i="67"/>
  <c r="AA76" i="67"/>
  <c r="AA837" i="67"/>
  <c r="AA686" i="67"/>
  <c r="Y366" i="67"/>
  <c r="Y518" i="67"/>
  <c r="Y60" i="67"/>
  <c r="Y821" i="67"/>
  <c r="Y213" i="67"/>
  <c r="AC649" i="67"/>
  <c r="AC497" i="67"/>
  <c r="AC192" i="67"/>
  <c r="AC39" i="67"/>
  <c r="AC800" i="67"/>
  <c r="AC345" i="67"/>
  <c r="AE229" i="67"/>
  <c r="AE534" i="67"/>
  <c r="AE382" i="67"/>
  <c r="AE686" i="67"/>
  <c r="AE837" i="67"/>
  <c r="AE76" i="67"/>
  <c r="AG631" i="67"/>
  <c r="AG327" i="67"/>
  <c r="AG21" i="67"/>
  <c r="AG479" i="67"/>
  <c r="AG782" i="67"/>
  <c r="AG174" i="67"/>
  <c r="AG192" i="67"/>
  <c r="AG800" i="67"/>
  <c r="AG649" i="67"/>
  <c r="AG345" i="67"/>
  <c r="AG39" i="67"/>
  <c r="AG497" i="67"/>
  <c r="AE447" i="67"/>
  <c r="AE902" i="67"/>
  <c r="AE751" i="67"/>
  <c r="AE599" i="67"/>
  <c r="AE141" i="67"/>
  <c r="AE294" i="67"/>
  <c r="AD192" i="67"/>
  <c r="AD649" i="67"/>
  <c r="AD497" i="67"/>
  <c r="AD345" i="67"/>
  <c r="AD800" i="67"/>
  <c r="AD39" i="67"/>
  <c r="AE278" i="67"/>
  <c r="AE125" i="67"/>
  <c r="AE431" i="67"/>
  <c r="AE886" i="67"/>
  <c r="AE583" i="67"/>
  <c r="AE735" i="67"/>
  <c r="AF174" i="67"/>
  <c r="AF21" i="67"/>
  <c r="AF782" i="67"/>
  <c r="AF327" i="67"/>
  <c r="AF631" i="67"/>
  <c r="AF479" i="67"/>
  <c r="AE518" i="67"/>
  <c r="AE213" i="67"/>
  <c r="AE366" i="67"/>
  <c r="AE60" i="67"/>
  <c r="AE821" i="67"/>
  <c r="AH382" i="67"/>
  <c r="AH534" i="67"/>
  <c r="AH229" i="67"/>
  <c r="AH837" i="67"/>
  <c r="AH686" i="67"/>
  <c r="AH76" i="67"/>
  <c r="AG60" i="67"/>
  <c r="AG821" i="67"/>
  <c r="AG213" i="67"/>
  <c r="AG518" i="67"/>
  <c r="AG366" i="67"/>
  <c r="AI631" i="67"/>
  <c r="AI21" i="67"/>
  <c r="AI174" i="67"/>
  <c r="AI479" i="67"/>
  <c r="AI782" i="67"/>
  <c r="AI327" i="67"/>
  <c r="AK782" i="67"/>
  <c r="AK327" i="67"/>
  <c r="AK631" i="67"/>
  <c r="AK479" i="67"/>
  <c r="AK174" i="67"/>
  <c r="AK21" i="67"/>
  <c r="AH886" i="67"/>
  <c r="AH278" i="67"/>
  <c r="AH583" i="67"/>
  <c r="AH125" i="67"/>
  <c r="AH431" i="67"/>
  <c r="AH735" i="67"/>
  <c r="AK886" i="67"/>
  <c r="AK125" i="67"/>
  <c r="AK431" i="67"/>
  <c r="AK735" i="67"/>
  <c r="AK583" i="67"/>
  <c r="AK278" i="67"/>
  <c r="AN782" i="67"/>
  <c r="AN631" i="67"/>
  <c r="AN327" i="67"/>
  <c r="AN21" i="67"/>
  <c r="AN174" i="67"/>
  <c r="AN479" i="67"/>
  <c r="AO346" i="67"/>
  <c r="AQ800" i="67"/>
  <c r="AQ649" i="67"/>
  <c r="AQ345" i="67"/>
  <c r="AQ39" i="67"/>
  <c r="AQ497" i="67"/>
  <c r="AQ192" i="67"/>
  <c r="AQ367" i="67"/>
  <c r="AQ822" i="67"/>
  <c r="AQ519" i="67"/>
  <c r="AQ671" i="67"/>
  <c r="AQ214" i="67"/>
  <c r="AQ61" i="67"/>
  <c r="AS769" i="67"/>
  <c r="AS314" i="67"/>
  <c r="AS618" i="67"/>
  <c r="AE600" i="67"/>
  <c r="AE903" i="67"/>
  <c r="AE752" i="67"/>
  <c r="AE448" i="67"/>
  <c r="AE295" i="67"/>
  <c r="AE142" i="67"/>
  <c r="X214" i="67"/>
  <c r="X367" i="67"/>
  <c r="X519" i="67"/>
  <c r="X671" i="67"/>
  <c r="X822" i="67"/>
  <c r="X61" i="67"/>
  <c r="V783" i="67"/>
  <c r="V480" i="67"/>
  <c r="V175" i="67"/>
  <c r="V328" i="67"/>
  <c r="V22" i="67"/>
  <c r="V632" i="67"/>
  <c r="V903" i="67"/>
  <c r="V295" i="67"/>
  <c r="V600" i="67"/>
  <c r="V448" i="67"/>
  <c r="V142" i="67"/>
  <c r="V752" i="67"/>
  <c r="V40" i="67"/>
  <c r="V801" i="67"/>
  <c r="V650" i="67"/>
  <c r="V193" i="67"/>
  <c r="V498" i="67"/>
  <c r="V346" i="67"/>
  <c r="AL801" i="67"/>
  <c r="AL650" i="67"/>
  <c r="AL193" i="67"/>
  <c r="AL498" i="67"/>
  <c r="AL346" i="67"/>
  <c r="AL40" i="67"/>
  <c r="AL618" i="67"/>
  <c r="AL769" i="67"/>
  <c r="AL314" i="67"/>
  <c r="AO887" i="67"/>
  <c r="AO736" i="67"/>
  <c r="AO126" i="67"/>
  <c r="AO584" i="67"/>
  <c r="AO432" i="67"/>
  <c r="AO279" i="67"/>
  <c r="AO518" i="67"/>
  <c r="AP279" i="67"/>
  <c r="AP736" i="67"/>
  <c r="AP887" i="67"/>
  <c r="AP584" i="67"/>
  <c r="AP126" i="67"/>
  <c r="AP432" i="67"/>
  <c r="AM175" i="67"/>
  <c r="AM632" i="67"/>
  <c r="AM328" i="67"/>
  <c r="AM480" i="67"/>
  <c r="AM783" i="67"/>
  <c r="AM22" i="67"/>
  <c r="AB314" i="67"/>
  <c r="AB618" i="67"/>
  <c r="AB769" i="67"/>
  <c r="AG769" i="67"/>
  <c r="AG314" i="67"/>
  <c r="AG618" i="67"/>
  <c r="AA61" i="67"/>
  <c r="AA367" i="67"/>
  <c r="AA822" i="67"/>
  <c r="AA519" i="67"/>
  <c r="AA214" i="67"/>
  <c r="AA671" i="67"/>
  <c r="AN431" i="67"/>
  <c r="AN886" i="67"/>
  <c r="AN735" i="67"/>
  <c r="AN583" i="67"/>
  <c r="AN125" i="67"/>
  <c r="AN278" i="67"/>
  <c r="AP174" i="67"/>
  <c r="AP782" i="67"/>
  <c r="AP327" i="67"/>
  <c r="AP631" i="67"/>
  <c r="AP479" i="67"/>
  <c r="AP21" i="67"/>
  <c r="AP650" i="67"/>
  <c r="AP346" i="67"/>
  <c r="AP498" i="67"/>
  <c r="AP801" i="67"/>
  <c r="AP193" i="67"/>
  <c r="AP40" i="67"/>
  <c r="AP519" i="67"/>
  <c r="AP671" i="67"/>
  <c r="AP822" i="67"/>
  <c r="AP61" i="67"/>
  <c r="AP214" i="67"/>
  <c r="AP367" i="67"/>
  <c r="AR174" i="67"/>
  <c r="AR327" i="67"/>
  <c r="AR479" i="67"/>
  <c r="AR631" i="67"/>
  <c r="AR782" i="67"/>
  <c r="AR21" i="67"/>
  <c r="AS768" i="67"/>
  <c r="AS617" i="67"/>
  <c r="AS519" i="67"/>
  <c r="AS214" i="67"/>
  <c r="AS671" i="67"/>
  <c r="AS61" i="67"/>
  <c r="AS367" i="67"/>
  <c r="AS822" i="67"/>
  <c r="S783" i="67"/>
  <c r="S22" i="67"/>
  <c r="S328" i="67"/>
  <c r="S480" i="67"/>
  <c r="S632" i="67"/>
  <c r="S175" i="67"/>
  <c r="AF801" i="67"/>
  <c r="AF650" i="67"/>
  <c r="AF193" i="67"/>
  <c r="AF498" i="67"/>
  <c r="AF346" i="67"/>
  <c r="AF40" i="67"/>
  <c r="AF295" i="67"/>
  <c r="AF142" i="67"/>
  <c r="AF903" i="67"/>
  <c r="AF448" i="67"/>
  <c r="AF752" i="67"/>
  <c r="AF600" i="67"/>
  <c r="AK632" i="67"/>
  <c r="AK480" i="67"/>
  <c r="AK22" i="67"/>
  <c r="AK175" i="67"/>
  <c r="AK328" i="67"/>
  <c r="AK783" i="67"/>
  <c r="AK367" i="67"/>
  <c r="AK519" i="67"/>
  <c r="AK822" i="67"/>
  <c r="AK671" i="67"/>
  <c r="AK214" i="67"/>
  <c r="AK61" i="67"/>
  <c r="AI448" i="67"/>
  <c r="AI142" i="67"/>
  <c r="AI903" i="67"/>
  <c r="AI295" i="67"/>
  <c r="AI752" i="67"/>
  <c r="AI600" i="67"/>
  <c r="AN649" i="67"/>
  <c r="AN192" i="67"/>
  <c r="AN800" i="67"/>
  <c r="AN497" i="67"/>
  <c r="AN39" i="67"/>
  <c r="AN345" i="67"/>
  <c r="AM479" i="67"/>
  <c r="AM21" i="67"/>
  <c r="AM174" i="67"/>
  <c r="AM631" i="67"/>
  <c r="AM782" i="67"/>
  <c r="AM327" i="67"/>
  <c r="AM735" i="67"/>
  <c r="AM278" i="67"/>
  <c r="AM886" i="67"/>
  <c r="AM125" i="67"/>
  <c r="AM583" i="67"/>
  <c r="AM431" i="67"/>
  <c r="AQ479" i="67"/>
  <c r="AQ782" i="67"/>
  <c r="AQ21" i="67"/>
  <c r="AQ174" i="67"/>
  <c r="AQ631" i="67"/>
  <c r="AQ327" i="67"/>
  <c r="AQ518" i="67"/>
  <c r="AR518" i="67"/>
  <c r="AR60" i="67"/>
  <c r="AR821" i="67"/>
  <c r="AR213" i="67"/>
  <c r="AR366" i="67"/>
  <c r="AS174" i="67"/>
  <c r="AS21" i="67"/>
  <c r="AS631" i="67"/>
  <c r="AS327" i="67"/>
  <c r="AS479" i="67"/>
  <c r="AS782" i="67"/>
  <c r="W40" i="67"/>
  <c r="W193" i="67"/>
  <c r="T367" i="67"/>
  <c r="T822" i="67"/>
  <c r="T519" i="67"/>
  <c r="T671" i="67"/>
  <c r="T214" i="67"/>
  <c r="T61" i="67"/>
  <c r="AJ61" i="67"/>
  <c r="AJ519" i="67"/>
  <c r="AJ214" i="67"/>
  <c r="AJ822" i="67"/>
  <c r="AJ367" i="67"/>
  <c r="AJ671" i="67"/>
  <c r="Y214" i="67"/>
  <c r="Y671" i="67"/>
  <c r="Y822" i="67"/>
  <c r="Y519" i="67"/>
  <c r="Y367" i="67"/>
  <c r="Y61" i="67"/>
  <c r="AH367" i="67"/>
  <c r="AH214" i="67"/>
  <c r="AH61" i="67"/>
  <c r="AH671" i="67"/>
  <c r="AH519" i="67"/>
  <c r="AH822" i="67"/>
  <c r="AV886" i="67"/>
  <c r="AV278" i="67"/>
  <c r="AV583" i="67"/>
  <c r="AV431" i="67"/>
  <c r="AV735" i="67"/>
  <c r="AV125" i="67"/>
  <c r="AV21" i="67"/>
  <c r="AV174" i="67"/>
  <c r="AV631" i="67"/>
  <c r="AV327" i="67"/>
  <c r="AV782" i="67"/>
  <c r="AV479" i="67"/>
  <c r="AV617" i="67"/>
  <c r="AV768" i="67"/>
  <c r="AW650" i="67"/>
  <c r="AW498" i="67"/>
  <c r="AW801" i="67"/>
  <c r="AW346" i="67"/>
  <c r="AW40" i="67"/>
  <c r="AW193" i="67"/>
  <c r="L477" i="67"/>
  <c r="L172" i="67"/>
  <c r="L19" i="67"/>
  <c r="L325" i="67"/>
  <c r="L629" i="67"/>
  <c r="D160" i="65"/>
  <c r="AW822" i="67"/>
  <c r="AW214" i="67"/>
  <c r="AW367" i="67"/>
  <c r="AW61" i="67"/>
  <c r="AW519" i="67"/>
  <c r="AW671" i="67"/>
  <c r="M597" i="67"/>
  <c r="M292" i="67"/>
  <c r="M749" i="67"/>
  <c r="M139" i="67"/>
  <c r="M445" i="67"/>
  <c r="M900" i="67"/>
  <c r="M325" i="67"/>
  <c r="M477" i="67"/>
  <c r="M629" i="67"/>
  <c r="M172" i="67"/>
  <c r="M19" i="67"/>
  <c r="AW584" i="67"/>
  <c r="AW279" i="67"/>
  <c r="AW887" i="67"/>
  <c r="AW736" i="67"/>
  <c r="AW126" i="67"/>
  <c r="AW432" i="67"/>
  <c r="AU769" i="67"/>
  <c r="AU314" i="67"/>
  <c r="AU618" i="67"/>
  <c r="AW39" i="67"/>
  <c r="AW649" i="67"/>
  <c r="AW497" i="67"/>
  <c r="AW800" i="67"/>
  <c r="AW192" i="67"/>
  <c r="AW345" i="67"/>
  <c r="L37" i="67"/>
  <c r="L647" i="67"/>
  <c r="L495" i="67"/>
  <c r="L343" i="67"/>
  <c r="L190" i="67"/>
  <c r="L798" i="67"/>
  <c r="M781" i="67"/>
  <c r="M326" i="67"/>
  <c r="M630" i="67"/>
  <c r="M173" i="67"/>
  <c r="M478" i="67"/>
  <c r="M20" i="67"/>
  <c r="P343" i="67"/>
  <c r="P37" i="67"/>
  <c r="P495" i="67"/>
  <c r="P798" i="67"/>
  <c r="P190" i="67"/>
  <c r="P647" i="67"/>
  <c r="R749" i="67"/>
  <c r="R139" i="67"/>
  <c r="R292" i="67"/>
  <c r="R445" i="67"/>
  <c r="R597" i="67"/>
  <c r="R900" i="67"/>
  <c r="R20" i="67"/>
  <c r="Q615" i="67"/>
  <c r="Q766" i="67"/>
  <c r="P766" i="67"/>
  <c r="P615" i="67"/>
  <c r="P630" i="67"/>
  <c r="P781" i="67"/>
  <c r="P326" i="67"/>
  <c r="P173" i="67"/>
  <c r="P478" i="67"/>
  <c r="P20" i="67"/>
  <c r="L18" i="67"/>
  <c r="L324" i="67"/>
  <c r="L171" i="67"/>
  <c r="L628" i="67"/>
  <c r="L476" i="67"/>
  <c r="N582" i="67"/>
  <c r="N277" i="67"/>
  <c r="N430" i="67"/>
  <c r="N124" i="67"/>
  <c r="N885" i="67"/>
  <c r="N734" i="67"/>
  <c r="N616" i="67"/>
  <c r="N767" i="67"/>
  <c r="Q630" i="67"/>
  <c r="Q173" i="67"/>
  <c r="Q478" i="67"/>
  <c r="Q326" i="67"/>
  <c r="Q20" i="67"/>
  <c r="Q781" i="67"/>
  <c r="Q445" i="67"/>
  <c r="Q597" i="67"/>
  <c r="Q292" i="67"/>
  <c r="Q900" i="67"/>
  <c r="Q139" i="67"/>
  <c r="Q749" i="67"/>
  <c r="M428" i="67"/>
  <c r="M122" i="67"/>
  <c r="M580" i="67"/>
  <c r="M275" i="67"/>
  <c r="M883" i="67"/>
  <c r="M732" i="67"/>
  <c r="AG53" i="68"/>
  <c r="N210" i="67"/>
  <c r="N818" i="67"/>
  <c r="N363" i="67"/>
  <c r="N515" i="67"/>
  <c r="N57" i="67"/>
  <c r="K160" i="65"/>
  <c r="T647" i="67"/>
  <c r="T190" i="67"/>
  <c r="T798" i="67"/>
  <c r="T343" i="67"/>
  <c r="T495" i="67"/>
  <c r="T37" i="67"/>
  <c r="V20" i="67"/>
  <c r="V326" i="67"/>
  <c r="V173" i="67"/>
  <c r="V630" i="67"/>
  <c r="V781" i="67"/>
  <c r="V478" i="67"/>
  <c r="U533" i="67"/>
  <c r="U381" i="67"/>
  <c r="U75" i="67"/>
  <c r="U836" i="67"/>
  <c r="U685" i="67"/>
  <c r="U228" i="67"/>
  <c r="V615" i="67"/>
  <c r="V766" i="67"/>
  <c r="Y766" i="67"/>
  <c r="Y615" i="67"/>
  <c r="M160" i="65"/>
  <c r="V380" i="67"/>
  <c r="V684" i="67"/>
  <c r="V227" i="67"/>
  <c r="V835" i="67"/>
  <c r="V532" i="67"/>
  <c r="V74" i="67"/>
  <c r="T765" i="67"/>
  <c r="T614" i="67"/>
  <c r="Y900" i="67"/>
  <c r="Y597" i="67"/>
  <c r="Z343" i="67"/>
  <c r="Z190" i="67"/>
  <c r="Z647" i="67"/>
  <c r="Z798" i="67"/>
  <c r="Z37" i="67"/>
  <c r="Z495" i="67"/>
  <c r="AF648" i="67"/>
  <c r="AA582" i="67"/>
  <c r="AA885" i="67"/>
  <c r="AA430" i="67"/>
  <c r="AA734" i="67"/>
  <c r="AA124" i="67"/>
  <c r="AA277" i="67"/>
  <c r="W494" i="67"/>
  <c r="W646" i="67"/>
  <c r="W342" i="67"/>
  <c r="W797" i="67"/>
  <c r="W36" i="67"/>
  <c r="W189" i="67"/>
  <c r="AA646" i="67"/>
  <c r="AA797" i="67"/>
  <c r="AA494" i="67"/>
  <c r="AA189" i="67"/>
  <c r="AA36" i="67"/>
  <c r="AA342" i="67"/>
  <c r="R160" i="65"/>
  <c r="AB381" i="67"/>
  <c r="AB533" i="67"/>
  <c r="AB836" i="67"/>
  <c r="AB75" i="67"/>
  <c r="AB685" i="67"/>
  <c r="AB228" i="67"/>
  <c r="AC598" i="67"/>
  <c r="AC901" i="67"/>
  <c r="AC750" i="67"/>
  <c r="AC140" i="67"/>
  <c r="AC293" i="67"/>
  <c r="AC446" i="67"/>
  <c r="T161" i="65"/>
  <c r="AC75" i="67"/>
  <c r="AC381" i="67"/>
  <c r="AC836" i="67"/>
  <c r="AC533" i="67"/>
  <c r="AC685" i="67"/>
  <c r="AC228" i="67"/>
  <c r="AE325" i="67"/>
  <c r="AE477" i="67"/>
  <c r="AE172" i="67"/>
  <c r="AE19" i="67"/>
  <c r="AE629" i="67"/>
  <c r="AF615" i="67"/>
  <c r="AF766" i="67"/>
  <c r="AG325" i="67"/>
  <c r="AG629" i="67"/>
  <c r="AG477" i="67"/>
  <c r="AG172" i="67"/>
  <c r="AG19" i="67"/>
  <c r="AB276" i="67"/>
  <c r="AA122" i="67"/>
  <c r="AA428" i="67"/>
  <c r="AA732" i="67"/>
  <c r="AB767" i="67"/>
  <c r="AB616" i="67"/>
  <c r="Y36" i="67"/>
  <c r="Y494" i="67"/>
  <c r="Y797" i="67"/>
  <c r="Y189" i="67"/>
  <c r="Y342" i="67"/>
  <c r="Y646" i="67"/>
  <c r="Y614" i="67"/>
  <c r="Y765" i="67"/>
  <c r="V160" i="65"/>
  <c r="AF380" i="67"/>
  <c r="AF532" i="67"/>
  <c r="AF684" i="67"/>
  <c r="AF835" i="67"/>
  <c r="AF227" i="67"/>
  <c r="AF74" i="67"/>
  <c r="AI799" i="67"/>
  <c r="AI38" i="67"/>
  <c r="AI496" i="67"/>
  <c r="AI191" i="67"/>
  <c r="AI648" i="67"/>
  <c r="AI344" i="67"/>
  <c r="AK292" i="67"/>
  <c r="AK900" i="67"/>
  <c r="AK445" i="67"/>
  <c r="AK597" i="67"/>
  <c r="AK749" i="67"/>
  <c r="AK139" i="67"/>
  <c r="AN445" i="67"/>
  <c r="AN597" i="67"/>
  <c r="AN292" i="67"/>
  <c r="AN139" i="67"/>
  <c r="AN900" i="67"/>
  <c r="AN749" i="67"/>
  <c r="AO798" i="67"/>
  <c r="AO495" i="67"/>
  <c r="AO647" i="67"/>
  <c r="AO190" i="67"/>
  <c r="AO343" i="67"/>
  <c r="AO37" i="67"/>
  <c r="AD596" i="67"/>
  <c r="AD899" i="67"/>
  <c r="AD291" i="67"/>
  <c r="AD444" i="67"/>
  <c r="AD138" i="67"/>
  <c r="AD748" i="67"/>
  <c r="AD275" i="67"/>
  <c r="AD122" i="67"/>
  <c r="AD428" i="67"/>
  <c r="AD580" i="67"/>
  <c r="AD883" i="67"/>
  <c r="AD732" i="67"/>
  <c r="Z161" i="65"/>
  <c r="AK647" i="67"/>
  <c r="AK495" i="67"/>
  <c r="AK343" i="67"/>
  <c r="AK37" i="67"/>
  <c r="AK190" i="67"/>
  <c r="AK798" i="67"/>
  <c r="AK293" i="67"/>
  <c r="AK901" i="67"/>
  <c r="AK140" i="67"/>
  <c r="AK598" i="67"/>
  <c r="AK750" i="67"/>
  <c r="AK446" i="67"/>
  <c r="AL139" i="67"/>
  <c r="AL597" i="67"/>
  <c r="AL900" i="67"/>
  <c r="AL292" i="67"/>
  <c r="AL445" i="67"/>
  <c r="AL749" i="67"/>
  <c r="AJ189" i="67"/>
  <c r="AJ494" i="67"/>
  <c r="AJ342" i="67"/>
  <c r="AJ36" i="67"/>
  <c r="AJ646" i="67"/>
  <c r="AJ797" i="67"/>
  <c r="AF614" i="67"/>
  <c r="AF765" i="67"/>
  <c r="AI580" i="67"/>
  <c r="AI883" i="67"/>
  <c r="AI428" i="67"/>
  <c r="AI732" i="67"/>
  <c r="AI122" i="67"/>
  <c r="AI275" i="67"/>
  <c r="BC53" i="68"/>
  <c r="AK189" i="67"/>
  <c r="AK646" i="67"/>
  <c r="AK797" i="67"/>
  <c r="AK494" i="67"/>
  <c r="AK342" i="67"/>
  <c r="AK36" i="67"/>
  <c r="BE20" i="68"/>
  <c r="AL630" i="67"/>
  <c r="AL478" i="67"/>
  <c r="AL326" i="67"/>
  <c r="AL173" i="67"/>
  <c r="AL781" i="67"/>
  <c r="AL20" i="67"/>
  <c r="AM477" i="67"/>
  <c r="AM325" i="67"/>
  <c r="AM19" i="67"/>
  <c r="AM629" i="67"/>
  <c r="AM172" i="67"/>
  <c r="AN616" i="67"/>
  <c r="AN767" i="67"/>
  <c r="AP685" i="67"/>
  <c r="AP228" i="67"/>
  <c r="AP75" i="67"/>
  <c r="AP381" i="67"/>
  <c r="AP836" i="67"/>
  <c r="AP533" i="67"/>
  <c r="AI189" i="67"/>
  <c r="BC20" i="68"/>
  <c r="AI36" i="67"/>
  <c r="AI797" i="67"/>
  <c r="AI646" i="67"/>
  <c r="AI494" i="67"/>
  <c r="AI342" i="67"/>
  <c r="AJ444" i="67"/>
  <c r="AJ899" i="67"/>
  <c r="AJ138" i="67"/>
  <c r="AJ596" i="67"/>
  <c r="AJ748" i="67"/>
  <c r="AJ291" i="67"/>
  <c r="AJ766" i="67"/>
  <c r="AJ615" i="67"/>
  <c r="Z159" i="65"/>
  <c r="AO172" i="67"/>
  <c r="AO477" i="67"/>
  <c r="AO629" i="67"/>
  <c r="AO325" i="67"/>
  <c r="AO19" i="67"/>
  <c r="AF160" i="65"/>
  <c r="AP191" i="67"/>
  <c r="AP344" i="67"/>
  <c r="AP496" i="67"/>
  <c r="AP799" i="67"/>
  <c r="AP648" i="67"/>
  <c r="AP38" i="67"/>
  <c r="AG161" i="65"/>
  <c r="AT36" i="67"/>
  <c r="AT342" i="67"/>
  <c r="AT797" i="67"/>
  <c r="AT189" i="67"/>
  <c r="AT646" i="67"/>
  <c r="AT494" i="67"/>
  <c r="AV766" i="67"/>
  <c r="AV615" i="67"/>
  <c r="AW276" i="67"/>
  <c r="AW123" i="67"/>
  <c r="AW884" i="67"/>
  <c r="AW429" i="67"/>
  <c r="AW733" i="67"/>
  <c r="AW581" i="67"/>
  <c r="AU428" i="67"/>
  <c r="AU732" i="67"/>
  <c r="AU275" i="67"/>
  <c r="AU580" i="67"/>
  <c r="AU883" i="67"/>
  <c r="AU122" i="67"/>
  <c r="AO428" i="67"/>
  <c r="AO122" i="67"/>
  <c r="BI53" i="68"/>
  <c r="AO580" i="67"/>
  <c r="AO883" i="67"/>
  <c r="AO275" i="67"/>
  <c r="AO732" i="67"/>
  <c r="AO748" i="67"/>
  <c r="AO291" i="67"/>
  <c r="AO444" i="67"/>
  <c r="AO596" i="67"/>
  <c r="AO899" i="67"/>
  <c r="AO138" i="67"/>
  <c r="AO614" i="67"/>
  <c r="AO765" i="67"/>
  <c r="AQ646" i="67"/>
  <c r="AQ494" i="67"/>
  <c r="AQ797" i="67"/>
  <c r="AQ36" i="67"/>
  <c r="AQ189" i="67"/>
  <c r="AQ342" i="67"/>
  <c r="AV496" i="67"/>
  <c r="AV648" i="67"/>
  <c r="AV191" i="67"/>
  <c r="AV799" i="67"/>
  <c r="AV38" i="67"/>
  <c r="AV344" i="67"/>
  <c r="AQ799" i="67"/>
  <c r="AQ191" i="67"/>
  <c r="AQ648" i="67"/>
  <c r="AQ496" i="67"/>
  <c r="AQ38" i="67"/>
  <c r="AQ344" i="67"/>
  <c r="AQ616" i="67"/>
  <c r="AQ767" i="67"/>
  <c r="AR901" i="67"/>
  <c r="AR446" i="67"/>
  <c r="AR598" i="67"/>
  <c r="AR140" i="67"/>
  <c r="AR293" i="67"/>
  <c r="AR750" i="67"/>
  <c r="AW836" i="67"/>
  <c r="AW533" i="67"/>
  <c r="AW75" i="67"/>
  <c r="AW228" i="67"/>
  <c r="AW381" i="67"/>
  <c r="AW685" i="67"/>
  <c r="AR647" i="67"/>
  <c r="AR190" i="67"/>
  <c r="AS767" i="67"/>
  <c r="AS616" i="67"/>
  <c r="AS428" i="67"/>
  <c r="AS275" i="67"/>
  <c r="AS732" i="67"/>
  <c r="AS122" i="67"/>
  <c r="AS580" i="67"/>
  <c r="AS883" i="67"/>
  <c r="AV581" i="67"/>
  <c r="AV733" i="67"/>
  <c r="AV429" i="67"/>
  <c r="AV276" i="67"/>
  <c r="AV884" i="67"/>
  <c r="AV123" i="67"/>
  <c r="AA6" i="67" l="1"/>
  <c r="N6" i="67"/>
  <c r="AW6" i="67"/>
  <c r="AV1121" i="67"/>
  <c r="AD4" i="67"/>
  <c r="AD1220" i="67" s="1"/>
  <c r="Z5" i="67"/>
  <c r="Z1221" i="67" s="1"/>
  <c r="BC19" i="68"/>
  <c r="BC60" i="68" s="1"/>
  <c r="AB20" i="62"/>
  <c r="BO19" i="68"/>
  <c r="BO60" i="68" s="1"/>
  <c r="AN20" i="62"/>
  <c r="AP19" i="68"/>
  <c r="AP60" i="68" s="1"/>
  <c r="O20" i="62"/>
  <c r="BJ19" i="68"/>
  <c r="BJ60" i="68" s="1"/>
  <c r="AI20" i="62"/>
  <c r="BE19" i="68"/>
  <c r="BE60" i="68" s="1"/>
  <c r="AD20" i="62"/>
  <c r="X5" i="67"/>
  <c r="X1221" i="67" s="1"/>
  <c r="AN4" i="67"/>
  <c r="AN1220" i="67" s="1"/>
  <c r="R6" i="67"/>
  <c r="W1236" i="67"/>
  <c r="AG1355" i="67"/>
  <c r="N1234" i="67"/>
  <c r="O1355" i="67"/>
  <c r="X1290" i="67"/>
  <c r="L1339" i="67"/>
  <c r="K1224" i="67"/>
  <c r="AL1235" i="67"/>
  <c r="AE1338" i="67"/>
  <c r="AG1339" i="67"/>
  <c r="AE1253" i="67"/>
  <c r="O1235" i="67"/>
  <c r="AM1339" i="67"/>
  <c r="AF1234" i="67"/>
  <c r="AJ1235" i="67"/>
  <c r="Z1234" i="67"/>
  <c r="AB1340" i="67"/>
  <c r="V1235" i="67"/>
  <c r="O1253" i="67"/>
  <c r="AM1290" i="67"/>
  <c r="AQ1355" i="67"/>
  <c r="AN1253" i="67"/>
  <c r="AM1253" i="67"/>
  <c r="AN1339" i="67"/>
  <c r="X1338" i="67"/>
  <c r="X1234" i="67"/>
  <c r="Z1338" i="67"/>
  <c r="AU1338" i="67"/>
  <c r="AO1235" i="67"/>
  <c r="AP1291" i="67"/>
  <c r="Q1236" i="67"/>
  <c r="L1253" i="67"/>
  <c r="M1235" i="67"/>
  <c r="L1235" i="67"/>
  <c r="AV1236" i="67"/>
  <c r="AP1356" i="67"/>
  <c r="AK1236" i="67"/>
  <c r="AN1221" i="67"/>
  <c r="AP1222" i="67"/>
  <c r="AL6" i="67"/>
  <c r="AL1222" i="67" s="1"/>
  <c r="AD1120" i="67"/>
  <c r="AK1120" i="67"/>
  <c r="AI5" i="67"/>
  <c r="AN6" i="67"/>
  <c r="AN1222" i="67" s="1"/>
  <c r="AU5" i="67"/>
  <c r="R161" i="65"/>
  <c r="R173" i="65" s="1"/>
  <c r="AA669" i="67" s="1"/>
  <c r="J159" i="65"/>
  <c r="J171" i="65" s="1"/>
  <c r="S667" i="67" s="1"/>
  <c r="AV1254" i="67"/>
  <c r="AO1338" i="67"/>
  <c r="AI1252" i="67"/>
  <c r="AG1235" i="67"/>
  <c r="AE1235" i="67"/>
  <c r="T1253" i="67"/>
  <c r="Q1355" i="67"/>
  <c r="AV1356" i="67"/>
  <c r="AO1252" i="67"/>
  <c r="AV1340" i="67"/>
  <c r="AT1236" i="67"/>
  <c r="AH1290" i="67"/>
  <c r="AI1291" i="67"/>
  <c r="AD1254" i="67"/>
  <c r="AC1236" i="67"/>
  <c r="AB1254" i="67"/>
  <c r="AB1252" i="67"/>
  <c r="Y1234" i="67"/>
  <c r="W1356" i="67"/>
  <c r="N1252" i="67"/>
  <c r="AU1252" i="67"/>
  <c r="AT1356" i="67"/>
  <c r="AN1290" i="67"/>
  <c r="AQ1290" i="67"/>
  <c r="AK1291" i="67"/>
  <c r="AK1254" i="67"/>
  <c r="X1252" i="67"/>
  <c r="X1354" i="67"/>
  <c r="AB1236" i="67"/>
  <c r="AB1338" i="67"/>
  <c r="V1355" i="67"/>
  <c r="U1356" i="67"/>
  <c r="N1338" i="67"/>
  <c r="AR1236" i="67"/>
  <c r="AU1234" i="67"/>
  <c r="AF1252" i="67"/>
  <c r="AJ1290" i="67"/>
  <c r="AE1234" i="67"/>
  <c r="AA1253" i="67"/>
  <c r="AE1339" i="67"/>
  <c r="Z1354" i="67"/>
  <c r="W1254" i="67"/>
  <c r="P1234" i="67"/>
  <c r="Q1253" i="67"/>
  <c r="M1290" i="67"/>
  <c r="K1342" i="67"/>
  <c r="K1357" i="67"/>
  <c r="AJ1253" i="67"/>
  <c r="L1290" i="67"/>
  <c r="AA1235" i="67"/>
  <c r="Q1340" i="67"/>
  <c r="AR1291" i="67"/>
  <c r="AO1355" i="67"/>
  <c r="AO1354" i="67"/>
  <c r="AM1235" i="67"/>
  <c r="AL1355" i="67"/>
  <c r="AK1356" i="67"/>
  <c r="AI1254" i="67"/>
  <c r="Y1252" i="67"/>
  <c r="AC1291" i="67"/>
  <c r="AC1356" i="67"/>
  <c r="V1290" i="67"/>
  <c r="M1355" i="67"/>
  <c r="K1238" i="67"/>
  <c r="K1341" i="67"/>
  <c r="AS1291" i="67"/>
  <c r="AQ1291" i="67"/>
  <c r="AL1290" i="67"/>
  <c r="AL1253" i="67"/>
  <c r="AH1339" i="67"/>
  <c r="AH1253" i="67"/>
  <c r="AE1355" i="67"/>
  <c r="AF1235" i="67"/>
  <c r="AB1354" i="67"/>
  <c r="W1340" i="67"/>
  <c r="P1354" i="67"/>
  <c r="T1339" i="67"/>
  <c r="M1253" i="67"/>
  <c r="L1355" i="67"/>
  <c r="AS1236" i="67"/>
  <c r="AQ1354" i="67"/>
  <c r="AQ1253" i="67"/>
  <c r="AK1340" i="67"/>
  <c r="AE1252" i="67"/>
  <c r="AG1290" i="67"/>
  <c r="Y1338" i="67"/>
  <c r="Z1252" i="67"/>
  <c r="V1339" i="67"/>
  <c r="U1340" i="67"/>
  <c r="Q1254" i="67"/>
  <c r="Q1339" i="67"/>
  <c r="AQ1340" i="67"/>
  <c r="AT1340" i="67"/>
  <c r="AF1338" i="67"/>
  <c r="AH1355" i="67"/>
  <c r="AI1340" i="67"/>
  <c r="Y1354" i="67"/>
  <c r="K1255" i="67"/>
  <c r="AT1254" i="67"/>
  <c r="AA1339" i="67"/>
  <c r="AO1290" i="67"/>
  <c r="AE1354" i="67"/>
  <c r="O1290" i="67"/>
  <c r="AI1356" i="67"/>
  <c r="AG1253" i="67"/>
  <c r="U1254" i="67"/>
  <c r="AR1340" i="67"/>
  <c r="AQ1339" i="67"/>
  <c r="AP1340" i="67"/>
  <c r="T1355" i="67"/>
  <c r="P1338" i="67"/>
  <c r="AF1355" i="67"/>
  <c r="AT1291" i="67"/>
  <c r="AF1339" i="67"/>
  <c r="AF1253" i="67"/>
  <c r="AQ1254" i="67"/>
  <c r="AR1356" i="67"/>
  <c r="AQ1252" i="67"/>
  <c r="AP1254" i="67"/>
  <c r="AI1338" i="67"/>
  <c r="AO1253" i="67"/>
  <c r="AN1355" i="67"/>
  <c r="AF1290" i="67"/>
  <c r="AB1291" i="67"/>
  <c r="U1291" i="67"/>
  <c r="AU1354" i="67"/>
  <c r="AQ1356" i="67"/>
  <c r="AO1234" i="67"/>
  <c r="AS1356" i="67"/>
  <c r="AS1254" i="67"/>
  <c r="AI1234" i="67"/>
  <c r="AI1236" i="67"/>
  <c r="AB1356" i="67"/>
  <c r="AD1356" i="67"/>
  <c r="AA1355" i="67"/>
  <c r="V1253" i="67"/>
  <c r="AQ1234" i="67"/>
  <c r="AQ1338" i="67"/>
  <c r="AV1291" i="67"/>
  <c r="AM1355" i="67"/>
  <c r="AH1235" i="67"/>
  <c r="AI1354" i="67"/>
  <c r="AP1236" i="67"/>
  <c r="AO1339" i="67"/>
  <c r="AN1235" i="67"/>
  <c r="AD1236" i="67"/>
  <c r="AC1254" i="67"/>
  <c r="AB1234" i="67"/>
  <c r="AC1340" i="67"/>
  <c r="P1252" i="67"/>
  <c r="T1235" i="67"/>
  <c r="N1354" i="67"/>
  <c r="M1339" i="67"/>
  <c r="AQ1236" i="67"/>
  <c r="AJ1355" i="67"/>
  <c r="AF1354" i="67"/>
  <c r="AQ1235" i="67"/>
  <c r="AL1339" i="67"/>
  <c r="AE1290" i="67"/>
  <c r="K1237" i="67"/>
  <c r="K1256" i="67"/>
  <c r="K1358" i="67"/>
  <c r="AA1290" i="67"/>
  <c r="Q1291" i="67"/>
  <c r="Q1290" i="67"/>
  <c r="AD1340" i="67"/>
  <c r="AD1291" i="67"/>
  <c r="M1291" i="67"/>
  <c r="AC1222" i="67"/>
  <c r="AA1222" i="67"/>
  <c r="O1221" i="67"/>
  <c r="Q1222" i="67"/>
  <c r="AQ1220" i="67"/>
  <c r="AB1222" i="67"/>
  <c r="P1220" i="67"/>
  <c r="AK1222" i="67"/>
  <c r="AQ1221" i="67"/>
  <c r="P1290" i="67"/>
  <c r="AK1354" i="67"/>
  <c r="AK1235" i="67"/>
  <c r="AJ1236" i="67"/>
  <c r="AU1253" i="67"/>
  <c r="AC1339" i="67"/>
  <c r="U1252" i="67"/>
  <c r="AS1234" i="67"/>
  <c r="AO1340" i="67"/>
  <c r="AS1253" i="67"/>
  <c r="AI1339" i="67"/>
  <c r="AL1340" i="67"/>
  <c r="X1339" i="67"/>
  <c r="V1236" i="67"/>
  <c r="M1340" i="67"/>
  <c r="AV1354" i="67"/>
  <c r="AU1236" i="67"/>
  <c r="AJ1354" i="67"/>
  <c r="N1236" i="67"/>
  <c r="R1252" i="67"/>
  <c r="S1354" i="67"/>
  <c r="AN1252" i="67"/>
  <c r="AV1355" i="67"/>
  <c r="AM1254" i="67"/>
  <c r="AA1236" i="67"/>
  <c r="P1355" i="67"/>
  <c r="AD1275" i="67"/>
  <c r="AW1290" i="67"/>
  <c r="AW1253" i="67"/>
  <c r="AT1222" i="67"/>
  <c r="AL1221" i="67"/>
  <c r="AF1220" i="67"/>
  <c r="AU1220" i="67"/>
  <c r="AE1220" i="67"/>
  <c r="AI1220" i="67"/>
  <c r="K1223" i="67"/>
  <c r="AS1222" i="67"/>
  <c r="AG1221" i="67"/>
  <c r="AK1338" i="67"/>
  <c r="AN1340" i="67"/>
  <c r="AN1291" i="67"/>
  <c r="AJ1356" i="67"/>
  <c r="L1234" i="67"/>
  <c r="AR1339" i="67"/>
  <c r="X1340" i="67"/>
  <c r="X1291" i="67"/>
  <c r="L1254" i="67"/>
  <c r="U1339" i="67"/>
  <c r="AS1235" i="67"/>
  <c r="AI1253" i="67"/>
  <c r="AL1254" i="67"/>
  <c r="Z1355" i="67"/>
  <c r="V1356" i="67"/>
  <c r="AE1254" i="67"/>
  <c r="AJ1338" i="67"/>
  <c r="N1254" i="67"/>
  <c r="W1252" i="67"/>
  <c r="AA1354" i="67"/>
  <c r="AA1252" i="67"/>
  <c r="AL1354" i="67"/>
  <c r="T1340" i="67"/>
  <c r="V1252" i="67"/>
  <c r="AN1234" i="67"/>
  <c r="AV1339" i="67"/>
  <c r="AP1252" i="67"/>
  <c r="AG1234" i="67"/>
  <c r="AD1354" i="67"/>
  <c r="AA1254" i="67"/>
  <c r="T1338" i="67"/>
  <c r="P1339" i="67"/>
  <c r="AW1235" i="67"/>
  <c r="AW1339" i="67"/>
  <c r="AE1221" i="67"/>
  <c r="T1221" i="67"/>
  <c r="L1221" i="67"/>
  <c r="X1220" i="67"/>
  <c r="W1222" i="67"/>
  <c r="N1220" i="67"/>
  <c r="AM1221" i="67"/>
  <c r="V1221" i="67"/>
  <c r="U1222" i="67"/>
  <c r="AF1221" i="67"/>
  <c r="L1291" i="67"/>
  <c r="AJ1221" i="67"/>
  <c r="AQ1222" i="67"/>
  <c r="X1273" i="67"/>
  <c r="V1291" i="67"/>
  <c r="AK1252" i="67"/>
  <c r="AK1253" i="67"/>
  <c r="AN1254" i="67"/>
  <c r="AT1252" i="67"/>
  <c r="AC1253" i="67"/>
  <c r="L1236" i="67"/>
  <c r="R1355" i="67"/>
  <c r="AL1236" i="67"/>
  <c r="Z1339" i="67"/>
  <c r="X1235" i="67"/>
  <c r="V1340" i="67"/>
  <c r="M1236" i="67"/>
  <c r="AU1356" i="67"/>
  <c r="AU1254" i="67"/>
  <c r="AJ1252" i="67"/>
  <c r="N1356" i="67"/>
  <c r="W1354" i="67"/>
  <c r="S1252" i="67"/>
  <c r="AN1354" i="67"/>
  <c r="AV1253" i="67"/>
  <c r="AD1338" i="67"/>
  <c r="AA1356" i="67"/>
  <c r="T1252" i="67"/>
  <c r="O1338" i="67"/>
  <c r="P1235" i="67"/>
  <c r="AW1355" i="67"/>
  <c r="Z1290" i="67"/>
  <c r="AR1222" i="67"/>
  <c r="AO1220" i="67"/>
  <c r="AO1221" i="67"/>
  <c r="AV1222" i="67"/>
  <c r="AI1222" i="67"/>
  <c r="AB1220" i="67"/>
  <c r="Q1221" i="67"/>
  <c r="Y1220" i="67"/>
  <c r="M1221" i="67"/>
  <c r="AD1222" i="67"/>
  <c r="AE1273" i="67"/>
  <c r="AL1291" i="67"/>
  <c r="AK1234" i="67"/>
  <c r="AK1355" i="67"/>
  <c r="AN1236" i="67"/>
  <c r="AJ1254" i="67"/>
  <c r="AC1355" i="67"/>
  <c r="U1338" i="67"/>
  <c r="O1254" i="67"/>
  <c r="L1356" i="67"/>
  <c r="AS1338" i="67"/>
  <c r="AO1356" i="67"/>
  <c r="R1290" i="67"/>
  <c r="S1254" i="67"/>
  <c r="AL1356" i="67"/>
  <c r="Z1253" i="67"/>
  <c r="X1355" i="67"/>
  <c r="V1254" i="67"/>
  <c r="AV1234" i="67"/>
  <c r="AU1340" i="67"/>
  <c r="AU1291" i="67"/>
  <c r="N1340" i="67"/>
  <c r="N1291" i="67"/>
  <c r="AG1236" i="67"/>
  <c r="S1338" i="67"/>
  <c r="M1338" i="67"/>
  <c r="AN1338" i="67"/>
  <c r="P1236" i="67"/>
  <c r="AD1252" i="67"/>
  <c r="AA1340" i="67"/>
  <c r="T1234" i="67"/>
  <c r="O1354" i="67"/>
  <c r="P1253" i="67"/>
  <c r="O160" i="65"/>
  <c r="O172" i="65" s="1"/>
  <c r="X668" i="67" s="1"/>
  <c r="Q160" i="65"/>
  <c r="Q172" i="65" s="1"/>
  <c r="Z668" i="67" s="1"/>
  <c r="AW1222" i="67"/>
  <c r="C161" i="65"/>
  <c r="C173" i="65" s="1"/>
  <c r="L669" i="67" s="1"/>
  <c r="K1277" i="67"/>
  <c r="AG1274" i="67"/>
  <c r="V6" i="67"/>
  <c r="V1222" i="67" s="1"/>
  <c r="AU6" i="67"/>
  <c r="AU1222" i="67" s="1"/>
  <c r="K1292" i="67"/>
  <c r="AV5" i="67"/>
  <c r="AV1221" i="67" s="1"/>
  <c r="AJ4" i="67"/>
  <c r="AJ1220" i="67" s="1"/>
  <c r="F159" i="65"/>
  <c r="F171" i="65" s="1"/>
  <c r="AB171" i="65"/>
  <c r="AK667" i="67" s="1"/>
  <c r="L1222" i="67"/>
  <c r="S1220" i="67"/>
  <c r="N1222" i="67"/>
  <c r="AW1221" i="67"/>
  <c r="N1273" i="67"/>
  <c r="L1274" i="67"/>
  <c r="AS1221" i="67"/>
  <c r="AW1254" i="67"/>
  <c r="AW1291" i="67"/>
  <c r="AV1274" i="67"/>
  <c r="AW1354" i="67"/>
  <c r="AW1236" i="67"/>
  <c r="S1234" i="67"/>
  <c r="AD1234" i="67"/>
  <c r="AW1356" i="67"/>
  <c r="AK1220" i="67"/>
  <c r="AW1340" i="67"/>
  <c r="AJ1234" i="67"/>
  <c r="AV1235" i="67"/>
  <c r="E161" i="65"/>
  <c r="E173" i="65" s="1"/>
  <c r="N669" i="67" s="1"/>
  <c r="AJ21" i="65"/>
  <c r="AN161" i="65"/>
  <c r="AN173" i="65" s="1"/>
  <c r="AW669" i="67" s="1"/>
  <c r="T1120" i="67"/>
  <c r="V1136" i="67"/>
  <c r="M1136" i="67"/>
  <c r="U1120" i="67"/>
  <c r="AR683" i="67"/>
  <c r="AR1136" i="67"/>
  <c r="R1136" i="67"/>
  <c r="X161" i="65"/>
  <c r="X173" i="65" s="1"/>
  <c r="AG669" i="67" s="1"/>
  <c r="AG1122" i="67"/>
  <c r="Q1136" i="67"/>
  <c r="AT1120" i="67"/>
  <c r="AP1136" i="67"/>
  <c r="AB160" i="65"/>
  <c r="AB172" i="65" s="1"/>
  <c r="AK668" i="67" s="1"/>
  <c r="AK1121" i="67"/>
  <c r="AC161" i="65"/>
  <c r="AC173" i="65" s="1"/>
  <c r="AL669" i="67" s="1"/>
  <c r="AL1122" i="67"/>
  <c r="S1120" i="67"/>
  <c r="R1120" i="67"/>
  <c r="V1120" i="67"/>
  <c r="AG159" i="65"/>
  <c r="AP1120" i="67"/>
  <c r="N160" i="65"/>
  <c r="N172" i="65" s="1"/>
  <c r="W1121" i="67"/>
  <c r="Y159" i="65"/>
  <c r="AH1120" i="67"/>
  <c r="H159" i="65"/>
  <c r="Q1120" i="67"/>
  <c r="D159" i="65"/>
  <c r="M1120" i="67"/>
  <c r="O1120" i="67"/>
  <c r="T1136" i="67"/>
  <c r="AV1120" i="67"/>
  <c r="AF161" i="65"/>
  <c r="AF173" i="65" s="1"/>
  <c r="AO669" i="67" s="1"/>
  <c r="AO1122" i="67"/>
  <c r="AE161" i="65"/>
  <c r="AE173" i="65" s="1"/>
  <c r="AN669" i="67" s="1"/>
  <c r="AN1122" i="67"/>
  <c r="K838" i="67"/>
  <c r="K1140" i="67"/>
  <c r="AK1136" i="67"/>
  <c r="AE159" i="65"/>
  <c r="AN1120" i="67"/>
  <c r="Z160" i="65"/>
  <c r="Z172" i="65" s="1"/>
  <c r="AI668" i="67" s="1"/>
  <c r="AI1121" i="67"/>
  <c r="AM1120" i="67"/>
  <c r="AA1136" i="67"/>
  <c r="U1136" i="67"/>
  <c r="G161" i="65"/>
  <c r="G173" i="65" s="1"/>
  <c r="P669" i="67" s="1"/>
  <c r="P1122" i="67"/>
  <c r="AG1136" i="67"/>
  <c r="AC1120" i="67"/>
  <c r="J160" i="65"/>
  <c r="J172" i="65" s="1"/>
  <c r="S668" i="67" s="1"/>
  <c r="S1121" i="67"/>
  <c r="N159" i="65"/>
  <c r="N171" i="65" s="1"/>
  <c r="W667" i="67" s="1"/>
  <c r="W1120" i="67"/>
  <c r="AW1120" i="67"/>
  <c r="AW1136" i="67"/>
  <c r="R159" i="65"/>
  <c r="R171" i="65" s="1"/>
  <c r="AA667" i="67" s="1"/>
  <c r="AA1120" i="67"/>
  <c r="AL1120" i="67"/>
  <c r="AV1136" i="67"/>
  <c r="AJ159" i="65"/>
  <c r="AS1120" i="67"/>
  <c r="D161" i="65"/>
  <c r="D173" i="65" s="1"/>
  <c r="M669" i="67" s="1"/>
  <c r="M1122" i="67"/>
  <c r="AC1136" i="67"/>
  <c r="AA159" i="65"/>
  <c r="AA171" i="65" s="1"/>
  <c r="AJ667" i="67" s="1"/>
  <c r="AJ1120" i="67"/>
  <c r="AL161" i="65"/>
  <c r="AL173" i="65" s="1"/>
  <c r="AU669" i="67" s="1"/>
  <c r="AU1122" i="67"/>
  <c r="AJ1136" i="67"/>
  <c r="AN1136" i="67"/>
  <c r="O1136" i="67"/>
  <c r="AM1136" i="67"/>
  <c r="AG1120" i="67"/>
  <c r="W1136" i="67"/>
  <c r="AR1120" i="67"/>
  <c r="AH1136" i="67"/>
  <c r="AS1136" i="67"/>
  <c r="L1136" i="67"/>
  <c r="AT1136" i="67"/>
  <c r="L1120" i="67"/>
  <c r="R685" i="67"/>
  <c r="R1138" i="67"/>
  <c r="AL1136" i="67"/>
  <c r="AB20" i="65"/>
  <c r="C22" i="65"/>
  <c r="AR37" i="67"/>
  <c r="AP614" i="67"/>
  <c r="Y139" i="67"/>
  <c r="Y292" i="67"/>
  <c r="L22" i="67"/>
  <c r="L175" i="67"/>
  <c r="AN140" i="67"/>
  <c r="AG646" i="67"/>
  <c r="S477" i="67"/>
  <c r="F161" i="65"/>
  <c r="F173" i="65" s="1"/>
  <c r="O669" i="67" s="1"/>
  <c r="AV801" i="67"/>
  <c r="Q687" i="67"/>
  <c r="AT444" i="67"/>
  <c r="R228" i="67"/>
  <c r="Z801" i="67"/>
  <c r="Z40" i="67"/>
  <c r="N40" i="67"/>
  <c r="AK123" i="67"/>
  <c r="AK276" i="67"/>
  <c r="AB515" i="67"/>
  <c r="AB363" i="67"/>
  <c r="L632" i="67"/>
  <c r="AN159" i="65"/>
  <c r="AN598" i="67"/>
  <c r="AN446" i="67"/>
  <c r="AG797" i="67"/>
  <c r="AG36" i="67"/>
  <c r="Q535" i="67"/>
  <c r="Q77" i="67"/>
  <c r="AT596" i="67"/>
  <c r="AE582" i="67"/>
  <c r="R75" i="67"/>
  <c r="Z346" i="67"/>
  <c r="N193" i="67"/>
  <c r="N346" i="67"/>
  <c r="AK581" i="67"/>
  <c r="AB210" i="67"/>
  <c r="AR343" i="67"/>
  <c r="AR798" i="67"/>
  <c r="Y445" i="67"/>
  <c r="L783" i="67"/>
  <c r="AN901" i="67"/>
  <c r="Q383" i="67"/>
  <c r="AT138" i="67"/>
  <c r="R381" i="67"/>
  <c r="Z498" i="67"/>
  <c r="AK884" i="67"/>
  <c r="K172" i="65"/>
  <c r="T668" i="67" s="1"/>
  <c r="D172" i="65"/>
  <c r="M668" i="67" s="1"/>
  <c r="Q171" i="65"/>
  <c r="Z667" i="67" s="1"/>
  <c r="N173" i="65"/>
  <c r="W669" i="67" s="1"/>
  <c r="M173" i="65"/>
  <c r="V669" i="67" s="1"/>
  <c r="AC172" i="65"/>
  <c r="AL668" i="67" s="1"/>
  <c r="AM173" i="65"/>
  <c r="AV669" i="67" s="1"/>
  <c r="W172" i="65"/>
  <c r="AF668" i="67" s="1"/>
  <c r="AF1274" i="67" s="1"/>
  <c r="Z173" i="65"/>
  <c r="AI669" i="67" s="1"/>
  <c r="V172" i="65"/>
  <c r="AE668" i="67" s="1"/>
  <c r="M172" i="65"/>
  <c r="V668" i="67" s="1"/>
  <c r="AH173" i="65"/>
  <c r="AQ669" i="67" s="1"/>
  <c r="AB173" i="65"/>
  <c r="AK669" i="67" s="1"/>
  <c r="AD172" i="65"/>
  <c r="AM668" i="67" s="1"/>
  <c r="AE172" i="65"/>
  <c r="AN668" i="67" s="1"/>
  <c r="AG173" i="65"/>
  <c r="AP669" i="67" s="1"/>
  <c r="AF172" i="65"/>
  <c r="AO668" i="67" s="1"/>
  <c r="Z171" i="65"/>
  <c r="T173" i="65"/>
  <c r="AC669" i="67" s="1"/>
  <c r="AF171" i="65"/>
  <c r="W171" i="65"/>
  <c r="AF667" i="67" s="1"/>
  <c r="U171" i="65"/>
  <c r="AD667" i="67" s="1"/>
  <c r="AA172" i="65"/>
  <c r="AJ668" i="67" s="1"/>
  <c r="G171" i="65"/>
  <c r="P667" i="67" s="1"/>
  <c r="H172" i="65"/>
  <c r="Q668" i="67" s="1"/>
  <c r="AD171" i="65"/>
  <c r="AM667" i="67" s="1"/>
  <c r="P171" i="65"/>
  <c r="Y667" i="67" s="1"/>
  <c r="F172" i="65"/>
  <c r="O668" i="67" s="1"/>
  <c r="B174" i="65"/>
  <c r="K670" i="67" s="1"/>
  <c r="S171" i="65"/>
  <c r="AB667" i="67" s="1"/>
  <c r="R172" i="65"/>
  <c r="H173" i="65"/>
  <c r="Q669" i="67" s="1"/>
  <c r="AH171" i="65"/>
  <c r="AI173" i="65"/>
  <c r="AR669" i="67" s="1"/>
  <c r="AH172" i="65"/>
  <c r="AQ668" i="67" s="1"/>
  <c r="Y172" i="65"/>
  <c r="AH668" i="67" s="1"/>
  <c r="L173" i="65"/>
  <c r="U669" i="67" s="1"/>
  <c r="AL171" i="65"/>
  <c r="AU667" i="67" s="1"/>
  <c r="AJ173" i="65"/>
  <c r="AS669" i="67" s="1"/>
  <c r="S173" i="65"/>
  <c r="AB669" i="67" s="1"/>
  <c r="AK173" i="65"/>
  <c r="AT669" i="67" s="1"/>
  <c r="AN172" i="65"/>
  <c r="AK864" i="67"/>
  <c r="AT54" i="68"/>
  <c r="AT53" i="68"/>
  <c r="R20" i="65"/>
  <c r="AA4" i="67"/>
  <c r="AI20" i="65"/>
  <c r="AR4" i="67"/>
  <c r="AM476" i="67"/>
  <c r="AB597" i="67"/>
  <c r="G21" i="65"/>
  <c r="P5" i="67"/>
  <c r="P1221" i="67" s="1"/>
  <c r="AP19" i="67"/>
  <c r="AM630" i="67"/>
  <c r="L20" i="65"/>
  <c r="U4" i="67"/>
  <c r="X901" i="67"/>
  <c r="F22" i="65"/>
  <c r="O6" i="67"/>
  <c r="AQ480" i="67"/>
  <c r="Q887" i="67"/>
  <c r="AG883" i="67"/>
  <c r="AB477" i="67"/>
  <c r="S21" i="65"/>
  <c r="AB5" i="67"/>
  <c r="AU276" i="67"/>
  <c r="AU629" i="67"/>
  <c r="T20" i="65"/>
  <c r="AC4" i="67"/>
  <c r="AR122" i="67"/>
  <c r="AP139" i="67"/>
  <c r="AG138" i="67"/>
  <c r="W227" i="67"/>
  <c r="O885" i="67"/>
  <c r="AD448" i="67"/>
  <c r="Q650" i="67"/>
  <c r="W883" i="67"/>
  <c r="AG21" i="65"/>
  <c r="AP5" i="67"/>
  <c r="AA580" i="67"/>
  <c r="AN736" i="67"/>
  <c r="M480" i="67"/>
  <c r="AB190" i="67"/>
  <c r="Y799" i="67"/>
  <c r="Y20" i="65"/>
  <c r="AH4" i="67"/>
  <c r="T648" i="67"/>
  <c r="H20" i="65"/>
  <c r="Q4" i="67"/>
  <c r="N19" i="67"/>
  <c r="AI380" i="67"/>
  <c r="O22" i="65"/>
  <c r="X6" i="67"/>
  <c r="AS581" i="67"/>
  <c r="AI292" i="67"/>
  <c r="U138" i="67"/>
  <c r="AJ295" i="67"/>
  <c r="U618" i="67"/>
  <c r="L903" i="67"/>
  <c r="W22" i="65"/>
  <c r="AF6" i="67"/>
  <c r="P21" i="65"/>
  <c r="Y5" i="67"/>
  <c r="Y1221" i="67" s="1"/>
  <c r="U749" i="67"/>
  <c r="O533" i="67"/>
  <c r="AA22" i="65"/>
  <c r="AJ6" i="67"/>
  <c r="AJ1222" i="67" s="1"/>
  <c r="R884" i="67"/>
  <c r="U480" i="67"/>
  <c r="AE279" i="67"/>
  <c r="C20" i="65"/>
  <c r="L4" i="67"/>
  <c r="W769" i="67"/>
  <c r="L21" i="65"/>
  <c r="U5" i="67"/>
  <c r="AV765" i="67"/>
  <c r="AE618" i="67"/>
  <c r="L193" i="67"/>
  <c r="AE214" i="67"/>
  <c r="N519" i="67"/>
  <c r="Z172" i="67"/>
  <c r="Z19" i="67"/>
  <c r="Z477" i="67"/>
  <c r="Z325" i="67"/>
  <c r="Z629" i="67"/>
  <c r="AK21" i="65"/>
  <c r="AT5" i="67"/>
  <c r="Q22" i="65"/>
  <c r="Z6" i="67"/>
  <c r="O446" i="67"/>
  <c r="AJ314" i="67"/>
  <c r="AA432" i="67"/>
  <c r="X20" i="65"/>
  <c r="AG4" i="67"/>
  <c r="AT597" i="67"/>
  <c r="AD343" i="67"/>
  <c r="AD429" i="67"/>
  <c r="P496" i="67"/>
  <c r="AC171" i="67"/>
  <c r="AR172" i="67"/>
  <c r="AD126" i="67"/>
  <c r="AQ769" i="67"/>
  <c r="Q600" i="67"/>
  <c r="AP324" i="67"/>
  <c r="AM732" i="67"/>
  <c r="AR36" i="67"/>
  <c r="AR899" i="67"/>
  <c r="N21" i="65"/>
  <c r="W5" i="67"/>
  <c r="AM734" i="67"/>
  <c r="Q732" i="67"/>
  <c r="M903" i="67"/>
  <c r="AN769" i="67"/>
  <c r="AW428" i="67"/>
  <c r="T901" i="67"/>
  <c r="AR671" i="67"/>
  <c r="BA20" i="68"/>
  <c r="X22" i="65"/>
  <c r="AG6" i="67"/>
  <c r="S277" i="67"/>
  <c r="S173" i="67"/>
  <c r="AH899" i="67"/>
  <c r="Y598" i="67"/>
  <c r="AC214" i="67"/>
  <c r="E21" i="65"/>
  <c r="N5" i="67"/>
  <c r="AS597" i="67"/>
  <c r="AT20" i="68"/>
  <c r="S835" i="67"/>
  <c r="Y733" i="67"/>
  <c r="S618" i="67"/>
  <c r="L314" i="67"/>
  <c r="Y190" i="67"/>
  <c r="AJ430" i="67"/>
  <c r="AO752" i="67"/>
  <c r="AV122" i="67"/>
  <c r="AJ632" i="67"/>
  <c r="Y325" i="67"/>
  <c r="R647" i="67"/>
  <c r="AE175" i="67"/>
  <c r="AC19" i="67"/>
  <c r="T21" i="65"/>
  <c r="AC5" i="67"/>
  <c r="K20" i="65"/>
  <c r="T4" i="67"/>
  <c r="T1220" i="67" s="1"/>
  <c r="F20" i="65"/>
  <c r="O4" i="67"/>
  <c r="O1220" i="67" s="1"/>
  <c r="AO344" i="67"/>
  <c r="AJ20" i="65"/>
  <c r="AS4" i="67"/>
  <c r="S801" i="67"/>
  <c r="L748" i="67"/>
  <c r="P293" i="67"/>
  <c r="R885" i="67"/>
  <c r="AA175" i="67"/>
  <c r="U21" i="65"/>
  <c r="AD5" i="67"/>
  <c r="AD1221" i="67" s="1"/>
  <c r="AD445" i="67"/>
  <c r="W445" i="67"/>
  <c r="G22" i="65"/>
  <c r="P6" i="67"/>
  <c r="AU900" i="67"/>
  <c r="AG20" i="65"/>
  <c r="AP4" i="67"/>
  <c r="AD20" i="65"/>
  <c r="AM4" i="67"/>
  <c r="AP429" i="67"/>
  <c r="AM293" i="67"/>
  <c r="BH20" i="68"/>
  <c r="T632" i="67"/>
  <c r="AL599" i="67"/>
  <c r="I20" i="65"/>
  <c r="R4" i="67"/>
  <c r="R1220" i="67" s="1"/>
  <c r="P22" i="65"/>
  <c r="Y6" i="67"/>
  <c r="M36" i="67"/>
  <c r="AT324" i="67"/>
  <c r="L580" i="67"/>
  <c r="I21" i="65"/>
  <c r="R5" i="67"/>
  <c r="R1221" i="67" s="1"/>
  <c r="D22" i="65"/>
  <c r="M6" i="67"/>
  <c r="M20" i="65"/>
  <c r="V4" i="67"/>
  <c r="J21" i="65"/>
  <c r="S5" i="67"/>
  <c r="N20" i="65"/>
  <c r="W4" i="67"/>
  <c r="R293" i="67"/>
  <c r="BN20" i="68"/>
  <c r="AD684" i="67"/>
  <c r="Y22" i="65"/>
  <c r="AH6" i="67"/>
  <c r="Z173" i="67"/>
  <c r="W884" i="67"/>
  <c r="AV53" i="68"/>
  <c r="AI21" i="65"/>
  <c r="AR5" i="67"/>
  <c r="AP596" i="67"/>
  <c r="AH648" i="67"/>
  <c r="V765" i="67"/>
  <c r="S172" i="67"/>
  <c r="O173" i="67"/>
  <c r="S432" i="67"/>
  <c r="AP765" i="67"/>
  <c r="AP343" i="67"/>
  <c r="AC618" i="67"/>
  <c r="AW171" i="67"/>
  <c r="AN20" i="65"/>
  <c r="AW4" i="67"/>
  <c r="AL883" i="67"/>
  <c r="AH279" i="67"/>
  <c r="AH752" i="67"/>
  <c r="T887" i="67"/>
  <c r="AH189" i="67"/>
  <c r="R883" i="67"/>
  <c r="AL174" i="67"/>
  <c r="AR346" i="67"/>
  <c r="AR480" i="67"/>
  <c r="AC736" i="67"/>
  <c r="AA40" i="67"/>
  <c r="AG582" i="67"/>
  <c r="AG293" i="67"/>
  <c r="S901" i="67"/>
  <c r="J22" i="65"/>
  <c r="S6" i="67"/>
  <c r="Y533" i="67"/>
  <c r="Y430" i="67"/>
  <c r="K22" i="65"/>
  <c r="T6" i="67"/>
  <c r="N292" i="67"/>
  <c r="N495" i="67"/>
  <c r="X781" i="67"/>
  <c r="AD22" i="65"/>
  <c r="AM6" i="67"/>
  <c r="AW54" i="68"/>
  <c r="S139" i="67"/>
  <c r="AE901" i="67"/>
  <c r="AO821" i="67"/>
  <c r="AB366" i="67"/>
  <c r="N126" i="67"/>
  <c r="AF836" i="67"/>
  <c r="AZ20" i="68"/>
  <c r="AZ53" i="68"/>
  <c r="AD172" i="67"/>
  <c r="AM20" i="65"/>
  <c r="AV4" i="67"/>
  <c r="D20" i="65"/>
  <c r="M4" i="67"/>
  <c r="V22" i="65"/>
  <c r="AE6" i="67"/>
  <c r="AF22" i="65"/>
  <c r="AO6" i="67"/>
  <c r="AK20" i="65"/>
  <c r="AT4" i="67"/>
  <c r="V476" i="67"/>
  <c r="AC20" i="65"/>
  <c r="AL4" i="67"/>
  <c r="L124" i="67"/>
  <c r="L582" i="67"/>
  <c r="L277" i="67"/>
  <c r="L734" i="67"/>
  <c r="L430" i="67"/>
  <c r="L885" i="67"/>
  <c r="AB21" i="65"/>
  <c r="AK5" i="67"/>
  <c r="AK1221" i="67" s="1"/>
  <c r="AK532" i="67"/>
  <c r="AK1290" i="67" s="1"/>
  <c r="AG124" i="67"/>
  <c r="N798" i="67"/>
  <c r="AW18" i="67"/>
  <c r="AE314" i="67"/>
  <c r="N822" i="67"/>
  <c r="Y124" i="67"/>
  <c r="Y752" i="67"/>
  <c r="S346" i="67"/>
  <c r="AM580" i="67"/>
  <c r="R324" i="67"/>
  <c r="Y295" i="67"/>
  <c r="AR193" i="67"/>
  <c r="AG750" i="67"/>
  <c r="AC748" i="67"/>
  <c r="AH20" i="68"/>
  <c r="S140" i="67"/>
  <c r="T432" i="67"/>
  <c r="AP171" i="67"/>
  <c r="Y685" i="67"/>
  <c r="L444" i="67"/>
  <c r="AH342" i="67"/>
  <c r="Z618" i="67"/>
  <c r="AQ618" i="67"/>
  <c r="AC138" i="67"/>
  <c r="N139" i="67"/>
  <c r="AW476" i="67"/>
  <c r="AH54" i="68"/>
  <c r="AH494" i="67"/>
  <c r="U765" i="67"/>
  <c r="R476" i="67"/>
  <c r="Y903" i="67"/>
  <c r="Y448" i="67"/>
  <c r="AQ314" i="67"/>
  <c r="AC769" i="67"/>
  <c r="AJ582" i="67"/>
  <c r="AG140" i="67"/>
  <c r="AG446" i="67"/>
  <c r="AM275" i="67"/>
  <c r="AC899" i="67"/>
  <c r="AC444" i="67"/>
  <c r="N749" i="67"/>
  <c r="AH142" i="67"/>
  <c r="AR632" i="67"/>
  <c r="N671" i="67"/>
  <c r="AW628" i="67"/>
  <c r="AL122" i="67"/>
  <c r="AG277" i="67"/>
  <c r="X326" i="67"/>
  <c r="Y277" i="67"/>
  <c r="Y582" i="67"/>
  <c r="R275" i="67"/>
  <c r="N343" i="67"/>
  <c r="AH797" i="67"/>
  <c r="AH646" i="67"/>
  <c r="U614" i="67"/>
  <c r="R18" i="67"/>
  <c r="R628" i="67"/>
  <c r="Y142" i="67"/>
  <c r="S314" i="67"/>
  <c r="AC314" i="67"/>
  <c r="AG598" i="67"/>
  <c r="AO799" i="67"/>
  <c r="AC596" i="67"/>
  <c r="N445" i="67"/>
  <c r="N597" i="67"/>
  <c r="AH903" i="67"/>
  <c r="AR175" i="67"/>
  <c r="AW324" i="67"/>
  <c r="AG734" i="67"/>
  <c r="AG430" i="67"/>
  <c r="Y734" i="67"/>
  <c r="S749" i="67"/>
  <c r="AP476" i="67"/>
  <c r="Y75" i="67"/>
  <c r="N190" i="67"/>
  <c r="AH432" i="67"/>
  <c r="T365" i="67"/>
  <c r="BL54" i="68"/>
  <c r="AH36" i="67"/>
  <c r="AU20" i="68"/>
  <c r="R171" i="67"/>
  <c r="AK54" i="68"/>
  <c r="Y600" i="67"/>
  <c r="AR650" i="67"/>
  <c r="AC126" i="67"/>
  <c r="AG901" i="67"/>
  <c r="AO496" i="67"/>
  <c r="AM765" i="67"/>
  <c r="AF616" i="67"/>
  <c r="AC291" i="67"/>
  <c r="AN53" i="68"/>
  <c r="N900" i="67"/>
  <c r="AG885" i="67"/>
  <c r="P648" i="67"/>
  <c r="AD736" i="67"/>
  <c r="Y884" i="67"/>
  <c r="AH584" i="67"/>
  <c r="BD53" i="68"/>
  <c r="BG20" i="68"/>
  <c r="AH344" i="67"/>
  <c r="S279" i="67"/>
  <c r="AR325" i="67"/>
  <c r="AX53" i="68"/>
  <c r="Q161" i="65"/>
  <c r="S40" i="67"/>
  <c r="S769" i="67"/>
  <c r="Z314" i="67"/>
  <c r="AK159" i="65"/>
  <c r="AS733" i="67"/>
  <c r="AM189" i="67"/>
  <c r="AJ734" i="67"/>
  <c r="AO38" i="67"/>
  <c r="N61" i="67"/>
  <c r="N214" i="67"/>
  <c r="AV275" i="67"/>
  <c r="AE367" i="67"/>
  <c r="S650" i="67"/>
  <c r="AS884" i="67"/>
  <c r="AJ277" i="67"/>
  <c r="AO191" i="67"/>
  <c r="AO648" i="67"/>
  <c r="AF767" i="67"/>
  <c r="AE769" i="67"/>
  <c r="N367" i="67"/>
  <c r="L614" i="67"/>
  <c r="AT749" i="67"/>
  <c r="AG191" i="67"/>
  <c r="Z344" i="67"/>
  <c r="S498" i="67"/>
  <c r="Z769" i="67"/>
  <c r="AT733" i="67"/>
  <c r="BI54" i="68"/>
  <c r="BI52" i="68" s="1"/>
  <c r="T140" i="67"/>
  <c r="S193" i="67"/>
  <c r="AJ885" i="67"/>
  <c r="AJ124" i="67"/>
  <c r="Y647" i="67"/>
  <c r="O598" i="67"/>
  <c r="AO600" i="67"/>
  <c r="L618" i="67"/>
  <c r="AV580" i="67"/>
  <c r="AX20" i="68"/>
  <c r="AI139" i="67"/>
  <c r="S818" i="67"/>
  <c r="AD798" i="67"/>
  <c r="L883" i="67"/>
  <c r="L596" i="67"/>
  <c r="AE61" i="67"/>
  <c r="L40" i="67"/>
  <c r="AC18" i="67"/>
  <c r="AH291" i="67"/>
  <c r="AD276" i="67"/>
  <c r="Y37" i="67"/>
  <c r="Y343" i="67"/>
  <c r="AO903" i="67"/>
  <c r="AV614" i="67"/>
  <c r="AD190" i="67"/>
  <c r="W380" i="67"/>
  <c r="V732" i="67"/>
  <c r="L291" i="67"/>
  <c r="L899" i="67"/>
  <c r="AE519" i="67"/>
  <c r="L650" i="67"/>
  <c r="AD581" i="67"/>
  <c r="AT139" i="67"/>
  <c r="AD37" i="67"/>
  <c r="L138" i="67"/>
  <c r="L498" i="67"/>
  <c r="AA126" i="67"/>
  <c r="AJ769" i="67"/>
  <c r="S108" i="67"/>
  <c r="AJ618" i="67"/>
  <c r="AD584" i="67"/>
  <c r="AA279" i="67"/>
  <c r="AE822" i="67"/>
  <c r="AE671" i="67"/>
  <c r="Q448" i="67"/>
  <c r="L801" i="67"/>
  <c r="L346" i="67"/>
  <c r="AU53" i="68"/>
  <c r="AA736" i="67"/>
  <c r="Q295" i="67"/>
  <c r="AM20" i="68"/>
  <c r="BM53" i="68"/>
  <c r="AS276" i="67"/>
  <c r="AD749" i="67"/>
  <c r="BC54" i="68"/>
  <c r="BC52" i="68" s="1"/>
  <c r="U596" i="67"/>
  <c r="V580" i="67"/>
  <c r="Z191" i="67"/>
  <c r="Z496" i="67"/>
  <c r="Q899" i="67"/>
  <c r="S478" i="67"/>
  <c r="AS123" i="67"/>
  <c r="AS429" i="67"/>
  <c r="AM171" i="67"/>
  <c r="AD292" i="67"/>
  <c r="P901" i="67"/>
  <c r="R430" i="67"/>
  <c r="R277" i="67"/>
  <c r="AT18" i="67"/>
  <c r="AD432" i="67"/>
  <c r="AD887" i="67"/>
  <c r="AP18" i="67"/>
  <c r="AP628" i="67"/>
  <c r="AI900" i="67"/>
  <c r="AB869" i="67"/>
  <c r="AB292" i="67"/>
  <c r="Q752" i="67"/>
  <c r="Q903" i="67"/>
  <c r="Z648" i="67"/>
  <c r="P140" i="67"/>
  <c r="P750" i="67"/>
  <c r="R734" i="67"/>
  <c r="AO783" i="67"/>
  <c r="AT476" i="67"/>
  <c r="AJ903" i="67"/>
  <c r="AA161" i="65"/>
  <c r="AI445" i="67"/>
  <c r="AT343" i="67"/>
  <c r="AT37" i="67"/>
  <c r="Z38" i="67"/>
  <c r="Z799" i="67"/>
  <c r="AM324" i="67"/>
  <c r="AD900" i="67"/>
  <c r="AJ54" i="68"/>
  <c r="P598" i="67"/>
  <c r="R582" i="67"/>
  <c r="W292" i="67"/>
  <c r="AD279" i="67"/>
  <c r="AB900" i="67"/>
  <c r="L122" i="67"/>
  <c r="Q142" i="67"/>
  <c r="O685" i="67"/>
  <c r="AM124" i="67"/>
  <c r="AG596" i="67"/>
  <c r="AB647" i="67"/>
  <c r="AA584" i="67"/>
  <c r="AN584" i="67"/>
  <c r="AU429" i="67"/>
  <c r="AM430" i="67"/>
  <c r="AB343" i="67"/>
  <c r="AB37" i="67"/>
  <c r="AU325" i="67"/>
  <c r="BH53" i="68"/>
  <c r="AP292" i="67"/>
  <c r="AN126" i="67"/>
  <c r="M175" i="67"/>
  <c r="AB325" i="67"/>
  <c r="AR732" i="67"/>
  <c r="AM582" i="67"/>
  <c r="AV20" i="68"/>
  <c r="BA54" i="68"/>
  <c r="AP581" i="67"/>
  <c r="AP884" i="67"/>
  <c r="AU884" i="67"/>
  <c r="AU733" i="67"/>
  <c r="AR428" i="67"/>
  <c r="AR883" i="67"/>
  <c r="AG444" i="67"/>
  <c r="AG291" i="67"/>
  <c r="AU172" i="67"/>
  <c r="AP445" i="67"/>
  <c r="R173" i="67"/>
  <c r="AU581" i="67"/>
  <c r="AU123" i="67"/>
  <c r="BL53" i="68"/>
  <c r="AR275" i="67"/>
  <c r="AG748" i="67"/>
  <c r="R799" i="67"/>
  <c r="AP749" i="67"/>
  <c r="BO53" i="68"/>
  <c r="AB629" i="67"/>
  <c r="AP123" i="67"/>
  <c r="AR580" i="67"/>
  <c r="AG899" i="67"/>
  <c r="R344" i="67"/>
  <c r="M476" i="67"/>
  <c r="AN432" i="67"/>
  <c r="M632" i="67"/>
  <c r="M22" i="67"/>
  <c r="T820" i="67"/>
  <c r="AN279" i="67"/>
  <c r="M783" i="67"/>
  <c r="M328" i="67"/>
  <c r="T212" i="67"/>
  <c r="K161" i="65"/>
  <c r="AE598" i="67"/>
  <c r="AT614" i="67"/>
  <c r="AW819" i="67"/>
  <c r="AK363" i="67"/>
  <c r="AK57" i="67"/>
  <c r="X767" i="67"/>
  <c r="X616" i="67"/>
  <c r="O616" i="67"/>
  <c r="O767" i="67"/>
  <c r="AP122" i="67"/>
  <c r="AP275" i="67"/>
  <c r="AM291" i="67"/>
  <c r="AM444" i="67"/>
  <c r="AM36" i="67"/>
  <c r="AM494" i="67"/>
  <c r="AM646" i="67"/>
  <c r="AM797" i="67"/>
  <c r="AM342" i="67"/>
  <c r="W732" i="67"/>
  <c r="W580" i="67"/>
  <c r="W428" i="67"/>
  <c r="AL765" i="67"/>
  <c r="T446" i="67"/>
  <c r="T598" i="67"/>
  <c r="AC328" i="67"/>
  <c r="AC480" i="67"/>
  <c r="P885" i="67"/>
  <c r="AL800" i="67"/>
  <c r="AL497" i="67"/>
  <c r="N615" i="67"/>
  <c r="N766" i="67"/>
  <c r="AG344" i="67"/>
  <c r="AG38" i="67"/>
  <c r="AG496" i="67"/>
  <c r="AG799" i="67"/>
  <c r="AG648" i="67"/>
  <c r="S430" i="67"/>
  <c r="S124" i="67"/>
  <c r="S734" i="67"/>
  <c r="S885" i="67"/>
  <c r="S582" i="67"/>
  <c r="S326" i="67"/>
  <c r="S781" i="67"/>
  <c r="S20" i="67"/>
  <c r="S630" i="67"/>
  <c r="AH444" i="67"/>
  <c r="AH138" i="67"/>
  <c r="AH596" i="67"/>
  <c r="BB54" i="68"/>
  <c r="AH748" i="67"/>
  <c r="AH765" i="67"/>
  <c r="AH614" i="67"/>
  <c r="Y293" i="67"/>
  <c r="Y901" i="67"/>
  <c r="Y140" i="67"/>
  <c r="Q291" i="67"/>
  <c r="Q138" i="67"/>
  <c r="Q596" i="67"/>
  <c r="Q748" i="67"/>
  <c r="Q444" i="67"/>
  <c r="AC822" i="67"/>
  <c r="AC519" i="67"/>
  <c r="AC671" i="67"/>
  <c r="AC61" i="67"/>
  <c r="AC367" i="67"/>
  <c r="AS292" i="67"/>
  <c r="AS139" i="67"/>
  <c r="AS749" i="67"/>
  <c r="AS445" i="67"/>
  <c r="AS900" i="67"/>
  <c r="O161" i="65"/>
  <c r="AC614" i="67"/>
  <c r="AV736" i="67"/>
  <c r="AV432" i="67"/>
  <c r="BP53" i="68"/>
  <c r="AV126" i="67"/>
  <c r="AV584" i="67"/>
  <c r="AV279" i="67"/>
  <c r="AQ366" i="67"/>
  <c r="AQ821" i="67"/>
  <c r="AQ60" i="67"/>
  <c r="AQ213" i="67"/>
  <c r="AS291" i="67"/>
  <c r="AS138" i="67"/>
  <c r="BM54" i="68"/>
  <c r="AS596" i="67"/>
  <c r="AS748" i="67"/>
  <c r="AS444" i="67"/>
  <c r="AC615" i="67"/>
  <c r="U766" i="67"/>
  <c r="U615" i="67"/>
  <c r="AQ346" i="67"/>
  <c r="AQ801" i="67"/>
  <c r="BK20" i="68"/>
  <c r="AQ40" i="67"/>
  <c r="AQ498" i="67"/>
  <c r="AF781" i="67"/>
  <c r="AF20" i="67"/>
  <c r="AF478" i="67"/>
  <c r="AF173" i="67"/>
  <c r="AF630" i="67"/>
  <c r="W161" i="65"/>
  <c r="AF446" i="67"/>
  <c r="AZ54" i="68"/>
  <c r="AF750" i="67"/>
  <c r="AF293" i="67"/>
  <c r="AF901" i="67"/>
  <c r="AF140" i="67"/>
  <c r="U629" i="67"/>
  <c r="U172" i="67"/>
  <c r="U325" i="67"/>
  <c r="U477" i="67"/>
  <c r="W801" i="67"/>
  <c r="W498" i="67"/>
  <c r="AQ20" i="68"/>
  <c r="W346" i="67"/>
  <c r="W650" i="67"/>
  <c r="AO801" i="67"/>
  <c r="AO193" i="67"/>
  <c r="BI20" i="68"/>
  <c r="AO498" i="67"/>
  <c r="AO650" i="67"/>
  <c r="AO40" i="67"/>
  <c r="AV494" i="67"/>
  <c r="AV797" i="67"/>
  <c r="AV36" i="67"/>
  <c r="AV646" i="67"/>
  <c r="AV342" i="67"/>
  <c r="R19" i="67"/>
  <c r="R629" i="67"/>
  <c r="R172" i="67"/>
  <c r="O342" i="67"/>
  <c r="AI20" i="68"/>
  <c r="AO616" i="67"/>
  <c r="AO630" i="67"/>
  <c r="AO20" i="67"/>
  <c r="AO781" i="67"/>
  <c r="AO618" i="67"/>
  <c r="AO314" i="67"/>
  <c r="AC172" i="67"/>
  <c r="L160" i="65"/>
  <c r="R598" i="67"/>
  <c r="R901" i="67"/>
  <c r="AV632" i="67"/>
  <c r="AV480" i="67"/>
  <c r="AV22" i="67"/>
  <c r="AT190" i="67"/>
  <c r="AT798" i="67"/>
  <c r="AD74" i="67"/>
  <c r="AD835" i="67"/>
  <c r="AB74" i="67"/>
  <c r="AB835" i="67"/>
  <c r="AB380" i="67"/>
  <c r="AS36" i="67"/>
  <c r="AS494" i="67"/>
  <c r="W142" i="67"/>
  <c r="AQ54" i="68"/>
  <c r="W752" i="67"/>
  <c r="R343" i="67"/>
  <c r="AL20" i="68"/>
  <c r="R190" i="67"/>
  <c r="Z480" i="67"/>
  <c r="Z783" i="67"/>
  <c r="M140" i="67"/>
  <c r="M901" i="67"/>
  <c r="U18" i="67"/>
  <c r="U628" i="67"/>
  <c r="U324" i="67"/>
  <c r="U171" i="67"/>
  <c r="AT275" i="67"/>
  <c r="AT428" i="67"/>
  <c r="AT732" i="67"/>
  <c r="O646" i="67"/>
  <c r="AT580" i="67"/>
  <c r="BP20" i="68"/>
  <c r="Z20" i="67"/>
  <c r="S565" i="67"/>
  <c r="AR498" i="67"/>
  <c r="AC887" i="67"/>
  <c r="AC432" i="67"/>
  <c r="M142" i="67"/>
  <c r="M448" i="67"/>
  <c r="AH295" i="67"/>
  <c r="AH600" i="67"/>
  <c r="T279" i="67"/>
  <c r="T584" i="67"/>
  <c r="W600" i="67"/>
  <c r="AR328" i="67"/>
  <c r="AR22" i="67"/>
  <c r="AO328" i="67"/>
  <c r="AO769" i="67"/>
  <c r="W618" i="67"/>
  <c r="AA650" i="67"/>
  <c r="AL631" i="67"/>
  <c r="AH126" i="67"/>
  <c r="AH736" i="67"/>
  <c r="AJ783" i="67"/>
  <c r="AR40" i="67"/>
  <c r="AC279" i="67"/>
  <c r="M295" i="67"/>
  <c r="AH448" i="67"/>
  <c r="T736" i="67"/>
  <c r="T126" i="67"/>
  <c r="W903" i="67"/>
  <c r="AR783" i="67"/>
  <c r="AD903" i="67"/>
  <c r="AO632" i="67"/>
  <c r="W314" i="67"/>
  <c r="AL327" i="67"/>
  <c r="L600" i="67"/>
  <c r="AH887" i="67"/>
  <c r="AX54" i="68"/>
  <c r="AW53" i="68"/>
  <c r="U314" i="67"/>
  <c r="AR801" i="67"/>
  <c r="AC584" i="67"/>
  <c r="W295" i="67"/>
  <c r="Z328" i="67"/>
  <c r="AO22" i="67"/>
  <c r="AJ600" i="67"/>
  <c r="AR615" i="67"/>
  <c r="AI477" i="67"/>
  <c r="AB684" i="67"/>
  <c r="AB532" i="67"/>
  <c r="AF228" i="67"/>
  <c r="AD19" i="67"/>
  <c r="AD325" i="67"/>
  <c r="M797" i="67"/>
  <c r="M494" i="67"/>
  <c r="AF734" i="67"/>
  <c r="AF430" i="67"/>
  <c r="AI615" i="67"/>
  <c r="U444" i="67"/>
  <c r="U748" i="67"/>
  <c r="X20" i="67"/>
  <c r="U445" i="67"/>
  <c r="S445" i="67"/>
  <c r="S292" i="67"/>
  <c r="R496" i="67"/>
  <c r="R191" i="67"/>
  <c r="AE801" i="67"/>
  <c r="AE40" i="67"/>
  <c r="AB410" i="67"/>
  <c r="Y276" i="67"/>
  <c r="M324" i="67"/>
  <c r="M628" i="67"/>
  <c r="AB518" i="67"/>
  <c r="AB213" i="67"/>
  <c r="N432" i="67"/>
  <c r="AI532" i="67"/>
  <c r="O228" i="67"/>
  <c r="AS646" i="67"/>
  <c r="AW516" i="67"/>
  <c r="AB884" i="67"/>
  <c r="AF496" i="67"/>
  <c r="R781" i="67"/>
  <c r="AS342" i="67"/>
  <c r="AS797" i="67"/>
  <c r="AW364" i="67"/>
  <c r="AU445" i="67"/>
  <c r="AS20" i="68"/>
  <c r="AB123" i="67"/>
  <c r="AF344" i="67"/>
  <c r="AF191" i="67"/>
  <c r="R478" i="67"/>
  <c r="R630" i="67"/>
  <c r="AO213" i="67"/>
  <c r="AO366" i="67"/>
  <c r="AI19" i="67"/>
  <c r="AI172" i="67"/>
  <c r="AF685" i="67"/>
  <c r="AF533" i="67"/>
  <c r="AD629" i="67"/>
  <c r="AD477" i="67"/>
  <c r="Y191" i="67"/>
  <c r="M189" i="67"/>
  <c r="M342" i="67"/>
  <c r="AS614" i="67"/>
  <c r="AF582" i="67"/>
  <c r="AF124" i="67"/>
  <c r="AI766" i="67"/>
  <c r="U291" i="67"/>
  <c r="X630" i="67"/>
  <c r="X478" i="67"/>
  <c r="U292" i="67"/>
  <c r="U139" i="67"/>
  <c r="O104" i="67"/>
  <c r="S900" i="67"/>
  <c r="R38" i="67"/>
  <c r="N477" i="67"/>
  <c r="AE193" i="67"/>
  <c r="Y429" i="67"/>
  <c r="Y581" i="67"/>
  <c r="M18" i="67"/>
  <c r="AB821" i="67"/>
  <c r="N736" i="67"/>
  <c r="N279" i="67"/>
  <c r="AI74" i="67"/>
  <c r="S684" i="67"/>
  <c r="AO54" i="68"/>
  <c r="AO52" i="68" s="1"/>
  <c r="BM20" i="68"/>
  <c r="AU139" i="67"/>
  <c r="AB581" i="67"/>
  <c r="AF799" i="67"/>
  <c r="R326" i="67"/>
  <c r="AO60" i="67"/>
  <c r="AS189" i="67"/>
  <c r="AW211" i="67"/>
  <c r="AU597" i="67"/>
  <c r="AB429" i="67"/>
  <c r="AB733" i="67"/>
  <c r="AF38" i="67"/>
  <c r="AI629" i="67"/>
  <c r="AB227" i="67"/>
  <c r="AF381" i="67"/>
  <c r="AN20" i="68"/>
  <c r="AY20" i="68"/>
  <c r="AF277" i="67"/>
  <c r="AS53" i="68"/>
  <c r="U899" i="67"/>
  <c r="X173" i="67"/>
  <c r="U597" i="67"/>
  <c r="S597" i="67"/>
  <c r="R648" i="67"/>
  <c r="AE346" i="67"/>
  <c r="Y123" i="67"/>
  <c r="N887" i="67"/>
  <c r="S532" i="67"/>
  <c r="M596" i="67"/>
  <c r="M899" i="67"/>
  <c r="U160" i="65"/>
  <c r="AJ498" i="67"/>
  <c r="AJ801" i="67"/>
  <c r="AW275" i="67"/>
  <c r="AW580" i="67"/>
  <c r="AW122" i="67"/>
  <c r="AL646" i="67"/>
  <c r="AL36" i="67"/>
  <c r="AL797" i="67"/>
  <c r="AL494" i="67"/>
  <c r="AL189" i="67"/>
  <c r="AR769" i="67"/>
  <c r="AR314" i="67"/>
  <c r="AR618" i="67"/>
  <c r="R276" i="67"/>
  <c r="R581" i="67"/>
  <c r="AL53" i="68"/>
  <c r="R429" i="67"/>
  <c r="R123" i="67"/>
  <c r="U632" i="67"/>
  <c r="U328" i="67"/>
  <c r="U783" i="67"/>
  <c r="AU142" i="67"/>
  <c r="AU295" i="67"/>
  <c r="AU600" i="67"/>
  <c r="AU903" i="67"/>
  <c r="AU752" i="67"/>
  <c r="AT325" i="67"/>
  <c r="AT19" i="67"/>
  <c r="AT477" i="67"/>
  <c r="AT172" i="67"/>
  <c r="AT629" i="67"/>
  <c r="M767" i="67"/>
  <c r="M616" i="67"/>
  <c r="AV618" i="67"/>
  <c r="AV769" i="67"/>
  <c r="BQ53" i="68"/>
  <c r="U22" i="67"/>
  <c r="AH616" i="67"/>
  <c r="AM767" i="67"/>
  <c r="AM20" i="67"/>
  <c r="AM173" i="67"/>
  <c r="AM478" i="67"/>
  <c r="AV142" i="67"/>
  <c r="BP54" i="68"/>
  <c r="AV600" i="67"/>
  <c r="AQ752" i="67"/>
  <c r="BK54" i="68"/>
  <c r="BK52" i="68" s="1"/>
  <c r="AQ903" i="67"/>
  <c r="AQ295" i="67"/>
  <c r="BQ20" i="68"/>
  <c r="AP20" i="62" s="1"/>
  <c r="AW342" i="67"/>
  <c r="AW189" i="67"/>
  <c r="AW36" i="67"/>
  <c r="AA628" i="67"/>
  <c r="AA171" i="67"/>
  <c r="AA324" i="67"/>
  <c r="AA765" i="67"/>
  <c r="AA614" i="67"/>
  <c r="AH175" i="67"/>
  <c r="AH632" i="67"/>
  <c r="AH480" i="67"/>
  <c r="AH22" i="67"/>
  <c r="AH783" i="67"/>
  <c r="AH328" i="67"/>
  <c r="T142" i="67"/>
  <c r="T295" i="67"/>
  <c r="T448" i="67"/>
  <c r="T903" i="67"/>
  <c r="T752" i="67"/>
  <c r="T600" i="67"/>
  <c r="R444" i="67"/>
  <c r="R291" i="67"/>
  <c r="R748" i="67"/>
  <c r="R596" i="67"/>
  <c r="R899" i="67"/>
  <c r="T899" i="67"/>
  <c r="AN54" i="68"/>
  <c r="T138" i="67"/>
  <c r="T444" i="67"/>
  <c r="M191" i="67"/>
  <c r="M799" i="67"/>
  <c r="AG20" i="68"/>
  <c r="M496" i="67"/>
  <c r="M38" i="67"/>
  <c r="M648" i="67"/>
  <c r="L797" i="67"/>
  <c r="L646" i="67"/>
  <c r="L342" i="67"/>
  <c r="L494" i="67"/>
  <c r="AF20" i="68"/>
  <c r="AW797" i="67"/>
  <c r="AG275" i="67"/>
  <c r="W765" i="67"/>
  <c r="T596" i="67"/>
  <c r="L189" i="67"/>
  <c r="AA476" i="67"/>
  <c r="P767" i="67"/>
  <c r="T748" i="67"/>
  <c r="R733" i="67"/>
  <c r="L36" i="67"/>
  <c r="AJ650" i="67"/>
  <c r="AM616" i="67"/>
  <c r="W614" i="67"/>
  <c r="AG428" i="67"/>
  <c r="BA53" i="68"/>
  <c r="AG122" i="67"/>
  <c r="AG580" i="67"/>
  <c r="AN650" i="67"/>
  <c r="AW614" i="67"/>
  <c r="AH314" i="67"/>
  <c r="AH769" i="67"/>
  <c r="AH618" i="67"/>
  <c r="T618" i="67"/>
  <c r="T769" i="67"/>
  <c r="AL628" i="67"/>
  <c r="AL18" i="67"/>
  <c r="AL476" i="67"/>
  <c r="AL171" i="67"/>
  <c r="AE887" i="67"/>
  <c r="AE126" i="67"/>
  <c r="AE584" i="67"/>
  <c r="AY53" i="68"/>
  <c r="AY52" i="68" s="1"/>
  <c r="AE736" i="67"/>
  <c r="AE432" i="67"/>
  <c r="U600" i="67"/>
  <c r="U295" i="67"/>
  <c r="U752" i="67"/>
  <c r="U448" i="67"/>
  <c r="U903" i="67"/>
  <c r="U142" i="67"/>
  <c r="AM159" i="65"/>
  <c r="V171" i="67"/>
  <c r="V324" i="67"/>
  <c r="V18" i="67"/>
  <c r="V628" i="67"/>
  <c r="AM781" i="67"/>
  <c r="AW732" i="67"/>
  <c r="AW646" i="67"/>
  <c r="AW883" i="67"/>
  <c r="AW494" i="67"/>
  <c r="AM326" i="67"/>
  <c r="AG732" i="67"/>
  <c r="AA18" i="67"/>
  <c r="U175" i="67"/>
  <c r="T291" i="67"/>
  <c r="M344" i="67"/>
  <c r="AV314" i="67"/>
  <c r="T314" i="67"/>
  <c r="R138" i="67"/>
  <c r="AU448" i="67"/>
  <c r="AL324" i="67"/>
  <c r="AR834" i="67"/>
  <c r="AR379" i="67"/>
  <c r="T230" i="67"/>
  <c r="AC783" i="67"/>
  <c r="AC22" i="67"/>
  <c r="AC632" i="67"/>
  <c r="AC175" i="67"/>
  <c r="P430" i="67"/>
  <c r="P734" i="67"/>
  <c r="P277" i="67"/>
  <c r="AW20" i="68"/>
  <c r="AE533" i="67"/>
  <c r="AE836" i="67"/>
  <c r="AE75" i="67"/>
  <c r="AE685" i="67"/>
  <c r="L295" i="67"/>
  <c r="L142" i="67"/>
  <c r="U190" i="67"/>
  <c r="U343" i="67"/>
  <c r="AJ175" i="67"/>
  <c r="AJ328" i="67"/>
  <c r="AJ480" i="67"/>
  <c r="Y477" i="67"/>
  <c r="Y629" i="67"/>
  <c r="AE328" i="67"/>
  <c r="AE783" i="67"/>
  <c r="AE480" i="67"/>
  <c r="AE22" i="67"/>
  <c r="AC629" i="67"/>
  <c r="T160" i="65"/>
  <c r="M750" i="67"/>
  <c r="M446" i="67"/>
  <c r="AP276" i="67"/>
  <c r="AO478" i="67"/>
  <c r="AA275" i="67"/>
  <c r="T750" i="67"/>
  <c r="U769" i="67"/>
  <c r="AI160" i="65"/>
  <c r="AM628" i="67"/>
  <c r="AM277" i="67"/>
  <c r="AM885" i="67"/>
  <c r="R495" i="67"/>
  <c r="R798" i="67"/>
  <c r="W448" i="67"/>
  <c r="Z632" i="67"/>
  <c r="Z175" i="67"/>
  <c r="AO480" i="67"/>
  <c r="AT765" i="67"/>
  <c r="AT122" i="67"/>
  <c r="AT883" i="67"/>
  <c r="AT628" i="67"/>
  <c r="AR628" i="67"/>
  <c r="AE869" i="67"/>
  <c r="AE212" i="67"/>
  <c r="AC494" i="67"/>
  <c r="O630" i="67"/>
  <c r="O36" i="67"/>
  <c r="L752" i="67"/>
  <c r="AC325" i="67"/>
  <c r="U647" i="67"/>
  <c r="Y172" i="67"/>
  <c r="AJ53" i="68"/>
  <c r="AF54" i="68"/>
  <c r="P582" i="67"/>
  <c r="M598" i="67"/>
  <c r="AJ22" i="67"/>
  <c r="AE228" i="67"/>
  <c r="W429" i="67"/>
  <c r="W276" i="67"/>
  <c r="V161" i="65"/>
  <c r="AU19" i="67"/>
  <c r="AU477" i="67"/>
  <c r="AP900" i="67"/>
  <c r="AP597" i="67"/>
  <c r="O734" i="67"/>
  <c r="O430" i="67"/>
  <c r="AH628" i="67"/>
  <c r="AH18" i="67"/>
  <c r="AH171" i="67"/>
  <c r="T630" i="67"/>
  <c r="T1236" i="67" s="1"/>
  <c r="AA314" i="67"/>
  <c r="AA618" i="67"/>
  <c r="AC40" i="67"/>
  <c r="AC346" i="67"/>
  <c r="AE750" i="67"/>
  <c r="AE446" i="67"/>
  <c r="AE140" i="67"/>
  <c r="AE293" i="67"/>
  <c r="BL20" i="68"/>
  <c r="AE430" i="67"/>
  <c r="AE734" i="67"/>
  <c r="L769" i="67"/>
  <c r="Y495" i="67"/>
  <c r="Y798" i="67"/>
  <c r="P160" i="65"/>
  <c r="AO448" i="67"/>
  <c r="AO142" i="67"/>
  <c r="AO295" i="67"/>
  <c r="AV883" i="67"/>
  <c r="AV428" i="67"/>
  <c r="AV732" i="67"/>
  <c r="S126" i="67"/>
  <c r="S736" i="67"/>
  <c r="W628" i="67"/>
  <c r="W18" i="67"/>
  <c r="AN752" i="67"/>
  <c r="AN448" i="67"/>
  <c r="V275" i="67"/>
  <c r="V122" i="67"/>
  <c r="V883" i="67"/>
  <c r="AP53" i="68"/>
  <c r="AJ142" i="67"/>
  <c r="AJ752" i="67"/>
  <c r="L275" i="67"/>
  <c r="L428" i="67"/>
  <c r="AF53" i="68"/>
  <c r="AE767" i="67"/>
  <c r="AE616" i="67"/>
  <c r="O494" i="67"/>
  <c r="O189" i="67"/>
  <c r="BD54" i="68"/>
  <c r="AO326" i="67"/>
  <c r="AL614" i="67"/>
  <c r="AP733" i="67"/>
  <c r="BB20" i="68"/>
  <c r="AO173" i="67"/>
  <c r="AA883" i="67"/>
  <c r="T293" i="67"/>
  <c r="AM750" i="67"/>
  <c r="AO20" i="68"/>
  <c r="U476" i="67"/>
  <c r="R37" i="67"/>
  <c r="Z22" i="67"/>
  <c r="AO175" i="67"/>
  <c r="AT171" i="67"/>
  <c r="AC797" i="67"/>
  <c r="R477" i="67"/>
  <c r="R325" i="67"/>
  <c r="O797" i="67"/>
  <c r="AJ448" i="67"/>
  <c r="L448" i="67"/>
  <c r="AC477" i="67"/>
  <c r="U495" i="67"/>
  <c r="Y19" i="67"/>
  <c r="V428" i="67"/>
  <c r="L732" i="67"/>
  <c r="P124" i="67"/>
  <c r="M293" i="67"/>
  <c r="AE632" i="67"/>
  <c r="AQ566" i="67"/>
  <c r="AE381" i="67"/>
  <c r="R732" i="67"/>
  <c r="R122" i="67"/>
  <c r="R428" i="67"/>
  <c r="R580" i="67"/>
  <c r="AL782" i="67"/>
  <c r="AL479" i="67"/>
  <c r="AL21" i="67"/>
  <c r="AC159" i="65"/>
  <c r="AA346" i="67"/>
  <c r="AA801" i="67"/>
  <c r="AA193" i="67"/>
  <c r="AA498" i="67"/>
  <c r="Y228" i="67"/>
  <c r="Y836" i="67"/>
  <c r="Y381" i="67"/>
  <c r="Y885" i="67"/>
  <c r="Q614" i="67"/>
  <c r="Q765" i="67"/>
  <c r="N37" i="67"/>
  <c r="N647" i="67"/>
  <c r="V596" i="67"/>
  <c r="V1354" i="67" s="1"/>
  <c r="AP54" i="68"/>
  <c r="AI597" i="67"/>
  <c r="AI749" i="67"/>
  <c r="C159" i="65"/>
  <c r="O381" i="67"/>
  <c r="O75" i="67"/>
  <c r="O836" i="67"/>
  <c r="AE781" i="67"/>
  <c r="AE478" i="67"/>
  <c r="AE630" i="67"/>
  <c r="AE20" i="67"/>
  <c r="AE326" i="67"/>
  <c r="AK103" i="67"/>
  <c r="BB53" i="68"/>
  <c r="AK409" i="67"/>
  <c r="AJ160" i="65"/>
  <c r="AT647" i="67"/>
  <c r="W900" i="67"/>
  <c r="Q580" i="67"/>
  <c r="Q275" i="67"/>
  <c r="M291" i="67"/>
  <c r="P191" i="67"/>
  <c r="AD227" i="67"/>
  <c r="AD380" i="67"/>
  <c r="W835" i="67"/>
  <c r="AC498" i="67"/>
  <c r="S766" i="67"/>
  <c r="W139" i="67"/>
  <c r="W749" i="67"/>
  <c r="AG54" i="68"/>
  <c r="AG52" i="68" s="1"/>
  <c r="Q193" i="67"/>
  <c r="AD532" i="67"/>
  <c r="AQ22" i="67"/>
  <c r="AI227" i="67"/>
  <c r="AI835" i="67"/>
  <c r="AI684" i="67"/>
  <c r="AT495" i="67"/>
  <c r="AK210" i="67"/>
  <c r="W597" i="67"/>
  <c r="X750" i="67"/>
  <c r="M444" i="67"/>
  <c r="W74" i="67"/>
  <c r="S227" i="67"/>
  <c r="S74" i="67"/>
  <c r="S380" i="67"/>
  <c r="AR20" i="68"/>
  <c r="X648" i="67"/>
  <c r="X496" i="67"/>
  <c r="X344" i="67"/>
  <c r="AD597" i="67"/>
  <c r="AD139" i="67"/>
  <c r="W766" i="67"/>
  <c r="W615" i="67"/>
  <c r="AR646" i="67"/>
  <c r="AR797" i="67"/>
  <c r="AR189" i="67"/>
  <c r="AR342" i="67"/>
  <c r="AR494" i="67"/>
  <c r="AR596" i="67"/>
  <c r="AR444" i="67"/>
  <c r="AR748" i="67"/>
  <c r="AR291" i="67"/>
  <c r="AR138" i="67"/>
  <c r="Q324" i="67"/>
  <c r="Q171" i="67"/>
  <c r="Q18" i="67"/>
  <c r="AP629" i="67"/>
  <c r="AP325" i="67"/>
  <c r="AP477" i="67"/>
  <c r="N172" i="67"/>
  <c r="N629" i="67"/>
  <c r="N325" i="67"/>
  <c r="X799" i="67"/>
  <c r="AD618" i="67"/>
  <c r="AD314" i="67"/>
  <c r="AD769" i="67"/>
  <c r="AA448" i="67"/>
  <c r="AA142" i="67"/>
  <c r="AA752" i="67"/>
  <c r="AA600" i="67"/>
  <c r="AU54" i="68"/>
  <c r="AA295" i="67"/>
  <c r="AA903" i="67"/>
  <c r="AQ175" i="67"/>
  <c r="AQ783" i="67"/>
  <c r="AQ632" i="67"/>
  <c r="AQ328" i="67"/>
  <c r="Q432" i="67"/>
  <c r="Q279" i="67"/>
  <c r="Q736" i="67"/>
  <c r="Q584" i="67"/>
  <c r="Q126" i="67"/>
  <c r="AK53" i="68"/>
  <c r="AG765" i="67"/>
  <c r="AG614" i="67"/>
  <c r="M614" i="67"/>
  <c r="M765" i="67"/>
  <c r="AD142" i="67"/>
  <c r="AD295" i="67"/>
  <c r="AD600" i="67"/>
  <c r="AD752" i="67"/>
  <c r="Q498" i="67"/>
  <c r="Q346" i="67"/>
  <c r="Q801" i="67"/>
  <c r="Q40" i="67"/>
  <c r="BJ53" i="68"/>
  <c r="AP732" i="67"/>
  <c r="AP428" i="67"/>
  <c r="AP580" i="67"/>
  <c r="AP883" i="67"/>
  <c r="AM748" i="67"/>
  <c r="AM138" i="67"/>
  <c r="AM596" i="67"/>
  <c r="AM899" i="67"/>
  <c r="AL732" i="67"/>
  <c r="AL428" i="67"/>
  <c r="BF53" i="68"/>
  <c r="AL580" i="67"/>
  <c r="AL275" i="67"/>
  <c r="AH193" i="67"/>
  <c r="AH650" i="67"/>
  <c r="AH40" i="67"/>
  <c r="AH346" i="67"/>
  <c r="AH801" i="67"/>
  <c r="T328" i="67"/>
  <c r="T175" i="67"/>
  <c r="T22" i="67"/>
  <c r="T783" i="67"/>
  <c r="T480" i="67"/>
  <c r="Q36" i="67"/>
  <c r="Q797" i="67"/>
  <c r="Q646" i="67"/>
  <c r="Q494" i="67"/>
  <c r="AK20" i="68"/>
  <c r="AL751" i="67"/>
  <c r="BF54" i="68"/>
  <c r="AL447" i="67"/>
  <c r="AL902" i="67"/>
  <c r="AL141" i="67"/>
  <c r="AL294" i="67"/>
  <c r="AL617" i="67"/>
  <c r="AL768" i="67"/>
  <c r="AL192" i="67"/>
  <c r="AL39" i="67"/>
  <c r="BF20" i="68"/>
  <c r="AL345" i="67"/>
  <c r="AL649" i="67"/>
  <c r="AR214" i="67"/>
  <c r="AR61" i="67"/>
  <c r="AR822" i="67"/>
  <c r="AR519" i="67"/>
  <c r="AR367" i="67"/>
  <c r="Y496" i="67"/>
  <c r="Y344" i="67"/>
  <c r="Y648" i="67"/>
  <c r="Y38" i="67"/>
  <c r="S616" i="67"/>
  <c r="AG767" i="67"/>
  <c r="AM54" i="68"/>
  <c r="S293" i="67"/>
  <c r="S598" i="67"/>
  <c r="S750" i="67"/>
  <c r="S446" i="67"/>
  <c r="AH260" i="67"/>
  <c r="Y446" i="67"/>
  <c r="AS54" i="68"/>
  <c r="Y750" i="67"/>
  <c r="Y767" i="67"/>
  <c r="Y616" i="67"/>
  <c r="S160" i="65"/>
  <c r="X191" i="67"/>
  <c r="I161" i="65"/>
  <c r="O750" i="67"/>
  <c r="O293" i="67"/>
  <c r="O140" i="67"/>
  <c r="AI54" i="68"/>
  <c r="O901" i="67"/>
  <c r="AP748" i="67"/>
  <c r="AP899" i="67"/>
  <c r="AP291" i="67"/>
  <c r="BJ54" i="68"/>
  <c r="AP444" i="67"/>
  <c r="AH799" i="67"/>
  <c r="AH38" i="67"/>
  <c r="AH496" i="67"/>
  <c r="AH191" i="67"/>
  <c r="L159" i="65"/>
  <c r="AN600" i="67"/>
  <c r="AN142" i="67"/>
  <c r="AN295" i="67"/>
  <c r="BH54" i="68"/>
  <c r="AN903" i="67"/>
  <c r="J161" i="65"/>
  <c r="N429" i="67"/>
  <c r="N733" i="67"/>
  <c r="N123" i="67"/>
  <c r="N884" i="67"/>
  <c r="N581" i="67"/>
  <c r="N276" i="67"/>
  <c r="AH53" i="68"/>
  <c r="AN314" i="67"/>
  <c r="AN618" i="67"/>
  <c r="AN801" i="67"/>
  <c r="AN193" i="67"/>
  <c r="AN40" i="67"/>
  <c r="T59" i="67"/>
  <c r="T517" i="67"/>
  <c r="T344" i="67"/>
  <c r="T191" i="67"/>
  <c r="T799" i="67"/>
  <c r="T496" i="67"/>
  <c r="AA887" i="67"/>
  <c r="AN346" i="67"/>
  <c r="M801" i="67"/>
  <c r="M346" i="67"/>
  <c r="M498" i="67"/>
  <c r="M650" i="67"/>
  <c r="M193" i="67"/>
  <c r="M40" i="67"/>
  <c r="T381" i="67"/>
  <c r="T836" i="67"/>
  <c r="T533" i="67"/>
  <c r="T685" i="67"/>
  <c r="T228" i="67"/>
  <c r="T75" i="67"/>
  <c r="T38" i="67"/>
  <c r="AN498" i="67"/>
  <c r="S381" i="67"/>
  <c r="S836" i="67"/>
  <c r="S685" i="67"/>
  <c r="S533" i="67"/>
  <c r="S75" i="67"/>
  <c r="S228" i="67"/>
  <c r="T616" i="67"/>
  <c r="T767" i="67"/>
  <c r="T868" i="67"/>
  <c r="T565" i="67"/>
  <c r="AP74" i="67"/>
  <c r="AP684" i="67"/>
  <c r="AP532" i="67"/>
  <c r="AP835" i="67"/>
  <c r="AP227" i="67"/>
  <c r="AP380" i="67"/>
  <c r="S37" i="67"/>
  <c r="S495" i="67"/>
  <c r="S190" i="67"/>
  <c r="S647" i="67"/>
  <c r="S798" i="67"/>
  <c r="S343" i="67"/>
  <c r="AT581" i="67"/>
  <c r="AI159" i="65"/>
  <c r="AV328" i="67"/>
  <c r="AV783" i="67"/>
  <c r="AV448" i="67"/>
  <c r="AV752" i="67"/>
  <c r="S19" i="67"/>
  <c r="AT766" i="67"/>
  <c r="X293" i="67"/>
  <c r="R616" i="67"/>
  <c r="O478" i="67"/>
  <c r="O781" i="67"/>
  <c r="P38" i="67"/>
  <c r="P799" i="67"/>
  <c r="S515" i="67"/>
  <c r="S210" i="67"/>
  <c r="W324" i="67"/>
  <c r="AC122" i="67"/>
  <c r="AC732" i="67"/>
  <c r="AC883" i="67"/>
  <c r="AC275" i="67"/>
  <c r="AC580" i="67"/>
  <c r="AC428" i="67"/>
  <c r="S429" i="67"/>
  <c r="S733" i="67"/>
  <c r="S123" i="67"/>
  <c r="S276" i="67"/>
  <c r="S581" i="67"/>
  <c r="S884" i="67"/>
  <c r="AT123" i="67"/>
  <c r="AT276" i="67"/>
  <c r="AR19" i="67"/>
  <c r="AW58" i="67"/>
  <c r="AU292" i="67"/>
  <c r="AU749" i="67"/>
  <c r="AB172" i="67"/>
  <c r="AV175" i="67"/>
  <c r="AV903" i="67"/>
  <c r="AQ142" i="67"/>
  <c r="AQ600" i="67"/>
  <c r="AR766" i="67"/>
  <c r="BO54" i="68"/>
  <c r="AP37" i="67"/>
  <c r="AM428" i="67"/>
  <c r="AM883" i="67"/>
  <c r="AM614" i="67"/>
  <c r="AM901" i="67"/>
  <c r="AM598" i="67"/>
  <c r="AB766" i="67"/>
  <c r="AC628" i="67"/>
  <c r="AC324" i="67"/>
  <c r="AV54" i="68"/>
  <c r="AM53" i="68"/>
  <c r="S629" i="67"/>
  <c r="AV193" i="67"/>
  <c r="AV346" i="67"/>
  <c r="AJ346" i="67"/>
  <c r="AJ40" i="67"/>
  <c r="BN53" i="68"/>
  <c r="AT615" i="67"/>
  <c r="BN54" i="68"/>
  <c r="AR324" i="67"/>
  <c r="AP615" i="67"/>
  <c r="AK818" i="67"/>
  <c r="AK515" i="67"/>
  <c r="AP172" i="67"/>
  <c r="AR54" i="68"/>
  <c r="AR52" i="68" s="1"/>
  <c r="AD123" i="67"/>
  <c r="AD884" i="67"/>
  <c r="AE517" i="67"/>
  <c r="X598" i="67"/>
  <c r="X446" i="67"/>
  <c r="M748" i="67"/>
  <c r="M138" i="67"/>
  <c r="O326" i="67"/>
  <c r="AI53" i="68"/>
  <c r="P344" i="67"/>
  <c r="AR73" i="67"/>
  <c r="AR531" i="67"/>
  <c r="S57" i="67"/>
  <c r="S363" i="67"/>
  <c r="AD647" i="67"/>
  <c r="W476" i="67"/>
  <c r="W122" i="67"/>
  <c r="W275" i="67"/>
  <c r="AB445" i="67"/>
  <c r="AB749" i="67"/>
  <c r="W532" i="67"/>
  <c r="W123" i="67"/>
  <c r="W733" i="67"/>
  <c r="R750" i="67"/>
  <c r="O277" i="67"/>
  <c r="O582" i="67"/>
  <c r="S887" i="67"/>
  <c r="S584" i="67"/>
  <c r="AA328" i="67"/>
  <c r="AA783" i="67"/>
  <c r="Z616" i="67"/>
  <c r="Z767" i="67"/>
  <c r="W37" i="67"/>
  <c r="W495" i="67"/>
  <c r="W190" i="67"/>
  <c r="W647" i="67"/>
  <c r="W343" i="67"/>
  <c r="W798" i="67"/>
  <c r="T159" i="65"/>
  <c r="AD161" i="65"/>
  <c r="Z478" i="67"/>
  <c r="AG160" i="65"/>
  <c r="AT429" i="67"/>
  <c r="AR477" i="67"/>
  <c r="V614" i="67"/>
  <c r="AQ448" i="67"/>
  <c r="AU615" i="67"/>
  <c r="AR765" i="67"/>
  <c r="AP647" i="67"/>
  <c r="AM122" i="67"/>
  <c r="AM446" i="67"/>
  <c r="AC476" i="67"/>
  <c r="AH767" i="67"/>
  <c r="AR18" i="67"/>
  <c r="AP766" i="67"/>
  <c r="BG54" i="68"/>
  <c r="X140" i="67"/>
  <c r="AL54" i="68"/>
  <c r="AT292" i="67"/>
  <c r="AT445" i="67"/>
  <c r="R446" i="67"/>
  <c r="AA22" i="67"/>
  <c r="AT884" i="67"/>
  <c r="AR629" i="67"/>
  <c r="BD20" i="68"/>
  <c r="AB19" i="67"/>
  <c r="AV295" i="67"/>
  <c r="AP190" i="67"/>
  <c r="BG53" i="68"/>
  <c r="AM140" i="67"/>
  <c r="AV40" i="67"/>
  <c r="AV498" i="67"/>
  <c r="AJ193" i="67"/>
  <c r="AR476" i="67"/>
  <c r="AD733" i="67"/>
  <c r="AE59" i="67"/>
  <c r="AJ20" i="68"/>
  <c r="O20" i="67"/>
  <c r="AR226" i="67"/>
  <c r="AT900" i="67"/>
  <c r="AD495" i="67"/>
  <c r="W171" i="67"/>
  <c r="AQ53" i="68"/>
  <c r="AB139" i="67"/>
  <c r="W684" i="67"/>
  <c r="W581" i="67"/>
  <c r="R140" i="67"/>
  <c r="O124" i="67"/>
  <c r="AA480" i="67"/>
  <c r="AK561" i="67"/>
  <c r="Z781" i="67"/>
  <c r="Z630" i="67"/>
  <c r="Z326" i="67"/>
  <c r="X159" i="65"/>
  <c r="W19" i="67"/>
  <c r="W629" i="67"/>
  <c r="W172" i="67"/>
  <c r="W477" i="67"/>
  <c r="W325" i="67"/>
  <c r="I159" i="65"/>
  <c r="P161" i="65"/>
  <c r="AL160" i="65"/>
  <c r="K159" i="65"/>
  <c r="AH20" i="67"/>
  <c r="AH781" i="67"/>
  <c r="AH630" i="67"/>
  <c r="AH173" i="67"/>
  <c r="AH478" i="67"/>
  <c r="AH326" i="67"/>
  <c r="Z750" i="67"/>
  <c r="Z598" i="67"/>
  <c r="Z293" i="67"/>
  <c r="Z901" i="67"/>
  <c r="Z140" i="67"/>
  <c r="Z446" i="67"/>
  <c r="Y326" i="67"/>
  <c r="Y173" i="67"/>
  <c r="Y781" i="67"/>
  <c r="Y478" i="67"/>
  <c r="Y20" i="67"/>
  <c r="Y630" i="67"/>
  <c r="AR139" i="67"/>
  <c r="AR900" i="67"/>
  <c r="AR292" i="67"/>
  <c r="AR597" i="67"/>
  <c r="AR445" i="67"/>
  <c r="AR749" i="67"/>
  <c r="Y161" i="65"/>
  <c r="Z124" i="67"/>
  <c r="Z430" i="67"/>
  <c r="Z582" i="67"/>
  <c r="Z277" i="67"/>
  <c r="Z734" i="67"/>
  <c r="Z885" i="67"/>
  <c r="X343" i="67"/>
  <c r="X190" i="67"/>
  <c r="X647" i="67"/>
  <c r="X798" i="67"/>
  <c r="X37" i="67"/>
  <c r="X495" i="67"/>
  <c r="AK256" i="67"/>
  <c r="N561" i="67"/>
  <c r="E160" i="65"/>
  <c r="P801" i="67"/>
  <c r="P498" i="67"/>
  <c r="P346" i="67"/>
  <c r="P650" i="67"/>
  <c r="P40" i="67"/>
  <c r="P193" i="67"/>
  <c r="AR380" i="67"/>
  <c r="AR74" i="67"/>
  <c r="AR684" i="67"/>
  <c r="AR532" i="67"/>
  <c r="AR835" i="67"/>
  <c r="AR227" i="67"/>
  <c r="O324" i="67"/>
  <c r="O18" i="67"/>
  <c r="O171" i="67"/>
  <c r="O628" i="67"/>
  <c r="O476" i="67"/>
  <c r="AK160" i="65"/>
  <c r="AH140" i="67"/>
  <c r="AH446" i="67"/>
  <c r="AH901" i="67"/>
  <c r="AH293" i="67"/>
  <c r="AH750" i="67"/>
  <c r="AH598" i="67"/>
  <c r="M159" i="65"/>
  <c r="AH428" i="67"/>
  <c r="AH122" i="67"/>
  <c r="AH580" i="67"/>
  <c r="AH883" i="67"/>
  <c r="AH275" i="67"/>
  <c r="AH732" i="67"/>
  <c r="N227" i="67"/>
  <c r="N532" i="67"/>
  <c r="N380" i="67"/>
  <c r="N684" i="67"/>
  <c r="N835" i="67"/>
  <c r="N74" i="67"/>
  <c r="AU835" i="67"/>
  <c r="AU74" i="67"/>
  <c r="AU532" i="67"/>
  <c r="AU684" i="67"/>
  <c r="AU227" i="67"/>
  <c r="AU380" i="67"/>
  <c r="AT380" i="67"/>
  <c r="AT835" i="67"/>
  <c r="AT532" i="67"/>
  <c r="AT684" i="67"/>
  <c r="AT227" i="67"/>
  <c r="AT74" i="67"/>
  <c r="AH430" i="67"/>
  <c r="AH582" i="67"/>
  <c r="AH885" i="67"/>
  <c r="AH734" i="67"/>
  <c r="AH124" i="67"/>
  <c r="AH277" i="67"/>
  <c r="Z75" i="67"/>
  <c r="Z228" i="67"/>
  <c r="Z381" i="67"/>
  <c r="Z685" i="67"/>
  <c r="Z836" i="67"/>
  <c r="Z533" i="67"/>
  <c r="I160" i="65"/>
  <c r="G160" i="65"/>
  <c r="T260" i="67"/>
  <c r="T107" i="67"/>
  <c r="T413" i="67"/>
  <c r="AT365" i="67"/>
  <c r="AT820" i="67"/>
  <c r="AT59" i="67"/>
  <c r="AT212" i="67"/>
  <c r="AT517" i="67"/>
  <c r="Z58" i="67"/>
  <c r="Z516" i="67"/>
  <c r="Z364" i="67"/>
  <c r="Z211" i="67"/>
  <c r="Z819" i="67"/>
  <c r="X516" i="67"/>
  <c r="X819" i="67"/>
  <c r="X58" i="67"/>
  <c r="X364" i="67"/>
  <c r="X211" i="67"/>
  <c r="S864" i="67"/>
  <c r="AC365" i="67"/>
  <c r="AC517" i="67"/>
  <c r="AC212" i="67"/>
  <c r="AC820" i="67"/>
  <c r="AC59" i="67"/>
  <c r="S211" i="67"/>
  <c r="S364" i="67"/>
  <c r="S819" i="67"/>
  <c r="S58" i="67"/>
  <c r="S516" i="67"/>
  <c r="AM687" i="67"/>
  <c r="AM535" i="67"/>
  <c r="AM77" i="67"/>
  <c r="AM230" i="67"/>
  <c r="AM383" i="67"/>
  <c r="X687" i="67"/>
  <c r="X77" i="67"/>
  <c r="X230" i="67"/>
  <c r="X383" i="67"/>
  <c r="X535" i="67"/>
  <c r="AD518" i="67"/>
  <c r="AD821" i="67"/>
  <c r="AD60" i="67"/>
  <c r="AD213" i="67"/>
  <c r="AD366" i="67"/>
  <c r="M366" i="67"/>
  <c r="M60" i="67"/>
  <c r="M518" i="67"/>
  <c r="M821" i="67"/>
  <c r="M213" i="67"/>
  <c r="AW409" i="67"/>
  <c r="AW864" i="67"/>
  <c r="AW103" i="67"/>
  <c r="AW256" i="67"/>
  <c r="AW561" i="67"/>
  <c r="AT363" i="67"/>
  <c r="AT57" i="67"/>
  <c r="AT210" i="67"/>
  <c r="AT818" i="67"/>
  <c r="AT515" i="67"/>
  <c r="AV414" i="67"/>
  <c r="AV566" i="67"/>
  <c r="AV261" i="67"/>
  <c r="AV108" i="67"/>
  <c r="AV869" i="67"/>
  <c r="AV718" i="67"/>
  <c r="AO566" i="67"/>
  <c r="AO718" i="67"/>
  <c r="AR58" i="67"/>
  <c r="AR364" i="67"/>
  <c r="AR819" i="67"/>
  <c r="AR516" i="67"/>
  <c r="AR211" i="67"/>
  <c r="AF818" i="67"/>
  <c r="AF57" i="67"/>
  <c r="AF210" i="67"/>
  <c r="AF363" i="67"/>
  <c r="AF515" i="67"/>
  <c r="AJ363" i="67"/>
  <c r="AJ818" i="67"/>
  <c r="AJ57" i="67"/>
  <c r="AJ210" i="67"/>
  <c r="AJ515" i="67"/>
  <c r="AA103" i="67"/>
  <c r="AA864" i="67"/>
  <c r="AA256" i="67"/>
  <c r="AA561" i="67"/>
  <c r="AA409" i="67"/>
  <c r="V409" i="67"/>
  <c r="V103" i="67"/>
  <c r="V864" i="67"/>
  <c r="V256" i="67"/>
  <c r="V561" i="67"/>
  <c r="AJ535" i="67"/>
  <c r="AJ230" i="67"/>
  <c r="AJ77" i="67"/>
  <c r="AJ687" i="67"/>
  <c r="AJ383" i="67"/>
  <c r="AF535" i="67"/>
  <c r="AF77" i="67"/>
  <c r="AF230" i="67"/>
  <c r="AF687" i="67"/>
  <c r="AF383" i="67"/>
  <c r="AS108" i="67"/>
  <c r="AV57" i="67"/>
  <c r="AV210" i="67"/>
  <c r="AV363" i="67"/>
  <c r="AV818" i="67"/>
  <c r="AV515" i="67"/>
  <c r="AW517" i="67"/>
  <c r="AW365" i="67"/>
  <c r="AW212" i="67"/>
  <c r="AW820" i="67"/>
  <c r="AW59" i="67"/>
  <c r="AQ818" i="67"/>
  <c r="AQ363" i="67"/>
  <c r="AQ210" i="67"/>
  <c r="AQ57" i="67"/>
  <c r="AQ515" i="67"/>
  <c r="AW869" i="67"/>
  <c r="AW414" i="67"/>
  <c r="AW718" i="67"/>
  <c r="AW108" i="67"/>
  <c r="AW566" i="67"/>
  <c r="AW261" i="67"/>
  <c r="AP834" i="67"/>
  <c r="AP73" i="67"/>
  <c r="AP226" i="67"/>
  <c r="AP379" i="67"/>
  <c r="AP683" i="67"/>
  <c r="AP531" i="67"/>
  <c r="AQ211" i="67"/>
  <c r="AQ516" i="67"/>
  <c r="AQ819" i="67"/>
  <c r="AQ364" i="67"/>
  <c r="AQ58" i="67"/>
  <c r="AL819" i="67"/>
  <c r="AL58" i="67"/>
  <c r="AL516" i="67"/>
  <c r="AL364" i="67"/>
  <c r="AL211" i="67"/>
  <c r="X868" i="67"/>
  <c r="X413" i="67"/>
  <c r="X107" i="67"/>
  <c r="X260" i="67"/>
  <c r="X565" i="67"/>
  <c r="AE108" i="67"/>
  <c r="Z683" i="67"/>
  <c r="Z226" i="67"/>
  <c r="Z834" i="67"/>
  <c r="Z531" i="67"/>
  <c r="Z379" i="67"/>
  <c r="Z73" i="67"/>
  <c r="X261" i="67"/>
  <c r="X108" i="67"/>
  <c r="X718" i="67"/>
  <c r="X414" i="67"/>
  <c r="X869" i="67"/>
  <c r="X566" i="67"/>
  <c r="T409" i="67"/>
  <c r="T864" i="67"/>
  <c r="T256" i="67"/>
  <c r="T103" i="67"/>
  <c r="T561" i="67"/>
  <c r="L565" i="67"/>
  <c r="Q364" i="67"/>
  <c r="Q819" i="67"/>
  <c r="Q211" i="67"/>
  <c r="Q58" i="67"/>
  <c r="Q516" i="67"/>
  <c r="O260" i="67"/>
  <c r="O107" i="67"/>
  <c r="O413" i="67"/>
  <c r="O565" i="67"/>
  <c r="O868" i="67"/>
  <c r="AI213" i="67"/>
  <c r="AI366" i="67"/>
  <c r="AI60" i="67"/>
  <c r="AI821" i="67"/>
  <c r="AI518" i="67"/>
  <c r="N821" i="67"/>
  <c r="N518" i="67"/>
  <c r="N60" i="67"/>
  <c r="N366" i="67"/>
  <c r="N213" i="67"/>
  <c r="AS517" i="67"/>
  <c r="AS59" i="67"/>
  <c r="AS212" i="67"/>
  <c r="AS820" i="67"/>
  <c r="AS365" i="67"/>
  <c r="AM864" i="67"/>
  <c r="AH379" i="67"/>
  <c r="AH226" i="67"/>
  <c r="AH73" i="67"/>
  <c r="AH531" i="67"/>
  <c r="AH683" i="67"/>
  <c r="AH834" i="67"/>
  <c r="AF865" i="67"/>
  <c r="AN58" i="67"/>
  <c r="AN516" i="67"/>
  <c r="AN364" i="67"/>
  <c r="AN819" i="67"/>
  <c r="AN211" i="67"/>
  <c r="AF365" i="67"/>
  <c r="AB414" i="67"/>
  <c r="U73" i="67"/>
  <c r="U226" i="67"/>
  <c r="U379" i="67"/>
  <c r="U683" i="67"/>
  <c r="U531" i="67"/>
  <c r="U834" i="67"/>
  <c r="M363" i="67"/>
  <c r="M57" i="67"/>
  <c r="M818" i="67"/>
  <c r="M210" i="67"/>
  <c r="M515" i="67"/>
  <c r="AT518" i="67"/>
  <c r="AT60" i="67"/>
  <c r="AT213" i="67"/>
  <c r="AT821" i="67"/>
  <c r="AT366" i="67"/>
  <c r="AR535" i="67"/>
  <c r="AR687" i="67"/>
  <c r="K518" i="67"/>
  <c r="K366" i="67"/>
  <c r="K821" i="67"/>
  <c r="K213" i="67"/>
  <c r="K60" i="67"/>
  <c r="AO58" i="67"/>
  <c r="AO364" i="67"/>
  <c r="AO516" i="67"/>
  <c r="AO819" i="67"/>
  <c r="AO211" i="67"/>
  <c r="AJ257" i="67"/>
  <c r="AS864" i="67"/>
  <c r="AS256" i="67"/>
  <c r="AS103" i="67"/>
  <c r="AS561" i="67"/>
  <c r="AS409" i="67"/>
  <c r="AI256" i="67"/>
  <c r="AI864" i="67"/>
  <c r="AI409" i="67"/>
  <c r="AI561" i="67"/>
  <c r="AI103" i="67"/>
  <c r="AK73" i="67"/>
  <c r="AK834" i="67"/>
  <c r="AK379" i="67"/>
  <c r="AK683" i="67"/>
  <c r="AK226" i="67"/>
  <c r="AK531" i="67"/>
  <c r="AI226" i="67"/>
  <c r="AI834" i="67"/>
  <c r="AI379" i="67"/>
  <c r="AI683" i="67"/>
  <c r="AI73" i="67"/>
  <c r="AI531" i="67"/>
  <c r="Q818" i="67"/>
  <c r="Q57" i="67"/>
  <c r="Q515" i="67"/>
  <c r="Q210" i="67"/>
  <c r="Q363" i="67"/>
  <c r="AR210" i="67"/>
  <c r="AN683" i="67"/>
  <c r="AN379" i="67"/>
  <c r="AN834" i="67"/>
  <c r="AN73" i="67"/>
  <c r="AN226" i="67"/>
  <c r="AN531" i="67"/>
  <c r="AP212" i="67"/>
  <c r="AP365" i="67"/>
  <c r="AP59" i="67"/>
  <c r="AP820" i="67"/>
  <c r="AP517" i="67"/>
  <c r="AI260" i="67"/>
  <c r="AI107" i="67"/>
  <c r="AI565" i="67"/>
  <c r="AI413" i="67"/>
  <c r="AI868" i="67"/>
  <c r="AK410" i="67"/>
  <c r="AK865" i="67"/>
  <c r="AK257" i="67"/>
  <c r="AK562" i="67"/>
  <c r="AK104" i="67"/>
  <c r="AK714" i="67"/>
  <c r="AI410" i="67"/>
  <c r="AI562" i="67"/>
  <c r="AI820" i="67"/>
  <c r="AI365" i="67"/>
  <c r="AI517" i="67"/>
  <c r="AI59" i="67"/>
  <c r="AI212" i="67"/>
  <c r="AD226" i="67"/>
  <c r="AD834" i="67"/>
  <c r="AD73" i="67"/>
  <c r="AD531" i="67"/>
  <c r="AD379" i="67"/>
  <c r="AD683" i="67"/>
  <c r="AK364" i="67"/>
  <c r="AK58" i="67"/>
  <c r="AK516" i="67"/>
  <c r="AK819" i="67"/>
  <c r="AK211" i="67"/>
  <c r="AE211" i="67"/>
  <c r="AE364" i="67"/>
  <c r="AE58" i="67"/>
  <c r="AE516" i="67"/>
  <c r="AE819" i="67"/>
  <c r="AA211" i="67"/>
  <c r="AA516" i="67"/>
  <c r="AA364" i="67"/>
  <c r="AA819" i="67"/>
  <c r="AA58" i="67"/>
  <c r="W516" i="67"/>
  <c r="W819" i="67"/>
  <c r="W58" i="67"/>
  <c r="W211" i="67"/>
  <c r="W364" i="67"/>
  <c r="V364" i="67"/>
  <c r="V516" i="67"/>
  <c r="V58" i="67"/>
  <c r="V819" i="67"/>
  <c r="V211" i="67"/>
  <c r="Q409" i="67"/>
  <c r="Q561" i="67"/>
  <c r="Q379" i="67"/>
  <c r="Q531" i="67"/>
  <c r="Q683" i="67"/>
  <c r="Q226" i="67"/>
  <c r="Q73" i="67"/>
  <c r="Q834" i="67"/>
  <c r="S379" i="67"/>
  <c r="S73" i="67"/>
  <c r="S834" i="67"/>
  <c r="S683" i="67"/>
  <c r="S531" i="67"/>
  <c r="S226" i="67"/>
  <c r="T211" i="67"/>
  <c r="T364" i="67"/>
  <c r="T58" i="67"/>
  <c r="T819" i="67"/>
  <c r="T516" i="67"/>
  <c r="AW518" i="67"/>
  <c r="AW60" i="67"/>
  <c r="AW213" i="67"/>
  <c r="AW366" i="67"/>
  <c r="AW821" i="67"/>
  <c r="AS60" i="67"/>
  <c r="AS821" i="67"/>
  <c r="AS366" i="67"/>
  <c r="AS213" i="67"/>
  <c r="AS518" i="67"/>
  <c r="AA535" i="67"/>
  <c r="AA687" i="67"/>
  <c r="AA230" i="67"/>
  <c r="AA77" i="67"/>
  <c r="AA383" i="67"/>
  <c r="AS77" i="67"/>
  <c r="AS535" i="67"/>
  <c r="AS230" i="67"/>
  <c r="AS383" i="67"/>
  <c r="AS687" i="67"/>
  <c r="Z366" i="67"/>
  <c r="Z518" i="67"/>
  <c r="Z60" i="67"/>
  <c r="Z821" i="67"/>
  <c r="Z213" i="67"/>
  <c r="AW413" i="67"/>
  <c r="AW868" i="67"/>
  <c r="AW107" i="67"/>
  <c r="AW565" i="67"/>
  <c r="AW260" i="67"/>
  <c r="AT565" i="67"/>
  <c r="AP363" i="67"/>
  <c r="AP818" i="67"/>
  <c r="AP57" i="67"/>
  <c r="AP210" i="67"/>
  <c r="AP515" i="67"/>
  <c r="AO409" i="67"/>
  <c r="AO256" i="67"/>
  <c r="AO103" i="67"/>
  <c r="AO864" i="67"/>
  <c r="AO561" i="67"/>
  <c r="AD363" i="67"/>
  <c r="AD57" i="67"/>
  <c r="AD818" i="67"/>
  <c r="AD210" i="67"/>
  <c r="AD515" i="67"/>
  <c r="AA818" i="67"/>
  <c r="AA57" i="67"/>
  <c r="AA515" i="67"/>
  <c r="AA210" i="67"/>
  <c r="AA363" i="67"/>
  <c r="W365" i="67"/>
  <c r="W820" i="67"/>
  <c r="W517" i="67"/>
  <c r="W59" i="67"/>
  <c r="W212" i="67"/>
  <c r="V517" i="67"/>
  <c r="V59" i="67"/>
  <c r="V820" i="67"/>
  <c r="V212" i="67"/>
  <c r="V365" i="67"/>
  <c r="N59" i="67"/>
  <c r="N212" i="67"/>
  <c r="N820" i="67"/>
  <c r="N365" i="67"/>
  <c r="N517" i="67"/>
  <c r="AV213" i="67"/>
  <c r="AV366" i="67"/>
  <c r="AV821" i="67"/>
  <c r="AV518" i="67"/>
  <c r="AV60" i="67"/>
  <c r="AN821" i="67"/>
  <c r="AN366" i="67"/>
  <c r="AN518" i="67"/>
  <c r="AN60" i="67"/>
  <c r="AN213" i="67"/>
  <c r="AJ366" i="67"/>
  <c r="AJ518" i="67"/>
  <c r="AJ60" i="67"/>
  <c r="AJ213" i="67"/>
  <c r="AJ821" i="67"/>
  <c r="T60" i="67"/>
  <c r="T518" i="67"/>
  <c r="T213" i="67"/>
  <c r="T821" i="67"/>
  <c r="T366" i="67"/>
  <c r="AQ409" i="67"/>
  <c r="AQ256" i="67"/>
  <c r="AQ864" i="67"/>
  <c r="AQ561" i="67"/>
  <c r="AQ103" i="67"/>
  <c r="AT834" i="67"/>
  <c r="AT379" i="67"/>
  <c r="AT683" i="67"/>
  <c r="AT531" i="67"/>
  <c r="AT226" i="67"/>
  <c r="AT73" i="67"/>
  <c r="AN212" i="67"/>
  <c r="AN517" i="67"/>
  <c r="AN820" i="67"/>
  <c r="AN59" i="67"/>
  <c r="AN365" i="67"/>
  <c r="AM58" i="67"/>
  <c r="AM364" i="67"/>
  <c r="AM516" i="67"/>
  <c r="AM211" i="67"/>
  <c r="AM819" i="67"/>
  <c r="AG103" i="67"/>
  <c r="AG864" i="67"/>
  <c r="AG256" i="67"/>
  <c r="AG561" i="67"/>
  <c r="AG409" i="67"/>
  <c r="AE379" i="67"/>
  <c r="AE73" i="67"/>
  <c r="AE683" i="67"/>
  <c r="AE834" i="67"/>
  <c r="AE226" i="67"/>
  <c r="AE531" i="67"/>
  <c r="X683" i="67"/>
  <c r="X226" i="67"/>
  <c r="X531" i="67"/>
  <c r="X73" i="67"/>
  <c r="X379" i="67"/>
  <c r="X834" i="67"/>
  <c r="U59" i="67"/>
  <c r="U517" i="67"/>
  <c r="U365" i="67"/>
  <c r="U820" i="67"/>
  <c r="U212" i="67"/>
  <c r="O414" i="67"/>
  <c r="O718" i="67"/>
  <c r="O108" i="67"/>
  <c r="O869" i="67"/>
  <c r="O261" i="67"/>
  <c r="O566" i="67"/>
  <c r="AW535" i="67"/>
  <c r="AW77" i="67"/>
  <c r="AW687" i="67"/>
  <c r="AW383" i="67"/>
  <c r="AW230" i="67"/>
  <c r="AU210" i="67"/>
  <c r="AU515" i="67"/>
  <c r="AU363" i="67"/>
  <c r="AU57" i="67"/>
  <c r="AU818" i="67"/>
  <c r="AQ834" i="67"/>
  <c r="AQ683" i="67"/>
  <c r="AQ226" i="67"/>
  <c r="AQ73" i="67"/>
  <c r="AQ379" i="67"/>
  <c r="AQ531" i="67"/>
  <c r="AN868" i="67"/>
  <c r="AN413" i="67"/>
  <c r="AN260" i="67"/>
  <c r="AN107" i="67"/>
  <c r="AN565" i="67"/>
  <c r="AM363" i="67"/>
  <c r="AM515" i="67"/>
  <c r="AM210" i="67"/>
  <c r="AM818" i="67"/>
  <c r="AM57" i="67"/>
  <c r="AF108" i="67"/>
  <c r="AF869" i="67"/>
  <c r="Y834" i="67"/>
  <c r="Y683" i="67"/>
  <c r="Y226" i="67"/>
  <c r="Y379" i="67"/>
  <c r="Y73" i="67"/>
  <c r="Y531" i="67"/>
  <c r="AA820" i="67"/>
  <c r="AA517" i="67"/>
  <c r="AA59" i="67"/>
  <c r="AA365" i="67"/>
  <c r="AA212" i="67"/>
  <c r="R379" i="67"/>
  <c r="R834" i="67"/>
  <c r="R226" i="67"/>
  <c r="R531" i="67"/>
  <c r="R683" i="67"/>
  <c r="R73" i="67"/>
  <c r="X212" i="67"/>
  <c r="X365" i="67"/>
  <c r="X517" i="67"/>
  <c r="X59" i="67"/>
  <c r="X820" i="67"/>
  <c r="W230" i="67"/>
  <c r="W687" i="67"/>
  <c r="W383" i="67"/>
  <c r="W77" i="67"/>
  <c r="W535" i="67"/>
  <c r="AM60" i="67"/>
  <c r="AM366" i="67"/>
  <c r="AM518" i="67"/>
  <c r="AM821" i="67"/>
  <c r="AM213" i="67"/>
  <c r="AC518" i="67"/>
  <c r="AC60" i="67"/>
  <c r="AC213" i="67"/>
  <c r="AC821" i="67"/>
  <c r="AC366" i="67"/>
  <c r="S366" i="67"/>
  <c r="S60" i="67"/>
  <c r="S518" i="67"/>
  <c r="S821" i="67"/>
  <c r="S213" i="67"/>
  <c r="N687" i="67"/>
  <c r="AK107" i="67"/>
  <c r="AK868" i="67"/>
  <c r="AK565" i="67"/>
  <c r="AK260" i="67"/>
  <c r="AK413" i="67"/>
  <c r="AU73" i="67"/>
  <c r="AU226" i="67"/>
  <c r="AU834" i="67"/>
  <c r="AU379" i="67"/>
  <c r="AU531" i="67"/>
  <c r="AU683" i="67"/>
  <c r="W379" i="67"/>
  <c r="W834" i="67"/>
  <c r="W683" i="67"/>
  <c r="W73" i="67"/>
  <c r="W226" i="67"/>
  <c r="W531" i="67"/>
  <c r="V714" i="67"/>
  <c r="V104" i="67"/>
  <c r="V865" i="67"/>
  <c r="V410" i="67"/>
  <c r="V257" i="67"/>
  <c r="V562" i="67"/>
  <c r="Q260" i="67"/>
  <c r="Q565" i="67"/>
  <c r="Q413" i="67"/>
  <c r="Q868" i="67"/>
  <c r="Q107" i="67"/>
  <c r="L256" i="67"/>
  <c r="L561" i="67"/>
  <c r="L103" i="67"/>
  <c r="L864" i="67"/>
  <c r="L409" i="67"/>
  <c r="AJ73" i="67"/>
  <c r="AJ226" i="67"/>
  <c r="AJ379" i="67"/>
  <c r="AJ834" i="67"/>
  <c r="AJ683" i="67"/>
  <c r="AJ531" i="67"/>
  <c r="AI261" i="67"/>
  <c r="AI718" i="67"/>
  <c r="AD108" i="67"/>
  <c r="AD718" i="67"/>
  <c r="AI819" i="67"/>
  <c r="AI211" i="67"/>
  <c r="AI364" i="67"/>
  <c r="AI516" i="67"/>
  <c r="AI58" i="67"/>
  <c r="W865" i="67"/>
  <c r="W410" i="67"/>
  <c r="Z365" i="67"/>
  <c r="Z59" i="67"/>
  <c r="Z517" i="67"/>
  <c r="Z820" i="67"/>
  <c r="Z212" i="67"/>
  <c r="V260" i="67"/>
  <c r="V107" i="67"/>
  <c r="V413" i="67"/>
  <c r="V565" i="67"/>
  <c r="V868" i="67"/>
  <c r="T379" i="67"/>
  <c r="T73" i="67"/>
  <c r="Q865" i="67"/>
  <c r="Q562" i="67"/>
  <c r="Q257" i="67"/>
  <c r="Q410" i="67"/>
  <c r="Q714" i="67"/>
  <c r="Q104" i="67"/>
  <c r="L834" i="67"/>
  <c r="L226" i="67"/>
  <c r="L683" i="67"/>
  <c r="L73" i="67"/>
  <c r="L531" i="67"/>
  <c r="L379" i="67"/>
  <c r="AD383" i="67"/>
  <c r="AD535" i="67"/>
  <c r="AD77" i="67"/>
  <c r="AD230" i="67"/>
  <c r="AD687" i="67"/>
  <c r="AI383" i="67"/>
  <c r="AI77" i="67"/>
  <c r="AI687" i="67"/>
  <c r="AI535" i="67"/>
  <c r="AI230" i="67"/>
  <c r="AB383" i="67"/>
  <c r="AB535" i="67"/>
  <c r="AB77" i="67"/>
  <c r="AB687" i="67"/>
  <c r="AB230" i="67"/>
  <c r="AE535" i="67"/>
  <c r="AE687" i="67"/>
  <c r="AE230" i="67"/>
  <c r="AE383" i="67"/>
  <c r="AE77" i="67"/>
  <c r="L366" i="67"/>
  <c r="L518" i="67"/>
  <c r="L60" i="67"/>
  <c r="L213" i="67"/>
  <c r="L821" i="67"/>
  <c r="R213" i="67"/>
  <c r="R366" i="67"/>
  <c r="R60" i="67"/>
  <c r="R518" i="67"/>
  <c r="R821" i="67"/>
  <c r="AO363" i="67"/>
  <c r="AO57" i="67"/>
  <c r="AO818" i="67"/>
  <c r="AO210" i="67"/>
  <c r="AO515" i="67"/>
  <c r="AO226" i="67"/>
  <c r="AO531" i="67"/>
  <c r="AO834" i="67"/>
  <c r="AO73" i="67"/>
  <c r="AO379" i="67"/>
  <c r="AO683" i="67"/>
  <c r="AC834" i="67"/>
  <c r="AC226" i="67"/>
  <c r="AC683" i="67"/>
  <c r="AC531" i="67"/>
  <c r="AC379" i="67"/>
  <c r="AC73" i="67"/>
  <c r="AD516" i="67"/>
  <c r="AD819" i="67"/>
  <c r="AC413" i="67"/>
  <c r="P379" i="67"/>
  <c r="P73" i="67"/>
  <c r="P683" i="67"/>
  <c r="P834" i="67"/>
  <c r="P226" i="67"/>
  <c r="P531" i="67"/>
  <c r="V383" i="67"/>
  <c r="V77" i="67"/>
  <c r="V535" i="67"/>
  <c r="V687" i="67"/>
  <c r="V230" i="67"/>
  <c r="AN77" i="67"/>
  <c r="AN230" i="67"/>
  <c r="AN535" i="67"/>
  <c r="AN687" i="67"/>
  <c r="AN383" i="67"/>
  <c r="AK366" i="67"/>
  <c r="AK518" i="67"/>
  <c r="AK60" i="67"/>
  <c r="AK821" i="67"/>
  <c r="AK213" i="67"/>
  <c r="AQ820" i="67"/>
  <c r="AQ517" i="67"/>
  <c r="AQ365" i="67"/>
  <c r="AQ212" i="67"/>
  <c r="AQ59" i="67"/>
  <c r="AK517" i="67"/>
  <c r="AK820" i="67"/>
  <c r="AK212" i="67"/>
  <c r="AK365" i="67"/>
  <c r="AK59" i="67"/>
  <c r="BE52" i="68"/>
  <c r="AE562" i="67"/>
  <c r="AE714" i="67"/>
  <c r="AE104" i="67"/>
  <c r="X257" i="67"/>
  <c r="X865" i="67"/>
  <c r="X714" i="67"/>
  <c r="X410" i="67"/>
  <c r="X562" i="67"/>
  <c r="X104" i="67"/>
  <c r="P818" i="67"/>
  <c r="P210" i="67"/>
  <c r="P363" i="67"/>
  <c r="P57" i="67"/>
  <c r="P515" i="67"/>
  <c r="O379" i="67"/>
  <c r="O226" i="67"/>
  <c r="O683" i="67"/>
  <c r="O531" i="67"/>
  <c r="O834" i="67"/>
  <c r="O73" i="67"/>
  <c r="O57" i="67"/>
  <c r="O818" i="67"/>
  <c r="O515" i="67"/>
  <c r="O210" i="67"/>
  <c r="O363" i="67"/>
  <c r="L59" i="67"/>
  <c r="L820" i="67"/>
  <c r="L365" i="67"/>
  <c r="L212" i="67"/>
  <c r="L517" i="67"/>
  <c r="AU60" i="67"/>
  <c r="AU821" i="67"/>
  <c r="AU518" i="67"/>
  <c r="AU366" i="67"/>
  <c r="AU213" i="67"/>
  <c r="AT230" i="67"/>
  <c r="AT383" i="67"/>
  <c r="AT77" i="67"/>
  <c r="AT535" i="67"/>
  <c r="AT687" i="67"/>
  <c r="U821" i="67"/>
  <c r="U366" i="67"/>
  <c r="U518" i="67"/>
  <c r="U60" i="67"/>
  <c r="U213" i="67"/>
  <c r="O535" i="67"/>
  <c r="O77" i="67"/>
  <c r="O687" i="67"/>
  <c r="O230" i="67"/>
  <c r="O383" i="67"/>
  <c r="AU256" i="67"/>
  <c r="AU561" i="67"/>
  <c r="AU864" i="67"/>
  <c r="AU409" i="67"/>
  <c r="AU103" i="67"/>
  <c r="AN818" i="67"/>
  <c r="AN57" i="67"/>
  <c r="AN210" i="67"/>
  <c r="AN363" i="67"/>
  <c r="AN515" i="67"/>
  <c r="AV212" i="67"/>
  <c r="AV517" i="67"/>
  <c r="AV820" i="67"/>
  <c r="AV59" i="67"/>
  <c r="AV365" i="67"/>
  <c r="AL562" i="67"/>
  <c r="AL714" i="67"/>
  <c r="AL410" i="67"/>
  <c r="AL104" i="67"/>
  <c r="AL257" i="67"/>
  <c r="AL865" i="67"/>
  <c r="AL561" i="67"/>
  <c r="AG683" i="67"/>
  <c r="AG379" i="67"/>
  <c r="AG531" i="67"/>
  <c r="AG226" i="67"/>
  <c r="AG834" i="67"/>
  <c r="AG73" i="67"/>
  <c r="AJ517" i="67"/>
  <c r="AJ820" i="67"/>
  <c r="AJ59" i="67"/>
  <c r="AJ365" i="67"/>
  <c r="AJ212" i="67"/>
  <c r="AB834" i="67"/>
  <c r="AB683" i="67"/>
  <c r="AB226" i="67"/>
  <c r="AB73" i="67"/>
  <c r="AB379" i="67"/>
  <c r="AB531" i="67"/>
  <c r="M413" i="67"/>
  <c r="AK230" i="67"/>
  <c r="AK383" i="67"/>
  <c r="AK535" i="67"/>
  <c r="AK687" i="67"/>
  <c r="AK77" i="67"/>
  <c r="AO230" i="67"/>
  <c r="AO383" i="67"/>
  <c r="AO535" i="67"/>
  <c r="AO77" i="67"/>
  <c r="AO687" i="67"/>
  <c r="AA366" i="67"/>
  <c r="AA60" i="67"/>
  <c r="AA518" i="67"/>
  <c r="AA821" i="67"/>
  <c r="AA213" i="67"/>
  <c r="V213" i="67"/>
  <c r="V821" i="67"/>
  <c r="V366" i="67"/>
  <c r="V518" i="67"/>
  <c r="V60" i="67"/>
  <c r="AI57" i="67"/>
  <c r="AI818" i="67"/>
  <c r="AI363" i="67"/>
  <c r="AI515" i="67"/>
  <c r="AI210" i="67"/>
  <c r="AK414" i="67"/>
  <c r="AK566" i="67"/>
  <c r="AK108" i="67"/>
  <c r="AK718" i="67"/>
  <c r="AK261" i="67"/>
  <c r="AK869" i="67"/>
  <c r="V834" i="67"/>
  <c r="Q414" i="67"/>
  <c r="Q869" i="67"/>
  <c r="Q718" i="67"/>
  <c r="Q261" i="67"/>
  <c r="Q566" i="67"/>
  <c r="Q108" i="67"/>
  <c r="S865" i="67"/>
  <c r="S562" i="67"/>
  <c r="M226" i="67"/>
  <c r="M379" i="67"/>
  <c r="M73" i="67"/>
  <c r="M834" i="67"/>
  <c r="M683" i="67"/>
  <c r="M531" i="67"/>
  <c r="M819" i="67"/>
  <c r="M211" i="67"/>
  <c r="M516" i="67"/>
  <c r="M364" i="67"/>
  <c r="M58" i="67"/>
  <c r="Z383" i="67"/>
  <c r="Z535" i="67"/>
  <c r="Z77" i="67"/>
  <c r="Z687" i="67"/>
  <c r="Z230" i="67"/>
  <c r="AG230" i="67"/>
  <c r="AG383" i="67"/>
  <c r="AG77" i="67"/>
  <c r="AG687" i="67"/>
  <c r="AG535" i="67"/>
  <c r="AW57" i="67"/>
  <c r="AW363" i="67"/>
  <c r="AW818" i="67"/>
  <c r="AW210" i="67"/>
  <c r="AW515" i="67"/>
  <c r="AT864" i="67"/>
  <c r="AV257" i="67"/>
  <c r="AV104" i="67"/>
  <c r="AO212" i="67"/>
  <c r="AO59" i="67"/>
  <c r="AO365" i="67"/>
  <c r="AO517" i="67"/>
  <c r="AO820" i="67"/>
  <c r="AF409" i="67"/>
  <c r="AF103" i="67"/>
  <c r="AF561" i="67"/>
  <c r="AF864" i="67"/>
  <c r="AF256" i="67"/>
  <c r="AB364" i="67"/>
  <c r="AB211" i="67"/>
  <c r="AB819" i="67"/>
  <c r="AB516" i="67"/>
  <c r="AB58" i="67"/>
  <c r="Z210" i="67"/>
  <c r="Z818" i="67"/>
  <c r="Z515" i="67"/>
  <c r="Z363" i="67"/>
  <c r="Z57" i="67"/>
  <c r="P869" i="67"/>
  <c r="P566" i="67"/>
  <c r="P261" i="67"/>
  <c r="P108" i="67"/>
  <c r="P718" i="67"/>
  <c r="P414" i="67"/>
  <c r="Q365" i="67"/>
  <c r="Q820" i="67"/>
  <c r="Q212" i="67"/>
  <c r="Q59" i="67"/>
  <c r="Q517" i="67"/>
  <c r="N73" i="67"/>
  <c r="N379" i="67"/>
  <c r="N226" i="67"/>
  <c r="N683" i="67"/>
  <c r="N531" i="67"/>
  <c r="N834" i="67"/>
  <c r="AL230" i="67"/>
  <c r="AL383" i="67"/>
  <c r="AL535" i="67"/>
  <c r="AL77" i="67"/>
  <c r="AL687" i="67"/>
  <c r="AQ868" i="67"/>
  <c r="AQ107" i="67"/>
  <c r="AQ413" i="67"/>
  <c r="AQ260" i="67"/>
  <c r="AQ565" i="67"/>
  <c r="AR365" i="67"/>
  <c r="AR820" i="67"/>
  <c r="AR517" i="67"/>
  <c r="AR212" i="67"/>
  <c r="AR59" i="67"/>
  <c r="AP108" i="67"/>
  <c r="AH211" i="67"/>
  <c r="AH819" i="67"/>
  <c r="AH516" i="67"/>
  <c r="AH364" i="67"/>
  <c r="AH58" i="67"/>
  <c r="AG517" i="67"/>
  <c r="AG365" i="67"/>
  <c r="AG820" i="67"/>
  <c r="AG59" i="67"/>
  <c r="AG212" i="67"/>
  <c r="AJ211" i="67"/>
  <c r="AJ819" i="67"/>
  <c r="AJ516" i="67"/>
  <c r="AJ364" i="67"/>
  <c r="AJ58" i="67"/>
  <c r="O562" i="67"/>
  <c r="O410" i="67"/>
  <c r="O257" i="67"/>
  <c r="AU383" i="67"/>
  <c r="S230" i="67"/>
  <c r="S383" i="67"/>
  <c r="AN256" i="67"/>
  <c r="AN409" i="67"/>
  <c r="AN103" i="67"/>
  <c r="AN864" i="67"/>
  <c r="AN561" i="67"/>
  <c r="AM868" i="67"/>
  <c r="AM107" i="67"/>
  <c r="AL834" i="67"/>
  <c r="AL379" i="67"/>
  <c r="AL531" i="67"/>
  <c r="AL226" i="67"/>
  <c r="AL683" i="67"/>
  <c r="AL73" i="67"/>
  <c r="AF73" i="67"/>
  <c r="AF379" i="67"/>
  <c r="AF834" i="67"/>
  <c r="AF683" i="67"/>
  <c r="AF226" i="67"/>
  <c r="AF531" i="67"/>
  <c r="Y818" i="67"/>
  <c r="Y363" i="67"/>
  <c r="Y57" i="67"/>
  <c r="Y210" i="67"/>
  <c r="Y515" i="67"/>
  <c r="AB820" i="67"/>
  <c r="AB517" i="67"/>
  <c r="AB59" i="67"/>
  <c r="AB365" i="67"/>
  <c r="AB212" i="67"/>
  <c r="U565" i="67"/>
  <c r="U58" i="67"/>
  <c r="U364" i="67"/>
  <c r="U516" i="67"/>
  <c r="U819" i="67"/>
  <c r="U211" i="67"/>
  <c r="O819" i="67"/>
  <c r="O364" i="67"/>
  <c r="O516" i="67"/>
  <c r="O58" i="67"/>
  <c r="O211" i="67"/>
  <c r="AP821" i="67"/>
  <c r="AP213" i="67"/>
  <c r="AP366" i="67"/>
  <c r="AP60" i="67"/>
  <c r="AP518" i="67"/>
  <c r="AF366" i="67"/>
  <c r="AF60" i="67"/>
  <c r="AF518" i="67"/>
  <c r="AF213" i="67"/>
  <c r="AF821" i="67"/>
  <c r="R1222" i="67" l="1"/>
  <c r="AK52" i="68"/>
  <c r="AK67" i="68" s="1"/>
  <c r="AU1221" i="67"/>
  <c r="AZ52" i="68"/>
  <c r="AZ67" i="68" s="1"/>
  <c r="AV52" i="68"/>
  <c r="U41" i="62" s="1"/>
  <c r="AW19" i="68"/>
  <c r="AW60" i="68" s="1"/>
  <c r="V20" i="62"/>
  <c r="AF19" i="68"/>
  <c r="AF60" i="68" s="1"/>
  <c r="E20" i="62"/>
  <c r="BM19" i="68"/>
  <c r="BM60" i="68" s="1"/>
  <c r="AL20" i="62"/>
  <c r="AI19" i="68"/>
  <c r="AI60" i="68" s="1"/>
  <c r="H20" i="62"/>
  <c r="AV19" i="68"/>
  <c r="AV60" i="68" s="1"/>
  <c r="U20" i="62"/>
  <c r="BI67" i="68"/>
  <c r="AH41" i="62"/>
  <c r="AZ19" i="68"/>
  <c r="AZ60" i="68" s="1"/>
  <c r="Y20" i="62"/>
  <c r="AG67" i="68"/>
  <c r="F41" i="62"/>
  <c r="AO19" i="68"/>
  <c r="AO60" i="68" s="1"/>
  <c r="N20" i="62"/>
  <c r="AO67" i="68"/>
  <c r="N41" i="62"/>
  <c r="BI19" i="68"/>
  <c r="BI60" i="68" s="1"/>
  <c r="AH20" i="62"/>
  <c r="AX19" i="68"/>
  <c r="AX60" i="68" s="1"/>
  <c r="W20" i="62"/>
  <c r="BH19" i="68"/>
  <c r="BH60" i="68" s="1"/>
  <c r="AG20" i="62"/>
  <c r="AR67" i="68"/>
  <c r="Q41" i="62"/>
  <c r="BK19" i="68"/>
  <c r="BK60" i="68" s="1"/>
  <c r="AJ20" i="62"/>
  <c r="AY67" i="68"/>
  <c r="X41" i="62"/>
  <c r="AS19" i="68"/>
  <c r="AS60" i="68" s="1"/>
  <c r="R20" i="62"/>
  <c r="AU19" i="68"/>
  <c r="AU60" i="68" s="1"/>
  <c r="T20" i="62"/>
  <c r="AK19" i="68"/>
  <c r="AK60" i="68" s="1"/>
  <c r="J20" i="62"/>
  <c r="BC67" i="68"/>
  <c r="AB41" i="62"/>
  <c r="BN19" i="68"/>
  <c r="BN60" i="68" s="1"/>
  <c r="AM20" i="62"/>
  <c r="BF19" i="68"/>
  <c r="BF60" i="68" s="1"/>
  <c r="AE20" i="62"/>
  <c r="BB19" i="68"/>
  <c r="BB60" i="68" s="1"/>
  <c r="AA20" i="62"/>
  <c r="BL19" i="68"/>
  <c r="BL60" i="68" s="1"/>
  <c r="AK20" i="62"/>
  <c r="BP19" i="68"/>
  <c r="BP60" i="68" s="1"/>
  <c r="AO20" i="62"/>
  <c r="AQ19" i="68"/>
  <c r="AQ60" i="68" s="1"/>
  <c r="P20" i="62"/>
  <c r="BA19" i="68"/>
  <c r="BA60" i="68" s="1"/>
  <c r="Z20" i="62"/>
  <c r="BE67" i="68"/>
  <c r="AD41" i="62"/>
  <c r="BK67" i="68"/>
  <c r="AJ41" i="62"/>
  <c r="AT19" i="68"/>
  <c r="AT60" i="68" s="1"/>
  <c r="S20" i="62"/>
  <c r="AG19" i="68"/>
  <c r="AG60" i="68" s="1"/>
  <c r="F20" i="62"/>
  <c r="AY19" i="68"/>
  <c r="AY60" i="68" s="1"/>
  <c r="X20" i="62"/>
  <c r="AR19" i="68"/>
  <c r="AR60" i="68" s="1"/>
  <c r="Q20" i="62"/>
  <c r="AN19" i="68"/>
  <c r="AN60" i="68" s="1"/>
  <c r="M20" i="62"/>
  <c r="AL19" i="68"/>
  <c r="AL60" i="68" s="1"/>
  <c r="K20" i="62"/>
  <c r="AM19" i="68"/>
  <c r="AM60" i="68" s="1"/>
  <c r="L20" i="62"/>
  <c r="BG19" i="68"/>
  <c r="BG60" i="68" s="1"/>
  <c r="AF20" i="62"/>
  <c r="AH19" i="68"/>
  <c r="AH60" i="68" s="1"/>
  <c r="G20" i="62"/>
  <c r="AJ19" i="68"/>
  <c r="AJ60" i="68" s="1"/>
  <c r="I20" i="62"/>
  <c r="BD19" i="68"/>
  <c r="BD60" i="68" s="1"/>
  <c r="AC20" i="62"/>
  <c r="AT52" i="68"/>
  <c r="BL52" i="68"/>
  <c r="AO1289" i="67"/>
  <c r="AQ52" i="68"/>
  <c r="AF1254" i="67"/>
  <c r="AT1338" i="67"/>
  <c r="R1356" i="67"/>
  <c r="Y1289" i="67"/>
  <c r="Z1289" i="67"/>
  <c r="Z1356" i="67"/>
  <c r="O1236" i="67"/>
  <c r="AM1356" i="67"/>
  <c r="AB1235" i="67"/>
  <c r="AM1338" i="67"/>
  <c r="O1356" i="67"/>
  <c r="X1254" i="67"/>
  <c r="AR1354" i="67"/>
  <c r="AD1355" i="67"/>
  <c r="AE1236" i="67"/>
  <c r="P1340" i="67"/>
  <c r="AE1356" i="67"/>
  <c r="AU1235" i="67"/>
  <c r="AC1252" i="67"/>
  <c r="V1234" i="67"/>
  <c r="R1339" i="67"/>
  <c r="R1254" i="67"/>
  <c r="AF1291" i="67"/>
  <c r="Q1354" i="67"/>
  <c r="AG1254" i="67"/>
  <c r="P1356" i="67"/>
  <c r="AP1234" i="67"/>
  <c r="AJ1340" i="67"/>
  <c r="R1234" i="67"/>
  <c r="AB1273" i="67"/>
  <c r="Y1355" i="67"/>
  <c r="S1289" i="67"/>
  <c r="AH1340" i="67"/>
  <c r="O1234" i="67"/>
  <c r="Z1340" i="67"/>
  <c r="X1356" i="67"/>
  <c r="W1253" i="67"/>
  <c r="W1338" i="67"/>
  <c r="AD1339" i="67"/>
  <c r="AR1235" i="67"/>
  <c r="T1254" i="67"/>
  <c r="Q1252" i="67"/>
  <c r="Q1234" i="67"/>
  <c r="W1290" i="67"/>
  <c r="O1291" i="67"/>
  <c r="N1253" i="67"/>
  <c r="AE1340" i="67"/>
  <c r="AH1234" i="67"/>
  <c r="U1253" i="67"/>
  <c r="AE1291" i="67"/>
  <c r="R1354" i="67"/>
  <c r="AF1340" i="67"/>
  <c r="AI1221" i="67"/>
  <c r="Z1236" i="67"/>
  <c r="M1356" i="67"/>
  <c r="AO1236" i="67"/>
  <c r="AF1356" i="67"/>
  <c r="AS1354" i="67"/>
  <c r="S1236" i="67"/>
  <c r="AB1253" i="67"/>
  <c r="AM1340" i="67"/>
  <c r="L1354" i="67"/>
  <c r="AI1355" i="67"/>
  <c r="AH1252" i="67"/>
  <c r="AR1252" i="67"/>
  <c r="Z1235" i="67"/>
  <c r="N1235" i="67"/>
  <c r="AR1338" i="67"/>
  <c r="AK1339" i="67"/>
  <c r="X1289" i="67"/>
  <c r="AE1289" i="67"/>
  <c r="AI1289" i="67"/>
  <c r="AT1290" i="67"/>
  <c r="N1290" i="67"/>
  <c r="Y1236" i="67"/>
  <c r="AH1236" i="67"/>
  <c r="O1340" i="67"/>
  <c r="AB1355" i="67"/>
  <c r="AP1253" i="67"/>
  <c r="S1235" i="67"/>
  <c r="S1253" i="67"/>
  <c r="T1291" i="67"/>
  <c r="R1338" i="67"/>
  <c r="V1338" i="67"/>
  <c r="W1234" i="67"/>
  <c r="O1252" i="67"/>
  <c r="AL1234" i="67"/>
  <c r="L1252" i="67"/>
  <c r="M1254" i="67"/>
  <c r="AM1236" i="67"/>
  <c r="AT1235" i="67"/>
  <c r="X1236" i="67"/>
  <c r="AB1290" i="67"/>
  <c r="AS1355" i="67"/>
  <c r="Y1356" i="67"/>
  <c r="AH1354" i="67"/>
  <c r="AP1339" i="67"/>
  <c r="AU1339" i="67"/>
  <c r="Z1254" i="67"/>
  <c r="AS1339" i="67"/>
  <c r="AD1253" i="67"/>
  <c r="AC1234" i="67"/>
  <c r="Y1291" i="67"/>
  <c r="AL1338" i="67"/>
  <c r="Y1340" i="67"/>
  <c r="S1355" i="67"/>
  <c r="AC1235" i="67"/>
  <c r="AP1235" i="67"/>
  <c r="AT1354" i="67"/>
  <c r="AR1253" i="67"/>
  <c r="AF1289" i="67"/>
  <c r="N1289" i="67"/>
  <c r="AB1289" i="67"/>
  <c r="AQ1289" i="67"/>
  <c r="AD1289" i="67"/>
  <c r="Z1291" i="67"/>
  <c r="AR1290" i="67"/>
  <c r="X1253" i="67"/>
  <c r="W1235" i="67"/>
  <c r="M1354" i="67"/>
  <c r="AT1339" i="67"/>
  <c r="S1339" i="67"/>
  <c r="AC1338" i="67"/>
  <c r="S1291" i="67"/>
  <c r="N1339" i="67"/>
  <c r="AH1254" i="67"/>
  <c r="AP1354" i="67"/>
  <c r="Y1254" i="67"/>
  <c r="AM1354" i="67"/>
  <c r="S1290" i="67"/>
  <c r="W1355" i="67"/>
  <c r="Q1338" i="67"/>
  <c r="Y1235" i="67"/>
  <c r="R1253" i="67"/>
  <c r="AA1234" i="67"/>
  <c r="AL1252" i="67"/>
  <c r="Y1339" i="67"/>
  <c r="AU1355" i="67"/>
  <c r="AI1290" i="67"/>
  <c r="M1234" i="67"/>
  <c r="U1355" i="67"/>
  <c r="AB1339" i="67"/>
  <c r="AD1235" i="67"/>
  <c r="U1234" i="67"/>
  <c r="AS1252" i="67"/>
  <c r="AV1252" i="67"/>
  <c r="U1235" i="67"/>
  <c r="AF1236" i="67"/>
  <c r="S1340" i="67"/>
  <c r="AM1252" i="67"/>
  <c r="AP1338" i="67"/>
  <c r="AT1253" i="67"/>
  <c r="AT1234" i="67"/>
  <c r="AT1355" i="67"/>
  <c r="Y1253" i="67"/>
  <c r="T1356" i="67"/>
  <c r="N1355" i="67"/>
  <c r="AG1340" i="67"/>
  <c r="M1252" i="67"/>
  <c r="AV1338" i="67"/>
  <c r="U1354" i="67"/>
  <c r="AG1354" i="67"/>
  <c r="AG1252" i="67"/>
  <c r="P1289" i="67"/>
  <c r="AU1289" i="67"/>
  <c r="AU1290" i="67"/>
  <c r="AH1338" i="67"/>
  <c r="AH1356" i="67"/>
  <c r="AR1355" i="67"/>
  <c r="AR1234" i="67"/>
  <c r="W1339" i="67"/>
  <c r="P1254" i="67"/>
  <c r="AP1290" i="67"/>
  <c r="AA1338" i="67"/>
  <c r="AG1338" i="67"/>
  <c r="T1354" i="67"/>
  <c r="AI1235" i="67"/>
  <c r="AD1290" i="67"/>
  <c r="R1235" i="67"/>
  <c r="R1236" i="67"/>
  <c r="L1338" i="67"/>
  <c r="R1340" i="67"/>
  <c r="AM1234" i="67"/>
  <c r="AO1254" i="67"/>
  <c r="AG1356" i="67"/>
  <c r="AC1354" i="67"/>
  <c r="S1356" i="67"/>
  <c r="L1340" i="67"/>
  <c r="AP1355" i="67"/>
  <c r="AN1356" i="67"/>
  <c r="W1220" i="67"/>
  <c r="V1220" i="67"/>
  <c r="AP1220" i="67"/>
  <c r="L1220" i="67"/>
  <c r="U1220" i="67"/>
  <c r="AA1220" i="67"/>
  <c r="AU1273" i="67"/>
  <c r="AH1274" i="67"/>
  <c r="Q1275" i="67"/>
  <c r="AA1275" i="67"/>
  <c r="P1273" i="67"/>
  <c r="AF1273" i="67"/>
  <c r="AO1274" i="67"/>
  <c r="AK1275" i="67"/>
  <c r="AE1274" i="67"/>
  <c r="AV1275" i="67"/>
  <c r="Z1273" i="67"/>
  <c r="AL1289" i="67"/>
  <c r="AT1289" i="67"/>
  <c r="O1289" i="67"/>
  <c r="AP1289" i="67"/>
  <c r="AW1252" i="67"/>
  <c r="AW1234" i="67"/>
  <c r="AT1220" i="67"/>
  <c r="AE1222" i="67"/>
  <c r="AV1220" i="67"/>
  <c r="AM1222" i="67"/>
  <c r="Y1222" i="67"/>
  <c r="AC1221" i="67"/>
  <c r="AG1222" i="67"/>
  <c r="AT1221" i="67"/>
  <c r="U1221" i="67"/>
  <c r="AP1221" i="67"/>
  <c r="O1222" i="67"/>
  <c r="AT1275" i="67"/>
  <c r="L1275" i="67"/>
  <c r="AQ1274" i="67"/>
  <c r="X1274" i="67"/>
  <c r="Y1273" i="67"/>
  <c r="AP1275" i="67"/>
  <c r="AN1275" i="67"/>
  <c r="AI1275" i="67"/>
  <c r="AL1274" i="67"/>
  <c r="R1291" i="67"/>
  <c r="L1289" i="67"/>
  <c r="W1289" i="67"/>
  <c r="AN1289" i="67"/>
  <c r="AK1289" i="67"/>
  <c r="R1289" i="67"/>
  <c r="M1289" i="67"/>
  <c r="AW1338" i="67"/>
  <c r="AL1220" i="67"/>
  <c r="T1222" i="67"/>
  <c r="S1222" i="67"/>
  <c r="AR1221" i="67"/>
  <c r="S1221" i="67"/>
  <c r="M1222" i="67"/>
  <c r="AM1220" i="67"/>
  <c r="AS1220" i="67"/>
  <c r="N1221" i="67"/>
  <c r="AG1220" i="67"/>
  <c r="AH1220" i="67"/>
  <c r="AR1220" i="67"/>
  <c r="AB1275" i="67"/>
  <c r="AR1275" i="67"/>
  <c r="K1276" i="67"/>
  <c r="AM1273" i="67"/>
  <c r="AJ1274" i="67"/>
  <c r="AC1275" i="67"/>
  <c r="AN1274" i="67"/>
  <c r="AQ1275" i="67"/>
  <c r="V1275" i="67"/>
  <c r="M1274" i="67"/>
  <c r="AJ1289" i="67"/>
  <c r="AJ1273" i="67"/>
  <c r="U1289" i="67"/>
  <c r="AI1274" i="67"/>
  <c r="Q1289" i="67"/>
  <c r="AR1289" i="67"/>
  <c r="AK1273" i="67"/>
  <c r="AO1222" i="67"/>
  <c r="M1220" i="67"/>
  <c r="AH1222" i="67"/>
  <c r="P1222" i="67"/>
  <c r="W1221" i="67"/>
  <c r="Z1222" i="67"/>
  <c r="AF1222" i="67"/>
  <c r="X1222" i="67"/>
  <c r="Q1220" i="67"/>
  <c r="AC1220" i="67"/>
  <c r="AB1221" i="67"/>
  <c r="AS1275" i="67"/>
  <c r="U1275" i="67"/>
  <c r="O1274" i="67"/>
  <c r="Q1274" i="67"/>
  <c r="AD1273" i="67"/>
  <c r="AM1274" i="67"/>
  <c r="V1274" i="67"/>
  <c r="Z1274" i="67"/>
  <c r="W1275" i="67"/>
  <c r="T1274" i="67"/>
  <c r="AH1289" i="67"/>
  <c r="AC1289" i="67"/>
  <c r="AG1289" i="67"/>
  <c r="S1273" i="67"/>
  <c r="AN171" i="65"/>
  <c r="AW667" i="67" s="1"/>
  <c r="AW1273" i="67" s="1"/>
  <c r="AJ171" i="65"/>
  <c r="AS667" i="67" s="1"/>
  <c r="AE171" i="65"/>
  <c r="AN667" i="67" s="1"/>
  <c r="AN1273" i="67" s="1"/>
  <c r="D171" i="65"/>
  <c r="M667" i="67" s="1"/>
  <c r="M1273" i="67" s="1"/>
  <c r="Y171" i="65"/>
  <c r="AH667" i="67" s="1"/>
  <c r="AG171" i="65"/>
  <c r="AP667" i="67" s="1"/>
  <c r="AP1273" i="67" s="1"/>
  <c r="H171" i="65"/>
  <c r="Q667" i="67" s="1"/>
  <c r="Q1273" i="67" s="1"/>
  <c r="AA1273" i="67"/>
  <c r="AU1275" i="67"/>
  <c r="AG1275" i="67"/>
  <c r="S1274" i="67"/>
  <c r="AL1275" i="67"/>
  <c r="N1275" i="67"/>
  <c r="AO1275" i="67"/>
  <c r="AK1274" i="67"/>
  <c r="AW1275" i="67"/>
  <c r="AW1220" i="67"/>
  <c r="AW52" i="68"/>
  <c r="BQ52" i="68"/>
  <c r="AP41" i="62" s="1"/>
  <c r="BQ19" i="68"/>
  <c r="AO667" i="67"/>
  <c r="AO1273" i="67" s="1"/>
  <c r="Q230" i="67"/>
  <c r="X171" i="65"/>
  <c r="AG667" i="67" s="1"/>
  <c r="E172" i="65"/>
  <c r="N668" i="67" s="1"/>
  <c r="AG172" i="65"/>
  <c r="AP668" i="67" s="1"/>
  <c r="AD173" i="65"/>
  <c r="AM669" i="67" s="1"/>
  <c r="S172" i="65"/>
  <c r="AB668" i="67" s="1"/>
  <c r="AB1274" i="67" s="1"/>
  <c r="C171" i="65"/>
  <c r="L667" i="67" s="1"/>
  <c r="V173" i="65"/>
  <c r="AE669" i="67" s="1"/>
  <c r="W173" i="65"/>
  <c r="AF669" i="67" s="1"/>
  <c r="O173" i="65"/>
  <c r="X669" i="67" s="1"/>
  <c r="X1275" i="67" s="1"/>
  <c r="AK171" i="65"/>
  <c r="AT667" i="67" s="1"/>
  <c r="AT1273" i="67" s="1"/>
  <c r="Q173" i="65"/>
  <c r="Z669" i="67" s="1"/>
  <c r="Z1275" i="67" s="1"/>
  <c r="W668" i="67"/>
  <c r="W1274" i="67" s="1"/>
  <c r="O667" i="67"/>
  <c r="O1273" i="67" s="1"/>
  <c r="AQ667" i="67"/>
  <c r="AQ1273" i="67" s="1"/>
  <c r="AI667" i="67"/>
  <c r="AI1273" i="67" s="1"/>
  <c r="G172" i="65"/>
  <c r="K171" i="65"/>
  <c r="T667" i="67" s="1"/>
  <c r="AQ261" i="67"/>
  <c r="I172" i="65"/>
  <c r="R668" i="67" s="1"/>
  <c r="M171" i="65"/>
  <c r="AL172" i="65"/>
  <c r="AU668" i="67" s="1"/>
  <c r="P173" i="65"/>
  <c r="Y669" i="67" s="1"/>
  <c r="J173" i="65"/>
  <c r="L171" i="65"/>
  <c r="AJ172" i="65"/>
  <c r="AI172" i="65"/>
  <c r="AR668" i="67" s="1"/>
  <c r="AR1274" i="67" s="1"/>
  <c r="L172" i="65"/>
  <c r="U668" i="67" s="1"/>
  <c r="U1274" i="67" s="1"/>
  <c r="K173" i="65"/>
  <c r="AA173" i="65"/>
  <c r="K687" i="67"/>
  <c r="K383" i="67"/>
  <c r="K230" i="67"/>
  <c r="K535" i="67"/>
  <c r="K77" i="67"/>
  <c r="AK172" i="65"/>
  <c r="Y173" i="65"/>
  <c r="I171" i="65"/>
  <c r="R667" i="67" s="1"/>
  <c r="T171" i="65"/>
  <c r="I173" i="65"/>
  <c r="R669" i="67" s="1"/>
  <c r="AC171" i="65"/>
  <c r="AM171" i="65"/>
  <c r="U172" i="65"/>
  <c r="AW668" i="67"/>
  <c r="AW1274" i="67" s="1"/>
  <c r="AA668" i="67"/>
  <c r="AA1274" i="67" s="1"/>
  <c r="R77" i="67"/>
  <c r="R230" i="67"/>
  <c r="R535" i="67"/>
  <c r="R687" i="67"/>
  <c r="R383" i="67"/>
  <c r="AI171" i="65"/>
  <c r="P172" i="65"/>
  <c r="Y668" i="67" s="1"/>
  <c r="T172" i="65"/>
  <c r="AC668" i="67" s="1"/>
  <c r="Z261" i="67"/>
  <c r="AT257" i="67"/>
  <c r="AN566" i="67"/>
  <c r="AP869" i="67"/>
  <c r="AG566" i="67"/>
  <c r="P864" i="67"/>
  <c r="R565" i="67"/>
  <c r="U103" i="67"/>
  <c r="AH868" i="67"/>
  <c r="Z868" i="67"/>
  <c r="AM381" i="67"/>
  <c r="U562" i="67"/>
  <c r="AO261" i="67"/>
  <c r="M260" i="67"/>
  <c r="AC410" i="67"/>
  <c r="S714" i="67"/>
  <c r="S256" i="67"/>
  <c r="AU687" i="67"/>
  <c r="M261" i="67"/>
  <c r="AC561" i="67"/>
  <c r="AT107" i="67"/>
  <c r="AJ562" i="67"/>
  <c r="AM260" i="67"/>
  <c r="AL256" i="67"/>
  <c r="AR77" i="67"/>
  <c r="AE257" i="67"/>
  <c r="N864" i="67"/>
  <c r="Y565" i="67"/>
  <c r="AP410" i="67"/>
  <c r="Z562" i="67"/>
  <c r="AL868" i="67"/>
  <c r="R256" i="67"/>
  <c r="AH409" i="67"/>
  <c r="AL108" i="67"/>
  <c r="P714" i="67"/>
  <c r="V414" i="67"/>
  <c r="AL818" i="67"/>
  <c r="AQ410" i="67"/>
  <c r="Y104" i="67"/>
  <c r="AH566" i="67"/>
  <c r="AE414" i="67"/>
  <c r="AO257" i="67"/>
  <c r="AG868" i="67"/>
  <c r="AR413" i="67"/>
  <c r="T261" i="67"/>
  <c r="T257" i="67"/>
  <c r="AD58" i="67"/>
  <c r="O714" i="67"/>
  <c r="AJ413" i="67"/>
  <c r="M104" i="67"/>
  <c r="AT409" i="67"/>
  <c r="AE868" i="67"/>
  <c r="AJ381" i="67"/>
  <c r="AS261" i="67"/>
  <c r="S414" i="67"/>
  <c r="AD256" i="67"/>
  <c r="AN865" i="67"/>
  <c r="AU410" i="67"/>
  <c r="Y869" i="67"/>
  <c r="AM73" i="67"/>
  <c r="O256" i="67"/>
  <c r="P107" i="67"/>
  <c r="AM257" i="67"/>
  <c r="W260" i="67"/>
  <c r="AW379" i="67"/>
  <c r="R212" i="67"/>
  <c r="AH363" i="67"/>
  <c r="R562" i="67"/>
  <c r="AA108" i="67"/>
  <c r="V226" i="67"/>
  <c r="AB409" i="67"/>
  <c r="AA104" i="67"/>
  <c r="AH410" i="67"/>
  <c r="AS410" i="67"/>
  <c r="AU868" i="67"/>
  <c r="AV531" i="67"/>
  <c r="AV565" i="67"/>
  <c r="M517" i="67"/>
  <c r="AR57" i="67"/>
  <c r="T834" i="67"/>
  <c r="AJ103" i="67"/>
  <c r="W562" i="67"/>
  <c r="AS260" i="67"/>
  <c r="N383" i="67"/>
  <c r="AB562" i="67"/>
  <c r="AT718" i="67"/>
  <c r="AV562" i="67"/>
  <c r="AR566" i="67"/>
  <c r="AP413" i="67"/>
  <c r="AD565" i="67"/>
  <c r="AU261" i="67"/>
  <c r="AR561" i="67"/>
  <c r="O59" i="67"/>
  <c r="AP103" i="67"/>
  <c r="AW714" i="67"/>
  <c r="U57" i="67"/>
  <c r="AG865" i="67"/>
  <c r="R414" i="67"/>
  <c r="AA379" i="67"/>
  <c r="W864" i="67"/>
  <c r="Z864" i="67"/>
  <c r="AM261" i="67"/>
  <c r="AB260" i="67"/>
  <c r="AD714" i="67"/>
  <c r="AQ869" i="67"/>
  <c r="AH228" i="67"/>
  <c r="AR714" i="67"/>
  <c r="AV864" i="67"/>
  <c r="M256" i="67"/>
  <c r="AC414" i="67"/>
  <c r="N413" i="67"/>
  <c r="Q864" i="67"/>
  <c r="AI414" i="67"/>
  <c r="AI714" i="67"/>
  <c r="S107" i="67"/>
  <c r="U868" i="67"/>
  <c r="AE103" i="67"/>
  <c r="AF517" i="67"/>
  <c r="AC260" i="67"/>
  <c r="P59" i="67"/>
  <c r="L107" i="67"/>
  <c r="AV410" i="67"/>
  <c r="S410" i="67"/>
  <c r="AL103" i="67"/>
  <c r="AQ108" i="67"/>
  <c r="AD211" i="67"/>
  <c r="T683" i="67"/>
  <c r="AU52" i="68"/>
  <c r="AI108" i="67"/>
  <c r="AS565" i="67"/>
  <c r="Q103" i="67"/>
  <c r="AI865" i="67"/>
  <c r="S718" i="67"/>
  <c r="P517" i="67"/>
  <c r="N868" i="67"/>
  <c r="AV714" i="67"/>
  <c r="AV865" i="67"/>
  <c r="S257" i="67"/>
  <c r="AH714" i="67"/>
  <c r="AQ414" i="67"/>
  <c r="Z413" i="67"/>
  <c r="T531" i="67"/>
  <c r="AI869" i="67"/>
  <c r="AI566" i="67"/>
  <c r="AA562" i="67"/>
  <c r="AS413" i="67"/>
  <c r="AS107" i="67"/>
  <c r="AE256" i="67"/>
  <c r="N535" i="67"/>
  <c r="AB714" i="67"/>
  <c r="AB865" i="67"/>
  <c r="AL414" i="67"/>
  <c r="W261" i="67"/>
  <c r="AI104" i="67"/>
  <c r="S261" i="67"/>
  <c r="S869" i="67"/>
  <c r="BA52" i="68"/>
  <c r="U413" i="67"/>
  <c r="AS868" i="67"/>
  <c r="N77" i="67"/>
  <c r="AB104" i="67"/>
  <c r="Q256" i="67"/>
  <c r="S566" i="67"/>
  <c r="AF59" i="67"/>
  <c r="AW562" i="67"/>
  <c r="S104" i="67"/>
  <c r="AQ718" i="67"/>
  <c r="AD364" i="67"/>
  <c r="T226" i="67"/>
  <c r="AN261" i="67"/>
  <c r="N230" i="67"/>
  <c r="AB257" i="67"/>
  <c r="AI257" i="67"/>
  <c r="AJ410" i="67"/>
  <c r="AM413" i="67"/>
  <c r="S77" i="67"/>
  <c r="S687" i="67"/>
  <c r="T687" i="67"/>
  <c r="AE410" i="67"/>
  <c r="AR260" i="67"/>
  <c r="Y413" i="67"/>
  <c r="AV561" i="67"/>
  <c r="W108" i="67"/>
  <c r="W566" i="67"/>
  <c r="AR230" i="67"/>
  <c r="AF562" i="67"/>
  <c r="AR410" i="67"/>
  <c r="AJ108" i="67"/>
  <c r="AS684" i="67"/>
  <c r="AM565" i="67"/>
  <c r="S535" i="67"/>
  <c r="AO107" i="67"/>
  <c r="T77" i="67"/>
  <c r="T535" i="67"/>
  <c r="AE865" i="67"/>
  <c r="AF868" i="67"/>
  <c r="AN718" i="67"/>
  <c r="AR107" i="67"/>
  <c r="AV409" i="67"/>
  <c r="W414" i="67"/>
  <c r="W869" i="67"/>
  <c r="AR383" i="67"/>
  <c r="AR865" i="67"/>
  <c r="AJ414" i="67"/>
  <c r="T383" i="67"/>
  <c r="AC718" i="67"/>
  <c r="W718" i="67"/>
  <c r="AH52" i="68"/>
  <c r="X561" i="67"/>
  <c r="AE107" i="67"/>
  <c r="Y107" i="67"/>
  <c r="Y260" i="67"/>
  <c r="AG869" i="67"/>
  <c r="AB566" i="67"/>
  <c r="AB718" i="67"/>
  <c r="AE718" i="67"/>
  <c r="N103" i="67"/>
  <c r="N409" i="67"/>
  <c r="AO104" i="67"/>
  <c r="U409" i="67"/>
  <c r="AC865" i="67"/>
  <c r="AO714" i="67"/>
  <c r="Y868" i="67"/>
  <c r="AB108" i="67"/>
  <c r="AB261" i="67"/>
  <c r="AE261" i="67"/>
  <c r="AT566" i="67"/>
  <c r="AX52" i="68"/>
  <c r="X256" i="67"/>
  <c r="N256" i="67"/>
  <c r="U107" i="67"/>
  <c r="AO413" i="67"/>
  <c r="V531" i="67"/>
  <c r="V73" i="67"/>
  <c r="M107" i="67"/>
  <c r="AD414" i="67"/>
  <c r="AD566" i="67"/>
  <c r="AR868" i="67"/>
  <c r="AE561" i="67"/>
  <c r="AE409" i="67"/>
  <c r="AC261" i="67"/>
  <c r="AS515" i="67"/>
  <c r="T414" i="67"/>
  <c r="AJ865" i="67"/>
  <c r="P212" i="67"/>
  <c r="AF820" i="67"/>
  <c r="AF714" i="67"/>
  <c r="AF257" i="67"/>
  <c r="AM561" i="67"/>
  <c r="L260" i="67"/>
  <c r="AS566" i="67"/>
  <c r="AS414" i="67"/>
  <c r="AO869" i="67"/>
  <c r="S561" i="67"/>
  <c r="S103" i="67"/>
  <c r="U260" i="67"/>
  <c r="AG410" i="67"/>
  <c r="AQ104" i="67"/>
  <c r="AO868" i="67"/>
  <c r="AO565" i="67"/>
  <c r="M868" i="67"/>
  <c r="U561" i="67"/>
  <c r="U256" i="67"/>
  <c r="AL409" i="67"/>
  <c r="AD869" i="67"/>
  <c r="AR565" i="67"/>
  <c r="AE864" i="67"/>
  <c r="AJ561" i="67"/>
  <c r="AT260" i="67"/>
  <c r="AT413" i="67"/>
  <c r="AJ104" i="67"/>
  <c r="P820" i="67"/>
  <c r="AF212" i="67"/>
  <c r="AF104" i="67"/>
  <c r="AF410" i="67"/>
  <c r="AM256" i="67"/>
  <c r="AM103" i="67"/>
  <c r="L868" i="67"/>
  <c r="AS869" i="67"/>
  <c r="AS718" i="67"/>
  <c r="AO108" i="67"/>
  <c r="AO414" i="67"/>
  <c r="S409" i="67"/>
  <c r="BH52" i="68"/>
  <c r="AN52" i="68"/>
  <c r="BM52" i="68"/>
  <c r="AL210" i="67"/>
  <c r="AQ714" i="67"/>
  <c r="AO260" i="67"/>
  <c r="V379" i="67"/>
  <c r="M565" i="67"/>
  <c r="U864" i="67"/>
  <c r="AL864" i="67"/>
  <c r="V869" i="67"/>
  <c r="AD261" i="67"/>
  <c r="AG414" i="67"/>
  <c r="AT868" i="67"/>
  <c r="AJ714" i="67"/>
  <c r="P365" i="67"/>
  <c r="AM409" i="67"/>
  <c r="L413" i="67"/>
  <c r="BD52" i="68"/>
  <c r="AH210" i="67"/>
  <c r="AW834" i="67"/>
  <c r="Z107" i="67"/>
  <c r="AU414" i="67"/>
  <c r="AB868" i="67"/>
  <c r="AD561" i="67"/>
  <c r="AH869" i="67"/>
  <c r="AE566" i="67"/>
  <c r="AL57" i="67"/>
  <c r="AL363" i="67"/>
  <c r="AQ562" i="67"/>
  <c r="AQ865" i="67"/>
  <c r="AL515" i="67"/>
  <c r="AQ257" i="67"/>
  <c r="AV868" i="67"/>
  <c r="X103" i="67"/>
  <c r="AE260" i="67"/>
  <c r="T104" i="67"/>
  <c r="AT869" i="67"/>
  <c r="AT414" i="67"/>
  <c r="AJ228" i="67"/>
  <c r="AJ107" i="67"/>
  <c r="R257" i="67"/>
  <c r="X409" i="67"/>
  <c r="X864" i="67"/>
  <c r="AV226" i="67"/>
  <c r="M820" i="67"/>
  <c r="AE413" i="67"/>
  <c r="AB103" i="67"/>
  <c r="AT108" i="67"/>
  <c r="BP52" i="68"/>
  <c r="AE565" i="67"/>
  <c r="AG107" i="67"/>
  <c r="AT261" i="67"/>
  <c r="AD409" i="67"/>
  <c r="AP52" i="68"/>
  <c r="AC257" i="67"/>
  <c r="AD868" i="67"/>
  <c r="AO562" i="67"/>
  <c r="AO410" i="67"/>
  <c r="AA257" i="67"/>
  <c r="AQ77" i="67"/>
  <c r="AH104" i="67"/>
  <c r="AH257" i="67"/>
  <c r="AS714" i="67"/>
  <c r="W714" i="67"/>
  <c r="AF414" i="67"/>
  <c r="M869" i="67"/>
  <c r="M562" i="67"/>
  <c r="AM566" i="67"/>
  <c r="O865" i="67"/>
  <c r="AA260" i="67"/>
  <c r="AC103" i="67"/>
  <c r="AD103" i="67"/>
  <c r="AO865" i="67"/>
  <c r="AH562" i="67"/>
  <c r="AH865" i="67"/>
  <c r="W257" i="67"/>
  <c r="AA410" i="67"/>
  <c r="AA714" i="67"/>
  <c r="AF566" i="67"/>
  <c r="AF718" i="67"/>
  <c r="M108" i="67"/>
  <c r="AU260" i="67"/>
  <c r="AA413" i="67"/>
  <c r="W104" i="67"/>
  <c r="AA865" i="67"/>
  <c r="AF261" i="67"/>
  <c r="AH256" i="67"/>
  <c r="AL565" i="67"/>
  <c r="Y230" i="67"/>
  <c r="AU77" i="67"/>
  <c r="AA107" i="67"/>
  <c r="AC864" i="67"/>
  <c r="AJ565" i="67"/>
  <c r="AJ868" i="67"/>
  <c r="Z257" i="67"/>
  <c r="AC565" i="67"/>
  <c r="AF260" i="67"/>
  <c r="AV379" i="67"/>
  <c r="M59" i="67"/>
  <c r="M718" i="67"/>
  <c r="T410" i="67"/>
  <c r="AS363" i="67"/>
  <c r="M714" i="67"/>
  <c r="M865" i="67"/>
  <c r="AJ869" i="67"/>
  <c r="BO52" i="68"/>
  <c r="AS835" i="67"/>
  <c r="AS380" i="67"/>
  <c r="AU535" i="67"/>
  <c r="AT103" i="67"/>
  <c r="R714" i="67"/>
  <c r="U714" i="67"/>
  <c r="AV107" i="67"/>
  <c r="AV683" i="67"/>
  <c r="M365" i="67"/>
  <c r="AP562" i="67"/>
  <c r="P865" i="67"/>
  <c r="AU230" i="67"/>
  <c r="AA565" i="67"/>
  <c r="AC409" i="67"/>
  <c r="AJ260" i="67"/>
  <c r="AT561" i="67"/>
  <c r="U410" i="67"/>
  <c r="Z714" i="67"/>
  <c r="AV260" i="67"/>
  <c r="AC107" i="67"/>
  <c r="AF565" i="67"/>
  <c r="AF413" i="67"/>
  <c r="AV834" i="67"/>
  <c r="M212" i="67"/>
  <c r="AP714" i="67"/>
  <c r="P410" i="67"/>
  <c r="AG565" i="67"/>
  <c r="AG413" i="67"/>
  <c r="M566" i="67"/>
  <c r="M414" i="67"/>
  <c r="AS210" i="67"/>
  <c r="AS57" i="67"/>
  <c r="M257" i="67"/>
  <c r="M410" i="67"/>
  <c r="AJ261" i="67"/>
  <c r="AJ566" i="67"/>
  <c r="AL52" i="68"/>
  <c r="AS227" i="67"/>
  <c r="AS74" i="67"/>
  <c r="BB52" i="68"/>
  <c r="AJ52" i="68"/>
  <c r="AM869" i="67"/>
  <c r="AA868" i="67"/>
  <c r="AC256" i="67"/>
  <c r="AD107" i="67"/>
  <c r="AT256" i="67"/>
  <c r="R410" i="67"/>
  <c r="AV413" i="67"/>
  <c r="AC868" i="67"/>
  <c r="AF107" i="67"/>
  <c r="AV73" i="67"/>
  <c r="P561" i="67"/>
  <c r="AG260" i="67"/>
  <c r="AS818" i="67"/>
  <c r="AJ718" i="67"/>
  <c r="AS532" i="67"/>
  <c r="AW410" i="67"/>
  <c r="AN108" i="67"/>
  <c r="AN414" i="67"/>
  <c r="AH108" i="67"/>
  <c r="Y714" i="67"/>
  <c r="AP256" i="67"/>
  <c r="AR864" i="67"/>
  <c r="AN869" i="67"/>
  <c r="N566" i="67"/>
  <c r="AW531" i="67"/>
  <c r="W363" i="67"/>
  <c r="R517" i="67"/>
  <c r="AU108" i="67"/>
  <c r="R869" i="67"/>
  <c r="Y562" i="67"/>
  <c r="W818" i="67"/>
  <c r="S260" i="67"/>
  <c r="O103" i="67"/>
  <c r="O864" i="67"/>
  <c r="Y108" i="67"/>
  <c r="AH57" i="67"/>
  <c r="R820" i="67"/>
  <c r="AL261" i="67"/>
  <c r="AI52" i="68"/>
  <c r="AM228" i="67"/>
  <c r="AD864" i="67"/>
  <c r="AT104" i="67"/>
  <c r="AP104" i="67"/>
  <c r="R108" i="67"/>
  <c r="AA261" i="67"/>
  <c r="AD104" i="67"/>
  <c r="R864" i="67"/>
  <c r="O517" i="67"/>
  <c r="R409" i="67"/>
  <c r="AM52" i="68"/>
  <c r="R103" i="67"/>
  <c r="N869" i="67"/>
  <c r="Z104" i="67"/>
  <c r="Z865" i="67"/>
  <c r="AP865" i="67"/>
  <c r="AP257" i="67"/>
  <c r="AR256" i="67"/>
  <c r="BF52" i="68"/>
  <c r="Z410" i="67"/>
  <c r="AU566" i="67"/>
  <c r="AU718" i="67"/>
  <c r="R413" i="67"/>
  <c r="U515" i="67"/>
  <c r="P409" i="67"/>
  <c r="AR409" i="67"/>
  <c r="BN52" i="68"/>
  <c r="AF52" i="68"/>
  <c r="AM226" i="67"/>
  <c r="AU869" i="67"/>
  <c r="S413" i="67"/>
  <c r="S868" i="67"/>
  <c r="AJ685" i="67"/>
  <c r="AJ533" i="67"/>
  <c r="AJ75" i="67"/>
  <c r="AJ836" i="67"/>
  <c r="AE820" i="67"/>
  <c r="AE365" i="67"/>
  <c r="AM379" i="67"/>
  <c r="Z561" i="67"/>
  <c r="Z256" i="67"/>
  <c r="AU257" i="67"/>
  <c r="AP260" i="67"/>
  <c r="N260" i="67"/>
  <c r="AS257" i="67"/>
  <c r="AS562" i="67"/>
  <c r="N714" i="67"/>
  <c r="AM834" i="67"/>
  <c r="W409" i="67"/>
  <c r="AC566" i="67"/>
  <c r="AR818" i="67"/>
  <c r="T566" i="67"/>
  <c r="T718" i="67"/>
  <c r="AB864" i="67"/>
  <c r="Z409" i="67"/>
  <c r="AA566" i="67"/>
  <c r="AA414" i="67"/>
  <c r="AP868" i="67"/>
  <c r="AR562" i="67"/>
  <c r="AH685" i="67"/>
  <c r="AH75" i="67"/>
  <c r="AS52" i="68"/>
  <c r="AQ535" i="67"/>
  <c r="AP566" i="67"/>
  <c r="N565" i="67"/>
  <c r="AC104" i="67"/>
  <c r="AG257" i="67"/>
  <c r="AM108" i="67"/>
  <c r="AU107" i="67"/>
  <c r="AQ687" i="67"/>
  <c r="O409" i="67"/>
  <c r="AP414" i="67"/>
  <c r="AP261" i="67"/>
  <c r="N107" i="67"/>
  <c r="AC562" i="67"/>
  <c r="Y566" i="67"/>
  <c r="Y261" i="67"/>
  <c r="AM104" i="67"/>
  <c r="AS865" i="67"/>
  <c r="AS104" i="67"/>
  <c r="N257" i="67"/>
  <c r="AM531" i="67"/>
  <c r="W561" i="67"/>
  <c r="W256" i="67"/>
  <c r="AC108" i="67"/>
  <c r="AJ864" i="67"/>
  <c r="AJ256" i="67"/>
  <c r="AR363" i="67"/>
  <c r="T869" i="67"/>
  <c r="AB561" i="67"/>
  <c r="AA869" i="67"/>
  <c r="AP565" i="67"/>
  <c r="AR104" i="67"/>
  <c r="AH836" i="67"/>
  <c r="AH381" i="67"/>
  <c r="BJ52" i="68"/>
  <c r="AM414" i="67"/>
  <c r="AU413" i="67"/>
  <c r="AQ383" i="67"/>
  <c r="Y718" i="67"/>
  <c r="AM718" i="67"/>
  <c r="AQ230" i="67"/>
  <c r="AH413" i="67"/>
  <c r="AG562" i="67"/>
  <c r="AG714" i="67"/>
  <c r="AU565" i="67"/>
  <c r="O561" i="67"/>
  <c r="AH565" i="67"/>
  <c r="AP718" i="67"/>
  <c r="AC714" i="67"/>
  <c r="Y414" i="67"/>
  <c r="AM562" i="67"/>
  <c r="N865" i="67"/>
  <c r="AM683" i="67"/>
  <c r="W103" i="67"/>
  <c r="AC869" i="67"/>
  <c r="AJ409" i="67"/>
  <c r="AR515" i="67"/>
  <c r="T108" i="67"/>
  <c r="AB256" i="67"/>
  <c r="Z103" i="67"/>
  <c r="AP107" i="67"/>
  <c r="AR257" i="67"/>
  <c r="AH533" i="67"/>
  <c r="Y211" i="67"/>
  <c r="Y516" i="67"/>
  <c r="Y58" i="67"/>
  <c r="Y819" i="67"/>
  <c r="Y364" i="67"/>
  <c r="AW104" i="67"/>
  <c r="AD413" i="67"/>
  <c r="U865" i="67"/>
  <c r="AH515" i="67"/>
  <c r="R868" i="67"/>
  <c r="R260" i="67"/>
  <c r="M103" i="67"/>
  <c r="U210" i="67"/>
  <c r="AH718" i="67"/>
  <c r="AH414" i="67"/>
  <c r="P256" i="67"/>
  <c r="AV103" i="67"/>
  <c r="O820" i="67"/>
  <c r="O365" i="67"/>
  <c r="AU865" i="67"/>
  <c r="R566" i="67"/>
  <c r="R718" i="67"/>
  <c r="Y257" i="67"/>
  <c r="Y410" i="67"/>
  <c r="AL260" i="67"/>
  <c r="AL413" i="67"/>
  <c r="L363" i="67"/>
  <c r="L818" i="67"/>
  <c r="L57" i="67"/>
  <c r="L515" i="67"/>
  <c r="L210" i="67"/>
  <c r="Y74" i="67"/>
  <c r="Y532" i="67"/>
  <c r="Y684" i="67"/>
  <c r="Y835" i="67"/>
  <c r="Y380" i="67"/>
  <c r="Y227" i="67"/>
  <c r="U532" i="67"/>
  <c r="U74" i="67"/>
  <c r="U684" i="67"/>
  <c r="U227" i="67"/>
  <c r="U835" i="67"/>
  <c r="U380" i="67"/>
  <c r="AC211" i="67"/>
  <c r="AC364" i="67"/>
  <c r="AC819" i="67"/>
  <c r="AC58" i="67"/>
  <c r="AC516" i="67"/>
  <c r="W565" i="67"/>
  <c r="AW257" i="67"/>
  <c r="AW865" i="67"/>
  <c r="AH818" i="67"/>
  <c r="R107" i="67"/>
  <c r="M561" i="67"/>
  <c r="M864" i="67"/>
  <c r="U363" i="67"/>
  <c r="U818" i="67"/>
  <c r="AH261" i="67"/>
  <c r="AL718" i="67"/>
  <c r="AL869" i="67"/>
  <c r="P103" i="67"/>
  <c r="AV256" i="67"/>
  <c r="O212" i="67"/>
  <c r="T865" i="67"/>
  <c r="T562" i="67"/>
  <c r="Y865" i="67"/>
  <c r="AL107" i="67"/>
  <c r="AV687" i="67"/>
  <c r="AV230" i="67"/>
  <c r="AV77" i="67"/>
  <c r="AV383" i="67"/>
  <c r="AV535" i="67"/>
  <c r="AO533" i="67"/>
  <c r="AO685" i="67"/>
  <c r="AO75" i="67"/>
  <c r="AO381" i="67"/>
  <c r="AO228" i="67"/>
  <c r="AO836" i="67"/>
  <c r="Y77" i="67"/>
  <c r="Y535" i="67"/>
  <c r="Y383" i="67"/>
  <c r="Y687" i="67"/>
  <c r="W868" i="67"/>
  <c r="W413" i="67"/>
  <c r="AD260" i="67"/>
  <c r="U104" i="67"/>
  <c r="W107" i="67"/>
  <c r="U257" i="67"/>
  <c r="M409" i="67"/>
  <c r="AL566" i="67"/>
  <c r="T714" i="67"/>
  <c r="AU714" i="67"/>
  <c r="R261" i="67"/>
  <c r="R561" i="67"/>
  <c r="AS379" i="67"/>
  <c r="AS73" i="67"/>
  <c r="AS834" i="67"/>
  <c r="AS683" i="67"/>
  <c r="AS226" i="67"/>
  <c r="AS531" i="67"/>
  <c r="AC532" i="67"/>
  <c r="AC835" i="67"/>
  <c r="AC227" i="67"/>
  <c r="AC684" i="67"/>
  <c r="AC380" i="67"/>
  <c r="AC74" i="67"/>
  <c r="AR103" i="67"/>
  <c r="BG52" i="68"/>
  <c r="R865" i="67"/>
  <c r="AW226" i="67"/>
  <c r="R59" i="67"/>
  <c r="Z260" i="67"/>
  <c r="AG718" i="67"/>
  <c r="AH864" i="67"/>
  <c r="P257" i="67"/>
  <c r="AP561" i="67"/>
  <c r="AP409" i="67"/>
  <c r="AD257" i="67"/>
  <c r="AD410" i="67"/>
  <c r="AB565" i="67"/>
  <c r="AA531" i="67"/>
  <c r="AM533" i="67"/>
  <c r="R104" i="67"/>
  <c r="Z718" i="67"/>
  <c r="AW683" i="67"/>
  <c r="AW73" i="67"/>
  <c r="Z565" i="67"/>
  <c r="AG108" i="67"/>
  <c r="AH103" i="67"/>
  <c r="P562" i="67"/>
  <c r="AP864" i="67"/>
  <c r="AD562" i="67"/>
  <c r="AB107" i="67"/>
  <c r="AA226" i="67"/>
  <c r="AM836" i="67"/>
  <c r="AM685" i="67"/>
  <c r="R365" i="67"/>
  <c r="AG261" i="67"/>
  <c r="AH561" i="67"/>
  <c r="P104" i="67"/>
  <c r="Y409" i="67"/>
  <c r="AD865" i="67"/>
  <c r="AM75" i="67"/>
  <c r="AS364" i="67"/>
  <c r="AS516" i="67"/>
  <c r="AS211" i="67"/>
  <c r="AS819" i="67"/>
  <c r="AS58" i="67"/>
  <c r="AA718" i="67"/>
  <c r="M687" i="67"/>
  <c r="M77" i="67"/>
  <c r="M535" i="67"/>
  <c r="M383" i="67"/>
  <c r="M230" i="67"/>
  <c r="AG104" i="67"/>
  <c r="Z108" i="67"/>
  <c r="AH107" i="67"/>
  <c r="AR869" i="67"/>
  <c r="V683" i="67"/>
  <c r="AM410" i="67"/>
  <c r="AM865" i="67"/>
  <c r="AT714" i="67"/>
  <c r="V108" i="67"/>
  <c r="W210" i="67"/>
  <c r="AG381" i="67"/>
  <c r="AG836" i="67"/>
  <c r="AG75" i="67"/>
  <c r="AG685" i="67"/>
  <c r="AG533" i="67"/>
  <c r="AG228" i="67"/>
  <c r="AM714" i="67"/>
  <c r="AT410" i="67"/>
  <c r="V261" i="67"/>
  <c r="V566" i="67"/>
  <c r="Y256" i="67"/>
  <c r="P868" i="67"/>
  <c r="W57" i="67"/>
  <c r="S365" i="67"/>
  <c r="S212" i="67"/>
  <c r="S517" i="67"/>
  <c r="S59" i="67"/>
  <c r="S820" i="67"/>
  <c r="P533" i="67"/>
  <c r="P836" i="67"/>
  <c r="P685" i="67"/>
  <c r="P228" i="67"/>
  <c r="P381" i="67"/>
  <c r="P75" i="67"/>
  <c r="AA834" i="67"/>
  <c r="AA73" i="67"/>
  <c r="AA683" i="67"/>
  <c r="AB413" i="67"/>
  <c r="Z414" i="67"/>
  <c r="AT865" i="67"/>
  <c r="V718" i="67"/>
  <c r="AN104" i="67"/>
  <c r="Y103" i="67"/>
  <c r="W515" i="67"/>
  <c r="AL382" i="67"/>
  <c r="AL534" i="67"/>
  <c r="AL229" i="67"/>
  <c r="AL686" i="67"/>
  <c r="AL837" i="67"/>
  <c r="AL76" i="67"/>
  <c r="AP364" i="67"/>
  <c r="AP819" i="67"/>
  <c r="AP211" i="67"/>
  <c r="AP58" i="67"/>
  <c r="AP516" i="67"/>
  <c r="AC515" i="67"/>
  <c r="AC210" i="67"/>
  <c r="AC818" i="67"/>
  <c r="AC363" i="67"/>
  <c r="AC57" i="67"/>
  <c r="AN562" i="67"/>
  <c r="N718" i="67"/>
  <c r="N108" i="67"/>
  <c r="AM820" i="67"/>
  <c r="AM59" i="67"/>
  <c r="AM212" i="67"/>
  <c r="AM365" i="67"/>
  <c r="AM517" i="67"/>
  <c r="Z869" i="67"/>
  <c r="Z566" i="67"/>
  <c r="AR718" i="67"/>
  <c r="AR414" i="67"/>
  <c r="AT562" i="67"/>
  <c r="N104" i="67"/>
  <c r="N562" i="67"/>
  <c r="AN410" i="67"/>
  <c r="AN257" i="67"/>
  <c r="AU562" i="67"/>
  <c r="AU104" i="67"/>
  <c r="Y864" i="67"/>
  <c r="P565" i="67"/>
  <c r="P413" i="67"/>
  <c r="N261" i="67"/>
  <c r="N414" i="67"/>
  <c r="AG818" i="67"/>
  <c r="AG363" i="67"/>
  <c r="AG57" i="67"/>
  <c r="AG210" i="67"/>
  <c r="AG515" i="67"/>
  <c r="AR108" i="67"/>
  <c r="AR261" i="67"/>
  <c r="N410" i="67"/>
  <c r="AN714" i="67"/>
  <c r="Y561" i="67"/>
  <c r="P260" i="67"/>
  <c r="AT211" i="67"/>
  <c r="AT58" i="67"/>
  <c r="AT819" i="67"/>
  <c r="AT516" i="67"/>
  <c r="AT364" i="67"/>
  <c r="AU364" i="67"/>
  <c r="AU516" i="67"/>
  <c r="AU211" i="67"/>
  <c r="AU819" i="67"/>
  <c r="AU58" i="67"/>
  <c r="R211" i="67"/>
  <c r="R516" i="67"/>
  <c r="R819" i="67"/>
  <c r="R364" i="67"/>
  <c r="R58" i="67"/>
  <c r="V57" i="67"/>
  <c r="V818" i="67"/>
  <c r="V210" i="67"/>
  <c r="V515" i="67"/>
  <c r="V363" i="67"/>
  <c r="N819" i="67"/>
  <c r="N364" i="67"/>
  <c r="N516" i="67"/>
  <c r="N58" i="67"/>
  <c r="N211" i="67"/>
  <c r="R818" i="67"/>
  <c r="R57" i="67"/>
  <c r="R515" i="67"/>
  <c r="R363" i="67"/>
  <c r="R210" i="67"/>
  <c r="P58" i="67"/>
  <c r="P364" i="67"/>
  <c r="P516" i="67"/>
  <c r="P819" i="67"/>
  <c r="P211" i="67"/>
  <c r="AH517" i="67"/>
  <c r="AH212" i="67"/>
  <c r="AH59" i="67"/>
  <c r="AH365" i="67"/>
  <c r="AH820" i="67"/>
  <c r="P535" i="67"/>
  <c r="P77" i="67"/>
  <c r="P687" i="67"/>
  <c r="P383" i="67"/>
  <c r="P230" i="67"/>
  <c r="T818" i="67"/>
  <c r="T210" i="67"/>
  <c r="T57" i="67"/>
  <c r="T363" i="67"/>
  <c r="T515" i="67"/>
  <c r="AL821" i="67"/>
  <c r="AL213" i="67"/>
  <c r="AL518" i="67"/>
  <c r="AL60" i="67"/>
  <c r="AL366" i="67"/>
  <c r="Y59" i="67"/>
  <c r="Y212" i="67"/>
  <c r="Y365" i="67"/>
  <c r="Y517" i="67"/>
  <c r="Y820" i="67"/>
  <c r="AV67" i="68" l="1"/>
  <c r="J41" i="62"/>
  <c r="Y41" i="62"/>
  <c r="BF67" i="68"/>
  <c r="AE41" i="62"/>
  <c r="BP67" i="68"/>
  <c r="AO41" i="62"/>
  <c r="AN67" i="68"/>
  <c r="M41" i="62"/>
  <c r="BH67" i="68"/>
  <c r="AG41" i="62"/>
  <c r="AU67" i="68"/>
  <c r="T41" i="62"/>
  <c r="AL67" i="68"/>
  <c r="K41" i="62"/>
  <c r="BG67" i="68"/>
  <c r="AF41" i="62"/>
  <c r="AF67" i="68"/>
  <c r="E41" i="62"/>
  <c r="BO67" i="68"/>
  <c r="AN41" i="62"/>
  <c r="BN67" i="68"/>
  <c r="AM41" i="62"/>
  <c r="AS67" i="68"/>
  <c r="R41" i="62"/>
  <c r="AH67" i="68"/>
  <c r="G41" i="62"/>
  <c r="AW67" i="68"/>
  <c r="V41" i="62"/>
  <c r="AQ67" i="68"/>
  <c r="P41" i="62"/>
  <c r="BJ67" i="68"/>
  <c r="AI41" i="62"/>
  <c r="AP67" i="68"/>
  <c r="O41" i="62"/>
  <c r="AM67" i="68"/>
  <c r="L41" i="62"/>
  <c r="BA67" i="68"/>
  <c r="Z41" i="62"/>
  <c r="BL67" i="68"/>
  <c r="AK41" i="62"/>
  <c r="AX67" i="68"/>
  <c r="W41" i="62"/>
  <c r="AT67" i="68"/>
  <c r="S41" i="62"/>
  <c r="AJ67" i="68"/>
  <c r="I41" i="62"/>
  <c r="AI67" i="68"/>
  <c r="H41" i="62"/>
  <c r="BD67" i="68"/>
  <c r="AC41" i="62"/>
  <c r="BB67" i="68"/>
  <c r="AA41" i="62"/>
  <c r="BM67" i="68"/>
  <c r="AL41" i="62"/>
  <c r="W1273" i="67"/>
  <c r="AM1291" i="67"/>
  <c r="AV1289" i="67"/>
  <c r="AS1290" i="67"/>
  <c r="T1289" i="67"/>
  <c r="AS1289" i="67"/>
  <c r="V1289" i="67"/>
  <c r="AG1291" i="67"/>
  <c r="AO1291" i="67"/>
  <c r="AJ1291" i="67"/>
  <c r="O1275" i="67"/>
  <c r="AA1289" i="67"/>
  <c r="P1275" i="67"/>
  <c r="AM1289" i="67"/>
  <c r="K1293" i="67"/>
  <c r="M1275" i="67"/>
  <c r="AC1290" i="67"/>
  <c r="Y1275" i="67"/>
  <c r="L1273" i="67"/>
  <c r="AW1289" i="67"/>
  <c r="AS1273" i="67"/>
  <c r="AH1291" i="67"/>
  <c r="R1273" i="67"/>
  <c r="AU1274" i="67"/>
  <c r="T1273" i="67"/>
  <c r="AG1273" i="67"/>
  <c r="AH1273" i="67"/>
  <c r="P1291" i="67"/>
  <c r="Y1290" i="67"/>
  <c r="AC1274" i="67"/>
  <c r="AF1275" i="67"/>
  <c r="AM1275" i="67"/>
  <c r="U1290" i="67"/>
  <c r="Y1274" i="67"/>
  <c r="R1275" i="67"/>
  <c r="R1274" i="67"/>
  <c r="AE1275" i="67"/>
  <c r="AP1274" i="67"/>
  <c r="N1274" i="67"/>
  <c r="BQ60" i="68"/>
  <c r="BQ67" i="68"/>
  <c r="AS668" i="67"/>
  <c r="AS1274" i="67" s="1"/>
  <c r="AV667" i="67"/>
  <c r="AV1273" i="67" s="1"/>
  <c r="V667" i="67"/>
  <c r="V1273" i="67" s="1"/>
  <c r="AD668" i="67"/>
  <c r="AD1274" i="67" s="1"/>
  <c r="AJ669" i="67"/>
  <c r="AJ1275" i="67" s="1"/>
  <c r="P668" i="67"/>
  <c r="P1274" i="67" s="1"/>
  <c r="S669" i="67"/>
  <c r="S1275" i="67" s="1"/>
  <c r="T669" i="67"/>
  <c r="T1275" i="67" s="1"/>
  <c r="U667" i="67"/>
  <c r="U1273" i="67" s="1"/>
  <c r="AC687" i="67"/>
  <c r="AC77" i="67"/>
  <c r="AC383" i="67"/>
  <c r="AC535" i="67"/>
  <c r="AC230" i="67"/>
  <c r="L257" i="67"/>
  <c r="L410" i="67"/>
  <c r="L562" i="67"/>
  <c r="L714" i="67"/>
  <c r="L104" i="67"/>
  <c r="L865" i="67"/>
  <c r="AC667" i="67"/>
  <c r="AC1273" i="67" s="1"/>
  <c r="AH669" i="67"/>
  <c r="AH1275" i="67" s="1"/>
  <c r="U261" i="67"/>
  <c r="U566" i="67"/>
  <c r="U414" i="67"/>
  <c r="U108" i="67"/>
  <c r="U869" i="67"/>
  <c r="U718" i="67"/>
  <c r="L535" i="67"/>
  <c r="L383" i="67"/>
  <c r="L77" i="67"/>
  <c r="L687" i="67"/>
  <c r="L230" i="67"/>
  <c r="AP383" i="67"/>
  <c r="AP77" i="67"/>
  <c r="AP687" i="67"/>
  <c r="AP535" i="67"/>
  <c r="AP230" i="67"/>
  <c r="AR667" i="67"/>
  <c r="AR1273" i="67" s="1"/>
  <c r="L566" i="67"/>
  <c r="L718" i="67"/>
  <c r="L261" i="67"/>
  <c r="L108" i="67"/>
  <c r="L869" i="67"/>
  <c r="L414" i="67"/>
  <c r="AL667" i="67"/>
  <c r="AL1273" i="67" s="1"/>
  <c r="AT668" i="67"/>
  <c r="AT1274" i="67" s="1"/>
  <c r="U383" i="67"/>
  <c r="U535" i="67"/>
  <c r="U230" i="67"/>
  <c r="U687" i="67"/>
  <c r="U77" i="67"/>
  <c r="AH230" i="67"/>
  <c r="AH383" i="67"/>
  <c r="AH687" i="67"/>
  <c r="AH535" i="67"/>
  <c r="AH77" i="67"/>
  <c r="AD5" i="70" l="1"/>
  <c r="K779" i="67" s="1"/>
  <c r="K1067" i="67" l="1"/>
  <c r="K1201" i="67"/>
  <c r="K1185" i="67"/>
  <c r="K1099" i="67"/>
  <c r="K1081" i="67"/>
  <c r="AD7" i="70"/>
  <c r="B15" i="65"/>
  <c r="K444" i="67"/>
  <c r="K899" i="67"/>
  <c r="K138" i="67"/>
  <c r="K291" i="67"/>
  <c r="K748" i="67"/>
  <c r="K596" i="67"/>
  <c r="AD6" i="70"/>
  <c r="K780" i="67" s="1"/>
  <c r="B38" i="65"/>
  <c r="B40" i="65" s="1"/>
  <c r="K157" i="67" s="1"/>
  <c r="AD50" i="70"/>
  <c r="B71" i="65"/>
  <c r="B76" i="65" s="1"/>
  <c r="K310" i="67" s="1"/>
  <c r="B122" i="65"/>
  <c r="B132" i="65" s="1"/>
  <c r="K462" i="67" s="1"/>
  <c r="AD66" i="70"/>
  <c r="K1354" i="67" l="1"/>
  <c r="K1101" i="67"/>
  <c r="K1069" i="67"/>
  <c r="K1203" i="67"/>
  <c r="K1187" i="67"/>
  <c r="K1083" i="67"/>
  <c r="K1100" i="67"/>
  <c r="K1068" i="67"/>
  <c r="K1202" i="67"/>
  <c r="K1186" i="67"/>
  <c r="K1082" i="67"/>
  <c r="K1120" i="67"/>
  <c r="K1136" i="67"/>
  <c r="K598" i="67"/>
  <c r="B20" i="65"/>
  <c r="K4" i="67"/>
  <c r="AD68" i="70"/>
  <c r="K1138" i="67" s="1"/>
  <c r="B17" i="65"/>
  <c r="K767" i="67"/>
  <c r="AD52" i="70"/>
  <c r="B124" i="65"/>
  <c r="B134" i="65" s="1"/>
  <c r="K464" i="67" s="1"/>
  <c r="B73" i="65"/>
  <c r="B78" i="65" s="1"/>
  <c r="K312" i="67" s="1"/>
  <c r="K446" i="67"/>
  <c r="K140" i="67"/>
  <c r="K901" i="67"/>
  <c r="K293" i="67"/>
  <c r="K750" i="67"/>
  <c r="K685" i="67"/>
  <c r="K836" i="67"/>
  <c r="K765" i="67"/>
  <c r="K614" i="67"/>
  <c r="B72" i="65"/>
  <c r="B77" i="65" s="1"/>
  <c r="K311" i="67" s="1"/>
  <c r="AD67" i="70"/>
  <c r="K1137" i="67" s="1"/>
  <c r="AD51" i="70"/>
  <c r="K1121" i="67" s="1"/>
  <c r="B16" i="65"/>
  <c r="B123" i="65"/>
  <c r="B133" i="65" s="1"/>
  <c r="K463" i="67" s="1"/>
  <c r="K275" i="67"/>
  <c r="K732" i="67"/>
  <c r="K428" i="67"/>
  <c r="K580" i="67"/>
  <c r="K883" i="67"/>
  <c r="K122" i="67"/>
  <c r="B159" i="65"/>
  <c r="K476" i="67"/>
  <c r="K324" i="67"/>
  <c r="K628" i="67"/>
  <c r="K18" i="67"/>
  <c r="K171" i="67"/>
  <c r="K189" i="67"/>
  <c r="K494" i="67"/>
  <c r="K797" i="67"/>
  <c r="K36" i="67"/>
  <c r="K646" i="67"/>
  <c r="K342" i="67"/>
  <c r="K344" i="67"/>
  <c r="K496" i="67"/>
  <c r="K1252" i="67" l="1"/>
  <c r="K1220" i="67"/>
  <c r="K1016" i="67"/>
  <c r="K1020" i="67"/>
  <c r="K1019" i="67"/>
  <c r="K1015" i="67"/>
  <c r="K1234" i="67"/>
  <c r="K1338" i="67"/>
  <c r="K1356" i="67"/>
  <c r="K1167" i="67"/>
  <c r="K1166" i="67"/>
  <c r="K1171" i="67"/>
  <c r="K1170" i="67"/>
  <c r="B161" i="65"/>
  <c r="B173" i="65" s="1"/>
  <c r="K669" i="67" s="1"/>
  <c r="K1122" i="67"/>
  <c r="B171" i="65"/>
  <c r="K667" i="67" s="1"/>
  <c r="B21" i="65"/>
  <c r="K5" i="67"/>
  <c r="B22" i="65"/>
  <c r="K6" i="67"/>
  <c r="K191" i="67"/>
  <c r="K381" i="67"/>
  <c r="K734" i="67"/>
  <c r="K20" i="67"/>
  <c r="K582" i="67"/>
  <c r="K228" i="67"/>
  <c r="K533" i="67"/>
  <c r="K630" i="67"/>
  <c r="K478" i="67"/>
  <c r="K781" i="67"/>
  <c r="K430" i="67"/>
  <c r="K326" i="67"/>
  <c r="K173" i="67"/>
  <c r="K885" i="67"/>
  <c r="K75" i="67"/>
  <c r="K616" i="67"/>
  <c r="K38" i="67"/>
  <c r="K648" i="67"/>
  <c r="AE20" i="68"/>
  <c r="K799" i="67"/>
  <c r="K277" i="67"/>
  <c r="K124" i="67"/>
  <c r="AE53" i="68"/>
  <c r="K515" i="67"/>
  <c r="K210" i="67"/>
  <c r="K818" i="67"/>
  <c r="K363" i="67"/>
  <c r="K57" i="67"/>
  <c r="K103" i="67"/>
  <c r="K256" i="67"/>
  <c r="K561" i="67"/>
  <c r="K409" i="67"/>
  <c r="K864" i="67"/>
  <c r="K532" i="67"/>
  <c r="K835" i="67"/>
  <c r="K227" i="67"/>
  <c r="K684" i="67"/>
  <c r="K74" i="67"/>
  <c r="K380" i="67"/>
  <c r="K495" i="67"/>
  <c r="K37" i="67"/>
  <c r="K343" i="67"/>
  <c r="K798" i="67"/>
  <c r="K190" i="67"/>
  <c r="K647" i="67"/>
  <c r="B160" i="65"/>
  <c r="K597" i="67"/>
  <c r="K445" i="67"/>
  <c r="K900" i="67"/>
  <c r="K749" i="67"/>
  <c r="K139" i="67"/>
  <c r="K292" i="67"/>
  <c r="AE54" i="68"/>
  <c r="K379" i="67"/>
  <c r="K73" i="67"/>
  <c r="K226" i="67"/>
  <c r="K834" i="67"/>
  <c r="K683" i="67"/>
  <c r="K531" i="67"/>
  <c r="K212" i="67"/>
  <c r="K365" i="67"/>
  <c r="K820" i="67"/>
  <c r="K517" i="67"/>
  <c r="K59" i="67"/>
  <c r="K429" i="67"/>
  <c r="K276" i="67"/>
  <c r="K884" i="67"/>
  <c r="K123" i="67"/>
  <c r="K733" i="67"/>
  <c r="K581" i="67"/>
  <c r="K629" i="67"/>
  <c r="K172" i="67"/>
  <c r="K477" i="67"/>
  <c r="K325" i="67"/>
  <c r="K19" i="67"/>
  <c r="K766" i="67"/>
  <c r="K615" i="67"/>
  <c r="AE19" i="68" l="1"/>
  <c r="AE60" i="68" s="1"/>
  <c r="D20" i="62"/>
  <c r="K1290" i="67"/>
  <c r="K1340" i="67"/>
  <c r="K1254" i="67"/>
  <c r="K1253" i="67"/>
  <c r="K1339" i="67"/>
  <c r="K1236" i="67"/>
  <c r="AE12" i="68" s="1"/>
  <c r="K1235" i="67"/>
  <c r="K1355" i="67"/>
  <c r="K1291" i="67"/>
  <c r="K1289" i="67"/>
  <c r="K1221" i="67"/>
  <c r="K1222" i="67"/>
  <c r="AE5" i="68" s="1"/>
  <c r="K1273" i="67"/>
  <c r="K1275" i="67"/>
  <c r="B172" i="65"/>
  <c r="K713" i="67" s="1"/>
  <c r="K1319" i="67" s="1"/>
  <c r="K868" i="67"/>
  <c r="K260" i="67"/>
  <c r="K107" i="67"/>
  <c r="K413" i="67"/>
  <c r="K565" i="67"/>
  <c r="AE52" i="68"/>
  <c r="K58" i="67"/>
  <c r="K819" i="67"/>
  <c r="K516" i="67"/>
  <c r="K364" i="67"/>
  <c r="K211" i="67"/>
  <c r="K261" i="67"/>
  <c r="K718" i="67"/>
  <c r="K566" i="67"/>
  <c r="K869" i="67"/>
  <c r="K414" i="67"/>
  <c r="K108" i="67"/>
  <c r="K104" i="67"/>
  <c r="K562" i="67"/>
  <c r="K257" i="67"/>
  <c r="K714" i="67"/>
  <c r="K865" i="67"/>
  <c r="K410" i="67"/>
  <c r="AE67" i="68" l="1"/>
  <c r="D41" i="62"/>
  <c r="AE4" i="68"/>
  <c r="AE58" i="68" s="1"/>
  <c r="D7" i="62"/>
  <c r="AE11" i="68"/>
  <c r="AE59" i="68" s="1"/>
  <c r="D13" i="62"/>
  <c r="K717" i="67"/>
  <c r="K1323" i="67" s="1"/>
  <c r="AE47" i="68"/>
  <c r="AE56" i="68" s="1"/>
  <c r="K1324" i="67"/>
  <c r="K1320" i="67"/>
  <c r="K668" i="67"/>
  <c r="K1274" i="67" s="1"/>
  <c r="AE50" i="68"/>
  <c r="AE71" i="68" l="1"/>
  <c r="AE45" i="68"/>
  <c r="AE43" i="68" s="1"/>
  <c r="K2" i="67"/>
  <c r="AE51" i="68"/>
  <c r="AE49" i="68" s="1"/>
  <c r="AE66" i="68" l="1"/>
  <c r="D40" i="62"/>
  <c r="AE65" i="68"/>
  <c r="D39" i="62"/>
  <c r="V369" i="67"/>
  <c r="U369" i="67"/>
  <c r="T369" i="67"/>
  <c r="AK369" i="67"/>
  <c r="S369" i="67"/>
  <c r="AJ369" i="67"/>
  <c r="R369" i="67"/>
  <c r="AI369" i="67"/>
  <c r="AH369" i="67"/>
  <c r="AO369" i="67"/>
  <c r="AE72" i="68" l="1"/>
  <c r="AE73" i="68" s="1"/>
  <c r="AE80" i="68" s="1"/>
  <c r="B5" i="63" l="1"/>
  <c r="B6" i="63" s="1"/>
  <c r="AO617" i="67"/>
  <c r="BE7" i="69" l="1"/>
  <c r="BE8" i="69"/>
  <c r="AW7" i="69"/>
  <c r="AW8" i="69"/>
  <c r="AW51" i="69" s="1"/>
  <c r="Z7" i="69"/>
  <c r="Z8" i="69"/>
  <c r="Z51" i="69" s="1"/>
  <c r="AY7" i="69"/>
  <c r="AY8" i="69"/>
  <c r="AG40" i="69"/>
  <c r="AG42" i="69"/>
  <c r="AL20" i="70" s="1"/>
  <c r="S1049" i="67" s="1"/>
  <c r="AE40" i="69"/>
  <c r="AE42" i="69"/>
  <c r="AN7" i="69"/>
  <c r="AN8" i="69"/>
  <c r="AN9" i="69" s="1"/>
  <c r="AS10" i="70" s="1"/>
  <c r="BI7" i="69"/>
  <c r="AF7" i="69"/>
  <c r="AF8" i="69"/>
  <c r="BB7" i="69"/>
  <c r="BB8" i="69"/>
  <c r="BB9" i="69" s="1"/>
  <c r="BG10" i="70" s="1"/>
  <c r="AH7" i="69"/>
  <c r="AH8" i="69"/>
  <c r="AH51" i="69" s="1"/>
  <c r="AZ7" i="69"/>
  <c r="AI7" i="69"/>
  <c r="AH40" i="69"/>
  <c r="AH42" i="69"/>
  <c r="BJ40" i="69"/>
  <c r="BJ42" i="69"/>
  <c r="BJ7" i="69"/>
  <c r="AV7" i="69"/>
  <c r="AD7" i="69"/>
  <c r="AX7" i="69"/>
  <c r="AX8" i="69"/>
  <c r="AJ7" i="69"/>
  <c r="AJ8" i="69"/>
  <c r="AQ7" i="69"/>
  <c r="BA7" i="69"/>
  <c r="AU7" i="69"/>
  <c r="AS27" i="69"/>
  <c r="AG7" i="69"/>
  <c r="AG8" i="69"/>
  <c r="AG51" i="69" s="1"/>
  <c r="AW40" i="69"/>
  <c r="AW42" i="69"/>
  <c r="BB20" i="70" s="1"/>
  <c r="AI1049" i="67" s="1"/>
  <c r="BA27" i="69"/>
  <c r="BF11" i="70" s="1"/>
  <c r="BK40" i="69"/>
  <c r="BK42" i="69"/>
  <c r="BP20" i="70" s="1"/>
  <c r="AW1049" i="67" s="1"/>
  <c r="AC7" i="69"/>
  <c r="AE7" i="69"/>
  <c r="AE8" i="69"/>
  <c r="AE9" i="69" s="1"/>
  <c r="AJ10" i="70" s="1"/>
  <c r="AB7" i="69"/>
  <c r="AC40" i="69"/>
  <c r="AO27" i="69"/>
  <c r="AR7" i="69"/>
  <c r="AR8" i="69"/>
  <c r="AR51" i="69" s="1"/>
  <c r="AK7" i="69"/>
  <c r="AQ40" i="69"/>
  <c r="AQ42" i="69"/>
  <c r="AV20" i="70" s="1"/>
  <c r="AC1049" i="67" s="1"/>
  <c r="BE40" i="69"/>
  <c r="AD40" i="69"/>
  <c r="AD42" i="69"/>
  <c r="AI20" i="70" s="1"/>
  <c r="P1049" i="67" s="1"/>
  <c r="AZ40" i="69"/>
  <c r="BC7" i="69"/>
  <c r="BC8" i="69"/>
  <c r="BC9" i="69" s="1"/>
  <c r="BH10" i="70" s="1"/>
  <c r="BI40" i="69"/>
  <c r="BI42" i="69"/>
  <c r="BN20" i="70" s="1"/>
  <c r="AU1049" i="67" s="1"/>
  <c r="BK7" i="69"/>
  <c r="BK8" i="69"/>
  <c r="AO8" i="69"/>
  <c r="AA8" i="69"/>
  <c r="AA51" i="69" s="1"/>
  <c r="AS7" i="69"/>
  <c r="AS8" i="69"/>
  <c r="AS51" i="69" s="1"/>
  <c r="BH7" i="69"/>
  <c r="BK27" i="69"/>
  <c r="BC27" i="69"/>
  <c r="AP7" i="69"/>
  <c r="AP8" i="69"/>
  <c r="AP9" i="69" s="1"/>
  <c r="AU10" i="70" s="1"/>
  <c r="AT7" i="69"/>
  <c r="AD27" i="69"/>
  <c r="BD7" i="69"/>
  <c r="BD8" i="69"/>
  <c r="BD51" i="69" s="1"/>
  <c r="BI27" i="69"/>
  <c r="BN11" i="70" s="1"/>
  <c r="BD40" i="69"/>
  <c r="BD42" i="69"/>
  <c r="BI20" i="70" s="1"/>
  <c r="AP1049" i="67" s="1"/>
  <c r="BF7" i="69"/>
  <c r="AN27" i="69"/>
  <c r="AP27" i="69"/>
  <c r="AN40" i="69"/>
  <c r="BJ27" i="69"/>
  <c r="AL7" i="69"/>
  <c r="AF27" i="69"/>
  <c r="AA27" i="69"/>
  <c r="BF27" i="69"/>
  <c r="BK11" i="70" s="1"/>
  <c r="AM7" i="69"/>
  <c r="AI27" i="69"/>
  <c r="AN11" i="70" s="1"/>
  <c r="BC40" i="69"/>
  <c r="AU27" i="69"/>
  <c r="BG27" i="69"/>
  <c r="BB40" i="69"/>
  <c r="BB42" i="69"/>
  <c r="BG20" i="70" s="1"/>
  <c r="AN1049" i="67" s="1"/>
  <c r="AZ27" i="69"/>
  <c r="BE11" i="70" s="1"/>
  <c r="AY27" i="69"/>
  <c r="Z27" i="69"/>
  <c r="AE11" i="70" s="1"/>
  <c r="BH27" i="69"/>
  <c r="BG7" i="69"/>
  <c r="BG8" i="69"/>
  <c r="AC27" i="69"/>
  <c r="AH27" i="69"/>
  <c r="BA40" i="69"/>
  <c r="BA42" i="69"/>
  <c r="BF20" i="70" s="1"/>
  <c r="AM1049" i="67" s="1"/>
  <c r="AW27" i="69"/>
  <c r="AG27" i="69"/>
  <c r="AB27" i="69"/>
  <c r="AG11" i="70" s="1"/>
  <c r="AI40" i="69"/>
  <c r="AI42" i="69"/>
  <c r="BB27" i="69"/>
  <c r="AR40" i="69"/>
  <c r="AR42" i="69"/>
  <c r="AW20" i="70" s="1"/>
  <c r="AD1049" i="67" s="1"/>
  <c r="AA40" i="69"/>
  <c r="AP40" i="69"/>
  <c r="AP42" i="69"/>
  <c r="BD27" i="69"/>
  <c r="AT40" i="69"/>
  <c r="AT42" i="69"/>
  <c r="AY20" i="70" s="1"/>
  <c r="AF1049" i="67" s="1"/>
  <c r="BG40" i="69"/>
  <c r="BG42" i="69"/>
  <c r="BF40" i="69"/>
  <c r="AY40" i="69"/>
  <c r="AY42" i="69"/>
  <c r="BD20" i="70" s="1"/>
  <c r="AK1049" i="67" s="1"/>
  <c r="BH40" i="69"/>
  <c r="BH42" i="69"/>
  <c r="AO40" i="69"/>
  <c r="AT27" i="69"/>
  <c r="AY11" i="70" s="1"/>
  <c r="AV40" i="69"/>
  <c r="AJ40" i="69"/>
  <c r="AJ42" i="69"/>
  <c r="AU40" i="69"/>
  <c r="AS40" i="69"/>
  <c r="AS42" i="69"/>
  <c r="AX20" i="70" s="1"/>
  <c r="AE1049" i="67" s="1"/>
  <c r="AX40" i="69"/>
  <c r="AK27" i="69"/>
  <c r="AL40" i="69"/>
  <c r="AK40" i="69"/>
  <c r="AK42" i="69"/>
  <c r="AP20" i="70" s="1"/>
  <c r="W1049" i="67" s="1"/>
  <c r="AM40" i="69"/>
  <c r="Z40" i="69"/>
  <c r="Z42" i="69"/>
  <c r="AF40" i="69"/>
  <c r="AE945" i="67" l="1"/>
  <c r="AE963" i="67"/>
  <c r="AD945" i="67"/>
  <c r="AD963" i="67"/>
  <c r="AM945" i="67"/>
  <c r="AM963" i="67"/>
  <c r="AU922" i="67"/>
  <c r="AU1056" i="67"/>
  <c r="AU1040" i="67"/>
  <c r="AU954" i="67"/>
  <c r="AU936" i="67"/>
  <c r="AU963" i="67"/>
  <c r="AU945" i="67"/>
  <c r="AC963" i="67"/>
  <c r="AC945" i="67"/>
  <c r="Q1039" i="67"/>
  <c r="Q1055" i="67"/>
  <c r="Q953" i="67"/>
  <c r="Q935" i="67"/>
  <c r="N922" i="67"/>
  <c r="N1056" i="67"/>
  <c r="N1040" i="67"/>
  <c r="N936" i="67"/>
  <c r="N954" i="67"/>
  <c r="AL922" i="67"/>
  <c r="AL1056" i="67"/>
  <c r="AL1040" i="67"/>
  <c r="AL954" i="67"/>
  <c r="AL936" i="67"/>
  <c r="AR922" i="67"/>
  <c r="AR1056" i="67"/>
  <c r="AR1040" i="67"/>
  <c r="AR954" i="67"/>
  <c r="AR936" i="67"/>
  <c r="AB1055" i="67"/>
  <c r="AB1039" i="67"/>
  <c r="AB953" i="67"/>
  <c r="AB935" i="67"/>
  <c r="P963" i="67"/>
  <c r="P945" i="67"/>
  <c r="AM922" i="67"/>
  <c r="AM1056" i="67"/>
  <c r="AM1040" i="67"/>
  <c r="AM954" i="67"/>
  <c r="AM936" i="67"/>
  <c r="AN921" i="67"/>
  <c r="AN1055" i="67"/>
  <c r="AN1039" i="67"/>
  <c r="AN953" i="67"/>
  <c r="AN935" i="67"/>
  <c r="AK945" i="67"/>
  <c r="AK963" i="67"/>
  <c r="W945" i="67"/>
  <c r="W963" i="67"/>
  <c r="AF963" i="67"/>
  <c r="AF945" i="67"/>
  <c r="AN963" i="67"/>
  <c r="AN945" i="67"/>
  <c r="AP945" i="67"/>
  <c r="AP963" i="67"/>
  <c r="AO921" i="67"/>
  <c r="AO1055" i="67"/>
  <c r="AO1039" i="67"/>
  <c r="AO953" i="67"/>
  <c r="AO935" i="67"/>
  <c r="AI945" i="67"/>
  <c r="AI963" i="67"/>
  <c r="Z1055" i="67"/>
  <c r="Z1039" i="67"/>
  <c r="Z935" i="67"/>
  <c r="Z953" i="67"/>
  <c r="S945" i="67"/>
  <c r="S963" i="67"/>
  <c r="AF922" i="67"/>
  <c r="AF1056" i="67"/>
  <c r="AF1040" i="67"/>
  <c r="AF954" i="67"/>
  <c r="AF936" i="67"/>
  <c r="L922" i="67"/>
  <c r="L1056" i="67"/>
  <c r="L1040" i="67"/>
  <c r="L954" i="67"/>
  <c r="L936" i="67"/>
  <c r="U922" i="67"/>
  <c r="U1040" i="67"/>
  <c r="U1056" i="67"/>
  <c r="U954" i="67"/>
  <c r="U936" i="67"/>
  <c r="AW963" i="67"/>
  <c r="AW945" i="67"/>
  <c r="Q784" i="67"/>
  <c r="Q921" i="67"/>
  <c r="AB784" i="67"/>
  <c r="AB921" i="67"/>
  <c r="Z784" i="67"/>
  <c r="Z921" i="67"/>
  <c r="AJ55" i="70"/>
  <c r="Q974" i="67" s="1"/>
  <c r="AB1190" i="67"/>
  <c r="AB1072" i="67"/>
  <c r="AB1206" i="67"/>
  <c r="AB1086" i="67"/>
  <c r="AB1104" i="67"/>
  <c r="AU55" i="70"/>
  <c r="AB974" i="67" s="1"/>
  <c r="S75" i="65"/>
  <c r="S80" i="65" s="1"/>
  <c r="AB315" i="67" s="1"/>
  <c r="S127" i="65"/>
  <c r="S137" i="65" s="1"/>
  <c r="AB467" i="67" s="1"/>
  <c r="AU71" i="70"/>
  <c r="AB990" i="67" s="1"/>
  <c r="S19" i="65"/>
  <c r="S39" i="65"/>
  <c r="S41" i="65" s="1"/>
  <c r="AB162" i="67" s="1"/>
  <c r="Z1086" i="67"/>
  <c r="Z1190" i="67"/>
  <c r="Z1072" i="67"/>
  <c r="Z1206" i="67"/>
  <c r="Z1104" i="67"/>
  <c r="AS55" i="70"/>
  <c r="Z974" i="67" s="1"/>
  <c r="Q75" i="65"/>
  <c r="Q80" i="65" s="1"/>
  <c r="Z315" i="67" s="1"/>
  <c r="Q19" i="65"/>
  <c r="Q127" i="65"/>
  <c r="Q137" i="65" s="1"/>
  <c r="Z467" i="67" s="1"/>
  <c r="AS71" i="70"/>
  <c r="Z990" i="67" s="1"/>
  <c r="Q39" i="65"/>
  <c r="Q41" i="65" s="1"/>
  <c r="Z162" i="67" s="1"/>
  <c r="AX51" i="69"/>
  <c r="AX9" i="69"/>
  <c r="BC10" i="70" s="1"/>
  <c r="AU1105" i="67"/>
  <c r="AU1191" i="67"/>
  <c r="AU1087" i="67"/>
  <c r="AU1207" i="67"/>
  <c r="AU1073" i="67"/>
  <c r="AU1216" i="67"/>
  <c r="AU1369" i="67" s="1"/>
  <c r="AU1114" i="67"/>
  <c r="AU1096" i="67"/>
  <c r="AU1200" i="67"/>
  <c r="AM1191" i="67"/>
  <c r="AM1105" i="67"/>
  <c r="AM1073" i="67"/>
  <c r="AM1207" i="67"/>
  <c r="AM1087" i="67"/>
  <c r="AP1114" i="67"/>
  <c r="AP1200" i="67"/>
  <c r="AP1216" i="67"/>
  <c r="AP1369" i="67" s="1"/>
  <c r="AP1096" i="67"/>
  <c r="Q1190" i="67"/>
  <c r="Q1072" i="67"/>
  <c r="Q1206" i="67"/>
  <c r="Q1086" i="67"/>
  <c r="Q1104" i="67"/>
  <c r="H19" i="65"/>
  <c r="H75" i="65"/>
  <c r="H80" i="65" s="1"/>
  <c r="Q315" i="67" s="1"/>
  <c r="AJ71" i="70"/>
  <c r="Q990" i="67" s="1"/>
  <c r="H39" i="65"/>
  <c r="H41" i="65" s="1"/>
  <c r="Q162" i="67" s="1"/>
  <c r="H127" i="65"/>
  <c r="H137" i="65" s="1"/>
  <c r="Q467" i="67" s="1"/>
  <c r="AW1096" i="67"/>
  <c r="AW1114" i="67"/>
  <c r="AW1200" i="67"/>
  <c r="AW1216" i="67"/>
  <c r="AW1369" i="67" s="1"/>
  <c r="AN1216" i="67"/>
  <c r="AN1369" i="67" s="1"/>
  <c r="AN1096" i="67"/>
  <c r="AN1114" i="67"/>
  <c r="AN1200" i="67"/>
  <c r="AI1114" i="67"/>
  <c r="AI1200" i="67"/>
  <c r="AI1216" i="67"/>
  <c r="AI1369" i="67" s="1"/>
  <c r="AI1096" i="67"/>
  <c r="L1191" i="67"/>
  <c r="L1073" i="67"/>
  <c r="L1207" i="67"/>
  <c r="L1087" i="67"/>
  <c r="L1105" i="67"/>
  <c r="W1114" i="67"/>
  <c r="W1200" i="67"/>
  <c r="W1216" i="67"/>
  <c r="W1369" i="67" s="1"/>
  <c r="W1096" i="67"/>
  <c r="AE1096" i="67"/>
  <c r="AE1114" i="67"/>
  <c r="AE1200" i="67"/>
  <c r="AE1216" i="67"/>
  <c r="AE1369" i="67" s="1"/>
  <c r="AF1191" i="67"/>
  <c r="AF1073" i="67"/>
  <c r="AF1207" i="67"/>
  <c r="AF1105" i="67"/>
  <c r="AF1087" i="67"/>
  <c r="AK1216" i="67"/>
  <c r="AK1369" i="67" s="1"/>
  <c r="AK1096" i="67"/>
  <c r="AK1114" i="67"/>
  <c r="AK1200" i="67"/>
  <c r="AF1200" i="67"/>
  <c r="AF1096" i="67"/>
  <c r="AF1114" i="67"/>
  <c r="AF1216" i="67"/>
  <c r="AF1369" i="67" s="1"/>
  <c r="AD1096" i="67"/>
  <c r="AD1114" i="67"/>
  <c r="AD1200" i="67"/>
  <c r="AD1216" i="67"/>
  <c r="AD1369" i="67" s="1"/>
  <c r="N1087" i="67"/>
  <c r="N1105" i="67"/>
  <c r="N1073" i="67"/>
  <c r="N1207" i="67"/>
  <c r="N1191" i="67"/>
  <c r="AM1096" i="67"/>
  <c r="AM1114" i="67"/>
  <c r="AM1267" i="67" s="1"/>
  <c r="AM1200" i="67"/>
  <c r="AM1216" i="67"/>
  <c r="AM1369" i="67" s="1"/>
  <c r="AL1073" i="67"/>
  <c r="AL1191" i="67"/>
  <c r="AL1087" i="67"/>
  <c r="AL1207" i="67"/>
  <c r="AL1105" i="67"/>
  <c r="U1105" i="67"/>
  <c r="U1191" i="67"/>
  <c r="U1207" i="67"/>
  <c r="U1087" i="67"/>
  <c r="U1073" i="67"/>
  <c r="AR1105" i="67"/>
  <c r="AR1191" i="67"/>
  <c r="AR1073" i="67"/>
  <c r="AR1207" i="67"/>
  <c r="AR1087" i="67"/>
  <c r="AO784" i="67"/>
  <c r="AO1190" i="67"/>
  <c r="BH71" i="70"/>
  <c r="AO990" i="67" s="1"/>
  <c r="AO1104" i="67"/>
  <c r="AO1072" i="67"/>
  <c r="AO1206" i="67"/>
  <c r="BH55" i="70"/>
  <c r="AO974" i="67" s="1"/>
  <c r="AF75" i="65"/>
  <c r="AF80" i="65" s="1"/>
  <c r="AO315" i="67" s="1"/>
  <c r="AO1086" i="67"/>
  <c r="AF127" i="65"/>
  <c r="AF137" i="65" s="1"/>
  <c r="AO467" i="67" s="1"/>
  <c r="AF39" i="65"/>
  <c r="AF41" i="65" s="1"/>
  <c r="AO162" i="67" s="1"/>
  <c r="AF19" i="65"/>
  <c r="P1114" i="67"/>
  <c r="P1200" i="67"/>
  <c r="P1216" i="67"/>
  <c r="P1369" i="67" s="1"/>
  <c r="P1096" i="67"/>
  <c r="AC1114" i="67"/>
  <c r="AC1200" i="67"/>
  <c r="AC1216" i="67"/>
  <c r="AC1369" i="67" s="1"/>
  <c r="AC1096" i="67"/>
  <c r="AN784" i="67"/>
  <c r="AN1190" i="67"/>
  <c r="AN1072" i="67"/>
  <c r="AN1206" i="67"/>
  <c r="AN1086" i="67"/>
  <c r="AN1104" i="67"/>
  <c r="AE19" i="65"/>
  <c r="BG71" i="70"/>
  <c r="AN990" i="67" s="1"/>
  <c r="AE127" i="65"/>
  <c r="AE137" i="65" s="1"/>
  <c r="AN467" i="67" s="1"/>
  <c r="AE75" i="65"/>
  <c r="AE80" i="65" s="1"/>
  <c r="AN315" i="67" s="1"/>
  <c r="AE39" i="65"/>
  <c r="AE41" i="65" s="1"/>
  <c r="AN162" i="67" s="1"/>
  <c r="BG55" i="70"/>
  <c r="AN974" i="67" s="1"/>
  <c r="S1096" i="67"/>
  <c r="S1114" i="67"/>
  <c r="S1200" i="67"/>
  <c r="S1216" i="67"/>
  <c r="S1369" i="67" s="1"/>
  <c r="AH18" i="69"/>
  <c r="AH52" i="69" s="1"/>
  <c r="AM12" i="70"/>
  <c r="AM11" i="70"/>
  <c r="AE72" i="70"/>
  <c r="L991" i="67" s="1"/>
  <c r="C128" i="65"/>
  <c r="C138" i="65" s="1"/>
  <c r="L468" i="67" s="1"/>
  <c r="AE56" i="70"/>
  <c r="L975" i="67" s="1"/>
  <c r="AP81" i="70"/>
  <c r="W1000" i="67" s="1"/>
  <c r="AP65" i="70"/>
  <c r="W984" i="67" s="1"/>
  <c r="AX81" i="70"/>
  <c r="AE1000" i="67" s="1"/>
  <c r="AX65" i="70"/>
  <c r="AE984" i="67" s="1"/>
  <c r="AY72" i="70"/>
  <c r="AF991" i="67" s="1"/>
  <c r="W128" i="65"/>
  <c r="W138" i="65" s="1"/>
  <c r="AF468" i="67" s="1"/>
  <c r="AY56" i="70"/>
  <c r="AF975" i="67" s="1"/>
  <c r="BD81" i="70"/>
  <c r="AK1000" i="67" s="1"/>
  <c r="BD65" i="70"/>
  <c r="AK984" i="67" s="1"/>
  <c r="AY81" i="70"/>
  <c r="AF1000" i="67" s="1"/>
  <c r="AY65" i="70"/>
  <c r="AF984" i="67" s="1"/>
  <c r="AW81" i="70"/>
  <c r="AD1000" i="67" s="1"/>
  <c r="AW65" i="70"/>
  <c r="AD984" i="67" s="1"/>
  <c r="E128" i="65"/>
  <c r="E138" i="65" s="1"/>
  <c r="N468" i="67" s="1"/>
  <c r="AG72" i="70"/>
  <c r="N991" i="67" s="1"/>
  <c r="AG56" i="70"/>
  <c r="N975" i="67" s="1"/>
  <c r="BF81" i="70"/>
  <c r="AM1000" i="67" s="1"/>
  <c r="BF65" i="70"/>
  <c r="AM984" i="67" s="1"/>
  <c r="BD18" i="69"/>
  <c r="BD52" i="69" s="1"/>
  <c r="BI12" i="70"/>
  <c r="BI11" i="70"/>
  <c r="BB18" i="69"/>
  <c r="BB52" i="69" s="1"/>
  <c r="BG12" i="70"/>
  <c r="BG11" i="70"/>
  <c r="AG18" i="69"/>
  <c r="AG52" i="69" s="1"/>
  <c r="AL12" i="70"/>
  <c r="AL11" i="70"/>
  <c r="AK18" i="69"/>
  <c r="AK52" i="69" s="1"/>
  <c r="AP12" i="70"/>
  <c r="AJ55" i="69"/>
  <c r="AO22" i="70"/>
  <c r="BM22" i="70"/>
  <c r="BH55" i="69"/>
  <c r="AM20" i="69"/>
  <c r="AM21" i="69" s="1"/>
  <c r="AM26" i="69"/>
  <c r="BG55" i="69"/>
  <c r="BL22" i="70"/>
  <c r="AL26" i="69"/>
  <c r="AL20" i="69"/>
  <c r="AL21" i="69" s="1"/>
  <c r="AU22" i="70"/>
  <c r="AP55" i="69"/>
  <c r="AI55" i="69"/>
  <c r="AN22" i="70"/>
  <c r="AQ26" i="69"/>
  <c r="AQ20" i="69"/>
  <c r="AQ21" i="69" s="1"/>
  <c r="AW18" i="69"/>
  <c r="AW52" i="69" s="1"/>
  <c r="BB12" i="70"/>
  <c r="AV26" i="69"/>
  <c r="AV20" i="69"/>
  <c r="AV21" i="69" s="1"/>
  <c r="AC18" i="69"/>
  <c r="AC52" i="69" s="1"/>
  <c r="AH12" i="70"/>
  <c r="BG9" i="69"/>
  <c r="BL10" i="70" s="1"/>
  <c r="BG51" i="69"/>
  <c r="AC128" i="65"/>
  <c r="AC138" i="65" s="1"/>
  <c r="AL468" i="67" s="1"/>
  <c r="BE72" i="70"/>
  <c r="AL991" i="67" s="1"/>
  <c r="BE56" i="70"/>
  <c r="AL975" i="67" s="1"/>
  <c r="AN72" i="70"/>
  <c r="U991" i="67" s="1"/>
  <c r="L128" i="65"/>
  <c r="L138" i="65" s="1"/>
  <c r="U468" i="67" s="1"/>
  <c r="AN56" i="70"/>
  <c r="U975" i="67" s="1"/>
  <c r="BK72" i="70"/>
  <c r="AR991" i="67" s="1"/>
  <c r="AI128" i="65"/>
  <c r="AI138" i="65" s="1"/>
  <c r="AR468" i="67" s="1"/>
  <c r="BK56" i="70"/>
  <c r="AR975" i="67" s="1"/>
  <c r="AP18" i="69"/>
  <c r="AP52" i="69" s="1"/>
  <c r="AU12" i="70"/>
  <c r="AU11" i="70"/>
  <c r="BC18" i="69"/>
  <c r="BC52" i="69" s="1"/>
  <c r="BH12" i="70"/>
  <c r="BH11" i="70"/>
  <c r="AE22" i="70"/>
  <c r="Z55" i="69"/>
  <c r="AF42" i="69"/>
  <c r="AL42" i="69"/>
  <c r="AK20" i="69"/>
  <c r="AK21" i="69" s="1"/>
  <c r="AK26" i="69"/>
  <c r="AU42" i="69"/>
  <c r="AO42" i="69"/>
  <c r="BF42" i="69"/>
  <c r="AW20" i="69"/>
  <c r="AW21" i="69" s="1"/>
  <c r="AW26" i="69"/>
  <c r="AC20" i="69"/>
  <c r="AC21" i="69" s="1"/>
  <c r="AC26" i="69"/>
  <c r="BN72" i="70"/>
  <c r="AU991" i="67" s="1"/>
  <c r="AL128" i="65"/>
  <c r="AL138" i="65" s="1"/>
  <c r="AU468" i="67" s="1"/>
  <c r="BN56" i="70"/>
  <c r="AU975" i="67" s="1"/>
  <c r="AP22" i="70"/>
  <c r="AK55" i="69"/>
  <c r="AX22" i="70"/>
  <c r="AS55" i="69"/>
  <c r="AT18" i="69"/>
  <c r="AT52" i="69" s="1"/>
  <c r="AY12" i="70"/>
  <c r="BD22" i="70"/>
  <c r="AY55" i="69"/>
  <c r="AT55" i="69"/>
  <c r="AY22" i="70"/>
  <c r="BD26" i="69"/>
  <c r="BD20" i="69"/>
  <c r="BD21" i="69" s="1"/>
  <c r="AW22" i="70"/>
  <c r="AR55" i="69"/>
  <c r="BB20" i="69"/>
  <c r="BB21" i="69" s="1"/>
  <c r="BB26" i="69"/>
  <c r="AB18" i="69"/>
  <c r="AB52" i="69" s="1"/>
  <c r="AG12" i="70"/>
  <c r="AG20" i="69"/>
  <c r="AG21" i="69" s="1"/>
  <c r="AG26" i="69"/>
  <c r="BA55" i="69"/>
  <c r="BF22" i="70"/>
  <c r="AH26" i="69"/>
  <c r="AH20" i="69"/>
  <c r="AH21" i="69" s="1"/>
  <c r="BE20" i="69"/>
  <c r="BE21" i="69" s="1"/>
  <c r="BE26" i="69"/>
  <c r="BE27" i="69"/>
  <c r="BH18" i="69"/>
  <c r="BH52" i="69" s="1"/>
  <c r="BM12" i="70"/>
  <c r="BM11" i="70"/>
  <c r="BG18" i="69"/>
  <c r="BG52" i="69" s="1"/>
  <c r="BL12" i="70"/>
  <c r="BL11" i="70"/>
  <c r="BI81" i="70"/>
  <c r="AP1000" i="67" s="1"/>
  <c r="BI65" i="70"/>
  <c r="AP984" i="67" s="1"/>
  <c r="AE20" i="70"/>
  <c r="L1049" i="67" s="1"/>
  <c r="AM42" i="69"/>
  <c r="AP11" i="70"/>
  <c r="AX42" i="69"/>
  <c r="AO20" i="70"/>
  <c r="V1049" i="67" s="1"/>
  <c r="AV42" i="69"/>
  <c r="AT26" i="69"/>
  <c r="AT20" i="69"/>
  <c r="AT21" i="69" s="1"/>
  <c r="BM20" i="70"/>
  <c r="AT1049" i="67" s="1"/>
  <c r="AM27" i="69"/>
  <c r="BL20" i="70"/>
  <c r="AS1049" i="67" s="1"/>
  <c r="AL27" i="69"/>
  <c r="AU20" i="70"/>
  <c r="AB1049" i="67" s="1"/>
  <c r="AA42" i="69"/>
  <c r="AN20" i="70"/>
  <c r="U1049" i="67" s="1"/>
  <c r="AQ27" i="69"/>
  <c r="AB26" i="69"/>
  <c r="AB20" i="69"/>
  <c r="AB21" i="69" s="1"/>
  <c r="BB11" i="70"/>
  <c r="AV27" i="69"/>
  <c r="AH11" i="70"/>
  <c r="AJ20" i="69"/>
  <c r="AJ21" i="69" s="1"/>
  <c r="AJ26" i="69"/>
  <c r="AJ27" i="69"/>
  <c r="Z18" i="69"/>
  <c r="Z52" i="69" s="1"/>
  <c r="AE12" i="70"/>
  <c r="BG81" i="70"/>
  <c r="AN1000" i="67" s="1"/>
  <c r="BG65" i="70"/>
  <c r="AN984" i="67" s="1"/>
  <c r="AA18" i="69"/>
  <c r="AA52" i="69" s="1"/>
  <c r="AF12" i="70"/>
  <c r="AF11" i="70"/>
  <c r="AD18" i="69"/>
  <c r="AD52" i="69" s="1"/>
  <c r="AI12" i="70"/>
  <c r="AI11" i="70"/>
  <c r="AY18" i="69"/>
  <c r="AY52" i="69" s="1"/>
  <c r="BD12" i="70"/>
  <c r="AX20" i="69"/>
  <c r="AX21" i="69" s="1"/>
  <c r="AX26" i="69"/>
  <c r="AU18" i="69"/>
  <c r="AU52" i="69" s="1"/>
  <c r="AZ12" i="70"/>
  <c r="AR26" i="69"/>
  <c r="AR20" i="69"/>
  <c r="AR21" i="69" s="1"/>
  <c r="AF18" i="69"/>
  <c r="AF52" i="69" s="1"/>
  <c r="AK12" i="70"/>
  <c r="BJ18" i="69"/>
  <c r="BJ52" i="69" s="1"/>
  <c r="BO12" i="70"/>
  <c r="AE26" i="69"/>
  <c r="AE20" i="69"/>
  <c r="AE21" i="69" s="1"/>
  <c r="AN18" i="69"/>
  <c r="AN52" i="69" s="1"/>
  <c r="AS12" i="70"/>
  <c r="BK18" i="69"/>
  <c r="BK52" i="69" s="1"/>
  <c r="BP12" i="70"/>
  <c r="AO9" i="69"/>
  <c r="AO51" i="69"/>
  <c r="AB40" i="69"/>
  <c r="AB42" i="69"/>
  <c r="AI81" i="70"/>
  <c r="P1000" i="67" s="1"/>
  <c r="AI65" i="70"/>
  <c r="P984" i="67" s="1"/>
  <c r="AV81" i="70"/>
  <c r="AC1000" i="67" s="1"/>
  <c r="AV65" i="70"/>
  <c r="AC984" i="67" s="1"/>
  <c r="AY26" i="69"/>
  <c r="AY20" i="69"/>
  <c r="AY21" i="69" s="1"/>
  <c r="AU26" i="69"/>
  <c r="AU20" i="69"/>
  <c r="AU21" i="69" s="1"/>
  <c r="AF20" i="69"/>
  <c r="AF21" i="69" s="1"/>
  <c r="AF26" i="69"/>
  <c r="AL8" i="69"/>
  <c r="BJ26" i="69"/>
  <c r="BJ20" i="69"/>
  <c r="BJ21" i="69" s="1"/>
  <c r="AN42" i="69"/>
  <c r="AN26" i="69"/>
  <c r="AN20" i="69"/>
  <c r="AN21" i="69" s="1"/>
  <c r="BF8" i="69"/>
  <c r="AT8" i="69"/>
  <c r="AP51" i="69"/>
  <c r="BK26" i="69"/>
  <c r="BK20" i="69"/>
  <c r="BK21" i="69" s="1"/>
  <c r="BH8" i="69"/>
  <c r="AP10" i="69"/>
  <c r="BN81" i="70"/>
  <c r="AU1000" i="67" s="1"/>
  <c r="BN65" i="70"/>
  <c r="AU984" i="67" s="1"/>
  <c r="AD128" i="65"/>
  <c r="AD138" i="65" s="1"/>
  <c r="AM468" i="67" s="1"/>
  <c r="BF72" i="70"/>
  <c r="AM991" i="67" s="1"/>
  <c r="BF56" i="70"/>
  <c r="AM975" i="67" s="1"/>
  <c r="AS18" i="69"/>
  <c r="AS52" i="69" s="1"/>
  <c r="AX12" i="70"/>
  <c r="AX11" i="70"/>
  <c r="Z20" i="69"/>
  <c r="Z21" i="69" s="1"/>
  <c r="Z26" i="69"/>
  <c r="AZ18" i="69"/>
  <c r="AZ52" i="69" s="1"/>
  <c r="BE12" i="70"/>
  <c r="BB55" i="69"/>
  <c r="BG22" i="70"/>
  <c r="BG26" i="69"/>
  <c r="BG20" i="69"/>
  <c r="BG21" i="69" s="1"/>
  <c r="AI18" i="69"/>
  <c r="AI52" i="69" s="1"/>
  <c r="AN12" i="70"/>
  <c r="BF18" i="69"/>
  <c r="BF52" i="69" s="1"/>
  <c r="BK12" i="70"/>
  <c r="AA26" i="69"/>
  <c r="AA20" i="69"/>
  <c r="AA21" i="69" s="1"/>
  <c r="AP20" i="69"/>
  <c r="AP21" i="69" s="1"/>
  <c r="AP26" i="69"/>
  <c r="BD55" i="69"/>
  <c r="BI22" i="70"/>
  <c r="BI18" i="69"/>
  <c r="BI52" i="69" s="1"/>
  <c r="BN12" i="70"/>
  <c r="BD9" i="69"/>
  <c r="BI10" i="70" s="1"/>
  <c r="AD26" i="69"/>
  <c r="AD20" i="69"/>
  <c r="AD21" i="69" s="1"/>
  <c r="BC26" i="69"/>
  <c r="BC20" i="69"/>
  <c r="BC21" i="69" s="1"/>
  <c r="AS9" i="69"/>
  <c r="AA9" i="69"/>
  <c r="AF10" i="70" s="1"/>
  <c r="BK51" i="69"/>
  <c r="BK9" i="69"/>
  <c r="BP10" i="70" s="1"/>
  <c r="BP65" i="70"/>
  <c r="AW984" i="67" s="1"/>
  <c r="BP81" i="70"/>
  <c r="AW1000" i="67" s="1"/>
  <c r="BH26" i="69"/>
  <c r="BH20" i="69"/>
  <c r="BH21" i="69" s="1"/>
  <c r="BD11" i="70"/>
  <c r="AX27" i="69"/>
  <c r="AZ26" i="69"/>
  <c r="AZ20" i="69"/>
  <c r="AZ21" i="69" s="1"/>
  <c r="AZ11" i="70"/>
  <c r="BC42" i="69"/>
  <c r="AR27" i="69"/>
  <c r="AI26" i="69"/>
  <c r="AI20" i="69"/>
  <c r="AI21" i="69" s="1"/>
  <c r="AM8" i="69"/>
  <c r="BF26" i="69"/>
  <c r="BF20" i="69"/>
  <c r="BF21" i="69" s="1"/>
  <c r="AK11" i="70"/>
  <c r="BO11" i="70"/>
  <c r="AE27" i="69"/>
  <c r="AS11" i="70"/>
  <c r="BI26" i="69"/>
  <c r="BI20" i="69"/>
  <c r="BI21" i="69" s="1"/>
  <c r="BP11" i="70"/>
  <c r="AA7" i="69"/>
  <c r="AO18" i="69"/>
  <c r="AO52" i="69" s="1"/>
  <c r="AT11" i="70"/>
  <c r="AT12" i="70"/>
  <c r="BB81" i="70"/>
  <c r="AI1000" i="67" s="1"/>
  <c r="BB65" i="70"/>
  <c r="AI984" i="67" s="1"/>
  <c r="AO6" i="69"/>
  <c r="AO7" i="69"/>
  <c r="BC10" i="69"/>
  <c r="BC51" i="69"/>
  <c r="BE42" i="69"/>
  <c r="AR9" i="69"/>
  <c r="AW10" i="70" s="1"/>
  <c r="AE10" i="69"/>
  <c r="AE51" i="69"/>
  <c r="BA26" i="69"/>
  <c r="BA20" i="69"/>
  <c r="BA21" i="69" s="1"/>
  <c r="AQ8" i="69"/>
  <c r="AL81" i="70"/>
  <c r="S1000" i="67" s="1"/>
  <c r="AL65" i="70"/>
  <c r="S984" i="67" s="1"/>
  <c r="AD55" i="69"/>
  <c r="AI22" i="70"/>
  <c r="AO26" i="69"/>
  <c r="AO20" i="69"/>
  <c r="AO21" i="69" s="1"/>
  <c r="BP22" i="70"/>
  <c r="BK55" i="69"/>
  <c r="AS26" i="69"/>
  <c r="AS20" i="69"/>
  <c r="AS21" i="69" s="1"/>
  <c r="AZ42" i="69"/>
  <c r="AK8" i="69"/>
  <c r="AC42" i="69"/>
  <c r="AB8" i="69"/>
  <c r="AC8" i="69"/>
  <c r="AG9" i="69"/>
  <c r="AU8" i="69"/>
  <c r="BA8" i="69"/>
  <c r="BN22" i="70"/>
  <c r="BI55" i="69"/>
  <c r="AQ55" i="69"/>
  <c r="AV22" i="70"/>
  <c r="AQ41" i="69"/>
  <c r="BA18" i="69"/>
  <c r="BA52" i="69" s="1"/>
  <c r="BF12" i="70"/>
  <c r="BB22" i="70"/>
  <c r="AW55" i="69"/>
  <c r="BJ55" i="69"/>
  <c r="BO22" i="70"/>
  <c r="AM22" i="70"/>
  <c r="AH55" i="69"/>
  <c r="AN51" i="69"/>
  <c r="AJ22" i="70"/>
  <c r="AE55" i="69"/>
  <c r="AY9" i="69"/>
  <c r="BD10" i="70" s="1"/>
  <c r="AF9" i="69"/>
  <c r="AJ51" i="69"/>
  <c r="AH9" i="69"/>
  <c r="AM10" i="70" s="1"/>
  <c r="AF51" i="69"/>
  <c r="Z9" i="69"/>
  <c r="AD8" i="69"/>
  <c r="BJ8" i="69"/>
  <c r="AI8" i="69"/>
  <c r="AL22" i="70"/>
  <c r="AG55" i="69"/>
  <c r="BB10" i="69"/>
  <c r="AJ9" i="69"/>
  <c r="AV8" i="69"/>
  <c r="BO20" i="70"/>
  <c r="AV1049" i="67" s="1"/>
  <c r="AM20" i="70"/>
  <c r="T1049" i="67" s="1"/>
  <c r="AZ8" i="69"/>
  <c r="BB51" i="69"/>
  <c r="BI8" i="69"/>
  <c r="AN10" i="69"/>
  <c r="AJ20" i="70"/>
  <c r="Q1049" i="67" s="1"/>
  <c r="AY51" i="69"/>
  <c r="AW9" i="69"/>
  <c r="BB10" i="70" s="1"/>
  <c r="BE51" i="69"/>
  <c r="BE9" i="69"/>
  <c r="BJ10" i="70" s="1"/>
  <c r="BD56" i="69" l="1"/>
  <c r="BD58" i="69" s="1"/>
  <c r="BD59" i="69" s="1"/>
  <c r="BD60" i="69" s="1"/>
  <c r="BD61" i="69" s="1"/>
  <c r="AC1267" i="67"/>
  <c r="AE1267" i="67"/>
  <c r="Q1125" i="67"/>
  <c r="AS56" i="69"/>
  <c r="AS58" i="69" s="1"/>
  <c r="AS59" i="69" s="1"/>
  <c r="AS60" i="69" s="1"/>
  <c r="AS61" i="69" s="1"/>
  <c r="S1267" i="67"/>
  <c r="AW56" i="69"/>
  <c r="AW58" i="69" s="1"/>
  <c r="AW59" i="69" s="1"/>
  <c r="AW60" i="69" s="1"/>
  <c r="AW61" i="69" s="1"/>
  <c r="W1267" i="67"/>
  <c r="AH56" i="69"/>
  <c r="AH58" i="69" s="1"/>
  <c r="AH59" i="69" s="1"/>
  <c r="AH60" i="69" s="1"/>
  <c r="AH61" i="69" s="1"/>
  <c r="P1267" i="67"/>
  <c r="AP1267" i="67"/>
  <c r="AQ1039" i="67"/>
  <c r="AQ1055" i="67"/>
  <c r="AQ953" i="67"/>
  <c r="AQ935" i="67"/>
  <c r="AK921" i="67"/>
  <c r="AK1039" i="67"/>
  <c r="AK1055" i="67"/>
  <c r="AK953" i="67"/>
  <c r="AK935" i="67"/>
  <c r="AU965" i="67"/>
  <c r="AU947" i="67"/>
  <c r="T963" i="67"/>
  <c r="T945" i="67"/>
  <c r="T1055" i="67"/>
  <c r="T1039" i="67"/>
  <c r="T953" i="67"/>
  <c r="T935" i="67"/>
  <c r="T965" i="67"/>
  <c r="T947" i="67"/>
  <c r="AI965" i="67"/>
  <c r="AI947" i="67"/>
  <c r="AC965" i="67"/>
  <c r="AC947" i="67"/>
  <c r="AA922" i="67"/>
  <c r="AA1056" i="67"/>
  <c r="AA1040" i="67"/>
  <c r="AA954" i="67"/>
  <c r="AA936" i="67"/>
  <c r="AV922" i="67"/>
  <c r="AV1056" i="67"/>
  <c r="AV954" i="67"/>
  <c r="AV936" i="67"/>
  <c r="AV1040" i="67"/>
  <c r="M921" i="67"/>
  <c r="M1039" i="67"/>
  <c r="M1055" i="67"/>
  <c r="M953" i="67"/>
  <c r="M935" i="67"/>
  <c r="AE923" i="67"/>
  <c r="AE1041" i="67"/>
  <c r="AE1057" i="67"/>
  <c r="AE955" i="67"/>
  <c r="AE937" i="67"/>
  <c r="Z923" i="67"/>
  <c r="Z1057" i="67"/>
  <c r="Z1041" i="67"/>
  <c r="Z955" i="67"/>
  <c r="Z937" i="67"/>
  <c r="AV923" i="67"/>
  <c r="AV1057" i="67"/>
  <c r="AV1041" i="67"/>
  <c r="AV937" i="67"/>
  <c r="AV955" i="67"/>
  <c r="P922" i="67"/>
  <c r="P1056" i="67"/>
  <c r="P1040" i="67"/>
  <c r="P954" i="67"/>
  <c r="P936" i="67"/>
  <c r="M923" i="67"/>
  <c r="M1057" i="67"/>
  <c r="M1041" i="67"/>
  <c r="M955" i="67"/>
  <c r="M937" i="67"/>
  <c r="L923" i="67"/>
  <c r="L1057" i="67"/>
  <c r="L1041" i="67"/>
  <c r="L955" i="67"/>
  <c r="L937" i="67"/>
  <c r="AS922" i="67"/>
  <c r="AS1056" i="67"/>
  <c r="AS1040" i="67"/>
  <c r="AS954" i="67"/>
  <c r="AS936" i="67"/>
  <c r="AT923" i="67"/>
  <c r="AT1057" i="67"/>
  <c r="AT1041" i="67"/>
  <c r="AT955" i="67"/>
  <c r="AT937" i="67"/>
  <c r="AD965" i="67"/>
  <c r="AD947" i="67"/>
  <c r="W965" i="67"/>
  <c r="W947" i="67"/>
  <c r="L965" i="67"/>
  <c r="L947" i="67"/>
  <c r="AB922" i="67"/>
  <c r="AB1056" i="67"/>
  <c r="AB1040" i="67"/>
  <c r="AB954" i="67"/>
  <c r="AB936" i="67"/>
  <c r="AS965" i="67"/>
  <c r="AS947" i="67"/>
  <c r="W923" i="67"/>
  <c r="W1057" i="67"/>
  <c r="W1041" i="67"/>
  <c r="W955" i="67"/>
  <c r="W937" i="67"/>
  <c r="AP922" i="67"/>
  <c r="AP1056" i="67"/>
  <c r="AP1040" i="67"/>
  <c r="AP954" i="67"/>
  <c r="AP936" i="67"/>
  <c r="T922" i="67"/>
  <c r="T1056" i="67"/>
  <c r="T1040" i="67"/>
  <c r="T954" i="67"/>
  <c r="T936" i="67"/>
  <c r="AI1039" i="67"/>
  <c r="AI1055" i="67"/>
  <c r="AI953" i="67"/>
  <c r="AI935" i="67"/>
  <c r="Q965" i="67"/>
  <c r="Q947" i="67"/>
  <c r="AM923" i="67"/>
  <c r="AM1057" i="67"/>
  <c r="AM1041" i="67"/>
  <c r="AM955" i="67"/>
  <c r="AM937" i="67"/>
  <c r="R922" i="67"/>
  <c r="R1056" i="67"/>
  <c r="R1040" i="67"/>
  <c r="R954" i="67"/>
  <c r="R936" i="67"/>
  <c r="AG922" i="67"/>
  <c r="AG1040" i="67"/>
  <c r="AG1056" i="67"/>
  <c r="AG954" i="67"/>
  <c r="AG936" i="67"/>
  <c r="AK922" i="67"/>
  <c r="AK1040" i="67"/>
  <c r="AK1056" i="67"/>
  <c r="AK954" i="67"/>
  <c r="AK936" i="67"/>
  <c r="AP947" i="67"/>
  <c r="AP965" i="67"/>
  <c r="U923" i="67"/>
  <c r="U1057" i="67"/>
  <c r="U1041" i="67"/>
  <c r="U955" i="67"/>
  <c r="U937" i="67"/>
  <c r="AN965" i="67"/>
  <c r="AN947" i="67"/>
  <c r="P923" i="67"/>
  <c r="P1057" i="67"/>
  <c r="P1041" i="67"/>
  <c r="P937" i="67"/>
  <c r="P955" i="67"/>
  <c r="O922" i="67"/>
  <c r="O1056" i="67"/>
  <c r="O1040" i="67"/>
  <c r="O954" i="67"/>
  <c r="O936" i="67"/>
  <c r="AB963" i="67"/>
  <c r="AB945" i="67"/>
  <c r="AT963" i="67"/>
  <c r="AT945" i="67"/>
  <c r="V963" i="67"/>
  <c r="V945" i="67"/>
  <c r="L963" i="67"/>
  <c r="L945" i="67"/>
  <c r="AS923" i="67"/>
  <c r="AS1057" i="67"/>
  <c r="AS1041" i="67"/>
  <c r="AS955" i="67"/>
  <c r="AS937" i="67"/>
  <c r="AO922" i="67"/>
  <c r="AO1040" i="67"/>
  <c r="AO1056" i="67"/>
  <c r="AO954" i="67"/>
  <c r="AO936" i="67"/>
  <c r="AB923" i="67"/>
  <c r="AB1057" i="67"/>
  <c r="AB1041" i="67"/>
  <c r="AB937" i="67"/>
  <c r="AB955" i="67"/>
  <c r="AS1055" i="67"/>
  <c r="AS1039" i="67"/>
  <c r="AS953" i="67"/>
  <c r="AS935" i="67"/>
  <c r="AB965" i="67"/>
  <c r="AB947" i="67"/>
  <c r="AT965" i="67"/>
  <c r="AT947" i="67"/>
  <c r="AN922" i="67"/>
  <c r="AN1056" i="67"/>
  <c r="AN1040" i="67"/>
  <c r="AN954" i="67"/>
  <c r="AN936" i="67"/>
  <c r="AP923" i="67"/>
  <c r="AP1057" i="67"/>
  <c r="AP1041" i="67"/>
  <c r="AP955" i="67"/>
  <c r="AP937" i="67"/>
  <c r="T923" i="67"/>
  <c r="T1057" i="67"/>
  <c r="T1041" i="67"/>
  <c r="T955" i="67"/>
  <c r="T937" i="67"/>
  <c r="AV963" i="67"/>
  <c r="AV945" i="67"/>
  <c r="AV965" i="67"/>
  <c r="AV947" i="67"/>
  <c r="S965" i="67"/>
  <c r="S947" i="67"/>
  <c r="P965" i="67"/>
  <c r="P947" i="67"/>
  <c r="Z922" i="67"/>
  <c r="Z1056" i="67"/>
  <c r="Z1040" i="67"/>
  <c r="Z954" i="67"/>
  <c r="Z936" i="67"/>
  <c r="AW921" i="67"/>
  <c r="AW1055" i="67"/>
  <c r="AW1039" i="67"/>
  <c r="AW953" i="67"/>
  <c r="AW935" i="67"/>
  <c r="AP1055" i="67"/>
  <c r="AP1039" i="67"/>
  <c r="AP935" i="67"/>
  <c r="AP953" i="67"/>
  <c r="AW923" i="67"/>
  <c r="AW1057" i="67"/>
  <c r="AW1041" i="67"/>
  <c r="AW955" i="67"/>
  <c r="AW937" i="67"/>
  <c r="R923" i="67"/>
  <c r="R1057" i="67"/>
  <c r="R1041" i="67"/>
  <c r="R955" i="67"/>
  <c r="R937" i="67"/>
  <c r="AG923" i="67"/>
  <c r="AG1057" i="67"/>
  <c r="AG1041" i="67"/>
  <c r="AG955" i="67"/>
  <c r="AG937" i="67"/>
  <c r="AK923" i="67"/>
  <c r="AK1057" i="67"/>
  <c r="AK1041" i="67"/>
  <c r="AK955" i="67"/>
  <c r="AK937" i="67"/>
  <c r="AK965" i="67"/>
  <c r="AK947" i="67"/>
  <c r="AE965" i="67"/>
  <c r="AE947" i="67"/>
  <c r="AO923" i="67"/>
  <c r="AO1057" i="67"/>
  <c r="AO1041" i="67"/>
  <c r="AO955" i="67"/>
  <c r="AO937" i="67"/>
  <c r="O923" i="67"/>
  <c r="O1041" i="67"/>
  <c r="O1057" i="67"/>
  <c r="O955" i="67"/>
  <c r="O937" i="67"/>
  <c r="AI923" i="67"/>
  <c r="AI1041" i="67"/>
  <c r="AI1057" i="67"/>
  <c r="AI955" i="67"/>
  <c r="AI937" i="67"/>
  <c r="U965" i="67"/>
  <c r="U947" i="67"/>
  <c r="V965" i="67"/>
  <c r="V947" i="67"/>
  <c r="S922" i="67"/>
  <c r="S1056" i="67"/>
  <c r="S1040" i="67"/>
  <c r="S954" i="67"/>
  <c r="S936" i="67"/>
  <c r="AN923" i="67"/>
  <c r="AN1057" i="67"/>
  <c r="AN1041" i="67"/>
  <c r="AN955" i="67"/>
  <c r="AN937" i="67"/>
  <c r="AJ1055" i="67"/>
  <c r="AJ1039" i="67"/>
  <c r="AJ953" i="67"/>
  <c r="AJ935" i="67"/>
  <c r="Q963" i="67"/>
  <c r="Q945" i="67"/>
  <c r="AW965" i="67"/>
  <c r="AW947" i="67"/>
  <c r="AD921" i="67"/>
  <c r="AD1055" i="67"/>
  <c r="AD1039" i="67"/>
  <c r="AD935" i="67"/>
  <c r="AD953" i="67"/>
  <c r="AA923" i="67"/>
  <c r="AA1041" i="67"/>
  <c r="AA1057" i="67"/>
  <c r="AA955" i="67"/>
  <c r="AA937" i="67"/>
  <c r="AW922" i="67"/>
  <c r="AW1040" i="67"/>
  <c r="AW1056" i="67"/>
  <c r="AW954" i="67"/>
  <c r="AW936" i="67"/>
  <c r="AU923" i="67"/>
  <c r="AU1041" i="67"/>
  <c r="AU1057" i="67"/>
  <c r="AU955" i="67"/>
  <c r="AU937" i="67"/>
  <c r="AR923" i="67"/>
  <c r="AR1057" i="67"/>
  <c r="AR1041" i="67"/>
  <c r="AR937" i="67"/>
  <c r="AR955" i="67"/>
  <c r="AL923" i="67"/>
  <c r="AL1057" i="67"/>
  <c r="AL1041" i="67"/>
  <c r="AL955" i="67"/>
  <c r="AL937" i="67"/>
  <c r="AE922" i="67"/>
  <c r="AE1056" i="67"/>
  <c r="AE1040" i="67"/>
  <c r="AE954" i="67"/>
  <c r="AE936" i="67"/>
  <c r="M922" i="67"/>
  <c r="M1056" i="67"/>
  <c r="M1040" i="67"/>
  <c r="M954" i="67"/>
  <c r="M936" i="67"/>
  <c r="AI922" i="67"/>
  <c r="AI1056" i="67"/>
  <c r="AI1040" i="67"/>
  <c r="AI954" i="67"/>
  <c r="AI936" i="67"/>
  <c r="U963" i="67"/>
  <c r="U945" i="67"/>
  <c r="AS963" i="67"/>
  <c r="AS945" i="67"/>
  <c r="W922" i="67"/>
  <c r="W1056" i="67"/>
  <c r="W1040" i="67"/>
  <c r="W954" i="67"/>
  <c r="W936" i="67"/>
  <c r="AT922" i="67"/>
  <c r="AT1056" i="67"/>
  <c r="AT1040" i="67"/>
  <c r="AT936" i="67"/>
  <c r="AT954" i="67"/>
  <c r="AM965" i="67"/>
  <c r="AM947" i="67"/>
  <c r="N923" i="67"/>
  <c r="N1057" i="67"/>
  <c r="N1041" i="67"/>
  <c r="N955" i="67"/>
  <c r="N937" i="67"/>
  <c r="AF965" i="67"/>
  <c r="AF947" i="67"/>
  <c r="AF923" i="67"/>
  <c r="AF1057" i="67"/>
  <c r="AF1041" i="67"/>
  <c r="AF955" i="67"/>
  <c r="AF937" i="67"/>
  <c r="S923" i="67"/>
  <c r="S1041" i="67"/>
  <c r="S1057" i="67"/>
  <c r="S955" i="67"/>
  <c r="S937" i="67"/>
  <c r="AP784" i="67"/>
  <c r="AP921" i="67"/>
  <c r="AJ784" i="67"/>
  <c r="AJ921" i="67"/>
  <c r="T784" i="67"/>
  <c r="T921" i="67"/>
  <c r="AQ784" i="67"/>
  <c r="AQ921" i="67"/>
  <c r="AI784" i="67"/>
  <c r="AI921" i="67"/>
  <c r="AS784" i="67"/>
  <c r="AS921" i="67"/>
  <c r="AF1267" i="67"/>
  <c r="AK1267" i="67"/>
  <c r="AI1267" i="67"/>
  <c r="AD1267" i="67"/>
  <c r="AN1267" i="67"/>
  <c r="AU1267" i="67"/>
  <c r="AG56" i="69"/>
  <c r="AG58" i="69" s="1"/>
  <c r="AG59" i="69" s="1"/>
  <c r="AG60" i="69" s="1"/>
  <c r="AG61" i="69" s="1"/>
  <c r="AW1267" i="67"/>
  <c r="AP56" i="69"/>
  <c r="AP58" i="69" s="1"/>
  <c r="AP59" i="69" s="1"/>
  <c r="AP60" i="69" s="1"/>
  <c r="AP61" i="69" s="1"/>
  <c r="L1226" i="67"/>
  <c r="U1226" i="67"/>
  <c r="H163" i="65"/>
  <c r="AY56" i="69"/>
  <c r="AY58" i="69" s="1"/>
  <c r="AY59" i="69" s="1"/>
  <c r="AY60" i="69" s="1"/>
  <c r="AY61" i="69" s="1"/>
  <c r="BB56" i="69"/>
  <c r="BB58" i="69" s="1"/>
  <c r="BB59" i="69" s="1"/>
  <c r="BB60" i="69" s="1"/>
  <c r="BB61" i="69" s="1"/>
  <c r="AF24" i="65"/>
  <c r="AO9" i="67"/>
  <c r="AO1225" i="67" s="1"/>
  <c r="Z1239" i="67"/>
  <c r="AE24" i="65"/>
  <c r="AN9" i="67"/>
  <c r="AN1225" i="67" s="1"/>
  <c r="Q24" i="65"/>
  <c r="Z9" i="67"/>
  <c r="Z1225" i="67" s="1"/>
  <c r="H24" i="65"/>
  <c r="Q9" i="67"/>
  <c r="Q1225" i="67" s="1"/>
  <c r="S24" i="65"/>
  <c r="AB9" i="67"/>
  <c r="AB1225" i="67" s="1"/>
  <c r="N1226" i="67"/>
  <c r="Q1239" i="67"/>
  <c r="BE10" i="69"/>
  <c r="BJ9" i="70" s="1"/>
  <c r="AB1239" i="67"/>
  <c r="AM1226" i="67"/>
  <c r="AR1226" i="67"/>
  <c r="AU1226" i="67"/>
  <c r="AL1226" i="67"/>
  <c r="AF1226" i="67"/>
  <c r="AM1142" i="67"/>
  <c r="AC1151" i="67"/>
  <c r="AN1151" i="67"/>
  <c r="AP1151" i="67"/>
  <c r="AU1142" i="67"/>
  <c r="AR1126" i="67"/>
  <c r="AM1135" i="67"/>
  <c r="AF1151" i="67"/>
  <c r="W1135" i="67"/>
  <c r="L1142" i="67"/>
  <c r="AN1141" i="67"/>
  <c r="Q1141" i="67"/>
  <c r="Z1141" i="67"/>
  <c r="AB1141" i="67"/>
  <c r="AN1359" i="67"/>
  <c r="AM1258" i="67"/>
  <c r="P1353" i="67"/>
  <c r="AB1359" i="67"/>
  <c r="AR1344" i="67"/>
  <c r="AL1258" i="67"/>
  <c r="N1258" i="67"/>
  <c r="N1344" i="67"/>
  <c r="AF1258" i="67"/>
  <c r="AU1249" i="67"/>
  <c r="AU1360" i="67"/>
  <c r="AD1249" i="67"/>
  <c r="AW1353" i="67"/>
  <c r="U1360" i="67"/>
  <c r="L1344" i="67"/>
  <c r="AE1353" i="67"/>
  <c r="S1249" i="67"/>
  <c r="Z1343" i="67"/>
  <c r="AI1353" i="67"/>
  <c r="AO1343" i="67"/>
  <c r="AN1249" i="67"/>
  <c r="S1135" i="67"/>
  <c r="AW1151" i="67"/>
  <c r="P1135" i="67"/>
  <c r="U1142" i="67"/>
  <c r="AM1151" i="67"/>
  <c r="AD1135" i="67"/>
  <c r="AK1135" i="67"/>
  <c r="AF1142" i="67"/>
  <c r="W1151" i="67"/>
  <c r="AO1141" i="67"/>
  <c r="AN1257" i="67"/>
  <c r="AN1343" i="67"/>
  <c r="AM1360" i="67"/>
  <c r="AB1343" i="67"/>
  <c r="AR1240" i="67"/>
  <c r="AL1240" i="67"/>
  <c r="AK1249" i="67"/>
  <c r="AF1240" i="67"/>
  <c r="Q1257" i="67"/>
  <c r="AC1249" i="67"/>
  <c r="AU1240" i="67"/>
  <c r="AD1353" i="67"/>
  <c r="U1344" i="67"/>
  <c r="L1240" i="67"/>
  <c r="W1249" i="67"/>
  <c r="S1353" i="67"/>
  <c r="AN1353" i="67"/>
  <c r="S1151" i="67"/>
  <c r="AI1135" i="67"/>
  <c r="AW1135" i="67"/>
  <c r="AU1135" i="67"/>
  <c r="P1151" i="67"/>
  <c r="AU1126" i="67"/>
  <c r="AR1142" i="67"/>
  <c r="AL1126" i="67"/>
  <c r="N1126" i="67"/>
  <c r="AD1151" i="67"/>
  <c r="AK1151" i="67"/>
  <c r="AE1135" i="67"/>
  <c r="L1126" i="67"/>
  <c r="AM1240" i="67"/>
  <c r="AB1257" i="67"/>
  <c r="AR1360" i="67"/>
  <c r="AL1360" i="67"/>
  <c r="N1240" i="67"/>
  <c r="AK1353" i="67"/>
  <c r="AF1344" i="67"/>
  <c r="Q1343" i="67"/>
  <c r="AC1353" i="67"/>
  <c r="AU1344" i="67"/>
  <c r="AM1249" i="67"/>
  <c r="U1240" i="67"/>
  <c r="L1360" i="67"/>
  <c r="W1353" i="67"/>
  <c r="Z1257" i="67"/>
  <c r="Z1359" i="67"/>
  <c r="AO1359" i="67"/>
  <c r="AP1249" i="67"/>
  <c r="AF1249" i="67"/>
  <c r="AI1151" i="67"/>
  <c r="AM1126" i="67"/>
  <c r="AU1151" i="67"/>
  <c r="AC1135" i="67"/>
  <c r="AN1135" i="67"/>
  <c r="AP1135" i="67"/>
  <c r="U1126" i="67"/>
  <c r="AL1142" i="67"/>
  <c r="N1142" i="67"/>
  <c r="AF1135" i="67"/>
  <c r="AF1126" i="67"/>
  <c r="AE1151" i="67"/>
  <c r="AN1239" i="67"/>
  <c r="AO1239" i="67"/>
  <c r="AM1344" i="67"/>
  <c r="P1249" i="67"/>
  <c r="AR1258" i="67"/>
  <c r="AL1344" i="67"/>
  <c r="N1360" i="67"/>
  <c r="AF1360" i="67"/>
  <c r="Q1359" i="67"/>
  <c r="AU1353" i="67"/>
  <c r="AU1258" i="67"/>
  <c r="AM1353" i="67"/>
  <c r="AW1249" i="67"/>
  <c r="U1258" i="67"/>
  <c r="L1258" i="67"/>
  <c r="AE1249" i="67"/>
  <c r="AI1249" i="67"/>
  <c r="AO1257" i="67"/>
  <c r="AP1353" i="67"/>
  <c r="AF1353" i="67"/>
  <c r="AR10" i="69"/>
  <c r="AW8" i="70" s="1"/>
  <c r="Z56" i="69"/>
  <c r="Z58" i="69" s="1"/>
  <c r="Z59" i="69" s="1"/>
  <c r="Z60" i="69" s="1"/>
  <c r="Z61" i="69" s="1"/>
  <c r="AW10" i="69"/>
  <c r="BB9" i="70" s="1"/>
  <c r="AY10" i="69"/>
  <c r="BD8" i="70" s="1"/>
  <c r="BK10" i="69"/>
  <c r="BP8" i="70" s="1"/>
  <c r="BG10" i="69"/>
  <c r="BL8" i="70" s="1"/>
  <c r="BG9" i="70"/>
  <c r="BG8" i="70"/>
  <c r="AG10" i="69"/>
  <c r="AL10" i="70"/>
  <c r="AK784" i="67"/>
  <c r="AK1104" i="67"/>
  <c r="AK1190" i="67"/>
  <c r="AK1086" i="67"/>
  <c r="AK1206" i="67"/>
  <c r="BD55" i="70"/>
  <c r="AK974" i="67" s="1"/>
  <c r="AB39" i="65"/>
  <c r="AB41" i="65" s="1"/>
  <c r="AK162" i="67" s="1"/>
  <c r="BD71" i="70"/>
  <c r="AK990" i="67" s="1"/>
  <c r="AB19" i="65"/>
  <c r="AK9" i="67" s="1"/>
  <c r="AB75" i="65"/>
  <c r="AB80" i="65" s="1"/>
  <c r="AK315" i="67" s="1"/>
  <c r="AB127" i="65"/>
  <c r="AB137" i="65" s="1"/>
  <c r="AK467" i="67" s="1"/>
  <c r="AK1072" i="67"/>
  <c r="M784" i="67"/>
  <c r="M1072" i="67"/>
  <c r="D19" i="65"/>
  <c r="M1190" i="67"/>
  <c r="AF71" i="70"/>
  <c r="M990" i="67" s="1"/>
  <c r="M1104" i="67"/>
  <c r="M1086" i="67"/>
  <c r="M1206" i="67"/>
  <c r="D127" i="65"/>
  <c r="D137" i="65" s="1"/>
  <c r="M467" i="67" s="1"/>
  <c r="D75" i="65"/>
  <c r="D80" i="65" s="1"/>
  <c r="M315" i="67" s="1"/>
  <c r="AF55" i="70"/>
  <c r="M974" i="67" s="1"/>
  <c r="D39" i="65"/>
  <c r="D41" i="65" s="1"/>
  <c r="M162" i="67" s="1"/>
  <c r="BD10" i="69"/>
  <c r="Z1074" i="67"/>
  <c r="Z1208" i="67"/>
  <c r="Z1088" i="67"/>
  <c r="Z1106" i="67"/>
  <c r="Z1192" i="67"/>
  <c r="AV1192" i="67"/>
  <c r="AV1208" i="67"/>
  <c r="AV1106" i="67"/>
  <c r="AV1074" i="67"/>
  <c r="AV1088" i="67"/>
  <c r="P1105" i="67"/>
  <c r="P1191" i="67"/>
  <c r="P1073" i="67"/>
  <c r="P1087" i="67"/>
  <c r="P1207" i="67"/>
  <c r="M1088" i="67"/>
  <c r="M1106" i="67"/>
  <c r="M1192" i="67"/>
  <c r="M1074" i="67"/>
  <c r="M1208" i="67"/>
  <c r="L1088" i="67"/>
  <c r="L1106" i="67"/>
  <c r="L1192" i="67"/>
  <c r="L1074" i="67"/>
  <c r="L1208" i="67"/>
  <c r="AS1216" i="67"/>
  <c r="AS1096" i="67"/>
  <c r="AS1114" i="67"/>
  <c r="AS1200" i="67"/>
  <c r="V1200" i="67"/>
  <c r="V1216" i="67"/>
  <c r="V1369" i="67" s="1"/>
  <c r="V1096" i="67"/>
  <c r="V1114" i="67"/>
  <c r="AO1073" i="67"/>
  <c r="AO1191" i="67"/>
  <c r="AO1207" i="67"/>
  <c r="AO1087" i="67"/>
  <c r="AO1105" i="67"/>
  <c r="AB1074" i="67"/>
  <c r="AB1208" i="67"/>
  <c r="AB1088" i="67"/>
  <c r="AB1106" i="67"/>
  <c r="AB1192" i="67"/>
  <c r="AS1104" i="67"/>
  <c r="AS1086" i="67"/>
  <c r="AS1206" i="67"/>
  <c r="AS1190" i="67"/>
  <c r="AS1072" i="67"/>
  <c r="AJ19" i="65"/>
  <c r="AS9" i="67" s="1"/>
  <c r="AJ127" i="65"/>
  <c r="AJ137" i="65" s="1"/>
  <c r="AS467" i="67" s="1"/>
  <c r="BL71" i="70"/>
  <c r="AS990" i="67" s="1"/>
  <c r="BL55" i="70"/>
  <c r="AS974" i="67" s="1"/>
  <c r="AJ75" i="65"/>
  <c r="AJ80" i="65" s="1"/>
  <c r="AS315" i="67" s="1"/>
  <c r="AJ39" i="65"/>
  <c r="AJ41" i="65" s="1"/>
  <c r="AS162" i="67" s="1"/>
  <c r="AS1098" i="67"/>
  <c r="AS1116" i="67"/>
  <c r="W1088" i="67"/>
  <c r="W1208" i="67"/>
  <c r="W1074" i="67"/>
  <c r="W1106" i="67"/>
  <c r="W1192" i="67"/>
  <c r="AP1191" i="67"/>
  <c r="AP1073" i="67"/>
  <c r="AP1207" i="67"/>
  <c r="AP1105" i="67"/>
  <c r="AP1087" i="67"/>
  <c r="T1087" i="67"/>
  <c r="T1073" i="67"/>
  <c r="T1207" i="67"/>
  <c r="T1191" i="67"/>
  <c r="T1105" i="67"/>
  <c r="AX10" i="69"/>
  <c r="Z1125" i="67"/>
  <c r="Q163" i="65"/>
  <c r="AS9" i="70"/>
  <c r="AS8" i="70"/>
  <c r="AM1192" i="67"/>
  <c r="AM1074" i="67"/>
  <c r="AM1208" i="67"/>
  <c r="AM1106" i="67"/>
  <c r="AM1088" i="67"/>
  <c r="AV1087" i="67"/>
  <c r="AV1073" i="67"/>
  <c r="AV1207" i="67"/>
  <c r="AV1105" i="67"/>
  <c r="AV1191" i="67"/>
  <c r="AD784" i="67"/>
  <c r="AD1086" i="67"/>
  <c r="AW55" i="70"/>
  <c r="AD974" i="67" s="1"/>
  <c r="AW71" i="70"/>
  <c r="AD990" i="67" s="1"/>
  <c r="AD1104" i="67"/>
  <c r="U127" i="65"/>
  <c r="U137" i="65" s="1"/>
  <c r="AD467" i="67" s="1"/>
  <c r="AD1190" i="67"/>
  <c r="U75" i="65"/>
  <c r="U80" i="65" s="1"/>
  <c r="AD315" i="67" s="1"/>
  <c r="AD1072" i="67"/>
  <c r="AD1206" i="67"/>
  <c r="U19" i="65"/>
  <c r="U39" i="65"/>
  <c r="U41" i="65" s="1"/>
  <c r="AD162" i="67" s="1"/>
  <c r="Z10" i="69"/>
  <c r="AE10" i="70"/>
  <c r="AH10" i="69"/>
  <c r="T1098" i="67"/>
  <c r="T1116" i="67"/>
  <c r="AA10" i="69"/>
  <c r="AU1074" i="67"/>
  <c r="AU1208" i="67"/>
  <c r="AU1106" i="67"/>
  <c r="AU1192" i="67"/>
  <c r="AU1088" i="67"/>
  <c r="AL1074" i="67"/>
  <c r="AL1208" i="67"/>
  <c r="AL1106" i="67"/>
  <c r="AL1192" i="67"/>
  <c r="AL1088" i="67"/>
  <c r="AE1073" i="67"/>
  <c r="AE1105" i="67"/>
  <c r="AE1191" i="67"/>
  <c r="AE1087" i="67"/>
  <c r="AE1207" i="67"/>
  <c r="AI1087" i="67"/>
  <c r="AI1105" i="67"/>
  <c r="AI1191" i="67"/>
  <c r="AI1073" i="67"/>
  <c r="AI1207" i="67"/>
  <c r="AT1073" i="67"/>
  <c r="AT1207" i="67"/>
  <c r="AT1087" i="67"/>
  <c r="AT1105" i="67"/>
  <c r="AT1191" i="67"/>
  <c r="AK1116" i="67"/>
  <c r="AK1098" i="67"/>
  <c r="AE1098" i="67"/>
  <c r="AE1116" i="67"/>
  <c r="AN1125" i="67"/>
  <c r="AE163" i="65"/>
  <c r="AJ1086" i="67"/>
  <c r="AJ1190" i="67"/>
  <c r="AJ1072" i="67"/>
  <c r="AJ1206" i="67"/>
  <c r="AJ1104" i="67"/>
  <c r="AA75" i="65"/>
  <c r="AA80" i="65" s="1"/>
  <c r="AJ315" i="67" s="1"/>
  <c r="AA127" i="65"/>
  <c r="AA137" i="65" s="1"/>
  <c r="AJ467" i="67" s="1"/>
  <c r="AA39" i="65"/>
  <c r="AA41" i="65" s="1"/>
  <c r="AJ162" i="67" s="1"/>
  <c r="BC55" i="70"/>
  <c r="AJ974" i="67" s="1"/>
  <c r="AA19" i="65"/>
  <c r="BC71" i="70"/>
  <c r="AJ990" i="67" s="1"/>
  <c r="AA1191" i="67"/>
  <c r="AA1073" i="67"/>
  <c r="AA1207" i="67"/>
  <c r="AA1087" i="67"/>
  <c r="AA1105" i="67"/>
  <c r="AQ1072" i="67"/>
  <c r="AQ1206" i="67"/>
  <c r="AQ1104" i="67"/>
  <c r="AQ1086" i="67"/>
  <c r="AQ1190" i="67"/>
  <c r="AH127" i="65"/>
  <c r="AH137" i="65" s="1"/>
  <c r="AQ467" i="67" s="1"/>
  <c r="BJ71" i="70"/>
  <c r="AQ990" i="67" s="1"/>
  <c r="BJ55" i="70"/>
  <c r="AQ974" i="67" s="1"/>
  <c r="AH19" i="65"/>
  <c r="AH39" i="65"/>
  <c r="AH41" i="65" s="1"/>
  <c r="AQ162" i="67" s="1"/>
  <c r="AH75" i="65"/>
  <c r="AH80" i="65" s="1"/>
  <c r="AQ315" i="67" s="1"/>
  <c r="AV1216" i="67"/>
  <c r="AV1114" i="67"/>
  <c r="AV1096" i="67"/>
  <c r="AV1200" i="67"/>
  <c r="T1072" i="67"/>
  <c r="T1206" i="67"/>
  <c r="T1086" i="67"/>
  <c r="T1104" i="67"/>
  <c r="T1190" i="67"/>
  <c r="AM55" i="70"/>
  <c r="T974" i="67" s="1"/>
  <c r="K75" i="65"/>
  <c r="K80" i="65" s="1"/>
  <c r="T315" i="67" s="1"/>
  <c r="K39" i="65"/>
  <c r="K41" i="65" s="1"/>
  <c r="T162" i="67" s="1"/>
  <c r="K19" i="65"/>
  <c r="K127" i="65"/>
  <c r="K137" i="65" s="1"/>
  <c r="T467" i="67" s="1"/>
  <c r="AM71" i="70"/>
  <c r="T990" i="67" s="1"/>
  <c r="AW1098" i="67"/>
  <c r="AW1116" i="67"/>
  <c r="AW1191" i="67"/>
  <c r="AW1073" i="67"/>
  <c r="AW1207" i="67"/>
  <c r="AW1087" i="67"/>
  <c r="AW1105" i="67"/>
  <c r="AU1116" i="67"/>
  <c r="AU1098" i="67"/>
  <c r="AJ9" i="70"/>
  <c r="AJ8" i="70"/>
  <c r="BH9" i="70"/>
  <c r="BH8" i="70"/>
  <c r="R1105" i="67"/>
  <c r="R1191" i="67"/>
  <c r="R1073" i="67"/>
  <c r="R1207" i="67"/>
  <c r="R1087" i="67"/>
  <c r="AR1192" i="67"/>
  <c r="AR1074" i="67"/>
  <c r="AR1208" i="67"/>
  <c r="AR1106" i="67"/>
  <c r="AR1088" i="67"/>
  <c r="AU9" i="70"/>
  <c r="AU8" i="70"/>
  <c r="AO10" i="69"/>
  <c r="AT10" i="70"/>
  <c r="P1074" i="67"/>
  <c r="P1208" i="67"/>
  <c r="P1088" i="67"/>
  <c r="P1106" i="67"/>
  <c r="P1192" i="67"/>
  <c r="AB1216" i="67"/>
  <c r="AB1096" i="67"/>
  <c r="AB1114" i="67"/>
  <c r="AB1267" i="67" s="1"/>
  <c r="AB1200" i="67"/>
  <c r="AO1088" i="67"/>
  <c r="AO1208" i="67"/>
  <c r="AO1074" i="67"/>
  <c r="AO1192" i="67"/>
  <c r="AO1106" i="67"/>
  <c r="AB1116" i="67"/>
  <c r="AB1098" i="67"/>
  <c r="AT1098" i="67"/>
  <c r="AT1116" i="67"/>
  <c r="AN1087" i="67"/>
  <c r="AN1191" i="67"/>
  <c r="AN1073" i="67"/>
  <c r="AN1207" i="67"/>
  <c r="AN1105" i="67"/>
  <c r="AP1074" i="67"/>
  <c r="AP1208" i="67"/>
  <c r="AP1088" i="67"/>
  <c r="AP1106" i="67"/>
  <c r="AP1192" i="67"/>
  <c r="T1074" i="67"/>
  <c r="T1208" i="67"/>
  <c r="T1088" i="67"/>
  <c r="T1106" i="67"/>
  <c r="T1192" i="67"/>
  <c r="AI1072" i="67"/>
  <c r="AI1206" i="67"/>
  <c r="AI1086" i="67"/>
  <c r="AI1190" i="67"/>
  <c r="AI1104" i="67"/>
  <c r="Z127" i="65"/>
  <c r="Z137" i="65" s="1"/>
  <c r="AI467" i="67" s="1"/>
  <c r="Z39" i="65"/>
  <c r="Z41" i="65" s="1"/>
  <c r="AI162" i="67" s="1"/>
  <c r="BB55" i="70"/>
  <c r="AI974" i="67" s="1"/>
  <c r="BB71" i="70"/>
  <c r="AI990" i="67" s="1"/>
  <c r="Z75" i="65"/>
  <c r="Z80" i="65" s="1"/>
  <c r="AI315" i="67" s="1"/>
  <c r="Z19" i="65"/>
  <c r="Q1216" i="67"/>
  <c r="Q1369" i="67" s="1"/>
  <c r="Q1096" i="67"/>
  <c r="Q1114" i="67"/>
  <c r="Q1200" i="67"/>
  <c r="AJ10" i="69"/>
  <c r="AO10" i="70"/>
  <c r="S1116" i="67"/>
  <c r="S1098" i="67"/>
  <c r="AF10" i="69"/>
  <c r="AK10" i="70"/>
  <c r="Q1116" i="67"/>
  <c r="Q1098" i="67"/>
  <c r="AV1098" i="67"/>
  <c r="AV1116" i="67"/>
  <c r="AV1269" i="67" s="1"/>
  <c r="AI1116" i="67"/>
  <c r="AI1269" i="67" s="1"/>
  <c r="AI1098" i="67"/>
  <c r="AC1098" i="67"/>
  <c r="AC1116" i="67"/>
  <c r="AA1074" i="67"/>
  <c r="AA1208" i="67"/>
  <c r="AA1088" i="67"/>
  <c r="AA1106" i="67"/>
  <c r="AA1192" i="67"/>
  <c r="AG1191" i="67"/>
  <c r="AG1073" i="67"/>
  <c r="AG1207" i="67"/>
  <c r="AG1087" i="67"/>
  <c r="AG1105" i="67"/>
  <c r="AW784" i="67"/>
  <c r="AW1104" i="67"/>
  <c r="BP71" i="70"/>
  <c r="AW990" i="67" s="1"/>
  <c r="AW1190" i="67"/>
  <c r="AN127" i="65"/>
  <c r="AN137" i="65" s="1"/>
  <c r="AW467" i="67" s="1"/>
  <c r="AN19" i="65"/>
  <c r="AW1072" i="67"/>
  <c r="AW1206" i="67"/>
  <c r="BP55" i="70"/>
  <c r="AW974" i="67" s="1"/>
  <c r="AN39" i="65"/>
  <c r="AN41" i="65" s="1"/>
  <c r="AW162" i="67" s="1"/>
  <c r="AW1086" i="67"/>
  <c r="AN75" i="65"/>
  <c r="AN80" i="65" s="1"/>
  <c r="AW315" i="67" s="1"/>
  <c r="AS10" i="69"/>
  <c r="AX10" i="70"/>
  <c r="AE1074" i="67"/>
  <c r="AE1208" i="67"/>
  <c r="AE1106" i="67"/>
  <c r="AE1088" i="67"/>
  <c r="AE1192" i="67"/>
  <c r="AW1088" i="67"/>
  <c r="AW1106" i="67"/>
  <c r="AW1192" i="67"/>
  <c r="AW1074" i="67"/>
  <c r="AW1208" i="67"/>
  <c r="R1192" i="67"/>
  <c r="R1208" i="67"/>
  <c r="R1074" i="67"/>
  <c r="R1088" i="67"/>
  <c r="R1106" i="67"/>
  <c r="AG1192" i="67"/>
  <c r="AG1088" i="67"/>
  <c r="AG1208" i="67"/>
  <c r="AG1074" i="67"/>
  <c r="AG1106" i="67"/>
  <c r="AK1106" i="67"/>
  <c r="AK1192" i="67"/>
  <c r="AK1088" i="67"/>
  <c r="AK1074" i="67"/>
  <c r="AK1208" i="67"/>
  <c r="O1191" i="67"/>
  <c r="O1087" i="67"/>
  <c r="O1207" i="67"/>
  <c r="O1073" i="67"/>
  <c r="O1105" i="67"/>
  <c r="U1216" i="67"/>
  <c r="U1369" i="67" s="1"/>
  <c r="U1114" i="67"/>
  <c r="U1096" i="67"/>
  <c r="U1200" i="67"/>
  <c r="L1200" i="67"/>
  <c r="L1096" i="67"/>
  <c r="L1114" i="67"/>
  <c r="L1216" i="67"/>
  <c r="L1369" i="67" s="1"/>
  <c r="AS1191" i="67"/>
  <c r="AS1087" i="67"/>
  <c r="AS1073" i="67"/>
  <c r="AS1207" i="67"/>
  <c r="AS1105" i="67"/>
  <c r="AT1088" i="67"/>
  <c r="AT1192" i="67"/>
  <c r="AT1074" i="67"/>
  <c r="AT1208" i="67"/>
  <c r="AT1106" i="67"/>
  <c r="AM1098" i="67"/>
  <c r="AM1116" i="67"/>
  <c r="N1074" i="67"/>
  <c r="N1106" i="67"/>
  <c r="N1088" i="67"/>
  <c r="N1192" i="67"/>
  <c r="N1208" i="67"/>
  <c r="AF1098" i="67"/>
  <c r="AF1116" i="67"/>
  <c r="AF1074" i="67"/>
  <c r="AF1192" i="67"/>
  <c r="AF1208" i="67"/>
  <c r="AF1106" i="67"/>
  <c r="AF1088" i="67"/>
  <c r="O1106" i="67"/>
  <c r="O1088" i="67"/>
  <c r="O1192" i="67"/>
  <c r="O1074" i="67"/>
  <c r="O1208" i="67"/>
  <c r="AI1088" i="67"/>
  <c r="AI1192" i="67"/>
  <c r="AI1106" i="67"/>
  <c r="AI1074" i="67"/>
  <c r="AI1208" i="67"/>
  <c r="U1098" i="67"/>
  <c r="U1116" i="67"/>
  <c r="V1098" i="67"/>
  <c r="V1116" i="67"/>
  <c r="S1087" i="67"/>
  <c r="S1105" i="67"/>
  <c r="S1073" i="67"/>
  <c r="S1207" i="67"/>
  <c r="S1191" i="67"/>
  <c r="AN1106" i="67"/>
  <c r="AN1074" i="67"/>
  <c r="AN1208" i="67"/>
  <c r="AN1192" i="67"/>
  <c r="AN1088" i="67"/>
  <c r="AB1125" i="67"/>
  <c r="S163" i="65"/>
  <c r="T1114" i="67"/>
  <c r="T1200" i="67"/>
  <c r="T1216" i="67"/>
  <c r="T1096" i="67"/>
  <c r="P1116" i="67"/>
  <c r="P1098" i="67"/>
  <c r="Z1087" i="67"/>
  <c r="Z1105" i="67"/>
  <c r="Z1191" i="67"/>
  <c r="Z1073" i="67"/>
  <c r="Z1207" i="67"/>
  <c r="AK1073" i="67"/>
  <c r="AK1207" i="67"/>
  <c r="AK1105" i="67"/>
  <c r="AK1087" i="67"/>
  <c r="AK1191" i="67"/>
  <c r="AP1190" i="67"/>
  <c r="AP1072" i="67"/>
  <c r="AP1206" i="67"/>
  <c r="AP1104" i="67"/>
  <c r="AP1086" i="67"/>
  <c r="AG39" i="65"/>
  <c r="AG41" i="65" s="1"/>
  <c r="AP162" i="67" s="1"/>
  <c r="BI55" i="70"/>
  <c r="AP974" i="67" s="1"/>
  <c r="AG75" i="65"/>
  <c r="AG80" i="65" s="1"/>
  <c r="AP315" i="67" s="1"/>
  <c r="AG19" i="65"/>
  <c r="BI71" i="70"/>
  <c r="AP990" i="67" s="1"/>
  <c r="AG127" i="65"/>
  <c r="AG137" i="65" s="1"/>
  <c r="AP467" i="67" s="1"/>
  <c r="AP1116" i="67"/>
  <c r="AP1098" i="67"/>
  <c r="U1106" i="67"/>
  <c r="U1192" i="67"/>
  <c r="U1074" i="67"/>
  <c r="U1208" i="67"/>
  <c r="U1088" i="67"/>
  <c r="AN1098" i="67"/>
  <c r="AN1116" i="67"/>
  <c r="AN1269" i="67" s="1"/>
  <c r="M1191" i="67"/>
  <c r="M1087" i="67"/>
  <c r="M1105" i="67"/>
  <c r="M1207" i="67"/>
  <c r="M1073" i="67"/>
  <c r="AT1216" i="67"/>
  <c r="AT1369" i="67" s="1"/>
  <c r="AT1096" i="67"/>
  <c r="AT1114" i="67"/>
  <c r="AT1200" i="67"/>
  <c r="W1105" i="67"/>
  <c r="W1191" i="67"/>
  <c r="W1207" i="67"/>
  <c r="W1087" i="67"/>
  <c r="W1073" i="67"/>
  <c r="AS1088" i="67"/>
  <c r="AS1208" i="67"/>
  <c r="AS1074" i="67"/>
  <c r="AS1192" i="67"/>
  <c r="AS1106" i="67"/>
  <c r="AD1116" i="67"/>
  <c r="AD1098" i="67"/>
  <c r="W1098" i="67"/>
  <c r="W1116" i="67"/>
  <c r="L1116" i="67"/>
  <c r="L1098" i="67"/>
  <c r="L1251" i="67" s="1"/>
  <c r="AB1087" i="67"/>
  <c r="AB1105" i="67"/>
  <c r="AB1191" i="67"/>
  <c r="AB1073" i="67"/>
  <c r="AB1207" i="67"/>
  <c r="S1192" i="67"/>
  <c r="S1074" i="67"/>
  <c r="S1208" i="67"/>
  <c r="S1106" i="67"/>
  <c r="S1088" i="67"/>
  <c r="AO1125" i="67"/>
  <c r="AF163" i="65"/>
  <c r="AV51" i="69"/>
  <c r="AV9" i="69"/>
  <c r="BA10" i="70" s="1"/>
  <c r="AB51" i="69"/>
  <c r="AB9" i="69"/>
  <c r="AK9" i="69"/>
  <c r="AK51" i="69"/>
  <c r="AK56" i="69" s="1"/>
  <c r="AK58" i="69" s="1"/>
  <c r="AK59" i="69" s="1"/>
  <c r="AK60" i="69" s="1"/>
  <c r="AK61" i="69" s="1"/>
  <c r="AQ6" i="69"/>
  <c r="AQ9" i="69"/>
  <c r="AQ51" i="69"/>
  <c r="AT72" i="70"/>
  <c r="AA991" i="67" s="1"/>
  <c r="AT4" i="70"/>
  <c r="R128" i="65"/>
  <c r="R138" i="65" s="1"/>
  <c r="AA468" i="67" s="1"/>
  <c r="AT56" i="70"/>
  <c r="AA975" i="67" s="1"/>
  <c r="Q128" i="65"/>
  <c r="Q138" i="65" s="1"/>
  <c r="Z468" i="67" s="1"/>
  <c r="AS72" i="70"/>
  <c r="Z991" i="67" s="1"/>
  <c r="AS56" i="70"/>
  <c r="Z975" i="67" s="1"/>
  <c r="AM128" i="65"/>
  <c r="AM138" i="65" s="1"/>
  <c r="AV468" i="67" s="1"/>
  <c r="BO72" i="70"/>
  <c r="AV991" i="67" s="1"/>
  <c r="BO56" i="70"/>
  <c r="AV975" i="67" s="1"/>
  <c r="BD72" i="70"/>
  <c r="AK991" i="67" s="1"/>
  <c r="AB128" i="65"/>
  <c r="AB138" i="65" s="1"/>
  <c r="AK468" i="67" s="1"/>
  <c r="BD56" i="70"/>
  <c r="AK975" i="67" s="1"/>
  <c r="BN57" i="70"/>
  <c r="AU976" i="67" s="1"/>
  <c r="BN73" i="70"/>
  <c r="AU992" i="67" s="1"/>
  <c r="AL129" i="65"/>
  <c r="AL139" i="65" s="1"/>
  <c r="AU469" i="67" s="1"/>
  <c r="BK57" i="70"/>
  <c r="AR976" i="67" s="1"/>
  <c r="BK73" i="70"/>
  <c r="AR992" i="67" s="1"/>
  <c r="AI129" i="65"/>
  <c r="AI139" i="65" s="1"/>
  <c r="AR469" i="67" s="1"/>
  <c r="BE57" i="70"/>
  <c r="AL976" i="67" s="1"/>
  <c r="BE73" i="70"/>
  <c r="AL992" i="67" s="1"/>
  <c r="AC129" i="65"/>
  <c r="AC139" i="65" s="1"/>
  <c r="AL469" i="67" s="1"/>
  <c r="AX72" i="70"/>
  <c r="AE991" i="67" s="1"/>
  <c r="V128" i="65"/>
  <c r="V138" i="65" s="1"/>
  <c r="AE468" i="67" s="1"/>
  <c r="AX56" i="70"/>
  <c r="AE975" i="67" s="1"/>
  <c r="AF72" i="70"/>
  <c r="M991" i="67" s="1"/>
  <c r="D128" i="65"/>
  <c r="D138" i="65" s="1"/>
  <c r="M468" i="67" s="1"/>
  <c r="AF56" i="70"/>
  <c r="M975" i="67" s="1"/>
  <c r="AJ18" i="69"/>
  <c r="AJ52" i="69" s="1"/>
  <c r="AJ56" i="69" s="1"/>
  <c r="AJ58" i="69" s="1"/>
  <c r="AJ59" i="69" s="1"/>
  <c r="AJ60" i="69" s="1"/>
  <c r="AJ61" i="69" s="1"/>
  <c r="AO12" i="70"/>
  <c r="AO11" i="70"/>
  <c r="AL18" i="69"/>
  <c r="AL52" i="69" s="1"/>
  <c r="AQ12" i="70"/>
  <c r="AQ11" i="70"/>
  <c r="BM81" i="70"/>
  <c r="AT1000" i="67" s="1"/>
  <c r="BM65" i="70"/>
  <c r="AT984" i="67" s="1"/>
  <c r="BA22" i="70"/>
  <c r="AV55" i="69"/>
  <c r="BA20" i="70"/>
  <c r="AH1049" i="67" s="1"/>
  <c r="AP72" i="70"/>
  <c r="W991" i="67" s="1"/>
  <c r="N128" i="65"/>
  <c r="N138" i="65" s="1"/>
  <c r="W468" i="67" s="1"/>
  <c r="AP56" i="70"/>
  <c r="W975" i="67" s="1"/>
  <c r="AJ129" i="65"/>
  <c r="AJ139" i="65" s="1"/>
  <c r="AS469" i="67" s="1"/>
  <c r="BL73" i="70"/>
  <c r="AS992" i="67" s="1"/>
  <c r="BL57" i="70"/>
  <c r="AS976" i="67" s="1"/>
  <c r="BH57" i="70"/>
  <c r="AO976" i="67" s="1"/>
  <c r="AF129" i="65"/>
  <c r="AF139" i="65" s="1"/>
  <c r="AO469" i="67" s="1"/>
  <c r="BH73" i="70"/>
  <c r="AO992" i="67" s="1"/>
  <c r="AU57" i="70"/>
  <c r="AB976" i="67" s="1"/>
  <c r="S129" i="65"/>
  <c r="S139" i="65" s="1"/>
  <c r="AB469" i="67" s="1"/>
  <c r="AU73" i="70"/>
  <c r="AB992" i="67" s="1"/>
  <c r="AC164" i="65"/>
  <c r="N129" i="65"/>
  <c r="N139" i="65" s="1"/>
  <c r="W469" i="67" s="1"/>
  <c r="AP57" i="70"/>
  <c r="W976" i="67" s="1"/>
  <c r="AP73" i="70"/>
  <c r="W992" i="67" s="1"/>
  <c r="BI72" i="70"/>
  <c r="AP991" i="67" s="1"/>
  <c r="AG128" i="65"/>
  <c r="AG138" i="65" s="1"/>
  <c r="AP468" i="67" s="1"/>
  <c r="BI56" i="70"/>
  <c r="AP975" i="67" s="1"/>
  <c r="U168" i="65"/>
  <c r="AB168" i="65"/>
  <c r="AY4" i="70"/>
  <c r="N168" i="65"/>
  <c r="AM81" i="70"/>
  <c r="T1000" i="67" s="1"/>
  <c r="AM65" i="70"/>
  <c r="T984" i="67" s="1"/>
  <c r="AJ81" i="70"/>
  <c r="Q1000" i="67" s="1"/>
  <c r="AJ65" i="70"/>
  <c r="Q984" i="67" s="1"/>
  <c r="AZ51" i="69"/>
  <c r="AZ9" i="69"/>
  <c r="BJ9" i="69"/>
  <c r="BJ51" i="69"/>
  <c r="BJ56" i="69" s="1"/>
  <c r="BJ58" i="69" s="1"/>
  <c r="BJ59" i="69" s="1"/>
  <c r="BJ60" i="69" s="1"/>
  <c r="BJ61" i="69" s="1"/>
  <c r="AH22" i="70"/>
  <c r="AC55" i="69"/>
  <c r="AH20" i="70"/>
  <c r="O1049" i="67" s="1"/>
  <c r="Z168" i="65"/>
  <c r="BP72" i="70"/>
  <c r="AW991" i="67" s="1"/>
  <c r="AN128" i="65"/>
  <c r="AN138" i="65" s="1"/>
  <c r="AW468" i="67" s="1"/>
  <c r="BP56" i="70"/>
  <c r="AW975" i="67" s="1"/>
  <c r="AE18" i="69"/>
  <c r="AE52" i="69" s="1"/>
  <c r="AE56" i="69" s="1"/>
  <c r="AE58" i="69" s="1"/>
  <c r="AE59" i="69" s="1"/>
  <c r="AE60" i="69" s="1"/>
  <c r="AE61" i="69" s="1"/>
  <c r="AJ12" i="70"/>
  <c r="AJ11" i="70"/>
  <c r="AR18" i="69"/>
  <c r="AR52" i="69" s="1"/>
  <c r="AR56" i="69" s="1"/>
  <c r="AR58" i="69" s="1"/>
  <c r="AR59" i="69" s="1"/>
  <c r="AR60" i="69" s="1"/>
  <c r="AR61" i="69" s="1"/>
  <c r="AW12" i="70"/>
  <c r="AW11" i="70"/>
  <c r="BK56" i="69"/>
  <c r="BK58" i="69" s="1"/>
  <c r="BK59" i="69" s="1"/>
  <c r="BK60" i="69" s="1"/>
  <c r="BK61" i="69" s="1"/>
  <c r="AX73" i="70"/>
  <c r="AE992" i="67" s="1"/>
  <c r="V129" i="65"/>
  <c r="V139" i="65" s="1"/>
  <c r="AE469" i="67" s="1"/>
  <c r="AX57" i="70"/>
  <c r="AE976" i="67" s="1"/>
  <c r="BH9" i="69"/>
  <c r="BM10" i="70" s="1"/>
  <c r="BH51" i="69"/>
  <c r="BH56" i="69" s="1"/>
  <c r="BH58" i="69" s="1"/>
  <c r="BH59" i="69" s="1"/>
  <c r="BH60" i="69" s="1"/>
  <c r="BH61" i="69" s="1"/>
  <c r="AT9" i="69"/>
  <c r="AT51" i="69"/>
  <c r="AT56" i="69" s="1"/>
  <c r="AT58" i="69" s="1"/>
  <c r="AT59" i="69" s="1"/>
  <c r="AT60" i="69" s="1"/>
  <c r="AT61" i="69" s="1"/>
  <c r="AL9" i="69"/>
  <c r="AL51" i="69"/>
  <c r="T168" i="65"/>
  <c r="AG22" i="70"/>
  <c r="AB55" i="69"/>
  <c r="AG20" i="70"/>
  <c r="N1049" i="67" s="1"/>
  <c r="AS57" i="70"/>
  <c r="Z976" i="67" s="1"/>
  <c r="AS73" i="70"/>
  <c r="Z992" i="67" s="1"/>
  <c r="Q129" i="65"/>
  <c r="Q139" i="65" s="1"/>
  <c r="Z469" i="67" s="1"/>
  <c r="BO57" i="70"/>
  <c r="AV976" i="67" s="1"/>
  <c r="AM129" i="65"/>
  <c r="AM139" i="65" s="1"/>
  <c r="AV469" i="67" s="1"/>
  <c r="BO73" i="70"/>
  <c r="AV992" i="67" s="1"/>
  <c r="G128" i="65"/>
  <c r="G138" i="65" s="1"/>
  <c r="P468" i="67" s="1"/>
  <c r="AI72" i="70"/>
  <c r="P991" i="67" s="1"/>
  <c r="AI56" i="70"/>
  <c r="P975" i="67" s="1"/>
  <c r="AF57" i="70"/>
  <c r="M976" i="67" s="1"/>
  <c r="D129" i="65"/>
  <c r="D139" i="65" s="1"/>
  <c r="M469" i="67" s="1"/>
  <c r="AF73" i="70"/>
  <c r="M992" i="67" s="1"/>
  <c r="AE57" i="70"/>
  <c r="L976" i="67" s="1"/>
  <c r="C129" i="65"/>
  <c r="C139" i="65" s="1"/>
  <c r="L469" i="67" s="1"/>
  <c r="AE73" i="70"/>
  <c r="L992" i="67" s="1"/>
  <c r="AV18" i="69"/>
  <c r="AV52" i="69" s="1"/>
  <c r="BA12" i="70"/>
  <c r="BA11" i="70"/>
  <c r="AF22" i="70"/>
  <c r="AA55" i="69"/>
  <c r="AA56" i="69" s="1"/>
  <c r="AA58" i="69" s="1"/>
  <c r="AA59" i="69" s="1"/>
  <c r="AA60" i="69" s="1"/>
  <c r="AA61" i="69" s="1"/>
  <c r="AF20" i="70"/>
  <c r="M1049" i="67" s="1"/>
  <c r="BL81" i="70"/>
  <c r="AS1000" i="67" s="1"/>
  <c r="BL65" i="70"/>
  <c r="AS984" i="67" s="1"/>
  <c r="AO81" i="70"/>
  <c r="V1000" i="67" s="1"/>
  <c r="AO65" i="70"/>
  <c r="V984" i="67" s="1"/>
  <c r="AG168" i="65"/>
  <c r="BK22" i="70"/>
  <c r="BF55" i="69"/>
  <c r="BK20" i="70"/>
  <c r="AR1049" i="67" s="1"/>
  <c r="AU55" i="69"/>
  <c r="AZ22" i="70"/>
  <c r="AZ20" i="70"/>
  <c r="AG1049" i="67" s="1"/>
  <c r="AQ22" i="70"/>
  <c r="AL55" i="69"/>
  <c r="AQ20" i="70"/>
  <c r="X1049" i="67" s="1"/>
  <c r="L164" i="65"/>
  <c r="BG72" i="70"/>
  <c r="AN991" i="67" s="1"/>
  <c r="AE128" i="65"/>
  <c r="AE138" i="65" s="1"/>
  <c r="AN468" i="67" s="1"/>
  <c r="BG56" i="70"/>
  <c r="AN975" i="67" s="1"/>
  <c r="BI73" i="70"/>
  <c r="AP992" i="67" s="1"/>
  <c r="BI57" i="70"/>
  <c r="AP976" i="67" s="1"/>
  <c r="AG129" i="65"/>
  <c r="AG139" i="65" s="1"/>
  <c r="AP469" i="67" s="1"/>
  <c r="E164" i="65"/>
  <c r="AM72" i="70"/>
  <c r="T991" i="67" s="1"/>
  <c r="K128" i="65"/>
  <c r="K138" i="65" s="1"/>
  <c r="T468" i="67" s="1"/>
  <c r="AM56" i="70"/>
  <c r="T975" i="67" s="1"/>
  <c r="BA9" i="69"/>
  <c r="BF10" i="70" s="1"/>
  <c r="BA51" i="69"/>
  <c r="BA56" i="69" s="1"/>
  <c r="BA58" i="69" s="1"/>
  <c r="BA59" i="69" s="1"/>
  <c r="BA60" i="69" s="1"/>
  <c r="BA61" i="69" s="1"/>
  <c r="AZ55" i="69"/>
  <c r="BE22" i="70"/>
  <c r="BE20" i="70"/>
  <c r="AL1049" i="67" s="1"/>
  <c r="J168" i="65"/>
  <c r="AK72" i="70"/>
  <c r="R991" i="67" s="1"/>
  <c r="I128" i="65"/>
  <c r="I138" i="65" s="1"/>
  <c r="R468" i="67" s="1"/>
  <c r="AK56" i="70"/>
  <c r="R975" i="67" s="1"/>
  <c r="AM9" i="69"/>
  <c r="AR10" i="70" s="1"/>
  <c r="AM51" i="69"/>
  <c r="BH22" i="70"/>
  <c r="BC55" i="69"/>
  <c r="BC56" i="69" s="1"/>
  <c r="BC58" i="69" s="1"/>
  <c r="BC59" i="69" s="1"/>
  <c r="BC60" i="69" s="1"/>
  <c r="BC61" i="69" s="1"/>
  <c r="BH20" i="70"/>
  <c r="AO1049" i="67" s="1"/>
  <c r="AN168" i="65"/>
  <c r="AN73" i="70"/>
  <c r="U992" i="67" s="1"/>
  <c r="AN57" i="70"/>
  <c r="U976" i="67" s="1"/>
  <c r="L129" i="65"/>
  <c r="L139" i="65" s="1"/>
  <c r="U469" i="67" s="1"/>
  <c r="AL168" i="65"/>
  <c r="BF9" i="69"/>
  <c r="BF51" i="69"/>
  <c r="AN55" i="69"/>
  <c r="AN56" i="69" s="1"/>
  <c r="AN58" i="69" s="1"/>
  <c r="AN59" i="69" s="1"/>
  <c r="AN60" i="69" s="1"/>
  <c r="AN61" i="69" s="1"/>
  <c r="AS22" i="70"/>
  <c r="AS20" i="70"/>
  <c r="Z1049" i="67" s="1"/>
  <c r="AI73" i="70"/>
  <c r="P992" i="67" s="1"/>
  <c r="G129" i="65"/>
  <c r="G139" i="65" s="1"/>
  <c r="P469" i="67" s="1"/>
  <c r="AI57" i="70"/>
  <c r="P976" i="67" s="1"/>
  <c r="Z128" i="65"/>
  <c r="Z138" i="65" s="1"/>
  <c r="AI468" i="67" s="1"/>
  <c r="BB72" i="70"/>
  <c r="AI991" i="67" s="1"/>
  <c r="BB56" i="70"/>
  <c r="AI975" i="67" s="1"/>
  <c r="AQ18" i="69"/>
  <c r="AQ52" i="69" s="1"/>
  <c r="AV12" i="70"/>
  <c r="AV11" i="70"/>
  <c r="AU81" i="70"/>
  <c r="AB1000" i="67" s="1"/>
  <c r="AU65" i="70"/>
  <c r="AB984" i="67" s="1"/>
  <c r="AR22" i="70"/>
  <c r="AM55" i="69"/>
  <c r="AR20" i="70"/>
  <c r="Y1049" i="67" s="1"/>
  <c r="AK128" i="65"/>
  <c r="AK138" i="65" s="1"/>
  <c r="AT468" i="67" s="1"/>
  <c r="BM72" i="70"/>
  <c r="AT991" i="67" s="1"/>
  <c r="BM56" i="70"/>
  <c r="AT975" i="67" s="1"/>
  <c r="BE18" i="69"/>
  <c r="BE52" i="69" s="1"/>
  <c r="BJ12" i="70"/>
  <c r="BJ11" i="70"/>
  <c r="AL164" i="65"/>
  <c r="AI164" i="65"/>
  <c r="AH57" i="70"/>
  <c r="O976" i="67" s="1"/>
  <c r="F129" i="65"/>
  <c r="F139" i="65" s="1"/>
  <c r="O469" i="67" s="1"/>
  <c r="AH73" i="70"/>
  <c r="O992" i="67" s="1"/>
  <c r="BB73" i="70"/>
  <c r="AI992" i="67" s="1"/>
  <c r="BB57" i="70"/>
  <c r="AI976" i="67" s="1"/>
  <c r="Z129" i="65"/>
  <c r="Z139" i="65" s="1"/>
  <c r="AI469" i="67" s="1"/>
  <c r="AL72" i="70"/>
  <c r="S991" i="67" s="1"/>
  <c r="J128" i="65"/>
  <c r="J138" i="65" s="1"/>
  <c r="S468" i="67" s="1"/>
  <c r="AL56" i="70"/>
  <c r="S975" i="67" s="1"/>
  <c r="BG57" i="70"/>
  <c r="AN976" i="67" s="1"/>
  <c r="BG73" i="70"/>
  <c r="AN992" i="67" s="1"/>
  <c r="AE129" i="65"/>
  <c r="AE139" i="65" s="1"/>
  <c r="AN469" i="67" s="1"/>
  <c r="W168" i="65"/>
  <c r="W164" i="65"/>
  <c r="V168" i="65"/>
  <c r="C164" i="65"/>
  <c r="K129" i="65"/>
  <c r="K139" i="65" s="1"/>
  <c r="T469" i="67" s="1"/>
  <c r="AM73" i="70"/>
  <c r="T992" i="67" s="1"/>
  <c r="AM57" i="70"/>
  <c r="T976" i="67" s="1"/>
  <c r="AD9" i="69"/>
  <c r="AI10" i="70" s="1"/>
  <c r="AD51" i="69"/>
  <c r="AD56" i="69" s="1"/>
  <c r="AD58" i="69" s="1"/>
  <c r="AD59" i="69" s="1"/>
  <c r="AD60" i="69" s="1"/>
  <c r="AD61" i="69" s="1"/>
  <c r="BI51" i="69"/>
  <c r="BI56" i="69" s="1"/>
  <c r="BI58" i="69" s="1"/>
  <c r="BI59" i="69" s="1"/>
  <c r="BI60" i="69" s="1"/>
  <c r="BI61" i="69" s="1"/>
  <c r="BI9" i="69"/>
  <c r="BO81" i="70"/>
  <c r="AV1000" i="67" s="1"/>
  <c r="BO65" i="70"/>
  <c r="AV984" i="67" s="1"/>
  <c r="AI9" i="69"/>
  <c r="AN10" i="70" s="1"/>
  <c r="AI51" i="69"/>
  <c r="AI56" i="69" s="1"/>
  <c r="AI58" i="69" s="1"/>
  <c r="AI59" i="69" s="1"/>
  <c r="AI60" i="69" s="1"/>
  <c r="AI61" i="69" s="1"/>
  <c r="BF73" i="70"/>
  <c r="AM992" i="67" s="1"/>
  <c r="BF57" i="70"/>
  <c r="AM976" i="67" s="1"/>
  <c r="AD129" i="65"/>
  <c r="AD139" i="65" s="1"/>
  <c r="AM469" i="67" s="1"/>
  <c r="AU9" i="69"/>
  <c r="AZ10" i="70" s="1"/>
  <c r="AU51" i="69"/>
  <c r="AC51" i="69"/>
  <c r="AC9" i="69"/>
  <c r="BJ22" i="70"/>
  <c r="BE55" i="69"/>
  <c r="BJ20" i="70"/>
  <c r="AQ1049" i="67" s="1"/>
  <c r="AT57" i="70"/>
  <c r="AA976" i="67" s="1"/>
  <c r="AT73" i="70"/>
  <c r="AA992" i="67" s="1"/>
  <c r="R129" i="65"/>
  <c r="R139" i="65" s="1"/>
  <c r="AA469" i="67" s="1"/>
  <c r="AZ4" i="70"/>
  <c r="AZ72" i="70"/>
  <c r="AG991" i="67" s="1"/>
  <c r="X128" i="65"/>
  <c r="X138" i="65" s="1"/>
  <c r="AG468" i="67" s="1"/>
  <c r="AZ56" i="70"/>
  <c r="AG975" i="67" s="1"/>
  <c r="AX18" i="69"/>
  <c r="AX52" i="69" s="1"/>
  <c r="BC12" i="70"/>
  <c r="BC11" i="70"/>
  <c r="AD164" i="65"/>
  <c r="G168" i="65"/>
  <c r="AN129" i="65"/>
  <c r="AN139" i="65" s="1"/>
  <c r="AW469" i="67" s="1"/>
  <c r="BP73" i="70"/>
  <c r="AW992" i="67" s="1"/>
  <c r="BP57" i="70"/>
  <c r="AW976" i="67" s="1"/>
  <c r="I129" i="65"/>
  <c r="I139" i="65" s="1"/>
  <c r="R469" i="67" s="1"/>
  <c r="AK57" i="70"/>
  <c r="R976" i="67" s="1"/>
  <c r="AK73" i="70"/>
  <c r="R992" i="67" s="1"/>
  <c r="AZ73" i="70"/>
  <c r="AG992" i="67" s="1"/>
  <c r="X129" i="65"/>
  <c r="X139" i="65" s="1"/>
  <c r="AG469" i="67" s="1"/>
  <c r="AZ57" i="70"/>
  <c r="AG976" i="67" s="1"/>
  <c r="AB129" i="65"/>
  <c r="AB139" i="65" s="1"/>
  <c r="AK469" i="67" s="1"/>
  <c r="BD57" i="70"/>
  <c r="AK976" i="67" s="1"/>
  <c r="BD73" i="70"/>
  <c r="AK992" i="67" s="1"/>
  <c r="AE168" i="65"/>
  <c r="F128" i="65"/>
  <c r="F138" i="65" s="1"/>
  <c r="O468" i="67" s="1"/>
  <c r="AH72" i="70"/>
  <c r="O991" i="67" s="1"/>
  <c r="AH56" i="70"/>
  <c r="O975" i="67" s="1"/>
  <c r="AN81" i="70"/>
  <c r="U1000" i="67" s="1"/>
  <c r="AN65" i="70"/>
  <c r="U984" i="67" s="1"/>
  <c r="AM18" i="69"/>
  <c r="AM52" i="69" s="1"/>
  <c r="AR12" i="70"/>
  <c r="AR11" i="70"/>
  <c r="BC22" i="70"/>
  <c r="AX55" i="69"/>
  <c r="BC20" i="70"/>
  <c r="AJ1049" i="67" s="1"/>
  <c r="AE81" i="70"/>
  <c r="L1000" i="67" s="1"/>
  <c r="AE65" i="70"/>
  <c r="L984" i="67" s="1"/>
  <c r="AJ128" i="65"/>
  <c r="AJ138" i="65" s="1"/>
  <c r="AS468" i="67" s="1"/>
  <c r="BL72" i="70"/>
  <c r="AS991" i="67" s="1"/>
  <c r="BL56" i="70"/>
  <c r="AS975" i="67" s="1"/>
  <c r="BM73" i="70"/>
  <c r="AT992" i="67" s="1"/>
  <c r="BM57" i="70"/>
  <c r="AT976" i="67" s="1"/>
  <c r="AK129" i="65"/>
  <c r="AK139" i="65" s="1"/>
  <c r="AT469" i="67" s="1"/>
  <c r="E129" i="65"/>
  <c r="E139" i="65" s="1"/>
  <c r="N469" i="67" s="1"/>
  <c r="AG57" i="70"/>
  <c r="N976" i="67" s="1"/>
  <c r="AG73" i="70"/>
  <c r="N992" i="67" s="1"/>
  <c r="W129" i="65"/>
  <c r="W139" i="65" s="1"/>
  <c r="AF469" i="67" s="1"/>
  <c r="AY57" i="70"/>
  <c r="AF976" i="67" s="1"/>
  <c r="AY73" i="70"/>
  <c r="AF992" i="67" s="1"/>
  <c r="AO55" i="69"/>
  <c r="AO56" i="69" s="1"/>
  <c r="AO58" i="69" s="1"/>
  <c r="AO59" i="69" s="1"/>
  <c r="AO60" i="69" s="1"/>
  <c r="AO61" i="69" s="1"/>
  <c r="AO41" i="69"/>
  <c r="AT22" i="70"/>
  <c r="AT20" i="70"/>
  <c r="AA1049" i="67" s="1"/>
  <c r="AF55" i="69"/>
  <c r="AF56" i="69" s="1"/>
  <c r="AF58" i="69" s="1"/>
  <c r="AF59" i="69" s="1"/>
  <c r="AF60" i="69" s="1"/>
  <c r="AF61" i="69" s="1"/>
  <c r="AK22" i="70"/>
  <c r="AK20" i="70"/>
  <c r="R1049" i="67" s="1"/>
  <c r="AF128" i="65"/>
  <c r="AF138" i="65" s="1"/>
  <c r="AO468" i="67" s="1"/>
  <c r="BH72" i="70"/>
  <c r="AO991" i="67" s="1"/>
  <c r="BH56" i="70"/>
  <c r="AO975" i="67" s="1"/>
  <c r="S128" i="65"/>
  <c r="S138" i="65" s="1"/>
  <c r="AB468" i="67" s="1"/>
  <c r="AU72" i="70"/>
  <c r="AB991" i="67" s="1"/>
  <c r="AU4" i="70"/>
  <c r="AU56" i="70"/>
  <c r="AB975" i="67" s="1"/>
  <c r="BG56" i="69"/>
  <c r="BG58" i="69" s="1"/>
  <c r="BG59" i="69" s="1"/>
  <c r="BG60" i="69" s="1"/>
  <c r="BG61" i="69" s="1"/>
  <c r="AL73" i="70"/>
  <c r="S992" i="67" s="1"/>
  <c r="AL57" i="70"/>
  <c r="S976" i="67" s="1"/>
  <c r="J129" i="65"/>
  <c r="J139" i="65" s="1"/>
  <c r="S469" i="67" s="1"/>
  <c r="AD168" i="65"/>
  <c r="U1251" i="67" l="1"/>
  <c r="BD9" i="70"/>
  <c r="Q1251" i="67"/>
  <c r="BB8" i="70"/>
  <c r="AI919" i="67" s="1"/>
  <c r="AB24" i="65"/>
  <c r="BL9" i="70"/>
  <c r="AS952" i="67" s="1"/>
  <c r="W1269" i="67"/>
  <c r="AT1269" i="67"/>
  <c r="AT1267" i="67"/>
  <c r="AP1269" i="67"/>
  <c r="L1267" i="67"/>
  <c r="S1269" i="67"/>
  <c r="AU1269" i="67"/>
  <c r="V1251" i="67"/>
  <c r="AT1251" i="67"/>
  <c r="AJ24" i="65"/>
  <c r="AV1251" i="67"/>
  <c r="Q1267" i="67"/>
  <c r="AC1269" i="67"/>
  <c r="AV1267" i="67"/>
  <c r="T1269" i="67"/>
  <c r="AS1269" i="67"/>
  <c r="AE1269" i="67"/>
  <c r="AK1269" i="67"/>
  <c r="AS1267" i="67"/>
  <c r="AW9" i="70"/>
  <c r="AW54" i="70" s="1"/>
  <c r="AD973" i="67" s="1"/>
  <c r="U1269" i="67"/>
  <c r="T1251" i="67"/>
  <c r="L1269" i="67"/>
  <c r="AD1269" i="67"/>
  <c r="AF1269" i="67"/>
  <c r="Q1269" i="67"/>
  <c r="AU1251" i="67"/>
  <c r="BO18" i="68" s="1"/>
  <c r="AN19" i="62" s="1"/>
  <c r="AS1251" i="67"/>
  <c r="BP9" i="70"/>
  <c r="AW1038" i="67" s="1"/>
  <c r="BJ8" i="70"/>
  <c r="AQ1053" i="67" s="1"/>
  <c r="V1267" i="67"/>
  <c r="R965" i="67"/>
  <c r="R947" i="67"/>
  <c r="AJ963" i="67"/>
  <c r="AJ945" i="67"/>
  <c r="Y923" i="67"/>
  <c r="Y1057" i="67"/>
  <c r="Y1041" i="67"/>
  <c r="Y955" i="67"/>
  <c r="Y937" i="67"/>
  <c r="AQ963" i="67"/>
  <c r="AQ945" i="67"/>
  <c r="U921" i="67"/>
  <c r="U1039" i="67"/>
  <c r="U1055" i="67"/>
  <c r="U953" i="67"/>
  <c r="U935" i="67"/>
  <c r="AQ922" i="67"/>
  <c r="AQ1056" i="67"/>
  <c r="AQ1040" i="67"/>
  <c r="AQ954" i="67"/>
  <c r="AQ936" i="67"/>
  <c r="Y965" i="67"/>
  <c r="Y947" i="67"/>
  <c r="AC923" i="67"/>
  <c r="AC1057" i="67"/>
  <c r="AC1041" i="67"/>
  <c r="AC955" i="67"/>
  <c r="AC937" i="67"/>
  <c r="AL965" i="67"/>
  <c r="AL947" i="67"/>
  <c r="AH922" i="67"/>
  <c r="AH1056" i="67"/>
  <c r="AH1040" i="67"/>
  <c r="AH936" i="67"/>
  <c r="AH954" i="67"/>
  <c r="N947" i="67"/>
  <c r="N965" i="67"/>
  <c r="O965" i="67"/>
  <c r="O947" i="67"/>
  <c r="V922" i="67"/>
  <c r="V1056" i="67"/>
  <c r="V1040" i="67"/>
  <c r="V954" i="67"/>
  <c r="V936" i="67"/>
  <c r="AQ923" i="67"/>
  <c r="AQ1041" i="67"/>
  <c r="AQ1057" i="67"/>
  <c r="AQ955" i="67"/>
  <c r="AQ937" i="67"/>
  <c r="Z947" i="67"/>
  <c r="Z965" i="67"/>
  <c r="X965" i="67"/>
  <c r="X947" i="67"/>
  <c r="AR963" i="67"/>
  <c r="AR945" i="67"/>
  <c r="M963" i="67"/>
  <c r="M945" i="67"/>
  <c r="AH923" i="67"/>
  <c r="AH1057" i="67"/>
  <c r="AH1041" i="67"/>
  <c r="AH955" i="67"/>
  <c r="AH937" i="67"/>
  <c r="AD923" i="67"/>
  <c r="AD1057" i="67"/>
  <c r="AD1041" i="67"/>
  <c r="AD955" i="67"/>
  <c r="AD937" i="67"/>
  <c r="X922" i="67"/>
  <c r="X1056" i="67"/>
  <c r="X1040" i="67"/>
  <c r="X954" i="67"/>
  <c r="X936" i="67"/>
  <c r="V923" i="67"/>
  <c r="V1057" i="67"/>
  <c r="V1041" i="67"/>
  <c r="V955" i="67"/>
  <c r="V937" i="67"/>
  <c r="AS919" i="67"/>
  <c r="AS1037" i="67"/>
  <c r="AS1053" i="67"/>
  <c r="AS951" i="67"/>
  <c r="AS933" i="67"/>
  <c r="AO920" i="67"/>
  <c r="AO1038" i="67"/>
  <c r="AO1054" i="67"/>
  <c r="AO952" i="67"/>
  <c r="AO934" i="67"/>
  <c r="AK920" i="67"/>
  <c r="AK1038" i="67"/>
  <c r="AK1054" i="67"/>
  <c r="AK952" i="67"/>
  <c r="AK934" i="67"/>
  <c r="L1055" i="67"/>
  <c r="L1039" i="67"/>
  <c r="L953" i="67"/>
  <c r="L935" i="67"/>
  <c r="S1039" i="67"/>
  <c r="S1055" i="67"/>
  <c r="S953" i="67"/>
  <c r="S935" i="67"/>
  <c r="AI920" i="67"/>
  <c r="AI1038" i="67"/>
  <c r="AI1054" i="67"/>
  <c r="AI952" i="67"/>
  <c r="AI934" i="67"/>
  <c r="AG921" i="67"/>
  <c r="AG1039" i="67"/>
  <c r="AG1055" i="67"/>
  <c r="AG953" i="67"/>
  <c r="AG935" i="67"/>
  <c r="Y1039" i="67"/>
  <c r="Y1055" i="67"/>
  <c r="Y953" i="67"/>
  <c r="Y935" i="67"/>
  <c r="O945" i="67"/>
  <c r="O963" i="67"/>
  <c r="X923" i="67"/>
  <c r="X1057" i="67"/>
  <c r="X1041" i="67"/>
  <c r="X955" i="67"/>
  <c r="X937" i="67"/>
  <c r="AH921" i="67"/>
  <c r="AH1055" i="67"/>
  <c r="AH1039" i="67"/>
  <c r="AH935" i="67"/>
  <c r="AH953" i="67"/>
  <c r="AB919" i="67"/>
  <c r="AB1053" i="67"/>
  <c r="AB1037" i="67"/>
  <c r="AB951" i="67"/>
  <c r="AB933" i="67"/>
  <c r="AW919" i="67"/>
  <c r="AW1037" i="67"/>
  <c r="AW1053" i="67"/>
  <c r="AW951" i="67"/>
  <c r="AW933" i="67"/>
  <c r="Q919" i="67"/>
  <c r="Q1037" i="67"/>
  <c r="Q1053" i="67"/>
  <c r="Q951" i="67"/>
  <c r="Q933" i="67"/>
  <c r="AQ920" i="67"/>
  <c r="AQ1038" i="67"/>
  <c r="AQ1054" i="67"/>
  <c r="AQ952" i="67"/>
  <c r="AQ934" i="67"/>
  <c r="AA963" i="67"/>
  <c r="AA945" i="67"/>
  <c r="AJ965" i="67"/>
  <c r="AJ947" i="67"/>
  <c r="AJ922" i="67"/>
  <c r="AJ1056" i="67"/>
  <c r="AJ1040" i="67"/>
  <c r="AJ954" i="67"/>
  <c r="AJ936" i="67"/>
  <c r="AQ965" i="67"/>
  <c r="AQ947" i="67"/>
  <c r="P1055" i="67"/>
  <c r="P1039" i="67"/>
  <c r="P953" i="67"/>
  <c r="P935" i="67"/>
  <c r="Y963" i="67"/>
  <c r="Y945" i="67"/>
  <c r="AO963" i="67"/>
  <c r="AO945" i="67"/>
  <c r="AG963" i="67"/>
  <c r="AG945" i="67"/>
  <c r="N945" i="67"/>
  <c r="N963" i="67"/>
  <c r="AH965" i="67"/>
  <c r="AH947" i="67"/>
  <c r="R963" i="67"/>
  <c r="R945" i="67"/>
  <c r="AA965" i="67"/>
  <c r="AA947" i="67"/>
  <c r="Y922" i="67"/>
  <c r="Y1040" i="67"/>
  <c r="Y1056" i="67"/>
  <c r="Y954" i="67"/>
  <c r="Y936" i="67"/>
  <c r="AJ923" i="67"/>
  <c r="AJ1057" i="67"/>
  <c r="AJ1041" i="67"/>
  <c r="AJ955" i="67"/>
  <c r="AJ937" i="67"/>
  <c r="AC922" i="67"/>
  <c r="AC1056" i="67"/>
  <c r="AC1040" i="67"/>
  <c r="AC954" i="67"/>
  <c r="AC936" i="67"/>
  <c r="AL963" i="67"/>
  <c r="AL945" i="67"/>
  <c r="AM921" i="67"/>
  <c r="AM1039" i="67"/>
  <c r="AM1055" i="67"/>
  <c r="AM953" i="67"/>
  <c r="AM935" i="67"/>
  <c r="X963" i="67"/>
  <c r="X945" i="67"/>
  <c r="AG965" i="67"/>
  <c r="AG947" i="67"/>
  <c r="AR965" i="67"/>
  <c r="AR947" i="67"/>
  <c r="M965" i="67"/>
  <c r="M947" i="67"/>
  <c r="AT921" i="67"/>
  <c r="AT1055" i="67"/>
  <c r="AT1039" i="67"/>
  <c r="AT935" i="67"/>
  <c r="AT953" i="67"/>
  <c r="Q922" i="67"/>
  <c r="Q1040" i="67"/>
  <c r="Q1056" i="67"/>
  <c r="Q954" i="67"/>
  <c r="Q936" i="67"/>
  <c r="AE1039" i="67"/>
  <c r="AE1055" i="67"/>
  <c r="AE953" i="67"/>
  <c r="AE935" i="67"/>
  <c r="R1055" i="67"/>
  <c r="R1039" i="67"/>
  <c r="R935" i="67"/>
  <c r="R953" i="67"/>
  <c r="V1055" i="67"/>
  <c r="V1039" i="67"/>
  <c r="V935" i="67"/>
  <c r="V953" i="67"/>
  <c r="AB920" i="67"/>
  <c r="AB1054" i="67"/>
  <c r="AB1038" i="67"/>
  <c r="AB934" i="67"/>
  <c r="AB952" i="67"/>
  <c r="Q920" i="67"/>
  <c r="Q1038" i="67"/>
  <c r="Q1054" i="67"/>
  <c r="Q952" i="67"/>
  <c r="Q934" i="67"/>
  <c r="Z919" i="67"/>
  <c r="Z1053" i="67"/>
  <c r="Z1037" i="67"/>
  <c r="Z933" i="67"/>
  <c r="Z951" i="67"/>
  <c r="AN919" i="67"/>
  <c r="AN1053" i="67"/>
  <c r="AN1037" i="67"/>
  <c r="AN951" i="67"/>
  <c r="AN933" i="67"/>
  <c r="Z963" i="67"/>
  <c r="Z945" i="67"/>
  <c r="AO965" i="67"/>
  <c r="AO947" i="67"/>
  <c r="AD922" i="67"/>
  <c r="AD1056" i="67"/>
  <c r="AD1040" i="67"/>
  <c r="AD936" i="67"/>
  <c r="AD954" i="67"/>
  <c r="Q923" i="67"/>
  <c r="Q1057" i="67"/>
  <c r="Q1041" i="67"/>
  <c r="Q955" i="67"/>
  <c r="Q937" i="67"/>
  <c r="AH963" i="67"/>
  <c r="AH945" i="67"/>
  <c r="AS920" i="67"/>
  <c r="AS1054" i="67"/>
  <c r="AA1039" i="67"/>
  <c r="AA1055" i="67"/>
  <c r="AA953" i="67"/>
  <c r="AA935" i="67"/>
  <c r="AO919" i="67"/>
  <c r="AO1037" i="67"/>
  <c r="AO1053" i="67"/>
  <c r="AO951" i="67"/>
  <c r="AO933" i="67"/>
  <c r="AK919" i="67"/>
  <c r="AK1037" i="67"/>
  <c r="AK1053" i="67"/>
  <c r="AK951" i="67"/>
  <c r="AK933" i="67"/>
  <c r="AD919" i="67"/>
  <c r="AD1053" i="67"/>
  <c r="AD1037" i="67"/>
  <c r="AD933" i="67"/>
  <c r="AD951" i="67"/>
  <c r="Z920" i="67"/>
  <c r="Z1054" i="67"/>
  <c r="Z1038" i="67"/>
  <c r="Z952" i="67"/>
  <c r="Z934" i="67"/>
  <c r="AN920" i="67"/>
  <c r="AN1054" i="67"/>
  <c r="AN1038" i="67"/>
  <c r="AN934" i="67"/>
  <c r="AN952" i="67"/>
  <c r="L784" i="67"/>
  <c r="L921" i="67"/>
  <c r="S784" i="67"/>
  <c r="S921" i="67"/>
  <c r="P784" i="67"/>
  <c r="P921" i="67"/>
  <c r="Y784" i="67"/>
  <c r="Y921" i="67"/>
  <c r="AE784" i="67"/>
  <c r="AE921" i="67"/>
  <c r="R784" i="67"/>
  <c r="R921" i="67"/>
  <c r="V784" i="67"/>
  <c r="V921" i="67"/>
  <c r="AA784" i="67"/>
  <c r="AA921" i="67"/>
  <c r="V1269" i="67"/>
  <c r="AB1269" i="67"/>
  <c r="AW1269" i="67"/>
  <c r="P1269" i="67"/>
  <c r="T1267" i="67"/>
  <c r="AS1369" i="67"/>
  <c r="AM1269" i="67"/>
  <c r="S1251" i="67"/>
  <c r="AM18" i="68" s="1"/>
  <c r="L19" i="62" s="1"/>
  <c r="AE1251" i="67"/>
  <c r="AY18" i="68" s="1"/>
  <c r="X19" i="62" s="1"/>
  <c r="T1369" i="67"/>
  <c r="AB1251" i="67"/>
  <c r="AB1369" i="67"/>
  <c r="U1267" i="67"/>
  <c r="AV1369" i="67"/>
  <c r="AW1251" i="67"/>
  <c r="BQ18" i="68" s="1"/>
  <c r="AP19" i="62" s="1"/>
  <c r="AC56" i="69"/>
  <c r="AC58" i="69" s="1"/>
  <c r="AC59" i="69" s="1"/>
  <c r="AC60" i="69" s="1"/>
  <c r="AC61" i="69" s="1"/>
  <c r="L1295" i="67"/>
  <c r="U1295" i="67"/>
  <c r="AD180" i="65"/>
  <c r="AM682" i="67" s="1"/>
  <c r="AM1288" i="67" s="1"/>
  <c r="AE180" i="65"/>
  <c r="AN682" i="67" s="1"/>
  <c r="AN1288" i="67" s="1"/>
  <c r="E176" i="65"/>
  <c r="N673" i="67" s="1"/>
  <c r="G180" i="65"/>
  <c r="P682" i="67" s="1"/>
  <c r="P1288" i="67" s="1"/>
  <c r="W176" i="65"/>
  <c r="AF673" i="67" s="1"/>
  <c r="AF1279" i="67" s="1"/>
  <c r="AG180" i="65"/>
  <c r="AP682" i="67" s="1"/>
  <c r="AP1288" i="67" s="1"/>
  <c r="U180" i="65"/>
  <c r="AD682" i="67" s="1"/>
  <c r="AD1288" i="67" s="1"/>
  <c r="AL176" i="65"/>
  <c r="AU673" i="67" s="1"/>
  <c r="AU1279" i="67" s="1"/>
  <c r="AD176" i="65"/>
  <c r="AM673" i="67" s="1"/>
  <c r="AM1279" i="67" s="1"/>
  <c r="W180" i="65"/>
  <c r="AF682" i="67" s="1"/>
  <c r="AF1288" i="67" s="1"/>
  <c r="AL180" i="65"/>
  <c r="AU682" i="67" s="1"/>
  <c r="AU1288" i="67" s="1"/>
  <c r="AN180" i="65"/>
  <c r="AW682" i="67" s="1"/>
  <c r="T180" i="65"/>
  <c r="AC682" i="67" s="1"/>
  <c r="AC1288" i="67" s="1"/>
  <c r="Z180" i="65"/>
  <c r="AI682" i="67" s="1"/>
  <c r="AI1288" i="67" s="1"/>
  <c r="N180" i="65"/>
  <c r="W682" i="67" s="1"/>
  <c r="W1288" i="67" s="1"/>
  <c r="S175" i="65"/>
  <c r="AB672" i="67" s="1"/>
  <c r="AB1278" i="67" s="1"/>
  <c r="AR1295" i="67"/>
  <c r="C176" i="65"/>
  <c r="L673" i="67" s="1"/>
  <c r="L1279" i="67" s="1"/>
  <c r="AI176" i="65"/>
  <c r="AR673" i="67" s="1"/>
  <c r="AR1279" i="67" s="1"/>
  <c r="J180" i="65"/>
  <c r="S682" i="67" s="1"/>
  <c r="S1288" i="67" s="1"/>
  <c r="L176" i="65"/>
  <c r="U673" i="67" s="1"/>
  <c r="U1279" i="67" s="1"/>
  <c r="AE175" i="65"/>
  <c r="AN672" i="67" s="1"/>
  <c r="AN1278" i="67" s="1"/>
  <c r="H175" i="65"/>
  <c r="Q672" i="67" s="1"/>
  <c r="Q1278" i="67" s="1"/>
  <c r="V180" i="65"/>
  <c r="AE682" i="67" s="1"/>
  <c r="AE1288" i="67" s="1"/>
  <c r="AB180" i="65"/>
  <c r="AK682" i="67" s="1"/>
  <c r="AK1288" i="67" s="1"/>
  <c r="AC176" i="65"/>
  <c r="AL673" i="67" s="1"/>
  <c r="AL1279" i="67" s="1"/>
  <c r="AF175" i="65"/>
  <c r="AO672" i="67" s="1"/>
  <c r="AO1278" i="67" s="1"/>
  <c r="Q175" i="65"/>
  <c r="Z672" i="67" s="1"/>
  <c r="Z1278" i="67" s="1"/>
  <c r="AN24" i="65"/>
  <c r="AW9" i="67"/>
  <c r="K24" i="65"/>
  <c r="T9" i="67"/>
  <c r="T1225" i="67" s="1"/>
  <c r="AA24" i="65"/>
  <c r="AJ9" i="67"/>
  <c r="AJ1225" i="67" s="1"/>
  <c r="U24" i="65"/>
  <c r="AD9" i="67"/>
  <c r="AD1225" i="67" s="1"/>
  <c r="Z24" i="65"/>
  <c r="AI9" i="67"/>
  <c r="AI1225" i="67" s="1"/>
  <c r="D24" i="65"/>
  <c r="M9" i="67"/>
  <c r="M1225" i="67" s="1"/>
  <c r="AG24" i="65"/>
  <c r="AP9" i="67"/>
  <c r="AP1225" i="67" s="1"/>
  <c r="AH24" i="65"/>
  <c r="AQ9" i="67"/>
  <c r="AQ1225" i="67" s="1"/>
  <c r="P1304" i="67"/>
  <c r="AW1239" i="67"/>
  <c r="N1295" i="67"/>
  <c r="AU1304" i="67"/>
  <c r="Z1294" i="67"/>
  <c r="AN1294" i="67"/>
  <c r="AP1304" i="67"/>
  <c r="AN1304" i="67"/>
  <c r="AU56" i="69"/>
  <c r="AU58" i="69" s="1"/>
  <c r="AU59" i="69" s="1"/>
  <c r="AU60" i="69" s="1"/>
  <c r="AU61" i="69" s="1"/>
  <c r="AL1295" i="67"/>
  <c r="AK1239" i="67"/>
  <c r="AD1304" i="67"/>
  <c r="AF1304" i="67"/>
  <c r="AK1304" i="67"/>
  <c r="AB1142" i="67"/>
  <c r="L1135" i="67"/>
  <c r="R1143" i="67"/>
  <c r="AI1143" i="67"/>
  <c r="AB1151" i="67"/>
  <c r="AP1143" i="67"/>
  <c r="M1143" i="67"/>
  <c r="P1142" i="67"/>
  <c r="AV1127" i="67"/>
  <c r="AE1143" i="67"/>
  <c r="AW1126" i="67"/>
  <c r="Q1151" i="67"/>
  <c r="AB1127" i="67"/>
  <c r="AS1127" i="67"/>
  <c r="AE1126" i="67"/>
  <c r="AL1143" i="67"/>
  <c r="AR1127" i="67"/>
  <c r="AK1126" i="67"/>
  <c r="AV1142" i="67"/>
  <c r="AA1142" i="67"/>
  <c r="AC1251" i="67"/>
  <c r="AW18" i="68" s="1"/>
  <c r="V19" i="62" s="1"/>
  <c r="AI1141" i="67"/>
  <c r="AD1141" i="67"/>
  <c r="M1141" i="67"/>
  <c r="M1239" i="67"/>
  <c r="AI1126" i="67"/>
  <c r="AF1127" i="67"/>
  <c r="AS1126" i="67"/>
  <c r="L1151" i="67"/>
  <c r="U1151" i="67"/>
  <c r="AG1127" i="67"/>
  <c r="R1127" i="67"/>
  <c r="AG1142" i="67"/>
  <c r="AA1127" i="67"/>
  <c r="T1127" i="67"/>
  <c r="AN1143" i="67"/>
  <c r="S1142" i="67"/>
  <c r="O1143" i="67"/>
  <c r="AT1126" i="67"/>
  <c r="AI1142" i="67"/>
  <c r="P1143" i="67"/>
  <c r="U1127" i="67"/>
  <c r="R1126" i="67"/>
  <c r="AN1126" i="67"/>
  <c r="AS1135" i="67"/>
  <c r="L1143" i="67"/>
  <c r="T1135" i="67"/>
  <c r="AP1142" i="67"/>
  <c r="AO1143" i="67"/>
  <c r="AS1143" i="67"/>
  <c r="W1142" i="67"/>
  <c r="AT1135" i="67"/>
  <c r="M1126" i="67"/>
  <c r="AL1127" i="67"/>
  <c r="AA1126" i="67"/>
  <c r="AN1251" i="67"/>
  <c r="BH18" i="68" s="1"/>
  <c r="AG19" i="62" s="1"/>
  <c r="AM1251" i="67"/>
  <c r="BG18" i="68" s="1"/>
  <c r="AF19" i="62" s="1"/>
  <c r="AI1251" i="67"/>
  <c r="BC18" i="68" s="1"/>
  <c r="AB19" i="62" s="1"/>
  <c r="AQ1141" i="67"/>
  <c r="AS1141" i="67"/>
  <c r="AN1241" i="67"/>
  <c r="S1143" i="67"/>
  <c r="AF1143" i="67"/>
  <c r="AT1143" i="67"/>
  <c r="U1135" i="67"/>
  <c r="AW1143" i="67"/>
  <c r="AA1143" i="67"/>
  <c r="AV1151" i="67"/>
  <c r="T1142" i="67"/>
  <c r="V1151" i="67"/>
  <c r="AB1126" i="67"/>
  <c r="AO1126" i="67"/>
  <c r="AS1142" i="67"/>
  <c r="O1126" i="67"/>
  <c r="AK1143" i="67"/>
  <c r="AM1127" i="67"/>
  <c r="T1143" i="67"/>
  <c r="AN1127" i="67"/>
  <c r="AT1142" i="67"/>
  <c r="U1143" i="67"/>
  <c r="T1126" i="67"/>
  <c r="AS1151" i="67"/>
  <c r="M1127" i="67"/>
  <c r="AV1143" i="67"/>
  <c r="Z1143" i="67"/>
  <c r="AE1127" i="67"/>
  <c r="AW1142" i="67"/>
  <c r="T1151" i="67"/>
  <c r="W1143" i="67"/>
  <c r="AB1143" i="67"/>
  <c r="AT1151" i="67"/>
  <c r="AE1142" i="67"/>
  <c r="AU1143" i="67"/>
  <c r="AK1142" i="67"/>
  <c r="Z1126" i="67"/>
  <c r="W1251" i="67"/>
  <c r="AQ18" i="68" s="1"/>
  <c r="P19" i="62" s="1"/>
  <c r="AP1141" i="67"/>
  <c r="P1251" i="67"/>
  <c r="AJ18" i="68" s="1"/>
  <c r="I19" i="62" s="1"/>
  <c r="AF1251" i="67"/>
  <c r="AZ18" i="68" s="1"/>
  <c r="Y19" i="62" s="1"/>
  <c r="AW1141" i="67"/>
  <c r="T1141" i="67"/>
  <c r="AS1225" i="67"/>
  <c r="AK1141" i="67"/>
  <c r="AE1304" i="67"/>
  <c r="N1127" i="67"/>
  <c r="S1127" i="67"/>
  <c r="AO1142" i="67"/>
  <c r="N1143" i="67"/>
  <c r="AT1127" i="67"/>
  <c r="O1142" i="67"/>
  <c r="AK1127" i="67"/>
  <c r="AG1143" i="67"/>
  <c r="AW1127" i="67"/>
  <c r="AG1126" i="67"/>
  <c r="AM1143" i="67"/>
  <c r="AV1135" i="67"/>
  <c r="S1126" i="67"/>
  <c r="AI1127" i="67"/>
  <c r="O1127" i="67"/>
  <c r="AB1135" i="67"/>
  <c r="P1127" i="67"/>
  <c r="R1142" i="67"/>
  <c r="AP1127" i="67"/>
  <c r="AN1142" i="67"/>
  <c r="V1135" i="67"/>
  <c r="L1127" i="67"/>
  <c r="P1126" i="67"/>
  <c r="Z1127" i="67"/>
  <c r="Q1135" i="67"/>
  <c r="AP1126" i="67"/>
  <c r="W1127" i="67"/>
  <c r="AO1127" i="67"/>
  <c r="W1126" i="67"/>
  <c r="M1142" i="67"/>
  <c r="AR1143" i="67"/>
  <c r="AU1127" i="67"/>
  <c r="AV1126" i="67"/>
  <c r="Z1142" i="67"/>
  <c r="AD1251" i="67"/>
  <c r="AX18" i="68" s="1"/>
  <c r="W19" i="62" s="1"/>
  <c r="AP1251" i="67"/>
  <c r="BJ18" i="68" s="1"/>
  <c r="AI19" i="62" s="1"/>
  <c r="AJ1141" i="67"/>
  <c r="AK1251" i="67"/>
  <c r="BE18" i="68" s="1"/>
  <c r="AD19" i="62" s="1"/>
  <c r="AD1239" i="67"/>
  <c r="AK1225" i="67"/>
  <c r="AN1259" i="67"/>
  <c r="AN1345" i="67"/>
  <c r="S1344" i="67"/>
  <c r="AN1361" i="67"/>
  <c r="S1258" i="67"/>
  <c r="AI1361" i="67"/>
  <c r="O1259" i="67"/>
  <c r="AO1345" i="67"/>
  <c r="AK1361" i="67"/>
  <c r="AK1227" i="67"/>
  <c r="AG1361" i="67"/>
  <c r="R1241" i="67"/>
  <c r="AW1241" i="67"/>
  <c r="AW1359" i="67"/>
  <c r="Z1360" i="67"/>
  <c r="T1361" i="67"/>
  <c r="AP1345" i="67"/>
  <c r="AN1240" i="67"/>
  <c r="AS1359" i="67"/>
  <c r="AB1241" i="67"/>
  <c r="AO1240" i="67"/>
  <c r="AS1259" i="67"/>
  <c r="L1353" i="67"/>
  <c r="AT1353" i="67"/>
  <c r="O1344" i="67"/>
  <c r="P1227" i="67"/>
  <c r="P1345" i="67"/>
  <c r="U1361" i="67"/>
  <c r="AK1226" i="67"/>
  <c r="AK1344" i="67"/>
  <c r="AG1360" i="67"/>
  <c r="R1240" i="67"/>
  <c r="AM1241" i="67"/>
  <c r="AM1345" i="67"/>
  <c r="AV1353" i="67"/>
  <c r="AI1359" i="67"/>
  <c r="AJ1359" i="67"/>
  <c r="T1240" i="67"/>
  <c r="AF1295" i="67"/>
  <c r="AM1304" i="67"/>
  <c r="AP1240" i="67"/>
  <c r="W1227" i="67"/>
  <c r="AB1258" i="67"/>
  <c r="AT1227" i="67"/>
  <c r="AS1240" i="67"/>
  <c r="AS1344" i="67"/>
  <c r="L1361" i="67"/>
  <c r="M1259" i="67"/>
  <c r="P1258" i="67"/>
  <c r="AV1227" i="67"/>
  <c r="AV1345" i="67"/>
  <c r="Z1345" i="67"/>
  <c r="AE1361" i="67"/>
  <c r="M1257" i="67"/>
  <c r="AV1344" i="67"/>
  <c r="AA1258" i="67"/>
  <c r="T1359" i="67"/>
  <c r="S1361" i="67"/>
  <c r="AU1295" i="67"/>
  <c r="AF1241" i="67"/>
  <c r="N1259" i="67"/>
  <c r="N1361" i="67"/>
  <c r="AT1240" i="67"/>
  <c r="W1360" i="67"/>
  <c r="U1249" i="67"/>
  <c r="AO18" i="68" s="1"/>
  <c r="N19" i="62" s="1"/>
  <c r="AI1258" i="67"/>
  <c r="M1360" i="67"/>
  <c r="AM1295" i="67"/>
  <c r="AE1258" i="67"/>
  <c r="AL1259" i="67"/>
  <c r="AR1259" i="67"/>
  <c r="AR1345" i="67"/>
  <c r="AU1361" i="67"/>
  <c r="AW1258" i="67"/>
  <c r="AA1241" i="67"/>
  <c r="AD1359" i="67"/>
  <c r="AQ1239" i="67"/>
  <c r="AI1227" i="67"/>
  <c r="AI1345" i="67"/>
  <c r="O1361" i="67"/>
  <c r="AO1259" i="67"/>
  <c r="AK1241" i="67"/>
  <c r="AG1241" i="67"/>
  <c r="AG1227" i="67"/>
  <c r="R1345" i="67"/>
  <c r="AW1259" i="67"/>
  <c r="AP1343" i="67"/>
  <c r="Z1226" i="67"/>
  <c r="Z1344" i="67"/>
  <c r="T1227" i="67"/>
  <c r="T1345" i="67"/>
  <c r="AP1227" i="67"/>
  <c r="AP1361" i="67"/>
  <c r="AN1344" i="67"/>
  <c r="AS1239" i="67"/>
  <c r="AB1361" i="67"/>
  <c r="AO1258" i="67"/>
  <c r="AS1345" i="67"/>
  <c r="V1249" i="67"/>
  <c r="AB1249" i="67"/>
  <c r="O1258" i="67"/>
  <c r="P1259" i="67"/>
  <c r="U1259" i="67"/>
  <c r="AK1240" i="67"/>
  <c r="AG1226" i="67"/>
  <c r="AG1344" i="67"/>
  <c r="R1360" i="67"/>
  <c r="AM1227" i="67"/>
  <c r="BG6" i="68" s="1"/>
  <c r="AF8" i="62" s="1"/>
  <c r="AI1239" i="67"/>
  <c r="AI1343" i="67"/>
  <c r="AJ1257" i="67"/>
  <c r="AJ1343" i="67"/>
  <c r="T1258" i="67"/>
  <c r="T1360" i="67"/>
  <c r="AP1360" i="67"/>
  <c r="W1259" i="67"/>
  <c r="AB1344" i="67"/>
  <c r="AT1345" i="67"/>
  <c r="AS1226" i="67"/>
  <c r="L1259" i="67"/>
  <c r="L1345" i="67"/>
  <c r="M1345" i="67"/>
  <c r="P1240" i="67"/>
  <c r="AV1259" i="67"/>
  <c r="Z1227" i="67"/>
  <c r="Z1361" i="67"/>
  <c r="AE1227" i="67"/>
  <c r="AE1345" i="67"/>
  <c r="M1359" i="67"/>
  <c r="AV1226" i="67"/>
  <c r="AV1360" i="67"/>
  <c r="AA1344" i="67"/>
  <c r="T1257" i="67"/>
  <c r="T1343" i="67"/>
  <c r="AB1294" i="67"/>
  <c r="S1227" i="67"/>
  <c r="S1345" i="67"/>
  <c r="AF1361" i="67"/>
  <c r="N1227" i="67"/>
  <c r="AT1360" i="67"/>
  <c r="W1344" i="67"/>
  <c r="W1226" i="67"/>
  <c r="U1353" i="67"/>
  <c r="AI1344" i="67"/>
  <c r="M1240" i="67"/>
  <c r="M1344" i="67"/>
  <c r="AE1360" i="67"/>
  <c r="AL1345" i="67"/>
  <c r="AR1227" i="67"/>
  <c r="BL6" i="68" s="1"/>
  <c r="AK8" i="62" s="1"/>
  <c r="AU1227" i="67"/>
  <c r="BO6" i="68" s="1"/>
  <c r="AN8" i="62" s="1"/>
  <c r="AU1345" i="67"/>
  <c r="AW1360" i="67"/>
  <c r="AA1259" i="67"/>
  <c r="AD1257" i="67"/>
  <c r="AK1343" i="67"/>
  <c r="Q1249" i="67"/>
  <c r="AK18" i="68" s="1"/>
  <c r="J19" i="62" s="1"/>
  <c r="AQ1257" i="67"/>
  <c r="AN1227" i="67"/>
  <c r="S1360" i="67"/>
  <c r="S1226" i="67"/>
  <c r="AI1241" i="67"/>
  <c r="O1227" i="67"/>
  <c r="O1345" i="67"/>
  <c r="AO1361" i="67"/>
  <c r="AK1259" i="67"/>
  <c r="AG1345" i="67"/>
  <c r="R1227" i="67"/>
  <c r="R1361" i="67"/>
  <c r="AW1361" i="67"/>
  <c r="AP1239" i="67"/>
  <c r="AW1257" i="67"/>
  <c r="Z1258" i="67"/>
  <c r="AI1304" i="67"/>
  <c r="T1259" i="67"/>
  <c r="AP1259" i="67"/>
  <c r="AN1226" i="67"/>
  <c r="AN1360" i="67"/>
  <c r="AS1343" i="67"/>
  <c r="AB1259" i="67"/>
  <c r="AB1345" i="67"/>
  <c r="AO1360" i="67"/>
  <c r="AS1361" i="67"/>
  <c r="AS1227" i="67"/>
  <c r="V1353" i="67"/>
  <c r="AB1353" i="67"/>
  <c r="O1360" i="67"/>
  <c r="P1241" i="67"/>
  <c r="U1345" i="67"/>
  <c r="AK1258" i="67"/>
  <c r="AG1240" i="67"/>
  <c r="R1258" i="67"/>
  <c r="R1344" i="67"/>
  <c r="S1304" i="67"/>
  <c r="AM1259" i="67"/>
  <c r="T1249" i="67"/>
  <c r="AO1294" i="67"/>
  <c r="T1226" i="67"/>
  <c r="W1304" i="67"/>
  <c r="AP1226" i="67"/>
  <c r="AP1344" i="67"/>
  <c r="W1361" i="67"/>
  <c r="AB1240" i="67"/>
  <c r="AT1241" i="67"/>
  <c r="AS1258" i="67"/>
  <c r="L1227" i="67"/>
  <c r="AF6" i="68" s="1"/>
  <c r="E8" i="62" s="1"/>
  <c r="M1361" i="67"/>
  <c r="M1227" i="67"/>
  <c r="P1344" i="67"/>
  <c r="AV1241" i="67"/>
  <c r="Z1259" i="67"/>
  <c r="AE1241" i="67"/>
  <c r="AV1258" i="67"/>
  <c r="AA1240" i="67"/>
  <c r="AA1226" i="67"/>
  <c r="Q1294" i="67"/>
  <c r="S1241" i="67"/>
  <c r="AF1227" i="67"/>
  <c r="AZ6" i="68" s="1"/>
  <c r="Y8" i="62" s="1"/>
  <c r="AF1345" i="67"/>
  <c r="N1345" i="67"/>
  <c r="AT1258" i="67"/>
  <c r="AT1344" i="67"/>
  <c r="W1240" i="67"/>
  <c r="AS1249" i="67"/>
  <c r="AI1240" i="67"/>
  <c r="AI1226" i="67"/>
  <c r="M1226" i="67"/>
  <c r="AC1304" i="67"/>
  <c r="AE1240" i="67"/>
  <c r="AE1226" i="67"/>
  <c r="AL1241" i="67"/>
  <c r="AR1241" i="67"/>
  <c r="AU1241" i="67"/>
  <c r="AW1226" i="67"/>
  <c r="AW1344" i="67"/>
  <c r="AA1361" i="67"/>
  <c r="AK1257" i="67"/>
  <c r="Q1353" i="67"/>
  <c r="AQ1359" i="67"/>
  <c r="S1240" i="67"/>
  <c r="AI1259" i="67"/>
  <c r="O1241" i="67"/>
  <c r="AO1241" i="67"/>
  <c r="AO1227" i="67"/>
  <c r="AK1345" i="67"/>
  <c r="AG1259" i="67"/>
  <c r="R1259" i="67"/>
  <c r="AW1345" i="67"/>
  <c r="AW1227" i="67"/>
  <c r="AP1257" i="67"/>
  <c r="AP1359" i="67"/>
  <c r="AW1343" i="67"/>
  <c r="Z1240" i="67"/>
  <c r="T1241" i="67"/>
  <c r="AP1241" i="67"/>
  <c r="AN1258" i="67"/>
  <c r="AS1257" i="67"/>
  <c r="AB1227" i="67"/>
  <c r="AO1226" i="67"/>
  <c r="AO1344" i="67"/>
  <c r="AS1241" i="67"/>
  <c r="L1249" i="67"/>
  <c r="AF18" i="68" s="1"/>
  <c r="E19" i="62" s="1"/>
  <c r="AT1249" i="67"/>
  <c r="O1240" i="67"/>
  <c r="O1226" i="67"/>
  <c r="P1361" i="67"/>
  <c r="U1241" i="67"/>
  <c r="U1227" i="67"/>
  <c r="AO6" i="68" s="1"/>
  <c r="N8" i="62" s="1"/>
  <c r="AK1360" i="67"/>
  <c r="AG1258" i="67"/>
  <c r="R1226" i="67"/>
  <c r="AM1361" i="67"/>
  <c r="AV1249" i="67"/>
  <c r="AI1257" i="67"/>
  <c r="T1353" i="67"/>
  <c r="AJ1239" i="67"/>
  <c r="T1344" i="67"/>
  <c r="AP1258" i="67"/>
  <c r="W1241" i="67"/>
  <c r="W1345" i="67"/>
  <c r="AB1226" i="67"/>
  <c r="AB1360" i="67"/>
  <c r="AT1259" i="67"/>
  <c r="AT1361" i="67"/>
  <c r="AS1360" i="67"/>
  <c r="L1241" i="67"/>
  <c r="M1241" i="67"/>
  <c r="P1226" i="67"/>
  <c r="P1360" i="67"/>
  <c r="AV1361" i="67"/>
  <c r="Z1241" i="67"/>
  <c r="AE1259" i="67"/>
  <c r="M1343" i="67"/>
  <c r="AW1304" i="67"/>
  <c r="AV1240" i="67"/>
  <c r="AA1360" i="67"/>
  <c r="T1239" i="67"/>
  <c r="S1259" i="67"/>
  <c r="AF1259" i="67"/>
  <c r="N1241" i="67"/>
  <c r="AT1226" i="67"/>
  <c r="W1258" i="67"/>
  <c r="AS1353" i="67"/>
  <c r="AI1360" i="67"/>
  <c r="M1258" i="67"/>
  <c r="AE1344" i="67"/>
  <c r="AL1227" i="67"/>
  <c r="BF6" i="68" s="1"/>
  <c r="AE8" i="62" s="1"/>
  <c r="AL1361" i="67"/>
  <c r="AR1361" i="67"/>
  <c r="AU1259" i="67"/>
  <c r="AW1240" i="67"/>
  <c r="AA1227" i="67"/>
  <c r="AA1345" i="67"/>
  <c r="AD1343" i="67"/>
  <c r="AK1359" i="67"/>
  <c r="AQ1343" i="67"/>
  <c r="AM10" i="69"/>
  <c r="AR9" i="70" s="1"/>
  <c r="AD10" i="69"/>
  <c r="AI9" i="70" s="1"/>
  <c r="AU10" i="69"/>
  <c r="AZ8" i="70" s="1"/>
  <c r="BA10" i="69"/>
  <c r="BF8" i="70" s="1"/>
  <c r="BF56" i="69"/>
  <c r="BF58" i="69" s="1"/>
  <c r="BF59" i="69" s="1"/>
  <c r="BF60" i="69" s="1"/>
  <c r="BF61" i="69" s="1"/>
  <c r="R1116" i="67"/>
  <c r="R1098" i="67"/>
  <c r="AJ1096" i="67"/>
  <c r="AJ1216" i="67"/>
  <c r="AJ1369" i="67" s="1"/>
  <c r="AJ1114" i="67"/>
  <c r="AJ1200" i="67"/>
  <c r="Y1074" i="67"/>
  <c r="Y1192" i="67"/>
  <c r="Y1208" i="67"/>
  <c r="Y1088" i="67"/>
  <c r="Y1106" i="67"/>
  <c r="AJ1192" i="67"/>
  <c r="AJ1074" i="67"/>
  <c r="AJ1208" i="67"/>
  <c r="AJ1088" i="67"/>
  <c r="AJ1106" i="67"/>
  <c r="AC10" i="69"/>
  <c r="AH10" i="70"/>
  <c r="U784" i="67"/>
  <c r="U1086" i="67"/>
  <c r="U1206" i="67"/>
  <c r="U1104" i="67"/>
  <c r="U1190" i="67"/>
  <c r="L39" i="65"/>
  <c r="L41" i="65" s="1"/>
  <c r="U162" i="67" s="1"/>
  <c r="L19" i="65"/>
  <c r="L75" i="65"/>
  <c r="L80" i="65" s="1"/>
  <c r="U315" i="67" s="1"/>
  <c r="AN55" i="70"/>
  <c r="U974" i="67" s="1"/>
  <c r="AN71" i="70"/>
  <c r="U990" i="67" s="1"/>
  <c r="L127" i="65"/>
  <c r="L137" i="65" s="1"/>
  <c r="U467" i="67" s="1"/>
  <c r="U1072" i="67"/>
  <c r="BE56" i="69"/>
  <c r="BE58" i="69" s="1"/>
  <c r="BE59" i="69" s="1"/>
  <c r="BE60" i="69" s="1"/>
  <c r="BE61" i="69" s="1"/>
  <c r="Y1200" i="67"/>
  <c r="Y1216" i="67"/>
  <c r="Y1369" i="67" s="1"/>
  <c r="Y1096" i="67"/>
  <c r="Y1114" i="67"/>
  <c r="AO1096" i="67"/>
  <c r="AO1114" i="67"/>
  <c r="AO1200" i="67"/>
  <c r="AO1216" i="67"/>
  <c r="AO1369" i="67" s="1"/>
  <c r="AL1098" i="67"/>
  <c r="AL1116" i="67"/>
  <c r="AM784" i="67"/>
  <c r="AM1104" i="67"/>
  <c r="AD39" i="65"/>
  <c r="AD41" i="65" s="1"/>
  <c r="AM162" i="67" s="1"/>
  <c r="AM1086" i="67"/>
  <c r="AM1190" i="67"/>
  <c r="AD127" i="65"/>
  <c r="AD137" i="65" s="1"/>
  <c r="AM467" i="67" s="1"/>
  <c r="AD19" i="65"/>
  <c r="AD75" i="65"/>
  <c r="AD80" i="65" s="1"/>
  <c r="AM315" i="67" s="1"/>
  <c r="AM1072" i="67"/>
  <c r="AM1206" i="67"/>
  <c r="BF55" i="70"/>
  <c r="AM974" i="67" s="1"/>
  <c r="BF71" i="70"/>
  <c r="AM990" i="67" s="1"/>
  <c r="X1216" i="67"/>
  <c r="X1369" i="67" s="1"/>
  <c r="X1096" i="67"/>
  <c r="X1114" i="67"/>
  <c r="X1200" i="67"/>
  <c r="AG1098" i="67"/>
  <c r="AG1116" i="67"/>
  <c r="AR1098" i="67"/>
  <c r="AR1116" i="67"/>
  <c r="N1096" i="67"/>
  <c r="N1114" i="67"/>
  <c r="N1200" i="67"/>
  <c r="N1216" i="67"/>
  <c r="N1369" i="67" s="1"/>
  <c r="AD1192" i="67"/>
  <c r="AD1074" i="67"/>
  <c r="AD1208" i="67"/>
  <c r="AD1106" i="67"/>
  <c r="AD1088" i="67"/>
  <c r="O1098" i="67"/>
  <c r="O1116" i="67"/>
  <c r="X1073" i="67"/>
  <c r="X1207" i="67"/>
  <c r="X1105" i="67"/>
  <c r="X1087" i="67"/>
  <c r="X1191" i="67"/>
  <c r="V1074" i="67"/>
  <c r="V1208" i="67"/>
  <c r="V1088" i="67"/>
  <c r="V1106" i="67"/>
  <c r="V1192" i="67"/>
  <c r="AE1086" i="67"/>
  <c r="AE1190" i="67"/>
  <c r="AE1072" i="67"/>
  <c r="AE1206" i="67"/>
  <c r="AE1104" i="67"/>
  <c r="AX55" i="70"/>
  <c r="AE974" i="67" s="1"/>
  <c r="V39" i="65"/>
  <c r="V41" i="65" s="1"/>
  <c r="AE162" i="67" s="1"/>
  <c r="AX71" i="70"/>
  <c r="AE990" i="67" s="1"/>
  <c r="V75" i="65"/>
  <c r="V80" i="65" s="1"/>
  <c r="AE315" i="67" s="1"/>
  <c r="V127" i="65"/>
  <c r="V137" i="65" s="1"/>
  <c r="AE467" i="67" s="1"/>
  <c r="V19" i="65"/>
  <c r="AI1125" i="67"/>
  <c r="Z163" i="65"/>
  <c r="AB1103" i="67"/>
  <c r="AB1085" i="67"/>
  <c r="AB1189" i="67"/>
  <c r="AB1071" i="67"/>
  <c r="AB1205" i="67"/>
  <c r="S126" i="65"/>
  <c r="S136" i="65" s="1"/>
  <c r="AB466" i="67" s="1"/>
  <c r="S197" i="65"/>
  <c r="S198" i="65" s="1"/>
  <c r="AU54" i="70"/>
  <c r="AB973" i="67" s="1"/>
  <c r="H126" i="65"/>
  <c r="H136" i="65" s="1"/>
  <c r="Q466" i="67" s="1"/>
  <c r="AJ54" i="70"/>
  <c r="Q973" i="67" s="1"/>
  <c r="H197" i="65"/>
  <c r="H198" i="65" s="1"/>
  <c r="Q1071" i="67"/>
  <c r="Q1205" i="67"/>
  <c r="Q1103" i="67"/>
  <c r="Q1085" i="67"/>
  <c r="Q1189" i="67"/>
  <c r="AK1085" i="67"/>
  <c r="AB197" i="65"/>
  <c r="AB198" i="65" s="1"/>
  <c r="AK1103" i="67"/>
  <c r="AB126" i="65"/>
  <c r="AB136" i="65" s="1"/>
  <c r="AK466" i="67" s="1"/>
  <c r="AK1189" i="67"/>
  <c r="BD54" i="70"/>
  <c r="AK973" i="67" s="1"/>
  <c r="AK1071" i="67"/>
  <c r="AK1205" i="67"/>
  <c r="AJ1125" i="67"/>
  <c r="AA163" i="65"/>
  <c r="AE8" i="70"/>
  <c r="AE9" i="70"/>
  <c r="AS1125" i="67"/>
  <c r="AJ163" i="65"/>
  <c r="BI8" i="70"/>
  <c r="BI9" i="70"/>
  <c r="AN1071" i="67"/>
  <c r="AN1205" i="67"/>
  <c r="AE197" i="65"/>
  <c r="AE198" i="65" s="1"/>
  <c r="AN1085" i="67"/>
  <c r="AE126" i="65"/>
  <c r="AE136" i="65" s="1"/>
  <c r="AN466" i="67" s="1"/>
  <c r="AN1103" i="67"/>
  <c r="BG54" i="70"/>
  <c r="AN973" i="67" s="1"/>
  <c r="AN1189" i="67"/>
  <c r="AQ1114" i="67"/>
  <c r="AQ1096" i="67"/>
  <c r="AQ1200" i="67"/>
  <c r="AQ1216" i="67"/>
  <c r="AC1087" i="67"/>
  <c r="AC1105" i="67"/>
  <c r="AC1191" i="67"/>
  <c r="AC1073" i="67"/>
  <c r="AC1207" i="67"/>
  <c r="Y1190" i="67"/>
  <c r="Y1072" i="67"/>
  <c r="Y1086" i="67"/>
  <c r="Y1206" i="67"/>
  <c r="Y1104" i="67"/>
  <c r="P75" i="65"/>
  <c r="P80" i="65" s="1"/>
  <c r="Y315" i="67" s="1"/>
  <c r="P127" i="65"/>
  <c r="P137" i="65" s="1"/>
  <c r="Y467" i="67" s="1"/>
  <c r="P19" i="65"/>
  <c r="P39" i="65"/>
  <c r="P41" i="65" s="1"/>
  <c r="Y162" i="67" s="1"/>
  <c r="AR55" i="70"/>
  <c r="Y974" i="67" s="1"/>
  <c r="AR71" i="70"/>
  <c r="Y990" i="67" s="1"/>
  <c r="M1098" i="67"/>
  <c r="M1116" i="67"/>
  <c r="AL10" i="69"/>
  <c r="AQ10" i="70"/>
  <c r="BH10" i="69"/>
  <c r="AH1098" i="67"/>
  <c r="AH1116" i="67"/>
  <c r="X1106" i="67"/>
  <c r="X1088" i="67"/>
  <c r="X1192" i="67"/>
  <c r="X1208" i="67"/>
  <c r="X1074" i="67"/>
  <c r="AV10" i="69"/>
  <c r="AX9" i="70"/>
  <c r="AX8" i="70"/>
  <c r="R1104" i="67"/>
  <c r="R1190" i="67"/>
  <c r="R1072" i="67"/>
  <c r="R1206" i="67"/>
  <c r="R1086" i="67"/>
  <c r="I75" i="65"/>
  <c r="I80" i="65" s="1"/>
  <c r="R315" i="67" s="1"/>
  <c r="I19" i="65"/>
  <c r="AK71" i="70"/>
  <c r="R990" i="67" s="1"/>
  <c r="AK55" i="70"/>
  <c r="R974" i="67" s="1"/>
  <c r="I39" i="65"/>
  <c r="I41" i="65" s="1"/>
  <c r="R162" i="67" s="1"/>
  <c r="I127" i="65"/>
  <c r="I137" i="65" s="1"/>
  <c r="R467" i="67" s="1"/>
  <c r="V1086" i="67"/>
  <c r="V1190" i="67"/>
  <c r="V1072" i="67"/>
  <c r="V1206" i="67"/>
  <c r="V1104" i="67"/>
  <c r="M19" i="65"/>
  <c r="M127" i="65"/>
  <c r="M137" i="65" s="1"/>
  <c r="V467" i="67" s="1"/>
  <c r="AO71" i="70"/>
  <c r="V990" i="67" s="1"/>
  <c r="AO55" i="70"/>
  <c r="V974" i="67" s="1"/>
  <c r="M39" i="65"/>
  <c r="M41" i="65" s="1"/>
  <c r="V162" i="67" s="1"/>
  <c r="M75" i="65"/>
  <c r="M80" i="65" s="1"/>
  <c r="V315" i="67" s="1"/>
  <c r="AS1189" i="67"/>
  <c r="AS1071" i="67"/>
  <c r="AS1205" i="67"/>
  <c r="AS1103" i="67"/>
  <c r="AS1085" i="67"/>
  <c r="BL54" i="70"/>
  <c r="AS973" i="67" s="1"/>
  <c r="AA1104" i="67"/>
  <c r="AA1086" i="67"/>
  <c r="AA1190" i="67"/>
  <c r="AA1072" i="67"/>
  <c r="AA1206" i="67"/>
  <c r="R75" i="65"/>
  <c r="R80" i="65" s="1"/>
  <c r="AA315" i="67" s="1"/>
  <c r="R39" i="65"/>
  <c r="R41" i="65" s="1"/>
  <c r="AA162" i="67" s="1"/>
  <c r="R19" i="65"/>
  <c r="AT55" i="70"/>
  <c r="AA974" i="67" s="1"/>
  <c r="AT71" i="70"/>
  <c r="AA990" i="67" s="1"/>
  <c r="R127" i="65"/>
  <c r="R137" i="65" s="1"/>
  <c r="AA467" i="67" s="1"/>
  <c r="AO1084" i="67"/>
  <c r="AO1204" i="67"/>
  <c r="AO1070" i="67"/>
  <c r="AO1102" i="67"/>
  <c r="AO1188" i="67"/>
  <c r="BH69" i="70"/>
  <c r="AF125" i="65"/>
  <c r="AF135" i="65" s="1"/>
  <c r="AO465" i="67" s="1"/>
  <c r="AF18" i="65"/>
  <c r="AO7" i="67" s="1"/>
  <c r="AF74" i="65"/>
  <c r="AF79" i="65" s="1"/>
  <c r="AO313" i="67" s="1"/>
  <c r="BH53" i="70"/>
  <c r="BH4" i="70"/>
  <c r="AQ1125" i="67"/>
  <c r="AH163" i="65"/>
  <c r="AQ1189" i="67"/>
  <c r="AQ1103" i="67"/>
  <c r="AQ1205" i="67"/>
  <c r="AQ1085" i="67"/>
  <c r="AH126" i="65"/>
  <c r="AH136" i="65" s="1"/>
  <c r="AQ466" i="67" s="1"/>
  <c r="AQ1071" i="67"/>
  <c r="BJ54" i="70"/>
  <c r="AQ973" i="67" s="1"/>
  <c r="AH197" i="65"/>
  <c r="AH198" i="65" s="1"/>
  <c r="BJ70" i="70" s="1"/>
  <c r="BC9" i="70"/>
  <c r="BC8" i="70"/>
  <c r="AK1125" i="67"/>
  <c r="AB163" i="65"/>
  <c r="S1072" i="67"/>
  <c r="S1206" i="67"/>
  <c r="S1086" i="67"/>
  <c r="S1104" i="67"/>
  <c r="S1190" i="67"/>
  <c r="J19" i="65"/>
  <c r="J127" i="65"/>
  <c r="J137" i="65" s="1"/>
  <c r="S467" i="67" s="1"/>
  <c r="AL71" i="70"/>
  <c r="S990" i="67" s="1"/>
  <c r="J39" i="65"/>
  <c r="J41" i="65" s="1"/>
  <c r="S162" i="67" s="1"/>
  <c r="J75" i="65"/>
  <c r="J80" i="65" s="1"/>
  <c r="S315" i="67" s="1"/>
  <c r="AL55" i="70"/>
  <c r="S974" i="67" s="1"/>
  <c r="AI1071" i="67"/>
  <c r="BB54" i="70"/>
  <c r="AI973" i="67" s="1"/>
  <c r="AI1085" i="67"/>
  <c r="AI1103" i="67"/>
  <c r="Z197" i="65"/>
  <c r="Z198" i="65" s="1"/>
  <c r="AI1189" i="67"/>
  <c r="Z126" i="65"/>
  <c r="Z136" i="65" s="1"/>
  <c r="AI466" i="67" s="1"/>
  <c r="AI1205" i="67"/>
  <c r="AJ1116" i="67"/>
  <c r="AJ1098" i="67"/>
  <c r="AO1098" i="67"/>
  <c r="AO1116" i="67"/>
  <c r="AH1191" i="67"/>
  <c r="AH1073" i="67"/>
  <c r="AH1207" i="67"/>
  <c r="AH1087" i="67"/>
  <c r="AH1105" i="67"/>
  <c r="Q1087" i="67"/>
  <c r="Q1105" i="67"/>
  <c r="Q1191" i="67"/>
  <c r="Q1073" i="67"/>
  <c r="Q1207" i="67"/>
  <c r="O1216" i="67"/>
  <c r="O1369" i="67" s="1"/>
  <c r="O1114" i="67"/>
  <c r="O1096" i="67"/>
  <c r="O1200" i="67"/>
  <c r="BJ10" i="69"/>
  <c r="BO10" i="70"/>
  <c r="AK10" i="69"/>
  <c r="AP10" i="70"/>
  <c r="AH784" i="67"/>
  <c r="AH1190" i="67"/>
  <c r="AH1072" i="67"/>
  <c r="AH1206" i="67"/>
  <c r="AH1086" i="67"/>
  <c r="AH1104" i="67"/>
  <c r="BA71" i="70"/>
  <c r="AH990" i="67" s="1"/>
  <c r="Y127" i="65"/>
  <c r="Y137" i="65" s="1"/>
  <c r="AH467" i="67" s="1"/>
  <c r="BA55" i="70"/>
  <c r="AH974" i="67" s="1"/>
  <c r="Y19" i="65"/>
  <c r="Y39" i="65"/>
  <c r="Y41" i="65" s="1"/>
  <c r="AH162" i="67" s="1"/>
  <c r="Y75" i="65"/>
  <c r="Y80" i="65" s="1"/>
  <c r="AH315" i="67" s="1"/>
  <c r="AW1125" i="67"/>
  <c r="AN163" i="65"/>
  <c r="AK8" i="70"/>
  <c r="AK9" i="70"/>
  <c r="AO9" i="70"/>
  <c r="AO8" i="70"/>
  <c r="AS1070" i="67"/>
  <c r="AS1204" i="67"/>
  <c r="AS1084" i="67"/>
  <c r="AS1102" i="67"/>
  <c r="AS1188" i="67"/>
  <c r="BL4" i="70"/>
  <c r="BL69" i="70"/>
  <c r="BL53" i="70"/>
  <c r="AJ125" i="65"/>
  <c r="AJ135" i="65" s="1"/>
  <c r="AS465" i="67" s="1"/>
  <c r="AJ74" i="65"/>
  <c r="AJ79" i="65" s="1"/>
  <c r="AS313" i="67" s="1"/>
  <c r="AJ18" i="65"/>
  <c r="AT9" i="70"/>
  <c r="AT8" i="70"/>
  <c r="AO1085" i="67"/>
  <c r="AO1205" i="67"/>
  <c r="AF197" i="65"/>
  <c r="AF198" i="65" s="1"/>
  <c r="AO1071" i="67"/>
  <c r="AO1103" i="67"/>
  <c r="BH54" i="70"/>
  <c r="AO973" i="67" s="1"/>
  <c r="AO1189" i="67"/>
  <c r="AF126" i="65"/>
  <c r="AF136" i="65" s="1"/>
  <c r="AO466" i="67" s="1"/>
  <c r="T1125" i="67"/>
  <c r="K163" i="65"/>
  <c r="AM9" i="70"/>
  <c r="AM8" i="70"/>
  <c r="Z1102" i="67"/>
  <c r="Q18" i="65"/>
  <c r="Z1204" i="67"/>
  <c r="AS53" i="70"/>
  <c r="Z1084" i="67"/>
  <c r="AS69" i="70"/>
  <c r="Z1188" i="67"/>
  <c r="Q74" i="65"/>
  <c r="Q79" i="65" s="1"/>
  <c r="Z313" i="67" s="1"/>
  <c r="Z1070" i="67"/>
  <c r="Q125" i="65"/>
  <c r="Q135" i="65" s="1"/>
  <c r="Z465" i="67" s="1"/>
  <c r="AL9" i="70"/>
  <c r="AL8" i="70"/>
  <c r="AI1070" i="67"/>
  <c r="AI1204" i="67"/>
  <c r="BB53" i="70"/>
  <c r="BB4" i="70"/>
  <c r="BB69" i="70"/>
  <c r="AI1084" i="67"/>
  <c r="Z74" i="65"/>
  <c r="Z79" i="65" s="1"/>
  <c r="AI313" i="67" s="1"/>
  <c r="AI1102" i="67"/>
  <c r="Z125" i="65"/>
  <c r="Z135" i="65" s="1"/>
  <c r="AI465" i="67" s="1"/>
  <c r="AI1188" i="67"/>
  <c r="Z18" i="65"/>
  <c r="AA1200" i="67"/>
  <c r="AA1216" i="67"/>
  <c r="AA1369" i="67" s="1"/>
  <c r="AA1114" i="67"/>
  <c r="AA1096" i="67"/>
  <c r="AQ1073" i="67"/>
  <c r="AQ1207" i="67"/>
  <c r="AQ1087" i="67"/>
  <c r="AQ1105" i="67"/>
  <c r="AQ1191" i="67"/>
  <c r="Y1098" i="67"/>
  <c r="Y1116" i="67"/>
  <c r="AC1192" i="67"/>
  <c r="AC1074" i="67"/>
  <c r="AC1208" i="67"/>
  <c r="AC1088" i="67"/>
  <c r="AC1106" i="67"/>
  <c r="Z1216" i="67"/>
  <c r="Z1096" i="67"/>
  <c r="Z1114" i="67"/>
  <c r="Z1200" i="67"/>
  <c r="BF10" i="69"/>
  <c r="BK10" i="70"/>
  <c r="X1116" i="67"/>
  <c r="X1098" i="67"/>
  <c r="AR1096" i="67"/>
  <c r="AR1114" i="67"/>
  <c r="AR1200" i="67"/>
  <c r="AR1216" i="67"/>
  <c r="AR1369" i="67" s="1"/>
  <c r="N1098" i="67"/>
  <c r="N1116" i="67"/>
  <c r="AT784" i="67"/>
  <c r="AT1072" i="67"/>
  <c r="AT1206" i="67"/>
  <c r="AK127" i="65"/>
  <c r="AK137" i="65" s="1"/>
  <c r="AT467" i="67" s="1"/>
  <c r="BM71" i="70"/>
  <c r="AT990" i="67" s="1"/>
  <c r="AT1190" i="67"/>
  <c r="AK39" i="65"/>
  <c r="AK41" i="65" s="1"/>
  <c r="AT162" i="67" s="1"/>
  <c r="AT1104" i="67"/>
  <c r="AK75" i="65"/>
  <c r="AK80" i="65" s="1"/>
  <c r="AT315" i="67" s="1"/>
  <c r="AT1086" i="67"/>
  <c r="AK19" i="65"/>
  <c r="BM55" i="70"/>
  <c r="AT974" i="67" s="1"/>
  <c r="R1216" i="67"/>
  <c r="R1369" i="67" s="1"/>
  <c r="R1096" i="67"/>
  <c r="R1114" i="67"/>
  <c r="R1200" i="67"/>
  <c r="AA1116" i="67"/>
  <c r="AA1098" i="67"/>
  <c r="Y1073" i="67"/>
  <c r="Y1207" i="67"/>
  <c r="Y1105" i="67"/>
  <c r="Y1087" i="67"/>
  <c r="Y1191" i="67"/>
  <c r="AJ1073" i="67"/>
  <c r="AJ1207" i="67"/>
  <c r="AJ1105" i="67"/>
  <c r="AJ1087" i="67"/>
  <c r="AJ1191" i="67"/>
  <c r="AQ1098" i="67"/>
  <c r="AQ1116" i="67"/>
  <c r="AG784" i="67"/>
  <c r="AG1086" i="67"/>
  <c r="AG1104" i="67"/>
  <c r="AG1072" i="67"/>
  <c r="AG1190" i="67"/>
  <c r="AZ55" i="70"/>
  <c r="AG974" i="67" s="1"/>
  <c r="AZ71" i="70"/>
  <c r="AG990" i="67" s="1"/>
  <c r="X127" i="65"/>
  <c r="X137" i="65" s="1"/>
  <c r="AG467" i="67" s="1"/>
  <c r="X75" i="65"/>
  <c r="X80" i="65" s="1"/>
  <c r="AG315" i="67" s="1"/>
  <c r="X19" i="65"/>
  <c r="X39" i="65"/>
  <c r="X41" i="65" s="1"/>
  <c r="AG162" i="67" s="1"/>
  <c r="AG1206" i="67"/>
  <c r="AI10" i="69"/>
  <c r="BI10" i="69"/>
  <c r="BN10" i="70"/>
  <c r="P1104" i="67"/>
  <c r="P1086" i="67"/>
  <c r="P1190" i="67"/>
  <c r="P1206" i="67"/>
  <c r="P1072" i="67"/>
  <c r="G39" i="65"/>
  <c r="G41" i="65" s="1"/>
  <c r="P162" i="67" s="1"/>
  <c r="AI55" i="70"/>
  <c r="P974" i="67" s="1"/>
  <c r="G19" i="65"/>
  <c r="G75" i="65"/>
  <c r="G80" i="65" s="1"/>
  <c r="P315" i="67" s="1"/>
  <c r="G127" i="65"/>
  <c r="G137" i="65" s="1"/>
  <c r="P467" i="67" s="1"/>
  <c r="AI71" i="70"/>
  <c r="P990" i="67" s="1"/>
  <c r="AQ1192" i="67"/>
  <c r="AQ1074" i="67"/>
  <c r="AQ1208" i="67"/>
  <c r="AQ1088" i="67"/>
  <c r="AQ1106" i="67"/>
  <c r="Z1098" i="67"/>
  <c r="Z1116" i="67"/>
  <c r="AL1216" i="67"/>
  <c r="AL1369" i="67" s="1"/>
  <c r="AL1114" i="67"/>
  <c r="AL1096" i="67"/>
  <c r="AL1200" i="67"/>
  <c r="AG1216" i="67"/>
  <c r="AG1369" i="67" s="1"/>
  <c r="AG1096" i="67"/>
  <c r="AG1114" i="67"/>
  <c r="AG1200" i="67"/>
  <c r="M1216" i="67"/>
  <c r="M1096" i="67"/>
  <c r="M1114" i="67"/>
  <c r="M1200" i="67"/>
  <c r="AH1192" i="67"/>
  <c r="AH1074" i="67"/>
  <c r="AH1208" i="67"/>
  <c r="AH1106" i="67"/>
  <c r="AH1088" i="67"/>
  <c r="AT10" i="69"/>
  <c r="AY10" i="70"/>
  <c r="AX4" i="70"/>
  <c r="AD1105" i="67"/>
  <c r="AD1087" i="67"/>
  <c r="AD1191" i="67"/>
  <c r="AD1073" i="67"/>
  <c r="AD1207" i="67"/>
  <c r="Q1106" i="67"/>
  <c r="Q1192" i="67"/>
  <c r="Q1088" i="67"/>
  <c r="Q1208" i="67"/>
  <c r="Q1074" i="67"/>
  <c r="AZ10" i="69"/>
  <c r="BE10" i="70"/>
  <c r="AH1216" i="67"/>
  <c r="AH1369" i="67" s="1"/>
  <c r="AH1096" i="67"/>
  <c r="AH1114" i="67"/>
  <c r="AH1200" i="67"/>
  <c r="V1087" i="67"/>
  <c r="V1105" i="67"/>
  <c r="V1191" i="67"/>
  <c r="V1073" i="67"/>
  <c r="V1207" i="67"/>
  <c r="AQ10" i="69"/>
  <c r="AV10" i="70"/>
  <c r="AB10" i="69"/>
  <c r="AG10" i="70"/>
  <c r="AP1125" i="67"/>
  <c r="AG163" i="65"/>
  <c r="AB1102" i="67"/>
  <c r="AB1084" i="67"/>
  <c r="AB1188" i="67"/>
  <c r="AB1070" i="67"/>
  <c r="AB1204" i="67"/>
  <c r="AU69" i="70"/>
  <c r="S74" i="65"/>
  <c r="S79" i="65" s="1"/>
  <c r="AB313" i="67" s="1"/>
  <c r="S125" i="65"/>
  <c r="S135" i="65" s="1"/>
  <c r="AB465" i="67" s="1"/>
  <c r="S18" i="65"/>
  <c r="AU53" i="70"/>
  <c r="AW1188" i="67"/>
  <c r="AW1084" i="67"/>
  <c r="AW1204" i="67"/>
  <c r="AW1070" i="67"/>
  <c r="AW1102" i="67"/>
  <c r="AN125" i="65"/>
  <c r="AN135" i="65" s="1"/>
  <c r="AW465" i="67" s="1"/>
  <c r="BP69" i="70"/>
  <c r="BP4" i="70"/>
  <c r="BP53" i="70"/>
  <c r="AN18" i="65"/>
  <c r="AN74" i="65"/>
  <c r="AN79" i="65" s="1"/>
  <c r="AW313" i="67" s="1"/>
  <c r="Q1188" i="67"/>
  <c r="Q1084" i="67"/>
  <c r="Q1204" i="67"/>
  <c r="Q1102" i="67"/>
  <c r="Q1070" i="67"/>
  <c r="H125" i="65"/>
  <c r="H135" i="65" s="1"/>
  <c r="Q465" i="67" s="1"/>
  <c r="H18" i="65"/>
  <c r="AJ69" i="70"/>
  <c r="AJ53" i="70"/>
  <c r="H74" i="65"/>
  <c r="H79" i="65" s="1"/>
  <c r="Q313" i="67" s="1"/>
  <c r="AK1188" i="67"/>
  <c r="BD69" i="70"/>
  <c r="AB125" i="65"/>
  <c r="AB135" i="65" s="1"/>
  <c r="AK465" i="67" s="1"/>
  <c r="AK1070" i="67"/>
  <c r="AK1204" i="67"/>
  <c r="BD53" i="70"/>
  <c r="AK1084" i="67"/>
  <c r="AB74" i="65"/>
  <c r="AB79" i="65" s="1"/>
  <c r="AK313" i="67" s="1"/>
  <c r="AB18" i="65"/>
  <c r="AK1102" i="67"/>
  <c r="BD4" i="70"/>
  <c r="AF8" i="70"/>
  <c r="AF9" i="70"/>
  <c r="L1072" i="67"/>
  <c r="L1190" i="67"/>
  <c r="L1086" i="67"/>
  <c r="L1206" i="67"/>
  <c r="L1104" i="67"/>
  <c r="C39" i="65"/>
  <c r="C41" i="65" s="1"/>
  <c r="L162" i="67" s="1"/>
  <c r="AE71" i="70"/>
  <c r="L990" i="67" s="1"/>
  <c r="C127" i="65"/>
  <c r="C137" i="65" s="1"/>
  <c r="L467" i="67" s="1"/>
  <c r="AE55" i="70"/>
  <c r="L974" i="67" s="1"/>
  <c r="C19" i="65"/>
  <c r="C75" i="65"/>
  <c r="C80" i="65" s="1"/>
  <c r="L315" i="67" s="1"/>
  <c r="AD1125" i="67"/>
  <c r="U163" i="65"/>
  <c r="AD1102" i="67"/>
  <c r="AD1188" i="67"/>
  <c r="AD1084" i="67"/>
  <c r="AW69" i="70"/>
  <c r="AD1070" i="67"/>
  <c r="AW53" i="70"/>
  <c r="AD1204" i="67"/>
  <c r="U125" i="65"/>
  <c r="U135" i="65" s="1"/>
  <c r="AD465" i="67" s="1"/>
  <c r="U74" i="65"/>
  <c r="U79" i="65" s="1"/>
  <c r="AD313" i="67" s="1"/>
  <c r="U18" i="65"/>
  <c r="AD7" i="67" s="1"/>
  <c r="Z1189" i="67"/>
  <c r="Q126" i="65"/>
  <c r="Q136" i="65" s="1"/>
  <c r="Z466" i="67" s="1"/>
  <c r="Q197" i="65"/>
  <c r="Q198" i="65" s="1"/>
  <c r="Z1071" i="67"/>
  <c r="Z1205" i="67"/>
  <c r="Z1103" i="67"/>
  <c r="Z1085" i="67"/>
  <c r="AS54" i="70"/>
  <c r="Z973" i="67" s="1"/>
  <c r="M1125" i="67"/>
  <c r="D163" i="65"/>
  <c r="AN1084" i="67"/>
  <c r="AE74" i="65"/>
  <c r="AE79" i="65" s="1"/>
  <c r="AN313" i="67" s="1"/>
  <c r="AN1102" i="67"/>
  <c r="BG69" i="70"/>
  <c r="BG53" i="70"/>
  <c r="AN1070" i="67"/>
  <c r="AN1188" i="67"/>
  <c r="BG4" i="70"/>
  <c r="AE125" i="65"/>
  <c r="AE135" i="65" s="1"/>
  <c r="AN465" i="67" s="1"/>
  <c r="AN1204" i="67"/>
  <c r="AE18" i="65"/>
  <c r="AN7" i="67" s="1"/>
  <c r="AT81" i="70"/>
  <c r="AA1000" i="67" s="1"/>
  <c r="AT65" i="70"/>
  <c r="AA984" i="67" s="1"/>
  <c r="C168" i="65"/>
  <c r="L168" i="65"/>
  <c r="BC73" i="70"/>
  <c r="AJ992" i="67" s="1"/>
  <c r="BC57" i="70"/>
  <c r="AJ976" i="67" s="1"/>
  <c r="AA129" i="65"/>
  <c r="AA139" i="65" s="1"/>
  <c r="AJ469" i="67" s="1"/>
  <c r="AR81" i="70"/>
  <c r="Y1000" i="67" s="1"/>
  <c r="AR65" i="70"/>
  <c r="Y984" i="67" s="1"/>
  <c r="Z164" i="65"/>
  <c r="K164" i="65"/>
  <c r="AE164" i="65"/>
  <c r="AZ81" i="70"/>
  <c r="AG1000" i="67" s="1"/>
  <c r="AZ65" i="70"/>
  <c r="AG984" i="67" s="1"/>
  <c r="M168" i="65"/>
  <c r="AF81" i="70"/>
  <c r="M1000" i="67" s="1"/>
  <c r="AF65" i="70"/>
  <c r="M984" i="67" s="1"/>
  <c r="BA73" i="70"/>
  <c r="AH992" i="67" s="1"/>
  <c r="BA57" i="70"/>
  <c r="AH976" i="67" s="1"/>
  <c r="Y129" i="65"/>
  <c r="Y139" i="65" s="1"/>
  <c r="AH469" i="67" s="1"/>
  <c r="G164" i="65"/>
  <c r="AW73" i="70"/>
  <c r="AD992" i="67" s="1"/>
  <c r="U129" i="65"/>
  <c r="U139" i="65" s="1"/>
  <c r="AD469" i="67" s="1"/>
  <c r="AW57" i="70"/>
  <c r="AD976" i="67" s="1"/>
  <c r="AH81" i="70"/>
  <c r="O1000" i="67" s="1"/>
  <c r="AH65" i="70"/>
  <c r="O984" i="67" s="1"/>
  <c r="AZ56" i="69"/>
  <c r="AZ58" i="69" s="1"/>
  <c r="AZ59" i="69" s="1"/>
  <c r="AZ60" i="69" s="1"/>
  <c r="AZ61" i="69" s="1"/>
  <c r="AG164" i="65"/>
  <c r="BA81" i="70"/>
  <c r="AH1000" i="67" s="1"/>
  <c r="BA65" i="70"/>
  <c r="AH984" i="67" s="1"/>
  <c r="AO72" i="70"/>
  <c r="V991" i="67" s="1"/>
  <c r="M128" i="65"/>
  <c r="M138" i="65" s="1"/>
  <c r="V468" i="67" s="1"/>
  <c r="AO56" i="70"/>
  <c r="V975" i="67" s="1"/>
  <c r="AB164" i="65"/>
  <c r="AJ164" i="65"/>
  <c r="AR72" i="70"/>
  <c r="Y991" i="67" s="1"/>
  <c r="P128" i="65"/>
  <c r="P138" i="65" s="1"/>
  <c r="Y468" i="67" s="1"/>
  <c r="AR56" i="70"/>
  <c r="Y975" i="67" s="1"/>
  <c r="AX56" i="69"/>
  <c r="AX58" i="69" s="1"/>
  <c r="AX59" i="69" s="1"/>
  <c r="AX60" i="69" s="1"/>
  <c r="AX61" i="69" s="1"/>
  <c r="BJ81" i="70"/>
  <c r="AQ1000" i="67" s="1"/>
  <c r="BJ65" i="70"/>
  <c r="AQ984" i="67" s="1"/>
  <c r="J164" i="65"/>
  <c r="AK164" i="65"/>
  <c r="AV72" i="70"/>
  <c r="AC991" i="67" s="1"/>
  <c r="T128" i="65"/>
  <c r="T138" i="65" s="1"/>
  <c r="AC468" i="67" s="1"/>
  <c r="AV4" i="70"/>
  <c r="AV56" i="70"/>
  <c r="AC975" i="67" s="1"/>
  <c r="I164" i="65"/>
  <c r="AQ81" i="70"/>
  <c r="X1000" i="67" s="1"/>
  <c r="AQ65" i="70"/>
  <c r="X984" i="67" s="1"/>
  <c r="AG81" i="70"/>
  <c r="N1000" i="67" s="1"/>
  <c r="AG65" i="70"/>
  <c r="N984" i="67" s="1"/>
  <c r="AN164" i="65"/>
  <c r="H168" i="65"/>
  <c r="N164" i="65"/>
  <c r="AQ72" i="70"/>
  <c r="X991" i="67" s="1"/>
  <c r="O128" i="65"/>
  <c r="O138" i="65" s="1"/>
  <c r="X468" i="67" s="1"/>
  <c r="AQ56" i="70"/>
  <c r="X975" i="67" s="1"/>
  <c r="AO57" i="70"/>
  <c r="V976" i="67" s="1"/>
  <c r="M129" i="65"/>
  <c r="M139" i="65" s="1"/>
  <c r="V469" i="67" s="1"/>
  <c r="AO73" i="70"/>
  <c r="V992" i="67" s="1"/>
  <c r="R164" i="65"/>
  <c r="AQ56" i="69"/>
  <c r="AQ58" i="69" s="1"/>
  <c r="AQ59" i="69" s="1"/>
  <c r="AQ60" i="69" s="1"/>
  <c r="AQ61" i="69" s="1"/>
  <c r="AV56" i="69"/>
  <c r="AV58" i="69" s="1"/>
  <c r="AV59" i="69" s="1"/>
  <c r="AV60" i="69" s="1"/>
  <c r="AV61" i="69" s="1"/>
  <c r="AK81" i="70"/>
  <c r="R1000" i="67" s="1"/>
  <c r="AK65" i="70"/>
  <c r="R984" i="67" s="1"/>
  <c r="S164" i="65"/>
  <c r="AF164" i="65"/>
  <c r="BC81" i="70"/>
  <c r="AJ1000" i="67" s="1"/>
  <c r="BC65" i="70"/>
  <c r="AJ984" i="67" s="1"/>
  <c r="AR57" i="70"/>
  <c r="Y976" i="67" s="1"/>
  <c r="AR73" i="70"/>
  <c r="Y992" i="67" s="1"/>
  <c r="P129" i="65"/>
  <c r="P139" i="65" s="1"/>
  <c r="Y469" i="67" s="1"/>
  <c r="F164" i="65"/>
  <c r="X164" i="65"/>
  <c r="AH128" i="65"/>
  <c r="AH138" i="65" s="1"/>
  <c r="AQ468" i="67" s="1"/>
  <c r="BJ72" i="70"/>
  <c r="AQ991" i="67" s="1"/>
  <c r="BJ56" i="70"/>
  <c r="AQ975" i="67" s="1"/>
  <c r="AV57" i="70"/>
  <c r="AC976" i="67" s="1"/>
  <c r="AV73" i="70"/>
  <c r="AC992" i="67" s="1"/>
  <c r="T129" i="65"/>
  <c r="T139" i="65" s="1"/>
  <c r="AC469" i="67" s="1"/>
  <c r="AS81" i="70"/>
  <c r="Z1000" i="67" s="1"/>
  <c r="AS65" i="70"/>
  <c r="Z984" i="67" s="1"/>
  <c r="AM56" i="69"/>
  <c r="AM58" i="69" s="1"/>
  <c r="AM59" i="69" s="1"/>
  <c r="AM60" i="69" s="1"/>
  <c r="AM61" i="69" s="1"/>
  <c r="BE81" i="70"/>
  <c r="AL1000" i="67" s="1"/>
  <c r="BE65" i="70"/>
  <c r="AL984" i="67" s="1"/>
  <c r="AJ168" i="65"/>
  <c r="AL56" i="69"/>
  <c r="AL58" i="69" s="1"/>
  <c r="AL59" i="69" s="1"/>
  <c r="AL60" i="69" s="1"/>
  <c r="AL61" i="69" s="1"/>
  <c r="AJ72" i="70"/>
  <c r="Q991" i="67" s="1"/>
  <c r="H128" i="65"/>
  <c r="H138" i="65" s="1"/>
  <c r="Q468" i="67" s="1"/>
  <c r="AJ56" i="70"/>
  <c r="Q975" i="67" s="1"/>
  <c r="O129" i="65"/>
  <c r="O139" i="65" s="1"/>
  <c r="X469" i="67" s="1"/>
  <c r="AQ73" i="70"/>
  <c r="X992" i="67" s="1"/>
  <c r="AQ57" i="70"/>
  <c r="X976" i="67" s="1"/>
  <c r="Q164" i="65"/>
  <c r="AB56" i="69"/>
  <c r="AB58" i="69" s="1"/>
  <c r="AB59" i="69" s="1"/>
  <c r="AB60" i="69" s="1"/>
  <c r="AB61" i="69" s="1"/>
  <c r="BC72" i="70"/>
  <c r="AJ991" i="67" s="1"/>
  <c r="AA128" i="65"/>
  <c r="AA138" i="65" s="1"/>
  <c r="AJ468" i="67" s="1"/>
  <c r="BC56" i="70"/>
  <c r="AJ975" i="67" s="1"/>
  <c r="AM168" i="65"/>
  <c r="BJ57" i="70"/>
  <c r="AQ976" i="67" s="1"/>
  <c r="BJ73" i="70"/>
  <c r="AQ992" i="67" s="1"/>
  <c r="AH129" i="65"/>
  <c r="AH139" i="65" s="1"/>
  <c r="AQ469" i="67" s="1"/>
  <c r="S168" i="65"/>
  <c r="BH81" i="70"/>
  <c r="AO1000" i="67" s="1"/>
  <c r="BH65" i="70"/>
  <c r="AO984" i="67" s="1"/>
  <c r="BK81" i="70"/>
  <c r="AR1000" i="67" s="1"/>
  <c r="BK65" i="70"/>
  <c r="AR984" i="67" s="1"/>
  <c r="BA72" i="70"/>
  <c r="AH991" i="67" s="1"/>
  <c r="Y128" i="65"/>
  <c r="Y138" i="65" s="1"/>
  <c r="AH468" i="67" s="1"/>
  <c r="BA56" i="70"/>
  <c r="AH975" i="67" s="1"/>
  <c r="AW72" i="70"/>
  <c r="AD991" i="67" s="1"/>
  <c r="U128" i="65"/>
  <c r="U138" i="65" s="1"/>
  <c r="AD468" i="67" s="1"/>
  <c r="AW4" i="70"/>
  <c r="AW56" i="70"/>
  <c r="AD975" i="67" s="1"/>
  <c r="H129" i="65"/>
  <c r="H139" i="65" s="1"/>
  <c r="Q469" i="67" s="1"/>
  <c r="AJ57" i="70"/>
  <c r="Q976" i="67" s="1"/>
  <c r="AJ73" i="70"/>
  <c r="Q992" i="67" s="1"/>
  <c r="K168" i="65"/>
  <c r="AK168" i="65"/>
  <c r="D164" i="65"/>
  <c r="V164" i="65"/>
  <c r="AM164" i="65"/>
  <c r="AJ197" i="65" l="1"/>
  <c r="AJ198" i="65" s="1"/>
  <c r="BL70" i="70" s="1"/>
  <c r="AJ126" i="65"/>
  <c r="AJ136" i="65" s="1"/>
  <c r="AS466" i="67" s="1"/>
  <c r="AJ1267" i="67"/>
  <c r="Z1269" i="67"/>
  <c r="AS1038" i="67"/>
  <c r="AS1342" i="67" s="1"/>
  <c r="AS934" i="67"/>
  <c r="AS1238" i="67" s="1"/>
  <c r="AI951" i="67"/>
  <c r="AI933" i="67"/>
  <c r="AI1237" i="67" s="1"/>
  <c r="AI1053" i="67"/>
  <c r="AI1357" i="67" s="1"/>
  <c r="AI1037" i="67"/>
  <c r="AI1341" i="67" s="1"/>
  <c r="AW1189" i="67"/>
  <c r="AQ1204" i="67"/>
  <c r="X1267" i="67"/>
  <c r="AW952" i="67"/>
  <c r="AW1054" i="67"/>
  <c r="AW920" i="67"/>
  <c r="BP54" i="70"/>
  <c r="AW973" i="67" s="1"/>
  <c r="AQ1070" i="67"/>
  <c r="AD1205" i="67"/>
  <c r="AD1071" i="67"/>
  <c r="AD1038" i="67"/>
  <c r="AW934" i="67"/>
  <c r="AA1267" i="67"/>
  <c r="AQ1188" i="67"/>
  <c r="AQ1084" i="67"/>
  <c r="AQ1102" i="67"/>
  <c r="AQ933" i="67"/>
  <c r="AQ951" i="67"/>
  <c r="AQ1037" i="67"/>
  <c r="AQ919" i="67"/>
  <c r="U126" i="65"/>
  <c r="U136" i="65" s="1"/>
  <c r="AD466" i="67" s="1"/>
  <c r="AL1267" i="67"/>
  <c r="AR8" i="70"/>
  <c r="Y1070" i="67" s="1"/>
  <c r="AO1269" i="67"/>
  <c r="AH74" i="65"/>
  <c r="AH79" i="65" s="1"/>
  <c r="AQ313" i="67" s="1"/>
  <c r="AH18" i="65"/>
  <c r="AH23" i="65" s="1"/>
  <c r="AW1205" i="67"/>
  <c r="BN18" i="68"/>
  <c r="AM19" i="62" s="1"/>
  <c r="AW1071" i="67"/>
  <c r="AW1103" i="67"/>
  <c r="AW1085" i="67"/>
  <c r="O1269" i="67"/>
  <c r="AL1251" i="67"/>
  <c r="AH1267" i="67"/>
  <c r="AA1251" i="67"/>
  <c r="AH1251" i="67"/>
  <c r="AR1251" i="67"/>
  <c r="BP18" i="68"/>
  <c r="AO19" i="62" s="1"/>
  <c r="AD1103" i="67"/>
  <c r="AD1189" i="67"/>
  <c r="AD1054" i="67"/>
  <c r="AD1085" i="67"/>
  <c r="AD934" i="67"/>
  <c r="AD920" i="67"/>
  <c r="AD952" i="67"/>
  <c r="AL1269" i="67"/>
  <c r="AQ1269" i="67"/>
  <c r="AP18" i="68"/>
  <c r="O19" i="62" s="1"/>
  <c r="BJ53" i="70"/>
  <c r="AQ1015" i="67" s="1"/>
  <c r="AN18" i="68"/>
  <c r="M19" i="62" s="1"/>
  <c r="O1251" i="67"/>
  <c r="AA1269" i="67"/>
  <c r="AH125" i="65"/>
  <c r="AH135" i="65" s="1"/>
  <c r="AQ465" i="67" s="1"/>
  <c r="Y1251" i="67"/>
  <c r="AJ1251" i="67"/>
  <c r="AH1269" i="67"/>
  <c r="BJ69" i="70"/>
  <c r="AQ988" i="67" s="1"/>
  <c r="BJ4" i="70"/>
  <c r="AR1269" i="67"/>
  <c r="U197" i="65"/>
  <c r="U198" i="65" s="1"/>
  <c r="AO1267" i="67"/>
  <c r="R1269" i="67"/>
  <c r="N1269" i="67"/>
  <c r="O1267" i="67"/>
  <c r="M1269" i="67"/>
  <c r="AG1269" i="67"/>
  <c r="R1267" i="67"/>
  <c r="AO1251" i="67"/>
  <c r="Z1251" i="67"/>
  <c r="AN126" i="65"/>
  <c r="AN136" i="65" s="1"/>
  <c r="AW466" i="67" s="1"/>
  <c r="Y1269" i="67"/>
  <c r="AN197" i="65"/>
  <c r="AN198" i="65" s="1"/>
  <c r="R1251" i="67"/>
  <c r="AQ1267" i="67"/>
  <c r="AR1267" i="67"/>
  <c r="AF23" i="65"/>
  <c r="BB70" i="70"/>
  <c r="AI989" i="67" s="1"/>
  <c r="BG70" i="70"/>
  <c r="AN1020" i="67" s="1"/>
  <c r="BM18" i="68"/>
  <c r="AL19" i="62" s="1"/>
  <c r="BC6" i="68"/>
  <c r="AB8" i="62" s="1"/>
  <c r="BF9" i="70"/>
  <c r="AM920" i="67" s="1"/>
  <c r="Z1267" i="67"/>
  <c r="N1267" i="67"/>
  <c r="AL6" i="68"/>
  <c r="K8" i="62" s="1"/>
  <c r="AW1225" i="67"/>
  <c r="AO1224" i="67"/>
  <c r="AS1224" i="67"/>
  <c r="M1267" i="67"/>
  <c r="AV18" i="68"/>
  <c r="U19" i="62" s="1"/>
  <c r="AQ1251" i="67"/>
  <c r="X1269" i="67"/>
  <c r="AK972" i="67"/>
  <c r="AK1015" i="67"/>
  <c r="AK1019" i="67"/>
  <c r="AW972" i="67"/>
  <c r="AW1015" i="67"/>
  <c r="AN972" i="67"/>
  <c r="AN1019" i="67"/>
  <c r="AN1015" i="67"/>
  <c r="M920" i="67"/>
  <c r="M1038" i="67"/>
  <c r="M1054" i="67"/>
  <c r="M952" i="67"/>
  <c r="M934" i="67"/>
  <c r="Q972" i="67"/>
  <c r="Q1015" i="67"/>
  <c r="Q1019" i="67"/>
  <c r="AB972" i="67"/>
  <c r="AB1019" i="67"/>
  <c r="AB1015" i="67"/>
  <c r="AB988" i="67"/>
  <c r="AU921" i="67"/>
  <c r="AU1039" i="67"/>
  <c r="AU1055" i="67"/>
  <c r="AU953" i="67"/>
  <c r="AU935" i="67"/>
  <c r="S919" i="67"/>
  <c r="S1037" i="67"/>
  <c r="S1053" i="67"/>
  <c r="S951" i="67"/>
  <c r="S933" i="67"/>
  <c r="Z972" i="67"/>
  <c r="Z1019" i="67"/>
  <c r="Z1015" i="67"/>
  <c r="AS988" i="67"/>
  <c r="AS1016" i="67"/>
  <c r="AS1020" i="67"/>
  <c r="V920" i="67"/>
  <c r="V1054" i="67"/>
  <c r="V1038" i="67"/>
  <c r="V952" i="67"/>
  <c r="V934" i="67"/>
  <c r="AV1055" i="67"/>
  <c r="AV1039" i="67"/>
  <c r="AV953" i="67"/>
  <c r="AV935" i="67"/>
  <c r="AQ838" i="67"/>
  <c r="AQ989" i="67"/>
  <c r="AS838" i="67"/>
  <c r="AS989" i="67"/>
  <c r="L920" i="67"/>
  <c r="L1054" i="67"/>
  <c r="L1038" i="67"/>
  <c r="L934" i="67"/>
  <c r="L952" i="67"/>
  <c r="P920" i="67"/>
  <c r="P1054" i="67"/>
  <c r="P1038" i="67"/>
  <c r="P934" i="67"/>
  <c r="P952" i="67"/>
  <c r="AN988" i="67"/>
  <c r="AD972" i="67"/>
  <c r="AD1015" i="67"/>
  <c r="AD1019" i="67"/>
  <c r="M919" i="67"/>
  <c r="M1037" i="67"/>
  <c r="M1053" i="67"/>
  <c r="M951" i="67"/>
  <c r="M933" i="67"/>
  <c r="Q988" i="67"/>
  <c r="AW988" i="67"/>
  <c r="N1055" i="67"/>
  <c r="N1039" i="67"/>
  <c r="N935" i="67"/>
  <c r="N953" i="67"/>
  <c r="AI972" i="67"/>
  <c r="AI1015" i="67"/>
  <c r="AI1019" i="67"/>
  <c r="S920" i="67"/>
  <c r="S1038" i="67"/>
  <c r="S1054" i="67"/>
  <c r="S952" i="67"/>
  <c r="S934" i="67"/>
  <c r="T919" i="67"/>
  <c r="T1053" i="67"/>
  <c r="T1037" i="67"/>
  <c r="T951" i="67"/>
  <c r="T933" i="67"/>
  <c r="R920" i="67"/>
  <c r="R1054" i="67"/>
  <c r="R1038" i="67"/>
  <c r="R952" i="67"/>
  <c r="R934" i="67"/>
  <c r="AE919" i="67"/>
  <c r="AE1037" i="67"/>
  <c r="AE1053" i="67"/>
  <c r="AE951" i="67"/>
  <c r="AE933" i="67"/>
  <c r="AP920" i="67"/>
  <c r="AP1054" i="67"/>
  <c r="AP952" i="67"/>
  <c r="AP934" i="67"/>
  <c r="AP1038" i="67"/>
  <c r="L919" i="67"/>
  <c r="L1053" i="67"/>
  <c r="L1037" i="67"/>
  <c r="L951" i="67"/>
  <c r="L933" i="67"/>
  <c r="Y1053" i="67"/>
  <c r="Y920" i="67"/>
  <c r="Y1038" i="67"/>
  <c r="Y1054" i="67"/>
  <c r="Y952" i="67"/>
  <c r="Y934" i="67"/>
  <c r="AL1055" i="67"/>
  <c r="AL1039" i="67"/>
  <c r="AL935" i="67"/>
  <c r="AL953" i="67"/>
  <c r="AR921" i="67"/>
  <c r="AR1055" i="67"/>
  <c r="AR1039" i="67"/>
  <c r="AR953" i="67"/>
  <c r="AR935" i="67"/>
  <c r="Z988" i="67"/>
  <c r="T920" i="67"/>
  <c r="T1054" i="67"/>
  <c r="T1038" i="67"/>
  <c r="T934" i="67"/>
  <c r="T952" i="67"/>
  <c r="AA919" i="67"/>
  <c r="AA1037" i="67"/>
  <c r="AA1053" i="67"/>
  <c r="AA951" i="67"/>
  <c r="AA933" i="67"/>
  <c r="R919" i="67"/>
  <c r="R1053" i="67"/>
  <c r="R1037" i="67"/>
  <c r="R933" i="67"/>
  <c r="R951" i="67"/>
  <c r="W1039" i="67"/>
  <c r="W1055" i="67"/>
  <c r="W953" i="67"/>
  <c r="W935" i="67"/>
  <c r="AJ919" i="67"/>
  <c r="AJ1053" i="67"/>
  <c r="AJ1037" i="67"/>
  <c r="AJ951" i="67"/>
  <c r="AJ933" i="67"/>
  <c r="AE920" i="67"/>
  <c r="AE1038" i="67"/>
  <c r="AE1054" i="67"/>
  <c r="AE952" i="67"/>
  <c r="AE934" i="67"/>
  <c r="AP919" i="67"/>
  <c r="AP1053" i="67"/>
  <c r="AP1037" i="67"/>
  <c r="AP933" i="67"/>
  <c r="AP951" i="67"/>
  <c r="AM919" i="67"/>
  <c r="AM1037" i="67"/>
  <c r="AM1053" i="67"/>
  <c r="AM951" i="67"/>
  <c r="AM933" i="67"/>
  <c r="AD988" i="67"/>
  <c r="AK988" i="67"/>
  <c r="AC921" i="67"/>
  <c r="AC1039" i="67"/>
  <c r="AC1055" i="67"/>
  <c r="AC953" i="67"/>
  <c r="AC935" i="67"/>
  <c r="AF1055" i="67"/>
  <c r="AF1039" i="67"/>
  <c r="AF953" i="67"/>
  <c r="AF935" i="67"/>
  <c r="AI988" i="67"/>
  <c r="AA920" i="67"/>
  <c r="AA1038" i="67"/>
  <c r="AA1054" i="67"/>
  <c r="AA952" i="67"/>
  <c r="AA934" i="67"/>
  <c r="AS972" i="67"/>
  <c r="AS1019" i="67"/>
  <c r="AS1015" i="67"/>
  <c r="V919" i="67"/>
  <c r="V1053" i="67"/>
  <c r="V1037" i="67"/>
  <c r="V933" i="67"/>
  <c r="V951" i="67"/>
  <c r="AJ920" i="67"/>
  <c r="AJ1054" i="67"/>
  <c r="AJ1038" i="67"/>
  <c r="AJ934" i="67"/>
  <c r="AJ952" i="67"/>
  <c r="AO972" i="67"/>
  <c r="AO1015" i="67"/>
  <c r="AO1019" i="67"/>
  <c r="AO988" i="67"/>
  <c r="X1055" i="67"/>
  <c r="X1039" i="67"/>
  <c r="X953" i="67"/>
  <c r="X935" i="67"/>
  <c r="O1039" i="67"/>
  <c r="O1055" i="67"/>
  <c r="O953" i="67"/>
  <c r="O935" i="67"/>
  <c r="AG919" i="67"/>
  <c r="AG1037" i="67"/>
  <c r="AG1053" i="67"/>
  <c r="AG951" i="67"/>
  <c r="AG933" i="67"/>
  <c r="AF784" i="67"/>
  <c r="AF921" i="67"/>
  <c r="X784" i="67"/>
  <c r="X921" i="67"/>
  <c r="O784" i="67"/>
  <c r="O921" i="67"/>
  <c r="AM6" i="68"/>
  <c r="L8" i="62" s="1"/>
  <c r="AV784" i="67"/>
  <c r="AV921" i="67"/>
  <c r="N784" i="67"/>
  <c r="N921" i="67"/>
  <c r="AL784" i="67"/>
  <c r="AL921" i="67"/>
  <c r="W784" i="67"/>
  <c r="W921" i="67"/>
  <c r="AJ6" i="68"/>
  <c r="I8" i="62" s="1"/>
  <c r="M1251" i="67"/>
  <c r="N1251" i="67"/>
  <c r="AQ1369" i="67"/>
  <c r="M1369" i="67"/>
  <c r="AG1267" i="67"/>
  <c r="X1251" i="67"/>
  <c r="Z1369" i="67"/>
  <c r="AJ1269" i="67"/>
  <c r="AG1251" i="67"/>
  <c r="Y1267" i="67"/>
  <c r="BN6" i="68"/>
  <c r="AM8" i="62" s="1"/>
  <c r="AQ6" i="68"/>
  <c r="P8" i="62" s="1"/>
  <c r="AK1294" i="67"/>
  <c r="AT6" i="68"/>
  <c r="S8" i="62" s="1"/>
  <c r="AI6" i="68"/>
  <c r="H8" i="62" s="1"/>
  <c r="BM6" i="68"/>
  <c r="AL8" i="62" s="1"/>
  <c r="AY6" i="68"/>
  <c r="X8" i="62" s="1"/>
  <c r="Z1295" i="67"/>
  <c r="M1295" i="67"/>
  <c r="W1280" i="67"/>
  <c r="BE6" i="68"/>
  <c r="AD8" i="62" s="1"/>
  <c r="BJ6" i="68"/>
  <c r="AI8" i="62" s="1"/>
  <c r="BH6" i="68"/>
  <c r="AG8" i="62" s="1"/>
  <c r="AS1296" i="67"/>
  <c r="AZ9" i="70"/>
  <c r="X197" i="65" s="1"/>
  <c r="X198" i="65" s="1"/>
  <c r="AN6" i="68"/>
  <c r="M8" i="62" s="1"/>
  <c r="AS70" i="70"/>
  <c r="Z1140" i="67" s="1"/>
  <c r="BI6" i="68"/>
  <c r="AH8" i="62" s="1"/>
  <c r="AW1288" i="67"/>
  <c r="N1279" i="67"/>
  <c r="BP6" i="68"/>
  <c r="AO8" i="62" s="1"/>
  <c r="AU70" i="70"/>
  <c r="AB1020" i="67" s="1"/>
  <c r="AU6" i="68"/>
  <c r="T8" i="62" s="1"/>
  <c r="AN176" i="65"/>
  <c r="AW673" i="67" s="1"/>
  <c r="D175" i="65"/>
  <c r="M672" i="67" s="1"/>
  <c r="M1278" i="67" s="1"/>
  <c r="U175" i="65"/>
  <c r="AD672" i="67" s="1"/>
  <c r="AD1278" i="67" s="1"/>
  <c r="AI8" i="70"/>
  <c r="G125" i="65" s="1"/>
  <c r="G135" i="65" s="1"/>
  <c r="P465" i="67" s="1"/>
  <c r="K175" i="65"/>
  <c r="T672" i="67" s="1"/>
  <c r="T1278" i="67" s="1"/>
  <c r="AJ70" i="70"/>
  <c r="Q1020" i="67" s="1"/>
  <c r="D176" i="65"/>
  <c r="M673" i="67" s="1"/>
  <c r="M1279" i="67" s="1"/>
  <c r="G176" i="65"/>
  <c r="P673" i="67" s="1"/>
  <c r="P1279" i="67" s="1"/>
  <c r="AK180" i="65"/>
  <c r="AT682" i="67" s="1"/>
  <c r="AT1288" i="67" s="1"/>
  <c r="S180" i="65"/>
  <c r="AB682" i="67" s="1"/>
  <c r="AB1288" i="67" s="1"/>
  <c r="AM180" i="65"/>
  <c r="AV682" i="67" s="1"/>
  <c r="AV1288" i="67" s="1"/>
  <c r="AF176" i="65"/>
  <c r="AO673" i="67" s="1"/>
  <c r="AO1279" i="67" s="1"/>
  <c r="I176" i="65"/>
  <c r="R673" i="67" s="1"/>
  <c r="R1279" i="67" s="1"/>
  <c r="AG176" i="65"/>
  <c r="AP673" i="67" s="1"/>
  <c r="AP1279" i="67" s="1"/>
  <c r="AE176" i="65"/>
  <c r="AN673" i="67" s="1"/>
  <c r="AN1279" i="67" s="1"/>
  <c r="L180" i="65"/>
  <c r="U682" i="67" s="1"/>
  <c r="U1288" i="67" s="1"/>
  <c r="AG175" i="65"/>
  <c r="AP672" i="67" s="1"/>
  <c r="AP1278" i="67" s="1"/>
  <c r="BD70" i="70"/>
  <c r="AK1140" i="67" s="1"/>
  <c r="K180" i="65"/>
  <c r="T682" i="67" s="1"/>
  <c r="T1288" i="67" s="1"/>
  <c r="Q176" i="65"/>
  <c r="Z673" i="67" s="1"/>
  <c r="Z1279" i="67" s="1"/>
  <c r="AJ180" i="65"/>
  <c r="AS682" i="67" s="1"/>
  <c r="AS1288" i="67" s="1"/>
  <c r="AJ176" i="65"/>
  <c r="AS673" i="67" s="1"/>
  <c r="AS1279" i="67" s="1"/>
  <c r="M180" i="65"/>
  <c r="V682" i="67" s="1"/>
  <c r="V1288" i="67" s="1"/>
  <c r="K176" i="65"/>
  <c r="T673" i="67" s="1"/>
  <c r="T1279" i="67" s="1"/>
  <c r="C180" i="65"/>
  <c r="L682" i="67" s="1"/>
  <c r="L1288" i="67" s="1"/>
  <c r="AM176" i="65"/>
  <c r="AV673" i="67" s="1"/>
  <c r="AV1279" i="67" s="1"/>
  <c r="X176" i="65"/>
  <c r="AG673" i="67" s="1"/>
  <c r="AG1279" i="67" s="1"/>
  <c r="S176" i="65"/>
  <c r="AB673" i="67" s="1"/>
  <c r="AB1279" i="67" s="1"/>
  <c r="N176" i="65"/>
  <c r="W673" i="67" s="1"/>
  <c r="W1279" i="67" s="1"/>
  <c r="AK176" i="65"/>
  <c r="AT673" i="67" s="1"/>
  <c r="AT1279" i="67" s="1"/>
  <c r="AN175" i="65"/>
  <c r="AW672" i="67" s="1"/>
  <c r="AB175" i="65"/>
  <c r="AK672" i="67" s="1"/>
  <c r="AK1278" i="67" s="1"/>
  <c r="AJ175" i="65"/>
  <c r="AS672" i="67" s="1"/>
  <c r="AS1278" i="67" s="1"/>
  <c r="V176" i="65"/>
  <c r="AE673" i="67" s="1"/>
  <c r="AE1279" i="67" s="1"/>
  <c r="F176" i="65"/>
  <c r="O673" i="67" s="1"/>
  <c r="O1279" i="67" s="1"/>
  <c r="R176" i="65"/>
  <c r="AA673" i="67" s="1"/>
  <c r="AA1279" i="67" s="1"/>
  <c r="H180" i="65"/>
  <c r="Q682" i="67" s="1"/>
  <c r="Q1288" i="67" s="1"/>
  <c r="J176" i="65"/>
  <c r="S673" i="67" s="1"/>
  <c r="S1279" i="67" s="1"/>
  <c r="AB176" i="65"/>
  <c r="AK673" i="67" s="1"/>
  <c r="AK1279" i="67" s="1"/>
  <c r="Z176" i="65"/>
  <c r="AI673" i="67" s="1"/>
  <c r="AI1279" i="67" s="1"/>
  <c r="BH70" i="70"/>
  <c r="AO1016" i="67" s="1"/>
  <c r="AH175" i="65"/>
  <c r="AQ672" i="67" s="1"/>
  <c r="AQ1278" i="67" s="1"/>
  <c r="AA175" i="65"/>
  <c r="AJ672" i="67" s="1"/>
  <c r="AJ1278" i="67" s="1"/>
  <c r="Z175" i="65"/>
  <c r="AI672" i="67" s="1"/>
  <c r="AI1278" i="67" s="1"/>
  <c r="V24" i="65"/>
  <c r="AE9" i="67"/>
  <c r="AE1225" i="67" s="1"/>
  <c r="AK24" i="65"/>
  <c r="AT9" i="67"/>
  <c r="AT1225" i="67" s="1"/>
  <c r="I24" i="65"/>
  <c r="R9" i="67"/>
  <c r="R1225" i="67" s="1"/>
  <c r="AN23" i="65"/>
  <c r="AW7" i="67"/>
  <c r="AJ23" i="65"/>
  <c r="AS7" i="67"/>
  <c r="AS1223" i="67" s="1"/>
  <c r="J24" i="65"/>
  <c r="S9" i="67"/>
  <c r="S1225" i="67" s="1"/>
  <c r="C24" i="65"/>
  <c r="L9" i="67"/>
  <c r="L1225" i="67" s="1"/>
  <c r="Q23" i="65"/>
  <c r="Z7" i="67"/>
  <c r="Z1223" i="67" s="1"/>
  <c r="Y24" i="65"/>
  <c r="AH9" i="67"/>
  <c r="AH1225" i="67" s="1"/>
  <c r="R24" i="65"/>
  <c r="AA9" i="67"/>
  <c r="AA1225" i="67" s="1"/>
  <c r="P24" i="65"/>
  <c r="Y9" i="67"/>
  <c r="Y1225" i="67" s="1"/>
  <c r="AD24" i="65"/>
  <c r="AM9" i="67"/>
  <c r="AM1225" i="67" s="1"/>
  <c r="AB23" i="65"/>
  <c r="AK7" i="67"/>
  <c r="AK1223" i="67" s="1"/>
  <c r="H23" i="65"/>
  <c r="Q7" i="67"/>
  <c r="Q1223" i="67" s="1"/>
  <c r="X24" i="65"/>
  <c r="AG9" i="67"/>
  <c r="AG1225" i="67" s="1"/>
  <c r="S23" i="65"/>
  <c r="AB7" i="67"/>
  <c r="AB1223" i="67" s="1"/>
  <c r="G24" i="65"/>
  <c r="P9" i="67"/>
  <c r="P1225" i="67" s="1"/>
  <c r="Z23" i="65"/>
  <c r="AI7" i="67"/>
  <c r="AI1223" i="67" s="1"/>
  <c r="M24" i="65"/>
  <c r="V9" i="67"/>
  <c r="V1225" i="67" s="1"/>
  <c r="L24" i="65"/>
  <c r="U9" i="67"/>
  <c r="U1225" i="67" s="1"/>
  <c r="Z1280" i="67"/>
  <c r="L1280" i="67"/>
  <c r="O1280" i="67"/>
  <c r="AH6" i="68"/>
  <c r="G8" i="62" s="1"/>
  <c r="AG6" i="68"/>
  <c r="F8" i="62" s="1"/>
  <c r="Z1296" i="67"/>
  <c r="M1280" i="67"/>
  <c r="S1296" i="67"/>
  <c r="AT1239" i="67"/>
  <c r="AM1239" i="67"/>
  <c r="W1295" i="67"/>
  <c r="AO1296" i="67"/>
  <c r="AB1280" i="67"/>
  <c r="AE1296" i="67"/>
  <c r="AV1280" i="67"/>
  <c r="M1296" i="67"/>
  <c r="AP1296" i="67"/>
  <c r="AI1296" i="67"/>
  <c r="R1296" i="67"/>
  <c r="W1296" i="67"/>
  <c r="AE1280" i="67"/>
  <c r="AQ1294" i="67"/>
  <c r="AV6" i="68"/>
  <c r="U8" i="62" s="1"/>
  <c r="BA6" i="68"/>
  <c r="Z8" i="62" s="1"/>
  <c r="N1280" i="67"/>
  <c r="AT1296" i="67"/>
  <c r="AU1280" i="67"/>
  <c r="AP1280" i="67"/>
  <c r="AP1295" i="67"/>
  <c r="AB1295" i="67"/>
  <c r="P1296" i="67"/>
  <c r="R1280" i="67"/>
  <c r="AA1295" i="67"/>
  <c r="AS1280" i="67"/>
  <c r="V1304" i="67"/>
  <c r="AD1294" i="67"/>
  <c r="AV1295" i="67"/>
  <c r="AM1296" i="67"/>
  <c r="AT1280" i="67"/>
  <c r="AO1295" i="67"/>
  <c r="AR1280" i="67"/>
  <c r="AU1296" i="67"/>
  <c r="AL1296" i="67"/>
  <c r="U1304" i="67"/>
  <c r="AK1280" i="67"/>
  <c r="T1296" i="67"/>
  <c r="AA1296" i="67"/>
  <c r="U1280" i="67"/>
  <c r="AI1295" i="67"/>
  <c r="AG1280" i="67"/>
  <c r="U1296" i="67"/>
  <c r="AO1223" i="67"/>
  <c r="AS1294" i="67"/>
  <c r="AD1223" i="67"/>
  <c r="AN1224" i="67"/>
  <c r="AP1294" i="67"/>
  <c r="AG1239" i="67"/>
  <c r="AK1224" i="67"/>
  <c r="AB1224" i="67"/>
  <c r="T1294" i="67"/>
  <c r="P1141" i="67"/>
  <c r="AH1239" i="67"/>
  <c r="AQ1224" i="67"/>
  <c r="AS1140" i="67"/>
  <c r="Q1224" i="67"/>
  <c r="U1141" i="67"/>
  <c r="AQ1358" i="67"/>
  <c r="Q1237" i="67"/>
  <c r="AW1357" i="67"/>
  <c r="AB1237" i="67"/>
  <c r="V1359" i="67"/>
  <c r="R1239" i="67"/>
  <c r="V1241" i="67"/>
  <c r="X1240" i="67"/>
  <c r="AD1345" i="67"/>
  <c r="AH1345" i="67"/>
  <c r="AR1353" i="67"/>
  <c r="AQ1259" i="67"/>
  <c r="AW1280" i="67"/>
  <c r="Y1249" i="67"/>
  <c r="P1239" i="67"/>
  <c r="L1359" i="67"/>
  <c r="AK1256" i="67"/>
  <c r="AO1256" i="67"/>
  <c r="AS1237" i="67"/>
  <c r="AE1239" i="67"/>
  <c r="V1226" i="67"/>
  <c r="V1344" i="67"/>
  <c r="AH1353" i="67"/>
  <c r="AW1295" i="67"/>
  <c r="Q1259" i="67"/>
  <c r="AD1226" i="67"/>
  <c r="AH1360" i="67"/>
  <c r="AC1361" i="67"/>
  <c r="AC1227" i="67"/>
  <c r="AQ1360" i="67"/>
  <c r="AQ1226" i="67"/>
  <c r="U1359" i="67"/>
  <c r="AQ1249" i="67"/>
  <c r="Y1259" i="67"/>
  <c r="AJ1353" i="67"/>
  <c r="AO1249" i="67"/>
  <c r="AI1255" i="67"/>
  <c r="Z1238" i="67"/>
  <c r="AK1255" i="67"/>
  <c r="AO1357" i="67"/>
  <c r="AA1257" i="67"/>
  <c r="Q1226" i="67"/>
  <c r="Q1344" i="67"/>
  <c r="AT1343" i="67"/>
  <c r="AM1257" i="67"/>
  <c r="AL1353" i="67"/>
  <c r="AC1360" i="67"/>
  <c r="O1296" i="67"/>
  <c r="AN1296" i="67"/>
  <c r="AA1280" i="67"/>
  <c r="AJ1227" i="67"/>
  <c r="AJ1345" i="67"/>
  <c r="Y1240" i="67"/>
  <c r="L1304" i="67"/>
  <c r="AF1280" i="67"/>
  <c r="R1353" i="67"/>
  <c r="Y1343" i="67"/>
  <c r="AI1256" i="67"/>
  <c r="Z1341" i="67"/>
  <c r="Q1256" i="67"/>
  <c r="AB1256" i="67"/>
  <c r="AI1294" i="67"/>
  <c r="AH1343" i="67"/>
  <c r="X1227" i="67"/>
  <c r="O1249" i="67"/>
  <c r="AG1343" i="67"/>
  <c r="AJ1344" i="67"/>
  <c r="AA1249" i="67"/>
  <c r="AO1135" i="67"/>
  <c r="Q1126" i="67"/>
  <c r="Z1135" i="67"/>
  <c r="V1127" i="67"/>
  <c r="N1151" i="67"/>
  <c r="AQ1151" i="67"/>
  <c r="O1151" i="67"/>
  <c r="AG1135" i="67"/>
  <c r="Q1127" i="67"/>
  <c r="AH1142" i="67"/>
  <c r="AQ1143" i="67"/>
  <c r="Z1151" i="67"/>
  <c r="R1135" i="67"/>
  <c r="X1126" i="67"/>
  <c r="X1135" i="67"/>
  <c r="M1135" i="67"/>
  <c r="AG1151" i="67"/>
  <c r="AJ1143" i="67"/>
  <c r="AA1135" i="67"/>
  <c r="AD1142" i="67"/>
  <c r="AQ1127" i="67"/>
  <c r="Q1142" i="67"/>
  <c r="V1143" i="67"/>
  <c r="X1151" i="67"/>
  <c r="AH1135" i="67"/>
  <c r="Y1151" i="67"/>
  <c r="AA1151" i="67"/>
  <c r="Z1224" i="67"/>
  <c r="AW1124" i="67"/>
  <c r="AI1224" i="67"/>
  <c r="AQ1140" i="67"/>
  <c r="AS1124" i="67"/>
  <c r="AE1141" i="67"/>
  <c r="AM1141" i="67"/>
  <c r="U1239" i="67"/>
  <c r="AN1342" i="67"/>
  <c r="AQ1238" i="67"/>
  <c r="AJ1294" i="67"/>
  <c r="Q1341" i="67"/>
  <c r="AW1237" i="67"/>
  <c r="AB1357" i="67"/>
  <c r="V1257" i="67"/>
  <c r="R1257" i="67"/>
  <c r="R1359" i="67"/>
  <c r="AR1296" i="67"/>
  <c r="V1227" i="67"/>
  <c r="V1361" i="67"/>
  <c r="X1344" i="67"/>
  <c r="AO1280" i="67"/>
  <c r="AD1241" i="67"/>
  <c r="AH1227" i="67"/>
  <c r="AH1361" i="67"/>
  <c r="P1280" i="67"/>
  <c r="AQ1361" i="67"/>
  <c r="AI1280" i="67"/>
  <c r="Y1353" i="67"/>
  <c r="P1359" i="67"/>
  <c r="AN1237" i="67"/>
  <c r="L1257" i="67"/>
  <c r="L1343" i="67"/>
  <c r="AK1358" i="67"/>
  <c r="AO1358" i="67"/>
  <c r="AS1357" i="67"/>
  <c r="AW1294" i="67"/>
  <c r="AE1257" i="67"/>
  <c r="V1258" i="67"/>
  <c r="AT1304" i="67"/>
  <c r="AB1296" i="67"/>
  <c r="T1304" i="67"/>
  <c r="Q1361" i="67"/>
  <c r="AD1240" i="67"/>
  <c r="AV1296" i="67"/>
  <c r="AH1258" i="67"/>
  <c r="AH1344" i="67"/>
  <c r="AC1241" i="67"/>
  <c r="AQ1240" i="67"/>
  <c r="AN1280" i="67"/>
  <c r="AQ1353" i="67"/>
  <c r="Y1361" i="67"/>
  <c r="AS1295" i="67"/>
  <c r="AO1353" i="67"/>
  <c r="AF1296" i="67"/>
  <c r="Z1358" i="67"/>
  <c r="AD1341" i="67"/>
  <c r="AK1341" i="67"/>
  <c r="AO1341" i="67"/>
  <c r="AA1359" i="67"/>
  <c r="AS1256" i="67"/>
  <c r="Q1240" i="67"/>
  <c r="AT1359" i="67"/>
  <c r="AM1359" i="67"/>
  <c r="AC1240" i="67"/>
  <c r="AC1344" i="67"/>
  <c r="AJ1259" i="67"/>
  <c r="Y1258" i="67"/>
  <c r="Y1359" i="67"/>
  <c r="AI1358" i="67"/>
  <c r="S1257" i="67"/>
  <c r="Z1357" i="67"/>
  <c r="Q1358" i="67"/>
  <c r="AB1238" i="67"/>
  <c r="X1241" i="67"/>
  <c r="Q1304" i="67"/>
  <c r="N1249" i="67"/>
  <c r="P1295" i="67"/>
  <c r="AG1249" i="67"/>
  <c r="AB1304" i="67"/>
  <c r="AJ1240" i="67"/>
  <c r="AA1353" i="67"/>
  <c r="Q1143" i="67"/>
  <c r="AJ1126" i="67"/>
  <c r="AC1127" i="67"/>
  <c r="Y1127" i="67"/>
  <c r="Y1142" i="67"/>
  <c r="AH1143" i="67"/>
  <c r="AJ1127" i="67"/>
  <c r="AO1151" i="67"/>
  <c r="X1127" i="67"/>
  <c r="AL1135" i="67"/>
  <c r="AQ1126" i="67"/>
  <c r="AJ1135" i="67"/>
  <c r="V1142" i="67"/>
  <c r="AD1127" i="67"/>
  <c r="Y1135" i="67"/>
  <c r="AR1135" i="67"/>
  <c r="AJ1142" i="67"/>
  <c r="X1143" i="67"/>
  <c r="AL1151" i="67"/>
  <c r="AQ1142" i="67"/>
  <c r="AJ1151" i="67"/>
  <c r="R1151" i="67"/>
  <c r="Y1126" i="67"/>
  <c r="M1151" i="67"/>
  <c r="AD1126" i="67"/>
  <c r="AH1126" i="67"/>
  <c r="AR1151" i="67"/>
  <c r="AC1143" i="67"/>
  <c r="Y1143" i="67"/>
  <c r="X1142" i="67"/>
  <c r="N1135" i="67"/>
  <c r="AC1142" i="67"/>
  <c r="AQ1135" i="67"/>
  <c r="V1126" i="67"/>
  <c r="AH1151" i="67"/>
  <c r="O1135" i="67"/>
  <c r="AD1143" i="67"/>
  <c r="AH1127" i="67"/>
  <c r="AN1223" i="67"/>
  <c r="Z1124" i="67"/>
  <c r="AD1124" i="67"/>
  <c r="AH1141" i="67"/>
  <c r="AI1124" i="67"/>
  <c r="AQ1124" i="67"/>
  <c r="AA1141" i="67"/>
  <c r="R1141" i="67"/>
  <c r="Y1141" i="67"/>
  <c r="AN1124" i="67"/>
  <c r="AK1124" i="67"/>
  <c r="Q1124" i="67"/>
  <c r="AB1124" i="67"/>
  <c r="AN1238" i="67"/>
  <c r="AQ1342" i="67"/>
  <c r="Q1255" i="67"/>
  <c r="AW1341" i="67"/>
  <c r="AB1255" i="67"/>
  <c r="AB1341" i="67"/>
  <c r="V1239" i="67"/>
  <c r="V1259" i="67"/>
  <c r="X1226" i="67"/>
  <c r="X1360" i="67"/>
  <c r="AD1259" i="67"/>
  <c r="AD1361" i="67"/>
  <c r="AH1259" i="67"/>
  <c r="M1249" i="67"/>
  <c r="AN1295" i="67"/>
  <c r="R1295" i="67"/>
  <c r="AQ1227" i="67"/>
  <c r="AQ1345" i="67"/>
  <c r="AG1296" i="67"/>
  <c r="O1295" i="67"/>
  <c r="N1296" i="67"/>
  <c r="S1280" i="67"/>
  <c r="P1257" i="67"/>
  <c r="P1343" i="67"/>
  <c r="AN1357" i="67"/>
  <c r="AK1238" i="67"/>
  <c r="AK1342" i="67"/>
  <c r="AO1238" i="67"/>
  <c r="AO1342" i="67"/>
  <c r="AS1255" i="67"/>
  <c r="AE1359" i="67"/>
  <c r="AK1295" i="67"/>
  <c r="AE1295" i="67"/>
  <c r="V1240" i="67"/>
  <c r="Q1345" i="67"/>
  <c r="Q1227" i="67"/>
  <c r="AD1360" i="67"/>
  <c r="AH1226" i="67"/>
  <c r="AS1304" i="67"/>
  <c r="Z1249" i="67"/>
  <c r="AC1259" i="67"/>
  <c r="AT1295" i="67"/>
  <c r="AQ1258" i="67"/>
  <c r="U1343" i="67"/>
  <c r="AM1280" i="67"/>
  <c r="AK1296" i="67"/>
  <c r="Y1241" i="67"/>
  <c r="Y1227" i="67"/>
  <c r="T1295" i="67"/>
  <c r="AV1304" i="67"/>
  <c r="AW1296" i="67"/>
  <c r="Z1256" i="67"/>
  <c r="Z1342" i="67"/>
  <c r="AD1237" i="67"/>
  <c r="AK1357" i="67"/>
  <c r="AO1237" i="67"/>
  <c r="AA1343" i="67"/>
  <c r="AS1358" i="67"/>
  <c r="AL1280" i="67"/>
  <c r="Q1258" i="67"/>
  <c r="AT1257" i="67"/>
  <c r="L1296" i="67"/>
  <c r="X1249" i="67"/>
  <c r="AM1343" i="67"/>
  <c r="AC1226" i="67"/>
  <c r="S1295" i="67"/>
  <c r="T1280" i="67"/>
  <c r="AG1295" i="67"/>
  <c r="AJ1241" i="67"/>
  <c r="Y1360" i="67"/>
  <c r="Y1239" i="67"/>
  <c r="AI1342" i="67"/>
  <c r="S1359" i="67"/>
  <c r="M1294" i="67"/>
  <c r="Z1255" i="67"/>
  <c r="Q1238" i="67"/>
  <c r="Q1342" i="67"/>
  <c r="AB1342" i="67"/>
  <c r="AH1359" i="67"/>
  <c r="X1361" i="67"/>
  <c r="N1353" i="67"/>
  <c r="AG1353" i="67"/>
  <c r="AG1359" i="67"/>
  <c r="AJ1258" i="67"/>
  <c r="AJ1360" i="67"/>
  <c r="AC1126" i="67"/>
  <c r="L1141" i="67"/>
  <c r="AG1141" i="67"/>
  <c r="AT1141" i="67"/>
  <c r="AO1124" i="67"/>
  <c r="S1141" i="67"/>
  <c r="V1141" i="67"/>
  <c r="AN1256" i="67"/>
  <c r="AN1358" i="67"/>
  <c r="AQ1256" i="67"/>
  <c r="Q1357" i="67"/>
  <c r="AW1255" i="67"/>
  <c r="V1343" i="67"/>
  <c r="R1343" i="67"/>
  <c r="V1345" i="67"/>
  <c r="X1258" i="67"/>
  <c r="AD1227" i="67"/>
  <c r="AH1241" i="67"/>
  <c r="M1353" i="67"/>
  <c r="AR1249" i="67"/>
  <c r="AQ1241" i="67"/>
  <c r="AN1255" i="67"/>
  <c r="AN1341" i="67"/>
  <c r="AQ1357" i="67"/>
  <c r="L1239" i="67"/>
  <c r="AW1342" i="67"/>
  <c r="AS1341" i="67"/>
  <c r="AE1343" i="67"/>
  <c r="V1360" i="67"/>
  <c r="AH1249" i="67"/>
  <c r="Q1241" i="67"/>
  <c r="AD1258" i="67"/>
  <c r="AD1344" i="67"/>
  <c r="AH1240" i="67"/>
  <c r="Z1353" i="67"/>
  <c r="AC1345" i="67"/>
  <c r="AQ1344" i="67"/>
  <c r="U1257" i="67"/>
  <c r="Y1345" i="67"/>
  <c r="AJ1249" i="67"/>
  <c r="AD1255" i="67"/>
  <c r="AD1357" i="67"/>
  <c r="AK1237" i="67"/>
  <c r="AO1255" i="67"/>
  <c r="AA1239" i="67"/>
  <c r="Q1360" i="67"/>
  <c r="X1353" i="67"/>
  <c r="AL1249" i="67"/>
  <c r="AC1258" i="67"/>
  <c r="AJ1361" i="67"/>
  <c r="Y1226" i="67"/>
  <c r="Y1344" i="67"/>
  <c r="R1249" i="67"/>
  <c r="Y1257" i="67"/>
  <c r="AI1238" i="67"/>
  <c r="S1239" i="67"/>
  <c r="S1343" i="67"/>
  <c r="Z1237" i="67"/>
  <c r="AB1358" i="67"/>
  <c r="AH1257" i="67"/>
  <c r="X1259" i="67"/>
  <c r="X1345" i="67"/>
  <c r="O1353" i="67"/>
  <c r="AG1257" i="67"/>
  <c r="AJ1226" i="67"/>
  <c r="AE23" i="65"/>
  <c r="U23" i="65"/>
  <c r="AN1170" i="67"/>
  <c r="AE162" i="65"/>
  <c r="AN1123" i="67"/>
  <c r="AN1166" i="67"/>
  <c r="AV9" i="70"/>
  <c r="AV8" i="70"/>
  <c r="AT1125" i="67"/>
  <c r="AK163" i="65"/>
  <c r="AD197" i="65"/>
  <c r="AD198" i="65" s="1"/>
  <c r="S1188" i="67"/>
  <c r="J74" i="65"/>
  <c r="J79" i="65" s="1"/>
  <c r="S313" i="67" s="1"/>
  <c r="S1070" i="67"/>
  <c r="S1204" i="67"/>
  <c r="AL69" i="70"/>
  <c r="J18" i="65"/>
  <c r="S1084" i="67"/>
  <c r="J125" i="65"/>
  <c r="J135" i="65" s="1"/>
  <c r="S465" i="67" s="1"/>
  <c r="S1102" i="67"/>
  <c r="AL53" i="70"/>
  <c r="Z1123" i="67"/>
  <c r="Z1170" i="67"/>
  <c r="Z1166" i="67"/>
  <c r="Q162" i="65"/>
  <c r="BQ6" i="68"/>
  <c r="AP8" i="62" s="1"/>
  <c r="AS1167" i="67"/>
  <c r="AS1171" i="67"/>
  <c r="AS1139" i="67"/>
  <c r="V1102" i="67"/>
  <c r="V1084" i="67"/>
  <c r="V1188" i="67"/>
  <c r="V1204" i="67"/>
  <c r="V1070" i="67"/>
  <c r="AO69" i="70"/>
  <c r="M74" i="65"/>
  <c r="M79" i="65" s="1"/>
  <c r="V313" i="67" s="1"/>
  <c r="M18" i="65"/>
  <c r="M125" i="65"/>
  <c r="M135" i="65" s="1"/>
  <c r="V465" i="67" s="1"/>
  <c r="AO53" i="70"/>
  <c r="AV1072" i="67"/>
  <c r="AV1206" i="67"/>
  <c r="AV1104" i="67"/>
  <c r="AV1086" i="67"/>
  <c r="AV1190" i="67"/>
  <c r="AM75" i="65"/>
  <c r="AM80" i="65" s="1"/>
  <c r="AV315" i="67" s="1"/>
  <c r="AM39" i="65"/>
  <c r="AM41" i="65" s="1"/>
  <c r="AV162" i="67" s="1"/>
  <c r="BO55" i="70"/>
  <c r="AV974" i="67" s="1"/>
  <c r="AM127" i="65"/>
  <c r="AM137" i="65" s="1"/>
  <c r="AV467" i="67" s="1"/>
  <c r="AM19" i="65"/>
  <c r="BO71" i="70"/>
  <c r="AV990" i="67" s="1"/>
  <c r="AJ1102" i="67"/>
  <c r="AA74" i="65"/>
  <c r="AA79" i="65" s="1"/>
  <c r="AJ313" i="67" s="1"/>
  <c r="BC53" i="70"/>
  <c r="AJ1188" i="67"/>
  <c r="BC4" i="70"/>
  <c r="AJ1070" i="67"/>
  <c r="AJ1204" i="67"/>
  <c r="BC69" i="70"/>
  <c r="AA125" i="65"/>
  <c r="AA135" i="65" s="1"/>
  <c r="AJ465" i="67" s="1"/>
  <c r="AJ1084" i="67"/>
  <c r="AA18" i="65"/>
  <c r="BM9" i="70"/>
  <c r="BM8" i="70"/>
  <c r="AP1071" i="67"/>
  <c r="AP1205" i="67"/>
  <c r="AP1103" i="67"/>
  <c r="BI54" i="70"/>
  <c r="AP973" i="67" s="1"/>
  <c r="AP1085" i="67"/>
  <c r="AG197" i="65"/>
  <c r="AG198" i="65" s="1"/>
  <c r="BI70" i="70" s="1"/>
  <c r="AP1189" i="67"/>
  <c r="AG126" i="65"/>
  <c r="AG136" i="65" s="1"/>
  <c r="AP466" i="67" s="1"/>
  <c r="AQ1170" i="67"/>
  <c r="AQ1166" i="67"/>
  <c r="L1085" i="67"/>
  <c r="L1189" i="67"/>
  <c r="L1071" i="67"/>
  <c r="L1205" i="67"/>
  <c r="L1103" i="67"/>
  <c r="AE54" i="70"/>
  <c r="L973" i="67" s="1"/>
  <c r="C126" i="65"/>
  <c r="C136" i="65" s="1"/>
  <c r="L466" i="67" s="1"/>
  <c r="C197" i="65"/>
  <c r="C198" i="65" s="1"/>
  <c r="Y1071" i="67"/>
  <c r="Y1205" i="67"/>
  <c r="Y1085" i="67"/>
  <c r="Y1103" i="67"/>
  <c r="Y1189" i="67"/>
  <c r="P126" i="65"/>
  <c r="P136" i="65" s="1"/>
  <c r="Y466" i="67" s="1"/>
  <c r="AR54" i="70"/>
  <c r="Y973" i="67" s="1"/>
  <c r="P197" i="65"/>
  <c r="P198" i="65" s="1"/>
  <c r="AG1102" i="67"/>
  <c r="X74" i="65"/>
  <c r="X79" i="65" s="1"/>
  <c r="AG313" i="67" s="1"/>
  <c r="AZ53" i="70"/>
  <c r="AG1188" i="67"/>
  <c r="X125" i="65"/>
  <c r="X135" i="65" s="1"/>
  <c r="AG465" i="67" s="1"/>
  <c r="AZ69" i="70"/>
  <c r="AG1084" i="67"/>
  <c r="AG1204" i="67"/>
  <c r="X18" i="65"/>
  <c r="AG1070" i="67"/>
  <c r="M1071" i="67"/>
  <c r="M1205" i="67"/>
  <c r="M1085" i="67"/>
  <c r="M1103" i="67"/>
  <c r="M1189" i="67"/>
  <c r="D126" i="65"/>
  <c r="D136" i="65" s="1"/>
  <c r="M466" i="67" s="1"/>
  <c r="D197" i="65"/>
  <c r="D198" i="65" s="1"/>
  <c r="AF54" i="70"/>
  <c r="M973" i="67" s="1"/>
  <c r="AK1123" i="67"/>
  <c r="AK1166" i="67"/>
  <c r="AB162" i="65"/>
  <c r="AK1170" i="67"/>
  <c r="AK1139" i="67"/>
  <c r="Q1170" i="67"/>
  <c r="Q1123" i="67"/>
  <c r="Q1166" i="67"/>
  <c r="H162" i="65"/>
  <c r="AN1139" i="67"/>
  <c r="AD1170" i="67"/>
  <c r="AD1166" i="67"/>
  <c r="U162" i="65"/>
  <c r="AD1123" i="67"/>
  <c r="M1102" i="67"/>
  <c r="M1084" i="67"/>
  <c r="M1188" i="67"/>
  <c r="M1204" i="67"/>
  <c r="D74" i="65"/>
  <c r="D79" i="65" s="1"/>
  <c r="M313" i="67" s="1"/>
  <c r="AF53" i="70"/>
  <c r="D125" i="65"/>
  <c r="D135" i="65" s="1"/>
  <c r="M465" i="67" s="1"/>
  <c r="D18" i="65"/>
  <c r="M1070" i="67"/>
  <c r="AF69" i="70"/>
  <c r="Q1139" i="67"/>
  <c r="AW1166" i="67"/>
  <c r="AW1170" i="67"/>
  <c r="AN162" i="65"/>
  <c r="AW1123" i="67"/>
  <c r="N1072" i="67"/>
  <c r="N1206" i="67"/>
  <c r="N1190" i="67"/>
  <c r="N1104" i="67"/>
  <c r="N1086" i="67"/>
  <c r="E75" i="65"/>
  <c r="E80" i="65" s="1"/>
  <c r="N315" i="67" s="1"/>
  <c r="AG55" i="70"/>
  <c r="E127" i="65"/>
  <c r="E137" i="65" s="1"/>
  <c r="N467" i="67" s="1"/>
  <c r="AG71" i="70"/>
  <c r="N990" i="67" s="1"/>
  <c r="E19" i="65"/>
  <c r="E39" i="65"/>
  <c r="E41" i="65" s="1"/>
  <c r="N162" i="67" s="1"/>
  <c r="AF1072" i="67"/>
  <c r="AF1206" i="67"/>
  <c r="AF1086" i="67"/>
  <c r="AF1104" i="67"/>
  <c r="AF1190" i="67"/>
  <c r="W19" i="65"/>
  <c r="AY71" i="70"/>
  <c r="AF990" i="67" s="1"/>
  <c r="W75" i="65"/>
  <c r="W80" i="65" s="1"/>
  <c r="AF315" i="67" s="1"/>
  <c r="AY55" i="70"/>
  <c r="AF974" i="67" s="1"/>
  <c r="W39" i="65"/>
  <c r="W41" i="65" s="1"/>
  <c r="AF162" i="67" s="1"/>
  <c r="W127" i="65"/>
  <c r="W137" i="65" s="1"/>
  <c r="AF467" i="67" s="1"/>
  <c r="AU784" i="67"/>
  <c r="AU1072" i="67"/>
  <c r="AU1206" i="67"/>
  <c r="BN55" i="70"/>
  <c r="AU974" i="67" s="1"/>
  <c r="AU1104" i="67"/>
  <c r="AL127" i="65"/>
  <c r="AL137" i="65" s="1"/>
  <c r="AU467" i="67" s="1"/>
  <c r="AL39" i="65"/>
  <c r="AL41" i="65" s="1"/>
  <c r="AU162" i="67" s="1"/>
  <c r="AU1086" i="67"/>
  <c r="AL19" i="65"/>
  <c r="AU9" i="67" s="1"/>
  <c r="AL75" i="65"/>
  <c r="AL80" i="65" s="1"/>
  <c r="AU315" i="67" s="1"/>
  <c r="AU1190" i="67"/>
  <c r="BN71" i="70"/>
  <c r="AU990" i="67" s="1"/>
  <c r="AM1188" i="67"/>
  <c r="AM1070" i="67"/>
  <c r="AM1204" i="67"/>
  <c r="AM1102" i="67"/>
  <c r="AM1084" i="67"/>
  <c r="AD18" i="65"/>
  <c r="BF4" i="70"/>
  <c r="AD74" i="65"/>
  <c r="AD79" i="65" s="1"/>
  <c r="AM313" i="67" s="1"/>
  <c r="AD125" i="65"/>
  <c r="AD135" i="65" s="1"/>
  <c r="AM465" i="67" s="1"/>
  <c r="BF69" i="70"/>
  <c r="BF53" i="70"/>
  <c r="P1189" i="67"/>
  <c r="G197" i="65"/>
  <c r="G198" i="65" s="1"/>
  <c r="P1205" i="67"/>
  <c r="AI54" i="70"/>
  <c r="P973" i="67" s="1"/>
  <c r="P1085" i="67"/>
  <c r="P1071" i="67"/>
  <c r="G126" i="65"/>
  <c r="G136" i="65" s="1"/>
  <c r="P466" i="67" s="1"/>
  <c r="P1103" i="67"/>
  <c r="AI1166" i="67"/>
  <c r="AI1170" i="67"/>
  <c r="AI1123" i="67"/>
  <c r="Z162" i="65"/>
  <c r="S1085" i="67"/>
  <c r="S1205" i="67"/>
  <c r="S1071" i="67"/>
  <c r="S1189" i="67"/>
  <c r="AL54" i="70"/>
  <c r="S973" i="67" s="1"/>
  <c r="J197" i="65"/>
  <c r="J198" i="65" s="1"/>
  <c r="J126" i="65"/>
  <c r="J136" i="65" s="1"/>
  <c r="S466" i="67" s="1"/>
  <c r="S1103" i="67"/>
  <c r="AA1102" i="67"/>
  <c r="AA1188" i="67"/>
  <c r="AA1204" i="67"/>
  <c r="AA1070" i="67"/>
  <c r="AA1084" i="67"/>
  <c r="AT53" i="70"/>
  <c r="R74" i="65"/>
  <c r="R79" i="65" s="1"/>
  <c r="AA313" i="67" s="1"/>
  <c r="AT69" i="70"/>
  <c r="R125" i="65"/>
  <c r="R135" i="65" s="1"/>
  <c r="AA465" i="67" s="1"/>
  <c r="R18" i="65"/>
  <c r="V1103" i="67"/>
  <c r="V1085" i="67"/>
  <c r="V1189" i="67"/>
  <c r="V1205" i="67"/>
  <c r="AO54" i="70"/>
  <c r="V973" i="67" s="1"/>
  <c r="M126" i="65"/>
  <c r="M136" i="65" s="1"/>
  <c r="V466" i="67" s="1"/>
  <c r="V1071" i="67"/>
  <c r="M197" i="65"/>
  <c r="M198" i="65" s="1"/>
  <c r="AH1125" i="67"/>
  <c r="Y163" i="65"/>
  <c r="BO8" i="70"/>
  <c r="BO9" i="70"/>
  <c r="S1125" i="67"/>
  <c r="J163" i="65"/>
  <c r="AJ1071" i="67"/>
  <c r="AJ1205" i="67"/>
  <c r="BC54" i="70"/>
  <c r="AJ973" i="67" s="1"/>
  <c r="AJ1103" i="67"/>
  <c r="AA197" i="65"/>
  <c r="AA198" i="65" s="1"/>
  <c r="AJ1189" i="67"/>
  <c r="AJ1085" i="67"/>
  <c r="AA126" i="65"/>
  <c r="AA136" i="65" s="1"/>
  <c r="AJ466" i="67" s="1"/>
  <c r="AO1170" i="67"/>
  <c r="AO1166" i="67"/>
  <c r="AO1123" i="67"/>
  <c r="AF162" i="65"/>
  <c r="AO1139" i="67"/>
  <c r="V1125" i="67"/>
  <c r="M163" i="65"/>
  <c r="AE1102" i="67"/>
  <c r="AE1188" i="67"/>
  <c r="AE1070" i="67"/>
  <c r="AE1204" i="67"/>
  <c r="AE1084" i="67"/>
  <c r="V18" i="65"/>
  <c r="V74" i="65"/>
  <c r="V79" i="65" s="1"/>
  <c r="AE313" i="67" s="1"/>
  <c r="AX69" i="70"/>
  <c r="AX53" i="70"/>
  <c r="V125" i="65"/>
  <c r="V135" i="65" s="1"/>
  <c r="AE465" i="67" s="1"/>
  <c r="X1072" i="67"/>
  <c r="X1206" i="67"/>
  <c r="X1086" i="67"/>
  <c r="X1104" i="67"/>
  <c r="X1190" i="67"/>
  <c r="O39" i="65"/>
  <c r="O41" i="65" s="1"/>
  <c r="X162" i="67" s="1"/>
  <c r="AQ55" i="70"/>
  <c r="X974" i="67" s="1"/>
  <c r="O75" i="65"/>
  <c r="O80" i="65" s="1"/>
  <c r="X315" i="67" s="1"/>
  <c r="O127" i="65"/>
  <c r="O137" i="65" s="1"/>
  <c r="X467" i="67" s="1"/>
  <c r="O19" i="65"/>
  <c r="AQ71" i="70"/>
  <c r="X990" i="67" s="1"/>
  <c r="AP1102" i="67"/>
  <c r="AP1084" i="67"/>
  <c r="AP1188" i="67"/>
  <c r="AP1070" i="67"/>
  <c r="AP1204" i="67"/>
  <c r="AG125" i="65"/>
  <c r="AG135" i="65" s="1"/>
  <c r="AP465" i="67" s="1"/>
  <c r="AG74" i="65"/>
  <c r="AG79" i="65" s="1"/>
  <c r="AP313" i="67" s="1"/>
  <c r="AG18" i="65"/>
  <c r="AP7" i="67" s="1"/>
  <c r="BI53" i="70"/>
  <c r="BI4" i="70"/>
  <c r="BI69" i="70"/>
  <c r="L1070" i="67"/>
  <c r="L1204" i="67"/>
  <c r="L1084" i="67"/>
  <c r="L1102" i="67"/>
  <c r="L1188" i="67"/>
  <c r="C18" i="65"/>
  <c r="AE69" i="70"/>
  <c r="C125" i="65"/>
  <c r="C135" i="65" s="1"/>
  <c r="L465" i="67" s="1"/>
  <c r="AE53" i="70"/>
  <c r="C74" i="65"/>
  <c r="C79" i="65" s="1"/>
  <c r="L313" i="67" s="1"/>
  <c r="Y1084" i="67"/>
  <c r="Y1102" i="67"/>
  <c r="Y1188" i="67"/>
  <c r="L1125" i="67"/>
  <c r="C163" i="65"/>
  <c r="AG8" i="70"/>
  <c r="AG9" i="70"/>
  <c r="AL1104" i="67"/>
  <c r="AL1086" i="67"/>
  <c r="AL1190" i="67"/>
  <c r="AL1206" i="67"/>
  <c r="AL1072" i="67"/>
  <c r="AC19" i="65"/>
  <c r="AC127" i="65"/>
  <c r="AC137" i="65" s="1"/>
  <c r="AL467" i="67" s="1"/>
  <c r="BE71" i="70"/>
  <c r="AL990" i="67" s="1"/>
  <c r="BE55" i="70"/>
  <c r="AL974" i="67" s="1"/>
  <c r="AC39" i="65"/>
  <c r="AC41" i="65" s="1"/>
  <c r="AL162" i="67" s="1"/>
  <c r="AC75" i="65"/>
  <c r="AC80" i="65" s="1"/>
  <c r="AL315" i="67" s="1"/>
  <c r="AY9" i="70"/>
  <c r="AY8" i="70"/>
  <c r="P1125" i="67"/>
  <c r="G163" i="65"/>
  <c r="BN8" i="70"/>
  <c r="BN9" i="70"/>
  <c r="AR784" i="67"/>
  <c r="AR1086" i="67"/>
  <c r="AR1206" i="67"/>
  <c r="AI127" i="65"/>
  <c r="AI137" i="65" s="1"/>
  <c r="AR467" i="67" s="1"/>
  <c r="AI75" i="65"/>
  <c r="AI80" i="65" s="1"/>
  <c r="AR315" i="67" s="1"/>
  <c r="AI39" i="65"/>
  <c r="AI41" i="65" s="1"/>
  <c r="AR162" i="67" s="1"/>
  <c r="AR1072" i="67"/>
  <c r="BK55" i="70"/>
  <c r="AR974" i="67" s="1"/>
  <c r="BK71" i="70"/>
  <c r="AR990" i="67" s="1"/>
  <c r="AR1104" i="67"/>
  <c r="AI19" i="65"/>
  <c r="AR1190" i="67"/>
  <c r="Z1139" i="67"/>
  <c r="T1188" i="67"/>
  <c r="T1070" i="67"/>
  <c r="T1204" i="67"/>
  <c r="T1102" i="67"/>
  <c r="T1084" i="67"/>
  <c r="K18" i="65"/>
  <c r="AM69" i="70"/>
  <c r="K125" i="65"/>
  <c r="K135" i="65" s="1"/>
  <c r="T465" i="67" s="1"/>
  <c r="K74" i="65"/>
  <c r="K79" i="65" s="1"/>
  <c r="T313" i="67" s="1"/>
  <c r="AM53" i="70"/>
  <c r="R197" i="65"/>
  <c r="R198" i="65" s="1"/>
  <c r="AA1189" i="67"/>
  <c r="R126" i="65"/>
  <c r="R136" i="65" s="1"/>
  <c r="AA466" i="67" s="1"/>
  <c r="AA1085" i="67"/>
  <c r="AA1205" i="67"/>
  <c r="AT54" i="70"/>
  <c r="AA973" i="67" s="1"/>
  <c r="AA1071" i="67"/>
  <c r="AA1103" i="67"/>
  <c r="R1085" i="67"/>
  <c r="R1205" i="67"/>
  <c r="R1189" i="67"/>
  <c r="R1071" i="67"/>
  <c r="AK54" i="70"/>
  <c r="R973" i="67" s="1"/>
  <c r="R1103" i="67"/>
  <c r="I126" i="65"/>
  <c r="I136" i="65" s="1"/>
  <c r="R466" i="67" s="1"/>
  <c r="I197" i="65"/>
  <c r="I198" i="65" s="1"/>
  <c r="W1086" i="67"/>
  <c r="W1104" i="67"/>
  <c r="W1190" i="67"/>
  <c r="W1072" i="67"/>
  <c r="W1206" i="67"/>
  <c r="AP71" i="70"/>
  <c r="W990" i="67" s="1"/>
  <c r="N75" i="65"/>
  <c r="N80" i="65" s="1"/>
  <c r="W315" i="67" s="1"/>
  <c r="N39" i="65"/>
  <c r="N41" i="65" s="1"/>
  <c r="W162" i="67" s="1"/>
  <c r="AP55" i="70"/>
  <c r="W974" i="67" s="1"/>
  <c r="N127" i="65"/>
  <c r="N137" i="65" s="1"/>
  <c r="W467" i="67" s="1"/>
  <c r="N19" i="65"/>
  <c r="AA1125" i="67"/>
  <c r="R163" i="65"/>
  <c r="AE1103" i="67"/>
  <c r="AE1071" i="67"/>
  <c r="V126" i="65"/>
  <c r="V136" i="65" s="1"/>
  <c r="AE466" i="67" s="1"/>
  <c r="AE1085" i="67"/>
  <c r="AE1189" i="67"/>
  <c r="V197" i="65"/>
  <c r="V198" i="65" s="1"/>
  <c r="AE1205" i="67"/>
  <c r="AX54" i="70"/>
  <c r="AE973" i="67" s="1"/>
  <c r="BA9" i="70"/>
  <c r="BA8" i="70"/>
  <c r="AQ8" i="70"/>
  <c r="AQ9" i="70"/>
  <c r="AQ1167" i="67"/>
  <c r="O1190" i="67"/>
  <c r="O1104" i="67"/>
  <c r="O1086" i="67"/>
  <c r="O1072" i="67"/>
  <c r="O1206" i="67"/>
  <c r="F39" i="65"/>
  <c r="F41" i="65" s="1"/>
  <c r="O162" i="67" s="1"/>
  <c r="AH55" i="70"/>
  <c r="O974" i="67" s="1"/>
  <c r="F75" i="65"/>
  <c r="F80" i="65" s="1"/>
  <c r="O315" i="67" s="1"/>
  <c r="F19" i="65"/>
  <c r="AH71" i="70"/>
  <c r="O990" i="67" s="1"/>
  <c r="F127" i="65"/>
  <c r="F137" i="65" s="1"/>
  <c r="O467" i="67" s="1"/>
  <c r="AD1139" i="67"/>
  <c r="AW1139" i="67"/>
  <c r="AB1170" i="67"/>
  <c r="AB1166" i="67"/>
  <c r="S162" i="65"/>
  <c r="AB1123" i="67"/>
  <c r="AB1139" i="67"/>
  <c r="AC784" i="67"/>
  <c r="AC1104" i="67"/>
  <c r="AC1190" i="67"/>
  <c r="AC1206" i="67"/>
  <c r="AC1086" i="67"/>
  <c r="T39" i="65"/>
  <c r="T41" i="65" s="1"/>
  <c r="AC162" i="67" s="1"/>
  <c r="AV55" i="70"/>
  <c r="AC974" i="67" s="1"/>
  <c r="AV71" i="70"/>
  <c r="AC990" i="67" s="1"/>
  <c r="T127" i="65"/>
  <c r="T137" i="65" s="1"/>
  <c r="AC467" i="67" s="1"/>
  <c r="AC1072" i="67"/>
  <c r="T75" i="65"/>
  <c r="T80" i="65" s="1"/>
  <c r="AC315" i="67" s="1"/>
  <c r="T19" i="65"/>
  <c r="BE9" i="70"/>
  <c r="BE8" i="70"/>
  <c r="AN8" i="70"/>
  <c r="AN9" i="70"/>
  <c r="AG1125" i="67"/>
  <c r="X163" i="65"/>
  <c r="BK9" i="70"/>
  <c r="BK8" i="70"/>
  <c r="AI1139" i="67"/>
  <c r="AI1171" i="67"/>
  <c r="AI1167" i="67"/>
  <c r="T1071" i="67"/>
  <c r="T1205" i="67"/>
  <c r="K126" i="65"/>
  <c r="K136" i="65" s="1"/>
  <c r="T466" i="67" s="1"/>
  <c r="T1103" i="67"/>
  <c r="T1085" i="67"/>
  <c r="K197" i="65"/>
  <c r="K198" i="65" s="1"/>
  <c r="AM54" i="70"/>
  <c r="T973" i="67" s="1"/>
  <c r="T1189" i="67"/>
  <c r="AS1170" i="67"/>
  <c r="AJ162" i="65"/>
  <c r="AS1123" i="67"/>
  <c r="AS1166" i="67"/>
  <c r="R1188" i="67"/>
  <c r="I125" i="65"/>
  <c r="I135" i="65" s="1"/>
  <c r="R465" i="67" s="1"/>
  <c r="R1070" i="67"/>
  <c r="R1204" i="67"/>
  <c r="I74" i="65"/>
  <c r="I79" i="65" s="1"/>
  <c r="R313" i="67" s="1"/>
  <c r="AK53" i="70"/>
  <c r="R1102" i="67"/>
  <c r="I18" i="65"/>
  <c r="R7" i="67" s="1"/>
  <c r="R1084" i="67"/>
  <c r="AK69" i="70"/>
  <c r="AP8" i="70"/>
  <c r="AP9" i="70"/>
  <c r="R1125" i="67"/>
  <c r="I163" i="65"/>
  <c r="Y1125" i="67"/>
  <c r="P163" i="65"/>
  <c r="AE1125" i="67"/>
  <c r="V163" i="65"/>
  <c r="AM1125" i="67"/>
  <c r="AD163" i="65"/>
  <c r="U1125" i="67"/>
  <c r="L163" i="65"/>
  <c r="AH9" i="70"/>
  <c r="AH8" i="70"/>
  <c r="AI168" i="65"/>
  <c r="U164" i="65"/>
  <c r="Y164" i="65"/>
  <c r="Q168" i="65"/>
  <c r="P164" i="65"/>
  <c r="AF168" i="65"/>
  <c r="AC168" i="65"/>
  <c r="AH164" i="65"/>
  <c r="I168" i="65"/>
  <c r="O168" i="65"/>
  <c r="T164" i="65"/>
  <c r="AH168" i="65"/>
  <c r="D168" i="65"/>
  <c r="X168" i="65"/>
  <c r="P168" i="65"/>
  <c r="AA164" i="65"/>
  <c r="O164" i="65"/>
  <c r="Y168" i="65"/>
  <c r="R168" i="65"/>
  <c r="H164" i="65"/>
  <c r="AA168" i="65"/>
  <c r="E168" i="65"/>
  <c r="M164" i="65"/>
  <c r="F168" i="65"/>
  <c r="AD1342" i="67" l="1"/>
  <c r="AI1020" i="67"/>
  <c r="Y951" i="67"/>
  <c r="AW1019" i="67"/>
  <c r="AW1256" i="67"/>
  <c r="AW1358" i="67"/>
  <c r="BF18" i="68"/>
  <c r="AE19" i="62" s="1"/>
  <c r="AQ1139" i="67"/>
  <c r="AQ1292" i="67" s="1"/>
  <c r="AQ1171" i="67"/>
  <c r="AQ1237" i="67"/>
  <c r="AB1167" i="67"/>
  <c r="AM1085" i="67"/>
  <c r="AQ7" i="67"/>
  <c r="AQ1223" i="67" s="1"/>
  <c r="BK5" i="68" s="1"/>
  <c r="AJ7" i="62" s="1"/>
  <c r="AO1167" i="67"/>
  <c r="AO1320" i="67" s="1"/>
  <c r="P1070" i="67"/>
  <c r="AD1256" i="67"/>
  <c r="P1188" i="67"/>
  <c r="AM1038" i="67"/>
  <c r="AG1189" i="67"/>
  <c r="P1084" i="67"/>
  <c r="P1102" i="67"/>
  <c r="AD1358" i="67"/>
  <c r="P1204" i="67"/>
  <c r="AQ1341" i="67"/>
  <c r="AI18" i="68"/>
  <c r="H19" i="62" s="1"/>
  <c r="AQ1123" i="67"/>
  <c r="Z1171" i="67"/>
  <c r="Z1167" i="67"/>
  <c r="AQ972" i="67"/>
  <c r="AQ1255" i="67"/>
  <c r="BI5" i="68"/>
  <c r="AH7" i="62" s="1"/>
  <c r="AW1238" i="67"/>
  <c r="BQ12" i="68" s="1"/>
  <c r="AP13" i="62" s="1"/>
  <c r="AN1167" i="67"/>
  <c r="AN1171" i="67"/>
  <c r="AN1324" i="67" s="1"/>
  <c r="AN1140" i="67"/>
  <c r="AB1140" i="67"/>
  <c r="AW1224" i="67"/>
  <c r="AB1171" i="67"/>
  <c r="AB1324" i="67" s="1"/>
  <c r="AI1140" i="67"/>
  <c r="BD18" i="68"/>
  <c r="AC19" i="62" s="1"/>
  <c r="AO1140" i="67"/>
  <c r="P125" i="65"/>
  <c r="P135" i="65" s="1"/>
  <c r="Y465" i="67" s="1"/>
  <c r="AD1224" i="67"/>
  <c r="AX5" i="68" s="1"/>
  <c r="W7" i="62" s="1"/>
  <c r="AR69" i="70"/>
  <c r="Y1139" i="67" s="1"/>
  <c r="Y1204" i="67"/>
  <c r="Y1357" i="67" s="1"/>
  <c r="Y933" i="67"/>
  <c r="Y1237" i="67" s="1"/>
  <c r="Y1037" i="67"/>
  <c r="Y1341" i="67" s="1"/>
  <c r="P74" i="65"/>
  <c r="P79" i="65" s="1"/>
  <c r="Y313" i="67" s="1"/>
  <c r="Y919" i="67"/>
  <c r="P18" i="65"/>
  <c r="AR53" i="70"/>
  <c r="P162" i="65" s="1"/>
  <c r="AU18" i="68"/>
  <c r="T19" i="62" s="1"/>
  <c r="BP70" i="70"/>
  <c r="AW1016" i="67" s="1"/>
  <c r="BB18" i="68"/>
  <c r="AA19" i="62" s="1"/>
  <c r="BI18" i="68"/>
  <c r="AH19" i="62" s="1"/>
  <c r="BL18" i="68"/>
  <c r="AK19" i="62" s="1"/>
  <c r="AG18" i="68"/>
  <c r="F19" i="62" s="1"/>
  <c r="BC70" i="70"/>
  <c r="AJ838" i="67" s="1"/>
  <c r="L1224" i="67"/>
  <c r="AN1016" i="67"/>
  <c r="AN989" i="67"/>
  <c r="AN838" i="67"/>
  <c r="AW70" i="70"/>
  <c r="AD989" i="67" s="1"/>
  <c r="AG1103" i="67"/>
  <c r="AG1085" i="67"/>
  <c r="AG1205" i="67"/>
  <c r="AO1171" i="67"/>
  <c r="BE12" i="68"/>
  <c r="AG1071" i="67"/>
  <c r="AD1238" i="67"/>
  <c r="AX12" i="68" s="1"/>
  <c r="AL18" i="68"/>
  <c r="K19" i="62" s="1"/>
  <c r="AQ1020" i="67"/>
  <c r="AI838" i="67"/>
  <c r="AQ1019" i="67"/>
  <c r="AQ1016" i="67"/>
  <c r="AQ1320" i="67" s="1"/>
  <c r="AH162" i="65"/>
  <c r="AH174" i="65" s="1"/>
  <c r="AQ670" i="67" s="1"/>
  <c r="AT18" i="68"/>
  <c r="S19" i="62" s="1"/>
  <c r="BM5" i="68"/>
  <c r="AI1016" i="67"/>
  <c r="AI1320" i="67" s="1"/>
  <c r="Q1167" i="67"/>
  <c r="AK1171" i="67"/>
  <c r="AM1189" i="67"/>
  <c r="AM1205" i="67"/>
  <c r="Q1171" i="67"/>
  <c r="Q1324" i="67" s="1"/>
  <c r="AK1167" i="67"/>
  <c r="AM1103" i="67"/>
  <c r="AM1071" i="67"/>
  <c r="Q1140" i="67"/>
  <c r="AS18" i="68"/>
  <c r="R19" i="62" s="1"/>
  <c r="AD126" i="65"/>
  <c r="AD136" i="65" s="1"/>
  <c r="AM466" i="67" s="1"/>
  <c r="BF54" i="70"/>
  <c r="AM973" i="67" s="1"/>
  <c r="AM1054" i="67"/>
  <c r="X126" i="65"/>
  <c r="X136" i="65" s="1"/>
  <c r="AG466" i="67" s="1"/>
  <c r="AZ54" i="70"/>
  <c r="AG973" i="67" s="1"/>
  <c r="BA18" i="68"/>
  <c r="Z19" i="62" s="1"/>
  <c r="AK12" i="68"/>
  <c r="AR18" i="68"/>
  <c r="Q19" i="62" s="1"/>
  <c r="AM952" i="67"/>
  <c r="AM934" i="67"/>
  <c r="AM1238" i="67" s="1"/>
  <c r="BB6" i="68"/>
  <c r="AA8" i="62" s="1"/>
  <c r="AO70" i="70"/>
  <c r="V1140" i="67" s="1"/>
  <c r="AL24" i="65"/>
  <c r="AE70" i="70"/>
  <c r="L989" i="67" s="1"/>
  <c r="AV12" i="68"/>
  <c r="BK6" i="68"/>
  <c r="AJ8" i="62" s="1"/>
  <c r="BK18" i="68"/>
  <c r="AJ19" i="62" s="1"/>
  <c r="BD6" i="68"/>
  <c r="AC8" i="62" s="1"/>
  <c r="AL920" i="67"/>
  <c r="AL1054" i="67"/>
  <c r="AL1038" i="67"/>
  <c r="AL952" i="67"/>
  <c r="AL934" i="67"/>
  <c r="O920" i="67"/>
  <c r="O1038" i="67"/>
  <c r="O1054" i="67"/>
  <c r="O952" i="67"/>
  <c r="O934" i="67"/>
  <c r="U920" i="67"/>
  <c r="U1038" i="67"/>
  <c r="U1054" i="67"/>
  <c r="U952" i="67"/>
  <c r="U934" i="67"/>
  <c r="AU920" i="67"/>
  <c r="AU1038" i="67"/>
  <c r="AU1054" i="67"/>
  <c r="AU952" i="67"/>
  <c r="AU934" i="67"/>
  <c r="L972" i="67"/>
  <c r="L1019" i="67"/>
  <c r="L1015" i="67"/>
  <c r="AE972" i="67"/>
  <c r="AE1019" i="67"/>
  <c r="AE1015" i="67"/>
  <c r="AA988" i="67"/>
  <c r="AG972" i="67"/>
  <c r="AT919" i="67"/>
  <c r="AT1053" i="67"/>
  <c r="AT1037" i="67"/>
  <c r="AT933" i="67"/>
  <c r="AT951" i="67"/>
  <c r="AC919" i="67"/>
  <c r="AC1037" i="67"/>
  <c r="AC1053" i="67"/>
  <c r="AC951" i="67"/>
  <c r="AC933" i="67"/>
  <c r="AK838" i="67"/>
  <c r="AK989" i="67"/>
  <c r="Z838" i="67"/>
  <c r="Z989" i="67"/>
  <c r="AK1016" i="67"/>
  <c r="Z1016" i="67"/>
  <c r="W920" i="67"/>
  <c r="W1038" i="67"/>
  <c r="W1054" i="67"/>
  <c r="W952" i="67"/>
  <c r="W934" i="67"/>
  <c r="AR919" i="67"/>
  <c r="AR1053" i="67"/>
  <c r="AR1037" i="67"/>
  <c r="AR951" i="67"/>
  <c r="AR933" i="67"/>
  <c r="AH920" i="67"/>
  <c r="AH1054" i="67"/>
  <c r="AH1038" i="67"/>
  <c r="AH952" i="67"/>
  <c r="AH934" i="67"/>
  <c r="W919" i="67"/>
  <c r="W1037" i="67"/>
  <c r="W1053" i="67"/>
  <c r="W951" i="67"/>
  <c r="W933" i="67"/>
  <c r="AR920" i="67"/>
  <c r="AR1054" i="67"/>
  <c r="AR1038" i="67"/>
  <c r="AR934" i="67"/>
  <c r="AR952" i="67"/>
  <c r="U919" i="67"/>
  <c r="U1037" i="67"/>
  <c r="U1053" i="67"/>
  <c r="U951" i="67"/>
  <c r="U933" i="67"/>
  <c r="X920" i="67"/>
  <c r="X1054" i="67"/>
  <c r="X1038" i="67"/>
  <c r="X934" i="67"/>
  <c r="X952" i="67"/>
  <c r="AU919" i="67"/>
  <c r="AU1037" i="67"/>
  <c r="AU1053" i="67"/>
  <c r="AU951" i="67"/>
  <c r="AU933" i="67"/>
  <c r="AF920" i="67"/>
  <c r="AF1054" i="67"/>
  <c r="AF1038" i="67"/>
  <c r="AF934" i="67"/>
  <c r="AF952" i="67"/>
  <c r="N920" i="67"/>
  <c r="N1054" i="67"/>
  <c r="N1038" i="67"/>
  <c r="N952" i="67"/>
  <c r="N934" i="67"/>
  <c r="AP988" i="67"/>
  <c r="AP1020" i="67"/>
  <c r="AP1016" i="67"/>
  <c r="AE988" i="67"/>
  <c r="AV920" i="67"/>
  <c r="AV1054" i="67"/>
  <c r="AV1038" i="67"/>
  <c r="AV934" i="67"/>
  <c r="AV952" i="67"/>
  <c r="N974" i="67"/>
  <c r="M988" i="67"/>
  <c r="M972" i="67"/>
  <c r="M1019" i="67"/>
  <c r="M1015" i="67"/>
  <c r="AG988" i="67"/>
  <c r="AT920" i="67"/>
  <c r="AT1054" i="67"/>
  <c r="AT1038" i="67"/>
  <c r="AT952" i="67"/>
  <c r="AT934" i="67"/>
  <c r="AJ988" i="67"/>
  <c r="V972" i="67"/>
  <c r="V1019" i="67"/>
  <c r="V1015" i="67"/>
  <c r="V988" i="67"/>
  <c r="AC920" i="67"/>
  <c r="AC1038" i="67"/>
  <c r="AC1054" i="67"/>
  <c r="AC952" i="67"/>
  <c r="AC934" i="67"/>
  <c r="AO838" i="67"/>
  <c r="AO989" i="67"/>
  <c r="P1053" i="67"/>
  <c r="P1037" i="67"/>
  <c r="P951" i="67"/>
  <c r="P933" i="67"/>
  <c r="Z1020" i="67"/>
  <c r="AB1016" i="67"/>
  <c r="AF919" i="67"/>
  <c r="AF1053" i="67"/>
  <c r="AF1037" i="67"/>
  <c r="AF951" i="67"/>
  <c r="AF933" i="67"/>
  <c r="R988" i="67"/>
  <c r="R972" i="67"/>
  <c r="R1015" i="67"/>
  <c r="R1019" i="67"/>
  <c r="AL919" i="67"/>
  <c r="AL1053" i="67"/>
  <c r="AL1037" i="67"/>
  <c r="AL933" i="67"/>
  <c r="AL951" i="67"/>
  <c r="X919" i="67"/>
  <c r="X1053" i="67"/>
  <c r="X1037" i="67"/>
  <c r="X951" i="67"/>
  <c r="X933" i="67"/>
  <c r="T988" i="67"/>
  <c r="N919" i="67"/>
  <c r="N1053" i="67"/>
  <c r="N1037" i="67"/>
  <c r="N933" i="67"/>
  <c r="N951" i="67"/>
  <c r="L988" i="67"/>
  <c r="AV919" i="67"/>
  <c r="AV1053" i="67"/>
  <c r="AV951" i="67"/>
  <c r="AV1037" i="67"/>
  <c r="AV933" i="67"/>
  <c r="AA972" i="67"/>
  <c r="AA1015" i="67"/>
  <c r="AA1019" i="67"/>
  <c r="AM972" i="67"/>
  <c r="AP838" i="67"/>
  <c r="AP989" i="67"/>
  <c r="AJ972" i="67"/>
  <c r="AJ1015" i="67"/>
  <c r="AJ1019" i="67"/>
  <c r="S972" i="67"/>
  <c r="S1019" i="67"/>
  <c r="S1015" i="67"/>
  <c r="AG920" i="67"/>
  <c r="AG1038" i="67"/>
  <c r="AG1054" i="67"/>
  <c r="AG952" i="67"/>
  <c r="AG934" i="67"/>
  <c r="O919" i="67"/>
  <c r="O1037" i="67"/>
  <c r="O1053" i="67"/>
  <c r="O951" i="67"/>
  <c r="O933" i="67"/>
  <c r="AH919" i="67"/>
  <c r="AH1053" i="67"/>
  <c r="AH1037" i="67"/>
  <c r="AH933" i="67"/>
  <c r="AH951" i="67"/>
  <c r="T972" i="67"/>
  <c r="T1015" i="67"/>
  <c r="T1019" i="67"/>
  <c r="Y1019" i="67"/>
  <c r="Y1015" i="67"/>
  <c r="AP972" i="67"/>
  <c r="AP1019" i="67"/>
  <c r="AP1015" i="67"/>
  <c r="AM988" i="67"/>
  <c r="S988" i="67"/>
  <c r="Q838" i="67"/>
  <c r="Q989" i="67"/>
  <c r="AB838" i="67"/>
  <c r="AB989" i="67"/>
  <c r="AO1020" i="67"/>
  <c r="AK1020" i="67"/>
  <c r="Q1016" i="67"/>
  <c r="BI12" i="68"/>
  <c r="G74" i="65"/>
  <c r="G79" i="65" s="1"/>
  <c r="P313" i="67" s="1"/>
  <c r="P919" i="67"/>
  <c r="AH18" i="68"/>
  <c r="G19" i="62" s="1"/>
  <c r="AP6" i="68"/>
  <c r="O8" i="62" s="1"/>
  <c r="AS6" i="68"/>
  <c r="R8" i="62" s="1"/>
  <c r="BH5" i="68"/>
  <c r="AR6" i="68"/>
  <c r="Q8" i="62" s="1"/>
  <c r="AW6" i="68"/>
  <c r="V8" i="62" s="1"/>
  <c r="BC12" i="68"/>
  <c r="AI69" i="70"/>
  <c r="P1139" i="67" s="1"/>
  <c r="BK12" i="68"/>
  <c r="AJ13" i="62" s="1"/>
  <c r="G18" i="65"/>
  <c r="G23" i="65" s="1"/>
  <c r="AI53" i="70"/>
  <c r="P1123" i="67" s="1"/>
  <c r="AK6" i="68"/>
  <c r="J8" i="62" s="1"/>
  <c r="AT12" i="68"/>
  <c r="S13" i="62" s="1"/>
  <c r="BM12" i="68"/>
  <c r="S1224" i="67"/>
  <c r="AW1223" i="67"/>
  <c r="AK5" i="68"/>
  <c r="J7" i="62" s="1"/>
  <c r="AG23" i="65"/>
  <c r="AX70" i="70"/>
  <c r="AE1020" i="67" s="1"/>
  <c r="AW1279" i="67"/>
  <c r="AW1278" i="67"/>
  <c r="AT70" i="70"/>
  <c r="AA1016" i="67" s="1"/>
  <c r="AI70" i="70"/>
  <c r="P1140" i="67" s="1"/>
  <c r="AL70" i="70"/>
  <c r="S1167" i="67" s="1"/>
  <c r="AZ70" i="70"/>
  <c r="AG1016" i="67" s="1"/>
  <c r="C175" i="65"/>
  <c r="L672" i="67" s="1"/>
  <c r="L1278" i="67" s="1"/>
  <c r="M175" i="65"/>
  <c r="V672" i="67" s="1"/>
  <c r="V1278" i="67" s="1"/>
  <c r="Z174" i="65"/>
  <c r="AI717" i="67" s="1"/>
  <c r="AI1323" i="67" s="1"/>
  <c r="AR70" i="70"/>
  <c r="Y1140" i="67" s="1"/>
  <c r="AK175" i="65"/>
  <c r="AT672" i="67" s="1"/>
  <c r="AT1278" i="67" s="1"/>
  <c r="R180" i="65"/>
  <c r="AA682" i="67" s="1"/>
  <c r="AA1288" i="67" s="1"/>
  <c r="AC180" i="65"/>
  <c r="AL682" i="67" s="1"/>
  <c r="AL1288" i="67" s="1"/>
  <c r="AJ174" i="65"/>
  <c r="AS670" i="67" s="1"/>
  <c r="AS1276" i="67" s="1"/>
  <c r="X175" i="65"/>
  <c r="AG672" i="67" s="1"/>
  <c r="AG1278" i="67" s="1"/>
  <c r="AM70" i="70"/>
  <c r="T1020" i="67" s="1"/>
  <c r="AF174" i="65"/>
  <c r="AO670" i="67" s="1"/>
  <c r="AO1276" i="67" s="1"/>
  <c r="AN174" i="65"/>
  <c r="AW670" i="67" s="1"/>
  <c r="AW1276" i="67" s="1"/>
  <c r="M176" i="65"/>
  <c r="V673" i="67" s="1"/>
  <c r="V1279" i="67" s="1"/>
  <c r="T176" i="65"/>
  <c r="AC673" i="67" s="1"/>
  <c r="AC1279" i="67" s="1"/>
  <c r="Y176" i="65"/>
  <c r="AH673" i="67" s="1"/>
  <c r="AH1279" i="67" s="1"/>
  <c r="E180" i="65"/>
  <c r="N682" i="67" s="1"/>
  <c r="Y180" i="65"/>
  <c r="AH682" i="67" s="1"/>
  <c r="AH1288" i="67" s="1"/>
  <c r="X180" i="65"/>
  <c r="AG682" i="67" s="1"/>
  <c r="AG1288" i="67" s="1"/>
  <c r="O180" i="65"/>
  <c r="X682" i="67" s="1"/>
  <c r="X1288" i="67" s="1"/>
  <c r="AF180" i="65"/>
  <c r="L175" i="65"/>
  <c r="U672" i="67" s="1"/>
  <c r="U1278" i="67" s="1"/>
  <c r="P175" i="65"/>
  <c r="Y672" i="67" s="1"/>
  <c r="Y1278" i="67" s="1"/>
  <c r="AA180" i="65"/>
  <c r="AJ682" i="67" s="1"/>
  <c r="AJ1288" i="67" s="1"/>
  <c r="O176" i="65"/>
  <c r="X673" i="67" s="1"/>
  <c r="X1279" i="67" s="1"/>
  <c r="D180" i="65"/>
  <c r="M682" i="67" s="1"/>
  <c r="M1288" i="67" s="1"/>
  <c r="I180" i="65"/>
  <c r="R682" i="67" s="1"/>
  <c r="R1288" i="67" s="1"/>
  <c r="P176" i="65"/>
  <c r="Y673" i="67" s="1"/>
  <c r="Y1279" i="67" s="1"/>
  <c r="AI180" i="65"/>
  <c r="AR682" i="67" s="1"/>
  <c r="AR1288" i="67" s="1"/>
  <c r="S174" i="65"/>
  <c r="AB670" i="67" s="1"/>
  <c r="AB1276" i="67" s="1"/>
  <c r="R175" i="65"/>
  <c r="AA672" i="67" s="1"/>
  <c r="AA1278" i="67" s="1"/>
  <c r="AK70" i="70"/>
  <c r="R1016" i="67" s="1"/>
  <c r="J175" i="65"/>
  <c r="S672" i="67" s="1"/>
  <c r="S1278" i="67" s="1"/>
  <c r="Y175" i="65"/>
  <c r="AH672" i="67" s="1"/>
  <c r="AH1278" i="67" s="1"/>
  <c r="U174" i="65"/>
  <c r="AD670" i="67" s="1"/>
  <c r="AD1276" i="67" s="1"/>
  <c r="H174" i="65"/>
  <c r="Q670" i="67" s="1"/>
  <c r="Q1276" i="67" s="1"/>
  <c r="AB174" i="65"/>
  <c r="AK670" i="67" s="1"/>
  <c r="AK1276" i="67" s="1"/>
  <c r="AF70" i="70"/>
  <c r="M1140" i="67" s="1"/>
  <c r="Q174" i="65"/>
  <c r="Z670" i="67" s="1"/>
  <c r="Z1276" i="67" s="1"/>
  <c r="P180" i="65"/>
  <c r="Y682" i="67" s="1"/>
  <c r="Y1288" i="67" s="1"/>
  <c r="AD175" i="65"/>
  <c r="AM672" i="67" s="1"/>
  <c r="AM1278" i="67" s="1"/>
  <c r="U176" i="65"/>
  <c r="AD673" i="67" s="1"/>
  <c r="AD1279" i="67" s="1"/>
  <c r="F180" i="65"/>
  <c r="O682" i="67" s="1"/>
  <c r="O1288" i="67" s="1"/>
  <c r="H176" i="65"/>
  <c r="Q673" i="67" s="1"/>
  <c r="Q1279" i="67" s="1"/>
  <c r="AA176" i="65"/>
  <c r="AJ673" i="67" s="1"/>
  <c r="AJ1279" i="67" s="1"/>
  <c r="AH180" i="65"/>
  <c r="AQ682" i="67" s="1"/>
  <c r="AQ1288" i="67" s="1"/>
  <c r="AH176" i="65"/>
  <c r="AQ673" i="67" s="1"/>
  <c r="AQ1279" i="67" s="1"/>
  <c r="Q180" i="65"/>
  <c r="Z682" i="67" s="1"/>
  <c r="Z1288" i="67" s="1"/>
  <c r="V175" i="65"/>
  <c r="AE672" i="67" s="1"/>
  <c r="AE1278" i="67" s="1"/>
  <c r="I175" i="65"/>
  <c r="R672" i="67" s="1"/>
  <c r="R1278" i="67" s="1"/>
  <c r="G175" i="65"/>
  <c r="P672" i="67" s="1"/>
  <c r="P1278" i="67" s="1"/>
  <c r="BF70" i="70"/>
  <c r="AM1140" i="67" s="1"/>
  <c r="AE174" i="65"/>
  <c r="AN717" i="67" s="1"/>
  <c r="AN1323" i="67" s="1"/>
  <c r="E24" i="65"/>
  <c r="N9" i="67"/>
  <c r="N1225" i="67" s="1"/>
  <c r="D23" i="65"/>
  <c r="M7" i="67"/>
  <c r="M1223" i="67" s="1"/>
  <c r="T24" i="65"/>
  <c r="AC9" i="67"/>
  <c r="AC1225" i="67" s="1"/>
  <c r="AI24" i="65"/>
  <c r="AR9" i="67"/>
  <c r="AR1225" i="67" s="1"/>
  <c r="P23" i="65"/>
  <c r="Y7" i="67"/>
  <c r="V23" i="65"/>
  <c r="AE7" i="67"/>
  <c r="AE1223" i="67" s="1"/>
  <c r="R23" i="65"/>
  <c r="AA7" i="67"/>
  <c r="AA1223" i="67" s="1"/>
  <c r="AD23" i="65"/>
  <c r="AM7" i="67"/>
  <c r="AM1223" i="67" s="1"/>
  <c r="W24" i="65"/>
  <c r="AF9" i="67"/>
  <c r="AF1225" i="67" s="1"/>
  <c r="AA23" i="65"/>
  <c r="AJ7" i="67"/>
  <c r="AJ1223" i="67" s="1"/>
  <c r="AM24" i="65"/>
  <c r="AV9" i="67"/>
  <c r="AV1225" i="67" s="1"/>
  <c r="J23" i="65"/>
  <c r="S7" i="67"/>
  <c r="S1223" i="67" s="1"/>
  <c r="F24" i="65"/>
  <c r="O9" i="67"/>
  <c r="O1225" i="67" s="1"/>
  <c r="N24" i="65"/>
  <c r="W9" i="67"/>
  <c r="W1225" i="67" s="1"/>
  <c r="X23" i="65"/>
  <c r="AG7" i="67"/>
  <c r="AG1223" i="67" s="1"/>
  <c r="K23" i="65"/>
  <c r="T7" i="67"/>
  <c r="T1223" i="67" s="1"/>
  <c r="AC24" i="65"/>
  <c r="AL9" i="67"/>
  <c r="AL1225" i="67" s="1"/>
  <c r="C23" i="65"/>
  <c r="L7" i="67"/>
  <c r="L1223" i="67" s="1"/>
  <c r="O24" i="65"/>
  <c r="X9" i="67"/>
  <c r="X1225" i="67" s="1"/>
  <c r="M23" i="65"/>
  <c r="V7" i="67"/>
  <c r="V1223" i="67" s="1"/>
  <c r="S1294" i="67"/>
  <c r="AT1294" i="67"/>
  <c r="R1294" i="67"/>
  <c r="AS1277" i="67"/>
  <c r="Y1304" i="67"/>
  <c r="AJ1296" i="67"/>
  <c r="V1280" i="67"/>
  <c r="BH12" i="68"/>
  <c r="P1294" i="67"/>
  <c r="R1224" i="67"/>
  <c r="AR1239" i="67"/>
  <c r="AX6" i="68"/>
  <c r="W8" i="62" s="1"/>
  <c r="AQ1293" i="67"/>
  <c r="Z1277" i="67"/>
  <c r="Q1295" i="67"/>
  <c r="O1304" i="67"/>
  <c r="AA1294" i="67"/>
  <c r="AH1304" i="67"/>
  <c r="M1304" i="67"/>
  <c r="R1304" i="67"/>
  <c r="AQ1277" i="67"/>
  <c r="AH1294" i="67"/>
  <c r="AR1304" i="67"/>
  <c r="AQ1304" i="67"/>
  <c r="AQ1295" i="67"/>
  <c r="AJ1304" i="67"/>
  <c r="AL1304" i="67"/>
  <c r="X1304" i="67"/>
  <c r="Y1296" i="67"/>
  <c r="AJ1295" i="67"/>
  <c r="AD1280" i="67"/>
  <c r="X1280" i="67"/>
  <c r="AJ1280" i="67"/>
  <c r="Y1295" i="67"/>
  <c r="AC1280" i="67"/>
  <c r="X1295" i="67"/>
  <c r="AC1296" i="67"/>
  <c r="X1296" i="67"/>
  <c r="V1295" i="67"/>
  <c r="AP1224" i="67"/>
  <c r="AN1277" i="67"/>
  <c r="AU1239" i="67"/>
  <c r="AI1277" i="67"/>
  <c r="V1224" i="67"/>
  <c r="Y1224" i="67"/>
  <c r="AG1294" i="67"/>
  <c r="Y1294" i="67"/>
  <c r="AC1239" i="67"/>
  <c r="AC1141" i="67"/>
  <c r="O1141" i="67"/>
  <c r="AE1124" i="67"/>
  <c r="R1124" i="67"/>
  <c r="AL1141" i="67"/>
  <c r="AJ1224" i="67"/>
  <c r="P1224" i="67"/>
  <c r="AU1225" i="67"/>
  <c r="Y1124" i="67"/>
  <c r="Y1256" i="67"/>
  <c r="AE1342" i="67"/>
  <c r="AJ1237" i="67"/>
  <c r="AV1257" i="67"/>
  <c r="R1256" i="67"/>
  <c r="R1342" i="67"/>
  <c r="AA1357" i="67"/>
  <c r="T1358" i="67"/>
  <c r="S1237" i="67"/>
  <c r="S1341" i="67"/>
  <c r="AU1359" i="67"/>
  <c r="AL1239" i="67"/>
  <c r="M1357" i="67"/>
  <c r="L1294" i="67"/>
  <c r="AG1357" i="67"/>
  <c r="AB1277" i="67"/>
  <c r="AK1277" i="67"/>
  <c r="L1237" i="67"/>
  <c r="AP1237" i="67"/>
  <c r="AE1237" i="67"/>
  <c r="AE1341" i="67"/>
  <c r="V1358" i="67"/>
  <c r="T1357" i="67"/>
  <c r="AI1324" i="67"/>
  <c r="AR1257" i="67"/>
  <c r="AF1359" i="67"/>
  <c r="N1239" i="67"/>
  <c r="M1256" i="67"/>
  <c r="AD1296" i="67"/>
  <c r="AC1295" i="67"/>
  <c r="L1256" i="67"/>
  <c r="AP1256" i="67"/>
  <c r="AP1342" i="67"/>
  <c r="W1239" i="67"/>
  <c r="W1343" i="67"/>
  <c r="V1237" i="67"/>
  <c r="AS1324" i="67"/>
  <c r="P1256" i="67"/>
  <c r="P1358" i="67"/>
  <c r="AM1357" i="67"/>
  <c r="AD1295" i="67"/>
  <c r="AQ1296" i="67"/>
  <c r="Q1280" i="67"/>
  <c r="O1239" i="67"/>
  <c r="O1343" i="67"/>
  <c r="AS1293" i="67"/>
  <c r="AJ1256" i="67"/>
  <c r="R1255" i="67"/>
  <c r="AA1256" i="67"/>
  <c r="S1358" i="67"/>
  <c r="R1223" i="67"/>
  <c r="T1124" i="67"/>
  <c r="T1224" i="67"/>
  <c r="AE1224" i="67"/>
  <c r="X1141" i="67"/>
  <c r="AJ1124" i="67"/>
  <c r="S1124" i="67"/>
  <c r="N1141" i="67"/>
  <c r="AP1124" i="67"/>
  <c r="Y1358" i="67"/>
  <c r="AE1358" i="67"/>
  <c r="AO1292" i="67"/>
  <c r="AJ1357" i="67"/>
  <c r="AV1239" i="67"/>
  <c r="AA1237" i="67"/>
  <c r="AA1341" i="67"/>
  <c r="T1256" i="67"/>
  <c r="AU1343" i="67"/>
  <c r="AL1343" i="67"/>
  <c r="M1255" i="67"/>
  <c r="AG1237" i="67"/>
  <c r="L1357" i="67"/>
  <c r="AP1341" i="67"/>
  <c r="X1239" i="67"/>
  <c r="V1256" i="67"/>
  <c r="V1342" i="67"/>
  <c r="T1255" i="67"/>
  <c r="T1341" i="67"/>
  <c r="AI1292" i="67"/>
  <c r="AF1343" i="67"/>
  <c r="N1343" i="67"/>
  <c r="M1358" i="67"/>
  <c r="AO1304" i="67"/>
  <c r="AH1296" i="67"/>
  <c r="Y1280" i="67"/>
  <c r="AM1294" i="67"/>
  <c r="L1238" i="67"/>
  <c r="V1255" i="67"/>
  <c r="V1357" i="67"/>
  <c r="AW1277" i="67"/>
  <c r="AM1237" i="67"/>
  <c r="AM1341" i="67"/>
  <c r="AA1304" i="67"/>
  <c r="AG1304" i="67"/>
  <c r="N1304" i="67"/>
  <c r="AJ1238" i="67"/>
  <c r="R1237" i="67"/>
  <c r="AA1358" i="67"/>
  <c r="S1238" i="67"/>
  <c r="AC1257" i="67"/>
  <c r="W1141" i="67"/>
  <c r="AA1224" i="67"/>
  <c r="AR1141" i="67"/>
  <c r="AP1223" i="67"/>
  <c r="V1124" i="67"/>
  <c r="M1224" i="67"/>
  <c r="Y1238" i="67"/>
  <c r="Y1342" i="67"/>
  <c r="AE1238" i="67"/>
  <c r="V1294" i="67"/>
  <c r="AJ1255" i="67"/>
  <c r="AJ1341" i="67"/>
  <c r="AV1359" i="67"/>
  <c r="R1238" i="67"/>
  <c r="AO1277" i="67"/>
  <c r="T1238" i="67"/>
  <c r="S1255" i="67"/>
  <c r="AL1359" i="67"/>
  <c r="M1341" i="67"/>
  <c r="AG1341" i="67"/>
  <c r="Q1277" i="67"/>
  <c r="L1255" i="67"/>
  <c r="L1341" i="67"/>
  <c r="AP1357" i="67"/>
  <c r="X1359" i="67"/>
  <c r="AE1255" i="67"/>
  <c r="AD1277" i="67"/>
  <c r="AR1359" i="67"/>
  <c r="AF1257" i="67"/>
  <c r="N1359" i="67"/>
  <c r="M1238" i="67"/>
  <c r="M1342" i="67"/>
  <c r="AH1280" i="67"/>
  <c r="L1342" i="67"/>
  <c r="AP1238" i="67"/>
  <c r="W1257" i="67"/>
  <c r="AS1320" i="67"/>
  <c r="P1342" i="67"/>
  <c r="AD1292" i="67"/>
  <c r="AN1292" i="67"/>
  <c r="V1296" i="67"/>
  <c r="AQ1280" i="67"/>
  <c r="Z1304" i="67"/>
  <c r="AH1295" i="67"/>
  <c r="O1257" i="67"/>
  <c r="U1294" i="67"/>
  <c r="Y1255" i="67"/>
  <c r="AJ1342" i="67"/>
  <c r="R1341" i="67"/>
  <c r="AA1238" i="67"/>
  <c r="S1342" i="67"/>
  <c r="AC1359" i="67"/>
  <c r="AA1124" i="67"/>
  <c r="P1124" i="67"/>
  <c r="AU1141" i="67"/>
  <c r="AF1141" i="67"/>
  <c r="M1124" i="67"/>
  <c r="L1124" i="67"/>
  <c r="AP1140" i="67"/>
  <c r="AV1141" i="67"/>
  <c r="AE1256" i="67"/>
  <c r="AV1343" i="67"/>
  <c r="R1358" i="67"/>
  <c r="AA1255" i="67"/>
  <c r="T1342" i="67"/>
  <c r="Z1292" i="67"/>
  <c r="S1357" i="67"/>
  <c r="AU1257" i="67"/>
  <c r="AL1257" i="67"/>
  <c r="M1237" i="67"/>
  <c r="AG1255" i="67"/>
  <c r="AP1255" i="67"/>
  <c r="X1257" i="67"/>
  <c r="X1343" i="67"/>
  <c r="AE1357" i="67"/>
  <c r="V1238" i="67"/>
  <c r="T1237" i="67"/>
  <c r="AR1343" i="67"/>
  <c r="AF1239" i="67"/>
  <c r="N1257" i="67"/>
  <c r="AW1292" i="67"/>
  <c r="Q1292" i="67"/>
  <c r="Q1296" i="67"/>
  <c r="AE1294" i="67"/>
  <c r="L1358" i="67"/>
  <c r="AP1358" i="67"/>
  <c r="W1359" i="67"/>
  <c r="V1341" i="67"/>
  <c r="AS1292" i="67"/>
  <c r="P1238" i="67"/>
  <c r="AM1255" i="67"/>
  <c r="AB1292" i="67"/>
  <c r="AK1292" i="67"/>
  <c r="O1359" i="67"/>
  <c r="AJ1358" i="67"/>
  <c r="R1357" i="67"/>
  <c r="AA1342" i="67"/>
  <c r="S1256" i="67"/>
  <c r="AC1343" i="67"/>
  <c r="BC5" i="68"/>
  <c r="AT5" i="68"/>
  <c r="BE5" i="68"/>
  <c r="AV5" i="68"/>
  <c r="I23" i="65"/>
  <c r="W1084" i="67"/>
  <c r="W1188" i="67"/>
  <c r="W1070" i="67"/>
  <c r="W1102" i="67"/>
  <c r="W1204" i="67"/>
  <c r="AP53" i="70"/>
  <c r="N125" i="65"/>
  <c r="N135" i="65" s="1"/>
  <c r="W465" i="67" s="1"/>
  <c r="N18" i="65"/>
  <c r="AP69" i="70"/>
  <c r="N74" i="65"/>
  <c r="N79" i="65" s="1"/>
  <c r="W313" i="67" s="1"/>
  <c r="AR1085" i="67"/>
  <c r="AR1189" i="67"/>
  <c r="AR1103" i="67"/>
  <c r="AR1205" i="67"/>
  <c r="BK54" i="70"/>
  <c r="AR973" i="67" s="1"/>
  <c r="AI197" i="65"/>
  <c r="AI198" i="65" s="1"/>
  <c r="AR1071" i="67"/>
  <c r="AI126" i="65"/>
  <c r="AI136" i="65" s="1"/>
  <c r="AR466" i="67" s="1"/>
  <c r="O1070" i="67"/>
  <c r="O1204" i="67"/>
  <c r="O1084" i="67"/>
  <c r="O1102" i="67"/>
  <c r="O1188" i="67"/>
  <c r="F18" i="65"/>
  <c r="AH69" i="70"/>
  <c r="F125" i="65"/>
  <c r="F135" i="65" s="1"/>
  <c r="O465" i="67" s="1"/>
  <c r="F74" i="65"/>
  <c r="F79" i="65" s="1"/>
  <c r="O313" i="67" s="1"/>
  <c r="AH53" i="70"/>
  <c r="U1188" i="67"/>
  <c r="L18" i="65"/>
  <c r="U7" i="67" s="1"/>
  <c r="L125" i="65"/>
  <c r="L135" i="65" s="1"/>
  <c r="U465" i="67" s="1"/>
  <c r="U1070" i="67"/>
  <c r="U1204" i="67"/>
  <c r="L74" i="65"/>
  <c r="L79" i="65" s="1"/>
  <c r="U313" i="67" s="1"/>
  <c r="AN69" i="70"/>
  <c r="U1084" i="67"/>
  <c r="AN53" i="70"/>
  <c r="U1102" i="67"/>
  <c r="X1071" i="67"/>
  <c r="X1205" i="67"/>
  <c r="X1085" i="67"/>
  <c r="AQ54" i="70"/>
  <c r="X973" i="67" s="1"/>
  <c r="X1103" i="67"/>
  <c r="O126" i="65"/>
  <c r="O136" i="65" s="1"/>
  <c r="X466" i="67" s="1"/>
  <c r="O197" i="65"/>
  <c r="O198" i="65" s="1"/>
  <c r="X1189" i="67"/>
  <c r="W1125" i="67"/>
  <c r="N163" i="65"/>
  <c r="AU1102" i="67"/>
  <c r="AU1188" i="67"/>
  <c r="AU1070" i="67"/>
  <c r="AU1204" i="67"/>
  <c r="AU1084" i="67"/>
  <c r="AL18" i="65"/>
  <c r="AU7" i="67" s="1"/>
  <c r="AL74" i="65"/>
  <c r="AL79" i="65" s="1"/>
  <c r="AU313" i="67" s="1"/>
  <c r="BN69" i="70"/>
  <c r="BN53" i="70"/>
  <c r="BN4" i="70"/>
  <c r="AL125" i="65"/>
  <c r="AL135" i="65" s="1"/>
  <c r="AU465" i="67" s="1"/>
  <c r="AF1102" i="67"/>
  <c r="AF1188" i="67"/>
  <c r="AF1204" i="67"/>
  <c r="AF1070" i="67"/>
  <c r="AF1084" i="67"/>
  <c r="W125" i="65"/>
  <c r="W135" i="65" s="1"/>
  <c r="AF465" i="67" s="1"/>
  <c r="AY69" i="70"/>
  <c r="AY53" i="70"/>
  <c r="W18" i="65"/>
  <c r="W74" i="65"/>
  <c r="W79" i="65" s="1"/>
  <c r="AF313" i="67" s="1"/>
  <c r="AL1125" i="67"/>
  <c r="AC163" i="65"/>
  <c r="N1085" i="67"/>
  <c r="N1103" i="67"/>
  <c r="N1189" i="67"/>
  <c r="N1071" i="67"/>
  <c r="N1205" i="67"/>
  <c r="E197" i="65"/>
  <c r="E198" i="65" s="1"/>
  <c r="AG54" i="70"/>
  <c r="N973" i="67" s="1"/>
  <c r="E126" i="65"/>
  <c r="E136" i="65" s="1"/>
  <c r="N466" i="67" s="1"/>
  <c r="Y1123" i="67"/>
  <c r="Y1166" i="67"/>
  <c r="Y1170" i="67"/>
  <c r="AP1166" i="67"/>
  <c r="AP1123" i="67"/>
  <c r="AP1170" i="67"/>
  <c r="AG162" i="65"/>
  <c r="M1139" i="67"/>
  <c r="M1166" i="67"/>
  <c r="D162" i="65"/>
  <c r="M1170" i="67"/>
  <c r="M1123" i="67"/>
  <c r="AT1084" i="67"/>
  <c r="AT1102" i="67"/>
  <c r="AT1070" i="67"/>
  <c r="AT1204" i="67"/>
  <c r="BM69" i="70"/>
  <c r="AK74" i="65"/>
  <c r="AK79" i="65" s="1"/>
  <c r="AT313" i="67" s="1"/>
  <c r="BM4" i="70"/>
  <c r="BM53" i="70"/>
  <c r="AT1188" i="67"/>
  <c r="AK125" i="65"/>
  <c r="AK135" i="65" s="1"/>
  <c r="AT465" i="67" s="1"/>
  <c r="AK18" i="65"/>
  <c r="AV1125" i="67"/>
  <c r="AM163" i="65"/>
  <c r="V1139" i="67"/>
  <c r="AC1085" i="67"/>
  <c r="AC1205" i="67"/>
  <c r="AC1103" i="67"/>
  <c r="AV54" i="70"/>
  <c r="AC973" i="67" s="1"/>
  <c r="T197" i="65"/>
  <c r="T198" i="65" s="1"/>
  <c r="AC1189" i="67"/>
  <c r="T126" i="65"/>
  <c r="T136" i="65" s="1"/>
  <c r="AC466" i="67" s="1"/>
  <c r="AC1071" i="67"/>
  <c r="O1085" i="67"/>
  <c r="F126" i="65"/>
  <c r="F136" i="65" s="1"/>
  <c r="O466" i="67" s="1"/>
  <c r="AH54" i="70"/>
  <c r="O973" i="67" s="1"/>
  <c r="O1103" i="67"/>
  <c r="F197" i="65"/>
  <c r="F198" i="65" s="1"/>
  <c r="O1189" i="67"/>
  <c r="O1071" i="67"/>
  <c r="O1205" i="67"/>
  <c r="R1139" i="67"/>
  <c r="AL1102" i="67"/>
  <c r="AL1070" i="67"/>
  <c r="BE53" i="70"/>
  <c r="BE4" i="70"/>
  <c r="AL1084" i="67"/>
  <c r="BE69" i="70"/>
  <c r="AC125" i="65"/>
  <c r="AC135" i="65" s="1"/>
  <c r="AL465" i="67" s="1"/>
  <c r="AL1188" i="67"/>
  <c r="AL1204" i="67"/>
  <c r="AC74" i="65"/>
  <c r="AC79" i="65" s="1"/>
  <c r="AL313" i="67" s="1"/>
  <c r="AC18" i="65"/>
  <c r="AC1125" i="67"/>
  <c r="T163" i="65"/>
  <c r="X1084" i="67"/>
  <c r="X1204" i="67"/>
  <c r="O18" i="65"/>
  <c r="X7" i="67" s="1"/>
  <c r="X1188" i="67"/>
  <c r="X1102" i="67"/>
  <c r="AQ53" i="70"/>
  <c r="AQ69" i="70"/>
  <c r="X1070" i="67"/>
  <c r="O74" i="65"/>
  <c r="O79" i="65" s="1"/>
  <c r="X313" i="67" s="1"/>
  <c r="O125" i="65"/>
  <c r="O135" i="65" s="1"/>
  <c r="X465" i="67" s="1"/>
  <c r="AF1071" i="67"/>
  <c r="AF1205" i="67"/>
  <c r="AF1103" i="67"/>
  <c r="AF1085" i="67"/>
  <c r="W126" i="65"/>
  <c r="W136" i="65" s="1"/>
  <c r="AF466" i="67" s="1"/>
  <c r="AF1189" i="67"/>
  <c r="W197" i="65"/>
  <c r="W198" i="65" s="1"/>
  <c r="AY54" i="70"/>
  <c r="AF973" i="67" s="1"/>
  <c r="N1084" i="67"/>
  <c r="N1102" i="67"/>
  <c r="N1070" i="67"/>
  <c r="N1204" i="67"/>
  <c r="AG69" i="70"/>
  <c r="E18" i="65"/>
  <c r="N1188" i="67"/>
  <c r="E74" i="65"/>
  <c r="E79" i="65" s="1"/>
  <c r="N313" i="67" s="1"/>
  <c r="E125" i="65"/>
  <c r="E135" i="65" s="1"/>
  <c r="N465" i="67" s="1"/>
  <c r="AG53" i="70"/>
  <c r="L1139" i="67"/>
  <c r="AE1123" i="67"/>
  <c r="AE1166" i="67"/>
  <c r="AE1170" i="67"/>
  <c r="V162" i="65"/>
  <c r="AV1071" i="67"/>
  <c r="AV1205" i="67"/>
  <c r="AV1103" i="67"/>
  <c r="AV1085" i="67"/>
  <c r="AV1189" i="67"/>
  <c r="AM197" i="65"/>
  <c r="AM198" i="65" s="1"/>
  <c r="BO54" i="70"/>
  <c r="AV973" i="67" s="1"/>
  <c r="AM126" i="65"/>
  <c r="AM136" i="65" s="1"/>
  <c r="AV466" i="67" s="1"/>
  <c r="AM1123" i="67"/>
  <c r="AD162" i="65"/>
  <c r="AF1125" i="67"/>
  <c r="W163" i="65"/>
  <c r="AT1189" i="67"/>
  <c r="AT1103" i="67"/>
  <c r="AT1205" i="67"/>
  <c r="AK197" i="65"/>
  <c r="AK198" i="65" s="1"/>
  <c r="AT1071" i="67"/>
  <c r="BM54" i="70"/>
  <c r="AT973" i="67" s="1"/>
  <c r="AT1085" i="67"/>
  <c r="AK126" i="65"/>
  <c r="AK136" i="65" s="1"/>
  <c r="AT466" i="67" s="1"/>
  <c r="S1170" i="67"/>
  <c r="S1166" i="67"/>
  <c r="S1123" i="67"/>
  <c r="J162" i="65"/>
  <c r="U1071" i="67"/>
  <c r="U1205" i="67"/>
  <c r="AN54" i="70"/>
  <c r="U973" i="67" s="1"/>
  <c r="U1103" i="67"/>
  <c r="L126" i="65"/>
  <c r="L136" i="65" s="1"/>
  <c r="U466" i="67" s="1"/>
  <c r="U1189" i="67"/>
  <c r="U1085" i="67"/>
  <c r="L197" i="65"/>
  <c r="L198" i="65" s="1"/>
  <c r="W1103" i="67"/>
  <c r="W1189" i="67"/>
  <c r="W1071" i="67"/>
  <c r="W1205" i="67"/>
  <c r="W1085" i="67"/>
  <c r="N197" i="65"/>
  <c r="N198" i="65" s="1"/>
  <c r="N126" i="65"/>
  <c r="N136" i="65" s="1"/>
  <c r="W466" i="67" s="1"/>
  <c r="AP54" i="70"/>
  <c r="W973" i="67" s="1"/>
  <c r="R1123" i="67"/>
  <c r="R1170" i="67"/>
  <c r="R1166" i="67"/>
  <c r="I162" i="65"/>
  <c r="AR1070" i="67"/>
  <c r="AR1204" i="67"/>
  <c r="AR1084" i="67"/>
  <c r="BK69" i="70"/>
  <c r="AI74" i="65"/>
  <c r="AI79" i="65" s="1"/>
  <c r="AR313" i="67" s="1"/>
  <c r="AR1102" i="67"/>
  <c r="AI125" i="65"/>
  <c r="AI135" i="65" s="1"/>
  <c r="AR465" i="67" s="1"/>
  <c r="AR1188" i="67"/>
  <c r="BK53" i="70"/>
  <c r="AI18" i="65"/>
  <c r="BK4" i="70"/>
  <c r="AL1085" i="67"/>
  <c r="AL1103" i="67"/>
  <c r="AL1189" i="67"/>
  <c r="AL1071" i="67"/>
  <c r="AL1205" i="67"/>
  <c r="AC197" i="65"/>
  <c r="AC198" i="65" s="1"/>
  <c r="AC126" i="65"/>
  <c r="AC136" i="65" s="1"/>
  <c r="AL466" i="67" s="1"/>
  <c r="BE54" i="70"/>
  <c r="AL973" i="67" s="1"/>
  <c r="O1125" i="67"/>
  <c r="F163" i="65"/>
  <c r="AH1084" i="67"/>
  <c r="Y125" i="65"/>
  <c r="Y135" i="65" s="1"/>
  <c r="AH465" i="67" s="1"/>
  <c r="AH1102" i="67"/>
  <c r="Y74" i="65"/>
  <c r="Y79" i="65" s="1"/>
  <c r="AH313" i="67" s="1"/>
  <c r="AH1188" i="67"/>
  <c r="BA69" i="70"/>
  <c r="Y18" i="65"/>
  <c r="AH1070" i="67"/>
  <c r="AH1204" i="67"/>
  <c r="BA53" i="70"/>
  <c r="BA4" i="70"/>
  <c r="AP1139" i="67"/>
  <c r="AP1167" i="67"/>
  <c r="AP1171" i="67"/>
  <c r="AE1139" i="67"/>
  <c r="AV1188" i="67"/>
  <c r="AV1070" i="67"/>
  <c r="AV1204" i="67"/>
  <c r="AV1102" i="67"/>
  <c r="AM18" i="65"/>
  <c r="AV7" i="67" s="1"/>
  <c r="BO4" i="70"/>
  <c r="BO53" i="70"/>
  <c r="AM125" i="65"/>
  <c r="AM135" i="65" s="1"/>
  <c r="AV465" i="67" s="1"/>
  <c r="AM74" i="65"/>
  <c r="AM79" i="65" s="1"/>
  <c r="AV313" i="67" s="1"/>
  <c r="BO69" i="70"/>
  <c r="AV1084" i="67"/>
  <c r="AA1170" i="67"/>
  <c r="AA1123" i="67"/>
  <c r="AA1166" i="67"/>
  <c r="R162" i="65"/>
  <c r="AM1139" i="67"/>
  <c r="AU1125" i="67"/>
  <c r="AL163" i="65"/>
  <c r="N1125" i="67"/>
  <c r="E163" i="65"/>
  <c r="AG1123" i="67"/>
  <c r="AG1166" i="67"/>
  <c r="X162" i="65"/>
  <c r="AG1170" i="67"/>
  <c r="AJ1139" i="67"/>
  <c r="S1139" i="67"/>
  <c r="AH1189" i="67"/>
  <c r="Y126" i="65"/>
  <c r="Y136" i="65" s="1"/>
  <c r="AH466" i="67" s="1"/>
  <c r="AH1071" i="67"/>
  <c r="AH1205" i="67"/>
  <c r="Y197" i="65"/>
  <c r="Y198" i="65" s="1"/>
  <c r="AH1085" i="67"/>
  <c r="BA54" i="70"/>
  <c r="AH973" i="67" s="1"/>
  <c r="AH1103" i="67"/>
  <c r="T1123" i="67"/>
  <c r="T1166" i="67"/>
  <c r="T1170" i="67"/>
  <c r="K162" i="65"/>
  <c r="T1139" i="67"/>
  <c r="AR1125" i="67"/>
  <c r="AI163" i="65"/>
  <c r="AU1071" i="67"/>
  <c r="AU1205" i="67"/>
  <c r="AU1103" i="67"/>
  <c r="AU1189" i="67"/>
  <c r="BN54" i="70"/>
  <c r="AU973" i="67" s="1"/>
  <c r="AL197" i="65"/>
  <c r="AL198" i="65" s="1"/>
  <c r="AU1085" i="67"/>
  <c r="AL126" i="65"/>
  <c r="AL136" i="65" s="1"/>
  <c r="AU466" i="67" s="1"/>
  <c r="L1170" i="67"/>
  <c r="L1123" i="67"/>
  <c r="C162" i="65"/>
  <c r="L1166" i="67"/>
  <c r="X1125" i="67"/>
  <c r="O163" i="65"/>
  <c r="AA1139" i="67"/>
  <c r="AG1139" i="67"/>
  <c r="AJ1170" i="67"/>
  <c r="AJ1123" i="67"/>
  <c r="AJ1166" i="67"/>
  <c r="AA162" i="65"/>
  <c r="V1166" i="67"/>
  <c r="V1123" i="67"/>
  <c r="V1170" i="67"/>
  <c r="M162" i="65"/>
  <c r="AC1188" i="67"/>
  <c r="T18" i="65"/>
  <c r="AV69" i="70"/>
  <c r="AC1070" i="67"/>
  <c r="AC1204" i="67"/>
  <c r="T74" i="65"/>
  <c r="T79" i="65" s="1"/>
  <c r="AC313" i="67" s="1"/>
  <c r="AV53" i="70"/>
  <c r="AC1084" i="67"/>
  <c r="T125" i="65"/>
  <c r="T135" i="65" s="1"/>
  <c r="AC465" i="67" s="1"/>
  <c r="AC1102" i="67"/>
  <c r="AQ1324" i="67" l="1"/>
  <c r="AG1124" i="67"/>
  <c r="AD1016" i="67"/>
  <c r="AD1171" i="67"/>
  <c r="Y972" i="67"/>
  <c r="AI1293" i="67"/>
  <c r="Z1324" i="67"/>
  <c r="AD838" i="67"/>
  <c r="AB1320" i="67"/>
  <c r="AN1320" i="67"/>
  <c r="AG1342" i="67"/>
  <c r="P1255" i="67"/>
  <c r="AQ1276" i="67"/>
  <c r="P1237" i="67"/>
  <c r="AJ12" i="68" s="1"/>
  <c r="AJ1016" i="67"/>
  <c r="AJ1140" i="67"/>
  <c r="T1167" i="67"/>
  <c r="P1170" i="67"/>
  <c r="AJ1167" i="67"/>
  <c r="AJ1171" i="67"/>
  <c r="AJ989" i="67"/>
  <c r="AF5" i="68"/>
  <c r="E7" i="62" s="1"/>
  <c r="L1167" i="67"/>
  <c r="AM1166" i="67"/>
  <c r="L1171" i="67"/>
  <c r="AJ1020" i="67"/>
  <c r="P1357" i="67"/>
  <c r="P1341" i="67"/>
  <c r="AM1170" i="67"/>
  <c r="AM1124" i="67"/>
  <c r="AM1277" i="67" s="1"/>
  <c r="L1140" i="67"/>
  <c r="AM1342" i="67"/>
  <c r="Z1320" i="67"/>
  <c r="AW989" i="67"/>
  <c r="AW838" i="67"/>
  <c r="BI4" i="68"/>
  <c r="BI58" i="68" s="1"/>
  <c r="BQ5" i="68"/>
  <c r="AP7" i="62" s="1"/>
  <c r="AN1293" i="67"/>
  <c r="BH47" i="68" s="1"/>
  <c r="BH56" i="68" s="1"/>
  <c r="AK1324" i="67"/>
  <c r="AG1167" i="67"/>
  <c r="AG1320" i="67" s="1"/>
  <c r="S1140" i="67"/>
  <c r="Y988" i="67"/>
  <c r="Y1292" i="67" s="1"/>
  <c r="Y1223" i="67"/>
  <c r="AS5" i="68" s="1"/>
  <c r="AD1167" i="67"/>
  <c r="AM1358" i="67"/>
  <c r="AG1019" i="67"/>
  <c r="AE1140" i="67"/>
  <c r="AW1020" i="67"/>
  <c r="AW1167" i="67"/>
  <c r="AW1320" i="67" s="1"/>
  <c r="AW1171" i="67"/>
  <c r="AW1140" i="67"/>
  <c r="P1167" i="67"/>
  <c r="AE1167" i="67"/>
  <c r="AM1256" i="67"/>
  <c r="AV70" i="70"/>
  <c r="AC838" i="67" s="1"/>
  <c r="BA70" i="70"/>
  <c r="AH1020" i="67" s="1"/>
  <c r="AG1238" i="67"/>
  <c r="BA12" i="68" s="1"/>
  <c r="AG1256" i="67"/>
  <c r="AG1358" i="67"/>
  <c r="AI670" i="67"/>
  <c r="AI1276" i="67" s="1"/>
  <c r="BC45" i="68" s="1"/>
  <c r="Q1320" i="67"/>
  <c r="AH70" i="70"/>
  <c r="O1016" i="67" s="1"/>
  <c r="BH11" i="68"/>
  <c r="BH59" i="68" s="1"/>
  <c r="AG13" i="62"/>
  <c r="BE11" i="68"/>
  <c r="BE59" i="68" s="1"/>
  <c r="AD13" i="62"/>
  <c r="BI11" i="68"/>
  <c r="BI59" i="68" s="1"/>
  <c r="AH13" i="62"/>
  <c r="BM4" i="68"/>
  <c r="BM58" i="68" s="1"/>
  <c r="AL7" i="62"/>
  <c r="AV4" i="68"/>
  <c r="AV58" i="68" s="1"/>
  <c r="U7" i="62"/>
  <c r="BC11" i="68"/>
  <c r="BC59" i="68" s="1"/>
  <c r="AB13" i="62"/>
  <c r="BE4" i="68"/>
  <c r="BE58" i="68" s="1"/>
  <c r="AD7" i="62"/>
  <c r="AK11" i="68"/>
  <c r="AK59" i="68" s="1"/>
  <c r="J13" i="62"/>
  <c r="AT4" i="68"/>
  <c r="AT58" i="68" s="1"/>
  <c r="S7" i="62"/>
  <c r="BH4" i="68"/>
  <c r="BH58" i="68" s="1"/>
  <c r="AG7" i="62"/>
  <c r="BC4" i="68"/>
  <c r="BC58" i="68" s="1"/>
  <c r="AB7" i="62"/>
  <c r="BM11" i="68"/>
  <c r="BM59" i="68" s="1"/>
  <c r="AL13" i="62"/>
  <c r="AV11" i="68"/>
  <c r="AV59" i="68" s="1"/>
  <c r="U13" i="62"/>
  <c r="AX11" i="68"/>
  <c r="AX59" i="68" s="1"/>
  <c r="W13" i="62"/>
  <c r="AD1020" i="67"/>
  <c r="M1167" i="67"/>
  <c r="AM1224" i="67"/>
  <c r="BG5" i="68" s="1"/>
  <c r="AD1140" i="67"/>
  <c r="AA1167" i="67"/>
  <c r="AA1320" i="67" s="1"/>
  <c r="AM1171" i="67"/>
  <c r="Y1171" i="67"/>
  <c r="AA1171" i="67"/>
  <c r="AM1167" i="67"/>
  <c r="Y1167" i="67"/>
  <c r="P1171" i="67"/>
  <c r="L838" i="67"/>
  <c r="AO1324" i="67"/>
  <c r="AG1171" i="67"/>
  <c r="AE1171" i="67"/>
  <c r="AE1324" i="67" s="1"/>
  <c r="AG1140" i="67"/>
  <c r="AK1320" i="67"/>
  <c r="AT11" i="68"/>
  <c r="AT59" i="68" s="1"/>
  <c r="AM1019" i="67"/>
  <c r="AG1015" i="67"/>
  <c r="AM1015" i="67"/>
  <c r="AG1224" i="67"/>
  <c r="BA5" i="68" s="1"/>
  <c r="V989" i="67"/>
  <c r="V1016" i="67"/>
  <c r="M1171" i="67"/>
  <c r="P7" i="67"/>
  <c r="P1223" i="67" s="1"/>
  <c r="AJ5" i="68" s="1"/>
  <c r="V838" i="67"/>
  <c r="V1020" i="67"/>
  <c r="L1016" i="67"/>
  <c r="L1320" i="67" s="1"/>
  <c r="L1020" i="67"/>
  <c r="AO1293" i="67"/>
  <c r="BI47" i="68" s="1"/>
  <c r="BI56" i="68" s="1"/>
  <c r="AX4" i="68"/>
  <c r="AX58" i="68" s="1"/>
  <c r="T1171" i="67"/>
  <c r="T1324" i="67" s="1"/>
  <c r="AU12" i="68"/>
  <c r="R1140" i="67"/>
  <c r="V1171" i="67"/>
  <c r="P1166" i="67"/>
  <c r="V1167" i="67"/>
  <c r="O23" i="65"/>
  <c r="R1167" i="67"/>
  <c r="R1320" i="67" s="1"/>
  <c r="S1171" i="67"/>
  <c r="R1171" i="67"/>
  <c r="T1140" i="67"/>
  <c r="AA1140" i="67"/>
  <c r="BK11" i="68"/>
  <c r="BK59" i="68" s="1"/>
  <c r="BK4" i="68"/>
  <c r="BK58" i="68" s="1"/>
  <c r="AI713" i="67"/>
  <c r="AI1319" i="67" s="1"/>
  <c r="BC50" i="68" s="1"/>
  <c r="AN713" i="67"/>
  <c r="AN1319" i="67" s="1"/>
  <c r="BH50" i="68" s="1"/>
  <c r="AK717" i="67"/>
  <c r="AK1323" i="67" s="1"/>
  <c r="AB717" i="67"/>
  <c r="AB1323" i="67" s="1"/>
  <c r="AV51" i="68" s="1"/>
  <c r="AO713" i="67"/>
  <c r="AO1319" i="67" s="1"/>
  <c r="BI50" i="68" s="1"/>
  <c r="AW717" i="67"/>
  <c r="Z1293" i="67"/>
  <c r="AT47" i="68" s="1"/>
  <c r="AT56" i="68" s="1"/>
  <c r="W1224" i="67"/>
  <c r="Q1293" i="67"/>
  <c r="AK47" i="68" s="1"/>
  <c r="AK56" i="68" s="1"/>
  <c r="AB1293" i="67"/>
  <c r="AV47" i="68" s="1"/>
  <c r="AV56" i="68" s="1"/>
  <c r="AK1293" i="67"/>
  <c r="BE47" i="68" s="1"/>
  <c r="BE56" i="68" s="1"/>
  <c r="AL12" i="68"/>
  <c r="AR988" i="67"/>
  <c r="X972" i="67"/>
  <c r="X1019" i="67"/>
  <c r="X1015" i="67"/>
  <c r="AT988" i="67"/>
  <c r="AU988" i="67"/>
  <c r="U972" i="67"/>
  <c r="U1015" i="67"/>
  <c r="U1019" i="67"/>
  <c r="O988" i="67"/>
  <c r="W988" i="67"/>
  <c r="AM838" i="67"/>
  <c r="AM989" i="67"/>
  <c r="M838" i="67"/>
  <c r="M989" i="67"/>
  <c r="S838" i="67"/>
  <c r="S989" i="67"/>
  <c r="G162" i="65"/>
  <c r="G174" i="65" s="1"/>
  <c r="P670" i="67" s="1"/>
  <c r="P972" i="67"/>
  <c r="P1019" i="67"/>
  <c r="P1015" i="67"/>
  <c r="AM1020" i="67"/>
  <c r="T1016" i="67"/>
  <c r="R1020" i="67"/>
  <c r="AV988" i="67"/>
  <c r="AH972" i="67"/>
  <c r="AH1019" i="67"/>
  <c r="AH1015" i="67"/>
  <c r="AH988" i="67"/>
  <c r="N988" i="67"/>
  <c r="AC972" i="67"/>
  <c r="AC1019" i="67"/>
  <c r="AC1015" i="67"/>
  <c r="AC988" i="67"/>
  <c r="AV972" i="67"/>
  <c r="AV1015" i="67"/>
  <c r="AV1019" i="67"/>
  <c r="AR972" i="67"/>
  <c r="AR1019" i="67"/>
  <c r="AR1015" i="67"/>
  <c r="N972" i="67"/>
  <c r="N1015" i="67"/>
  <c r="N1019" i="67"/>
  <c r="AT972" i="67"/>
  <c r="AT1019" i="67"/>
  <c r="AT1015" i="67"/>
  <c r="AF972" i="67"/>
  <c r="AF1019" i="67"/>
  <c r="AF1015" i="67"/>
  <c r="O972" i="67"/>
  <c r="O1015" i="67"/>
  <c r="O1019" i="67"/>
  <c r="Y838" i="67"/>
  <c r="Y989" i="67"/>
  <c r="P838" i="67"/>
  <c r="P989" i="67"/>
  <c r="S1016" i="67"/>
  <c r="S1320" i="67" s="1"/>
  <c r="AM1016" i="67"/>
  <c r="M1020" i="67"/>
  <c r="Y1016" i="67"/>
  <c r="AL972" i="67"/>
  <c r="AL1019" i="67"/>
  <c r="AL1015" i="67"/>
  <c r="AF988" i="67"/>
  <c r="U988" i="67"/>
  <c r="AA838" i="67"/>
  <c r="AA989" i="67"/>
  <c r="S1020" i="67"/>
  <c r="M1016" i="67"/>
  <c r="Y1020" i="67"/>
  <c r="X988" i="67"/>
  <c r="AL988" i="67"/>
  <c r="AU972" i="67"/>
  <c r="AU1019" i="67"/>
  <c r="AU1015" i="67"/>
  <c r="W972" i="67"/>
  <c r="W1019" i="67"/>
  <c r="W1015" i="67"/>
  <c r="R838" i="67"/>
  <c r="R989" i="67"/>
  <c r="T838" i="67"/>
  <c r="T989" i="67"/>
  <c r="AG838" i="67"/>
  <c r="AG989" i="67"/>
  <c r="AE838" i="67"/>
  <c r="AE989" i="67"/>
  <c r="P988" i="67"/>
  <c r="P1292" i="67" s="1"/>
  <c r="P1020" i="67"/>
  <c r="P1016" i="67"/>
  <c r="AG1020" i="67"/>
  <c r="AE1016" i="67"/>
  <c r="AA1020" i="67"/>
  <c r="BM45" i="68"/>
  <c r="BD12" i="68"/>
  <c r="AG12" i="68"/>
  <c r="BJ5" i="68"/>
  <c r="AK4" i="68"/>
  <c r="AK58" i="68" s="1"/>
  <c r="AM5" i="68"/>
  <c r="N1224" i="67"/>
  <c r="AP12" i="68"/>
  <c r="AV45" i="68"/>
  <c r="AN12" i="68"/>
  <c r="BG12" i="68"/>
  <c r="AY12" i="68"/>
  <c r="AM12" i="68"/>
  <c r="BC47" i="68"/>
  <c r="BC56" i="68" s="1"/>
  <c r="AF1224" i="67"/>
  <c r="BM47" i="68"/>
  <c r="BM56" i="68" s="1"/>
  <c r="AS12" i="68"/>
  <c r="U1224" i="67"/>
  <c r="AF12" i="68"/>
  <c r="BC51" i="68"/>
  <c r="AB713" i="67"/>
  <c r="AB1319" i="67" s="1"/>
  <c r="BE70" i="70"/>
  <c r="AL1016" i="67" s="1"/>
  <c r="AK713" i="67"/>
  <c r="AK1319" i="67" s="1"/>
  <c r="Q717" i="67"/>
  <c r="Q1323" i="67" s="1"/>
  <c r="AK51" i="68" s="1"/>
  <c r="AP70" i="70"/>
  <c r="W1171" i="67" s="1"/>
  <c r="AN70" i="70"/>
  <c r="U1020" i="67" s="1"/>
  <c r="BE45" i="68"/>
  <c r="BJ12" i="68"/>
  <c r="Q713" i="67"/>
  <c r="Q1319" i="67" s="1"/>
  <c r="AQ713" i="67"/>
  <c r="AQ1319" i="67" s="1"/>
  <c r="BK50" i="68" s="1"/>
  <c r="BN70" i="70"/>
  <c r="AU1140" i="67" s="1"/>
  <c r="AG70" i="70"/>
  <c r="N1016" i="67" s="1"/>
  <c r="AQ717" i="67"/>
  <c r="AQ1323" i="67" s="1"/>
  <c r="BK51" i="68" s="1"/>
  <c r="Z717" i="67"/>
  <c r="Z1323" i="67" s="1"/>
  <c r="BK47" i="68"/>
  <c r="BK56" i="68" s="1"/>
  <c r="BH51" i="68"/>
  <c r="AD713" i="67"/>
  <c r="AD1319" i="67" s="1"/>
  <c r="AW713" i="67"/>
  <c r="AT45" i="68"/>
  <c r="AX45" i="68"/>
  <c r="N1288" i="67"/>
  <c r="C174" i="65"/>
  <c r="L670" i="67" s="1"/>
  <c r="L1276" i="67" s="1"/>
  <c r="AI175" i="65"/>
  <c r="AR672" i="67" s="1"/>
  <c r="AR1278" i="67" s="1"/>
  <c r="T175" i="65"/>
  <c r="AC672" i="67" s="1"/>
  <c r="AC1278" i="67" s="1"/>
  <c r="P174" i="65"/>
  <c r="Y670" i="67" s="1"/>
  <c r="Y1276" i="67" s="1"/>
  <c r="N175" i="65"/>
  <c r="W672" i="67" s="1"/>
  <c r="W1278" i="67" s="1"/>
  <c r="AN670" i="67"/>
  <c r="AN1276" i="67" s="1"/>
  <c r="BH45" i="68" s="1"/>
  <c r="Z713" i="67"/>
  <c r="Z1319" i="67" s="1"/>
  <c r="AO682" i="67"/>
  <c r="AO1288" i="67" s="1"/>
  <c r="BI45" i="68" s="1"/>
  <c r="AS717" i="67"/>
  <c r="AS1323" i="67" s="1"/>
  <c r="BM51" i="68" s="1"/>
  <c r="O175" i="65"/>
  <c r="X672" i="67" s="1"/>
  <c r="X1278" i="67" s="1"/>
  <c r="K174" i="65"/>
  <c r="T717" i="67" s="1"/>
  <c r="T1323" i="67" s="1"/>
  <c r="X174" i="65"/>
  <c r="AG670" i="67" s="1"/>
  <c r="AG1276" i="67" s="1"/>
  <c r="R174" i="65"/>
  <c r="AA713" i="67" s="1"/>
  <c r="AA1319" i="67" s="1"/>
  <c r="BM70" i="70"/>
  <c r="AT1016" i="67" s="1"/>
  <c r="W175" i="65"/>
  <c r="AF672" i="67" s="1"/>
  <c r="AF1278" i="67" s="1"/>
  <c r="V174" i="65"/>
  <c r="AE670" i="67" s="1"/>
  <c r="AE1276" i="67" s="1"/>
  <c r="D174" i="65"/>
  <c r="M713" i="67" s="1"/>
  <c r="M1319" i="67" s="1"/>
  <c r="AC175" i="65"/>
  <c r="AL672" i="67" s="1"/>
  <c r="AL1278" i="67" s="1"/>
  <c r="BK70" i="70"/>
  <c r="AR1171" i="67" s="1"/>
  <c r="AD717" i="67"/>
  <c r="AD1323" i="67" s="1"/>
  <c r="AO717" i="67"/>
  <c r="AO1323" i="67" s="1"/>
  <c r="AS713" i="67"/>
  <c r="AS1319" i="67" s="1"/>
  <c r="BM50" i="68" s="1"/>
  <c r="M174" i="65"/>
  <c r="V713" i="67" s="1"/>
  <c r="V1319" i="67" s="1"/>
  <c r="AA174" i="65"/>
  <c r="AJ670" i="67" s="1"/>
  <c r="AJ1276" i="67" s="1"/>
  <c r="AL175" i="65"/>
  <c r="AU672" i="67" s="1"/>
  <c r="AU1278" i="67" s="1"/>
  <c r="J174" i="65"/>
  <c r="S670" i="67" s="1"/>
  <c r="S1276" i="67" s="1"/>
  <c r="E175" i="65"/>
  <c r="N672" i="67" s="1"/>
  <c r="AY70" i="70"/>
  <c r="AF1020" i="67" s="1"/>
  <c r="AQ70" i="70"/>
  <c r="X1020" i="67" s="1"/>
  <c r="F175" i="65"/>
  <c r="O672" i="67" s="1"/>
  <c r="O1278" i="67" s="1"/>
  <c r="I174" i="65"/>
  <c r="R670" i="67" s="1"/>
  <c r="R1276" i="67" s="1"/>
  <c r="AD174" i="65"/>
  <c r="AM670" i="67" s="1"/>
  <c r="AM1276" i="67" s="1"/>
  <c r="BO70" i="70"/>
  <c r="AV1020" i="67" s="1"/>
  <c r="AM175" i="65"/>
  <c r="AV672" i="67" s="1"/>
  <c r="AV1278" i="67" s="1"/>
  <c r="AG174" i="65"/>
  <c r="AP670" i="67" s="1"/>
  <c r="AP1276" i="67" s="1"/>
  <c r="Y23" i="65"/>
  <c r="AH7" i="67"/>
  <c r="AH1223" i="67" s="1"/>
  <c r="E23" i="65"/>
  <c r="N7" i="67"/>
  <c r="N1223" i="67" s="1"/>
  <c r="F23" i="65"/>
  <c r="O7" i="67"/>
  <c r="O1223" i="67" s="1"/>
  <c r="AI23" i="65"/>
  <c r="AR7" i="67"/>
  <c r="AR1223" i="67" s="1"/>
  <c r="W23" i="65"/>
  <c r="AF7" i="67"/>
  <c r="AF1223" i="67" s="1"/>
  <c r="N23" i="65"/>
  <c r="W7" i="67"/>
  <c r="W1223" i="67" s="1"/>
  <c r="T23" i="65"/>
  <c r="AC7" i="67"/>
  <c r="AC1223" i="67" s="1"/>
  <c r="AC23" i="65"/>
  <c r="AL7" i="67"/>
  <c r="AL1223" i="67" s="1"/>
  <c r="AK23" i="65"/>
  <c r="AT7" i="67"/>
  <c r="AT1223" i="67" s="1"/>
  <c r="AA1277" i="67"/>
  <c r="T1277" i="67"/>
  <c r="AK45" i="68"/>
  <c r="AH1224" i="67"/>
  <c r="L1277" i="67"/>
  <c r="M1277" i="67"/>
  <c r="BK45" i="68"/>
  <c r="AU1224" i="67"/>
  <c r="AL1224" i="67"/>
  <c r="AR1294" i="67"/>
  <c r="AV1294" i="67"/>
  <c r="X1224" i="67"/>
  <c r="P1277" i="67"/>
  <c r="S1277" i="67"/>
  <c r="Y1277" i="67"/>
  <c r="N1294" i="67"/>
  <c r="AL1294" i="67"/>
  <c r="R1277" i="67"/>
  <c r="AE1277" i="67"/>
  <c r="AP1277" i="67"/>
  <c r="AU1294" i="67"/>
  <c r="X1294" i="67"/>
  <c r="AC1294" i="67"/>
  <c r="AU1124" i="67"/>
  <c r="AH1124" i="67"/>
  <c r="AV1223" i="67"/>
  <c r="W1124" i="67"/>
  <c r="AT1224" i="67"/>
  <c r="AV1124" i="67"/>
  <c r="X1223" i="67"/>
  <c r="O1140" i="67"/>
  <c r="N1124" i="67"/>
  <c r="AU1223" i="67"/>
  <c r="AR1224" i="67"/>
  <c r="AT1238" i="67"/>
  <c r="AV1237" i="67"/>
  <c r="AF1357" i="67"/>
  <c r="AU1256" i="67"/>
  <c r="X1256" i="67"/>
  <c r="X1358" i="67"/>
  <c r="AT1341" i="67"/>
  <c r="AA1292" i="67"/>
  <c r="AV1256" i="67"/>
  <c r="AV1358" i="67"/>
  <c r="AH1256" i="67"/>
  <c r="AH1342" i="67"/>
  <c r="AC1237" i="67"/>
  <c r="N1237" i="67"/>
  <c r="T1292" i="67"/>
  <c r="AH1341" i="67"/>
  <c r="U1237" i="67"/>
  <c r="AR1358" i="67"/>
  <c r="O1256" i="67"/>
  <c r="W1342" i="67"/>
  <c r="AL1341" i="67"/>
  <c r="AM1292" i="67"/>
  <c r="N1358" i="67"/>
  <c r="AF1256" i="67"/>
  <c r="AF1358" i="67"/>
  <c r="AU1357" i="67"/>
  <c r="X1255" i="67"/>
  <c r="X1341" i="67"/>
  <c r="U1256" i="67"/>
  <c r="O1237" i="67"/>
  <c r="O1341" i="67"/>
  <c r="AL1124" i="67"/>
  <c r="X1124" i="67"/>
  <c r="AT1358" i="67"/>
  <c r="AF1294" i="67"/>
  <c r="AV1357" i="67"/>
  <c r="AF1255" i="67"/>
  <c r="AF1341" i="67"/>
  <c r="AU1342" i="67"/>
  <c r="AC1256" i="67"/>
  <c r="AT1237" i="67"/>
  <c r="AP1324" i="67"/>
  <c r="AC1255" i="67"/>
  <c r="N1255" i="67"/>
  <c r="N1357" i="67"/>
  <c r="AH1357" i="67"/>
  <c r="U1255" i="67"/>
  <c r="AR1256" i="67"/>
  <c r="R1292" i="67"/>
  <c r="O1342" i="67"/>
  <c r="W1255" i="67"/>
  <c r="W1358" i="67"/>
  <c r="AL1237" i="67"/>
  <c r="N1256" i="67"/>
  <c r="N1342" i="67"/>
  <c r="AU1237" i="67"/>
  <c r="AU1341" i="67"/>
  <c r="O1294" i="67"/>
  <c r="U1358" i="67"/>
  <c r="AR1237" i="67"/>
  <c r="AL1238" i="67"/>
  <c r="AT1124" i="67"/>
  <c r="AF1124" i="67"/>
  <c r="O1124" i="67"/>
  <c r="AC1124" i="67"/>
  <c r="AT1256" i="67"/>
  <c r="AT1342" i="67"/>
  <c r="AV1255" i="67"/>
  <c r="AV1341" i="67"/>
  <c r="AG1277" i="67"/>
  <c r="AU1358" i="67"/>
  <c r="X1342" i="67"/>
  <c r="AC1358" i="67"/>
  <c r="AT1255" i="67"/>
  <c r="AT1357" i="67"/>
  <c r="V1277" i="67"/>
  <c r="AV1342" i="67"/>
  <c r="AE1292" i="67"/>
  <c r="AP1320" i="67"/>
  <c r="W1294" i="67"/>
  <c r="AH1238" i="67"/>
  <c r="AC1341" i="67"/>
  <c r="M1292" i="67"/>
  <c r="L1292" i="67"/>
  <c r="AH1255" i="67"/>
  <c r="U1341" i="67"/>
  <c r="AR1238" i="67"/>
  <c r="O1238" i="67"/>
  <c r="W1357" i="67"/>
  <c r="W1238" i="67"/>
  <c r="AL1255" i="67"/>
  <c r="AL1357" i="67"/>
  <c r="AF1342" i="67"/>
  <c r="X1237" i="67"/>
  <c r="U1238" i="67"/>
  <c r="U1342" i="67"/>
  <c r="AR1357" i="67"/>
  <c r="O1255" i="67"/>
  <c r="AL1358" i="67"/>
  <c r="U1124" i="67"/>
  <c r="AV1224" i="67"/>
  <c r="O1224" i="67"/>
  <c r="AC1224" i="67"/>
  <c r="U1223" i="67"/>
  <c r="AR1124" i="67"/>
  <c r="AJ1292" i="67"/>
  <c r="AP1293" i="67"/>
  <c r="AF1237" i="67"/>
  <c r="AU1238" i="67"/>
  <c r="X1238" i="67"/>
  <c r="AC1238" i="67"/>
  <c r="AC1342" i="67"/>
  <c r="S1292" i="67"/>
  <c r="AV1238" i="67"/>
  <c r="AP1292" i="67"/>
  <c r="AH1358" i="67"/>
  <c r="AC1357" i="67"/>
  <c r="AJ1277" i="67"/>
  <c r="N1341" i="67"/>
  <c r="AH1237" i="67"/>
  <c r="U1357" i="67"/>
  <c r="AR1342" i="67"/>
  <c r="O1358" i="67"/>
  <c r="W1237" i="67"/>
  <c r="W1341" i="67"/>
  <c r="W1256" i="67"/>
  <c r="V1292" i="67"/>
  <c r="AG1292" i="67"/>
  <c r="N1238" i="67"/>
  <c r="AF1238" i="67"/>
  <c r="AU1255" i="67"/>
  <c r="X1357" i="67"/>
  <c r="AR1255" i="67"/>
  <c r="AR1341" i="67"/>
  <c r="O1357" i="67"/>
  <c r="AL1256" i="67"/>
  <c r="AL1342" i="67"/>
  <c r="AN5" i="68"/>
  <c r="AU5" i="68"/>
  <c r="AY5" i="68"/>
  <c r="AL5" i="68"/>
  <c r="BD5" i="68"/>
  <c r="AG5" i="68"/>
  <c r="AP5" i="68"/>
  <c r="AM23" i="65"/>
  <c r="AL23" i="65"/>
  <c r="AC1139" i="67"/>
  <c r="AR1123" i="67"/>
  <c r="AR1170" i="67"/>
  <c r="AI162" i="65"/>
  <c r="AR1166" i="67"/>
  <c r="N1123" i="67"/>
  <c r="E162" i="65"/>
  <c r="N1170" i="67"/>
  <c r="N1166" i="67"/>
  <c r="X1123" i="67"/>
  <c r="X1170" i="67"/>
  <c r="X1166" i="67"/>
  <c r="O162" i="65"/>
  <c r="AL1170" i="67"/>
  <c r="AL1166" i="67"/>
  <c r="AL1123" i="67"/>
  <c r="AC162" i="65"/>
  <c r="AT1139" i="67"/>
  <c r="AF1139" i="67"/>
  <c r="U1139" i="67"/>
  <c r="W1139" i="67"/>
  <c r="AR1139" i="67"/>
  <c r="BQ11" i="68"/>
  <c r="N1139" i="67"/>
  <c r="AL1139" i="67"/>
  <c r="AT1123" i="67"/>
  <c r="AT1170" i="67"/>
  <c r="AT1166" i="67"/>
  <c r="AK162" i="65"/>
  <c r="AU1170" i="67"/>
  <c r="AU1166" i="67"/>
  <c r="AU1123" i="67"/>
  <c r="AL162" i="65"/>
  <c r="L23" i="65"/>
  <c r="BQ45" i="68"/>
  <c r="AV1166" i="67"/>
  <c r="AM162" i="65"/>
  <c r="AV1170" i="67"/>
  <c r="AV1123" i="67"/>
  <c r="AH1166" i="67"/>
  <c r="AH1123" i="67"/>
  <c r="AH1170" i="67"/>
  <c r="Y162" i="65"/>
  <c r="AH1139" i="67"/>
  <c r="AU1139" i="67"/>
  <c r="U1166" i="67"/>
  <c r="U1170" i="67"/>
  <c r="L162" i="65"/>
  <c r="U1123" i="67"/>
  <c r="O1166" i="67"/>
  <c r="O1170" i="67"/>
  <c r="O1123" i="67"/>
  <c r="F162" i="65"/>
  <c r="O1167" i="67"/>
  <c r="O1171" i="67"/>
  <c r="O1139" i="67"/>
  <c r="AC1166" i="67"/>
  <c r="AC1170" i="67"/>
  <c r="AC1123" i="67"/>
  <c r="T162" i="65"/>
  <c r="AV1139" i="67"/>
  <c r="X1139" i="67"/>
  <c r="AF1170" i="67"/>
  <c r="AF1166" i="67"/>
  <c r="AF1123" i="67"/>
  <c r="W162" i="65"/>
  <c r="N162" i="65"/>
  <c r="N174" i="65" s="1"/>
  <c r="W670" i="67" s="1"/>
  <c r="W1123" i="67"/>
  <c r="W1166" i="67"/>
  <c r="W1170" i="67"/>
  <c r="AT51" i="68" l="1"/>
  <c r="AD1293" i="67"/>
  <c r="AX47" i="68" s="1"/>
  <c r="AX56" i="68" s="1"/>
  <c r="AD1320" i="67"/>
  <c r="AD1324" i="67"/>
  <c r="O989" i="67"/>
  <c r="AV50" i="68"/>
  <c r="AV49" i="68" s="1"/>
  <c r="T1320" i="67"/>
  <c r="BE51" i="68"/>
  <c r="AJ1320" i="67"/>
  <c r="AJ1293" i="67"/>
  <c r="BD47" i="68" s="1"/>
  <c r="BD56" i="68" s="1"/>
  <c r="P1320" i="67"/>
  <c r="AJ1324" i="67"/>
  <c r="AF4" i="68"/>
  <c r="AF58" i="68" s="1"/>
  <c r="L1324" i="67"/>
  <c r="AZ5" i="68"/>
  <c r="AZ4" i="68" s="1"/>
  <c r="AZ58" i="68" s="1"/>
  <c r="L1293" i="67"/>
  <c r="AF47" i="68" s="1"/>
  <c r="AF56" i="68" s="1"/>
  <c r="AX51" i="68"/>
  <c r="AT50" i="68"/>
  <c r="AT49" i="68" s="1"/>
  <c r="AW1293" i="67"/>
  <c r="BQ47" i="68" s="1"/>
  <c r="BQ43" i="68" s="1"/>
  <c r="AP39" i="62" s="1"/>
  <c r="BI51" i="68"/>
  <c r="BI49" i="68" s="1"/>
  <c r="AK50" i="68"/>
  <c r="AK49" i="68" s="1"/>
  <c r="BI71" i="68"/>
  <c r="O1020" i="67"/>
  <c r="O1324" i="67" s="1"/>
  <c r="BQ4" i="68"/>
  <c r="BQ58" i="68" s="1"/>
  <c r="O838" i="67"/>
  <c r="O1293" i="67" s="1"/>
  <c r="BE50" i="68"/>
  <c r="BC71" i="68"/>
  <c r="AM1320" i="67"/>
  <c r="W1140" i="67"/>
  <c r="AU1167" i="67"/>
  <c r="AL1167" i="67"/>
  <c r="AL1320" i="67" s="1"/>
  <c r="AL1140" i="67"/>
  <c r="AL1171" i="67"/>
  <c r="AT71" i="68"/>
  <c r="V1320" i="67"/>
  <c r="U1171" i="67"/>
  <c r="U1324" i="67" s="1"/>
  <c r="U1167" i="67"/>
  <c r="U1140" i="67"/>
  <c r="N1171" i="67"/>
  <c r="W1167" i="67"/>
  <c r="V1324" i="67"/>
  <c r="V1293" i="67"/>
  <c r="AP47" i="68" s="1"/>
  <c r="AP56" i="68" s="1"/>
  <c r="AX50" i="68"/>
  <c r="AM1324" i="67"/>
  <c r="AE1320" i="67"/>
  <c r="AC1167" i="67"/>
  <c r="AR1140" i="67"/>
  <c r="AC1171" i="67"/>
  <c r="AV71" i="68"/>
  <c r="Y1320" i="67"/>
  <c r="AH1016" i="67"/>
  <c r="AH1167" i="67"/>
  <c r="N1167" i="67"/>
  <c r="N1320" i="67" s="1"/>
  <c r="AH1140" i="67"/>
  <c r="AH1171" i="67"/>
  <c r="AH1324" i="67" s="1"/>
  <c r="N1140" i="67"/>
  <c r="AC1020" i="67"/>
  <c r="S1293" i="67"/>
  <c r="AM47" i="68" s="1"/>
  <c r="AM56" i="68" s="1"/>
  <c r="AC989" i="67"/>
  <c r="AC1016" i="67"/>
  <c r="AC1140" i="67"/>
  <c r="P1324" i="67"/>
  <c r="AH989" i="67"/>
  <c r="AW1324" i="67"/>
  <c r="AK71" i="68"/>
  <c r="AH838" i="67"/>
  <c r="BE71" i="68"/>
  <c r="Y1324" i="67"/>
  <c r="AR1167" i="67"/>
  <c r="AX71" i="68"/>
  <c r="R1324" i="67"/>
  <c r="AA1324" i="67"/>
  <c r="BH71" i="68"/>
  <c r="BM71" i="68"/>
  <c r="M1324" i="67"/>
  <c r="M1320" i="67"/>
  <c r="AG50" i="68" s="1"/>
  <c r="AG1324" i="67"/>
  <c r="AG4" i="68"/>
  <c r="AG58" i="68" s="1"/>
  <c r="F7" i="62"/>
  <c r="AM11" i="68"/>
  <c r="AM59" i="68" s="1"/>
  <c r="L13" i="62"/>
  <c r="AG11" i="68"/>
  <c r="AG59" i="68" s="1"/>
  <c r="F13" i="62"/>
  <c r="AL11" i="68"/>
  <c r="AL59" i="68" s="1"/>
  <c r="K13" i="62"/>
  <c r="AY11" i="68"/>
  <c r="AY59" i="68" s="1"/>
  <c r="X13" i="62"/>
  <c r="AJ4" i="68"/>
  <c r="AJ58" i="68" s="1"/>
  <c r="I7" i="62"/>
  <c r="AL4" i="68"/>
  <c r="AL58" i="68" s="1"/>
  <c r="K7" i="62"/>
  <c r="BA4" i="68"/>
  <c r="BA58" i="68" s="1"/>
  <c r="Z7" i="62"/>
  <c r="BG11" i="68"/>
  <c r="BG59" i="68" s="1"/>
  <c r="AF13" i="62"/>
  <c r="BD11" i="68"/>
  <c r="BD59" i="68" s="1"/>
  <c r="AC13" i="62"/>
  <c r="AU11" i="68"/>
  <c r="AU59" i="68" s="1"/>
  <c r="T13" i="62"/>
  <c r="AY4" i="68"/>
  <c r="AY58" i="68" s="1"/>
  <c r="X7" i="62"/>
  <c r="AN11" i="68"/>
  <c r="AN59" i="68" s="1"/>
  <c r="M13" i="62"/>
  <c r="AF11" i="68"/>
  <c r="AF59" i="68" s="1"/>
  <c r="E13" i="62"/>
  <c r="AU4" i="68"/>
  <c r="AU58" i="68" s="1"/>
  <c r="T7" i="62"/>
  <c r="AS4" i="68"/>
  <c r="AS58" i="68" s="1"/>
  <c r="R7" i="62"/>
  <c r="AP11" i="68"/>
  <c r="AP59" i="68" s="1"/>
  <c r="O13" i="62"/>
  <c r="BD4" i="68"/>
  <c r="BD58" i="68" s="1"/>
  <c r="AC7" i="62"/>
  <c r="AN4" i="68"/>
  <c r="AN58" i="68" s="1"/>
  <c r="M7" i="62"/>
  <c r="BJ11" i="68"/>
  <c r="BJ59" i="68" s="1"/>
  <c r="AI13" i="62"/>
  <c r="AS11" i="68"/>
  <c r="AS59" i="68" s="1"/>
  <c r="R13" i="62"/>
  <c r="BA11" i="68"/>
  <c r="BA59" i="68" s="1"/>
  <c r="Z13" i="62"/>
  <c r="AM4" i="68"/>
  <c r="AM58" i="68" s="1"/>
  <c r="L7" i="62"/>
  <c r="AJ11" i="68"/>
  <c r="AJ59" i="68" s="1"/>
  <c r="I13" i="62"/>
  <c r="BG4" i="68"/>
  <c r="BG58" i="68" s="1"/>
  <c r="AF7" i="62"/>
  <c r="AP4" i="68"/>
  <c r="AP58" i="68" s="1"/>
  <c r="O7" i="62"/>
  <c r="BJ4" i="68"/>
  <c r="BJ58" i="68" s="1"/>
  <c r="AI7" i="62"/>
  <c r="AT1167" i="67"/>
  <c r="AT1320" i="67" s="1"/>
  <c r="AU1171" i="67"/>
  <c r="AV1167" i="67"/>
  <c r="AT1171" i="67"/>
  <c r="AT1140" i="67"/>
  <c r="X1167" i="67"/>
  <c r="X1171" i="67"/>
  <c r="X1324" i="67" s="1"/>
  <c r="AV1171" i="67"/>
  <c r="AV1324" i="67" s="1"/>
  <c r="S1324" i="67"/>
  <c r="AS45" i="68"/>
  <c r="X1140" i="67"/>
  <c r="AW1323" i="67"/>
  <c r="BI43" i="68"/>
  <c r="AE1293" i="67"/>
  <c r="AY47" i="68" s="1"/>
  <c r="AY56" i="68" s="1"/>
  <c r="BK71" i="68"/>
  <c r="AQ5" i="68"/>
  <c r="P1276" i="67"/>
  <c r="AJ45" i="68" s="1"/>
  <c r="M1293" i="67"/>
  <c r="AG47" i="68" s="1"/>
  <c r="AG56" i="68" s="1"/>
  <c r="AO5" i="68"/>
  <c r="T1293" i="67"/>
  <c r="AN47" i="68" s="1"/>
  <c r="AN56" i="68" s="1"/>
  <c r="AA1293" i="67"/>
  <c r="AU47" i="68" s="1"/>
  <c r="AU56" i="68" s="1"/>
  <c r="Y1293" i="67"/>
  <c r="AS47" i="68" s="1"/>
  <c r="AS56" i="68" s="1"/>
  <c r="AM1293" i="67"/>
  <c r="BG47" i="68" s="1"/>
  <c r="BG56" i="68" s="1"/>
  <c r="AF1171" i="67"/>
  <c r="AF1324" i="67" s="1"/>
  <c r="AF1167" i="67"/>
  <c r="BH43" i="68"/>
  <c r="AG1293" i="67"/>
  <c r="BA47" i="68" s="1"/>
  <c r="BA56" i="68" s="1"/>
  <c r="R1293" i="67"/>
  <c r="AL47" i="68" s="1"/>
  <c r="AL56" i="68" s="1"/>
  <c r="P1293" i="67"/>
  <c r="AJ47" i="68" s="1"/>
  <c r="AJ56" i="68" s="1"/>
  <c r="AM713" i="67"/>
  <c r="AM1319" i="67" s="1"/>
  <c r="BG50" i="68" s="1"/>
  <c r="L717" i="67"/>
  <c r="L1323" i="67" s="1"/>
  <c r="AA670" i="67"/>
  <c r="AA1276" i="67" s="1"/>
  <c r="AU45" i="68" s="1"/>
  <c r="V717" i="67"/>
  <c r="V1323" i="67" s="1"/>
  <c r="AV43" i="68"/>
  <c r="BE43" i="68"/>
  <c r="AU838" i="67"/>
  <c r="AU989" i="67"/>
  <c r="W838" i="67"/>
  <c r="W989" i="67"/>
  <c r="AL1020" i="67"/>
  <c r="W1016" i="67"/>
  <c r="AU1016" i="67"/>
  <c r="AV838" i="67"/>
  <c r="AV989" i="67"/>
  <c r="AR838" i="67"/>
  <c r="AR989" i="67"/>
  <c r="AU1020" i="67"/>
  <c r="AR1020" i="67"/>
  <c r="AR1324" i="67" s="1"/>
  <c r="X838" i="67"/>
  <c r="X989" i="67"/>
  <c r="AT838" i="67"/>
  <c r="AT989" i="67"/>
  <c r="AR1016" i="67"/>
  <c r="AF838" i="67"/>
  <c r="AF989" i="67"/>
  <c r="N838" i="67"/>
  <c r="N989" i="67"/>
  <c r="U838" i="67"/>
  <c r="U989" i="67"/>
  <c r="AL838" i="67"/>
  <c r="AL989" i="67"/>
  <c r="X1016" i="67"/>
  <c r="U1016" i="67"/>
  <c r="AF1016" i="67"/>
  <c r="N1020" i="67"/>
  <c r="AV1016" i="67"/>
  <c r="W1020" i="67"/>
  <c r="W1324" i="67" s="1"/>
  <c r="AT1020" i="67"/>
  <c r="AF45" i="68"/>
  <c r="AT43" i="68"/>
  <c r="AQ12" i="68"/>
  <c r="BO12" i="68"/>
  <c r="BC43" i="68"/>
  <c r="BM43" i="68"/>
  <c r="AO12" i="68"/>
  <c r="BC49" i="68"/>
  <c r="AW12" i="68"/>
  <c r="AZ12" i="68"/>
  <c r="AI12" i="68"/>
  <c r="BB12" i="68"/>
  <c r="BF12" i="68"/>
  <c r="AM45" i="68"/>
  <c r="BH49" i="68"/>
  <c r="BO5" i="68"/>
  <c r="BK49" i="68"/>
  <c r="BA45" i="68"/>
  <c r="BF5" i="68"/>
  <c r="BK43" i="68"/>
  <c r="AH5" i="68"/>
  <c r="AR12" i="68"/>
  <c r="BN5" i="68"/>
  <c r="AY45" i="68"/>
  <c r="BL12" i="68"/>
  <c r="BJ45" i="68"/>
  <c r="AF1140" i="67"/>
  <c r="BN12" i="68"/>
  <c r="AL45" i="68"/>
  <c r="AW5" i="68"/>
  <c r="BG45" i="68"/>
  <c r="BD45" i="68"/>
  <c r="P713" i="67"/>
  <c r="P1319" i="67" s="1"/>
  <c r="AJ50" i="68" s="1"/>
  <c r="AH12" i="68"/>
  <c r="R717" i="67"/>
  <c r="R1323" i="67" s="1"/>
  <c r="V670" i="67"/>
  <c r="V1276" i="67" s="1"/>
  <c r="AP45" i="68" s="1"/>
  <c r="Y717" i="67"/>
  <c r="Y1323" i="67" s="1"/>
  <c r="BP12" i="68"/>
  <c r="AV1140" i="67"/>
  <c r="BM49" i="68"/>
  <c r="AM717" i="67"/>
  <c r="AM1323" i="67" s="1"/>
  <c r="AU50" i="68"/>
  <c r="R713" i="67"/>
  <c r="R1319" i="67" s="1"/>
  <c r="AL50" i="68" s="1"/>
  <c r="AJ717" i="67"/>
  <c r="AJ1323" i="67" s="1"/>
  <c r="M670" i="67"/>
  <c r="M1276" i="67" s="1"/>
  <c r="AG45" i="68" s="1"/>
  <c r="Y713" i="67"/>
  <c r="Y1319" i="67" s="1"/>
  <c r="AW1319" i="67"/>
  <c r="AN51" i="68"/>
  <c r="L713" i="67"/>
  <c r="L1319" i="67" s="1"/>
  <c r="AF50" i="68" s="1"/>
  <c r="N1278" i="67"/>
  <c r="W717" i="67"/>
  <c r="W1323" i="67" s="1"/>
  <c r="W713" i="67"/>
  <c r="W1319" i="67" s="1"/>
  <c r="W174" i="65"/>
  <c r="AF670" i="67" s="1"/>
  <c r="AF1276" i="67" s="1"/>
  <c r="T174" i="65"/>
  <c r="AC670" i="67" s="1"/>
  <c r="AC1276" i="67" s="1"/>
  <c r="F174" i="65"/>
  <c r="O713" i="67" s="1"/>
  <c r="O1319" i="67" s="1"/>
  <c r="AC174" i="65"/>
  <c r="AL670" i="67" s="1"/>
  <c r="AL1276" i="67" s="1"/>
  <c r="O174" i="65"/>
  <c r="X670" i="67" s="1"/>
  <c r="X1276" i="67" s="1"/>
  <c r="S713" i="67"/>
  <c r="S1319" i="67" s="1"/>
  <c r="AM50" i="68" s="1"/>
  <c r="AE713" i="67"/>
  <c r="AE1319" i="67" s="1"/>
  <c r="AG713" i="67"/>
  <c r="AG1319" i="67" s="1"/>
  <c r="BA50" i="68" s="1"/>
  <c r="T713" i="67"/>
  <c r="T1319" i="67" s="1"/>
  <c r="AM174" i="65"/>
  <c r="AV670" i="67" s="1"/>
  <c r="AV1276" i="67" s="1"/>
  <c r="AK174" i="65"/>
  <c r="AT670" i="67" s="1"/>
  <c r="AT1276" i="67" s="1"/>
  <c r="L174" i="65"/>
  <c r="U670" i="67" s="1"/>
  <c r="U1276" i="67" s="1"/>
  <c r="E174" i="65"/>
  <c r="N670" i="67" s="1"/>
  <c r="AI5" i="68"/>
  <c r="AP717" i="67"/>
  <c r="AP1323" i="67" s="1"/>
  <c r="BJ51" i="68" s="1"/>
  <c r="AJ713" i="67"/>
  <c r="AJ1319" i="67" s="1"/>
  <c r="M717" i="67"/>
  <c r="M1323" i="67" s="1"/>
  <c r="P717" i="67"/>
  <c r="P1323" i="67" s="1"/>
  <c r="AA717" i="67"/>
  <c r="AA1323" i="67" s="1"/>
  <c r="T670" i="67"/>
  <c r="T1276" i="67" s="1"/>
  <c r="AN45" i="68" s="1"/>
  <c r="Y174" i="65"/>
  <c r="AH670" i="67" s="1"/>
  <c r="AH1276" i="67" s="1"/>
  <c r="AL174" i="65"/>
  <c r="AU670" i="67" s="1"/>
  <c r="AU1276" i="67" s="1"/>
  <c r="AI174" i="65"/>
  <c r="AR670" i="67" s="1"/>
  <c r="AR1276" i="67" s="1"/>
  <c r="AP713" i="67"/>
  <c r="AP1319" i="67" s="1"/>
  <c r="BJ50" i="68" s="1"/>
  <c r="S717" i="67"/>
  <c r="S1323" i="67" s="1"/>
  <c r="AE717" i="67"/>
  <c r="AE1323" i="67" s="1"/>
  <c r="AY51" i="68" s="1"/>
  <c r="AG717" i="67"/>
  <c r="AG1323" i="67" s="1"/>
  <c r="AK43" i="68"/>
  <c r="AP50" i="68"/>
  <c r="N1277" i="67"/>
  <c r="AV1277" i="67"/>
  <c r="BJ47" i="68"/>
  <c r="BJ56" i="68" s="1"/>
  <c r="AU1277" i="67"/>
  <c r="AX43" i="68"/>
  <c r="U1277" i="67"/>
  <c r="W1277" i="67"/>
  <c r="AL1277" i="67"/>
  <c r="AR1277" i="67"/>
  <c r="U1292" i="67"/>
  <c r="AT1292" i="67"/>
  <c r="AC1292" i="67"/>
  <c r="O1277" i="67"/>
  <c r="AL1292" i="67"/>
  <c r="AF1277" i="67"/>
  <c r="AT1277" i="67"/>
  <c r="AH1292" i="67"/>
  <c r="AF1292" i="67"/>
  <c r="AH1277" i="67"/>
  <c r="W1276" i="67"/>
  <c r="X1292" i="67"/>
  <c r="O1292" i="67"/>
  <c r="N1292" i="67"/>
  <c r="AR1292" i="67"/>
  <c r="AV1292" i="67"/>
  <c r="AU1292" i="67"/>
  <c r="AC1277" i="67"/>
  <c r="W1292" i="67"/>
  <c r="X1277" i="67"/>
  <c r="O1320" i="67"/>
  <c r="BL5" i="68"/>
  <c r="BB5" i="68"/>
  <c r="BP5" i="68"/>
  <c r="AR5" i="68"/>
  <c r="BQ59" i="68"/>
  <c r="AF51" i="68" l="1"/>
  <c r="AF49" i="68" s="1"/>
  <c r="AF71" i="68"/>
  <c r="U1320" i="67"/>
  <c r="BD50" i="68"/>
  <c r="AN50" i="68"/>
  <c r="AN49" i="68" s="1"/>
  <c r="BE49" i="68"/>
  <c r="AD40" i="62" s="1"/>
  <c r="Y7" i="62"/>
  <c r="AH1320" i="67"/>
  <c r="BD51" i="68"/>
  <c r="AU1293" i="67"/>
  <c r="BO47" i="68" s="1"/>
  <c r="BO56" i="68" s="1"/>
  <c r="AN71" i="68"/>
  <c r="AC1324" i="67"/>
  <c r="BQ71" i="68"/>
  <c r="AP51" i="68"/>
  <c r="AP49" i="68" s="1"/>
  <c r="AU1320" i="67"/>
  <c r="AX49" i="68"/>
  <c r="AX66" i="68" s="1"/>
  <c r="BQ56" i="68"/>
  <c r="AY50" i="68"/>
  <c r="AY49" i="68" s="1"/>
  <c r="AG51" i="68"/>
  <c r="AG49" i="68" s="1"/>
  <c r="AJ51" i="68"/>
  <c r="AJ49" i="68" s="1"/>
  <c r="AL1324" i="67"/>
  <c r="AR1320" i="67"/>
  <c r="W1320" i="67"/>
  <c r="AQ50" i="68" s="1"/>
  <c r="AS51" i="68"/>
  <c r="BG51" i="68"/>
  <c r="BG49" i="68" s="1"/>
  <c r="AS50" i="68"/>
  <c r="AC1320" i="67"/>
  <c r="AF1320" i="67"/>
  <c r="AH1293" i="67"/>
  <c r="BB47" i="68" s="1"/>
  <c r="BB56" i="68" s="1"/>
  <c r="BA71" i="68"/>
  <c r="AC1293" i="67"/>
  <c r="AW47" i="68" s="1"/>
  <c r="AW56" i="68" s="1"/>
  <c r="AU51" i="68"/>
  <c r="AU49" i="68" s="1"/>
  <c r="AL51" i="68"/>
  <c r="AL49" i="68" s="1"/>
  <c r="AT1324" i="67"/>
  <c r="BA51" i="68"/>
  <c r="BA49" i="68" s="1"/>
  <c r="AV1320" i="67"/>
  <c r="AP71" i="68"/>
  <c r="AS71" i="68"/>
  <c r="AG71" i="68"/>
  <c r="BG71" i="68"/>
  <c r="N1293" i="67"/>
  <c r="AH47" i="68" s="1"/>
  <c r="AH56" i="68" s="1"/>
  <c r="AM51" i="68"/>
  <c r="AM49" i="68" s="1"/>
  <c r="AU1324" i="67"/>
  <c r="AL71" i="68"/>
  <c r="AU71" i="68"/>
  <c r="AM71" i="68"/>
  <c r="BJ71" i="68"/>
  <c r="X1320" i="67"/>
  <c r="BD71" i="68"/>
  <c r="AY71" i="68"/>
  <c r="AJ71" i="68"/>
  <c r="BP4" i="68"/>
  <c r="BP58" i="68" s="1"/>
  <c r="AO7" i="62"/>
  <c r="AK65" i="68"/>
  <c r="J39" i="62"/>
  <c r="AW4" i="68"/>
  <c r="AW58" i="68" s="1"/>
  <c r="V7" i="62"/>
  <c r="BK65" i="68"/>
  <c r="AJ39" i="62"/>
  <c r="BF11" i="68"/>
  <c r="BF59" i="68" s="1"/>
  <c r="AE13" i="62"/>
  <c r="AO11" i="68"/>
  <c r="AO59" i="68" s="1"/>
  <c r="N13" i="62"/>
  <c r="BB11" i="68"/>
  <c r="BB59" i="68" s="1"/>
  <c r="AA13" i="62"/>
  <c r="BM65" i="68"/>
  <c r="AL39" i="62"/>
  <c r="BN11" i="68"/>
  <c r="BN59" i="68" s="1"/>
  <c r="AM13" i="62"/>
  <c r="BI65" i="68"/>
  <c r="AH39" i="62"/>
  <c r="BM66" i="68"/>
  <c r="AL40" i="62"/>
  <c r="BF4" i="68"/>
  <c r="BF58" i="68" s="1"/>
  <c r="AE7" i="62"/>
  <c r="BI66" i="68"/>
  <c r="AH40" i="62"/>
  <c r="BE66" i="68"/>
  <c r="BC65" i="68"/>
  <c r="AB39" i="62"/>
  <c r="BP11" i="68"/>
  <c r="BP59" i="68" s="1"/>
  <c r="AO13" i="62"/>
  <c r="AV66" i="68"/>
  <c r="U40" i="62"/>
  <c r="BK66" i="68"/>
  <c r="AJ40" i="62"/>
  <c r="AT66" i="68"/>
  <c r="S40" i="62"/>
  <c r="BL11" i="68"/>
  <c r="BL59" i="68" s="1"/>
  <c r="AK13" i="62"/>
  <c r="BO4" i="68"/>
  <c r="BO58" i="68" s="1"/>
  <c r="AN7" i="62"/>
  <c r="AI11" i="68"/>
  <c r="AI59" i="68" s="1"/>
  <c r="H13" i="62"/>
  <c r="BO11" i="68"/>
  <c r="BO59" i="68" s="1"/>
  <c r="AN13" i="62"/>
  <c r="AZ11" i="68"/>
  <c r="AZ59" i="68" s="1"/>
  <c r="AZ71" i="68" s="1"/>
  <c r="Y13" i="62"/>
  <c r="AQ11" i="68"/>
  <c r="AQ59" i="68" s="1"/>
  <c r="P13" i="62"/>
  <c r="AO4" i="68"/>
  <c r="AO58" i="68" s="1"/>
  <c r="N7" i="62"/>
  <c r="AH11" i="68"/>
  <c r="AH59" i="68" s="1"/>
  <c r="G13" i="62"/>
  <c r="BN4" i="68"/>
  <c r="BN58" i="68" s="1"/>
  <c r="AM7" i="62"/>
  <c r="BH66" i="68"/>
  <c r="AG40" i="62"/>
  <c r="AW11" i="68"/>
  <c r="AW59" i="68" s="1"/>
  <c r="V13" i="62"/>
  <c r="BE65" i="68"/>
  <c r="AD39" i="62"/>
  <c r="AR4" i="68"/>
  <c r="AR58" i="68" s="1"/>
  <c r="Q7" i="62"/>
  <c r="AR11" i="68"/>
  <c r="AR59" i="68" s="1"/>
  <c r="Q13" i="62"/>
  <c r="AT65" i="68"/>
  <c r="S39" i="62"/>
  <c r="BH65" i="68"/>
  <c r="AG39" i="62"/>
  <c r="BL4" i="68"/>
  <c r="BL58" i="68" s="1"/>
  <c r="AK7" i="62"/>
  <c r="AI4" i="68"/>
  <c r="AI58" i="68" s="1"/>
  <c r="H7" i="62"/>
  <c r="AH4" i="68"/>
  <c r="AH58" i="68" s="1"/>
  <c r="G7" i="62"/>
  <c r="BB4" i="68"/>
  <c r="BB58" i="68" s="1"/>
  <c r="AA7" i="62"/>
  <c r="AX65" i="68"/>
  <c r="W39" i="62"/>
  <c r="AK66" i="68"/>
  <c r="J40" i="62"/>
  <c r="BC66" i="68"/>
  <c r="AB40" i="62"/>
  <c r="AV65" i="68"/>
  <c r="U39" i="62"/>
  <c r="AQ4" i="68"/>
  <c r="AQ58" i="68" s="1"/>
  <c r="P7" i="62"/>
  <c r="AT1293" i="67"/>
  <c r="BN47" i="68" s="1"/>
  <c r="BN56" i="68" s="1"/>
  <c r="U1293" i="67"/>
  <c r="AO47" i="68" s="1"/>
  <c r="AO56" i="68" s="1"/>
  <c r="X1293" i="67"/>
  <c r="AR47" i="68" s="1"/>
  <c r="AR56" i="68" s="1"/>
  <c r="W1293" i="67"/>
  <c r="AQ47" i="68" s="1"/>
  <c r="AQ56" i="68" s="1"/>
  <c r="BA43" i="68"/>
  <c r="BQ51" i="68"/>
  <c r="AL1293" i="67"/>
  <c r="BF47" i="68" s="1"/>
  <c r="BF56" i="68" s="1"/>
  <c r="N1324" i="67"/>
  <c r="AR1293" i="67"/>
  <c r="BL47" i="68" s="1"/>
  <c r="BL56" i="68" s="1"/>
  <c r="AF1293" i="67"/>
  <c r="AZ47" i="68" s="1"/>
  <c r="AZ56" i="68" s="1"/>
  <c r="AY43" i="68"/>
  <c r="AH713" i="67"/>
  <c r="AH1319" i="67" s="1"/>
  <c r="AC717" i="67"/>
  <c r="AC1323" i="67" s="1"/>
  <c r="AF713" i="67"/>
  <c r="AF1319" i="67" s="1"/>
  <c r="AL717" i="67"/>
  <c r="AL1323" i="67" s="1"/>
  <c r="AC713" i="67"/>
  <c r="AC1319" i="67" s="1"/>
  <c r="AF717" i="67"/>
  <c r="AF1323" i="67" s="1"/>
  <c r="AZ51" i="68" s="1"/>
  <c r="N1276" i="67"/>
  <c r="AH45" i="68" s="1"/>
  <c r="AL43" i="68"/>
  <c r="AP43" i="68"/>
  <c r="BD43" i="68"/>
  <c r="AV1293" i="67"/>
  <c r="BP47" i="68" s="1"/>
  <c r="BP56" i="68" s="1"/>
  <c r="AM43" i="68"/>
  <c r="AS43" i="68"/>
  <c r="AF43" i="68"/>
  <c r="AQ45" i="68"/>
  <c r="AG43" i="68"/>
  <c r="AW45" i="68"/>
  <c r="BF45" i="68"/>
  <c r="AR45" i="68"/>
  <c r="AU43" i="68"/>
  <c r="AI47" i="68"/>
  <c r="AI56" i="68" s="1"/>
  <c r="AQ51" i="68"/>
  <c r="BN45" i="68"/>
  <c r="BB45" i="68"/>
  <c r="BL45" i="68"/>
  <c r="X713" i="67"/>
  <c r="X1319" i="67" s="1"/>
  <c r="N713" i="67"/>
  <c r="U713" i="67"/>
  <c r="U1319" i="67" s="1"/>
  <c r="AO50" i="68" s="1"/>
  <c r="X717" i="67"/>
  <c r="X1323" i="67" s="1"/>
  <c r="AR51" i="68" s="1"/>
  <c r="O670" i="67"/>
  <c r="O1276" i="67" s="1"/>
  <c r="AI45" i="68" s="1"/>
  <c r="N717" i="67"/>
  <c r="U717" i="67"/>
  <c r="U1323" i="67" s="1"/>
  <c r="AO51" i="68" s="1"/>
  <c r="BO45" i="68"/>
  <c r="BJ49" i="68"/>
  <c r="AH717" i="67"/>
  <c r="AH1323" i="67" s="1"/>
  <c r="BB51" i="68" s="1"/>
  <c r="BP45" i="68"/>
  <c r="O717" i="67"/>
  <c r="O1323" i="67" s="1"/>
  <c r="AI51" i="68" s="1"/>
  <c r="BQ50" i="68"/>
  <c r="AI50" i="68"/>
  <c r="AR717" i="67"/>
  <c r="AR1323" i="67" s="1"/>
  <c r="BL51" i="68" s="1"/>
  <c r="AU713" i="67"/>
  <c r="AU1319" i="67" s="1"/>
  <c r="AT717" i="67"/>
  <c r="AT1323" i="67" s="1"/>
  <c r="AV717" i="67"/>
  <c r="AV1323" i="67" s="1"/>
  <c r="BP51" i="68" s="1"/>
  <c r="AL713" i="67"/>
  <c r="AL1319" i="67" s="1"/>
  <c r="BF50" i="68" s="1"/>
  <c r="AJ43" i="68"/>
  <c r="AR713" i="67"/>
  <c r="AR1319" i="67" s="1"/>
  <c r="AU717" i="67"/>
  <c r="AU1323" i="67" s="1"/>
  <c r="AT713" i="67"/>
  <c r="AT1319" i="67" s="1"/>
  <c r="BN50" i="68" s="1"/>
  <c r="AV713" i="67"/>
  <c r="AV1319" i="67" s="1"/>
  <c r="AN43" i="68"/>
  <c r="BG43" i="68"/>
  <c r="AO45" i="68"/>
  <c r="BJ43" i="68"/>
  <c r="AZ45" i="68"/>
  <c r="BQ65" i="68"/>
  <c r="BO50" i="68" l="1"/>
  <c r="BB50" i="68"/>
  <c r="BB49" i="68" s="1"/>
  <c r="BD49" i="68"/>
  <c r="BD66" i="68" s="1"/>
  <c r="AW51" i="68"/>
  <c r="BP50" i="68"/>
  <c r="BP49" i="68" s="1"/>
  <c r="AW50" i="68"/>
  <c r="BH72" i="68"/>
  <c r="BH73" i="68" s="1"/>
  <c r="AE5" i="63" s="1"/>
  <c r="AE6" i="63" s="1"/>
  <c r="BF51" i="68"/>
  <c r="BF49" i="68" s="1"/>
  <c r="BL50" i="68"/>
  <c r="BL49" i="68" s="1"/>
  <c r="W40" i="62"/>
  <c r="BN51" i="68"/>
  <c r="BN49" i="68" s="1"/>
  <c r="AS49" i="68"/>
  <c r="AS66" i="68" s="1"/>
  <c r="BO51" i="68"/>
  <c r="AZ50" i="68"/>
  <c r="AZ49" i="68" s="1"/>
  <c r="AR50" i="68"/>
  <c r="AR49" i="68" s="1"/>
  <c r="BL71" i="68"/>
  <c r="BK72" i="68"/>
  <c r="BK73" i="68" s="1"/>
  <c r="AH5" i="63" s="1"/>
  <c r="AH6" i="63" s="1"/>
  <c r="AX72" i="68"/>
  <c r="AX73" i="68" s="1"/>
  <c r="U5" i="63" s="1"/>
  <c r="U6" i="63" s="1"/>
  <c r="AW71" i="68"/>
  <c r="AK72" i="68"/>
  <c r="AK73" i="68" s="1"/>
  <c r="H5" i="63" s="1"/>
  <c r="H6" i="63" s="1"/>
  <c r="AT72" i="68"/>
  <c r="AT73" i="68" s="1"/>
  <c r="Q5" i="63" s="1"/>
  <c r="Q6" i="63" s="1"/>
  <c r="BN71" i="68"/>
  <c r="AI71" i="68"/>
  <c r="BP71" i="68"/>
  <c r="BF71" i="68"/>
  <c r="BB71" i="68"/>
  <c r="BC72" i="68"/>
  <c r="BC73" i="68" s="1"/>
  <c r="Z5" i="63" s="1"/>
  <c r="Z6" i="63" s="1"/>
  <c r="AH71" i="68"/>
  <c r="BE72" i="68"/>
  <c r="BE73" i="68" s="1"/>
  <c r="AB5" i="63" s="1"/>
  <c r="AB6" i="63" s="1"/>
  <c r="AV72" i="68"/>
  <c r="AV73" i="68" s="1"/>
  <c r="S5" i="63" s="1"/>
  <c r="S6" i="63" s="1"/>
  <c r="BM72" i="68"/>
  <c r="BM73" i="68" s="1"/>
  <c r="AJ5" i="63" s="1"/>
  <c r="AJ6" i="63" s="1"/>
  <c r="AO71" i="68"/>
  <c r="AR71" i="68"/>
  <c r="BO71" i="68"/>
  <c r="AP66" i="68"/>
  <c r="O40" i="62"/>
  <c r="BD65" i="68"/>
  <c r="AC39" i="62"/>
  <c r="AF66" i="68"/>
  <c r="E40" i="62"/>
  <c r="BG66" i="68"/>
  <c r="AF40" i="62"/>
  <c r="BA65" i="68"/>
  <c r="Z39" i="62"/>
  <c r="AJ66" i="68"/>
  <c r="I40" i="62"/>
  <c r="AP65" i="68"/>
  <c r="O39" i="62"/>
  <c r="BJ66" i="68"/>
  <c r="AI40" i="62"/>
  <c r="BA66" i="68"/>
  <c r="Z40" i="62"/>
  <c r="AG65" i="68"/>
  <c r="F39" i="62"/>
  <c r="AJ65" i="68"/>
  <c r="I39" i="62"/>
  <c r="AM66" i="68"/>
  <c r="L40" i="62"/>
  <c r="AU66" i="68"/>
  <c r="T40" i="62"/>
  <c r="AL66" i="68"/>
  <c r="K40" i="62"/>
  <c r="BJ65" i="68"/>
  <c r="AI39" i="62"/>
  <c r="AY66" i="68"/>
  <c r="X40" i="62"/>
  <c r="AF65" i="68"/>
  <c r="E39" i="62"/>
  <c r="AS65" i="68"/>
  <c r="R39" i="62"/>
  <c r="AL65" i="68"/>
  <c r="K39" i="62"/>
  <c r="AN66" i="68"/>
  <c r="M40" i="62"/>
  <c r="AQ71" i="68"/>
  <c r="BI72" i="68"/>
  <c r="BI73" i="68" s="1"/>
  <c r="AF5" i="63" s="1"/>
  <c r="AF6" i="63" s="1"/>
  <c r="BG65" i="68"/>
  <c r="AF39" i="62"/>
  <c r="AN65" i="68"/>
  <c r="M39" i="62"/>
  <c r="AU65" i="68"/>
  <c r="T39" i="62"/>
  <c r="AM65" i="68"/>
  <c r="L39" i="62"/>
  <c r="AG66" i="68"/>
  <c r="F40" i="62"/>
  <c r="AY65" i="68"/>
  <c r="X39" i="62"/>
  <c r="BO43" i="68"/>
  <c r="AQ43" i="68"/>
  <c r="BL43" i="68"/>
  <c r="AO49" i="68"/>
  <c r="AI43" i="68"/>
  <c r="AI49" i="68"/>
  <c r="AQ49" i="68"/>
  <c r="AR43" i="68"/>
  <c r="AO43" i="68"/>
  <c r="AW43" i="68"/>
  <c r="N1323" i="67"/>
  <c r="AH51" i="68" s="1"/>
  <c r="BB43" i="68"/>
  <c r="BF43" i="68"/>
  <c r="N1319" i="67"/>
  <c r="AZ43" i="68"/>
  <c r="BQ49" i="68"/>
  <c r="AP40" i="62" s="1"/>
  <c r="AH43" i="68"/>
  <c r="BN43" i="68"/>
  <c r="BP43" i="68"/>
  <c r="BO49" i="68" l="1"/>
  <c r="AN40" i="62" s="1"/>
  <c r="AC40" i="62"/>
  <c r="AW49" i="68"/>
  <c r="AW66" i="68" s="1"/>
  <c r="R40" i="62"/>
  <c r="AM72" i="68"/>
  <c r="AM73" i="68" s="1"/>
  <c r="J5" i="63" s="1"/>
  <c r="J6" i="63" s="1"/>
  <c r="AP72" i="68"/>
  <c r="AP73" i="68" s="1"/>
  <c r="M5" i="63" s="1"/>
  <c r="M6" i="63" s="1"/>
  <c r="AF72" i="68"/>
  <c r="AF73" i="68" s="1"/>
  <c r="C5" i="63" s="1"/>
  <c r="C6" i="63" s="1"/>
  <c r="AU72" i="68"/>
  <c r="AU73" i="68" s="1"/>
  <c r="R5" i="63" s="1"/>
  <c r="R6" i="63" s="1"/>
  <c r="BD72" i="68"/>
  <c r="BD73" i="68" s="1"/>
  <c r="AA5" i="63" s="1"/>
  <c r="AA6" i="63" s="1"/>
  <c r="BJ72" i="68"/>
  <c r="BJ73" i="68" s="1"/>
  <c r="AG5" i="63" s="1"/>
  <c r="AG6" i="63" s="1"/>
  <c r="AN72" i="68"/>
  <c r="AN73" i="68" s="1"/>
  <c r="K5" i="63" s="1"/>
  <c r="K6" i="63" s="1"/>
  <c r="AS72" i="68"/>
  <c r="AS73" i="68" s="1"/>
  <c r="P5" i="63" s="1"/>
  <c r="P6" i="63" s="1"/>
  <c r="AL72" i="68"/>
  <c r="AL73" i="68" s="1"/>
  <c r="I5" i="63" s="1"/>
  <c r="I6" i="63" s="1"/>
  <c r="BA72" i="68"/>
  <c r="BA73" i="68" s="1"/>
  <c r="X5" i="63" s="1"/>
  <c r="X6" i="63" s="1"/>
  <c r="BG72" i="68"/>
  <c r="BG73" i="68" s="1"/>
  <c r="AD5" i="63" s="1"/>
  <c r="AD6" i="63" s="1"/>
  <c r="AG72" i="68"/>
  <c r="AG73" i="68" s="1"/>
  <c r="D5" i="63" s="1"/>
  <c r="D6" i="63" s="1"/>
  <c r="AJ72" i="68"/>
  <c r="AJ73" i="68" s="1"/>
  <c r="AJ80" i="68" s="1"/>
  <c r="AY72" i="68"/>
  <c r="AY73" i="68" s="1"/>
  <c r="V5" i="63" s="1"/>
  <c r="V6" i="63" s="1"/>
  <c r="AR66" i="68"/>
  <c r="Q40" i="62"/>
  <c r="AZ66" i="68"/>
  <c r="Y40" i="62"/>
  <c r="BP65" i="68"/>
  <c r="AO39" i="62"/>
  <c r="BO66" i="68"/>
  <c r="AQ66" i="68"/>
  <c r="P40" i="62"/>
  <c r="BF66" i="68"/>
  <c r="AE40" i="62"/>
  <c r="BB65" i="68"/>
  <c r="AA39" i="62"/>
  <c r="BN65" i="68"/>
  <c r="AM39" i="62"/>
  <c r="AQ65" i="68"/>
  <c r="P39" i="62"/>
  <c r="AW65" i="68"/>
  <c r="V39" i="62"/>
  <c r="BP66" i="68"/>
  <c r="AO40" i="62"/>
  <c r="BN66" i="68"/>
  <c r="AM40" i="62"/>
  <c r="BL66" i="68"/>
  <c r="AK40" i="62"/>
  <c r="AI66" i="68"/>
  <c r="H40" i="62"/>
  <c r="BB66" i="68"/>
  <c r="AA40" i="62"/>
  <c r="AO66" i="68"/>
  <c r="N40" i="62"/>
  <c r="BL65" i="68"/>
  <c r="AK39" i="62"/>
  <c r="BO65" i="68"/>
  <c r="AN39" i="62"/>
  <c r="BF65" i="68"/>
  <c r="AE39" i="62"/>
  <c r="AH65" i="68"/>
  <c r="G39" i="62"/>
  <c r="AI65" i="68"/>
  <c r="H39" i="62"/>
  <c r="AO65" i="68"/>
  <c r="N39" i="62"/>
  <c r="AZ65" i="68"/>
  <c r="Y39" i="62"/>
  <c r="AR65" i="68"/>
  <c r="Q39" i="62"/>
  <c r="AH50" i="68"/>
  <c r="AH49" i="68" s="1"/>
  <c r="BQ66" i="68"/>
  <c r="BQ72" i="68" s="1"/>
  <c r="BQ73" i="68" s="1"/>
  <c r="AN5" i="63" s="1"/>
  <c r="AN6" i="63" s="1"/>
  <c r="AN7" i="63" s="1"/>
  <c r="V40" i="62" l="1"/>
  <c r="AF80" i="68"/>
  <c r="G5" i="63"/>
  <c r="G6" i="63" s="1"/>
  <c r="AR72" i="68"/>
  <c r="AR73" i="68" s="1"/>
  <c r="O5" i="63" s="1"/>
  <c r="O6" i="63" s="1"/>
  <c r="BL72" i="68"/>
  <c r="BL73" i="68" s="1"/>
  <c r="AI5" i="63" s="1"/>
  <c r="AI6" i="63" s="1"/>
  <c r="BN72" i="68"/>
  <c r="BN73" i="68" s="1"/>
  <c r="AK5" i="63" s="1"/>
  <c r="AK6" i="63" s="1"/>
  <c r="AG80" i="68"/>
  <c r="BF72" i="68"/>
  <c r="BF73" i="68" s="1"/>
  <c r="AC5" i="63" s="1"/>
  <c r="AC6" i="63" s="1"/>
  <c r="AZ72" i="68"/>
  <c r="AZ73" i="68" s="1"/>
  <c r="W5" i="63" s="1"/>
  <c r="W6" i="63" s="1"/>
  <c r="AQ72" i="68"/>
  <c r="AQ73" i="68" s="1"/>
  <c r="N5" i="63" s="1"/>
  <c r="N6" i="63" s="1"/>
  <c r="AI72" i="68"/>
  <c r="AI73" i="68" s="1"/>
  <c r="F5" i="63" s="1"/>
  <c r="F6" i="63" s="1"/>
  <c r="BB72" i="68"/>
  <c r="BB73" i="68" s="1"/>
  <c r="Y5" i="63" s="1"/>
  <c r="Y6" i="63" s="1"/>
  <c r="BO72" i="68"/>
  <c r="BO73" i="68" s="1"/>
  <c r="AL5" i="63" s="1"/>
  <c r="AL6" i="63" s="1"/>
  <c r="AW72" i="68"/>
  <c r="AW73" i="68" s="1"/>
  <c r="T5" i="63" s="1"/>
  <c r="T8" i="63" s="1"/>
  <c r="BP72" i="68"/>
  <c r="BP73" i="68" s="1"/>
  <c r="AM5" i="63" s="1"/>
  <c r="AM6" i="63" s="1"/>
  <c r="AO72" i="68"/>
  <c r="AO73" i="68" s="1"/>
  <c r="L5" i="63" s="1"/>
  <c r="L6" i="63" s="1"/>
  <c r="AH66" i="68"/>
  <c r="AH72" i="68" s="1"/>
  <c r="AH73" i="68" s="1"/>
  <c r="AH80" i="68" s="1"/>
  <c r="G40" i="62"/>
  <c r="AN8" i="63"/>
  <c r="AI80" i="68" l="1"/>
  <c r="T6" i="63"/>
  <c r="T7" i="63" s="1"/>
  <c r="T9" i="63"/>
  <c r="E5" i="63"/>
  <c r="E6" i="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tc={6704E445-3F8B-48DB-A842-B7D498DA546D}</author>
  </authors>
  <commentList>
    <comment ref="Z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perhaps remove this?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tc={89358291-0199-49F8-B7DA-6297E8F89429}</author>
  </authors>
  <commentList>
    <comment ref="B102" authorId="0" shapeId="0" xr:uid="{89358291-0199-49F8-B7DA-6297E8F89429}">
      <text>
        <t>[Threaded comment]
Your version of Excel allows you to read this threaded comment; however, any edits to it will get removed if the file is opened in a newer version of Excel. Learn more: https://go.microsoft.com/fwlink/?linkid=870924
Comment:
    This assumes a 15% increase in emissions reductions but this only includes grass maturity. Can maybe increase this to 20% if we consider grass species impacts etc.
Reply:
    #LS #18/07/2021 Check this query</t>
      </text>
    </comment>
  </commentList>
</comments>
</file>

<file path=xl/sharedStrings.xml><?xml version="1.0" encoding="utf-8"?>
<sst xmlns="http://schemas.openxmlformats.org/spreadsheetml/2006/main" count="15682" uniqueCount="1448">
  <si>
    <t>Units</t>
  </si>
  <si>
    <t>Population</t>
  </si>
  <si>
    <t>Dairy cattle</t>
  </si>
  <si>
    <t>Horses</t>
  </si>
  <si>
    <t>IPCC category</t>
  </si>
  <si>
    <t>Gas</t>
  </si>
  <si>
    <t>3A1ai Dairy cattle</t>
  </si>
  <si>
    <t>IPCC Categories</t>
  </si>
  <si>
    <t>Constants</t>
  </si>
  <si>
    <t>CH4 GWP</t>
  </si>
  <si>
    <t>N2O GWP</t>
  </si>
  <si>
    <t>AFOLU inventory categories</t>
  </si>
  <si>
    <t>Level 1</t>
  </si>
  <si>
    <t>Level 2</t>
  </si>
  <si>
    <t>Level 3</t>
  </si>
  <si>
    <t>3A Livestock</t>
  </si>
  <si>
    <t>3A1 Enteric fermentation (CH4)</t>
  </si>
  <si>
    <t>3A1a Cattle</t>
  </si>
  <si>
    <t>3A1c Sheep</t>
  </si>
  <si>
    <t>3A1d Goats</t>
  </si>
  <si>
    <t>3A1f Horses</t>
  </si>
  <si>
    <t>3A1h Swine</t>
  </si>
  <si>
    <t>3A2 Manure management (CH4)</t>
  </si>
  <si>
    <t>3A2a Cattle</t>
  </si>
  <si>
    <t>3A2c Sheep</t>
  </si>
  <si>
    <t>3A2d Goats</t>
  </si>
  <si>
    <t>3A2f Horses</t>
  </si>
  <si>
    <t>3A2h Swine</t>
  </si>
  <si>
    <t>3A2i Poultry</t>
  </si>
  <si>
    <t>3B Land</t>
  </si>
  <si>
    <t>3B1 Forest land (net CO2)</t>
  </si>
  <si>
    <t>3B1a Forest land remaining forest land</t>
  </si>
  <si>
    <t>3B1b Land converted to forest land</t>
  </si>
  <si>
    <t>3B2 Cropland (net CO2)</t>
  </si>
  <si>
    <t>3B2a Cropland remaining cropland</t>
  </si>
  <si>
    <t>3B2b Land converted to cropland</t>
  </si>
  <si>
    <t>3B3 Grassland (net CO2)</t>
  </si>
  <si>
    <t>3B3a Grassland remaining grassland</t>
  </si>
  <si>
    <t>3B3b Land converted to grassland</t>
  </si>
  <si>
    <t>3B4 Wetland (CH4)</t>
  </si>
  <si>
    <t>3B5 Settlements (net CO2)</t>
  </si>
  <si>
    <t>3B5a Setllements remaining settlements</t>
  </si>
  <si>
    <t>3B5b Land converted to settlements</t>
  </si>
  <si>
    <t>3B6 Other lands (net CO2)</t>
  </si>
  <si>
    <t>3B6b Land converted to other land</t>
  </si>
  <si>
    <t>3C1 Biomass burning (CH4)</t>
  </si>
  <si>
    <t>3C1a Biomass burning in forest land</t>
  </si>
  <si>
    <t>3C1b Biomass burning in Croplands</t>
  </si>
  <si>
    <t>3C1c Biomass burning in Grasslands</t>
  </si>
  <si>
    <t>3C1d Biomass burning in Wetlands</t>
  </si>
  <si>
    <t>3C1e Biomass burning in Settlements</t>
  </si>
  <si>
    <t>3C1f Biomass burning in Other lands</t>
  </si>
  <si>
    <t>3C1 Biomass burning (N2O)</t>
  </si>
  <si>
    <t>3C2 Liming (CO2)</t>
  </si>
  <si>
    <t>3C3 Urea application (CO2)</t>
  </si>
  <si>
    <t>3C4 Direct N2O from managed soils (N2O)</t>
  </si>
  <si>
    <t>Inorganic inputs</t>
  </si>
  <si>
    <t>Organic inputs</t>
  </si>
  <si>
    <t>Crop residues</t>
  </si>
  <si>
    <t>Urine and dung</t>
  </si>
  <si>
    <t>FSOM</t>
  </si>
  <si>
    <t>3C5 Indirect N2O from managed soils (N2O)</t>
  </si>
  <si>
    <t>Volatilisation</t>
  </si>
  <si>
    <t>Leaching/runoff</t>
  </si>
  <si>
    <t>3C6 Indirect N2O from manure management (N2O)</t>
  </si>
  <si>
    <t>3D Other</t>
  </si>
  <si>
    <t>3D1 HWP (CO2)</t>
  </si>
  <si>
    <t>3A1aii Other cattle</t>
  </si>
  <si>
    <t>3A2ai Dairy cattle</t>
  </si>
  <si>
    <t>3A2aii Other cattle</t>
  </si>
  <si>
    <t>Level 4</t>
  </si>
  <si>
    <t>3B1bi Cropland converted to forest land</t>
  </si>
  <si>
    <t>3B1bii Grassland converted to forest land</t>
  </si>
  <si>
    <t>3B1biii Wetlands converted to forest land</t>
  </si>
  <si>
    <t>3B1biv Settlements converted to forest land</t>
  </si>
  <si>
    <t>3B1bv Other land converted to forest land</t>
  </si>
  <si>
    <t>3B2bi Forest land converted to cropland</t>
  </si>
  <si>
    <t>3B2bii Grassland converted to cropland</t>
  </si>
  <si>
    <t>3B2biii Wetlands converted to cropland</t>
  </si>
  <si>
    <t>3B2biv Settlements converted to cropland</t>
  </si>
  <si>
    <t>3B2bv Other land converted to cropland</t>
  </si>
  <si>
    <t>3B3bi Forest land converted to grassland</t>
  </si>
  <si>
    <t>3B3bii Cropland converted to grassland</t>
  </si>
  <si>
    <t>3B3biii Wetlands converted to grassland</t>
  </si>
  <si>
    <t>3B3iv Settlements converted to grassland</t>
  </si>
  <si>
    <t>3B3v Other land converted to grassland</t>
  </si>
  <si>
    <t>3B5bi Forest land converted to settlements</t>
  </si>
  <si>
    <t>3B5bii Cropland converted to settlements</t>
  </si>
  <si>
    <t>3B5biii Grassland converted to settlements</t>
  </si>
  <si>
    <t>3B5biv Wetlands converted to settlements</t>
  </si>
  <si>
    <t>3B5bv Other land converted to settlements</t>
  </si>
  <si>
    <t>3B6bi Forest land converted to other land</t>
  </si>
  <si>
    <t>3B6bii Cropland converted to other land</t>
  </si>
  <si>
    <t>3B6biii Grassland converted to other land</t>
  </si>
  <si>
    <t>3B6biv Wetlands converted to other land</t>
  </si>
  <si>
    <t>3B6bv Settlements converted to other land</t>
  </si>
  <si>
    <t>Activities</t>
  </si>
  <si>
    <t>Enteric fermentation</t>
  </si>
  <si>
    <t>Manure management</t>
  </si>
  <si>
    <t>Forest land</t>
  </si>
  <si>
    <t>Forest land remaining forest land</t>
  </si>
  <si>
    <t>Land converted to forest land</t>
  </si>
  <si>
    <t>Cropland remaining cropland</t>
  </si>
  <si>
    <t>Land converted to cropland</t>
  </si>
  <si>
    <t>Grassland remaining grassland</t>
  </si>
  <si>
    <t>Land converted to grassland</t>
  </si>
  <si>
    <t>Wetlands</t>
  </si>
  <si>
    <t>Settlements remaining settlements</t>
  </si>
  <si>
    <t>Land converted to settlements</t>
  </si>
  <si>
    <t>3B6a Other land remaining other land</t>
  </si>
  <si>
    <t>Other land remaining other land</t>
  </si>
  <si>
    <t>Land converted to other land</t>
  </si>
  <si>
    <t>Biomass burning</t>
  </si>
  <si>
    <t>Liming</t>
  </si>
  <si>
    <t>Urea application</t>
  </si>
  <si>
    <t>Inorganic N inputs</t>
  </si>
  <si>
    <t>Organic N inputs</t>
  </si>
  <si>
    <t>Crop N residues</t>
  </si>
  <si>
    <t>Urine and dung N inputs</t>
  </si>
  <si>
    <t>FSOM inputs</t>
  </si>
  <si>
    <t>HWP</t>
  </si>
  <si>
    <t>CH4</t>
  </si>
  <si>
    <t>Commercial</t>
  </si>
  <si>
    <t>Subsistence</t>
  </si>
  <si>
    <t>Mules &amp; Asses</t>
  </si>
  <si>
    <t>Commercial breeding</t>
  </si>
  <si>
    <t>Commercial baconers</t>
  </si>
  <si>
    <t>Commercial porkers</t>
  </si>
  <si>
    <t>Subsistence breeding</t>
  </si>
  <si>
    <t>Subsistence baconers</t>
  </si>
  <si>
    <t>Subsistence porkers</t>
  </si>
  <si>
    <t>Commercial layers</t>
  </si>
  <si>
    <t>Commercial broilers</t>
  </si>
  <si>
    <t>Subsistence broilers</t>
  </si>
  <si>
    <t>Subsistence layers</t>
  </si>
  <si>
    <t>Feedlot</t>
  </si>
  <si>
    <t>TMR</t>
  </si>
  <si>
    <t>Pasture</t>
  </si>
  <si>
    <t>Head</t>
  </si>
  <si>
    <t>N2O</t>
  </si>
  <si>
    <t>3A1g Mules &amp; asses</t>
  </si>
  <si>
    <t>3A2g Mules &amp; asses</t>
  </si>
  <si>
    <t>Activity data</t>
  </si>
  <si>
    <t>Emission factors</t>
  </si>
  <si>
    <t>kg CH4/head/yr</t>
  </si>
  <si>
    <t>kg N2O-N/kg Nex</t>
  </si>
  <si>
    <t>N2O-N to N2O</t>
  </si>
  <si>
    <t>kg to Gg</t>
  </si>
  <si>
    <t>TOTAL</t>
  </si>
  <si>
    <t>Sub category</t>
  </si>
  <si>
    <t>Metric</t>
  </si>
  <si>
    <t>Other cattle</t>
  </si>
  <si>
    <t>Sheep</t>
  </si>
  <si>
    <t>Goats</t>
  </si>
  <si>
    <t>Mules and asses</t>
  </si>
  <si>
    <t>Swine</t>
  </si>
  <si>
    <t>Dairy (pasture) - Lactating cows</t>
  </si>
  <si>
    <t>Dairy (pasture) - Dry cows</t>
  </si>
  <si>
    <t>Dairy (pasture) - Lactating heifers</t>
  </si>
  <si>
    <t>Dairy (TMR) - Lactating cows</t>
  </si>
  <si>
    <t>Dairy (TMR) - Dry cows</t>
  </si>
  <si>
    <t>Dairy (TMR) - Lactating heifers</t>
  </si>
  <si>
    <t>Dairy (non-lactating - pasture) - Calves</t>
  </si>
  <si>
    <t>Dairy (non-lactating - pasture) - Heifers 2-6mths</t>
  </si>
  <si>
    <t>Dairy (non-lactating - pasture) - Heifers 6-12mths</t>
  </si>
  <si>
    <t>Dairy (non-lactating - pasture) - Heifers &gt;1yr</t>
  </si>
  <si>
    <t>Dairy (non-lactating - pasture) - Pregnant heifers</t>
  </si>
  <si>
    <t>Dairy (non-lactating - TMR) - Calves</t>
  </si>
  <si>
    <t>Dairy (non-lactating - TMR) - Heifers 2-6mths</t>
  </si>
  <si>
    <t>Dairy (non-lactating - TMR) - Heifers 6-12mths</t>
  </si>
  <si>
    <t>Dairy (non-lactating - TMR) - Heifers &gt;1yr</t>
  </si>
  <si>
    <t>Dairy (non-lactating - TMR) - Pregnant heifers</t>
  </si>
  <si>
    <t>Commercial beef - Bulls</t>
  </si>
  <si>
    <t>Commercial beef - Calves</t>
  </si>
  <si>
    <t>Commercial beef - Cows</t>
  </si>
  <si>
    <t>Commercial beef - Feedlot</t>
  </si>
  <si>
    <t>Commercial beef - Heifers</t>
  </si>
  <si>
    <t>Commercial beef - Oxen</t>
  </si>
  <si>
    <t>Commercial beef - Young oxen</t>
  </si>
  <si>
    <t>Subsistence cattle - Bulls</t>
  </si>
  <si>
    <t>Subsistence cattle - Calves</t>
  </si>
  <si>
    <t>Subsistence cattle - Cows</t>
  </si>
  <si>
    <t>Subsistence cattle - Heifers</t>
  </si>
  <si>
    <t>Subsistence cattle - Oxen</t>
  </si>
  <si>
    <t>Subsistence cattle - Young oxen</t>
  </si>
  <si>
    <t>Commercial - Karakul - Breeding ewes</t>
  </si>
  <si>
    <t>Commercial - Karakul - Breeding rams</t>
  </si>
  <si>
    <t>Commercial - Karakul - Lambs</t>
  </si>
  <si>
    <t>Commercial - Karakul - Weaners</t>
  </si>
  <si>
    <t>Commercial - Karakul - Young ewes</t>
  </si>
  <si>
    <t>Commercial - Karakul - Young rams</t>
  </si>
  <si>
    <t>Commercial - Merino - Breeding ewes</t>
  </si>
  <si>
    <t>Commercial - Merino - Breeding rams</t>
  </si>
  <si>
    <t>Commercial - Merino - Lambs</t>
  </si>
  <si>
    <t>Commercial - Merino - Weaners</t>
  </si>
  <si>
    <t>Commercial - Merino - Young ewes</t>
  </si>
  <si>
    <t>Commercial - Merino - Young rams</t>
  </si>
  <si>
    <t>Commercial - Non-wool - Breeding ewes</t>
  </si>
  <si>
    <t>Commercial - Non-wool - Breeding rams</t>
  </si>
  <si>
    <t>Commercial - Non-wool - Lambs</t>
  </si>
  <si>
    <t>Commercial - Non-wool - Weaners</t>
  </si>
  <si>
    <t>Commercial - Non-wool - Young ewes</t>
  </si>
  <si>
    <t>Commercial - Non-wool - Young rams</t>
  </si>
  <si>
    <t>Commercial - Other wool - Breeding ewes</t>
  </si>
  <si>
    <t>Commercial - Other wool - Breeding rams</t>
  </si>
  <si>
    <t>Commercial - Other wool - Lambs</t>
  </si>
  <si>
    <t>Commercial - Other wool - Weaners</t>
  </si>
  <si>
    <t>Commercial - Other wool - Young ewes</t>
  </si>
  <si>
    <t>Commercial - Other wool - Young rams</t>
  </si>
  <si>
    <t>Subsistence - Karakul - Breeding ewes</t>
  </si>
  <si>
    <t>Subsistence - Karakul - Breeding rams</t>
  </si>
  <si>
    <t>Subsistence - Karakul - Lambs</t>
  </si>
  <si>
    <t>Subsistence - Karakul - Weaners</t>
  </si>
  <si>
    <t>Subsistence - Karakul - Young ewes</t>
  </si>
  <si>
    <t>Subsistence - Karakul - Young rams</t>
  </si>
  <si>
    <t>Subsistence - Merino - Breeding ewes</t>
  </si>
  <si>
    <t>Subsistence - Merino - Breeding rams</t>
  </si>
  <si>
    <t>Subsistence - Merino - Lambs</t>
  </si>
  <si>
    <t>Subsistence - Merino - Weaners</t>
  </si>
  <si>
    <t>Subsistence - Merino - Young ewes</t>
  </si>
  <si>
    <t>Subsistence - Merino - Young rams</t>
  </si>
  <si>
    <t>Subsistence - Non-wool - Breeding ewes</t>
  </si>
  <si>
    <t>Subsistence - Non-wool - Breeding rams</t>
  </si>
  <si>
    <t>Subsistence - Non-wool - Lambs</t>
  </si>
  <si>
    <t>Subsistence - Non-wool - Weaners</t>
  </si>
  <si>
    <t>Subsistence - Non-wool - Young ewes</t>
  </si>
  <si>
    <t>Subsistence - Non-wool - Young rams</t>
  </si>
  <si>
    <t>Subsistence - Other wool - Breeding ewes</t>
  </si>
  <si>
    <t>Subsistence - Other wool - Breeding rams</t>
  </si>
  <si>
    <t>Subsistence - Other wool - Lambs</t>
  </si>
  <si>
    <t>Subsistence - Other wool - Weaners</t>
  </si>
  <si>
    <t>Subsistence - Other wool - Young ewes</t>
  </si>
  <si>
    <t>Subsistence - Other wool - Young rams</t>
  </si>
  <si>
    <t>Commercial - Angora - Breeding buck</t>
  </si>
  <si>
    <t>Commercial - Angora - Breeding does</t>
  </si>
  <si>
    <t>Commercial - Angora - Kids</t>
  </si>
  <si>
    <t>Commercial - Angora - Weaners</t>
  </si>
  <si>
    <t>Commercial - Angora - Young buck</t>
  </si>
  <si>
    <t>Commercial - Angora - Young does</t>
  </si>
  <si>
    <t>Commercial goats - Breeding buck</t>
  </si>
  <si>
    <t>Commercial goats - Breeding does</t>
  </si>
  <si>
    <t>Commercial goats - Kids</t>
  </si>
  <si>
    <t>Commercial goats - Weaners</t>
  </si>
  <si>
    <t>Commercial goats - Young buck</t>
  </si>
  <si>
    <t>Commercial goats - Young does</t>
  </si>
  <si>
    <t>Commercial - Milk - Breeding buck</t>
  </si>
  <si>
    <t>Commercial - Milk - Breeding does</t>
  </si>
  <si>
    <t>Commercial - Milk - Kids</t>
  </si>
  <si>
    <t>Commercial - Milk - Weaners</t>
  </si>
  <si>
    <t>Commercial - Milk - Young buck</t>
  </si>
  <si>
    <t>Commercial - Milk - Young does</t>
  </si>
  <si>
    <t>Subsistence goats - Breeding buck</t>
  </si>
  <si>
    <t>Subsistence goats - Breeding does</t>
  </si>
  <si>
    <t>Subsistence goats - Kids</t>
  </si>
  <si>
    <t>Subsistence goats - Weaners</t>
  </si>
  <si>
    <t>Subsistence goats - Young buck</t>
  </si>
  <si>
    <t>Subsistence goats - Young does</t>
  </si>
  <si>
    <t>Commercial swine - Baconers</t>
  </si>
  <si>
    <t>Commercial swine - Boars</t>
  </si>
  <si>
    <t>Commercial swine - Cull boars</t>
  </si>
  <si>
    <t>Commercial swine - Cull sows</t>
  </si>
  <si>
    <t>Commercial swine - Dry gestating sows</t>
  </si>
  <si>
    <t>Commercial swine - Lactating sows</t>
  </si>
  <si>
    <t>Commercial swine - Porkers</t>
  </si>
  <si>
    <t>Commercial swine - Pre-wean piglets</t>
  </si>
  <si>
    <t>Commercial swine - Replacement boars</t>
  </si>
  <si>
    <t>Commercial swine - Replacement sows</t>
  </si>
  <si>
    <t>Subsistence swine - Baconers</t>
  </si>
  <si>
    <t>Subsistence swine - Boars</t>
  </si>
  <si>
    <t>Subsistence swine - Cull boars</t>
  </si>
  <si>
    <t>Subsistence swine - Cull sows</t>
  </si>
  <si>
    <t>Subsistence swine - Dry gestating sows</t>
  </si>
  <si>
    <t>Subsistence swine - Lactating sows</t>
  </si>
  <si>
    <t>Subsistence swine - Porkers</t>
  </si>
  <si>
    <t>Subsistence swine - Pre-wean piglets</t>
  </si>
  <si>
    <t>Subsistence swine - Replacement boars</t>
  </si>
  <si>
    <t>Subsistence swine - Replacement sows</t>
  </si>
  <si>
    <t>Aggregated emission factors</t>
  </si>
  <si>
    <t>Livestock category</t>
  </si>
  <si>
    <t>EF</t>
  </si>
  <si>
    <t>Activity</t>
  </si>
  <si>
    <t>2010 Population</t>
  </si>
  <si>
    <t>Assumptions</t>
  </si>
  <si>
    <t>Notes</t>
  </si>
  <si>
    <t>Ratio</t>
  </si>
  <si>
    <t>EF x ratio</t>
  </si>
  <si>
    <t>Gg CH4</t>
  </si>
  <si>
    <t>Gg N2O</t>
  </si>
  <si>
    <t>Poultry</t>
  </si>
  <si>
    <t>Commercial poultry - Broilers</t>
  </si>
  <si>
    <t>Commercial poultry - Layers</t>
  </si>
  <si>
    <t>Subsistence poultry - Broilers</t>
  </si>
  <si>
    <t>Subsistence poultry - Layers</t>
  </si>
  <si>
    <t>Manure EF</t>
  </si>
  <si>
    <t>Lagoon</t>
  </si>
  <si>
    <t>Liquid/slurry</t>
  </si>
  <si>
    <t>Drylot</t>
  </si>
  <si>
    <t>Solid storage</t>
  </si>
  <si>
    <t>Daily spread</t>
  </si>
  <si>
    <t>Compost</t>
  </si>
  <si>
    <t>Manure with bedding</t>
  </si>
  <si>
    <t>Poultry manure without litter</t>
  </si>
  <si>
    <t>Poultry manure with litter</t>
  </si>
  <si>
    <t>Dailyspread</t>
  </si>
  <si>
    <t>Pasture, range and paddock</t>
  </si>
  <si>
    <t>Percentage</t>
  </si>
  <si>
    <t>MM</t>
  </si>
  <si>
    <t>Non-lactating</t>
  </si>
  <si>
    <t>Reference for projections</t>
  </si>
  <si>
    <t>Population data</t>
  </si>
  <si>
    <t>Excretion rate</t>
  </si>
  <si>
    <t>kg N/head/yr</t>
  </si>
  <si>
    <t>Summary</t>
  </si>
  <si>
    <t>Level 2 category</t>
  </si>
  <si>
    <t>Level 3 category</t>
  </si>
  <si>
    <t>Level 3/4 category</t>
  </si>
  <si>
    <t>Drivers</t>
  </si>
  <si>
    <t>Driver</t>
  </si>
  <si>
    <t>Beef consumption</t>
  </si>
  <si>
    <t>kg to tonne</t>
  </si>
  <si>
    <t>Beef production</t>
  </si>
  <si>
    <t>t</t>
  </si>
  <si>
    <t>t/capita</t>
  </si>
  <si>
    <t>Capita</t>
  </si>
  <si>
    <t>Input data</t>
  </si>
  <si>
    <t>Output data</t>
  </si>
  <si>
    <t>Livestock outputs</t>
  </si>
  <si>
    <t>Fraction</t>
  </si>
  <si>
    <t>Milk consumption</t>
  </si>
  <si>
    <t>Milk production</t>
  </si>
  <si>
    <t>TMR dairy cattle fraction</t>
  </si>
  <si>
    <t>Fraction of dairy cattle that is TMR</t>
  </si>
  <si>
    <t>Lamb consumption</t>
  </si>
  <si>
    <t>Lamb production</t>
  </si>
  <si>
    <t>Pork consumption</t>
  </si>
  <si>
    <t>Pork production</t>
  </si>
  <si>
    <t>Egg consumption</t>
  </si>
  <si>
    <t>Egg production</t>
  </si>
  <si>
    <t>Chicken consumption</t>
  </si>
  <si>
    <t>Chicken production</t>
  </si>
  <si>
    <t>Chevon consumption</t>
  </si>
  <si>
    <t>Lamb and chevon consumption</t>
  </si>
  <si>
    <t>Fraction of goat meat</t>
  </si>
  <si>
    <t>Fraction of sheep and goat meat that is goat meat</t>
  </si>
  <si>
    <t>Maize production</t>
  </si>
  <si>
    <t>Maize consumption (total)</t>
  </si>
  <si>
    <t>Indigenous forests</t>
  </si>
  <si>
    <t>Thickets</t>
  </si>
  <si>
    <t>Woodlands</t>
  </si>
  <si>
    <t>Plantations</t>
  </si>
  <si>
    <t>Annual non-pivot</t>
  </si>
  <si>
    <t>Annual pivot</t>
  </si>
  <si>
    <t>Perennial orchards</t>
  </si>
  <si>
    <t>Perennial vineyards</t>
  </si>
  <si>
    <t>Cropland subsistence</t>
  </si>
  <si>
    <t>Grasslands</t>
  </si>
  <si>
    <t>Low shrublands</t>
  </si>
  <si>
    <t>Settlements</t>
  </si>
  <si>
    <t>Mines</t>
  </si>
  <si>
    <t>Bare ground</t>
  </si>
  <si>
    <t>Degraded land</t>
  </si>
  <si>
    <t>ha</t>
  </si>
  <si>
    <t>Biomass burning EF</t>
  </si>
  <si>
    <t>Biomass burning Cf</t>
  </si>
  <si>
    <t>Biomass burning Mb</t>
  </si>
  <si>
    <t>t/ha</t>
  </si>
  <si>
    <t>g gas/kg dm</t>
  </si>
  <si>
    <t>Maize area</t>
  </si>
  <si>
    <t>Crop production</t>
  </si>
  <si>
    <t>3C Aggregated and non-CO2 emissions on land</t>
  </si>
  <si>
    <t>Wheat area</t>
  </si>
  <si>
    <t>Sorghum consumption (total)</t>
  </si>
  <si>
    <t>Sorghum area</t>
  </si>
  <si>
    <t>Fertilisers and lime</t>
  </si>
  <si>
    <t xml:space="preserve"> - wheat</t>
  </si>
  <si>
    <t xml:space="preserve"> - sorghum</t>
  </si>
  <si>
    <t xml:space="preserve"> - total</t>
  </si>
  <si>
    <t>fraction</t>
  </si>
  <si>
    <t>Lime application EF</t>
  </si>
  <si>
    <t>t C/t lime</t>
  </si>
  <si>
    <t>CO2</t>
  </si>
  <si>
    <t>Lime emissions</t>
  </si>
  <si>
    <t>Gg CO2</t>
  </si>
  <si>
    <t>Lime consumption</t>
  </si>
  <si>
    <t>Inorganic N application</t>
  </si>
  <si>
    <t>Urea EF</t>
  </si>
  <si>
    <t>t C/t urea</t>
  </si>
  <si>
    <t>Urea emissions</t>
  </si>
  <si>
    <t>CtoCO2</t>
  </si>
  <si>
    <t>tonne to Gg</t>
  </si>
  <si>
    <t>Compost N</t>
  </si>
  <si>
    <t>FracMM</t>
  </si>
  <si>
    <t xml:space="preserve"> - Diary cattle</t>
  </si>
  <si>
    <t xml:space="preserve"> - commercial other cattle</t>
  </si>
  <si>
    <t xml:space="preserve"> - feedlot other cattle</t>
  </si>
  <si>
    <t xml:space="preserve"> - subsistence other cattle</t>
  </si>
  <si>
    <t xml:space="preserve"> - commercial sheep</t>
  </si>
  <si>
    <t xml:space="preserve"> - subsistence sheep</t>
  </si>
  <si>
    <t xml:space="preserve"> - commercial goats</t>
  </si>
  <si>
    <t xml:space="preserve"> - subsistence goats</t>
  </si>
  <si>
    <t xml:space="preserve"> - commercial swine</t>
  </si>
  <si>
    <t xml:space="preserve"> - subsistence swine</t>
  </si>
  <si>
    <t xml:space="preserve"> - broilers</t>
  </si>
  <si>
    <t xml:space="preserve"> - layers</t>
  </si>
  <si>
    <t>FracLoss</t>
  </si>
  <si>
    <t>N for bedding</t>
  </si>
  <si>
    <t>Manure N</t>
  </si>
  <si>
    <t>kg N</t>
  </si>
  <si>
    <t>N bedding</t>
  </si>
  <si>
    <t>MM N available</t>
  </si>
  <si>
    <t>Urine &amp; dung</t>
  </si>
  <si>
    <t>Synthetic N</t>
  </si>
  <si>
    <t>Organic N</t>
  </si>
  <si>
    <t>SOM N</t>
  </si>
  <si>
    <t>Urine and dung N (CPP)</t>
  </si>
  <si>
    <t>Urine and dung N (SO)</t>
  </si>
  <si>
    <t>kg N2O-N/kg N input</t>
  </si>
  <si>
    <t xml:space="preserve"> - EF</t>
  </si>
  <si>
    <t>tonne to kg</t>
  </si>
  <si>
    <t>Synthetic fertlisers</t>
  </si>
  <si>
    <t>Organic fertilisers</t>
  </si>
  <si>
    <t>MM emissions</t>
  </si>
  <si>
    <t>U&amp;D emissions</t>
  </si>
  <si>
    <t>FracGASF</t>
  </si>
  <si>
    <t>FracGASM</t>
  </si>
  <si>
    <t>FracLEACH</t>
  </si>
  <si>
    <t xml:space="preserve"> - synthetic N</t>
  </si>
  <si>
    <t xml:space="preserve"> - Organic N</t>
  </si>
  <si>
    <t xml:space="preserve"> - N application</t>
  </si>
  <si>
    <t xml:space="preserve"> - U&amp;D</t>
  </si>
  <si>
    <t xml:space="preserve"> - volatilisation EF</t>
  </si>
  <si>
    <t xml:space="preserve"> - leaching EF</t>
  </si>
  <si>
    <t>Indirect MS</t>
  </si>
  <si>
    <t>kg N2O-N/kg N volatilized</t>
  </si>
  <si>
    <t>kg N2O-N/kg N leached</t>
  </si>
  <si>
    <t xml:space="preserve"> - Synthetic fertlisers</t>
  </si>
  <si>
    <t xml:space="preserve"> - Organic fertilisers</t>
  </si>
  <si>
    <t xml:space="preserve"> - Managed manure</t>
  </si>
  <si>
    <t xml:space="preserve"> - Urine &amp; dung</t>
  </si>
  <si>
    <t xml:space="preserve"> - crop residues</t>
  </si>
  <si>
    <t>FracLEACHMM</t>
  </si>
  <si>
    <t xml:space="preserve"> - manure management</t>
  </si>
  <si>
    <t>Indirect MM</t>
  </si>
  <si>
    <t>FracGasMS</t>
  </si>
  <si>
    <t xml:space="preserve"> - maize</t>
  </si>
  <si>
    <t>Fraction of total N residue</t>
  </si>
  <si>
    <t>Crop residue</t>
  </si>
  <si>
    <t>Slope</t>
  </si>
  <si>
    <t>Intercept</t>
  </si>
  <si>
    <t>TMR - Manure management - Lagoon</t>
  </si>
  <si>
    <t>TMR - Manure management - Liquid/slurry</t>
  </si>
  <si>
    <t>TMR - Manure management - Drylot</t>
  </si>
  <si>
    <t>TMR - Manure management - Solid storage</t>
  </si>
  <si>
    <t>TMR - Manure management - Dailyspread</t>
  </si>
  <si>
    <t>TMR - Manure management - Compost</t>
  </si>
  <si>
    <t>TMR - Manure management - Manure with bedding</t>
  </si>
  <si>
    <t>TMR - Manure management - Poultry manure without litter</t>
  </si>
  <si>
    <t>TMR - Manure management - Poultry manure with litter</t>
  </si>
  <si>
    <t>TMR - Manure management - Pasture, range and paddock</t>
  </si>
  <si>
    <t>Pasture - Manure management - Lagoon</t>
  </si>
  <si>
    <t>Pasture - Manure management - Liquid/slurry</t>
  </si>
  <si>
    <t>Pasture - Manure management - Drylot</t>
  </si>
  <si>
    <t>Pasture - Manure management - Solid storage</t>
  </si>
  <si>
    <t>Pasture - Manure management - Dailyspread</t>
  </si>
  <si>
    <t>Pasture - Manure management - Compost</t>
  </si>
  <si>
    <t>Pasture - Manure management - Manure with bedding</t>
  </si>
  <si>
    <t>Pasture - Manure management - Poultry manure without litter</t>
  </si>
  <si>
    <t>Pasture - Manure management - Poultry manure with litter</t>
  </si>
  <si>
    <t>Pasture - Manure management - Pasture, range and paddock</t>
  </si>
  <si>
    <t>Non-lactating - Manure management - Lagoon</t>
  </si>
  <si>
    <t>Non-lactating - Manure management - Liquid/slurry</t>
  </si>
  <si>
    <t>Non-lactating - Manure management - Drylot</t>
  </si>
  <si>
    <t>Non-lactating - Manure management - Solid storage</t>
  </si>
  <si>
    <t>Non-lactating - Manure management - Dailyspread</t>
  </si>
  <si>
    <t>Non-lactating - Manure management - Compost</t>
  </si>
  <si>
    <t>Non-lactating - Manure management - Manure with bedding</t>
  </si>
  <si>
    <t>Non-lactating - Manure management - Poultry manure without litter</t>
  </si>
  <si>
    <t>Non-lactating - Manure management - Poultry manure with litter</t>
  </si>
  <si>
    <t>Non-lactating - Manure management - Pasture, range and paddock</t>
  </si>
  <si>
    <t>Commercial cattle - Manure management - Lagoon</t>
  </si>
  <si>
    <t>Commercial cattle - Manure management - Liquid/slurry</t>
  </si>
  <si>
    <t>Commercial cattle - Manure management - Drylot</t>
  </si>
  <si>
    <t>Commercial cattle - Manure management - Solid storage</t>
  </si>
  <si>
    <t>Commercial cattle - Manure management - Dailyspread</t>
  </si>
  <si>
    <t>Commercial cattle - Manure management - Compost</t>
  </si>
  <si>
    <t>Commercial cattle - Manure management - Manure with bedding</t>
  </si>
  <si>
    <t>Commercial cattle - Manure management - Poultry manure without litter</t>
  </si>
  <si>
    <t>Commercial cattle - Manure management - Poultry manure with litter</t>
  </si>
  <si>
    <t>Commercial cattle - Manure management - Pasture, range and paddock</t>
  </si>
  <si>
    <t>Subsistence cattle - Manure management - Lagoon</t>
  </si>
  <si>
    <t>Subsistence cattle - Manure management - Liquid/slurry</t>
  </si>
  <si>
    <t>Subsistence cattle - Manure management - Drylot</t>
  </si>
  <si>
    <t>Subsistence cattle - Manure management - Solid storage</t>
  </si>
  <si>
    <t>Subsistence cattle - Manure management - Dailyspread</t>
  </si>
  <si>
    <t>Subsistence cattle - Manure management - Compost</t>
  </si>
  <si>
    <t>Subsistence cattle - Manure management - Manure with bedding</t>
  </si>
  <si>
    <t>Subsistence cattle - Manure management - Poultry manure without litter</t>
  </si>
  <si>
    <t>Subsistence cattle - Manure management - Poultry manure with litter</t>
  </si>
  <si>
    <t>Subsistence cattle - Manure management - Pasture, range and paddock</t>
  </si>
  <si>
    <t>Feedlot - Manure management - Lagoon</t>
  </si>
  <si>
    <t>Feedlot - Manure management - Liquid/slurry</t>
  </si>
  <si>
    <t>Feedlot - Manure management - Drylot</t>
  </si>
  <si>
    <t>Feedlot - Manure management - Solid storage</t>
  </si>
  <si>
    <t>Feedlot - Manure management - Dailyspread</t>
  </si>
  <si>
    <t>Feedlot - Manure management - Compost</t>
  </si>
  <si>
    <t>Feedlot - Manure management - Manure with bedding</t>
  </si>
  <si>
    <t>Feedlot - Manure management - Poultry manure without litter</t>
  </si>
  <si>
    <t>Feedlot - Manure management - Poultry manure with litter</t>
  </si>
  <si>
    <t>Feedlot - Manure management - Pasture, range and paddock</t>
  </si>
  <si>
    <t>Commercial sheep - Manure management - Lagoon</t>
  </si>
  <si>
    <t>Commercial sheep - Manure management - Liquid/slurry</t>
  </si>
  <si>
    <t>Commercial sheep - Manure management - Drylot</t>
  </si>
  <si>
    <t>Commercial sheep - Manure management - Solid storage</t>
  </si>
  <si>
    <t>Commercial sheep - Manure management - Dailyspread</t>
  </si>
  <si>
    <t>Commercial sheep - Manure management - Compost</t>
  </si>
  <si>
    <t>Commercial sheep - Manure management - Manure with bedding</t>
  </si>
  <si>
    <t>Commercial sheep - Manure management - Poultry manure without litter</t>
  </si>
  <si>
    <t>Commercial sheep - Manure management - Poultry manure with litter</t>
  </si>
  <si>
    <t>Commercial sheep - Manure management - Pasture, range and paddock</t>
  </si>
  <si>
    <t>Subsistence sheep - Manure management - Lagoon</t>
  </si>
  <si>
    <t>Subsistence sheep - Manure management - Liquid/slurry</t>
  </si>
  <si>
    <t>Subsistence sheep - Manure management - Drylot</t>
  </si>
  <si>
    <t>Subsistence sheep - Manure management - Solid storage</t>
  </si>
  <si>
    <t>Subsistence sheep - Manure management - Dailyspread</t>
  </si>
  <si>
    <t>Subsistence sheep - Manure management - Compost</t>
  </si>
  <si>
    <t>Subsistence sheep - Manure management - Manure with bedding</t>
  </si>
  <si>
    <t>Subsistence sheep - Manure management - Poultry manure without litter</t>
  </si>
  <si>
    <t>Subsistence sheep - Manure management - Poultry manure with litter</t>
  </si>
  <si>
    <t>Subsistence sheep - Manure management - Pasture, range and paddock</t>
  </si>
  <si>
    <t>Commercial goats - Manure management - Lagoon</t>
  </si>
  <si>
    <t>Commercial goats - Manure management - Liquid/slurry</t>
  </si>
  <si>
    <t>Commercial goats - Manure management - Drylot</t>
  </si>
  <si>
    <t>Commercial goats - Manure management - Solid storage</t>
  </si>
  <si>
    <t>Commercial goats - Manure management - Dailyspread</t>
  </si>
  <si>
    <t>Commercial goats - Manure management - Compost</t>
  </si>
  <si>
    <t>Commercial goats - Manure management - Manure with bedding</t>
  </si>
  <si>
    <t>Commercial goats - Manure management - Poultry manure without litter</t>
  </si>
  <si>
    <t>Commercial goats - Manure management - Poultry manure with litter</t>
  </si>
  <si>
    <t>Commercial goats - Manure management - Pasture, range and paddock</t>
  </si>
  <si>
    <t>Subsistence goats - Manure management - Lagoon</t>
  </si>
  <si>
    <t>Subsistence goats - Manure management - Liquid/slurry</t>
  </si>
  <si>
    <t>Subsistence goats - Manure management - Drylot</t>
  </si>
  <si>
    <t>Subsistence goats - Manure management - Solid storage</t>
  </si>
  <si>
    <t>Subsistence goats - Manure management - Dailyspread</t>
  </si>
  <si>
    <t>Subsistence goats - Manure management - Compost</t>
  </si>
  <si>
    <t>Subsistence goats - Manure management - Manure with bedding</t>
  </si>
  <si>
    <t>Subsistence goats - Manure management - Poultry manure without litter</t>
  </si>
  <si>
    <t>Subsistence goats - Manure management - Poultry manure with litter</t>
  </si>
  <si>
    <t>Subsistence goats - Manure management - Pasture, range and paddock</t>
  </si>
  <si>
    <t>Horses - Manure management - Lagoon</t>
  </si>
  <si>
    <t>Horses - Manure management - Liquid/slurry</t>
  </si>
  <si>
    <t>Horses - Manure management - Drylot</t>
  </si>
  <si>
    <t>Horses - Manure management - Solid storage</t>
  </si>
  <si>
    <t>Horses - Manure management - Dailyspread</t>
  </si>
  <si>
    <t>Horses - Manure management - Compost</t>
  </si>
  <si>
    <t>Horses - Manure management - Manure with bedding</t>
  </si>
  <si>
    <t>Horses - Manure management - Poultry manure without litter</t>
  </si>
  <si>
    <t>Horses - Manure management - Poultry manure with litter</t>
  </si>
  <si>
    <t>Horses - Manure management - Pasture, range and paddock</t>
  </si>
  <si>
    <t>Mules &amp; Asses - Manure management - Lagoon</t>
  </si>
  <si>
    <t>Mules &amp; Asses - Manure management - Liquid/slurry</t>
  </si>
  <si>
    <t>Mules &amp; Asses - Manure management - Drylot</t>
  </si>
  <si>
    <t>Mules &amp; Asses - Manure management - Solid storage</t>
  </si>
  <si>
    <t>Mules &amp; Asses - Manure management - Dailyspread</t>
  </si>
  <si>
    <t>Mules &amp; Asses - Manure management - Compost</t>
  </si>
  <si>
    <t>Mules &amp; Asses - Manure management - Manure with bedding</t>
  </si>
  <si>
    <t>Mules &amp; Asses - Manure management - Poultry manure without litter</t>
  </si>
  <si>
    <t>Mules &amp; Asses - Manure management - Poultry manure with litter</t>
  </si>
  <si>
    <t>Mules &amp; Asses - Manure management - Pasture, range and paddock</t>
  </si>
  <si>
    <t>Commercial swine - Manure management - Lagoon</t>
  </si>
  <si>
    <t>Commercial swine - Manure management - Liquid/slurry</t>
  </si>
  <si>
    <t>Commercial swine - Manure management - Drylot</t>
  </si>
  <si>
    <t>Commercial swine - Manure management - Solid storage</t>
  </si>
  <si>
    <t>Commercial swine - Manure management - Dailyspread</t>
  </si>
  <si>
    <t>Commercial swine - Manure management - Compost</t>
  </si>
  <si>
    <t>Commercial swine - Manure management - Manure with bedding</t>
  </si>
  <si>
    <t>Commercial swine - Manure management - Poultry manure without litter</t>
  </si>
  <si>
    <t>Commercial swine - Manure management - Poultry manure with litter</t>
  </si>
  <si>
    <t>Commercial swine - Manure management - Pasture, range and paddock</t>
  </si>
  <si>
    <t>Subsistence swine - Manure management - Lagoon</t>
  </si>
  <si>
    <t>Subsistence swine - Manure management - Liquid/slurry</t>
  </si>
  <si>
    <t>Subsistence swine - Manure management - Drylot</t>
  </si>
  <si>
    <t>Subsistence swine - Manure management - Solid storage</t>
  </si>
  <si>
    <t>Subsistence swine - Manure management - Dailyspread</t>
  </si>
  <si>
    <t>Subsistence swine - Manure management - Compost</t>
  </si>
  <si>
    <t>Subsistence swine - Manure management - Manure with bedding</t>
  </si>
  <si>
    <t>Subsistence swine - Manure management - Poultry manure without litter</t>
  </si>
  <si>
    <t>Subsistence swine - Manure management - Poultry manure with litter</t>
  </si>
  <si>
    <t>Subsistence swine - Manure management - Pasture, range and paddock</t>
  </si>
  <si>
    <t>Commercial layers - Manure management - Lagoon</t>
  </si>
  <si>
    <t>Commercial layers - Manure management - Liquid/slurry</t>
  </si>
  <si>
    <t>Commercial layers - Manure management - Drylot</t>
  </si>
  <si>
    <t>Commercial layers - Manure management - Solid storage</t>
  </si>
  <si>
    <t>Commercial layers - Manure management - Dailyspread</t>
  </si>
  <si>
    <t>Commercial layers - Manure management - Compost</t>
  </si>
  <si>
    <t>Commercial layers - Manure management - Manure with bedding</t>
  </si>
  <si>
    <t>Commercial layers - Manure management - Poultry manure without litter</t>
  </si>
  <si>
    <t>Commercial layers - Manure management - Poultry manure with litter</t>
  </si>
  <si>
    <t>Commercial layers - Manure management - Pasture, range and paddock</t>
  </si>
  <si>
    <t>Commercial broilers - Manure management - Lagoon</t>
  </si>
  <si>
    <t>Commercial broilers - Manure management - Liquid/slurry</t>
  </si>
  <si>
    <t>Commercial broilers - Manure management - Drylot</t>
  </si>
  <si>
    <t>Commercial broilers - Manure management - Solid storage</t>
  </si>
  <si>
    <t>Commercial broilers - Manure management - Dailyspread</t>
  </si>
  <si>
    <t>Commercial broilers - Manure management - Compost</t>
  </si>
  <si>
    <t>Commercial broilers - Manure management - Manure with bedding</t>
  </si>
  <si>
    <t>Commercial broilers - Manure management - Poultry manure without litter</t>
  </si>
  <si>
    <t>Commercial broilers - Manure management - Poultry manure with litter</t>
  </si>
  <si>
    <t>Commercial broilers - Manure management - Pasture, range and paddock</t>
  </si>
  <si>
    <t>Subsistence layers - Manure management - Lagoon</t>
  </si>
  <si>
    <t>Subsistence layers - Manure management - Liquid/slurry</t>
  </si>
  <si>
    <t>Subsistence layers - Manure management - Drylot</t>
  </si>
  <si>
    <t>Subsistence layers - Manure management - Solid storage</t>
  </si>
  <si>
    <t>Subsistence layers - Manure management - Dailyspread</t>
  </si>
  <si>
    <t>Subsistence layers - Manure management - Compost</t>
  </si>
  <si>
    <t>Subsistence layers - Manure management - Manure with bedding</t>
  </si>
  <si>
    <t>Subsistence layers - Manure management - Poultry manure without litter</t>
  </si>
  <si>
    <t>Subsistence layers - Manure management - Poultry manure with litter</t>
  </si>
  <si>
    <t>Subsistence layers - Manure management - Pasture, range and paddock</t>
  </si>
  <si>
    <t>Subsistence broilers - Manure management - Lagoon</t>
  </si>
  <si>
    <t>Subsistence broilers - Manure management - Liquid/slurry</t>
  </si>
  <si>
    <t>Subsistence broilers - Manure management - Drylot</t>
  </si>
  <si>
    <t>Subsistence broilers - Manure management - Solid storage</t>
  </si>
  <si>
    <t>Subsistence broilers - Manure management - Dailyspread</t>
  </si>
  <si>
    <t>Subsistence broilers - Manure management - Compost</t>
  </si>
  <si>
    <t>Subsistence broilers - Manure management - Manure with bedding</t>
  </si>
  <si>
    <t>Subsistence broilers - Manure management - Poultry manure without litter</t>
  </si>
  <si>
    <t>Subsistence broilers - Manure management - Poultry manure with litter</t>
  </si>
  <si>
    <t>Subsistence broilers - Manure management - Pasture, range and paddock</t>
  </si>
  <si>
    <t>Manure N and organic inputs</t>
  </si>
  <si>
    <t>Gg CO2e</t>
  </si>
  <si>
    <t>Enteric</t>
  </si>
  <si>
    <t>Manure CH4</t>
  </si>
  <si>
    <t>Manure N2O</t>
  </si>
  <si>
    <t>Biomass burning CH4</t>
  </si>
  <si>
    <t>Biomass burning N2O</t>
  </si>
  <si>
    <t>Urea</t>
  </si>
  <si>
    <t>Direct N2O</t>
  </si>
  <si>
    <t>Indirect N2O from MM</t>
  </si>
  <si>
    <t>Indirect N2O from MS</t>
  </si>
  <si>
    <t>FF</t>
  </si>
  <si>
    <t>OO</t>
  </si>
  <si>
    <t>Ft</t>
  </si>
  <si>
    <t>Fw</t>
  </si>
  <si>
    <t>Fp</t>
  </si>
  <si>
    <t>Cnp</t>
  </si>
  <si>
    <t>Cp</t>
  </si>
  <si>
    <t>Co</t>
  </si>
  <si>
    <t>Cv</t>
  </si>
  <si>
    <t>Cs</t>
  </si>
  <si>
    <t>GG</t>
  </si>
  <si>
    <t>Gs</t>
  </si>
  <si>
    <t>WW</t>
  </si>
  <si>
    <t>SS</t>
  </si>
  <si>
    <t>Sm</t>
  </si>
  <si>
    <t>Ob</t>
  </si>
  <si>
    <t>Mitigation levers</t>
  </si>
  <si>
    <t>3A2 Manure management (N2O)</t>
  </si>
  <si>
    <t>Agricultural emission projections - Baseline</t>
  </si>
  <si>
    <t>Compost N application</t>
  </si>
  <si>
    <t>Crop residue N application</t>
  </si>
  <si>
    <t>Crop residue N</t>
  </si>
  <si>
    <t>Conservation agriculture area</t>
  </si>
  <si>
    <t>kg/capita</t>
  </si>
  <si>
    <t>Lamb and chevon</t>
  </si>
  <si>
    <t>BFAP projections data</t>
  </si>
  <si>
    <t>Chicken production (BFAP)</t>
  </si>
  <si>
    <t>Chicken consumption (BFAP)</t>
  </si>
  <si>
    <t>Chicken production (model)</t>
  </si>
  <si>
    <t>Chicken consumption (model)</t>
  </si>
  <si>
    <t>Egg production (BFAP)</t>
  </si>
  <si>
    <t>Egg consumption (BFAP)</t>
  </si>
  <si>
    <t>Egg production (model)</t>
  </si>
  <si>
    <t>Egg consumption (model)</t>
  </si>
  <si>
    <t>Beef production (BFAP)</t>
  </si>
  <si>
    <t>Beef consumption (BFAP)</t>
  </si>
  <si>
    <t>Beef production (model)</t>
  </si>
  <si>
    <t>Beef consumption (model)</t>
  </si>
  <si>
    <t>Pork production (BFAP)</t>
  </si>
  <si>
    <t>Pork Domestic Use (BFAP)</t>
  </si>
  <si>
    <t>Pork production (model)</t>
  </si>
  <si>
    <t>Pork Domestic Use (model)</t>
  </si>
  <si>
    <t>Fluid milk production (BFAP)</t>
  </si>
  <si>
    <t>Fluid milk fresh utilization (BFAP)</t>
  </si>
  <si>
    <t>Fluid Milk factory utilization (BFAP)</t>
  </si>
  <si>
    <t>Milk production (model)</t>
  </si>
  <si>
    <t>Milk consumption (model)</t>
  </si>
  <si>
    <t>Sheep meat production (BFAP)</t>
  </si>
  <si>
    <t>Sheep meat domestic Use (BFAP)</t>
  </si>
  <si>
    <t>Sheep meat production (model)</t>
  </si>
  <si>
    <t>Sheep meat domestic Use (model)</t>
  </si>
  <si>
    <t>Name</t>
  </si>
  <si>
    <t>Agriculture model_v1.5</t>
  </si>
  <si>
    <t>File details</t>
  </si>
  <si>
    <t>Last modified by</t>
  </si>
  <si>
    <t>Date</t>
  </si>
  <si>
    <t>LS</t>
  </si>
  <si>
    <t>Worksheet details</t>
  </si>
  <si>
    <t>20-06-2020</t>
  </si>
  <si>
    <t>Aggregtaed EF</t>
  </si>
  <si>
    <t>Function</t>
  </si>
  <si>
    <t>This contains a list of the IPCC categrioes and the levels. These are referred to throughout the worksheet.</t>
  </si>
  <si>
    <t>Colour coding</t>
  </si>
  <si>
    <t>Calculation</t>
  </si>
  <si>
    <t>Linked</t>
  </si>
  <si>
    <t>Coefficient</t>
  </si>
  <si>
    <t>Linked to another spreadsheet</t>
  </si>
  <si>
    <t>Data that is input into the model. In this case it is the drivers and then the activity data for the inventory for 1990-2017.</t>
  </si>
  <si>
    <t>Assumption</t>
  </si>
  <si>
    <t>Agriculture model_v1.6</t>
  </si>
  <si>
    <t>Cleaned up the model and took out any unnecessary information</t>
  </si>
  <si>
    <t>Conservation agriculture involves mulching which is the incorporation of crop residues into the soil. If more crop residues are used there would be an increase in crop residue emissions, and a reduction in inorgonic fertiliser and other compost use.</t>
  </si>
  <si>
    <t>Mitigation action: Conservation agriculture</t>
  </si>
  <si>
    <t>Mitigation action: Biodigesters</t>
  </si>
  <si>
    <t>IPCC default</t>
  </si>
  <si>
    <t>Constants from inventory</t>
  </si>
  <si>
    <t>Comparison with 2017 inventory</t>
  </si>
  <si>
    <t>Value</t>
  </si>
  <si>
    <t>Forest remaining forest land</t>
  </si>
  <si>
    <t>ton C</t>
  </si>
  <si>
    <t>NO</t>
  </si>
  <si>
    <t>Wetland remaining wetland</t>
  </si>
  <si>
    <t>C:N ratio for forest land converted to cropland</t>
  </si>
  <si>
    <t>C:N ratio for grassland converted to cropland</t>
  </si>
  <si>
    <t>C:N ratio of cropland remaining cropland</t>
  </si>
  <si>
    <t>C:N ratio for other land use types and conversions</t>
  </si>
  <si>
    <t>Total agriculture (model)</t>
  </si>
  <si>
    <t>Percentage difference</t>
  </si>
  <si>
    <t>These are all the constant factors in the equations.</t>
  </si>
  <si>
    <t>Currently there are no mitigation actions included for the agriculture sector as there are no policy targets for this component (see further discussion in the Mitigation scenario worksheet).</t>
  </si>
  <si>
    <t>Emission factors required in the calculations.</t>
  </si>
  <si>
    <t>Factors are taken from inventory, but in many cases the inventory EF were aggregated (see Aggregated EF for calculations) to reduce complexity.</t>
  </si>
  <si>
    <t>This is where the inventory emission factors are along with data for calculating the weighted EF.</t>
  </si>
  <si>
    <t>Worksheet where emisions are calculated.</t>
  </si>
  <si>
    <t>Summary of emissions.</t>
  </si>
  <si>
    <t>21-06-2020</t>
  </si>
  <si>
    <t>Livestock emissions (modelled)</t>
  </si>
  <si>
    <t>Livestock emissions (2017 inventory)</t>
  </si>
  <si>
    <t>Aggregated non-CO2 emissions (modelled)</t>
  </si>
  <si>
    <t>Aggregated non-CO2 emissions (2017 inventory)</t>
  </si>
  <si>
    <t>Biomass burning CH4 (inventory)</t>
  </si>
  <si>
    <t>Biomass burning N2O (inventory)</t>
  </si>
  <si>
    <t>Liming (inventory)</t>
  </si>
  <si>
    <t>Urea (inventory)</t>
  </si>
  <si>
    <t>Direct N2O (inventory)</t>
  </si>
  <si>
    <t>Indirect N2O from MS (inventory)</t>
  </si>
  <si>
    <t>Indirect N2O from MM (inventory)</t>
  </si>
  <si>
    <t>Billion</t>
  </si>
  <si>
    <t>Population number from Faaiqa</t>
  </si>
  <si>
    <t>Maize consumption (human)</t>
  </si>
  <si>
    <t>Sorghum consumption (human)</t>
  </si>
  <si>
    <t>1990-2017</t>
  </si>
  <si>
    <t>TMR - Manure management - Anaerobic digester</t>
  </si>
  <si>
    <t>Pasture - Manure management - Anaerobic biodigester</t>
  </si>
  <si>
    <t>Non-lactating - Manure management - Anaerobic biodigesters</t>
  </si>
  <si>
    <t>Subsistence cattle - Manure management - Anaerobic biodigesters</t>
  </si>
  <si>
    <t>Feedlot - Manure management - Anaerobic biodigesters</t>
  </si>
  <si>
    <t>Commercial sheep - Manure management - Anaerobic biodigesters</t>
  </si>
  <si>
    <t>Subsistence sheep - Manure management - Anaerobic biodigesters</t>
  </si>
  <si>
    <t>Commercial goats - Manure management - Anaerobic biodigesters</t>
  </si>
  <si>
    <t>Subsistence goats - Manure management - Anaerobic biodigesters</t>
  </si>
  <si>
    <t>Horses - Manure management - Anaerobic biodigesters</t>
  </si>
  <si>
    <t>Mules &amp; Asses - Manure management - Anaerobic biodigesters</t>
  </si>
  <si>
    <t>Commercial swine - Manure management - Anaerobic biodigesters</t>
  </si>
  <si>
    <t>Subsistence swine - Manure management - Anaerobic biodigesters</t>
  </si>
  <si>
    <t>Commercial layers - Manure management - Anaerobic biodigesters</t>
  </si>
  <si>
    <t>Commercial broilers - Manure management - Anaerobic biodigesters</t>
  </si>
  <si>
    <t>Subsistence layers - Manure management - Anaerobic biodigesters</t>
  </si>
  <si>
    <t>Subsistence broilers - Manure management - Anaerobic biodigesters</t>
  </si>
  <si>
    <t>Anaerobic biodigesters</t>
  </si>
  <si>
    <t>Commercial cattle - Manure management - Anaerobic digesters</t>
  </si>
  <si>
    <t>Dairy cattle manure management</t>
  </si>
  <si>
    <t>Other cattle manure management</t>
  </si>
  <si>
    <t>Sheep manure management</t>
  </si>
  <si>
    <t>Goat manure management</t>
  </si>
  <si>
    <t>Horse and mule manure management</t>
  </si>
  <si>
    <t>Swine manure management</t>
  </si>
  <si>
    <t>Poultry manure management</t>
  </si>
  <si>
    <t>Biodigester will driver manure away from other manure management practices and thereby reduce manure management emissions. Assumed that only manure from feedlots, commercial swine farms and poultry farms are likeley to be used for biodigesters due to the type of manure and the quantity.</t>
  </si>
  <si>
    <t>Most likely livestock for anaerobic biodigesters are highlighted in pink</t>
  </si>
  <si>
    <t>Check total adds to 100</t>
  </si>
  <si>
    <t xml:space="preserve">These are just intermediate calculation outputs where some output checks and verification can be done. </t>
  </si>
  <si>
    <t>These are the factors related to mitigation actions that would need to be inut into the model to obtain reducton estimates.</t>
  </si>
  <si>
    <t>Mitigation drivers</t>
  </si>
  <si>
    <t>Emissions</t>
  </si>
  <si>
    <t>Emission summary</t>
  </si>
  <si>
    <t>Land converted to forest</t>
  </si>
  <si>
    <t>Land converted to croplands</t>
  </si>
  <si>
    <t>Land converted to grasslands</t>
  </si>
  <si>
    <t>Land converted to wetlands</t>
  </si>
  <si>
    <t>Lands convertde to settlements</t>
  </si>
  <si>
    <t>Lands converted to other lands</t>
  </si>
  <si>
    <t>Land converted to wetland</t>
  </si>
  <si>
    <t>Land converted to other lands</t>
  </si>
  <si>
    <t>CO2toC</t>
  </si>
  <si>
    <t>Gg to tonne</t>
  </si>
  <si>
    <t>NOTE: There are currently no mitigation activities included for agriculture as there are no policies or targets. Have incorportaed digesters incase there is a need for a link with waste - perhaps there is a waste/energy target related to this? There is also very little data on the percentage of manure that is managed that is diverted to digesters.</t>
  </si>
  <si>
    <t>Agriculture model_v1.7</t>
  </si>
  <si>
    <t>27-06-2020</t>
  </si>
  <si>
    <t>Added in manure management under mitigation drivers; added all links to driver data to make it more active; combined calculated drivers with intermediate calculations.</t>
  </si>
  <si>
    <t>NOTES</t>
  </si>
  <si>
    <r>
      <t xml:space="preserve">Currently 1990-2027 data from inventory, then projections take over and are driven by the various drivers. </t>
    </r>
    <r>
      <rPr>
        <b/>
        <i/>
        <sz val="11"/>
        <color theme="1"/>
        <rFont val="Calibri"/>
        <family val="2"/>
        <scheme val="minor"/>
      </rPr>
      <t>NOTE: there are some links in this sheet to the Land model so need to check they are linked.</t>
    </r>
  </si>
  <si>
    <t>Agriculture model_v1.8</t>
  </si>
  <si>
    <t>29-06-2020</t>
  </si>
  <si>
    <t>Fixed problem with FSOM values.</t>
  </si>
  <si>
    <t>Growth from StatsSA</t>
  </si>
  <si>
    <t>Equations for calculations</t>
  </si>
  <si>
    <t>Wealth (GDP)</t>
  </si>
  <si>
    <t>GDP/capita</t>
  </si>
  <si>
    <t>GDP</t>
  </si>
  <si>
    <t>Corrected based on StatSA data</t>
  </si>
  <si>
    <t>Population (head)</t>
  </si>
  <si>
    <t xml:space="preserve">Sorghum area </t>
  </si>
  <si>
    <t>Inorganic N</t>
  </si>
  <si>
    <t>Meat production</t>
  </si>
  <si>
    <t>Head/t</t>
  </si>
  <si>
    <t>Lamb production efficiency</t>
  </si>
  <si>
    <t>Goat production efficiency</t>
  </si>
  <si>
    <t>Pork production efficiency</t>
  </si>
  <si>
    <t>Agriculture model_v1.9</t>
  </si>
  <si>
    <t>09-07-2020</t>
  </si>
  <si>
    <t>Fixed problem with GDP jump between 2011 and 2012.</t>
  </si>
  <si>
    <t>Agriculture model_v1.10</t>
  </si>
  <si>
    <t>11-07-2020</t>
  </si>
  <si>
    <t>Agriculture model_v1.11</t>
  </si>
  <si>
    <t>Made adjustments to allow model to run from 2012 on the drivers, and added some levers in the Constants worksheet.</t>
  </si>
  <si>
    <t>Intermediate calculations</t>
  </si>
  <si>
    <t>These are the main drivers - GDP and population.</t>
  </si>
  <si>
    <t>Currently it has the population sent to LS by Faaiqa, and the GDP data was Faaiqu and prior to 2012 GDP data was adjusted and extrapolated using growth raes from StatsSA data.</t>
  </si>
  <si>
    <t>Relationships</t>
  </si>
  <si>
    <t>This is where the relationship for the calculations are determined. It also allows input data and activity data from te inventory to be incorporated, then the intermediate calculation file allows for the model to run on drivers from 2012.</t>
  </si>
  <si>
    <t>Activity data required for calculations. This is where livestock population data can be found.</t>
  </si>
  <si>
    <t>Tidied worksheets up and updated notes.</t>
  </si>
  <si>
    <t>Fraction commercial sheep</t>
  </si>
  <si>
    <t>Fraction commercial goats</t>
  </si>
  <si>
    <t>Fraction commercial swine</t>
  </si>
  <si>
    <t>Egg production efficiency</t>
  </si>
  <si>
    <t>Fraction commercial layers</t>
  </si>
  <si>
    <t>Chicken production efficiency</t>
  </si>
  <si>
    <t>Fraction commercial broilers</t>
  </si>
  <si>
    <t>Milk production efficiency</t>
  </si>
  <si>
    <t>Pasture fraction</t>
  </si>
  <si>
    <t>Reference</t>
  </si>
  <si>
    <t>Chevon consumption efficiency</t>
  </si>
  <si>
    <t>Commercial cattle fraction</t>
  </si>
  <si>
    <t>Feedlot production</t>
  </si>
  <si>
    <t>Other cattle production</t>
  </si>
  <si>
    <t>Other cattle production efficiency</t>
  </si>
  <si>
    <t>Feedlot fraction of production</t>
  </si>
  <si>
    <t>Feedlot production efficiency</t>
  </si>
  <si>
    <t>Number of days in a feedlot</t>
  </si>
  <si>
    <t>Days</t>
  </si>
  <si>
    <t>Feed conversion factors - Dairy</t>
  </si>
  <si>
    <t>Feed conversion factors - Cattle</t>
  </si>
  <si>
    <t>Feed conversion factors - Sheep</t>
  </si>
  <si>
    <t>Feed conversion factors - Pigs</t>
  </si>
  <si>
    <t>Feed conversion factors - Layers</t>
  </si>
  <si>
    <t>Feed conversion factors - Broilers</t>
  </si>
  <si>
    <t>Maize for Dairy</t>
  </si>
  <si>
    <t>Maize for Cattle</t>
  </si>
  <si>
    <t>Maize for Sheep</t>
  </si>
  <si>
    <t>Maize for Pigs</t>
  </si>
  <si>
    <t>Maize for Layers</t>
  </si>
  <si>
    <t>Maize for Broilers</t>
  </si>
  <si>
    <t>Maize feed fraction - Dairy</t>
  </si>
  <si>
    <t>Maize feed fraction - Cattle</t>
  </si>
  <si>
    <t>Maize feed fraction - Sheep</t>
  </si>
  <si>
    <t>Maize feed fraction - Pigs</t>
  </si>
  <si>
    <t>Maize feed fraction - Layers</t>
  </si>
  <si>
    <t>Maize feed fraction - Broilers</t>
  </si>
  <si>
    <t>Lamb and chevon production</t>
  </si>
  <si>
    <t>Maize consumption (feed)</t>
  </si>
  <si>
    <t>Maize consumption (humans)</t>
  </si>
  <si>
    <t>Total maize consumption (feed)</t>
  </si>
  <si>
    <t xml:space="preserve">Maize production </t>
  </si>
  <si>
    <t>Levers</t>
  </si>
  <si>
    <t>Levers and variables</t>
  </si>
  <si>
    <t>Sorghum consumption (feed)</t>
  </si>
  <si>
    <t>This sheet has some variables that can be changed.</t>
  </si>
  <si>
    <t>Agriculture model_v1.12</t>
  </si>
  <si>
    <t>16-07-2020</t>
  </si>
  <si>
    <t>Adjusted sme of the relationships and added more detail to feedlots.</t>
  </si>
  <si>
    <t>Fraction of total lime</t>
  </si>
  <si>
    <t>Lime application rate - maize</t>
  </si>
  <si>
    <t>Lime application rate - sorghum</t>
  </si>
  <si>
    <t>Lime application rate - wheat</t>
  </si>
  <si>
    <t>rdim</t>
  </si>
  <si>
    <t>cdim</t>
  </si>
  <si>
    <t>dim</t>
  </si>
  <si>
    <t>par</t>
  </si>
  <si>
    <t>coal</t>
  </si>
  <si>
    <t>COM</t>
  </si>
  <si>
    <t>cp</t>
  </si>
  <si>
    <t>elec</t>
  </si>
  <si>
    <t>fb</t>
  </si>
  <si>
    <t>hydr</t>
  </si>
  <si>
    <t>is</t>
  </si>
  <si>
    <t>mi</t>
  </si>
  <si>
    <t>nf</t>
  </si>
  <si>
    <t>nm</t>
  </si>
  <si>
    <t>ot</t>
  </si>
  <si>
    <t>petr</t>
  </si>
  <si>
    <t>pp</t>
  </si>
  <si>
    <t>tranlf</t>
  </si>
  <si>
    <t>tranlp</t>
  </si>
  <si>
    <t>trano</t>
  </si>
  <si>
    <t>POP</t>
  </si>
  <si>
    <t>AgriEmissions</t>
  </si>
  <si>
    <t>Feedlot weight</t>
  </si>
  <si>
    <t>kg</t>
  </si>
  <si>
    <t>Fraction maize residue left in field</t>
  </si>
  <si>
    <t>Fraction sorghum residue left in field</t>
  </si>
  <si>
    <t>Fraction wheat residue left in field</t>
  </si>
  <si>
    <t>Maize yield</t>
  </si>
  <si>
    <t>Sorghum yield</t>
  </si>
  <si>
    <t>Wheat yield</t>
  </si>
  <si>
    <t>Maize residue to yield ratio</t>
  </si>
  <si>
    <t>Sorghum residue to yield ratio</t>
  </si>
  <si>
    <t>Wheat residue to yield ratio</t>
  </si>
  <si>
    <t>Maize below ground residue to yield ratio</t>
  </si>
  <si>
    <t>Sorghum below ground residue to yield ratio</t>
  </si>
  <si>
    <t>Wheat below ground residue to yield ratio</t>
  </si>
  <si>
    <t>Maize dry matter fraction</t>
  </si>
  <si>
    <t>Sorghum dry mater fraction</t>
  </si>
  <si>
    <t>Wheat dry matter fraction</t>
  </si>
  <si>
    <t>Crop carbon fraction</t>
  </si>
  <si>
    <t>Crop N:C ratio</t>
  </si>
  <si>
    <t>Dressing fraction</t>
  </si>
  <si>
    <t>Dairy cattle total</t>
  </si>
  <si>
    <t>Corrected inventory</t>
  </si>
  <si>
    <t>Original inventory</t>
  </si>
  <si>
    <t>Livestock emissions (corrected 2017 inventory)</t>
  </si>
  <si>
    <t>Aggregated non-CO2 emissions (corrected 2017 inventory)</t>
  </si>
  <si>
    <t>Total agricuture (corrected 2017 inventory)</t>
  </si>
  <si>
    <t>White meat consumption</t>
  </si>
  <si>
    <t>White meat production</t>
  </si>
  <si>
    <t>Total agricuture (original inventory)</t>
  </si>
  <si>
    <t>(Gg CO2e)</t>
  </si>
  <si>
    <t>Agriculture baseline</t>
  </si>
  <si>
    <t>Agriculture net zero model output</t>
  </si>
  <si>
    <t>Mitigation activities for net zero</t>
  </si>
  <si>
    <t>Supporting data for net zero modelling</t>
  </si>
  <si>
    <t>Mitigation activity data</t>
  </si>
  <si>
    <t>Optimization of feed mix</t>
  </si>
  <si>
    <t>Forage management</t>
  </si>
  <si>
    <t>Feed additives</t>
  </si>
  <si>
    <t>Feed processing</t>
  </si>
  <si>
    <t>Variable</t>
  </si>
  <si>
    <t>DM percentage of fat in dairy cattle diet</t>
  </si>
  <si>
    <t>DM percentage of fat in feedlot cattle diet</t>
  </si>
  <si>
    <t>DM percentage of fat in commercial other cattle diet</t>
  </si>
  <si>
    <t>Enteric fermentation EF in feedlot cattle</t>
  </si>
  <si>
    <t>Enteric fermentation EF in commercial other cattle</t>
  </si>
  <si>
    <t>% increase in fat content in commercial other cattle diet</t>
  </si>
  <si>
    <t>% increase in fat content in feedlot cattle diet</t>
  </si>
  <si>
    <t>% increase in fat content in dairy cattle diet</t>
  </si>
  <si>
    <t>Enteric fermentation EF in TMR dairy cattle</t>
  </si>
  <si>
    <t>Enteric fermentation EF in pasture dairy cattle</t>
  </si>
  <si>
    <t>Enteric fermentation EF in non-lactating dairy cattle</t>
  </si>
  <si>
    <t>OFM</t>
  </si>
  <si>
    <t>Baseline</t>
  </si>
  <si>
    <t>FM</t>
  </si>
  <si>
    <t>FA</t>
  </si>
  <si>
    <t>FP</t>
  </si>
  <si>
    <t>GSB</t>
  </si>
  <si>
    <t>PET</t>
  </si>
  <si>
    <t>HdM</t>
  </si>
  <si>
    <t>HthM</t>
  </si>
  <si>
    <t>PQ</t>
  </si>
  <si>
    <t>NI</t>
  </si>
  <si>
    <t>NFM</t>
  </si>
  <si>
    <t>RM</t>
  </si>
  <si>
    <t>AD</t>
  </si>
  <si>
    <t>Com</t>
  </si>
  <si>
    <t>DS</t>
  </si>
  <si>
    <t>WM</t>
  </si>
  <si>
    <t>All FM</t>
  </si>
  <si>
    <t>All LM</t>
  </si>
  <si>
    <t>All PM</t>
  </si>
  <si>
    <t>All CM</t>
  </si>
  <si>
    <t>All MM</t>
  </si>
  <si>
    <t>All DM</t>
  </si>
  <si>
    <t>All feed management options</t>
  </si>
  <si>
    <t>Genetic selection</t>
  </si>
  <si>
    <t>Production efficiency technologies</t>
  </si>
  <si>
    <t>Herd management</t>
  </si>
  <si>
    <t>Health management</t>
  </si>
  <si>
    <t>Pasture quality</t>
  </si>
  <si>
    <t>Nitrogen inhibitors</t>
  </si>
  <si>
    <t>Nitrogen fertiliser management</t>
  </si>
  <si>
    <t>Residue management</t>
  </si>
  <si>
    <t>Anaerobic digestors</t>
  </si>
  <si>
    <t>Composting</t>
  </si>
  <si>
    <t>Diet shift</t>
  </si>
  <si>
    <t>Waste management</t>
  </si>
  <si>
    <t>All livestock management options</t>
  </si>
  <si>
    <t>All all pasture management options</t>
  </si>
  <si>
    <t>All cropland management options</t>
  </si>
  <si>
    <t>All manure management options</t>
  </si>
  <si>
    <t>All demand management options</t>
  </si>
  <si>
    <t>On</t>
  </si>
  <si>
    <t>Off</t>
  </si>
  <si>
    <t>MITIGATION LEVERS</t>
  </si>
  <si>
    <t>Fat suppliments</t>
  </si>
  <si>
    <t>FS</t>
  </si>
  <si>
    <t>TMR dairy cattle population affected by mitigation action</t>
  </si>
  <si>
    <t>Pasture dairy cattle population affected by mitigation action</t>
  </si>
  <si>
    <t>Non-lactating dairy cattle population affected by mitigation action</t>
  </si>
  <si>
    <t>Feedlot cattle population affected by mitigation action</t>
  </si>
  <si>
    <t>Fraction other commercial cattle population applying mitigation action</t>
  </si>
  <si>
    <t>Fraction dairy cattle population applying mitigation action</t>
  </si>
  <si>
    <t>Fraction feedlot cattle population apply mitigation action</t>
  </si>
  <si>
    <t>Other commercial cattle population affected by mitigation action</t>
  </si>
  <si>
    <t>Percentage of dairy population applying mitigation action</t>
  </si>
  <si>
    <t>Percentage of feedlot population applying mitigation action</t>
  </si>
  <si>
    <t>Percentage of commercial other cattle population applying mitigation action</t>
  </si>
  <si>
    <t>Percentage of commercial sheep population applying mitigation action</t>
  </si>
  <si>
    <t>Percentage of TMR dairy population applying mitigation action</t>
  </si>
  <si>
    <t>Commercial other cattle population applying mitigation action</t>
  </si>
  <si>
    <t>Commercial sheep population applying mitigation action</t>
  </si>
  <si>
    <t>Enteric fermentation Emissions</t>
  </si>
  <si>
    <t>GS</t>
  </si>
  <si>
    <t>Ym (%)</t>
  </si>
  <si>
    <t>GE (MJ/head/day)</t>
  </si>
  <si>
    <t>DMI (kg DM/d)</t>
  </si>
  <si>
    <t>CH4 yield (gCH4/kg DMI)</t>
  </si>
  <si>
    <t>Methane yield in feedlot cattle</t>
  </si>
  <si>
    <t>Methane yield in TMR cattle</t>
  </si>
  <si>
    <t>Fraction TMR dairy cattle population applying mitigation action</t>
  </si>
  <si>
    <t>Fraction feedlot cattle population applying mitigation action</t>
  </si>
  <si>
    <t>TMR dairy cattle population NOT affected by mitigation action</t>
  </si>
  <si>
    <t>Feedlot cattle population NOT affected by mitigation action</t>
  </si>
  <si>
    <t>Enteric fermentation EF in TMR dairy cattle (mitigation)</t>
  </si>
  <si>
    <t>Enteric fermentation EF in feedlot cattle (mitigation)</t>
  </si>
  <si>
    <t>Feed digestibility for pasture dairy cattle</t>
  </si>
  <si>
    <t>Feed digestibility for commercial other cattle</t>
  </si>
  <si>
    <t>Feed digestibility for subsistence other cattle</t>
  </si>
  <si>
    <t>Feed digestibility for commercial sheep</t>
  </si>
  <si>
    <t>Feed digestibility for subsistence sheep</t>
  </si>
  <si>
    <t>Feed digestibility for commercial goats</t>
  </si>
  <si>
    <t>Feed digestibility for subsistence goats</t>
  </si>
  <si>
    <t>Feed digestibility for TMR dairy cattle</t>
  </si>
  <si>
    <t>Feed digestibility for non-lactating dairy cattle</t>
  </si>
  <si>
    <t>Feed digestibility for feedlot cattle</t>
  </si>
  <si>
    <t>Assumption: A 10% reduction in digestibility leads to a 15% reduction in CH4 yield, so 5% reduction leads to 7.5% reduction in methane yield.</t>
  </si>
  <si>
    <t>Percentage of pasture dairy population applying mitigation action</t>
  </si>
  <si>
    <t>Percentage of non-lactating dairy population applying mitigation action</t>
  </si>
  <si>
    <t>Percentage of feedlot cattle population applying mitigation action</t>
  </si>
  <si>
    <t>Percentage of subsistence other cattle population applying mitigation action</t>
  </si>
  <si>
    <t>Percentage of subsistence sheep population applying mitigation action</t>
  </si>
  <si>
    <t>Percentage of subsistence goat population applying mitigation action</t>
  </si>
  <si>
    <t>Percentage of commercial goat population applying mitigation action</t>
  </si>
  <si>
    <t>CH4 yield for TMR dairy cattle</t>
  </si>
  <si>
    <t>CH4 yield for pasture dairy cattle</t>
  </si>
  <si>
    <t>CH4 yield for non-lactating dairy cattle</t>
  </si>
  <si>
    <t>CH4 yield for commercial other cattle</t>
  </si>
  <si>
    <t>CH4 yield for feedlot cattle</t>
  </si>
  <si>
    <t>CH4 yield for subsistence cattle</t>
  </si>
  <si>
    <t>CH4 yield for commercial sheep</t>
  </si>
  <si>
    <t>CH4 yield for subsistence sheep</t>
  </si>
  <si>
    <t>CH4 yield for commercial goats</t>
  </si>
  <si>
    <t>CH4 yield for subsistence goats</t>
  </si>
  <si>
    <t>DE for TMR dairy cattle</t>
  </si>
  <si>
    <t>DE for pasture dairy cattle</t>
  </si>
  <si>
    <t>DE for non-lactating dairy cattle</t>
  </si>
  <si>
    <t>DE for commercial other cattle</t>
  </si>
  <si>
    <t>DE for subsistence cattle</t>
  </si>
  <si>
    <t>DE for feedlot cattle</t>
  </si>
  <si>
    <t>DE for commercial sheep</t>
  </si>
  <si>
    <t>DE for subsistence sheep</t>
  </si>
  <si>
    <t>DE for commercial goats</t>
  </si>
  <si>
    <t>DE for subsistence goats</t>
  </si>
  <si>
    <t>Fraction pasture dairy cattle population applying mitigation action</t>
  </si>
  <si>
    <t>Fraction non-lactating dairy cattle population applying mitigation action</t>
  </si>
  <si>
    <t>Fraction commercial other cattle population applying mitigation action</t>
  </si>
  <si>
    <t>Fraction subsistence other cattle population applying mitigation action</t>
  </si>
  <si>
    <t>Fraction commercial sheep population applying mitigation action</t>
  </si>
  <si>
    <t>Fraction subsistence sheep population applying mitigation action</t>
  </si>
  <si>
    <t>Fraction commercial goats population applying mitigation action</t>
  </si>
  <si>
    <t>Fraction subsistence goats population applying mitigation action</t>
  </si>
  <si>
    <t>TMR dairy cattle population applying mitigation action</t>
  </si>
  <si>
    <t>Non-lactating dairy cattle population applying mitigation action</t>
  </si>
  <si>
    <t>Pasture dairy cattle population applying mitigation action</t>
  </si>
  <si>
    <t>Subsistence other cattle population applying mitigation action</t>
  </si>
  <si>
    <t>Feedlot cattle population applying mitigation action</t>
  </si>
  <si>
    <t>Subsistence sheep population applying mitigation action</t>
  </si>
  <si>
    <t>Commercial goats population applying mitigation action</t>
  </si>
  <si>
    <t>Subsistence goats population applying mitigation action</t>
  </si>
  <si>
    <t>TMR dairy cattle enteric EF</t>
  </si>
  <si>
    <t>Pasture dairy cattle enteric EF</t>
  </si>
  <si>
    <t>Non-lactating dairy cattle enteric EF</t>
  </si>
  <si>
    <t>Commercial other cattle enteric EF</t>
  </si>
  <si>
    <t>Subsistence other cattle enteric EF</t>
  </si>
  <si>
    <t>Feedlot cattle enteric EF</t>
  </si>
  <si>
    <t>Commercial sheep enteric EF</t>
  </si>
  <si>
    <t>Subsistence sheep enteric EF</t>
  </si>
  <si>
    <t>Commercial goats enteric EF</t>
  </si>
  <si>
    <t>Subsistence goats enteric EF</t>
  </si>
  <si>
    <t>TMR dairy cattle population NOT applying mitigation action</t>
  </si>
  <si>
    <t>Pasture dairy cattle population NOT applying mitigation action</t>
  </si>
  <si>
    <t>Non-lactating dairy cattle population NOT applying mitigation action</t>
  </si>
  <si>
    <t>Commercial other cattle population NOT applying mitigation action</t>
  </si>
  <si>
    <t>Subsistence other cattle population NOT applying mitigation action</t>
  </si>
  <si>
    <t>Feedlot cattle population NOT applying mitigation action</t>
  </si>
  <si>
    <t>Commercial sheep population NOT applying mitigation action</t>
  </si>
  <si>
    <t>Subsistence sheep population NOT applying mitigation action</t>
  </si>
  <si>
    <t>Commercial goats population NOT applying mitigation action</t>
  </si>
  <si>
    <t>Subsistence goats population NOT applying mitigation action</t>
  </si>
  <si>
    <t>Cattle</t>
  </si>
  <si>
    <t>Meat production efficiency</t>
  </si>
  <si>
    <t>Fraction milk production efficiency increase</t>
  </si>
  <si>
    <t>Pasture dairy cattle population NOT affected by mitigation action</t>
  </si>
  <si>
    <t>Non-lactating dairy cattle population NOT affected by mitigation action</t>
  </si>
  <si>
    <t>Other commercial cattle population NOT affected by mitigation action</t>
  </si>
  <si>
    <t>Percentage of inorganic N with inhibitors applied to soils</t>
  </si>
  <si>
    <t>Percentage of organic N with inhibitors applied to soils</t>
  </si>
  <si>
    <t>Nitrification inhibitors</t>
  </si>
  <si>
    <t>Fraction of inorganic N with inhibitors applied to soils</t>
  </si>
  <si>
    <t>Fraction of organic N with inhibitors applied to soils</t>
  </si>
  <si>
    <t>Inorganic direct N2O emission factor with inhibitor</t>
  </si>
  <si>
    <t>Organic direct N2O emission factor with inhibitor</t>
  </si>
  <si>
    <t>Manure direct N2O emission factor with inhibitor</t>
  </si>
  <si>
    <t>Indirect N2O emission factor (volatilisation) with inhibitor</t>
  </si>
  <si>
    <t>Indirect N2O emission factor (leaching) with inhibitor</t>
  </si>
  <si>
    <t>Percentage of manure N with inhibitors applied</t>
  </si>
  <si>
    <t>Fraction of manure N with inhibitors applied</t>
  </si>
  <si>
    <t>Synthetic</t>
  </si>
  <si>
    <t>Organic</t>
  </si>
  <si>
    <t>Inorganic N with inhibitors applied to soils</t>
  </si>
  <si>
    <t>Organic N with inhibitors applied to soils</t>
  </si>
  <si>
    <t>Inorganic N WITHOUT inhibitors applied to soils</t>
  </si>
  <si>
    <t>Organic N WITHOUT inhibitors applied to soils</t>
  </si>
  <si>
    <t>MM N applied with inhibitor - TMR</t>
  </si>
  <si>
    <t>MM N applied with inhibitor - Non-lactating</t>
  </si>
  <si>
    <t>MM N applied with inhibitor - Pasture</t>
  </si>
  <si>
    <t>MM N applied with inhibitor - Commercial cattle</t>
  </si>
  <si>
    <t>MM N applied with inhibitor - Feedlot</t>
  </si>
  <si>
    <t>MM N applied with inhibitor - Commercial sheep</t>
  </si>
  <si>
    <t>MM N applied with inhibitor - Commercial goats</t>
  </si>
  <si>
    <t>MM N applied with inhibitor - Commercial swine</t>
  </si>
  <si>
    <t>MM N applied with inhibitor - Commercial layers</t>
  </si>
  <si>
    <t>MM N applied with inhibitor - Commercial broilers</t>
  </si>
  <si>
    <t>MM N applied WITHOUT inhibitor - TMR</t>
  </si>
  <si>
    <t>MM N applied WITHOUT inhibitor - Pasture</t>
  </si>
  <si>
    <t>MM N applied WITHOUT inhibitor - Non-lactating</t>
  </si>
  <si>
    <t>MM N applied WITHOUT inhibitor - Commercial cattle</t>
  </si>
  <si>
    <t>MM N applied WITHOUT inhibitor - Feedlot</t>
  </si>
  <si>
    <t>MM N applied WITHOUT inhibitor - Commercial sheep</t>
  </si>
  <si>
    <t>MM N applied WITHOUT inhibitor - Commercial goats</t>
  </si>
  <si>
    <t>MM N applied WITHOUT inhibitor - Commercial swine</t>
  </si>
  <si>
    <t>MM N applied WITHOUT inhibitor - Commercial layers</t>
  </si>
  <si>
    <t>MM N applied WITHOUT inhibitor - Commercial broilers</t>
  </si>
  <si>
    <t xml:space="preserve"> - TMR</t>
  </si>
  <si>
    <t>MM emissions - TMR</t>
  </si>
  <si>
    <t xml:space="preserve"> - Pasture</t>
  </si>
  <si>
    <t>MM emissions - Pasture</t>
  </si>
  <si>
    <t xml:space="preserve"> - Non-lactating</t>
  </si>
  <si>
    <t>MM emissions - Non-lactating</t>
  </si>
  <si>
    <t xml:space="preserve"> - Commercial cattle</t>
  </si>
  <si>
    <t>MM emissions - Commercial cattle</t>
  </si>
  <si>
    <t xml:space="preserve"> - Subsistence cattle</t>
  </si>
  <si>
    <t>MM emissions - Subsistence cattle</t>
  </si>
  <si>
    <t xml:space="preserve"> - Feedlot</t>
  </si>
  <si>
    <t>MM emissions - Feedlot</t>
  </si>
  <si>
    <t xml:space="preserve"> - Commercial sheep</t>
  </si>
  <si>
    <t>MM emissions - Commercial sheep</t>
  </si>
  <si>
    <t xml:space="preserve"> - Subsistence sheep</t>
  </si>
  <si>
    <t>MM emissions - Subsistence sheep</t>
  </si>
  <si>
    <t xml:space="preserve"> - Commercial goats</t>
  </si>
  <si>
    <t>MM emissions - Commercial goats</t>
  </si>
  <si>
    <t xml:space="preserve"> - Subsistence goats</t>
  </si>
  <si>
    <t>MM emissions - Subsistence goats</t>
  </si>
  <si>
    <t xml:space="preserve"> - Horses</t>
  </si>
  <si>
    <t>MM emissions - Horses</t>
  </si>
  <si>
    <t xml:space="preserve"> - Mules &amp; Asses</t>
  </si>
  <si>
    <t>MM emissions - Mules &amp; Asses</t>
  </si>
  <si>
    <t xml:space="preserve"> - Commercial swine</t>
  </si>
  <si>
    <t>MM emissions - Commercial swine</t>
  </si>
  <si>
    <t xml:space="preserve"> - Subsistence swine</t>
  </si>
  <si>
    <t>MM emissions - Subsistence swine</t>
  </si>
  <si>
    <t xml:space="preserve"> - Commercial layers</t>
  </si>
  <si>
    <t>MM emissions - Commercial layers</t>
  </si>
  <si>
    <t xml:space="preserve"> - Commercial broilers</t>
  </si>
  <si>
    <t>MM emissions - Commercial broilers</t>
  </si>
  <si>
    <t>Volatilisation - Synthetic fertlisers</t>
  </si>
  <si>
    <t>Volatilisation - Organic fertilisers</t>
  </si>
  <si>
    <t>Volatilisation - Managed manure</t>
  </si>
  <si>
    <t>Leaching/runoff - Synthetic fertlisers</t>
  </si>
  <si>
    <t>Leaching/runoff - Organic fertilisers</t>
  </si>
  <si>
    <t>Leaching/runoff - Managed manure</t>
  </si>
  <si>
    <t>Leaching</t>
  </si>
  <si>
    <t>Leaching/runoff - Urine &amp; dung</t>
  </si>
  <si>
    <t>Leaching/runoff - crop residues</t>
  </si>
  <si>
    <t xml:space="preserve"> - FSOM - Forest remaining forest land</t>
  </si>
  <si>
    <t>Leaching/runoff - FSOM - Forest remaining forest land</t>
  </si>
  <si>
    <t xml:space="preserve"> - FSOM - Land converted to forest land</t>
  </si>
  <si>
    <t>Leaching/runoff - FSOM - Land converted to forest land</t>
  </si>
  <si>
    <t xml:space="preserve"> - FSOM - Cropland remaining cropland</t>
  </si>
  <si>
    <t>Leaching/runoff - FSOM - Cropland remaining cropland</t>
  </si>
  <si>
    <t xml:space="preserve"> - FSOM - Land converted to cropland</t>
  </si>
  <si>
    <t>Leaching/runoff - FSOM - Land converted to cropland</t>
  </si>
  <si>
    <t xml:space="preserve"> - FSOM - Grassland remaining grassland</t>
  </si>
  <si>
    <t>Leaching/runoff - FSOM - Grassland remaining grassland</t>
  </si>
  <si>
    <t xml:space="preserve"> - FSOM - Land converted to grassland</t>
  </si>
  <si>
    <t>Leaching/runoff - FSOM - Land converted to grassland</t>
  </si>
  <si>
    <t xml:space="preserve"> - FSOM - Wetland remaining wetland</t>
  </si>
  <si>
    <t>Leaching/runoff - FSOM - Wetland remaining wetland</t>
  </si>
  <si>
    <t xml:space="preserve"> - FSOM - Land converted to wetland</t>
  </si>
  <si>
    <t>Leaching/runoff - FSOM - Land converted to wetland</t>
  </si>
  <si>
    <t xml:space="preserve"> - FSOM - Settlements remaining settlements</t>
  </si>
  <si>
    <t>Leaching/runoff - FSOM - Settlements remaining settlements</t>
  </si>
  <si>
    <t xml:space="preserve"> - FSOM - Land converted to settlements</t>
  </si>
  <si>
    <t>Leaching/runoff - FSOM - Land converted to settlements</t>
  </si>
  <si>
    <t xml:space="preserve"> - FSOM - Other land remaining other land</t>
  </si>
  <si>
    <t>Leaching/runoff - FSOM - Other land remaining other land</t>
  </si>
  <si>
    <t xml:space="preserve"> - FSOM - Land converted to other lands</t>
  </si>
  <si>
    <t>Leaching/runoff - FSOM - Land converted to other lands</t>
  </si>
  <si>
    <t>Percentage of CH4 captured from lagoons/liquid/slurries</t>
  </si>
  <si>
    <t>Percentage of drylot manure diverted to biodigesters</t>
  </si>
  <si>
    <t>Fraction of CH4 captured from lagoons/liquid/slurries</t>
  </si>
  <si>
    <t>Fraction of drylot manure diverted to biodigesters</t>
  </si>
  <si>
    <t>TMR manure CH4 EF</t>
  </si>
  <si>
    <t>Pasture manure CH4 EF</t>
  </si>
  <si>
    <t>Feedlot manure CH4 EF</t>
  </si>
  <si>
    <t>Commercial swine manure CH4 EF</t>
  </si>
  <si>
    <t>Subsistence swine manure CH4 EF</t>
  </si>
  <si>
    <t>Layer manure CH4 EF</t>
  </si>
  <si>
    <t>Manure management Emissions</t>
  </si>
  <si>
    <t>BD</t>
  </si>
  <si>
    <t>Cattle MMCH4</t>
  </si>
  <si>
    <t>Swine MMCH4</t>
  </si>
  <si>
    <t>Poultry MMCH4</t>
  </si>
  <si>
    <t>Cattle MMN2O</t>
  </si>
  <si>
    <t>Swine MMN2O</t>
  </si>
  <si>
    <t>Poultry MMN2O</t>
  </si>
  <si>
    <t>Percentage of subsistence cattle manure that is collected</t>
  </si>
  <si>
    <t>Fraction subsistence cattle manure collected</t>
  </si>
  <si>
    <t>Subsistence cattle population using mitigation option</t>
  </si>
  <si>
    <t>Subsistence cattle population NOT using mitigation option</t>
  </si>
  <si>
    <t>Fraction reduction in N available</t>
  </si>
  <si>
    <t>U&amp;D emissions - TMR</t>
  </si>
  <si>
    <t>U&amp;D emissions - Pasture</t>
  </si>
  <si>
    <t>U&amp;D emissions - Non-lactating</t>
  </si>
  <si>
    <t>U&amp;D emissions - Commercial cattle</t>
  </si>
  <si>
    <t>U&amp;D emissions - Subsistence cattle</t>
  </si>
  <si>
    <t>U&amp;D emissions - Feedlot</t>
  </si>
  <si>
    <t>U&amp;D emissions - Commercial sheep</t>
  </si>
  <si>
    <t>U&amp;D emissions - Subsistence sheep</t>
  </si>
  <si>
    <t>U&amp;D emissions - Commercial goats</t>
  </si>
  <si>
    <t>U&amp;D emissions - Subsistence goats</t>
  </si>
  <si>
    <t>U&amp;D emissions - Horses</t>
  </si>
  <si>
    <t>U&amp;D emissions - Mules &amp; Asses</t>
  </si>
  <si>
    <t>U&amp;D emissions - Commercial swine</t>
  </si>
  <si>
    <t>U&amp;D emissions - Subsistence swine</t>
  </si>
  <si>
    <t>U&amp;D emissions - Commercial layers</t>
  </si>
  <si>
    <t>U&amp;D emissions - Commercial broilers</t>
  </si>
  <si>
    <t>Cultured meat</t>
  </si>
  <si>
    <t>Percentage of beef produced in the laboratory</t>
  </si>
  <si>
    <t>Percentage of lamb produced in the laboratory</t>
  </si>
  <si>
    <t>Percentage of pork produced in the laboratory</t>
  </si>
  <si>
    <t>Percentage of chicken produced in the laboratory</t>
  </si>
  <si>
    <t>Fraction of beef produced on laboratory</t>
  </si>
  <si>
    <t>Fraction of lamb produced on laboratory</t>
  </si>
  <si>
    <t>Fraction of pork produced on laboratory</t>
  </si>
  <si>
    <t>Fraction of chicken produced on laboratory</t>
  </si>
  <si>
    <t>Volatilisation - Urine &amp; dung</t>
  </si>
  <si>
    <t xml:space="preserve"> - Forest remaining forest land</t>
  </si>
  <si>
    <t>FSOM - Forest remaining forest land</t>
  </si>
  <si>
    <t xml:space="preserve"> - Land converted to forest land</t>
  </si>
  <si>
    <t>FSOM - Land converted to forest land</t>
  </si>
  <si>
    <t xml:space="preserve"> - Cropland remaining cropland</t>
  </si>
  <si>
    <t>FSOM - Cropland remaining cropland</t>
  </si>
  <si>
    <t xml:space="preserve"> - Land converted to cropland</t>
  </si>
  <si>
    <t>FSOM - Land converted to cropland</t>
  </si>
  <si>
    <t xml:space="preserve"> - Grassland remaining grassland</t>
  </si>
  <si>
    <t>FSOM - Grassland remaining grassland</t>
  </si>
  <si>
    <t xml:space="preserve"> - Land converted to grassland</t>
  </si>
  <si>
    <t>FSOM - Land converted to grassland</t>
  </si>
  <si>
    <t xml:space="preserve"> - Wetland remaining wetland</t>
  </si>
  <si>
    <t>FSOM - Wetland remaining wetland</t>
  </si>
  <si>
    <t xml:space="preserve"> - Land converted to wetland</t>
  </si>
  <si>
    <t>FSOM - Land converted to wetland</t>
  </si>
  <si>
    <t xml:space="preserve"> - Settlements remaining settlements</t>
  </si>
  <si>
    <t>FSOM - Settlements remaining settlements</t>
  </si>
  <si>
    <t xml:space="preserve"> - Land converted to settlements</t>
  </si>
  <si>
    <t>FSOM - Land converted to settlements</t>
  </si>
  <si>
    <t xml:space="preserve"> - Other land remaining other land</t>
  </si>
  <si>
    <t>FSOM - Other land remaining other land</t>
  </si>
  <si>
    <t xml:space="preserve"> - Land converted to other lands</t>
  </si>
  <si>
    <t>FSOM - Land converted to other lands</t>
  </si>
  <si>
    <t>Volatilisation - TMR</t>
  </si>
  <si>
    <t>Volatilisation - Pasture</t>
  </si>
  <si>
    <t>Volatilisation - Non-lactating</t>
  </si>
  <si>
    <t>Volatilisation - Commercial cattle</t>
  </si>
  <si>
    <t>Volatilisation - Subsistence cattle</t>
  </si>
  <si>
    <t>Volatilisation - Feedlot</t>
  </si>
  <si>
    <t>Volatilisation - Commercial sheep</t>
  </si>
  <si>
    <t>Volatilisation - Subsistence sheep</t>
  </si>
  <si>
    <t>Volatilisation - Commercial goats</t>
  </si>
  <si>
    <t>Volatilisation - Subsistence goats</t>
  </si>
  <si>
    <t>Volatilisation - Horses</t>
  </si>
  <si>
    <t>Volatilisation - Mules &amp; Asses</t>
  </si>
  <si>
    <t>Volatilisation - Commercial swine</t>
  </si>
  <si>
    <t>Volatilisation - Subsistence swine</t>
  </si>
  <si>
    <t>Volatilisation - Commercial layers</t>
  </si>
  <si>
    <t>Volatilisation - Commercial broilers</t>
  </si>
  <si>
    <t>Leaching/runoff - TMR</t>
  </si>
  <si>
    <t>Leaching/runoff - Pasture</t>
  </si>
  <si>
    <t>Leaching/runoff - Non-lactating</t>
  </si>
  <si>
    <t>Leaching/runoff - Commercial cattle</t>
  </si>
  <si>
    <t>Leaching/runoff - Subsistence cattle</t>
  </si>
  <si>
    <t>Leaching/runoff - Feedlot</t>
  </si>
  <si>
    <t>Leaching/runoff - Commercial sheep</t>
  </si>
  <si>
    <t>Leaching/runoff - Subsistence sheep</t>
  </si>
  <si>
    <t>Leaching/runoff - Commercial goats</t>
  </si>
  <si>
    <t>Leaching/runoff - Subsistence goats</t>
  </si>
  <si>
    <t>Leaching/runoff - Horses</t>
  </si>
  <si>
    <t>Leaching/runoff - Mules &amp; Asses</t>
  </si>
  <si>
    <t>Leaching/runoff - Commercial swine</t>
  </si>
  <si>
    <t>Leaching/runoff - Subsistence swine</t>
  </si>
  <si>
    <t>Leaching/runoff - Commercial layers</t>
  </si>
  <si>
    <t>Leaching/runoff - Commercial broilers</t>
  </si>
  <si>
    <t>CM</t>
  </si>
  <si>
    <t>Mules&amp;Asses</t>
  </si>
  <si>
    <t>Sheep MMCH4</t>
  </si>
  <si>
    <t>Goats MMCH4</t>
  </si>
  <si>
    <t>Horses MMCH4</t>
  </si>
  <si>
    <t>Mules MMCH4</t>
  </si>
  <si>
    <t>Sheep MMN2O</t>
  </si>
  <si>
    <t>Goats MMN2O</t>
  </si>
  <si>
    <t>Horses MMN2O</t>
  </si>
  <si>
    <t>Mules MMN2O</t>
  </si>
  <si>
    <t>MM Volatilisation</t>
  </si>
  <si>
    <t>MM Leaching</t>
  </si>
  <si>
    <t>Mules MM CH4</t>
  </si>
  <si>
    <t>Mattle MMN2O</t>
  </si>
  <si>
    <t>U&amp;D</t>
  </si>
  <si>
    <t>Genetic selection and breeding</t>
  </si>
  <si>
    <t>Genetics and breeding</t>
  </si>
  <si>
    <t>Percentage reduction in TMR dairy cattle methane yield (relative to 2017)</t>
  </si>
  <si>
    <t>Percentage reduction in Pasture dairy cattle methane yield (relative to 2017)</t>
  </si>
  <si>
    <t>Percentage reduction in non-lactating dairy cattle methane yield (relative to 2017)</t>
  </si>
  <si>
    <t>Percentage reduction in commercial other cattle methane yield (relative to 2017)</t>
  </si>
  <si>
    <t>Percentage reduction in feedlot cattle methane yield (relative to 2017)</t>
  </si>
  <si>
    <t>Fraction reduction in TMR dairy cattle methane yield (relative to 2017)</t>
  </si>
  <si>
    <t>Fraction reduction in Pasture dairy cattle methane yield (relative to 2017)</t>
  </si>
  <si>
    <t>Fraction reduction in non-lactating dairy cattle methane yield (relative to 2017)</t>
  </si>
  <si>
    <t>Fraction reduction in commercial other cattle methane yield (relative to 2017)</t>
  </si>
  <si>
    <t>Fraction reduction in feedlot cattle methane yield (relative to 2017)</t>
  </si>
  <si>
    <t>Methane yield in Pasture cattle</t>
  </si>
  <si>
    <t>Methane yield in non-lactating dairy cattle</t>
  </si>
  <si>
    <t>Methane yield in commercial other cattle</t>
  </si>
  <si>
    <t>Percentage of Pasture dairy population applying mitigation action</t>
  </si>
  <si>
    <t>Commercial other cattle population affected by mitigation action</t>
  </si>
  <si>
    <t>Commercial other cattle population NOT affected by mitigation action</t>
  </si>
  <si>
    <t>Enteric fermentation EF (with mitigation) in TMR dairy cattle</t>
  </si>
  <si>
    <t>Enteric fermentation EF (with mitigation) in Pasture dairy cattle</t>
  </si>
  <si>
    <t>Enteric fermentation EF (with mitigation) in non-lactating dairy cattle</t>
  </si>
  <si>
    <t>Enteric fermentation EF (with mitigation) in commercial other cattle</t>
  </si>
  <si>
    <t>Enteric fermentation EF (with mitigation) in feedlot cattle</t>
  </si>
  <si>
    <t>Fraction Meat production efficiency increase</t>
  </si>
  <si>
    <t>Fraction meat production efficiency increase</t>
  </si>
  <si>
    <t>Percentage increase in milk production efficiency</t>
  </si>
  <si>
    <t>Beef production efficiency</t>
  </si>
  <si>
    <t>Percentage increase in beef production efficiency</t>
  </si>
  <si>
    <t>Milk production efficiency (PQGS)</t>
  </si>
  <si>
    <t>Meat production efficiency (PQGS)</t>
  </si>
  <si>
    <t>Percentage reduction in beef consumption</t>
  </si>
  <si>
    <t>Percentage increase in lamb consumption</t>
  </si>
  <si>
    <t>Percentage increase in poultry consumption</t>
  </si>
  <si>
    <t>Fraction reduction in beef consumption</t>
  </si>
  <si>
    <t>Fraction increase in lamb consumption</t>
  </si>
  <si>
    <t>Fraction increase in chicken consumption</t>
  </si>
  <si>
    <t>Feedlot production efficiency (PQGS)</t>
  </si>
  <si>
    <t>MITIGATION LEVER VARIABLES</t>
  </si>
  <si>
    <t>FSFAGSPQNIBDDSCM</t>
  </si>
  <si>
    <t>Diet shift: Reduced beef</t>
  </si>
  <si>
    <t>Diet shift: Plant based</t>
  </si>
  <si>
    <t>PB</t>
  </si>
  <si>
    <t>Shift to lamb, chicken and pork</t>
  </si>
  <si>
    <t>Shift to plant based</t>
  </si>
  <si>
    <t>MS</t>
  </si>
  <si>
    <t>For diet shift one needs to also indicate the type of diet shift, either shift from beef to lamb, pork, chicken (MS) or to plant based diet (PB)</t>
  </si>
  <si>
    <t>Cultured or printed meat</t>
  </si>
  <si>
    <t>Mitigation options</t>
  </si>
  <si>
    <t>#LS #22/07/2021 Comment: I can add levers here for the variables below as well if this would be preferred.</t>
  </si>
  <si>
    <t>#LS #24/07/2021 Comment: Not enough time to include this one. Wont be a huge impact. Can include if we have more time and shouldn't change the model too much as much of the additions would be in the intermediate calculations and wouldn't affect the output rows.</t>
  </si>
  <si>
    <t>#LS #24/07/2021 Comment: Not enough time to include this one. Could be a fair contributor in later years. Can include if we have more time and shouldn't change the model too much as much of the additions would be in the intermediate calculations and wouldn't affect the output rows.</t>
  </si>
  <si>
    <t>#LS #22/07/2021 Should maybe add units on this page??</t>
  </si>
  <si>
    <t>Agriculture_model_Linked_Net Zero_v3</t>
  </si>
  <si>
    <t>27-07-2021</t>
  </si>
  <si>
    <t>Added in the net zero mitigation actions</t>
  </si>
  <si>
    <t>Net zero activities &amp; levers</t>
  </si>
  <si>
    <t>Net zero Activity data</t>
  </si>
  <si>
    <t>Net zero supporting data</t>
  </si>
  <si>
    <t>Net zero emission reductions</t>
  </si>
  <si>
    <t>Net zero emission summary</t>
  </si>
  <si>
    <t>Net zero outputs</t>
  </si>
  <si>
    <t>This page provides the levers (On &amp; Off) for each of the mitigation actions. It also provides the variables for the implementation of these ations</t>
  </si>
  <si>
    <t>These pages propvide the supporting data for the mitigation calculations.</t>
  </si>
  <si>
    <t>Net zero intermediate calcs</t>
  </si>
  <si>
    <t>This provides the emisison outputs for the various categories.</t>
  </si>
  <si>
    <t>This provides a summary output which just shows the baseline and the total emisison reductions.</t>
  </si>
  <si>
    <t>#LS #27/07/2021 Comments: The reddish and pinkish tabs are the tabs with the data for the  net zero modelling.</t>
  </si>
  <si>
    <t>Level</t>
  </si>
  <si>
    <t>PAMS_RUN</t>
  </si>
  <si>
    <t>RES</t>
  </si>
  <si>
    <t>TRA</t>
  </si>
  <si>
    <t>WASTE</t>
  </si>
  <si>
    <t>AFOLU</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</si>
  <si>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</si>
  <si>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</si>
  <si>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</si>
  <si>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</si>
  <si>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</si>
  <si>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</si>
  <si>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</si>
  <si>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</si>
  <si>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</si>
  <si>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</si>
  <si>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</si>
  <si>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</si>
  <si>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</si>
  <si>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</si>
  <si>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</si>
  <si>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</si>
  <si>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</si>
  <si>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</si>
  <si>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</si>
  <si>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</si>
  <si>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</si>
  <si>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</si>
  <si>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</si>
  <si>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</si>
  <si>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</si>
  <si>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</si>
  <si>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</si>
  <si>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</si>
  <si>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</si>
  <si>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</si>
  <si>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</si>
  <si>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</si>
  <si>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agr</t>
  </si>
  <si>
    <t>GVA_FS</t>
  </si>
  <si>
    <t>pg</t>
  </si>
  <si>
    <t>am</t>
  </si>
  <si>
    <t>fc</t>
  </si>
  <si>
    <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</si>
</sst>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
    <numFmt numFmtId="165" formatCode="0_ ;\-0\ "/>
    <numFmt numFmtId="166" formatCode="0.0"/>
    <numFmt numFmtId="167" formatCode="0.0000"/>
    <numFmt numFmtId="168" formatCode="#,##0.000"/>
    <numFmt numFmtId="169" formatCode="0.0%"/>
  </numFmts>
  <fonts count="30" x14ac:knownFonts="1">
    <font>
      <sz val="11"/>
      <color theme="1"/>
      <name val="Calibri"/>
      <family val="2"/>
      <scheme val="minor"/>
    </font>
    <font>
      <sz val="11"/>
      <color theme="0"/>
      <name val="Calibri"/>
      <family val="2"/>
      <scheme val="minor"/>
    </font>
    <font>
      <sz val="10"/>
      <name val="Arial"/>
      <family val="2"/>
    </font>
    <font>
      <sz val="11"/>
      <name val="Calibri"/>
      <family val="2"/>
      <scheme val="minor"/>
    </font>
    <font>
      <b/>
      <sz val="11"/>
      <color theme="1"/>
      <name val="Calibri"/>
      <family val="2"/>
      <scheme val="minor"/>
    </font>
    <font>
      <sz val="10"/>
      <color theme="1"/>
      <name val="Arial"/>
      <family val="2"/>
    </font>
    <font>
      <b/>
      <sz val="14"/>
      <color theme="1"/>
      <name val="Calibri"/>
      <family val="2"/>
      <scheme val="minor"/>
    </font>
    <font>
      <b/>
      <i/>
      <sz val="11"/>
      <color theme="1"/>
      <name val="Calibri"/>
      <family val="2"/>
      <scheme val="minor"/>
    </font>
    <font>
      <b/>
      <sz val="12"/>
      <color theme="1"/>
      <name val="Calibri"/>
      <family val="2"/>
      <scheme val="minor"/>
    </font>
    <font>
      <b/>
      <sz val="13"/>
      <color theme="1"/>
      <name val="Calibri"/>
      <family val="2"/>
      <scheme val="minor"/>
    </font>
    <font>
      <i/>
      <sz val="11"/>
      <color theme="0" tint="-0.34998626667073579"/>
      <name val="Calibri"/>
      <family val="2"/>
      <scheme val="minor"/>
    </font>
    <font>
      <b/>
      <sz val="12"/>
      <color theme="0"/>
      <name val="Calibri"/>
      <family val="2"/>
      <scheme val="minor"/>
    </font>
    <font>
      <sz val="11"/>
      <color theme="1"/>
      <name val="Calibri"/>
      <family val="2"/>
      <scheme val="minor"/>
    </font>
    <font>
      <b/>
      <sz val="10"/>
      <name val="Arial"/>
      <family val="2"/>
    </font>
    <font>
      <b/>
      <sz val="10"/>
      <color rgb="FF0070C0"/>
      <name val="Arial"/>
      <family val="2"/>
    </font>
    <font>
      <sz val="10"/>
      <color rgb="FF0070C0"/>
      <name val="Arial"/>
      <family val="2"/>
    </font>
    <font>
      <b/>
      <sz val="12"/>
      <name val="Calibri"/>
      <family val="2"/>
      <scheme val="minor"/>
    </font>
    <font>
      <b/>
      <i/>
      <sz val="10"/>
      <color theme="1"/>
      <name val="Calibri"/>
      <family val="2"/>
      <scheme val="minor"/>
    </font>
    <font>
      <i/>
      <sz val="11"/>
      <color rgb="FFFF0000"/>
      <name val="Calibri"/>
      <family val="2"/>
      <scheme val="minor"/>
    </font>
    <font>
      <sz val="11"/>
      <color rgb="FF9C0006"/>
      <name val="Calibri"/>
      <family val="2"/>
      <scheme val="minor"/>
    </font>
    <font>
      <b/>
      <sz val="14"/>
      <color theme="0"/>
      <name val="Calibri"/>
      <family val="2"/>
      <scheme val="minor"/>
    </font>
    <font>
      <b/>
      <i/>
      <sz val="11"/>
      <color theme="5" tint="-0.249977111117893"/>
      <name val="Calibri"/>
      <family val="2"/>
      <scheme val="minor"/>
    </font>
    <font>
      <i/>
      <sz val="11"/>
      <color theme="1"/>
      <name val="Calibri"/>
      <family val="2"/>
      <scheme val="minor"/>
    </font>
    <font>
      <b/>
      <i/>
      <sz val="11"/>
      <color theme="5"/>
      <name val="Calibri"/>
      <family val="2"/>
      <scheme val="minor"/>
    </font>
    <font>
      <i/>
      <sz val="11"/>
      <color theme="5"/>
      <name val="Calibri"/>
      <family val="2"/>
      <scheme val="minor"/>
    </font>
    <font>
      <b/>
      <i/>
      <sz val="12"/>
      <color theme="5"/>
      <name val="Calibri"/>
      <family val="2"/>
      <scheme val="minor"/>
    </font>
    <font>
      <b/>
      <i/>
      <sz val="11"/>
      <name val="Calibri"/>
      <family val="2"/>
      <scheme val="minor"/>
    </font>
    <font>
      <sz val="8"/>
      <name val="Calibri"/>
      <family val="2"/>
      <scheme val="minor"/>
    </font>
    <font>
      <b/>
      <sz val="11"/>
      <color theme="0"/>
      <name val="Calibri"/>
      <family val="2"/>
      <scheme val="minor"/>
    </font>
    <font>
      <sz val="10"/>
      <color theme="1"/>
      <name val="Calibri"/>
      <family val="2"/>
      <scheme val="minor"/>
    </font>
  </fonts>
  <fills count="38">
    <fill>
      <patternFill patternType="none"/>
    </fill>
    <fill>
      <patternFill patternType="gray125"/>
    </fill>
    <fill>
      <patternFill patternType="solid">
        <fgColor rgb="FFB482FF"/>
        <bgColor indexed="64"/>
      </patternFill>
    </fill>
    <fill>
      <patternFill patternType="solid">
        <fgColor rgb="FF32415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99"/>
        <bgColor indexed="64"/>
      </patternFill>
    </fill>
    <fill>
      <patternFill patternType="solid">
        <fgColor rgb="FFFFC5E2"/>
        <bgColor indexed="64"/>
      </patternFill>
    </fill>
    <fill>
      <patternFill patternType="solid">
        <fgColor rgb="FFCAEAB4"/>
        <bgColor indexed="64"/>
      </patternFill>
    </fill>
    <fill>
      <patternFill patternType="solid">
        <fgColor theme="0" tint="-0.249977111117893"/>
        <bgColor indexed="64"/>
      </patternFill>
    </fill>
    <fill>
      <patternFill patternType="solid">
        <fgColor rgb="FFCC6600"/>
        <bgColor indexed="64"/>
      </patternFill>
    </fill>
    <fill>
      <patternFill patternType="solid">
        <fgColor rgb="FFAADC9B"/>
        <bgColor indexed="64"/>
      </patternFill>
    </fill>
    <fill>
      <patternFill patternType="solid">
        <fgColor theme="0" tint="-0.14999847407452621"/>
        <bgColor indexed="64"/>
      </patternFill>
    </fill>
    <fill>
      <patternFill patternType="solid">
        <fgColor theme="9" tint="0.59996337778862885"/>
        <bgColor indexed="64"/>
      </patternFill>
    </fill>
    <fill>
      <patternFill patternType="solid">
        <fgColor theme="2" tint="0.79998168889431442"/>
        <bgColor indexed="64"/>
      </patternFill>
    </fill>
    <fill>
      <patternFill patternType="solid">
        <fgColor theme="8" tint="0.79998168889431442"/>
        <bgColor indexed="64"/>
      </patternFill>
    </fill>
    <fill>
      <patternFill patternType="solid">
        <fgColor rgb="FF0070C0"/>
        <bgColor indexed="64"/>
      </patternFill>
    </fill>
    <fill>
      <patternFill patternType="solid">
        <fgColor rgb="FFCCCCFF"/>
        <bgColor indexed="64"/>
      </patternFill>
    </fill>
    <fill>
      <patternFill patternType="solid">
        <fgColor rgb="FFFFFF00"/>
        <bgColor indexed="64"/>
      </patternFill>
    </fill>
    <fill>
      <patternFill patternType="solid">
        <fgColor theme="5"/>
        <bgColor indexed="64"/>
      </patternFill>
    </fill>
    <fill>
      <patternFill patternType="solid">
        <fgColor rgb="FF7030A0"/>
        <bgColor indexed="64"/>
      </patternFill>
    </fill>
    <fill>
      <patternFill patternType="solid">
        <fgColor theme="8"/>
        <bgColor indexed="64"/>
      </patternFill>
    </fill>
    <fill>
      <patternFill patternType="solid">
        <fgColor theme="2" tint="0.59999389629810485"/>
        <bgColor indexed="64"/>
      </patternFill>
    </fill>
    <fill>
      <patternFill patternType="solid">
        <fgColor rgb="FF92D050"/>
        <bgColor indexed="64"/>
      </patternFill>
    </fill>
    <fill>
      <patternFill patternType="solid">
        <fgColor rgb="FF009900"/>
        <bgColor indexed="64"/>
      </patternFill>
    </fill>
    <fill>
      <patternFill patternType="solid">
        <fgColor theme="0"/>
        <bgColor indexed="64"/>
      </patternFill>
    </fill>
    <fill>
      <patternFill patternType="solid">
        <fgColor rgb="FFFFCCFF"/>
        <bgColor indexed="64"/>
      </patternFill>
    </fill>
    <fill>
      <patternFill patternType="solid">
        <fgColor theme="0" tint="-0.499984740745262"/>
        <bgColor indexed="64"/>
      </patternFill>
    </fill>
    <fill>
      <patternFill patternType="solid">
        <fgColor rgb="FF9966FF"/>
        <bgColor indexed="64"/>
      </patternFill>
    </fill>
    <fill>
      <patternFill patternType="solid">
        <fgColor rgb="FFFFC7CE"/>
      </patternFill>
    </fill>
    <fill>
      <patternFill patternType="solid">
        <fgColor theme="5"/>
      </patternFill>
    </fill>
    <fill>
      <patternFill patternType="solid">
        <fgColor theme="1"/>
        <bgColor indexed="64"/>
      </patternFill>
    </fill>
    <fill>
      <patternFill patternType="solid">
        <fgColor rgb="FFFF00FF"/>
        <bgColor indexed="64"/>
      </patternFill>
    </fill>
    <fill>
      <patternFill patternType="solid">
        <fgColor rgb="FF3366FF"/>
        <bgColor indexed="64"/>
      </patternFill>
    </fill>
    <fill>
      <patternFill patternType="solid">
        <fgColor theme="2"/>
        <bgColor indexed="64"/>
      </patternFill>
    </fill>
    <fill>
      <patternFill patternType="solid">
        <fgColor theme="2" tint="0.39997558519241921"/>
        <bgColor indexed="64"/>
      </patternFill>
    </fill>
    <fill>
      <patternFill patternType="solid">
        <fgColor rgb="FFFF00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double">
        <color rgb="FF3F3F3F"/>
      </left>
      <right style="double">
        <color rgb="FF3F3F3F"/>
      </right>
      <top style="double">
        <color rgb="FF3F3F3F"/>
      </top>
      <bottom style="double">
        <color rgb="FF3F3F3F"/>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7">
    <xf numFmtId="0" fontId="0" fillId="0" borderId="0"/>
    <xf numFmtId="0" fontId="2" fillId="0" borderId="0"/>
    <xf numFmtId="0" fontId="5" fillId="0" borderId="0"/>
    <xf numFmtId="0" fontId="1" fillId="2" borderId="0" applyAlignment="0" applyProtection="0"/>
    <xf numFmtId="0" fontId="3" fillId="9" borderId="0" applyNumberFormat="0" applyAlignment="0" applyProtection="0"/>
    <xf numFmtId="0" fontId="3" fillId="7" borderId="0" applyNumberFormat="0" applyAlignment="0" applyProtection="0"/>
    <xf numFmtId="0" fontId="3" fillId="8" borderId="6" applyNumberFormat="0" applyAlignment="0" applyProtection="0"/>
    <xf numFmtId="0" fontId="1" fillId="11" borderId="0" applyAlignment="0" applyProtection="0"/>
    <xf numFmtId="0" fontId="3" fillId="12" borderId="0" applyAlignment="0" applyProtection="0"/>
    <xf numFmtId="43" fontId="12" fillId="0" borderId="0" applyFont="0" applyFill="0" applyBorder="0" applyAlignment="0" applyProtection="0"/>
    <xf numFmtId="4" fontId="3" fillId="14" borderId="0"/>
    <xf numFmtId="0" fontId="3" fillId="15" borderId="0"/>
    <xf numFmtId="0" fontId="12" fillId="16" borderId="0"/>
    <xf numFmtId="0" fontId="12" fillId="18" borderId="0"/>
    <xf numFmtId="9" fontId="12" fillId="0" borderId="0" applyFont="0" applyFill="0" applyBorder="0" applyAlignment="0" applyProtection="0"/>
    <xf numFmtId="0" fontId="19" fillId="30" borderId="0" applyNumberFormat="0" applyBorder="0" applyAlignment="0" applyProtection="0"/>
    <xf numFmtId="0" fontId="1" fillId="31" borderId="0" applyNumberFormat="0" applyBorder="0" applyAlignment="0" applyProtection="0"/>
  </cellStyleXfs>
  <cellXfs count="137">
    <xf numFmtId="0" fontId="0" fillId="0" borderId="0" xfId="0"/>
    <xf numFmtId="0" fontId="6" fillId="0" borderId="0" xfId="0" applyFont="1"/>
    <xf numFmtId="0" fontId="8" fillId="5" borderId="1" xfId="0" applyFont="1" applyFill="1" applyBorder="1"/>
    <xf numFmtId="0" fontId="0" fillId="0" borderId="1" xfId="0" applyBorder="1"/>
    <xf numFmtId="0" fontId="0" fillId="0" borderId="1" xfId="0" applyBorder="1" applyAlignment="1">
      <alignment vertical="center"/>
    </xf>
    <xf numFmtId="0" fontId="10" fillId="0" borderId="1" xfId="0" applyFont="1" applyBorder="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8" fillId="5" borderId="5" xfId="0" applyFont="1" applyFill="1" applyBorder="1"/>
    <xf numFmtId="3" fontId="0" fillId="0" borderId="0" xfId="0" applyNumberFormat="1"/>
    <xf numFmtId="0" fontId="3" fillId="0" borderId="0" xfId="0" applyFont="1"/>
    <xf numFmtId="0" fontId="7" fillId="6" borderId="0" xfId="0" applyFont="1" applyFill="1"/>
    <xf numFmtId="0" fontId="0" fillId="0" borderId="0" xfId="0" applyAlignment="1">
      <alignment wrapText="1"/>
    </xf>
    <xf numFmtId="0" fontId="1" fillId="10" borderId="0" xfId="0" applyFont="1" applyFill="1"/>
    <xf numFmtId="0" fontId="1" fillId="10" borderId="0" xfId="0" applyFont="1" applyFill="1" applyAlignment="1">
      <alignment wrapText="1"/>
    </xf>
    <xf numFmtId="0" fontId="11" fillId="3" borderId="0" xfId="0" applyFont="1" applyFill="1"/>
    <xf numFmtId="0" fontId="11" fillId="3" borderId="0" xfId="0" applyFont="1" applyFill="1" applyAlignment="1">
      <alignment wrapText="1"/>
    </xf>
    <xf numFmtId="0" fontId="8" fillId="0" borderId="0" xfId="0" applyFont="1"/>
    <xf numFmtId="0" fontId="8" fillId="10" borderId="0" xfId="0" applyFont="1" applyFill="1"/>
    <xf numFmtId="0" fontId="3" fillId="9" borderId="0" xfId="4"/>
    <xf numFmtId="0" fontId="3" fillId="7" borderId="0" xfId="5"/>
    <xf numFmtId="3" fontId="3" fillId="7" borderId="0" xfId="5" applyNumberFormat="1"/>
    <xf numFmtId="2" fontId="3" fillId="9" borderId="0" xfId="4" applyNumberFormat="1"/>
    <xf numFmtId="164" fontId="3" fillId="7" borderId="0" xfId="5" applyNumberFormat="1"/>
    <xf numFmtId="0" fontId="1" fillId="11" borderId="0" xfId="7"/>
    <xf numFmtId="4" fontId="3" fillId="7" borderId="0" xfId="5" applyNumberFormat="1"/>
    <xf numFmtId="0" fontId="13" fillId="0" borderId="0" xfId="0" applyFont="1"/>
    <xf numFmtId="0" fontId="2" fillId="0" borderId="0" xfId="0" applyFont="1"/>
    <xf numFmtId="165" fontId="13" fillId="0" borderId="0" xfId="9" applyNumberFormat="1" applyFont="1" applyFill="1" applyProtection="1"/>
    <xf numFmtId="165" fontId="14" fillId="0" borderId="0" xfId="9" applyNumberFormat="1" applyFont="1" applyFill="1" applyProtection="1"/>
    <xf numFmtId="2" fontId="2" fillId="0" borderId="0" xfId="0" applyNumberFormat="1" applyFont="1"/>
    <xf numFmtId="2" fontId="15" fillId="0" borderId="0" xfId="0" applyNumberFormat="1" applyFont="1"/>
    <xf numFmtId="2" fontId="2" fillId="0" borderId="0" xfId="0" applyNumberFormat="1" applyFont="1" applyAlignment="1">
      <alignment horizontal="right"/>
    </xf>
    <xf numFmtId="2" fontId="15" fillId="0" borderId="0" xfId="0" applyNumberFormat="1" applyFont="1" applyAlignment="1">
      <alignment horizontal="right"/>
    </xf>
    <xf numFmtId="0" fontId="4" fillId="13" borderId="0" xfId="0" applyFont="1" applyFill="1"/>
    <xf numFmtId="3" fontId="3" fillId="9" borderId="0" xfId="4" applyNumberFormat="1"/>
    <xf numFmtId="4" fontId="3" fillId="9" borderId="0" xfId="4" applyNumberFormat="1"/>
    <xf numFmtId="0" fontId="3" fillId="15" borderId="0" xfId="11"/>
    <xf numFmtId="4" fontId="16" fillId="7" borderId="0" xfId="5" applyNumberFormat="1" applyFont="1"/>
    <xf numFmtId="0" fontId="16" fillId="7" borderId="0" xfId="5" applyFont="1"/>
    <xf numFmtId="0" fontId="12" fillId="16" borderId="0" xfId="12"/>
    <xf numFmtId="0" fontId="8" fillId="13" borderId="0" xfId="0" applyFont="1" applyFill="1"/>
    <xf numFmtId="0" fontId="0" fillId="13" borderId="0" xfId="0" applyFill="1"/>
    <xf numFmtId="2" fontId="3" fillId="7" borderId="0" xfId="5" applyNumberFormat="1"/>
    <xf numFmtId="0" fontId="17" fillId="13" borderId="0" xfId="0" applyFont="1" applyFill="1"/>
    <xf numFmtId="0" fontId="1" fillId="17" borderId="0" xfId="0" applyFont="1" applyFill="1"/>
    <xf numFmtId="0" fontId="12" fillId="18" borderId="0" xfId="13"/>
    <xf numFmtId="10" fontId="0" fillId="0" borderId="0" xfId="0" applyNumberFormat="1"/>
    <xf numFmtId="0" fontId="0" fillId="19" borderId="1" xfId="0" applyFill="1" applyBorder="1" applyAlignment="1">
      <alignment vertical="center"/>
    </xf>
    <xf numFmtId="0" fontId="0" fillId="20" borderId="1" xfId="0" applyFill="1" applyBorder="1" applyAlignment="1">
      <alignment vertical="center"/>
    </xf>
    <xf numFmtId="0" fontId="0" fillId="0" borderId="1" xfId="0" applyBorder="1" applyAlignment="1">
      <alignment vertical="center" wrapText="1"/>
    </xf>
    <xf numFmtId="0" fontId="1" fillId="21" borderId="1" xfId="0" applyFont="1" applyFill="1" applyBorder="1" applyAlignment="1">
      <alignment vertical="center"/>
    </xf>
    <xf numFmtId="0" fontId="1" fillId="22" borderId="1" xfId="0" applyFont="1"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3" fillId="9" borderId="1" xfId="4" applyBorder="1" applyAlignment="1">
      <alignment vertical="center"/>
    </xf>
    <xf numFmtId="0" fontId="3" fillId="7" borderId="1" xfId="5" applyBorder="1" applyAlignment="1">
      <alignment vertical="center"/>
    </xf>
    <xf numFmtId="0" fontId="3" fillId="15" borderId="1" xfId="11" applyBorder="1" applyAlignment="1">
      <alignment vertical="center"/>
    </xf>
    <xf numFmtId="0" fontId="0" fillId="16" borderId="1" xfId="12" applyFont="1" applyBorder="1"/>
    <xf numFmtId="0" fontId="1" fillId="11" borderId="1" xfId="7" applyBorder="1"/>
    <xf numFmtId="0" fontId="12" fillId="18" borderId="1" xfId="13" applyBorder="1"/>
    <xf numFmtId="0" fontId="3" fillId="0" borderId="0" xfId="5" applyFill="1"/>
    <xf numFmtId="167" fontId="3" fillId="7" borderId="0" xfId="5" applyNumberFormat="1"/>
    <xf numFmtId="0" fontId="8" fillId="6" borderId="0" xfId="0" applyFont="1" applyFill="1"/>
    <xf numFmtId="0" fontId="17" fillId="6" borderId="0" xfId="0" applyFont="1" applyFill="1"/>
    <xf numFmtId="0" fontId="0" fillId="6" borderId="0" xfId="0" applyFill="1"/>
    <xf numFmtId="0" fontId="0" fillId="27" borderId="0" xfId="0" applyFill="1"/>
    <xf numFmtId="0" fontId="18" fillId="26" borderId="0" xfId="0" applyFont="1" applyFill="1"/>
    <xf numFmtId="2" fontId="18" fillId="26" borderId="0" xfId="4" applyNumberFormat="1" applyFont="1" applyFill="1"/>
    <xf numFmtId="3" fontId="3" fillId="0" borderId="0" xfId="4" applyNumberFormat="1" applyFill="1"/>
    <xf numFmtId="0" fontId="12" fillId="0" borderId="0" xfId="12" applyFill="1"/>
    <xf numFmtId="0" fontId="3" fillId="0" borderId="0" xfId="11" applyFill="1"/>
    <xf numFmtId="168" fontId="3" fillId="9" borderId="0" xfId="4" applyNumberFormat="1"/>
    <xf numFmtId="0" fontId="4" fillId="0" borderId="1" xfId="0" applyFont="1" applyBorder="1" applyAlignment="1">
      <alignment vertical="center" wrapText="1"/>
    </xf>
    <xf numFmtId="0" fontId="17" fillId="0" borderId="0" xfId="0" applyFont="1"/>
    <xf numFmtId="169" fontId="0" fillId="0" borderId="0" xfId="14" applyNumberFormat="1" applyFont="1"/>
    <xf numFmtId="4" fontId="0" fillId="0" borderId="0" xfId="0" applyNumberFormat="1"/>
    <xf numFmtId="0" fontId="4" fillId="10" borderId="0" xfId="0" applyFont="1" applyFill="1"/>
    <xf numFmtId="3" fontId="1" fillId="10" borderId="0" xfId="0" applyNumberFormat="1" applyFont="1" applyFill="1"/>
    <xf numFmtId="0" fontId="3" fillId="28" borderId="1" xfId="0" applyFont="1" applyFill="1" applyBorder="1" applyAlignment="1">
      <alignment vertical="center"/>
    </xf>
    <xf numFmtId="0" fontId="1" fillId="29" borderId="1" xfId="0" applyFont="1" applyFill="1" applyBorder="1" applyAlignment="1">
      <alignment vertical="center"/>
    </xf>
    <xf numFmtId="166" fontId="19" fillId="30" borderId="0" xfId="15" applyNumberFormat="1"/>
    <xf numFmtId="2" fontId="0" fillId="0" borderId="0" xfId="0" applyNumberFormat="1"/>
    <xf numFmtId="3" fontId="3" fillId="15" borderId="0" xfId="11" applyNumberFormat="1"/>
    <xf numFmtId="0" fontId="4" fillId="0" borderId="0" xfId="0" applyFont="1"/>
    <xf numFmtId="0" fontId="20" fillId="17" borderId="0" xfId="0" applyFont="1" applyFill="1"/>
    <xf numFmtId="0" fontId="11" fillId="17" borderId="0" xfId="0" applyFont="1" applyFill="1"/>
    <xf numFmtId="0" fontId="21" fillId="0" borderId="0" xfId="0" applyFont="1"/>
    <xf numFmtId="0" fontId="21" fillId="13" borderId="0" xfId="0" applyFont="1" applyFill="1"/>
    <xf numFmtId="0" fontId="22" fillId="0" borderId="0" xfId="0" applyFont="1"/>
    <xf numFmtId="4" fontId="1" fillId="31" borderId="0" xfId="16" applyNumberFormat="1"/>
    <xf numFmtId="0" fontId="1" fillId="31" borderId="0" xfId="16"/>
    <xf numFmtId="0" fontId="23" fillId="0" borderId="0" xfId="0" applyFont="1"/>
    <xf numFmtId="0" fontId="24" fillId="0" borderId="0" xfId="0" applyFont="1"/>
    <xf numFmtId="0" fontId="25" fillId="0" borderId="0" xfId="0" applyFont="1"/>
    <xf numFmtId="0" fontId="11" fillId="32" borderId="0" xfId="0" applyFont="1" applyFill="1"/>
    <xf numFmtId="0" fontId="8" fillId="32" borderId="0" xfId="0" applyFont="1" applyFill="1"/>
    <xf numFmtId="164" fontId="0" fillId="0" borderId="0" xfId="0" applyNumberFormat="1"/>
    <xf numFmtId="0" fontId="26" fillId="0" borderId="0" xfId="0" applyFont="1"/>
    <xf numFmtId="3" fontId="1" fillId="31" borderId="0" xfId="16" applyNumberFormat="1"/>
    <xf numFmtId="0" fontId="0" fillId="33" borderId="0" xfId="0" applyFill="1"/>
    <xf numFmtId="3" fontId="1" fillId="34" borderId="0" xfId="0" applyNumberFormat="1" applyFont="1" applyFill="1"/>
    <xf numFmtId="0" fontId="28" fillId="35" borderId="7" xfId="0" applyFont="1" applyFill="1" applyBorder="1"/>
    <xf numFmtId="0" fontId="21" fillId="36" borderId="0" xfId="0" applyFont="1" applyFill="1"/>
    <xf numFmtId="0" fontId="4" fillId="36" borderId="0" xfId="0" applyFont="1" applyFill="1"/>
    <xf numFmtId="0" fontId="22" fillId="36" borderId="0" xfId="0" applyFont="1" applyFill="1"/>
    <xf numFmtId="0" fontId="17" fillId="36" borderId="0" xfId="0" applyFont="1" applyFill="1"/>
    <xf numFmtId="0" fontId="8" fillId="36" borderId="0" xfId="0" applyFont="1" applyFill="1"/>
    <xf numFmtId="0" fontId="0" fillId="36" borderId="0" xfId="0" applyFill="1"/>
    <xf numFmtId="0" fontId="1" fillId="37" borderId="1" xfId="0" applyFont="1" applyFill="1" applyBorder="1" applyAlignment="1">
      <alignment vertical="center"/>
    </xf>
    <xf numFmtId="0" fontId="1" fillId="33" borderId="1" xfId="0" applyFont="1" applyFill="1" applyBorder="1" applyAlignment="1">
      <alignment vertical="center"/>
    </xf>
    <xf numFmtId="4" fontId="6" fillId="0" borderId="0" xfId="0" applyNumberFormat="1" applyFont="1"/>
    <xf numFmtId="0" fontId="0" fillId="0" borderId="0" xfId="0" quotePrefix="1"/>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left" vertical="center" wrapText="1"/>
    </xf>
    <xf numFmtId="0" fontId="0" fillId="0" borderId="1" xfId="0" applyBorder="1" applyAlignment="1">
      <alignment horizontal="center"/>
    </xf>
    <xf numFmtId="0" fontId="8" fillId="10" borderId="0" xfId="0" applyFont="1" applyFill="1" applyAlignment="1">
      <alignment horizontal="center"/>
    </xf>
    <xf numFmtId="0" fontId="0" fillId="0" borderId="1" xfId="0" applyBorder="1" applyAlignment="1">
      <alignment horizont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5"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4" fillId="13" borderId="0" xfId="0" applyFont="1" applyFill="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1" xfId="0" applyBorder="1" applyAlignment="1">
      <alignment vertic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29" fillId="0" borderId="8" xfId="0" applyFont="1" applyBorder="1" applyAlignment="1">
      <alignment wrapText="1"/>
    </xf>
    <xf numFmtId="0" fontId="29" fillId="0" borderId="0" xfId="0" applyFont="1" applyAlignment="1">
      <alignment wrapText="1"/>
    </xf>
  </cellXfs>
  <cellStyles count="17">
    <cellStyle name="Accent2" xfId="16" builtinId="33"/>
    <cellStyle name="Assumption" xfId="12" xr:uid="{00000000-0005-0000-0000-000000000000}"/>
    <cellStyle name="Bad" xfId="15" builtinId="27"/>
    <cellStyle name="Calculation" xfId="5" builtinId="22" customBuiltin="1"/>
    <cellStyle name="Check Cell" xfId="6" builtinId="23" customBuiltin="1"/>
    <cellStyle name="Comma" xfId="9" builtinId="3"/>
    <cellStyle name="Conversion" xfId="3" xr:uid="{00000000-0005-0000-0000-000005000000}"/>
    <cellStyle name="Input" xfId="4" builtinId="20" customBuiltin="1"/>
    <cellStyle name="Interpolation" xfId="10" xr:uid="{00000000-0005-0000-0000-000007000000}"/>
    <cellStyle name="Inventory constants" xfId="13" xr:uid="{00000000-0005-0000-0000-000008000000}"/>
    <cellStyle name="IPCC" xfId="7" xr:uid="{00000000-0005-0000-0000-000009000000}"/>
    <cellStyle name="Linked" xfId="11" xr:uid="{00000000-0005-0000-0000-00000A000000}"/>
    <cellStyle name="Normal" xfId="0" builtinId="0"/>
    <cellStyle name="Normal 2" xfId="2" xr:uid="{00000000-0005-0000-0000-00000C000000}"/>
    <cellStyle name="Normal 3" xfId="1" xr:uid="{00000000-0005-0000-0000-00000D000000}"/>
    <cellStyle name="Percent" xfId="14" builtinId="5"/>
    <cellStyle name="Spreadsheet" xfId="8" xr:uid="{00000000-0005-0000-0000-00000F000000}"/>
  </cellStyles>
  <dxfs count="2">
    <dxf>
      <fill>
        <patternFill>
          <bgColor rgb="FFFF66CC"/>
        </patternFill>
      </fill>
    </dxf>
    <dxf>
      <fill>
        <patternFill>
          <bgColor rgb="FFFF66CC"/>
        </patternFill>
      </fill>
    </dxf>
  </dxfs>
  <tableStyles count="0" defaultTableStyle="TableStyleMedium2" defaultPivotStyle="PivotStyleLight16"/>
  <colors>
    <mruColors>
      <color rgb="FFFF00FF"/>
      <color rgb="FFFF0066"/>
      <color rgb="FFFF66CC"/>
      <color rgb="FF3366FF"/>
      <color rgb="FFFF3399"/>
      <color rgb="FF009900"/>
      <color rgb="FF9966FF"/>
      <color rgb="FFFFCCFF"/>
      <color rgb="FFCCCC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7"/>
          <c:order val="0"/>
          <c:tx>
            <c:strRef>
              <c:f>Data!$A$12:$B$12</c:f>
              <c:strCache>
                <c:ptCount val="2"/>
                <c:pt idx="0">
                  <c:v>Sorghum consumption (human)</c:v>
                </c:pt>
                <c:pt idx="1">
                  <c:v>t/capita</c:v>
                </c:pt>
              </c:strCache>
            </c:strRef>
          </c:tx>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trendline>
            <c:spPr>
              <a:ln w="19050" cap="rnd">
                <a:solidFill>
                  <a:schemeClr val="accent2">
                    <a:lumMod val="60000"/>
                  </a:schemeClr>
                </a:solidFill>
                <a:prstDash val="sysDot"/>
              </a:ln>
              <a:effectLst/>
            </c:spPr>
            <c:trendlineType val="linear"/>
            <c:dispRSqr val="0"/>
            <c:dispEq val="0"/>
          </c:trendline>
          <c:xVal>
            <c:numRef>
              <c:f>Data!$R$4:$AB$4</c:f>
              <c:numCache>
                <c:formatCode>General</c:formatCode>
                <c:ptCount val="11"/>
                <c:pt idx="0">
                  <c:v>66.758299397046585</c:v>
                </c:pt>
                <c:pt idx="1">
                  <c:v>69.562904957951105</c:v>
                </c:pt>
                <c:pt idx="2">
                  <c:v>72.505988712436022</c:v>
                </c:pt>
                <c:pt idx="3">
                  <c:v>74.236547378688499</c:v>
                </c:pt>
                <c:pt idx="4">
                  <c:v>72.22799579918761</c:v>
                </c:pt>
                <c:pt idx="5">
                  <c:v>73.376760198387728</c:v>
                </c:pt>
                <c:pt idx="6">
                  <c:v>74.745825380003552</c:v>
                </c:pt>
                <c:pt idx="7">
                  <c:v>76.09857338160414</c:v>
                </c:pt>
                <c:pt idx="8">
                  <c:v>76.641958163345151</c:v>
                </c:pt>
                <c:pt idx="9">
                  <c:v>77.466559353368922</c:v>
                </c:pt>
                <c:pt idx="10">
                  <c:v>77.642841269428359</c:v>
                </c:pt>
              </c:numCache>
            </c:numRef>
          </c:xVal>
          <c:yVal>
            <c:numRef>
              <c:f>Data!$R$12:$AB$12</c:f>
              <c:numCache>
                <c:formatCode>General</c:formatCode>
                <c:ptCount val="11"/>
                <c:pt idx="0">
                  <c:v>3.7384660230142057E-3</c:v>
                </c:pt>
                <c:pt idx="1">
                  <c:v>3.9390004330631945E-3</c:v>
                </c:pt>
                <c:pt idx="2">
                  <c:v>3.7052299055457499E-3</c:v>
                </c:pt>
                <c:pt idx="3">
                  <c:v>3.7163914417652206E-3</c:v>
                </c:pt>
                <c:pt idx="4">
                  <c:v>3.5065467723514772E-3</c:v>
                </c:pt>
                <c:pt idx="5">
                  <c:v>3.5925596839359707E-3</c:v>
                </c:pt>
                <c:pt idx="6">
                  <c:v>3.499719214835302E-3</c:v>
                </c:pt>
                <c:pt idx="7">
                  <c:v>3.4973432596810314E-3</c:v>
                </c:pt>
                <c:pt idx="8">
                  <c:v>2.9941029471168977E-3</c:v>
                </c:pt>
                <c:pt idx="9">
                  <c:v>3.0605223474033326E-3</c:v>
                </c:pt>
                <c:pt idx="10">
                  <c:v>2.7944954634656744E-3</c:v>
                </c:pt>
              </c:numCache>
            </c:numRef>
          </c:yVal>
          <c:smooth val="0"/>
          <c:extLst>
            <c:ext xmlns:c16="http://schemas.microsoft.com/office/drawing/2014/chart" uri="{C3380CC4-5D6E-409C-BE32-E72D297353CC}">
              <c16:uniqueId val="{00000007-BAF8-4F50-AD68-7BA8511B21E8}"/>
            </c:ext>
          </c:extLst>
        </c:ser>
        <c:dLbls>
          <c:showLegendKey val="0"/>
          <c:showVal val="0"/>
          <c:showCatName val="0"/>
          <c:showSerName val="0"/>
          <c:showPercent val="0"/>
          <c:showBubbleSize val="0"/>
        </c:dLbls>
        <c:axId val="561351071"/>
        <c:axId val="674695727"/>
      </c:scatterChart>
      <c:valAx>
        <c:axId val="561351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95727"/>
        <c:crosses val="autoZero"/>
        <c:crossBetween val="midCat"/>
      </c:valAx>
      <c:valAx>
        <c:axId val="674695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51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Data!$A$38:$B$38</c:f>
              <c:strCache>
                <c:ptCount val="2"/>
                <c:pt idx="0">
                  <c:v>Sorghum consumption (feed)</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Data!$M$37:$AD$37</c:f>
              <c:numCache>
                <c:formatCode>General</c:formatCode>
                <c:ptCount val="18"/>
                <c:pt idx="0">
                  <c:v>2936000</c:v>
                </c:pt>
                <c:pt idx="1">
                  <c:v>3263000</c:v>
                </c:pt>
                <c:pt idx="2">
                  <c:v>3274000</c:v>
                </c:pt>
                <c:pt idx="3">
                  <c:v>3275000</c:v>
                </c:pt>
                <c:pt idx="4">
                  <c:v>3531000</c:v>
                </c:pt>
                <c:pt idx="5">
                  <c:v>3543000</c:v>
                </c:pt>
                <c:pt idx="6">
                  <c:v>3637000</c:v>
                </c:pt>
                <c:pt idx="7">
                  <c:v>3844000</c:v>
                </c:pt>
                <c:pt idx="8">
                  <c:v>4220000</c:v>
                </c:pt>
                <c:pt idx="9">
                  <c:v>4089000</c:v>
                </c:pt>
                <c:pt idx="10">
                  <c:v>4187000</c:v>
                </c:pt>
                <c:pt idx="11">
                  <c:v>4344000</c:v>
                </c:pt>
                <c:pt idx="12">
                  <c:v>4429000</c:v>
                </c:pt>
                <c:pt idx="13">
                  <c:v>4436000</c:v>
                </c:pt>
                <c:pt idx="14">
                  <c:v>4767000</c:v>
                </c:pt>
                <c:pt idx="15">
                  <c:v>5087000</c:v>
                </c:pt>
                <c:pt idx="16">
                  <c:v>5551000</c:v>
                </c:pt>
                <c:pt idx="17">
                  <c:v>5004000</c:v>
                </c:pt>
              </c:numCache>
            </c:numRef>
          </c:xVal>
          <c:yVal>
            <c:numRef>
              <c:f>Data!$M$38:$AD$38</c:f>
              <c:numCache>
                <c:formatCode>General</c:formatCode>
                <c:ptCount val="18"/>
                <c:pt idx="0">
                  <c:v>36000</c:v>
                </c:pt>
                <c:pt idx="1">
                  <c:v>23000</c:v>
                </c:pt>
                <c:pt idx="2">
                  <c:v>16000</c:v>
                </c:pt>
                <c:pt idx="3">
                  <c:v>22000</c:v>
                </c:pt>
                <c:pt idx="4">
                  <c:v>10000</c:v>
                </c:pt>
                <c:pt idx="5">
                  <c:v>10000</c:v>
                </c:pt>
                <c:pt idx="6">
                  <c:v>12000</c:v>
                </c:pt>
                <c:pt idx="7">
                  <c:v>8000</c:v>
                </c:pt>
                <c:pt idx="8">
                  <c:v>11000</c:v>
                </c:pt>
                <c:pt idx="9">
                  <c:v>10000</c:v>
                </c:pt>
                <c:pt idx="10">
                  <c:v>8000</c:v>
                </c:pt>
                <c:pt idx="11">
                  <c:v>9000</c:v>
                </c:pt>
                <c:pt idx="12">
                  <c:v>7000</c:v>
                </c:pt>
                <c:pt idx="13">
                  <c:v>6000</c:v>
                </c:pt>
                <c:pt idx="14">
                  <c:v>5000</c:v>
                </c:pt>
                <c:pt idx="15">
                  <c:v>7000</c:v>
                </c:pt>
                <c:pt idx="16">
                  <c:v>10000</c:v>
                </c:pt>
                <c:pt idx="17">
                  <c:v>10000</c:v>
                </c:pt>
              </c:numCache>
            </c:numRef>
          </c:yVal>
          <c:smooth val="0"/>
          <c:extLst>
            <c:ext xmlns:c16="http://schemas.microsoft.com/office/drawing/2014/chart" uri="{C3380CC4-5D6E-409C-BE32-E72D297353CC}">
              <c16:uniqueId val="{00000000-9B8F-419A-9699-F0E894C1F0F6}"/>
            </c:ext>
          </c:extLst>
        </c:ser>
        <c:dLbls>
          <c:showLegendKey val="0"/>
          <c:showVal val="0"/>
          <c:showCatName val="0"/>
          <c:showSerName val="0"/>
          <c:showPercent val="0"/>
          <c:showBubbleSize val="0"/>
        </c:dLbls>
        <c:axId val="709868927"/>
        <c:axId val="709862687"/>
      </c:scatterChart>
      <c:valAx>
        <c:axId val="709868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2687"/>
        <c:crosses val="autoZero"/>
        <c:crossBetween val="midCat"/>
      </c:valAx>
      <c:valAx>
        <c:axId val="70986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89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Data!$A$5:$B$5</c:f>
              <c:strCache>
                <c:ptCount val="2"/>
                <c:pt idx="0">
                  <c:v>Beef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xVal>
            <c:numRef>
              <c:f>Data!$T$4:$AD$4</c:f>
              <c:numCache>
                <c:formatCode>General</c:formatCode>
                <c:ptCount val="11"/>
                <c:pt idx="0">
                  <c:v>72.505988712436022</c:v>
                </c:pt>
                <c:pt idx="1">
                  <c:v>74.236547378688499</c:v>
                </c:pt>
                <c:pt idx="2">
                  <c:v>72.22799579918761</c:v>
                </c:pt>
                <c:pt idx="3">
                  <c:v>73.376760198387728</c:v>
                </c:pt>
                <c:pt idx="4">
                  <c:v>74.745825380003552</c:v>
                </c:pt>
                <c:pt idx="5">
                  <c:v>76.09857338160414</c:v>
                </c:pt>
                <c:pt idx="6">
                  <c:v>76.641958163345151</c:v>
                </c:pt>
                <c:pt idx="7">
                  <c:v>77.466559353368922</c:v>
                </c:pt>
                <c:pt idx="8">
                  <c:v>77.642841269428359</c:v>
                </c:pt>
                <c:pt idx="9">
                  <c:v>77.390477552263718</c:v>
                </c:pt>
                <c:pt idx="10">
                  <c:v>76.718703958036286</c:v>
                </c:pt>
              </c:numCache>
            </c:numRef>
          </c:xVal>
          <c:yVal>
            <c:numRef>
              <c:f>Data!$T$5:$AD$5</c:f>
              <c:numCache>
                <c:formatCode>General</c:formatCode>
                <c:ptCount val="11"/>
                <c:pt idx="0">
                  <c:v>1.7610021254379524E-2</c:v>
                </c:pt>
                <c:pt idx="1">
                  <c:v>1.5407958031534726E-2</c:v>
                </c:pt>
                <c:pt idx="2">
                  <c:v>1.553182299165852E-2</c:v>
                </c:pt>
                <c:pt idx="3">
                  <c:v>1.7181807184041598E-2</c:v>
                </c:pt>
                <c:pt idx="4">
                  <c:v>1.6902490054067201E-2</c:v>
                </c:pt>
                <c:pt idx="5">
                  <c:v>1.6531158030732743E-2</c:v>
                </c:pt>
                <c:pt idx="6">
                  <c:v>1.713606089230426E-2</c:v>
                </c:pt>
                <c:pt idx="7">
                  <c:v>1.8196196501834357E-2</c:v>
                </c:pt>
                <c:pt idx="8">
                  <c:v>1.8684763785133236E-2</c:v>
                </c:pt>
                <c:pt idx="9">
                  <c:v>1.9273663203246076E-2</c:v>
                </c:pt>
                <c:pt idx="10">
                  <c:v>1.8134548357121919E-2</c:v>
                </c:pt>
              </c:numCache>
            </c:numRef>
          </c:yVal>
          <c:smooth val="0"/>
          <c:extLst>
            <c:ext xmlns:c16="http://schemas.microsoft.com/office/drawing/2014/chart" uri="{C3380CC4-5D6E-409C-BE32-E72D297353CC}">
              <c16:uniqueId val="{00000000-E89B-4B7F-B276-59A9C9717175}"/>
            </c:ext>
          </c:extLst>
        </c:ser>
        <c:dLbls>
          <c:showLegendKey val="0"/>
          <c:showVal val="0"/>
          <c:showCatName val="0"/>
          <c:showSerName val="0"/>
          <c:showPercent val="0"/>
          <c:showBubbleSize val="0"/>
        </c:dLbls>
        <c:axId val="692887135"/>
        <c:axId val="692899199"/>
      </c:scatterChart>
      <c:valAx>
        <c:axId val="692887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99199"/>
        <c:crosses val="autoZero"/>
        <c:crossBetween val="midCat"/>
      </c:valAx>
      <c:valAx>
        <c:axId val="69289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871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75" b="1" i="0" u="none" strike="noStrike" baseline="0">
                <a:solidFill>
                  <a:srgbClr val="000000"/>
                </a:solidFill>
                <a:latin typeface="Arial"/>
                <a:ea typeface="Arial"/>
                <a:cs typeface="Arial"/>
              </a:defRPr>
            </a:pPr>
            <a:r>
              <a:rPr lang="en-ZA"/>
              <a:t>Beef price outlook: Economy shock</a:t>
            </a:r>
          </a:p>
        </c:rich>
      </c:tx>
      <c:overlay val="0"/>
      <c:spPr>
        <a:noFill/>
        <a:ln w="25400">
          <a:noFill/>
        </a:ln>
      </c:spPr>
    </c:title>
    <c:autoTitleDeleted val="0"/>
    <c:plotArea>
      <c:layout/>
      <c:lineChart>
        <c:grouping val="standard"/>
        <c:varyColors val="0"/>
        <c:ser>
          <c:idx val="0"/>
          <c:order val="0"/>
          <c:spPr>
            <a:ln w="25400">
              <a:solidFill>
                <a:srgbClr val="FF0000"/>
              </a:solidFill>
              <a:prstDash val="solid"/>
            </a:ln>
          </c:spPr>
          <c:marker>
            <c:symbol val="diamond"/>
            <c:size val="7"/>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117-45CF-AAC5-4FAE3027B774}"/>
            </c:ext>
          </c:extLst>
        </c:ser>
        <c:ser>
          <c:idx val="1"/>
          <c:order val="1"/>
          <c:spPr>
            <a:ln w="25400">
              <a:solidFill>
                <a:srgbClr val="FF0000"/>
              </a:solidFill>
              <a:prstDash val="solid"/>
            </a:ln>
          </c:spPr>
          <c:marker>
            <c:symbol val="square"/>
            <c:size val="7"/>
            <c:spPr>
              <a:no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117-45CF-AAC5-4FAE3027B774}"/>
            </c:ext>
          </c:extLst>
        </c:ser>
        <c:dLbls>
          <c:showLegendKey val="0"/>
          <c:showVal val="0"/>
          <c:showCatName val="0"/>
          <c:showSerName val="0"/>
          <c:showPercent val="0"/>
          <c:showBubbleSize val="0"/>
        </c:dLbls>
        <c:marker val="1"/>
        <c:smooth val="0"/>
        <c:axId val="1910012864"/>
        <c:axId val="1909993280"/>
      </c:lineChart>
      <c:catAx>
        <c:axId val="1910012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09993280"/>
        <c:crosses val="autoZero"/>
        <c:auto val="1"/>
        <c:lblAlgn val="ctr"/>
        <c:lblOffset val="100"/>
        <c:tickLblSkip val="1"/>
        <c:tickMarkSkip val="1"/>
        <c:noMultiLvlLbl val="0"/>
      </c:catAx>
      <c:valAx>
        <c:axId val="1909993280"/>
        <c:scaling>
          <c:orientation val="minMax"/>
        </c:scaling>
        <c:delete val="0"/>
        <c:axPos val="l"/>
        <c:majorGridlines>
          <c:spPr>
            <a:ln w="3175">
              <a:solidFill>
                <a:srgbClr val="000000"/>
              </a:solidFill>
              <a:prstDash val="solid"/>
            </a:ln>
          </c:spPr>
        </c:majorGridlines>
        <c:title>
          <c:tx>
            <c:rich>
              <a:bodyPr/>
              <a:lstStyle/>
              <a:p>
                <a:pPr>
                  <a:defRPr sz="250" b="0" i="0" u="none" strike="noStrike" baseline="0">
                    <a:solidFill>
                      <a:srgbClr val="000000"/>
                    </a:solidFill>
                    <a:latin typeface="Arial"/>
                    <a:ea typeface="Arial"/>
                    <a:cs typeface="Arial"/>
                  </a:defRPr>
                </a:pPr>
                <a:r>
                  <a:rPr lang="en-ZA"/>
                  <a:t>c/kg</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10012864"/>
        <c:crosses val="autoZero"/>
        <c:crossBetween val="between"/>
        <c:majorUnit val="1000"/>
      </c:valAx>
      <c:spPr>
        <a:noFill/>
        <a:ln w="12700">
          <a:solidFill>
            <a:srgbClr val="808080"/>
          </a:solidFill>
          <a:prstDash val="solid"/>
        </a:ln>
      </c:spPr>
    </c:plotArea>
    <c:legend>
      <c:legendPos val="b"/>
      <c:overlay val="0"/>
      <c:spPr>
        <a:noFill/>
        <a:ln w="25400">
          <a:noFill/>
        </a:ln>
      </c:spPr>
      <c:txPr>
        <a:bodyPr/>
        <a:lstStyle/>
        <a:p>
          <a:pPr>
            <a:defRPr sz="23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50" b="1" i="0" u="none" strike="noStrike" baseline="0">
                <a:solidFill>
                  <a:srgbClr val="000000"/>
                </a:solidFill>
                <a:latin typeface="Arial"/>
                <a:ea typeface="Arial"/>
                <a:cs typeface="Arial"/>
              </a:defRPr>
            </a:pPr>
            <a:r>
              <a:rPr lang="en-ZA"/>
              <a:t>Beef:Maize price ratio outlook</a:t>
            </a:r>
          </a:p>
        </c:rich>
      </c:tx>
      <c:overlay val="0"/>
      <c:spPr>
        <a:noFill/>
        <a:ln w="25400">
          <a:noFill/>
        </a:ln>
      </c:spPr>
    </c:title>
    <c:autoTitleDeleted val="0"/>
    <c:plotArea>
      <c:layout/>
      <c:barChart>
        <c:barDir val="col"/>
        <c:grouping val="clustered"/>
        <c:varyColors val="0"/>
        <c:ser>
          <c:idx val="0"/>
          <c:order val="0"/>
          <c:spPr>
            <a:solidFill>
              <a:srgbClr val="0000FF"/>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07A-430E-847B-882FB6A03E40}"/>
            </c:ext>
          </c:extLst>
        </c:ser>
        <c:ser>
          <c:idx val="1"/>
          <c:order val="1"/>
          <c:spPr>
            <a:solidFill>
              <a:srgbClr val="FF0000"/>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B07A-430E-847B-882FB6A03E40}"/>
            </c:ext>
          </c:extLst>
        </c:ser>
        <c:dLbls>
          <c:showLegendKey val="0"/>
          <c:showVal val="0"/>
          <c:showCatName val="0"/>
          <c:showSerName val="0"/>
          <c:showPercent val="0"/>
          <c:showBubbleSize val="0"/>
        </c:dLbls>
        <c:gapWidth val="150"/>
        <c:axId val="1909999808"/>
        <c:axId val="1910000896"/>
      </c:barChart>
      <c:catAx>
        <c:axId val="19099998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10000896"/>
        <c:crosses val="autoZero"/>
        <c:auto val="1"/>
        <c:lblAlgn val="ctr"/>
        <c:lblOffset val="100"/>
        <c:tickLblSkip val="1"/>
        <c:tickMarkSkip val="1"/>
        <c:noMultiLvlLbl val="0"/>
      </c:catAx>
      <c:valAx>
        <c:axId val="191000089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09999808"/>
        <c:crosses val="autoZero"/>
        <c:crossBetween val="between"/>
      </c:valAx>
      <c:spPr>
        <a:noFill/>
        <a:ln w="12700">
          <a:solidFill>
            <a:srgbClr val="808080"/>
          </a:solidFill>
          <a:prstDash val="solid"/>
        </a:ln>
      </c:spPr>
    </c:plotArea>
    <c:legend>
      <c:legendPos val="b"/>
      <c:overlay val="0"/>
      <c:spPr>
        <a:noFill/>
        <a:ln w="25400">
          <a:noFill/>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2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339966"/>
            </a:solidFill>
            <a:ln w="12700">
              <a:solidFill>
                <a:srgbClr val="000000"/>
              </a:solidFill>
              <a:prstDash val="solid"/>
            </a:ln>
          </c:spPr>
          <c:invertIfNegative val="0"/>
          <c:trendline>
            <c:spPr>
              <a:ln w="25400">
                <a:solidFill>
                  <a:srgbClr val="FF0000"/>
                </a:solidFill>
                <a:prstDash val="sysDash"/>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001-47AC-96D9-508B160716E2}"/>
            </c:ext>
          </c:extLst>
        </c:ser>
        <c:ser>
          <c:idx val="1"/>
          <c:order val="1"/>
          <c:spPr>
            <a:solidFill>
              <a:srgbClr val="808080"/>
            </a:solidFill>
            <a:ln w="12700">
              <a:solidFill>
                <a:srgbClr val="000000"/>
              </a:solidFill>
              <a:prstDash val="solid"/>
            </a:ln>
          </c:spPr>
          <c:invertIfNegative val="0"/>
          <c:trendline>
            <c:spPr>
              <a:ln w="25400">
                <a:solidFill>
                  <a:srgbClr val="000000"/>
                </a:solidFill>
                <a:prstDash val="solid"/>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001-47AC-96D9-508B160716E2}"/>
            </c:ext>
          </c:extLst>
        </c:ser>
        <c:dLbls>
          <c:showLegendKey val="0"/>
          <c:showVal val="0"/>
          <c:showCatName val="0"/>
          <c:showSerName val="0"/>
          <c:showPercent val="0"/>
          <c:showBubbleSize val="0"/>
        </c:dLbls>
        <c:gapWidth val="150"/>
        <c:axId val="1910001440"/>
        <c:axId val="1910004160"/>
      </c:barChart>
      <c:catAx>
        <c:axId val="191000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4160"/>
        <c:crosses val="autoZero"/>
        <c:auto val="1"/>
        <c:lblAlgn val="ctr"/>
        <c:lblOffset val="100"/>
        <c:tickLblSkip val="2"/>
        <c:tickMarkSkip val="1"/>
        <c:noMultiLvlLbl val="0"/>
      </c:catAx>
      <c:valAx>
        <c:axId val="1910004160"/>
        <c:scaling>
          <c:orientation val="minMax"/>
        </c:scaling>
        <c:delete val="0"/>
        <c:axPos val="l"/>
        <c:majorGridlines>
          <c:spPr>
            <a:ln w="3175">
              <a:solidFill>
                <a:srgbClr val="000000"/>
              </a:solidFill>
              <a:prstDash val="solid"/>
            </a:ln>
          </c:spPr>
        </c:majorGridlines>
        <c:title>
          <c:tx>
            <c:rich>
              <a:bodyPr/>
              <a:lstStyle/>
              <a:p>
                <a:pPr>
                  <a:defRPr sz="275"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1440"/>
        <c:crosses val="autoZero"/>
        <c:crossBetween val="between"/>
        <c:majorUnit val="200"/>
      </c:valAx>
      <c:spPr>
        <a:noFill/>
        <a:ln w="12700">
          <a:solidFill>
            <a:srgbClr val="808080"/>
          </a:solidFill>
          <a:prstDash val="solid"/>
        </a:ln>
      </c:spPr>
    </c:plotArea>
    <c:legend>
      <c:legendPos val="r"/>
      <c:legendEntry>
        <c:idx val="2"/>
        <c:delete val="1"/>
      </c:legendEntry>
      <c:legendEntry>
        <c:idx val="3"/>
        <c:delete val="1"/>
      </c:legendEntry>
      <c:overlay val="0"/>
      <c:spPr>
        <a:no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38100">
              <a:solidFill>
                <a:srgbClr val="FF0000"/>
              </a:solidFill>
              <a:prstDash val="solid"/>
            </a:ln>
          </c:spPr>
          <c:marker>
            <c:symbol val="diamond"/>
            <c:size val="9"/>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76A-454D-9E8D-7C35430BA000}"/>
            </c:ext>
          </c:extLst>
        </c:ser>
        <c:ser>
          <c:idx val="1"/>
          <c:order val="1"/>
          <c:spPr>
            <a:ln w="38100">
              <a:solidFill>
                <a:srgbClr val="333333"/>
              </a:solidFill>
              <a:prstDash val="sysDash"/>
            </a:ln>
          </c:spPr>
          <c:marker>
            <c:symbol val="square"/>
            <c:size val="9"/>
            <c:spPr>
              <a:noFill/>
              <a:ln>
                <a:solidFill>
                  <a:srgbClr val="333333"/>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76A-454D-9E8D-7C35430BA000}"/>
            </c:ext>
          </c:extLst>
        </c:ser>
        <c:dLbls>
          <c:showLegendKey val="0"/>
          <c:showVal val="0"/>
          <c:showCatName val="0"/>
          <c:showSerName val="0"/>
          <c:showPercent val="0"/>
          <c:showBubbleSize val="0"/>
        </c:dLbls>
        <c:marker val="1"/>
        <c:smooth val="0"/>
        <c:axId val="1909986208"/>
        <c:axId val="1910006336"/>
      </c:lineChart>
      <c:catAx>
        <c:axId val="1909986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10006336"/>
        <c:crosses val="autoZero"/>
        <c:auto val="1"/>
        <c:lblAlgn val="ctr"/>
        <c:lblOffset val="100"/>
        <c:tickLblSkip val="2"/>
        <c:tickMarkSkip val="1"/>
        <c:noMultiLvlLbl val="0"/>
      </c:catAx>
      <c:valAx>
        <c:axId val="1910006336"/>
        <c:scaling>
          <c:orientation val="minMax"/>
        </c:scaling>
        <c:delete val="0"/>
        <c:axPos val="l"/>
        <c:majorGridlines>
          <c:spPr>
            <a:ln w="3175">
              <a:solidFill>
                <a:srgbClr val="000000"/>
              </a:solidFill>
              <a:prstDash val="solid"/>
            </a:ln>
          </c:spPr>
        </c:majorGridlines>
        <c:title>
          <c:tx>
            <c:rich>
              <a:bodyPr/>
              <a:lstStyle/>
              <a:p>
                <a:pPr>
                  <a:defRPr sz="300"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09986208"/>
        <c:crosses val="autoZero"/>
        <c:crossBetween val="between"/>
        <c:majorUnit val="200"/>
      </c:valAx>
      <c:spPr>
        <a:noFill/>
        <a:ln w="12700">
          <a:solidFill>
            <a:srgbClr val="808080"/>
          </a:solidFill>
          <a:prstDash val="solid"/>
        </a:ln>
      </c:spPr>
    </c:plotArea>
    <c:legend>
      <c:legendPos val="b"/>
      <c:overlay val="0"/>
      <c:spPr>
        <a:solidFill>
          <a:srgbClr val="FFFFFF"/>
        </a:solid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verification'!$B$4</c:f>
              <c:strCache>
                <c:ptCount val="1"/>
                <c:pt idx="0">
                  <c:v>Chicken production (BFAP)</c:v>
                </c:pt>
              </c:strCache>
            </c:strRef>
          </c:tx>
          <c:spPr>
            <a:ln w="28575" cap="rnd">
              <a:solidFill>
                <a:schemeClr val="accent1"/>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verification'!$C$4:$BA$4</c:f>
              <c:numCache>
                <c:formatCode>0.00</c:formatCode>
                <c:ptCount val="51"/>
                <c:pt idx="0">
                  <c:v>993.09182234073091</c:v>
                </c:pt>
                <c:pt idx="1">
                  <c:v>993.09182234073091</c:v>
                </c:pt>
                <c:pt idx="2">
                  <c:v>993.09182234073091</c:v>
                </c:pt>
                <c:pt idx="3">
                  <c:v>1043.5184288423109</c:v>
                </c:pt>
                <c:pt idx="4">
                  <c:v>1063.935684388</c:v>
                </c:pt>
                <c:pt idx="5">
                  <c:v>1250.3949420410001</c:v>
                </c:pt>
                <c:pt idx="6">
                  <c:v>1361.4582773811801</c:v>
                </c:pt>
                <c:pt idx="7">
                  <c:v>1418.12680256985</c:v>
                </c:pt>
                <c:pt idx="8">
                  <c:v>1510.0595450369999</c:v>
                </c:pt>
                <c:pt idx="9">
                  <c:v>1467.5146597320002</c:v>
                </c:pt>
                <c:pt idx="10">
                  <c:v>1455.5368726329998</c:v>
                </c:pt>
                <c:pt idx="11">
                  <c:v>1511.75508982</c:v>
                </c:pt>
                <c:pt idx="12">
                  <c:v>1600</c:v>
                </c:pt>
                <c:pt idx="13">
                  <c:v>1550</c:v>
                </c:pt>
                <c:pt idx="14">
                  <c:v>1500</c:v>
                </c:pt>
                <c:pt idx="15">
                  <c:v>1604.9091918984675</c:v>
                </c:pt>
                <c:pt idx="16">
                  <c:v>1560</c:v>
                </c:pt>
                <c:pt idx="17">
                  <c:v>1530</c:v>
                </c:pt>
                <c:pt idx="18">
                  <c:v>1620</c:v>
                </c:pt>
                <c:pt idx="19">
                  <c:v>1680</c:v>
                </c:pt>
                <c:pt idx="20">
                  <c:v>1715</c:v>
                </c:pt>
                <c:pt idx="21">
                  <c:v>1780</c:v>
                </c:pt>
                <c:pt idx="22">
                  <c:v>1785</c:v>
                </c:pt>
                <c:pt idx="23">
                  <c:v>1790</c:v>
                </c:pt>
                <c:pt idx="24">
                  <c:v>1795</c:v>
                </c:pt>
                <c:pt idx="25">
                  <c:v>1800</c:v>
                </c:pt>
                <c:pt idx="26">
                  <c:v>1805</c:v>
                </c:pt>
                <c:pt idx="27">
                  <c:v>1810</c:v>
                </c:pt>
                <c:pt idx="28">
                  <c:v>1815</c:v>
                </c:pt>
              </c:numCache>
            </c:numRef>
          </c:val>
          <c:smooth val="0"/>
          <c:extLst>
            <c:ext xmlns:c16="http://schemas.microsoft.com/office/drawing/2014/chart" uri="{C3380CC4-5D6E-409C-BE32-E72D297353CC}">
              <c16:uniqueId val="{00000000-0961-441D-9E04-BF04E6707262}"/>
            </c:ext>
          </c:extLst>
        </c:ser>
        <c:ser>
          <c:idx val="1"/>
          <c:order val="1"/>
          <c:tx>
            <c:strRef>
              <c:f>'BFAP verification'!$B$5</c:f>
              <c:strCache>
                <c:ptCount val="1"/>
                <c:pt idx="0">
                  <c:v>Chicken consumption (BFAP)</c:v>
                </c:pt>
              </c:strCache>
            </c:strRef>
          </c:tx>
          <c:spPr>
            <a:ln w="28575" cap="rnd">
              <a:solidFill>
                <a:schemeClr val="accent2"/>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verification'!$C$5:$BA$5</c:f>
              <c:numCache>
                <c:formatCode>0.00</c:formatCode>
                <c:ptCount val="51"/>
                <c:pt idx="0">
                  <c:v>1079.3522583407307</c:v>
                </c:pt>
                <c:pt idx="1">
                  <c:v>1079.3522583407307</c:v>
                </c:pt>
                <c:pt idx="2">
                  <c:v>1079.3522583407307</c:v>
                </c:pt>
                <c:pt idx="3">
                  <c:v>1188.8597378423108</c:v>
                </c:pt>
                <c:pt idx="4">
                  <c:v>1206.674888388</c:v>
                </c:pt>
                <c:pt idx="5">
                  <c:v>1426.810047041</c:v>
                </c:pt>
                <c:pt idx="6">
                  <c:v>1614.02513538118</c:v>
                </c:pt>
                <c:pt idx="7">
                  <c:v>1649.1401165698499</c:v>
                </c:pt>
                <c:pt idx="8">
                  <c:v>1693.2698300369998</c:v>
                </c:pt>
                <c:pt idx="9">
                  <c:v>1660.260131732</c:v>
                </c:pt>
                <c:pt idx="10">
                  <c:v>1679.6840026329999</c:v>
                </c:pt>
                <c:pt idx="11">
                  <c:v>1828.6388368200001</c:v>
                </c:pt>
                <c:pt idx="12">
                  <c:v>1876.7825659999999</c:v>
                </c:pt>
                <c:pt idx="13">
                  <c:v>1848.129913</c:v>
                </c:pt>
                <c:pt idx="14">
                  <c:v>1879.0711650000001</c:v>
                </c:pt>
                <c:pt idx="15">
                  <c:v>1922.8356980734377</c:v>
                </c:pt>
                <c:pt idx="16">
                  <c:v>1990.456203544496</c:v>
                </c:pt>
                <c:pt idx="17">
                  <c:v>2057.8989690155481</c:v>
                </c:pt>
                <c:pt idx="18">
                  <c:v>2126.2640708919885</c:v>
                </c:pt>
                <c:pt idx="19">
                  <c:v>2198.3453171198826</c:v>
                </c:pt>
                <c:pt idx="20">
                  <c:v>2269.7994713342828</c:v>
                </c:pt>
                <c:pt idx="21">
                  <c:v>2342.1782343068635</c:v>
                </c:pt>
                <c:pt idx="22">
                  <c:v>2416.4818482639166</c:v>
                </c:pt>
                <c:pt idx="23">
                  <c:v>2491.5186816187529</c:v>
                </c:pt>
                <c:pt idx="24">
                  <c:v>2570.8561685926552</c:v>
                </c:pt>
              </c:numCache>
            </c:numRef>
          </c:val>
          <c:smooth val="0"/>
          <c:extLst>
            <c:ext xmlns:c16="http://schemas.microsoft.com/office/drawing/2014/chart" uri="{C3380CC4-5D6E-409C-BE32-E72D297353CC}">
              <c16:uniqueId val="{00000001-0961-441D-9E04-BF04E6707262}"/>
            </c:ext>
          </c:extLst>
        </c:ser>
        <c:ser>
          <c:idx val="2"/>
          <c:order val="2"/>
          <c:tx>
            <c:strRef>
              <c:f>'BFAP verification'!$B$6</c:f>
              <c:strCache>
                <c:ptCount val="1"/>
                <c:pt idx="0">
                  <c:v>Chicken production (model)</c:v>
                </c:pt>
              </c:strCache>
            </c:strRef>
          </c:tx>
          <c:spPr>
            <a:ln w="28575" cap="rnd">
              <a:solidFill>
                <a:schemeClr val="accent3"/>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verification'!$C$6:$BA$6</c:f>
              <c:numCache>
                <c:formatCode>0.00</c:formatCode>
                <c:ptCount val="51"/>
                <c:pt idx="0">
                  <c:v>850</c:v>
                </c:pt>
                <c:pt idx="1">
                  <c:v>869</c:v>
                </c:pt>
                <c:pt idx="2">
                  <c:v>896</c:v>
                </c:pt>
                <c:pt idx="3">
                  <c:v>925</c:v>
                </c:pt>
                <c:pt idx="4">
                  <c:v>1043</c:v>
                </c:pt>
                <c:pt idx="5">
                  <c:v>1273</c:v>
                </c:pt>
                <c:pt idx="6">
                  <c:v>1427</c:v>
                </c:pt>
                <c:pt idx="7">
                  <c:v>1499</c:v>
                </c:pt>
                <c:pt idx="8">
                  <c:v>1584</c:v>
                </c:pt>
                <c:pt idx="9">
                  <c:v>1644</c:v>
                </c:pt>
                <c:pt idx="10">
                  <c:v>1681</c:v>
                </c:pt>
                <c:pt idx="11">
                  <c:v>1721</c:v>
                </c:pt>
                <c:pt idx="12">
                  <c:v>1461.9296645871286</c:v>
                </c:pt>
                <c:pt idx="13">
                  <c:v>1500.9290445244408</c:v>
                </c:pt>
                <c:pt idx="14">
                  <c:v>1551.6978906253514</c:v>
                </c:pt>
                <c:pt idx="15">
                  <c:v>1579.6991994235048</c:v>
                </c:pt>
                <c:pt idx="16">
                  <c:v>1592.2732513502281</c:v>
                </c:pt>
                <c:pt idx="17">
                  <c:v>1589.0236047287594</c:v>
                </c:pt>
                <c:pt idx="18">
                  <c:v>1597.0850065537823</c:v>
                </c:pt>
                <c:pt idx="19">
                  <c:v>1606.5563837569275</c:v>
                </c:pt>
                <c:pt idx="20">
                  <c:v>1367.6878468194336</c:v>
                </c:pt>
                <c:pt idx="21">
                  <c:v>1435.4991995685702</c:v>
                </c:pt>
                <c:pt idx="22">
                  <c:v>1536.9222597869605</c:v>
                </c:pt>
                <c:pt idx="23">
                  <c:v>1585.0280522340568</c:v>
                </c:pt>
                <c:pt idx="24">
                  <c:v>1640.2463917129166</c:v>
                </c:pt>
                <c:pt idx="25">
                  <c:v>1704.8702182687716</c:v>
                </c:pt>
                <c:pt idx="26">
                  <c:v>1777.6484436240746</c:v>
                </c:pt>
                <c:pt idx="27">
                  <c:v>1858.2069909062395</c:v>
                </c:pt>
                <c:pt idx="28">
                  <c:v>1940.9746849014207</c:v>
                </c:pt>
                <c:pt idx="29">
                  <c:v>2031.1869499699046</c:v>
                </c:pt>
                <c:pt idx="30">
                  <c:v>2123.260613221124</c:v>
                </c:pt>
                <c:pt idx="31">
                  <c:v>2229.1869025900755</c:v>
                </c:pt>
                <c:pt idx="32">
                  <c:v>2333.4828716685406</c:v>
                </c:pt>
                <c:pt idx="33">
                  <c:v>2443.6660847022772</c:v>
                </c:pt>
                <c:pt idx="34">
                  <c:v>2568.8768708687639</c:v>
                </c:pt>
                <c:pt idx="35">
                  <c:v>2687.6692467892426</c:v>
                </c:pt>
                <c:pt idx="36">
                  <c:v>2815.4636514367085</c:v>
                </c:pt>
                <c:pt idx="37">
                  <c:v>2952.2867901237973</c:v>
                </c:pt>
                <c:pt idx="38">
                  <c:v>3080.5532051622704</c:v>
                </c:pt>
                <c:pt idx="39">
                  <c:v>3208.2092541373941</c:v>
                </c:pt>
                <c:pt idx="40">
                  <c:v>3335.6070685618292</c:v>
                </c:pt>
                <c:pt idx="41">
                  <c:v>3476.1514980686879</c:v>
                </c:pt>
                <c:pt idx="42">
                  <c:v>3611.367690709269</c:v>
                </c:pt>
                <c:pt idx="43">
                  <c:v>3751.9043108681694</c:v>
                </c:pt>
                <c:pt idx="44">
                  <c:v>3898.4415153154782</c:v>
                </c:pt>
                <c:pt idx="45">
                  <c:v>4052.0505323936241</c:v>
                </c:pt>
                <c:pt idx="46">
                  <c:v>4214.3196207305646</c:v>
                </c:pt>
                <c:pt idx="47">
                  <c:v>4258.7262781532336</c:v>
                </c:pt>
                <c:pt idx="48">
                  <c:v>4292.1326981501797</c:v>
                </c:pt>
                <c:pt idx="49">
                  <c:v>4309.5811651536087</c:v>
                </c:pt>
                <c:pt idx="50">
                  <c:v>4322.2363188622076</c:v>
                </c:pt>
              </c:numCache>
            </c:numRef>
          </c:val>
          <c:smooth val="0"/>
          <c:extLst>
            <c:ext xmlns:c16="http://schemas.microsoft.com/office/drawing/2014/chart" uri="{C3380CC4-5D6E-409C-BE32-E72D297353CC}">
              <c16:uniqueId val="{00000002-0961-441D-9E04-BF04E6707262}"/>
            </c:ext>
          </c:extLst>
        </c:ser>
        <c:ser>
          <c:idx val="3"/>
          <c:order val="3"/>
          <c:tx>
            <c:strRef>
              <c:f>'BFAP verification'!$B$7</c:f>
              <c:strCache>
                <c:ptCount val="1"/>
                <c:pt idx="0">
                  <c:v>Chicken consumption (model)</c:v>
                </c:pt>
              </c:strCache>
            </c:strRef>
          </c:tx>
          <c:spPr>
            <a:ln w="28575" cap="rnd">
              <a:solidFill>
                <a:schemeClr val="accent4"/>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verification'!$C$7:$BA$7</c:f>
              <c:numCache>
                <c:formatCode>0.00</c:formatCode>
                <c:ptCount val="51"/>
                <c:pt idx="0">
                  <c:v>927</c:v>
                </c:pt>
                <c:pt idx="1">
                  <c:v>938</c:v>
                </c:pt>
                <c:pt idx="2">
                  <c:v>965</c:v>
                </c:pt>
                <c:pt idx="3">
                  <c:v>1032</c:v>
                </c:pt>
                <c:pt idx="4">
                  <c:v>1196</c:v>
                </c:pt>
                <c:pt idx="5">
                  <c:v>1455</c:v>
                </c:pt>
                <c:pt idx="6">
                  <c:v>1664</c:v>
                </c:pt>
                <c:pt idx="7">
                  <c:v>1767</c:v>
                </c:pt>
                <c:pt idx="8">
                  <c:v>1813</c:v>
                </c:pt>
                <c:pt idx="9">
                  <c:v>1841</c:v>
                </c:pt>
                <c:pt idx="10">
                  <c:v>1887</c:v>
                </c:pt>
                <c:pt idx="11">
                  <c:v>1987</c:v>
                </c:pt>
                <c:pt idx="12">
                  <c:v>1780.5365679391939</c:v>
                </c:pt>
                <c:pt idx="13">
                  <c:v>1834.642518675608</c:v>
                </c:pt>
                <c:pt idx="14">
                  <c:v>1905.0768868757136</c:v>
                </c:pt>
                <c:pt idx="15">
                  <c:v>1943.9246182197323</c:v>
                </c:pt>
                <c:pt idx="16">
                  <c:v>1961.3692810630382</c:v>
                </c:pt>
                <c:pt idx="17">
                  <c:v>1956.8608704089575</c:v>
                </c:pt>
                <c:pt idx="18">
                  <c:v>1968.0448895064972</c:v>
                </c:pt>
                <c:pt idx="19">
                  <c:v>1981.1850437649266</c:v>
                </c:pt>
                <c:pt idx="20">
                  <c:v>1649.7897930508427</c:v>
                </c:pt>
                <c:pt idx="21">
                  <c:v>1743.8681531968753</c:v>
                </c:pt>
                <c:pt idx="22">
                  <c:v>1884.5778544416992</c:v>
                </c:pt>
                <c:pt idx="23">
                  <c:v>1951.3176241627186</c:v>
                </c:pt>
                <c:pt idx="24">
                  <c:v>2027.9250153671976</c:v>
                </c:pt>
                <c:pt idx="25">
                  <c:v>2117.5811478916125</c:v>
                </c:pt>
                <c:pt idx="26">
                  <c:v>2218.5503192499059</c:v>
                </c:pt>
                <c:pt idx="27">
                  <c:v>2330.313552348794</c:v>
                </c:pt>
                <c:pt idx="28">
                  <c:v>2445.1416542588295</c:v>
                </c:pt>
                <c:pt idx="29">
                  <c:v>2570.2980125768727</c:v>
                </c:pt>
                <c:pt idx="30">
                  <c:v>2698.0367893471521</c:v>
                </c:pt>
                <c:pt idx="31">
                  <c:v>2844.9940641422922</c:v>
                </c:pt>
                <c:pt idx="32">
                  <c:v>2989.6895073528422</c:v>
                </c:pt>
                <c:pt idx="33">
                  <c:v>3142.5526427659138</c:v>
                </c:pt>
                <c:pt idx="34">
                  <c:v>3316.2643437950383</c:v>
                </c:pt>
                <c:pt idx="35">
                  <c:v>3481.0714368756571</c:v>
                </c:pt>
                <c:pt idx="36">
                  <c:v>3658.367531668945</c:v>
                </c:pt>
                <c:pt idx="37">
                  <c:v>3848.1896779006224</c:v>
                </c:pt>
                <c:pt idx="38">
                  <c:v>4026.1406182582241</c:v>
                </c:pt>
                <c:pt idx="39">
                  <c:v>4203.2447647383888</c:v>
                </c:pt>
                <c:pt idx="40">
                  <c:v>4379.9906484487228</c:v>
                </c:pt>
                <c:pt idx="41">
                  <c:v>4574.9755428598319</c:v>
                </c:pt>
                <c:pt idx="42">
                  <c:v>4762.5682858607861</c:v>
                </c:pt>
                <c:pt idx="43">
                  <c:v>4957.5423459407693</c:v>
                </c:pt>
                <c:pt idx="44">
                  <c:v>5160.8413414022953</c:v>
                </c:pt>
                <c:pt idx="45">
                  <c:v>5373.9514453080128</c:v>
                </c:pt>
                <c:pt idx="46">
                  <c:v>5599.0761348213837</c:v>
                </c:pt>
                <c:pt idx="47">
                  <c:v>5660.6838942970917</c:v>
                </c:pt>
                <c:pt idx="48">
                  <c:v>5707.0304289737996</c:v>
                </c:pt>
                <c:pt idx="49">
                  <c:v>5731.2376316942273</c:v>
                </c:pt>
                <c:pt idx="50">
                  <c:v>5748.7948114293877</c:v>
                </c:pt>
              </c:numCache>
            </c:numRef>
          </c:val>
          <c:smooth val="0"/>
          <c:extLst>
            <c:ext xmlns:c16="http://schemas.microsoft.com/office/drawing/2014/chart" uri="{C3380CC4-5D6E-409C-BE32-E72D297353CC}">
              <c16:uniqueId val="{00000003-0961-441D-9E04-BF04E6707262}"/>
            </c:ext>
          </c:extLst>
        </c:ser>
        <c:dLbls>
          <c:showLegendKey val="0"/>
          <c:showVal val="0"/>
          <c:showCatName val="0"/>
          <c:showSerName val="0"/>
          <c:showPercent val="0"/>
          <c:showBubbleSize val="0"/>
        </c:dLbls>
        <c:smooth val="0"/>
        <c:axId val="1913240207"/>
        <c:axId val="1913233551"/>
      </c:lineChart>
      <c:catAx>
        <c:axId val="191324020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33551"/>
        <c:crosses val="autoZero"/>
        <c:auto val="1"/>
        <c:lblAlgn val="ctr"/>
        <c:lblOffset val="100"/>
        <c:noMultiLvlLbl val="0"/>
      </c:catAx>
      <c:valAx>
        <c:axId val="1913233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40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verification'!$B$10</c:f>
              <c:strCache>
                <c:ptCount val="1"/>
                <c:pt idx="0">
                  <c:v>Egg production (BFAP)</c:v>
                </c:pt>
              </c:strCache>
            </c:strRef>
          </c:tx>
          <c:spPr>
            <a:ln w="28575" cap="rnd">
              <a:solidFill>
                <a:schemeClr val="accent1"/>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verification'!$C$10:$BA$10</c:f>
              <c:numCache>
                <c:formatCode>0.00</c:formatCode>
                <c:ptCount val="51"/>
                <c:pt idx="0">
                  <c:v>325.34589665653499</c:v>
                </c:pt>
                <c:pt idx="1">
                  <c:v>325.34589665653499</c:v>
                </c:pt>
                <c:pt idx="2">
                  <c:v>325.34589665653499</c:v>
                </c:pt>
                <c:pt idx="3">
                  <c:v>318.8389787234043</c:v>
                </c:pt>
                <c:pt idx="4">
                  <c:v>318.8389787234043</c:v>
                </c:pt>
                <c:pt idx="5">
                  <c:v>325.21575829787241</c:v>
                </c:pt>
                <c:pt idx="6">
                  <c:v>328.46791588085114</c:v>
                </c:pt>
                <c:pt idx="7">
                  <c:v>363.86063999999999</c:v>
                </c:pt>
                <c:pt idx="8">
                  <c:v>368.28791999999999</c:v>
                </c:pt>
                <c:pt idx="9">
                  <c:v>373.60199999999998</c:v>
                </c:pt>
                <c:pt idx="10">
                  <c:v>386.43599999999998</c:v>
                </c:pt>
                <c:pt idx="11">
                  <c:v>404.49</c:v>
                </c:pt>
                <c:pt idx="12">
                  <c:v>450.04</c:v>
                </c:pt>
                <c:pt idx="13">
                  <c:v>439.4</c:v>
                </c:pt>
                <c:pt idx="14">
                  <c:v>421.88</c:v>
                </c:pt>
                <c:pt idx="15">
                  <c:v>433.92676812049251</c:v>
                </c:pt>
                <c:pt idx="16">
                  <c:v>435</c:v>
                </c:pt>
                <c:pt idx="17">
                  <c:v>400</c:v>
                </c:pt>
                <c:pt idx="18">
                  <c:v>410</c:v>
                </c:pt>
                <c:pt idx="19">
                  <c:v>415</c:v>
                </c:pt>
                <c:pt idx="20">
                  <c:v>424</c:v>
                </c:pt>
                <c:pt idx="21">
                  <c:v>440</c:v>
                </c:pt>
                <c:pt idx="22">
                  <c:v>450</c:v>
                </c:pt>
                <c:pt idx="23">
                  <c:v>458</c:v>
                </c:pt>
                <c:pt idx="24">
                  <c:v>460</c:v>
                </c:pt>
                <c:pt idx="25">
                  <c:v>470</c:v>
                </c:pt>
                <c:pt idx="26">
                  <c:v>480</c:v>
                </c:pt>
                <c:pt idx="27">
                  <c:v>490</c:v>
                </c:pt>
                <c:pt idx="28">
                  <c:v>500</c:v>
                </c:pt>
              </c:numCache>
            </c:numRef>
          </c:val>
          <c:smooth val="0"/>
          <c:extLst>
            <c:ext xmlns:c16="http://schemas.microsoft.com/office/drawing/2014/chart" uri="{C3380CC4-5D6E-409C-BE32-E72D297353CC}">
              <c16:uniqueId val="{00000000-76CF-4086-B27B-5C61DEAA5E1D}"/>
            </c:ext>
          </c:extLst>
        </c:ser>
        <c:ser>
          <c:idx val="1"/>
          <c:order val="1"/>
          <c:tx>
            <c:strRef>
              <c:f>'BFAP verification'!$B$11</c:f>
              <c:strCache>
                <c:ptCount val="1"/>
                <c:pt idx="0">
                  <c:v>Egg consumption (BFAP)</c:v>
                </c:pt>
              </c:strCache>
            </c:strRef>
          </c:tx>
          <c:spPr>
            <a:ln w="28575" cap="rnd">
              <a:solidFill>
                <a:schemeClr val="accent2"/>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verification'!$C$11:$BA$11</c:f>
              <c:numCache>
                <c:formatCode>0.00</c:formatCode>
                <c:ptCount val="51"/>
                <c:pt idx="0">
                  <c:v>321.91089665653499</c:v>
                </c:pt>
                <c:pt idx="1">
                  <c:v>321.91089665653499</c:v>
                </c:pt>
                <c:pt idx="2">
                  <c:v>321.91089665653499</c:v>
                </c:pt>
                <c:pt idx="3">
                  <c:v>316.1402608231254</c:v>
                </c:pt>
                <c:pt idx="4">
                  <c:v>317.8939787234043</c:v>
                </c:pt>
                <c:pt idx="5">
                  <c:v>324.27075829787242</c:v>
                </c:pt>
                <c:pt idx="6">
                  <c:v>328.91791588085113</c:v>
                </c:pt>
                <c:pt idx="7">
                  <c:v>364.32063999999997</c:v>
                </c:pt>
                <c:pt idx="8">
                  <c:v>367.77791999999999</c:v>
                </c:pt>
                <c:pt idx="9">
                  <c:v>371.36519499999997</c:v>
                </c:pt>
                <c:pt idx="10">
                  <c:v>382.88327899999996</c:v>
                </c:pt>
                <c:pt idx="11">
                  <c:v>401.97165999999999</c:v>
                </c:pt>
                <c:pt idx="12">
                  <c:v>445.23</c:v>
                </c:pt>
                <c:pt idx="13">
                  <c:v>435.75099999999998</c:v>
                </c:pt>
                <c:pt idx="14">
                  <c:v>416.88200000000001</c:v>
                </c:pt>
                <c:pt idx="15">
                  <c:v>429.92676812049251</c:v>
                </c:pt>
                <c:pt idx="16">
                  <c:v>431</c:v>
                </c:pt>
                <c:pt idx="17">
                  <c:v>396</c:v>
                </c:pt>
                <c:pt idx="18">
                  <c:v>406</c:v>
                </c:pt>
                <c:pt idx="19">
                  <c:v>411</c:v>
                </c:pt>
                <c:pt idx="20">
                  <c:v>420</c:v>
                </c:pt>
                <c:pt idx="21">
                  <c:v>436</c:v>
                </c:pt>
                <c:pt idx="22">
                  <c:v>446</c:v>
                </c:pt>
                <c:pt idx="23">
                  <c:v>454</c:v>
                </c:pt>
                <c:pt idx="24">
                  <c:v>456</c:v>
                </c:pt>
                <c:pt idx="25">
                  <c:v>466</c:v>
                </c:pt>
                <c:pt idx="26">
                  <c:v>476</c:v>
                </c:pt>
                <c:pt idx="27">
                  <c:v>486</c:v>
                </c:pt>
                <c:pt idx="28">
                  <c:v>496</c:v>
                </c:pt>
              </c:numCache>
            </c:numRef>
          </c:val>
          <c:smooth val="0"/>
          <c:extLst>
            <c:ext xmlns:c16="http://schemas.microsoft.com/office/drawing/2014/chart" uri="{C3380CC4-5D6E-409C-BE32-E72D297353CC}">
              <c16:uniqueId val="{00000001-76CF-4086-B27B-5C61DEAA5E1D}"/>
            </c:ext>
          </c:extLst>
        </c:ser>
        <c:ser>
          <c:idx val="2"/>
          <c:order val="2"/>
          <c:tx>
            <c:strRef>
              <c:f>'BFAP verification'!$B$12</c:f>
              <c:strCache>
                <c:ptCount val="1"/>
                <c:pt idx="0">
                  <c:v>Egg production (model)</c:v>
                </c:pt>
              </c:strCache>
            </c:strRef>
          </c:tx>
          <c:spPr>
            <a:ln w="28575" cap="rnd">
              <a:solidFill>
                <a:schemeClr val="accent3"/>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verification'!$C$12:$BA$12</c:f>
              <c:numCache>
                <c:formatCode>0.00</c:formatCode>
                <c:ptCount val="51"/>
                <c:pt idx="0">
                  <c:v>329</c:v>
                </c:pt>
                <c:pt idx="1">
                  <c:v>330</c:v>
                </c:pt>
                <c:pt idx="2">
                  <c:v>340</c:v>
                </c:pt>
                <c:pt idx="3">
                  <c:v>328</c:v>
                </c:pt>
                <c:pt idx="4">
                  <c:v>348</c:v>
                </c:pt>
                <c:pt idx="5">
                  <c:v>375</c:v>
                </c:pt>
                <c:pt idx="6">
                  <c:v>412</c:v>
                </c:pt>
                <c:pt idx="7">
                  <c:v>438</c:v>
                </c:pt>
                <c:pt idx="8">
                  <c:v>426</c:v>
                </c:pt>
                <c:pt idx="9">
                  <c:v>404</c:v>
                </c:pt>
                <c:pt idx="10">
                  <c:v>413</c:v>
                </c:pt>
                <c:pt idx="11">
                  <c:v>452</c:v>
                </c:pt>
                <c:pt idx="12">
                  <c:v>448.98205019678232</c:v>
                </c:pt>
                <c:pt idx="13">
                  <c:v>458.09069820274442</c:v>
                </c:pt>
                <c:pt idx="14">
                  <c:v>468.74154231529377</c:v>
                </c:pt>
                <c:pt idx="15">
                  <c:v>476.91443074207569</c:v>
                </c:pt>
                <c:pt idx="16">
                  <c:v>483.47206766951064</c:v>
                </c:pt>
                <c:pt idx="17">
                  <c:v>488.3754655866876</c:v>
                </c:pt>
                <c:pt idx="18">
                  <c:v>494.66817106631413</c:v>
                </c:pt>
                <c:pt idx="19">
                  <c:v>501.21183128389953</c:v>
                </c:pt>
                <c:pt idx="20">
                  <c:v>478.88916979670876</c:v>
                </c:pt>
                <c:pt idx="21">
                  <c:v>490.79448586302294</c:v>
                </c:pt>
                <c:pt idx="22">
                  <c:v>506.6646825305744</c:v>
                </c:pt>
                <c:pt idx="23">
                  <c:v>516.36512356719402</c:v>
                </c:pt>
                <c:pt idx="24">
                  <c:v>526.94193883955131</c:v>
                </c:pt>
                <c:pt idx="25">
                  <c:v>538.66300778350956</c:v>
                </c:pt>
                <c:pt idx="26">
                  <c:v>550.76965586012045</c:v>
                </c:pt>
                <c:pt idx="27">
                  <c:v>563.81907946242973</c:v>
                </c:pt>
                <c:pt idx="28">
                  <c:v>577.16207885920858</c:v>
                </c:pt>
                <c:pt idx="29">
                  <c:v>591.40941378965181</c:v>
                </c:pt>
                <c:pt idx="30">
                  <c:v>605.91049264539822</c:v>
                </c:pt>
                <c:pt idx="31">
                  <c:v>621.55692521019751</c:v>
                </c:pt>
                <c:pt idx="32">
                  <c:v>637.04140842691436</c:v>
                </c:pt>
                <c:pt idx="33">
                  <c:v>653.24066533104349</c:v>
                </c:pt>
                <c:pt idx="34">
                  <c:v>671.22062135816554</c:v>
                </c:pt>
                <c:pt idx="35">
                  <c:v>688.48110459417035</c:v>
                </c:pt>
                <c:pt idx="36">
                  <c:v>706.33134957819641</c:v>
                </c:pt>
                <c:pt idx="37">
                  <c:v>725.25586807696425</c:v>
                </c:pt>
                <c:pt idx="38">
                  <c:v>743.20450601668097</c:v>
                </c:pt>
                <c:pt idx="39">
                  <c:v>761.10389924503886</c:v>
                </c:pt>
                <c:pt idx="40">
                  <c:v>778.99526371999275</c:v>
                </c:pt>
                <c:pt idx="41">
                  <c:v>797.97759408017509</c:v>
                </c:pt>
                <c:pt idx="42">
                  <c:v>816.35482210281702</c:v>
                </c:pt>
                <c:pt idx="43">
                  <c:v>835.36859006952193</c:v>
                </c:pt>
                <c:pt idx="44">
                  <c:v>855.09829914198303</c:v>
                </c:pt>
                <c:pt idx="45">
                  <c:v>875.66894666959433</c:v>
                </c:pt>
                <c:pt idx="46">
                  <c:v>896.7889478874074</c:v>
                </c:pt>
                <c:pt idx="47">
                  <c:v>904.1784442698189</c:v>
                </c:pt>
                <c:pt idx="48">
                  <c:v>910.29670037511437</c:v>
                </c:pt>
                <c:pt idx="49">
                  <c:v>914.56574710650716</c:v>
                </c:pt>
                <c:pt idx="50">
                  <c:v>918.28734279749074</c:v>
                </c:pt>
              </c:numCache>
            </c:numRef>
          </c:val>
          <c:smooth val="0"/>
          <c:extLst>
            <c:ext xmlns:c16="http://schemas.microsoft.com/office/drawing/2014/chart" uri="{C3380CC4-5D6E-409C-BE32-E72D297353CC}">
              <c16:uniqueId val="{00000002-76CF-4086-B27B-5C61DEAA5E1D}"/>
            </c:ext>
          </c:extLst>
        </c:ser>
        <c:ser>
          <c:idx val="3"/>
          <c:order val="3"/>
          <c:tx>
            <c:strRef>
              <c:f>'BFAP verification'!$B$13</c:f>
              <c:strCache>
                <c:ptCount val="1"/>
                <c:pt idx="0">
                  <c:v>Egg consumption (model)</c:v>
                </c:pt>
              </c:strCache>
            </c:strRef>
          </c:tx>
          <c:spPr>
            <a:ln w="28575" cap="rnd">
              <a:solidFill>
                <a:schemeClr val="accent4"/>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verification'!$C$13:$BA$13</c:f>
              <c:numCache>
                <c:formatCode>0.00</c:formatCode>
                <c:ptCount val="51"/>
                <c:pt idx="0">
                  <c:v>310</c:v>
                </c:pt>
                <c:pt idx="1">
                  <c:v>308</c:v>
                </c:pt>
                <c:pt idx="2">
                  <c:v>313</c:v>
                </c:pt>
                <c:pt idx="3">
                  <c:v>305</c:v>
                </c:pt>
                <c:pt idx="4">
                  <c:v>329</c:v>
                </c:pt>
                <c:pt idx="5">
                  <c:v>357</c:v>
                </c:pt>
                <c:pt idx="6">
                  <c:v>392</c:v>
                </c:pt>
                <c:pt idx="7">
                  <c:v>416</c:v>
                </c:pt>
                <c:pt idx="8">
                  <c:v>404</c:v>
                </c:pt>
                <c:pt idx="9">
                  <c:v>379</c:v>
                </c:pt>
                <c:pt idx="10">
                  <c:v>386</c:v>
                </c:pt>
                <c:pt idx="11">
                  <c:v>426</c:v>
                </c:pt>
                <c:pt idx="12">
                  <c:v>419.28599149200954</c:v>
                </c:pt>
                <c:pt idx="13">
                  <c:v>427.66019548096801</c:v>
                </c:pt>
                <c:pt idx="14">
                  <c:v>437.45224598008747</c:v>
                </c:pt>
                <c:pt idx="15">
                  <c:v>444.96614209508408</c:v>
                </c:pt>
                <c:pt idx="16">
                  <c:v>450.99502687358489</c:v>
                </c:pt>
                <c:pt idx="17">
                  <c:v>455.50305642644469</c:v>
                </c:pt>
                <c:pt idx="18">
                  <c:v>461.28837157907071</c:v>
                </c:pt>
                <c:pt idx="19">
                  <c:v>467.30440661090245</c:v>
                </c:pt>
                <c:pt idx="20">
                  <c:v>446.78165496347418</c:v>
                </c:pt>
                <c:pt idx="21">
                  <c:v>457.72702745202378</c:v>
                </c:pt>
                <c:pt idx="22">
                  <c:v>472.31758624318297</c:v>
                </c:pt>
                <c:pt idx="23">
                  <c:v>481.23586609880425</c:v>
                </c:pt>
                <c:pt idx="24">
                  <c:v>490.9598568146904</c:v>
                </c:pt>
                <c:pt idx="25">
                  <c:v>501.7358383040513</c:v>
                </c:pt>
                <c:pt idx="26">
                  <c:v>512.86630909946587</c:v>
                </c:pt>
                <c:pt idx="27">
                  <c:v>524.8635380090185</c:v>
                </c:pt>
                <c:pt idx="28">
                  <c:v>537.1306712542638</c:v>
                </c:pt>
                <c:pt idx="29">
                  <c:v>550.22922209610658</c:v>
                </c:pt>
                <c:pt idx="30">
                  <c:v>563.56105710812017</c:v>
                </c:pt>
                <c:pt idx="31">
                  <c:v>577.94589423338266</c:v>
                </c:pt>
                <c:pt idx="32">
                  <c:v>592.18184023058393</c:v>
                </c:pt>
                <c:pt idx="33">
                  <c:v>607.07492663549567</c:v>
                </c:pt>
                <c:pt idx="34">
                  <c:v>623.60513170929687</c:v>
                </c:pt>
                <c:pt idx="35">
                  <c:v>639.47387616749631</c:v>
                </c:pt>
                <c:pt idx="36">
                  <c:v>655.88482899510291</c:v>
                </c:pt>
                <c:pt idx="37">
                  <c:v>673.28343504484474</c:v>
                </c:pt>
                <c:pt idx="38">
                  <c:v>689.78484725582973</c:v>
                </c:pt>
                <c:pt idx="39">
                  <c:v>706.24098543075286</c:v>
                </c:pt>
                <c:pt idx="40">
                  <c:v>722.68974222275949</c:v>
                </c:pt>
                <c:pt idx="41">
                  <c:v>740.14149867639765</c:v>
                </c:pt>
                <c:pt idx="42">
                  <c:v>757.03694310596325</c:v>
                </c:pt>
                <c:pt idx="43">
                  <c:v>774.51760230452828</c:v>
                </c:pt>
                <c:pt idx="44">
                  <c:v>792.65647519844697</c:v>
                </c:pt>
                <c:pt idx="45">
                  <c:v>811.56848041244007</c:v>
                </c:pt>
                <c:pt idx="46">
                  <c:v>830.98554410062411</c:v>
                </c:pt>
                <c:pt idx="47">
                  <c:v>837.77921425249315</c:v>
                </c:pt>
                <c:pt idx="48">
                  <c:v>843.40414614676513</c:v>
                </c:pt>
                <c:pt idx="49">
                  <c:v>847.32897320602581</c:v>
                </c:pt>
                <c:pt idx="50">
                  <c:v>850.75049102736705</c:v>
                </c:pt>
              </c:numCache>
            </c:numRef>
          </c:val>
          <c:smooth val="0"/>
          <c:extLst>
            <c:ext xmlns:c16="http://schemas.microsoft.com/office/drawing/2014/chart" uri="{C3380CC4-5D6E-409C-BE32-E72D297353CC}">
              <c16:uniqueId val="{00000003-76CF-4086-B27B-5C61DEAA5E1D}"/>
            </c:ext>
          </c:extLst>
        </c:ser>
        <c:dLbls>
          <c:showLegendKey val="0"/>
          <c:showVal val="0"/>
          <c:showCatName val="0"/>
          <c:showSerName val="0"/>
          <c:showPercent val="0"/>
          <c:showBubbleSize val="0"/>
        </c:dLbls>
        <c:smooth val="0"/>
        <c:axId val="1784320671"/>
        <c:axId val="1784315263"/>
      </c:lineChart>
      <c:catAx>
        <c:axId val="1784320671"/>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15263"/>
        <c:crosses val="autoZero"/>
        <c:auto val="1"/>
        <c:lblAlgn val="ctr"/>
        <c:lblOffset val="100"/>
        <c:noMultiLvlLbl val="0"/>
      </c:catAx>
      <c:valAx>
        <c:axId val="1784315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20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verification'!$B$16</c:f>
              <c:strCache>
                <c:ptCount val="1"/>
                <c:pt idx="0">
                  <c:v>Beef production (BFAP)</c:v>
                </c:pt>
              </c:strCache>
            </c:strRef>
          </c:tx>
          <c:spPr>
            <a:ln w="28575" cap="rnd">
              <a:solidFill>
                <a:schemeClr val="accent1"/>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verification'!$C$16:$BA$16</c:f>
              <c:numCache>
                <c:formatCode>0.00</c:formatCode>
                <c:ptCount val="51"/>
                <c:pt idx="0">
                  <c:v>610.16713705625</c:v>
                </c:pt>
                <c:pt idx="1">
                  <c:v>610.16713705625</c:v>
                </c:pt>
                <c:pt idx="2">
                  <c:v>610.16713705625</c:v>
                </c:pt>
                <c:pt idx="3">
                  <c:v>536</c:v>
                </c:pt>
                <c:pt idx="4">
                  <c:v>559.68422552599998</c:v>
                </c:pt>
                <c:pt idx="5">
                  <c:v>575.65290859000004</c:v>
                </c:pt>
                <c:pt idx="6">
                  <c:v>579.69497297999999</c:v>
                </c:pt>
                <c:pt idx="7">
                  <c:v>601.65087453649994</c:v>
                </c:pt>
                <c:pt idx="8">
                  <c:v>631</c:v>
                </c:pt>
                <c:pt idx="9">
                  <c:v>612.06999999999994</c:v>
                </c:pt>
                <c:pt idx="10">
                  <c:v>654.91489999999999</c:v>
                </c:pt>
                <c:pt idx="11">
                  <c:v>622.16915499999993</c:v>
                </c:pt>
                <c:pt idx="12">
                  <c:v>613.14770225249993</c:v>
                </c:pt>
                <c:pt idx="13">
                  <c:v>665.92799245872072</c:v>
                </c:pt>
                <c:pt idx="14">
                  <c:v>698.08925804689954</c:v>
                </c:pt>
                <c:pt idx="15">
                  <c:v>699.22078053934399</c:v>
                </c:pt>
                <c:pt idx="16">
                  <c:v>710.39885911430974</c:v>
                </c:pt>
                <c:pt idx="17">
                  <c:v>739.18964380980105</c:v>
                </c:pt>
                <c:pt idx="18">
                  <c:v>753.56215690376871</c:v>
                </c:pt>
                <c:pt idx="19">
                  <c:v>770.46731576083528</c:v>
                </c:pt>
                <c:pt idx="20">
                  <c:v>785.71589617587529</c:v>
                </c:pt>
                <c:pt idx="21">
                  <c:v>803.32741953910943</c:v>
                </c:pt>
                <c:pt idx="22">
                  <c:v>821.94908336777723</c:v>
                </c:pt>
                <c:pt idx="23">
                  <c:v>844.55586695223269</c:v>
                </c:pt>
                <c:pt idx="24">
                  <c:v>859.84984588505426</c:v>
                </c:pt>
                <c:pt idx="25">
                  <c:v>875</c:v>
                </c:pt>
                <c:pt idx="26">
                  <c:v>890</c:v>
                </c:pt>
                <c:pt idx="27">
                  <c:v>910</c:v>
                </c:pt>
                <c:pt idx="28">
                  <c:v>925</c:v>
                </c:pt>
              </c:numCache>
            </c:numRef>
          </c:val>
          <c:smooth val="0"/>
          <c:extLst>
            <c:ext xmlns:c16="http://schemas.microsoft.com/office/drawing/2014/chart" uri="{C3380CC4-5D6E-409C-BE32-E72D297353CC}">
              <c16:uniqueId val="{00000000-4A48-44EA-92BB-FEC8B7D263A4}"/>
            </c:ext>
          </c:extLst>
        </c:ser>
        <c:ser>
          <c:idx val="1"/>
          <c:order val="1"/>
          <c:tx>
            <c:strRef>
              <c:f>'BFAP verification'!$B$17</c:f>
              <c:strCache>
                <c:ptCount val="1"/>
                <c:pt idx="0">
                  <c:v>Beef consumption (BFAP)</c:v>
                </c:pt>
              </c:strCache>
            </c:strRef>
          </c:tx>
          <c:spPr>
            <a:ln w="28575" cap="rnd">
              <a:solidFill>
                <a:schemeClr val="accent2"/>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verification'!$C$17:$BA$17</c:f>
              <c:numCache>
                <c:formatCode>0.00</c:formatCode>
                <c:ptCount val="51"/>
                <c:pt idx="0">
                  <c:v>649.892624710375</c:v>
                </c:pt>
                <c:pt idx="1">
                  <c:v>649.892624710375</c:v>
                </c:pt>
                <c:pt idx="2">
                  <c:v>649.892624710375</c:v>
                </c:pt>
                <c:pt idx="3">
                  <c:v>574.19949799999995</c:v>
                </c:pt>
                <c:pt idx="4">
                  <c:v>612.06163379999998</c:v>
                </c:pt>
                <c:pt idx="5">
                  <c:v>642.21783919999996</c:v>
                </c:pt>
                <c:pt idx="6">
                  <c:v>636.26177159999997</c:v>
                </c:pt>
                <c:pt idx="7">
                  <c:v>658.9</c:v>
                </c:pt>
                <c:pt idx="8">
                  <c:v>671.91341149238087</c:v>
                </c:pt>
                <c:pt idx="9">
                  <c:v>649.94999999999993</c:v>
                </c:pt>
                <c:pt idx="10">
                  <c:v>695.36469999999997</c:v>
                </c:pt>
                <c:pt idx="11">
                  <c:v>663.10915499999999</c:v>
                </c:pt>
                <c:pt idx="12">
                  <c:v>670.91943283249987</c:v>
                </c:pt>
                <c:pt idx="13">
                  <c:v>716.42099245872066</c:v>
                </c:pt>
                <c:pt idx="14">
                  <c:v>729.84874533689958</c:v>
                </c:pt>
                <c:pt idx="15">
                  <c:v>740.51634422626432</c:v>
                </c:pt>
                <c:pt idx="16">
                  <c:v>752.08174895984371</c:v>
                </c:pt>
                <c:pt idx="17">
                  <c:v>781.10112686931438</c:v>
                </c:pt>
                <c:pt idx="18">
                  <c:v>797.63162045872559</c:v>
                </c:pt>
                <c:pt idx="19">
                  <c:v>815.73258961364343</c:v>
                </c:pt>
                <c:pt idx="20">
                  <c:v>831.42566617367947</c:v>
                </c:pt>
                <c:pt idx="21">
                  <c:v>848.73455405867912</c:v>
                </c:pt>
                <c:pt idx="22">
                  <c:v>866.8135090431233</c:v>
                </c:pt>
                <c:pt idx="23">
                  <c:v>888.81185294880709</c:v>
                </c:pt>
                <c:pt idx="24">
                  <c:v>904.54032017152463</c:v>
                </c:pt>
              </c:numCache>
            </c:numRef>
          </c:val>
          <c:smooth val="0"/>
          <c:extLst>
            <c:ext xmlns:c16="http://schemas.microsoft.com/office/drawing/2014/chart" uri="{C3380CC4-5D6E-409C-BE32-E72D297353CC}">
              <c16:uniqueId val="{00000001-4A48-44EA-92BB-FEC8B7D263A4}"/>
            </c:ext>
          </c:extLst>
        </c:ser>
        <c:ser>
          <c:idx val="2"/>
          <c:order val="2"/>
          <c:tx>
            <c:strRef>
              <c:f>'BFAP verification'!$B$18</c:f>
              <c:strCache>
                <c:ptCount val="1"/>
                <c:pt idx="0">
                  <c:v>Beef production (model)</c:v>
                </c:pt>
              </c:strCache>
            </c:strRef>
          </c:tx>
          <c:spPr>
            <a:ln w="28575" cap="rnd">
              <a:solidFill>
                <a:schemeClr val="accent3"/>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verification'!$C$18:$BA$18</c:f>
              <c:numCache>
                <c:formatCode>0.00</c:formatCode>
                <c:ptCount val="51"/>
                <c:pt idx="0">
                  <c:v>624.6</c:v>
                </c:pt>
                <c:pt idx="1">
                  <c:v>524.29999999999995</c:v>
                </c:pt>
                <c:pt idx="2">
                  <c:v>573.4</c:v>
                </c:pt>
                <c:pt idx="3">
                  <c:v>609.70000000000005</c:v>
                </c:pt>
                <c:pt idx="4">
                  <c:v>631.70000000000005</c:v>
                </c:pt>
                <c:pt idx="5">
                  <c:v>672.3</c:v>
                </c:pt>
                <c:pt idx="6">
                  <c:v>808.1</c:v>
                </c:pt>
                <c:pt idx="7">
                  <c:v>861.4</c:v>
                </c:pt>
                <c:pt idx="8">
                  <c:v>770.2</c:v>
                </c:pt>
                <c:pt idx="9">
                  <c:v>796.7</c:v>
                </c:pt>
                <c:pt idx="10">
                  <c:v>885.8</c:v>
                </c:pt>
                <c:pt idx="11">
                  <c:v>869.5</c:v>
                </c:pt>
                <c:pt idx="12">
                  <c:v>919.93415141939749</c:v>
                </c:pt>
                <c:pt idx="13">
                  <c:v>944.20834947610228</c:v>
                </c:pt>
                <c:pt idx="14">
                  <c:v>973.85622853221832</c:v>
                </c:pt>
                <c:pt idx="15">
                  <c:v>993.92642644116029</c:v>
                </c:pt>
                <c:pt idx="16">
                  <c:v>1007.6100166861247</c:v>
                </c:pt>
                <c:pt idx="17">
                  <c:v>1014.7469565614488</c:v>
                </c:pt>
                <c:pt idx="18">
                  <c:v>1026.8981254598255</c:v>
                </c:pt>
                <c:pt idx="19">
                  <c:v>1039.800145818496</c:v>
                </c:pt>
                <c:pt idx="20">
                  <c:v>945.25965032403144</c:v>
                </c:pt>
                <c:pt idx="21">
                  <c:v>981.10564588497164</c:v>
                </c:pt>
                <c:pt idx="22">
                  <c:v>1031.5872543126829</c:v>
                </c:pt>
                <c:pt idx="23">
                  <c:v>1059.0463159993737</c:v>
                </c:pt>
                <c:pt idx="24">
                  <c:v>1089.662857154364</c:v>
                </c:pt>
                <c:pt idx="25">
                  <c:v>1124.4310934459795</c:v>
                </c:pt>
                <c:pt idx="26">
                  <c:v>1161.817740047499</c:v>
                </c:pt>
                <c:pt idx="27">
                  <c:v>1202.63262617904</c:v>
                </c:pt>
                <c:pt idx="28">
                  <c:v>1244.4627979078839</c:v>
                </c:pt>
                <c:pt idx="29">
                  <c:v>1289.5768980273008</c:v>
                </c:pt>
                <c:pt idx="30">
                  <c:v>1335.5567862593671</c:v>
                </c:pt>
                <c:pt idx="31">
                  <c:v>1386.7779860669498</c:v>
                </c:pt>
                <c:pt idx="32">
                  <c:v>1437.338411959804</c:v>
                </c:pt>
                <c:pt idx="33">
                  <c:v>1490.4951809256638</c:v>
                </c:pt>
                <c:pt idx="34">
                  <c:v>1550.2084208931392</c:v>
                </c:pt>
                <c:pt idx="35">
                  <c:v>1607.1877851552383</c:v>
                </c:pt>
                <c:pt idx="36">
                  <c:v>1667.3231933557624</c:v>
                </c:pt>
                <c:pt idx="37">
                  <c:v>1731.4049356882929</c:v>
                </c:pt>
                <c:pt idx="38">
                  <c:v>1791.8149674868314</c:v>
                </c:pt>
                <c:pt idx="39">
                  <c:v>1851.9960351726156</c:v>
                </c:pt>
                <c:pt idx="40">
                  <c:v>1912.1009473083129</c:v>
                </c:pt>
                <c:pt idx="41">
                  <c:v>1977.1864910901738</c:v>
                </c:pt>
                <c:pt idx="42">
                  <c:v>2039.9898402925135</c:v>
                </c:pt>
                <c:pt idx="43">
                  <c:v>2105.1243280051362</c:v>
                </c:pt>
                <c:pt idx="44">
                  <c:v>2172.8847719817654</c:v>
                </c:pt>
                <c:pt idx="45">
                  <c:v>2243.7354094252064</c:v>
                </c:pt>
                <c:pt idx="46">
                  <c:v>2317.5930778468005</c:v>
                </c:pt>
                <c:pt idx="47">
                  <c:v>2340.4090369227702</c:v>
                </c:pt>
                <c:pt idx="48">
                  <c:v>2358.4777844471378</c:v>
                </c:pt>
                <c:pt idx="49">
                  <c:v>2369.651652284987</c:v>
                </c:pt>
                <c:pt idx="50">
                  <c:v>2378.7674339812479</c:v>
                </c:pt>
              </c:numCache>
            </c:numRef>
          </c:val>
          <c:smooth val="0"/>
          <c:extLst>
            <c:ext xmlns:c16="http://schemas.microsoft.com/office/drawing/2014/chart" uri="{C3380CC4-5D6E-409C-BE32-E72D297353CC}">
              <c16:uniqueId val="{00000002-4A48-44EA-92BB-FEC8B7D263A4}"/>
            </c:ext>
          </c:extLst>
        </c:ser>
        <c:ser>
          <c:idx val="3"/>
          <c:order val="3"/>
          <c:tx>
            <c:strRef>
              <c:f>'BFAP verification'!$B$19</c:f>
              <c:strCache>
                <c:ptCount val="1"/>
                <c:pt idx="0">
                  <c:v>Beef consumption (model)</c:v>
                </c:pt>
              </c:strCache>
            </c:strRef>
          </c:tx>
          <c:spPr>
            <a:ln w="28575" cap="rnd">
              <a:solidFill>
                <a:schemeClr val="accent4"/>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verification'!$C$19:$BA$19</c:f>
              <c:numCache>
                <c:formatCode>0.00</c:formatCode>
                <c:ptCount val="51"/>
                <c:pt idx="0">
                  <c:v>671</c:v>
                </c:pt>
                <c:pt idx="1">
                  <c:v>554</c:v>
                </c:pt>
                <c:pt idx="2">
                  <c:v>602</c:v>
                </c:pt>
                <c:pt idx="3">
                  <c:v>643</c:v>
                </c:pt>
                <c:pt idx="4">
                  <c:v>675</c:v>
                </c:pt>
                <c:pt idx="5">
                  <c:v>723</c:v>
                </c:pt>
                <c:pt idx="6">
                  <c:v>825</c:v>
                </c:pt>
                <c:pt idx="7">
                  <c:v>865</c:v>
                </c:pt>
                <c:pt idx="8">
                  <c:v>767</c:v>
                </c:pt>
                <c:pt idx="9">
                  <c:v>784</c:v>
                </c:pt>
                <c:pt idx="10">
                  <c:v>880</c:v>
                </c:pt>
                <c:pt idx="11">
                  <c:v>879</c:v>
                </c:pt>
                <c:pt idx="12">
                  <c:v>920.44626243808534</c:v>
                </c:pt>
                <c:pt idx="13">
                  <c:v>941.69158339834894</c:v>
                </c:pt>
                <c:pt idx="14">
                  <c:v>967.64007013586559</c:v>
                </c:pt>
                <c:pt idx="15">
                  <c:v>985.20595615670993</c:v>
                </c:pt>
                <c:pt idx="16">
                  <c:v>997.18214033234722</c:v>
                </c:pt>
                <c:pt idx="17">
                  <c:v>1003.4285497078974</c:v>
                </c:pt>
                <c:pt idx="18">
                  <c:v>1014.0635244529055</c:v>
                </c:pt>
                <c:pt idx="19">
                  <c:v>1025.3556611865474</c:v>
                </c:pt>
                <c:pt idx="20">
                  <c:v>942.6117054097075</c:v>
                </c:pt>
                <c:pt idx="21">
                  <c:v>973.98492231488945</c:v>
                </c:pt>
                <c:pt idx="22">
                  <c:v>1018.1675548834999</c:v>
                </c:pt>
                <c:pt idx="23">
                  <c:v>1042.2003397128337</c:v>
                </c:pt>
                <c:pt idx="24">
                  <c:v>1068.9966211805636</c:v>
                </c:pt>
                <c:pt idx="25">
                  <c:v>1099.4265590723169</c:v>
                </c:pt>
                <c:pt idx="26">
                  <c:v>1132.1481882203427</c:v>
                </c:pt>
                <c:pt idx="27">
                  <c:v>1167.8702892675358</c:v>
                </c:pt>
                <c:pt idx="28">
                  <c:v>1204.4809909733647</c:v>
                </c:pt>
                <c:pt idx="29">
                  <c:v>1243.9658602420211</c:v>
                </c:pt>
                <c:pt idx="30">
                  <c:v>1284.2084866276728</c:v>
                </c:pt>
                <c:pt idx="31">
                  <c:v>1329.0384261107322</c:v>
                </c:pt>
                <c:pt idx="32">
                  <c:v>1373.2900414873563</c:v>
                </c:pt>
                <c:pt idx="33">
                  <c:v>1419.8140343810505</c:v>
                </c:pt>
                <c:pt idx="34">
                  <c:v>1472.0763973115463</c:v>
                </c:pt>
                <c:pt idx="35">
                  <c:v>1521.9460110896086</c:v>
                </c:pt>
                <c:pt idx="36">
                  <c:v>1574.577865098219</c:v>
                </c:pt>
                <c:pt idx="37">
                  <c:v>1630.6636389873163</c:v>
                </c:pt>
                <c:pt idx="38">
                  <c:v>1683.5358497100583</c:v>
                </c:pt>
                <c:pt idx="39">
                  <c:v>1736.2076659212087</c:v>
                </c:pt>
                <c:pt idx="40">
                  <c:v>1788.8128290919281</c:v>
                </c:pt>
                <c:pt idx="41">
                  <c:v>1845.7771524565458</c:v>
                </c:pt>
                <c:pt idx="42">
                  <c:v>1900.744048090598</c:v>
                </c:pt>
                <c:pt idx="43">
                  <c:v>1957.751208277906</c:v>
                </c:pt>
                <c:pt idx="44">
                  <c:v>2017.0566641092594</c:v>
                </c:pt>
                <c:pt idx="45">
                  <c:v>2079.0667263658534</c:v>
                </c:pt>
                <c:pt idx="46">
                  <c:v>2143.708609377929</c:v>
                </c:pt>
                <c:pt idx="47">
                  <c:v>2163.677646973028</c:v>
                </c:pt>
                <c:pt idx="48">
                  <c:v>2179.4918188607421</c:v>
                </c:pt>
                <c:pt idx="49">
                  <c:v>2189.2714378631135</c:v>
                </c:pt>
                <c:pt idx="50">
                  <c:v>2197.2497738513239</c:v>
                </c:pt>
              </c:numCache>
            </c:numRef>
          </c:val>
          <c:smooth val="0"/>
          <c:extLst>
            <c:ext xmlns:c16="http://schemas.microsoft.com/office/drawing/2014/chart" uri="{C3380CC4-5D6E-409C-BE32-E72D297353CC}">
              <c16:uniqueId val="{00000003-4A48-44EA-92BB-FEC8B7D263A4}"/>
            </c:ext>
          </c:extLst>
        </c:ser>
        <c:dLbls>
          <c:showLegendKey val="0"/>
          <c:showVal val="0"/>
          <c:showCatName val="0"/>
          <c:showSerName val="0"/>
          <c:showPercent val="0"/>
          <c:showBubbleSize val="0"/>
        </c:dLbls>
        <c:smooth val="0"/>
        <c:axId val="1797134927"/>
        <c:axId val="1797135343"/>
      </c:lineChart>
      <c:catAx>
        <c:axId val="179713492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5343"/>
        <c:crosses val="autoZero"/>
        <c:auto val="1"/>
        <c:lblAlgn val="ctr"/>
        <c:lblOffset val="100"/>
        <c:noMultiLvlLbl val="0"/>
      </c:catAx>
      <c:valAx>
        <c:axId val="1797135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verification'!$B$22</c:f>
              <c:strCache>
                <c:ptCount val="1"/>
                <c:pt idx="0">
                  <c:v>Pork production (BFAP)</c:v>
                </c:pt>
              </c:strCache>
            </c:strRef>
          </c:tx>
          <c:spPr>
            <a:ln w="28575" cap="rnd">
              <a:solidFill>
                <a:schemeClr val="accent1"/>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verification'!$C$22:$BA$22</c:f>
              <c:numCache>
                <c:formatCode>0.00</c:formatCode>
                <c:ptCount val="51"/>
                <c:pt idx="0">
                  <c:v>129.63</c:v>
                </c:pt>
                <c:pt idx="1">
                  <c:v>129.63</c:v>
                </c:pt>
                <c:pt idx="2">
                  <c:v>129.63</c:v>
                </c:pt>
                <c:pt idx="3">
                  <c:v>143.13999999999999</c:v>
                </c:pt>
                <c:pt idx="4">
                  <c:v>146.053</c:v>
                </c:pt>
                <c:pt idx="5">
                  <c:v>149.999</c:v>
                </c:pt>
                <c:pt idx="6">
                  <c:v>157.24799999999999</c:v>
                </c:pt>
                <c:pt idx="7">
                  <c:v>152.83564942134379</c:v>
                </c:pt>
                <c:pt idx="8">
                  <c:v>162.80000000000001</c:v>
                </c:pt>
                <c:pt idx="9">
                  <c:v>165.18375564550669</c:v>
                </c:pt>
                <c:pt idx="10">
                  <c:v>169.66697423006443</c:v>
                </c:pt>
                <c:pt idx="11">
                  <c:v>186.75616508255388</c:v>
                </c:pt>
                <c:pt idx="12">
                  <c:v>191.25698866104344</c:v>
                </c:pt>
                <c:pt idx="13">
                  <c:v>197.47194670605705</c:v>
                </c:pt>
                <c:pt idx="14">
                  <c:v>204.80493212570124</c:v>
                </c:pt>
                <c:pt idx="15">
                  <c:v>208.64102609863633</c:v>
                </c:pt>
                <c:pt idx="16">
                  <c:v>213.80677245749976</c:v>
                </c:pt>
                <c:pt idx="17">
                  <c:v>217.57407311191287</c:v>
                </c:pt>
                <c:pt idx="18">
                  <c:v>225.22145508819884</c:v>
                </c:pt>
                <c:pt idx="19">
                  <c:v>232.86299528535966</c:v>
                </c:pt>
                <c:pt idx="20">
                  <c:v>241.53716288131423</c:v>
                </c:pt>
                <c:pt idx="21">
                  <c:v>245</c:v>
                </c:pt>
                <c:pt idx="22">
                  <c:v>250</c:v>
                </c:pt>
                <c:pt idx="23">
                  <c:v>255</c:v>
                </c:pt>
                <c:pt idx="24">
                  <c:v>260</c:v>
                </c:pt>
                <c:pt idx="25">
                  <c:v>265</c:v>
                </c:pt>
                <c:pt idx="26">
                  <c:v>270</c:v>
                </c:pt>
                <c:pt idx="27">
                  <c:v>275</c:v>
                </c:pt>
                <c:pt idx="28">
                  <c:v>280</c:v>
                </c:pt>
              </c:numCache>
            </c:numRef>
          </c:val>
          <c:smooth val="0"/>
          <c:extLst>
            <c:ext xmlns:c16="http://schemas.microsoft.com/office/drawing/2014/chart" uri="{C3380CC4-5D6E-409C-BE32-E72D297353CC}">
              <c16:uniqueId val="{00000000-03A2-46B0-862C-E451EC00EDA3}"/>
            </c:ext>
          </c:extLst>
        </c:ser>
        <c:ser>
          <c:idx val="1"/>
          <c:order val="1"/>
          <c:tx>
            <c:strRef>
              <c:f>'BFAP verification'!$B$23</c:f>
              <c:strCache>
                <c:ptCount val="1"/>
                <c:pt idx="0">
                  <c:v>Pork Domestic Use (BFAP)</c:v>
                </c:pt>
              </c:strCache>
            </c:strRef>
          </c:tx>
          <c:spPr>
            <a:ln w="28575" cap="rnd">
              <a:solidFill>
                <a:schemeClr val="accent2"/>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verification'!$C$23:$BA$23</c:f>
              <c:numCache>
                <c:formatCode>0.00</c:formatCode>
                <c:ptCount val="51"/>
                <c:pt idx="0">
                  <c:v>137.82499999999999</c:v>
                </c:pt>
                <c:pt idx="1">
                  <c:v>137.82499999999999</c:v>
                </c:pt>
                <c:pt idx="2">
                  <c:v>137.82499999999999</c:v>
                </c:pt>
                <c:pt idx="3">
                  <c:v>156.29499999999999</c:v>
                </c:pt>
                <c:pt idx="4">
                  <c:v>167.84399999999999</c:v>
                </c:pt>
                <c:pt idx="5">
                  <c:v>176.53800000000001</c:v>
                </c:pt>
                <c:pt idx="6">
                  <c:v>177.79399999999998</c:v>
                </c:pt>
                <c:pt idx="7">
                  <c:v>173.29521483689047</c:v>
                </c:pt>
                <c:pt idx="8">
                  <c:v>179.18</c:v>
                </c:pt>
                <c:pt idx="9">
                  <c:v>188.69627164870266</c:v>
                </c:pt>
                <c:pt idx="10">
                  <c:v>192.2214902332604</c:v>
                </c:pt>
                <c:pt idx="11">
                  <c:v>215.34616508255388</c:v>
                </c:pt>
                <c:pt idx="12">
                  <c:v>223.20098866104343</c:v>
                </c:pt>
                <c:pt idx="13">
                  <c:v>219.00718870605706</c:v>
                </c:pt>
                <c:pt idx="14">
                  <c:v>215.58134712570126</c:v>
                </c:pt>
                <c:pt idx="15">
                  <c:v>221.42544983376598</c:v>
                </c:pt>
                <c:pt idx="16">
                  <c:v>226.46723800236197</c:v>
                </c:pt>
                <c:pt idx="17">
                  <c:v>230.37779215363364</c:v>
                </c:pt>
                <c:pt idx="18">
                  <c:v>237.99020308913876</c:v>
                </c:pt>
                <c:pt idx="19">
                  <c:v>245.3694152709713</c:v>
                </c:pt>
                <c:pt idx="20">
                  <c:v>253.78761345428606</c:v>
                </c:pt>
                <c:pt idx="21">
                  <c:v>263.23358248496942</c:v>
                </c:pt>
                <c:pt idx="22">
                  <c:v>274.0317887557747</c:v>
                </c:pt>
                <c:pt idx="23">
                  <c:v>283.56552384740866</c:v>
                </c:pt>
                <c:pt idx="24">
                  <c:v>293.35792027883537</c:v>
                </c:pt>
              </c:numCache>
            </c:numRef>
          </c:val>
          <c:smooth val="0"/>
          <c:extLst>
            <c:ext xmlns:c16="http://schemas.microsoft.com/office/drawing/2014/chart" uri="{C3380CC4-5D6E-409C-BE32-E72D297353CC}">
              <c16:uniqueId val="{00000001-03A2-46B0-862C-E451EC00EDA3}"/>
            </c:ext>
          </c:extLst>
        </c:ser>
        <c:ser>
          <c:idx val="2"/>
          <c:order val="2"/>
          <c:tx>
            <c:strRef>
              <c:f>'BFAP verification'!$B$24</c:f>
              <c:strCache>
                <c:ptCount val="1"/>
                <c:pt idx="0">
                  <c:v>Pork production (model)</c:v>
                </c:pt>
              </c:strCache>
            </c:strRef>
          </c:tx>
          <c:spPr>
            <a:ln w="28575" cap="rnd">
              <a:solidFill>
                <a:schemeClr val="accent3"/>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verification'!$C$24:$BA$24</c:f>
              <c:numCache>
                <c:formatCode>0.00</c:formatCode>
                <c:ptCount val="51"/>
                <c:pt idx="0">
                  <c:v>123</c:v>
                </c:pt>
                <c:pt idx="1">
                  <c:v>106.9</c:v>
                </c:pt>
                <c:pt idx="2">
                  <c:v>116.6</c:v>
                </c:pt>
                <c:pt idx="3">
                  <c:v>135</c:v>
                </c:pt>
                <c:pt idx="4">
                  <c:v>156.80000000000001</c:v>
                </c:pt>
                <c:pt idx="5">
                  <c:v>159.69999999999999</c:v>
                </c:pt>
                <c:pt idx="6">
                  <c:v>171.4</c:v>
                </c:pt>
                <c:pt idx="7">
                  <c:v>187.1</c:v>
                </c:pt>
                <c:pt idx="8">
                  <c:v>181.7</c:v>
                </c:pt>
                <c:pt idx="9">
                  <c:v>180.7</c:v>
                </c:pt>
                <c:pt idx="10">
                  <c:v>191.9</c:v>
                </c:pt>
                <c:pt idx="11">
                  <c:v>205.1</c:v>
                </c:pt>
                <c:pt idx="12">
                  <c:v>210.25125025039677</c:v>
                </c:pt>
                <c:pt idx="13">
                  <c:v>215.15729984140492</c:v>
                </c:pt>
                <c:pt idx="14">
                  <c:v>221.26625183821383</c:v>
                </c:pt>
                <c:pt idx="15">
                  <c:v>225.16453122577883</c:v>
                </c:pt>
                <c:pt idx="16">
                  <c:v>227.57954482450737</c:v>
                </c:pt>
                <c:pt idx="17">
                  <c:v>228.4737564208981</c:v>
                </c:pt>
                <c:pt idx="18">
                  <c:v>230.50265811419081</c:v>
                </c:pt>
                <c:pt idx="19">
                  <c:v>232.69090070904008</c:v>
                </c:pt>
                <c:pt idx="20">
                  <c:v>210.34305564202518</c:v>
                </c:pt>
                <c:pt idx="21">
                  <c:v>217.96863426065985</c:v>
                </c:pt>
                <c:pt idx="22">
                  <c:v>228.92839937815029</c:v>
                </c:pt>
                <c:pt idx="23">
                  <c:v>234.62676829141142</c:v>
                </c:pt>
                <c:pt idx="24">
                  <c:v>241.03928103201523</c:v>
                </c:pt>
                <c:pt idx="25">
                  <c:v>248.39279276384013</c:v>
                </c:pt>
                <c:pt idx="26">
                  <c:v>256.42257572390707</c:v>
                </c:pt>
                <c:pt idx="27">
                  <c:v>265.22989727700957</c:v>
                </c:pt>
                <c:pt idx="28">
                  <c:v>274.2639496680319</c:v>
                </c:pt>
                <c:pt idx="29">
                  <c:v>284.04250334299428</c:v>
                </c:pt>
                <c:pt idx="30">
                  <c:v>294.01356579226359</c:v>
                </c:pt>
                <c:pt idx="31">
                  <c:v>305.24630678479002</c:v>
                </c:pt>
                <c:pt idx="32">
                  <c:v>316.32431219410358</c:v>
                </c:pt>
                <c:pt idx="33">
                  <c:v>327.9909885176092</c:v>
                </c:pt>
                <c:pt idx="34">
                  <c:v>341.15020485003981</c:v>
                </c:pt>
                <c:pt idx="35">
                  <c:v>353.68139719268328</c:v>
                </c:pt>
                <c:pt idx="36">
                  <c:v>366.99692033723215</c:v>
                </c:pt>
                <c:pt idx="37">
                  <c:v>381.21019293094707</c:v>
                </c:pt>
                <c:pt idx="38">
                  <c:v>394.5823673975022</c:v>
                </c:pt>
                <c:pt idx="39">
                  <c:v>407.89923155743736</c:v>
                </c:pt>
                <c:pt idx="40">
                  <c:v>421.19564178072136</c:v>
                </c:pt>
                <c:pt idx="41">
                  <c:v>435.69034528593193</c:v>
                </c:pt>
                <c:pt idx="42">
                  <c:v>449.66189285956136</c:v>
                </c:pt>
                <c:pt idx="43">
                  <c:v>464.16326801617117</c:v>
                </c:pt>
                <c:pt idx="44">
                  <c:v>479.26174915701358</c:v>
                </c:pt>
                <c:pt idx="45">
                  <c:v>495.06328473858616</c:v>
                </c:pt>
                <c:pt idx="46">
                  <c:v>511.61521372666397</c:v>
                </c:pt>
                <c:pt idx="47">
                  <c:v>516.51526359620016</c:v>
                </c:pt>
                <c:pt idx="48">
                  <c:v>520.33018731280208</c:v>
                </c:pt>
                <c:pt idx="49">
                  <c:v>522.5697696656581</c:v>
                </c:pt>
                <c:pt idx="50">
                  <c:v>524.33800509117521</c:v>
                </c:pt>
              </c:numCache>
            </c:numRef>
          </c:val>
          <c:smooth val="0"/>
          <c:extLst>
            <c:ext xmlns:c16="http://schemas.microsoft.com/office/drawing/2014/chart" uri="{C3380CC4-5D6E-409C-BE32-E72D297353CC}">
              <c16:uniqueId val="{00000002-03A2-46B0-862C-E451EC00EDA3}"/>
            </c:ext>
          </c:extLst>
        </c:ser>
        <c:ser>
          <c:idx val="3"/>
          <c:order val="3"/>
          <c:tx>
            <c:strRef>
              <c:f>'BFAP verification'!$B$25</c:f>
              <c:strCache>
                <c:ptCount val="1"/>
                <c:pt idx="0">
                  <c:v>Pork Domestic Use (model)</c:v>
                </c:pt>
              </c:strCache>
            </c:strRef>
          </c:tx>
          <c:spPr>
            <a:ln w="28575" cap="rnd">
              <a:solidFill>
                <a:schemeClr val="accent4"/>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verification'!$C$25:$BA$25</c:f>
              <c:numCache>
                <c:formatCode>0.00</c:formatCode>
                <c:ptCount val="51"/>
                <c:pt idx="0">
                  <c:v>131</c:v>
                </c:pt>
                <c:pt idx="1">
                  <c:v>115</c:v>
                </c:pt>
                <c:pt idx="2">
                  <c:v>123</c:v>
                </c:pt>
                <c:pt idx="3">
                  <c:v>146</c:v>
                </c:pt>
                <c:pt idx="4">
                  <c:v>174</c:v>
                </c:pt>
                <c:pt idx="5">
                  <c:v>182</c:v>
                </c:pt>
                <c:pt idx="6">
                  <c:v>193</c:v>
                </c:pt>
                <c:pt idx="7">
                  <c:v>206</c:v>
                </c:pt>
                <c:pt idx="8">
                  <c:v>198</c:v>
                </c:pt>
                <c:pt idx="9">
                  <c:v>199</c:v>
                </c:pt>
                <c:pt idx="10">
                  <c:v>215</c:v>
                </c:pt>
                <c:pt idx="11">
                  <c:v>231</c:v>
                </c:pt>
                <c:pt idx="12">
                  <c:v>232.80307737192553</c:v>
                </c:pt>
                <c:pt idx="13">
                  <c:v>238.58845125065102</c:v>
                </c:pt>
                <c:pt idx="14">
                  <c:v>245.79232692559364</c:v>
                </c:pt>
                <c:pt idx="15">
                  <c:v>250.38930527292379</c:v>
                </c:pt>
                <c:pt idx="16">
                  <c:v>253.23716816784</c:v>
                </c:pt>
                <c:pt idx="17">
                  <c:v>254.29165168168259</c:v>
                </c:pt>
                <c:pt idx="18">
                  <c:v>256.68419880969998</c:v>
                </c:pt>
                <c:pt idx="19">
                  <c:v>259.26464593191383</c:v>
                </c:pt>
                <c:pt idx="20">
                  <c:v>232.91133728752578</c:v>
                </c:pt>
                <c:pt idx="21">
                  <c:v>241.9036685985003</c:v>
                </c:pt>
                <c:pt idx="22">
                  <c:v>254.82778150268032</c:v>
                </c:pt>
                <c:pt idx="23">
                  <c:v>261.54748419841837</c:v>
                </c:pt>
                <c:pt idx="24">
                  <c:v>269.10932861484628</c:v>
                </c:pt>
                <c:pt idx="25">
                  <c:v>277.78082976888555</c:v>
                </c:pt>
                <c:pt idx="26">
                  <c:v>287.24981203807209</c:v>
                </c:pt>
                <c:pt idx="27">
                  <c:v>297.63569320573151</c:v>
                </c:pt>
                <c:pt idx="28">
                  <c:v>308.28894278108231</c:v>
                </c:pt>
                <c:pt idx="29">
                  <c:v>319.82013258122799</c:v>
                </c:pt>
                <c:pt idx="30">
                  <c:v>331.57833501417355</c:v>
                </c:pt>
                <c:pt idx="31">
                  <c:v>344.82434998388703</c:v>
                </c:pt>
                <c:pt idx="32">
                  <c:v>357.88789570117609</c:v>
                </c:pt>
                <c:pt idx="33">
                  <c:v>371.64562138280411</c:v>
                </c:pt>
                <c:pt idx="34">
                  <c:v>387.1633989800128</c:v>
                </c:pt>
                <c:pt idx="35">
                  <c:v>401.94059018111454</c:v>
                </c:pt>
                <c:pt idx="36">
                  <c:v>417.6426898751796</c:v>
                </c:pt>
                <c:pt idx="37">
                  <c:v>434.40344503460415</c:v>
                </c:pt>
                <c:pt idx="38">
                  <c:v>450.17234981745821</c:v>
                </c:pt>
                <c:pt idx="39">
                  <c:v>465.876030880656</c:v>
                </c:pt>
                <c:pt idx="40">
                  <c:v>481.55559199385664</c:v>
                </c:pt>
                <c:pt idx="41">
                  <c:v>498.64821967389668</c:v>
                </c:pt>
                <c:pt idx="42">
                  <c:v>515.12392479640346</c:v>
                </c:pt>
                <c:pt idx="43">
                  <c:v>532.22441990562822</c:v>
                </c:pt>
                <c:pt idx="44">
                  <c:v>550.02904188922071</c:v>
                </c:pt>
                <c:pt idx="45">
                  <c:v>568.66272862669928</c:v>
                </c:pt>
                <c:pt idx="46">
                  <c:v>588.18130377230148</c:v>
                </c:pt>
                <c:pt idx="47">
                  <c:v>593.95960258355376</c:v>
                </c:pt>
                <c:pt idx="48">
                  <c:v>598.45828520180737</c:v>
                </c:pt>
                <c:pt idx="49">
                  <c:v>601.09927384309935</c:v>
                </c:pt>
                <c:pt idx="50">
                  <c:v>603.18443479641985</c:v>
                </c:pt>
              </c:numCache>
            </c:numRef>
          </c:val>
          <c:smooth val="0"/>
          <c:extLst>
            <c:ext xmlns:c16="http://schemas.microsoft.com/office/drawing/2014/chart" uri="{C3380CC4-5D6E-409C-BE32-E72D297353CC}">
              <c16:uniqueId val="{00000003-03A2-46B0-862C-E451EC00EDA3}"/>
            </c:ext>
          </c:extLst>
        </c:ser>
        <c:dLbls>
          <c:showLegendKey val="0"/>
          <c:showVal val="0"/>
          <c:showCatName val="0"/>
          <c:showSerName val="0"/>
          <c:showPercent val="0"/>
          <c:showBubbleSize val="0"/>
        </c:dLbls>
        <c:smooth val="0"/>
        <c:axId val="1981849103"/>
        <c:axId val="1981847023"/>
      </c:lineChart>
      <c:catAx>
        <c:axId val="198184910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7023"/>
        <c:crosses val="autoZero"/>
        <c:auto val="1"/>
        <c:lblAlgn val="ctr"/>
        <c:lblOffset val="100"/>
        <c:noMultiLvlLbl val="0"/>
      </c:catAx>
      <c:valAx>
        <c:axId val="1981847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9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verification'!$B$28</c:f>
              <c:strCache>
                <c:ptCount val="1"/>
                <c:pt idx="0">
                  <c:v>Fluid milk production (BFAP)</c:v>
                </c:pt>
              </c:strCache>
            </c:strRef>
          </c:tx>
          <c:spPr>
            <a:ln w="28575" cap="rnd">
              <a:solidFill>
                <a:schemeClr val="accent1"/>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verification'!$C$28:$BA$28</c:f>
              <c:numCache>
                <c:formatCode>0.00</c:formatCode>
                <c:ptCount val="51"/>
                <c:pt idx="0">
                  <c:v>2024.0540449999999</c:v>
                </c:pt>
                <c:pt idx="1">
                  <c:v>2024.0540449999999</c:v>
                </c:pt>
                <c:pt idx="2">
                  <c:v>2024.0540449999999</c:v>
                </c:pt>
                <c:pt idx="3">
                  <c:v>2113.8015639999999</c:v>
                </c:pt>
                <c:pt idx="4">
                  <c:v>2290.0087429999999</c:v>
                </c:pt>
                <c:pt idx="5">
                  <c:v>2393.5830030000002</c:v>
                </c:pt>
                <c:pt idx="6">
                  <c:v>2495.02</c:v>
                </c:pt>
                <c:pt idx="7">
                  <c:v>2546.5700000000002</c:v>
                </c:pt>
                <c:pt idx="8">
                  <c:v>2673.6727109999997</c:v>
                </c:pt>
                <c:pt idx="9">
                  <c:v>2586.3408249999998</c:v>
                </c:pt>
                <c:pt idx="10">
                  <c:v>2706.3017989999998</c:v>
                </c:pt>
                <c:pt idx="11">
                  <c:v>2720.4017549999999</c:v>
                </c:pt>
                <c:pt idx="12">
                  <c:v>2842.8103229999997</c:v>
                </c:pt>
                <c:pt idx="13">
                  <c:v>2904.1207999999997</c:v>
                </c:pt>
                <c:pt idx="14">
                  <c:v>2969.867827</c:v>
                </c:pt>
                <c:pt idx="15">
                  <c:v>3150</c:v>
                </c:pt>
                <c:pt idx="16">
                  <c:v>3100</c:v>
                </c:pt>
                <c:pt idx="17">
                  <c:v>3200</c:v>
                </c:pt>
                <c:pt idx="18">
                  <c:v>3400</c:v>
                </c:pt>
                <c:pt idx="19">
                  <c:v>3250</c:v>
                </c:pt>
                <c:pt idx="20">
                  <c:v>3300</c:v>
                </c:pt>
                <c:pt idx="21">
                  <c:v>3400</c:v>
                </c:pt>
                <c:pt idx="22">
                  <c:v>3500</c:v>
                </c:pt>
                <c:pt idx="23">
                  <c:v>3550</c:v>
                </c:pt>
                <c:pt idx="24">
                  <c:v>3600</c:v>
                </c:pt>
                <c:pt idx="25">
                  <c:v>3650</c:v>
                </c:pt>
                <c:pt idx="26">
                  <c:v>3700</c:v>
                </c:pt>
                <c:pt idx="27">
                  <c:v>3750</c:v>
                </c:pt>
                <c:pt idx="28">
                  <c:v>3800</c:v>
                </c:pt>
              </c:numCache>
            </c:numRef>
          </c:val>
          <c:smooth val="0"/>
          <c:extLst>
            <c:ext xmlns:c16="http://schemas.microsoft.com/office/drawing/2014/chart" uri="{C3380CC4-5D6E-409C-BE32-E72D297353CC}">
              <c16:uniqueId val="{00000000-D175-4114-9984-BF38085F9052}"/>
            </c:ext>
          </c:extLst>
        </c:ser>
        <c:ser>
          <c:idx val="1"/>
          <c:order val="1"/>
          <c:tx>
            <c:strRef>
              <c:f>'BFAP verification'!$B$29</c:f>
              <c:strCache>
                <c:ptCount val="1"/>
                <c:pt idx="0">
                  <c:v>Fluid milk fresh utilization (BFAP)</c:v>
                </c:pt>
              </c:strCache>
            </c:strRef>
          </c:tx>
          <c:spPr>
            <a:ln w="28575" cap="rnd">
              <a:solidFill>
                <a:schemeClr val="accent2"/>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verification'!$C$29:$BA$29</c:f>
              <c:numCache>
                <c:formatCode>0.00</c:formatCode>
                <c:ptCount val="51"/>
                <c:pt idx="0">
                  <c:v>1273.2</c:v>
                </c:pt>
                <c:pt idx="1">
                  <c:v>1273.2</c:v>
                </c:pt>
                <c:pt idx="2">
                  <c:v>1273.2</c:v>
                </c:pt>
                <c:pt idx="3">
                  <c:v>1259</c:v>
                </c:pt>
                <c:pt idx="4">
                  <c:v>1347</c:v>
                </c:pt>
                <c:pt idx="5">
                  <c:v>1396.6</c:v>
                </c:pt>
                <c:pt idx="6">
                  <c:v>1442.9</c:v>
                </c:pt>
                <c:pt idx="7">
                  <c:v>1402.61000533527</c:v>
                </c:pt>
                <c:pt idx="8">
                  <c:v>1458.4151718048199</c:v>
                </c:pt>
                <c:pt idx="9">
                  <c:v>1493.2</c:v>
                </c:pt>
                <c:pt idx="10">
                  <c:v>1545.3558772633801</c:v>
                </c:pt>
                <c:pt idx="11">
                  <c:v>1571</c:v>
                </c:pt>
                <c:pt idx="12">
                  <c:v>1661.1</c:v>
                </c:pt>
                <c:pt idx="13">
                  <c:v>1681.39</c:v>
                </c:pt>
                <c:pt idx="14">
                  <c:v>1722.5233396599999</c:v>
                </c:pt>
                <c:pt idx="15">
                  <c:v>1775.8304373666449</c:v>
                </c:pt>
                <c:pt idx="16">
                  <c:v>1820.2326820256628</c:v>
                </c:pt>
                <c:pt idx="17">
                  <c:v>1859.0411448844859</c:v>
                </c:pt>
                <c:pt idx="18">
                  <c:v>1893.2454556799651</c:v>
                </c:pt>
                <c:pt idx="19">
                  <c:v>1928.6136766918191</c:v>
                </c:pt>
                <c:pt idx="20">
                  <c:v>1965.2479914611308</c:v>
                </c:pt>
                <c:pt idx="21">
                  <c:v>2003.0736716496317</c:v>
                </c:pt>
                <c:pt idx="22">
                  <c:v>2044.3832164581972</c:v>
                </c:pt>
                <c:pt idx="23">
                  <c:v>2085.024175882957</c:v>
                </c:pt>
                <c:pt idx="24">
                  <c:v>2123.3681095603265</c:v>
                </c:pt>
              </c:numCache>
            </c:numRef>
          </c:val>
          <c:smooth val="0"/>
          <c:extLst>
            <c:ext xmlns:c16="http://schemas.microsoft.com/office/drawing/2014/chart" uri="{C3380CC4-5D6E-409C-BE32-E72D297353CC}">
              <c16:uniqueId val="{00000001-D175-4114-9984-BF38085F9052}"/>
            </c:ext>
          </c:extLst>
        </c:ser>
        <c:ser>
          <c:idx val="2"/>
          <c:order val="2"/>
          <c:tx>
            <c:strRef>
              <c:f>'BFAP verification'!$B$30</c:f>
              <c:strCache>
                <c:ptCount val="1"/>
                <c:pt idx="0">
                  <c:v>Fluid Milk factory utilization (BFAP)</c:v>
                </c:pt>
              </c:strCache>
            </c:strRef>
          </c:tx>
          <c:spPr>
            <a:ln w="28575" cap="rnd">
              <a:solidFill>
                <a:schemeClr val="accent3"/>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verification'!$C$30:$BA$30</c:f>
              <c:numCache>
                <c:formatCode>0.00</c:formatCode>
                <c:ptCount val="51"/>
                <c:pt idx="0">
                  <c:v>866.94927349604279</c:v>
                </c:pt>
                <c:pt idx="1">
                  <c:v>866.94927349604279</c:v>
                </c:pt>
                <c:pt idx="2">
                  <c:v>866.94927349604279</c:v>
                </c:pt>
                <c:pt idx="3">
                  <c:v>846.1138215167158</c:v>
                </c:pt>
                <c:pt idx="4">
                  <c:v>935.18533488170215</c:v>
                </c:pt>
                <c:pt idx="5">
                  <c:v>990.02288429185</c:v>
                </c:pt>
                <c:pt idx="6">
                  <c:v>1044.5425069013627</c:v>
                </c:pt>
                <c:pt idx="7">
                  <c:v>1150.5392931285598</c:v>
                </c:pt>
                <c:pt idx="8">
                  <c:v>1208.3756288442755</c:v>
                </c:pt>
                <c:pt idx="9">
                  <c:v>1092.2210617160124</c:v>
                </c:pt>
                <c:pt idx="10">
                  <c:v>1154.6007305262117</c:v>
                </c:pt>
                <c:pt idx="11">
                  <c:v>1140</c:v>
                </c:pt>
                <c:pt idx="12">
                  <c:v>1171</c:v>
                </c:pt>
                <c:pt idx="13">
                  <c:v>1200</c:v>
                </c:pt>
                <c:pt idx="14">
                  <c:v>1223.1384873399998</c:v>
                </c:pt>
                <c:pt idx="15">
                  <c:v>1297.1574685139426</c:v>
                </c:pt>
                <c:pt idx="16">
                  <c:v>1339.9486902058916</c:v>
                </c:pt>
                <c:pt idx="17">
                  <c:v>1382.183609812364</c:v>
                </c:pt>
                <c:pt idx="18">
                  <c:v>1416.4086784270767</c:v>
                </c:pt>
                <c:pt idx="19">
                  <c:v>1452.170708036087</c:v>
                </c:pt>
                <c:pt idx="20">
                  <c:v>1490.0278167036406</c:v>
                </c:pt>
                <c:pt idx="21">
                  <c:v>1529.1035404245388</c:v>
                </c:pt>
                <c:pt idx="22">
                  <c:v>1572.8770953399192</c:v>
                </c:pt>
                <c:pt idx="23">
                  <c:v>1615.0807207181326</c:v>
                </c:pt>
                <c:pt idx="24">
                  <c:v>1653.5952554033502</c:v>
                </c:pt>
              </c:numCache>
            </c:numRef>
          </c:val>
          <c:smooth val="0"/>
          <c:extLst>
            <c:ext xmlns:c16="http://schemas.microsoft.com/office/drawing/2014/chart" uri="{C3380CC4-5D6E-409C-BE32-E72D297353CC}">
              <c16:uniqueId val="{00000002-D175-4114-9984-BF38085F9052}"/>
            </c:ext>
          </c:extLst>
        </c:ser>
        <c:ser>
          <c:idx val="3"/>
          <c:order val="3"/>
          <c:tx>
            <c:strRef>
              <c:f>'BFAP verification'!$B$31</c:f>
              <c:strCache>
                <c:ptCount val="1"/>
                <c:pt idx="0">
                  <c:v>Milk production (model)</c:v>
                </c:pt>
              </c:strCache>
            </c:strRef>
          </c:tx>
          <c:spPr>
            <a:ln w="28575" cap="rnd">
              <a:solidFill>
                <a:schemeClr val="accent4"/>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verification'!$C$31:$BA$31</c:f>
              <c:numCache>
                <c:formatCode>0.00</c:formatCode>
                <c:ptCount val="51"/>
                <c:pt idx="0">
                  <c:v>2370</c:v>
                </c:pt>
                <c:pt idx="1">
                  <c:v>2358</c:v>
                </c:pt>
                <c:pt idx="2">
                  <c:v>2457</c:v>
                </c:pt>
                <c:pt idx="3">
                  <c:v>2354</c:v>
                </c:pt>
                <c:pt idx="4">
                  <c:v>2505</c:v>
                </c:pt>
                <c:pt idx="5">
                  <c:v>2657</c:v>
                </c:pt>
                <c:pt idx="6">
                  <c:v>2513</c:v>
                </c:pt>
                <c:pt idx="7">
                  <c:v>2559</c:v>
                </c:pt>
                <c:pt idx="8">
                  <c:v>2625</c:v>
                </c:pt>
                <c:pt idx="9">
                  <c:v>2587</c:v>
                </c:pt>
                <c:pt idx="10">
                  <c:v>2711</c:v>
                </c:pt>
                <c:pt idx="11">
                  <c:v>2720</c:v>
                </c:pt>
                <c:pt idx="12">
                  <c:v>2855.6890503554837</c:v>
                </c:pt>
                <c:pt idx="13">
                  <c:v>2896.0855151347173</c:v>
                </c:pt>
                <c:pt idx="14">
                  <c:v>2942.4453105118946</c:v>
                </c:pt>
                <c:pt idx="15">
                  <c:v>2979.877509050561</c:v>
                </c:pt>
                <c:pt idx="16">
                  <c:v>3011.5897015159671</c:v>
                </c:pt>
                <c:pt idx="17">
                  <c:v>3037.4479061853235</c:v>
                </c:pt>
                <c:pt idx="18">
                  <c:v>3068.5581134720883</c:v>
                </c:pt>
                <c:pt idx="19">
                  <c:v>3100.7243936023337</c:v>
                </c:pt>
                <c:pt idx="20">
                  <c:v>3026.0271670365855</c:v>
                </c:pt>
                <c:pt idx="21">
                  <c:v>3075.9709884323916</c:v>
                </c:pt>
                <c:pt idx="22">
                  <c:v>3140.6774087441063</c:v>
                </c:pt>
                <c:pt idx="23">
                  <c:v>3182.5837162137964</c:v>
                </c:pt>
                <c:pt idx="24">
                  <c:v>3227.8067915845522</c:v>
                </c:pt>
                <c:pt idx="25">
                  <c:v>3277.3403046611129</c:v>
                </c:pt>
                <c:pt idx="26">
                  <c:v>3327.4808289829625</c:v>
                </c:pt>
                <c:pt idx="27">
                  <c:v>3381.167569944198</c:v>
                </c:pt>
                <c:pt idx="28">
                  <c:v>3435.9948144632913</c:v>
                </c:pt>
                <c:pt idx="29">
                  <c:v>3494.2268263616452</c:v>
                </c:pt>
                <c:pt idx="30">
                  <c:v>3553.4527437475203</c:v>
                </c:pt>
                <c:pt idx="31">
                  <c:v>3616.2405277405846</c:v>
                </c:pt>
                <c:pt idx="32">
                  <c:v>3678.4689781017696</c:v>
                </c:pt>
                <c:pt idx="33">
                  <c:v>3743.3879707599563</c:v>
                </c:pt>
                <c:pt idx="34">
                  <c:v>3814.9486531238117</c:v>
                </c:pt>
                <c:pt idx="35">
                  <c:v>3883.8846279693989</c:v>
                </c:pt>
                <c:pt idx="36">
                  <c:v>3954.337665612069</c:v>
                </c:pt>
                <c:pt idx="37">
                  <c:v>4028.8038630323458</c:v>
                </c:pt>
                <c:pt idx="38">
                  <c:v>4099.6846646967579</c:v>
                </c:pt>
                <c:pt idx="39">
                  <c:v>4170.4148281716552</c:v>
                </c:pt>
                <c:pt idx="40">
                  <c:v>4241.1473516166661</c:v>
                </c:pt>
                <c:pt idx="41">
                  <c:v>4315.2807809107544</c:v>
                </c:pt>
                <c:pt idx="42">
                  <c:v>4387.1948862342606</c:v>
                </c:pt>
                <c:pt idx="43">
                  <c:v>4461.4918934668003</c:v>
                </c:pt>
                <c:pt idx="44">
                  <c:v>4538.4662453186138</c:v>
                </c:pt>
                <c:pt idx="45">
                  <c:v>4618.5813852227539</c:v>
                </c:pt>
                <c:pt idx="46">
                  <c:v>4700.0630338893579</c:v>
                </c:pt>
                <c:pt idx="47">
                  <c:v>4730.6696495202468</c:v>
                </c:pt>
                <c:pt idx="48">
                  <c:v>4756.5809081615998</c:v>
                </c:pt>
                <c:pt idx="49">
                  <c:v>4775.6546823598183</c:v>
                </c:pt>
                <c:pt idx="50">
                  <c:v>4792.7159535053697</c:v>
                </c:pt>
              </c:numCache>
            </c:numRef>
          </c:val>
          <c:smooth val="0"/>
          <c:extLst>
            <c:ext xmlns:c16="http://schemas.microsoft.com/office/drawing/2014/chart" uri="{C3380CC4-5D6E-409C-BE32-E72D297353CC}">
              <c16:uniqueId val="{00000003-D175-4114-9984-BF38085F9052}"/>
            </c:ext>
          </c:extLst>
        </c:ser>
        <c:ser>
          <c:idx val="4"/>
          <c:order val="4"/>
          <c:tx>
            <c:strRef>
              <c:f>'BFAP verification'!$B$32</c:f>
              <c:strCache>
                <c:ptCount val="1"/>
                <c:pt idx="0">
                  <c:v>Milk consumption (model)</c:v>
                </c:pt>
              </c:strCache>
            </c:strRef>
          </c:tx>
          <c:spPr>
            <a:ln w="28575" cap="rnd">
              <a:solidFill>
                <a:schemeClr val="accent5"/>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verification'!$C$32:$BA$32</c:f>
              <c:numCache>
                <c:formatCode>0.00</c:formatCode>
                <c:ptCount val="51"/>
                <c:pt idx="0">
                  <c:v>1284</c:v>
                </c:pt>
                <c:pt idx="1">
                  <c:v>1575</c:v>
                </c:pt>
                <c:pt idx="2">
                  <c:v>1611</c:v>
                </c:pt>
                <c:pt idx="3">
                  <c:v>1528</c:v>
                </c:pt>
                <c:pt idx="4">
                  <c:v>1626</c:v>
                </c:pt>
                <c:pt idx="5">
                  <c:v>1835</c:v>
                </c:pt>
                <c:pt idx="6">
                  <c:v>1697</c:v>
                </c:pt>
                <c:pt idx="7">
                  <c:v>1799</c:v>
                </c:pt>
                <c:pt idx="8">
                  <c:v>1819</c:v>
                </c:pt>
                <c:pt idx="9">
                  <c:v>1788</c:v>
                </c:pt>
                <c:pt idx="10">
                  <c:v>1868</c:v>
                </c:pt>
                <c:pt idx="11">
                  <c:v>1852</c:v>
                </c:pt>
                <c:pt idx="12">
                  <c:v>1952.2937553922518</c:v>
                </c:pt>
                <c:pt idx="13">
                  <c:v>1989.2140809840121</c:v>
                </c:pt>
                <c:pt idx="14">
                  <c:v>2031.5845891224524</c:v>
                </c:pt>
                <c:pt idx="15">
                  <c:v>2065.7957253002255</c:v>
                </c:pt>
                <c:pt idx="16">
                  <c:v>2094.7790652397448</c:v>
                </c:pt>
                <c:pt idx="17">
                  <c:v>2118.4121564230545</c:v>
                </c:pt>
                <c:pt idx="18">
                  <c:v>2146.8453123571589</c:v>
                </c:pt>
                <c:pt idx="19">
                  <c:v>2176.2436654550006</c:v>
                </c:pt>
                <c:pt idx="20">
                  <c:v>2107.9741784917101</c:v>
                </c:pt>
                <c:pt idx="21">
                  <c:v>2153.620305134401</c:v>
                </c:pt>
                <c:pt idx="22">
                  <c:v>2212.7587005073997</c:v>
                </c:pt>
                <c:pt idx="23">
                  <c:v>2251.0589459517669</c:v>
                </c:pt>
                <c:pt idx="24">
                  <c:v>2292.3905494986029</c:v>
                </c:pt>
                <c:pt idx="25">
                  <c:v>2337.6616750905246</c:v>
                </c:pt>
                <c:pt idx="26">
                  <c:v>2383.4875782585627</c:v>
                </c:pt>
                <c:pt idx="27">
                  <c:v>2432.5545440705869</c:v>
                </c:pt>
                <c:pt idx="28">
                  <c:v>2482.6638724488594</c:v>
                </c:pt>
                <c:pt idx="29">
                  <c:v>2535.8849860017381</c:v>
                </c:pt>
                <c:pt idx="30">
                  <c:v>2590.0144788993757</c:v>
                </c:pt>
                <c:pt idx="31">
                  <c:v>2647.3993377200095</c:v>
                </c:pt>
                <c:pt idx="32">
                  <c:v>2704.2729938916918</c:v>
                </c:pt>
                <c:pt idx="33">
                  <c:v>2763.6056696376509</c:v>
                </c:pt>
                <c:pt idx="34">
                  <c:v>2829.0085138439649</c:v>
                </c:pt>
                <c:pt idx="35">
                  <c:v>2892.0125081339011</c:v>
                </c:pt>
                <c:pt idx="36">
                  <c:v>2956.4030210887145</c:v>
                </c:pt>
                <c:pt idx="37">
                  <c:v>3024.4613590982863</c:v>
                </c:pt>
                <c:pt idx="38">
                  <c:v>3089.242826733057</c:v>
                </c:pt>
                <c:pt idx="39">
                  <c:v>3153.8866186817531</c:v>
                </c:pt>
                <c:pt idx="40">
                  <c:v>3218.5325675237677</c:v>
                </c:pt>
                <c:pt idx="41">
                  <c:v>3286.2867722971141</c:v>
                </c:pt>
                <c:pt idx="42">
                  <c:v>3352.0126272127359</c:v>
                </c:pt>
                <c:pt idx="43">
                  <c:v>3419.9163339482034</c:v>
                </c:pt>
                <c:pt idx="44">
                  <c:v>3490.2669982480302</c:v>
                </c:pt>
                <c:pt idx="45">
                  <c:v>3563.488183969479</c:v>
                </c:pt>
                <c:pt idx="46">
                  <c:v>3637.9582895830499</c:v>
                </c:pt>
                <c:pt idx="47">
                  <c:v>3665.9311882148918</c:v>
                </c:pt>
                <c:pt idx="48">
                  <c:v>3689.612768045185</c:v>
                </c:pt>
                <c:pt idx="49">
                  <c:v>3707.0452329281993</c:v>
                </c:pt>
                <c:pt idx="50">
                  <c:v>3722.6383718116517</c:v>
                </c:pt>
              </c:numCache>
            </c:numRef>
          </c:val>
          <c:smooth val="0"/>
          <c:extLst>
            <c:ext xmlns:c16="http://schemas.microsoft.com/office/drawing/2014/chart" uri="{C3380CC4-5D6E-409C-BE32-E72D297353CC}">
              <c16:uniqueId val="{00000004-D175-4114-9984-BF38085F9052}"/>
            </c:ext>
          </c:extLst>
        </c:ser>
        <c:dLbls>
          <c:showLegendKey val="0"/>
          <c:showVal val="0"/>
          <c:showCatName val="0"/>
          <c:showSerName val="0"/>
          <c:showPercent val="0"/>
          <c:showBubbleSize val="0"/>
        </c:dLbls>
        <c:smooth val="0"/>
        <c:axId val="1983403439"/>
        <c:axId val="1983404271"/>
      </c:lineChart>
      <c:catAx>
        <c:axId val="1983403439"/>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4271"/>
        <c:crosses val="autoZero"/>
        <c:auto val="1"/>
        <c:lblAlgn val="ctr"/>
        <c:lblOffset val="100"/>
        <c:noMultiLvlLbl val="0"/>
      </c:catAx>
      <c:valAx>
        <c:axId val="1983404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3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verification'!$B$35</c:f>
              <c:strCache>
                <c:ptCount val="1"/>
                <c:pt idx="0">
                  <c:v>Sheep meat production (BFAP)</c:v>
                </c:pt>
              </c:strCache>
            </c:strRef>
          </c:tx>
          <c:spPr>
            <a:ln w="28575" cap="rnd">
              <a:solidFill>
                <a:schemeClr val="accent1"/>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verification'!$C$35:$BA$35</c:f>
              <c:numCache>
                <c:formatCode>0.00</c:formatCode>
                <c:ptCount val="51"/>
                <c:pt idx="0">
                  <c:v>114.36</c:v>
                </c:pt>
                <c:pt idx="1">
                  <c:v>114.36</c:v>
                </c:pt>
                <c:pt idx="2">
                  <c:v>114.36</c:v>
                </c:pt>
                <c:pt idx="3">
                  <c:v>94.948778000000004</c:v>
                </c:pt>
                <c:pt idx="4">
                  <c:v>97.52034399999998</c:v>
                </c:pt>
                <c:pt idx="5">
                  <c:v>102.166586</c:v>
                </c:pt>
                <c:pt idx="6">
                  <c:v>115.84967</c:v>
                </c:pt>
                <c:pt idx="7">
                  <c:v>110.621706</c:v>
                </c:pt>
                <c:pt idx="8">
                  <c:v>115.99826544161907</c:v>
                </c:pt>
                <c:pt idx="9">
                  <c:v>120.63819605928383</c:v>
                </c:pt>
                <c:pt idx="10">
                  <c:v>125.46372390165519</c:v>
                </c:pt>
                <c:pt idx="11">
                  <c:v>91.588518448208291</c:v>
                </c:pt>
                <c:pt idx="12">
                  <c:v>98.915599924064963</c:v>
                </c:pt>
                <c:pt idx="13">
                  <c:v>115.10460982337811</c:v>
                </c:pt>
                <c:pt idx="14">
                  <c:v>118.08101882391567</c:v>
                </c:pt>
                <c:pt idx="15">
                  <c:v>120</c:v>
                </c:pt>
                <c:pt idx="16">
                  <c:v>125</c:v>
                </c:pt>
                <c:pt idx="17">
                  <c:v>135</c:v>
                </c:pt>
                <c:pt idx="18">
                  <c:v>115</c:v>
                </c:pt>
                <c:pt idx="19">
                  <c:v>108</c:v>
                </c:pt>
                <c:pt idx="20">
                  <c:v>113</c:v>
                </c:pt>
                <c:pt idx="21">
                  <c:v>116</c:v>
                </c:pt>
                <c:pt idx="22">
                  <c:v>119</c:v>
                </c:pt>
                <c:pt idx="23">
                  <c:v>121</c:v>
                </c:pt>
                <c:pt idx="24">
                  <c:v>124</c:v>
                </c:pt>
                <c:pt idx="25">
                  <c:v>127</c:v>
                </c:pt>
                <c:pt idx="26">
                  <c:v>129</c:v>
                </c:pt>
                <c:pt idx="27">
                  <c:v>131</c:v>
                </c:pt>
                <c:pt idx="28">
                  <c:v>133</c:v>
                </c:pt>
              </c:numCache>
            </c:numRef>
          </c:val>
          <c:smooth val="0"/>
          <c:extLst>
            <c:ext xmlns:c16="http://schemas.microsoft.com/office/drawing/2014/chart" uri="{C3380CC4-5D6E-409C-BE32-E72D297353CC}">
              <c16:uniqueId val="{00000000-DF71-4BF4-9C91-6EEA5522726F}"/>
            </c:ext>
          </c:extLst>
        </c:ser>
        <c:ser>
          <c:idx val="1"/>
          <c:order val="1"/>
          <c:tx>
            <c:strRef>
              <c:f>'BFAP verification'!$B$36</c:f>
              <c:strCache>
                <c:ptCount val="1"/>
                <c:pt idx="0">
                  <c:v>Sheep meat domestic Use (BFAP)</c:v>
                </c:pt>
              </c:strCache>
            </c:strRef>
          </c:tx>
          <c:spPr>
            <a:ln w="28575" cap="rnd">
              <a:solidFill>
                <a:schemeClr val="accent2"/>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verification'!$C$36:$BA$36</c:f>
              <c:numCache>
                <c:formatCode>0.00</c:formatCode>
                <c:ptCount val="51"/>
                <c:pt idx="0">
                  <c:v>147.50101899999999</c:v>
                </c:pt>
                <c:pt idx="1">
                  <c:v>147.50101899999999</c:v>
                </c:pt>
                <c:pt idx="2">
                  <c:v>147.50101899999999</c:v>
                </c:pt>
                <c:pt idx="3">
                  <c:v>156</c:v>
                </c:pt>
                <c:pt idx="4">
                  <c:v>163</c:v>
                </c:pt>
                <c:pt idx="5">
                  <c:v>150</c:v>
                </c:pt>
                <c:pt idx="6">
                  <c:v>177</c:v>
                </c:pt>
                <c:pt idx="7">
                  <c:v>165.63170600000001</c:v>
                </c:pt>
                <c:pt idx="8">
                  <c:v>153.94826544161907</c:v>
                </c:pt>
                <c:pt idx="9">
                  <c:v>149.24819605928383</c:v>
                </c:pt>
                <c:pt idx="10">
                  <c:v>149.24372390165519</c:v>
                </c:pt>
                <c:pt idx="11">
                  <c:v>116.67851844820828</c:v>
                </c:pt>
                <c:pt idx="12">
                  <c:v>121.76574443406494</c:v>
                </c:pt>
                <c:pt idx="13">
                  <c:v>134.49960982337811</c:v>
                </c:pt>
                <c:pt idx="14">
                  <c:v>134.87990262391565</c:v>
                </c:pt>
                <c:pt idx="15">
                  <c:v>138.20716425710361</c:v>
                </c:pt>
                <c:pt idx="16">
                  <c:v>140.54831762918488</c:v>
                </c:pt>
                <c:pt idx="17">
                  <c:v>142.52537151325211</c:v>
                </c:pt>
                <c:pt idx="18">
                  <c:v>143.33699921198837</c:v>
                </c:pt>
                <c:pt idx="19">
                  <c:v>145.00011855243841</c:v>
                </c:pt>
                <c:pt idx="20">
                  <c:v>146.72189410939382</c:v>
                </c:pt>
                <c:pt idx="21">
                  <c:v>148.14351293952492</c:v>
                </c:pt>
                <c:pt idx="22">
                  <c:v>149.6242507758528</c:v>
                </c:pt>
                <c:pt idx="23">
                  <c:v>151.3117511608838</c:v>
                </c:pt>
                <c:pt idx="24">
                  <c:v>153.36736842443659</c:v>
                </c:pt>
              </c:numCache>
            </c:numRef>
          </c:val>
          <c:smooth val="0"/>
          <c:extLst>
            <c:ext xmlns:c16="http://schemas.microsoft.com/office/drawing/2014/chart" uri="{C3380CC4-5D6E-409C-BE32-E72D297353CC}">
              <c16:uniqueId val="{00000001-DF71-4BF4-9C91-6EEA5522726F}"/>
            </c:ext>
          </c:extLst>
        </c:ser>
        <c:ser>
          <c:idx val="2"/>
          <c:order val="2"/>
          <c:tx>
            <c:strRef>
              <c:f>'BFAP verification'!$B$37</c:f>
              <c:strCache>
                <c:ptCount val="1"/>
                <c:pt idx="0">
                  <c:v>Sheep meat production (model)</c:v>
                </c:pt>
              </c:strCache>
            </c:strRef>
          </c:tx>
          <c:spPr>
            <a:ln w="28575" cap="rnd">
              <a:solidFill>
                <a:schemeClr val="accent3"/>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verification'!$C$37:$BA$37</c:f>
              <c:numCache>
                <c:formatCode>General</c:formatCode>
                <c:ptCount val="51"/>
                <c:pt idx="0">
                  <c:v>98.52</c:v>
                </c:pt>
                <c:pt idx="1">
                  <c:v>95.86</c:v>
                </c:pt>
                <c:pt idx="2">
                  <c:v>96.34</c:v>
                </c:pt>
                <c:pt idx="3">
                  <c:v>105.64</c:v>
                </c:pt>
                <c:pt idx="4">
                  <c:v>111.12</c:v>
                </c:pt>
                <c:pt idx="5">
                  <c:v>124.52</c:v>
                </c:pt>
                <c:pt idx="6">
                  <c:v>124.74</c:v>
                </c:pt>
                <c:pt idx="7">
                  <c:v>148.52000000000001</c:v>
                </c:pt>
                <c:pt idx="8">
                  <c:v>149.26</c:v>
                </c:pt>
                <c:pt idx="9">
                  <c:v>151.30000000000001</c:v>
                </c:pt>
                <c:pt idx="10">
                  <c:v>153.46</c:v>
                </c:pt>
                <c:pt idx="11">
                  <c:v>139.5</c:v>
                </c:pt>
                <c:pt idx="12">
                  <c:v>152.72952607078588</c:v>
                </c:pt>
                <c:pt idx="13">
                  <c:v>154.16984221187647</c:v>
                </c:pt>
                <c:pt idx="14">
                  <c:v>155.66827791085186</c:v>
                </c:pt>
                <c:pt idx="15">
                  <c:v>157.21198381172761</c:v>
                </c:pt>
                <c:pt idx="16">
                  <c:v>158.8062765556717</c:v>
                </c:pt>
                <c:pt idx="17">
                  <c:v>160.45324259982834</c:v>
                </c:pt>
                <c:pt idx="18">
                  <c:v>162.12709927917498</c:v>
                </c:pt>
                <c:pt idx="19">
                  <c:v>163.82857693085529</c:v>
                </c:pt>
                <c:pt idx="20">
                  <c:v>165.45038164244772</c:v>
                </c:pt>
                <c:pt idx="21">
                  <c:v>166.72757603056738</c:v>
                </c:pt>
                <c:pt idx="22">
                  <c:v>168.0336380195883</c:v>
                </c:pt>
                <c:pt idx="23">
                  <c:v>169.33123584737046</c:v>
                </c:pt>
                <c:pt idx="24">
                  <c:v>170.64660354254099</c:v>
                </c:pt>
                <c:pt idx="25">
                  <c:v>171.98089945472714</c:v>
                </c:pt>
                <c:pt idx="26">
                  <c:v>173.14235323795458</c:v>
                </c:pt>
                <c:pt idx="27">
                  <c:v>174.31829018107936</c:v>
                </c:pt>
                <c:pt idx="28">
                  <c:v>175.50641669451815</c:v>
                </c:pt>
                <c:pt idx="29">
                  <c:v>176.70910174347165</c:v>
                </c:pt>
                <c:pt idx="30">
                  <c:v>177.92404873132426</c:v>
                </c:pt>
                <c:pt idx="31">
                  <c:v>178.99838500698377</c:v>
                </c:pt>
                <c:pt idx="32">
                  <c:v>180.08079676807154</c:v>
                </c:pt>
                <c:pt idx="33">
                  <c:v>181.17460167027124</c:v>
                </c:pt>
                <c:pt idx="34">
                  <c:v>182.28381799570505</c:v>
                </c:pt>
                <c:pt idx="35">
                  <c:v>183.39927112600063</c:v>
                </c:pt>
                <c:pt idx="36">
                  <c:v>184.37512484294896</c:v>
                </c:pt>
                <c:pt idx="37">
                  <c:v>185.36161394666027</c:v>
                </c:pt>
                <c:pt idx="38">
                  <c:v>186.35120222026268</c:v>
                </c:pt>
                <c:pt idx="39">
                  <c:v>187.34736707308406</c:v>
                </c:pt>
                <c:pt idx="40">
                  <c:v>188.35031047436755</c:v>
                </c:pt>
                <c:pt idx="41">
                  <c:v>189.22105340174826</c:v>
                </c:pt>
                <c:pt idx="42">
                  <c:v>190.09452955844631</c:v>
                </c:pt>
                <c:pt idx="43">
                  <c:v>190.97536354522461</c:v>
                </c:pt>
                <c:pt idx="44">
                  <c:v>191.86388019574505</c:v>
                </c:pt>
                <c:pt idx="45">
                  <c:v>192.76057322947716</c:v>
                </c:pt>
                <c:pt idx="46">
                  <c:v>193.51735121668534</c:v>
                </c:pt>
                <c:pt idx="47">
                  <c:v>194.22679462172178</c:v>
                </c:pt>
                <c:pt idx="48">
                  <c:v>194.93501683597972</c:v>
                </c:pt>
                <c:pt idx="49">
                  <c:v>195.63989731474589</c:v>
                </c:pt>
                <c:pt idx="50">
                  <c:v>196.34627005656867</c:v>
                </c:pt>
              </c:numCache>
            </c:numRef>
          </c:val>
          <c:smooth val="0"/>
          <c:extLst>
            <c:ext xmlns:c16="http://schemas.microsoft.com/office/drawing/2014/chart" uri="{C3380CC4-5D6E-409C-BE32-E72D297353CC}">
              <c16:uniqueId val="{00000002-DF71-4BF4-9C91-6EEA5522726F}"/>
            </c:ext>
          </c:extLst>
        </c:ser>
        <c:ser>
          <c:idx val="3"/>
          <c:order val="3"/>
          <c:tx>
            <c:strRef>
              <c:f>'BFAP verification'!$B$38</c:f>
              <c:strCache>
                <c:ptCount val="1"/>
                <c:pt idx="0">
                  <c:v>Sheep meat domestic Use (model)</c:v>
                </c:pt>
              </c:strCache>
            </c:strRef>
          </c:tx>
          <c:spPr>
            <a:ln w="28575" cap="rnd">
              <a:solidFill>
                <a:schemeClr val="accent4"/>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verification'!$C$38:$BA$38</c:f>
              <c:numCache>
                <c:formatCode>General</c:formatCode>
                <c:ptCount val="51"/>
                <c:pt idx="0">
                  <c:v>153.22</c:v>
                </c:pt>
                <c:pt idx="1">
                  <c:v>149.46</c:v>
                </c:pt>
                <c:pt idx="2">
                  <c:v>137.24</c:v>
                </c:pt>
                <c:pt idx="3">
                  <c:v>137.24</c:v>
                </c:pt>
                <c:pt idx="4">
                  <c:v>143.82</c:v>
                </c:pt>
                <c:pt idx="5">
                  <c:v>157.91999999999999</c:v>
                </c:pt>
                <c:pt idx="6">
                  <c:v>165.44</c:v>
                </c:pt>
                <c:pt idx="7">
                  <c:v>190.82</c:v>
                </c:pt>
                <c:pt idx="8">
                  <c:v>177.66</c:v>
                </c:pt>
                <c:pt idx="9">
                  <c:v>169.2</c:v>
                </c:pt>
                <c:pt idx="10">
                  <c:v>163.56</c:v>
                </c:pt>
                <c:pt idx="11">
                  <c:v>145.69999999999999</c:v>
                </c:pt>
                <c:pt idx="12">
                  <c:v>168.49335641070596</c:v>
                </c:pt>
                <c:pt idx="13">
                  <c:v>171.01670205543257</c:v>
                </c:pt>
                <c:pt idx="14">
                  <c:v>173.64186960514101</c:v>
                </c:pt>
                <c:pt idx="15">
                  <c:v>176.34634777530448</c:v>
                </c:pt>
                <c:pt idx="16">
                  <c:v>179.1394509955492</c:v>
                </c:pt>
                <c:pt idx="17">
                  <c:v>182.02483461097441</c:v>
                </c:pt>
                <c:pt idx="18">
                  <c:v>184.95732897191922</c:v>
                </c:pt>
                <c:pt idx="19">
                  <c:v>187.93821358431842</c:v>
                </c:pt>
                <c:pt idx="20">
                  <c:v>190.77951608648655</c:v>
                </c:pt>
                <c:pt idx="21">
                  <c:v>193.01708241292565</c:v>
                </c:pt>
                <c:pt idx="22">
                  <c:v>195.30522300770053</c:v>
                </c:pt>
                <c:pt idx="23">
                  <c:v>197.57853491050378</c:v>
                </c:pt>
                <c:pt idx="24">
                  <c:v>199.88297853238066</c:v>
                </c:pt>
                <c:pt idx="25">
                  <c:v>202.22058323091721</c:v>
                </c:pt>
                <c:pt idx="26">
                  <c:v>204.2553791079107</c:v>
                </c:pt>
                <c:pt idx="27">
                  <c:v>206.31554859379884</c:v>
                </c:pt>
                <c:pt idx="28">
                  <c:v>208.39707346013819</c:v>
                </c:pt>
                <c:pt idx="29">
                  <c:v>210.50410398883639</c:v>
                </c:pt>
                <c:pt idx="30">
                  <c:v>212.63261668331347</c:v>
                </c:pt>
                <c:pt idx="31">
                  <c:v>214.51478802390855</c:v>
                </c:pt>
                <c:pt idx="32">
                  <c:v>216.41110712026577</c:v>
                </c:pt>
                <c:pt idx="33">
                  <c:v>218.32738630190184</c:v>
                </c:pt>
                <c:pt idx="34">
                  <c:v>220.27066535293275</c:v>
                </c:pt>
                <c:pt idx="35">
                  <c:v>222.22487090401179</c:v>
                </c:pt>
                <c:pt idx="36">
                  <c:v>223.93450683483414</c:v>
                </c:pt>
                <c:pt idx="37">
                  <c:v>225.66277531173631</c:v>
                </c:pt>
                <c:pt idx="38">
                  <c:v>227.39647334443094</c:v>
                </c:pt>
                <c:pt idx="39">
                  <c:v>229.14169314103287</c:v>
                </c:pt>
                <c:pt idx="40">
                  <c:v>230.8987885392832</c:v>
                </c:pt>
                <c:pt idx="41">
                  <c:v>232.42427680592095</c:v>
                </c:pt>
                <c:pt idx="42">
                  <c:v>233.95455352288369</c:v>
                </c:pt>
                <c:pt idx="43">
                  <c:v>235.49772070740281</c:v>
                </c:pt>
                <c:pt idx="44">
                  <c:v>237.05434744815446</c:v>
                </c:pt>
                <c:pt idx="45">
                  <c:v>238.6252987114037</c:v>
                </c:pt>
                <c:pt idx="46">
                  <c:v>239.95112738440659</c:v>
                </c:pt>
                <c:pt idx="47">
                  <c:v>241.194028769184</c:v>
                </c:pt>
                <c:pt idx="48">
                  <c:v>242.43479070252812</c:v>
                </c:pt>
                <c:pt idx="49">
                  <c:v>243.66969812000713</c:v>
                </c:pt>
                <c:pt idx="50">
                  <c:v>244.90721989094445</c:v>
                </c:pt>
              </c:numCache>
            </c:numRef>
          </c:val>
          <c:smooth val="0"/>
          <c:extLst>
            <c:ext xmlns:c16="http://schemas.microsoft.com/office/drawing/2014/chart" uri="{C3380CC4-5D6E-409C-BE32-E72D297353CC}">
              <c16:uniqueId val="{00000003-DF71-4BF4-9C91-6EEA5522726F}"/>
            </c:ext>
          </c:extLst>
        </c:ser>
        <c:dLbls>
          <c:showLegendKey val="0"/>
          <c:showVal val="0"/>
          <c:showCatName val="0"/>
          <c:showSerName val="0"/>
          <c:showPercent val="0"/>
          <c:showBubbleSize val="0"/>
        </c:dLbls>
        <c:smooth val="0"/>
        <c:axId val="1923059263"/>
        <c:axId val="1923059679"/>
      </c:lineChart>
      <c:catAx>
        <c:axId val="192305926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679"/>
        <c:crosses val="autoZero"/>
        <c:auto val="1"/>
        <c:lblAlgn val="ctr"/>
        <c:lblOffset val="100"/>
        <c:noMultiLvlLbl val="0"/>
      </c:catAx>
      <c:valAx>
        <c:axId val="19230596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'Activity data'!$D$5:$F$5</c:f>
              <c:strCache>
                <c:ptCount val="3"/>
                <c:pt idx="0">
                  <c:v>TMR</c:v>
                </c:pt>
                <c:pt idx="1">
                  <c:v>Population</c:v>
                </c:pt>
                <c:pt idx="2">
                  <c:v>Head</c:v>
                </c:pt>
              </c:strCache>
              <c:extLst xmlns:c15="http://schemas.microsoft.com/office/drawing/2012/chart"/>
            </c:strRef>
          </c:tx>
          <c:spPr>
            <a:solidFill>
              <a:schemeClr val="accent3"/>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598039.0074127327</c:v>
                </c:pt>
                <c:pt idx="25">
                  <c:v>601046.62603335571</c:v>
                </c:pt>
                <c:pt idx="26">
                  <c:v>603045.20236245089</c:v>
                </c:pt>
                <c:pt idx="27">
                  <c:v>604015.06594627816</c:v>
                </c:pt>
                <c:pt idx="28">
                  <c:v>606157.85554919671</c:v>
                </c:pt>
                <c:pt idx="29">
                  <c:v>608615.99513645703</c:v>
                </c:pt>
                <c:pt idx="30">
                  <c:v>590321.24202673463</c:v>
                </c:pt>
                <c:pt idx="31">
                  <c:v>596528.54012635571</c:v>
                </c:pt>
                <c:pt idx="32">
                  <c:v>605614.38207052986</c:v>
                </c:pt>
                <c:pt idx="33">
                  <c:v>610323.79251775239</c:v>
                </c:pt>
                <c:pt idx="34">
                  <c:v>615706.02176126163</c:v>
                </c:pt>
                <c:pt idx="35">
                  <c:v>621935.38820461812</c:v>
                </c:pt>
                <c:pt idx="36">
                  <c:v>628296.74669941061</c:v>
                </c:pt>
                <c:pt idx="37">
                  <c:v>635337.95015234023</c:v>
                </c:pt>
                <c:pt idx="38">
                  <c:v>642597.27083756379</c:v>
                </c:pt>
                <c:pt idx="39">
                  <c:v>650491.47780704009</c:v>
                </c:pt>
                <c:pt idx="40">
                  <c:v>658563.76332493348</c:v>
                </c:pt>
                <c:pt idx="41">
                  <c:v>667284.4948805609</c:v>
                </c:pt>
                <c:pt idx="42">
                  <c:v>675887.19695647305</c:v>
                </c:pt>
                <c:pt idx="43">
                  <c:v>684967.28485571465</c:v>
                </c:pt>
                <c:pt idx="44">
                  <c:v>695238.36532463855</c:v>
                </c:pt>
                <c:pt idx="45">
                  <c:v>705003.80060777965</c:v>
                </c:pt>
                <c:pt idx="46">
                  <c:v>715018.20276526653</c:v>
                </c:pt>
                <c:pt idx="47">
                  <c:v>725728.15259104513</c:v>
                </c:pt>
                <c:pt idx="48">
                  <c:v>735762.08486922923</c:v>
                </c:pt>
                <c:pt idx="49">
                  <c:v>745741.56575596228</c:v>
                </c:pt>
                <c:pt idx="50">
                  <c:v>755694.35311660939</c:v>
                </c:pt>
                <c:pt idx="51">
                  <c:v>766224.10374418576</c:v>
                </c:pt>
                <c:pt idx="52">
                  <c:v>776330.32659557904</c:v>
                </c:pt>
                <c:pt idx="53">
                  <c:v>786828.98815047613</c:v>
                </c:pt>
                <c:pt idx="54">
                  <c:v>797767.97088992584</c:v>
                </c:pt>
                <c:pt idx="55">
                  <c:v>809224.27492024703</c:v>
                </c:pt>
                <c:pt idx="56">
                  <c:v>820883.22588005802</c:v>
                </c:pt>
                <c:pt idx="57">
                  <c:v>823647.46997840214</c:v>
                </c:pt>
                <c:pt idx="58">
                  <c:v>825614.77404733561</c:v>
                </c:pt>
                <c:pt idx="59">
                  <c:v>826420.81446797797</c:v>
                </c:pt>
                <c:pt idx="60">
                  <c:v>826907.52343347447</c:v>
                </c:pt>
              </c:numCache>
              <c:extLst xmlns:c15="http://schemas.microsoft.com/office/drawing/2012/chart"/>
            </c:numRef>
          </c:val>
          <c:extLst xmlns:c15="http://schemas.microsoft.com/office/drawing/2012/chart">
            <c:ext xmlns:c16="http://schemas.microsoft.com/office/drawing/2014/chart" uri="{C3380CC4-5D6E-409C-BE32-E72D297353CC}">
              <c16:uniqueId val="{00000002-3B16-45B8-89BE-5AE640BDA9C0}"/>
            </c:ext>
          </c:extLst>
        </c:ser>
        <c:ser>
          <c:idx val="3"/>
          <c:order val="1"/>
          <c:tx>
            <c:strRef>
              <c:f>'Activity data'!$D$6:$F$6</c:f>
              <c:strCache>
                <c:ptCount val="3"/>
                <c:pt idx="0">
                  <c:v>Pasture</c:v>
                </c:pt>
                <c:pt idx="1">
                  <c:v>Population</c:v>
                </c:pt>
                <c:pt idx="2">
                  <c:v>Head</c:v>
                </c:pt>
              </c:strCache>
              <c:extLst xmlns:c15="http://schemas.microsoft.com/office/drawing/2012/chart"/>
            </c:strRef>
          </c:tx>
          <c:spPr>
            <a:solidFill>
              <a:schemeClr val="accent4"/>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495518.03471340711</c:v>
                </c:pt>
                <c:pt idx="25">
                  <c:v>498010.06157049473</c:v>
                </c:pt>
                <c:pt idx="26">
                  <c:v>499666.02481460216</c:v>
                </c:pt>
                <c:pt idx="27">
                  <c:v>500469.62606977334</c:v>
                </c:pt>
                <c:pt idx="28">
                  <c:v>502245.08031219151</c:v>
                </c:pt>
                <c:pt idx="29">
                  <c:v>504281.82454163581</c:v>
                </c:pt>
                <c:pt idx="30">
                  <c:v>489123.3148221515</c:v>
                </c:pt>
                <c:pt idx="31">
                  <c:v>494266.50467612332</c:v>
                </c:pt>
                <c:pt idx="32">
                  <c:v>501794.77371558186</c:v>
                </c:pt>
                <c:pt idx="33">
                  <c:v>505696.85665756627</c:v>
                </c:pt>
                <c:pt idx="34">
                  <c:v>510156.41803075967</c:v>
                </c:pt>
                <c:pt idx="35">
                  <c:v>515317.89308382646</c:v>
                </c:pt>
                <c:pt idx="36">
                  <c:v>520588.73297951161</c:v>
                </c:pt>
                <c:pt idx="37">
                  <c:v>526422.87298336753</c:v>
                </c:pt>
                <c:pt idx="38">
                  <c:v>532437.73869398143</c:v>
                </c:pt>
                <c:pt idx="39">
                  <c:v>538978.65304011898</c:v>
                </c:pt>
                <c:pt idx="40">
                  <c:v>545667.11818351632</c:v>
                </c:pt>
                <c:pt idx="41">
                  <c:v>552892.8671867504</c:v>
                </c:pt>
                <c:pt idx="42">
                  <c:v>560020.82033536339</c:v>
                </c:pt>
                <c:pt idx="43">
                  <c:v>567544.32173759222</c:v>
                </c:pt>
                <c:pt idx="44">
                  <c:v>576054.64555470052</c:v>
                </c:pt>
                <c:pt idx="45">
                  <c:v>584146.00621787459</c:v>
                </c:pt>
                <c:pt idx="46">
                  <c:v>592443.65371979226</c:v>
                </c:pt>
                <c:pt idx="47">
                  <c:v>601317.61214686593</c:v>
                </c:pt>
                <c:pt idx="48">
                  <c:v>609631.44174878998</c:v>
                </c:pt>
                <c:pt idx="49">
                  <c:v>617900.15448351158</c:v>
                </c:pt>
                <c:pt idx="50">
                  <c:v>626146.74972519069</c:v>
                </c:pt>
                <c:pt idx="51">
                  <c:v>634871.40024518245</c:v>
                </c:pt>
                <c:pt idx="52">
                  <c:v>643245.12775062257</c:v>
                </c:pt>
                <c:pt idx="53">
                  <c:v>651944.01875325164</c:v>
                </c:pt>
                <c:pt idx="54">
                  <c:v>661007.74730879569</c:v>
                </c:pt>
                <c:pt idx="55">
                  <c:v>670500.11350534752</c:v>
                </c:pt>
                <c:pt idx="56">
                  <c:v>680160.38715776231</c:v>
                </c:pt>
                <c:pt idx="57">
                  <c:v>682450.76083924749</c:v>
                </c:pt>
                <c:pt idx="58">
                  <c:v>684080.81278207805</c:v>
                </c:pt>
                <c:pt idx="59">
                  <c:v>684748.67484489607</c:v>
                </c:pt>
                <c:pt idx="60">
                  <c:v>685151.94798773597</c:v>
                </c:pt>
              </c:numCache>
              <c:extLst xmlns:c15="http://schemas.microsoft.com/office/drawing/2012/chart"/>
            </c:numRef>
          </c:val>
          <c:extLst xmlns:c15="http://schemas.microsoft.com/office/drawing/2012/chart">
            <c:ext xmlns:c16="http://schemas.microsoft.com/office/drawing/2014/chart" uri="{C3380CC4-5D6E-409C-BE32-E72D297353CC}">
              <c16:uniqueId val="{00000003-3B16-45B8-89BE-5AE640BDA9C0}"/>
            </c:ext>
          </c:extLst>
        </c:ser>
        <c:ser>
          <c:idx val="4"/>
          <c:order val="2"/>
          <c:tx>
            <c:strRef>
              <c:f>'Activity data'!$D$7:$F$7</c:f>
              <c:strCache>
                <c:ptCount val="3"/>
                <c:pt idx="0">
                  <c:v>Non-lactating</c:v>
                </c:pt>
                <c:pt idx="1">
                  <c:v>Population</c:v>
                </c:pt>
                <c:pt idx="2">
                  <c:v>Head</c:v>
                </c:pt>
              </c:strCache>
              <c:extLst xmlns:c15="http://schemas.microsoft.com/office/drawing/2012/chart"/>
            </c:strRef>
          </c:tx>
          <c:spPr>
            <a:solidFill>
              <a:schemeClr val="accent5"/>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615125.83619595377</c:v>
                </c:pt>
                <c:pt idx="25">
                  <c:v>618219.38677716604</c:v>
                </c:pt>
                <c:pt idx="26">
                  <c:v>620275.06528709247</c:v>
                </c:pt>
                <c:pt idx="27">
                  <c:v>621272.63925902906</c:v>
                </c:pt>
                <c:pt idx="28">
                  <c:v>623476.65142203099</c:v>
                </c:pt>
                <c:pt idx="29">
                  <c:v>626005.02356892731</c:v>
                </c:pt>
                <c:pt idx="30">
                  <c:v>607187.56322749855</c:v>
                </c:pt>
                <c:pt idx="31">
                  <c:v>613572.21270139457</c:v>
                </c:pt>
                <c:pt idx="32">
                  <c:v>622917.65012968797</c:v>
                </c:pt>
                <c:pt idx="33">
                  <c:v>627761.61516111693</c:v>
                </c:pt>
                <c:pt idx="34">
                  <c:v>633297.62238301209</c:v>
                </c:pt>
                <c:pt idx="35">
                  <c:v>639704.97072475019</c:v>
                </c:pt>
                <c:pt idx="36">
                  <c:v>646248.08231939387</c:v>
                </c:pt>
                <c:pt idx="37">
                  <c:v>653490.46301383572</c:v>
                </c:pt>
                <c:pt idx="38">
                  <c:v>660957.19286149426</c:v>
                </c:pt>
                <c:pt idx="39">
                  <c:v>669076.94860152714</c:v>
                </c:pt>
                <c:pt idx="40">
                  <c:v>677379.87084850308</c:v>
                </c:pt>
                <c:pt idx="41">
                  <c:v>686349.76616286277</c:v>
                </c:pt>
                <c:pt idx="42">
                  <c:v>695198.25972665811</c:v>
                </c:pt>
                <c:pt idx="43">
                  <c:v>704537.77870873525</c:v>
                </c:pt>
                <c:pt idx="44">
                  <c:v>715102.31861962832</c:v>
                </c:pt>
                <c:pt idx="45">
                  <c:v>725146.7663394307</c:v>
                </c:pt>
                <c:pt idx="46">
                  <c:v>735447.29427284573</c:v>
                </c:pt>
                <c:pt idx="47">
                  <c:v>746463.24266507511</c:v>
                </c:pt>
                <c:pt idx="48">
                  <c:v>756783.85872263601</c:v>
                </c:pt>
                <c:pt idx="49">
                  <c:v>767048.4676347042</c:v>
                </c:pt>
                <c:pt idx="50">
                  <c:v>777285.62034851266</c:v>
                </c:pt>
                <c:pt idx="51">
                  <c:v>788116.22099401976</c:v>
                </c:pt>
                <c:pt idx="52">
                  <c:v>798511.19306973857</c:v>
                </c:pt>
                <c:pt idx="53">
                  <c:v>809309.81638334703</c:v>
                </c:pt>
                <c:pt idx="54">
                  <c:v>820561.34148678102</c:v>
                </c:pt>
                <c:pt idx="55">
                  <c:v>832344.96848939708</c:v>
                </c:pt>
                <c:pt idx="56">
                  <c:v>844337.03233377414</c:v>
                </c:pt>
                <c:pt idx="57">
                  <c:v>847180.25483492808</c:v>
                </c:pt>
                <c:pt idx="58">
                  <c:v>849203.76759154536</c:v>
                </c:pt>
                <c:pt idx="59">
                  <c:v>850032.83773849171</c:v>
                </c:pt>
                <c:pt idx="60">
                  <c:v>850533.45267443103</c:v>
                </c:pt>
              </c:numCache>
              <c:extLst xmlns:c15="http://schemas.microsoft.com/office/drawing/2012/chart"/>
            </c:numRef>
          </c:val>
          <c:extLst xmlns:c15="http://schemas.microsoft.com/office/drawing/2012/chart">
            <c:ext xmlns:c16="http://schemas.microsoft.com/office/drawing/2014/chart" uri="{C3380CC4-5D6E-409C-BE32-E72D297353CC}">
              <c16:uniqueId val="{00000004-3B16-45B8-89BE-5AE640BDA9C0}"/>
            </c:ext>
          </c:extLst>
        </c:ser>
        <c:ser>
          <c:idx val="5"/>
          <c:order val="3"/>
          <c:tx>
            <c:strRef>
              <c:f>'Activity data'!$D$8:$F$8</c:f>
              <c:strCache>
                <c:ptCount val="3"/>
                <c:pt idx="0">
                  <c:v>Commercial</c:v>
                </c:pt>
                <c:pt idx="1">
                  <c:v>Population</c:v>
                </c:pt>
                <c:pt idx="2">
                  <c:v>Head</c:v>
                </c:pt>
              </c:strCache>
              <c:extLst xmlns:c15="http://schemas.microsoft.com/office/drawing/2012/chart"/>
            </c:strRef>
          </c:tx>
          <c:spPr>
            <a:solidFill>
              <a:schemeClr val="accent6"/>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5954880.1627134737</c:v>
                </c:pt>
                <c:pt idx="23">
                  <c:v>5903235.3888004757</c:v>
                </c:pt>
                <c:pt idx="24">
                  <c:v>5883575.7867908729</c:v>
                </c:pt>
                <c:pt idx="25">
                  <c:v>5805008.3335930631</c:v>
                </c:pt>
                <c:pt idx="26">
                  <c:v>5690965.7565264786</c:v>
                </c:pt>
                <c:pt idx="27">
                  <c:v>5543806.2775503108</c:v>
                </c:pt>
                <c:pt idx="28">
                  <c:v>5427737.2925172504</c:v>
                </c:pt>
                <c:pt idx="29">
                  <c:v>5317922.8374796044</c:v>
                </c:pt>
                <c:pt idx="30">
                  <c:v>4678221.8105234597</c:v>
                </c:pt>
                <c:pt idx="31">
                  <c:v>4754210.2304002214</c:v>
                </c:pt>
                <c:pt idx="32">
                  <c:v>4895969.0248722164</c:v>
                </c:pt>
                <c:pt idx="33">
                  <c:v>4924279.8935017614</c:v>
                </c:pt>
                <c:pt idx="34">
                  <c:v>4965112.3083347548</c:v>
                </c:pt>
                <c:pt idx="35">
                  <c:v>5022074.4277090412</c:v>
                </c:pt>
                <c:pt idx="36">
                  <c:v>5087412.5776335113</c:v>
                </c:pt>
                <c:pt idx="37">
                  <c:v>5164018.1277219895</c:v>
                </c:pt>
                <c:pt idx="38">
                  <c:v>5240976.999745884</c:v>
                </c:pt>
                <c:pt idx="39">
                  <c:v>5327531.9837928433</c:v>
                </c:pt>
                <c:pt idx="40">
                  <c:v>5413228.0043612635</c:v>
                </c:pt>
                <c:pt idx="41">
                  <c:v>5469050.6347828945</c:v>
                </c:pt>
                <c:pt idx="42">
                  <c:v>5514884.9045513067</c:v>
                </c:pt>
                <c:pt idx="43">
                  <c:v>5563306.2135728579</c:v>
                </c:pt>
                <c:pt idx="44">
                  <c:v>5628093.3810104998</c:v>
                </c:pt>
                <c:pt idx="45">
                  <c:v>5674686.1332498901</c:v>
                </c:pt>
                <c:pt idx="46">
                  <c:v>5724342.5261227358</c:v>
                </c:pt>
                <c:pt idx="47">
                  <c:v>5779003.9389049551</c:v>
                </c:pt>
                <c:pt idx="48">
                  <c:v>5813065.2759390101</c:v>
                </c:pt>
                <c:pt idx="49">
                  <c:v>5838618.7128094397</c:v>
                </c:pt>
                <c:pt idx="50">
                  <c:v>5856392.7647159388</c:v>
                </c:pt>
                <c:pt idx="51">
                  <c:v>5911647.5944136344</c:v>
                </c:pt>
                <c:pt idx="52">
                  <c:v>5953648.2599407025</c:v>
                </c:pt>
                <c:pt idx="53">
                  <c:v>5996179.0955955889</c:v>
                </c:pt>
                <c:pt idx="54">
                  <c:v>6039726.6349117495</c:v>
                </c:pt>
                <c:pt idx="55">
                  <c:v>6085169.0279960074</c:v>
                </c:pt>
                <c:pt idx="56">
                  <c:v>6131826.2951819589</c:v>
                </c:pt>
                <c:pt idx="57">
                  <c:v>6039789.4008549312</c:v>
                </c:pt>
                <c:pt idx="58">
                  <c:v>5935527.0782835614</c:v>
                </c:pt>
                <c:pt idx="59">
                  <c:v>5814653.602642755</c:v>
                </c:pt>
                <c:pt idx="60">
                  <c:v>5689992.0401735585</c:v>
                </c:pt>
              </c:numCache>
            </c:numRef>
          </c:val>
          <c:extLst xmlns:c15="http://schemas.microsoft.com/office/drawing/2012/chart">
            <c:ext xmlns:c16="http://schemas.microsoft.com/office/drawing/2014/chart" uri="{C3380CC4-5D6E-409C-BE32-E72D297353CC}">
              <c16:uniqueId val="{00000005-3B16-45B8-89BE-5AE640BDA9C0}"/>
            </c:ext>
          </c:extLst>
        </c:ser>
        <c:ser>
          <c:idx val="6"/>
          <c:order val="4"/>
          <c:tx>
            <c:strRef>
              <c:f>'Activity data'!$D$9:$F$9</c:f>
              <c:strCache>
                <c:ptCount val="3"/>
                <c:pt idx="0">
                  <c:v>Subsistence</c:v>
                </c:pt>
                <c:pt idx="1">
                  <c:v>Population</c:v>
                </c:pt>
                <c:pt idx="2">
                  <c:v>Head</c:v>
                </c:pt>
              </c:strCache>
              <c:extLst xmlns:c15="http://schemas.microsoft.com/office/drawing/2012/chart"/>
            </c:strRef>
          </c:tx>
          <c:spPr>
            <a:solidFill>
              <a:schemeClr val="accent1">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5280742.7858025134</c:v>
                </c:pt>
                <c:pt idx="23">
                  <c:v>5234944.5900683459</c:v>
                </c:pt>
                <c:pt idx="24">
                  <c:v>5217510.6033805842</c:v>
                </c:pt>
                <c:pt idx="25">
                  <c:v>5147837.5788466781</c:v>
                </c:pt>
                <c:pt idx="26">
                  <c:v>5046705.4822027264</c:v>
                </c:pt>
                <c:pt idx="27">
                  <c:v>4916205.5668842373</c:v>
                </c:pt>
                <c:pt idx="28">
                  <c:v>4813276.4669492599</c:v>
                </c:pt>
                <c:pt idx="29">
                  <c:v>4715893.8370102141</c:v>
                </c:pt>
                <c:pt idx="30">
                  <c:v>4148611.7942377846</c:v>
                </c:pt>
                <c:pt idx="31">
                  <c:v>4215997.7514869887</c:v>
                </c:pt>
                <c:pt idx="32">
                  <c:v>4341708.3805470588</c:v>
                </c:pt>
                <c:pt idx="33">
                  <c:v>4366814.2451808071</c:v>
                </c:pt>
                <c:pt idx="34">
                  <c:v>4403024.1224855371</c:v>
                </c:pt>
                <c:pt idx="35">
                  <c:v>4453537.7000438664</c:v>
                </c:pt>
                <c:pt idx="36">
                  <c:v>4511479.0782787744</c:v>
                </c:pt>
                <c:pt idx="37">
                  <c:v>4579412.3019421417</c:v>
                </c:pt>
                <c:pt idx="38">
                  <c:v>4647658.8488312559</c:v>
                </c:pt>
                <c:pt idx="39">
                  <c:v>4724415.1554389354</c:v>
                </c:pt>
                <c:pt idx="40">
                  <c:v>4800409.7397165922</c:v>
                </c:pt>
                <c:pt idx="41">
                  <c:v>4849912.8270716229</c:v>
                </c:pt>
                <c:pt idx="42">
                  <c:v>4890558.311583234</c:v>
                </c:pt>
                <c:pt idx="43">
                  <c:v>4933497.9629797041</c:v>
                </c:pt>
                <c:pt idx="44">
                  <c:v>4990950.7341036508</c:v>
                </c:pt>
                <c:pt idx="45">
                  <c:v>5032268.8351461291</c:v>
                </c:pt>
                <c:pt idx="46">
                  <c:v>5076303.7495805379</c:v>
                </c:pt>
                <c:pt idx="47">
                  <c:v>5124777.0778968455</c:v>
                </c:pt>
                <c:pt idx="48">
                  <c:v>5154982.4145119525</c:v>
                </c:pt>
                <c:pt idx="49">
                  <c:v>5177643.009472521</c:v>
                </c:pt>
                <c:pt idx="50">
                  <c:v>5193404.9045594176</c:v>
                </c:pt>
                <c:pt idx="51">
                  <c:v>5242404.4705177508</c:v>
                </c:pt>
                <c:pt idx="52">
                  <c:v>5279650.3437210005</c:v>
                </c:pt>
                <c:pt idx="53">
                  <c:v>5317366.3677923139</c:v>
                </c:pt>
                <c:pt idx="54">
                  <c:v>5355983.9969972111</c:v>
                </c:pt>
                <c:pt idx="55">
                  <c:v>5396281.9682228733</c:v>
                </c:pt>
                <c:pt idx="56">
                  <c:v>5437657.2806330575</c:v>
                </c:pt>
                <c:pt idx="57">
                  <c:v>5356039.65736192</c:v>
                </c:pt>
                <c:pt idx="58">
                  <c:v>5263580.6165910829</c:v>
                </c:pt>
                <c:pt idx="59">
                  <c:v>5156390.9306454612</c:v>
                </c:pt>
                <c:pt idx="60">
                  <c:v>5045841.997889759</c:v>
                </c:pt>
              </c:numCache>
            </c:numRef>
          </c:val>
          <c:extLst xmlns:c15="http://schemas.microsoft.com/office/drawing/2012/chart">
            <c:ext xmlns:c16="http://schemas.microsoft.com/office/drawing/2014/chart" uri="{C3380CC4-5D6E-409C-BE32-E72D297353CC}">
              <c16:uniqueId val="{00000006-3B16-45B8-89BE-5AE640BDA9C0}"/>
            </c:ext>
          </c:extLst>
        </c:ser>
        <c:ser>
          <c:idx val="7"/>
          <c:order val="5"/>
          <c:tx>
            <c:strRef>
              <c:f>'Activity data'!$D$10:$F$10</c:f>
              <c:strCache>
                <c:ptCount val="3"/>
                <c:pt idx="0">
                  <c:v>Feedlot</c:v>
                </c:pt>
                <c:pt idx="1">
                  <c:v>Population</c:v>
                </c:pt>
                <c:pt idx="2">
                  <c:v>Head</c:v>
                </c:pt>
              </c:strCache>
              <c:extLst xmlns:c15="http://schemas.microsoft.com/office/drawing/2012/chart"/>
            </c:strRef>
          </c:tx>
          <c:spPr>
            <a:solidFill>
              <a:schemeClr val="accent2">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559717.10307730967</c:v>
                </c:pt>
                <c:pt idx="24">
                  <c:v>581386.33409904351</c:v>
                </c:pt>
                <c:pt idx="25">
                  <c:v>597546.77075746458</c:v>
                </c:pt>
                <c:pt idx="26">
                  <c:v>610009.49754182238</c:v>
                </c:pt>
                <c:pt idx="27">
                  <c:v>618596.39996388648</c:v>
                </c:pt>
                <c:pt idx="28">
                  <c:v>630321.10002649133</c:v>
                </c:pt>
                <c:pt idx="29">
                  <c:v>642612.00897727197</c:v>
                </c:pt>
                <c:pt idx="30">
                  <c:v>588158.61646480043</c:v>
                </c:pt>
                <c:pt idx="31">
                  <c:v>612112.57898327347</c:v>
                </c:pt>
                <c:pt idx="32">
                  <c:v>645342.88662744861</c:v>
                </c:pt>
                <c:pt idx="33">
                  <c:v>664301.76371274178</c:v>
                </c:pt>
                <c:pt idx="34">
                  <c:v>685338.87859142851</c:v>
                </c:pt>
                <c:pt idx="35">
                  <c:v>709097.1405257904</c:v>
                </c:pt>
                <c:pt idx="36">
                  <c:v>734627.9848781582</c:v>
                </c:pt>
                <c:pt idx="37">
                  <c:v>762458.04587239982</c:v>
                </c:pt>
                <c:pt idx="38">
                  <c:v>791070.7706001699</c:v>
                </c:pt>
                <c:pt idx="39">
                  <c:v>821917.21013602836</c:v>
                </c:pt>
                <c:pt idx="40">
                  <c:v>853468.65365837014</c:v>
                </c:pt>
                <c:pt idx="41">
                  <c:v>890865.05106413458</c:v>
                </c:pt>
                <c:pt idx="42">
                  <c:v>928179.29472175706</c:v>
                </c:pt>
                <c:pt idx="43">
                  <c:v>967518.99632802093</c:v>
                </c:pt>
                <c:pt idx="44">
                  <c:v>1011494.293897412</c:v>
                </c:pt>
                <c:pt idx="45">
                  <c:v>1054078.2446871761</c:v>
                </c:pt>
                <c:pt idx="46">
                  <c:v>1099125.992578987</c:v>
                </c:pt>
                <c:pt idx="47">
                  <c:v>1147193.0120778126</c:v>
                </c:pt>
                <c:pt idx="48">
                  <c:v>1193245.9412812144</c:v>
                </c:pt>
                <c:pt idx="49">
                  <c:v>1239551.9831810831</c:v>
                </c:pt>
                <c:pt idx="50">
                  <c:v>1286211.6171502508</c:v>
                </c:pt>
                <c:pt idx="51">
                  <c:v>1334980.1372066648</c:v>
                </c:pt>
                <c:pt idx="52">
                  <c:v>1382530.3391591066</c:v>
                </c:pt>
                <c:pt idx="53">
                  <c:v>1431983.1115351482</c:v>
                </c:pt>
                <c:pt idx="54">
                  <c:v>1483557.3848712698</c:v>
                </c:pt>
                <c:pt idx="55">
                  <c:v>1537591.1645011755</c:v>
                </c:pt>
                <c:pt idx="56">
                  <c:v>1594050.6360329464</c:v>
                </c:pt>
                <c:pt idx="57">
                  <c:v>1615647.2572443776</c:v>
                </c:pt>
                <c:pt idx="58">
                  <c:v>1634069.8828163336</c:v>
                </c:pt>
                <c:pt idx="59">
                  <c:v>1647789.1600235584</c:v>
                </c:pt>
                <c:pt idx="60">
                  <c:v>1660128.4828121238</c:v>
                </c:pt>
              </c:numCache>
            </c:numRef>
          </c:val>
          <c:extLst xmlns:c15="http://schemas.microsoft.com/office/drawing/2012/chart">
            <c:ext xmlns:c16="http://schemas.microsoft.com/office/drawing/2014/chart" uri="{C3380CC4-5D6E-409C-BE32-E72D297353CC}">
              <c16:uniqueId val="{00000007-3B16-45B8-89BE-5AE640BDA9C0}"/>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19401079.547165584</c:v>
                      </c:pt>
                      <c:pt idx="31">
                        <c:v>19430270.346318312</c:v>
                      </c:pt>
                      <c:pt idx="32">
                        <c:v>19465918.583208371</c:v>
                      </c:pt>
                      <c:pt idx="33">
                        <c:v>19503387.662754916</c:v>
                      </c:pt>
                      <c:pt idx="34">
                        <c:v>19545454.703807209</c:v>
                      </c:pt>
                      <c:pt idx="35">
                        <c:v>19592002.001952454</c:v>
                      </c:pt>
                      <c:pt idx="36">
                        <c:v>19621071.961548313</c:v>
                      </c:pt>
                      <c:pt idx="37">
                        <c:v>19653913.646756113</c:v>
                      </c:pt>
                      <c:pt idx="38">
                        <c:v>19690083.293563668</c:v>
                      </c:pt>
                      <c:pt idx="39">
                        <c:v>19729680.355767876</c:v>
                      </c:pt>
                      <c:pt idx="40">
                        <c:v>19772296.132165015</c:v>
                      </c:pt>
                      <c:pt idx="41">
                        <c:v>19800883.445871253</c:v>
                      </c:pt>
                      <c:pt idx="42">
                        <c:v>19831918.222846299</c:v>
                      </c:pt>
                      <c:pt idx="43">
                        <c:v>19865649.931868743</c:v>
                      </c:pt>
                      <c:pt idx="44">
                        <c:v>19902407.848828781</c:v>
                      </c:pt>
                      <c:pt idx="45">
                        <c:v>19941088.208598323</c:v>
                      </c:pt>
                      <c:pt idx="46">
                        <c:v>19965812.571584459</c:v>
                      </c:pt>
                      <c:pt idx="47">
                        <c:v>19992893.997007128</c:v>
                      </c:pt>
                      <c:pt idx="48">
                        <c:v>20021439.282895565</c:v>
                      </c:pt>
                      <c:pt idx="49">
                        <c:v>20051752.32291963</c:v>
                      </c:pt>
                      <c:pt idx="50">
                        <c:v>20083787.155872289</c:v>
                      </c:pt>
                      <c:pt idx="51">
                        <c:v>20102715.705030527</c:v>
                      </c:pt>
                      <c:pt idx="52">
                        <c:v>20122922.160952497</c:v>
                      </c:pt>
                      <c:pt idx="53">
                        <c:v>20144840.513643358</c:v>
                      </c:pt>
                      <c:pt idx="54">
                        <c:v>20168449.572705898</c:v>
                      </c:pt>
                      <c:pt idx="55">
                        <c:v>20193748.848884284</c:v>
                      </c:pt>
                      <c:pt idx="56">
                        <c:v>20205226.524020612</c:v>
                      </c:pt>
                      <c:pt idx="57">
                        <c:v>20212623.126841974</c:v>
                      </c:pt>
                      <c:pt idx="58">
                        <c:v>20220731.201451246</c:v>
                      </c:pt>
                      <c:pt idx="59">
                        <c:v>20229295.502117977</c:v>
                      </c:pt>
                      <c:pt idx="60">
                        <c:v>20238782.549587701</c:v>
                      </c:pt>
                    </c:numCache>
                  </c:numRef>
                </c:val>
                <c:extLst>
                  <c:ext xmlns:c16="http://schemas.microsoft.com/office/drawing/2014/chart" uri="{C3380CC4-5D6E-409C-BE32-E72D297353CC}">
                    <c16:uniqueId val="{00000008-3B16-45B8-89BE-5AE640BDA9C0}"/>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2899011.8863580758</c:v>
                      </c:pt>
                      <c:pt idx="31">
                        <c:v>2903373.7299096328</c:v>
                      </c:pt>
                      <c:pt idx="32">
                        <c:v>2908700.4779506763</c:v>
                      </c:pt>
                      <c:pt idx="33">
                        <c:v>2914299.3059288957</c:v>
                      </c:pt>
                      <c:pt idx="34">
                        <c:v>2920585.1856263648</c:v>
                      </c:pt>
                      <c:pt idx="35">
                        <c:v>2927540.5290273787</c:v>
                      </c:pt>
                      <c:pt idx="36">
                        <c:v>2931884.3160934262</c:v>
                      </c:pt>
                      <c:pt idx="37">
                        <c:v>2936791.6943428675</c:v>
                      </c:pt>
                      <c:pt idx="38">
                        <c:v>2942196.3542106631</c:v>
                      </c:pt>
                      <c:pt idx="39">
                        <c:v>2948113.1566089927</c:v>
                      </c:pt>
                      <c:pt idx="40">
                        <c:v>2954481.0312430481</c:v>
                      </c:pt>
                      <c:pt idx="41">
                        <c:v>2958752.6988083483</c:v>
                      </c:pt>
                      <c:pt idx="42">
                        <c:v>2963390.0792758837</c:v>
                      </c:pt>
                      <c:pt idx="43">
                        <c:v>2968430.4495895826</c:v>
                      </c:pt>
                      <c:pt idx="44">
                        <c:v>2973923.0118939555</c:v>
                      </c:pt>
                      <c:pt idx="45">
                        <c:v>2979702.8357675658</c:v>
                      </c:pt>
                      <c:pt idx="46">
                        <c:v>2983397.2808114709</c:v>
                      </c:pt>
                      <c:pt idx="47">
                        <c:v>2987443.9305872722</c:v>
                      </c:pt>
                      <c:pt idx="48">
                        <c:v>2991709.3181338203</c:v>
                      </c:pt>
                      <c:pt idx="49">
                        <c:v>2996238.85285006</c:v>
                      </c:pt>
                      <c:pt idx="50">
                        <c:v>3001025.6669694227</c:v>
                      </c:pt>
                      <c:pt idx="51">
                        <c:v>3003854.0708666304</c:v>
                      </c:pt>
                      <c:pt idx="52">
                        <c:v>3006873.4263492236</c:v>
                      </c:pt>
                      <c:pt idx="53">
                        <c:v>3010148.5824984326</c:v>
                      </c:pt>
                      <c:pt idx="54">
                        <c:v>3013676.3729330651</c:v>
                      </c:pt>
                      <c:pt idx="55">
                        <c:v>3017456.7245459277</c:v>
                      </c:pt>
                      <c:pt idx="56">
                        <c:v>3019171.7794513558</c:v>
                      </c:pt>
                      <c:pt idx="57">
                        <c:v>3020277.0189533983</c:v>
                      </c:pt>
                      <c:pt idx="58">
                        <c:v>3021488.5703317956</c:v>
                      </c:pt>
                      <c:pt idx="59">
                        <c:v>3022768.2934199278</c:v>
                      </c:pt>
                      <c:pt idx="60">
                        <c:v>3024185.8982142541</c:v>
                      </c:pt>
                    </c:numCache>
                  </c:numRef>
                </c:val>
                <c:extLst xmlns:c15="http://schemas.microsoft.com/office/drawing/2012/chart">
                  <c:ext xmlns:c16="http://schemas.microsoft.com/office/drawing/2014/chart" uri="{C3380CC4-5D6E-409C-BE32-E72D297353CC}">
                    <c16:uniqueId val="{00000009-3B16-45B8-89BE-5AE640BDA9C0}"/>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2152518.1972765964</c:v>
                      </c:pt>
                      <c:pt idx="31">
                        <c:v>2158713.8811234804</c:v>
                      </c:pt>
                      <c:pt idx="32">
                        <c:v>2165815.5173630901</c:v>
                      </c:pt>
                      <c:pt idx="33">
                        <c:v>2173054.5836930173</c:v>
                      </c:pt>
                      <c:pt idx="34">
                        <c:v>2180905.8949472066</c:v>
                      </c:pt>
                      <c:pt idx="35">
                        <c:v>2189356.4752765815</c:v>
                      </c:pt>
                      <c:pt idx="36">
                        <c:v>2194764.4771991875</c:v>
                      </c:pt>
                      <c:pt idx="37">
                        <c:v>2200681.1312507591</c:v>
                      </c:pt>
                      <c:pt idx="38">
                        <c:v>2207037.2348991744</c:v>
                      </c:pt>
                      <c:pt idx="39">
                        <c:v>2213853.1980795516</c:v>
                      </c:pt>
                      <c:pt idx="40">
                        <c:v>2221065.0201840056</c:v>
                      </c:pt>
                      <c:pt idx="41">
                        <c:v>2225874.4870060231</c:v>
                      </c:pt>
                      <c:pt idx="42">
                        <c:v>2231003.4972005105</c:v>
                      </c:pt>
                      <c:pt idx="43">
                        <c:v>2236495.4650745667</c:v>
                      </c:pt>
                      <c:pt idx="44">
                        <c:v>2242406.1709562442</c:v>
                      </c:pt>
                      <c:pt idx="45">
                        <c:v>2248557.0461722915</c:v>
                      </c:pt>
                      <c:pt idx="46">
                        <c:v>2252366.4414480585</c:v>
                      </c:pt>
                      <c:pt idx="47">
                        <c:v>2256500.3289217977</c:v>
                      </c:pt>
                      <c:pt idx="48">
                        <c:v>2260814.9374471465</c:v>
                      </c:pt>
                      <c:pt idx="49">
                        <c:v>2265361.0918263281</c:v>
                      </c:pt>
                      <c:pt idx="50">
                        <c:v>2270132.5677445591</c:v>
                      </c:pt>
                      <c:pt idx="51">
                        <c:v>2272739.4103190037</c:v>
                      </c:pt>
                      <c:pt idx="52">
                        <c:v>2275510.4771750113</c:v>
                      </c:pt>
                      <c:pt idx="53">
                        <c:v>2278516.5059454981</c:v>
                      </c:pt>
                      <c:pt idx="54">
                        <c:v>2281754.6257368629</c:v>
                      </c:pt>
                      <c:pt idx="55">
                        <c:v>2285225.2101031453</c:v>
                      </c:pt>
                      <c:pt idx="56">
                        <c:v>2286448.4851618633</c:v>
                      </c:pt>
                      <c:pt idx="57">
                        <c:v>2286991.7418935793</c:v>
                      </c:pt>
                      <c:pt idx="58">
                        <c:v>2287623.2815965232</c:v>
                      </c:pt>
                      <c:pt idx="59">
                        <c:v>2288303.1837235563</c:v>
                      </c:pt>
                      <c:pt idx="60">
                        <c:v>2289106.379550002</c:v>
                      </c:pt>
                    </c:numCache>
                  </c:numRef>
                </c:val>
                <c:extLst xmlns:c15="http://schemas.microsoft.com/office/drawing/2012/chart">
                  <c:ext xmlns:c16="http://schemas.microsoft.com/office/drawing/2014/chart" uri="{C3380CC4-5D6E-409C-BE32-E72D297353CC}">
                    <c16:uniqueId val="{0000000A-3B16-45B8-89BE-5AE640BDA9C0}"/>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4101196.8798749652</c:v>
                      </c:pt>
                      <c:pt idx="28">
                        <c:v>4126645.5055051413</c:v>
                      </c:pt>
                      <c:pt idx="29">
                        <c:v>4153795.6084500193</c:v>
                      </c:pt>
                      <c:pt idx="30">
                        <c:v>4178417.6770663336</c:v>
                      </c:pt>
                      <c:pt idx="31">
                        <c:v>4190444.5927691082</c:v>
                      </c:pt>
                      <c:pt idx="32">
                        <c:v>4204230.1219401155</c:v>
                      </c:pt>
                      <c:pt idx="33">
                        <c:v>4218282.4271687977</c:v>
                      </c:pt>
                      <c:pt idx="34">
                        <c:v>4233523.2078386946</c:v>
                      </c:pt>
                      <c:pt idx="35">
                        <c:v>4249927.275536892</c:v>
                      </c:pt>
                      <c:pt idx="36">
                        <c:v>4260425.1616219515</c:v>
                      </c:pt>
                      <c:pt idx="37">
                        <c:v>4271910.4312514728</c:v>
                      </c:pt>
                      <c:pt idx="38">
                        <c:v>4284248.750098397</c:v>
                      </c:pt>
                      <c:pt idx="39">
                        <c:v>4297479.7374485405</c:v>
                      </c:pt>
                      <c:pt idx="40">
                        <c:v>4311479.1568277748</c:v>
                      </c:pt>
                      <c:pt idx="41">
                        <c:v>4320815.1806587502</c:v>
                      </c:pt>
                      <c:pt idx="42">
                        <c:v>4330771.4945656965</c:v>
                      </c:pt>
                      <c:pt idx="43">
                        <c:v>4341432.3733800407</c:v>
                      </c:pt>
                      <c:pt idx="44">
                        <c:v>4352906.0965621201</c:v>
                      </c:pt>
                      <c:pt idx="45">
                        <c:v>4364846.0308050355</c:v>
                      </c:pt>
                      <c:pt idx="46">
                        <c:v>4372240.7392815249</c:v>
                      </c:pt>
                      <c:pt idx="47">
                        <c:v>4380265.3443776062</c:v>
                      </c:pt>
                      <c:pt idx="48">
                        <c:v>4388640.7609268129</c:v>
                      </c:pt>
                      <c:pt idx="49">
                        <c:v>4397465.6488393424</c:v>
                      </c:pt>
                      <c:pt idx="50">
                        <c:v>4406727.9256217899</c:v>
                      </c:pt>
                      <c:pt idx="51">
                        <c:v>4411788.2670898298</c:v>
                      </c:pt>
                      <c:pt idx="52">
                        <c:v>4417167.3968691388</c:v>
                      </c:pt>
                      <c:pt idx="53">
                        <c:v>4423002.6291883187</c:v>
                      </c:pt>
                      <c:pt idx="54">
                        <c:v>4429288.3911362616</c:v>
                      </c:pt>
                      <c:pt idx="55">
                        <c:v>4436025.4078472806</c:v>
                      </c:pt>
                      <c:pt idx="56">
                        <c:v>4438400.0006083222</c:v>
                      </c:pt>
                      <c:pt idx="57">
                        <c:v>4439454.5577934179</c:v>
                      </c:pt>
                      <c:pt idx="58">
                        <c:v>4440680.4878050145</c:v>
                      </c:pt>
                      <c:pt idx="59">
                        <c:v>4442000.2978163147</c:v>
                      </c:pt>
                      <c:pt idx="60">
                        <c:v>4443559.4426558856</c:v>
                      </c:pt>
                    </c:numCache>
                  </c:numRef>
                </c:val>
                <c:extLst xmlns:c15="http://schemas.microsoft.com/office/drawing/2012/chart">
                  <c:ext xmlns:c16="http://schemas.microsoft.com/office/drawing/2014/chart" uri="{C3380CC4-5D6E-409C-BE32-E72D297353CC}">
                    <c16:uniqueId val="{0000000B-3B16-45B8-89BE-5AE640BDA9C0}"/>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308478.97111537727</c:v>
                      </c:pt>
                      <c:pt idx="23">
                        <c:v>309973.53172331396</c:v>
                      </c:pt>
                      <c:pt idx="24">
                        <c:v>312241.56810798903</c:v>
                      </c:pt>
                      <c:pt idx="25">
                        <c:v>312726.42527824303</c:v>
                      </c:pt>
                      <c:pt idx="26">
                        <c:v>312032.30780712375</c:v>
                      </c:pt>
                      <c:pt idx="27">
                        <c:v>310184.61831503391</c:v>
                      </c:pt>
                      <c:pt idx="28">
                        <c:v>309160.1538858742</c:v>
                      </c:pt>
                      <c:pt idx="29">
                        <c:v>308239.46209968894</c:v>
                      </c:pt>
                      <c:pt idx="30">
                        <c:v>290617.73835849564</c:v>
                      </c:pt>
                      <c:pt idx="31">
                        <c:v>294216.79497853166</c:v>
                      </c:pt>
                      <c:pt idx="32">
                        <c:v>299933.36752758519</c:v>
                      </c:pt>
                      <c:pt idx="33">
                        <c:v>302043.49651642761</c:v>
                      </c:pt>
                      <c:pt idx="34">
                        <c:v>304551.046248283</c:v>
                      </c:pt>
                      <c:pt idx="35">
                        <c:v>307587.15389044932</c:v>
                      </c:pt>
                      <c:pt idx="36">
                        <c:v>311219.94337583228</c:v>
                      </c:pt>
                      <c:pt idx="37">
                        <c:v>315257.33161887509</c:v>
                      </c:pt>
                      <c:pt idx="38">
                        <c:v>319342.69614542602</c:v>
                      </c:pt>
                      <c:pt idx="39">
                        <c:v>323793.19033185393</c:v>
                      </c:pt>
                      <c:pt idx="40">
                        <c:v>328259.15334294655</c:v>
                      </c:pt>
                      <c:pt idx="41">
                        <c:v>333616.83595509973</c:v>
                      </c:pt>
                      <c:pt idx="42">
                        <c:v>338778.46739151777</c:v>
                      </c:pt>
                      <c:pt idx="43">
                        <c:v>344191.08274525683</c:v>
                      </c:pt>
                      <c:pt idx="44">
                        <c:v>350381.53457068163</c:v>
                      </c:pt>
                      <c:pt idx="45">
                        <c:v>356085.56479891471</c:v>
                      </c:pt>
                      <c:pt idx="46">
                        <c:v>362383.04576962383</c:v>
                      </c:pt>
                      <c:pt idx="47">
                        <c:v>369097.13869673933</c:v>
                      </c:pt>
                      <c:pt idx="48">
                        <c:v>375220.3050649435</c:v>
                      </c:pt>
                      <c:pt idx="49">
                        <c:v>381211.7279972441</c:v>
                      </c:pt>
                      <c:pt idx="50">
                        <c:v>387092.93155265821</c:v>
                      </c:pt>
                      <c:pt idx="51">
                        <c:v>393811.03719578136</c:v>
                      </c:pt>
                      <c:pt idx="52">
                        <c:v>400145.32161291735</c:v>
                      </c:pt>
                      <c:pt idx="53">
                        <c:v>406686.34573895729</c:v>
                      </c:pt>
                      <c:pt idx="54">
                        <c:v>413466.60208027996</c:v>
                      </c:pt>
                      <c:pt idx="55">
                        <c:v>420538.92034908745</c:v>
                      </c:pt>
                      <c:pt idx="56">
                        <c:v>428221.80673994881</c:v>
                      </c:pt>
                      <c:pt idx="57">
                        <c:v>429498.7532496826</c:v>
                      </c:pt>
                      <c:pt idx="58">
                        <c:v>430170.02802334807</c:v>
                      </c:pt>
                      <c:pt idx="59">
                        <c:v>429981.48048825283</c:v>
                      </c:pt>
                      <c:pt idx="60">
                        <c:v>429535.95558912493</c:v>
                      </c:pt>
                    </c:numCache>
                  </c:numRef>
                </c:val>
                <c:extLst xmlns:c15="http://schemas.microsoft.com/office/drawing/2012/chart">
                  <c:ext xmlns:c16="http://schemas.microsoft.com/office/drawing/2014/chart" uri="{C3380CC4-5D6E-409C-BE32-E72D297353CC}">
                    <c16:uniqueId val="{0000000C-3B16-45B8-89BE-5AE640BDA9C0}"/>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D-3B16-45B8-89BE-5AE640BDA9C0}"/>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1647045.1860532644</c:v>
                      </c:pt>
                      <c:pt idx="24">
                        <c:v>1647784.019010039</c:v>
                      </c:pt>
                      <c:pt idx="25">
                        <c:v>1632656.0990208655</c:v>
                      </c:pt>
                      <c:pt idx="26">
                        <c:v>1607948.7164639281</c:v>
                      </c:pt>
                      <c:pt idx="27">
                        <c:v>1574056.8450456355</c:v>
                      </c:pt>
                      <c:pt idx="28">
                        <c:v>1549447.5878836229</c:v>
                      </c:pt>
                      <c:pt idx="29">
                        <c:v>1527015.9199472496</c:v>
                      </c:pt>
                      <c:pt idx="30">
                        <c:v>1348278.5586549521</c:v>
                      </c:pt>
                      <c:pt idx="31">
                        <c:v>1365328.4540570292</c:v>
                      </c:pt>
                      <c:pt idx="32">
                        <c:v>1401914.1826110582</c:v>
                      </c:pt>
                      <c:pt idx="33">
                        <c:v>1405235.9766959732</c:v>
                      </c:pt>
                      <c:pt idx="34">
                        <c:v>1412429.5063597523</c:v>
                      </c:pt>
                      <c:pt idx="35">
                        <c:v>1424524.3600665794</c:v>
                      </c:pt>
                      <c:pt idx="36">
                        <c:v>1439700.983950831</c:v>
                      </c:pt>
                      <c:pt idx="37">
                        <c:v>1458298.6499124421</c:v>
                      </c:pt>
                      <c:pt idx="38">
                        <c:v>1477113.7969483531</c:v>
                      </c:pt>
                      <c:pt idx="39">
                        <c:v>1498836.7689754921</c:v>
                      </c:pt>
                      <c:pt idx="40">
                        <c:v>1520409.8095550297</c:v>
                      </c:pt>
                      <c:pt idx="41">
                        <c:v>1547230.7316103911</c:v>
                      </c:pt>
                      <c:pt idx="42">
                        <c:v>1571921.349309898</c:v>
                      </c:pt>
                      <c:pt idx="43">
                        <c:v>1598194.1405500479</c:v>
                      </c:pt>
                      <c:pt idx="44">
                        <c:v>1630243.5183994647</c:v>
                      </c:pt>
                      <c:pt idx="45">
                        <c:v>1657763.3993055501</c:v>
                      </c:pt>
                      <c:pt idx="46">
                        <c:v>1687466.8759818496</c:v>
                      </c:pt>
                      <c:pt idx="47">
                        <c:v>1719704.9667474737</c:v>
                      </c:pt>
                      <c:pt idx="48">
                        <c:v>1746598.8414181657</c:v>
                      </c:pt>
                      <c:pt idx="49">
                        <c:v>1771819.5229412203</c:v>
                      </c:pt>
                      <c:pt idx="50">
                        <c:v>1795570.4213145054</c:v>
                      </c:pt>
                      <c:pt idx="51">
                        <c:v>1822994.6534131451</c:v>
                      </c:pt>
                      <c:pt idx="52">
                        <c:v>1846781.6395187357</c:v>
                      </c:pt>
                      <c:pt idx="53">
                        <c:v>1871335.8518101512</c:v>
                      </c:pt>
                      <c:pt idx="54">
                        <c:v>1896842.4970731153</c:v>
                      </c:pt>
                      <c:pt idx="55">
                        <c:v>1923620.7271074844</c:v>
                      </c:pt>
                      <c:pt idx="56">
                        <c:v>1951739.644342006</c:v>
                      </c:pt>
                      <c:pt idx="57">
                        <c:v>1934628.8970430286</c:v>
                      </c:pt>
                      <c:pt idx="58">
                        <c:v>1913563.9308250048</c:v>
                      </c:pt>
                      <c:pt idx="59">
                        <c:v>1886983.604319921</c:v>
                      </c:pt>
                      <c:pt idx="60">
                        <c:v>1859099.6925127404</c:v>
                      </c:pt>
                    </c:numCache>
                  </c:numRef>
                </c:val>
                <c:extLst xmlns:c15="http://schemas.microsoft.com/office/drawing/2012/chart">
                  <c:ext xmlns:c16="http://schemas.microsoft.com/office/drawing/2014/chart" uri="{C3380CC4-5D6E-409C-BE32-E72D297353CC}">
                    <c16:uniqueId val="{0000000E-3B16-45B8-89BE-5AE640BDA9C0}"/>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224597.07082544515</c:v>
                      </c:pt>
                      <c:pt idx="24">
                        <c:v>224697.82077409624</c:v>
                      </c:pt>
                      <c:pt idx="25">
                        <c:v>222634.9225937544</c:v>
                      </c:pt>
                      <c:pt idx="26">
                        <c:v>219265.73406326291</c:v>
                      </c:pt>
                      <c:pt idx="27">
                        <c:v>214644.11523349574</c:v>
                      </c:pt>
                      <c:pt idx="28">
                        <c:v>211288.30743867584</c:v>
                      </c:pt>
                      <c:pt idx="29">
                        <c:v>208229.44362917039</c:v>
                      </c:pt>
                      <c:pt idx="30">
                        <c:v>183856.16708931164</c:v>
                      </c:pt>
                      <c:pt idx="31">
                        <c:v>186181.15282595853</c:v>
                      </c:pt>
                      <c:pt idx="32">
                        <c:v>191170.11581059883</c:v>
                      </c:pt>
                      <c:pt idx="33">
                        <c:v>191623.08773126904</c:v>
                      </c:pt>
                      <c:pt idx="34">
                        <c:v>192604.02359451167</c:v>
                      </c:pt>
                      <c:pt idx="35">
                        <c:v>194253.32182726081</c:v>
                      </c:pt>
                      <c:pt idx="36">
                        <c:v>196322.86144784061</c:v>
                      </c:pt>
                      <c:pt idx="37">
                        <c:v>198858.9068062421</c:v>
                      </c:pt>
                      <c:pt idx="38">
                        <c:v>201424.6086747754</c:v>
                      </c:pt>
                      <c:pt idx="39">
                        <c:v>204386.83213302164</c:v>
                      </c:pt>
                      <c:pt idx="40">
                        <c:v>207328.61039386768</c:v>
                      </c:pt>
                      <c:pt idx="41">
                        <c:v>210986.0088559624</c:v>
                      </c:pt>
                      <c:pt idx="42">
                        <c:v>214352.91126953153</c:v>
                      </c:pt>
                      <c:pt idx="43">
                        <c:v>217935.56462046105</c:v>
                      </c:pt>
                      <c:pt idx="44">
                        <c:v>222305.93432719973</c:v>
                      </c:pt>
                      <c:pt idx="45">
                        <c:v>226058.64535984772</c:v>
                      </c:pt>
                      <c:pt idx="46">
                        <c:v>230109.11945207039</c:v>
                      </c:pt>
                      <c:pt idx="47">
                        <c:v>234505.22273829186</c:v>
                      </c:pt>
                      <c:pt idx="48">
                        <c:v>238172.56928429531</c:v>
                      </c:pt>
                      <c:pt idx="49">
                        <c:v>241611.75312834821</c:v>
                      </c:pt>
                      <c:pt idx="50">
                        <c:v>244850.51199743254</c:v>
                      </c:pt>
                      <c:pt idx="51">
                        <c:v>248590.1800108834</c:v>
                      </c:pt>
                      <c:pt idx="52">
                        <c:v>251833.85993437303</c:v>
                      </c:pt>
                      <c:pt idx="53">
                        <c:v>255182.16161047516</c:v>
                      </c:pt>
                      <c:pt idx="54">
                        <c:v>258660.34050997026</c:v>
                      </c:pt>
                      <c:pt idx="55">
                        <c:v>262311.91733283876</c:v>
                      </c:pt>
                      <c:pt idx="56">
                        <c:v>266146.31513754628</c:v>
                      </c:pt>
                      <c:pt idx="57">
                        <c:v>263813.03141495842</c:v>
                      </c:pt>
                      <c:pt idx="58">
                        <c:v>260940.53602159157</c:v>
                      </c:pt>
                      <c:pt idx="59">
                        <c:v>257315.94604362559</c:v>
                      </c:pt>
                      <c:pt idx="60">
                        <c:v>253513.5944335555</c:v>
                      </c:pt>
                    </c:numCache>
                  </c:numRef>
                </c:val>
                <c:extLst xmlns:c15="http://schemas.microsoft.com/office/drawing/2012/chart">
                  <c:ext xmlns:c16="http://schemas.microsoft.com/office/drawing/2014/chart" uri="{C3380CC4-5D6E-409C-BE32-E72D297353CC}">
                    <c16:uniqueId val="{0000000F-3B16-45B8-89BE-5AE640BDA9C0}"/>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24134771.290486097</c:v>
                      </c:pt>
                      <c:pt idx="24">
                        <c:v>24696932.291742448</c:v>
                      </c:pt>
                      <c:pt idx="25">
                        <c:v>25128517.122223884</c:v>
                      </c:pt>
                      <c:pt idx="26">
                        <c:v>25474971.393442623</c:v>
                      </c:pt>
                      <c:pt idx="27">
                        <c:v>25734234.71894455</c:v>
                      </c:pt>
                      <c:pt idx="28">
                        <c:v>26066681.867313132</c:v>
                      </c:pt>
                      <c:pt idx="29">
                        <c:v>26412334.873995647</c:v>
                      </c:pt>
                      <c:pt idx="30">
                        <c:v>25236759.160101797</c:v>
                      </c:pt>
                      <c:pt idx="31">
                        <c:v>25864898.107945878</c:v>
                      </c:pt>
                      <c:pt idx="32">
                        <c:v>26701997.274038151</c:v>
                      </c:pt>
                      <c:pt idx="33">
                        <c:v>27213948.712119233</c:v>
                      </c:pt>
                      <c:pt idx="34">
                        <c:v>27772088.173000056</c:v>
                      </c:pt>
                      <c:pt idx="35">
                        <c:v>28390538.331827588</c:v>
                      </c:pt>
                      <c:pt idx="36">
                        <c:v>29029316.501091793</c:v>
                      </c:pt>
                      <c:pt idx="37">
                        <c:v>29717792.940709669</c:v>
                      </c:pt>
                      <c:pt idx="38">
                        <c:v>30421752.223616753</c:v>
                      </c:pt>
                      <c:pt idx="39">
                        <c:v>31173388.63263537</c:v>
                      </c:pt>
                      <c:pt idx="40">
                        <c:v>31938411.42658798</c:v>
                      </c:pt>
                      <c:pt idx="41">
                        <c:v>32763820.199340597</c:v>
                      </c:pt>
                      <c:pt idx="42">
                        <c:v>33580705.721749365</c:v>
                      </c:pt>
                      <c:pt idx="43">
                        <c:v>34435283.245320365</c:v>
                      </c:pt>
                      <c:pt idx="44">
                        <c:v>35383745.397426449</c:v>
                      </c:pt>
                      <c:pt idx="45">
                        <c:v>36294296.686562642</c:v>
                      </c:pt>
                      <c:pt idx="46">
                        <c:v>37235954.105201684</c:v>
                      </c:pt>
                      <c:pt idx="47">
                        <c:v>38234261.518263079</c:v>
                      </c:pt>
                      <c:pt idx="48">
                        <c:v>39181138.911181092</c:v>
                      </c:pt>
                      <c:pt idx="49">
                        <c:v>40125435.605386712</c:v>
                      </c:pt>
                      <c:pt idx="50">
                        <c:v>41069324.053558469</c:v>
                      </c:pt>
                      <c:pt idx="51">
                        <c:v>42070744.769098721</c:v>
                      </c:pt>
                      <c:pt idx="52">
                        <c:v>43040279.068297915</c:v>
                      </c:pt>
                      <c:pt idx="53">
                        <c:v>44043388.631326117</c:v>
                      </c:pt>
                      <c:pt idx="54">
                        <c:v>45084260.952272281</c:v>
                      </c:pt>
                      <c:pt idx="55">
                        <c:v>46169487.767128564</c:v>
                      </c:pt>
                      <c:pt idx="56">
                        <c:v>47283696.604452714</c:v>
                      </c:pt>
                      <c:pt idx="57">
                        <c:v>47673964.473478749</c:v>
                      </c:pt>
                      <c:pt idx="58">
                        <c:v>47997201.312096633</c:v>
                      </c:pt>
                      <c:pt idx="59">
                        <c:v>48222929.698696598</c:v>
                      </c:pt>
                      <c:pt idx="60">
                        <c:v>48419785.671116553</c:v>
                      </c:pt>
                    </c:numCache>
                  </c:numRef>
                </c:val>
                <c:extLst xmlns:c15="http://schemas.microsoft.com/office/drawing/2012/chart">
                  <c:ext xmlns:c16="http://schemas.microsoft.com/office/drawing/2014/chart" uri="{C3380CC4-5D6E-409C-BE32-E72D297353CC}">
                    <c16:uniqueId val="{00000010-3B16-45B8-89BE-5AE640BDA9C0}"/>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95281774.78489992</c:v>
                      </c:pt>
                      <c:pt idx="24">
                        <c:v>97270973.713722661</c:v>
                      </c:pt>
                      <c:pt idx="25">
                        <c:v>97842130.842887625</c:v>
                      </c:pt>
                      <c:pt idx="26">
                        <c:v>97491901.623900309</c:v>
                      </c:pt>
                      <c:pt idx="27">
                        <c:v>96224012.280420944</c:v>
                      </c:pt>
                      <c:pt idx="28">
                        <c:v>95690259.829558313</c:v>
                      </c:pt>
                      <c:pt idx="29">
                        <c:v>95277598.733681634</c:v>
                      </c:pt>
                      <c:pt idx="30">
                        <c:v>80314070.068301976</c:v>
                      </c:pt>
                      <c:pt idx="31">
                        <c:v>83494897.804747581</c:v>
                      </c:pt>
                      <c:pt idx="32">
                        <c:v>88571294.352633178</c:v>
                      </c:pt>
                      <c:pt idx="33">
                        <c:v>90528303.595166594</c:v>
                      </c:pt>
                      <c:pt idx="34">
                        <c:v>92870242.049221531</c:v>
                      </c:pt>
                      <c:pt idx="35">
                        <c:v>95716091.944305658</c:v>
                      </c:pt>
                      <c:pt idx="36">
                        <c:v>98983973.869236231</c:v>
                      </c:pt>
                      <c:pt idx="37">
                        <c:v>102643511.26127146</c:v>
                      </c:pt>
                      <c:pt idx="38">
                        <c:v>106380760.91241254</c:v>
                      </c:pt>
                      <c:pt idx="39">
                        <c:v>110479379.93842682</c:v>
                      </c:pt>
                      <c:pt idx="40">
                        <c:v>114630551.08442631</c:v>
                      </c:pt>
                      <c:pt idx="41">
                        <c:v>119476551.14905302</c:v>
                      </c:pt>
                      <c:pt idx="42">
                        <c:v>124179352.25138603</c:v>
                      </c:pt>
                      <c:pt idx="43">
                        <c:v>129140086.56514019</c:v>
                      </c:pt>
                      <c:pt idx="44">
                        <c:v>134834020.09303874</c:v>
                      </c:pt>
                      <c:pt idx="45">
                        <c:v>140129146.84306237</c:v>
                      </c:pt>
                      <c:pt idx="46">
                        <c:v>145832956.82658711</c:v>
                      </c:pt>
                      <c:pt idx="47">
                        <c:v>151939749.44731396</c:v>
                      </c:pt>
                      <c:pt idx="48">
                        <c:v>157543409.09952602</c:v>
                      </c:pt>
                      <c:pt idx="49">
                        <c:v>163058014.47828877</c:v>
                      </c:pt>
                      <c:pt idx="50">
                        <c:v>168503696.40872559</c:v>
                      </c:pt>
                      <c:pt idx="51">
                        <c:v>174555478.64995566</c:v>
                      </c:pt>
                      <c:pt idx="52">
                        <c:v>180281031.40218979</c:v>
                      </c:pt>
                      <c:pt idx="53">
                        <c:v>186215216.38282689</c:v>
                      </c:pt>
                      <c:pt idx="54">
                        <c:v>192388643.71666509</c:v>
                      </c:pt>
                      <c:pt idx="55">
                        <c:v>198850473.36269024</c:v>
                      </c:pt>
                      <c:pt idx="56">
                        <c:v>205674065.16628239</c:v>
                      </c:pt>
                      <c:pt idx="57">
                        <c:v>206712922.07417139</c:v>
                      </c:pt>
                      <c:pt idx="58">
                        <c:v>207219745.78868875</c:v>
                      </c:pt>
                      <c:pt idx="59">
                        <c:v>206964662.4361454</c:v>
                      </c:pt>
                      <c:pt idx="60">
                        <c:v>206492684.33218193</c:v>
                      </c:pt>
                    </c:numCache>
                  </c:numRef>
                </c:val>
                <c:extLst xmlns:c15="http://schemas.microsoft.com/office/drawing/2012/chart">
                  <c:ext xmlns:c16="http://schemas.microsoft.com/office/drawing/2014/chart" uri="{C3380CC4-5D6E-409C-BE32-E72D297353CC}">
                    <c16:uniqueId val="{00000011-3B16-45B8-89BE-5AE640BDA9C0}"/>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1005615.4704369217</c:v>
                      </c:pt>
                      <c:pt idx="24">
                        <c:v>1029038.8454892697</c:v>
                      </c:pt>
                      <c:pt idx="25">
                        <c:v>1047021.5467593295</c:v>
                      </c:pt>
                      <c:pt idx="26">
                        <c:v>1061457.1413934438</c:v>
                      </c:pt>
                      <c:pt idx="27">
                        <c:v>1072259.7799560239</c:v>
                      </c:pt>
                      <c:pt idx="28">
                        <c:v>1086111.7444713814</c:v>
                      </c:pt>
                      <c:pt idx="29">
                        <c:v>1100513.9530831531</c:v>
                      </c:pt>
                      <c:pt idx="30">
                        <c:v>1051531.6316709092</c:v>
                      </c:pt>
                      <c:pt idx="31">
                        <c:v>1077704.0878310793</c:v>
                      </c:pt>
                      <c:pt idx="32">
                        <c:v>1112583.2197515906</c:v>
                      </c:pt>
                      <c:pt idx="33">
                        <c:v>1133914.5296716357</c:v>
                      </c:pt>
                      <c:pt idx="34">
                        <c:v>1157170.3405416701</c:v>
                      </c:pt>
                      <c:pt idx="35">
                        <c:v>1182939.0971594839</c:v>
                      </c:pt>
                      <c:pt idx="36">
                        <c:v>1209554.8542121591</c:v>
                      </c:pt>
                      <c:pt idx="37">
                        <c:v>1238241.3725295707</c:v>
                      </c:pt>
                      <c:pt idx="38">
                        <c:v>1267573.0093173657</c:v>
                      </c:pt>
                      <c:pt idx="39">
                        <c:v>1298891.1930264749</c:v>
                      </c:pt>
                      <c:pt idx="40">
                        <c:v>1330767.1427745004</c:v>
                      </c:pt>
                      <c:pt idx="41">
                        <c:v>1365159.1749725263</c:v>
                      </c:pt>
                      <c:pt idx="42">
                        <c:v>1399196.0717395581</c:v>
                      </c:pt>
                      <c:pt idx="43">
                        <c:v>1434803.4685550167</c:v>
                      </c:pt>
                      <c:pt idx="44">
                        <c:v>1474322.7248927702</c:v>
                      </c:pt>
                      <c:pt idx="45">
                        <c:v>1512262.3619401113</c:v>
                      </c:pt>
                      <c:pt idx="46">
                        <c:v>1551498.0877167382</c:v>
                      </c:pt>
                      <c:pt idx="47">
                        <c:v>1593094.2299276297</c:v>
                      </c:pt>
                      <c:pt idx="48">
                        <c:v>1632547.4546325472</c:v>
                      </c:pt>
                      <c:pt idx="49">
                        <c:v>1671893.1502244479</c:v>
                      </c:pt>
                      <c:pt idx="50">
                        <c:v>1711221.8355649379</c:v>
                      </c:pt>
                      <c:pt idx="51">
                        <c:v>1752947.6987124484</c:v>
                      </c:pt>
                      <c:pt idx="52">
                        <c:v>1793344.9611790816</c:v>
                      </c:pt>
                      <c:pt idx="53">
                        <c:v>1835141.1929719232</c:v>
                      </c:pt>
                      <c:pt idx="54">
                        <c:v>1878510.8730113469</c:v>
                      </c:pt>
                      <c:pt idx="55">
                        <c:v>1923728.6569636918</c:v>
                      </c:pt>
                      <c:pt idx="56">
                        <c:v>1970154.0251855317</c:v>
                      </c:pt>
                      <c:pt idx="57">
                        <c:v>1986415.1863949499</c:v>
                      </c:pt>
                      <c:pt idx="58">
                        <c:v>1999883.3880040282</c:v>
                      </c:pt>
                      <c:pt idx="59">
                        <c:v>2009288.7374456932</c:v>
                      </c:pt>
                      <c:pt idx="60">
                        <c:v>2017491.0696298582</c:v>
                      </c:pt>
                    </c:numCache>
                  </c:numRef>
                </c:val>
                <c:extLst xmlns:c15="http://schemas.microsoft.com/office/drawing/2012/chart">
                  <c:ext xmlns:c16="http://schemas.microsoft.com/office/drawing/2014/chart" uri="{C3380CC4-5D6E-409C-BE32-E72D297353CC}">
                    <c16:uniqueId val="{00000012-3B16-45B8-89BE-5AE640BDA9C0}"/>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3970073.9493708336</c:v>
                      </c:pt>
                      <c:pt idx="24">
                        <c:v>4052957.2380717816</c:v>
                      </c:pt>
                      <c:pt idx="25">
                        <c:v>4076755.4517869884</c:v>
                      </c:pt>
                      <c:pt idx="26">
                        <c:v>4062162.5676625171</c:v>
                      </c:pt>
                      <c:pt idx="27">
                        <c:v>4009333.8450175426</c:v>
                      </c:pt>
                      <c:pt idx="28">
                        <c:v>3987094.1595649333</c:v>
                      </c:pt>
                      <c:pt idx="29">
                        <c:v>3969899.9472367382</c:v>
                      </c:pt>
                      <c:pt idx="30">
                        <c:v>3346419.5861792522</c:v>
                      </c:pt>
                      <c:pt idx="31">
                        <c:v>3478954.0751978192</c:v>
                      </c:pt>
                      <c:pt idx="32">
                        <c:v>3690470.5980263855</c:v>
                      </c:pt>
                      <c:pt idx="33">
                        <c:v>3772012.6497986116</c:v>
                      </c:pt>
                      <c:pt idx="34">
                        <c:v>3869593.4187175673</c:v>
                      </c:pt>
                      <c:pt idx="35">
                        <c:v>3988170.4976794063</c:v>
                      </c:pt>
                      <c:pt idx="36">
                        <c:v>4124332.2445515133</c:v>
                      </c:pt>
                      <c:pt idx="37">
                        <c:v>4276812.9692196483</c:v>
                      </c:pt>
                      <c:pt idx="38">
                        <c:v>4432531.7046838598</c:v>
                      </c:pt>
                      <c:pt idx="39">
                        <c:v>4603307.497434455</c:v>
                      </c:pt>
                      <c:pt idx="40">
                        <c:v>4776272.9618511014</c:v>
                      </c:pt>
                      <c:pt idx="41">
                        <c:v>4978189.6312105469</c:v>
                      </c:pt>
                      <c:pt idx="42">
                        <c:v>5174139.677141089</c:v>
                      </c:pt>
                      <c:pt idx="43">
                        <c:v>5380836.9402141795</c:v>
                      </c:pt>
                      <c:pt idx="44">
                        <c:v>5618084.170543286</c:v>
                      </c:pt>
                      <c:pt idx="45">
                        <c:v>5838714.4517942704</c:v>
                      </c:pt>
                      <c:pt idx="46">
                        <c:v>6076373.2011078019</c:v>
                      </c:pt>
                      <c:pt idx="47">
                        <c:v>6330822.8936380874</c:v>
                      </c:pt>
                      <c:pt idx="48">
                        <c:v>6564308.7124802563</c:v>
                      </c:pt>
                      <c:pt idx="49">
                        <c:v>6794083.9365953719</c:v>
                      </c:pt>
                      <c:pt idx="50">
                        <c:v>7020987.3503635731</c:v>
                      </c:pt>
                      <c:pt idx="51">
                        <c:v>7273144.9437481584</c:v>
                      </c:pt>
                      <c:pt idx="52">
                        <c:v>7511709.6417579148</c:v>
                      </c:pt>
                      <c:pt idx="53">
                        <c:v>7758967.3492844617</c:v>
                      </c:pt>
                      <c:pt idx="54">
                        <c:v>8016193.4881943855</c:v>
                      </c:pt>
                      <c:pt idx="55">
                        <c:v>8285436.3901121011</c:v>
                      </c:pt>
                      <c:pt idx="56">
                        <c:v>8569752.7152617741</c:v>
                      </c:pt>
                      <c:pt idx="57">
                        <c:v>8613038.4197571501</c:v>
                      </c:pt>
                      <c:pt idx="58">
                        <c:v>8634156.0745287053</c:v>
                      </c:pt>
                      <c:pt idx="59">
                        <c:v>8623527.6015060656</c:v>
                      </c:pt>
                      <c:pt idx="60">
                        <c:v>8603861.8471742552</c:v>
                      </c:pt>
                    </c:numCache>
                  </c:numRef>
                </c:val>
                <c:extLst xmlns:c15="http://schemas.microsoft.com/office/drawing/2012/chart">
                  <c:ext xmlns:c16="http://schemas.microsoft.com/office/drawing/2014/chart" uri="{C3380CC4-5D6E-409C-BE32-E72D297353CC}">
                    <c16:uniqueId val="{00000013-3B16-45B8-89BE-5AE640BDA9C0}"/>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EF!$O$23</c:f>
              <c:strCache>
                <c:ptCount val="1"/>
                <c:pt idx="0">
                  <c:v>Ym (%)</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EF!$N$24:$N$37</c:f>
              <c:numCache>
                <c:formatCode>General</c:formatCode>
                <c:ptCount val="14"/>
                <c:pt idx="0">
                  <c:v>21.549865229110516</c:v>
                </c:pt>
                <c:pt idx="1">
                  <c:v>16.576819407008088</c:v>
                </c:pt>
                <c:pt idx="2">
                  <c:v>13.26145552560647</c:v>
                </c:pt>
                <c:pt idx="3">
                  <c:v>9.9460916442048521</c:v>
                </c:pt>
                <c:pt idx="4">
                  <c:v>6.6307277628032333</c:v>
                </c:pt>
                <c:pt idx="5">
                  <c:v>3.3153638814016171</c:v>
                </c:pt>
                <c:pt idx="6">
                  <c:v>19.892183288409704</c:v>
                </c:pt>
                <c:pt idx="7">
                  <c:v>16.576819407008085</c:v>
                </c:pt>
                <c:pt idx="8">
                  <c:v>13.26145552560647</c:v>
                </c:pt>
                <c:pt idx="9">
                  <c:v>9.9460916442048521</c:v>
                </c:pt>
                <c:pt idx="10">
                  <c:v>6.6307277628032342</c:v>
                </c:pt>
                <c:pt idx="11">
                  <c:v>6.6307277628032342</c:v>
                </c:pt>
                <c:pt idx="12">
                  <c:v>19.892183288409701</c:v>
                </c:pt>
                <c:pt idx="13">
                  <c:v>16.576819407008088</c:v>
                </c:pt>
              </c:numCache>
            </c:numRef>
          </c:xVal>
          <c:yVal>
            <c:numRef>
              <c:f>EF!$O$24:$O$37</c:f>
              <c:numCache>
                <c:formatCode>General</c:formatCode>
                <c:ptCount val="14"/>
                <c:pt idx="0">
                  <c:v>6.5</c:v>
                </c:pt>
                <c:pt idx="1">
                  <c:v>5</c:v>
                </c:pt>
                <c:pt idx="2">
                  <c:v>4</c:v>
                </c:pt>
                <c:pt idx="3">
                  <c:v>3</c:v>
                </c:pt>
                <c:pt idx="4">
                  <c:v>2</c:v>
                </c:pt>
                <c:pt idx="5">
                  <c:v>1</c:v>
                </c:pt>
                <c:pt idx="6">
                  <c:v>6</c:v>
                </c:pt>
                <c:pt idx="7">
                  <c:v>5</c:v>
                </c:pt>
                <c:pt idx="8">
                  <c:v>4</c:v>
                </c:pt>
                <c:pt idx="9">
                  <c:v>3</c:v>
                </c:pt>
                <c:pt idx="10">
                  <c:v>2</c:v>
                </c:pt>
                <c:pt idx="11">
                  <c:v>2</c:v>
                </c:pt>
                <c:pt idx="12">
                  <c:v>6</c:v>
                </c:pt>
                <c:pt idx="13">
                  <c:v>5</c:v>
                </c:pt>
              </c:numCache>
            </c:numRef>
          </c:yVal>
          <c:smooth val="0"/>
          <c:extLst>
            <c:ext xmlns:c16="http://schemas.microsoft.com/office/drawing/2014/chart" uri="{C3380CC4-5D6E-409C-BE32-E72D297353CC}">
              <c16:uniqueId val="{00000000-6960-4811-8BD2-411128525985}"/>
            </c:ext>
          </c:extLst>
        </c:ser>
        <c:dLbls>
          <c:showLegendKey val="0"/>
          <c:showVal val="0"/>
          <c:showCatName val="0"/>
          <c:showSerName val="0"/>
          <c:showPercent val="0"/>
          <c:showBubbleSize val="0"/>
        </c:dLbls>
        <c:axId val="2123228848"/>
        <c:axId val="2123229680"/>
      </c:scatterChart>
      <c:valAx>
        <c:axId val="212322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9680"/>
        <c:crosses val="autoZero"/>
        <c:crossBetween val="midCat"/>
      </c:valAx>
      <c:valAx>
        <c:axId val="212322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88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'Emissions summary'!$C$58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summary'!$F$58:$BN$58</c15:sqref>
                  </c15:fullRef>
                </c:ext>
              </c:extLst>
              <c:f>'Emissions summary'!$P$58:$BN$58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24596.567437021022</c:v>
                </c:pt>
                <c:pt idx="13">
                  <c:v>24497.747310072344</c:v>
                </c:pt>
                <c:pt idx="14">
                  <c:v>24503.520525013522</c:v>
                </c:pt>
                <c:pt idx="15">
                  <c:v>24330.600675717971</c:v>
                </c:pt>
                <c:pt idx="16">
                  <c:v>24050.505209418396</c:v>
                </c:pt>
                <c:pt idx="17">
                  <c:v>23669.383405227258</c:v>
                </c:pt>
                <c:pt idx="18">
                  <c:v>23387.298701141393</c:v>
                </c:pt>
                <c:pt idx="19">
                  <c:v>23126.61405950896</c:v>
                </c:pt>
                <c:pt idx="20">
                  <c:v>21180.886005640339</c:v>
                </c:pt>
                <c:pt idx="21">
                  <c:v>21465.470230109688</c:v>
                </c:pt>
                <c:pt idx="22">
                  <c:v>21963.340275219445</c:v>
                </c:pt>
                <c:pt idx="23">
                  <c:v>22101.502305984657</c:v>
                </c:pt>
                <c:pt idx="24">
                  <c:v>22282.065946005139</c:v>
                </c:pt>
                <c:pt idx="25">
                  <c:v>22516.89303585394</c:v>
                </c:pt>
                <c:pt idx="26">
                  <c:v>22774.277383618282</c:v>
                </c:pt>
                <c:pt idx="27">
                  <c:v>23070.701441634967</c:v>
                </c:pt>
                <c:pt idx="28">
                  <c:v>23371.020697326905</c:v>
                </c:pt>
                <c:pt idx="29">
                  <c:v>23705.292980371927</c:v>
                </c:pt>
                <c:pt idx="30">
                  <c:v>24039.678103676189</c:v>
                </c:pt>
                <c:pt idx="31">
                  <c:v>24299.015516776995</c:v>
                </c:pt>
                <c:pt idx="32">
                  <c:v>24530.176310581221</c:v>
                </c:pt>
                <c:pt idx="33">
                  <c:v>24774.410449426709</c:v>
                </c:pt>
                <c:pt idx="34">
                  <c:v>25077.657228723914</c:v>
                </c:pt>
                <c:pt idx="35">
                  <c:v>25325.819620380986</c:v>
                </c:pt>
                <c:pt idx="36">
                  <c:v>25584.068170066945</c:v>
                </c:pt>
                <c:pt idx="37">
                  <c:v>25864.581424079868</c:v>
                </c:pt>
                <c:pt idx="38">
                  <c:v>26081.437708291338</c:v>
                </c:pt>
                <c:pt idx="39">
                  <c:v>26274.899587006017</c:v>
                </c:pt>
                <c:pt idx="40">
                  <c:v>26447.277476384836</c:v>
                </c:pt>
                <c:pt idx="41">
                  <c:v>26727.278121350835</c:v>
                </c:pt>
                <c:pt idx="42">
                  <c:v>26966.547201462941</c:v>
                </c:pt>
                <c:pt idx="43">
                  <c:v>27212.292330691416</c:v>
                </c:pt>
                <c:pt idx="44">
                  <c:v>27466.41757251642</c:v>
                </c:pt>
                <c:pt idx="45">
                  <c:v>27732.242181273872</c:v>
                </c:pt>
                <c:pt idx="46">
                  <c:v>28002.74324911549</c:v>
                </c:pt>
                <c:pt idx="47">
                  <c:v>27790.026742078895</c:v>
                </c:pt>
                <c:pt idx="48">
                  <c:v>27534.735287045489</c:v>
                </c:pt>
                <c:pt idx="49">
                  <c:v>27220.548645508217</c:v>
                </c:pt>
                <c:pt idx="50">
                  <c:v>26892.399484219895</c:v>
                </c:pt>
              </c:numCache>
            </c:numRef>
          </c:val>
          <c:extLst>
            <c:ext xmlns:c16="http://schemas.microsoft.com/office/drawing/2014/chart" uri="{C3380CC4-5D6E-409C-BE32-E72D297353CC}">
              <c16:uniqueId val="{00000000-2D26-4177-8A16-4D1FE8C89A7C}"/>
            </c:ext>
          </c:extLst>
        </c:ser>
        <c:ser>
          <c:idx val="1"/>
          <c:order val="1"/>
          <c:tx>
            <c:strRef>
              <c:f>'Emissions summary'!$C$59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summary'!$F$59:$BN$59</c15:sqref>
                  </c15:fullRef>
                </c:ext>
              </c:extLst>
              <c:f>'Emissions summary'!$P$59:$BN$59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773.63084917870208</c:v>
                </c:pt>
                <c:pt idx="13">
                  <c:v>773.31500928313335</c:v>
                </c:pt>
                <c:pt idx="14">
                  <c:v>776.88026181002783</c:v>
                </c:pt>
                <c:pt idx="15">
                  <c:v>774.22773270072685</c:v>
                </c:pt>
                <c:pt idx="16">
                  <c:v>767.77846974201941</c:v>
                </c:pt>
                <c:pt idx="17">
                  <c:v>757.64147058917888</c:v>
                </c:pt>
                <c:pt idx="18">
                  <c:v>751.15754383054059</c:v>
                </c:pt>
                <c:pt idx="19">
                  <c:v>745.51317364056126</c:v>
                </c:pt>
                <c:pt idx="20">
                  <c:v>676.48277358218854</c:v>
                </c:pt>
                <c:pt idx="21">
                  <c:v>686.15974406976295</c:v>
                </c:pt>
                <c:pt idx="22">
                  <c:v>703.92572415028519</c:v>
                </c:pt>
                <c:pt idx="23">
                  <c:v>708.20264438984645</c:v>
                </c:pt>
                <c:pt idx="24">
                  <c:v>714.13029378494389</c:v>
                </c:pt>
                <c:pt idx="25">
                  <c:v>722.15719627135536</c:v>
                </c:pt>
                <c:pt idx="26">
                  <c:v>731.40600819785641</c:v>
                </c:pt>
                <c:pt idx="27">
                  <c:v>742.18302304737472</c:v>
                </c:pt>
                <c:pt idx="28">
                  <c:v>753.16389811776446</c:v>
                </c:pt>
                <c:pt idx="29">
                  <c:v>765.48634075845848</c:v>
                </c:pt>
                <c:pt idx="30">
                  <c:v>777.87356950841922</c:v>
                </c:pt>
                <c:pt idx="31">
                  <c:v>792.5193900634664</c:v>
                </c:pt>
                <c:pt idx="32">
                  <c:v>806.40764892451318</c:v>
                </c:pt>
                <c:pt idx="33">
                  <c:v>821.12318043992002</c:v>
                </c:pt>
                <c:pt idx="34">
                  <c:v>838.48826263474302</c:v>
                </c:pt>
                <c:pt idx="35">
                  <c:v>854.07357850430526</c:v>
                </c:pt>
                <c:pt idx="36">
                  <c:v>870.66458320376478</c:v>
                </c:pt>
                <c:pt idx="37">
                  <c:v>888.54554334826014</c:v>
                </c:pt>
                <c:pt idx="38">
                  <c:v>904.27210309480427</c:v>
                </c:pt>
                <c:pt idx="39">
                  <c:v>919.43666594135084</c:v>
                </c:pt>
                <c:pt idx="40">
                  <c:v>934.12296287495724</c:v>
                </c:pt>
                <c:pt idx="41">
                  <c:v>950.50024078110039</c:v>
                </c:pt>
                <c:pt idx="42">
                  <c:v>965.43729589037184</c:v>
                </c:pt>
                <c:pt idx="43">
                  <c:v>980.89937340691097</c:v>
                </c:pt>
                <c:pt idx="44">
                  <c:v>996.98034011786501</c:v>
                </c:pt>
                <c:pt idx="45">
                  <c:v>1013.8371546773797</c:v>
                </c:pt>
                <c:pt idx="46">
                  <c:v>1031.40678618839</c:v>
                </c:pt>
                <c:pt idx="47">
                  <c:v>1028.3873883256001</c:v>
                </c:pt>
                <c:pt idx="48">
                  <c:v>1023.5434894935358</c:v>
                </c:pt>
                <c:pt idx="49">
                  <c:v>1016.1201948584441</c:v>
                </c:pt>
                <c:pt idx="50">
                  <c:v>1008.0448026966982</c:v>
                </c:pt>
              </c:numCache>
            </c:numRef>
          </c:val>
          <c:extLst>
            <c:ext xmlns:c16="http://schemas.microsoft.com/office/drawing/2014/chart" uri="{C3380CC4-5D6E-409C-BE32-E72D297353CC}">
              <c16:uniqueId val="{00000001-2D26-4177-8A16-4D1FE8C89A7C}"/>
            </c:ext>
          </c:extLst>
        </c:ser>
        <c:ser>
          <c:idx val="2"/>
          <c:order val="2"/>
          <c:tx>
            <c:strRef>
              <c:f>'Emissions summary'!$C$60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summary'!$F$60:$BN$60</c15:sqref>
                  </c15:fullRef>
                </c:ext>
              </c:extLst>
              <c:f>'Emissions summary'!$P$60:$BN$60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1611.8202237640571</c:v>
                </c:pt>
                <c:pt idx="13">
                  <c:v>1628.3498454049941</c:v>
                </c:pt>
                <c:pt idx="14">
                  <c:v>1654.3267410473245</c:v>
                </c:pt>
                <c:pt idx="15">
                  <c:v>1663.6384309182044</c:v>
                </c:pt>
                <c:pt idx="16">
                  <c:v>1662.3021398559861</c:v>
                </c:pt>
                <c:pt idx="17">
                  <c:v>1650.3976769413116</c:v>
                </c:pt>
                <c:pt idx="18">
                  <c:v>1647.5009704288245</c:v>
                </c:pt>
                <c:pt idx="19">
                  <c:v>1646.2684747308629</c:v>
                </c:pt>
                <c:pt idx="20">
                  <c:v>1471.4770183949049</c:v>
                </c:pt>
                <c:pt idx="21">
                  <c:v>1513.2841308978795</c:v>
                </c:pt>
                <c:pt idx="22">
                  <c:v>1577.8900903407075</c:v>
                </c:pt>
                <c:pt idx="23">
                  <c:v>1605.3603615953032</c:v>
                </c:pt>
                <c:pt idx="24">
                  <c:v>1637.5593402362949</c:v>
                </c:pt>
                <c:pt idx="25">
                  <c:v>1675.9115891710114</c:v>
                </c:pt>
                <c:pt idx="26">
                  <c:v>1718.3854571727688</c:v>
                </c:pt>
                <c:pt idx="27">
                  <c:v>1765.6654721531484</c:v>
                </c:pt>
                <c:pt idx="28">
                  <c:v>1813.9939108167773</c:v>
                </c:pt>
                <c:pt idx="29">
                  <c:v>1866.7672518806901</c:v>
                </c:pt>
                <c:pt idx="30">
                  <c:v>1920.2871066719242</c:v>
                </c:pt>
                <c:pt idx="31">
                  <c:v>1979.5046489587751</c:v>
                </c:pt>
                <c:pt idx="32">
                  <c:v>2037.0485373499673</c:v>
                </c:pt>
                <c:pt idx="33">
                  <c:v>2097.7211770354443</c:v>
                </c:pt>
                <c:pt idx="34">
                  <c:v>2167.2011450156374</c:v>
                </c:pt>
                <c:pt idx="35">
                  <c:v>2231.9488175248312</c:v>
                </c:pt>
                <c:pt idx="36">
                  <c:v>2300.8296127915837</c:v>
                </c:pt>
                <c:pt idx="37">
                  <c:v>2374.5565546097582</c:v>
                </c:pt>
                <c:pt idx="38">
                  <c:v>2442.3125745849302</c:v>
                </c:pt>
                <c:pt idx="39">
                  <c:v>2509.0473446004544</c:v>
                </c:pt>
                <c:pt idx="40">
                  <c:v>2575.0047234836748</c:v>
                </c:pt>
                <c:pt idx="41">
                  <c:v>2648.6514660669854</c:v>
                </c:pt>
                <c:pt idx="42">
                  <c:v>2718.4895467449173</c:v>
                </c:pt>
                <c:pt idx="43">
                  <c:v>2790.8977456077</c:v>
                </c:pt>
                <c:pt idx="44">
                  <c:v>2866.2430112709721</c:v>
                </c:pt>
                <c:pt idx="45">
                  <c:v>2945.1139066328119</c:v>
                </c:pt>
                <c:pt idx="46">
                  <c:v>3027.6576613752272</c:v>
                </c:pt>
                <c:pt idx="47">
                  <c:v>3041.2907354767776</c:v>
                </c:pt>
                <c:pt idx="48">
                  <c:v>3048.6538580647275</c:v>
                </c:pt>
                <c:pt idx="49">
                  <c:v>3047.0017943743856</c:v>
                </c:pt>
                <c:pt idx="50">
                  <c:v>3042.8336414396445</c:v>
                </c:pt>
              </c:numCache>
            </c:numRef>
          </c:val>
          <c:extLst>
            <c:ext xmlns:c16="http://schemas.microsoft.com/office/drawing/2014/chart" uri="{C3380CC4-5D6E-409C-BE32-E72D297353CC}">
              <c16:uniqueId val="{00000002-2D26-4177-8A16-4D1FE8C89A7C}"/>
            </c:ext>
          </c:extLst>
        </c:ser>
        <c:ser>
          <c:idx val="3"/>
          <c:order val="3"/>
          <c:tx>
            <c:strRef>
              <c:f>'Emissions summary'!$C$61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summary'!$F$61:$BN$61</c15:sqref>
                  </c15:fullRef>
                </c:ext>
              </c:extLst>
              <c:f>'Emissions summary'!$P$61:$BN$61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D26-4177-8A16-4D1FE8C89A7C}"/>
            </c:ext>
          </c:extLst>
        </c:ser>
        <c:ser>
          <c:idx val="4"/>
          <c:order val="4"/>
          <c:tx>
            <c:strRef>
              <c:f>'Emissions summary'!$C$62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summary'!$F$62:$BN$62</c15:sqref>
                  </c15:fullRef>
                </c:ext>
              </c:extLst>
              <c:f>'Emissions summary'!$P$62:$BN$62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D26-4177-8A16-4D1FE8C89A7C}"/>
            </c:ext>
          </c:extLst>
        </c:ser>
        <c:ser>
          <c:idx val="5"/>
          <c:order val="5"/>
          <c:tx>
            <c:strRef>
              <c:f>'Emissions summary'!$C$63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summary'!$F$63:$BN$63</c15:sqref>
                  </c15:fullRef>
                </c:ext>
              </c:extLst>
              <c:f>'Emissions summary'!$P$63:$BN$63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891.99675751980965</c:v>
                </c:pt>
                <c:pt idx="22">
                  <c:v>896.31989501908868</c:v>
                </c:pt>
                <c:pt idx="23">
                  <c:v>902.22024497284394</c:v>
                </c:pt>
                <c:pt idx="24">
                  <c:v>905.3909035858818</c:v>
                </c:pt>
                <c:pt idx="25">
                  <c:v>908.85869804414574</c:v>
                </c:pt>
                <c:pt idx="26">
                  <c:v>912.71420258721548</c:v>
                </c:pt>
                <c:pt idx="27">
                  <c:v>916.76138513802675</c:v>
                </c:pt>
                <c:pt idx="28">
                  <c:v>921.08070130350711</c:v>
                </c:pt>
                <c:pt idx="29">
                  <c:v>925.40933815746541</c:v>
                </c:pt>
                <c:pt idx="30">
                  <c:v>929.96831948890872</c:v>
                </c:pt>
                <c:pt idx="31">
                  <c:v>934.50696522239457</c:v>
                </c:pt>
                <c:pt idx="32">
                  <c:v>939.42761374681561</c:v>
                </c:pt>
                <c:pt idx="33">
                  <c:v>944.16688868183769</c:v>
                </c:pt>
                <c:pt idx="34">
                  <c:v>949.0261231000643</c:v>
                </c:pt>
                <c:pt idx="35">
                  <c:v>954.33840569705478</c:v>
                </c:pt>
                <c:pt idx="36">
                  <c:v>959.278398620286</c:v>
                </c:pt>
                <c:pt idx="37">
                  <c:v>964.3507815679485</c:v>
                </c:pt>
                <c:pt idx="38">
                  <c:v>969.61220137656596</c:v>
                </c:pt>
                <c:pt idx="39">
                  <c:v>974.44775869223997</c:v>
                </c:pt>
                <c:pt idx="40">
                  <c:v>979.14890322764631</c:v>
                </c:pt>
                <c:pt idx="41">
                  <c:v>983.73381176950784</c:v>
                </c:pt>
                <c:pt idx="42">
                  <c:v>988.57156221875641</c:v>
                </c:pt>
                <c:pt idx="43">
                  <c:v>993.12969939958668</c:v>
                </c:pt>
                <c:pt idx="44">
                  <c:v>997.74604101719626</c:v>
                </c:pt>
                <c:pt idx="45">
                  <c:v>1002.4341171721968</c:v>
                </c:pt>
                <c:pt idx="46">
                  <c:v>1007.2170829821735</c:v>
                </c:pt>
                <c:pt idx="47">
                  <c:v>1012.0749838215364</c:v>
                </c:pt>
                <c:pt idx="48">
                  <c:v>1013.5676439901464</c:v>
                </c:pt>
                <c:pt idx="49">
                  <c:v>1014.7466063039381</c:v>
                </c:pt>
                <c:pt idx="50">
                  <c:v>1015.4810997197675</c:v>
                </c:pt>
              </c:numCache>
            </c:numRef>
          </c:val>
          <c:extLst>
            <c:ext xmlns:c16="http://schemas.microsoft.com/office/drawing/2014/chart" uri="{C3380CC4-5D6E-409C-BE32-E72D297353CC}">
              <c16:uniqueId val="{00000005-2D26-4177-8A16-4D1FE8C89A7C}"/>
            </c:ext>
          </c:extLst>
        </c:ser>
        <c:ser>
          <c:idx val="6"/>
          <c:order val="6"/>
          <c:tx>
            <c:strRef>
              <c:f>'Emissions summary'!$C$64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summary'!$F$64:$BN$64</c15:sqref>
                  </c15:fullRef>
                </c:ext>
              </c:extLst>
              <c:f>'Emissions summary'!$P$64:$BN$64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469.95618030048149</c:v>
                </c:pt>
                <c:pt idx="22">
                  <c:v>469.84725524758687</c:v>
                </c:pt>
                <c:pt idx="23">
                  <c:v>469.69859101219856</c:v>
                </c:pt>
                <c:pt idx="24">
                  <c:v>469.61870362550462</c:v>
                </c:pt>
                <c:pt idx="25">
                  <c:v>469.53132965350932</c:v>
                </c:pt>
                <c:pt idx="26">
                  <c:v>469.43418700274725</c:v>
                </c:pt>
                <c:pt idx="27">
                  <c:v>469.33221486480466</c:v>
                </c:pt>
                <c:pt idx="28">
                  <c:v>469.22338609360048</c:v>
                </c:pt>
                <c:pt idx="29">
                  <c:v>469.1143224798808</c:v>
                </c:pt>
                <c:pt idx="30">
                  <c:v>468.99945514504452</c:v>
                </c:pt>
                <c:pt idx="31">
                  <c:v>468.88510018254988</c:v>
                </c:pt>
                <c:pt idx="32">
                  <c:v>468.76112034131472</c:v>
                </c:pt>
                <c:pt idx="33">
                  <c:v>468.64171035885056</c:v>
                </c:pt>
                <c:pt idx="34">
                  <c:v>468.5192778972135</c:v>
                </c:pt>
                <c:pt idx="35">
                  <c:v>468.38543050906895</c:v>
                </c:pt>
                <c:pt idx="36">
                  <c:v>468.26096326958111</c:v>
                </c:pt>
                <c:pt idx="37">
                  <c:v>468.13316035307253</c:v>
                </c:pt>
                <c:pt idx="38">
                  <c:v>468.00059449527834</c:v>
                </c:pt>
                <c:pt idx="39">
                  <c:v>467.87875859797629</c:v>
                </c:pt>
                <c:pt idx="40">
                  <c:v>467.76030934271449</c:v>
                </c:pt>
                <c:pt idx="41">
                  <c:v>467.64478875019984</c:v>
                </c:pt>
                <c:pt idx="42">
                  <c:v>467.52289759506942</c:v>
                </c:pt>
                <c:pt idx="43">
                  <c:v>467.40805152931154</c:v>
                </c:pt>
                <c:pt idx="44">
                  <c:v>467.29173895425197</c:v>
                </c:pt>
                <c:pt idx="45">
                  <c:v>467.17361896772775</c:v>
                </c:pt>
                <c:pt idx="46">
                  <c:v>467.05310815725005</c:v>
                </c:pt>
                <c:pt idx="47">
                  <c:v>466.93070929624412</c:v>
                </c:pt>
                <c:pt idx="48">
                  <c:v>466.89310047907219</c:v>
                </c:pt>
                <c:pt idx="49">
                  <c:v>466.86339554083878</c:v>
                </c:pt>
                <c:pt idx="50">
                  <c:v>466.8448893669817</c:v>
                </c:pt>
              </c:numCache>
            </c:numRef>
          </c:val>
          <c:extLst>
            <c:ext xmlns:c16="http://schemas.microsoft.com/office/drawing/2014/chart" uri="{C3380CC4-5D6E-409C-BE32-E72D297353CC}">
              <c16:uniqueId val="{00000006-2D26-4177-8A16-4D1FE8C89A7C}"/>
            </c:ext>
          </c:extLst>
        </c:ser>
        <c:ser>
          <c:idx val="7"/>
          <c:order val="7"/>
          <c:tx>
            <c:strRef>
              <c:f>'Emissions summary'!$C$65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summary'!$F$65:$BN$65</c15:sqref>
                  </c15:fullRef>
                </c:ext>
              </c:extLst>
              <c:f>'Emissions summary'!$P$65:$BN$65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17151.705697759648</c:v>
                </c:pt>
                <c:pt idx="13">
                  <c:v>17093.826915551948</c:v>
                </c:pt>
                <c:pt idx="14">
                  <c:v>17091.396392844264</c:v>
                </c:pt>
                <c:pt idx="15">
                  <c:v>16996.523789335217</c:v>
                </c:pt>
                <c:pt idx="16">
                  <c:v>16845.135916251191</c:v>
                </c:pt>
                <c:pt idx="17">
                  <c:v>16640.888084222788</c:v>
                </c:pt>
                <c:pt idx="18">
                  <c:v>16487.529960272332</c:v>
                </c:pt>
                <c:pt idx="19">
                  <c:v>16345.805129696333</c:v>
                </c:pt>
                <c:pt idx="20">
                  <c:v>15333.142496965511</c:v>
                </c:pt>
                <c:pt idx="21">
                  <c:v>15466.419305865022</c:v>
                </c:pt>
                <c:pt idx="22">
                  <c:v>15721.718395845426</c:v>
                </c:pt>
                <c:pt idx="23">
                  <c:v>15792.35690424532</c:v>
                </c:pt>
                <c:pt idx="24">
                  <c:v>15882.586900810107</c:v>
                </c:pt>
                <c:pt idx="25">
                  <c:v>16000.875078757141</c:v>
                </c:pt>
                <c:pt idx="26">
                  <c:v>16130.837006610433</c:v>
                </c:pt>
                <c:pt idx="27">
                  <c:v>16280.829315177862</c:v>
                </c:pt>
                <c:pt idx="28">
                  <c:v>16432.800860620609</c:v>
                </c:pt>
                <c:pt idx="29">
                  <c:v>16601.972697603644</c:v>
                </c:pt>
                <c:pt idx="30">
                  <c:v>16771.105827480609</c:v>
                </c:pt>
                <c:pt idx="31">
                  <c:v>16898.814381982302</c:v>
                </c:pt>
                <c:pt idx="32">
                  <c:v>17011.89128216061</c:v>
                </c:pt>
                <c:pt idx="33">
                  <c:v>17131.020466939513</c:v>
                </c:pt>
                <c:pt idx="34">
                  <c:v>17279.878287190404</c:v>
                </c:pt>
                <c:pt idx="35">
                  <c:v>17400.350352990772</c:v>
                </c:pt>
                <c:pt idx="36">
                  <c:v>17525.003619430903</c:v>
                </c:pt>
                <c:pt idx="37">
                  <c:v>17660.47076391898</c:v>
                </c:pt>
                <c:pt idx="38">
                  <c:v>17763.017146878792</c:v>
                </c:pt>
                <c:pt idx="39">
                  <c:v>17852.701945731118</c:v>
                </c:pt>
                <c:pt idx="40">
                  <c:v>17930.946501142658</c:v>
                </c:pt>
                <c:pt idx="41">
                  <c:v>18065.131954412631</c:v>
                </c:pt>
                <c:pt idx="42">
                  <c:v>18178.314058421252</c:v>
                </c:pt>
                <c:pt idx="43">
                  <c:v>18293.989664549441</c:v>
                </c:pt>
                <c:pt idx="44">
                  <c:v>18413.356143322824</c:v>
                </c:pt>
                <c:pt idx="45">
                  <c:v>18538.060297718424</c:v>
                </c:pt>
                <c:pt idx="46">
                  <c:v>18664.427755086152</c:v>
                </c:pt>
                <c:pt idx="47">
                  <c:v>18547.120743497231</c:v>
                </c:pt>
                <c:pt idx="48">
                  <c:v>18405.700517305311</c:v>
                </c:pt>
                <c:pt idx="49">
                  <c:v>18234.496409391908</c:v>
                </c:pt>
                <c:pt idx="50">
                  <c:v>18056.036672914906</c:v>
                </c:pt>
              </c:numCache>
            </c:numRef>
          </c:val>
          <c:extLst>
            <c:ext xmlns:c16="http://schemas.microsoft.com/office/drawing/2014/chart" uri="{C3380CC4-5D6E-409C-BE32-E72D297353CC}">
              <c16:uniqueId val="{00000007-2D26-4177-8A16-4D1FE8C89A7C}"/>
            </c:ext>
          </c:extLst>
        </c:ser>
        <c:ser>
          <c:idx val="8"/>
          <c:order val="8"/>
          <c:tx>
            <c:strRef>
              <c:f>'Emissions summary'!$C$66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summary'!$F$66:$BN$66</c15:sqref>
                  </c15:fullRef>
                </c:ext>
              </c:extLst>
              <c:f>'Emissions summary'!$P$66:$BN$66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1981.3182233351415</c:v>
                </c:pt>
                <c:pt idx="19">
                  <c:v>1966.2827775921453</c:v>
                </c:pt>
                <c:pt idx="20">
                  <c:v>1842.5857472306971</c:v>
                </c:pt>
                <c:pt idx="21">
                  <c:v>1861.3013133436878</c:v>
                </c:pt>
                <c:pt idx="22">
                  <c:v>1894.1536812303866</c:v>
                </c:pt>
                <c:pt idx="23">
                  <c:v>1903.8803245620827</c:v>
                </c:pt>
                <c:pt idx="24">
                  <c:v>1916.3536730595029</c:v>
                </c:pt>
                <c:pt idx="25">
                  <c:v>1932.3985696328384</c:v>
                </c:pt>
                <c:pt idx="26">
                  <c:v>1949.7219525740591</c:v>
                </c:pt>
                <c:pt idx="27">
                  <c:v>1969.629089038252</c:v>
                </c:pt>
                <c:pt idx="28">
                  <c:v>1989.8483490761139</c:v>
                </c:pt>
                <c:pt idx="29">
                  <c:v>2012.3185912377764</c:v>
                </c:pt>
                <c:pt idx="30">
                  <c:v>2034.8539004377549</c:v>
                </c:pt>
                <c:pt idx="31">
                  <c:v>2052.8949909451817</c:v>
                </c:pt>
                <c:pt idx="32">
                  <c:v>2069.1944299293632</c:v>
                </c:pt>
                <c:pt idx="33">
                  <c:v>2086.4143452143276</c:v>
                </c:pt>
                <c:pt idx="34">
                  <c:v>2107.5471907559049</c:v>
                </c:pt>
                <c:pt idx="35">
                  <c:v>2125.1922779772085</c:v>
                </c:pt>
                <c:pt idx="36">
                  <c:v>2143.3815227202085</c:v>
                </c:pt>
                <c:pt idx="37">
                  <c:v>2163.1045643035477</c:v>
                </c:pt>
                <c:pt idx="38">
                  <c:v>2178.7665207131558</c:v>
                </c:pt>
                <c:pt idx="39">
                  <c:v>2192.9725439395338</c:v>
                </c:pt>
                <c:pt idx="40">
                  <c:v>2205.8761678403275</c:v>
                </c:pt>
                <c:pt idx="41">
                  <c:v>2225.3439026708006</c:v>
                </c:pt>
                <c:pt idx="42">
                  <c:v>2242.215386811522</c:v>
                </c:pt>
                <c:pt idx="43">
                  <c:v>2259.5653989534226</c:v>
                </c:pt>
                <c:pt idx="44">
                  <c:v>2277.5267973052873</c:v>
                </c:pt>
                <c:pt idx="45">
                  <c:v>2296.3195215422957</c:v>
                </c:pt>
                <c:pt idx="46">
                  <c:v>2315.3159501296468</c:v>
                </c:pt>
                <c:pt idx="47">
                  <c:v>2302.6461188471171</c:v>
                </c:pt>
                <c:pt idx="48">
                  <c:v>2287.1277664044933</c:v>
                </c:pt>
                <c:pt idx="49">
                  <c:v>2267.7383909460959</c:v>
                </c:pt>
                <c:pt idx="50">
                  <c:v>2247.4232150153257</c:v>
                </c:pt>
              </c:numCache>
            </c:numRef>
          </c:val>
          <c:extLst>
            <c:ext xmlns:c16="http://schemas.microsoft.com/office/drawing/2014/chart" uri="{C3380CC4-5D6E-409C-BE32-E72D297353CC}">
              <c16:uniqueId val="{00000008-2D26-4177-8A16-4D1FE8C89A7C}"/>
            </c:ext>
          </c:extLst>
        </c:ser>
        <c:ser>
          <c:idx val="9"/>
          <c:order val="9"/>
          <c:tx>
            <c:strRef>
              <c:f>'Emissions summary'!$C$67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summary'!$F$67:$BN$67</c15:sqref>
                  </c15:fullRef>
                </c:ext>
              </c:extLst>
              <c:f>'Emissions summary'!$P$67:$BN$67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475.46673921112142</c:v>
                </c:pt>
                <c:pt idx="15">
                  <c:v>478.52713833996251</c:v>
                </c:pt>
                <c:pt idx="16">
                  <c:v>479.13075008565448</c:v>
                </c:pt>
                <c:pt idx="17">
                  <c:v>477.27784879908722</c:v>
                </c:pt>
                <c:pt idx="18">
                  <c:v>477.58815133846173</c:v>
                </c:pt>
                <c:pt idx="19">
                  <c:v>478.32509917641181</c:v>
                </c:pt>
                <c:pt idx="20">
                  <c:v>437.65364453283877</c:v>
                </c:pt>
                <c:pt idx="21">
                  <c:v>447.83921275306943</c:v>
                </c:pt>
                <c:pt idx="22">
                  <c:v>463.50700203026076</c:v>
                </c:pt>
                <c:pt idx="23">
                  <c:v>470.33348295675415</c:v>
                </c:pt>
                <c:pt idx="24">
                  <c:v>478.31884433078415</c:v>
                </c:pt>
                <c:pt idx="25">
                  <c:v>487.80438141499695</c:v>
                </c:pt>
                <c:pt idx="26">
                  <c:v>498.22556673604879</c:v>
                </c:pt>
                <c:pt idx="27">
                  <c:v>509.82449188881287</c:v>
                </c:pt>
                <c:pt idx="28">
                  <c:v>521.70132369786995</c:v>
                </c:pt>
                <c:pt idx="29">
                  <c:v>534.66994180065035</c:v>
                </c:pt>
                <c:pt idx="30">
                  <c:v>547.84392079271527</c:v>
                </c:pt>
                <c:pt idx="31">
                  <c:v>562.85315252501368</c:v>
                </c:pt>
                <c:pt idx="32">
                  <c:v>577.51148769427505</c:v>
                </c:pt>
                <c:pt idx="33">
                  <c:v>592.97342516000958</c:v>
                </c:pt>
                <c:pt idx="34">
                  <c:v>610.61175795071927</c:v>
                </c:pt>
                <c:pt idx="35">
                  <c:v>627.16300337226232</c:v>
                </c:pt>
                <c:pt idx="36">
                  <c:v>644.70434568444216</c:v>
                </c:pt>
                <c:pt idx="37">
                  <c:v>663.47371766277104</c:v>
                </c:pt>
                <c:pt idx="38">
                  <c:v>680.84999302331573</c:v>
                </c:pt>
                <c:pt idx="39">
                  <c:v>698.02922766035294</c:v>
                </c:pt>
                <c:pt idx="40">
                  <c:v>715.06898312793305</c:v>
                </c:pt>
                <c:pt idx="41">
                  <c:v>733.64261674980673</c:v>
                </c:pt>
                <c:pt idx="42">
                  <c:v>751.32378737574379</c:v>
                </c:pt>
                <c:pt idx="43">
                  <c:v>769.66617565657941</c:v>
                </c:pt>
                <c:pt idx="44">
                  <c:v>788.76051964046167</c:v>
                </c:pt>
                <c:pt idx="45">
                  <c:v>808.75204497949539</c:v>
                </c:pt>
                <c:pt idx="46">
                  <c:v>829.61774980564689</c:v>
                </c:pt>
                <c:pt idx="47">
                  <c:v>833.64298368603681</c:v>
                </c:pt>
                <c:pt idx="48">
                  <c:v>836.13820762929572</c:v>
                </c:pt>
                <c:pt idx="49">
                  <c:v>836.42571567008497</c:v>
                </c:pt>
                <c:pt idx="50">
                  <c:v>836.09543374820669</c:v>
                </c:pt>
              </c:numCache>
            </c:numRef>
          </c:val>
          <c:extLst>
            <c:ext xmlns:c16="http://schemas.microsoft.com/office/drawing/2014/chart" uri="{C3380CC4-5D6E-409C-BE32-E72D297353CC}">
              <c16:uniqueId val="{00000009-2D26-4177-8A16-4D1FE8C89A7C}"/>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'Emissions summary'!$E$72</c:f>
              <c:strCache>
                <c:ptCount val="1"/>
                <c:pt idx="0">
                  <c:v>Aggregated non-CO2 emissions (modelled)</c:v>
                </c:pt>
              </c:strCache>
              <c:extLst xmlns:c15="http://schemas.microsoft.com/office/drawing/2012/chart"/>
            </c:strRef>
          </c:tx>
          <c:spPr>
            <a:ln w="28575" cap="rnd">
              <a:solidFill>
                <a:srgbClr val="00B0F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summary'!$F$72:$AG$72</c15:sqref>
                  </c15:fullRef>
                </c:ext>
              </c:extLst>
              <c:f>'Emissions summary'!$Z$72:$AG$72</c:f>
              <c:numCache>
                <c:formatCode>General</c:formatCode>
                <c:ptCount val="8"/>
                <c:pt idx="0">
                  <c:v>22400.815411577827</c:v>
                </c:pt>
                <c:pt idx="1">
                  <c:v>22528.596906718252</c:v>
                </c:pt>
                <c:pt idx="2">
                  <c:v>22897.455060347878</c:v>
                </c:pt>
                <c:pt idx="3">
                  <c:v>22916.931601602209</c:v>
                </c:pt>
                <c:pt idx="4">
                  <c:v>22902.965793483334</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1-CC99-489C-98D5-1E78AF22B1ED}"/>
            </c:ext>
          </c:extLst>
        </c:ser>
        <c:ser>
          <c:idx val="4"/>
          <c:order val="4"/>
          <c:tx>
            <c:strRef>
              <c:f>'Emissions summary'!$E$75</c:f>
              <c:strCache>
                <c:ptCount val="1"/>
                <c:pt idx="0">
                  <c:v>Aggregated non-CO2 emissions (2017 inventory)</c:v>
                </c:pt>
              </c:strCache>
              <c:extLst xmlns:c15="http://schemas.microsoft.com/office/drawing/2012/chart"/>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summary'!$F$75:$AG$75</c15:sqref>
                  </c15:fullRef>
                </c:ext>
              </c:extLst>
              <c:f>'Emissions summary'!$Z$75:$AG$75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4-CC99-489C-98D5-1E78AF22B1ED}"/>
            </c:ext>
          </c:extLst>
        </c:ser>
        <c:ser>
          <c:idx val="7"/>
          <c:order val="7"/>
          <c:tx>
            <c:strRef>
              <c:f>'Emissions summary'!$E$78</c:f>
              <c:strCache>
                <c:ptCount val="1"/>
                <c:pt idx="0">
                  <c:v>Aggregated non-CO2 emissions (corrected 2017 inventory)</c:v>
                </c:pt>
              </c:strCache>
              <c:extLst xmlns:c15="http://schemas.microsoft.com/office/drawing/2012/chart"/>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summary'!$F$78:$AG$78</c15:sqref>
                  </c15:fullRef>
                </c:ext>
              </c:extLst>
              <c:f>'Emissions summary'!$Z$78:$AG$78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1-6D0C-4AF7-8613-D2BA1200AB6B}"/>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'Emissions summary'!$E$71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'Emissions summary'!$F$71:$AG$71</c15:sqref>
                        </c15:fullRef>
                        <c15:formulaRef>
                          <c15:sqref>'Emissions summary'!$Z$71:$AG$71</c15:sqref>
                        </c15:formulaRef>
                      </c:ext>
                    </c:extLst>
                    <c:numCache>
                      <c:formatCode>General</c:formatCode>
                      <c:ptCount val="8"/>
                      <c:pt idx="0">
                        <c:v>27614.256694686857</c:v>
                      </c:pt>
                      <c:pt idx="1">
                        <c:v>27581.637898711942</c:v>
                      </c:pt>
                      <c:pt idx="2">
                        <c:v>26982.018509963782</c:v>
                      </c:pt>
                      <c:pt idx="3">
                        <c:v>26899.412164760473</c:v>
                      </c:pt>
                      <c:pt idx="4">
                        <c:v>26934.727527870873</c:v>
                      </c:pt>
                      <c:pt idx="5">
                        <c:v>26768.466839336899</c:v>
                      </c:pt>
                      <c:pt idx="6">
                        <c:v>26480.585819016404</c:v>
                      </c:pt>
                      <c:pt idx="7">
                        <c:v>26077.422552757751</c:v>
                      </c:pt>
                    </c:numCache>
                  </c:numRef>
                </c:val>
                <c:smooth val="0"/>
                <c:extLst>
                  <c:ext xmlns:c16="http://schemas.microsoft.com/office/drawing/2014/chart" uri="{C3380CC4-5D6E-409C-BE32-E72D297353CC}">
                    <c16:uniqueId val="{00000000-CC99-489C-98D5-1E78AF22B1E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summary'!$F$73:$AG$73</c15:sqref>
                        </c15:fullRef>
                        <c15:formulaRef>
                          <c15:sqref>'Emissions summary'!$Z$73:$AG$73</c15:sqref>
                        </c15:formulaRef>
                      </c:ext>
                    </c:extLst>
                    <c:numCache>
                      <c:formatCode>General</c:formatCode>
                      <c:ptCount val="8"/>
                      <c:pt idx="0">
                        <c:v>50015.072106264684</c:v>
                      </c:pt>
                      <c:pt idx="1">
                        <c:v>50110.234805430198</c:v>
                      </c:pt>
                      <c:pt idx="2">
                        <c:v>49879.47357031166</c:v>
                      </c:pt>
                      <c:pt idx="3">
                        <c:v>49816.343766362683</c:v>
                      </c:pt>
                      <c:pt idx="4">
                        <c:v>49837.693321354207</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2-CC99-489C-98D5-1E78AF22B1E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summary'!$F$74:$AG$74</c15:sqref>
                        </c15:fullRef>
                        <c15:formulaRef>
                          <c15:sqref>'Emissions summary'!$Z$74:$AG$74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3-CC99-489C-98D5-1E78AF22B1E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summary'!$F$76:$AG$76</c15:sqref>
                        </c15:fullRef>
                        <c15:formulaRef>
                          <c15:sqref>'Emissions summary'!$Z$76:$AG$76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5-CC99-489C-98D5-1E78AF22B1E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summary'!$F$77:$AG$77</c15:sqref>
                        </c15:fullRef>
                        <c15:formulaRef>
                          <c15:sqref>'Emissions summary'!$Z$77:$AG$77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0-6D0C-4AF7-8613-D2BA1200AB6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summary'!$F$79:$AG$79</c15:sqref>
                        </c15:fullRef>
                        <c15:formulaRef>
                          <c15:sqref>'Emissions summary'!$Z$79:$AG$79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2-6D0C-4AF7-8613-D2BA1200AB6B}"/>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'Emissions summary'!$E$118</c:f>
              <c:strCache>
                <c:ptCount val="1"/>
                <c:pt idx="0">
                  <c:v>Direct N2O</c:v>
                </c:pt>
              </c:strCache>
            </c:strRef>
          </c:tx>
          <c:spPr>
            <a:ln w="28575" cap="rnd">
              <a:solidFill>
                <a:schemeClr val="accent5"/>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summary'!$F$118:$AG$118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4-521A-4052-915B-F059FD434B62}"/>
            </c:ext>
          </c:extLst>
        </c:ser>
        <c:ser>
          <c:idx val="11"/>
          <c:order val="11"/>
          <c:tx>
            <c:strRef>
              <c:f>'Emissions summary'!$E$125</c:f>
              <c:strCache>
                <c:ptCount val="1"/>
                <c:pt idx="0">
                  <c:v>Direct N2O (inventory)</c:v>
                </c:pt>
              </c:strCache>
            </c:strRef>
          </c:tx>
          <c:spPr>
            <a:ln w="28575" cap="rnd">
              <a:solidFill>
                <a:schemeClr val="accent6">
                  <a:lumMod val="60000"/>
                </a:schemeClr>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summary'!$F$125:$AG$125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B-521A-4052-915B-F059FD434B62}"/>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'Emissions summary'!$E$114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'Emissions summary'!$F$114:$AG$114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0-521A-4052-915B-F059FD434B6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'Emissions summary'!$E$115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summary'!$F$115:$AG$115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1-521A-4052-915B-F059FD434B6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summary'!$F$116:$AG$116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2-521A-4052-915B-F059FD434B6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summary'!$F$117:$AG$117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3-521A-4052-915B-F059FD434B6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summary'!$F$119:$AG$119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5-521A-4052-915B-F059FD434B6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summary'!$F$120:$AG$120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6-521A-4052-915B-F059FD434B6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'Emissions summary'!$E$121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summary'!$F$121:$AG$121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7-521A-4052-915B-F059FD434B6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summary'!$F$122:$AG$122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8-521A-4052-915B-F059FD434B62}"/>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'Emissions summary'!$E$123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summary'!$F$123:$AG$123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9-521A-4052-915B-F059FD434B62}"/>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'Emissions summary'!$E$124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summary'!$F$124:$AG$124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A-521A-4052-915B-F059FD434B62}"/>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'Emissions summary'!$E$126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summary'!$F$126:$AG$126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21A-4052-915B-F059FD434B62}"/>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'Emissions summary'!$E$127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summary'!$F$127:$AG$127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21A-4052-915B-F059FD434B62}"/>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'Net zero Activity data'!$D$5:$F$5</c:f>
              <c:strCache>
                <c:ptCount val="3"/>
                <c:pt idx="0">
                  <c:v>TMR</c:v>
                </c:pt>
                <c:pt idx="1">
                  <c:v>Population</c:v>
                </c:pt>
                <c:pt idx="2">
                  <c:v>Head</c:v>
                </c:pt>
              </c:strCache>
            </c:strRef>
          </c:tx>
          <c:spPr>
            <a:solidFill>
              <a:schemeClr val="accent3"/>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598039.0074127327</c:v>
                </c:pt>
                <c:pt idx="25">
                  <c:v>601046.62603335571</c:v>
                </c:pt>
                <c:pt idx="26">
                  <c:v>603045.20236245089</c:v>
                </c:pt>
                <c:pt idx="27">
                  <c:v>604015.06594627816</c:v>
                </c:pt>
                <c:pt idx="28">
                  <c:v>606157.85554919671</c:v>
                </c:pt>
                <c:pt idx="29">
                  <c:v>608615.99513645703</c:v>
                </c:pt>
                <c:pt idx="30">
                  <c:v>590321.24202673463</c:v>
                </c:pt>
                <c:pt idx="31">
                  <c:v>596528.54012635571</c:v>
                </c:pt>
                <c:pt idx="32">
                  <c:v>605614.38207052986</c:v>
                </c:pt>
                <c:pt idx="33">
                  <c:v>610323.79251775239</c:v>
                </c:pt>
                <c:pt idx="34">
                  <c:v>615706.02176126163</c:v>
                </c:pt>
                <c:pt idx="35">
                  <c:v>621935.38820461812</c:v>
                </c:pt>
                <c:pt idx="36">
                  <c:v>628296.74669941061</c:v>
                </c:pt>
                <c:pt idx="37">
                  <c:v>635337.95015234023</c:v>
                </c:pt>
                <c:pt idx="38">
                  <c:v>642597.27083756379</c:v>
                </c:pt>
                <c:pt idx="39">
                  <c:v>650491.47780704009</c:v>
                </c:pt>
                <c:pt idx="40">
                  <c:v>658563.76332493348</c:v>
                </c:pt>
                <c:pt idx="41">
                  <c:v>667284.4948805609</c:v>
                </c:pt>
                <c:pt idx="42">
                  <c:v>675887.19695647305</c:v>
                </c:pt>
                <c:pt idx="43">
                  <c:v>684967.28485571465</c:v>
                </c:pt>
                <c:pt idx="44">
                  <c:v>695238.36532463855</c:v>
                </c:pt>
                <c:pt idx="45">
                  <c:v>705003.80060777965</c:v>
                </c:pt>
                <c:pt idx="46">
                  <c:v>715018.20276526653</c:v>
                </c:pt>
                <c:pt idx="47">
                  <c:v>725728.15259104513</c:v>
                </c:pt>
                <c:pt idx="48">
                  <c:v>735762.08486922923</c:v>
                </c:pt>
                <c:pt idx="49">
                  <c:v>745741.56575596228</c:v>
                </c:pt>
                <c:pt idx="50">
                  <c:v>755694.35311660939</c:v>
                </c:pt>
                <c:pt idx="51">
                  <c:v>766224.10374418576</c:v>
                </c:pt>
                <c:pt idx="52">
                  <c:v>776330.32659557904</c:v>
                </c:pt>
                <c:pt idx="53">
                  <c:v>786828.98815047613</c:v>
                </c:pt>
                <c:pt idx="54">
                  <c:v>797767.97088992584</c:v>
                </c:pt>
                <c:pt idx="55">
                  <c:v>809224.27492024703</c:v>
                </c:pt>
                <c:pt idx="56">
                  <c:v>820883.22588005802</c:v>
                </c:pt>
                <c:pt idx="57">
                  <c:v>823647.46997840214</c:v>
                </c:pt>
                <c:pt idx="58">
                  <c:v>825614.77404733561</c:v>
                </c:pt>
                <c:pt idx="59">
                  <c:v>826420.81446797797</c:v>
                </c:pt>
                <c:pt idx="60">
                  <c:v>826907.52343347447</c:v>
                </c:pt>
              </c:numCache>
            </c:numRef>
          </c:val>
          <c:extLst xmlns:c15="http://schemas.microsoft.com/office/drawing/2012/chart">
            <c:ext xmlns:c16="http://schemas.microsoft.com/office/drawing/2014/chart" uri="{C3380CC4-5D6E-409C-BE32-E72D297353CC}">
              <c16:uniqueId val="{00000000-A02B-4794-A51D-4248BFEBB6DC}"/>
            </c:ext>
          </c:extLst>
        </c:ser>
        <c:ser>
          <c:idx val="3"/>
          <c:order val="1"/>
          <c:tx>
            <c:strRef>
              <c:f>'Net zero Activity data'!$D$6:$F$6</c:f>
              <c:strCache>
                <c:ptCount val="3"/>
                <c:pt idx="0">
                  <c:v>Pasture</c:v>
                </c:pt>
                <c:pt idx="1">
                  <c:v>Population</c:v>
                </c:pt>
                <c:pt idx="2">
                  <c:v>Head</c:v>
                </c:pt>
              </c:strCache>
            </c:strRef>
          </c:tx>
          <c:spPr>
            <a:solidFill>
              <a:schemeClr val="accent4"/>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495518.03471340711</c:v>
                </c:pt>
                <c:pt idx="25">
                  <c:v>498010.06157049473</c:v>
                </c:pt>
                <c:pt idx="26">
                  <c:v>499666.02481460216</c:v>
                </c:pt>
                <c:pt idx="27">
                  <c:v>500469.62606977334</c:v>
                </c:pt>
                <c:pt idx="28">
                  <c:v>502245.08031219151</c:v>
                </c:pt>
                <c:pt idx="29">
                  <c:v>504281.82454163581</c:v>
                </c:pt>
                <c:pt idx="30">
                  <c:v>489123.3148221515</c:v>
                </c:pt>
                <c:pt idx="31">
                  <c:v>494266.50467612332</c:v>
                </c:pt>
                <c:pt idx="32">
                  <c:v>501794.77371558186</c:v>
                </c:pt>
                <c:pt idx="33">
                  <c:v>505696.85665756627</c:v>
                </c:pt>
                <c:pt idx="34">
                  <c:v>510156.41803075967</c:v>
                </c:pt>
                <c:pt idx="35">
                  <c:v>515317.89308382646</c:v>
                </c:pt>
                <c:pt idx="36">
                  <c:v>520588.73297951161</c:v>
                </c:pt>
                <c:pt idx="37">
                  <c:v>526422.87298336753</c:v>
                </c:pt>
                <c:pt idx="38">
                  <c:v>532437.73869398143</c:v>
                </c:pt>
                <c:pt idx="39">
                  <c:v>538978.65304011898</c:v>
                </c:pt>
                <c:pt idx="40">
                  <c:v>545667.11818351632</c:v>
                </c:pt>
                <c:pt idx="41">
                  <c:v>552892.8671867504</c:v>
                </c:pt>
                <c:pt idx="42">
                  <c:v>560020.82033536339</c:v>
                </c:pt>
                <c:pt idx="43">
                  <c:v>567544.32173759222</c:v>
                </c:pt>
                <c:pt idx="44">
                  <c:v>576054.64555470052</c:v>
                </c:pt>
                <c:pt idx="45">
                  <c:v>584146.00621787459</c:v>
                </c:pt>
                <c:pt idx="46">
                  <c:v>592443.65371979226</c:v>
                </c:pt>
                <c:pt idx="47">
                  <c:v>601317.61214686593</c:v>
                </c:pt>
                <c:pt idx="48">
                  <c:v>609631.44174878998</c:v>
                </c:pt>
                <c:pt idx="49">
                  <c:v>617900.15448351158</c:v>
                </c:pt>
                <c:pt idx="50">
                  <c:v>626146.74972519069</c:v>
                </c:pt>
                <c:pt idx="51">
                  <c:v>634871.40024518245</c:v>
                </c:pt>
                <c:pt idx="52">
                  <c:v>643245.12775062257</c:v>
                </c:pt>
                <c:pt idx="53">
                  <c:v>651944.01875325164</c:v>
                </c:pt>
                <c:pt idx="54">
                  <c:v>661007.74730879569</c:v>
                </c:pt>
                <c:pt idx="55">
                  <c:v>670500.11350534752</c:v>
                </c:pt>
                <c:pt idx="56">
                  <c:v>680160.38715776231</c:v>
                </c:pt>
                <c:pt idx="57">
                  <c:v>682450.76083924749</c:v>
                </c:pt>
                <c:pt idx="58">
                  <c:v>684080.81278207805</c:v>
                </c:pt>
                <c:pt idx="59">
                  <c:v>684748.67484489607</c:v>
                </c:pt>
                <c:pt idx="60">
                  <c:v>685151.94798773597</c:v>
                </c:pt>
              </c:numCache>
            </c:numRef>
          </c:val>
          <c:extLst xmlns:c15="http://schemas.microsoft.com/office/drawing/2012/chart">
            <c:ext xmlns:c16="http://schemas.microsoft.com/office/drawing/2014/chart" uri="{C3380CC4-5D6E-409C-BE32-E72D297353CC}">
              <c16:uniqueId val="{00000001-A02B-4794-A51D-4248BFEBB6DC}"/>
            </c:ext>
          </c:extLst>
        </c:ser>
        <c:ser>
          <c:idx val="4"/>
          <c:order val="2"/>
          <c:tx>
            <c:strRef>
              <c:f>'Net zero Activity data'!$D$7:$F$7</c:f>
              <c:strCache>
                <c:ptCount val="3"/>
                <c:pt idx="0">
                  <c:v>Non-lactating</c:v>
                </c:pt>
                <c:pt idx="1">
                  <c:v>Population</c:v>
                </c:pt>
                <c:pt idx="2">
                  <c:v>Head</c:v>
                </c:pt>
              </c:strCache>
            </c:strRef>
          </c:tx>
          <c:spPr>
            <a:solidFill>
              <a:schemeClr val="accent5"/>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615125.83619595377</c:v>
                </c:pt>
                <c:pt idx="25">
                  <c:v>618219.38677716604</c:v>
                </c:pt>
                <c:pt idx="26">
                  <c:v>620275.06528709247</c:v>
                </c:pt>
                <c:pt idx="27">
                  <c:v>621272.63925902906</c:v>
                </c:pt>
                <c:pt idx="28">
                  <c:v>623476.65142203099</c:v>
                </c:pt>
                <c:pt idx="29">
                  <c:v>626005.02356892731</c:v>
                </c:pt>
                <c:pt idx="30">
                  <c:v>607187.56322749855</c:v>
                </c:pt>
                <c:pt idx="31">
                  <c:v>613572.21270139457</c:v>
                </c:pt>
                <c:pt idx="32">
                  <c:v>622917.65012968797</c:v>
                </c:pt>
                <c:pt idx="33">
                  <c:v>627761.61516111693</c:v>
                </c:pt>
                <c:pt idx="34">
                  <c:v>633297.62238301209</c:v>
                </c:pt>
                <c:pt idx="35">
                  <c:v>639704.97072475019</c:v>
                </c:pt>
                <c:pt idx="36">
                  <c:v>646248.08231939387</c:v>
                </c:pt>
                <c:pt idx="37">
                  <c:v>653490.46301383572</c:v>
                </c:pt>
                <c:pt idx="38">
                  <c:v>660957.19286149426</c:v>
                </c:pt>
                <c:pt idx="39">
                  <c:v>669076.94860152714</c:v>
                </c:pt>
                <c:pt idx="40">
                  <c:v>677379.87084850308</c:v>
                </c:pt>
                <c:pt idx="41">
                  <c:v>686349.76616286277</c:v>
                </c:pt>
                <c:pt idx="42">
                  <c:v>695198.25972665811</c:v>
                </c:pt>
                <c:pt idx="43">
                  <c:v>704537.77870873525</c:v>
                </c:pt>
                <c:pt idx="44">
                  <c:v>715102.31861962832</c:v>
                </c:pt>
                <c:pt idx="45">
                  <c:v>725146.7663394307</c:v>
                </c:pt>
                <c:pt idx="46">
                  <c:v>735447.29427284573</c:v>
                </c:pt>
                <c:pt idx="47">
                  <c:v>746463.24266507511</c:v>
                </c:pt>
                <c:pt idx="48">
                  <c:v>756783.85872263601</c:v>
                </c:pt>
                <c:pt idx="49">
                  <c:v>767048.4676347042</c:v>
                </c:pt>
                <c:pt idx="50">
                  <c:v>777285.62034851266</c:v>
                </c:pt>
                <c:pt idx="51">
                  <c:v>788116.22099401976</c:v>
                </c:pt>
                <c:pt idx="52">
                  <c:v>798511.19306973857</c:v>
                </c:pt>
                <c:pt idx="53">
                  <c:v>809309.81638334703</c:v>
                </c:pt>
                <c:pt idx="54">
                  <c:v>820561.34148678102</c:v>
                </c:pt>
                <c:pt idx="55">
                  <c:v>832344.96848939708</c:v>
                </c:pt>
                <c:pt idx="56">
                  <c:v>844337.03233377414</c:v>
                </c:pt>
                <c:pt idx="57">
                  <c:v>847180.25483492808</c:v>
                </c:pt>
                <c:pt idx="58">
                  <c:v>849203.76759154536</c:v>
                </c:pt>
                <c:pt idx="59">
                  <c:v>850032.83773849171</c:v>
                </c:pt>
                <c:pt idx="60">
                  <c:v>850533.45267443103</c:v>
                </c:pt>
              </c:numCache>
            </c:numRef>
          </c:val>
          <c:extLst xmlns:c15="http://schemas.microsoft.com/office/drawing/2012/chart">
            <c:ext xmlns:c16="http://schemas.microsoft.com/office/drawing/2014/chart" uri="{C3380CC4-5D6E-409C-BE32-E72D297353CC}">
              <c16:uniqueId val="{00000002-A02B-4794-A51D-4248BFEBB6DC}"/>
            </c:ext>
          </c:extLst>
        </c:ser>
        <c:ser>
          <c:idx val="5"/>
          <c:order val="3"/>
          <c:tx>
            <c:strRef>
              <c:f>'Net zero Activity data'!$D$8:$F$8</c:f>
              <c:strCache>
                <c:ptCount val="3"/>
                <c:pt idx="0">
                  <c:v>Commercial</c:v>
                </c:pt>
                <c:pt idx="1">
                  <c:v>Population</c:v>
                </c:pt>
                <c:pt idx="2">
                  <c:v>Head</c:v>
                </c:pt>
              </c:strCache>
            </c:strRef>
          </c:tx>
          <c:spPr>
            <a:solidFill>
              <a:schemeClr val="accent6"/>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5954880.1627134737</c:v>
                </c:pt>
                <c:pt idx="23">
                  <c:v>5903235.3888004757</c:v>
                </c:pt>
                <c:pt idx="24">
                  <c:v>5883575.7867908729</c:v>
                </c:pt>
                <c:pt idx="25">
                  <c:v>5805008.3335930631</c:v>
                </c:pt>
                <c:pt idx="26">
                  <c:v>5690965.7565264786</c:v>
                </c:pt>
                <c:pt idx="27">
                  <c:v>5543806.2775503108</c:v>
                </c:pt>
                <c:pt idx="28">
                  <c:v>5427737.2925172504</c:v>
                </c:pt>
                <c:pt idx="29">
                  <c:v>5317922.8374796044</c:v>
                </c:pt>
                <c:pt idx="30">
                  <c:v>4678221.8105234597</c:v>
                </c:pt>
                <c:pt idx="31">
                  <c:v>4754210.2304002214</c:v>
                </c:pt>
                <c:pt idx="32">
                  <c:v>4895969.0248722164</c:v>
                </c:pt>
                <c:pt idx="33">
                  <c:v>4924279.8935017614</c:v>
                </c:pt>
                <c:pt idx="34">
                  <c:v>4965112.3083347548</c:v>
                </c:pt>
                <c:pt idx="35">
                  <c:v>5022074.4277090412</c:v>
                </c:pt>
                <c:pt idx="36">
                  <c:v>5087412.5776335113</c:v>
                </c:pt>
                <c:pt idx="37">
                  <c:v>5164018.1277219895</c:v>
                </c:pt>
                <c:pt idx="38">
                  <c:v>5240976.999745884</c:v>
                </c:pt>
                <c:pt idx="39">
                  <c:v>5327531.9837928433</c:v>
                </c:pt>
                <c:pt idx="40">
                  <c:v>5413228.0043612635</c:v>
                </c:pt>
                <c:pt idx="41">
                  <c:v>5469050.6347828945</c:v>
                </c:pt>
                <c:pt idx="42">
                  <c:v>5514884.9045513067</c:v>
                </c:pt>
                <c:pt idx="43">
                  <c:v>5563306.2135728579</c:v>
                </c:pt>
                <c:pt idx="44">
                  <c:v>5628093.3810104998</c:v>
                </c:pt>
                <c:pt idx="45">
                  <c:v>5674686.1332498901</c:v>
                </c:pt>
                <c:pt idx="46">
                  <c:v>5724342.5261227358</c:v>
                </c:pt>
                <c:pt idx="47">
                  <c:v>5779003.9389049551</c:v>
                </c:pt>
                <c:pt idx="48">
                  <c:v>5813065.2759390101</c:v>
                </c:pt>
                <c:pt idx="49">
                  <c:v>5838618.7128094397</c:v>
                </c:pt>
                <c:pt idx="50">
                  <c:v>5856392.7647159388</c:v>
                </c:pt>
                <c:pt idx="51">
                  <c:v>5911647.5944136344</c:v>
                </c:pt>
                <c:pt idx="52">
                  <c:v>5953648.2599407025</c:v>
                </c:pt>
                <c:pt idx="53">
                  <c:v>5996179.0955955889</c:v>
                </c:pt>
                <c:pt idx="54">
                  <c:v>6039726.6349117495</c:v>
                </c:pt>
                <c:pt idx="55">
                  <c:v>6085169.0279960074</c:v>
                </c:pt>
                <c:pt idx="56">
                  <c:v>6131826.2951819589</c:v>
                </c:pt>
                <c:pt idx="57">
                  <c:v>6039789.4008549312</c:v>
                </c:pt>
                <c:pt idx="58">
                  <c:v>5935527.0782835614</c:v>
                </c:pt>
                <c:pt idx="59">
                  <c:v>5814653.602642755</c:v>
                </c:pt>
                <c:pt idx="60">
                  <c:v>5689992.0401735585</c:v>
                </c:pt>
              </c:numCache>
            </c:numRef>
          </c:val>
          <c:extLst xmlns:c15="http://schemas.microsoft.com/office/drawing/2012/chart">
            <c:ext xmlns:c16="http://schemas.microsoft.com/office/drawing/2014/chart" uri="{C3380CC4-5D6E-409C-BE32-E72D297353CC}">
              <c16:uniqueId val="{00000003-A02B-4794-A51D-4248BFEBB6DC}"/>
            </c:ext>
          </c:extLst>
        </c:ser>
        <c:ser>
          <c:idx val="6"/>
          <c:order val="4"/>
          <c:tx>
            <c:strRef>
              <c:f>'Net zero Activity data'!$D$9:$F$9</c:f>
              <c:strCache>
                <c:ptCount val="3"/>
                <c:pt idx="0">
                  <c:v>Subsistence</c:v>
                </c:pt>
                <c:pt idx="1">
                  <c:v>Population</c:v>
                </c:pt>
                <c:pt idx="2">
                  <c:v>Head</c:v>
                </c:pt>
              </c:strCache>
            </c:strRef>
          </c:tx>
          <c:spPr>
            <a:solidFill>
              <a:schemeClr val="accent1">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5280742.7858025134</c:v>
                </c:pt>
                <c:pt idx="23">
                  <c:v>5234944.5900683459</c:v>
                </c:pt>
                <c:pt idx="24">
                  <c:v>5217510.6033805842</c:v>
                </c:pt>
                <c:pt idx="25">
                  <c:v>5147837.5788466781</c:v>
                </c:pt>
                <c:pt idx="26">
                  <c:v>5046705.4822027264</c:v>
                </c:pt>
                <c:pt idx="27">
                  <c:v>4916205.5668842373</c:v>
                </c:pt>
                <c:pt idx="28">
                  <c:v>4813276.4669492599</c:v>
                </c:pt>
                <c:pt idx="29">
                  <c:v>4715893.8370102141</c:v>
                </c:pt>
                <c:pt idx="30">
                  <c:v>4148611.7942377846</c:v>
                </c:pt>
                <c:pt idx="31">
                  <c:v>4215997.7514869887</c:v>
                </c:pt>
                <c:pt idx="32">
                  <c:v>4341708.3805470588</c:v>
                </c:pt>
                <c:pt idx="33">
                  <c:v>4366814.2451808071</c:v>
                </c:pt>
                <c:pt idx="34">
                  <c:v>4403024.1224855371</c:v>
                </c:pt>
                <c:pt idx="35">
                  <c:v>4453537.7000438664</c:v>
                </c:pt>
                <c:pt idx="36">
                  <c:v>4511479.0782787744</c:v>
                </c:pt>
                <c:pt idx="37">
                  <c:v>4579412.3019421417</c:v>
                </c:pt>
                <c:pt idx="38">
                  <c:v>4647658.8488312559</c:v>
                </c:pt>
                <c:pt idx="39">
                  <c:v>4724415.1554389354</c:v>
                </c:pt>
                <c:pt idx="40">
                  <c:v>4800409.7397165922</c:v>
                </c:pt>
                <c:pt idx="41">
                  <c:v>4849912.8270716229</c:v>
                </c:pt>
                <c:pt idx="42">
                  <c:v>4890558.311583234</c:v>
                </c:pt>
                <c:pt idx="43">
                  <c:v>4933497.9629797041</c:v>
                </c:pt>
                <c:pt idx="44">
                  <c:v>4990950.7341036508</c:v>
                </c:pt>
                <c:pt idx="45">
                  <c:v>5032268.8351461291</c:v>
                </c:pt>
                <c:pt idx="46">
                  <c:v>5076303.7495805379</c:v>
                </c:pt>
                <c:pt idx="47">
                  <c:v>5124777.0778968455</c:v>
                </c:pt>
                <c:pt idx="48">
                  <c:v>5154982.4145119525</c:v>
                </c:pt>
                <c:pt idx="49">
                  <c:v>5177643.009472521</c:v>
                </c:pt>
                <c:pt idx="50">
                  <c:v>5193404.9045594176</c:v>
                </c:pt>
                <c:pt idx="51">
                  <c:v>5242404.4705177508</c:v>
                </c:pt>
                <c:pt idx="52">
                  <c:v>5279650.3437210005</c:v>
                </c:pt>
                <c:pt idx="53">
                  <c:v>5317366.3677923139</c:v>
                </c:pt>
                <c:pt idx="54">
                  <c:v>5355983.9969972111</c:v>
                </c:pt>
                <c:pt idx="55">
                  <c:v>5396281.9682228733</c:v>
                </c:pt>
                <c:pt idx="56">
                  <c:v>5437657.2806330575</c:v>
                </c:pt>
                <c:pt idx="57">
                  <c:v>5356039.65736192</c:v>
                </c:pt>
                <c:pt idx="58">
                  <c:v>5263580.6165910829</c:v>
                </c:pt>
                <c:pt idx="59">
                  <c:v>5156390.9306454612</c:v>
                </c:pt>
                <c:pt idx="60">
                  <c:v>5045841.997889759</c:v>
                </c:pt>
              </c:numCache>
            </c:numRef>
          </c:val>
          <c:extLst xmlns:c15="http://schemas.microsoft.com/office/drawing/2012/chart">
            <c:ext xmlns:c16="http://schemas.microsoft.com/office/drawing/2014/chart" uri="{C3380CC4-5D6E-409C-BE32-E72D297353CC}">
              <c16:uniqueId val="{00000004-A02B-4794-A51D-4248BFEBB6DC}"/>
            </c:ext>
          </c:extLst>
        </c:ser>
        <c:ser>
          <c:idx val="7"/>
          <c:order val="5"/>
          <c:tx>
            <c:strRef>
              <c:f>'Net zero Activity data'!$D$10:$F$10</c:f>
              <c:strCache>
                <c:ptCount val="3"/>
                <c:pt idx="0">
                  <c:v>Feedlot</c:v>
                </c:pt>
                <c:pt idx="1">
                  <c:v>Population</c:v>
                </c:pt>
                <c:pt idx="2">
                  <c:v>Head</c:v>
                </c:pt>
              </c:strCache>
            </c:strRef>
          </c:tx>
          <c:spPr>
            <a:solidFill>
              <a:schemeClr val="accent2">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559717.10307730967</c:v>
                </c:pt>
                <c:pt idx="24">
                  <c:v>581386.33409904351</c:v>
                </c:pt>
                <c:pt idx="25">
                  <c:v>597546.77075746458</c:v>
                </c:pt>
                <c:pt idx="26">
                  <c:v>610009.49754182238</c:v>
                </c:pt>
                <c:pt idx="27">
                  <c:v>618596.39996388648</c:v>
                </c:pt>
                <c:pt idx="28">
                  <c:v>630321.10002649133</c:v>
                </c:pt>
                <c:pt idx="29">
                  <c:v>642612.00897727197</c:v>
                </c:pt>
                <c:pt idx="30">
                  <c:v>588158.61646480043</c:v>
                </c:pt>
                <c:pt idx="31">
                  <c:v>612112.57898327347</c:v>
                </c:pt>
                <c:pt idx="32">
                  <c:v>645342.88662744861</c:v>
                </c:pt>
                <c:pt idx="33">
                  <c:v>664301.76371274178</c:v>
                </c:pt>
                <c:pt idx="34">
                  <c:v>685338.87859142851</c:v>
                </c:pt>
                <c:pt idx="35">
                  <c:v>709097.1405257904</c:v>
                </c:pt>
                <c:pt idx="36">
                  <c:v>734627.9848781582</c:v>
                </c:pt>
                <c:pt idx="37">
                  <c:v>762458.04587239982</c:v>
                </c:pt>
                <c:pt idx="38">
                  <c:v>791070.7706001699</c:v>
                </c:pt>
                <c:pt idx="39">
                  <c:v>821917.21013602836</c:v>
                </c:pt>
                <c:pt idx="40">
                  <c:v>853468.65365837014</c:v>
                </c:pt>
                <c:pt idx="41">
                  <c:v>890865.05106413458</c:v>
                </c:pt>
                <c:pt idx="42">
                  <c:v>928179.29472175706</c:v>
                </c:pt>
                <c:pt idx="43">
                  <c:v>967518.99632802093</c:v>
                </c:pt>
                <c:pt idx="44">
                  <c:v>1011494.293897412</c:v>
                </c:pt>
                <c:pt idx="45">
                  <c:v>1054078.2446871761</c:v>
                </c:pt>
                <c:pt idx="46">
                  <c:v>1099125.992578987</c:v>
                </c:pt>
                <c:pt idx="47">
                  <c:v>1147193.0120778126</c:v>
                </c:pt>
                <c:pt idx="48">
                  <c:v>1193245.9412812144</c:v>
                </c:pt>
                <c:pt idx="49">
                  <c:v>1239551.9831810831</c:v>
                </c:pt>
                <c:pt idx="50">
                  <c:v>1286211.6171502508</c:v>
                </c:pt>
                <c:pt idx="51">
                  <c:v>1334980.1372066648</c:v>
                </c:pt>
                <c:pt idx="52">
                  <c:v>1382530.3391591066</c:v>
                </c:pt>
                <c:pt idx="53">
                  <c:v>1431983.1115351482</c:v>
                </c:pt>
                <c:pt idx="54">
                  <c:v>1483557.3848712698</c:v>
                </c:pt>
                <c:pt idx="55">
                  <c:v>1537591.1645011755</c:v>
                </c:pt>
                <c:pt idx="56">
                  <c:v>1594050.6360329464</c:v>
                </c:pt>
                <c:pt idx="57">
                  <c:v>1615647.2572443776</c:v>
                </c:pt>
                <c:pt idx="58">
                  <c:v>1634069.8828163336</c:v>
                </c:pt>
                <c:pt idx="59">
                  <c:v>1647789.1600235584</c:v>
                </c:pt>
                <c:pt idx="60">
                  <c:v>1660128.4828121238</c:v>
                </c:pt>
              </c:numCache>
            </c:numRef>
          </c:val>
          <c:extLst xmlns:c15="http://schemas.microsoft.com/office/drawing/2012/chart">
            <c:ext xmlns:c16="http://schemas.microsoft.com/office/drawing/2014/chart" uri="{C3380CC4-5D6E-409C-BE32-E72D297353CC}">
              <c16:uniqueId val="{00000005-A02B-4794-A51D-4248BFEBB6DC}"/>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'Net zero 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'Net zero 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19401079.547165584</c:v>
                      </c:pt>
                      <c:pt idx="31">
                        <c:v>19430270.346318312</c:v>
                      </c:pt>
                      <c:pt idx="32">
                        <c:v>19465918.583208371</c:v>
                      </c:pt>
                      <c:pt idx="33">
                        <c:v>19503387.662754916</c:v>
                      </c:pt>
                      <c:pt idx="34">
                        <c:v>19545454.703807209</c:v>
                      </c:pt>
                      <c:pt idx="35">
                        <c:v>19592002.001952454</c:v>
                      </c:pt>
                      <c:pt idx="36">
                        <c:v>19621071.961548313</c:v>
                      </c:pt>
                      <c:pt idx="37">
                        <c:v>19653913.646756113</c:v>
                      </c:pt>
                      <c:pt idx="38">
                        <c:v>19690083.293563668</c:v>
                      </c:pt>
                      <c:pt idx="39">
                        <c:v>19729680.355767876</c:v>
                      </c:pt>
                      <c:pt idx="40">
                        <c:v>19772296.132165015</c:v>
                      </c:pt>
                      <c:pt idx="41">
                        <c:v>19800883.445871253</c:v>
                      </c:pt>
                      <c:pt idx="42">
                        <c:v>19831918.222846299</c:v>
                      </c:pt>
                      <c:pt idx="43">
                        <c:v>19865649.931868743</c:v>
                      </c:pt>
                      <c:pt idx="44">
                        <c:v>19902407.848828781</c:v>
                      </c:pt>
                      <c:pt idx="45">
                        <c:v>19941088.208598323</c:v>
                      </c:pt>
                      <c:pt idx="46">
                        <c:v>19965812.571584459</c:v>
                      </c:pt>
                      <c:pt idx="47">
                        <c:v>19992893.997007128</c:v>
                      </c:pt>
                      <c:pt idx="48">
                        <c:v>20021439.282895565</c:v>
                      </c:pt>
                      <c:pt idx="49">
                        <c:v>20051752.32291963</c:v>
                      </c:pt>
                      <c:pt idx="50">
                        <c:v>20083787.155872289</c:v>
                      </c:pt>
                      <c:pt idx="51">
                        <c:v>20102715.705030527</c:v>
                      </c:pt>
                      <c:pt idx="52">
                        <c:v>20122922.160952497</c:v>
                      </c:pt>
                      <c:pt idx="53">
                        <c:v>20144840.513643358</c:v>
                      </c:pt>
                      <c:pt idx="54">
                        <c:v>20168449.572705898</c:v>
                      </c:pt>
                      <c:pt idx="55">
                        <c:v>20193748.848884284</c:v>
                      </c:pt>
                      <c:pt idx="56">
                        <c:v>20205226.524020612</c:v>
                      </c:pt>
                      <c:pt idx="57">
                        <c:v>20212623.126841974</c:v>
                      </c:pt>
                      <c:pt idx="58">
                        <c:v>20220731.201451246</c:v>
                      </c:pt>
                      <c:pt idx="59">
                        <c:v>20229295.502117977</c:v>
                      </c:pt>
                      <c:pt idx="60">
                        <c:v>20238782.549587701</c:v>
                      </c:pt>
                    </c:numCache>
                  </c:numRef>
                </c:val>
                <c:extLst>
                  <c:ext xmlns:c16="http://schemas.microsoft.com/office/drawing/2014/chart" uri="{C3380CC4-5D6E-409C-BE32-E72D297353CC}">
                    <c16:uniqueId val="{00000006-A02B-4794-A51D-4248BFEBB6DC}"/>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'Net zero 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2899011.8863580758</c:v>
                      </c:pt>
                      <c:pt idx="31">
                        <c:v>2903373.7299096328</c:v>
                      </c:pt>
                      <c:pt idx="32">
                        <c:v>2908700.4779506763</c:v>
                      </c:pt>
                      <c:pt idx="33">
                        <c:v>2914299.3059288957</c:v>
                      </c:pt>
                      <c:pt idx="34">
                        <c:v>2920585.1856263648</c:v>
                      </c:pt>
                      <c:pt idx="35">
                        <c:v>2927540.5290273787</c:v>
                      </c:pt>
                      <c:pt idx="36">
                        <c:v>2931884.3160934262</c:v>
                      </c:pt>
                      <c:pt idx="37">
                        <c:v>2936791.6943428675</c:v>
                      </c:pt>
                      <c:pt idx="38">
                        <c:v>2942196.3542106631</c:v>
                      </c:pt>
                      <c:pt idx="39">
                        <c:v>2948113.1566089927</c:v>
                      </c:pt>
                      <c:pt idx="40">
                        <c:v>2954481.0312430481</c:v>
                      </c:pt>
                      <c:pt idx="41">
                        <c:v>2958752.6988083483</c:v>
                      </c:pt>
                      <c:pt idx="42">
                        <c:v>2963390.0792758837</c:v>
                      </c:pt>
                      <c:pt idx="43">
                        <c:v>2968430.4495895826</c:v>
                      </c:pt>
                      <c:pt idx="44">
                        <c:v>2973923.0118939555</c:v>
                      </c:pt>
                      <c:pt idx="45">
                        <c:v>2979702.8357675658</c:v>
                      </c:pt>
                      <c:pt idx="46">
                        <c:v>2983397.2808114709</c:v>
                      </c:pt>
                      <c:pt idx="47">
                        <c:v>2987443.9305872722</c:v>
                      </c:pt>
                      <c:pt idx="48">
                        <c:v>2991709.3181338203</c:v>
                      </c:pt>
                      <c:pt idx="49">
                        <c:v>2996238.85285006</c:v>
                      </c:pt>
                      <c:pt idx="50">
                        <c:v>3001025.6669694227</c:v>
                      </c:pt>
                      <c:pt idx="51">
                        <c:v>3003854.0708666304</c:v>
                      </c:pt>
                      <c:pt idx="52">
                        <c:v>3006873.4263492236</c:v>
                      </c:pt>
                      <c:pt idx="53">
                        <c:v>3010148.5824984326</c:v>
                      </c:pt>
                      <c:pt idx="54">
                        <c:v>3013676.3729330651</c:v>
                      </c:pt>
                      <c:pt idx="55">
                        <c:v>3017456.7245459277</c:v>
                      </c:pt>
                      <c:pt idx="56">
                        <c:v>3019171.7794513558</c:v>
                      </c:pt>
                      <c:pt idx="57">
                        <c:v>3020277.0189533983</c:v>
                      </c:pt>
                      <c:pt idx="58">
                        <c:v>3021488.5703317956</c:v>
                      </c:pt>
                      <c:pt idx="59">
                        <c:v>3022768.2934199278</c:v>
                      </c:pt>
                      <c:pt idx="60">
                        <c:v>3024185.8982142541</c:v>
                      </c:pt>
                    </c:numCache>
                  </c:numRef>
                </c:val>
                <c:extLst xmlns:c15="http://schemas.microsoft.com/office/drawing/2012/chart">
                  <c:ext xmlns:c16="http://schemas.microsoft.com/office/drawing/2014/chart" uri="{C3380CC4-5D6E-409C-BE32-E72D297353CC}">
                    <c16:uniqueId val="{00000007-A02B-4794-A51D-4248BFEBB6DC}"/>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'Net zero 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2152518.1972765964</c:v>
                      </c:pt>
                      <c:pt idx="31">
                        <c:v>2158713.8811234804</c:v>
                      </c:pt>
                      <c:pt idx="32">
                        <c:v>2165815.5173630901</c:v>
                      </c:pt>
                      <c:pt idx="33">
                        <c:v>2173054.5836930173</c:v>
                      </c:pt>
                      <c:pt idx="34">
                        <c:v>2180905.8949472066</c:v>
                      </c:pt>
                      <c:pt idx="35">
                        <c:v>2189356.4752765815</c:v>
                      </c:pt>
                      <c:pt idx="36">
                        <c:v>2194764.4771991875</c:v>
                      </c:pt>
                      <c:pt idx="37">
                        <c:v>2200681.1312507591</c:v>
                      </c:pt>
                      <c:pt idx="38">
                        <c:v>2207037.2348991744</c:v>
                      </c:pt>
                      <c:pt idx="39">
                        <c:v>2213853.1980795516</c:v>
                      </c:pt>
                      <c:pt idx="40">
                        <c:v>2221065.0201840056</c:v>
                      </c:pt>
                      <c:pt idx="41">
                        <c:v>2225874.4870060231</c:v>
                      </c:pt>
                      <c:pt idx="42">
                        <c:v>2231003.4972005105</c:v>
                      </c:pt>
                      <c:pt idx="43">
                        <c:v>2236495.4650745667</c:v>
                      </c:pt>
                      <c:pt idx="44">
                        <c:v>2242406.1709562442</c:v>
                      </c:pt>
                      <c:pt idx="45">
                        <c:v>2248557.0461722915</c:v>
                      </c:pt>
                      <c:pt idx="46">
                        <c:v>2252366.4414480585</c:v>
                      </c:pt>
                      <c:pt idx="47">
                        <c:v>2256500.3289217977</c:v>
                      </c:pt>
                      <c:pt idx="48">
                        <c:v>2260814.9374471465</c:v>
                      </c:pt>
                      <c:pt idx="49">
                        <c:v>2265361.0918263281</c:v>
                      </c:pt>
                      <c:pt idx="50">
                        <c:v>2270132.5677445591</c:v>
                      </c:pt>
                      <c:pt idx="51">
                        <c:v>2272739.4103190037</c:v>
                      </c:pt>
                      <c:pt idx="52">
                        <c:v>2275510.4771750113</c:v>
                      </c:pt>
                      <c:pt idx="53">
                        <c:v>2278516.5059454981</c:v>
                      </c:pt>
                      <c:pt idx="54">
                        <c:v>2281754.6257368629</c:v>
                      </c:pt>
                      <c:pt idx="55">
                        <c:v>2285225.2101031453</c:v>
                      </c:pt>
                      <c:pt idx="56">
                        <c:v>2286448.4851618633</c:v>
                      </c:pt>
                      <c:pt idx="57">
                        <c:v>2286991.7418935793</c:v>
                      </c:pt>
                      <c:pt idx="58">
                        <c:v>2287623.2815965232</c:v>
                      </c:pt>
                      <c:pt idx="59">
                        <c:v>2288303.1837235563</c:v>
                      </c:pt>
                      <c:pt idx="60">
                        <c:v>2289106.379550002</c:v>
                      </c:pt>
                    </c:numCache>
                  </c:numRef>
                </c:val>
                <c:extLst xmlns:c15="http://schemas.microsoft.com/office/drawing/2012/chart">
                  <c:ext xmlns:c16="http://schemas.microsoft.com/office/drawing/2014/chart" uri="{C3380CC4-5D6E-409C-BE32-E72D297353CC}">
                    <c16:uniqueId val="{00000008-A02B-4794-A51D-4248BFEBB6DC}"/>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'Net zero 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4101196.8798749652</c:v>
                      </c:pt>
                      <c:pt idx="28">
                        <c:v>4126645.5055051413</c:v>
                      </c:pt>
                      <c:pt idx="29">
                        <c:v>4153795.6084500193</c:v>
                      </c:pt>
                      <c:pt idx="30">
                        <c:v>4178417.6770663336</c:v>
                      </c:pt>
                      <c:pt idx="31">
                        <c:v>4190444.5927691082</c:v>
                      </c:pt>
                      <c:pt idx="32">
                        <c:v>4204230.1219401155</c:v>
                      </c:pt>
                      <c:pt idx="33">
                        <c:v>4218282.4271687977</c:v>
                      </c:pt>
                      <c:pt idx="34">
                        <c:v>4233523.2078386946</c:v>
                      </c:pt>
                      <c:pt idx="35">
                        <c:v>4249927.275536892</c:v>
                      </c:pt>
                      <c:pt idx="36">
                        <c:v>4260425.1616219515</c:v>
                      </c:pt>
                      <c:pt idx="37">
                        <c:v>4271910.4312514728</c:v>
                      </c:pt>
                      <c:pt idx="38">
                        <c:v>4284248.750098397</c:v>
                      </c:pt>
                      <c:pt idx="39">
                        <c:v>4297479.7374485405</c:v>
                      </c:pt>
                      <c:pt idx="40">
                        <c:v>4311479.1568277748</c:v>
                      </c:pt>
                      <c:pt idx="41">
                        <c:v>4320815.1806587502</c:v>
                      </c:pt>
                      <c:pt idx="42">
                        <c:v>4330771.4945656965</c:v>
                      </c:pt>
                      <c:pt idx="43">
                        <c:v>4341432.3733800407</c:v>
                      </c:pt>
                      <c:pt idx="44">
                        <c:v>4352906.0965621201</c:v>
                      </c:pt>
                      <c:pt idx="45">
                        <c:v>4364846.0308050355</c:v>
                      </c:pt>
                      <c:pt idx="46">
                        <c:v>4372240.7392815249</c:v>
                      </c:pt>
                      <c:pt idx="47">
                        <c:v>4380265.3443776062</c:v>
                      </c:pt>
                      <c:pt idx="48">
                        <c:v>4388640.7609268129</c:v>
                      </c:pt>
                      <c:pt idx="49">
                        <c:v>4397465.6488393424</c:v>
                      </c:pt>
                      <c:pt idx="50">
                        <c:v>4406727.9256217899</c:v>
                      </c:pt>
                      <c:pt idx="51">
                        <c:v>4411788.2670898298</c:v>
                      </c:pt>
                      <c:pt idx="52">
                        <c:v>4417167.3968691388</c:v>
                      </c:pt>
                      <c:pt idx="53">
                        <c:v>4423002.6291883187</c:v>
                      </c:pt>
                      <c:pt idx="54">
                        <c:v>4429288.3911362616</c:v>
                      </c:pt>
                      <c:pt idx="55">
                        <c:v>4436025.4078472806</c:v>
                      </c:pt>
                      <c:pt idx="56">
                        <c:v>4438400.0006083222</c:v>
                      </c:pt>
                      <c:pt idx="57">
                        <c:v>4439454.5577934179</c:v>
                      </c:pt>
                      <c:pt idx="58">
                        <c:v>4440680.4878050145</c:v>
                      </c:pt>
                      <c:pt idx="59">
                        <c:v>4442000.2978163147</c:v>
                      </c:pt>
                      <c:pt idx="60">
                        <c:v>4443559.4426558856</c:v>
                      </c:pt>
                    </c:numCache>
                  </c:numRef>
                </c:val>
                <c:extLst xmlns:c15="http://schemas.microsoft.com/office/drawing/2012/chart">
                  <c:ext xmlns:c16="http://schemas.microsoft.com/office/drawing/2014/chart" uri="{C3380CC4-5D6E-409C-BE32-E72D297353CC}">
                    <c16:uniqueId val="{00000009-A02B-4794-A51D-4248BFEBB6DC}"/>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'Net zero 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308478.97111537727</c:v>
                      </c:pt>
                      <c:pt idx="23">
                        <c:v>309973.53172331396</c:v>
                      </c:pt>
                      <c:pt idx="24">
                        <c:v>312241.56810798903</c:v>
                      </c:pt>
                      <c:pt idx="25">
                        <c:v>312726.42527824303</c:v>
                      </c:pt>
                      <c:pt idx="26">
                        <c:v>312032.30780712375</c:v>
                      </c:pt>
                      <c:pt idx="27">
                        <c:v>310184.61831503391</c:v>
                      </c:pt>
                      <c:pt idx="28">
                        <c:v>309160.1538858742</c:v>
                      </c:pt>
                      <c:pt idx="29">
                        <c:v>308239.46209968894</c:v>
                      </c:pt>
                      <c:pt idx="30">
                        <c:v>290617.73835849564</c:v>
                      </c:pt>
                      <c:pt idx="31">
                        <c:v>294216.79497853166</c:v>
                      </c:pt>
                      <c:pt idx="32">
                        <c:v>299933.36752758519</c:v>
                      </c:pt>
                      <c:pt idx="33">
                        <c:v>302043.49651642761</c:v>
                      </c:pt>
                      <c:pt idx="34">
                        <c:v>304551.046248283</c:v>
                      </c:pt>
                      <c:pt idx="35">
                        <c:v>307587.15389044932</c:v>
                      </c:pt>
                      <c:pt idx="36">
                        <c:v>311219.94337583228</c:v>
                      </c:pt>
                      <c:pt idx="37">
                        <c:v>315257.33161887509</c:v>
                      </c:pt>
                      <c:pt idx="38">
                        <c:v>319342.69614542602</c:v>
                      </c:pt>
                      <c:pt idx="39">
                        <c:v>323793.19033185393</c:v>
                      </c:pt>
                      <c:pt idx="40">
                        <c:v>328259.15334294655</c:v>
                      </c:pt>
                      <c:pt idx="41">
                        <c:v>333616.83595509973</c:v>
                      </c:pt>
                      <c:pt idx="42">
                        <c:v>338778.46739151777</c:v>
                      </c:pt>
                      <c:pt idx="43">
                        <c:v>344191.08274525683</c:v>
                      </c:pt>
                      <c:pt idx="44">
                        <c:v>350381.53457068163</c:v>
                      </c:pt>
                      <c:pt idx="45">
                        <c:v>356085.56479891471</c:v>
                      </c:pt>
                      <c:pt idx="46">
                        <c:v>362383.04576962383</c:v>
                      </c:pt>
                      <c:pt idx="47">
                        <c:v>369097.13869673933</c:v>
                      </c:pt>
                      <c:pt idx="48">
                        <c:v>375220.3050649435</c:v>
                      </c:pt>
                      <c:pt idx="49">
                        <c:v>381211.7279972441</c:v>
                      </c:pt>
                      <c:pt idx="50">
                        <c:v>387092.93155265821</c:v>
                      </c:pt>
                      <c:pt idx="51">
                        <c:v>393811.03719578136</c:v>
                      </c:pt>
                      <c:pt idx="52">
                        <c:v>400145.32161291735</c:v>
                      </c:pt>
                      <c:pt idx="53">
                        <c:v>406686.34573895729</c:v>
                      </c:pt>
                      <c:pt idx="54">
                        <c:v>413466.60208027996</c:v>
                      </c:pt>
                      <c:pt idx="55">
                        <c:v>420538.92034908745</c:v>
                      </c:pt>
                      <c:pt idx="56">
                        <c:v>428221.80673994881</c:v>
                      </c:pt>
                      <c:pt idx="57">
                        <c:v>429498.7532496826</c:v>
                      </c:pt>
                      <c:pt idx="58">
                        <c:v>430170.02802334807</c:v>
                      </c:pt>
                      <c:pt idx="59">
                        <c:v>429981.48048825283</c:v>
                      </c:pt>
                      <c:pt idx="60">
                        <c:v>429535.95558912493</c:v>
                      </c:pt>
                    </c:numCache>
                  </c:numRef>
                </c:val>
                <c:extLst xmlns:c15="http://schemas.microsoft.com/office/drawing/2012/chart">
                  <c:ext xmlns:c16="http://schemas.microsoft.com/office/drawing/2014/chart" uri="{C3380CC4-5D6E-409C-BE32-E72D297353CC}">
                    <c16:uniqueId val="{0000000A-A02B-4794-A51D-4248BFEBB6DC}"/>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'Net zero 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B-A02B-4794-A51D-4248BFEBB6DC}"/>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'Net zero 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1647045.1860532644</c:v>
                      </c:pt>
                      <c:pt idx="24">
                        <c:v>1647784.019010039</c:v>
                      </c:pt>
                      <c:pt idx="25">
                        <c:v>1632656.0990208655</c:v>
                      </c:pt>
                      <c:pt idx="26">
                        <c:v>1607948.7164639281</c:v>
                      </c:pt>
                      <c:pt idx="27">
                        <c:v>1574056.8450456355</c:v>
                      </c:pt>
                      <c:pt idx="28">
                        <c:v>1549447.5878836229</c:v>
                      </c:pt>
                      <c:pt idx="29">
                        <c:v>1527015.9199472496</c:v>
                      </c:pt>
                      <c:pt idx="30">
                        <c:v>1348278.5586549521</c:v>
                      </c:pt>
                      <c:pt idx="31">
                        <c:v>1365328.4540570292</c:v>
                      </c:pt>
                      <c:pt idx="32">
                        <c:v>1401914.1826110582</c:v>
                      </c:pt>
                      <c:pt idx="33">
                        <c:v>1405235.9766959732</c:v>
                      </c:pt>
                      <c:pt idx="34">
                        <c:v>1412429.5063597523</c:v>
                      </c:pt>
                      <c:pt idx="35">
                        <c:v>1424524.3600665794</c:v>
                      </c:pt>
                      <c:pt idx="36">
                        <c:v>1439700.983950831</c:v>
                      </c:pt>
                      <c:pt idx="37">
                        <c:v>1458298.6499124421</c:v>
                      </c:pt>
                      <c:pt idx="38">
                        <c:v>1477113.7969483531</c:v>
                      </c:pt>
                      <c:pt idx="39">
                        <c:v>1498836.7689754921</c:v>
                      </c:pt>
                      <c:pt idx="40">
                        <c:v>1520409.8095550297</c:v>
                      </c:pt>
                      <c:pt idx="41">
                        <c:v>1547230.7316103911</c:v>
                      </c:pt>
                      <c:pt idx="42">
                        <c:v>1571921.349309898</c:v>
                      </c:pt>
                      <c:pt idx="43">
                        <c:v>1598194.1405500479</c:v>
                      </c:pt>
                      <c:pt idx="44">
                        <c:v>1630243.5183994647</c:v>
                      </c:pt>
                      <c:pt idx="45">
                        <c:v>1657763.3993055501</c:v>
                      </c:pt>
                      <c:pt idx="46">
                        <c:v>1687466.8759818496</c:v>
                      </c:pt>
                      <c:pt idx="47">
                        <c:v>1719704.9667474737</c:v>
                      </c:pt>
                      <c:pt idx="48">
                        <c:v>1746598.8414181657</c:v>
                      </c:pt>
                      <c:pt idx="49">
                        <c:v>1771819.5229412203</c:v>
                      </c:pt>
                      <c:pt idx="50">
                        <c:v>1795570.4213145054</c:v>
                      </c:pt>
                      <c:pt idx="51">
                        <c:v>1822994.6534131451</c:v>
                      </c:pt>
                      <c:pt idx="52">
                        <c:v>1846781.6395187357</c:v>
                      </c:pt>
                      <c:pt idx="53">
                        <c:v>1871335.8518101512</c:v>
                      </c:pt>
                      <c:pt idx="54">
                        <c:v>1896842.4970731153</c:v>
                      </c:pt>
                      <c:pt idx="55">
                        <c:v>1923620.7271074844</c:v>
                      </c:pt>
                      <c:pt idx="56">
                        <c:v>1951739.644342006</c:v>
                      </c:pt>
                      <c:pt idx="57">
                        <c:v>1934628.8970430286</c:v>
                      </c:pt>
                      <c:pt idx="58">
                        <c:v>1913563.9308250048</c:v>
                      </c:pt>
                      <c:pt idx="59">
                        <c:v>1886983.604319921</c:v>
                      </c:pt>
                      <c:pt idx="60">
                        <c:v>1859099.6925127404</c:v>
                      </c:pt>
                    </c:numCache>
                  </c:numRef>
                </c:val>
                <c:extLst xmlns:c15="http://schemas.microsoft.com/office/drawing/2012/chart">
                  <c:ext xmlns:c16="http://schemas.microsoft.com/office/drawing/2014/chart" uri="{C3380CC4-5D6E-409C-BE32-E72D297353CC}">
                    <c16:uniqueId val="{0000000C-A02B-4794-A51D-4248BFEBB6DC}"/>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'Net zero 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224597.07082544515</c:v>
                      </c:pt>
                      <c:pt idx="24">
                        <c:v>224697.82077409624</c:v>
                      </c:pt>
                      <c:pt idx="25">
                        <c:v>222634.9225937544</c:v>
                      </c:pt>
                      <c:pt idx="26">
                        <c:v>219265.73406326291</c:v>
                      </c:pt>
                      <c:pt idx="27">
                        <c:v>214644.11523349574</c:v>
                      </c:pt>
                      <c:pt idx="28">
                        <c:v>211288.30743867584</c:v>
                      </c:pt>
                      <c:pt idx="29">
                        <c:v>208229.44362917039</c:v>
                      </c:pt>
                      <c:pt idx="30">
                        <c:v>183856.16708931164</c:v>
                      </c:pt>
                      <c:pt idx="31">
                        <c:v>186181.15282595853</c:v>
                      </c:pt>
                      <c:pt idx="32">
                        <c:v>191170.11581059883</c:v>
                      </c:pt>
                      <c:pt idx="33">
                        <c:v>191623.08773126904</c:v>
                      </c:pt>
                      <c:pt idx="34">
                        <c:v>192604.02359451167</c:v>
                      </c:pt>
                      <c:pt idx="35">
                        <c:v>194253.32182726081</c:v>
                      </c:pt>
                      <c:pt idx="36">
                        <c:v>196322.86144784061</c:v>
                      </c:pt>
                      <c:pt idx="37">
                        <c:v>198858.9068062421</c:v>
                      </c:pt>
                      <c:pt idx="38">
                        <c:v>201424.6086747754</c:v>
                      </c:pt>
                      <c:pt idx="39">
                        <c:v>204386.83213302164</c:v>
                      </c:pt>
                      <c:pt idx="40">
                        <c:v>207328.61039386768</c:v>
                      </c:pt>
                      <c:pt idx="41">
                        <c:v>210986.0088559624</c:v>
                      </c:pt>
                      <c:pt idx="42">
                        <c:v>214352.91126953153</c:v>
                      </c:pt>
                      <c:pt idx="43">
                        <c:v>217935.56462046105</c:v>
                      </c:pt>
                      <c:pt idx="44">
                        <c:v>222305.93432719973</c:v>
                      </c:pt>
                      <c:pt idx="45">
                        <c:v>226058.64535984772</c:v>
                      </c:pt>
                      <c:pt idx="46">
                        <c:v>230109.11945207039</c:v>
                      </c:pt>
                      <c:pt idx="47">
                        <c:v>234505.22273829186</c:v>
                      </c:pt>
                      <c:pt idx="48">
                        <c:v>238172.56928429531</c:v>
                      </c:pt>
                      <c:pt idx="49">
                        <c:v>241611.75312834821</c:v>
                      </c:pt>
                      <c:pt idx="50">
                        <c:v>244850.51199743254</c:v>
                      </c:pt>
                      <c:pt idx="51">
                        <c:v>248590.1800108834</c:v>
                      </c:pt>
                      <c:pt idx="52">
                        <c:v>251833.85993437303</c:v>
                      </c:pt>
                      <c:pt idx="53">
                        <c:v>255182.16161047516</c:v>
                      </c:pt>
                      <c:pt idx="54">
                        <c:v>258660.34050997026</c:v>
                      </c:pt>
                      <c:pt idx="55">
                        <c:v>262311.91733283876</c:v>
                      </c:pt>
                      <c:pt idx="56">
                        <c:v>266146.31513754628</c:v>
                      </c:pt>
                      <c:pt idx="57">
                        <c:v>263813.03141495842</c:v>
                      </c:pt>
                      <c:pt idx="58">
                        <c:v>260940.53602159157</c:v>
                      </c:pt>
                      <c:pt idx="59">
                        <c:v>257315.94604362559</c:v>
                      </c:pt>
                      <c:pt idx="60">
                        <c:v>253513.5944335555</c:v>
                      </c:pt>
                    </c:numCache>
                  </c:numRef>
                </c:val>
                <c:extLst xmlns:c15="http://schemas.microsoft.com/office/drawing/2012/chart">
                  <c:ext xmlns:c16="http://schemas.microsoft.com/office/drawing/2014/chart" uri="{C3380CC4-5D6E-409C-BE32-E72D297353CC}">
                    <c16:uniqueId val="{0000000D-A02B-4794-A51D-4248BFEBB6DC}"/>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'Net zero 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24134771.290486097</c:v>
                      </c:pt>
                      <c:pt idx="24">
                        <c:v>24696932.291742448</c:v>
                      </c:pt>
                      <c:pt idx="25">
                        <c:v>25128517.122223884</c:v>
                      </c:pt>
                      <c:pt idx="26">
                        <c:v>25474971.393442623</c:v>
                      </c:pt>
                      <c:pt idx="27">
                        <c:v>25734234.71894455</c:v>
                      </c:pt>
                      <c:pt idx="28">
                        <c:v>26066681.867313132</c:v>
                      </c:pt>
                      <c:pt idx="29">
                        <c:v>26412334.873995647</c:v>
                      </c:pt>
                      <c:pt idx="30">
                        <c:v>25236759.160101797</c:v>
                      </c:pt>
                      <c:pt idx="31">
                        <c:v>25864898.107945878</c:v>
                      </c:pt>
                      <c:pt idx="32">
                        <c:v>26701997.274038151</c:v>
                      </c:pt>
                      <c:pt idx="33">
                        <c:v>27213948.712119233</c:v>
                      </c:pt>
                      <c:pt idx="34">
                        <c:v>27772088.173000056</c:v>
                      </c:pt>
                      <c:pt idx="35">
                        <c:v>28390538.331827588</c:v>
                      </c:pt>
                      <c:pt idx="36">
                        <c:v>29029316.501091793</c:v>
                      </c:pt>
                      <c:pt idx="37">
                        <c:v>29717792.940709669</c:v>
                      </c:pt>
                      <c:pt idx="38">
                        <c:v>30421752.223616753</c:v>
                      </c:pt>
                      <c:pt idx="39">
                        <c:v>31173388.63263537</c:v>
                      </c:pt>
                      <c:pt idx="40">
                        <c:v>31938411.42658798</c:v>
                      </c:pt>
                      <c:pt idx="41">
                        <c:v>32763820.199340597</c:v>
                      </c:pt>
                      <c:pt idx="42">
                        <c:v>33580705.721749365</c:v>
                      </c:pt>
                      <c:pt idx="43">
                        <c:v>34435283.245320365</c:v>
                      </c:pt>
                      <c:pt idx="44">
                        <c:v>35383745.397426449</c:v>
                      </c:pt>
                      <c:pt idx="45">
                        <c:v>36294296.686562642</c:v>
                      </c:pt>
                      <c:pt idx="46">
                        <c:v>37235954.105201684</c:v>
                      </c:pt>
                      <c:pt idx="47">
                        <c:v>38234261.518263079</c:v>
                      </c:pt>
                      <c:pt idx="48">
                        <c:v>39181138.911181092</c:v>
                      </c:pt>
                      <c:pt idx="49">
                        <c:v>40125435.605386712</c:v>
                      </c:pt>
                      <c:pt idx="50">
                        <c:v>41069324.053558469</c:v>
                      </c:pt>
                      <c:pt idx="51">
                        <c:v>42070744.769098721</c:v>
                      </c:pt>
                      <c:pt idx="52">
                        <c:v>43040279.068297915</c:v>
                      </c:pt>
                      <c:pt idx="53">
                        <c:v>44043388.631326117</c:v>
                      </c:pt>
                      <c:pt idx="54">
                        <c:v>45084260.952272281</c:v>
                      </c:pt>
                      <c:pt idx="55">
                        <c:v>46169487.767128564</c:v>
                      </c:pt>
                      <c:pt idx="56">
                        <c:v>47283696.604452714</c:v>
                      </c:pt>
                      <c:pt idx="57">
                        <c:v>47673964.473478749</c:v>
                      </c:pt>
                      <c:pt idx="58">
                        <c:v>47997201.312096633</c:v>
                      </c:pt>
                      <c:pt idx="59">
                        <c:v>48222929.698696598</c:v>
                      </c:pt>
                      <c:pt idx="60">
                        <c:v>48419785.671116553</c:v>
                      </c:pt>
                    </c:numCache>
                  </c:numRef>
                </c:val>
                <c:extLst xmlns:c15="http://schemas.microsoft.com/office/drawing/2012/chart">
                  <c:ext xmlns:c16="http://schemas.microsoft.com/office/drawing/2014/chart" uri="{C3380CC4-5D6E-409C-BE32-E72D297353CC}">
                    <c16:uniqueId val="{0000000E-A02B-4794-A51D-4248BFEBB6DC}"/>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'Net zero 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95281774.78489992</c:v>
                      </c:pt>
                      <c:pt idx="24">
                        <c:v>97270973.713722661</c:v>
                      </c:pt>
                      <c:pt idx="25">
                        <c:v>97842130.842887625</c:v>
                      </c:pt>
                      <c:pt idx="26">
                        <c:v>97491901.623900309</c:v>
                      </c:pt>
                      <c:pt idx="27">
                        <c:v>96224012.280420944</c:v>
                      </c:pt>
                      <c:pt idx="28">
                        <c:v>95690259.829558313</c:v>
                      </c:pt>
                      <c:pt idx="29">
                        <c:v>95277598.733681634</c:v>
                      </c:pt>
                      <c:pt idx="30">
                        <c:v>80314070.068301976</c:v>
                      </c:pt>
                      <c:pt idx="31">
                        <c:v>83494897.804747581</c:v>
                      </c:pt>
                      <c:pt idx="32">
                        <c:v>88571294.352633178</c:v>
                      </c:pt>
                      <c:pt idx="33">
                        <c:v>90528303.595166594</c:v>
                      </c:pt>
                      <c:pt idx="34">
                        <c:v>92870242.049221531</c:v>
                      </c:pt>
                      <c:pt idx="35">
                        <c:v>95716091.944305658</c:v>
                      </c:pt>
                      <c:pt idx="36">
                        <c:v>98983973.869236231</c:v>
                      </c:pt>
                      <c:pt idx="37">
                        <c:v>102643511.26127146</c:v>
                      </c:pt>
                      <c:pt idx="38">
                        <c:v>106380760.91241254</c:v>
                      </c:pt>
                      <c:pt idx="39">
                        <c:v>110479379.93842682</c:v>
                      </c:pt>
                      <c:pt idx="40">
                        <c:v>114630551.08442631</c:v>
                      </c:pt>
                      <c:pt idx="41">
                        <c:v>119476551.14905302</c:v>
                      </c:pt>
                      <c:pt idx="42">
                        <c:v>124179352.25138603</c:v>
                      </c:pt>
                      <c:pt idx="43">
                        <c:v>129140086.56514019</c:v>
                      </c:pt>
                      <c:pt idx="44">
                        <c:v>134834020.09303874</c:v>
                      </c:pt>
                      <c:pt idx="45">
                        <c:v>140129146.84306237</c:v>
                      </c:pt>
                      <c:pt idx="46">
                        <c:v>145832956.82658711</c:v>
                      </c:pt>
                      <c:pt idx="47">
                        <c:v>151939749.44731396</c:v>
                      </c:pt>
                      <c:pt idx="48">
                        <c:v>157543409.09952602</c:v>
                      </c:pt>
                      <c:pt idx="49">
                        <c:v>163058014.47828877</c:v>
                      </c:pt>
                      <c:pt idx="50">
                        <c:v>168503696.40872559</c:v>
                      </c:pt>
                      <c:pt idx="51">
                        <c:v>174555478.64995566</c:v>
                      </c:pt>
                      <c:pt idx="52">
                        <c:v>180281031.40218979</c:v>
                      </c:pt>
                      <c:pt idx="53">
                        <c:v>186215216.38282689</c:v>
                      </c:pt>
                      <c:pt idx="54">
                        <c:v>192388643.71666509</c:v>
                      </c:pt>
                      <c:pt idx="55">
                        <c:v>198850473.36269024</c:v>
                      </c:pt>
                      <c:pt idx="56">
                        <c:v>205674065.16628239</c:v>
                      </c:pt>
                      <c:pt idx="57">
                        <c:v>206712922.07417139</c:v>
                      </c:pt>
                      <c:pt idx="58">
                        <c:v>207219745.78868875</c:v>
                      </c:pt>
                      <c:pt idx="59">
                        <c:v>206964662.4361454</c:v>
                      </c:pt>
                      <c:pt idx="60">
                        <c:v>206492684.33218193</c:v>
                      </c:pt>
                    </c:numCache>
                  </c:numRef>
                </c:val>
                <c:extLst xmlns:c15="http://schemas.microsoft.com/office/drawing/2012/chart">
                  <c:ext xmlns:c16="http://schemas.microsoft.com/office/drawing/2014/chart" uri="{C3380CC4-5D6E-409C-BE32-E72D297353CC}">
                    <c16:uniqueId val="{0000000F-A02B-4794-A51D-4248BFEBB6DC}"/>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'Net zero 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1005615.4704369217</c:v>
                      </c:pt>
                      <c:pt idx="24">
                        <c:v>1029038.8454892697</c:v>
                      </c:pt>
                      <c:pt idx="25">
                        <c:v>1047021.5467593295</c:v>
                      </c:pt>
                      <c:pt idx="26">
                        <c:v>1061457.1413934438</c:v>
                      </c:pt>
                      <c:pt idx="27">
                        <c:v>1072259.7799560239</c:v>
                      </c:pt>
                      <c:pt idx="28">
                        <c:v>1086111.7444713814</c:v>
                      </c:pt>
                      <c:pt idx="29">
                        <c:v>1100513.9530831531</c:v>
                      </c:pt>
                      <c:pt idx="30">
                        <c:v>1051531.6316709092</c:v>
                      </c:pt>
                      <c:pt idx="31">
                        <c:v>1077704.0878310793</c:v>
                      </c:pt>
                      <c:pt idx="32">
                        <c:v>1112583.2197515906</c:v>
                      </c:pt>
                      <c:pt idx="33">
                        <c:v>1133914.5296716357</c:v>
                      </c:pt>
                      <c:pt idx="34">
                        <c:v>1157170.3405416701</c:v>
                      </c:pt>
                      <c:pt idx="35">
                        <c:v>1182939.0971594839</c:v>
                      </c:pt>
                      <c:pt idx="36">
                        <c:v>1209554.8542121591</c:v>
                      </c:pt>
                      <c:pt idx="37">
                        <c:v>1238241.3725295707</c:v>
                      </c:pt>
                      <c:pt idx="38">
                        <c:v>1267573.0093173657</c:v>
                      </c:pt>
                      <c:pt idx="39">
                        <c:v>1298891.1930264749</c:v>
                      </c:pt>
                      <c:pt idx="40">
                        <c:v>1330767.1427745004</c:v>
                      </c:pt>
                      <c:pt idx="41">
                        <c:v>1365159.1749725263</c:v>
                      </c:pt>
                      <c:pt idx="42">
                        <c:v>1399196.0717395581</c:v>
                      </c:pt>
                      <c:pt idx="43">
                        <c:v>1434803.4685550167</c:v>
                      </c:pt>
                      <c:pt idx="44">
                        <c:v>1474322.7248927702</c:v>
                      </c:pt>
                      <c:pt idx="45">
                        <c:v>1512262.3619401113</c:v>
                      </c:pt>
                      <c:pt idx="46">
                        <c:v>1551498.0877167382</c:v>
                      </c:pt>
                      <c:pt idx="47">
                        <c:v>1593094.2299276297</c:v>
                      </c:pt>
                      <c:pt idx="48">
                        <c:v>1632547.4546325472</c:v>
                      </c:pt>
                      <c:pt idx="49">
                        <c:v>1671893.1502244479</c:v>
                      </c:pt>
                      <c:pt idx="50">
                        <c:v>1711221.8355649379</c:v>
                      </c:pt>
                      <c:pt idx="51">
                        <c:v>1752947.6987124484</c:v>
                      </c:pt>
                      <c:pt idx="52">
                        <c:v>1793344.9611790816</c:v>
                      </c:pt>
                      <c:pt idx="53">
                        <c:v>1835141.1929719232</c:v>
                      </c:pt>
                      <c:pt idx="54">
                        <c:v>1878510.8730113469</c:v>
                      </c:pt>
                      <c:pt idx="55">
                        <c:v>1923728.6569636918</c:v>
                      </c:pt>
                      <c:pt idx="56">
                        <c:v>1970154.0251855317</c:v>
                      </c:pt>
                      <c:pt idx="57">
                        <c:v>1986415.1863949499</c:v>
                      </c:pt>
                      <c:pt idx="58">
                        <c:v>1999883.3880040282</c:v>
                      </c:pt>
                      <c:pt idx="59">
                        <c:v>2009288.7374456932</c:v>
                      </c:pt>
                      <c:pt idx="60">
                        <c:v>2017491.0696298582</c:v>
                      </c:pt>
                    </c:numCache>
                  </c:numRef>
                </c:val>
                <c:extLst xmlns:c15="http://schemas.microsoft.com/office/drawing/2012/chart">
                  <c:ext xmlns:c16="http://schemas.microsoft.com/office/drawing/2014/chart" uri="{C3380CC4-5D6E-409C-BE32-E72D297353CC}">
                    <c16:uniqueId val="{00000010-A02B-4794-A51D-4248BFEBB6DC}"/>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'Net zero 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3970073.9493708336</c:v>
                      </c:pt>
                      <c:pt idx="24">
                        <c:v>4052957.2380717816</c:v>
                      </c:pt>
                      <c:pt idx="25">
                        <c:v>4076755.4517869884</c:v>
                      </c:pt>
                      <c:pt idx="26">
                        <c:v>4062162.5676625171</c:v>
                      </c:pt>
                      <c:pt idx="27">
                        <c:v>4009333.8450175426</c:v>
                      </c:pt>
                      <c:pt idx="28">
                        <c:v>3987094.1595649333</c:v>
                      </c:pt>
                      <c:pt idx="29">
                        <c:v>3969899.9472367382</c:v>
                      </c:pt>
                      <c:pt idx="30">
                        <c:v>3346419.5861792522</c:v>
                      </c:pt>
                      <c:pt idx="31">
                        <c:v>3478954.0751978192</c:v>
                      </c:pt>
                      <c:pt idx="32">
                        <c:v>3690470.5980263855</c:v>
                      </c:pt>
                      <c:pt idx="33">
                        <c:v>3772012.6497986116</c:v>
                      </c:pt>
                      <c:pt idx="34">
                        <c:v>3869593.4187175673</c:v>
                      </c:pt>
                      <c:pt idx="35">
                        <c:v>3988170.4976794063</c:v>
                      </c:pt>
                      <c:pt idx="36">
                        <c:v>4124332.2445515133</c:v>
                      </c:pt>
                      <c:pt idx="37">
                        <c:v>4276812.9692196483</c:v>
                      </c:pt>
                      <c:pt idx="38">
                        <c:v>4432531.7046838598</c:v>
                      </c:pt>
                      <c:pt idx="39">
                        <c:v>4603307.497434455</c:v>
                      </c:pt>
                      <c:pt idx="40">
                        <c:v>4776272.9618511014</c:v>
                      </c:pt>
                      <c:pt idx="41">
                        <c:v>4978189.6312105469</c:v>
                      </c:pt>
                      <c:pt idx="42">
                        <c:v>5174139.677141089</c:v>
                      </c:pt>
                      <c:pt idx="43">
                        <c:v>5380836.9402141795</c:v>
                      </c:pt>
                      <c:pt idx="44">
                        <c:v>5618084.170543286</c:v>
                      </c:pt>
                      <c:pt idx="45">
                        <c:v>5838714.4517942704</c:v>
                      </c:pt>
                      <c:pt idx="46">
                        <c:v>6076373.2011078019</c:v>
                      </c:pt>
                      <c:pt idx="47">
                        <c:v>6330822.8936380874</c:v>
                      </c:pt>
                      <c:pt idx="48">
                        <c:v>6564308.7124802563</c:v>
                      </c:pt>
                      <c:pt idx="49">
                        <c:v>6794083.9365953719</c:v>
                      </c:pt>
                      <c:pt idx="50">
                        <c:v>7020987.3503635731</c:v>
                      </c:pt>
                      <c:pt idx="51">
                        <c:v>7273144.9437481584</c:v>
                      </c:pt>
                      <c:pt idx="52">
                        <c:v>7511709.6417579148</c:v>
                      </c:pt>
                      <c:pt idx="53">
                        <c:v>7758967.3492844617</c:v>
                      </c:pt>
                      <c:pt idx="54">
                        <c:v>8016193.4881943855</c:v>
                      </c:pt>
                      <c:pt idx="55">
                        <c:v>8285436.3901121011</c:v>
                      </c:pt>
                      <c:pt idx="56">
                        <c:v>8569752.7152617741</c:v>
                      </c:pt>
                      <c:pt idx="57">
                        <c:v>8613038.4197571501</c:v>
                      </c:pt>
                      <c:pt idx="58">
                        <c:v>8634156.0745287053</c:v>
                      </c:pt>
                      <c:pt idx="59">
                        <c:v>8623527.6015060656</c:v>
                      </c:pt>
                      <c:pt idx="60">
                        <c:v>8603861.8471742552</c:v>
                      </c:pt>
                    </c:numCache>
                  </c:numRef>
                </c:val>
                <c:extLst xmlns:c15="http://schemas.microsoft.com/office/drawing/2012/chart">
                  <c:ext xmlns:c16="http://schemas.microsoft.com/office/drawing/2014/chart" uri="{C3380CC4-5D6E-409C-BE32-E72D297353CC}">
                    <c16:uniqueId val="{00000011-A02B-4794-A51D-4248BFEBB6DC}"/>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'Net zero emission summary'!$F$58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summary'!$I$58:$BQ$58</c15:sqref>
                  </c15:fullRef>
                </c:ext>
              </c:extLst>
              <c:f>'Net zero emission summary'!$S$58:$BQ$58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24596.567437021022</c:v>
                </c:pt>
                <c:pt idx="13">
                  <c:v>24497.747310072344</c:v>
                </c:pt>
                <c:pt idx="14">
                  <c:v>24503.520525013522</c:v>
                </c:pt>
                <c:pt idx="15">
                  <c:v>24330.600675717971</c:v>
                </c:pt>
                <c:pt idx="16">
                  <c:v>24050.505209418396</c:v>
                </c:pt>
                <c:pt idx="17">
                  <c:v>23669.383405227258</c:v>
                </c:pt>
                <c:pt idx="18">
                  <c:v>23387.298701141393</c:v>
                </c:pt>
                <c:pt idx="19">
                  <c:v>23126.61405950896</c:v>
                </c:pt>
                <c:pt idx="20">
                  <c:v>21180.886005640339</c:v>
                </c:pt>
                <c:pt idx="21">
                  <c:v>21465.470230109688</c:v>
                </c:pt>
                <c:pt idx="22">
                  <c:v>21963.340275219445</c:v>
                </c:pt>
                <c:pt idx="23">
                  <c:v>22101.502305984657</c:v>
                </c:pt>
                <c:pt idx="24">
                  <c:v>22282.065946005139</c:v>
                </c:pt>
                <c:pt idx="25">
                  <c:v>22516.89303585394</c:v>
                </c:pt>
                <c:pt idx="26">
                  <c:v>22774.277383618282</c:v>
                </c:pt>
                <c:pt idx="27">
                  <c:v>23070.701441634967</c:v>
                </c:pt>
                <c:pt idx="28">
                  <c:v>23371.020697326905</c:v>
                </c:pt>
                <c:pt idx="29">
                  <c:v>23705.292980371927</c:v>
                </c:pt>
                <c:pt idx="30">
                  <c:v>24039.678103676189</c:v>
                </c:pt>
                <c:pt idx="31">
                  <c:v>24299.015516776995</c:v>
                </c:pt>
                <c:pt idx="32">
                  <c:v>24530.176310581221</c:v>
                </c:pt>
                <c:pt idx="33">
                  <c:v>24774.410449426709</c:v>
                </c:pt>
                <c:pt idx="34">
                  <c:v>25077.657228723914</c:v>
                </c:pt>
                <c:pt idx="35">
                  <c:v>25325.819620380986</c:v>
                </c:pt>
                <c:pt idx="36">
                  <c:v>25584.068170066945</c:v>
                </c:pt>
                <c:pt idx="37">
                  <c:v>25864.581424079868</c:v>
                </c:pt>
                <c:pt idx="38">
                  <c:v>26081.437708291338</c:v>
                </c:pt>
                <c:pt idx="39">
                  <c:v>26274.899587006017</c:v>
                </c:pt>
                <c:pt idx="40">
                  <c:v>26447.277476384836</c:v>
                </c:pt>
                <c:pt idx="41">
                  <c:v>26727.278121350835</c:v>
                </c:pt>
                <c:pt idx="42">
                  <c:v>26966.547201462941</c:v>
                </c:pt>
                <c:pt idx="43">
                  <c:v>27212.292330691416</c:v>
                </c:pt>
                <c:pt idx="44">
                  <c:v>27466.41757251642</c:v>
                </c:pt>
                <c:pt idx="45">
                  <c:v>27732.242181273872</c:v>
                </c:pt>
                <c:pt idx="46">
                  <c:v>28002.74324911549</c:v>
                </c:pt>
                <c:pt idx="47">
                  <c:v>27790.026742078895</c:v>
                </c:pt>
                <c:pt idx="48">
                  <c:v>27534.735287045489</c:v>
                </c:pt>
                <c:pt idx="49">
                  <c:v>27220.548645508217</c:v>
                </c:pt>
                <c:pt idx="50">
                  <c:v>26892.399484219895</c:v>
                </c:pt>
              </c:numCache>
            </c:numRef>
          </c:val>
          <c:extLst>
            <c:ext xmlns:c16="http://schemas.microsoft.com/office/drawing/2014/chart" uri="{C3380CC4-5D6E-409C-BE32-E72D297353CC}">
              <c16:uniqueId val="{00000000-2E54-415E-99A8-BF04AA9686DA}"/>
            </c:ext>
          </c:extLst>
        </c:ser>
        <c:ser>
          <c:idx val="1"/>
          <c:order val="1"/>
          <c:tx>
            <c:strRef>
              <c:f>'Net zero emission summary'!$F$59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summary'!$I$59:$BQ$59</c15:sqref>
                  </c15:fullRef>
                </c:ext>
              </c:extLst>
              <c:f>'Net zero emission summary'!$S$59:$BQ$59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773.63084917870208</c:v>
                </c:pt>
                <c:pt idx="13">
                  <c:v>773.31500928313335</c:v>
                </c:pt>
                <c:pt idx="14">
                  <c:v>776.88026181002783</c:v>
                </c:pt>
                <c:pt idx="15">
                  <c:v>774.22773270072685</c:v>
                </c:pt>
                <c:pt idx="16">
                  <c:v>767.77846974201941</c:v>
                </c:pt>
                <c:pt idx="17">
                  <c:v>757.64147058917888</c:v>
                </c:pt>
                <c:pt idx="18">
                  <c:v>751.15754383054059</c:v>
                </c:pt>
                <c:pt idx="19">
                  <c:v>745.51317364056126</c:v>
                </c:pt>
                <c:pt idx="20">
                  <c:v>676.48277358218854</c:v>
                </c:pt>
                <c:pt idx="21">
                  <c:v>686.15974406976295</c:v>
                </c:pt>
                <c:pt idx="22">
                  <c:v>703.92572415028519</c:v>
                </c:pt>
                <c:pt idx="23">
                  <c:v>708.20264438984645</c:v>
                </c:pt>
                <c:pt idx="24">
                  <c:v>714.13029378494389</c:v>
                </c:pt>
                <c:pt idx="25">
                  <c:v>722.15719627135536</c:v>
                </c:pt>
                <c:pt idx="26">
                  <c:v>731.40600819785641</c:v>
                </c:pt>
                <c:pt idx="27">
                  <c:v>742.18302304737472</c:v>
                </c:pt>
                <c:pt idx="28">
                  <c:v>753.16389811776446</c:v>
                </c:pt>
                <c:pt idx="29">
                  <c:v>765.48634075845848</c:v>
                </c:pt>
                <c:pt idx="30">
                  <c:v>777.87356950841922</c:v>
                </c:pt>
                <c:pt idx="31">
                  <c:v>792.5193900634664</c:v>
                </c:pt>
                <c:pt idx="32">
                  <c:v>806.40764892451318</c:v>
                </c:pt>
                <c:pt idx="33">
                  <c:v>821.12318043992002</c:v>
                </c:pt>
                <c:pt idx="34">
                  <c:v>838.48826263474302</c:v>
                </c:pt>
                <c:pt idx="35">
                  <c:v>854.07357850430526</c:v>
                </c:pt>
                <c:pt idx="36">
                  <c:v>870.66458320376478</c:v>
                </c:pt>
                <c:pt idx="37">
                  <c:v>888.54554334826014</c:v>
                </c:pt>
                <c:pt idx="38">
                  <c:v>904.27210309480427</c:v>
                </c:pt>
                <c:pt idx="39">
                  <c:v>919.43666594135084</c:v>
                </c:pt>
                <c:pt idx="40">
                  <c:v>934.12296287495724</c:v>
                </c:pt>
                <c:pt idx="41">
                  <c:v>950.50024078110039</c:v>
                </c:pt>
                <c:pt idx="42">
                  <c:v>965.43729589037184</c:v>
                </c:pt>
                <c:pt idx="43">
                  <c:v>980.89937340691097</c:v>
                </c:pt>
                <c:pt idx="44">
                  <c:v>996.98034011786501</c:v>
                </c:pt>
                <c:pt idx="45">
                  <c:v>1013.8371546773797</c:v>
                </c:pt>
                <c:pt idx="46">
                  <c:v>1031.40678618839</c:v>
                </c:pt>
                <c:pt idx="47">
                  <c:v>1028.3873883256001</c:v>
                </c:pt>
                <c:pt idx="48">
                  <c:v>1023.5434894935358</c:v>
                </c:pt>
                <c:pt idx="49">
                  <c:v>1016.1201948584441</c:v>
                </c:pt>
                <c:pt idx="50">
                  <c:v>1008.0448026966982</c:v>
                </c:pt>
              </c:numCache>
            </c:numRef>
          </c:val>
          <c:extLst>
            <c:ext xmlns:c16="http://schemas.microsoft.com/office/drawing/2014/chart" uri="{C3380CC4-5D6E-409C-BE32-E72D297353CC}">
              <c16:uniqueId val="{00000001-2E54-415E-99A8-BF04AA9686DA}"/>
            </c:ext>
          </c:extLst>
        </c:ser>
        <c:ser>
          <c:idx val="2"/>
          <c:order val="2"/>
          <c:tx>
            <c:strRef>
              <c:f>'Net zero emission summary'!$F$60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summary'!$I$60:$BQ$60</c15:sqref>
                  </c15:fullRef>
                </c:ext>
              </c:extLst>
              <c:f>'Net zero emission summary'!$S$60:$BQ$60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1611.8202237640571</c:v>
                </c:pt>
                <c:pt idx="13">
                  <c:v>1628.3498454049941</c:v>
                </c:pt>
                <c:pt idx="14">
                  <c:v>1654.3267410473245</c:v>
                </c:pt>
                <c:pt idx="15">
                  <c:v>1663.6384309182044</c:v>
                </c:pt>
                <c:pt idx="16">
                  <c:v>1662.3021398559861</c:v>
                </c:pt>
                <c:pt idx="17">
                  <c:v>1650.3976769413116</c:v>
                </c:pt>
                <c:pt idx="18">
                  <c:v>1647.5009704288245</c:v>
                </c:pt>
                <c:pt idx="19">
                  <c:v>1646.2684747308629</c:v>
                </c:pt>
                <c:pt idx="20">
                  <c:v>1471.4770183949049</c:v>
                </c:pt>
                <c:pt idx="21">
                  <c:v>1513.2841308978795</c:v>
                </c:pt>
                <c:pt idx="22">
                  <c:v>1577.8900903407075</c:v>
                </c:pt>
                <c:pt idx="23">
                  <c:v>1605.3603615953032</c:v>
                </c:pt>
                <c:pt idx="24">
                  <c:v>1637.5593402362949</c:v>
                </c:pt>
                <c:pt idx="25">
                  <c:v>1675.9115891710114</c:v>
                </c:pt>
                <c:pt idx="26">
                  <c:v>1718.3854571727688</c:v>
                </c:pt>
                <c:pt idx="27">
                  <c:v>1765.6654721531484</c:v>
                </c:pt>
                <c:pt idx="28">
                  <c:v>1813.9939108167773</c:v>
                </c:pt>
                <c:pt idx="29">
                  <c:v>1866.7672518806901</c:v>
                </c:pt>
                <c:pt idx="30">
                  <c:v>1920.2871066719242</c:v>
                </c:pt>
                <c:pt idx="31">
                  <c:v>1979.5046489587751</c:v>
                </c:pt>
                <c:pt idx="32">
                  <c:v>2037.0485373499673</c:v>
                </c:pt>
                <c:pt idx="33">
                  <c:v>2097.7211770354443</c:v>
                </c:pt>
                <c:pt idx="34">
                  <c:v>2167.2011450156374</c:v>
                </c:pt>
                <c:pt idx="35">
                  <c:v>2231.9488175248312</c:v>
                </c:pt>
                <c:pt idx="36">
                  <c:v>2300.8296127915837</c:v>
                </c:pt>
                <c:pt idx="37">
                  <c:v>2374.5565546097582</c:v>
                </c:pt>
                <c:pt idx="38">
                  <c:v>2442.3125745849302</c:v>
                </c:pt>
                <c:pt idx="39">
                  <c:v>2509.0473446004544</c:v>
                </c:pt>
                <c:pt idx="40">
                  <c:v>2575.0047234836748</c:v>
                </c:pt>
                <c:pt idx="41">
                  <c:v>2648.6514660669854</c:v>
                </c:pt>
                <c:pt idx="42">
                  <c:v>2718.4895467449173</c:v>
                </c:pt>
                <c:pt idx="43">
                  <c:v>2790.8977456077</c:v>
                </c:pt>
                <c:pt idx="44">
                  <c:v>2866.2430112709721</c:v>
                </c:pt>
                <c:pt idx="45">
                  <c:v>2945.1139066328119</c:v>
                </c:pt>
                <c:pt idx="46">
                  <c:v>3027.6576613752272</c:v>
                </c:pt>
                <c:pt idx="47">
                  <c:v>3041.2907354767776</c:v>
                </c:pt>
                <c:pt idx="48">
                  <c:v>3048.6538580647275</c:v>
                </c:pt>
                <c:pt idx="49">
                  <c:v>3047.0017943743856</c:v>
                </c:pt>
                <c:pt idx="50">
                  <c:v>3042.8336414396445</c:v>
                </c:pt>
              </c:numCache>
            </c:numRef>
          </c:val>
          <c:extLst>
            <c:ext xmlns:c16="http://schemas.microsoft.com/office/drawing/2014/chart" uri="{C3380CC4-5D6E-409C-BE32-E72D297353CC}">
              <c16:uniqueId val="{00000002-2E54-415E-99A8-BF04AA9686DA}"/>
            </c:ext>
          </c:extLst>
        </c:ser>
        <c:ser>
          <c:idx val="3"/>
          <c:order val="3"/>
          <c:tx>
            <c:strRef>
              <c:f>'Net zero emission summary'!$F$61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summary'!$I$61:$BQ$61</c15:sqref>
                  </c15:fullRef>
                </c:ext>
              </c:extLst>
              <c:f>'Net zero emission summary'!$S$61:$BQ$61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E54-415E-99A8-BF04AA9686DA}"/>
            </c:ext>
          </c:extLst>
        </c:ser>
        <c:ser>
          <c:idx val="4"/>
          <c:order val="4"/>
          <c:tx>
            <c:strRef>
              <c:f>'Net zero emission summary'!$F$62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summary'!$I$62:$BQ$62</c15:sqref>
                  </c15:fullRef>
                </c:ext>
              </c:extLst>
              <c:f>'Net zero emission summary'!$S$62:$BQ$62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E54-415E-99A8-BF04AA9686DA}"/>
            </c:ext>
          </c:extLst>
        </c:ser>
        <c:ser>
          <c:idx val="5"/>
          <c:order val="5"/>
          <c:tx>
            <c:strRef>
              <c:f>'Net zero emission summary'!$F$63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summary'!$I$63:$BQ$63</c15:sqref>
                  </c15:fullRef>
                </c:ext>
              </c:extLst>
              <c:f>'Net zero emission summary'!$S$63:$BQ$63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891.99675751980965</c:v>
                </c:pt>
                <c:pt idx="22">
                  <c:v>896.31989501908868</c:v>
                </c:pt>
                <c:pt idx="23">
                  <c:v>902.22024497284394</c:v>
                </c:pt>
                <c:pt idx="24">
                  <c:v>905.3909035858818</c:v>
                </c:pt>
                <c:pt idx="25">
                  <c:v>908.85869804414574</c:v>
                </c:pt>
                <c:pt idx="26">
                  <c:v>912.71420258721548</c:v>
                </c:pt>
                <c:pt idx="27">
                  <c:v>916.76138513802675</c:v>
                </c:pt>
                <c:pt idx="28">
                  <c:v>921.08070130350711</c:v>
                </c:pt>
                <c:pt idx="29">
                  <c:v>925.40933815746541</c:v>
                </c:pt>
                <c:pt idx="30">
                  <c:v>929.96831948890872</c:v>
                </c:pt>
                <c:pt idx="31">
                  <c:v>934.50696522239457</c:v>
                </c:pt>
                <c:pt idx="32">
                  <c:v>939.42761374681561</c:v>
                </c:pt>
                <c:pt idx="33">
                  <c:v>944.16688868183769</c:v>
                </c:pt>
                <c:pt idx="34">
                  <c:v>949.0261231000643</c:v>
                </c:pt>
                <c:pt idx="35">
                  <c:v>954.33840569705478</c:v>
                </c:pt>
                <c:pt idx="36">
                  <c:v>959.278398620286</c:v>
                </c:pt>
                <c:pt idx="37">
                  <c:v>964.3507815679485</c:v>
                </c:pt>
                <c:pt idx="38">
                  <c:v>969.61220137656596</c:v>
                </c:pt>
                <c:pt idx="39">
                  <c:v>974.44775869223997</c:v>
                </c:pt>
                <c:pt idx="40">
                  <c:v>979.14890322764631</c:v>
                </c:pt>
                <c:pt idx="41">
                  <c:v>983.73381176950784</c:v>
                </c:pt>
                <c:pt idx="42">
                  <c:v>988.57156221875641</c:v>
                </c:pt>
                <c:pt idx="43">
                  <c:v>993.12969939958668</c:v>
                </c:pt>
                <c:pt idx="44">
                  <c:v>997.74604101719626</c:v>
                </c:pt>
                <c:pt idx="45">
                  <c:v>1002.4341171721968</c:v>
                </c:pt>
                <c:pt idx="46">
                  <c:v>1007.2170829821735</c:v>
                </c:pt>
                <c:pt idx="47">
                  <c:v>1012.0749838215364</c:v>
                </c:pt>
                <c:pt idx="48">
                  <c:v>1013.5676439901464</c:v>
                </c:pt>
                <c:pt idx="49">
                  <c:v>1014.7466063039381</c:v>
                </c:pt>
                <c:pt idx="50">
                  <c:v>1015.4810997197675</c:v>
                </c:pt>
              </c:numCache>
            </c:numRef>
          </c:val>
          <c:extLst>
            <c:ext xmlns:c16="http://schemas.microsoft.com/office/drawing/2014/chart" uri="{C3380CC4-5D6E-409C-BE32-E72D297353CC}">
              <c16:uniqueId val="{00000005-2E54-415E-99A8-BF04AA9686DA}"/>
            </c:ext>
          </c:extLst>
        </c:ser>
        <c:ser>
          <c:idx val="6"/>
          <c:order val="6"/>
          <c:tx>
            <c:strRef>
              <c:f>'Net zero emission summary'!$F$64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summary'!$I$64:$BQ$64</c15:sqref>
                  </c15:fullRef>
                </c:ext>
              </c:extLst>
              <c:f>'Net zero emission summary'!$S$64:$BQ$64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469.95618030048149</c:v>
                </c:pt>
                <c:pt idx="22">
                  <c:v>469.84725524758687</c:v>
                </c:pt>
                <c:pt idx="23">
                  <c:v>469.69859101219856</c:v>
                </c:pt>
                <c:pt idx="24">
                  <c:v>469.61870362550462</c:v>
                </c:pt>
                <c:pt idx="25">
                  <c:v>469.53132965350932</c:v>
                </c:pt>
                <c:pt idx="26">
                  <c:v>469.43418700274725</c:v>
                </c:pt>
                <c:pt idx="27">
                  <c:v>469.33221486480466</c:v>
                </c:pt>
                <c:pt idx="28">
                  <c:v>469.22338609360048</c:v>
                </c:pt>
                <c:pt idx="29">
                  <c:v>469.1143224798808</c:v>
                </c:pt>
                <c:pt idx="30">
                  <c:v>468.99945514504452</c:v>
                </c:pt>
                <c:pt idx="31">
                  <c:v>468.88510018254988</c:v>
                </c:pt>
                <c:pt idx="32">
                  <c:v>468.76112034131472</c:v>
                </c:pt>
                <c:pt idx="33">
                  <c:v>468.64171035885056</c:v>
                </c:pt>
                <c:pt idx="34">
                  <c:v>468.5192778972135</c:v>
                </c:pt>
                <c:pt idx="35">
                  <c:v>468.38543050906895</c:v>
                </c:pt>
                <c:pt idx="36">
                  <c:v>468.26096326958111</c:v>
                </c:pt>
                <c:pt idx="37">
                  <c:v>468.13316035307253</c:v>
                </c:pt>
                <c:pt idx="38">
                  <c:v>468.00059449527834</c:v>
                </c:pt>
                <c:pt idx="39">
                  <c:v>467.87875859797629</c:v>
                </c:pt>
                <c:pt idx="40">
                  <c:v>467.76030934271449</c:v>
                </c:pt>
                <c:pt idx="41">
                  <c:v>467.64478875019984</c:v>
                </c:pt>
                <c:pt idx="42">
                  <c:v>467.52289759506942</c:v>
                </c:pt>
                <c:pt idx="43">
                  <c:v>467.40805152931154</c:v>
                </c:pt>
                <c:pt idx="44">
                  <c:v>467.29173895425197</c:v>
                </c:pt>
                <c:pt idx="45">
                  <c:v>467.17361896772775</c:v>
                </c:pt>
                <c:pt idx="46">
                  <c:v>467.05310815725005</c:v>
                </c:pt>
                <c:pt idx="47">
                  <c:v>466.93070929624412</c:v>
                </c:pt>
                <c:pt idx="48">
                  <c:v>466.89310047907219</c:v>
                </c:pt>
                <c:pt idx="49">
                  <c:v>466.86339554083878</c:v>
                </c:pt>
                <c:pt idx="50">
                  <c:v>466.8448893669817</c:v>
                </c:pt>
              </c:numCache>
            </c:numRef>
          </c:val>
          <c:extLst>
            <c:ext xmlns:c16="http://schemas.microsoft.com/office/drawing/2014/chart" uri="{C3380CC4-5D6E-409C-BE32-E72D297353CC}">
              <c16:uniqueId val="{00000006-2E54-415E-99A8-BF04AA9686DA}"/>
            </c:ext>
          </c:extLst>
        </c:ser>
        <c:ser>
          <c:idx val="7"/>
          <c:order val="7"/>
          <c:tx>
            <c:strRef>
              <c:f>'Net zero emission summary'!$F$65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summary'!$I$65:$BQ$65</c15:sqref>
                  </c15:fullRef>
                </c:ext>
              </c:extLst>
              <c:f>'Net zero emission summary'!$S$65:$BQ$65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17151.705697759648</c:v>
                </c:pt>
                <c:pt idx="13">
                  <c:v>17093.826915551948</c:v>
                </c:pt>
                <c:pt idx="14">
                  <c:v>17091.396392844264</c:v>
                </c:pt>
                <c:pt idx="15">
                  <c:v>16996.523789335217</c:v>
                </c:pt>
                <c:pt idx="16">
                  <c:v>16845.135916251191</c:v>
                </c:pt>
                <c:pt idx="17">
                  <c:v>16640.888084222788</c:v>
                </c:pt>
                <c:pt idx="18">
                  <c:v>16487.529960272332</c:v>
                </c:pt>
                <c:pt idx="19">
                  <c:v>16345.805129696333</c:v>
                </c:pt>
                <c:pt idx="20">
                  <c:v>15333.142496965511</c:v>
                </c:pt>
                <c:pt idx="21">
                  <c:v>15466.419305865022</c:v>
                </c:pt>
                <c:pt idx="22">
                  <c:v>15721.718395845426</c:v>
                </c:pt>
                <c:pt idx="23">
                  <c:v>15792.35690424532</c:v>
                </c:pt>
                <c:pt idx="24">
                  <c:v>15882.586900810107</c:v>
                </c:pt>
                <c:pt idx="25">
                  <c:v>16000.875078757141</c:v>
                </c:pt>
                <c:pt idx="26">
                  <c:v>16130.837006610433</c:v>
                </c:pt>
                <c:pt idx="27">
                  <c:v>16280.829315177862</c:v>
                </c:pt>
                <c:pt idx="28">
                  <c:v>16432.800860620609</c:v>
                </c:pt>
                <c:pt idx="29">
                  <c:v>16601.972697603644</c:v>
                </c:pt>
                <c:pt idx="30">
                  <c:v>16771.105827480609</c:v>
                </c:pt>
                <c:pt idx="31">
                  <c:v>16898.814381982302</c:v>
                </c:pt>
                <c:pt idx="32">
                  <c:v>17011.89128216061</c:v>
                </c:pt>
                <c:pt idx="33">
                  <c:v>17131.020466939513</c:v>
                </c:pt>
                <c:pt idx="34">
                  <c:v>17279.878287190404</c:v>
                </c:pt>
                <c:pt idx="35">
                  <c:v>17400.350352990772</c:v>
                </c:pt>
                <c:pt idx="36">
                  <c:v>17525.003619430903</c:v>
                </c:pt>
                <c:pt idx="37">
                  <c:v>17660.47076391898</c:v>
                </c:pt>
                <c:pt idx="38">
                  <c:v>17763.017146878792</c:v>
                </c:pt>
                <c:pt idx="39">
                  <c:v>17852.701945731118</c:v>
                </c:pt>
                <c:pt idx="40">
                  <c:v>17930.946501142658</c:v>
                </c:pt>
                <c:pt idx="41">
                  <c:v>18065.131954412631</c:v>
                </c:pt>
                <c:pt idx="42">
                  <c:v>18178.314058421252</c:v>
                </c:pt>
                <c:pt idx="43">
                  <c:v>18293.989664549441</c:v>
                </c:pt>
                <c:pt idx="44">
                  <c:v>18413.356143322824</c:v>
                </c:pt>
                <c:pt idx="45">
                  <c:v>18538.060297718424</c:v>
                </c:pt>
                <c:pt idx="46">
                  <c:v>18664.427755086152</c:v>
                </c:pt>
                <c:pt idx="47">
                  <c:v>18547.120743497231</c:v>
                </c:pt>
                <c:pt idx="48">
                  <c:v>18405.700517305311</c:v>
                </c:pt>
                <c:pt idx="49">
                  <c:v>18234.496409391908</c:v>
                </c:pt>
                <c:pt idx="50">
                  <c:v>18056.036672914906</c:v>
                </c:pt>
              </c:numCache>
            </c:numRef>
          </c:val>
          <c:extLst>
            <c:ext xmlns:c16="http://schemas.microsoft.com/office/drawing/2014/chart" uri="{C3380CC4-5D6E-409C-BE32-E72D297353CC}">
              <c16:uniqueId val="{00000007-2E54-415E-99A8-BF04AA9686DA}"/>
            </c:ext>
          </c:extLst>
        </c:ser>
        <c:ser>
          <c:idx val="8"/>
          <c:order val="8"/>
          <c:tx>
            <c:strRef>
              <c:f>'Net zero emission summary'!$F$66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summary'!$I$66:$BQ$66</c15:sqref>
                  </c15:fullRef>
                </c:ext>
              </c:extLst>
              <c:f>'Net zero emission summary'!$S$66:$BQ$66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1981.3182233351415</c:v>
                </c:pt>
                <c:pt idx="19">
                  <c:v>1966.2827775921453</c:v>
                </c:pt>
                <c:pt idx="20">
                  <c:v>1842.5857472306971</c:v>
                </c:pt>
                <c:pt idx="21">
                  <c:v>1861.3013133436878</c:v>
                </c:pt>
                <c:pt idx="22">
                  <c:v>1894.1536812303866</c:v>
                </c:pt>
                <c:pt idx="23">
                  <c:v>1903.8803245620827</c:v>
                </c:pt>
                <c:pt idx="24">
                  <c:v>1916.3536730595029</c:v>
                </c:pt>
                <c:pt idx="25">
                  <c:v>1932.3985696328384</c:v>
                </c:pt>
                <c:pt idx="26">
                  <c:v>1949.7219525740591</c:v>
                </c:pt>
                <c:pt idx="27">
                  <c:v>1969.629089038252</c:v>
                </c:pt>
                <c:pt idx="28">
                  <c:v>1989.8483490761139</c:v>
                </c:pt>
                <c:pt idx="29">
                  <c:v>2012.3185912377764</c:v>
                </c:pt>
                <c:pt idx="30">
                  <c:v>2034.8539004377549</c:v>
                </c:pt>
                <c:pt idx="31">
                  <c:v>2052.8949909451817</c:v>
                </c:pt>
                <c:pt idx="32">
                  <c:v>2069.1944299293632</c:v>
                </c:pt>
                <c:pt idx="33">
                  <c:v>2086.4143452143276</c:v>
                </c:pt>
                <c:pt idx="34">
                  <c:v>2107.5471907559049</c:v>
                </c:pt>
                <c:pt idx="35">
                  <c:v>2125.1922779772085</c:v>
                </c:pt>
                <c:pt idx="36">
                  <c:v>2143.3815227202085</c:v>
                </c:pt>
                <c:pt idx="37">
                  <c:v>2163.1045643035477</c:v>
                </c:pt>
                <c:pt idx="38">
                  <c:v>2178.7665207131558</c:v>
                </c:pt>
                <c:pt idx="39">
                  <c:v>2192.9725439395338</c:v>
                </c:pt>
                <c:pt idx="40">
                  <c:v>2205.8761678403275</c:v>
                </c:pt>
                <c:pt idx="41">
                  <c:v>2225.3439026708006</c:v>
                </c:pt>
                <c:pt idx="42">
                  <c:v>2242.215386811522</c:v>
                </c:pt>
                <c:pt idx="43">
                  <c:v>2259.5653989534226</c:v>
                </c:pt>
                <c:pt idx="44">
                  <c:v>2277.5267973052873</c:v>
                </c:pt>
                <c:pt idx="45">
                  <c:v>2296.3195215422957</c:v>
                </c:pt>
                <c:pt idx="46">
                  <c:v>2315.3159501296468</c:v>
                </c:pt>
                <c:pt idx="47">
                  <c:v>2302.6461188471171</c:v>
                </c:pt>
                <c:pt idx="48">
                  <c:v>2287.1277664044933</c:v>
                </c:pt>
                <c:pt idx="49">
                  <c:v>2267.7383909460959</c:v>
                </c:pt>
                <c:pt idx="50">
                  <c:v>2247.4232150153257</c:v>
                </c:pt>
              </c:numCache>
            </c:numRef>
          </c:val>
          <c:extLst>
            <c:ext xmlns:c16="http://schemas.microsoft.com/office/drawing/2014/chart" uri="{C3380CC4-5D6E-409C-BE32-E72D297353CC}">
              <c16:uniqueId val="{00000008-2E54-415E-99A8-BF04AA9686DA}"/>
            </c:ext>
          </c:extLst>
        </c:ser>
        <c:ser>
          <c:idx val="9"/>
          <c:order val="9"/>
          <c:tx>
            <c:strRef>
              <c:f>'Net zero emission summary'!$F$67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summary'!$I$67:$BQ$67</c15:sqref>
                  </c15:fullRef>
                </c:ext>
              </c:extLst>
              <c:f>'Net zero emission summary'!$S$67:$BQ$67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475.46673921112142</c:v>
                </c:pt>
                <c:pt idx="15">
                  <c:v>478.52713833996251</c:v>
                </c:pt>
                <c:pt idx="16">
                  <c:v>479.13075008565448</c:v>
                </c:pt>
                <c:pt idx="17">
                  <c:v>477.27784879908722</c:v>
                </c:pt>
                <c:pt idx="18">
                  <c:v>477.58815133846173</c:v>
                </c:pt>
                <c:pt idx="19">
                  <c:v>478.32509917641181</c:v>
                </c:pt>
                <c:pt idx="20">
                  <c:v>437.65364453283877</c:v>
                </c:pt>
                <c:pt idx="21">
                  <c:v>447.83921275306943</c:v>
                </c:pt>
                <c:pt idx="22">
                  <c:v>463.50700203026076</c:v>
                </c:pt>
                <c:pt idx="23">
                  <c:v>470.33348295675415</c:v>
                </c:pt>
                <c:pt idx="24">
                  <c:v>478.31884433078415</c:v>
                </c:pt>
                <c:pt idx="25">
                  <c:v>487.80438141499695</c:v>
                </c:pt>
                <c:pt idx="26">
                  <c:v>498.22556673604879</c:v>
                </c:pt>
                <c:pt idx="27">
                  <c:v>509.82449188881287</c:v>
                </c:pt>
                <c:pt idx="28">
                  <c:v>521.70132369786995</c:v>
                </c:pt>
                <c:pt idx="29">
                  <c:v>534.66994180065035</c:v>
                </c:pt>
                <c:pt idx="30">
                  <c:v>547.84392079271527</c:v>
                </c:pt>
                <c:pt idx="31">
                  <c:v>562.85315252501368</c:v>
                </c:pt>
                <c:pt idx="32">
                  <c:v>577.51148769427505</c:v>
                </c:pt>
                <c:pt idx="33">
                  <c:v>592.97342516000958</c:v>
                </c:pt>
                <c:pt idx="34">
                  <c:v>610.61175795071927</c:v>
                </c:pt>
                <c:pt idx="35">
                  <c:v>627.16300337226232</c:v>
                </c:pt>
                <c:pt idx="36">
                  <c:v>644.70434568444216</c:v>
                </c:pt>
                <c:pt idx="37">
                  <c:v>663.47371766277104</c:v>
                </c:pt>
                <c:pt idx="38">
                  <c:v>680.84999302331573</c:v>
                </c:pt>
                <c:pt idx="39">
                  <c:v>698.02922766035294</c:v>
                </c:pt>
                <c:pt idx="40">
                  <c:v>715.06898312793305</c:v>
                </c:pt>
                <c:pt idx="41">
                  <c:v>733.64261674980673</c:v>
                </c:pt>
                <c:pt idx="42">
                  <c:v>751.32378737574379</c:v>
                </c:pt>
                <c:pt idx="43">
                  <c:v>769.66617565657941</c:v>
                </c:pt>
                <c:pt idx="44">
                  <c:v>788.76051964046167</c:v>
                </c:pt>
                <c:pt idx="45">
                  <c:v>808.75204497949539</c:v>
                </c:pt>
                <c:pt idx="46">
                  <c:v>829.61774980564689</c:v>
                </c:pt>
                <c:pt idx="47">
                  <c:v>833.64298368603681</c:v>
                </c:pt>
                <c:pt idx="48">
                  <c:v>836.13820762929572</c:v>
                </c:pt>
                <c:pt idx="49">
                  <c:v>836.42571567008497</c:v>
                </c:pt>
                <c:pt idx="50">
                  <c:v>836.09543374820669</c:v>
                </c:pt>
              </c:numCache>
            </c:numRef>
          </c:val>
          <c:extLst>
            <c:ext xmlns:c16="http://schemas.microsoft.com/office/drawing/2014/chart" uri="{C3380CC4-5D6E-409C-BE32-E72D297353CC}">
              <c16:uniqueId val="{00000009-2E54-415E-99A8-BF04AA9686DA}"/>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'Net zero emission summary'!$H$72</c:f>
              <c:strCache>
                <c:ptCount val="1"/>
                <c:pt idx="0">
                  <c:v>Aggregated non-CO2 emissions (modelled)</c:v>
                </c:pt>
              </c:strCache>
            </c:strRef>
          </c:tx>
          <c:spPr>
            <a:ln w="28575" cap="rnd">
              <a:solidFill>
                <a:srgbClr val="00B0F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summary'!$I$72:$AJ$72</c15:sqref>
                  </c15:fullRef>
                </c:ext>
              </c:extLst>
              <c:f>'Net zero emission summary'!$AC$72:$AJ$72</c:f>
              <c:numCache>
                <c:formatCode>General</c:formatCode>
                <c:ptCount val="8"/>
                <c:pt idx="0">
                  <c:v>22400.815411577827</c:v>
                </c:pt>
                <c:pt idx="1">
                  <c:v>22528.596906718252</c:v>
                </c:pt>
                <c:pt idx="2">
                  <c:v>22897.455060347878</c:v>
                </c:pt>
                <c:pt idx="3">
                  <c:v>22916.931601602209</c:v>
                </c:pt>
                <c:pt idx="4">
                  <c:v>22902.965793483334</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0-C282-480E-B567-DCC5DF50CC03}"/>
            </c:ext>
          </c:extLst>
        </c:ser>
        <c:ser>
          <c:idx val="4"/>
          <c:order val="4"/>
          <c:tx>
            <c:strRef>
              <c:f>'Net zero emission summary'!$H$75</c:f>
              <c:strCache>
                <c:ptCount val="1"/>
                <c:pt idx="0">
                  <c:v>Aggregated non-CO2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summary'!$I$75:$AJ$75</c15:sqref>
                  </c15:fullRef>
                </c:ext>
              </c:extLst>
              <c:f>'Net zero emission summary'!$AC$75:$AJ$75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1-C282-480E-B567-DCC5DF50CC03}"/>
            </c:ext>
          </c:extLst>
        </c:ser>
        <c:ser>
          <c:idx val="7"/>
          <c:order val="7"/>
          <c:tx>
            <c:strRef>
              <c:f>'Net zero emission summary'!$H$78</c:f>
              <c:strCache>
                <c:ptCount val="1"/>
                <c:pt idx="0">
                  <c:v>Aggregated non-CO2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summary'!$I$78:$AJ$78</c15:sqref>
                  </c15:fullRef>
                </c:ext>
              </c:extLst>
              <c:f>'Net zero emission summary'!$AC$78:$AJ$78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2-C282-480E-B567-DCC5DF50CC03}"/>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'Net zero emission summary'!$H$71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'Net zero emission summary'!$I$71:$AJ$71</c15:sqref>
                        </c15:fullRef>
                        <c15:formulaRef>
                          <c15:sqref>'Net zero emission summary'!$AC$71:$AJ$71</c15:sqref>
                        </c15:formulaRef>
                      </c:ext>
                    </c:extLst>
                    <c:numCache>
                      <c:formatCode>General</c:formatCode>
                      <c:ptCount val="8"/>
                      <c:pt idx="0">
                        <c:v>27614.256694686857</c:v>
                      </c:pt>
                      <c:pt idx="1">
                        <c:v>27581.637898711942</c:v>
                      </c:pt>
                      <c:pt idx="2">
                        <c:v>26982.018509963782</c:v>
                      </c:pt>
                      <c:pt idx="3">
                        <c:v>26899.412164760473</c:v>
                      </c:pt>
                      <c:pt idx="4">
                        <c:v>26934.727527870873</c:v>
                      </c:pt>
                      <c:pt idx="5">
                        <c:v>26768.466839336899</c:v>
                      </c:pt>
                      <c:pt idx="6">
                        <c:v>26480.585819016404</c:v>
                      </c:pt>
                      <c:pt idx="7">
                        <c:v>26077.422552757751</c:v>
                      </c:pt>
                    </c:numCache>
                  </c:numRef>
                </c:val>
                <c:smooth val="0"/>
                <c:extLst>
                  <c:ext xmlns:c16="http://schemas.microsoft.com/office/drawing/2014/chart" uri="{C3380CC4-5D6E-409C-BE32-E72D297353CC}">
                    <c16:uniqueId val="{00000003-C282-480E-B567-DCC5DF50CC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summary'!$I$73:$AJ$73</c15:sqref>
                        </c15:fullRef>
                        <c15:formulaRef>
                          <c15:sqref>'Net zero emission summary'!$AC$73:$AJ$73</c15:sqref>
                        </c15:formulaRef>
                      </c:ext>
                    </c:extLst>
                    <c:numCache>
                      <c:formatCode>General</c:formatCode>
                      <c:ptCount val="8"/>
                      <c:pt idx="0">
                        <c:v>50015.072106264684</c:v>
                      </c:pt>
                      <c:pt idx="1">
                        <c:v>50110.234805430198</c:v>
                      </c:pt>
                      <c:pt idx="2">
                        <c:v>49879.47357031166</c:v>
                      </c:pt>
                      <c:pt idx="3">
                        <c:v>49816.343766362683</c:v>
                      </c:pt>
                      <c:pt idx="4">
                        <c:v>49837.693321354207</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4-C282-480E-B567-DCC5DF50CC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summary'!$I$74:$AJ$74</c15:sqref>
                        </c15:fullRef>
                        <c15:formulaRef>
                          <c15:sqref>'Net zero emission summary'!$AC$74:$AJ$74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5-C282-480E-B567-DCC5DF50CC0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summary'!$I$76:$AJ$76</c15:sqref>
                        </c15:fullRef>
                        <c15:formulaRef>
                          <c15:sqref>'Net zero emission summary'!$AC$76:$AJ$76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6-C282-480E-B567-DCC5DF50CC0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summary'!$I$77:$AJ$77</c15:sqref>
                        </c15:fullRef>
                        <c15:formulaRef>
                          <c15:sqref>'Net zero emission summary'!$AC$77:$AJ$77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7-C282-480E-B567-DCC5DF50CC0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summary'!$I$79:$AJ$79</c15:sqref>
                        </c15:fullRef>
                        <c15:formulaRef>
                          <c15:sqref>'Net zero emission summary'!$AC$79:$AJ$79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8-C282-480E-B567-DCC5DF50CC03}"/>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'Net zero emission summary'!$H$118</c:f>
              <c:strCache>
                <c:ptCount val="1"/>
                <c:pt idx="0">
                  <c:v>Direct N2O</c:v>
                </c:pt>
              </c:strCache>
            </c:strRef>
          </c:tx>
          <c:spPr>
            <a:ln w="28575" cap="rnd">
              <a:solidFill>
                <a:schemeClr val="accent5"/>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summary'!$I$118:$AJ$118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0-5083-4013-9505-CE085EB4DA8F}"/>
            </c:ext>
          </c:extLst>
        </c:ser>
        <c:ser>
          <c:idx val="11"/>
          <c:order val="11"/>
          <c:tx>
            <c:strRef>
              <c:f>'Net zero emission summary'!$H$125</c:f>
              <c:strCache>
                <c:ptCount val="1"/>
                <c:pt idx="0">
                  <c:v>Direct N2O (inventory)</c:v>
                </c:pt>
              </c:strCache>
            </c:strRef>
          </c:tx>
          <c:spPr>
            <a:ln w="28575" cap="rnd">
              <a:solidFill>
                <a:schemeClr val="accent6">
                  <a:lumMod val="60000"/>
                </a:schemeClr>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summary'!$I$125:$AJ$125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1-5083-4013-9505-CE085EB4DA8F}"/>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'Net zero emission summary'!$H$114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'Net zero emission summary'!$I$114:$AJ$114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2-5083-4013-9505-CE085EB4DA8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'Net zero emission summary'!$H$115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summary'!$I$115:$AJ$115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3-5083-4013-9505-CE085EB4DA8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summary'!$I$116:$AJ$116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4-5083-4013-9505-CE085EB4DA8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summary'!$I$117:$AJ$117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5-5083-4013-9505-CE085EB4DA8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summary'!$I$119:$AJ$119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6-5083-4013-9505-CE085EB4DA8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summary'!$I$120:$AJ$120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7-5083-4013-9505-CE085EB4DA8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'Net zero emission summary'!$H$121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summary'!$I$121:$AJ$121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8-5083-4013-9505-CE085EB4DA8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summary'!$I$122:$AJ$122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9-5083-4013-9505-CE085EB4DA8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'Net zero emission summary'!$H$123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summary'!$I$123:$AJ$123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A-5083-4013-9505-CE085EB4DA8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'Net zero emission summary'!$H$124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summary'!$I$124:$AJ$124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B-5083-4013-9505-CE085EB4DA8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'Net zero emission summary'!$H$126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summary'!$I$126:$AJ$126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083-4013-9505-CE085EB4DA8F}"/>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'Net zero emission summary'!$H$127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summary'!$I$127:$AJ$127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083-4013-9505-CE085EB4DA8F}"/>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'Net zero outputs'!$A$4</c:f>
              <c:strCache>
                <c:ptCount val="1"/>
                <c:pt idx="0">
                  <c:v>Agriculture baseline</c:v>
                </c:pt>
              </c:strCache>
            </c:strRef>
          </c:tx>
          <c:spPr>
            <a:ln w="28575" cap="rnd">
              <a:solidFill>
                <a:schemeClr val="accent1"/>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outputs'!$B$4:$AN$4</c:f>
              <c:numCache>
                <c:formatCode>#,##0.00</c:formatCode>
                <c:ptCount val="39"/>
                <c:pt idx="0">
                  <c:v>49879.47357031166</c:v>
                </c:pt>
                <c:pt idx="1">
                  <c:v>49816.343766362683</c:v>
                </c:pt>
                <c:pt idx="2">
                  <c:v>49837.693321354207</c:v>
                </c:pt>
                <c:pt idx="3">
                  <c:v>49552.184012065802</c:v>
                </c:pt>
                <c:pt idx="4">
                  <c:v>49119.041014062772</c:v>
                </c:pt>
                <c:pt idx="5">
                  <c:v>48506.139935969455</c:v>
                </c:pt>
                <c:pt idx="6">
                  <c:v>48052.087616742072</c:v>
                </c:pt>
                <c:pt idx="7">
                  <c:v>47638.317777423887</c:v>
                </c:pt>
                <c:pt idx="8">
                  <c:v>44281.625141792727</c:v>
                </c:pt>
                <c:pt idx="9">
                  <c:v>44777.603240188735</c:v>
                </c:pt>
                <c:pt idx="10">
                  <c:v>45674.238156273626</c:v>
                </c:pt>
                <c:pt idx="11">
                  <c:v>45945.450168770549</c:v>
                </c:pt>
                <c:pt idx="12">
                  <c:v>46286.279386350798</c:v>
                </c:pt>
                <c:pt idx="13">
                  <c:v>46723.044131572678</c:v>
                </c:pt>
                <c:pt idx="14">
                  <c:v>47201.97548913426</c:v>
                </c:pt>
                <c:pt idx="15">
                  <c:v>47750.259629439199</c:v>
                </c:pt>
                <c:pt idx="16">
                  <c:v>48306.525795410198</c:v>
                </c:pt>
                <c:pt idx="17">
                  <c:v>48923.083604508647</c:v>
                </c:pt>
                <c:pt idx="18">
                  <c:v>49541.021815280816</c:v>
                </c:pt>
                <c:pt idx="19">
                  <c:v>50047.419961261257</c:v>
                </c:pt>
                <c:pt idx="20">
                  <c:v>50506.858447858001</c:v>
                </c:pt>
                <c:pt idx="21">
                  <c:v>50990.925862911856</c:v>
                </c:pt>
                <c:pt idx="22">
                  <c:v>51581.397695449181</c:v>
                </c:pt>
                <c:pt idx="23">
                  <c:v>52077.754111662391</c:v>
                </c:pt>
                <c:pt idx="24">
                  <c:v>52594.688043018956</c:v>
                </c:pt>
                <c:pt idx="25">
                  <c:v>53153.727539600775</c:v>
                </c:pt>
                <c:pt idx="26">
                  <c:v>53602.794074740086</c:v>
                </c:pt>
                <c:pt idx="27">
                  <c:v>54011.434569649296</c:v>
                </c:pt>
                <c:pt idx="28">
                  <c:v>54384.722270103346</c:v>
                </c:pt>
                <c:pt idx="29">
                  <c:v>54938.938650428805</c:v>
                </c:pt>
                <c:pt idx="30">
                  <c:v>55422.928989595857</c:v>
                </c:pt>
                <c:pt idx="31">
                  <c:v>55919.851198068005</c:v>
                </c:pt>
                <c:pt idx="32">
                  <c:v>56433.820427617255</c:v>
                </c:pt>
                <c:pt idx="33">
                  <c:v>56970.926611634524</c:v>
                </c:pt>
                <c:pt idx="34">
                  <c:v>57519.928616708639</c:v>
                </c:pt>
                <c:pt idx="35">
                  <c:v>57204.10518409645</c:v>
                </c:pt>
                <c:pt idx="36">
                  <c:v>56805.840154677426</c:v>
                </c:pt>
                <c:pt idx="37">
                  <c:v>56300.916942057607</c:v>
                </c:pt>
                <c:pt idx="38">
                  <c:v>55769.630533783464</c:v>
                </c:pt>
              </c:numCache>
            </c:numRef>
          </c:val>
          <c:smooth val="0"/>
          <c:extLst>
            <c:ext xmlns:c16="http://schemas.microsoft.com/office/drawing/2014/chart" uri="{C3380CC4-5D6E-409C-BE32-E72D297353CC}">
              <c16:uniqueId val="{00000000-7D63-4309-BA51-2E47EA3A89BE}"/>
            </c:ext>
          </c:extLst>
        </c:ser>
        <c:ser>
          <c:idx val="1"/>
          <c:order val="1"/>
          <c:tx>
            <c:strRef>
              <c:f>'Net zero outputs'!$A$5</c:f>
              <c:strCache>
                <c:ptCount val="1"/>
                <c:pt idx="0">
                  <c:v>Agriculture net zero model output</c:v>
                </c:pt>
              </c:strCache>
            </c:strRef>
          </c:tx>
          <c:spPr>
            <a:ln w="28575" cap="rnd">
              <a:solidFill>
                <a:schemeClr val="accent2"/>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outputs'!$B$5:$AN$5</c:f>
              <c:numCache>
                <c:formatCode>#,##0.00</c:formatCode>
                <c:ptCount val="39"/>
                <c:pt idx="0">
                  <c:v>49879.47357031166</c:v>
                </c:pt>
                <c:pt idx="1">
                  <c:v>49816.343766362683</c:v>
                </c:pt>
                <c:pt idx="2">
                  <c:v>49837.693321354207</c:v>
                </c:pt>
                <c:pt idx="3">
                  <c:v>49552.184012065802</c:v>
                </c:pt>
                <c:pt idx="4">
                  <c:v>49119.041014062772</c:v>
                </c:pt>
                <c:pt idx="5">
                  <c:v>48506.139935969455</c:v>
                </c:pt>
                <c:pt idx="6">
                  <c:v>48052.087616742072</c:v>
                </c:pt>
                <c:pt idx="7">
                  <c:v>47638.317777423887</c:v>
                </c:pt>
                <c:pt idx="8">
                  <c:v>44281.625141792727</c:v>
                </c:pt>
                <c:pt idx="9">
                  <c:v>44777.603240188735</c:v>
                </c:pt>
                <c:pt idx="10">
                  <c:v>45674.238156273626</c:v>
                </c:pt>
                <c:pt idx="11">
                  <c:v>45945.450168770549</c:v>
                </c:pt>
                <c:pt idx="12">
                  <c:v>46286.279386350798</c:v>
                </c:pt>
                <c:pt idx="13">
                  <c:v>46723.044131572678</c:v>
                </c:pt>
                <c:pt idx="14">
                  <c:v>47201.97548913426</c:v>
                </c:pt>
                <c:pt idx="15">
                  <c:v>47750.259629439199</c:v>
                </c:pt>
                <c:pt idx="16">
                  <c:v>48306.525795410198</c:v>
                </c:pt>
                <c:pt idx="17">
                  <c:v>48923.083604508647</c:v>
                </c:pt>
                <c:pt idx="18">
                  <c:v>49541.021815280816</c:v>
                </c:pt>
                <c:pt idx="19">
                  <c:v>50047.419961261257</c:v>
                </c:pt>
                <c:pt idx="20">
                  <c:v>50506.858447858001</c:v>
                </c:pt>
                <c:pt idx="21">
                  <c:v>50990.925862911856</c:v>
                </c:pt>
                <c:pt idx="22">
                  <c:v>51581.397695449181</c:v>
                </c:pt>
                <c:pt idx="23">
                  <c:v>52077.754111662391</c:v>
                </c:pt>
                <c:pt idx="24">
                  <c:v>52594.688043018956</c:v>
                </c:pt>
                <c:pt idx="25">
                  <c:v>53153.727539600775</c:v>
                </c:pt>
                <c:pt idx="26">
                  <c:v>53602.794074740086</c:v>
                </c:pt>
                <c:pt idx="27">
                  <c:v>54011.434569649296</c:v>
                </c:pt>
                <c:pt idx="28">
                  <c:v>54384.722270103346</c:v>
                </c:pt>
                <c:pt idx="29">
                  <c:v>54938.938650428805</c:v>
                </c:pt>
                <c:pt idx="30">
                  <c:v>55422.928989595857</c:v>
                </c:pt>
                <c:pt idx="31">
                  <c:v>55919.851198068005</c:v>
                </c:pt>
                <c:pt idx="32">
                  <c:v>56433.820427617255</c:v>
                </c:pt>
                <c:pt idx="33">
                  <c:v>56970.926611634524</c:v>
                </c:pt>
                <c:pt idx="34">
                  <c:v>57519.928616708639</c:v>
                </c:pt>
                <c:pt idx="35">
                  <c:v>57204.10518409645</c:v>
                </c:pt>
                <c:pt idx="36">
                  <c:v>56805.840154677426</c:v>
                </c:pt>
                <c:pt idx="37">
                  <c:v>56300.916942057607</c:v>
                </c:pt>
                <c:pt idx="38">
                  <c:v>55769.630533783464</c:v>
                </c:pt>
              </c:numCache>
            </c:numRef>
          </c:val>
          <c:smooth val="0"/>
          <c:extLst>
            <c:ext xmlns:c16="http://schemas.microsoft.com/office/drawing/2014/chart" uri="{C3380CC4-5D6E-409C-BE32-E72D297353CC}">
              <c16:uniqueId val="{00000001-7D63-4309-BA51-2E47EA3A89BE}"/>
            </c:ext>
          </c:extLst>
        </c:ser>
        <c:dLbls>
          <c:showLegendKey val="0"/>
          <c:showVal val="0"/>
          <c:showCatName val="0"/>
          <c:showSerName val="0"/>
          <c:showPercent val="0"/>
          <c:showBubbleSize val="0"/>
        </c:dLbls>
        <c:smooth val="0"/>
        <c:axId val="400985903"/>
        <c:axId val="400964271"/>
      </c:lineChart>
      <c:catAx>
        <c:axId val="40098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00964271"/>
        <c:crosses val="autoZero"/>
        <c:auto val="1"/>
        <c:lblAlgn val="ctr"/>
        <c:lblOffset val="100"/>
        <c:noMultiLvlLbl val="0"/>
      </c:catAx>
      <c:valAx>
        <c:axId val="400964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 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400985903"/>
        <c:crosses val="autoZero"/>
        <c:crossBetween val="between"/>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6</xdr:col>
      <xdr:colOff>828681</xdr:colOff>
      <xdr:row>23</xdr:row>
      <xdr:rowOff>76200</xdr:rowOff>
    </xdr:from>
    <xdr:to>
      <xdr:col>12</xdr:col>
      <xdr:colOff>314331</xdr:colOff>
      <xdr:row>39</xdr:row>
      <xdr:rowOff>152400</xdr:rowOff>
    </xdr:to>
    <xdr:graphicFrame macro="">
      <xdr:nvGraphicFramePr>
        <xdr:cNvPr id="10" name="Chart 9">
          <a:extLst>
            <a:ext uri="{FF2B5EF4-FFF2-40B4-BE49-F238E27FC236}">
              <a16:creationId xmlns:a16="http://schemas.microsoft.com/office/drawing/2014/main" id="{00000000-0008-0000-0A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809631</xdr:colOff>
      <xdr:row>38</xdr:row>
      <xdr:rowOff>171450</xdr:rowOff>
    </xdr:from>
    <xdr:to>
      <xdr:col>9</xdr:col>
      <xdr:colOff>295281</xdr:colOff>
      <xdr:row>55</xdr:row>
      <xdr:rowOff>57150</xdr:rowOff>
    </xdr:to>
    <xdr:graphicFrame macro="">
      <xdr:nvGraphicFramePr>
        <xdr:cNvPr id="13" name="Chart 12">
          <a:extLst>
            <a:ext uri="{FF2B5EF4-FFF2-40B4-BE49-F238E27FC236}">
              <a16:creationId xmlns:a16="http://schemas.microsoft.com/office/drawing/2014/main" id="{00000000-0008-0000-0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685806</xdr:colOff>
      <xdr:row>15</xdr:row>
      <xdr:rowOff>171450</xdr:rowOff>
    </xdr:from>
    <xdr:to>
      <xdr:col>14</xdr:col>
      <xdr:colOff>171456</xdr:colOff>
      <xdr:row>30</xdr:row>
      <xdr:rowOff>57150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1752600</xdr:colOff>
      <xdr:row>27</xdr:row>
      <xdr:rowOff>0</xdr:rowOff>
    </xdr:from>
    <xdr:to>
      <xdr:col>4</xdr:col>
      <xdr:colOff>247650</xdr:colOff>
      <xdr:row>27</xdr:row>
      <xdr:rowOff>0</xdr:rowOff>
    </xdr:to>
    <xdr:graphicFrame macro="">
      <xdr:nvGraphicFramePr>
        <xdr:cNvPr id="2" name="Chart 6">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xdr:colOff>
      <xdr:row>27</xdr:row>
      <xdr:rowOff>0</xdr:rowOff>
    </xdr:from>
    <xdr:to>
      <xdr:col>4</xdr:col>
      <xdr:colOff>561975</xdr:colOff>
      <xdr:row>27</xdr:row>
      <xdr:rowOff>0</xdr:rowOff>
    </xdr:to>
    <xdr:graphicFrame macro="">
      <xdr:nvGraphicFramePr>
        <xdr:cNvPr id="3" name="Chart 7">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1171575</xdr:colOff>
      <xdr:row>27</xdr:row>
      <xdr:rowOff>0</xdr:rowOff>
    </xdr:from>
    <xdr:to>
      <xdr:col>2</xdr:col>
      <xdr:colOff>0</xdr:colOff>
      <xdr:row>27</xdr:row>
      <xdr:rowOff>0</xdr:rowOff>
    </xdr:to>
    <xdr:graphicFrame macro="">
      <xdr:nvGraphicFramePr>
        <xdr:cNvPr id="4" name="Chart 20">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27</xdr:row>
      <xdr:rowOff>0</xdr:rowOff>
    </xdr:from>
    <xdr:to>
      <xdr:col>2</xdr:col>
      <xdr:colOff>0</xdr:colOff>
      <xdr:row>27</xdr:row>
      <xdr:rowOff>0</xdr:rowOff>
    </xdr:to>
    <xdr:graphicFrame macro="">
      <xdr:nvGraphicFramePr>
        <xdr:cNvPr id="5" name="Chart 21">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519112</xdr:colOff>
      <xdr:row>13</xdr:row>
      <xdr:rowOff>23812</xdr:rowOff>
    </xdr:from>
    <xdr:to>
      <xdr:col>45</xdr:col>
      <xdr:colOff>214312</xdr:colOff>
      <xdr:row>36</xdr:row>
      <xdr:rowOff>100012</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328612</xdr:colOff>
      <xdr:row>13</xdr:row>
      <xdr:rowOff>61912</xdr:rowOff>
    </xdr:from>
    <xdr:to>
      <xdr:col>53</xdr:col>
      <xdr:colOff>23812</xdr:colOff>
      <xdr:row>36</xdr:row>
      <xdr:rowOff>138112</xdr:rowOff>
    </xdr:to>
    <xdr:graphicFrame macro="">
      <xdr:nvGraphicFramePr>
        <xdr:cNvPr id="7" name="Chart 6">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433387</xdr:colOff>
      <xdr:row>21</xdr:row>
      <xdr:rowOff>42862</xdr:rowOff>
    </xdr:from>
    <xdr:to>
      <xdr:col>37</xdr:col>
      <xdr:colOff>128587</xdr:colOff>
      <xdr:row>41</xdr:row>
      <xdr:rowOff>119062</xdr:rowOff>
    </xdr:to>
    <xdr:graphicFrame macro="">
      <xdr:nvGraphicFramePr>
        <xdr:cNvPr id="8" name="Chart 7">
          <a:extLst>
            <a:ext uri="{FF2B5EF4-FFF2-40B4-BE49-F238E27FC236}">
              <a16:creationId xmlns:a16="http://schemas.microsoft.com/office/drawing/2014/main" id="{00000000-0008-0000-0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566737</xdr:colOff>
      <xdr:row>37</xdr:row>
      <xdr:rowOff>147637</xdr:rowOff>
    </xdr:from>
    <xdr:to>
      <xdr:col>45</xdr:col>
      <xdr:colOff>261937</xdr:colOff>
      <xdr:row>52</xdr:row>
      <xdr:rowOff>33337</xdr:rowOff>
    </xdr:to>
    <xdr:graphicFrame macro="">
      <xdr:nvGraphicFramePr>
        <xdr:cNvPr id="9" name="Chart 8">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80962</xdr:colOff>
      <xdr:row>42</xdr:row>
      <xdr:rowOff>52387</xdr:rowOff>
    </xdr:from>
    <xdr:to>
      <xdr:col>37</xdr:col>
      <xdr:colOff>385762</xdr:colOff>
      <xdr:row>56</xdr:row>
      <xdr:rowOff>128587</xdr:rowOff>
    </xdr:to>
    <xdr:graphicFrame macro="">
      <xdr:nvGraphicFramePr>
        <xdr:cNvPr id="10" name="Chart 9">
          <a:extLst>
            <a:ext uri="{FF2B5EF4-FFF2-40B4-BE49-F238E27FC236}">
              <a16:creationId xmlns:a16="http://schemas.microsoft.com/office/drawing/2014/main" id="{00000000-0008-0000-0B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519112</xdr:colOff>
      <xdr:row>39</xdr:row>
      <xdr:rowOff>80962</xdr:rowOff>
    </xdr:from>
    <xdr:to>
      <xdr:col>53</xdr:col>
      <xdr:colOff>214312</xdr:colOff>
      <xdr:row>53</xdr:row>
      <xdr:rowOff>157162</xdr:rowOff>
    </xdr:to>
    <xdr:graphicFrame macro="">
      <xdr:nvGraphicFramePr>
        <xdr:cNvPr id="11" name="Chart 10">
          <a:extLst>
            <a:ext uri="{FF2B5EF4-FFF2-40B4-BE49-F238E27FC236}">
              <a16:creationId xmlns:a16="http://schemas.microsoft.com/office/drawing/2014/main" id="{00000000-0008-0000-0B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176212</xdr:colOff>
      <xdr:row>19</xdr:row>
      <xdr:rowOff>47625</xdr:rowOff>
    </xdr:from>
    <xdr:to>
      <xdr:col>22</xdr:col>
      <xdr:colOff>481012</xdr:colOff>
      <xdr:row>33</xdr:row>
      <xdr:rowOff>114300</xdr:rowOff>
    </xdr:to>
    <xdr:graphicFrame macro="">
      <xdr:nvGraphicFramePr>
        <xdr:cNvPr id="3" name="Chart 2">
          <a:extLst>
            <a:ext uri="{FF2B5EF4-FFF2-40B4-BE49-F238E27FC236}">
              <a16:creationId xmlns:a16="http://schemas.microsoft.com/office/drawing/2014/main" id="{DB764609-FC9B-4D81-A187-AD84C8F67F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361949</xdr:colOff>
      <xdr:row>81</xdr:row>
      <xdr:rowOff>33337</xdr:rowOff>
    </xdr:from>
    <xdr:to>
      <xdr:col>15</xdr:col>
      <xdr:colOff>219074</xdr:colOff>
      <xdr:row>106</xdr:row>
      <xdr:rowOff>171450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619125</xdr:colOff>
      <xdr:row>80</xdr:row>
      <xdr:rowOff>176211</xdr:rowOff>
    </xdr:from>
    <xdr:to>
      <xdr:col>26</xdr:col>
      <xdr:colOff>600075</xdr:colOff>
      <xdr:row>102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276224</xdr:colOff>
      <xdr:row>120</xdr:row>
      <xdr:rowOff>14286</xdr:rowOff>
    </xdr:from>
    <xdr:to>
      <xdr:col>35</xdr:col>
      <xdr:colOff>447674</xdr:colOff>
      <xdr:row>145</xdr:row>
      <xdr:rowOff>152399</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2283B14B-9695-433D-A758-27CCADB76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361949</xdr:colOff>
      <xdr:row>81</xdr:row>
      <xdr:rowOff>33337</xdr:rowOff>
    </xdr:from>
    <xdr:to>
      <xdr:col>18</xdr:col>
      <xdr:colOff>219074</xdr:colOff>
      <xdr:row>106</xdr:row>
      <xdr:rowOff>171450</xdr:rowOff>
    </xdr:to>
    <xdr:graphicFrame macro="">
      <xdr:nvGraphicFramePr>
        <xdr:cNvPr id="2" name="Chart 1">
          <a:extLst>
            <a:ext uri="{FF2B5EF4-FFF2-40B4-BE49-F238E27FC236}">
              <a16:creationId xmlns:a16="http://schemas.microsoft.com/office/drawing/2014/main" id="{D03E5D91-998A-48FF-B13B-614BB470B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619125</xdr:colOff>
      <xdr:row>80</xdr:row>
      <xdr:rowOff>176211</xdr:rowOff>
    </xdr:from>
    <xdr:to>
      <xdr:col>29</xdr:col>
      <xdr:colOff>600075</xdr:colOff>
      <xdr:row>102</xdr:row>
      <xdr:rowOff>133350</xdr:rowOff>
    </xdr:to>
    <xdr:graphicFrame macro="">
      <xdr:nvGraphicFramePr>
        <xdr:cNvPr id="3" name="Chart 2">
          <a:extLst>
            <a:ext uri="{FF2B5EF4-FFF2-40B4-BE49-F238E27FC236}">
              <a16:creationId xmlns:a16="http://schemas.microsoft.com/office/drawing/2014/main" id="{8476E91C-EB8A-4033-B51D-5BC63BAAA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276224</xdr:colOff>
      <xdr:row>120</xdr:row>
      <xdr:rowOff>14286</xdr:rowOff>
    </xdr:from>
    <xdr:to>
      <xdr:col>38</xdr:col>
      <xdr:colOff>447674</xdr:colOff>
      <xdr:row>145</xdr:row>
      <xdr:rowOff>152399</xdr:rowOff>
    </xdr:to>
    <xdr:graphicFrame macro="">
      <xdr:nvGraphicFramePr>
        <xdr:cNvPr id="4" name="Chart 3">
          <a:extLst>
            <a:ext uri="{FF2B5EF4-FFF2-40B4-BE49-F238E27FC236}">
              <a16:creationId xmlns:a16="http://schemas.microsoft.com/office/drawing/2014/main" id="{71BD73DE-2983-46D6-9AF6-0838DA85E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161925</xdr:colOff>
      <xdr:row>9</xdr:row>
      <xdr:rowOff>57150</xdr:rowOff>
    </xdr:from>
    <xdr:to>
      <xdr:col>13</xdr:col>
      <xdr:colOff>552450</xdr:colOff>
      <xdr:row>30</xdr:row>
      <xdr:rowOff>57150</xdr:rowOff>
    </xdr:to>
    <xdr:graphicFrame macro="">
      <xdr:nvGraphicFramePr>
        <xdr:cNvPr id="2" name="Chart 1">
          <a:extLst>
            <a:ext uri="{FF2B5EF4-FFF2-40B4-BE49-F238E27FC236}">
              <a16:creationId xmlns:a16="http://schemas.microsoft.com/office/drawing/2014/main" id="{2D8AAF4D-D4C1-442A-B912-43EF0354C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Consulting\2020Projects\AFOLU%20NDC\Corrected%20inventory\LULUC%202000-2017_v7_Corrected.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and_model_Link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My%20Drive\Consulting\2020Projects\AFOLU%20NDC\Updated%20linked%20models\Land_model_Link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My%20Drive\Consulting\2020Projects\AFOLU%20NDC\Land%20modelling\Land%20model_v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C Log"/>
      <sheetName val="QA Log"/>
      <sheetName val="Colour coding"/>
      <sheetName val="# Look Up Table"/>
      <sheetName val="Version notes"/>
      <sheetName val="Constants &amp; CF"/>
      <sheetName val="Land recalculation"/>
      <sheetName val="Land areas"/>
      <sheetName val="Summary"/>
      <sheetName val="Land sector table"/>
      <sheetName val="Land Trends"/>
      <sheetName val="LUC Matrix"/>
      <sheetName val="LC Matrix table for NIR"/>
      <sheetName val="Annual LU"/>
      <sheetName val="Annual LU change"/>
      <sheetName val="Biomass and litter data"/>
      <sheetName val="Biomass&amp;DOM data"/>
      <sheetName val="SOC ref data"/>
      <sheetName val="Burnt area chart"/>
      <sheetName val="Burnt area"/>
      <sheetName val="Sheet1"/>
      <sheetName val="Plantation Data"/>
      <sheetName val="Woodland fuelwood estimation"/>
      <sheetName val="LC Clim Soil Overlay data"/>
      <sheetName val="Crop areas"/>
      <sheetName val="Crop management factors"/>
      <sheetName val="Moeletsi et al 2015 crop data"/>
      <sheetName val="Land tables"/>
      <sheetName val="BiomassDOMSOC"/>
      <sheetName val="Forest land Trends"/>
      <sheetName val="Forest land conversions"/>
      <sheetName val="Cropland trends 2"/>
      <sheetName val="Grassland trends 2"/>
      <sheetName val="Settlement trends 2"/>
      <sheetName val="Other land trend 2"/>
      <sheetName val="Forest land cover"/>
      <sheetName val="Forest land Biomass &amp; DOM"/>
      <sheetName val="Forest land SOC"/>
      <sheetName val="Cropland Trends"/>
      <sheetName val="Cropland cover"/>
      <sheetName val="Cropland Biomass &amp; DOM"/>
      <sheetName val="Cropland SOC"/>
      <sheetName val="Grassland weighted AGB"/>
      <sheetName val="Grassland Trends"/>
      <sheetName val="Grassland Biomass &amp; DOM"/>
      <sheetName val="Grassland SOC"/>
      <sheetName val="Wetland"/>
      <sheetName val="Wetland Trends"/>
      <sheetName val="Wetland CH4"/>
      <sheetName val="Settlement Trends"/>
      <sheetName val="Settlements Biomass &amp; DOM"/>
      <sheetName val="Settlements SOC"/>
      <sheetName val="Otherland Trends"/>
      <sheetName val="Otherland Biomass &amp; DOM"/>
      <sheetName val="Otherlands SOC"/>
      <sheetName val="LULUCF Table"/>
    </sheetNames>
    <sheetDataSet>
      <sheetData sheetId="0"/>
      <sheetData sheetId="1"/>
      <sheetData sheetId="2"/>
      <sheetData sheetId="3"/>
      <sheetData sheetId="4"/>
      <sheetData sheetId="5">
        <row r="5">
          <cell r="E5">
            <v>1E-3</v>
          </cell>
        </row>
        <row r="8">
          <cell r="E8">
            <v>21</v>
          </cell>
        </row>
        <row r="52">
          <cell r="E52">
            <v>0.47</v>
          </cell>
        </row>
      </sheetData>
      <sheetData sheetId="6" refreshError="1"/>
      <sheetData sheetId="7" refreshError="1"/>
      <sheetData sheetId="8"/>
      <sheetData sheetId="9"/>
      <sheetData sheetId="10" refreshError="1"/>
      <sheetData sheetId="11">
        <row r="113">
          <cell r="X113">
            <v>1956357.8999999997</v>
          </cell>
        </row>
      </sheetData>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ow r="311">
          <cell r="M311">
            <v>28924.448128590917</v>
          </cell>
        </row>
      </sheetData>
      <sheetData sheetId="37"/>
      <sheetData sheetId="38" refreshError="1"/>
      <sheetData sheetId="39" refreshError="1"/>
      <sheetData sheetId="40"/>
      <sheetData sheetId="41"/>
      <sheetData sheetId="42"/>
      <sheetData sheetId="43" refreshError="1"/>
      <sheetData sheetId="44"/>
      <sheetData sheetId="45"/>
      <sheetData sheetId="46"/>
      <sheetData sheetId="47" refreshError="1"/>
      <sheetData sheetId="48"/>
      <sheetData sheetId="49" refreshError="1"/>
      <sheetData sheetId="50"/>
      <sheetData sheetId="51"/>
      <sheetData sheetId="52" refreshError="1"/>
      <sheetData sheetId="53"/>
      <sheetData sheetId="54"/>
      <sheetData sheetId="5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Land areas"/>
      <sheetName val="Annual land change driver"/>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Outputs with &amp; without ND"/>
      <sheetName val="Costs"/>
      <sheetName val="Jobs"/>
      <sheetName val="Inventory"/>
      <sheetName val="Inventory comparison"/>
      <sheetName val="Lists"/>
    </sheetNames>
    <sheetDataSet>
      <sheetData sheetId="0" refreshError="1"/>
      <sheetData sheetId="1" refreshError="1"/>
      <sheetData sheetId="2" refreshError="1"/>
      <sheetData sheetId="3">
        <row r="86">
          <cell r="A86" t="str">
            <v>RES</v>
          </cell>
        </row>
      </sheetData>
      <sheetData sheetId="4" refreshError="1"/>
      <sheetData sheetId="5" refreshError="1"/>
      <sheetData sheetId="6" refreshError="1"/>
      <sheetData sheetId="7" refreshError="1"/>
      <sheetData sheetId="8" refreshError="1"/>
      <sheetData sheetId="9" refreshError="1"/>
      <sheetData sheetId="10" refreshError="1"/>
      <sheetData sheetId="11">
        <row r="8">
          <cell r="B8">
            <v>1E-3</v>
          </cell>
        </row>
      </sheetData>
      <sheetData sheetId="12" refreshError="1"/>
      <sheetData sheetId="13" refreshError="1"/>
      <sheetData sheetId="14" refreshError="1"/>
      <sheetData sheetId="15">
        <row r="4">
          <cell r="H4">
            <v>0.55347199999999996</v>
          </cell>
        </row>
        <row r="5">
          <cell r="H5">
            <v>1.0504499999999999</v>
          </cell>
        </row>
        <row r="6">
          <cell r="H6">
            <v>0.52451999999999999</v>
          </cell>
        </row>
        <row r="7">
          <cell r="H7">
            <v>5.1056799268327744</v>
          </cell>
        </row>
        <row r="13">
          <cell r="H13">
            <v>0.27</v>
          </cell>
        </row>
        <row r="14">
          <cell r="H14">
            <v>0.35249999999999998</v>
          </cell>
        </row>
        <row r="17">
          <cell r="H17">
            <v>6.3906039999999997</v>
          </cell>
        </row>
        <row r="22">
          <cell r="H22">
            <v>0</v>
          </cell>
        </row>
        <row r="91">
          <cell r="H91">
            <v>0.85</v>
          </cell>
        </row>
        <row r="92">
          <cell r="H92">
            <v>1.0640000000000001</v>
          </cell>
        </row>
        <row r="96">
          <cell r="H96">
            <v>1.86</v>
          </cell>
        </row>
        <row r="97">
          <cell r="H97">
            <v>0.12</v>
          </cell>
        </row>
        <row r="98">
          <cell r="H98">
            <v>8.0828531999999995E-2</v>
          </cell>
        </row>
        <row r="99">
          <cell r="H99">
            <v>0.15409999999999999</v>
          </cell>
        </row>
        <row r="100">
          <cell r="H100">
            <v>17.29</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Annual land change driver"/>
      <sheetName val="Land areas"/>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Costs"/>
      <sheetName val="Jobs"/>
      <sheetName val="Inventory"/>
      <sheetName val="Inventory comparis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45">
          <cell r="AE545">
            <v>13597.343916991533</v>
          </cell>
          <cell r="AF545">
            <v>13591.541699530653</v>
          </cell>
          <cell r="AG545">
            <v>13585.739482069775</v>
          </cell>
          <cell r="AH545">
            <v>13579.937264608896</v>
          </cell>
          <cell r="AI545">
            <v>13574.135047148016</v>
          </cell>
          <cell r="AJ545">
            <v>13568.332829687137</v>
          </cell>
          <cell r="AK545">
            <v>13562.530612226257</v>
          </cell>
          <cell r="AL545">
            <v>13556.72839476538</v>
          </cell>
          <cell r="AM545">
            <v>13550.9261773045</v>
          </cell>
          <cell r="AN545">
            <v>13545.12395984362</v>
          </cell>
          <cell r="AO545">
            <v>13539.321742382741</v>
          </cell>
          <cell r="AP545">
            <v>13533.519524921861</v>
          </cell>
          <cell r="AQ545">
            <v>13527.717307460984</v>
          </cell>
          <cell r="AR545">
            <v>13521.915090000104</v>
          </cell>
          <cell r="AS545">
            <v>13516.112872539225</v>
          </cell>
          <cell r="AT545">
            <v>13510.310655078345</v>
          </cell>
          <cell r="AU545">
            <v>13504.508437617465</v>
          </cell>
          <cell r="AV545">
            <v>13498.706220156588</v>
          </cell>
          <cell r="AW545">
            <v>13492.904002695708</v>
          </cell>
          <cell r="AX545">
            <v>13487.101785234829</v>
          </cell>
          <cell r="AY545">
            <v>13481.299567773949</v>
          </cell>
          <cell r="AZ545">
            <v>13475.49735031307</v>
          </cell>
          <cell r="BA545">
            <v>13469.695132852192</v>
          </cell>
          <cell r="BB545">
            <v>13463.892915391312</v>
          </cell>
          <cell r="BC545">
            <v>13458.090697930433</v>
          </cell>
          <cell r="BD545">
            <v>13452.288480469553</v>
          </cell>
          <cell r="BE545">
            <v>13446.486263008674</v>
          </cell>
          <cell r="BF545">
            <v>13440.684045547796</v>
          </cell>
          <cell r="BG545">
            <v>13434.881828086916</v>
          </cell>
          <cell r="BH545">
            <v>13429.079610626037</v>
          </cell>
          <cell r="BI545">
            <v>13423.277393165157</v>
          </cell>
          <cell r="BJ545">
            <v>13417.475175704278</v>
          </cell>
          <cell r="BK545">
            <v>13411.6729582434</v>
          </cell>
          <cell r="BL545">
            <v>13405.87074078252</v>
          </cell>
          <cell r="BM545">
            <v>13400.068523321641</v>
          </cell>
          <cell r="BN545">
            <v>13394.266305860761</v>
          </cell>
          <cell r="BO545">
            <v>13388.464088399882</v>
          </cell>
          <cell r="BP545">
            <v>13382.661870939004</v>
          </cell>
          <cell r="BQ545">
            <v>13376.859653478125</v>
          </cell>
        </row>
        <row r="546">
          <cell r="AE546">
            <v>393930.44129440375</v>
          </cell>
          <cell r="AF546">
            <v>393306.72804719064</v>
          </cell>
          <cell r="AG546">
            <v>392683.01479997754</v>
          </cell>
          <cell r="AH546">
            <v>392059.30155276449</v>
          </cell>
          <cell r="AI546">
            <v>391435.58830555138</v>
          </cell>
          <cell r="AJ546">
            <v>390811.87505833828</v>
          </cell>
          <cell r="AK546">
            <v>390188.16181112523</v>
          </cell>
          <cell r="AL546">
            <v>389564.44856391213</v>
          </cell>
          <cell r="AM546">
            <v>388940.73531669908</v>
          </cell>
          <cell r="AN546">
            <v>388317.02206948597</v>
          </cell>
          <cell r="AO546">
            <v>387693.30882227287</v>
          </cell>
          <cell r="AP546">
            <v>387069.59557505982</v>
          </cell>
          <cell r="AQ546">
            <v>386445.88232784672</v>
          </cell>
          <cell r="AR546">
            <v>385822.16908063361</v>
          </cell>
          <cell r="AS546">
            <v>385198.45583342056</v>
          </cell>
          <cell r="AT546">
            <v>384574.74258620746</v>
          </cell>
          <cell r="AU546">
            <v>383951.02933899435</v>
          </cell>
          <cell r="AV546">
            <v>383327.31609178131</v>
          </cell>
          <cell r="AW546">
            <v>382703.6028445682</v>
          </cell>
          <cell r="AX546">
            <v>382079.88959735516</v>
          </cell>
          <cell r="AY546">
            <v>381456.17635014205</v>
          </cell>
          <cell r="AZ546">
            <v>380832.46310292894</v>
          </cell>
          <cell r="BA546">
            <v>380208.7498557159</v>
          </cell>
          <cell r="BB546">
            <v>379585.03660850279</v>
          </cell>
          <cell r="BC546">
            <v>378961.32336128969</v>
          </cell>
          <cell r="BD546">
            <v>378337.61011407664</v>
          </cell>
          <cell r="BE546">
            <v>377713.89686686354</v>
          </cell>
          <cell r="BF546">
            <v>377090.18361965049</v>
          </cell>
          <cell r="BG546">
            <v>376466.47037243738</v>
          </cell>
          <cell r="BH546">
            <v>375842.75712522428</v>
          </cell>
          <cell r="BI546">
            <v>375219.04387801123</v>
          </cell>
          <cell r="BJ546">
            <v>374595.33063079813</v>
          </cell>
          <cell r="BK546">
            <v>373971.61738358502</v>
          </cell>
          <cell r="BL546">
            <v>373347.90413637197</v>
          </cell>
          <cell r="BM546">
            <v>372724.19088915887</v>
          </cell>
          <cell r="BN546">
            <v>372100.47764194576</v>
          </cell>
          <cell r="BO546">
            <v>371476.76439473272</v>
          </cell>
          <cell r="BP546">
            <v>370853.05114751961</v>
          </cell>
          <cell r="BQ546">
            <v>370229.33790030656</v>
          </cell>
        </row>
        <row r="547">
          <cell r="AE547">
            <v>664355.50457407185</v>
          </cell>
          <cell r="AF547">
            <v>665519.12191991892</v>
          </cell>
          <cell r="AG547">
            <v>666682.73926576588</v>
          </cell>
          <cell r="AH547">
            <v>667846.35661161283</v>
          </cell>
          <cell r="AI547">
            <v>669009.97395745991</v>
          </cell>
          <cell r="AJ547">
            <v>670173.59130330686</v>
          </cell>
          <cell r="AK547">
            <v>671337.20864915382</v>
          </cell>
          <cell r="AL547">
            <v>666658.3555590522</v>
          </cell>
          <cell r="AM547">
            <v>661979.50246895046</v>
          </cell>
          <cell r="AN547">
            <v>657300.64937884873</v>
          </cell>
          <cell r="AO547">
            <v>652621.79628874699</v>
          </cell>
          <cell r="AP547">
            <v>647942.94319864525</v>
          </cell>
          <cell r="AQ547">
            <v>643264.09010854363</v>
          </cell>
          <cell r="AR547">
            <v>638585.2370184419</v>
          </cell>
          <cell r="AS547">
            <v>633906.38392834016</v>
          </cell>
          <cell r="AT547">
            <v>629227.53083823842</v>
          </cell>
          <cell r="AU547">
            <v>624548.67774813669</v>
          </cell>
          <cell r="AV547">
            <v>619869.82465803507</v>
          </cell>
          <cell r="AW547">
            <v>615190.97156793333</v>
          </cell>
          <cell r="AX547">
            <v>610512.11847783159</v>
          </cell>
          <cell r="AY547">
            <v>605833.26538772986</v>
          </cell>
          <cell r="AZ547">
            <v>601154.41229762812</v>
          </cell>
          <cell r="BA547">
            <v>596475.55920752638</v>
          </cell>
          <cell r="BB547">
            <v>591796.70611742476</v>
          </cell>
          <cell r="BC547">
            <v>587117.85302732303</v>
          </cell>
          <cell r="BD547">
            <v>582438.99993722129</v>
          </cell>
          <cell r="BE547">
            <v>577760.14684711955</v>
          </cell>
          <cell r="BF547">
            <v>573081.29375701782</v>
          </cell>
          <cell r="BG547">
            <v>568402.44066691608</v>
          </cell>
          <cell r="BH547">
            <v>563723.58757681435</v>
          </cell>
          <cell r="BI547">
            <v>559044.73448671272</v>
          </cell>
          <cell r="BJ547">
            <v>554365.88139661099</v>
          </cell>
          <cell r="BK547">
            <v>549687.02830650925</v>
          </cell>
          <cell r="BL547">
            <v>545008.17521640752</v>
          </cell>
          <cell r="BM547">
            <v>540329.32212630589</v>
          </cell>
          <cell r="BN547">
            <v>535650.46903620427</v>
          </cell>
          <cell r="BO547">
            <v>530971.61594610265</v>
          </cell>
          <cell r="BP547">
            <v>526292.76285600092</v>
          </cell>
          <cell r="BQ547">
            <v>521613.90976589912</v>
          </cell>
        </row>
        <row r="548">
          <cell r="AE548">
            <v>13285.999123176394</v>
          </cell>
          <cell r="AF548">
            <v>24983.999123176392</v>
          </cell>
          <cell r="AG548">
            <v>20172.999123176392</v>
          </cell>
          <cell r="AH548">
            <v>15648.999123176394</v>
          </cell>
          <cell r="AI548">
            <v>17908.999123176392</v>
          </cell>
          <cell r="AJ548">
            <v>19831.999123176392</v>
          </cell>
          <cell r="AK548">
            <v>19831.999123176392</v>
          </cell>
          <cell r="AL548">
            <v>19918.097396718102</v>
          </cell>
          <cell r="AM548">
            <v>20004.195670259811</v>
          </cell>
          <cell r="AN548">
            <v>20090.29394380152</v>
          </cell>
          <cell r="AO548">
            <v>20176.392217343229</v>
          </cell>
          <cell r="AP548">
            <v>20262.490490884938</v>
          </cell>
          <cell r="AQ548">
            <v>20348.588764426648</v>
          </cell>
          <cell r="AR548">
            <v>20434.687037968357</v>
          </cell>
          <cell r="AS548">
            <v>20520.785311510066</v>
          </cell>
          <cell r="AT548">
            <v>20606.883585051775</v>
          </cell>
          <cell r="AU548">
            <v>20692.981858593485</v>
          </cell>
          <cell r="AV548">
            <v>20779.080132135194</v>
          </cell>
          <cell r="AW548">
            <v>20865.178405676903</v>
          </cell>
          <cell r="AX548">
            <v>20865.178405676903</v>
          </cell>
          <cell r="AY548">
            <v>20865.178405676903</v>
          </cell>
          <cell r="AZ548">
            <v>20865.178405676903</v>
          </cell>
          <cell r="BA548">
            <v>20865.178405676903</v>
          </cell>
          <cell r="BB548">
            <v>20865.178405676903</v>
          </cell>
          <cell r="BC548">
            <v>20865.178405676903</v>
          </cell>
          <cell r="BD548">
            <v>20865.178405676903</v>
          </cell>
          <cell r="BE548">
            <v>20865.178405676903</v>
          </cell>
          <cell r="BF548">
            <v>20779.080132135194</v>
          </cell>
          <cell r="BG548">
            <v>20692.981858593485</v>
          </cell>
          <cell r="BH548">
            <v>20606.883585051775</v>
          </cell>
          <cell r="BI548">
            <v>20520.785311510066</v>
          </cell>
          <cell r="BJ548">
            <v>20434.687037968357</v>
          </cell>
          <cell r="BK548">
            <v>20348.588764426648</v>
          </cell>
          <cell r="BL548">
            <v>20262.490490884938</v>
          </cell>
          <cell r="BM548">
            <v>20176.392217343229</v>
          </cell>
          <cell r="BN548">
            <v>20090.29394380152</v>
          </cell>
          <cell r="BO548">
            <v>20004.195670259811</v>
          </cell>
          <cell r="BP548">
            <v>19918.097396718102</v>
          </cell>
          <cell r="BQ548">
            <v>19831.999123176392</v>
          </cell>
        </row>
        <row r="549">
          <cell r="AE549">
            <v>329614.7597349711</v>
          </cell>
          <cell r="AF549">
            <v>328711.1609496483</v>
          </cell>
          <cell r="AG549">
            <v>327807.5621643255</v>
          </cell>
          <cell r="AH549">
            <v>326903.96337900264</v>
          </cell>
          <cell r="AI549">
            <v>326000.36459367984</v>
          </cell>
          <cell r="AJ549">
            <v>325096.76580835704</v>
          </cell>
          <cell r="AK549">
            <v>324193.16702303418</v>
          </cell>
          <cell r="AL549">
            <v>323289.56823771138</v>
          </cell>
          <cell r="AM549">
            <v>322385.96945238858</v>
          </cell>
          <cell r="AN549">
            <v>321482.37066706573</v>
          </cell>
          <cell r="AO549">
            <v>320578.77188174293</v>
          </cell>
          <cell r="AP549">
            <v>319675.17309642013</v>
          </cell>
          <cell r="AQ549">
            <v>318771.57431109727</v>
          </cell>
          <cell r="AR549">
            <v>317867.97552577447</v>
          </cell>
          <cell r="AS549">
            <v>316964.37674045167</v>
          </cell>
          <cell r="AT549">
            <v>316060.77795512887</v>
          </cell>
          <cell r="AU549">
            <v>315157.17916980601</v>
          </cell>
          <cell r="AV549">
            <v>314253.58038448321</v>
          </cell>
          <cell r="AW549">
            <v>313349.98159916041</v>
          </cell>
          <cell r="AX549">
            <v>312446.38281383755</v>
          </cell>
          <cell r="AY549">
            <v>311542.78402851475</v>
          </cell>
          <cell r="AZ549">
            <v>310639.18524319195</v>
          </cell>
          <cell r="BA549">
            <v>309735.5864578691</v>
          </cell>
          <cell r="BB549">
            <v>308831.9876725463</v>
          </cell>
          <cell r="BC549">
            <v>307928.3888872235</v>
          </cell>
          <cell r="BD549">
            <v>307024.79010190064</v>
          </cell>
          <cell r="BE549">
            <v>306121.19131657784</v>
          </cell>
          <cell r="BF549">
            <v>305217.59253125504</v>
          </cell>
          <cell r="BG549">
            <v>304313.99374593218</v>
          </cell>
          <cell r="BH549">
            <v>303410.39496060938</v>
          </cell>
          <cell r="BI549">
            <v>302506.79617528658</v>
          </cell>
          <cell r="BJ549">
            <v>301603.19738996372</v>
          </cell>
          <cell r="BK549">
            <v>300699.59860464092</v>
          </cell>
          <cell r="BL549">
            <v>299795.99981931812</v>
          </cell>
          <cell r="BM549">
            <v>298892.40103399527</v>
          </cell>
          <cell r="BN549">
            <v>297988.80224867247</v>
          </cell>
          <cell r="BO549">
            <v>297085.20346334967</v>
          </cell>
          <cell r="BP549">
            <v>296181.60467802687</v>
          </cell>
          <cell r="BQ549">
            <v>295278.00589270401</v>
          </cell>
        </row>
        <row r="550">
          <cell r="AE550">
            <v>27272.800964105933</v>
          </cell>
          <cell r="AF550">
            <v>28102.087515757019</v>
          </cell>
          <cell r="AG550">
            <v>28931.374067408098</v>
          </cell>
          <cell r="AH550">
            <v>29760.660619059196</v>
          </cell>
          <cell r="AI550">
            <v>30589.947170710278</v>
          </cell>
          <cell r="AJ550">
            <v>31419.233722361369</v>
          </cell>
          <cell r="AK550">
            <v>32248.520274012448</v>
          </cell>
          <cell r="AL550">
            <v>33077.806825663531</v>
          </cell>
          <cell r="AM550">
            <v>33907.093377314624</v>
          </cell>
          <cell r="AN550">
            <v>34736.379928965718</v>
          </cell>
          <cell r="AO550">
            <v>35565.666480616797</v>
          </cell>
          <cell r="AP550">
            <v>36394.953032267884</v>
          </cell>
          <cell r="AQ550">
            <v>37224.23958391897</v>
          </cell>
          <cell r="AR550">
            <v>38053.526135570057</v>
          </cell>
          <cell r="AS550">
            <v>38882.812687221151</v>
          </cell>
          <cell r="AT550">
            <v>39712.09923887223</v>
          </cell>
          <cell r="AU550">
            <v>40541.385790523324</v>
          </cell>
          <cell r="AV550">
            <v>41370.67234217441</v>
          </cell>
          <cell r="AW550">
            <v>42199.958893825504</v>
          </cell>
          <cell r="AX550">
            <v>43029.245445476583</v>
          </cell>
          <cell r="AY550">
            <v>43858.531997127677</v>
          </cell>
          <cell r="AZ550">
            <v>44687.818548778749</v>
          </cell>
          <cell r="BA550">
            <v>45517.105100429842</v>
          </cell>
          <cell r="BB550">
            <v>46346.391652080929</v>
          </cell>
          <cell r="BC550">
            <v>47175.678203732023</v>
          </cell>
          <cell r="BD550">
            <v>48004.964755383102</v>
          </cell>
          <cell r="BE550">
            <v>48834.251307034181</v>
          </cell>
          <cell r="BF550">
            <v>49663.537858685289</v>
          </cell>
          <cell r="BG550">
            <v>50492.824410336369</v>
          </cell>
          <cell r="BH550">
            <v>51322.110961987448</v>
          </cell>
          <cell r="BI550">
            <v>52151.397513638527</v>
          </cell>
          <cell r="BJ550">
            <v>52980.684065289621</v>
          </cell>
          <cell r="BK550">
            <v>53809.970616940707</v>
          </cell>
          <cell r="BL550">
            <v>54639.257168591786</v>
          </cell>
          <cell r="BM550">
            <v>55468.54372024288</v>
          </cell>
          <cell r="BN550">
            <v>56297.830271893945</v>
          </cell>
          <cell r="BO550">
            <v>57127.116823545024</v>
          </cell>
          <cell r="BP550">
            <v>57956.403375196111</v>
          </cell>
          <cell r="BQ550">
            <v>58785.68992684719</v>
          </cell>
        </row>
        <row r="551">
          <cell r="AE551">
            <v>3227.9349368076064</v>
          </cell>
          <cell r="AF551">
            <v>3255.5028892035903</v>
          </cell>
          <cell r="AG551">
            <v>3283.0708415995737</v>
          </cell>
          <cell r="AH551">
            <v>3310.6387939955575</v>
          </cell>
          <cell r="AI551">
            <v>3338.2067463915409</v>
          </cell>
          <cell r="AJ551">
            <v>3365.7746987875248</v>
          </cell>
          <cell r="AK551">
            <v>3393.3426511835082</v>
          </cell>
          <cell r="AL551">
            <v>3420.9106035794921</v>
          </cell>
          <cell r="AM551">
            <v>3448.4785559754755</v>
          </cell>
          <cell r="AN551">
            <v>3476.0465083714594</v>
          </cell>
          <cell r="AO551">
            <v>3503.6144607674428</v>
          </cell>
          <cell r="AP551">
            <v>3531.1824131634266</v>
          </cell>
          <cell r="AQ551">
            <v>3558.7503655594105</v>
          </cell>
          <cell r="AR551">
            <v>3586.3183179553939</v>
          </cell>
          <cell r="AS551">
            <v>3613.8862703513778</v>
          </cell>
          <cell r="AT551">
            <v>3641.4542227473612</v>
          </cell>
          <cell r="AU551">
            <v>3669.0221751433451</v>
          </cell>
          <cell r="AV551">
            <v>3696.5901275393285</v>
          </cell>
          <cell r="AW551">
            <v>3724.1580799353123</v>
          </cell>
          <cell r="AX551">
            <v>3751.7260323312958</v>
          </cell>
          <cell r="AY551">
            <v>3779.2939847272796</v>
          </cell>
          <cell r="AZ551">
            <v>3806.861937123263</v>
          </cell>
          <cell r="BA551">
            <v>3834.4298895192469</v>
          </cell>
          <cell r="BB551">
            <v>3861.9978419152303</v>
          </cell>
          <cell r="BC551">
            <v>3889.5657943112142</v>
          </cell>
          <cell r="BD551">
            <v>3917.1337467071976</v>
          </cell>
          <cell r="BE551">
            <v>3944.7016991031815</v>
          </cell>
          <cell r="BF551">
            <v>3972.2696514991649</v>
          </cell>
          <cell r="BG551">
            <v>3999.8376038951487</v>
          </cell>
          <cell r="BH551">
            <v>4027.4055562911321</v>
          </cell>
          <cell r="BI551">
            <v>4054.973508687116</v>
          </cell>
          <cell r="BJ551">
            <v>4082.5414610830994</v>
          </cell>
          <cell r="BK551">
            <v>4110.1094134790837</v>
          </cell>
          <cell r="BL551">
            <v>4137.6773658750672</v>
          </cell>
          <cell r="BM551">
            <v>4165.2453182710506</v>
          </cell>
          <cell r="BN551">
            <v>4192.813270667034</v>
          </cell>
          <cell r="BO551">
            <v>4220.3812230630174</v>
          </cell>
          <cell r="BP551">
            <v>4247.9491754590017</v>
          </cell>
          <cell r="BQ551">
            <v>4275.5171278549851</v>
          </cell>
        </row>
        <row r="552">
          <cell r="AE552">
            <v>892.04273910080849</v>
          </cell>
          <cell r="AF552">
            <v>897.91643360164323</v>
          </cell>
          <cell r="AG552">
            <v>903.79012810247798</v>
          </cell>
          <cell r="AH552">
            <v>909.66382260331272</v>
          </cell>
          <cell r="AI552">
            <v>915.53751710414724</v>
          </cell>
          <cell r="AJ552">
            <v>921.41121160498199</v>
          </cell>
          <cell r="AK552">
            <v>927.28490610581673</v>
          </cell>
          <cell r="AL552">
            <v>933.15860060665148</v>
          </cell>
          <cell r="AM552">
            <v>939.03229510748622</v>
          </cell>
          <cell r="AN552">
            <v>944.90598960832097</v>
          </cell>
          <cell r="AO552">
            <v>950.77968410915571</v>
          </cell>
          <cell r="AP552">
            <v>956.65337860999045</v>
          </cell>
          <cell r="AQ552">
            <v>962.5270731108252</v>
          </cell>
          <cell r="AR552">
            <v>968.40076761165994</v>
          </cell>
          <cell r="AS552">
            <v>974.27446211249469</v>
          </cell>
          <cell r="AT552">
            <v>980.14815661332921</v>
          </cell>
          <cell r="AU552">
            <v>986.02185111416395</v>
          </cell>
          <cell r="AV552">
            <v>991.8955456149987</v>
          </cell>
          <cell r="AW552">
            <v>997.76924011583344</v>
          </cell>
          <cell r="AX552">
            <v>1003.6429346166682</v>
          </cell>
          <cell r="AY552">
            <v>1009.5166291175029</v>
          </cell>
          <cell r="AZ552">
            <v>1015.3903236183377</v>
          </cell>
          <cell r="BA552">
            <v>1021.2640181191724</v>
          </cell>
          <cell r="BB552">
            <v>1027.1377126200073</v>
          </cell>
          <cell r="BC552">
            <v>1033.011407120842</v>
          </cell>
          <cell r="BD552">
            <v>1038.885101621677</v>
          </cell>
          <cell r="BE552">
            <v>1044.7587961225115</v>
          </cell>
          <cell r="BF552">
            <v>1050.6324906233463</v>
          </cell>
          <cell r="BG552">
            <v>1056.506185124181</v>
          </cell>
          <cell r="BH552">
            <v>1062.3798796250157</v>
          </cell>
          <cell r="BI552">
            <v>1068.2535741258505</v>
          </cell>
          <cell r="BJ552">
            <v>1074.1272686266852</v>
          </cell>
          <cell r="BK552">
            <v>1080.00096312752</v>
          </cell>
          <cell r="BL552">
            <v>1085.8746576283547</v>
          </cell>
          <cell r="BM552">
            <v>1091.7483521291895</v>
          </cell>
          <cell r="BN552">
            <v>1097.6220466300242</v>
          </cell>
          <cell r="BO552">
            <v>1103.495741130859</v>
          </cell>
          <cell r="BP552">
            <v>1109.3694356316935</v>
          </cell>
          <cell r="BQ552">
            <v>1115.2431301325282</v>
          </cell>
        </row>
        <row r="553">
          <cell r="AE553">
            <v>111446.90580100549</v>
          </cell>
          <cell r="AF553">
            <v>111463.54344556993</v>
          </cell>
          <cell r="AG553">
            <v>111480.18109013437</v>
          </cell>
          <cell r="AH553">
            <v>111496.81873469881</v>
          </cell>
          <cell r="AI553">
            <v>111513.45637926325</v>
          </cell>
          <cell r="AJ553">
            <v>111530.0940238277</v>
          </cell>
          <cell r="AK553">
            <v>111546.73166839214</v>
          </cell>
          <cell r="AL553">
            <v>111563.36931295661</v>
          </cell>
          <cell r="AM553">
            <v>111580.00695752105</v>
          </cell>
          <cell r="AN553">
            <v>111596.64460208549</v>
          </cell>
          <cell r="AO553">
            <v>111613.28224664993</v>
          </cell>
          <cell r="AP553">
            <v>111629.91989121438</v>
          </cell>
          <cell r="AQ553">
            <v>111646.55753577882</v>
          </cell>
          <cell r="AR553">
            <v>111663.19518034326</v>
          </cell>
          <cell r="AS553">
            <v>111679.83282490773</v>
          </cell>
          <cell r="AT553">
            <v>111696.47046947217</v>
          </cell>
          <cell r="AU553">
            <v>111713.10811403662</v>
          </cell>
          <cell r="AV553">
            <v>111729.74575860106</v>
          </cell>
          <cell r="AW553">
            <v>111746.3834031655</v>
          </cell>
          <cell r="AX553">
            <v>111763.02104772994</v>
          </cell>
          <cell r="AY553">
            <v>111779.65869229441</v>
          </cell>
          <cell r="AZ553">
            <v>111796.29633685885</v>
          </cell>
          <cell r="BA553">
            <v>111812.9339814233</v>
          </cell>
          <cell r="BB553">
            <v>111829.57162598774</v>
          </cell>
          <cell r="BC553">
            <v>111846.20927055218</v>
          </cell>
          <cell r="BD553">
            <v>111862.84691511662</v>
          </cell>
          <cell r="BE553">
            <v>111879.48455968106</v>
          </cell>
          <cell r="BF553">
            <v>111896.12220424553</v>
          </cell>
          <cell r="BG553">
            <v>111912.75984880998</v>
          </cell>
          <cell r="BH553">
            <v>111929.39749337442</v>
          </cell>
          <cell r="BI553">
            <v>111946.03513793886</v>
          </cell>
          <cell r="BJ553">
            <v>111962.6727825033</v>
          </cell>
          <cell r="BK553">
            <v>111979.31042706774</v>
          </cell>
          <cell r="BL553">
            <v>111995.94807163219</v>
          </cell>
          <cell r="BM553">
            <v>112012.58571619666</v>
          </cell>
          <cell r="BN553">
            <v>112029.2233607611</v>
          </cell>
          <cell r="BO553">
            <v>112045.86100532554</v>
          </cell>
          <cell r="BP553">
            <v>112062.49864988998</v>
          </cell>
          <cell r="BQ553">
            <v>112079.13629445442</v>
          </cell>
        </row>
        <row r="554">
          <cell r="AE554">
            <v>2029778.8780198463</v>
          </cell>
          <cell r="AF554">
            <v>2042800.9812413759</v>
          </cell>
          <cell r="AG554">
            <v>2055823.0844629053</v>
          </cell>
          <cell r="AH554">
            <v>2068845.1876844347</v>
          </cell>
          <cell r="AI554">
            <v>2081867.2909059643</v>
          </cell>
          <cell r="AJ554">
            <v>2094889.3941274937</v>
          </cell>
          <cell r="AK554">
            <v>2107911.4973490234</v>
          </cell>
          <cell r="AL554">
            <v>2129780.2741153426</v>
          </cell>
          <cell r="AM554">
            <v>2151649.0508816615</v>
          </cell>
          <cell r="AN554">
            <v>2173517.8276479808</v>
          </cell>
          <cell r="AO554">
            <v>2195386.6044142996</v>
          </cell>
          <cell r="AP554">
            <v>2217255.3811806189</v>
          </cell>
          <cell r="AQ554">
            <v>2239124.1579469377</v>
          </cell>
          <cell r="AR554">
            <v>2260992.934713257</v>
          </cell>
          <cell r="AS554">
            <v>2282861.7114795758</v>
          </cell>
          <cell r="AT554">
            <v>2304730.4882458951</v>
          </cell>
          <cell r="AU554">
            <v>2326599.2650122144</v>
          </cell>
          <cell r="AV554">
            <v>2348468.0417785333</v>
          </cell>
          <cell r="AW554">
            <v>2370336.8185448521</v>
          </cell>
          <cell r="AX554">
            <v>2392578.6068636663</v>
          </cell>
          <cell r="AY554">
            <v>2414820.3951824801</v>
          </cell>
          <cell r="AZ554">
            <v>2437062.1835012939</v>
          </cell>
          <cell r="BA554">
            <v>2459303.9718201077</v>
          </cell>
          <cell r="BB554">
            <v>2481545.7601389214</v>
          </cell>
          <cell r="BC554">
            <v>2503787.5484577357</v>
          </cell>
          <cell r="BD554">
            <v>2526029.336776549</v>
          </cell>
          <cell r="BE554">
            <v>2548271.1250953628</v>
          </cell>
          <cell r="BF554">
            <v>2570512.9134141766</v>
          </cell>
          <cell r="BG554">
            <v>2592754.7017329903</v>
          </cell>
          <cell r="BH554">
            <v>2614996.4900518041</v>
          </cell>
          <cell r="BI554">
            <v>2637238.2783706179</v>
          </cell>
          <cell r="BJ554">
            <v>2659480.0666894317</v>
          </cell>
          <cell r="BK554">
            <v>2681721.8550082454</v>
          </cell>
          <cell r="BL554">
            <v>2703963.6433270597</v>
          </cell>
          <cell r="BM554">
            <v>2726205.4316458735</v>
          </cell>
          <cell r="BN554">
            <v>2748447.2199646872</v>
          </cell>
          <cell r="BO554">
            <v>2770689.008283501</v>
          </cell>
          <cell r="BP554">
            <v>2792930.7966023148</v>
          </cell>
          <cell r="BQ554">
            <v>2815172.5849211286</v>
          </cell>
        </row>
        <row r="555">
          <cell r="AE555">
            <v>273139.2561664434</v>
          </cell>
          <cell r="AF555">
            <v>272318.52883358276</v>
          </cell>
          <cell r="AG555">
            <v>271497.80150072213</v>
          </cell>
          <cell r="AH555">
            <v>270677.07416786149</v>
          </cell>
          <cell r="AI555">
            <v>269856.34683500085</v>
          </cell>
          <cell r="AJ555">
            <v>269035.61950214021</v>
          </cell>
          <cell r="AK555">
            <v>268214.89216927957</v>
          </cell>
          <cell r="AL555">
            <v>267394.16483641899</v>
          </cell>
          <cell r="AM555">
            <v>266573.43750355835</v>
          </cell>
          <cell r="AN555">
            <v>265752.71017069771</v>
          </cell>
          <cell r="AO555">
            <v>264931.98283783707</v>
          </cell>
          <cell r="AP555">
            <v>264111.25550497643</v>
          </cell>
          <cell r="AQ555">
            <v>263290.5281721158</v>
          </cell>
          <cell r="AR555">
            <v>262469.80083925516</v>
          </cell>
          <cell r="AS555">
            <v>261649.07350639458</v>
          </cell>
          <cell r="AT555">
            <v>260828.34617353394</v>
          </cell>
          <cell r="AU555">
            <v>260007.6188406733</v>
          </cell>
          <cell r="AV555">
            <v>259186.89150781266</v>
          </cell>
          <cell r="AW555">
            <v>258366.16417495205</v>
          </cell>
          <cell r="AX555">
            <v>257545.43684209141</v>
          </cell>
          <cell r="AY555">
            <v>256724.70950923077</v>
          </cell>
          <cell r="AZ555">
            <v>255903.98217637016</v>
          </cell>
          <cell r="BA555">
            <v>255083.25484350952</v>
          </cell>
          <cell r="BB555">
            <v>254262.52751064888</v>
          </cell>
          <cell r="BC555">
            <v>253441.80017778825</v>
          </cell>
          <cell r="BD555">
            <v>252621.07284492764</v>
          </cell>
          <cell r="BE555">
            <v>251800.345512067</v>
          </cell>
          <cell r="BF555">
            <v>250979.61817920636</v>
          </cell>
          <cell r="BG555">
            <v>250158.89084634575</v>
          </cell>
          <cell r="BH555">
            <v>249338.16351348511</v>
          </cell>
          <cell r="BI555">
            <v>248517.43618062447</v>
          </cell>
          <cell r="BJ555">
            <v>247696.70884776386</v>
          </cell>
          <cell r="BK555">
            <v>246875.98151490322</v>
          </cell>
          <cell r="BL555">
            <v>246055.25418204258</v>
          </cell>
          <cell r="BM555">
            <v>245234.52684918194</v>
          </cell>
          <cell r="BN555">
            <v>244413.79951632133</v>
          </cell>
          <cell r="BO555">
            <v>243593.0721834607</v>
          </cell>
          <cell r="BP555">
            <v>242772.34485060006</v>
          </cell>
          <cell r="BQ555">
            <v>241951.61751773945</v>
          </cell>
        </row>
        <row r="556">
          <cell r="AE556">
            <v>57963.822619231716</v>
          </cell>
          <cell r="AF556">
            <v>57963.822619231716</v>
          </cell>
          <cell r="AG556">
            <v>57963.822619231716</v>
          </cell>
          <cell r="AH556">
            <v>57963.822619231716</v>
          </cell>
          <cell r="AI556">
            <v>57963.822619231716</v>
          </cell>
          <cell r="AJ556">
            <v>57963.822619231716</v>
          </cell>
          <cell r="AK556">
            <v>57963.822619231716</v>
          </cell>
          <cell r="AL556">
            <v>57963.822619231716</v>
          </cell>
          <cell r="AM556">
            <v>57963.822619231716</v>
          </cell>
          <cell r="AN556">
            <v>57963.822619231716</v>
          </cell>
          <cell r="AO556">
            <v>57963.822619231716</v>
          </cell>
          <cell r="AP556">
            <v>57963.822619231716</v>
          </cell>
          <cell r="AQ556">
            <v>57963.822619231716</v>
          </cell>
          <cell r="AR556">
            <v>57963.822619231716</v>
          </cell>
          <cell r="AS556">
            <v>57963.822619231716</v>
          </cell>
          <cell r="AT556">
            <v>57963.822619231716</v>
          </cell>
          <cell r="AU556">
            <v>57963.822619231716</v>
          </cell>
          <cell r="AV556">
            <v>57963.822619231716</v>
          </cell>
          <cell r="AW556">
            <v>57963.822619231716</v>
          </cell>
          <cell r="AX556">
            <v>57963.822619231716</v>
          </cell>
          <cell r="AY556">
            <v>57963.822619231716</v>
          </cell>
          <cell r="AZ556">
            <v>57963.822619231716</v>
          </cell>
          <cell r="BA556">
            <v>57963.822619231716</v>
          </cell>
          <cell r="BB556">
            <v>57963.822619231716</v>
          </cell>
          <cell r="BC556">
            <v>57963.822619231716</v>
          </cell>
          <cell r="BD556">
            <v>57963.822619231716</v>
          </cell>
          <cell r="BE556">
            <v>57963.822619231716</v>
          </cell>
          <cell r="BF556">
            <v>57963.822619231716</v>
          </cell>
          <cell r="BG556">
            <v>57963.822619231716</v>
          </cell>
          <cell r="BH556">
            <v>57963.822619231716</v>
          </cell>
          <cell r="BI556">
            <v>57963.822619231716</v>
          </cell>
          <cell r="BJ556">
            <v>57963.822619231716</v>
          </cell>
          <cell r="BK556">
            <v>57963.822619231716</v>
          </cell>
          <cell r="BL556">
            <v>57963.822619231716</v>
          </cell>
          <cell r="BM556">
            <v>57963.822619231716</v>
          </cell>
          <cell r="BN556">
            <v>57963.822619231716</v>
          </cell>
          <cell r="BO556">
            <v>57963.822619231716</v>
          </cell>
          <cell r="BP556">
            <v>57963.822619231716</v>
          </cell>
          <cell r="BQ556">
            <v>57963.822619231716</v>
          </cell>
        </row>
        <row r="557">
          <cell r="AE557">
            <v>91537.108006573035</v>
          </cell>
          <cell r="AF557">
            <v>91537.108006573035</v>
          </cell>
          <cell r="AG557">
            <v>91537.108006573035</v>
          </cell>
          <cell r="AH557">
            <v>91537.108006573035</v>
          </cell>
          <cell r="AI557">
            <v>91537.108006573035</v>
          </cell>
          <cell r="AJ557">
            <v>91537.108006573035</v>
          </cell>
          <cell r="AK557">
            <v>91537.108006573035</v>
          </cell>
          <cell r="AL557">
            <v>91537.108006573035</v>
          </cell>
          <cell r="AM557">
            <v>91537.108006573035</v>
          </cell>
          <cell r="AN557">
            <v>91537.108006573035</v>
          </cell>
          <cell r="AO557">
            <v>91537.108006573035</v>
          </cell>
          <cell r="AP557">
            <v>91537.108006573035</v>
          </cell>
          <cell r="AQ557">
            <v>91537.108006573035</v>
          </cell>
          <cell r="AR557">
            <v>91537.108006573035</v>
          </cell>
          <cell r="AS557">
            <v>91537.108006573035</v>
          </cell>
          <cell r="AT557">
            <v>91537.108006573035</v>
          </cell>
          <cell r="AU557">
            <v>91537.108006573035</v>
          </cell>
          <cell r="AV557">
            <v>91537.108006573035</v>
          </cell>
          <cell r="AW557">
            <v>91537.108006573035</v>
          </cell>
          <cell r="AX557">
            <v>91537.108006573035</v>
          </cell>
          <cell r="AY557">
            <v>91537.108006573035</v>
          </cell>
          <cell r="AZ557">
            <v>91537.108006573035</v>
          </cell>
          <cell r="BA557">
            <v>91537.108006573035</v>
          </cell>
          <cell r="BB557">
            <v>91537.108006573035</v>
          </cell>
          <cell r="BC557">
            <v>91537.108006573035</v>
          </cell>
          <cell r="BD557">
            <v>91537.108006573035</v>
          </cell>
          <cell r="BE557">
            <v>91537.108006573035</v>
          </cell>
          <cell r="BF557">
            <v>91537.108006573035</v>
          </cell>
          <cell r="BG557">
            <v>91537.108006573035</v>
          </cell>
          <cell r="BH557">
            <v>91537.108006573035</v>
          </cell>
          <cell r="BI557">
            <v>91537.108006573035</v>
          </cell>
          <cell r="BJ557">
            <v>91537.108006573035</v>
          </cell>
          <cell r="BK557">
            <v>91537.108006573035</v>
          </cell>
          <cell r="BL557">
            <v>91537.108006573035</v>
          </cell>
          <cell r="BM557">
            <v>91537.108006573035</v>
          </cell>
          <cell r="BN557">
            <v>91537.108006573035</v>
          </cell>
          <cell r="BO557">
            <v>91537.108006573035</v>
          </cell>
          <cell r="BP557">
            <v>91537.108006573035</v>
          </cell>
          <cell r="BQ557">
            <v>91537.108006573035</v>
          </cell>
        </row>
        <row r="558">
          <cell r="AE558">
            <v>45569.714076613083</v>
          </cell>
          <cell r="AF558">
            <v>45666.022187618808</v>
          </cell>
          <cell r="AG558">
            <v>45762.330298624533</v>
          </cell>
          <cell r="AH558">
            <v>45858.638409630257</v>
          </cell>
          <cell r="AI558">
            <v>45954.946520635982</v>
          </cell>
          <cell r="AJ558">
            <v>46051.254631641707</v>
          </cell>
          <cell r="AK558">
            <v>46147.562742647431</v>
          </cell>
          <cell r="AL558">
            <v>46243.870853653156</v>
          </cell>
          <cell r="AM558">
            <v>46340.17896465888</v>
          </cell>
          <cell r="AN558">
            <v>46436.487075664612</v>
          </cell>
          <cell r="AO558">
            <v>46532.795186670337</v>
          </cell>
          <cell r="AP558">
            <v>46629.103297676062</v>
          </cell>
          <cell r="AQ558">
            <v>46725.411408681786</v>
          </cell>
          <cell r="AR558">
            <v>46821.719519687511</v>
          </cell>
          <cell r="AS558">
            <v>46918.027630693236</v>
          </cell>
          <cell r="AT558">
            <v>47014.33574169896</v>
          </cell>
          <cell r="AU558">
            <v>47110.643852704685</v>
          </cell>
          <cell r="AV558">
            <v>47206.951963710409</v>
          </cell>
          <cell r="AW558">
            <v>47303.260074716134</v>
          </cell>
          <cell r="AX558">
            <v>47399.568185721859</v>
          </cell>
          <cell r="AY558">
            <v>47495.876296727583</v>
          </cell>
          <cell r="AZ558">
            <v>47592.184407733308</v>
          </cell>
          <cell r="BA558">
            <v>47688.492518739033</v>
          </cell>
          <cell r="BB558">
            <v>47784.800629744757</v>
          </cell>
          <cell r="BC558">
            <v>47881.108740750482</v>
          </cell>
          <cell r="BD558">
            <v>47977.416851756207</v>
          </cell>
          <cell r="BE558">
            <v>48073.724962761939</v>
          </cell>
          <cell r="BF558">
            <v>48170.033073767663</v>
          </cell>
          <cell r="BG558">
            <v>48266.341184773388</v>
          </cell>
          <cell r="BH558">
            <v>48362.649295779112</v>
          </cell>
          <cell r="BI558">
            <v>48458.957406784837</v>
          </cell>
          <cell r="BJ558">
            <v>48555.265517790562</v>
          </cell>
          <cell r="BK558">
            <v>48651.573628796286</v>
          </cell>
          <cell r="BL558">
            <v>48747.881739802011</v>
          </cell>
          <cell r="BM558">
            <v>48844.189850807736</v>
          </cell>
          <cell r="BN558">
            <v>48940.49796181346</v>
          </cell>
          <cell r="BO558">
            <v>49036.806072819185</v>
          </cell>
          <cell r="BP558">
            <v>49133.11418382491</v>
          </cell>
          <cell r="BQ558">
            <v>49229.422294830634</v>
          </cell>
        </row>
        <row r="559">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P559">
            <v>0</v>
          </cell>
          <cell r="BQ559">
            <v>0</v>
          </cell>
        </row>
        <row r="560">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P560">
            <v>0</v>
          </cell>
          <cell r="BQ560">
            <v>0</v>
          </cell>
        </row>
      </sheetData>
      <sheetData sheetId="14"/>
      <sheetData sheetId="15"/>
      <sheetData sheetId="16"/>
      <sheetData sheetId="17"/>
      <sheetData sheetId="18"/>
      <sheetData sheetId="19"/>
      <sheetData sheetId="20"/>
      <sheetData sheetId="21"/>
      <sheetData sheetId="22"/>
      <sheetData sheetId="23">
        <row r="11">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row>
        <row r="16">
          <cell r="G16">
            <v>-2033.0187784308416</v>
          </cell>
          <cell r="H16">
            <v>-2033.0187784308416</v>
          </cell>
          <cell r="I16">
            <v>-2033.0187784308416</v>
          </cell>
          <cell r="J16">
            <v>-2033.0187784308416</v>
          </cell>
          <cell r="K16">
            <v>-2033.0187784308416</v>
          </cell>
          <cell r="L16">
            <v>-2033.0187784308416</v>
          </cell>
          <cell r="M16">
            <v>-2033.0187784308416</v>
          </cell>
          <cell r="N16">
            <v>-2033.0187784308416</v>
          </cell>
          <cell r="O16">
            <v>-2033.0187784308416</v>
          </cell>
          <cell r="P16">
            <v>-2033.0187784308416</v>
          </cell>
          <cell r="Q16">
            <v>-2033.0187784308416</v>
          </cell>
          <cell r="R16">
            <v>-2033.0187784308416</v>
          </cell>
          <cell r="S16">
            <v>-2033.0187784308416</v>
          </cell>
          <cell r="T16">
            <v>-2033.0187784308416</v>
          </cell>
          <cell r="U16">
            <v>-2033.0187784308416</v>
          </cell>
          <cell r="V16">
            <v>-2033.0187784308416</v>
          </cell>
          <cell r="W16">
            <v>-2033.0187784308416</v>
          </cell>
          <cell r="X16">
            <v>-2033.0187784308416</v>
          </cell>
          <cell r="Y16">
            <v>-2033.0187784308416</v>
          </cell>
          <cell r="Z16">
            <v>-2033.0187784308416</v>
          </cell>
          <cell r="AA16">
            <v>-2033.0187784308416</v>
          </cell>
          <cell r="AB16">
            <v>-2033.0187784308416</v>
          </cell>
          <cell r="AC16">
            <v>-2033.0187784308416</v>
          </cell>
          <cell r="AD16">
            <v>-2033.0187784308416</v>
          </cell>
          <cell r="AE16">
            <v>-2033.0187784308416</v>
          </cell>
          <cell r="AF16">
            <v>-2033.0187784308416</v>
          </cell>
          <cell r="AG16">
            <v>-2033.0187784308416</v>
          </cell>
          <cell r="AH16">
            <v>-2033.0187784308416</v>
          </cell>
          <cell r="AI16">
            <v>-2033.0187784308416</v>
          </cell>
          <cell r="AJ16">
            <v>-2035.9216395513552</v>
          </cell>
          <cell r="AK16">
            <v>-2038.8245006718687</v>
          </cell>
          <cell r="AL16">
            <v>-2041.727361792382</v>
          </cell>
          <cell r="AM16">
            <v>-2044.6302229128955</v>
          </cell>
          <cell r="AN16">
            <v>-2047.5330840334091</v>
          </cell>
          <cell r="AO16">
            <v>-2050.4359451539226</v>
          </cell>
          <cell r="AP16">
            <v>-2053.3388062744357</v>
          </cell>
          <cell r="AQ16">
            <v>-2056.2416673949492</v>
          </cell>
          <cell r="AR16">
            <v>-2059.1445285154628</v>
          </cell>
          <cell r="AS16">
            <v>-2062.0473896359763</v>
          </cell>
        </row>
        <row r="24">
          <cell r="G24">
            <v>12.039584863281849</v>
          </cell>
          <cell r="H24">
            <v>12.025408588332189</v>
          </cell>
          <cell r="I24">
            <v>12.011232313382529</v>
          </cell>
          <cell r="J24">
            <v>11.997056038432865</v>
          </cell>
          <cell r="K24">
            <v>11.982879763483202</v>
          </cell>
          <cell r="L24">
            <v>11.96870348853354</v>
          </cell>
          <cell r="M24">
            <v>11.95452721358388</v>
          </cell>
          <cell r="N24">
            <v>11.94035093863422</v>
          </cell>
          <cell r="O24">
            <v>11.926174663684558</v>
          </cell>
          <cell r="P24">
            <v>11.911998388734897</v>
          </cell>
          <cell r="Q24">
            <v>11.897822113785235</v>
          </cell>
          <cell r="R24">
            <v>11.883645838835573</v>
          </cell>
          <cell r="S24">
            <v>11.869469563885913</v>
          </cell>
          <cell r="T24">
            <v>11.855293288936252</v>
          </cell>
          <cell r="U24">
            <v>11.841117013986592</v>
          </cell>
          <cell r="V24">
            <v>11.826940739036928</v>
          </cell>
          <cell r="W24">
            <v>11.812764464087271</v>
          </cell>
          <cell r="X24">
            <v>11.798588189137607</v>
          </cell>
          <cell r="Y24">
            <v>11.784411914187945</v>
          </cell>
          <cell r="Z24">
            <v>11.770235639238283</v>
          </cell>
          <cell r="AA24">
            <v>11.756059364288626</v>
          </cell>
          <cell r="AB24">
            <v>11.741883089338963</v>
          </cell>
          <cell r="AC24">
            <v>11.7277068143893</v>
          </cell>
          <cell r="AD24">
            <v>11.713530539439638</v>
          </cell>
          <cell r="AE24">
            <v>11.699354264489978</v>
          </cell>
          <cell r="AF24">
            <v>11.685177989540316</v>
          </cell>
          <cell r="AG24">
            <v>11.671001714590655</v>
          </cell>
          <cell r="AH24">
            <v>11.656825439640995</v>
          </cell>
          <cell r="AI24">
            <v>11.642649164691337</v>
          </cell>
          <cell r="AJ24">
            <v>11.628472889741671</v>
          </cell>
          <cell r="AK24">
            <v>11.614296614792011</v>
          </cell>
          <cell r="AL24">
            <v>11.60012033984235</v>
          </cell>
          <cell r="AM24">
            <v>11.585944064892692</v>
          </cell>
          <cell r="AN24">
            <v>11.571767789943026</v>
          </cell>
          <cell r="AO24">
            <v>11.557591514993369</v>
          </cell>
          <cell r="AP24">
            <v>11.543415240043705</v>
          </cell>
          <cell r="AQ24">
            <v>11.529238965094041</v>
          </cell>
          <cell r="AR24">
            <v>11.515062690144381</v>
          </cell>
          <cell r="AS24">
            <v>11.500886415194721</v>
          </cell>
        </row>
        <row r="29">
          <cell r="G29">
            <v>1715.7336191464217</v>
          </cell>
          <cell r="H29">
            <v>1719.709290401963</v>
          </cell>
          <cell r="I29">
            <v>1723.6849616575048</v>
          </cell>
          <cell r="J29">
            <v>1727.6606329130461</v>
          </cell>
          <cell r="K29">
            <v>1731.6363041685877</v>
          </cell>
          <cell r="L29">
            <v>1735.6119754241288</v>
          </cell>
          <cell r="M29">
            <v>1739.5876466796708</v>
          </cell>
          <cell r="N29">
            <v>1743.5633179352121</v>
          </cell>
          <cell r="O29">
            <v>1747.5389891907532</v>
          </cell>
          <cell r="P29">
            <v>1751.5146604462952</v>
          </cell>
          <cell r="Q29">
            <v>1755.4903317018363</v>
          </cell>
          <cell r="R29">
            <v>1759.4660029573779</v>
          </cell>
          <cell r="S29">
            <v>1763.4416742129195</v>
          </cell>
          <cell r="T29">
            <v>1767.4173454684612</v>
          </cell>
          <cell r="U29">
            <v>1771.3930167240023</v>
          </cell>
          <cell r="V29">
            <v>1775.3686879795443</v>
          </cell>
          <cell r="W29">
            <v>1779.3443592350852</v>
          </cell>
          <cell r="X29">
            <v>1783.3200304906268</v>
          </cell>
          <cell r="Y29">
            <v>1787.2957017461686</v>
          </cell>
          <cell r="Z29">
            <v>1791.2713730017101</v>
          </cell>
          <cell r="AA29">
            <v>1795.2470442572514</v>
          </cell>
          <cell r="AB29">
            <v>1799.222715512793</v>
          </cell>
          <cell r="AC29">
            <v>1803.1983867683346</v>
          </cell>
          <cell r="AD29">
            <v>1807.1740580238759</v>
          </cell>
          <cell r="AE29">
            <v>1811.1497292794177</v>
          </cell>
          <cell r="AF29">
            <v>1815.125400534959</v>
          </cell>
          <cell r="AG29">
            <v>1819.1010717905003</v>
          </cell>
          <cell r="AH29">
            <v>1823.0767430460423</v>
          </cell>
          <cell r="AI29">
            <v>1827.0524143015834</v>
          </cell>
          <cell r="AJ29">
            <v>1831.028085557125</v>
          </cell>
          <cell r="AK29">
            <v>1835.0037568126666</v>
          </cell>
          <cell r="AL29">
            <v>1838.9794280682081</v>
          </cell>
          <cell r="AM29">
            <v>1842.9550993237494</v>
          </cell>
          <cell r="AN29">
            <v>1846.9307705792914</v>
          </cell>
          <cell r="AO29">
            <v>1850.9064418348325</v>
          </cell>
          <cell r="AP29">
            <v>1854.8821130903739</v>
          </cell>
          <cell r="AQ29">
            <v>1858.8577843459154</v>
          </cell>
          <cell r="AR29">
            <v>1862.8334556014568</v>
          </cell>
          <cell r="AS29">
            <v>1866.8091268569985</v>
          </cell>
        </row>
        <row r="37">
          <cell r="G37">
            <v>2015.9027318282567</v>
          </cell>
          <cell r="H37">
            <v>2015.9027318282567</v>
          </cell>
          <cell r="I37">
            <v>2015.9027318282567</v>
          </cell>
          <cell r="J37">
            <v>2015.9027318282567</v>
          </cell>
          <cell r="K37">
            <v>2015.9027318282567</v>
          </cell>
          <cell r="L37">
            <v>2015.9027318282567</v>
          </cell>
          <cell r="M37">
            <v>2015.9027318282567</v>
          </cell>
          <cell r="N37">
            <v>2015.9027318282567</v>
          </cell>
          <cell r="O37">
            <v>2015.9027318282567</v>
          </cell>
          <cell r="P37">
            <v>2015.9027318282567</v>
          </cell>
          <cell r="Q37">
            <v>2015.9027318282567</v>
          </cell>
          <cell r="R37">
            <v>2015.9027318282567</v>
          </cell>
          <cell r="S37">
            <v>2015.9027318282567</v>
          </cell>
          <cell r="T37">
            <v>2015.9027318282567</v>
          </cell>
          <cell r="U37">
            <v>2015.9027318282567</v>
          </cell>
          <cell r="V37">
            <v>2015.9027318282567</v>
          </cell>
          <cell r="W37">
            <v>2015.9027318282567</v>
          </cell>
          <cell r="X37">
            <v>2015.9027318282567</v>
          </cell>
          <cell r="Y37">
            <v>2015.9027318282567</v>
          </cell>
          <cell r="Z37">
            <v>2015.9027318282567</v>
          </cell>
          <cell r="AA37">
            <v>2015.9027318282567</v>
          </cell>
          <cell r="AB37">
            <v>2015.9027318282567</v>
          </cell>
          <cell r="AC37">
            <v>2015.9027318282567</v>
          </cell>
          <cell r="AD37">
            <v>2015.9027318282567</v>
          </cell>
          <cell r="AE37">
            <v>2015.9027318282567</v>
          </cell>
          <cell r="AF37">
            <v>2015.9027318282567</v>
          </cell>
          <cell r="AG37">
            <v>2015.9027318282567</v>
          </cell>
          <cell r="AH37">
            <v>2015.9027318282567</v>
          </cell>
          <cell r="AI37">
            <v>2015.9027318282567</v>
          </cell>
          <cell r="AJ37">
            <v>2015.9027318282567</v>
          </cell>
          <cell r="AK37">
            <v>2015.9027318282567</v>
          </cell>
          <cell r="AL37">
            <v>2015.9027318282567</v>
          </cell>
          <cell r="AM37">
            <v>2015.9027318282567</v>
          </cell>
          <cell r="AN37">
            <v>2015.9027318282567</v>
          </cell>
          <cell r="AO37">
            <v>2015.9027318282567</v>
          </cell>
          <cell r="AP37">
            <v>2015.9027318282567</v>
          </cell>
          <cell r="AQ37">
            <v>2015.9027318282567</v>
          </cell>
          <cell r="AR37">
            <v>2015.9027318282567</v>
          </cell>
          <cell r="AS37">
            <v>2015.9027318282567</v>
          </cell>
        </row>
        <row r="42">
          <cell r="G42">
            <v>-16356.408910494018</v>
          </cell>
          <cell r="H42">
            <v>-16356.408910494018</v>
          </cell>
          <cell r="I42">
            <v>-16356.408910494018</v>
          </cell>
          <cell r="J42">
            <v>-16356.408910494018</v>
          </cell>
          <cell r="K42">
            <v>-16356.408910494018</v>
          </cell>
          <cell r="L42">
            <v>-16356.408910494018</v>
          </cell>
          <cell r="M42">
            <v>-16356.408910494018</v>
          </cell>
          <cell r="N42">
            <v>-16356.408910494018</v>
          </cell>
          <cell r="O42">
            <v>-16356.408910494018</v>
          </cell>
          <cell r="P42">
            <v>-16356.408910494018</v>
          </cell>
          <cell r="Q42">
            <v>-16356.408910494018</v>
          </cell>
          <cell r="R42">
            <v>-16356.408910494018</v>
          </cell>
          <cell r="S42">
            <v>-16356.408910494018</v>
          </cell>
          <cell r="T42">
            <v>-16356.408910494018</v>
          </cell>
          <cell r="U42">
            <v>-16356.408910494018</v>
          </cell>
          <cell r="V42">
            <v>-16356.408910494018</v>
          </cell>
          <cell r="W42">
            <v>-16356.408910494018</v>
          </cell>
          <cell r="X42">
            <v>-16356.408910494018</v>
          </cell>
          <cell r="Y42">
            <v>-16356.408910494018</v>
          </cell>
          <cell r="Z42">
            <v>-16356.408910494018</v>
          </cell>
          <cell r="AA42">
            <v>-16356.408910494018</v>
          </cell>
          <cell r="AB42">
            <v>-16356.408910494018</v>
          </cell>
          <cell r="AC42">
            <v>-16356.408910494018</v>
          </cell>
          <cell r="AD42">
            <v>-16356.408910494018</v>
          </cell>
          <cell r="AE42">
            <v>-16356.408910494018</v>
          </cell>
          <cell r="AF42">
            <v>-16356.408910494018</v>
          </cell>
          <cell r="AG42">
            <v>-16356.408910494018</v>
          </cell>
          <cell r="AH42">
            <v>-16356.408910494018</v>
          </cell>
          <cell r="AI42">
            <v>-16356.408910494018</v>
          </cell>
          <cell r="AJ42">
            <v>-16356.40018606854</v>
          </cell>
          <cell r="AK42">
            <v>-16356.391461643068</v>
          </cell>
          <cell r="AL42">
            <v>-16356.382737217593</v>
          </cell>
          <cell r="AM42">
            <v>-16356.374012792119</v>
          </cell>
          <cell r="AN42">
            <v>-16356.365288366647</v>
          </cell>
          <cell r="AO42">
            <v>-16356.35656394117</v>
          </cell>
          <cell r="AP42">
            <v>-16356.347839515698</v>
          </cell>
          <cell r="AQ42">
            <v>-16356.339115090224</v>
          </cell>
          <cell r="AR42">
            <v>-16356.330390664745</v>
          </cell>
          <cell r="AS42">
            <v>-16356.321666239275</v>
          </cell>
        </row>
        <row r="53">
          <cell r="G53">
            <v>0.19614065557239718</v>
          </cell>
          <cell r="H53">
            <v>0.19614065557239718</v>
          </cell>
          <cell r="I53">
            <v>0.19614065557239718</v>
          </cell>
          <cell r="J53">
            <v>0.19614065557239718</v>
          </cell>
          <cell r="K53">
            <v>0.19614065557239718</v>
          </cell>
          <cell r="L53">
            <v>0.19614065557239718</v>
          </cell>
          <cell r="M53">
            <v>0.19614065557239718</v>
          </cell>
          <cell r="N53">
            <v>0.19614065557239718</v>
          </cell>
          <cell r="O53">
            <v>0.19614065557239718</v>
          </cell>
          <cell r="P53">
            <v>0.19614065557239718</v>
          </cell>
          <cell r="Q53">
            <v>0.19614065557239718</v>
          </cell>
          <cell r="R53">
            <v>0.19614065557239718</v>
          </cell>
          <cell r="S53">
            <v>0.19614065557239718</v>
          </cell>
          <cell r="T53">
            <v>0.19614065557239718</v>
          </cell>
          <cell r="U53">
            <v>0.19614065557239718</v>
          </cell>
          <cell r="V53">
            <v>0.19614065557239718</v>
          </cell>
          <cell r="W53">
            <v>0.19614065557239718</v>
          </cell>
          <cell r="X53">
            <v>0.19614065557239718</v>
          </cell>
          <cell r="Y53">
            <v>0.19614065557239718</v>
          </cell>
          <cell r="Z53">
            <v>0.19614065557239718</v>
          </cell>
          <cell r="AA53">
            <v>0.19614065557239718</v>
          </cell>
          <cell r="AB53">
            <v>0.19614065557239718</v>
          </cell>
          <cell r="AC53">
            <v>0.19614065557239718</v>
          </cell>
          <cell r="AD53">
            <v>0.19614065557239718</v>
          </cell>
          <cell r="AE53">
            <v>0.19614065557239718</v>
          </cell>
          <cell r="AF53">
            <v>0.19614065557239718</v>
          </cell>
          <cell r="AG53">
            <v>0.19614065557239718</v>
          </cell>
          <cell r="AH53">
            <v>0.19614065557239718</v>
          </cell>
          <cell r="AI53">
            <v>0.19614065557239718</v>
          </cell>
          <cell r="AJ53">
            <v>0.19614065557239718</v>
          </cell>
          <cell r="AK53">
            <v>0.19614065557239718</v>
          </cell>
          <cell r="AL53">
            <v>0.19614065557239718</v>
          </cell>
          <cell r="AM53">
            <v>0.19614065557239718</v>
          </cell>
          <cell r="AN53">
            <v>0.19614065557239718</v>
          </cell>
          <cell r="AO53">
            <v>0.19614065557239718</v>
          </cell>
          <cell r="AP53">
            <v>0.19614065557239718</v>
          </cell>
          <cell r="AQ53">
            <v>0.19614065557239718</v>
          </cell>
          <cell r="AR53">
            <v>0.19614065557239718</v>
          </cell>
          <cell r="AS53">
            <v>0.19614065557239718</v>
          </cell>
        </row>
        <row r="58">
          <cell r="G58">
            <v>213.88002646830932</v>
          </cell>
          <cell r="H58">
            <v>213.88002646830932</v>
          </cell>
          <cell r="I58">
            <v>213.88002646830932</v>
          </cell>
          <cell r="J58">
            <v>213.88002646830932</v>
          </cell>
          <cell r="K58">
            <v>213.88002646830932</v>
          </cell>
          <cell r="L58">
            <v>213.88002646830932</v>
          </cell>
          <cell r="M58">
            <v>213.88002646830932</v>
          </cell>
          <cell r="N58">
            <v>213.88002646830932</v>
          </cell>
          <cell r="O58">
            <v>213.88002646830932</v>
          </cell>
          <cell r="P58">
            <v>213.88002646830932</v>
          </cell>
          <cell r="Q58">
            <v>213.88002646830932</v>
          </cell>
          <cell r="R58">
            <v>213.88002646830932</v>
          </cell>
          <cell r="S58">
            <v>213.88002646830932</v>
          </cell>
          <cell r="T58">
            <v>213.88002646830932</v>
          </cell>
          <cell r="U58">
            <v>213.88002646830932</v>
          </cell>
          <cell r="V58">
            <v>213.88002646830932</v>
          </cell>
          <cell r="W58">
            <v>213.88002646830932</v>
          </cell>
          <cell r="X58">
            <v>213.88002646830932</v>
          </cell>
          <cell r="Y58">
            <v>213.88002646830932</v>
          </cell>
          <cell r="Z58">
            <v>213.88002646830932</v>
          </cell>
          <cell r="AA58">
            <v>213.88002646830932</v>
          </cell>
          <cell r="AB58">
            <v>213.88002646830932</v>
          </cell>
          <cell r="AC58">
            <v>213.88002646830932</v>
          </cell>
          <cell r="AD58">
            <v>213.88002646830932</v>
          </cell>
          <cell r="AE58">
            <v>213.88002646830932</v>
          </cell>
          <cell r="AF58">
            <v>213.88002646830932</v>
          </cell>
          <cell r="AG58">
            <v>213.88002646830932</v>
          </cell>
          <cell r="AH58">
            <v>213.88002646830932</v>
          </cell>
          <cell r="AI58">
            <v>213.88002646830932</v>
          </cell>
          <cell r="AJ58">
            <v>213.88002646830932</v>
          </cell>
          <cell r="AK58">
            <v>213.88002646830932</v>
          </cell>
          <cell r="AL58">
            <v>213.88002646830932</v>
          </cell>
          <cell r="AM58">
            <v>213.88002646830932</v>
          </cell>
          <cell r="AN58">
            <v>213.88002646830932</v>
          </cell>
          <cell r="AO58">
            <v>213.88002646830932</v>
          </cell>
          <cell r="AP58">
            <v>213.88002646830932</v>
          </cell>
          <cell r="AQ58">
            <v>213.88002646830932</v>
          </cell>
          <cell r="AR58">
            <v>213.88002646830932</v>
          </cell>
          <cell r="AS58">
            <v>213.88002646830932</v>
          </cell>
        </row>
        <row r="66">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row>
        <row r="71">
          <cell r="G71">
            <v>11186.601025250398</v>
          </cell>
          <cell r="H71">
            <v>11186.601025250397</v>
          </cell>
          <cell r="I71">
            <v>11186.601025250397</v>
          </cell>
          <cell r="J71">
            <v>11186.601025250397</v>
          </cell>
          <cell r="K71">
            <v>11186.601025250397</v>
          </cell>
          <cell r="L71">
            <v>11186.601025250397</v>
          </cell>
          <cell r="M71">
            <v>11186.601025250397</v>
          </cell>
          <cell r="N71">
            <v>11186.601025250397</v>
          </cell>
          <cell r="O71">
            <v>11186.601025250397</v>
          </cell>
          <cell r="P71">
            <v>11186.601025250397</v>
          </cell>
          <cell r="Q71">
            <v>11186.601025250397</v>
          </cell>
          <cell r="R71">
            <v>11186.601025250397</v>
          </cell>
          <cell r="S71">
            <v>11186.601025250397</v>
          </cell>
          <cell r="T71">
            <v>11186.601025250397</v>
          </cell>
          <cell r="U71">
            <v>11186.601025250397</v>
          </cell>
          <cell r="V71">
            <v>11186.601025250397</v>
          </cell>
          <cell r="W71">
            <v>11186.601025250397</v>
          </cell>
          <cell r="X71">
            <v>11186.601025250397</v>
          </cell>
          <cell r="Y71">
            <v>11186.601025250397</v>
          </cell>
          <cell r="Z71">
            <v>11186.601025250397</v>
          </cell>
          <cell r="AA71">
            <v>11186.601025250397</v>
          </cell>
          <cell r="AB71">
            <v>11186.601025250397</v>
          </cell>
          <cell r="AC71">
            <v>11186.601025250397</v>
          </cell>
          <cell r="AD71">
            <v>11186.601025250397</v>
          </cell>
          <cell r="AE71">
            <v>11186.601025250397</v>
          </cell>
          <cell r="AF71">
            <v>11186.601025250397</v>
          </cell>
          <cell r="AG71">
            <v>11186.601025250397</v>
          </cell>
          <cell r="AH71">
            <v>11186.601025250397</v>
          </cell>
          <cell r="AI71">
            <v>11186.601025250397</v>
          </cell>
          <cell r="AJ71">
            <v>11186.601025250397</v>
          </cell>
          <cell r="AK71">
            <v>11186.601025250397</v>
          </cell>
          <cell r="AL71">
            <v>11186.601025250397</v>
          </cell>
          <cell r="AM71">
            <v>11186.601025250397</v>
          </cell>
          <cell r="AN71">
            <v>11186.601025250397</v>
          </cell>
          <cell r="AO71">
            <v>11186.601025250397</v>
          </cell>
          <cell r="AP71">
            <v>11186.601025250397</v>
          </cell>
          <cell r="AQ71">
            <v>11186.601025250397</v>
          </cell>
          <cell r="AR71">
            <v>11186.601025250397</v>
          </cell>
          <cell r="AS71">
            <v>11186.601025250397</v>
          </cell>
        </row>
      </sheetData>
      <sheetData sheetId="24"/>
      <sheetData sheetId="25"/>
      <sheetData sheetId="26"/>
      <sheetData sheetId="27"/>
      <sheetData sheetId="2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PCC Categories"/>
      <sheetName val="Drivers"/>
      <sheetName val="Annual land change driver"/>
      <sheetName val="Land areas"/>
      <sheetName val="Summary land areas"/>
      <sheetName val="Constants"/>
      <sheetName val="Mitigation scenarios"/>
      <sheetName val="Activity data"/>
      <sheetName val="Carbon stock data"/>
      <sheetName val="Relationships"/>
      <sheetName val="Aggregated stock data"/>
      <sheetName val="Baseline Emissions &amp; Removals"/>
      <sheetName val="Baseline emission summary"/>
      <sheetName val="Case 1 Emissions &amp; Removals"/>
      <sheetName val="Case 2 Emissions &amp; Removals"/>
      <sheetName val="Case 3 Emissions &amp; Removals"/>
      <sheetName val="Case 1 summary"/>
      <sheetName val="Inventory comparison"/>
      <sheetName val="1990-2014 corrected"/>
      <sheetName val="1990-2014"/>
      <sheetName val="1990-2018"/>
      <sheetName val="2014-2018"/>
      <sheetName val="Invent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row>
      </sheetData>
      <sheetData sheetId="14"/>
      <sheetData sheetId="15"/>
      <sheetData sheetId="16"/>
      <sheetData sheetId="17"/>
      <sheetData sheetId="18"/>
      <sheetData sheetId="19"/>
      <sheetData sheetId="20"/>
      <sheetData sheetId="21"/>
      <sheetData sheetId="22"/>
      <sheetData sheetId="23"/>
    </sheetDataSet>
  </externalBook>
</externalLink>
</file>

<file path=xl/persons/person.xml><?xml version="1.0" encoding="utf-8"?>
<personList xmlns="http://schemas.microsoft.com/office/spreadsheetml/2018/threadedcomments" xmlns:x="http://schemas.openxmlformats.org/spreadsheetml/2006/main">
  <person displayName="bruno merven" id="{8EF51A79-3B58-4A10-AB03-6BA3328B87EC}" userId="144eb91ed0ec6402" providerId="Windows Live"/>
  <person displayName="Luanne Stevens" id="{9C612A8D-90CB-4007-81B9-47CE939BAA50}" userId="c07d99079094128c" providerId="Windows Live"/>
</personList>
</file>

<file path=xl/theme/theme1.xml><?xml version="1.0" encoding="utf-8"?>
<a:theme xmlns:a="http://schemas.openxmlformats.org/drawingml/2006/main" name="Office Theme">
  <a:themeElements>
    <a:clrScheme name="Aether">
      <a:dk1>
        <a:sysClr val="windowText" lastClr="000000"/>
      </a:dk1>
      <a:lt1>
        <a:sysClr val="window" lastClr="FFFFFF"/>
      </a:lt1>
      <a:dk2>
        <a:srgbClr val="44546A"/>
      </a:dk2>
      <a:lt2>
        <a:srgbClr val="0096C8"/>
      </a:lt2>
      <a:accent1>
        <a:srgbClr val="0096C8"/>
      </a:accent1>
      <a:accent2>
        <a:srgbClr val="ED7D31"/>
      </a:accent2>
      <a:accent3>
        <a:srgbClr val="A5A5A5"/>
      </a:accent3>
      <a:accent4>
        <a:srgbClr val="1F3864"/>
      </a:accent4>
      <a:accent5>
        <a:srgbClr val="954F72"/>
      </a:accent5>
      <a:accent6>
        <a:srgbClr val="C55A11"/>
      </a:accent6>
      <a:hlink>
        <a:srgbClr val="0070C0"/>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Z6" dT="2020-07-23T08:09:40.78" personId="{8EF51A79-3B58-4A10-AB03-6BA3328B87EC}" id="{6704E445-3F8B-48DB-A842-B7D498DA546D}">
    <text>perhaps remove this?</text>
  </threadedComment>
</ThreadedComments>
</file>

<file path=xl/threadedComments/threadedComment2.xml><?xml version="1.0" encoding="utf-8"?>
<ThreadedComments xmlns="http://schemas.microsoft.com/office/spreadsheetml/2018/threadedcomments" xmlns:x="http://schemas.openxmlformats.org/spreadsheetml/2006/main">
  <threadedComment ref="B102" dT="2021-07-18T05:46:03.97" personId="{9C612A8D-90CB-4007-81B9-47CE939BAA50}" id="{89358291-0199-49F8-B7DA-6297E8F89429}">
    <text>This assumes a 15% increase in emissions reductions but this only includes grass maturity. Can maybe increase this to 20% if we consider grass species impacts etc.</text>
  </threadedComment>
  <threadedComment ref="B102" dT="2021-07-18T05:47:15.50" personId="{9C612A8D-90CB-4007-81B9-47CE939BAA50}" id="{CA47A24E-5CF1-4257-818B-48F5FCE4A060}" parentId="{89358291-0199-49F8-B7DA-6297E8F89429}">
    <text>#LS #18/07/2021 Check this query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F46"/>
  <sheetViews>
    <sheetView topLeftCell="A26" workbookViewId="0">
      <selection activeCell="F32" sqref="F32"/>
    </sheetView>
  </sheetViews>
  <sheetFormatPr defaultColWidth="8.77734375" defaultRowHeight="14.4" x14ac:dyDescent="0.3"/>
  <cols>
    <col min="1" max="1" width="27" customWidth="1"/>
    <col min="2" max="2" width="18" customWidth="1"/>
    <col min="3" max="3" width="20.44140625" customWidth="1"/>
    <col min="4" max="4" width="37.33203125" customWidth="1"/>
  </cols>
  <sheetData>
    <row r="1" spans="1:4" ht="18" x14ac:dyDescent="0.35">
      <c r="A1" s="1" t="s">
        <v>800</v>
      </c>
    </row>
    <row r="3" spans="1:4" ht="15.6" x14ac:dyDescent="0.3">
      <c r="A3" s="20" t="s">
        <v>693</v>
      </c>
      <c r="B3" s="20"/>
      <c r="C3" s="20"/>
      <c r="D3" s="20"/>
    </row>
    <row r="4" spans="1:4" x14ac:dyDescent="0.3">
      <c r="A4" s="36" t="s">
        <v>691</v>
      </c>
      <c r="B4" s="36" t="s">
        <v>694</v>
      </c>
      <c r="C4" s="36" t="s">
        <v>695</v>
      </c>
      <c r="D4" s="36" t="s">
        <v>283</v>
      </c>
    </row>
    <row r="5" spans="1:4" x14ac:dyDescent="0.3">
      <c r="A5" t="s">
        <v>692</v>
      </c>
      <c r="B5" t="s">
        <v>696</v>
      </c>
      <c r="C5" t="s">
        <v>698</v>
      </c>
      <c r="D5" s="14"/>
    </row>
    <row r="6" spans="1:4" ht="28.8" x14ac:dyDescent="0.3">
      <c r="A6" t="s">
        <v>709</v>
      </c>
      <c r="B6" t="s">
        <v>696</v>
      </c>
      <c r="C6" t="s">
        <v>735</v>
      </c>
      <c r="D6" s="14" t="s">
        <v>710</v>
      </c>
    </row>
    <row r="7" spans="1:4" ht="72" x14ac:dyDescent="0.3">
      <c r="A7" t="s">
        <v>797</v>
      </c>
      <c r="B7" t="s">
        <v>696</v>
      </c>
      <c r="C7" t="s">
        <v>798</v>
      </c>
      <c r="D7" s="14" t="s">
        <v>799</v>
      </c>
    </row>
    <row r="8" spans="1:4" x14ac:dyDescent="0.3">
      <c r="A8" t="s">
        <v>802</v>
      </c>
      <c r="B8" t="s">
        <v>696</v>
      </c>
      <c r="C8" t="s">
        <v>803</v>
      </c>
      <c r="D8" s="14" t="s">
        <v>804</v>
      </c>
    </row>
    <row r="9" spans="1:4" ht="28.8" x14ac:dyDescent="0.3">
      <c r="A9" t="s">
        <v>819</v>
      </c>
      <c r="B9" t="s">
        <v>696</v>
      </c>
      <c r="C9" t="s">
        <v>820</v>
      </c>
      <c r="D9" s="14" t="s">
        <v>821</v>
      </c>
    </row>
    <row r="10" spans="1:4" ht="43.2" x14ac:dyDescent="0.3">
      <c r="A10" t="s">
        <v>822</v>
      </c>
      <c r="B10" t="s">
        <v>696</v>
      </c>
      <c r="C10" t="s">
        <v>823</v>
      </c>
      <c r="D10" s="14" t="s">
        <v>825</v>
      </c>
    </row>
    <row r="11" spans="1:4" x14ac:dyDescent="0.3">
      <c r="A11" t="s">
        <v>824</v>
      </c>
      <c r="B11" t="s">
        <v>696</v>
      </c>
      <c r="C11" t="s">
        <v>823</v>
      </c>
      <c r="D11" s="14" t="s">
        <v>832</v>
      </c>
    </row>
    <row r="12" spans="1:4" ht="28.8" x14ac:dyDescent="0.3">
      <c r="A12" t="s">
        <v>879</v>
      </c>
      <c r="B12" t="s">
        <v>696</v>
      </c>
      <c r="C12" t="s">
        <v>880</v>
      </c>
      <c r="D12" s="14" t="s">
        <v>881</v>
      </c>
    </row>
    <row r="13" spans="1:4" ht="28.8" x14ac:dyDescent="0.3">
      <c r="A13" s="14" t="s">
        <v>1389</v>
      </c>
      <c r="B13" t="s">
        <v>696</v>
      </c>
      <c r="C13" t="s">
        <v>1390</v>
      </c>
      <c r="D13" s="14" t="s">
        <v>1391</v>
      </c>
    </row>
    <row r="17" spans="1:6" ht="15.6" x14ac:dyDescent="0.3">
      <c r="A17" s="20" t="s">
        <v>697</v>
      </c>
      <c r="B17" s="20"/>
      <c r="C17" s="20"/>
      <c r="D17" s="20"/>
    </row>
    <row r="18" spans="1:6" x14ac:dyDescent="0.3">
      <c r="A18" s="36" t="s">
        <v>691</v>
      </c>
      <c r="B18" s="128" t="s">
        <v>700</v>
      </c>
      <c r="C18" s="128"/>
      <c r="D18" s="36" t="s">
        <v>283</v>
      </c>
    </row>
    <row r="19" spans="1:6" ht="51" customHeight="1" x14ac:dyDescent="0.3">
      <c r="A19" s="50" t="s">
        <v>7</v>
      </c>
      <c r="B19" s="118" t="s">
        <v>701</v>
      </c>
      <c r="C19" s="118"/>
      <c r="D19" s="4"/>
    </row>
    <row r="20" spans="1:6" ht="72" x14ac:dyDescent="0.3">
      <c r="A20" s="51" t="s">
        <v>316</v>
      </c>
      <c r="B20" s="118" t="s">
        <v>827</v>
      </c>
      <c r="C20" s="118"/>
      <c r="D20" s="52" t="s">
        <v>828</v>
      </c>
    </row>
    <row r="21" spans="1:6" ht="45" customHeight="1" x14ac:dyDescent="0.3">
      <c r="A21" s="55" t="s">
        <v>826</v>
      </c>
      <c r="B21" s="118" t="s">
        <v>781</v>
      </c>
      <c r="C21" s="118"/>
      <c r="D21" s="52"/>
    </row>
    <row r="22" spans="1:6" ht="99" customHeight="1" x14ac:dyDescent="0.3">
      <c r="A22" s="82" t="s">
        <v>829</v>
      </c>
      <c r="B22" s="129" t="s">
        <v>830</v>
      </c>
      <c r="C22" s="130"/>
      <c r="D22" s="52"/>
    </row>
    <row r="23" spans="1:6" x14ac:dyDescent="0.3">
      <c r="A23" s="53" t="s">
        <v>8</v>
      </c>
      <c r="B23" s="118" t="s">
        <v>728</v>
      </c>
      <c r="C23" s="118"/>
      <c r="D23" s="4"/>
    </row>
    <row r="24" spans="1:6" ht="60" customHeight="1" x14ac:dyDescent="0.3">
      <c r="A24" s="83" t="s">
        <v>876</v>
      </c>
      <c r="B24" s="129" t="s">
        <v>878</v>
      </c>
      <c r="C24" s="130"/>
      <c r="D24" s="4"/>
    </row>
    <row r="25" spans="1:6" ht="72" hidden="1" x14ac:dyDescent="0.3">
      <c r="A25" s="54" t="s">
        <v>783</v>
      </c>
      <c r="B25" s="118" t="s">
        <v>782</v>
      </c>
      <c r="C25" s="118"/>
      <c r="D25" s="76" t="s">
        <v>729</v>
      </c>
    </row>
    <row r="26" spans="1:6" ht="72" x14ac:dyDescent="0.3">
      <c r="A26" s="56" t="s">
        <v>142</v>
      </c>
      <c r="B26" s="118" t="s">
        <v>831</v>
      </c>
      <c r="C26" s="118"/>
      <c r="D26" s="52" t="s">
        <v>801</v>
      </c>
    </row>
    <row r="27" spans="1:6" ht="63" customHeight="1" x14ac:dyDescent="0.3">
      <c r="A27" s="56" t="s">
        <v>279</v>
      </c>
      <c r="B27" s="118" t="s">
        <v>730</v>
      </c>
      <c r="C27" s="118"/>
      <c r="D27" s="52" t="s">
        <v>731</v>
      </c>
    </row>
    <row r="28" spans="1:6" ht="46.5" customHeight="1" x14ac:dyDescent="0.3">
      <c r="A28" s="56" t="s">
        <v>699</v>
      </c>
      <c r="B28" s="118" t="s">
        <v>732</v>
      </c>
      <c r="C28" s="118"/>
      <c r="D28" s="4"/>
    </row>
    <row r="29" spans="1:6" x14ac:dyDescent="0.3">
      <c r="A29" s="56" t="s">
        <v>784</v>
      </c>
      <c r="B29" s="118" t="s">
        <v>733</v>
      </c>
      <c r="C29" s="118"/>
      <c r="D29" s="4"/>
    </row>
    <row r="30" spans="1:6" x14ac:dyDescent="0.3">
      <c r="A30" s="57" t="s">
        <v>785</v>
      </c>
      <c r="B30" s="118" t="s">
        <v>734</v>
      </c>
      <c r="C30" s="118"/>
      <c r="D30" s="4"/>
    </row>
    <row r="31" spans="1:6" ht="63.75" customHeight="1" x14ac:dyDescent="0.3">
      <c r="A31" s="112" t="s">
        <v>1392</v>
      </c>
      <c r="B31" s="118" t="s">
        <v>1398</v>
      </c>
      <c r="C31" s="118"/>
      <c r="D31" s="4"/>
      <c r="F31" t="s">
        <v>1403</v>
      </c>
    </row>
    <row r="32" spans="1:6" x14ac:dyDescent="0.3">
      <c r="A32" s="113" t="s">
        <v>1393</v>
      </c>
      <c r="B32" s="122" t="s">
        <v>1399</v>
      </c>
      <c r="C32" s="123"/>
      <c r="D32" s="4"/>
    </row>
    <row r="33" spans="1:4" x14ac:dyDescent="0.3">
      <c r="A33" s="113" t="s">
        <v>1400</v>
      </c>
      <c r="B33" s="124"/>
      <c r="C33" s="125"/>
      <c r="D33" s="4"/>
    </row>
    <row r="34" spans="1:4" x14ac:dyDescent="0.3">
      <c r="A34" s="113" t="s">
        <v>1394</v>
      </c>
      <c r="B34" s="124"/>
      <c r="C34" s="125"/>
      <c r="D34" s="4"/>
    </row>
    <row r="35" spans="1:4" x14ac:dyDescent="0.3">
      <c r="A35" s="113" t="s">
        <v>1395</v>
      </c>
      <c r="B35" s="126"/>
      <c r="C35" s="127"/>
      <c r="D35" s="4"/>
    </row>
    <row r="36" spans="1:4" ht="31.5" customHeight="1" x14ac:dyDescent="0.3">
      <c r="A36" s="113" t="s">
        <v>1396</v>
      </c>
      <c r="B36" s="118" t="s">
        <v>1401</v>
      </c>
      <c r="C36" s="118"/>
      <c r="D36" s="4"/>
    </row>
    <row r="37" spans="1:4" ht="47.25" customHeight="1" x14ac:dyDescent="0.3">
      <c r="A37" s="112" t="s">
        <v>1397</v>
      </c>
      <c r="B37" s="118" t="s">
        <v>1402</v>
      </c>
      <c r="C37" s="118"/>
      <c r="D37" s="4"/>
    </row>
    <row r="40" spans="1:4" ht="15.6" x14ac:dyDescent="0.3">
      <c r="A40" s="20" t="s">
        <v>702</v>
      </c>
      <c r="B40" s="120" t="s">
        <v>283</v>
      </c>
      <c r="C40" s="120"/>
    </row>
    <row r="41" spans="1:4" ht="50.25" customHeight="1" x14ac:dyDescent="0.3">
      <c r="A41" s="58" t="s">
        <v>324</v>
      </c>
      <c r="B41" s="121" t="s">
        <v>707</v>
      </c>
      <c r="C41" s="121"/>
    </row>
    <row r="42" spans="1:4" x14ac:dyDescent="0.3">
      <c r="A42" s="59" t="s">
        <v>703</v>
      </c>
      <c r="B42" s="119"/>
      <c r="C42" s="119"/>
    </row>
    <row r="43" spans="1:4" x14ac:dyDescent="0.3">
      <c r="A43" s="60" t="s">
        <v>704</v>
      </c>
      <c r="B43" s="119" t="s">
        <v>706</v>
      </c>
      <c r="C43" s="119"/>
    </row>
    <row r="44" spans="1:4" x14ac:dyDescent="0.3">
      <c r="A44" s="61" t="s">
        <v>708</v>
      </c>
      <c r="B44" s="116"/>
      <c r="C44" s="117"/>
    </row>
    <row r="45" spans="1:4" x14ac:dyDescent="0.3">
      <c r="A45" s="62" t="s">
        <v>714</v>
      </c>
      <c r="B45" s="116"/>
      <c r="C45" s="117"/>
    </row>
    <row r="46" spans="1:4" x14ac:dyDescent="0.3">
      <c r="A46" s="63" t="s">
        <v>715</v>
      </c>
      <c r="B46" s="116"/>
      <c r="C46" s="117"/>
    </row>
  </sheetData>
  <mergeCells count="24">
    <mergeCell ref="B25:C25"/>
    <mergeCell ref="B21:C21"/>
    <mergeCell ref="B26:C26"/>
    <mergeCell ref="B27:C27"/>
    <mergeCell ref="B18:C18"/>
    <mergeCell ref="B19:C19"/>
    <mergeCell ref="B20:C20"/>
    <mergeCell ref="B23:C23"/>
    <mergeCell ref="B22:C22"/>
    <mergeCell ref="B24:C24"/>
    <mergeCell ref="B44:C44"/>
    <mergeCell ref="B45:C45"/>
    <mergeCell ref="B46:C46"/>
    <mergeCell ref="B28:C28"/>
    <mergeCell ref="B29:C29"/>
    <mergeCell ref="B30:C30"/>
    <mergeCell ref="B43:C43"/>
    <mergeCell ref="B40:C40"/>
    <mergeCell ref="B41:C41"/>
    <mergeCell ref="B42:C42"/>
    <mergeCell ref="B31:C31"/>
    <mergeCell ref="B36:C36"/>
    <mergeCell ref="B37:C37"/>
    <mergeCell ref="B32:C35"/>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sheetPr>
  <dimension ref="A6:F9"/>
  <sheetViews>
    <sheetView workbookViewId="0">
      <selection activeCell="A8" sqref="A8:XFD8"/>
    </sheetView>
  </sheetViews>
  <sheetFormatPr defaultColWidth="8.77734375" defaultRowHeight="14.4" x14ac:dyDescent="0.3"/>
  <cols>
    <col min="3" max="3" width="14.6640625" customWidth="1"/>
  </cols>
  <sheetData>
    <row r="6" spans="1:6" x14ac:dyDescent="0.3">
      <c r="D6" t="s">
        <v>886</v>
      </c>
      <c r="E6" t="s">
        <v>887</v>
      </c>
      <c r="F6" t="s">
        <v>888</v>
      </c>
    </row>
    <row r="7" spans="1:6" x14ac:dyDescent="0.3">
      <c r="A7" t="s">
        <v>889</v>
      </c>
      <c r="B7" t="s">
        <v>1443</v>
      </c>
      <c r="C7" t="str">
        <f>"DriversCGE!"&amp;ADDRESS(ROW(DriversCGE!A7),COLUMN(DriversCGE!A7),4)</f>
        <v>DriversCGE!A7</v>
      </c>
      <c r="D7">
        <v>1</v>
      </c>
      <c r="E7">
        <v>1</v>
      </c>
    </row>
    <row r="8" spans="1:6" x14ac:dyDescent="0.3">
      <c r="A8" t="s">
        <v>889</v>
      </c>
      <c r="B8" t="s">
        <v>906</v>
      </c>
      <c r="C8" t="str">
        <f>"DriversCGE!"&amp;ADDRESS(ROW(DriversCGE!A34),COLUMN(DriversCGE!A34),4)</f>
        <v>DriversCGE!A34</v>
      </c>
      <c r="E8">
        <v>1</v>
      </c>
    </row>
    <row r="9" spans="1:6" x14ac:dyDescent="0.3">
      <c r="A9" t="s">
        <v>889</v>
      </c>
      <c r="B9" t="s">
        <v>1405</v>
      </c>
      <c r="C9" t="str">
        <f>"DriversCGE!"&amp;ADDRESS(ROW([2]DriversCGE!A86),COLUMN([2]DriversCGE!A86),4)</f>
        <v>DriversCGE!A86</v>
      </c>
      <c r="E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6:F7"/>
  <sheetViews>
    <sheetView workbookViewId="0">
      <selection activeCell="B8" sqref="B8"/>
    </sheetView>
  </sheetViews>
  <sheetFormatPr defaultColWidth="8.77734375" defaultRowHeight="14.4" x14ac:dyDescent="0.3"/>
  <cols>
    <col min="2" max="2" width="14" bestFit="1" customWidth="1"/>
    <col min="3" max="3" width="19.33203125" customWidth="1"/>
  </cols>
  <sheetData>
    <row r="6" spans="1:6" x14ac:dyDescent="0.3">
      <c r="D6" t="s">
        <v>886</v>
      </c>
      <c r="E6" t="s">
        <v>887</v>
      </c>
      <c r="F6" t="s">
        <v>888</v>
      </c>
    </row>
    <row r="7" spans="1:6" x14ac:dyDescent="0.3">
      <c r="A7" t="s">
        <v>889</v>
      </c>
      <c r="B7" t="s">
        <v>907</v>
      </c>
      <c r="C7" t="str">
        <f>"GHGSummary!"&amp;ADDRESS(ROW(GHGSummary!B6),COLUMN(GHGSummary!B6),4)</f>
        <v>GHGSummary!B6</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sheetPr>
  <dimension ref="A7:AN87"/>
  <sheetViews>
    <sheetView tabSelected="1" topLeftCell="A31" workbookViewId="0">
      <selection activeCell="W49" sqref="W49"/>
    </sheetView>
  </sheetViews>
  <sheetFormatPr defaultColWidth="8.77734375" defaultRowHeight="14.4" x14ac:dyDescent="0.3"/>
  <sheetData>
    <row r="7" spans="1:40" x14ac:dyDescent="0.3">
      <c r="B7" s="115" t="s">
        <v>1410</v>
      </c>
      <c r="C7" s="115" t="s">
        <v>1411</v>
      </c>
      <c r="D7" s="115" t="s">
        <v>1412</v>
      </c>
      <c r="E7" s="115" t="s">
        <v>1413</v>
      </c>
      <c r="F7" s="115" t="s">
        <v>1414</v>
      </c>
      <c r="G7" s="115" t="s">
        <v>1415</v>
      </c>
      <c r="H7" s="115" t="s">
        <v>1416</v>
      </c>
      <c r="I7" s="115" t="s">
        <v>1417</v>
      </c>
      <c r="J7" s="115" t="s">
        <v>1418</v>
      </c>
      <c r="K7" s="115" t="s">
        <v>1419</v>
      </c>
      <c r="L7" s="115" t="s">
        <v>1420</v>
      </c>
      <c r="M7" s="115" t="s">
        <v>1421</v>
      </c>
      <c r="N7" s="115" t="s">
        <v>1422</v>
      </c>
      <c r="O7" s="115" t="s">
        <v>1423</v>
      </c>
      <c r="P7" s="115" t="s">
        <v>1424</v>
      </c>
      <c r="Q7" s="115" t="s">
        <v>1425</v>
      </c>
      <c r="R7" s="115" t="s">
        <v>1426</v>
      </c>
      <c r="S7" s="115" t="s">
        <v>1427</v>
      </c>
      <c r="T7" s="115" t="s">
        <v>1428</v>
      </c>
      <c r="U7" s="115" t="s">
        <v>1429</v>
      </c>
      <c r="V7" s="115" t="s">
        <v>1430</v>
      </c>
      <c r="W7" s="115" t="s">
        <v>1431</v>
      </c>
      <c r="X7" s="115" t="s">
        <v>1432</v>
      </c>
      <c r="Y7" s="115" t="s">
        <v>1433</v>
      </c>
      <c r="Z7" s="115" t="s">
        <v>1434</v>
      </c>
      <c r="AA7" s="115" t="s">
        <v>1435</v>
      </c>
      <c r="AB7" s="115" t="s">
        <v>1436</v>
      </c>
      <c r="AC7" s="115" t="s">
        <v>1437</v>
      </c>
      <c r="AD7" s="115" t="s">
        <v>1438</v>
      </c>
      <c r="AE7" s="115" t="s">
        <v>1439</v>
      </c>
      <c r="AF7" s="115" t="s">
        <v>1440</v>
      </c>
      <c r="AG7" s="115" t="s">
        <v>1441</v>
      </c>
      <c r="AH7" s="115"/>
      <c r="AI7" s="115"/>
      <c r="AJ7" s="115"/>
      <c r="AK7" s="115"/>
      <c r="AL7" s="115"/>
      <c r="AM7" s="115"/>
      <c r="AN7" s="115"/>
    </row>
    <row r="8" spans="1:40" x14ac:dyDescent="0.3">
      <c r="A8" s="115" t="s">
        <v>891</v>
      </c>
      <c r="B8">
        <v>2742.6992888923796</v>
      </c>
      <c r="C8">
        <v>2552.9276200605154</v>
      </c>
      <c r="D8">
        <v>2636.3032494708846</v>
      </c>
      <c r="E8">
        <v>2777.1710675786476</v>
      </c>
      <c r="F8">
        <v>2852.7742047133665</v>
      </c>
      <c r="G8">
        <v>2932.1864185430591</v>
      </c>
      <c r="H8">
        <v>3020.5361258819412</v>
      </c>
      <c r="I8">
        <v>3115.5888319323039</v>
      </c>
      <c r="J8">
        <v>3217.222163831012</v>
      </c>
      <c r="K8">
        <v>3319.9518621633442</v>
      </c>
      <c r="L8">
        <v>3431.90866260557</v>
      </c>
      <c r="M8">
        <v>3548.2784247328432</v>
      </c>
      <c r="N8">
        <v>3676.6479842397334</v>
      </c>
      <c r="O8">
        <v>3796.0470746620285</v>
      </c>
      <c r="P8">
        <v>3922.3540215651446</v>
      </c>
      <c r="Q8">
        <v>4061.9394125037511</v>
      </c>
      <c r="R8">
        <v>4199.1936940101286</v>
      </c>
      <c r="S8">
        <v>4343.9378621432661</v>
      </c>
      <c r="T8">
        <v>4495.0449837604683</v>
      </c>
      <c r="U8">
        <v>4640.4992045507588</v>
      </c>
      <c r="V8">
        <v>4787.0607065987251</v>
      </c>
      <c r="W8">
        <v>4934.375136107381</v>
      </c>
      <c r="X8">
        <v>5085.6667269107365</v>
      </c>
      <c r="Y8">
        <v>5230.2755799586266</v>
      </c>
      <c r="Z8">
        <v>5377.9409394485401</v>
      </c>
      <c r="AA8">
        <v>5531.5230356022785</v>
      </c>
      <c r="AB8">
        <v>5693.0307863489825</v>
      </c>
      <c r="AC8">
        <v>5857.583047485633</v>
      </c>
      <c r="AD8">
        <v>5914.2954259138296</v>
      </c>
      <c r="AE8">
        <v>5957.0400329356589</v>
      </c>
      <c r="AF8">
        <v>5998.8898586601881</v>
      </c>
      <c r="AG8">
        <v>6030.9125985340106</v>
      </c>
    </row>
    <row r="9" spans="1:40" x14ac:dyDescent="0.3">
      <c r="A9" s="115" t="s">
        <v>1442</v>
      </c>
      <c r="B9">
        <v>102.77045496480821</v>
      </c>
      <c r="C9">
        <v>101.27835072071566</v>
      </c>
      <c r="D9">
        <v>103.67469150756057</v>
      </c>
      <c r="E9">
        <v>104.95102975868193</v>
      </c>
      <c r="F9">
        <v>106.84501563515826</v>
      </c>
      <c r="G9">
        <v>108.7749223413705</v>
      </c>
      <c r="H9">
        <v>111.03462546369209</v>
      </c>
      <c r="I9">
        <v>113.28102083991614</v>
      </c>
      <c r="J9">
        <v>115.7997634496527</v>
      </c>
      <c r="K9">
        <v>120.47762045836078</v>
      </c>
      <c r="L9">
        <v>124.02192225896411</v>
      </c>
      <c r="M9">
        <v>126.94714786822543</v>
      </c>
      <c r="N9">
        <v>130.9812831722592</v>
      </c>
      <c r="O9">
        <v>134.3188561782234</v>
      </c>
      <c r="P9">
        <v>137.77625974796371</v>
      </c>
      <c r="Q9">
        <v>141.62497897649544</v>
      </c>
      <c r="R9">
        <v>144.98933802760098</v>
      </c>
      <c r="S9">
        <v>148.35481068748203</v>
      </c>
      <c r="T9">
        <v>151.785244500152</v>
      </c>
      <c r="U9">
        <v>154.8620215516911</v>
      </c>
      <c r="V9">
        <v>157.76185913829534</v>
      </c>
      <c r="W9">
        <v>160.58827485827069</v>
      </c>
      <c r="X9">
        <v>164.36546205315142</v>
      </c>
      <c r="Y9">
        <v>167.9528617607159</v>
      </c>
      <c r="Z9">
        <v>171.51345659997597</v>
      </c>
      <c r="AA9">
        <v>175.1983951208029</v>
      </c>
      <c r="AB9">
        <v>179.10558824793392</v>
      </c>
      <c r="AC9">
        <v>182.78911413297882</v>
      </c>
      <c r="AD9">
        <v>182.93167184060653</v>
      </c>
      <c r="AE9">
        <v>183.1862816341542</v>
      </c>
      <c r="AF9">
        <v>182.89602649711011</v>
      </c>
      <c r="AG9">
        <v>182.0362393855373</v>
      </c>
    </row>
    <row r="10" spans="1:40" x14ac:dyDescent="0.3">
      <c r="A10" s="115" t="s">
        <v>897</v>
      </c>
      <c r="B10">
        <v>197.32396542858598</v>
      </c>
      <c r="C10">
        <v>187.33057253640345</v>
      </c>
      <c r="D10">
        <v>192.40943652129582</v>
      </c>
      <c r="E10">
        <v>196.25469064545078</v>
      </c>
      <c r="F10">
        <v>200.09147648583709</v>
      </c>
      <c r="G10">
        <v>203.97650097608408</v>
      </c>
      <c r="H10">
        <v>208.44654460649704</v>
      </c>
      <c r="I10">
        <v>213.54842092526385</v>
      </c>
      <c r="J10">
        <v>218.87721606914033</v>
      </c>
      <c r="K10">
        <v>228.43363333910423</v>
      </c>
      <c r="L10">
        <v>235.71055226053832</v>
      </c>
      <c r="M10">
        <v>242.00843408674297</v>
      </c>
      <c r="N10">
        <v>248.11264715629966</v>
      </c>
      <c r="O10">
        <v>253.99466778743289</v>
      </c>
      <c r="P10">
        <v>260.05666247836507</v>
      </c>
      <c r="Q10">
        <v>266.61273531337855</v>
      </c>
      <c r="R10">
        <v>272.26282166392684</v>
      </c>
      <c r="S10">
        <v>278.23014605685137</v>
      </c>
      <c r="T10">
        <v>284.80534050172059</v>
      </c>
      <c r="U10">
        <v>290.22644574188536</v>
      </c>
      <c r="V10">
        <v>294.9596207536315</v>
      </c>
      <c r="W10">
        <v>299.55594257758094</v>
      </c>
      <c r="X10">
        <v>305.00823161857522</v>
      </c>
      <c r="Y10">
        <v>309.49382074644114</v>
      </c>
      <c r="Z10">
        <v>313.76780436292904</v>
      </c>
      <c r="AA10">
        <v>318.17774225221757</v>
      </c>
      <c r="AB10">
        <v>323.04896103788678</v>
      </c>
      <c r="AC10">
        <v>327.52070955209052</v>
      </c>
      <c r="AD10">
        <v>326.9219240451381</v>
      </c>
      <c r="AE10">
        <v>325.47174961724619</v>
      </c>
      <c r="AF10">
        <v>322.48829583095704</v>
      </c>
      <c r="AG10">
        <v>317.82236967004246</v>
      </c>
    </row>
    <row r="11" spans="1:40" x14ac:dyDescent="0.3">
      <c r="A11" s="115" t="s">
        <v>894</v>
      </c>
      <c r="B11">
        <v>155.19916098388828</v>
      </c>
      <c r="C11">
        <v>152.20721668207693</v>
      </c>
      <c r="D11">
        <v>157.03478823018156</v>
      </c>
      <c r="E11">
        <v>158.71730910317044</v>
      </c>
      <c r="F11">
        <v>162.47655508357667</v>
      </c>
      <c r="G11">
        <v>166.17914951182539</v>
      </c>
      <c r="H11">
        <v>170.36137635150956</v>
      </c>
      <c r="I11">
        <v>174.66360786179462</v>
      </c>
      <c r="J11">
        <v>179.29055212487341</v>
      </c>
      <c r="K11">
        <v>188.85457477702209</v>
      </c>
      <c r="L11">
        <v>195.27147626783699</v>
      </c>
      <c r="M11">
        <v>200.53224176955163</v>
      </c>
      <c r="N11">
        <v>208.421654502119</v>
      </c>
      <c r="O11">
        <v>214.69475497213199</v>
      </c>
      <c r="P11">
        <v>221.26639915097644</v>
      </c>
      <c r="Q11">
        <v>228.51302495592563</v>
      </c>
      <c r="R11">
        <v>234.69619076978623</v>
      </c>
      <c r="S11">
        <v>241.37091394251632</v>
      </c>
      <c r="T11">
        <v>248.7469093998032</v>
      </c>
      <c r="U11">
        <v>255.26087952825571</v>
      </c>
      <c r="V11">
        <v>261.74060573382724</v>
      </c>
      <c r="W11">
        <v>268.52707701551589</v>
      </c>
      <c r="X11">
        <v>277.77412655143934</v>
      </c>
      <c r="Y11">
        <v>285.71894683666437</v>
      </c>
      <c r="Z11">
        <v>292.72052507676801</v>
      </c>
      <c r="AA11">
        <v>299.45422135142064</v>
      </c>
      <c r="AB11">
        <v>306.28002301585263</v>
      </c>
      <c r="AC11">
        <v>311.83743111153558</v>
      </c>
      <c r="AD11">
        <v>311.05565419952143</v>
      </c>
      <c r="AE11">
        <v>309.50996034855484</v>
      </c>
      <c r="AF11">
        <v>307.88044300506749</v>
      </c>
      <c r="AG11">
        <v>306.03234185410662</v>
      </c>
    </row>
    <row r="12" spans="1:40" x14ac:dyDescent="0.3">
      <c r="A12" s="115" t="s">
        <v>900</v>
      </c>
      <c r="B12">
        <v>366.70830116973707</v>
      </c>
      <c r="C12">
        <v>335.92419864971589</v>
      </c>
      <c r="D12">
        <v>346.79734541396573</v>
      </c>
      <c r="E12">
        <v>359.35393509136139</v>
      </c>
      <c r="F12">
        <v>366.99142527376171</v>
      </c>
      <c r="G12">
        <v>375.57177635012761</v>
      </c>
      <c r="H12">
        <v>386.02091873190147</v>
      </c>
      <c r="I12">
        <v>398.60384289988485</v>
      </c>
      <c r="J12">
        <v>411.63449828104683</v>
      </c>
      <c r="K12">
        <v>432.06598855417741</v>
      </c>
      <c r="L12">
        <v>447.9533334990889</v>
      </c>
      <c r="M12">
        <v>462.2276450256212</v>
      </c>
      <c r="N12">
        <v>470.46171055270872</v>
      </c>
      <c r="O12">
        <v>486.18761624260776</v>
      </c>
      <c r="P12">
        <v>503.01064461007866</v>
      </c>
      <c r="Q12">
        <v>522.24415560597754</v>
      </c>
      <c r="R12">
        <v>541.90763130890582</v>
      </c>
      <c r="S12">
        <v>561.46633047789805</v>
      </c>
      <c r="T12">
        <v>579.81459089144278</v>
      </c>
      <c r="U12">
        <v>597.27225647196701</v>
      </c>
      <c r="V12">
        <v>614.51819169463886</v>
      </c>
      <c r="W12">
        <v>631.7618596145569</v>
      </c>
      <c r="X12">
        <v>645.33741622687558</v>
      </c>
      <c r="Y12">
        <v>660.41518517217082</v>
      </c>
      <c r="Z12">
        <v>679.2347806610278</v>
      </c>
      <c r="AA12">
        <v>699.87699931957138</v>
      </c>
      <c r="AB12">
        <v>721.9995035565845</v>
      </c>
      <c r="AC12">
        <v>743.83379844279966</v>
      </c>
      <c r="AD12">
        <v>740.62358061659074</v>
      </c>
      <c r="AE12">
        <v>736.31256159718566</v>
      </c>
      <c r="AF12">
        <v>732.6326818021771</v>
      </c>
      <c r="AG12">
        <v>727.15117275147122</v>
      </c>
    </row>
    <row r="13" spans="1:40" x14ac:dyDescent="0.3">
      <c r="A13" s="115" t="s">
        <v>902</v>
      </c>
      <c r="B13">
        <v>24.019985549556569</v>
      </c>
      <c r="C13">
        <v>22.719452816091831</v>
      </c>
      <c r="D13">
        <v>23.572283300406433</v>
      </c>
      <c r="E13">
        <v>24.116214935480862</v>
      </c>
      <c r="F13">
        <v>24.668627368667572</v>
      </c>
      <c r="G13">
        <v>25.354901798097924</v>
      </c>
      <c r="H13">
        <v>26.050048103900327</v>
      </c>
      <c r="I13">
        <v>26.612240387704446</v>
      </c>
      <c r="J13">
        <v>27.419106371668384</v>
      </c>
      <c r="K13">
        <v>28.680444925177895</v>
      </c>
      <c r="L13">
        <v>29.621653686281121</v>
      </c>
      <c r="M13">
        <v>30.500245774717747</v>
      </c>
      <c r="N13">
        <v>31.992830460072224</v>
      </c>
      <c r="O13">
        <v>32.999749894910636</v>
      </c>
      <c r="P13">
        <v>34.092228174811211</v>
      </c>
      <c r="Q13">
        <v>35.311567375521392</v>
      </c>
      <c r="R13">
        <v>36.42613084327219</v>
      </c>
      <c r="S13">
        <v>37.629367912958607</v>
      </c>
      <c r="T13">
        <v>38.933375145094921</v>
      </c>
      <c r="U13">
        <v>40.113080163999818</v>
      </c>
      <c r="V13">
        <v>41.262017406443647</v>
      </c>
      <c r="W13">
        <v>42.427384159252895</v>
      </c>
      <c r="X13">
        <v>43.702292291427057</v>
      </c>
      <c r="Y13">
        <v>44.803656422624812</v>
      </c>
      <c r="Z13">
        <v>45.86717044937393</v>
      </c>
      <c r="AA13">
        <v>46.954403921924062</v>
      </c>
      <c r="AB13">
        <v>48.102802012791415</v>
      </c>
      <c r="AC13">
        <v>49.262933158302424</v>
      </c>
      <c r="AD13">
        <v>49.338520238175356</v>
      </c>
      <c r="AE13">
        <v>49.193698182539187</v>
      </c>
      <c r="AF13">
        <v>49.013931441233758</v>
      </c>
      <c r="AG13">
        <v>48.733159355646713</v>
      </c>
    </row>
    <row r="14" spans="1:40" x14ac:dyDescent="0.3">
      <c r="A14" s="115" t="s">
        <v>892</v>
      </c>
      <c r="B14">
        <v>78.804647701594519</v>
      </c>
      <c r="C14">
        <v>77.483877783341796</v>
      </c>
      <c r="D14">
        <v>76.642035598222847</v>
      </c>
      <c r="E14">
        <v>77.142292845399609</v>
      </c>
      <c r="F14">
        <v>78.015747961264552</v>
      </c>
      <c r="G14">
        <v>78.744842384229756</v>
      </c>
      <c r="H14">
        <v>79.547052384117819</v>
      </c>
      <c r="I14">
        <v>80.442110173978122</v>
      </c>
      <c r="J14">
        <v>81.253151085571403</v>
      </c>
      <c r="K14">
        <v>82.949132812356254</v>
      </c>
      <c r="L14">
        <v>83.814338706334169</v>
      </c>
      <c r="M14">
        <v>84.5814293600653</v>
      </c>
      <c r="N14">
        <v>85.752319535996364</v>
      </c>
      <c r="O14">
        <v>86.967513373867476</v>
      </c>
      <c r="P14">
        <v>88.266649376070461</v>
      </c>
      <c r="Q14">
        <v>89.703028955870138</v>
      </c>
      <c r="R14">
        <v>90.932011672556172</v>
      </c>
      <c r="S14">
        <v>92.40251064591483</v>
      </c>
      <c r="T14">
        <v>94.118314950472012</v>
      </c>
      <c r="U14">
        <v>95.477529738034207</v>
      </c>
      <c r="V14">
        <v>96.623361920551091</v>
      </c>
      <c r="W14">
        <v>96.721517362840046</v>
      </c>
      <c r="X14">
        <v>93.9608267432763</v>
      </c>
      <c r="Y14">
        <v>90.690618253998608</v>
      </c>
      <c r="Z14">
        <v>87.75373733559239</v>
      </c>
      <c r="AA14">
        <v>85.297039119268561</v>
      </c>
      <c r="AB14">
        <v>83.283896234175373</v>
      </c>
      <c r="AC14">
        <v>81.50388686016538</v>
      </c>
      <c r="AD14">
        <v>79.192223706793229</v>
      </c>
      <c r="AE14">
        <v>76.581265449973102</v>
      </c>
      <c r="AF14">
        <v>73.762312921554212</v>
      </c>
      <c r="AG14">
        <v>70.815997127959534</v>
      </c>
    </row>
    <row r="15" spans="1:40" x14ac:dyDescent="0.3">
      <c r="A15" s="115" t="s">
        <v>899</v>
      </c>
      <c r="B15">
        <v>17.626887984271516</v>
      </c>
      <c r="C15">
        <v>16.299216204060532</v>
      </c>
      <c r="D15">
        <v>16.851249703322956</v>
      </c>
      <c r="E15">
        <v>17.500223378633454</v>
      </c>
      <c r="F15">
        <v>17.913485284436092</v>
      </c>
      <c r="G15">
        <v>18.355696897414113</v>
      </c>
      <c r="H15">
        <v>18.86737334187001</v>
      </c>
      <c r="I15">
        <v>19.436732309335611</v>
      </c>
      <c r="J15">
        <v>20.049343197199963</v>
      </c>
      <c r="K15">
        <v>20.989042415311477</v>
      </c>
      <c r="L15">
        <v>21.733227913972637</v>
      </c>
      <c r="M15">
        <v>22.404883401431956</v>
      </c>
      <c r="N15">
        <v>22.808967556438926</v>
      </c>
      <c r="O15">
        <v>23.554711200814978</v>
      </c>
      <c r="P15">
        <v>24.351660259168593</v>
      </c>
      <c r="Q15">
        <v>25.268559421476102</v>
      </c>
      <c r="R15">
        <v>26.169547058296207</v>
      </c>
      <c r="S15">
        <v>27.109478568775771</v>
      </c>
      <c r="T15">
        <v>28.051506367082688</v>
      </c>
      <c r="U15">
        <v>28.948527098168825</v>
      </c>
      <c r="V15">
        <v>29.85059257454817</v>
      </c>
      <c r="W15">
        <v>30.7420736788829</v>
      </c>
      <c r="X15">
        <v>31.686431717752892</v>
      </c>
      <c r="Y15">
        <v>32.56363918207294</v>
      </c>
      <c r="Z15">
        <v>33.487717068580785</v>
      </c>
      <c r="AA15">
        <v>34.460861291002757</v>
      </c>
      <c r="AB15">
        <v>35.489102711668188</v>
      </c>
      <c r="AC15">
        <v>36.459606680150422</v>
      </c>
      <c r="AD15">
        <v>36.479876038787737</v>
      </c>
      <c r="AE15">
        <v>36.35916374118888</v>
      </c>
      <c r="AF15">
        <v>36.216977709905869</v>
      </c>
      <c r="AG15">
        <v>35.977295575928437</v>
      </c>
    </row>
    <row r="16" spans="1:40" x14ac:dyDescent="0.3">
      <c r="A16" s="115" t="s">
        <v>896</v>
      </c>
      <c r="B16">
        <v>20.838620435938996</v>
      </c>
      <c r="C16">
        <v>19.587325428920778</v>
      </c>
      <c r="D16">
        <v>19.859817250227959</v>
      </c>
      <c r="E16">
        <v>20.136715469145642</v>
      </c>
      <c r="F16">
        <v>20.337704781593679</v>
      </c>
      <c r="G16">
        <v>20.61272325229962</v>
      </c>
      <c r="H16">
        <v>20.993443027681753</v>
      </c>
      <c r="I16">
        <v>21.548248327283019</v>
      </c>
      <c r="J16">
        <v>22.08789973034899</v>
      </c>
      <c r="K16">
        <v>23.1468439293931</v>
      </c>
      <c r="L16">
        <v>23.836149042995924</v>
      </c>
      <c r="M16">
        <v>24.372914692217638</v>
      </c>
      <c r="N16">
        <v>24.693493757389859</v>
      </c>
      <c r="O16">
        <v>25.259886427564219</v>
      </c>
      <c r="P16">
        <v>25.862846328844309</v>
      </c>
      <c r="Q16">
        <v>26.569476758995165</v>
      </c>
      <c r="R16">
        <v>27.442172502002322</v>
      </c>
      <c r="S16">
        <v>28.226772359187645</v>
      </c>
      <c r="T16">
        <v>28.827901957791656</v>
      </c>
      <c r="U16">
        <v>29.480513442343035</v>
      </c>
      <c r="V16">
        <v>30.029927685508383</v>
      </c>
      <c r="W16">
        <v>30.638111206956385</v>
      </c>
      <c r="X16">
        <v>30.557603202513022</v>
      </c>
      <c r="Y16">
        <v>30.897556793450313</v>
      </c>
      <c r="Z16">
        <v>31.580433183318632</v>
      </c>
      <c r="AA16">
        <v>32.407857630948953</v>
      </c>
      <c r="AB16">
        <v>33.317374277914183</v>
      </c>
      <c r="AC16">
        <v>34.232892296382374</v>
      </c>
      <c r="AD16">
        <v>33.939266548753217</v>
      </c>
      <c r="AE16">
        <v>33.912480936655186</v>
      </c>
      <c r="AF16">
        <v>33.724622283853584</v>
      </c>
      <c r="AG16">
        <v>33.48400950099105</v>
      </c>
    </row>
    <row r="17" spans="1:33" x14ac:dyDescent="0.3">
      <c r="A17" s="115" t="s">
        <v>898</v>
      </c>
      <c r="B17">
        <v>13.073651251027377</v>
      </c>
      <c r="C17">
        <v>11.734410339876119</v>
      </c>
      <c r="D17">
        <v>11.341030973198828</v>
      </c>
      <c r="E17">
        <v>10.73099541556439</v>
      </c>
      <c r="F17">
        <v>10.517296523269808</v>
      </c>
      <c r="G17">
        <v>10.561917277533265</v>
      </c>
      <c r="H17">
        <v>10.896623835560659</v>
      </c>
      <c r="I17">
        <v>11.913608418959363</v>
      </c>
      <c r="J17">
        <v>12.77918627355799</v>
      </c>
      <c r="K17">
        <v>15.368201338009037</v>
      </c>
      <c r="L17">
        <v>16.722752638819319</v>
      </c>
      <c r="M17">
        <v>17.436642612296378</v>
      </c>
      <c r="N17">
        <v>17.899520259286739</v>
      </c>
      <c r="O17">
        <v>18.478770243061152</v>
      </c>
      <c r="P17">
        <v>19.075002167895178</v>
      </c>
      <c r="Q17">
        <v>19.862154266208456</v>
      </c>
      <c r="R17">
        <v>21.520166289928877</v>
      </c>
      <c r="S17">
        <v>22.753627073750874</v>
      </c>
      <c r="T17">
        <v>22.766464939637405</v>
      </c>
      <c r="U17">
        <v>23.073204519199191</v>
      </c>
      <c r="V17">
        <v>22.955945401992331</v>
      </c>
      <c r="W17">
        <v>23.023834372885606</v>
      </c>
      <c r="X17">
        <v>19.741210143273896</v>
      </c>
      <c r="Y17">
        <v>18.700964111602996</v>
      </c>
      <c r="Z17">
        <v>19.040955902053529</v>
      </c>
      <c r="AA17">
        <v>19.7709206488646</v>
      </c>
      <c r="AB17">
        <v>20.704241023195081</v>
      </c>
      <c r="AC17">
        <v>21.747954826323792</v>
      </c>
      <c r="AD17">
        <v>19.947156156166706</v>
      </c>
      <c r="AE17">
        <v>19.056101015493294</v>
      </c>
      <c r="AF17">
        <v>18.242147453243845</v>
      </c>
      <c r="AG17">
        <v>17.44590587416419</v>
      </c>
    </row>
    <row r="18" spans="1:33" x14ac:dyDescent="0.3">
      <c r="A18" s="115" t="s">
        <v>895</v>
      </c>
      <c r="B18">
        <v>0.12086732559633409</v>
      </c>
      <c r="C18">
        <v>0.12737916629063972</v>
      </c>
      <c r="D18">
        <v>0.30861186952044672</v>
      </c>
      <c r="E18">
        <v>0.73491233672071643</v>
      </c>
      <c r="F18">
        <v>0.73491233672071632</v>
      </c>
      <c r="G18">
        <v>0.73491233672071643</v>
      </c>
      <c r="H18">
        <v>0.73491233672071632</v>
      </c>
      <c r="I18">
        <v>0.73491233672071621</v>
      </c>
      <c r="J18">
        <v>0.73482988983723307</v>
      </c>
      <c r="K18">
        <v>0.73477157221702116</v>
      </c>
      <c r="L18">
        <v>0.73475237410167371</v>
      </c>
      <c r="M18">
        <v>0.7347523741016736</v>
      </c>
      <c r="N18">
        <v>0.73468467122674486</v>
      </c>
      <c r="O18">
        <v>0.73447687143525786</v>
      </c>
      <c r="P18">
        <v>0.7344768714352583</v>
      </c>
      <c r="Q18">
        <v>0.73447687143525875</v>
      </c>
      <c r="R18">
        <v>0.7344768714352583</v>
      </c>
      <c r="S18">
        <v>0.7344768714352583</v>
      </c>
      <c r="T18">
        <v>2.3672550692003598</v>
      </c>
      <c r="U18">
        <v>3.5699094769238311</v>
      </c>
      <c r="V18">
        <v>4.7725638846473002</v>
      </c>
      <c r="W18">
        <v>5.9752182923707657</v>
      </c>
      <c r="X18">
        <v>6.4639574737824308</v>
      </c>
      <c r="Y18">
        <v>6.9526966551940896</v>
      </c>
      <c r="Z18">
        <v>7.4414358366057476</v>
      </c>
      <c r="AA18">
        <v>7.9301750180174047</v>
      </c>
      <c r="AB18">
        <v>8.4189141994290697</v>
      </c>
      <c r="AC18">
        <v>9.4863735894551073</v>
      </c>
      <c r="AD18">
        <v>10.553832979481152</v>
      </c>
      <c r="AE18">
        <v>11.621292369507186</v>
      </c>
      <c r="AF18">
        <v>12.688751759533229</v>
      </c>
      <c r="AG18">
        <v>13.756211149559268</v>
      </c>
    </row>
    <row r="19" spans="1:33" x14ac:dyDescent="0.3">
      <c r="A19" s="115" t="s">
        <v>893</v>
      </c>
      <c r="B19">
        <v>142.20363281736581</v>
      </c>
      <c r="C19">
        <v>136.75332141486265</v>
      </c>
      <c r="D19">
        <v>141.67580848332594</v>
      </c>
      <c r="E19">
        <v>141.17717991187928</v>
      </c>
      <c r="F19">
        <v>138.00969190693263</v>
      </c>
      <c r="G19">
        <v>138.27401304677315</v>
      </c>
      <c r="H19">
        <v>139.40970668562997</v>
      </c>
      <c r="I19">
        <v>140.82957686947736</v>
      </c>
      <c r="J19">
        <v>142.71872263602572</v>
      </c>
      <c r="K19">
        <v>143.8441457388347</v>
      </c>
      <c r="L19">
        <v>146.06979452541009</v>
      </c>
      <c r="M19">
        <v>147.71663790305902</v>
      </c>
      <c r="N19">
        <v>151.89343160892878</v>
      </c>
      <c r="O19">
        <v>156.59711491826369</v>
      </c>
      <c r="P19">
        <v>160.17985900500909</v>
      </c>
      <c r="Q19">
        <v>164.55652619346341</v>
      </c>
      <c r="R19">
        <v>165.02610887804872</v>
      </c>
      <c r="S19">
        <v>167.82118176795919</v>
      </c>
      <c r="T19">
        <v>177.30293187377643</v>
      </c>
      <c r="U19">
        <v>183.7630037420974</v>
      </c>
      <c r="V19">
        <v>190.21643766655848</v>
      </c>
      <c r="W19">
        <v>196.36291414894669</v>
      </c>
      <c r="X19">
        <v>202.69513677227906</v>
      </c>
      <c r="Y19">
        <v>209.05740407711102</v>
      </c>
      <c r="Z19">
        <v>215.45736538972068</v>
      </c>
      <c r="AA19">
        <v>221.90843874069779</v>
      </c>
      <c r="AB19">
        <v>228.4083645828247</v>
      </c>
      <c r="AC19">
        <v>246.03440710512945</v>
      </c>
      <c r="AD19">
        <v>263.67121887233952</v>
      </c>
      <c r="AE19">
        <v>281.38975643644625</v>
      </c>
      <c r="AF19">
        <v>278.84586807326991</v>
      </c>
      <c r="AG19">
        <v>285.11788263646457</v>
      </c>
    </row>
    <row r="20" spans="1:33" x14ac:dyDescent="0.3">
      <c r="A20" s="115" t="s">
        <v>904</v>
      </c>
      <c r="B20">
        <v>60.675714154097605</v>
      </c>
      <c r="C20">
        <v>58.244947114789774</v>
      </c>
      <c r="D20">
        <v>59.721822201709877</v>
      </c>
      <c r="E20">
        <v>60.393164618013842</v>
      </c>
      <c r="F20">
        <v>61.24917172746477</v>
      </c>
      <c r="G20">
        <v>62.249786433544564</v>
      </c>
      <c r="H20">
        <v>63.518380079636636</v>
      </c>
      <c r="I20">
        <v>64.98779446850358</v>
      </c>
      <c r="J20">
        <v>66.738863440296996</v>
      </c>
      <c r="K20">
        <v>69.227975879806337</v>
      </c>
      <c r="L20">
        <v>71.612417672917928</v>
      </c>
      <c r="M20">
        <v>73.887867180152384</v>
      </c>
      <c r="N20">
        <v>77.142178650924336</v>
      </c>
      <c r="O20">
        <v>80.078532228048218</v>
      </c>
      <c r="P20">
        <v>83.194605777210469</v>
      </c>
      <c r="Q20">
        <v>86.728565820546208</v>
      </c>
      <c r="R20">
        <v>89.971084544379053</v>
      </c>
      <c r="S20">
        <v>93.292126825238114</v>
      </c>
      <c r="T20">
        <v>96.72271570298949</v>
      </c>
      <c r="U20">
        <v>99.775082490288597</v>
      </c>
      <c r="V20">
        <v>102.67867578068754</v>
      </c>
      <c r="W20">
        <v>105.49093031723557</v>
      </c>
      <c r="X20">
        <v>108.65149628077303</v>
      </c>
      <c r="Y20">
        <v>111.46634914928202</v>
      </c>
      <c r="Z20">
        <v>114.15460820636986</v>
      </c>
      <c r="AA20">
        <v>116.82203860857378</v>
      </c>
      <c r="AB20">
        <v>119.5278668319677</v>
      </c>
      <c r="AC20">
        <v>122.23607579064284</v>
      </c>
      <c r="AD20">
        <v>121.49930050363999</v>
      </c>
      <c r="AE20">
        <v>120.69805904793961</v>
      </c>
      <c r="AF20">
        <v>119.90620695881718</v>
      </c>
      <c r="AG20">
        <v>118.92872765665162</v>
      </c>
    </row>
    <row r="21" spans="1:33" x14ac:dyDescent="0.3">
      <c r="A21" s="115" t="s">
        <v>903</v>
      </c>
      <c r="B21">
        <v>247.42936538347388</v>
      </c>
      <c r="C21">
        <v>233.99598737350433</v>
      </c>
      <c r="D21">
        <v>239.62712704612005</v>
      </c>
      <c r="E21">
        <v>244.93890956149849</v>
      </c>
      <c r="F21">
        <v>249.74079689686886</v>
      </c>
      <c r="G21">
        <v>254.6057821717674</v>
      </c>
      <c r="H21">
        <v>260.11931916964681</v>
      </c>
      <c r="I21">
        <v>266.08898996349615</v>
      </c>
      <c r="J21">
        <v>274.14318357491635</v>
      </c>
      <c r="K21">
        <v>283.58838571008295</v>
      </c>
      <c r="L21">
        <v>293.89438352126871</v>
      </c>
      <c r="M21">
        <v>304.90805488796161</v>
      </c>
      <c r="N21">
        <v>316.2680885477879</v>
      </c>
      <c r="O21">
        <v>325.83982583094712</v>
      </c>
      <c r="P21">
        <v>336.9829891025795</v>
      </c>
      <c r="Q21">
        <v>350.41591941235617</v>
      </c>
      <c r="R21">
        <v>362.98892003724541</v>
      </c>
      <c r="S21">
        <v>374.41135201913755</v>
      </c>
      <c r="T21">
        <v>387.10473256001421</v>
      </c>
      <c r="U21">
        <v>400.39646580929872</v>
      </c>
      <c r="V21">
        <v>413.94722910176353</v>
      </c>
      <c r="W21">
        <v>427.6253851227641</v>
      </c>
      <c r="X21">
        <v>442.18996637106613</v>
      </c>
      <c r="Y21">
        <v>454.89289913836836</v>
      </c>
      <c r="Z21">
        <v>467.56257227891331</v>
      </c>
      <c r="AA21">
        <v>480.11301524131557</v>
      </c>
      <c r="AB21">
        <v>491.88780374714213</v>
      </c>
      <c r="AC21">
        <v>503.67793871272397</v>
      </c>
      <c r="AD21">
        <v>503.46811839390512</v>
      </c>
      <c r="AE21">
        <v>503.31269425482947</v>
      </c>
      <c r="AF21">
        <v>503.08603982342561</v>
      </c>
      <c r="AG21">
        <v>501.8443722024947</v>
      </c>
    </row>
    <row r="22" spans="1:33" x14ac:dyDescent="0.3">
      <c r="A22" s="115" t="s">
        <v>905</v>
      </c>
      <c r="B22">
        <v>7.294267473610363</v>
      </c>
      <c r="C22">
        <v>6.954724768443449</v>
      </c>
      <c r="D22">
        <v>7.2316754227967639</v>
      </c>
      <c r="E22">
        <v>7.4845812325478844</v>
      </c>
      <c r="F22">
        <v>7.67655071921439</v>
      </c>
      <c r="G22">
        <v>7.8570722408512648</v>
      </c>
      <c r="H22">
        <v>8.0499364856598952</v>
      </c>
      <c r="I22">
        <v>8.2536842122013674</v>
      </c>
      <c r="J22">
        <v>8.5103658780364828</v>
      </c>
      <c r="K22">
        <v>8.7450469812900149</v>
      </c>
      <c r="L22">
        <v>9.0296368925107124</v>
      </c>
      <c r="M22">
        <v>9.3334906473836252</v>
      </c>
      <c r="N22">
        <v>9.6372586204320747</v>
      </c>
      <c r="O22">
        <v>9.8913859770777695</v>
      </c>
      <c r="P22">
        <v>10.193061420764391</v>
      </c>
      <c r="Q22">
        <v>10.546166977473156</v>
      </c>
      <c r="R22">
        <v>10.877822202712151</v>
      </c>
      <c r="S22">
        <v>11.172835112566652</v>
      </c>
      <c r="T22">
        <v>11.482644396821746</v>
      </c>
      <c r="U22">
        <v>11.815089576514794</v>
      </c>
      <c r="V22">
        <v>12.146154210325525</v>
      </c>
      <c r="W22">
        <v>12.476191490805004</v>
      </c>
      <c r="X22">
        <v>12.805075364448442</v>
      </c>
      <c r="Y22">
        <v>13.100350959389122</v>
      </c>
      <c r="Z22">
        <v>13.407434798810613</v>
      </c>
      <c r="AA22">
        <v>13.710659502764372</v>
      </c>
      <c r="AB22">
        <v>13.990647650984908</v>
      </c>
      <c r="AC22">
        <v>14.262559755921064</v>
      </c>
      <c r="AD22">
        <v>14.233615276222277</v>
      </c>
      <c r="AE22">
        <v>14.200960140230633</v>
      </c>
      <c r="AF22">
        <v>14.176975593514634</v>
      </c>
      <c r="AG22">
        <v>14.142242540131951</v>
      </c>
    </row>
    <row r="23" spans="1:33" x14ac:dyDescent="0.3">
      <c r="A23" s="115" t="s">
        <v>901</v>
      </c>
      <c r="B23">
        <v>46.318025213526283</v>
      </c>
      <c r="C23">
        <v>28.848450924973346</v>
      </c>
      <c r="D23">
        <v>33.275968265627725</v>
      </c>
      <c r="E23">
        <v>38.351556836782692</v>
      </c>
      <c r="F23">
        <v>38.351556836782692</v>
      </c>
      <c r="G23">
        <v>38.351556836782699</v>
      </c>
      <c r="H23">
        <v>38.351556836782684</v>
      </c>
      <c r="I23">
        <v>38.351556836782677</v>
      </c>
      <c r="J23">
        <v>38.299157455595065</v>
      </c>
      <c r="K23">
        <v>16.659320949613793</v>
      </c>
      <c r="L23">
        <v>10.650931623507118</v>
      </c>
      <c r="M23">
        <v>10.562713507260995</v>
      </c>
      <c r="N23">
        <v>10.561740218712774</v>
      </c>
      <c r="O23">
        <v>10.558752913408687</v>
      </c>
      <c r="P23">
        <v>10.558752913408689</v>
      </c>
      <c r="Q23">
        <v>10.558752913408693</v>
      </c>
      <c r="R23">
        <v>10.513767247455464</v>
      </c>
      <c r="S23">
        <v>10.513767247455467</v>
      </c>
      <c r="T23">
        <v>10.561616244406849</v>
      </c>
      <c r="U23">
        <v>10.494566290072434</v>
      </c>
      <c r="V23">
        <v>10.427516335738023</v>
      </c>
      <c r="W23">
        <v>10.360466381403601</v>
      </c>
      <c r="X23">
        <v>9.4429015357159454</v>
      </c>
      <c r="Y23">
        <v>8.525336690028281</v>
      </c>
      <c r="Z23">
        <v>7.6077718443406193</v>
      </c>
      <c r="AA23">
        <v>6.6902069986529575</v>
      </c>
      <c r="AB23">
        <v>5.772642152965286</v>
      </c>
      <c r="AC23">
        <v>4.8154239216908064</v>
      </c>
      <c r="AD23">
        <v>3.8582056904163236</v>
      </c>
      <c r="AE23">
        <v>2.9009874591418447</v>
      </c>
      <c r="AF23">
        <v>1.9437692278673602</v>
      </c>
      <c r="AG23">
        <v>0.9865509965928787</v>
      </c>
    </row>
    <row r="24" spans="1:33" x14ac:dyDescent="0.3">
      <c r="A24" s="115" t="s">
        <v>890</v>
      </c>
      <c r="B24">
        <v>112.98526133447209</v>
      </c>
      <c r="C24">
        <v>109.3576243231954</v>
      </c>
      <c r="D24">
        <v>107.44752648884024</v>
      </c>
      <c r="E24">
        <v>105.71223974686154</v>
      </c>
      <c r="F24">
        <v>102.51360810619911</v>
      </c>
      <c r="G24">
        <v>101.15748824052142</v>
      </c>
      <c r="H24">
        <v>99.164528176351467</v>
      </c>
      <c r="I24">
        <v>97.191232070427631</v>
      </c>
      <c r="J24">
        <v>96.046147918948634</v>
      </c>
      <c r="K24">
        <v>94.621665544422896</v>
      </c>
      <c r="L24">
        <v>91.718650197150936</v>
      </c>
      <c r="M24">
        <v>86.869972573036151</v>
      </c>
      <c r="N24">
        <v>83.661759959221399</v>
      </c>
      <c r="O24">
        <v>83.613443890831931</v>
      </c>
      <c r="P24">
        <v>82.723726852422686</v>
      </c>
      <c r="Q24">
        <v>82.294495735656668</v>
      </c>
      <c r="R24">
        <v>81.41391599091358</v>
      </c>
      <c r="S24">
        <v>81.146250221533734</v>
      </c>
      <c r="T24">
        <v>79.051455926064534</v>
      </c>
      <c r="U24">
        <v>77.130647718270367</v>
      </c>
      <c r="V24">
        <v>75.209839510476257</v>
      </c>
      <c r="W24">
        <v>73.289031302682105</v>
      </c>
      <c r="X24">
        <v>69.066672578569879</v>
      </c>
      <c r="Y24">
        <v>64.844313854457596</v>
      </c>
      <c r="Z24">
        <v>60.621955130345341</v>
      </c>
      <c r="AA24">
        <v>56.399596406233123</v>
      </c>
      <c r="AB24">
        <v>52.177237682120925</v>
      </c>
      <c r="AC24">
        <v>44.462475832706247</v>
      </c>
      <c r="AD24">
        <v>36.747713983291582</v>
      </c>
      <c r="AE24">
        <v>29.032952133876918</v>
      </c>
      <c r="AF24">
        <v>21.318190284462258</v>
      </c>
      <c r="AG24">
        <v>13.603428435047597</v>
      </c>
    </row>
    <row r="25" spans="1:33" x14ac:dyDescent="0.3">
      <c r="A25" s="115" t="s">
        <v>1444</v>
      </c>
      <c r="B25">
        <v>97.820469381023145</v>
      </c>
      <c r="C25">
        <v>74.04397366066172</v>
      </c>
      <c r="D25">
        <v>78.073537783027263</v>
      </c>
      <c r="E25">
        <v>82.052117933411566</v>
      </c>
      <c r="F25">
        <v>86.074719678552668</v>
      </c>
      <c r="G25">
        <v>90.139392751675146</v>
      </c>
      <c r="H25">
        <v>94.259246105653659</v>
      </c>
      <c r="I25">
        <v>94.866086908422901</v>
      </c>
      <c r="J25">
        <v>95.453881213654157</v>
      </c>
      <c r="K25">
        <v>96.333588969647337</v>
      </c>
      <c r="L25">
        <v>97.003046202251596</v>
      </c>
      <c r="M25">
        <v>97.578950928516463</v>
      </c>
      <c r="N25">
        <v>99.617030258891063</v>
      </c>
      <c r="O25">
        <v>101.70700817016248</v>
      </c>
      <c r="P25">
        <v>103.81230216487971</v>
      </c>
      <c r="Q25">
        <v>105.96442140041862</v>
      </c>
      <c r="R25">
        <v>108.22632550734369</v>
      </c>
      <c r="S25">
        <v>110.43529565296144</v>
      </c>
      <c r="T25">
        <v>112.48624623523241</v>
      </c>
      <c r="U25">
        <v>114.53289254648723</v>
      </c>
      <c r="V25">
        <v>116.5229764239642</v>
      </c>
      <c r="W25">
        <v>118.53574175872629</v>
      </c>
      <c r="X25">
        <v>141.27598860594816</v>
      </c>
      <c r="Y25">
        <v>164.32781139188106</v>
      </c>
      <c r="Z25">
        <v>187.61474862838426</v>
      </c>
      <c r="AA25">
        <v>210.97504596809415</v>
      </c>
      <c r="AB25">
        <v>234.37768968772619</v>
      </c>
      <c r="AC25">
        <v>257.80150836909831</v>
      </c>
      <c r="AD25">
        <v>280.59485378024812</v>
      </c>
      <c r="AE25">
        <v>303.49475998944638</v>
      </c>
      <c r="AF25">
        <v>326.42177156692475</v>
      </c>
      <c r="AG25">
        <v>349.33299338549512</v>
      </c>
    </row>
    <row r="26" spans="1:33" x14ac:dyDescent="0.3">
      <c r="A26" s="115" t="s">
        <v>1445</v>
      </c>
      <c r="B26">
        <v>2.4857265311443797</v>
      </c>
      <c r="C26">
        <v>2.3435473120329084</v>
      </c>
      <c r="D26">
        <v>2.3471509783778042</v>
      </c>
      <c r="E26">
        <v>2.3818694907706681</v>
      </c>
      <c r="F26">
        <v>2.4091132382770741</v>
      </c>
      <c r="G26">
        <v>2.4363105738841622</v>
      </c>
      <c r="H26">
        <v>2.4694952302829791</v>
      </c>
      <c r="I26">
        <v>2.5122850931637877</v>
      </c>
      <c r="J26">
        <v>2.5525206832519935</v>
      </c>
      <c r="K26">
        <v>2.5476356373629736</v>
      </c>
      <c r="L26">
        <v>2.5715998619180014</v>
      </c>
      <c r="M26">
        <v>2.6103072721654685</v>
      </c>
      <c r="N26">
        <v>2.6607205742614148</v>
      </c>
      <c r="O26">
        <v>2.7115641813661284</v>
      </c>
      <c r="P26">
        <v>2.7658120631553809</v>
      </c>
      <c r="Q26">
        <v>2.8275040007707957</v>
      </c>
      <c r="R26">
        <v>2.8914471496450407</v>
      </c>
      <c r="S26">
        <v>2.9581453594575864</v>
      </c>
      <c r="T26">
        <v>3.0224789101652556</v>
      </c>
      <c r="U26">
        <v>3.0737572824768487</v>
      </c>
      <c r="V26">
        <v>3.1155448560237615</v>
      </c>
      <c r="W26">
        <v>3.1355686720413072</v>
      </c>
      <c r="X26">
        <v>3.0462606488003003</v>
      </c>
      <c r="Y26">
        <v>2.9658000842390106</v>
      </c>
      <c r="Z26">
        <v>2.9080074917000092</v>
      </c>
      <c r="AA26">
        <v>2.8672903352360355</v>
      </c>
      <c r="AB26">
        <v>2.8404503937514374</v>
      </c>
      <c r="AC26">
        <v>2.8179969867918206</v>
      </c>
      <c r="AD26">
        <v>2.7327697594984297</v>
      </c>
      <c r="AE26">
        <v>2.6510956151965934</v>
      </c>
      <c r="AF26">
        <v>2.5631965360283626</v>
      </c>
      <c r="AG26">
        <v>2.4729480116094402</v>
      </c>
    </row>
    <row r="27" spans="1:33" x14ac:dyDescent="0.3">
      <c r="A27" s="115" t="s">
        <v>1446</v>
      </c>
      <c r="B27">
        <v>0.28999999999999998</v>
      </c>
      <c r="C27">
        <v>0.28999999999999998</v>
      </c>
      <c r="D27">
        <v>0.28968487122259162</v>
      </c>
      <c r="E27">
        <v>0.28968487122259162</v>
      </c>
      <c r="F27">
        <v>0.28968487122259157</v>
      </c>
      <c r="G27">
        <v>0.28968487122259162</v>
      </c>
      <c r="H27">
        <v>0.28968487122259157</v>
      </c>
      <c r="I27">
        <v>0.28968487122259151</v>
      </c>
      <c r="J27">
        <v>0.28965237263244525</v>
      </c>
      <c r="K27">
        <v>0.28962938522094456</v>
      </c>
      <c r="L27">
        <v>0.28962181778290569</v>
      </c>
      <c r="M27">
        <v>0.28962181778290563</v>
      </c>
      <c r="N27">
        <v>0.28959513092839911</v>
      </c>
      <c r="O27">
        <v>0.28951322121913287</v>
      </c>
      <c r="P27">
        <v>0.28951322121913303</v>
      </c>
      <c r="Q27">
        <v>0.28951322121913314</v>
      </c>
      <c r="R27">
        <v>0.28951322121913292</v>
      </c>
      <c r="S27">
        <v>0.28951322121913298</v>
      </c>
      <c r="T27">
        <v>0.28951322121913309</v>
      </c>
      <c r="U27">
        <v>4.2184859843336824</v>
      </c>
      <c r="V27">
        <v>8.4369719686673577</v>
      </c>
      <c r="W27">
        <v>12.655457953001022</v>
      </c>
      <c r="X27">
        <v>13.646356090895408</v>
      </c>
      <c r="Y27">
        <v>14.637254228789782</v>
      </c>
      <c r="Z27">
        <v>15.628152366684155</v>
      </c>
      <c r="AA27">
        <v>16.619050504578535</v>
      </c>
      <c r="AB27">
        <v>17.609948642472919</v>
      </c>
      <c r="AC27">
        <v>17.564640181764315</v>
      </c>
      <c r="AD27">
        <v>17.519331721055714</v>
      </c>
      <c r="AE27">
        <v>17.474023260347114</v>
      </c>
      <c r="AF27">
        <v>17.428714799638509</v>
      </c>
      <c r="AG27">
        <v>17.383406338929909</v>
      </c>
    </row>
    <row r="28" spans="1:33" x14ac:dyDescent="0.3">
      <c r="A28" s="115" t="s">
        <v>1447</v>
      </c>
      <c r="B28">
        <v>7.8476290328821835E-2</v>
      </c>
      <c r="C28">
        <v>7.8476290328821835E-2</v>
      </c>
      <c r="D28">
        <v>7.8391013992867117E-2</v>
      </c>
      <c r="E28">
        <v>7.8391013992867117E-2</v>
      </c>
      <c r="F28">
        <v>7.8391013992867103E-2</v>
      </c>
      <c r="G28">
        <v>7.8391013992867117E-2</v>
      </c>
      <c r="H28">
        <v>7.8391013992867103E-2</v>
      </c>
      <c r="I28">
        <v>7.839101399286709E-2</v>
      </c>
      <c r="J28">
        <v>7.8382219617709872E-2</v>
      </c>
      <c r="K28">
        <v>7.8375999042610445E-2</v>
      </c>
      <c r="L28">
        <v>7.8373951234111894E-2</v>
      </c>
      <c r="M28">
        <v>7.8373951234111866E-2</v>
      </c>
      <c r="N28">
        <v>7.8366729560518003E-2</v>
      </c>
      <c r="O28">
        <v>7.8344564146293427E-2</v>
      </c>
      <c r="P28">
        <v>7.8344564146293455E-2</v>
      </c>
      <c r="Q28">
        <v>7.8344564146293483E-2</v>
      </c>
      <c r="R28">
        <v>7.8344564146293427E-2</v>
      </c>
      <c r="S28">
        <v>7.8344564146293455E-2</v>
      </c>
      <c r="T28">
        <v>3.193509367049105</v>
      </c>
      <c r="U28">
        <v>3.1935093670491015</v>
      </c>
      <c r="V28">
        <v>1.7574213450853404</v>
      </c>
      <c r="W28">
        <v>1.7574213450853384</v>
      </c>
      <c r="X28">
        <v>1.7574213450853386</v>
      </c>
      <c r="Y28">
        <v>1.7574213450853373</v>
      </c>
      <c r="Z28">
        <v>0.99202817258474418</v>
      </c>
      <c r="AA28">
        <v>0.99202817258474385</v>
      </c>
      <c r="AB28">
        <v>0.99202817258474385</v>
      </c>
      <c r="AC28">
        <v>0.99202817258474374</v>
      </c>
      <c r="AD28">
        <v>0.99202817258474352</v>
      </c>
      <c r="AE28">
        <v>7.459753269459096</v>
      </c>
      <c r="AF28">
        <v>7.4597532694590951</v>
      </c>
      <c r="AG28">
        <v>7.4597532694590951</v>
      </c>
    </row>
    <row r="29" spans="1:33" x14ac:dyDescent="0.3">
      <c r="A29" s="115"/>
    </row>
    <row r="30" spans="1:33" x14ac:dyDescent="0.3">
      <c r="A30" s="115"/>
    </row>
    <row r="34" spans="1:39" x14ac:dyDescent="0.3">
      <c r="A34" s="115" t="s">
        <v>1410</v>
      </c>
      <c r="B34" s="115" t="s">
        <v>1411</v>
      </c>
      <c r="C34" s="115" t="s">
        <v>1412</v>
      </c>
      <c r="D34" s="115" t="s">
        <v>1413</v>
      </c>
      <c r="E34" s="115" t="s">
        <v>1414</v>
      </c>
      <c r="F34" s="115" t="s">
        <v>1415</v>
      </c>
      <c r="G34" s="115" t="s">
        <v>1416</v>
      </c>
      <c r="H34" s="115" t="s">
        <v>1417</v>
      </c>
      <c r="I34" s="115" t="s">
        <v>1418</v>
      </c>
      <c r="J34" s="115" t="s">
        <v>1419</v>
      </c>
      <c r="K34" s="115" t="s">
        <v>1420</v>
      </c>
      <c r="L34" s="115" t="s">
        <v>1421</v>
      </c>
      <c r="M34" s="115" t="s">
        <v>1422</v>
      </c>
      <c r="N34" s="115" t="s">
        <v>1423</v>
      </c>
      <c r="O34" s="115" t="s">
        <v>1424</v>
      </c>
      <c r="P34" s="115" t="s">
        <v>1425</v>
      </c>
      <c r="Q34" s="115" t="s">
        <v>1426</v>
      </c>
      <c r="R34" s="115" t="s">
        <v>1427</v>
      </c>
      <c r="S34" s="115" t="s">
        <v>1428</v>
      </c>
      <c r="T34" s="115" t="s">
        <v>1429</v>
      </c>
      <c r="U34" s="115" t="s">
        <v>1430</v>
      </c>
      <c r="V34" s="115" t="s">
        <v>1431</v>
      </c>
      <c r="W34" s="115" t="s">
        <v>1432</v>
      </c>
      <c r="X34" s="115" t="s">
        <v>1433</v>
      </c>
      <c r="Y34" s="115" t="s">
        <v>1434</v>
      </c>
      <c r="Z34" s="115" t="s">
        <v>1435</v>
      </c>
      <c r="AA34" s="115" t="s">
        <v>1436</v>
      </c>
      <c r="AB34" s="115" t="s">
        <v>1437</v>
      </c>
      <c r="AC34" s="115" t="s">
        <v>1438</v>
      </c>
      <c r="AD34" s="115" t="s">
        <v>1439</v>
      </c>
      <c r="AE34" s="115" t="s">
        <v>1440</v>
      </c>
      <c r="AF34" s="115" t="s">
        <v>1441</v>
      </c>
      <c r="AG34" s="115"/>
      <c r="AH34" s="115"/>
      <c r="AI34" s="115"/>
      <c r="AJ34" s="115"/>
      <c r="AK34" s="115"/>
      <c r="AL34" s="115"/>
      <c r="AM34" s="115"/>
    </row>
    <row r="35" spans="1:39" x14ac:dyDescent="0.3">
      <c r="A35">
        <v>58364.834921819442</v>
      </c>
      <c r="B35">
        <v>59308.69</v>
      </c>
      <c r="C35">
        <v>59991.580449204266</v>
      </c>
      <c r="D35">
        <v>60682.333816399376</v>
      </c>
      <c r="E35">
        <v>61381.040636574369</v>
      </c>
      <c r="F35">
        <v>62087.792487153696</v>
      </c>
      <c r="G35">
        <v>62802.682000000023</v>
      </c>
      <c r="H35">
        <v>63421.065342005146</v>
      </c>
      <c r="I35">
        <v>64045.537563425794</v>
      </c>
      <c r="J35">
        <v>64676.158618096451</v>
      </c>
      <c r="K35">
        <v>65312.989050183925</v>
      </c>
      <c r="L35">
        <v>65956.09</v>
      </c>
      <c r="M35">
        <v>66518.97719068767</v>
      </c>
      <c r="N35">
        <v>67086.668213583107</v>
      </c>
      <c r="O35">
        <v>67659.20406589545</v>
      </c>
      <c r="P35">
        <v>68236.62609471516</v>
      </c>
      <c r="Q35">
        <v>68818.97600000001</v>
      </c>
      <c r="R35">
        <v>69322.810489383541</v>
      </c>
      <c r="S35">
        <v>69830.333629884059</v>
      </c>
      <c r="T35">
        <v>70341.572426693441</v>
      </c>
      <c r="U35">
        <v>70856.554082712813</v>
      </c>
      <c r="V35">
        <v>71375.305999999997</v>
      </c>
      <c r="W35">
        <v>71818.612994947311</v>
      </c>
      <c r="X35">
        <v>72264.673338395412</v>
      </c>
      <c r="Y35">
        <v>72713.504131197798</v>
      </c>
      <c r="Z35">
        <v>73165.122580420139</v>
      </c>
      <c r="AA35">
        <v>73619.545999999973</v>
      </c>
      <c r="AB35">
        <v>73995.362001779533</v>
      </c>
      <c r="AC35">
        <v>74373.096484110356</v>
      </c>
      <c r="AD35">
        <v>74752.759240528656</v>
      </c>
      <c r="AE35">
        <v>75134.360114565105</v>
      </c>
      <c r="AF35">
        <v>75517.908999999985</v>
      </c>
    </row>
    <row r="86" spans="1:5" x14ac:dyDescent="0.3">
      <c r="A86" s="115" t="s">
        <v>1406</v>
      </c>
      <c r="B86" s="115" t="s">
        <v>891</v>
      </c>
      <c r="C86" s="115" t="s">
        <v>1407</v>
      </c>
      <c r="D86" s="115" t="s">
        <v>1408</v>
      </c>
      <c r="E86" s="115" t="s">
        <v>1409</v>
      </c>
    </row>
    <row r="87" spans="1:5" x14ac:dyDescent="0.3">
      <c r="A87">
        <v>2</v>
      </c>
      <c r="B87">
        <v>2</v>
      </c>
      <c r="C87">
        <v>1</v>
      </c>
      <c r="D87">
        <v>2</v>
      </c>
      <c r="E8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sheetPr>
  <dimension ref="A6:AP41"/>
  <sheetViews>
    <sheetView workbookViewId="0">
      <selection activeCell="D7" sqref="D7"/>
    </sheetView>
  </sheetViews>
  <sheetFormatPr defaultColWidth="8.77734375" defaultRowHeight="14.4" x14ac:dyDescent="0.3"/>
  <cols>
    <col min="1" max="1" width="46.44140625" customWidth="1"/>
  </cols>
  <sheetData>
    <row r="6" spans="1:42" x14ac:dyDescent="0.3">
      <c r="D6">
        <v>2012</v>
      </c>
      <c r="E6">
        <f>D6+1</f>
        <v>2013</v>
      </c>
      <c r="F6">
        <f t="shared" ref="F6:AP6" si="0">E6+1</f>
        <v>2014</v>
      </c>
      <c r="G6">
        <f t="shared" si="0"/>
        <v>2015</v>
      </c>
      <c r="H6">
        <f t="shared" si="0"/>
        <v>2016</v>
      </c>
      <c r="I6">
        <f t="shared" si="0"/>
        <v>2017</v>
      </c>
      <c r="J6">
        <f t="shared" si="0"/>
        <v>2018</v>
      </c>
      <c r="K6">
        <f t="shared" si="0"/>
        <v>2019</v>
      </c>
      <c r="L6">
        <f t="shared" si="0"/>
        <v>2020</v>
      </c>
      <c r="M6">
        <f t="shared" si="0"/>
        <v>2021</v>
      </c>
      <c r="N6">
        <f t="shared" si="0"/>
        <v>2022</v>
      </c>
      <c r="O6">
        <f t="shared" si="0"/>
        <v>2023</v>
      </c>
      <c r="P6">
        <f t="shared" si="0"/>
        <v>2024</v>
      </c>
      <c r="Q6">
        <f t="shared" si="0"/>
        <v>2025</v>
      </c>
      <c r="R6">
        <f t="shared" si="0"/>
        <v>2026</v>
      </c>
      <c r="S6">
        <f t="shared" si="0"/>
        <v>2027</v>
      </c>
      <c r="T6">
        <f t="shared" si="0"/>
        <v>2028</v>
      </c>
      <c r="U6">
        <f t="shared" si="0"/>
        <v>2029</v>
      </c>
      <c r="V6">
        <f t="shared" si="0"/>
        <v>2030</v>
      </c>
      <c r="W6">
        <f t="shared" si="0"/>
        <v>2031</v>
      </c>
      <c r="X6">
        <f t="shared" si="0"/>
        <v>2032</v>
      </c>
      <c r="Y6">
        <f t="shared" si="0"/>
        <v>2033</v>
      </c>
      <c r="Z6">
        <f t="shared" si="0"/>
        <v>2034</v>
      </c>
      <c r="AA6">
        <f t="shared" si="0"/>
        <v>2035</v>
      </c>
      <c r="AB6">
        <f t="shared" si="0"/>
        <v>2036</v>
      </c>
      <c r="AC6">
        <f t="shared" si="0"/>
        <v>2037</v>
      </c>
      <c r="AD6">
        <f t="shared" si="0"/>
        <v>2038</v>
      </c>
      <c r="AE6">
        <f t="shared" si="0"/>
        <v>2039</v>
      </c>
      <c r="AF6">
        <f t="shared" si="0"/>
        <v>2040</v>
      </c>
      <c r="AG6">
        <f t="shared" si="0"/>
        <v>2041</v>
      </c>
      <c r="AH6">
        <f t="shared" si="0"/>
        <v>2042</v>
      </c>
      <c r="AI6">
        <f t="shared" si="0"/>
        <v>2043</v>
      </c>
      <c r="AJ6">
        <f t="shared" si="0"/>
        <v>2044</v>
      </c>
      <c r="AK6">
        <f t="shared" si="0"/>
        <v>2045</v>
      </c>
      <c r="AL6">
        <f t="shared" si="0"/>
        <v>2046</v>
      </c>
      <c r="AM6">
        <f t="shared" si="0"/>
        <v>2047</v>
      </c>
      <c r="AN6">
        <f t="shared" si="0"/>
        <v>2048</v>
      </c>
      <c r="AO6">
        <f t="shared" si="0"/>
        <v>2049</v>
      </c>
      <c r="AP6">
        <f t="shared" si="0"/>
        <v>2050</v>
      </c>
    </row>
    <row r="7" spans="1:42" x14ac:dyDescent="0.3">
      <c r="A7" t="str">
        <f>'Emissions summary'!C5</f>
        <v>3A1a Cattle</v>
      </c>
      <c r="B7" t="str">
        <f>"A"&amp;LEFT(A7,4)</f>
        <v>A3A1a</v>
      </c>
      <c r="C7" t="str">
        <f>'Emissions summary'!D5</f>
        <v>CH4</v>
      </c>
      <c r="D7" s="85">
        <f>'Net zero emission summary'!AE5</f>
        <v>977.48324710494353</v>
      </c>
      <c r="E7" s="85">
        <f>'Net zero emission summary'!AF5</f>
        <v>972.58505850583742</v>
      </c>
      <c r="F7" s="85">
        <f>'Net zero emission summary'!AG5</f>
        <v>972.49373775284266</v>
      </c>
      <c r="G7" s="85">
        <f>'Net zero emission summary'!AH5</f>
        <v>963.82588908536786</v>
      </c>
      <c r="H7" s="85">
        <f>'Net zero emission summary'!AI5</f>
        <v>949.97028936128629</v>
      </c>
      <c r="I7" s="85">
        <f>'Net zero emission summary'!AJ5</f>
        <v>931.223870238676</v>
      </c>
      <c r="J7" s="85">
        <f>'Net zero emission summary'!AK5</f>
        <v>917.09432606703422</v>
      </c>
      <c r="K7" s="85">
        <f>'Net zero emission summary'!AL5</f>
        <v>903.9107469187411</v>
      </c>
      <c r="L7" s="85">
        <f>'Net zero emission summary'!AM5</f>
        <v>811.05700875819878</v>
      </c>
      <c r="M7" s="85">
        <f>'Net zero emission summary'!AN5</f>
        <v>824.18436740436607</v>
      </c>
      <c r="N7" s="85">
        <f>'Net zero emission summary'!AO5</f>
        <v>847.33903698820916</v>
      </c>
      <c r="O7" s="85">
        <f>'Net zero emission summary'!AP5</f>
        <v>853.45518962464996</v>
      </c>
      <c r="P7" s="85">
        <f>'Net zero emission summary'!AQ5</f>
        <v>861.53178289516325</v>
      </c>
      <c r="Q7" s="85">
        <f>'Net zero emission summary'!AR5</f>
        <v>872.13114817755127</v>
      </c>
      <c r="R7" s="85">
        <f>'Net zero emission summary'!AS5</f>
        <v>883.98025553172408</v>
      </c>
      <c r="S7" s="85">
        <f>'Net zero emission summary'!AT5</f>
        <v>897.63841711182533</v>
      </c>
      <c r="T7" s="85">
        <f>'Net zero emission summary'!AU5</f>
        <v>911.44724072298709</v>
      </c>
      <c r="U7" s="85">
        <f>'Net zero emission summary'!AV5</f>
        <v>926.82780064820054</v>
      </c>
      <c r="V7" s="85">
        <f>'Net zero emission summary'!AW5</f>
        <v>942.18314039268819</v>
      </c>
      <c r="W7" s="85">
        <f>'Net zero emission summary'!AX5</f>
        <v>954.09405537255964</v>
      </c>
      <c r="X7" s="85">
        <f>'Net zero emission summary'!AY5</f>
        <v>964.64474386988206</v>
      </c>
      <c r="Y7" s="85">
        <f>'Net zero emission summary'!AZ5</f>
        <v>975.78403162447353</v>
      </c>
      <c r="Z7" s="85">
        <f>'Net zero emission summary'!BA5</f>
        <v>989.68115851069774</v>
      </c>
      <c r="AA7" s="85">
        <f>'Net zero emission summary'!BB5</f>
        <v>1000.9504948267488</v>
      </c>
      <c r="AB7" s="85">
        <f>'Net zero emission summary'!BC5</f>
        <v>1012.8369816573047</v>
      </c>
      <c r="AC7" s="85">
        <f>'Net zero emission summary'!BD5</f>
        <v>1025.7488890561726</v>
      </c>
      <c r="AD7" s="85">
        <f>'Net zero emission summary'!BE5</f>
        <v>1035.6323210782809</v>
      </c>
      <c r="AE7" s="85">
        <f>'Net zero emission summary'!BF5</f>
        <v>1044.388363259309</v>
      </c>
      <c r="AF7" s="85">
        <f>'Net zero emission summary'!BG5</f>
        <v>1052.1268586732422</v>
      </c>
      <c r="AG7" s="85">
        <f>'Net zero emission summary'!BH5</f>
        <v>1065.1110647820508</v>
      </c>
      <c r="AH7" s="85">
        <f>'Net zero emission summary'!BI5</f>
        <v>1076.1543301280399</v>
      </c>
      <c r="AI7" s="85">
        <f>'Net zero emission summary'!BJ5</f>
        <v>1087.483797825013</v>
      </c>
      <c r="AJ7" s="85">
        <f>'Net zero emission summary'!BK5</f>
        <v>1099.1895341956952</v>
      </c>
      <c r="AK7" s="85">
        <f>'Net zero emission summary'!BL5</f>
        <v>1111.4282412823511</v>
      </c>
      <c r="AL7" s="85">
        <f>'Net zero emission summary'!BM5</f>
        <v>1124.0245061622404</v>
      </c>
      <c r="AM7" s="85">
        <f>'Net zero emission summary'!BN5</f>
        <v>1113.8268042717291</v>
      </c>
      <c r="AN7" s="85">
        <f>'Net zero emission summary'!BO5</f>
        <v>1101.6105298680593</v>
      </c>
      <c r="AO7" s="85">
        <f>'Net zero emission summary'!BP5</f>
        <v>1086.607774712978</v>
      </c>
      <c r="AP7" s="85">
        <f>'Net zero emission summary'!BQ5</f>
        <v>1070.9370463501682</v>
      </c>
    </row>
    <row r="8" spans="1:42" x14ac:dyDescent="0.3">
      <c r="A8" t="str">
        <f>'Emissions summary'!C6</f>
        <v>3A1c Sheep</v>
      </c>
      <c r="B8" t="str">
        <f t="shared" ref="B8:B36" si="1">"A"&amp;LEFT(A8,4)</f>
        <v>A3A1c</v>
      </c>
      <c r="C8" t="str">
        <f>'Emissions summary'!D6</f>
        <v>CH4</v>
      </c>
      <c r="D8" s="85">
        <f>'Net zero emission summary'!AE6</f>
        <v>146.95966438340815</v>
      </c>
      <c r="E8" s="85">
        <f>'Net zero emission summary'!AF6</f>
        <v>147.03912500631182</v>
      </c>
      <c r="F8" s="85">
        <f>'Net zero emission summary'!AG6</f>
        <v>147.22911237458146</v>
      </c>
      <c r="G8" s="85">
        <f>'Net zero emission summary'!AH6</f>
        <v>147.50925027203016</v>
      </c>
      <c r="H8" s="85">
        <f>'Net zero emission summary'!AI6</f>
        <v>147.87775850792974</v>
      </c>
      <c r="I8" s="85">
        <f>'Net zero emission summary'!AJ6</f>
        <v>148.33074578780733</v>
      </c>
      <c r="J8" s="85">
        <f>'Net zero emission summary'!AK6</f>
        <v>148.83951233411912</v>
      </c>
      <c r="K8" s="85">
        <f>'Net zero emission summary'!AL6</f>
        <v>149.40084612451116</v>
      </c>
      <c r="L8" s="85">
        <f>'Net zero emission summary'!AM6</f>
        <v>149.91415497126445</v>
      </c>
      <c r="M8" s="85">
        <f>'Net zero emission summary'!AN6</f>
        <v>150.13971530553752</v>
      </c>
      <c r="N8" s="85">
        <f>'Net zero emission summary'!AO6</f>
        <v>150.41517293131534</v>
      </c>
      <c r="O8" s="85">
        <f>'Net zero emission summary'!AP6</f>
        <v>150.7047003972543</v>
      </c>
      <c r="P8" s="85">
        <f>'Net zero emission summary'!AQ6</f>
        <v>151.02975678889294</v>
      </c>
      <c r="Q8" s="85">
        <f>'Net zero emission summary'!AR6</f>
        <v>151.38943259201906</v>
      </c>
      <c r="R8" s="85">
        <f>'Net zero emission summary'!AS6</f>
        <v>151.61405918649629</v>
      </c>
      <c r="S8" s="85">
        <f>'Net zero emission summary'!AT6</f>
        <v>151.86783029618067</v>
      </c>
      <c r="T8" s="85">
        <f>'Net zero emission summary'!AU6</f>
        <v>152.14731691049928</v>
      </c>
      <c r="U8" s="85">
        <f>'Net zero emission summary'!AV6</f>
        <v>152.45328751926144</v>
      </c>
      <c r="V8" s="85">
        <f>'Net zero emission summary'!AW6</f>
        <v>152.7825840458537</v>
      </c>
      <c r="W8" s="85">
        <f>'Net zero emission summary'!AX6</f>
        <v>153.00348118545617</v>
      </c>
      <c r="X8" s="85">
        <f>'Net zero emission summary'!AY6</f>
        <v>153.24329012771761</v>
      </c>
      <c r="Y8" s="85">
        <f>'Net zero emission summary'!AZ6</f>
        <v>153.5039385437783</v>
      </c>
      <c r="Z8" s="85">
        <f>'Net zero emission summary'!BA6</f>
        <v>153.78797078261181</v>
      </c>
      <c r="AA8" s="85">
        <f>'Net zero emission summary'!BB6</f>
        <v>154.08685793653214</v>
      </c>
      <c r="AB8" s="85">
        <f>'Net zero emission summary'!BC6</f>
        <v>154.27790565505001</v>
      </c>
      <c r="AC8" s="85">
        <f>'Net zero emission summary'!BD6</f>
        <v>154.48716663961466</v>
      </c>
      <c r="AD8" s="85">
        <f>'Net zero emission summary'!BE6</f>
        <v>154.70773902590761</v>
      </c>
      <c r="AE8" s="85">
        <f>'Net zero emission summary'!BF6</f>
        <v>154.94197103185195</v>
      </c>
      <c r="AF8" s="85">
        <f>'Net zero emission summary'!BG6</f>
        <v>155.1895075104313</v>
      </c>
      <c r="AG8" s="85">
        <f>'Net zero emission summary'!BH6</f>
        <v>155.33577037405141</v>
      </c>
      <c r="AH8" s="85">
        <f>'Net zero emission summary'!BI6</f>
        <v>155.49190775584717</v>
      </c>
      <c r="AI8" s="85">
        <f>'Net zero emission summary'!BJ6</f>
        <v>155.66127314162503</v>
      </c>
      <c r="AJ8" s="85">
        <f>'Net zero emission summary'!BK6</f>
        <v>155.8437027909867</v>
      </c>
      <c r="AK8" s="85">
        <f>'Net zero emission summary'!BL6</f>
        <v>156.0391929234016</v>
      </c>
      <c r="AL8" s="85">
        <f>'Net zero emission summary'!BM6</f>
        <v>156.12788211025401</v>
      </c>
      <c r="AM8" s="85">
        <f>'Net zero emission summary'!BN6</f>
        <v>156.18503642782315</v>
      </c>
      <c r="AN8" s="85">
        <f>'Net zero emission summary'!BO6</f>
        <v>156.24768836172908</v>
      </c>
      <c r="AO8" s="85">
        <f>'Net zero emission summary'!BP6</f>
        <v>156.31386560172501</v>
      </c>
      <c r="AP8" s="85">
        <f>'Net zero emission summary'!BQ6</f>
        <v>156.38717300202399</v>
      </c>
    </row>
    <row r="9" spans="1:42" x14ac:dyDescent="0.3">
      <c r="A9" t="str">
        <f>'Emissions summary'!C7</f>
        <v>3A1d Goats</v>
      </c>
      <c r="B9" t="str">
        <f t="shared" si="1"/>
        <v>A3A1d</v>
      </c>
      <c r="C9" t="str">
        <f>'Emissions summary'!D7</f>
        <v>CH4</v>
      </c>
      <c r="D9" s="85">
        <f>'Net zero emission summary'!AE7</f>
        <v>37.504515885641105</v>
      </c>
      <c r="E9" s="85">
        <f>'Net zero emission summary'!AF7</f>
        <v>37.602009523714763</v>
      </c>
      <c r="F9" s="85">
        <f>'Net zero emission summary'!AG7</f>
        <v>37.736498552133639</v>
      </c>
      <c r="G9" s="85">
        <f>'Net zero emission summary'!AH7</f>
        <v>37.900341707419201</v>
      </c>
      <c r="H9" s="85">
        <f>'Net zero emission summary'!AI7</f>
        <v>38.093305305847224</v>
      </c>
      <c r="I9" s="85">
        <f>'Net zero emission summary'!AJ7</f>
        <v>38.314214869749939</v>
      </c>
      <c r="J9" s="85">
        <f>'Net zero emission summary'!AK7</f>
        <v>38.551961103128548</v>
      </c>
      <c r="K9" s="85">
        <f>'Net zero emission summary'!AL7</f>
        <v>38.805602883426992</v>
      </c>
      <c r="L9" s="85">
        <f>'Net zero emission summary'!AM7</f>
        <v>39.035627253174376</v>
      </c>
      <c r="M9" s="85">
        <f>'Net zero emission summary'!AN7</f>
        <v>39.147985144286039</v>
      </c>
      <c r="N9" s="85">
        <f>'Net zero emission summary'!AO7</f>
        <v>39.276772359877427</v>
      </c>
      <c r="O9" s="85">
        <f>'Net zero emission summary'!AP7</f>
        <v>39.408051851625075</v>
      </c>
      <c r="P9" s="85">
        <f>'Net zero emission summary'!AQ7</f>
        <v>39.550434322516594</v>
      </c>
      <c r="Q9" s="85">
        <f>'Net zero emission summary'!AR7</f>
        <v>39.703684457278676</v>
      </c>
      <c r="R9" s="85">
        <f>'Net zero emission summary'!AS7</f>
        <v>39.80175784290784</v>
      </c>
      <c r="S9" s="85">
        <f>'Net zero emission summary'!AT7</f>
        <v>39.909055566307046</v>
      </c>
      <c r="T9" s="85">
        <f>'Net zero emission summary'!AU7</f>
        <v>40.024322648887811</v>
      </c>
      <c r="U9" s="85">
        <f>'Net zero emission summary'!AV7</f>
        <v>40.14792922207134</v>
      </c>
      <c r="V9" s="85">
        <f>'Net zero emission summary'!AW7</f>
        <v>40.278714643463765</v>
      </c>
      <c r="W9" s="85">
        <f>'Net zero emission summary'!AX7</f>
        <v>40.3659336757527</v>
      </c>
      <c r="X9" s="85">
        <f>'Net zero emission summary'!AY7</f>
        <v>40.458947584012826</v>
      </c>
      <c r="Y9" s="85">
        <f>'Net zero emission summary'!AZ7</f>
        <v>40.558543680849226</v>
      </c>
      <c r="Z9" s="85">
        <f>'Net zero emission summary'!BA7</f>
        <v>40.665733534989471</v>
      </c>
      <c r="AA9" s="85">
        <f>'Net zero emission summary'!BB7</f>
        <v>40.777278827623093</v>
      </c>
      <c r="AB9" s="85">
        <f>'Net zero emission summary'!BC7</f>
        <v>40.846361697274546</v>
      </c>
      <c r="AC9" s="85">
        <f>'Net zero emission summary'!BD7</f>
        <v>40.921329189180355</v>
      </c>
      <c r="AD9" s="85">
        <f>'Net zero emission summary'!BE7</f>
        <v>40.999574032987937</v>
      </c>
      <c r="AE9" s="85">
        <f>'Net zero emission summary'!BF7</f>
        <v>41.082017929632187</v>
      </c>
      <c r="AF9" s="85">
        <f>'Net zero emission summary'!BG7</f>
        <v>41.168548002003789</v>
      </c>
      <c r="AG9" s="85">
        <f>'Net zero emission summary'!BH7</f>
        <v>41.215822740573941</v>
      </c>
      <c r="AH9" s="85">
        <f>'Net zero emission summary'!BI7</f>
        <v>41.26607566434555</v>
      </c>
      <c r="AI9" s="85">
        <f>'Net zero emission summary'!BJ7</f>
        <v>41.320589590753002</v>
      </c>
      <c r="AJ9" s="85">
        <f>'Net zero emission summary'!BK7</f>
        <v>41.379312456527963</v>
      </c>
      <c r="AK9" s="85">
        <f>'Net zero emission summary'!BL7</f>
        <v>41.442251036022576</v>
      </c>
      <c r="AL9" s="85">
        <f>'Net zero emission summary'!BM7</f>
        <v>41.464434964260974</v>
      </c>
      <c r="AM9" s="85">
        <f>'Net zero emission summary'!BN7</f>
        <v>41.474286851835657</v>
      </c>
      <c r="AN9" s="85">
        <f>'Net zero emission summary'!BO7</f>
        <v>41.485739739189128</v>
      </c>
      <c r="AO9" s="85">
        <f>'Net zero emission summary'!BP7</f>
        <v>41.498069672582069</v>
      </c>
      <c r="AP9" s="85">
        <f>'Net zero emission summary'!BQ7</f>
        <v>41.512635520588418</v>
      </c>
    </row>
    <row r="10" spans="1:42" x14ac:dyDescent="0.3">
      <c r="A10" t="str">
        <f>'Emissions summary'!C8</f>
        <v>3A1f Horses</v>
      </c>
      <c r="B10" t="str">
        <f t="shared" si="1"/>
        <v>A3A1f</v>
      </c>
      <c r="C10" t="str">
        <f>'Emissions summary'!D8</f>
        <v>CH4</v>
      </c>
      <c r="D10" s="85">
        <f>'Net zero emission summary'!AE8</f>
        <v>5.5526214800767901</v>
      </c>
      <c r="E10" s="85">
        <f>'Net zero emission summary'!AF8</f>
        <v>5.5795235710196511</v>
      </c>
      <c r="F10" s="85">
        <f>'Net zero emission summary'!AG8</f>
        <v>5.6203482259438022</v>
      </c>
      <c r="G10" s="85">
        <f>'Net zero emission summary'!AH8</f>
        <v>5.629075655008374</v>
      </c>
      <c r="H10" s="85">
        <f>'Net zero emission summary'!AI8</f>
        <v>5.6165815405282276</v>
      </c>
      <c r="I10" s="85">
        <f>'Net zero emission summary'!AJ8</f>
        <v>5.5833231296706103</v>
      </c>
      <c r="J10" s="85">
        <f>'Net zero emission summary'!AK8</f>
        <v>5.5648827699457346</v>
      </c>
      <c r="K10" s="85">
        <f>'Net zero emission summary'!AL8</f>
        <v>5.5483103177944013</v>
      </c>
      <c r="L10" s="85">
        <f>'Net zero emission summary'!AM8</f>
        <v>5.2311192904529218</v>
      </c>
      <c r="M10" s="85">
        <f>'Net zero emission summary'!AN8</f>
        <v>5.2959023096135693</v>
      </c>
      <c r="N10" s="85">
        <f>'Net zero emission summary'!AO8</f>
        <v>5.3988006154965325</v>
      </c>
      <c r="O10" s="85">
        <f>'Net zero emission summary'!AP8</f>
        <v>5.4367829372956962</v>
      </c>
      <c r="P10" s="85">
        <f>'Net zero emission summary'!AQ8</f>
        <v>5.4819188324690939</v>
      </c>
      <c r="Q10" s="85">
        <f>'Net zero emission summary'!AR8</f>
        <v>5.5365687700280883</v>
      </c>
      <c r="R10" s="85">
        <f>'Net zero emission summary'!AS8</f>
        <v>5.601958980764981</v>
      </c>
      <c r="S10" s="85">
        <f>'Net zero emission summary'!AT8</f>
        <v>5.6746319691397513</v>
      </c>
      <c r="T10" s="85">
        <f>'Net zero emission summary'!AU8</f>
        <v>5.7481685306176677</v>
      </c>
      <c r="U10" s="85">
        <f>'Net zero emission summary'!AV8</f>
        <v>5.8282774259733703</v>
      </c>
      <c r="V10" s="85">
        <f>'Net zero emission summary'!AW8</f>
        <v>5.9086647601730373</v>
      </c>
      <c r="W10" s="85">
        <f>'Net zero emission summary'!AX8</f>
        <v>6.0051030471917946</v>
      </c>
      <c r="X10" s="85">
        <f>'Net zero emission summary'!AY8</f>
        <v>6.0980124130473197</v>
      </c>
      <c r="Y10" s="85">
        <f>'Net zero emission summary'!AZ8</f>
        <v>6.195439489414623</v>
      </c>
      <c r="Z10" s="85">
        <f>'Net zero emission summary'!BA8</f>
        <v>6.3068676222722697</v>
      </c>
      <c r="AA10" s="85">
        <f>'Net zero emission summary'!BB8</f>
        <v>6.4095401663804648</v>
      </c>
      <c r="AB10" s="85">
        <f>'Net zero emission summary'!BC8</f>
        <v>6.5228948238532292</v>
      </c>
      <c r="AC10" s="85">
        <f>'Net zero emission summary'!BD8</f>
        <v>6.6437484965413081</v>
      </c>
      <c r="AD10" s="85">
        <f>'Net zero emission summary'!BE8</f>
        <v>6.7539654911689828</v>
      </c>
      <c r="AE10" s="85">
        <f>'Net zero emission summary'!BF8</f>
        <v>6.8618111039503944</v>
      </c>
      <c r="AF10" s="85">
        <f>'Net zero emission summary'!BG8</f>
        <v>6.9676727679478478</v>
      </c>
      <c r="AG10" s="85">
        <f>'Net zero emission summary'!BH8</f>
        <v>7.0885986695240639</v>
      </c>
      <c r="AH10" s="85">
        <f>'Net zero emission summary'!BI8</f>
        <v>7.202615789032512</v>
      </c>
      <c r="AI10" s="85">
        <f>'Net zero emission summary'!BJ8</f>
        <v>7.3203542233012309</v>
      </c>
      <c r="AJ10" s="85">
        <f>'Net zero emission summary'!BK8</f>
        <v>7.4423988374450394</v>
      </c>
      <c r="AK10" s="85">
        <f>'Net zero emission summary'!BL8</f>
        <v>7.5697005662835739</v>
      </c>
      <c r="AL10" s="85">
        <f>'Net zero emission summary'!BM8</f>
        <v>7.7079925213190776</v>
      </c>
      <c r="AM10" s="85">
        <f>'Net zero emission summary'!BN8</f>
        <v>7.7309775584942866</v>
      </c>
      <c r="AN10" s="85">
        <f>'Net zero emission summary'!BO8</f>
        <v>7.7430605044202654</v>
      </c>
      <c r="AO10" s="85">
        <f>'Net zero emission summary'!BP8</f>
        <v>7.7396666487885506</v>
      </c>
      <c r="AP10" s="85">
        <f>'Net zero emission summary'!BQ8</f>
        <v>7.7316472006042485</v>
      </c>
    </row>
    <row r="11" spans="1:42" x14ac:dyDescent="0.3">
      <c r="A11" t="str">
        <f>'Emissions summary'!C9</f>
        <v>3A1g Mules &amp; asses</v>
      </c>
      <c r="B11" t="str">
        <f t="shared" si="1"/>
        <v>A3A1g</v>
      </c>
      <c r="C11" t="str">
        <f>'Emissions summary'!D9</f>
        <v>CH4</v>
      </c>
      <c r="D11" s="85">
        <f>'Net zero emission summary'!AE9</f>
        <v>1.67</v>
      </c>
      <c r="E11" s="85">
        <f>'Net zero emission summary'!AF9</f>
        <v>1.67</v>
      </c>
      <c r="F11" s="85">
        <f>'Net zero emission summary'!AG9</f>
        <v>1.67</v>
      </c>
      <c r="G11" s="85">
        <f>'Net zero emission summary'!AH9</f>
        <v>1.67</v>
      </c>
      <c r="H11" s="85">
        <f>'Net zero emission summary'!AI9</f>
        <v>1.67</v>
      </c>
      <c r="I11" s="85">
        <f>'Net zero emission summary'!AJ9</f>
        <v>1.67</v>
      </c>
      <c r="J11" s="85">
        <f>'Net zero emission summary'!AK9</f>
        <v>1.67</v>
      </c>
      <c r="K11" s="85">
        <f>'Net zero emission summary'!AL9</f>
        <v>1.67</v>
      </c>
      <c r="L11" s="85">
        <f>'Net zero emission summary'!AM9</f>
        <v>1.67</v>
      </c>
      <c r="M11" s="85">
        <f>'Net zero emission summary'!AN9</f>
        <v>1.67</v>
      </c>
      <c r="N11" s="85">
        <f>'Net zero emission summary'!AO9</f>
        <v>1.67</v>
      </c>
      <c r="O11" s="85">
        <f>'Net zero emission summary'!AP9</f>
        <v>1.67</v>
      </c>
      <c r="P11" s="85">
        <f>'Net zero emission summary'!AQ9</f>
        <v>1.67</v>
      </c>
      <c r="Q11" s="85">
        <f>'Net zero emission summary'!AR9</f>
        <v>1.67</v>
      </c>
      <c r="R11" s="85">
        <f>'Net zero emission summary'!AS9</f>
        <v>1.67</v>
      </c>
      <c r="S11" s="85">
        <f>'Net zero emission summary'!AT9</f>
        <v>1.67</v>
      </c>
      <c r="T11" s="85">
        <f>'Net zero emission summary'!AU9</f>
        <v>1.67</v>
      </c>
      <c r="U11" s="85">
        <f>'Net zero emission summary'!AV9</f>
        <v>1.67</v>
      </c>
      <c r="V11" s="85">
        <f>'Net zero emission summary'!AW9</f>
        <v>1.67</v>
      </c>
      <c r="W11" s="85">
        <f>'Net zero emission summary'!AX9</f>
        <v>1.67</v>
      </c>
      <c r="X11" s="85">
        <f>'Net zero emission summary'!AY9</f>
        <v>1.67</v>
      </c>
      <c r="Y11" s="85">
        <f>'Net zero emission summary'!AZ9</f>
        <v>1.67</v>
      </c>
      <c r="Z11" s="85">
        <f>'Net zero emission summary'!BA9</f>
        <v>1.67</v>
      </c>
      <c r="AA11" s="85">
        <f>'Net zero emission summary'!BB9</f>
        <v>1.67</v>
      </c>
      <c r="AB11" s="85">
        <f>'Net zero emission summary'!BC9</f>
        <v>1.67</v>
      </c>
      <c r="AC11" s="85">
        <f>'Net zero emission summary'!BD9</f>
        <v>1.67</v>
      </c>
      <c r="AD11" s="85">
        <f>'Net zero emission summary'!BE9</f>
        <v>1.67</v>
      </c>
      <c r="AE11" s="85">
        <f>'Net zero emission summary'!BF9</f>
        <v>1.67</v>
      </c>
      <c r="AF11" s="85">
        <f>'Net zero emission summary'!BG9</f>
        <v>1.67</v>
      </c>
      <c r="AG11" s="85">
        <f>'Net zero emission summary'!BH9</f>
        <v>1.67</v>
      </c>
      <c r="AH11" s="85">
        <f>'Net zero emission summary'!BI9</f>
        <v>1.67</v>
      </c>
      <c r="AI11" s="85">
        <f>'Net zero emission summary'!BJ9</f>
        <v>1.67</v>
      </c>
      <c r="AJ11" s="85">
        <f>'Net zero emission summary'!BK9</f>
        <v>1.67</v>
      </c>
      <c r="AK11" s="85">
        <f>'Net zero emission summary'!BL9</f>
        <v>1.67</v>
      </c>
      <c r="AL11" s="85">
        <f>'Net zero emission summary'!BM9</f>
        <v>1.67</v>
      </c>
      <c r="AM11" s="85">
        <f>'Net zero emission summary'!BN9</f>
        <v>1.67</v>
      </c>
      <c r="AN11" s="85">
        <f>'Net zero emission summary'!BO9</f>
        <v>1.67</v>
      </c>
      <c r="AO11" s="85">
        <f>'Net zero emission summary'!BP9</f>
        <v>1.67</v>
      </c>
      <c r="AP11" s="85">
        <f>'Net zero emission summary'!BQ9</f>
        <v>1.67</v>
      </c>
    </row>
    <row r="12" spans="1:42" x14ac:dyDescent="0.3">
      <c r="A12" t="str">
        <f>'Emissions summary'!C10</f>
        <v>3A1h Swine</v>
      </c>
      <c r="B12" t="str">
        <f t="shared" si="1"/>
        <v>A3A1h</v>
      </c>
      <c r="C12" t="str">
        <f>'Emissions summary'!D10</f>
        <v>CH4</v>
      </c>
      <c r="D12" s="85">
        <f>'Net zero emission summary'!AE10</f>
        <v>2.095067194550456</v>
      </c>
      <c r="E12" s="85">
        <f>'Net zero emission summary'!AF10</f>
        <v>2.0836791108466937</v>
      </c>
      <c r="F12" s="85">
        <f>'Net zero emission summary'!AG10</f>
        <v>2.0846138094278084</v>
      </c>
      <c r="G12" s="85">
        <f>'Net zero emission summary'!AH10</f>
        <v>2.0654754572205234</v>
      </c>
      <c r="H12" s="85">
        <f>'Net zero emission summary'!AI10</f>
        <v>2.0342181138558564</v>
      </c>
      <c r="I12" s="85">
        <f>'Net zero emission summary'!AJ10</f>
        <v>1.9913414611083862</v>
      </c>
      <c r="J12" s="85">
        <f>'Net zero emission summary'!AK10</f>
        <v>1.9602082563146459</v>
      </c>
      <c r="K12" s="85">
        <f>'Net zero emission summary'!AL10</f>
        <v>1.931829922619702</v>
      </c>
      <c r="L12" s="85">
        <f>'Net zero emission summary'!AM10</f>
        <v>1.7057090431160509</v>
      </c>
      <c r="M12" s="85">
        <f>'Net zero emission summary'!AN10</f>
        <v>1.7272788890390762</v>
      </c>
      <c r="N12" s="85">
        <f>'Net zero emission summary'!AO10</f>
        <v>1.773563544122408</v>
      </c>
      <c r="O12" s="85">
        <f>'Net zero emission summary'!AP10</f>
        <v>1.7777659503489533</v>
      </c>
      <c r="P12" s="85">
        <f>'Net zero emission summary'!AQ10</f>
        <v>1.7868664945359587</v>
      </c>
      <c r="Q12" s="85">
        <f>'Net zero emission summary'!AR10</f>
        <v>1.8021677104534481</v>
      </c>
      <c r="R12" s="85">
        <f>'Net zero emission summary'!AS10</f>
        <v>1.8213676780248109</v>
      </c>
      <c r="S12" s="85">
        <f>'Net zero emission summary'!AT10</f>
        <v>1.8448956105932988</v>
      </c>
      <c r="T12" s="85">
        <f>'Net zero emission summary'!AU10</f>
        <v>1.8686986787654487</v>
      </c>
      <c r="U12" s="85">
        <f>'Net zero emission summary'!AV10</f>
        <v>1.8961804402992168</v>
      </c>
      <c r="V12" s="85">
        <f>'Net zero emission summary'!AW10</f>
        <v>1.9234725233541721</v>
      </c>
      <c r="W12" s="85">
        <f>'Net zero emission summary'!AX10</f>
        <v>1.9574037084203946</v>
      </c>
      <c r="X12" s="85">
        <f>'Net zero emission summary'!AY10</f>
        <v>1.988639842541065</v>
      </c>
      <c r="Y12" s="85">
        <f>'Net zero emission summary'!AZ10</f>
        <v>2.0218775865655121</v>
      </c>
      <c r="Z12" s="85">
        <f>'Net zero emission summary'!BA10</f>
        <v>2.0624232981865065</v>
      </c>
      <c r="AA12" s="85">
        <f>'Net zero emission summary'!BB10</f>
        <v>2.0972387370479053</v>
      </c>
      <c r="AB12" s="85">
        <f>'Net zero emission summary'!BC10</f>
        <v>2.1348166458958326</v>
      </c>
      <c r="AC12" s="85">
        <f>'Net zero emission summary'!BD10</f>
        <v>2.1756010984844565</v>
      </c>
      <c r="AD12" s="85">
        <f>'Net zero emission summary'!BE10</f>
        <v>2.2096245760038147</v>
      </c>
      <c r="AE12" s="85">
        <f>'Net zero emission summary'!BF10</f>
        <v>2.2415312945904695</v>
      </c>
      <c r="AF12" s="85">
        <f>'Net zero emission summary'!BG10</f>
        <v>2.271578588510101</v>
      </c>
      <c r="AG12" s="85">
        <f>'Net zero emission summary'!BH10</f>
        <v>2.3062730219347705</v>
      </c>
      <c r="AH12" s="85">
        <f>'Net zero emission summary'!BI10</f>
        <v>2.3363659704937523</v>
      </c>
      <c r="AI12" s="85">
        <f>'Net zero emission summary'!BJ10</f>
        <v>2.3674295379466388</v>
      </c>
      <c r="AJ12" s="85">
        <f>'Net zero emission summary'!BK10</f>
        <v>2.3996980296506036</v>
      </c>
      <c r="AK12" s="85">
        <f>'Net zero emission summary'!BL10</f>
        <v>2.4335752049828523</v>
      </c>
      <c r="AL12" s="85">
        <f>'Net zero emission summary'!BM10</f>
        <v>2.4691484855202233</v>
      </c>
      <c r="AM12" s="85">
        <f>'Net zero emission summary'!BN10</f>
        <v>2.4475016557794498</v>
      </c>
      <c r="AN12" s="85">
        <f>'Net zero emission summary'!BO10</f>
        <v>2.4208523382920744</v>
      </c>
      <c r="AO12" s="85">
        <f>'Net zero emission summary'!BP10</f>
        <v>2.3872255309845931</v>
      </c>
      <c r="AP12" s="85">
        <f>'Net zero emission summary'!BQ10</f>
        <v>2.3519495561338126</v>
      </c>
    </row>
    <row r="13" spans="1:42" x14ac:dyDescent="0.3">
      <c r="A13" t="str">
        <f>'Emissions summary'!C12</f>
        <v>3A2a Cattle</v>
      </c>
      <c r="B13" t="str">
        <f t="shared" si="1"/>
        <v>A3A2a</v>
      </c>
      <c r="C13" t="str">
        <f>'Emissions summary'!D12</f>
        <v>CH4</v>
      </c>
      <c r="D13" s="85">
        <f>'Net zero emission summary'!AE12</f>
        <v>10.513994827787098</v>
      </c>
      <c r="E13" s="85">
        <f>'Net zero emission summary'!AF12</f>
        <v>10.583676395984554</v>
      </c>
      <c r="F13" s="85">
        <f>'Net zero emission summary'!AG12</f>
        <v>10.680340304941298</v>
      </c>
      <c r="G13" s="85">
        <f>'Net zero emission summary'!AH12</f>
        <v>10.74258011113773</v>
      </c>
      <c r="H13" s="85">
        <f>'Net zero emission summary'!AI12</f>
        <v>10.783729898618763</v>
      </c>
      <c r="I13" s="85">
        <f>'Net zero emission summary'!AJ12</f>
        <v>10.803370567699297</v>
      </c>
      <c r="J13" s="85">
        <f>'Net zero emission summary'!AK12</f>
        <v>10.846236588865763</v>
      </c>
      <c r="K13" s="85">
        <f>'Net zero emission summary'!AL12</f>
        <v>10.895047418651057</v>
      </c>
      <c r="L13" s="85">
        <f>'Net zero emission summary'!AM12</f>
        <v>10.523717306442997</v>
      </c>
      <c r="M13" s="85">
        <f>'Net zero emission summary'!AN12</f>
        <v>10.650575336480776</v>
      </c>
      <c r="N13" s="85">
        <f>'Net zero emission summary'!AO12</f>
        <v>10.835511861767294</v>
      </c>
      <c r="O13" s="85">
        <f>'Net zero emission summary'!AP12</f>
        <v>10.93163004518863</v>
      </c>
      <c r="P13" s="85">
        <f>'Net zero emission summary'!AQ12</f>
        <v>11.041166177760429</v>
      </c>
      <c r="Q13" s="85">
        <f>'Net zero emission summary'!AR12</f>
        <v>11.16769761546005</v>
      </c>
      <c r="R13" s="85">
        <f>'Net zero emission summary'!AS12</f>
        <v>11.298212385635029</v>
      </c>
      <c r="S13" s="85">
        <f>'Net zero emission summary'!AT12</f>
        <v>11.442420325662457</v>
      </c>
      <c r="T13" s="85">
        <f>'Net zero emission summary'!AU12</f>
        <v>11.590970510590244</v>
      </c>
      <c r="U13" s="85">
        <f>'Net zero emission summary'!AV12</f>
        <v>11.752358027164293</v>
      </c>
      <c r="V13" s="85">
        <f>'Net zero emission summary'!AW12</f>
        <v>11.917316424404454</v>
      </c>
      <c r="W13" s="85">
        <f>'Net zero emission summary'!AX12</f>
        <v>12.097390212770421</v>
      </c>
      <c r="X13" s="85">
        <f>'Net zero emission summary'!AY12</f>
        <v>12.275140536851968</v>
      </c>
      <c r="Y13" s="85">
        <f>'Net zero emission summary'!AZ12</f>
        <v>12.462716555110115</v>
      </c>
      <c r="Z13" s="85">
        <f>'Net zero emission summary'!BA12</f>
        <v>12.674716557038966</v>
      </c>
      <c r="AA13" s="85">
        <f>'Net zero emission summary'!BB12</f>
        <v>12.876538138844291</v>
      </c>
      <c r="AB13" s="85">
        <f>'Net zero emission summary'!BC12</f>
        <v>13.084755913074376</v>
      </c>
      <c r="AC13" s="85">
        <f>'Net zero emission summary'!BD12</f>
        <v>13.307383129830768</v>
      </c>
      <c r="AD13" s="85">
        <f>'Net zero emission summary'!BE12</f>
        <v>13.516371407126377</v>
      </c>
      <c r="AE13" s="85">
        <f>'Net zero emission summary'!BF12</f>
        <v>13.724433193086494</v>
      </c>
      <c r="AF13" s="85">
        <f>'Net zero emission summary'!BG12</f>
        <v>13.932140739468368</v>
      </c>
      <c r="AG13" s="85">
        <f>'Net zero emission summary'!BH12</f>
        <v>14.152377893813137</v>
      </c>
      <c r="AH13" s="85">
        <f>'Net zero emission summary'!BI12</f>
        <v>14.364098436386273</v>
      </c>
      <c r="AI13" s="85">
        <f>'Net zero emission summary'!BJ12</f>
        <v>14.584058795867479</v>
      </c>
      <c r="AJ13" s="85">
        <f>'Net zero emission summary'!BK12</f>
        <v>14.813264501443239</v>
      </c>
      <c r="AK13" s="85">
        <f>'Net zero emission summary'!BL12</f>
        <v>15.053322966130512</v>
      </c>
      <c r="AL13" s="85">
        <f>'Net zero emission summary'!BM12</f>
        <v>15.298917926122545</v>
      </c>
      <c r="AM13" s="85">
        <f>'Net zero emission summary'!BN12</f>
        <v>15.361440586357919</v>
      </c>
      <c r="AN13" s="85">
        <f>'Net zero emission summary'!BO12</f>
        <v>15.407522221858477</v>
      </c>
      <c r="AO13" s="85">
        <f>'Net zero emission summary'!BP12</f>
        <v>15.429611850915567</v>
      </c>
      <c r="AP13" s="85">
        <f>'Net zero emission summary'!BQ12</f>
        <v>15.445050217108401</v>
      </c>
    </row>
    <row r="14" spans="1:42" x14ac:dyDescent="0.3">
      <c r="A14" t="str">
        <f>'Emissions summary'!C13</f>
        <v>3A2c Sheep</v>
      </c>
      <c r="B14" t="str">
        <f t="shared" si="1"/>
        <v>A3A2c</v>
      </c>
      <c r="C14" t="str">
        <f>'Emissions summary'!D13</f>
        <v>CH4</v>
      </c>
      <c r="D14" s="85">
        <f>'Net zero emission summary'!AE13</f>
        <v>4.017229113225361E-2</v>
      </c>
      <c r="E14" s="85">
        <f>'Net zero emission summary'!AF13</f>
        <v>4.019401216223982E-2</v>
      </c>
      <c r="F14" s="85">
        <f>'Net zero emission summary'!AG13</f>
        <v>4.0245946330037495E-2</v>
      </c>
      <c r="G14" s="85">
        <f>'Net zero emission summary'!AH13</f>
        <v>4.0322523676758468E-2</v>
      </c>
      <c r="H14" s="85">
        <f>'Net zero emission summary'!AI13</f>
        <v>4.0423257576766368E-2</v>
      </c>
      <c r="I14" s="85">
        <f>'Net zero emission summary'!AJ13</f>
        <v>4.0547084321763377E-2</v>
      </c>
      <c r="J14" s="85">
        <f>'Net zero emission summary'!AK13</f>
        <v>4.0686158658266129E-2</v>
      </c>
      <c r="K14" s="85">
        <f>'Net zero emission summary'!AL13</f>
        <v>4.0839602561017339E-2</v>
      </c>
      <c r="L14" s="85">
        <f>'Net zero emission summary'!AM13</f>
        <v>4.0979918562139499E-2</v>
      </c>
      <c r="M14" s="85">
        <f>'Net zero emission summary'!AN13</f>
        <v>4.1041576810028978E-2</v>
      </c>
      <c r="N14" s="85">
        <f>'Net zero emission summary'!AO13</f>
        <v>4.1116874776881127E-2</v>
      </c>
      <c r="O14" s="85">
        <f>'Net zero emission summary'!AP13</f>
        <v>4.1196018817535304E-2</v>
      </c>
      <c r="P14" s="85">
        <f>'Net zero emission summary'!AQ13</f>
        <v>4.1284874899604466E-2</v>
      </c>
      <c r="Q14" s="85">
        <f>'Net zero emission summary'!AR13</f>
        <v>4.1383194402013719E-2</v>
      </c>
      <c r="R14" s="85">
        <f>'Net zero emission summary'!AS13</f>
        <v>4.1444597406622138E-2</v>
      </c>
      <c r="S14" s="85">
        <f>'Net zero emission summary'!AT13</f>
        <v>4.1513967236377604E-2</v>
      </c>
      <c r="T14" s="85">
        <f>'Net zero emission summary'!AU13</f>
        <v>4.1590366551013246E-2</v>
      </c>
      <c r="U14" s="85">
        <f>'Net zero emission summary'!AV13</f>
        <v>4.1674005421751516E-2</v>
      </c>
      <c r="V14" s="85">
        <f>'Net zero emission summary'!AW13</f>
        <v>4.1764020569721581E-2</v>
      </c>
      <c r="W14" s="85">
        <f>'Net zero emission summary'!AX13</f>
        <v>4.1824404105840998E-2</v>
      </c>
      <c r="X14" s="85">
        <f>'Net zero emission summary'!AY13</f>
        <v>4.1889957294772559E-2</v>
      </c>
      <c r="Y14" s="85">
        <f>'Net zero emission summary'!AZ13</f>
        <v>4.1961207076793246E-2</v>
      </c>
      <c r="Z14" s="85">
        <f>'Net zero emission summary'!BA13</f>
        <v>4.2038848964703363E-2</v>
      </c>
      <c r="AA14" s="85">
        <f>'Net zero emission summary'!BB13</f>
        <v>4.2120551531277375E-2</v>
      </c>
      <c r="AB14" s="85">
        <f>'Net zero emission summary'!BC13</f>
        <v>4.2172775552070108E-2</v>
      </c>
      <c r="AC14" s="85">
        <f>'Net zero emission summary'!BD13</f>
        <v>4.2229978276571579E-2</v>
      </c>
      <c r="AD14" s="85">
        <f>'Net zero emission summary'!BE13</f>
        <v>4.2290273039458218E-2</v>
      </c>
      <c r="AE14" s="85">
        <f>'Net zero emission summary'!BF13</f>
        <v>4.2354301739950743E-2</v>
      </c>
      <c r="AF14" s="85">
        <f>'Net zero emission summary'!BG13</f>
        <v>4.2421967296517329E-2</v>
      </c>
      <c r="AG14" s="85">
        <f>'Net zero emission summary'!BH13</f>
        <v>4.2461949113050707E-2</v>
      </c>
      <c r="AH14" s="85">
        <f>'Net zero emission summary'!BI13</f>
        <v>4.2504630187374361E-2</v>
      </c>
      <c r="AI14" s="85">
        <f>'Net zero emission summary'!BJ13</f>
        <v>4.2550927214614731E-2</v>
      </c>
      <c r="AJ14" s="85">
        <f>'Net zero emission summary'!BK13</f>
        <v>4.26007954353681E-2</v>
      </c>
      <c r="AK14" s="85">
        <f>'Net zero emission summary'!BL13</f>
        <v>4.2654233816204118E-2</v>
      </c>
      <c r="AL14" s="85">
        <f>'Net zero emission summary'!BM13</f>
        <v>4.2678477528582386E-2</v>
      </c>
      <c r="AM14" s="85">
        <f>'Net zero emission summary'!BN13</f>
        <v>4.2694100998426888E-2</v>
      </c>
      <c r="AN14" s="85">
        <f>'Net zero emission summary'!BO13</f>
        <v>4.2711227274125928E-2</v>
      </c>
      <c r="AO14" s="85">
        <f>'Net zero emission summary'!BP13</f>
        <v>4.2729317213039436E-2</v>
      </c>
      <c r="AP14" s="85">
        <f>'Net zero emission summary'!BQ13</f>
        <v>4.2749356223330544E-2</v>
      </c>
    </row>
    <row r="15" spans="1:42" x14ac:dyDescent="0.3">
      <c r="A15" t="str">
        <f>'Emissions summary'!C14</f>
        <v>3A2d Goats</v>
      </c>
      <c r="B15" t="str">
        <f t="shared" si="1"/>
        <v>A3A2d</v>
      </c>
      <c r="C15" t="str">
        <f>'Emissions summary'!D14</f>
        <v>CH4</v>
      </c>
      <c r="D15" s="85">
        <f>'Net zero emission summary'!AE14</f>
        <v>4.23818915638281E-2</v>
      </c>
      <c r="E15" s="85">
        <f>'Net zero emission summary'!AF14</f>
        <v>4.2492064024381923E-2</v>
      </c>
      <c r="F15" s="85">
        <f>'Net zero emission summary'!AG14</f>
        <v>4.264404304035839E-2</v>
      </c>
      <c r="G15" s="85">
        <f>'Net zero emission summary'!AH14</f>
        <v>4.2829193619610281E-2</v>
      </c>
      <c r="H15" s="85">
        <f>'Net zero emission summary'!AI14</f>
        <v>4.3047251688384705E-2</v>
      </c>
      <c r="I15" s="85">
        <f>'Net zero emission summary'!AJ14</f>
        <v>4.3296890030905533E-2</v>
      </c>
      <c r="J15" s="85">
        <f>'Net zero emission summary'!AK14</f>
        <v>4.3565554612885075E-2</v>
      </c>
      <c r="K15" s="85">
        <f>'Net zero emission summary'!AL14</f>
        <v>4.3852181920952263E-2</v>
      </c>
      <c r="L15" s="85">
        <f>'Net zero emission summary'!AM14</f>
        <v>4.4112120428768178E-2</v>
      </c>
      <c r="M15" s="85">
        <f>'Net zero emission summary'!AN14</f>
        <v>4.4239090204140158E-2</v>
      </c>
      <c r="N15" s="85">
        <f>'Net zero emission summary'!AO14</f>
        <v>4.438462589969866E-2</v>
      </c>
      <c r="O15" s="85">
        <f>'Net zero emission summary'!AP14</f>
        <v>4.4532977986171896E-2</v>
      </c>
      <c r="P15" s="85">
        <f>'Net zero emission summary'!AQ14</f>
        <v>4.469387696858549E-2</v>
      </c>
      <c r="Q15" s="85">
        <f>'Net zero emission summary'!AR14</f>
        <v>4.486705692945829E-2</v>
      </c>
      <c r="R15" s="85">
        <f>'Net zero emission summary'!AS14</f>
        <v>4.4977884532398343E-2</v>
      </c>
      <c r="S15" s="85">
        <f>'Net zero emission summary'!AT14</f>
        <v>4.5099136076932785E-2</v>
      </c>
      <c r="T15" s="85">
        <f>'Net zero emission summary'!AU14</f>
        <v>4.522939337740596E-2</v>
      </c>
      <c r="U15" s="85">
        <f>'Net zero emission summary'!AV14</f>
        <v>4.5369074699975614E-2</v>
      </c>
      <c r="V15" s="85">
        <f>'Net zero emission summary'!AW14</f>
        <v>4.551686846338493E-2</v>
      </c>
      <c r="W15" s="85">
        <f>'Net zero emission summary'!AX14</f>
        <v>4.5615430129399843E-2</v>
      </c>
      <c r="X15" s="85">
        <f>'Net zero emission summary'!AY14</f>
        <v>4.572054028162334E-2</v>
      </c>
      <c r="Y15" s="85">
        <f>'Net zero emission summary'!AZ14</f>
        <v>4.583308862084659E-2</v>
      </c>
      <c r="Z15" s="85">
        <f>'Net zero emission summary'!BA14</f>
        <v>4.5954218267974065E-2</v>
      </c>
      <c r="AA15" s="85">
        <f>'Net zero emission summary'!BB14</f>
        <v>4.6080269768312546E-2</v>
      </c>
      <c r="AB15" s="85">
        <f>'Net zero emission summary'!BC14</f>
        <v>4.6158336705622548E-2</v>
      </c>
      <c r="AC15" s="85">
        <f>'Net zero emission summary'!BD14</f>
        <v>4.6243053546721154E-2</v>
      </c>
      <c r="AD15" s="85">
        <f>'Net zero emission summary'!BE14</f>
        <v>4.6331473951767663E-2</v>
      </c>
      <c r="AE15" s="85">
        <f>'Net zero emission summary'!BF14</f>
        <v>4.6424639486774971E-2</v>
      </c>
      <c r="AF15" s="85">
        <f>'Net zero emission summary'!BG14</f>
        <v>4.652242259522639E-2</v>
      </c>
      <c r="AG15" s="85">
        <f>'Net zero emission summary'!BH14</f>
        <v>4.6575845304371546E-2</v>
      </c>
      <c r="AH15" s="85">
        <f>'Net zero emission summary'!BI14</f>
        <v>4.6632633504825799E-2</v>
      </c>
      <c r="AI15" s="85">
        <f>'Net zero emission summary'!BJ14</f>
        <v>4.6694236841468353E-2</v>
      </c>
      <c r="AJ15" s="85">
        <f>'Net zero emission summary'!BK14</f>
        <v>4.6760596480323054E-2</v>
      </c>
      <c r="AK15" s="85">
        <f>'Net zero emission summary'!BL14</f>
        <v>4.6831720076730907E-2</v>
      </c>
      <c r="AL15" s="85">
        <f>'Net zero emission summary'!BM14</f>
        <v>4.6856788973605255E-2</v>
      </c>
      <c r="AM15" s="85">
        <f>'Net zero emission summary'!BN14</f>
        <v>4.6867922076407137E-2</v>
      </c>
      <c r="AN15" s="85">
        <f>'Net zero emission summary'!BO14</f>
        <v>4.688086438531168E-2</v>
      </c>
      <c r="AO15" s="85">
        <f>'Net zero emission summary'!BP14</f>
        <v>4.6894797798067683E-2</v>
      </c>
      <c r="AP15" s="85">
        <f>'Net zero emission summary'!BQ14</f>
        <v>4.6911257900968964E-2</v>
      </c>
    </row>
    <row r="16" spans="1:42" x14ac:dyDescent="0.3">
      <c r="A16" t="str">
        <f>'Emissions summary'!C15</f>
        <v>3A2f Horses</v>
      </c>
      <c r="B16" t="str">
        <f t="shared" si="1"/>
        <v>A3A2f</v>
      </c>
      <c r="C16" t="str">
        <f>'Emissions summary'!D15</f>
        <v>CH4</v>
      </c>
      <c r="D16" s="85">
        <f>'Net zero emission summary'!AE15</f>
        <v>4.1336182129460552E-3</v>
      </c>
      <c r="E16" s="85">
        <f>'Net zero emission summary'!AF15</f>
        <v>4.1536453250924071E-3</v>
      </c>
      <c r="F16" s="85">
        <f>'Net zero emission summary'!AG15</f>
        <v>4.1840370126470534E-3</v>
      </c>
      <c r="G16" s="85">
        <f>'Net zero emission summary'!AH15</f>
        <v>4.1905340987284569E-3</v>
      </c>
      <c r="H16" s="85">
        <f>'Net zero emission summary'!AI15</f>
        <v>4.1812329246154589E-3</v>
      </c>
      <c r="I16" s="85">
        <f>'Net zero emission summary'!AJ15</f>
        <v>4.1564738854214548E-3</v>
      </c>
      <c r="J16" s="85">
        <f>'Net zero emission summary'!AK15</f>
        <v>4.1427460620707141E-3</v>
      </c>
      <c r="K16" s="85">
        <f>'Net zero emission summary'!AL15</f>
        <v>4.1304087921358321E-3</v>
      </c>
      <c r="L16" s="85">
        <f>'Net zero emission summary'!AM15</f>
        <v>3.8942776940038416E-3</v>
      </c>
      <c r="M16" s="85">
        <f>'Net zero emission summary'!AN15</f>
        <v>3.9425050527123239E-3</v>
      </c>
      <c r="N16" s="85">
        <f>'Net zero emission summary'!AO15</f>
        <v>4.0191071248696416E-3</v>
      </c>
      <c r="O16" s="85">
        <f>'Net zero emission summary'!AP15</f>
        <v>4.0473828533201294E-3</v>
      </c>
      <c r="P16" s="85">
        <f>'Net zero emission summary'!AQ15</f>
        <v>4.0809840197269919E-3</v>
      </c>
      <c r="Q16" s="85">
        <f>'Net zero emission summary'!AR15</f>
        <v>4.1216678621320202E-3</v>
      </c>
      <c r="R16" s="85">
        <f>'Net zero emission summary'!AS15</f>
        <v>4.1703472412361522E-3</v>
      </c>
      <c r="S16" s="85">
        <f>'Net zero emission summary'!AT15</f>
        <v>4.2244482436929265E-3</v>
      </c>
      <c r="T16" s="85">
        <f>'Net zero emission summary'!AU15</f>
        <v>4.2791921283487086E-3</v>
      </c>
      <c r="U16" s="85">
        <f>'Net zero emission summary'!AV15</f>
        <v>4.3388287504468421E-3</v>
      </c>
      <c r="V16" s="85">
        <f>'Net zero emission summary'!AW15</f>
        <v>4.3986726547954836E-3</v>
      </c>
      <c r="W16" s="85">
        <f>'Net zero emission summary'!AX15</f>
        <v>4.4704656017983358E-3</v>
      </c>
      <c r="X16" s="85">
        <f>'Net zero emission summary'!AY15</f>
        <v>4.539631463046338E-3</v>
      </c>
      <c r="Y16" s="85">
        <f>'Net zero emission summary'!AZ15</f>
        <v>4.6121605087864415E-3</v>
      </c>
      <c r="Z16" s="85">
        <f>'Net zero emission summary'!BA15</f>
        <v>4.6951125632471334E-3</v>
      </c>
      <c r="AA16" s="85">
        <f>'Net zero emission summary'!BB15</f>
        <v>4.7715465683054572E-3</v>
      </c>
      <c r="AB16" s="85">
        <f>'Net zero emission summary'!BC15</f>
        <v>4.855932813312959E-3</v>
      </c>
      <c r="AC16" s="85">
        <f>'Net zero emission summary'!BD15</f>
        <v>4.945901658536307E-3</v>
      </c>
      <c r="AD16" s="85">
        <f>'Net zero emission summary'!BE15</f>
        <v>5.0279520878702428E-3</v>
      </c>
      <c r="AE16" s="85">
        <f>'Net zero emission summary'!BF15</f>
        <v>5.1082371551630715E-3</v>
      </c>
      <c r="AF16" s="85">
        <f>'Net zero emission summary'!BG15</f>
        <v>5.1870452828056204E-3</v>
      </c>
      <c r="AG16" s="85">
        <f>'Net zero emission summary'!BH15</f>
        <v>5.27706789842347E-3</v>
      </c>
      <c r="AH16" s="85">
        <f>'Net zero emission summary'!BI15</f>
        <v>5.3619473096130918E-3</v>
      </c>
      <c r="AI16" s="85">
        <f>'Net zero emission summary'!BJ15</f>
        <v>5.4495970329020271E-3</v>
      </c>
      <c r="AJ16" s="85">
        <f>'Net zero emission summary'!BK15</f>
        <v>5.5404524678757516E-3</v>
      </c>
      <c r="AK16" s="85">
        <f>'Net zero emission summary'!BL15</f>
        <v>5.6352215326777718E-3</v>
      </c>
      <c r="AL16" s="85">
        <f>'Net zero emission summary'!BM15</f>
        <v>5.7381722103153144E-3</v>
      </c>
      <c r="AM16" s="85">
        <f>'Net zero emission summary'!BN15</f>
        <v>5.7552832935457467E-3</v>
      </c>
      <c r="AN16" s="85">
        <f>'Net zero emission summary'!BO15</f>
        <v>5.7642783755128633E-3</v>
      </c>
      <c r="AO16" s="85">
        <f>'Net zero emission summary'!BP15</f>
        <v>5.7617518385425876E-3</v>
      </c>
      <c r="AP16" s="85">
        <f>'Net zero emission summary'!BQ15</f>
        <v>5.7557818048942742E-3</v>
      </c>
    </row>
    <row r="17" spans="1:42" x14ac:dyDescent="0.3">
      <c r="A17" t="str">
        <f>'Emissions summary'!C16</f>
        <v>3A2g Mules &amp; asses</v>
      </c>
      <c r="B17" t="str">
        <f t="shared" si="1"/>
        <v>A3A2g</v>
      </c>
      <c r="C17" t="str">
        <f>'Emissions summary'!D16</f>
        <v>CH4</v>
      </c>
      <c r="D17" s="85">
        <f>'Net zero emission summary'!AE16</f>
        <v>7.515E-4</v>
      </c>
      <c r="E17" s="85">
        <f>'Net zero emission summary'!AF16</f>
        <v>7.515E-4</v>
      </c>
      <c r="F17" s="85">
        <f>'Net zero emission summary'!AG16</f>
        <v>7.515E-4</v>
      </c>
      <c r="G17" s="85">
        <f>'Net zero emission summary'!AH16</f>
        <v>7.515E-4</v>
      </c>
      <c r="H17" s="85">
        <f>'Net zero emission summary'!AI16</f>
        <v>7.515E-4</v>
      </c>
      <c r="I17" s="85">
        <f>'Net zero emission summary'!AJ16</f>
        <v>7.515E-4</v>
      </c>
      <c r="J17" s="85">
        <f>'Net zero emission summary'!AK16</f>
        <v>7.515E-4</v>
      </c>
      <c r="K17" s="85">
        <f>'Net zero emission summary'!AL16</f>
        <v>7.515E-4</v>
      </c>
      <c r="L17" s="85">
        <f>'Net zero emission summary'!AM16</f>
        <v>7.515E-4</v>
      </c>
      <c r="M17" s="85">
        <f>'Net zero emission summary'!AN16</f>
        <v>7.515E-4</v>
      </c>
      <c r="N17" s="85">
        <f>'Net zero emission summary'!AO16</f>
        <v>7.515E-4</v>
      </c>
      <c r="O17" s="85">
        <f>'Net zero emission summary'!AP16</f>
        <v>7.515E-4</v>
      </c>
      <c r="P17" s="85">
        <f>'Net zero emission summary'!AQ16</f>
        <v>7.515E-4</v>
      </c>
      <c r="Q17" s="85">
        <f>'Net zero emission summary'!AR16</f>
        <v>7.515E-4</v>
      </c>
      <c r="R17" s="85">
        <f>'Net zero emission summary'!AS16</f>
        <v>7.515E-4</v>
      </c>
      <c r="S17" s="85">
        <f>'Net zero emission summary'!AT16</f>
        <v>7.515E-4</v>
      </c>
      <c r="T17" s="85">
        <f>'Net zero emission summary'!AU16</f>
        <v>7.515E-4</v>
      </c>
      <c r="U17" s="85">
        <f>'Net zero emission summary'!AV16</f>
        <v>7.515E-4</v>
      </c>
      <c r="V17" s="85">
        <f>'Net zero emission summary'!AW16</f>
        <v>7.515E-4</v>
      </c>
      <c r="W17" s="85">
        <f>'Net zero emission summary'!AX16</f>
        <v>7.515E-4</v>
      </c>
      <c r="X17" s="85">
        <f>'Net zero emission summary'!AY16</f>
        <v>7.515E-4</v>
      </c>
      <c r="Y17" s="85">
        <f>'Net zero emission summary'!AZ16</f>
        <v>7.515E-4</v>
      </c>
      <c r="Z17" s="85">
        <f>'Net zero emission summary'!BA16</f>
        <v>7.515E-4</v>
      </c>
      <c r="AA17" s="85">
        <f>'Net zero emission summary'!BB16</f>
        <v>7.515E-4</v>
      </c>
      <c r="AB17" s="85">
        <f>'Net zero emission summary'!BC16</f>
        <v>7.515E-4</v>
      </c>
      <c r="AC17" s="85">
        <f>'Net zero emission summary'!BD16</f>
        <v>7.515E-4</v>
      </c>
      <c r="AD17" s="85">
        <f>'Net zero emission summary'!BE16</f>
        <v>7.515E-4</v>
      </c>
      <c r="AE17" s="85">
        <f>'Net zero emission summary'!BF16</f>
        <v>7.515E-4</v>
      </c>
      <c r="AF17" s="85">
        <f>'Net zero emission summary'!BG16</f>
        <v>7.515E-4</v>
      </c>
      <c r="AG17" s="85">
        <f>'Net zero emission summary'!BH16</f>
        <v>7.515E-4</v>
      </c>
      <c r="AH17" s="85">
        <f>'Net zero emission summary'!BI16</f>
        <v>7.515E-4</v>
      </c>
      <c r="AI17" s="85">
        <f>'Net zero emission summary'!BJ16</f>
        <v>7.515E-4</v>
      </c>
      <c r="AJ17" s="85">
        <f>'Net zero emission summary'!BK16</f>
        <v>7.515E-4</v>
      </c>
      <c r="AK17" s="85">
        <f>'Net zero emission summary'!BL16</f>
        <v>7.515E-4</v>
      </c>
      <c r="AL17" s="85">
        <f>'Net zero emission summary'!BM16</f>
        <v>7.515E-4</v>
      </c>
      <c r="AM17" s="85">
        <f>'Net zero emission summary'!BN16</f>
        <v>7.515E-4</v>
      </c>
      <c r="AN17" s="85">
        <f>'Net zero emission summary'!BO16</f>
        <v>7.515E-4</v>
      </c>
      <c r="AO17" s="85">
        <f>'Net zero emission summary'!BP16</f>
        <v>7.515E-4</v>
      </c>
      <c r="AP17" s="85">
        <f>'Net zero emission summary'!BQ16</f>
        <v>7.515E-4</v>
      </c>
    </row>
    <row r="18" spans="1:42" x14ac:dyDescent="0.3">
      <c r="A18" t="str">
        <f>'Emissions summary'!C17</f>
        <v>3A2h Swine</v>
      </c>
      <c r="B18" t="str">
        <f t="shared" si="1"/>
        <v>A3A2h</v>
      </c>
      <c r="C18" t="str">
        <f>'Emissions summary'!D17</f>
        <v>CH4</v>
      </c>
      <c r="D18" s="85">
        <f>'Net zero emission summary'!AE17</f>
        <v>23.356999930110071</v>
      </c>
      <c r="E18" s="85">
        <f>'Net zero emission summary'!AF17</f>
        <v>23.230039099944456</v>
      </c>
      <c r="F18" s="85">
        <f>'Net zero emission summary'!AG17</f>
        <v>23.240459651013445</v>
      </c>
      <c r="G18" s="85">
        <f>'Net zero emission summary'!AH17</f>
        <v>23.027094422284396</v>
      </c>
      <c r="H18" s="85">
        <f>'Net zero emission summary'!AI17</f>
        <v>22.678619791645833</v>
      </c>
      <c r="I18" s="85">
        <f>'Net zero emission summary'!AJ17</f>
        <v>22.200606495542022</v>
      </c>
      <c r="J18" s="85">
        <f>'Net zero emission summary'!AK17</f>
        <v>21.853515832253049</v>
      </c>
      <c r="K18" s="85">
        <f>'Net zero emission summary'!AL17</f>
        <v>21.537138037854106</v>
      </c>
      <c r="L18" s="85">
        <f>'Net zero emission summary'!AM17</f>
        <v>19.016213945060766</v>
      </c>
      <c r="M18" s="85">
        <f>'Net zero emission summary'!AN17</f>
        <v>19.256686847804435</v>
      </c>
      <c r="N18" s="85">
        <f>'Net zero emission summary'!AO17</f>
        <v>19.772694491071707</v>
      </c>
      <c r="O18" s="85">
        <f>'Net zero emission summary'!AP17</f>
        <v>19.81954530435112</v>
      </c>
      <c r="P18" s="85">
        <f>'Net zero emission summary'!AQ17</f>
        <v>19.921003343736565</v>
      </c>
      <c r="Q18" s="85">
        <f>'Net zero emission summary'!AR17</f>
        <v>20.091589996062091</v>
      </c>
      <c r="R18" s="85">
        <f>'Net zero emission summary'!AS17</f>
        <v>20.305642147892318</v>
      </c>
      <c r="S18" s="85">
        <f>'Net zero emission summary'!AT17</f>
        <v>20.56794491354453</v>
      </c>
      <c r="T18" s="85">
        <f>'Net zero emission summary'!AU17</f>
        <v>20.833315047294629</v>
      </c>
      <c r="U18" s="85">
        <f>'Net zero emission summary'!AV17</f>
        <v>21.139697345625287</v>
      </c>
      <c r="V18" s="85">
        <f>'Net zero emission summary'!AW17</f>
        <v>21.443965000460068</v>
      </c>
      <c r="W18" s="85">
        <f>'Net zero emission summary'!AX17</f>
        <v>21.822249138210772</v>
      </c>
      <c r="X18" s="85">
        <f>'Net zero emission summary'!AY17</f>
        <v>22.170487316141841</v>
      </c>
      <c r="Y18" s="85">
        <f>'Net zero emission summary'!AZ17</f>
        <v>22.541040579003944</v>
      </c>
      <c r="Z18" s="85">
        <f>'Net zero emission summary'!BA17</f>
        <v>22.99306721851277</v>
      </c>
      <c r="AA18" s="85">
        <f>'Net zero emission summary'!BB17</f>
        <v>23.381209520185788</v>
      </c>
      <c r="AB18" s="85">
        <f>'Net zero emission summary'!BC17</f>
        <v>23.800149407468528</v>
      </c>
      <c r="AC18" s="85">
        <f>'Net zero emission summary'!BD17</f>
        <v>24.254837666985885</v>
      </c>
      <c r="AD18" s="85">
        <f>'Net zero emission summary'!BE17</f>
        <v>24.634150733463578</v>
      </c>
      <c r="AE18" s="85">
        <f>'Net zero emission summary'!BF17</f>
        <v>24.989864968184552</v>
      </c>
      <c r="AF18" s="85">
        <f>'Net zero emission summary'!BG17</f>
        <v>25.324849279812526</v>
      </c>
      <c r="AG18" s="85">
        <f>'Net zero emission summary'!BH17</f>
        <v>25.711642544096865</v>
      </c>
      <c r="AH18" s="85">
        <f>'Net zero emission summary'!BI17</f>
        <v>26.04713583959461</v>
      </c>
      <c r="AI18" s="85">
        <f>'Net zero emission summary'!BJ17</f>
        <v>26.393450146225582</v>
      </c>
      <c r="AJ18" s="85">
        <f>'Net zero emission summary'!BK17</f>
        <v>26.753197633291737</v>
      </c>
      <c r="AK18" s="85">
        <f>'Net zero emission summary'!BL17</f>
        <v>27.130879639828738</v>
      </c>
      <c r="AL18" s="85">
        <f>'Net zero emission summary'!BM17</f>
        <v>27.527470791265984</v>
      </c>
      <c r="AM18" s="85">
        <f>'Net zero emission summary'!BN17</f>
        <v>27.286139629164122</v>
      </c>
      <c r="AN18" s="85">
        <f>'Net zero emission summary'!BO17</f>
        <v>26.989037890227447</v>
      </c>
      <c r="AO18" s="85">
        <f>'Net zero emission summary'!BP17</f>
        <v>26.614147128740825</v>
      </c>
      <c r="AP18" s="85">
        <f>'Net zero emission summary'!BQ17</f>
        <v>26.220870510087533</v>
      </c>
    </row>
    <row r="19" spans="1:42" x14ac:dyDescent="0.3">
      <c r="A19" t="str">
        <f>'Emissions summary'!C18</f>
        <v>3A2i Poultry</v>
      </c>
      <c r="B19" t="str">
        <f t="shared" si="1"/>
        <v>A3A2i</v>
      </c>
      <c r="C19" t="str">
        <f>'Emissions summary'!D18</f>
        <v>CH4</v>
      </c>
      <c r="D19" s="85">
        <f>'Net zero emission summary'!AE18</f>
        <v>2.8811301877986604</v>
      </c>
      <c r="E19" s="85">
        <f>'Net zero emission summary'!AF18</f>
        <v>2.9232175341370534</v>
      </c>
      <c r="F19" s="85">
        <f>'Net zero emission summary'!AG18</f>
        <v>2.9856726990921141</v>
      </c>
      <c r="G19" s="85">
        <f>'Net zero emission summary'!AH18</f>
        <v>3.0102189866459588</v>
      </c>
      <c r="H19" s="85">
        <f>'Net zero emission summary'!AI18</f>
        <v>3.010126579070374</v>
      </c>
      <c r="I19" s="85">
        <f>'Net zero emission summary'!AJ18</f>
        <v>2.9854362546719675</v>
      </c>
      <c r="J19" s="85">
        <f>'Net zero emission summary'!AK18</f>
        <v>2.9805084686213323</v>
      </c>
      <c r="K19" s="85">
        <f>'Net zero emission summary'!AL18</f>
        <v>2.9788681664379335</v>
      </c>
      <c r="L19" s="85">
        <f>'Net zero emission summary'!AM18</f>
        <v>2.583796340486967</v>
      </c>
      <c r="M19" s="85">
        <f>'Net zero emission summary'!AN18</f>
        <v>2.6770366707794757</v>
      </c>
      <c r="N19" s="85">
        <f>'Net zero emission summary'!AO18</f>
        <v>2.8217941179445583</v>
      </c>
      <c r="O19" s="85">
        <f>'Net zero emission summary'!AP18</f>
        <v>2.8822322179387672</v>
      </c>
      <c r="P19" s="85">
        <f>'Net zero emission summary'!AQ18</f>
        <v>2.9532237085647988</v>
      </c>
      <c r="Q19" s="85">
        <f>'Net zero emission summary'!AR18</f>
        <v>3.0380268869678448</v>
      </c>
      <c r="R19" s="85">
        <f>'Net zero emission summary'!AS18</f>
        <v>3.1336586705236544</v>
      </c>
      <c r="S19" s="85">
        <f>'Net zero emission summary'!AT18</f>
        <v>3.2400944257776629</v>
      </c>
      <c r="T19" s="85">
        <f>'Net zero emission summary'!AU18</f>
        <v>3.3488115194757166</v>
      </c>
      <c r="U19" s="85">
        <f>'Net zero emission summary'!AV18</f>
        <v>3.467541730645793</v>
      </c>
      <c r="V19" s="85">
        <f>'Net zero emission summary'!AW18</f>
        <v>3.5878860614675379</v>
      </c>
      <c r="W19" s="85">
        <f>'Net zero emission summary'!AX18</f>
        <v>3.726717423632552</v>
      </c>
      <c r="X19" s="85">
        <f>'Net zero emission summary'!AY18</f>
        <v>3.8618347524673764</v>
      </c>
      <c r="Y19" s="85">
        <f>'Net zero emission summary'!AZ18</f>
        <v>4.004188740151899</v>
      </c>
      <c r="Z19" s="85">
        <f>'Net zero emission summary'!BA18</f>
        <v>4.1667890510686796</v>
      </c>
      <c r="AA19" s="85">
        <f>'Net zero emission summary'!BB18</f>
        <v>4.318698878068945</v>
      </c>
      <c r="AB19" s="85">
        <f>'Net zero emission summary'!BC18</f>
        <v>4.4813743821844128</v>
      </c>
      <c r="AC19" s="85">
        <f>'Net zero emission summary'!BD18</f>
        <v>4.6553013100948544</v>
      </c>
      <c r="AD19" s="85">
        <f>'Net zero emission summary'!BE18</f>
        <v>4.8156529981787672</v>
      </c>
      <c r="AE19" s="85">
        <f>'Net zero emission summary'!BF18</f>
        <v>4.9737615385066389</v>
      </c>
      <c r="AF19" s="85">
        <f>'Net zero emission summary'!BG18</f>
        <v>5.1301728967329945</v>
      </c>
      <c r="AG19" s="85">
        <f>'Net zero emission summary'!BH18</f>
        <v>5.3028294274456016</v>
      </c>
      <c r="AH19" s="85">
        <f>'Net zero emission summary'!BI18</f>
        <v>5.4667195792254804</v>
      </c>
      <c r="AI19" s="85">
        <f>'Net zero emission summary'!BJ18</f>
        <v>5.6365387685756208</v>
      </c>
      <c r="AJ19" s="85">
        <f>'Net zero emission summary'!BK18</f>
        <v>5.8131388122083631</v>
      </c>
      <c r="AK19" s="85">
        <f>'Net zero emission summary'!BL18</f>
        <v>5.9978844651570222</v>
      </c>
      <c r="AL19" s="85">
        <f>'Net zero emission summary'!BM18</f>
        <v>6.1921952100127866</v>
      </c>
      <c r="AM19" s="85">
        <f>'Net zero emission summary'!BN18</f>
        <v>6.227178993614352</v>
      </c>
      <c r="AN19" s="85">
        <f>'Net zero emission summary'!BO18</f>
        <v>6.2474981842379753</v>
      </c>
      <c r="AO19" s="85">
        <f>'Net zero emission summary'!BP18</f>
        <v>6.2467795991341521</v>
      </c>
      <c r="AP19" s="85">
        <f>'Net zero emission summary'!BQ18</f>
        <v>6.2400448386224108</v>
      </c>
    </row>
    <row r="20" spans="1:42" x14ac:dyDescent="0.3">
      <c r="A20" t="str">
        <f>'Emissions summary'!C20</f>
        <v>3A2a Cattle</v>
      </c>
      <c r="B20" t="str">
        <f t="shared" si="1"/>
        <v>A3A2a</v>
      </c>
      <c r="C20" t="str">
        <f>'Emissions summary'!D20</f>
        <v>N2O</v>
      </c>
      <c r="D20" s="85">
        <f>'Net zero emission summary'!AE20</f>
        <v>2.6405154397771442</v>
      </c>
      <c r="E20" s="85">
        <f>'Net zero emission summary'!AF20</f>
        <v>2.663854765875719</v>
      </c>
      <c r="F20" s="85">
        <f>'Net zero emission summary'!AG20</f>
        <v>2.7012838960025101</v>
      </c>
      <c r="G20" s="85">
        <f>'Net zero emission summary'!AH20</f>
        <v>2.7146557268578313</v>
      </c>
      <c r="H20" s="85">
        <f>'Net zero emission summary'!AI20</f>
        <v>2.7128512798971713</v>
      </c>
      <c r="I20" s="85">
        <f>'Net zero emission summary'!AJ20</f>
        <v>2.6960639868509828</v>
      </c>
      <c r="J20" s="85">
        <f>'Net zero emission summary'!AK20</f>
        <v>2.6925532758612407</v>
      </c>
      <c r="K20" s="85">
        <f>'Net zero emission summary'!AL20</f>
        <v>2.6916404315629792</v>
      </c>
      <c r="L20" s="85">
        <f>'Net zero emission summary'!AM20</f>
        <v>2.440030021632567</v>
      </c>
      <c r="M20" s="85">
        <f>'Net zero emission summary'!AN20</f>
        <v>2.5038080719840461</v>
      </c>
      <c r="N20" s="85">
        <f>'Net zero emission summary'!AO20</f>
        <v>2.6006671036749212</v>
      </c>
      <c r="O20" s="85">
        <f>'Net zero emission summary'!AP20</f>
        <v>2.6439229703477478</v>
      </c>
      <c r="P20" s="85">
        <f>'Net zero emission summary'!AQ20</f>
        <v>2.6941115888254079</v>
      </c>
      <c r="Q20" s="85">
        <f>'Net zero emission summary'!AR20</f>
        <v>2.7532993573966769</v>
      </c>
      <c r="R20" s="85">
        <f>'Net zero emission summary'!AS20</f>
        <v>2.8176375333236794</v>
      </c>
      <c r="S20" s="85">
        <f>'Net zero emission summary'!AT20</f>
        <v>2.8890319988572353</v>
      </c>
      <c r="T20" s="85">
        <f>'Net zero emission summary'!AU20</f>
        <v>2.9620433871621046</v>
      </c>
      <c r="U20" s="85">
        <f>'Net zero emission summary'!AV20</f>
        <v>3.041594131374306</v>
      </c>
      <c r="V20" s="85">
        <f>'Net zero emission summary'!AW20</f>
        <v>3.1223281396928888</v>
      </c>
      <c r="W20" s="85">
        <f>'Net zero emission summary'!AX20</f>
        <v>3.2073263585501057</v>
      </c>
      <c r="X20" s="85">
        <f>'Net zero emission summary'!AY20</f>
        <v>3.2898792021801628</v>
      </c>
      <c r="Y20" s="85">
        <f>'Net zero emission summary'!AZ20</f>
        <v>3.3769410900544177</v>
      </c>
      <c r="Z20" s="85">
        <f>'Net zero emission summary'!BA20</f>
        <v>3.4767104193531688</v>
      </c>
      <c r="AA20" s="85">
        <f>'Net zero emission summary'!BB20</f>
        <v>3.5696163883331842</v>
      </c>
      <c r="AB20" s="85">
        <f>'Net zero emission summary'!BC20</f>
        <v>3.6678022739506271</v>
      </c>
      <c r="AC20" s="85">
        <f>'Net zero emission summary'!BD20</f>
        <v>3.7729570850649772</v>
      </c>
      <c r="AD20" s="85">
        <f>'Net zero emission summary'!BE20</f>
        <v>3.8694893537582025</v>
      </c>
      <c r="AE20" s="85">
        <f>'Net zero emission summary'!BF20</f>
        <v>3.9645489117768058</v>
      </c>
      <c r="AF20" s="85">
        <f>'Net zero emission summary'!BG20</f>
        <v>4.0584957591919961</v>
      </c>
      <c r="AG20" s="85">
        <f>'Net zero emission summary'!BH20</f>
        <v>4.1649505592486351</v>
      </c>
      <c r="AH20" s="85">
        <f>'Net zero emission summary'!BI20</f>
        <v>4.266004264340534</v>
      </c>
      <c r="AI20" s="85">
        <f>'Net zero emission summary'!BJ20</f>
        <v>4.3708377268237069</v>
      </c>
      <c r="AJ20" s="85">
        <f>'Net zero emission summary'!BK20</f>
        <v>4.4799824410886595</v>
      </c>
      <c r="AK20" s="85">
        <f>'Net zero emission summary'!BL20</f>
        <v>4.5942890638626555</v>
      </c>
      <c r="AL20" s="85">
        <f>'Net zero emission summary'!BM20</f>
        <v>4.7133678207091503</v>
      </c>
      <c r="AM20" s="85">
        <f>'Net zero emission summary'!BN20</f>
        <v>4.7334267331557829</v>
      </c>
      <c r="AN20" s="85">
        <f>'Net zero emission summary'!BO20</f>
        <v>4.7445675521445558</v>
      </c>
      <c r="AO20" s="85">
        <f>'Net zero emission summary'!BP20</f>
        <v>4.7428403198745039</v>
      </c>
      <c r="AP20" s="85">
        <f>'Net zero emission summary'!BQ20</f>
        <v>4.7375920581481985</v>
      </c>
    </row>
    <row r="21" spans="1:42" x14ac:dyDescent="0.3">
      <c r="A21" t="str">
        <f>'Emissions summary'!C21</f>
        <v>3A2c Sheep</v>
      </c>
      <c r="B21" t="str">
        <f t="shared" si="1"/>
        <v>A3A2c</v>
      </c>
      <c r="C21" t="str">
        <f>'Emissions summary'!D21</f>
        <v>N2O</v>
      </c>
      <c r="D21" s="85">
        <f>'Net zero emission summary'!AE21</f>
        <v>0.17985376948327025</v>
      </c>
      <c r="E21" s="85">
        <f>'Net zero emission summary'!AF21</f>
        <v>0.17995101584413165</v>
      </c>
      <c r="F21" s="85">
        <f>'Net zero emission summary'!AG21</f>
        <v>0.18018352824459791</v>
      </c>
      <c r="G21" s="85">
        <f>'Net zero emission summary'!AH21</f>
        <v>0.18052636964290036</v>
      </c>
      <c r="H21" s="85">
        <f>'Net zero emission summary'!AI21</f>
        <v>0.18097736138672513</v>
      </c>
      <c r="I21" s="85">
        <f>'Net zero emission summary'!AJ21</f>
        <v>0.18153174118988938</v>
      </c>
      <c r="J21" s="85">
        <f>'Net zero emission summary'!AK21</f>
        <v>0.18215438537953882</v>
      </c>
      <c r="K21" s="85">
        <f>'Net zero emission summary'!AL21</f>
        <v>0.18284136298365847</v>
      </c>
      <c r="L21" s="85">
        <f>'Net zero emission summary'!AM21</f>
        <v>0.18346956618067195</v>
      </c>
      <c r="M21" s="85">
        <f>'Net zero emission summary'!AN21</f>
        <v>0.18374561387399735</v>
      </c>
      <c r="N21" s="85">
        <f>'Net zero emission summary'!AO21</f>
        <v>0.1840827274114902</v>
      </c>
      <c r="O21" s="85">
        <f>'Net zero emission summary'!AP21</f>
        <v>0.18443706005328375</v>
      </c>
      <c r="P21" s="85">
        <f>'Net zero emission summary'!AQ21</f>
        <v>0.18483487409005453</v>
      </c>
      <c r="Q21" s="85">
        <f>'Net zero emission summary'!AR21</f>
        <v>0.18527505643026035</v>
      </c>
      <c r="R21" s="85">
        <f>'Net zero emission summary'!AS21</f>
        <v>0.18554996138402727</v>
      </c>
      <c r="S21" s="85">
        <f>'Net zero emission summary'!AT21</f>
        <v>0.18586053429431654</v>
      </c>
      <c r="T21" s="85">
        <f>'Net zero emission summary'!AU21</f>
        <v>0.18620257863223894</v>
      </c>
      <c r="U21" s="85">
        <f>'Net zero emission summary'!AV21</f>
        <v>0.18657703489932315</v>
      </c>
      <c r="V21" s="85">
        <f>'Net zero emission summary'!AW21</f>
        <v>0.18698003814401515</v>
      </c>
      <c r="W21" s="85">
        <f>'Net zero emission summary'!AX21</f>
        <v>0.18725037887589061</v>
      </c>
      <c r="X21" s="85">
        <f>'Net zero emission summary'!AY21</f>
        <v>0.18754386445509683</v>
      </c>
      <c r="Y21" s="85">
        <f>'Net zero emission summary'!AZ21</f>
        <v>0.18786285402502434</v>
      </c>
      <c r="Z21" s="85">
        <f>'Net zero emission summary'!BA21</f>
        <v>0.1882104614384143</v>
      </c>
      <c r="AA21" s="85">
        <f>'Net zero emission summary'!BB21</f>
        <v>0.18857624875501067</v>
      </c>
      <c r="AB21" s="85">
        <f>'Net zero emission summary'!BC21</f>
        <v>0.18881005884481172</v>
      </c>
      <c r="AC21" s="85">
        <f>'Net zero emission summary'!BD21</f>
        <v>0.1890661588912948</v>
      </c>
      <c r="AD21" s="85">
        <f>'Net zero emission summary'!BE21</f>
        <v>0.18933610218005476</v>
      </c>
      <c r="AE21" s="85">
        <f>'Net zero emission summary'!BF21</f>
        <v>0.18962276253260429</v>
      </c>
      <c r="AF21" s="85">
        <f>'Net zero emission summary'!BG21</f>
        <v>0.18992570530907227</v>
      </c>
      <c r="AG21" s="85">
        <f>'Net zero emission summary'!BH21</f>
        <v>0.19010470631229215</v>
      </c>
      <c r="AH21" s="85">
        <f>'Net zero emission summary'!BI21</f>
        <v>0.19029579205538394</v>
      </c>
      <c r="AI21" s="85">
        <f>'Net zero emission summary'!BJ21</f>
        <v>0.19050306663769834</v>
      </c>
      <c r="AJ21" s="85">
        <f>'Net zero emission summary'!BK21</f>
        <v>0.1907263296686863</v>
      </c>
      <c r="AK21" s="85">
        <f>'Net zero emission summary'!BL21</f>
        <v>0.1909655765216178</v>
      </c>
      <c r="AL21" s="85">
        <f>'Net zero emission summary'!BM21</f>
        <v>0.1910741170836471</v>
      </c>
      <c r="AM21" s="85">
        <f>'Net zero emission summary'!BN21</f>
        <v>0.19114406430011754</v>
      </c>
      <c r="AN21" s="85">
        <f>'Net zero emission summary'!BO21</f>
        <v>0.19122073966900657</v>
      </c>
      <c r="AO21" s="85">
        <f>'Net zero emission summary'!BP21</f>
        <v>0.19130172941620832</v>
      </c>
      <c r="AP21" s="85">
        <f>'Net zero emission summary'!BQ21</f>
        <v>0.19139144527348179</v>
      </c>
    </row>
    <row r="22" spans="1:42" x14ac:dyDescent="0.3">
      <c r="A22" t="str">
        <f>'Emissions summary'!C22</f>
        <v>3A2d Goats</v>
      </c>
      <c r="B22" t="str">
        <f t="shared" si="1"/>
        <v>A3A2d</v>
      </c>
      <c r="C22" t="str">
        <f>'Emissions summary'!D22</f>
        <v>N2O</v>
      </c>
      <c r="D22" s="85">
        <f>'Net zero emission summary'!AE22</f>
        <v>0.1293305253990944</v>
      </c>
      <c r="E22" s="85">
        <f>'Net zero emission summary'!AF22</f>
        <v>0.12966672233797991</v>
      </c>
      <c r="F22" s="85">
        <f>'Net zero emission summary'!AG22</f>
        <v>0.1301304941343914</v>
      </c>
      <c r="G22" s="85">
        <f>'Net zero emission summary'!AH22</f>
        <v>0.1306954906649623</v>
      </c>
      <c r="H22" s="85">
        <f>'Net zero emission summary'!AI22</f>
        <v>0.1313609060950319</v>
      </c>
      <c r="I22" s="85">
        <f>'Net zero emission summary'!AJ22</f>
        <v>0.13212269035728819</v>
      </c>
      <c r="J22" s="85">
        <f>'Net zero emission summary'!AK22</f>
        <v>0.13294253416938454</v>
      </c>
      <c r="K22" s="85">
        <f>'Net zero emission summary'!AL22</f>
        <v>0.13381719216548246</v>
      </c>
      <c r="L22" s="85">
        <f>'Net zero emission summary'!AM22</f>
        <v>0.13461040791274703</v>
      </c>
      <c r="M22" s="85">
        <f>'Net zero emission summary'!AN22</f>
        <v>0.13499786272310949</v>
      </c>
      <c r="N22" s="85">
        <f>'Net zero emission summary'!AO22</f>
        <v>0.13544197239533959</v>
      </c>
      <c r="O22" s="85">
        <f>'Net zero emission summary'!AP22</f>
        <v>0.13589467642953162</v>
      </c>
      <c r="P22" s="85">
        <f>'Net zero emission summary'!AQ22</f>
        <v>0.13638566796303572</v>
      </c>
      <c r="Q22" s="85">
        <f>'Net zero emission summary'!AR22</f>
        <v>0.13691413553495954</v>
      </c>
      <c r="R22" s="85">
        <f>'Net zero emission summary'!AS22</f>
        <v>0.13725233167458614</v>
      </c>
      <c r="S22" s="85">
        <f>'Net zero emission summary'!AT22</f>
        <v>0.13762233700897464</v>
      </c>
      <c r="T22" s="85">
        <f>'Net zero emission summary'!AU22</f>
        <v>0.13801982387153933</v>
      </c>
      <c r="U22" s="85">
        <f>'Net zero emission summary'!AV22</f>
        <v>0.13844606862300748</v>
      </c>
      <c r="V22" s="85">
        <f>'Net zero emission summary'!AW22</f>
        <v>0.1388970689056081</v>
      </c>
      <c r="W22" s="85">
        <f>'Net zero emission summary'!AX22</f>
        <v>0.1391978349068311</v>
      </c>
      <c r="X22" s="85">
        <f>'Net zero emission summary'!AY22</f>
        <v>0.13951858395106317</v>
      </c>
      <c r="Y22" s="85">
        <f>'Net zero emission summary'!AZ22</f>
        <v>0.13986203100610117</v>
      </c>
      <c r="Z22" s="85">
        <f>'Net zero emission summary'!BA22</f>
        <v>0.14023166436427281</v>
      </c>
      <c r="AA22" s="85">
        <f>'Net zero emission summary'!BB22</f>
        <v>0.14061631701106581</v>
      </c>
      <c r="AB22" s="85">
        <f>'Net zero emission summary'!BC22</f>
        <v>0.14085454229186514</v>
      </c>
      <c r="AC22" s="85">
        <f>'Net zero emission summary'!BD22</f>
        <v>0.14111306009664348</v>
      </c>
      <c r="AD22" s="85">
        <f>'Net zero emission summary'!BE22</f>
        <v>0.14138287951759698</v>
      </c>
      <c r="AE22" s="85">
        <f>'Net zero emission summary'!BF22</f>
        <v>0.14166717894707001</v>
      </c>
      <c r="AF22" s="85">
        <f>'Net zero emission summary'!BG22</f>
        <v>0.14196556913978078</v>
      </c>
      <c r="AG22" s="85">
        <f>'Net zero emission summary'!BH22</f>
        <v>0.1421285912887941</v>
      </c>
      <c r="AH22" s="85">
        <f>'Net zero emission summary'!BI22</f>
        <v>0.14230188340790959</v>
      </c>
      <c r="AI22" s="85">
        <f>'Net zero emission summary'!BJ22</f>
        <v>0.14248986916315412</v>
      </c>
      <c r="AJ22" s="85">
        <f>'Net zero emission summary'!BK22</f>
        <v>0.14269236901961874</v>
      </c>
      <c r="AK22" s="85">
        <f>'Net zero emission summary'!BL22</f>
        <v>0.14290940633797075</v>
      </c>
      <c r="AL22" s="85">
        <f>'Net zero emission summary'!BM22</f>
        <v>0.14298590536820052</v>
      </c>
      <c r="AM22" s="85">
        <f>'Net zero emission summary'!BN22</f>
        <v>0.1430198786049193</v>
      </c>
      <c r="AN22" s="85">
        <f>'Net zero emission summary'!BO22</f>
        <v>0.14305937272726121</v>
      </c>
      <c r="AO22" s="85">
        <f>'Net zero emission summary'!BP22</f>
        <v>0.14310189125406225</v>
      </c>
      <c r="AP22" s="85">
        <f>'Net zero emission summary'!BQ22</f>
        <v>0.14315212010600345</v>
      </c>
    </row>
    <row r="23" spans="1:42" x14ac:dyDescent="0.3">
      <c r="A23" t="str">
        <f>'Emissions summary'!C25</f>
        <v>3A2h Swine</v>
      </c>
      <c r="B23" t="str">
        <f t="shared" si="1"/>
        <v>A3A2h</v>
      </c>
      <c r="C23" t="str">
        <f>'Emissions summary'!D25</f>
        <v>N2O</v>
      </c>
      <c r="D23" s="85">
        <f>'Net zero emission summary'!AE25</f>
        <v>0.13559803489000399</v>
      </c>
      <c r="E23" s="85">
        <f>'Net zero emission summary'!AF25</f>
        <v>0.13486096937945147</v>
      </c>
      <c r="F23" s="85">
        <f>'Net zero emission summary'!AG25</f>
        <v>0.13492146542995687</v>
      </c>
      <c r="G23" s="85">
        <f>'Net zero emission summary'!AH25</f>
        <v>0.13368278298717368</v>
      </c>
      <c r="H23" s="85">
        <f>'Net zero emission summary'!AI25</f>
        <v>0.13165972885928906</v>
      </c>
      <c r="I23" s="85">
        <f>'Net zero emission summary'!AJ25</f>
        <v>0.12888464371149952</v>
      </c>
      <c r="J23" s="85">
        <f>'Net zero emission summary'!AK25</f>
        <v>0.12686962414513903</v>
      </c>
      <c r="K23" s="85">
        <f>'Net zero emission summary'!AL25</f>
        <v>0.12503290678710083</v>
      </c>
      <c r="L23" s="85">
        <f>'Net zero emission summary'!AM25</f>
        <v>0.11039779294060981</v>
      </c>
      <c r="M23" s="85">
        <f>'Net zero emission summary'!AN25</f>
        <v>0.11179384779157127</v>
      </c>
      <c r="N23" s="85">
        <f>'Net zero emission summary'!AO25</f>
        <v>0.11478950744925979</v>
      </c>
      <c r="O23" s="85">
        <f>'Net zero emission summary'!AP25</f>
        <v>0.11506149778332223</v>
      </c>
      <c r="P23" s="85">
        <f>'Net zero emission summary'!AQ25</f>
        <v>0.11565050796466506</v>
      </c>
      <c r="Q23" s="85">
        <f>'Net zero emission summary'!AR25</f>
        <v>0.11664084126530386</v>
      </c>
      <c r="R23" s="85">
        <f>'Net zero emission summary'!AS25</f>
        <v>0.1178835116099117</v>
      </c>
      <c r="S23" s="85">
        <f>'Net zero emission summary'!AT25</f>
        <v>0.11940629876901092</v>
      </c>
      <c r="T23" s="85">
        <f>'Net zero emission summary'!AU25</f>
        <v>0.12094689339857308</v>
      </c>
      <c r="U23" s="85">
        <f>'Net zero emission summary'!AV25</f>
        <v>0.12272558234420103</v>
      </c>
      <c r="V23" s="85">
        <f>'Net zero emission summary'!AW25</f>
        <v>0.12449199482010295</v>
      </c>
      <c r="W23" s="85">
        <f>'Net zero emission summary'!AX25</f>
        <v>0.12668810672927541</v>
      </c>
      <c r="X23" s="85">
        <f>'Net zero emission summary'!AY25</f>
        <v>0.12870978814137557</v>
      </c>
      <c r="Y23" s="85">
        <f>'Net zero emission summary'!AZ25</f>
        <v>0.13086101879670503</v>
      </c>
      <c r="Z23" s="85">
        <f>'Net zero emission summary'!BA25</f>
        <v>0.13348523955359742</v>
      </c>
      <c r="AA23" s="85">
        <f>'Net zero emission summary'!BB25</f>
        <v>0.13573858259945221</v>
      </c>
      <c r="AB23" s="85">
        <f>'Net zero emission summary'!BC25</f>
        <v>0.13817071967281611</v>
      </c>
      <c r="AC23" s="85">
        <f>'Net zero emission summary'!BD25</f>
        <v>0.1408103923475002</v>
      </c>
      <c r="AD23" s="85">
        <f>'Net zero emission summary'!BE25</f>
        <v>0.14301247765710248</v>
      </c>
      <c r="AE23" s="85">
        <f>'Net zero emission summary'!BF25</f>
        <v>0.14507756098779112</v>
      </c>
      <c r="AF23" s="85">
        <f>'Net zero emission summary'!BG25</f>
        <v>0.14702229766252037</v>
      </c>
      <c r="AG23" s="85">
        <f>'Net zero emission summary'!BH25</f>
        <v>0.14926780893120151</v>
      </c>
      <c r="AH23" s="85">
        <f>'Net zero emission summary'!BI25</f>
        <v>0.15121550048938059</v>
      </c>
      <c r="AI23" s="85">
        <f>'Net zero emission summary'!BJ25</f>
        <v>0.15322601295133931</v>
      </c>
      <c r="AJ23" s="85">
        <f>'Net zero emission summary'!BK25</f>
        <v>0.15531451115096906</v>
      </c>
      <c r="AK23" s="85">
        <f>'Net zero emission summary'!BL25</f>
        <v>0.15750712741388692</v>
      </c>
      <c r="AL23" s="85">
        <f>'Net zero emission summary'!BM25</f>
        <v>0.15980951988511904</v>
      </c>
      <c r="AM23" s="85">
        <f>'Net zero emission summary'!BN25</f>
        <v>0.15840848244723524</v>
      </c>
      <c r="AN23" s="85">
        <f>'Net zero emission summary'!BO25</f>
        <v>0.15668367138062728</v>
      </c>
      <c r="AO23" s="85">
        <f>'Net zero emission summary'!BP25</f>
        <v>0.15450725956797529</v>
      </c>
      <c r="AP23" s="85">
        <f>'Net zero emission summary'!BQ25</f>
        <v>0.15222410947091053</v>
      </c>
    </row>
    <row r="24" spans="1:42" x14ac:dyDescent="0.3">
      <c r="A24" t="str">
        <f>'Emissions summary'!C26</f>
        <v>3A2i Poultry</v>
      </c>
      <c r="B24" t="str">
        <f t="shared" si="1"/>
        <v>A3A2i</v>
      </c>
      <c r="C24" t="str">
        <f>'Emissions summary'!D26</f>
        <v>N2O</v>
      </c>
      <c r="D24" s="85">
        <f>'Net zero emission summary'!AE26</f>
        <v>2.1141223071087354</v>
      </c>
      <c r="E24" s="85">
        <f>'Net zero emission summary'!AF26</f>
        <v>2.144407963353022</v>
      </c>
      <c r="F24" s="85">
        <f>'Net zero emission summary'!AG26</f>
        <v>2.1900184905347517</v>
      </c>
      <c r="G24" s="85">
        <f>'Net zero emission summary'!AH26</f>
        <v>2.2070152134542438</v>
      </c>
      <c r="H24" s="85">
        <f>'Net zero emission summary'!AI26</f>
        <v>2.2054156910391569</v>
      </c>
      <c r="I24" s="85">
        <f>'Net zero emission summary'!AJ26</f>
        <v>2.1852604118945709</v>
      </c>
      <c r="J24" s="85">
        <f>'Net zero emission summary'!AK26</f>
        <v>2.1799994398925184</v>
      </c>
      <c r="K24" s="85">
        <f>'Net zero emission summary'!AL26</f>
        <v>2.1772115733745299</v>
      </c>
      <c r="L24" s="85">
        <f>'Net zero emission summary'!AM26</f>
        <v>1.8781922706718073</v>
      </c>
      <c r="M24" s="85">
        <f>'Net zero emission summary'!AN26</f>
        <v>1.9472163162010805</v>
      </c>
      <c r="N24" s="85">
        <f>'Net zero emission summary'!AO26</f>
        <v>2.0549867224261105</v>
      </c>
      <c r="O24" s="85">
        <f>'Net zero emission summary'!AP26</f>
        <v>2.0992656069838667</v>
      </c>
      <c r="P24" s="85">
        <f>'Net zero emission summary'!AQ26</f>
        <v>2.1514668457900461</v>
      </c>
      <c r="Q24" s="85">
        <f>'Net zero emission summary'!AR26</f>
        <v>2.2140370260534805</v>
      </c>
      <c r="R24" s="85">
        <f>'Net zero emission summary'!AS26</f>
        <v>2.2848555561135013</v>
      </c>
      <c r="S24" s="85">
        <f>'Net zero emission summary'!AT26</f>
        <v>2.3637739025322317</v>
      </c>
      <c r="T24" s="85">
        <f>'Net zero emission summary'!AU26</f>
        <v>2.444380577634826</v>
      </c>
      <c r="U24" s="85">
        <f>'Net zero emission summary'!AV26</f>
        <v>2.532487027535582</v>
      </c>
      <c r="V24" s="85">
        <f>'Net zero emission summary'!AW26</f>
        <v>2.6217772960887538</v>
      </c>
      <c r="W24" s="85">
        <f>'Net zero emission summary'!AX26</f>
        <v>2.725036188546849</v>
      </c>
      <c r="X24" s="85">
        <f>'Net zero emission summary'!AY26</f>
        <v>2.8254728753044538</v>
      </c>
      <c r="Y24" s="85">
        <f>'Net zero emission summary'!AZ26</f>
        <v>2.9313155126837001</v>
      </c>
      <c r="Z24" s="85">
        <f>'Net zero emission summary'!BA26</f>
        <v>3.0523336508248606</v>
      </c>
      <c r="AA24" s="85">
        <f>'Net zero emission summary'!BB26</f>
        <v>3.1652873585426784</v>
      </c>
      <c r="AB24" s="85">
        <f>'Net zero emission summary'!BC26</f>
        <v>3.2863934142449875</v>
      </c>
      <c r="AC24" s="85">
        <f>'Net zero emission summary'!BD26</f>
        <v>3.4159131571794497</v>
      </c>
      <c r="AD24" s="85">
        <f>'Net zero emission summary'!BE26</f>
        <v>3.5352068468384301</v>
      </c>
      <c r="AE24" s="85">
        <f>'Net zero emission summary'!BF26</f>
        <v>3.6527846973700986</v>
      </c>
      <c r="AF24" s="85">
        <f>'Net zero emission summary'!BG26</f>
        <v>3.7690575186439688</v>
      </c>
      <c r="AG24" s="85">
        <f>'Net zero emission summary'!BH26</f>
        <v>3.8975853215319325</v>
      </c>
      <c r="AH24" s="85">
        <f>'Net zero emission summary'!BI26</f>
        <v>4.0195036782387836</v>
      </c>
      <c r="AI24" s="85">
        <f>'Net zero emission summary'!BJ26</f>
        <v>4.1458392779973261</v>
      </c>
      <c r="AJ24" s="85">
        <f>'Net zero emission summary'!BK26</f>
        <v>4.2772295467203625</v>
      </c>
      <c r="AK24" s="85">
        <f>'Net zero emission summary'!BL26</f>
        <v>4.4146962666148752</v>
      </c>
      <c r="AL24" s="85">
        <f>'Net zero emission summary'!BM26</f>
        <v>4.5594002542933261</v>
      </c>
      <c r="AM24" s="85">
        <f>'Net zero emission summary'!BN26</f>
        <v>4.5846161172234856</v>
      </c>
      <c r="AN24" s="85">
        <f>'Net zero emission summary'!BO26</f>
        <v>4.5988359481583148</v>
      </c>
      <c r="AO24" s="85">
        <f>'Net zero emission summary'!BP26</f>
        <v>4.5972868462562344</v>
      </c>
      <c r="AP24" s="85">
        <f>'Net zero emission summary'!BQ26</f>
        <v>4.5912326587421939</v>
      </c>
    </row>
    <row r="25" spans="1:42" x14ac:dyDescent="0.3">
      <c r="A25" t="str">
        <f>'Emissions summary'!C28</f>
        <v>3C1a Biomass burning in forest land</v>
      </c>
      <c r="B25" t="str">
        <f t="shared" si="1"/>
        <v>A3C1a</v>
      </c>
      <c r="C25" t="str">
        <f>'Emissions summary'!D28</f>
        <v>CH4</v>
      </c>
      <c r="D25" s="85">
        <f>'Net zero emission summary'!AE28</f>
        <v>11.204575160010251</v>
      </c>
      <c r="E25" s="85">
        <f>'Net zero emission summary'!AF28</f>
        <v>13.05690518017699</v>
      </c>
      <c r="F25" s="85">
        <f>'Net zero emission summary'!AG28</f>
        <v>12.302133920343731</v>
      </c>
      <c r="G25" s="85">
        <f>'Net zero emission summary'!AH28</f>
        <v>11.592685700510469</v>
      </c>
      <c r="H25" s="85">
        <f>'Net zero emission summary'!AI28</f>
        <v>11.954566760677208</v>
      </c>
      <c r="I25" s="85">
        <f>'Net zero emission summary'!AJ28</f>
        <v>12.263228780843946</v>
      </c>
      <c r="J25" s="85">
        <f>'Net zero emission summary'!AK28</f>
        <v>12.268210641010684</v>
      </c>
      <c r="K25" s="85">
        <f>'Net zero emission summary'!AL28</f>
        <v>12.23948849988569</v>
      </c>
      <c r="L25" s="85">
        <f>'Net zero emission summary'!AM28</f>
        <v>12.210766358760694</v>
      </c>
      <c r="M25" s="85">
        <f>'Net zero emission summary'!AN28</f>
        <v>12.182044217635699</v>
      </c>
      <c r="N25" s="85">
        <f>'Net zero emission summary'!AO28</f>
        <v>12.153322076510703</v>
      </c>
      <c r="O25" s="85">
        <f>'Net zero emission summary'!AP28</f>
        <v>12.124599935385708</v>
      </c>
      <c r="P25" s="85">
        <f>'Net zero emission summary'!AQ28</f>
        <v>12.095877794260716</v>
      </c>
      <c r="Q25" s="85">
        <f>'Net zero emission summary'!AR28</f>
        <v>12.067155653135719</v>
      </c>
      <c r="R25" s="85">
        <f>'Net zero emission summary'!AS28</f>
        <v>12.038433512010723</v>
      </c>
      <c r="S25" s="85">
        <f>'Net zero emission summary'!AT28</f>
        <v>12.009711370885729</v>
      </c>
      <c r="T25" s="85">
        <f>'Net zero emission summary'!AU28</f>
        <v>11.980989229760732</v>
      </c>
      <c r="U25" s="85">
        <f>'Net zero emission summary'!AV28</f>
        <v>11.952267088635738</v>
      </c>
      <c r="V25" s="85">
        <f>'Net zero emission summary'!AW28</f>
        <v>11.923544947510743</v>
      </c>
      <c r="W25" s="85">
        <f>'Net zero emission summary'!AX28</f>
        <v>11.881226167028043</v>
      </c>
      <c r="X25" s="85">
        <f>'Net zero emission summary'!AY28</f>
        <v>11.838907386545339</v>
      </c>
      <c r="Y25" s="85">
        <f>'Net zero emission summary'!AZ28</f>
        <v>11.796588606062636</v>
      </c>
      <c r="Z25" s="85">
        <f>'Net zero emission summary'!BA28</f>
        <v>11.754269825579936</v>
      </c>
      <c r="AA25" s="85">
        <f>'Net zero emission summary'!BB28</f>
        <v>11.711951045097234</v>
      </c>
      <c r="AB25" s="85">
        <f>'Net zero emission summary'!BC28</f>
        <v>11.669632264614533</v>
      </c>
      <c r="AC25" s="85">
        <f>'Net zero emission summary'!BD28</f>
        <v>11.627313484131829</v>
      </c>
      <c r="AD25" s="85">
        <f>'Net zero emission summary'!BE28</f>
        <v>11.584994703649127</v>
      </c>
      <c r="AE25" s="85">
        <f>'Net zero emission summary'!BF28</f>
        <v>11.52907928380872</v>
      </c>
      <c r="AF25" s="85">
        <f>'Net zero emission summary'!BG28</f>
        <v>11.473163863968312</v>
      </c>
      <c r="AG25" s="85">
        <f>'Net zero emission summary'!BH28</f>
        <v>11.4172484441279</v>
      </c>
      <c r="AH25" s="85">
        <f>'Net zero emission summary'!BI28</f>
        <v>11.361333024287493</v>
      </c>
      <c r="AI25" s="85">
        <f>'Net zero emission summary'!BJ28</f>
        <v>11.305417604447085</v>
      </c>
      <c r="AJ25" s="85">
        <f>'Net zero emission summary'!BK28</f>
        <v>11.249502184606676</v>
      </c>
      <c r="AK25" s="85">
        <f>'Net zero emission summary'!BL28</f>
        <v>11.193586764766268</v>
      </c>
      <c r="AL25" s="85">
        <f>'Net zero emission summary'!BM28</f>
        <v>11.13767134492586</v>
      </c>
      <c r="AM25" s="85">
        <f>'Net zero emission summary'!BN28</f>
        <v>11.081755925085453</v>
      </c>
      <c r="AN25" s="85">
        <f>'Net zero emission summary'!BO28</f>
        <v>11.025840505245043</v>
      </c>
      <c r="AO25" s="85">
        <f>'Net zero emission summary'!BP28</f>
        <v>10.969925085404636</v>
      </c>
      <c r="AP25" s="85">
        <f>'Net zero emission summary'!BQ28</f>
        <v>10.914009665564226</v>
      </c>
    </row>
    <row r="26" spans="1:42" x14ac:dyDescent="0.3">
      <c r="A26" t="str">
        <f>'Emissions summary'!C29</f>
        <v>3C1b Biomass burning in Croplands</v>
      </c>
      <c r="B26" t="str">
        <f t="shared" si="1"/>
        <v>A3C1b</v>
      </c>
      <c r="C26" t="str">
        <f>'Emissions summary'!D29</f>
        <v>CH4</v>
      </c>
      <c r="D26" s="85">
        <f>'Net zero emission summary'!AE29</f>
        <v>8.929388994926228</v>
      </c>
      <c r="E26" s="85">
        <f>'Net zero emission summary'!AF29</f>
        <v>8.9289309923184508</v>
      </c>
      <c r="F26" s="85">
        <f>'Net zero emission summary'!AG29</f>
        <v>8.9284729897106754</v>
      </c>
      <c r="G26" s="85">
        <f>'Net zero emission summary'!AH29</f>
        <v>8.9280149871028947</v>
      </c>
      <c r="H26" s="85">
        <f>'Net zero emission summary'!AI29</f>
        <v>8.9275569844951157</v>
      </c>
      <c r="I26" s="85">
        <f>'Net zero emission summary'!AJ29</f>
        <v>8.9270989818873403</v>
      </c>
      <c r="J26" s="85">
        <f>'Net zero emission summary'!AK29</f>
        <v>8.9266409792795596</v>
      </c>
      <c r="K26" s="85">
        <f>'Net zero emission summary'!AL29</f>
        <v>8.926182976671786</v>
      </c>
      <c r="L26" s="85">
        <f>'Net zero emission summary'!AM29</f>
        <v>8.925724974064007</v>
      </c>
      <c r="M26" s="85">
        <f>'Net zero emission summary'!AN29</f>
        <v>8.925266971456228</v>
      </c>
      <c r="N26" s="85">
        <f>'Net zero emission summary'!AO29</f>
        <v>8.9248089688484491</v>
      </c>
      <c r="O26" s="85">
        <f>'Net zero emission summary'!AP29</f>
        <v>8.9243509662406719</v>
      </c>
      <c r="P26" s="85">
        <f>'Net zero emission summary'!AQ29</f>
        <v>8.9238929636328947</v>
      </c>
      <c r="Q26" s="85">
        <f>'Net zero emission summary'!AR29</f>
        <v>8.9234349610251176</v>
      </c>
      <c r="R26" s="85">
        <f>'Net zero emission summary'!AS29</f>
        <v>8.9229769584173386</v>
      </c>
      <c r="S26" s="85">
        <f>'Net zero emission summary'!AT29</f>
        <v>8.9225189558095614</v>
      </c>
      <c r="T26" s="85">
        <f>'Net zero emission summary'!AU29</f>
        <v>8.9220609532017825</v>
      </c>
      <c r="U26" s="85">
        <f>'Net zero emission summary'!AV29</f>
        <v>8.9216029505940071</v>
      </c>
      <c r="V26" s="85">
        <f>'Net zero emission summary'!AW29</f>
        <v>8.9211449479862281</v>
      </c>
      <c r="W26" s="85">
        <f>'Net zero emission summary'!AX29</f>
        <v>8.9206869453784492</v>
      </c>
      <c r="X26" s="85">
        <f>'Net zero emission summary'!AY29</f>
        <v>8.920228942770672</v>
      </c>
      <c r="Y26" s="85">
        <f>'Net zero emission summary'!AZ29</f>
        <v>8.9197709401628948</v>
      </c>
      <c r="Z26" s="85">
        <f>'Net zero emission summary'!BA29</f>
        <v>8.9193129375551177</v>
      </c>
      <c r="AA26" s="85">
        <f>'Net zero emission summary'!BB29</f>
        <v>8.9188549349473387</v>
      </c>
      <c r="AB26" s="85">
        <f>'Net zero emission summary'!BC29</f>
        <v>8.9183969323395598</v>
      </c>
      <c r="AC26" s="85">
        <f>'Net zero emission summary'!BD29</f>
        <v>8.9179389297317826</v>
      </c>
      <c r="AD26" s="85">
        <f>'Net zero emission summary'!BE29</f>
        <v>8.9174809271240072</v>
      </c>
      <c r="AE26" s="85">
        <f>'Net zero emission summary'!BF29</f>
        <v>8.9170229245162282</v>
      </c>
      <c r="AF26" s="85">
        <f>'Net zero emission summary'!BG29</f>
        <v>8.9165649219084475</v>
      </c>
      <c r="AG26" s="85">
        <f>'Net zero emission summary'!BH29</f>
        <v>8.9161069193006721</v>
      </c>
      <c r="AH26" s="85">
        <f>'Net zero emission summary'!BI29</f>
        <v>8.9156489166928932</v>
      </c>
      <c r="AI26" s="85">
        <f>'Net zero emission summary'!BJ29</f>
        <v>8.915190914085116</v>
      </c>
      <c r="AJ26" s="85">
        <f>'Net zero emission summary'!BK29</f>
        <v>8.9147329114773388</v>
      </c>
      <c r="AK26" s="85">
        <f>'Net zero emission summary'!BL29</f>
        <v>8.9142749088695599</v>
      </c>
      <c r="AL26" s="85">
        <f>'Net zero emission summary'!BM29</f>
        <v>8.9138169062617827</v>
      </c>
      <c r="AM26" s="85">
        <f>'Net zero emission summary'!BN29</f>
        <v>8.9133589036540037</v>
      </c>
      <c r="AN26" s="85">
        <f>'Net zero emission summary'!BO29</f>
        <v>8.9129009010462266</v>
      </c>
      <c r="AO26" s="85">
        <f>'Net zero emission summary'!BP29</f>
        <v>8.9124428984384494</v>
      </c>
      <c r="AP26" s="85">
        <f>'Net zero emission summary'!BQ29</f>
        <v>8.9119848958306704</v>
      </c>
    </row>
    <row r="27" spans="1:42" x14ac:dyDescent="0.3">
      <c r="A27" t="str">
        <f>'Emissions summary'!C30</f>
        <v>3C1c Biomass burning in Grasslands</v>
      </c>
      <c r="B27" t="str">
        <f t="shared" si="1"/>
        <v>A3C1c</v>
      </c>
      <c r="C27" t="str">
        <f>'Emissions summary'!D30</f>
        <v>CH4</v>
      </c>
      <c r="D27" s="85">
        <f>'Net zero emission summary'!AE30</f>
        <v>22.211168240472922</v>
      </c>
      <c r="E27" s="85">
        <f>'Net zero emission summary'!AF30</f>
        <v>22.3255420719256</v>
      </c>
      <c r="F27" s="85">
        <f>'Net zero emission summary'!AG30</f>
        <v>22.439915903378274</v>
      </c>
      <c r="G27" s="85">
        <f>'Net zero emission summary'!AH30</f>
        <v>22.554289734830945</v>
      </c>
      <c r="H27" s="85">
        <f>'Net zero emission summary'!AI30</f>
        <v>22.668663566283627</v>
      </c>
      <c r="I27" s="85">
        <f>'Net zero emission summary'!AJ30</f>
        <v>22.783037397736297</v>
      </c>
      <c r="J27" s="85">
        <f>'Net zero emission summary'!AK30</f>
        <v>22.897411229188972</v>
      </c>
      <c r="K27" s="85">
        <f>'Net zero emission summary'!AL30</f>
        <v>23.095209192169019</v>
      </c>
      <c r="L27" s="85">
        <f>'Net zero emission summary'!AM30</f>
        <v>23.293007155149056</v>
      </c>
      <c r="M27" s="85">
        <f>'Net zero emission summary'!AN30</f>
        <v>23.490805118129099</v>
      </c>
      <c r="N27" s="85">
        <f>'Net zero emission summary'!AO30</f>
        <v>23.688603081109136</v>
      </c>
      <c r="O27" s="85">
        <f>'Net zero emission summary'!AP30</f>
        <v>23.886401044089183</v>
      </c>
      <c r="P27" s="85">
        <f>'Net zero emission summary'!AQ30</f>
        <v>24.08419900706922</v>
      </c>
      <c r="Q27" s="85">
        <f>'Net zero emission summary'!AR30</f>
        <v>24.281996970049263</v>
      </c>
      <c r="R27" s="85">
        <f>'Net zero emission summary'!AS30</f>
        <v>24.479794933029304</v>
      </c>
      <c r="S27" s="85">
        <f>'Net zero emission summary'!AT30</f>
        <v>24.677592896009344</v>
      </c>
      <c r="T27" s="85">
        <f>'Net zero emission summary'!AU30</f>
        <v>24.875390858989384</v>
      </c>
      <c r="U27" s="85">
        <f>'Net zero emission summary'!AV30</f>
        <v>25.073188821969428</v>
      </c>
      <c r="V27" s="85">
        <f>'Net zero emission summary'!AW30</f>
        <v>25.270986784949468</v>
      </c>
      <c r="W27" s="85">
        <f>'Net zero emission summary'!AX30</f>
        <v>25.472302246869535</v>
      </c>
      <c r="X27" s="85">
        <f>'Net zero emission summary'!AY30</f>
        <v>25.6736177087896</v>
      </c>
      <c r="Y27" s="85">
        <f>'Net zero emission summary'!AZ30</f>
        <v>25.874933170709671</v>
      </c>
      <c r="Z27" s="85">
        <f>'Net zero emission summary'!BA30</f>
        <v>26.076248632629738</v>
      </c>
      <c r="AA27" s="85">
        <f>'Net zero emission summary'!BB30</f>
        <v>26.277564094549799</v>
      </c>
      <c r="AB27" s="85">
        <f>'Net zero emission summary'!BC30</f>
        <v>26.47887955646987</v>
      </c>
      <c r="AC27" s="85">
        <f>'Net zero emission summary'!BD30</f>
        <v>26.680195018389934</v>
      </c>
      <c r="AD27" s="85">
        <f>'Net zero emission summary'!BE30</f>
        <v>26.881510480309998</v>
      </c>
      <c r="AE27" s="85">
        <f>'Net zero emission summary'!BF30</f>
        <v>27.082825942230066</v>
      </c>
      <c r="AF27" s="85">
        <f>'Net zero emission summary'!BG30</f>
        <v>27.28414140415013</v>
      </c>
      <c r="AG27" s="85">
        <f>'Net zero emission summary'!BH30</f>
        <v>27.485456866070198</v>
      </c>
      <c r="AH27" s="85">
        <f>'Net zero emission summary'!BI30</f>
        <v>27.686772327990262</v>
      </c>
      <c r="AI27" s="85">
        <f>'Net zero emission summary'!BJ30</f>
        <v>27.88808778991033</v>
      </c>
      <c r="AJ27" s="85">
        <f>'Net zero emission summary'!BK30</f>
        <v>28.089403251830397</v>
      </c>
      <c r="AK27" s="85">
        <f>'Net zero emission summary'!BL30</f>
        <v>28.290718713750465</v>
      </c>
      <c r="AL27" s="85">
        <f>'Net zero emission summary'!BM30</f>
        <v>28.492034175670533</v>
      </c>
      <c r="AM27" s="85">
        <f>'Net zero emission summary'!BN30</f>
        <v>28.6933496375906</v>
      </c>
      <c r="AN27" s="85">
        <f>'Net zero emission summary'!BO30</f>
        <v>28.894665099510664</v>
      </c>
      <c r="AO27" s="85">
        <f>'Net zero emission summary'!BP30</f>
        <v>29.095980561430732</v>
      </c>
      <c r="AP27" s="85">
        <f>'Net zero emission summary'!BQ30</f>
        <v>29.2972960233508</v>
      </c>
    </row>
    <row r="28" spans="1:42" x14ac:dyDescent="0.3">
      <c r="A28" t="str">
        <f>'Emissions summary'!C31</f>
        <v>3C1d Biomass burning in Wetlands</v>
      </c>
      <c r="B28" t="str">
        <f t="shared" si="1"/>
        <v>A3C1d</v>
      </c>
      <c r="C28" t="str">
        <f>'Emissions summary'!D31</f>
        <v>CH4</v>
      </c>
      <c r="D28" s="85">
        <f>'Net zero emission summary'!AE31</f>
        <v>0.86319492850198365</v>
      </c>
      <c r="E28" s="85">
        <f>'Net zero emission summary'!AF31</f>
        <v>0.86319492850198365</v>
      </c>
      <c r="F28" s="85">
        <f>'Net zero emission summary'!AG31</f>
        <v>0.86319492850198365</v>
      </c>
      <c r="G28" s="85">
        <f>'Net zero emission summary'!AH31</f>
        <v>0.86319492850198365</v>
      </c>
      <c r="H28" s="85">
        <f>'Net zero emission summary'!AI31</f>
        <v>0.86319492850198365</v>
      </c>
      <c r="I28" s="85">
        <f>'Net zero emission summary'!AJ31</f>
        <v>0.86319492850198365</v>
      </c>
      <c r="J28" s="85">
        <f>'Net zero emission summary'!AK31</f>
        <v>0.86319492850198365</v>
      </c>
      <c r="K28" s="85">
        <f>'Net zero emission summary'!AL31</f>
        <v>0.86319492850198365</v>
      </c>
      <c r="L28" s="85">
        <f>'Net zero emission summary'!AM31</f>
        <v>0.86319492850198365</v>
      </c>
      <c r="M28" s="85">
        <f>'Net zero emission summary'!AN31</f>
        <v>0.86319492850198365</v>
      </c>
      <c r="N28" s="85">
        <f>'Net zero emission summary'!AO31</f>
        <v>0.86319492850198365</v>
      </c>
      <c r="O28" s="85">
        <f>'Net zero emission summary'!AP31</f>
        <v>0.86319492850198365</v>
      </c>
      <c r="P28" s="85">
        <f>'Net zero emission summary'!AQ31</f>
        <v>0.86319492850198365</v>
      </c>
      <c r="Q28" s="85">
        <f>'Net zero emission summary'!AR31</f>
        <v>0.86319492850198365</v>
      </c>
      <c r="R28" s="85">
        <f>'Net zero emission summary'!AS31</f>
        <v>0.86319492850198365</v>
      </c>
      <c r="S28" s="85">
        <f>'Net zero emission summary'!AT31</f>
        <v>0.86319492850198365</v>
      </c>
      <c r="T28" s="85">
        <f>'Net zero emission summary'!AU31</f>
        <v>0.86319492850198365</v>
      </c>
      <c r="U28" s="85">
        <f>'Net zero emission summary'!AV31</f>
        <v>0.86319492850198365</v>
      </c>
      <c r="V28" s="85">
        <f>'Net zero emission summary'!AW31</f>
        <v>0.86319492850198365</v>
      </c>
      <c r="W28" s="85">
        <f>'Net zero emission summary'!AX31</f>
        <v>0.86319492850198365</v>
      </c>
      <c r="X28" s="85">
        <f>'Net zero emission summary'!AY31</f>
        <v>0.86319492850198365</v>
      </c>
      <c r="Y28" s="85">
        <f>'Net zero emission summary'!AZ31</f>
        <v>0.86319492850198365</v>
      </c>
      <c r="Z28" s="85">
        <f>'Net zero emission summary'!BA31</f>
        <v>0.86319492850198365</v>
      </c>
      <c r="AA28" s="85">
        <f>'Net zero emission summary'!BB31</f>
        <v>0.86319492850198365</v>
      </c>
      <c r="AB28" s="85">
        <f>'Net zero emission summary'!BC31</f>
        <v>0.86319492850198365</v>
      </c>
      <c r="AC28" s="85">
        <f>'Net zero emission summary'!BD31</f>
        <v>0.86319492850198365</v>
      </c>
      <c r="AD28" s="85">
        <f>'Net zero emission summary'!BE31</f>
        <v>0.86319492850198365</v>
      </c>
      <c r="AE28" s="85">
        <f>'Net zero emission summary'!BF31</f>
        <v>0.86319492850198365</v>
      </c>
      <c r="AF28" s="85">
        <f>'Net zero emission summary'!BG31</f>
        <v>0.86319492850198365</v>
      </c>
      <c r="AG28" s="85">
        <f>'Net zero emission summary'!BH31</f>
        <v>0.86319492850198365</v>
      </c>
      <c r="AH28" s="85">
        <f>'Net zero emission summary'!BI31</f>
        <v>0.86319492850198365</v>
      </c>
      <c r="AI28" s="85">
        <f>'Net zero emission summary'!BJ31</f>
        <v>0.86319492850198365</v>
      </c>
      <c r="AJ28" s="85">
        <f>'Net zero emission summary'!BK31</f>
        <v>0.86319492850198365</v>
      </c>
      <c r="AK28" s="85">
        <f>'Net zero emission summary'!BL31</f>
        <v>0.86319492850198365</v>
      </c>
      <c r="AL28" s="85">
        <f>'Net zero emission summary'!BM31</f>
        <v>0.86319492850198365</v>
      </c>
      <c r="AM28" s="85">
        <f>'Net zero emission summary'!BN31</f>
        <v>0.86319492850198365</v>
      </c>
      <c r="AN28" s="85">
        <f>'Net zero emission summary'!BO31</f>
        <v>0.86319492850198365</v>
      </c>
      <c r="AO28" s="85">
        <f>'Net zero emission summary'!BP31</f>
        <v>0.86319492850198365</v>
      </c>
      <c r="AP28" s="85">
        <f>'Net zero emission summary'!BQ31</f>
        <v>0.86319492850198365</v>
      </c>
    </row>
    <row r="29" spans="1:42" x14ac:dyDescent="0.3">
      <c r="A29" t="str">
        <f>'Emissions summary'!C32</f>
        <v>3C1e Biomass burning in Settlements</v>
      </c>
      <c r="B29" t="str">
        <f t="shared" si="1"/>
        <v>A3C1e</v>
      </c>
      <c r="C29" t="str">
        <f>'Emissions summary'!D32</f>
        <v>CH4</v>
      </c>
      <c r="D29" s="85">
        <f>'Net zero emission summary'!AE32</f>
        <v>0.42972240374246135</v>
      </c>
      <c r="E29" s="85">
        <f>'Net zero emission summary'!AF32</f>
        <v>0.43063058922924524</v>
      </c>
      <c r="F29" s="85">
        <f>'Net zero emission summary'!AG32</f>
        <v>0.43153877471602919</v>
      </c>
      <c r="G29" s="85">
        <f>'Net zero emission summary'!AH32</f>
        <v>0.43244696020281326</v>
      </c>
      <c r="H29" s="85">
        <f>'Net zero emission summary'!AI32</f>
        <v>0.43335514568959721</v>
      </c>
      <c r="I29" s="85">
        <f>'Net zero emission summary'!AJ32</f>
        <v>0.43426333117638116</v>
      </c>
      <c r="J29" s="85">
        <f>'Net zero emission summary'!AK32</f>
        <v>0.43517151666316517</v>
      </c>
      <c r="K29" s="85">
        <f>'Net zero emission summary'!AL32</f>
        <v>0.43607970214994918</v>
      </c>
      <c r="L29" s="85">
        <f>'Net zero emission summary'!AM32</f>
        <v>0.43698788763673319</v>
      </c>
      <c r="M29" s="85">
        <f>'Net zero emission summary'!AN32</f>
        <v>0.43789607312351719</v>
      </c>
      <c r="N29" s="85">
        <f>'Net zero emission summary'!AO32</f>
        <v>0.4388042586103012</v>
      </c>
      <c r="O29" s="85">
        <f>'Net zero emission summary'!AP32</f>
        <v>0.43971244409708521</v>
      </c>
      <c r="P29" s="85">
        <f>'Net zero emission summary'!AQ32</f>
        <v>0.44062062958386911</v>
      </c>
      <c r="Q29" s="85">
        <f>'Net zero emission summary'!AR32</f>
        <v>0.44152881507065311</v>
      </c>
      <c r="R29" s="85">
        <f>'Net zero emission summary'!AS32</f>
        <v>0.44243700055743712</v>
      </c>
      <c r="S29" s="85">
        <f>'Net zero emission summary'!AT32</f>
        <v>0.44334518604422107</v>
      </c>
      <c r="T29" s="85">
        <f>'Net zero emission summary'!AU32</f>
        <v>0.44425337153100508</v>
      </c>
      <c r="U29" s="85">
        <f>'Net zero emission summary'!AV32</f>
        <v>0.44516155701778909</v>
      </c>
      <c r="V29" s="85">
        <f>'Net zero emission summary'!AW32</f>
        <v>0.44606974250457304</v>
      </c>
      <c r="W29" s="85">
        <f>'Net zero emission summary'!AX32</f>
        <v>0.44697792799135705</v>
      </c>
      <c r="X29" s="85">
        <f>'Net zero emission summary'!AY32</f>
        <v>0.44788611347814106</v>
      </c>
      <c r="Y29" s="85">
        <f>'Net zero emission summary'!AZ32</f>
        <v>0.44879429896492501</v>
      </c>
      <c r="Z29" s="85">
        <f>'Net zero emission summary'!BA32</f>
        <v>0.44970248445170896</v>
      </c>
      <c r="AA29" s="85">
        <f>'Net zero emission summary'!BB32</f>
        <v>0.45061066993849297</v>
      </c>
      <c r="AB29" s="85">
        <f>'Net zero emission summary'!BC32</f>
        <v>0.45151885542527692</v>
      </c>
      <c r="AC29" s="85">
        <f>'Net zero emission summary'!BD32</f>
        <v>0.45242704091206093</v>
      </c>
      <c r="AD29" s="85">
        <f>'Net zero emission summary'!BE32</f>
        <v>0.45333522639884494</v>
      </c>
      <c r="AE29" s="85">
        <f>'Net zero emission summary'!BF32</f>
        <v>0.454243411885629</v>
      </c>
      <c r="AF29" s="85">
        <f>'Net zero emission summary'!BG32</f>
        <v>0.45515159737241295</v>
      </c>
      <c r="AG29" s="85">
        <f>'Net zero emission summary'!BH32</f>
        <v>0.4560597828591969</v>
      </c>
      <c r="AH29" s="85">
        <f>'Net zero emission summary'!BI32</f>
        <v>0.45696796834598097</v>
      </c>
      <c r="AI29" s="85">
        <f>'Net zero emission summary'!BJ32</f>
        <v>0.45787615383276492</v>
      </c>
      <c r="AJ29" s="85">
        <f>'Net zero emission summary'!BK32</f>
        <v>0.45878433931954882</v>
      </c>
      <c r="AK29" s="85">
        <f>'Net zero emission summary'!BL32</f>
        <v>0.45969252480633288</v>
      </c>
      <c r="AL29" s="85">
        <f>'Net zero emission summary'!BM32</f>
        <v>0.46060071029311683</v>
      </c>
      <c r="AM29" s="85">
        <f>'Net zero emission summary'!BN32</f>
        <v>0.46150889577990084</v>
      </c>
      <c r="AN29" s="85">
        <f>'Net zero emission summary'!BO32</f>
        <v>0.46241708126668479</v>
      </c>
      <c r="AO29" s="85">
        <f>'Net zero emission summary'!BP32</f>
        <v>0.4633252667534688</v>
      </c>
      <c r="AP29" s="85">
        <f>'Net zero emission summary'!BQ32</f>
        <v>0.46423345224025281</v>
      </c>
    </row>
    <row r="30" spans="1:42" x14ac:dyDescent="0.3">
      <c r="A30" t="str">
        <f>'Emissions summary'!C33</f>
        <v>3C1f Biomass burning in Other lands</v>
      </c>
      <c r="B30" t="str">
        <f t="shared" si="1"/>
        <v>A3C1f</v>
      </c>
      <c r="C30" t="str">
        <f>'Emissions summary'!D33</f>
        <v>CH4</v>
      </c>
      <c r="D30" s="85">
        <f>'Net zero emission summary'!AE33</f>
        <v>0</v>
      </c>
      <c r="E30" s="85">
        <f>'Net zero emission summary'!AF33</f>
        <v>0</v>
      </c>
      <c r="F30" s="85">
        <f>'Net zero emission summary'!AG33</f>
        <v>0</v>
      </c>
      <c r="G30" s="85">
        <f>'Net zero emission summary'!AH33</f>
        <v>0</v>
      </c>
      <c r="H30" s="85">
        <f>'Net zero emission summary'!AI33</f>
        <v>0</v>
      </c>
      <c r="I30" s="85">
        <f>'Net zero emission summary'!AJ33</f>
        <v>0</v>
      </c>
      <c r="J30" s="85">
        <f>'Net zero emission summary'!AK33</f>
        <v>0</v>
      </c>
      <c r="K30" s="85">
        <f>'Net zero emission summary'!AL33</f>
        <v>0</v>
      </c>
      <c r="L30" s="85">
        <f>'Net zero emission summary'!AM33</f>
        <v>0</v>
      </c>
      <c r="M30" s="85">
        <f>'Net zero emission summary'!AN33</f>
        <v>0</v>
      </c>
      <c r="N30" s="85">
        <f>'Net zero emission summary'!AO33</f>
        <v>0</v>
      </c>
      <c r="O30" s="85">
        <f>'Net zero emission summary'!AP33</f>
        <v>0</v>
      </c>
      <c r="P30" s="85">
        <f>'Net zero emission summary'!AQ33</f>
        <v>0</v>
      </c>
      <c r="Q30" s="85">
        <f>'Net zero emission summary'!AR33</f>
        <v>0</v>
      </c>
      <c r="R30" s="85">
        <f>'Net zero emission summary'!AS33</f>
        <v>0</v>
      </c>
      <c r="S30" s="85">
        <f>'Net zero emission summary'!AT33</f>
        <v>0</v>
      </c>
      <c r="T30" s="85">
        <f>'Net zero emission summary'!AU33</f>
        <v>0</v>
      </c>
      <c r="U30" s="85">
        <f>'Net zero emission summary'!AV33</f>
        <v>0</v>
      </c>
      <c r="V30" s="85">
        <f>'Net zero emission summary'!AW33</f>
        <v>0</v>
      </c>
      <c r="W30" s="85">
        <f>'Net zero emission summary'!AX33</f>
        <v>0</v>
      </c>
      <c r="X30" s="85">
        <f>'Net zero emission summary'!AY33</f>
        <v>0</v>
      </c>
      <c r="Y30" s="85">
        <f>'Net zero emission summary'!AZ33</f>
        <v>0</v>
      </c>
      <c r="Z30" s="85">
        <f>'Net zero emission summary'!BA33</f>
        <v>0</v>
      </c>
      <c r="AA30" s="85">
        <f>'Net zero emission summary'!BB33</f>
        <v>0</v>
      </c>
      <c r="AB30" s="85">
        <f>'Net zero emission summary'!BC33</f>
        <v>0</v>
      </c>
      <c r="AC30" s="85">
        <f>'Net zero emission summary'!BD33</f>
        <v>0</v>
      </c>
      <c r="AD30" s="85">
        <f>'Net zero emission summary'!BE33</f>
        <v>0</v>
      </c>
      <c r="AE30" s="85">
        <f>'Net zero emission summary'!BF33</f>
        <v>0</v>
      </c>
      <c r="AF30" s="85">
        <f>'Net zero emission summary'!BG33</f>
        <v>0</v>
      </c>
      <c r="AG30" s="85">
        <f>'Net zero emission summary'!BH33</f>
        <v>0</v>
      </c>
      <c r="AH30" s="85">
        <f>'Net zero emission summary'!BI33</f>
        <v>0</v>
      </c>
      <c r="AI30" s="85">
        <f>'Net zero emission summary'!BJ33</f>
        <v>0</v>
      </c>
      <c r="AJ30" s="85">
        <f>'Net zero emission summary'!BK33</f>
        <v>0</v>
      </c>
      <c r="AK30" s="85">
        <f>'Net zero emission summary'!BL33</f>
        <v>0</v>
      </c>
      <c r="AL30" s="85">
        <f>'Net zero emission summary'!BM33</f>
        <v>0</v>
      </c>
      <c r="AM30" s="85">
        <f>'Net zero emission summary'!BN33</f>
        <v>0</v>
      </c>
      <c r="AN30" s="85">
        <f>'Net zero emission summary'!BO33</f>
        <v>0</v>
      </c>
      <c r="AO30" s="85">
        <f>'Net zero emission summary'!BP33</f>
        <v>0</v>
      </c>
      <c r="AP30" s="85">
        <f>'Net zero emission summary'!BQ33</f>
        <v>0</v>
      </c>
    </row>
    <row r="31" spans="1:42" x14ac:dyDescent="0.3">
      <c r="A31" t="str">
        <f>'Emissions summary'!C35</f>
        <v>3C1a Biomass burning in forest land</v>
      </c>
      <c r="B31" t="str">
        <f t="shared" si="1"/>
        <v>A3C1a</v>
      </c>
      <c r="C31" t="str">
        <f>'Emissions summary'!D35</f>
        <v>N2O</v>
      </c>
      <c r="D31" s="85">
        <f>'Net zero emission summary'!AE35</f>
        <v>0.81337835040550022</v>
      </c>
      <c r="E31" s="85">
        <f>'Net zero emission summary'!AF35</f>
        <v>0.91618667449117541</v>
      </c>
      <c r="F31" s="85">
        <f>'Net zero emission summary'!AG35</f>
        <v>0.87477237457685053</v>
      </c>
      <c r="G31" s="85">
        <f>'Net zero emission summary'!AH35</f>
        <v>0.83586530666252568</v>
      </c>
      <c r="H31" s="85">
        <f>'Net zero emission summary'!AI35</f>
        <v>0.85622326274820093</v>
      </c>
      <c r="I31" s="85">
        <f>'Net zero emission summary'!AJ35</f>
        <v>0.87363718683387614</v>
      </c>
      <c r="J31" s="85">
        <f>'Net zero emission summary'!AK35</f>
        <v>0.87425178291955141</v>
      </c>
      <c r="K31" s="85">
        <f>'Net zero emission summary'!AL35</f>
        <v>0.87129977937663372</v>
      </c>
      <c r="L31" s="85">
        <f>'Net zero emission summary'!AM35</f>
        <v>0.86834777583371592</v>
      </c>
      <c r="M31" s="85">
        <f>'Net zero emission summary'!AN35</f>
        <v>0.86539577229079812</v>
      </c>
      <c r="N31" s="85">
        <f>'Net zero emission summary'!AO35</f>
        <v>0.86244376874788042</v>
      </c>
      <c r="O31" s="85">
        <f>'Net zero emission summary'!AP35</f>
        <v>0.85949176520496295</v>
      </c>
      <c r="P31" s="85">
        <f>'Net zero emission summary'!AQ35</f>
        <v>0.85653976166204526</v>
      </c>
      <c r="Q31" s="85">
        <f>'Net zero emission summary'!AR35</f>
        <v>0.85358775811912746</v>
      </c>
      <c r="R31" s="85">
        <f>'Net zero emission summary'!AS35</f>
        <v>0.85063575457620977</v>
      </c>
      <c r="S31" s="85">
        <f>'Net zero emission summary'!AT35</f>
        <v>0.84768375103329197</v>
      </c>
      <c r="T31" s="85">
        <f>'Net zero emission summary'!AU35</f>
        <v>0.84473174749037416</v>
      </c>
      <c r="U31" s="85">
        <f>'Net zero emission summary'!AV35</f>
        <v>0.84177974394745669</v>
      </c>
      <c r="V31" s="85">
        <f>'Net zero emission summary'!AW35</f>
        <v>0.838827740404539</v>
      </c>
      <c r="W31" s="85">
        <f>'Net zero emission summary'!AX35</f>
        <v>0.83512358234396089</v>
      </c>
      <c r="X31" s="85">
        <f>'Net zero emission summary'!AY35</f>
        <v>0.83141942428338278</v>
      </c>
      <c r="Y31" s="85">
        <f>'Net zero emission summary'!AZ35</f>
        <v>0.82771526622280467</v>
      </c>
      <c r="Z31" s="85">
        <f>'Net zero emission summary'!BA35</f>
        <v>0.82401110816222667</v>
      </c>
      <c r="AA31" s="85">
        <f>'Net zero emission summary'!BB35</f>
        <v>0.82030695010164856</v>
      </c>
      <c r="AB31" s="85">
        <f>'Net zero emission summary'!BC35</f>
        <v>0.81660279204107056</v>
      </c>
      <c r="AC31" s="85">
        <f>'Net zero emission summary'!BD35</f>
        <v>0.81289863398049245</v>
      </c>
      <c r="AD31" s="85">
        <f>'Net zero emission summary'!BE35</f>
        <v>0.80919447591991434</v>
      </c>
      <c r="AE31" s="85">
        <f>'Net zero emission summary'!BF35</f>
        <v>0.80473816334167581</v>
      </c>
      <c r="AF31" s="85">
        <f>'Net zero emission summary'!BG35</f>
        <v>0.80028185076343727</v>
      </c>
      <c r="AG31" s="85">
        <f>'Net zero emission summary'!BH35</f>
        <v>0.79582553818519886</v>
      </c>
      <c r="AH31" s="85">
        <f>'Net zero emission summary'!BI35</f>
        <v>0.79136922560696055</v>
      </c>
      <c r="AI31" s="85">
        <f>'Net zero emission summary'!BJ35</f>
        <v>0.78691291302872202</v>
      </c>
      <c r="AJ31" s="85">
        <f>'Net zero emission summary'!BK35</f>
        <v>0.7824566004504836</v>
      </c>
      <c r="AK31" s="85">
        <f>'Net zero emission summary'!BL35</f>
        <v>0.77800028787224518</v>
      </c>
      <c r="AL31" s="85">
        <f>'Net zero emission summary'!BM35</f>
        <v>0.77354397529400676</v>
      </c>
      <c r="AM31" s="85">
        <f>'Net zero emission summary'!BN35</f>
        <v>0.76908766271576834</v>
      </c>
      <c r="AN31" s="85">
        <f>'Net zero emission summary'!BO35</f>
        <v>0.76463135013752992</v>
      </c>
      <c r="AO31" s="85">
        <f>'Net zero emission summary'!BP35</f>
        <v>0.76017503755929161</v>
      </c>
      <c r="AP31" s="85">
        <f>'Net zero emission summary'!BQ35</f>
        <v>0.75571872498105297</v>
      </c>
    </row>
    <row r="32" spans="1:42" x14ac:dyDescent="0.3">
      <c r="A32" t="str">
        <f>'Emissions summary'!C36</f>
        <v>3C1b Biomass burning in Croplands</v>
      </c>
      <c r="B32" t="str">
        <f t="shared" si="1"/>
        <v>A3C1b</v>
      </c>
      <c r="C32" t="str">
        <f>'Emissions summary'!D36</f>
        <v>N2O</v>
      </c>
      <c r="D32" s="85">
        <f>'Net zero emission summary'!AE36</f>
        <v>0.23150267764623561</v>
      </c>
      <c r="E32" s="85">
        <f>'Net zero emission summary'!AF36</f>
        <v>0.23149080350455245</v>
      </c>
      <c r="F32" s="85">
        <f>'Net zero emission summary'!AG36</f>
        <v>0.23147892936286932</v>
      </c>
      <c r="G32" s="85">
        <f>'Net zero emission summary'!AH36</f>
        <v>0.23146705522118621</v>
      </c>
      <c r="H32" s="85">
        <f>'Net zero emission summary'!AI36</f>
        <v>0.23145518107950305</v>
      </c>
      <c r="I32" s="85">
        <f>'Net zero emission summary'!AJ36</f>
        <v>0.23144330693781995</v>
      </c>
      <c r="J32" s="85">
        <f>'Net zero emission summary'!AK36</f>
        <v>0.23143143279613676</v>
      </c>
      <c r="K32" s="85">
        <f>'Net zero emission summary'!AL36</f>
        <v>0.23141955865445368</v>
      </c>
      <c r="L32" s="85">
        <f>'Net zero emission summary'!AM36</f>
        <v>0.23140768451277055</v>
      </c>
      <c r="M32" s="85">
        <f>'Net zero emission summary'!AN36</f>
        <v>0.23139581037108745</v>
      </c>
      <c r="N32" s="85">
        <f>'Net zero emission summary'!AO36</f>
        <v>0.23138393622940429</v>
      </c>
      <c r="O32" s="85">
        <f>'Net zero emission summary'!AP36</f>
        <v>0.23137206208772113</v>
      </c>
      <c r="P32" s="85">
        <f>'Net zero emission summary'!AQ36</f>
        <v>0.23136018794603802</v>
      </c>
      <c r="Q32" s="85">
        <f>'Net zero emission summary'!AR36</f>
        <v>0.23134831380435489</v>
      </c>
      <c r="R32" s="85">
        <f>'Net zero emission summary'!AS36</f>
        <v>0.23133643966267178</v>
      </c>
      <c r="S32" s="85">
        <f>'Net zero emission summary'!AT36</f>
        <v>0.23132456552098865</v>
      </c>
      <c r="T32" s="85">
        <f>'Net zero emission summary'!AU36</f>
        <v>0.23131269137930549</v>
      </c>
      <c r="U32" s="85">
        <f>'Net zero emission summary'!AV36</f>
        <v>0.23130081723762241</v>
      </c>
      <c r="V32" s="85">
        <f>'Net zero emission summary'!AW36</f>
        <v>0.23128894309593925</v>
      </c>
      <c r="W32" s="85">
        <f>'Net zero emission summary'!AX36</f>
        <v>0.23127706895425609</v>
      </c>
      <c r="X32" s="85">
        <f>'Net zero emission summary'!AY36</f>
        <v>0.23126519481257302</v>
      </c>
      <c r="Y32" s="85">
        <f>'Net zero emission summary'!AZ36</f>
        <v>0.23125332067088986</v>
      </c>
      <c r="Z32" s="85">
        <f>'Net zero emission summary'!BA36</f>
        <v>0.23124144652920675</v>
      </c>
      <c r="AA32" s="85">
        <f>'Net zero emission summary'!BB36</f>
        <v>0.23122957238752362</v>
      </c>
      <c r="AB32" s="85">
        <f>'Net zero emission summary'!BC36</f>
        <v>0.23121769824584049</v>
      </c>
      <c r="AC32" s="85">
        <f>'Net zero emission summary'!BD36</f>
        <v>0.2312058241041573</v>
      </c>
      <c r="AD32" s="85">
        <f>'Net zero emission summary'!BE36</f>
        <v>0.23119394996247425</v>
      </c>
      <c r="AE32" s="85">
        <f>'Net zero emission summary'!BF36</f>
        <v>0.23118207582079112</v>
      </c>
      <c r="AF32" s="85">
        <f>'Net zero emission summary'!BG36</f>
        <v>0.23117020167910793</v>
      </c>
      <c r="AG32" s="85">
        <f>'Net zero emission summary'!BH36</f>
        <v>0.23115832753742488</v>
      </c>
      <c r="AH32" s="85">
        <f>'Net zero emission summary'!BI36</f>
        <v>0.23114645339574169</v>
      </c>
      <c r="AI32" s="85">
        <f>'Net zero emission summary'!BJ36</f>
        <v>0.23113457925405859</v>
      </c>
      <c r="AJ32" s="85">
        <f>'Net zero emission summary'!BK36</f>
        <v>0.23112270511237543</v>
      </c>
      <c r="AK32" s="85">
        <f>'Net zero emission summary'!BL36</f>
        <v>0.23111083097069229</v>
      </c>
      <c r="AL32" s="85">
        <f>'Net zero emission summary'!BM36</f>
        <v>0.23109895682900922</v>
      </c>
      <c r="AM32" s="85">
        <f>'Net zero emission summary'!BN36</f>
        <v>0.23108708268732603</v>
      </c>
      <c r="AN32" s="85">
        <f>'Net zero emission summary'!BO36</f>
        <v>0.23107520854564292</v>
      </c>
      <c r="AO32" s="85">
        <f>'Net zero emission summary'!BP36</f>
        <v>0.23106333440395979</v>
      </c>
      <c r="AP32" s="85">
        <f>'Net zero emission summary'!BQ36</f>
        <v>0.23105146026227666</v>
      </c>
    </row>
    <row r="33" spans="1:42" x14ac:dyDescent="0.3">
      <c r="A33" t="str">
        <f>'Emissions summary'!C37</f>
        <v>3C1c Biomass burning in Grasslands</v>
      </c>
      <c r="B33" t="str">
        <f t="shared" si="1"/>
        <v>A3C1c</v>
      </c>
      <c r="C33" t="str">
        <f>'Emissions summary'!D37</f>
        <v>N2O</v>
      </c>
      <c r="D33" s="85">
        <f>'Net zero emission summary'!AE37</f>
        <v>1.9270838146967177</v>
      </c>
      <c r="E33" s="85">
        <f>'Net zero emission summary'!AF37</f>
        <v>1.9378298037617634</v>
      </c>
      <c r="F33" s="85">
        <f>'Net zero emission summary'!AG37</f>
        <v>1.9485757928268084</v>
      </c>
      <c r="G33" s="85">
        <f>'Net zero emission summary'!AH37</f>
        <v>1.9593217818918536</v>
      </c>
      <c r="H33" s="85">
        <f>'Net zero emission summary'!AI37</f>
        <v>1.9700677709568992</v>
      </c>
      <c r="I33" s="85">
        <f>'Net zero emission summary'!AJ37</f>
        <v>1.9808137600219442</v>
      </c>
      <c r="J33" s="85">
        <f>'Net zero emission summary'!AK37</f>
        <v>1.9915597490869896</v>
      </c>
      <c r="K33" s="85">
        <f>'Net zero emission summary'!AL37</f>
        <v>2.0099227240740993</v>
      </c>
      <c r="L33" s="85">
        <f>'Net zero emission summary'!AM37</f>
        <v>2.0282856990612084</v>
      </c>
      <c r="M33" s="85">
        <f>'Net zero emission summary'!AN37</f>
        <v>2.0466486740483179</v>
      </c>
      <c r="N33" s="85">
        <f>'Net zero emission summary'!AO37</f>
        <v>2.065011649035426</v>
      </c>
      <c r="O33" s="85">
        <f>'Net zero emission summary'!AP37</f>
        <v>2.0833746240225359</v>
      </c>
      <c r="P33" s="85">
        <f>'Net zero emission summary'!AQ37</f>
        <v>2.101737599009645</v>
      </c>
      <c r="Q33" s="85">
        <f>'Net zero emission summary'!AR37</f>
        <v>2.120100573996754</v>
      </c>
      <c r="R33" s="85">
        <f>'Net zero emission summary'!AS37</f>
        <v>2.138463548983863</v>
      </c>
      <c r="S33" s="85">
        <f>'Net zero emission summary'!AT37</f>
        <v>2.1568265239709721</v>
      </c>
      <c r="T33" s="85">
        <f>'Net zero emission summary'!AU37</f>
        <v>2.1751894989580816</v>
      </c>
      <c r="U33" s="85">
        <f>'Net zero emission summary'!AV37</f>
        <v>2.1935524739451906</v>
      </c>
      <c r="V33" s="85">
        <f>'Net zero emission summary'!AW37</f>
        <v>2.2119154489322996</v>
      </c>
      <c r="W33" s="85">
        <f>'Net zero emission summary'!AX37</f>
        <v>2.230599586866107</v>
      </c>
      <c r="X33" s="85">
        <f>'Net zero emission summary'!AY37</f>
        <v>2.2492837247999136</v>
      </c>
      <c r="Y33" s="85">
        <f>'Net zero emission summary'!AZ37</f>
        <v>2.267967862733721</v>
      </c>
      <c r="Z33" s="85">
        <f>'Net zero emission summary'!BA37</f>
        <v>2.2866520006675284</v>
      </c>
      <c r="AA33" s="85">
        <f>'Net zero emission summary'!BB37</f>
        <v>2.3053361386013353</v>
      </c>
      <c r="AB33" s="85">
        <f>'Net zero emission summary'!BC37</f>
        <v>2.3240202765351423</v>
      </c>
      <c r="AC33" s="85">
        <f>'Net zero emission summary'!BD37</f>
        <v>2.3427044144689493</v>
      </c>
      <c r="AD33" s="85">
        <f>'Net zero emission summary'!BE37</f>
        <v>2.3613885524027567</v>
      </c>
      <c r="AE33" s="85">
        <f>'Net zero emission summary'!BF37</f>
        <v>2.3800726903365637</v>
      </c>
      <c r="AF33" s="85">
        <f>'Net zero emission summary'!BG37</f>
        <v>2.3987568282703706</v>
      </c>
      <c r="AG33" s="85">
        <f>'Net zero emission summary'!BH37</f>
        <v>2.4174409662041776</v>
      </c>
      <c r="AH33" s="85">
        <f>'Net zero emission summary'!BI37</f>
        <v>2.436125104137985</v>
      </c>
      <c r="AI33" s="85">
        <f>'Net zero emission summary'!BJ37</f>
        <v>2.454809242071792</v>
      </c>
      <c r="AJ33" s="85">
        <f>'Net zero emission summary'!BK37</f>
        <v>2.4734933800055994</v>
      </c>
      <c r="AK33" s="85">
        <f>'Net zero emission summary'!BL37</f>
        <v>2.4921775179394063</v>
      </c>
      <c r="AL33" s="85">
        <f>'Net zero emission summary'!BM37</f>
        <v>2.5108616558732133</v>
      </c>
      <c r="AM33" s="85">
        <f>'Net zero emission summary'!BN37</f>
        <v>2.5295457938070207</v>
      </c>
      <c r="AN33" s="85">
        <f>'Net zero emission summary'!BO37</f>
        <v>2.5482299317408281</v>
      </c>
      <c r="AO33" s="85">
        <f>'Net zero emission summary'!BP37</f>
        <v>2.5669140696746346</v>
      </c>
      <c r="AP33" s="85">
        <f>'Net zero emission summary'!BQ37</f>
        <v>2.5855982076084416</v>
      </c>
    </row>
    <row r="34" spans="1:42" x14ac:dyDescent="0.3">
      <c r="A34" t="str">
        <f>'Emissions summary'!C38</f>
        <v>3C1d Biomass burning in Wetlands</v>
      </c>
      <c r="B34" t="str">
        <f t="shared" si="1"/>
        <v>A3C1d</v>
      </c>
      <c r="C34" t="str">
        <f>'Emissions summary'!D38</f>
        <v>N2O</v>
      </c>
      <c r="D34" s="85">
        <f>'Net zero emission summary'!AE38</f>
        <v>7.8813449993659371E-2</v>
      </c>
      <c r="E34" s="85">
        <f>'Net zero emission summary'!AF38</f>
        <v>7.8813449993659371E-2</v>
      </c>
      <c r="F34" s="85">
        <f>'Net zero emission summary'!AG38</f>
        <v>7.8813449993659371E-2</v>
      </c>
      <c r="G34" s="85">
        <f>'Net zero emission summary'!AH38</f>
        <v>7.8813449993659371E-2</v>
      </c>
      <c r="H34" s="85">
        <f>'Net zero emission summary'!AI38</f>
        <v>7.8813449993659371E-2</v>
      </c>
      <c r="I34" s="85">
        <f>'Net zero emission summary'!AJ38</f>
        <v>7.8813449993659371E-2</v>
      </c>
      <c r="J34" s="85">
        <f>'Net zero emission summary'!AK38</f>
        <v>7.8813449993659371E-2</v>
      </c>
      <c r="K34" s="85">
        <f>'Net zero emission summary'!AL38</f>
        <v>7.8813449993659371E-2</v>
      </c>
      <c r="L34" s="85">
        <f>'Net zero emission summary'!AM38</f>
        <v>7.8813449993659371E-2</v>
      </c>
      <c r="M34" s="85">
        <f>'Net zero emission summary'!AN38</f>
        <v>7.8813449993659371E-2</v>
      </c>
      <c r="N34" s="85">
        <f>'Net zero emission summary'!AO38</f>
        <v>7.8813449993659371E-2</v>
      </c>
      <c r="O34" s="85">
        <f>'Net zero emission summary'!AP38</f>
        <v>7.8813449993659371E-2</v>
      </c>
      <c r="P34" s="85">
        <f>'Net zero emission summary'!AQ38</f>
        <v>7.8813449993659371E-2</v>
      </c>
      <c r="Q34" s="85">
        <f>'Net zero emission summary'!AR38</f>
        <v>7.8813449993659371E-2</v>
      </c>
      <c r="R34" s="85">
        <f>'Net zero emission summary'!AS38</f>
        <v>7.8813449993659371E-2</v>
      </c>
      <c r="S34" s="85">
        <f>'Net zero emission summary'!AT38</f>
        <v>7.8813449993659371E-2</v>
      </c>
      <c r="T34" s="85">
        <f>'Net zero emission summary'!AU38</f>
        <v>7.8813449993659371E-2</v>
      </c>
      <c r="U34" s="85">
        <f>'Net zero emission summary'!AV38</f>
        <v>7.8813449993659371E-2</v>
      </c>
      <c r="V34" s="85">
        <f>'Net zero emission summary'!AW38</f>
        <v>7.8813449993659371E-2</v>
      </c>
      <c r="W34" s="85">
        <f>'Net zero emission summary'!AX38</f>
        <v>7.8813449993659371E-2</v>
      </c>
      <c r="X34" s="85">
        <f>'Net zero emission summary'!AY38</f>
        <v>7.8813449993659371E-2</v>
      </c>
      <c r="Y34" s="85">
        <f>'Net zero emission summary'!AZ38</f>
        <v>7.8813449993659371E-2</v>
      </c>
      <c r="Z34" s="85">
        <f>'Net zero emission summary'!BA38</f>
        <v>7.8813449993659371E-2</v>
      </c>
      <c r="AA34" s="85">
        <f>'Net zero emission summary'!BB38</f>
        <v>7.8813449993659371E-2</v>
      </c>
      <c r="AB34" s="85">
        <f>'Net zero emission summary'!BC38</f>
        <v>7.8813449993659371E-2</v>
      </c>
      <c r="AC34" s="85">
        <f>'Net zero emission summary'!BD38</f>
        <v>7.8813449993659371E-2</v>
      </c>
      <c r="AD34" s="85">
        <f>'Net zero emission summary'!BE38</f>
        <v>7.8813449993659371E-2</v>
      </c>
      <c r="AE34" s="85">
        <f>'Net zero emission summary'!BF38</f>
        <v>7.8813449993659371E-2</v>
      </c>
      <c r="AF34" s="85">
        <f>'Net zero emission summary'!BG38</f>
        <v>7.8813449993659371E-2</v>
      </c>
      <c r="AG34" s="85">
        <f>'Net zero emission summary'!BH38</f>
        <v>7.8813449993659371E-2</v>
      </c>
      <c r="AH34" s="85">
        <f>'Net zero emission summary'!BI38</f>
        <v>7.8813449993659371E-2</v>
      </c>
      <c r="AI34" s="85">
        <f>'Net zero emission summary'!BJ38</f>
        <v>7.8813449993659371E-2</v>
      </c>
      <c r="AJ34" s="85">
        <f>'Net zero emission summary'!BK38</f>
        <v>7.8813449993659371E-2</v>
      </c>
      <c r="AK34" s="85">
        <f>'Net zero emission summary'!BL38</f>
        <v>7.8813449993659371E-2</v>
      </c>
      <c r="AL34" s="85">
        <f>'Net zero emission summary'!BM38</f>
        <v>7.8813449993659371E-2</v>
      </c>
      <c r="AM34" s="85">
        <f>'Net zero emission summary'!BN38</f>
        <v>7.8813449993659371E-2</v>
      </c>
      <c r="AN34" s="85">
        <f>'Net zero emission summary'!BO38</f>
        <v>7.8813449993659371E-2</v>
      </c>
      <c r="AO34" s="85">
        <f>'Net zero emission summary'!BP38</f>
        <v>7.8813449993659371E-2</v>
      </c>
      <c r="AP34" s="85">
        <f>'Net zero emission summary'!BQ38</f>
        <v>7.8813449993659371E-2</v>
      </c>
    </row>
    <row r="35" spans="1:42" x14ac:dyDescent="0.3">
      <c r="A35" t="str">
        <f>'Emissions summary'!C39</f>
        <v>3C1e Biomass burning in Settlements</v>
      </c>
      <c r="B35" t="str">
        <f t="shared" si="1"/>
        <v>A3C1e</v>
      </c>
      <c r="C35" t="str">
        <f>'Emissions summary'!D39</f>
        <v>N2O</v>
      </c>
      <c r="D35" s="85">
        <f>'Net zero emission summary'!AE39</f>
        <v>3.9235523819963862E-2</v>
      </c>
      <c r="E35" s="85">
        <f>'Net zero emission summary'!AF39</f>
        <v>3.9318445103539788E-2</v>
      </c>
      <c r="F35" s="85">
        <f>'Net zero emission summary'!AG39</f>
        <v>3.9401366387115715E-2</v>
      </c>
      <c r="G35" s="85">
        <f>'Net zero emission summary'!AH39</f>
        <v>3.9484287670691648E-2</v>
      </c>
      <c r="H35" s="85">
        <f>'Net zero emission summary'!AI39</f>
        <v>3.9567208954267574E-2</v>
      </c>
      <c r="I35" s="85">
        <f>'Net zero emission summary'!AJ39</f>
        <v>3.9650130237843507E-2</v>
      </c>
      <c r="J35" s="85">
        <f>'Net zero emission summary'!AK39</f>
        <v>3.9733051521419427E-2</v>
      </c>
      <c r="K35" s="85">
        <f>'Net zero emission summary'!AL39</f>
        <v>3.981597280499536E-2</v>
      </c>
      <c r="L35" s="85">
        <f>'Net zero emission summary'!AM39</f>
        <v>3.9898894088571286E-2</v>
      </c>
      <c r="M35" s="85">
        <f>'Net zero emission summary'!AN39</f>
        <v>3.9981815372147227E-2</v>
      </c>
      <c r="N35" s="85">
        <f>'Net zero emission summary'!AO39</f>
        <v>4.0064736655723153E-2</v>
      </c>
      <c r="O35" s="85">
        <f>'Net zero emission summary'!AP39</f>
        <v>4.0147657939299079E-2</v>
      </c>
      <c r="P35" s="85">
        <f>'Net zero emission summary'!AQ39</f>
        <v>4.0230579222875013E-2</v>
      </c>
      <c r="Q35" s="85">
        <f>'Net zero emission summary'!AR39</f>
        <v>4.0313500506450946E-2</v>
      </c>
      <c r="R35" s="85">
        <f>'Net zero emission summary'!AS39</f>
        <v>4.0396421790026865E-2</v>
      </c>
      <c r="S35" s="85">
        <f>'Net zero emission summary'!AT39</f>
        <v>4.0479343073602798E-2</v>
      </c>
      <c r="T35" s="85">
        <f>'Net zero emission summary'!AU39</f>
        <v>4.0562264357178725E-2</v>
      </c>
      <c r="U35" s="85">
        <f>'Net zero emission summary'!AV39</f>
        <v>4.0645185640754658E-2</v>
      </c>
      <c r="V35" s="85">
        <f>'Net zero emission summary'!AW39</f>
        <v>4.0728106924330584E-2</v>
      </c>
      <c r="W35" s="85">
        <f>'Net zero emission summary'!AX39</f>
        <v>4.0811028207906511E-2</v>
      </c>
      <c r="X35" s="85">
        <f>'Net zero emission summary'!AY39</f>
        <v>4.0893949491482444E-2</v>
      </c>
      <c r="Y35" s="85">
        <f>'Net zero emission summary'!AZ39</f>
        <v>4.097687077505837E-2</v>
      </c>
      <c r="Z35" s="85">
        <f>'Net zero emission summary'!BA39</f>
        <v>4.1059792058634303E-2</v>
      </c>
      <c r="AA35" s="85">
        <f>'Net zero emission summary'!BB39</f>
        <v>4.114271334221023E-2</v>
      </c>
      <c r="AB35" s="85">
        <f>'Net zero emission summary'!BC39</f>
        <v>4.1225634625786156E-2</v>
      </c>
      <c r="AC35" s="85">
        <f>'Net zero emission summary'!BD39</f>
        <v>4.1308555909362089E-2</v>
      </c>
      <c r="AD35" s="85">
        <f>'Net zero emission summary'!BE39</f>
        <v>4.1391477192938023E-2</v>
      </c>
      <c r="AE35" s="85">
        <f>'Net zero emission summary'!BF39</f>
        <v>4.1474398476513949E-2</v>
      </c>
      <c r="AF35" s="85">
        <f>'Net zero emission summary'!BG39</f>
        <v>4.1557319760089875E-2</v>
      </c>
      <c r="AG35" s="85">
        <f>'Net zero emission summary'!BH39</f>
        <v>4.1640241043665809E-2</v>
      </c>
      <c r="AH35" s="85">
        <f>'Net zero emission summary'!BI39</f>
        <v>4.1723162327241742E-2</v>
      </c>
      <c r="AI35" s="85">
        <f>'Net zero emission summary'!BJ39</f>
        <v>4.1806083610817661E-2</v>
      </c>
      <c r="AJ35" s="85">
        <f>'Net zero emission summary'!BK39</f>
        <v>4.1889004894393594E-2</v>
      </c>
      <c r="AK35" s="85">
        <f>'Net zero emission summary'!BL39</f>
        <v>4.1971926177969528E-2</v>
      </c>
      <c r="AL35" s="85">
        <f>'Net zero emission summary'!BM39</f>
        <v>4.2054847461545454E-2</v>
      </c>
      <c r="AM35" s="85">
        <f>'Net zero emission summary'!BN39</f>
        <v>4.2137768745121387E-2</v>
      </c>
      <c r="AN35" s="85">
        <f>'Net zero emission summary'!BO39</f>
        <v>4.2220690028697307E-2</v>
      </c>
      <c r="AO35" s="85">
        <f>'Net zero emission summary'!BP39</f>
        <v>4.230361131227324E-2</v>
      </c>
      <c r="AP35" s="85">
        <f>'Net zero emission summary'!BQ39</f>
        <v>4.2386532595849173E-2</v>
      </c>
    </row>
    <row r="36" spans="1:42" x14ac:dyDescent="0.3">
      <c r="A36" t="str">
        <f>'Emissions summary'!C40</f>
        <v>3C1f Biomass burning in Other lands</v>
      </c>
      <c r="B36" t="str">
        <f t="shared" si="1"/>
        <v>A3C1f</v>
      </c>
      <c r="C36" t="str">
        <f>'Emissions summary'!D40</f>
        <v>N2O</v>
      </c>
      <c r="D36" s="85">
        <f>'Net zero emission summary'!AE40</f>
        <v>0</v>
      </c>
      <c r="E36" s="85">
        <f>'Net zero emission summary'!AF40</f>
        <v>0</v>
      </c>
      <c r="F36" s="85">
        <f>'Net zero emission summary'!AG40</f>
        <v>0</v>
      </c>
      <c r="G36" s="85">
        <f>'Net zero emission summary'!AH40</f>
        <v>0</v>
      </c>
      <c r="H36" s="85">
        <f>'Net zero emission summary'!AI40</f>
        <v>0</v>
      </c>
      <c r="I36" s="85">
        <f>'Net zero emission summary'!AJ40</f>
        <v>0</v>
      </c>
      <c r="J36" s="85">
        <f>'Net zero emission summary'!AK40</f>
        <v>0</v>
      </c>
      <c r="K36" s="85">
        <f>'Net zero emission summary'!AL40</f>
        <v>0</v>
      </c>
      <c r="L36" s="85">
        <f>'Net zero emission summary'!AM40</f>
        <v>0</v>
      </c>
      <c r="M36" s="85">
        <f>'Net zero emission summary'!AN40</f>
        <v>0</v>
      </c>
      <c r="N36" s="85">
        <f>'Net zero emission summary'!AO40</f>
        <v>0</v>
      </c>
      <c r="O36" s="85">
        <f>'Net zero emission summary'!AP40</f>
        <v>0</v>
      </c>
      <c r="P36" s="85">
        <f>'Net zero emission summary'!AQ40</f>
        <v>0</v>
      </c>
      <c r="Q36" s="85">
        <f>'Net zero emission summary'!AR40</f>
        <v>0</v>
      </c>
      <c r="R36" s="85">
        <f>'Net zero emission summary'!AS40</f>
        <v>0</v>
      </c>
      <c r="S36" s="85">
        <f>'Net zero emission summary'!AT40</f>
        <v>0</v>
      </c>
      <c r="T36" s="85">
        <f>'Net zero emission summary'!AU40</f>
        <v>0</v>
      </c>
      <c r="U36" s="85">
        <f>'Net zero emission summary'!AV40</f>
        <v>0</v>
      </c>
      <c r="V36" s="85">
        <f>'Net zero emission summary'!AW40</f>
        <v>0</v>
      </c>
      <c r="W36" s="85">
        <f>'Net zero emission summary'!AX40</f>
        <v>0</v>
      </c>
      <c r="X36" s="85">
        <f>'Net zero emission summary'!AY40</f>
        <v>0</v>
      </c>
      <c r="Y36" s="85">
        <f>'Net zero emission summary'!AZ40</f>
        <v>0</v>
      </c>
      <c r="Z36" s="85">
        <f>'Net zero emission summary'!BA40</f>
        <v>0</v>
      </c>
      <c r="AA36" s="85">
        <f>'Net zero emission summary'!BB40</f>
        <v>0</v>
      </c>
      <c r="AB36" s="85">
        <f>'Net zero emission summary'!BC40</f>
        <v>0</v>
      </c>
      <c r="AC36" s="85">
        <f>'Net zero emission summary'!BD40</f>
        <v>0</v>
      </c>
      <c r="AD36" s="85">
        <f>'Net zero emission summary'!BE40</f>
        <v>0</v>
      </c>
      <c r="AE36" s="85">
        <f>'Net zero emission summary'!BF40</f>
        <v>0</v>
      </c>
      <c r="AF36" s="85">
        <f>'Net zero emission summary'!BG40</f>
        <v>0</v>
      </c>
      <c r="AG36" s="85">
        <f>'Net zero emission summary'!BH40</f>
        <v>0</v>
      </c>
      <c r="AH36" s="85">
        <f>'Net zero emission summary'!BI40</f>
        <v>0</v>
      </c>
      <c r="AI36" s="85">
        <f>'Net zero emission summary'!BJ40</f>
        <v>0</v>
      </c>
      <c r="AJ36" s="85">
        <f>'Net zero emission summary'!BK40</f>
        <v>0</v>
      </c>
      <c r="AK36" s="85">
        <f>'Net zero emission summary'!BL40</f>
        <v>0</v>
      </c>
      <c r="AL36" s="85">
        <f>'Net zero emission summary'!BM40</f>
        <v>0</v>
      </c>
      <c r="AM36" s="85">
        <f>'Net zero emission summary'!BN40</f>
        <v>0</v>
      </c>
      <c r="AN36" s="85">
        <f>'Net zero emission summary'!BO40</f>
        <v>0</v>
      </c>
      <c r="AO36" s="85">
        <f>'Net zero emission summary'!BP40</f>
        <v>0</v>
      </c>
      <c r="AP36" s="85">
        <f>'Net zero emission summary'!BQ40</f>
        <v>0</v>
      </c>
    </row>
    <row r="37" spans="1:42" x14ac:dyDescent="0.3">
      <c r="A37" t="str">
        <f>'Emissions summary'!B41</f>
        <v>3C2 Liming (CO2)</v>
      </c>
      <c r="B37" t="str">
        <f>"A"&amp;LEFT(A37,3)</f>
        <v>A3C2</v>
      </c>
      <c r="C37" t="str">
        <f>'Emissions summary'!D41</f>
        <v>CO2</v>
      </c>
      <c r="D37" s="85">
        <f>'Net zero emission summary'!AE41</f>
        <v>886.46691832724639</v>
      </c>
      <c r="E37" s="85">
        <f>'Net zero emission summary'!AF41</f>
        <v>888.12131157949125</v>
      </c>
      <c r="F37" s="85">
        <f>'Net zero emission summary'!AG41</f>
        <v>891.15452747930806</v>
      </c>
      <c r="G37" s="85">
        <f>'Net zero emission summary'!AH41</f>
        <v>894.77997458773643</v>
      </c>
      <c r="H37" s="85">
        <f>'Net zero emission summary'!AI41</f>
        <v>897.22911689738771</v>
      </c>
      <c r="I37" s="85">
        <f>'Net zero emission summary'!AJ41</f>
        <v>898.91455113929567</v>
      </c>
      <c r="J37" s="85">
        <f>'Net zero emission summary'!AK41</f>
        <v>899.83749014303339</v>
      </c>
      <c r="K37" s="85">
        <f>'Net zero emission summary'!AL41</f>
        <v>901.33063602016739</v>
      </c>
      <c r="L37" s="85">
        <f>'Net zero emission summary'!AM41</f>
        <v>902.89907464525436</v>
      </c>
      <c r="M37" s="85">
        <f>'Net zero emission summary'!AN41</f>
        <v>891.99675751980965</v>
      </c>
      <c r="N37" s="85">
        <f>'Net zero emission summary'!AO41</f>
        <v>896.31989501908868</v>
      </c>
      <c r="O37" s="85">
        <f>'Net zero emission summary'!AP41</f>
        <v>902.22024497284394</v>
      </c>
      <c r="P37" s="85">
        <f>'Net zero emission summary'!AQ41</f>
        <v>905.3909035858818</v>
      </c>
      <c r="Q37" s="85">
        <f>'Net zero emission summary'!AR41</f>
        <v>908.85869804414574</v>
      </c>
      <c r="R37" s="85">
        <f>'Net zero emission summary'!AS41</f>
        <v>912.71420258721548</v>
      </c>
      <c r="S37" s="85">
        <f>'Net zero emission summary'!AT41</f>
        <v>916.76138513802675</v>
      </c>
      <c r="T37" s="85">
        <f>'Net zero emission summary'!AU41</f>
        <v>921.08070130350711</v>
      </c>
      <c r="U37" s="85">
        <f>'Net zero emission summary'!AV41</f>
        <v>925.40933815746541</v>
      </c>
      <c r="V37" s="85">
        <f>'Net zero emission summary'!AW41</f>
        <v>929.96831948890872</v>
      </c>
      <c r="W37" s="85">
        <f>'Net zero emission summary'!AX41</f>
        <v>934.50696522239457</v>
      </c>
      <c r="X37" s="85">
        <f>'Net zero emission summary'!AY41</f>
        <v>939.42761374681561</v>
      </c>
      <c r="Y37" s="85">
        <f>'Net zero emission summary'!AZ41</f>
        <v>944.16688868183769</v>
      </c>
      <c r="Z37" s="85">
        <f>'Net zero emission summary'!BA41</f>
        <v>949.0261231000643</v>
      </c>
      <c r="AA37" s="85">
        <f>'Net zero emission summary'!BB41</f>
        <v>954.33840569705478</v>
      </c>
      <c r="AB37" s="85">
        <f>'Net zero emission summary'!BC41</f>
        <v>959.278398620286</v>
      </c>
      <c r="AC37" s="85">
        <f>'Net zero emission summary'!BD41</f>
        <v>964.3507815679485</v>
      </c>
      <c r="AD37" s="85">
        <f>'Net zero emission summary'!BE41</f>
        <v>969.61220137656596</v>
      </c>
      <c r="AE37" s="85">
        <f>'Net zero emission summary'!BF41</f>
        <v>974.44775869223997</v>
      </c>
      <c r="AF37" s="85">
        <f>'Net zero emission summary'!BG41</f>
        <v>979.14890322764631</v>
      </c>
      <c r="AG37" s="85">
        <f>'Net zero emission summary'!BH41</f>
        <v>983.73381176950784</v>
      </c>
      <c r="AH37" s="85">
        <f>'Net zero emission summary'!BI41</f>
        <v>988.57156221875641</v>
      </c>
      <c r="AI37" s="85">
        <f>'Net zero emission summary'!BJ41</f>
        <v>993.12969939958668</v>
      </c>
      <c r="AJ37" s="85">
        <f>'Net zero emission summary'!BK41</f>
        <v>997.74604101719626</v>
      </c>
      <c r="AK37" s="85">
        <f>'Net zero emission summary'!BL41</f>
        <v>1002.4341171721968</v>
      </c>
      <c r="AL37" s="85">
        <f>'Net zero emission summary'!BM41</f>
        <v>1007.2170829821735</v>
      </c>
      <c r="AM37" s="85">
        <f>'Net zero emission summary'!BN41</f>
        <v>1012.0749838215364</v>
      </c>
      <c r="AN37" s="85">
        <f>'Net zero emission summary'!BO41</f>
        <v>1013.5676439901464</v>
      </c>
      <c r="AO37" s="85">
        <f>'Net zero emission summary'!BP41</f>
        <v>1014.7466063039381</v>
      </c>
      <c r="AP37" s="85">
        <f>'Net zero emission summary'!BQ41</f>
        <v>1015.4810997197675</v>
      </c>
    </row>
    <row r="38" spans="1:42" x14ac:dyDescent="0.3">
      <c r="A38" t="str">
        <f>'Emissions summary'!B42</f>
        <v>3C3 Urea application (CO2)</v>
      </c>
      <c r="B38" t="str">
        <f>"A"&amp;LEFT(A38,3)</f>
        <v>A3C3</v>
      </c>
      <c r="C38" t="str">
        <f>'Emissions summary'!D42</f>
        <v>CO2</v>
      </c>
      <c r="D38" s="85">
        <f>'Net zero emission summary'!AE42</f>
        <v>470.0955092083982</v>
      </c>
      <c r="E38" s="85">
        <f>'Net zero emission summary'!AF42</f>
        <v>470.05382539136968</v>
      </c>
      <c r="F38" s="85">
        <f>'Net zero emission summary'!AG42</f>
        <v>469.97740098840234</v>
      </c>
      <c r="G38" s="85">
        <f>'Net zero emission summary'!AH42</f>
        <v>469.88605482647296</v>
      </c>
      <c r="H38" s="85">
        <f>'Net zero emission summary'!AI42</f>
        <v>469.82434664447095</v>
      </c>
      <c r="I38" s="85">
        <f>'Net zero emission summary'!AJ42</f>
        <v>469.78188072383335</v>
      </c>
      <c r="J38" s="85">
        <f>'Net zero emission summary'!AK42</f>
        <v>469.75862650630785</v>
      </c>
      <c r="K38" s="85">
        <f>'Net zero emission summary'!AL42</f>
        <v>469.72100545130479</v>
      </c>
      <c r="L38" s="85">
        <f>'Net zero emission summary'!AM42</f>
        <v>469.68148733275598</v>
      </c>
      <c r="M38" s="85">
        <f>'Net zero emission summary'!AN42</f>
        <v>469.95618030048149</v>
      </c>
      <c r="N38" s="85">
        <f>'Net zero emission summary'!AO42</f>
        <v>469.84725524758687</v>
      </c>
      <c r="O38" s="85">
        <f>'Net zero emission summary'!AP42</f>
        <v>469.69859101219856</v>
      </c>
      <c r="P38" s="85">
        <f>'Net zero emission summary'!AQ42</f>
        <v>469.61870362550462</v>
      </c>
      <c r="Q38" s="85">
        <f>'Net zero emission summary'!AR42</f>
        <v>469.53132965350932</v>
      </c>
      <c r="R38" s="85">
        <f>'Net zero emission summary'!AS42</f>
        <v>469.43418700274725</v>
      </c>
      <c r="S38" s="85">
        <f>'Net zero emission summary'!AT42</f>
        <v>469.33221486480466</v>
      </c>
      <c r="T38" s="85">
        <f>'Net zero emission summary'!AU42</f>
        <v>469.22338609360048</v>
      </c>
      <c r="U38" s="85">
        <f>'Net zero emission summary'!AV42</f>
        <v>469.1143224798808</v>
      </c>
      <c r="V38" s="85">
        <f>'Net zero emission summary'!AW42</f>
        <v>468.99945514504452</v>
      </c>
      <c r="W38" s="85">
        <f>'Net zero emission summary'!AX42</f>
        <v>468.88510018254988</v>
      </c>
      <c r="X38" s="85">
        <f>'Net zero emission summary'!AY42</f>
        <v>468.76112034131472</v>
      </c>
      <c r="Y38" s="85">
        <f>'Net zero emission summary'!AZ42</f>
        <v>468.64171035885056</v>
      </c>
      <c r="Z38" s="85">
        <f>'Net zero emission summary'!BA42</f>
        <v>468.5192778972135</v>
      </c>
      <c r="AA38" s="85">
        <f>'Net zero emission summary'!BB42</f>
        <v>468.38543050906895</v>
      </c>
      <c r="AB38" s="85">
        <f>'Net zero emission summary'!BC42</f>
        <v>468.26096326958111</v>
      </c>
      <c r="AC38" s="85">
        <f>'Net zero emission summary'!BD42</f>
        <v>468.13316035307253</v>
      </c>
      <c r="AD38" s="85">
        <f>'Net zero emission summary'!BE42</f>
        <v>468.00059449527834</v>
      </c>
      <c r="AE38" s="85">
        <f>'Net zero emission summary'!BF42</f>
        <v>467.87875859797629</v>
      </c>
      <c r="AF38" s="85">
        <f>'Net zero emission summary'!BG42</f>
        <v>467.76030934271449</v>
      </c>
      <c r="AG38" s="85">
        <f>'Net zero emission summary'!BH42</f>
        <v>467.64478875019984</v>
      </c>
      <c r="AH38" s="85">
        <f>'Net zero emission summary'!BI42</f>
        <v>467.52289759506942</v>
      </c>
      <c r="AI38" s="85">
        <f>'Net zero emission summary'!BJ42</f>
        <v>467.40805152931154</v>
      </c>
      <c r="AJ38" s="85">
        <f>'Net zero emission summary'!BK42</f>
        <v>467.29173895425197</v>
      </c>
      <c r="AK38" s="85">
        <f>'Net zero emission summary'!BL42</f>
        <v>467.17361896772775</v>
      </c>
      <c r="AL38" s="85">
        <f>'Net zero emission summary'!BM42</f>
        <v>467.05310815725005</v>
      </c>
      <c r="AM38" s="85">
        <f>'Net zero emission summary'!BN42</f>
        <v>466.93070929624412</v>
      </c>
      <c r="AN38" s="85">
        <f>'Net zero emission summary'!BO42</f>
        <v>466.89310047907219</v>
      </c>
      <c r="AO38" s="85">
        <f>'Net zero emission summary'!BP42</f>
        <v>466.86339554083878</v>
      </c>
      <c r="AP38" s="85">
        <f>'Net zero emission summary'!BQ42</f>
        <v>466.8448893669817</v>
      </c>
    </row>
    <row r="39" spans="1:42" x14ac:dyDescent="0.3">
      <c r="A39" t="str">
        <f>'Emissions summary'!B44</f>
        <v>3C4 Direct N2O from managed soils (N2O)</v>
      </c>
      <c r="B39" t="str">
        <f>"A"&amp;LEFT(A39,3)</f>
        <v>A3C4</v>
      </c>
      <c r="C39" t="str">
        <f>'Emissions summary'!D44</f>
        <v>N2O</v>
      </c>
      <c r="D39" s="85">
        <f>'Net zero emission summary'!AE43</f>
        <v>55.328082895998861</v>
      </c>
      <c r="E39" s="85">
        <f>'Net zero emission summary'!AF43</f>
        <v>55.141377146941771</v>
      </c>
      <c r="F39" s="85">
        <f>'Net zero emission summary'!AG43</f>
        <v>55.133536751110526</v>
      </c>
      <c r="G39" s="85">
        <f>'Net zero emission summary'!AH43</f>
        <v>54.82749609462973</v>
      </c>
      <c r="H39" s="85">
        <f>'Net zero emission summary'!AI43</f>
        <v>54.339148116939327</v>
      </c>
      <c r="I39" s="85">
        <f>'Net zero emission summary'!AJ43</f>
        <v>53.680284142654159</v>
      </c>
      <c r="J39" s="85">
        <f>'Net zero emission summary'!AK43</f>
        <v>53.185580517007523</v>
      </c>
      <c r="K39" s="85">
        <f>'Net zero emission summary'!AL43</f>
        <v>52.728403644181718</v>
      </c>
      <c r="L39" s="85">
        <f>'Net zero emission summary'!AM43</f>
        <v>49.461749990211324</v>
      </c>
      <c r="M39" s="85">
        <f>'Net zero emission summary'!AN43</f>
        <v>49.891675180209745</v>
      </c>
      <c r="N39" s="85">
        <f>'Net zero emission summary'!AO43</f>
        <v>50.715220631759436</v>
      </c>
      <c r="O39" s="85">
        <f>'Net zero emission summary'!AP43</f>
        <v>50.943086787888127</v>
      </c>
      <c r="P39" s="85">
        <f>'Net zero emission summary'!AQ43</f>
        <v>51.234151292935827</v>
      </c>
      <c r="Q39" s="85">
        <f>'Net zero emission summary'!AR43</f>
        <v>51.615726060506908</v>
      </c>
      <c r="R39" s="85">
        <f>'Net zero emission summary'!AS43</f>
        <v>52.034958085840103</v>
      </c>
      <c r="S39" s="85">
        <f>'Net zero emission summary'!AT43</f>
        <v>52.518804242509233</v>
      </c>
      <c r="T39" s="85">
        <f>'Net zero emission summary'!AU43</f>
        <v>53.00903503426003</v>
      </c>
      <c r="U39" s="85">
        <f>'Net zero emission summary'!AV43</f>
        <v>53.554750637431113</v>
      </c>
      <c r="V39" s="85">
        <f>'Net zero emission summary'!AW43</f>
        <v>54.100341378969702</v>
      </c>
      <c r="W39" s="85">
        <f>'Net zero emission summary'!AX43</f>
        <v>54.512304458007421</v>
      </c>
      <c r="X39" s="85">
        <f>'Net zero emission summary'!AY43</f>
        <v>54.877068652131001</v>
      </c>
      <c r="Y39" s="85">
        <f>'Net zero emission summary'!AZ43</f>
        <v>55.261356344966174</v>
      </c>
      <c r="Z39" s="85">
        <f>'Net zero emission summary'!BA43</f>
        <v>55.741542861904534</v>
      </c>
      <c r="AA39" s="85">
        <f>'Net zero emission summary'!BB43</f>
        <v>56.130162429002496</v>
      </c>
      <c r="AB39" s="85">
        <f>'Net zero emission summary'!BC43</f>
        <v>56.532269740099686</v>
      </c>
      <c r="AC39" s="85">
        <f>'Net zero emission summary'!BD43</f>
        <v>56.969260528770903</v>
      </c>
      <c r="AD39" s="85">
        <f>'Net zero emission summary'!BE43</f>
        <v>57.300055312512235</v>
      </c>
      <c r="AE39" s="85">
        <f>'Net zero emission summary'!BF43</f>
        <v>57.589361115261674</v>
      </c>
      <c r="AF39" s="85">
        <f>'Net zero emission summary'!BG43</f>
        <v>57.841762906911804</v>
      </c>
      <c r="AG39" s="85">
        <f>'Net zero emission summary'!BH43</f>
        <v>58.274619207782685</v>
      </c>
      <c r="AH39" s="85">
        <f>'Net zero emission summary'!BI43</f>
        <v>58.639722769100814</v>
      </c>
      <c r="AI39" s="85">
        <f>'Net zero emission summary'!BJ43</f>
        <v>59.012869885643362</v>
      </c>
      <c r="AJ39" s="85">
        <f>'Net zero emission summary'!BK43</f>
        <v>59.397923042976856</v>
      </c>
      <c r="AK39" s="85">
        <f>'Net zero emission summary'!BL43</f>
        <v>59.80019450876911</v>
      </c>
      <c r="AL39" s="85">
        <f>'Net zero emission summary'!BM43</f>
        <v>60.20783146801984</v>
      </c>
      <c r="AM39" s="85">
        <f>'Net zero emission summary'!BN43</f>
        <v>59.829421753216877</v>
      </c>
      <c r="AN39" s="85">
        <f>'Net zero emission summary'!BO43</f>
        <v>59.373227475178425</v>
      </c>
      <c r="AO39" s="85">
        <f>'Net zero emission summary'!BP43</f>
        <v>58.82095615932873</v>
      </c>
      <c r="AP39" s="85">
        <f>'Net zero emission summary'!BQ43</f>
        <v>58.245279590048085</v>
      </c>
    </row>
    <row r="40" spans="1:42" x14ac:dyDescent="0.3">
      <c r="A40" t="str">
        <f>'Emissions summary'!B49</f>
        <v>3C5 Indirect N2O from managed soils (N2O)</v>
      </c>
      <c r="B40" t="str">
        <f t="shared" ref="B40:B41" si="2">"A"&amp;LEFT(A40,3)</f>
        <v>A3C5</v>
      </c>
      <c r="C40" t="str">
        <f>'Emissions summary'!D49</f>
        <v>N2O</v>
      </c>
      <c r="D40" s="85">
        <f>'Net zero emission summary'!AE49</f>
        <v>6.6159271131948465</v>
      </c>
      <c r="E40" s="85">
        <f>'Net zero emission summary'!AF49</f>
        <v>6.5985117259102442</v>
      </c>
      <c r="F40" s="85">
        <f>'Net zero emission summary'!AG49</f>
        <v>6.6034108162416469</v>
      </c>
      <c r="G40" s="85">
        <f>'Net zero emission summary'!AH49</f>
        <v>6.571876947932294</v>
      </c>
      <c r="H40" s="85">
        <f>'Net zero emission summary'!AI49</f>
        <v>6.5185214490709154</v>
      </c>
      <c r="I40" s="85">
        <f>'Net zero emission summary'!AJ49</f>
        <v>6.4445703159865921</v>
      </c>
      <c r="J40" s="85">
        <f>'Net zero emission summary'!AK49</f>
        <v>6.3913491075327142</v>
      </c>
      <c r="K40" s="85">
        <f>'Net zero emission summary'!AL49</f>
        <v>6.3428476696520812</v>
      </c>
      <c r="L40" s="85">
        <f>'Net zero emission summary'!AM49</f>
        <v>5.9438249910667649</v>
      </c>
      <c r="M40" s="85">
        <f>'Net zero emission summary'!AN49</f>
        <v>6.0041977849796382</v>
      </c>
      <c r="N40" s="85">
        <f>'Net zero emission summary'!AO49</f>
        <v>6.1101731652593116</v>
      </c>
      <c r="O40" s="85">
        <f>'Net zero emission summary'!AP49</f>
        <v>6.1415494340712344</v>
      </c>
      <c r="P40" s="85">
        <f>'Net zero emission summary'!AQ49</f>
        <v>6.1817860421274284</v>
      </c>
      <c r="Q40" s="85">
        <f>'Net zero emission summary'!AR49</f>
        <v>6.2335437730091563</v>
      </c>
      <c r="R40" s="85">
        <f>'Net zero emission summary'!AS49</f>
        <v>6.2894256534647068</v>
      </c>
      <c r="S40" s="85">
        <f>'Net zero emission summary'!AT49</f>
        <v>6.353642222704039</v>
      </c>
      <c r="T40" s="85">
        <f>'Net zero emission summary'!AU49</f>
        <v>6.4188656421810126</v>
      </c>
      <c r="U40" s="85">
        <f>'Net zero emission summary'!AV49</f>
        <v>6.4913502943154082</v>
      </c>
      <c r="V40" s="85">
        <f>'Net zero emission summary'!AW49</f>
        <v>6.5640448401217899</v>
      </c>
      <c r="W40" s="85">
        <f>'Net zero emission summary'!AX49</f>
        <v>6.6222419062747795</v>
      </c>
      <c r="X40" s="85">
        <f>'Net zero emission summary'!AY49</f>
        <v>6.6748207417076229</v>
      </c>
      <c r="Y40" s="85">
        <f>'Net zero emission summary'!AZ49</f>
        <v>6.7303688555300889</v>
      </c>
      <c r="Z40" s="85">
        <f>'Net zero emission summary'!BA49</f>
        <v>6.798539325019048</v>
      </c>
      <c r="AA40" s="85">
        <f>'Net zero emission summary'!BB49</f>
        <v>6.8554589612168018</v>
      </c>
      <c r="AB40" s="85">
        <f>'Net zero emission summary'!BC49</f>
        <v>6.9141339442587375</v>
      </c>
      <c r="AC40" s="85">
        <f>'Net zero emission summary'!BD49</f>
        <v>6.9777566590437026</v>
      </c>
      <c r="AD40" s="85">
        <f>'Net zero emission summary'!BE49</f>
        <v>7.0282790990746964</v>
      </c>
      <c r="AE40" s="85">
        <f>'Net zero emission summary'!BF49</f>
        <v>7.0741049804501097</v>
      </c>
      <c r="AF40" s="85">
        <f>'Net zero emission summary'!BG49</f>
        <v>7.1157295736784754</v>
      </c>
      <c r="AG40" s="85">
        <f>'Net zero emission summary'!BH49</f>
        <v>7.1785287182929052</v>
      </c>
      <c r="AH40" s="85">
        <f>'Net zero emission summary'!BI49</f>
        <v>7.232952860682329</v>
      </c>
      <c r="AI40" s="85">
        <f>'Net zero emission summary'!BJ49</f>
        <v>7.2889206417852348</v>
      </c>
      <c r="AJ40" s="85">
        <f>'Net zero emission summary'!BK49</f>
        <v>7.3468606364686684</v>
      </c>
      <c r="AK40" s="85">
        <f>'Net zero emission summary'!BL49</f>
        <v>7.4074823275557931</v>
      </c>
      <c r="AL40" s="85">
        <f>'Net zero emission summary'!BM49</f>
        <v>7.4687611294504732</v>
      </c>
      <c r="AM40" s="85">
        <f>'Net zero emission summary'!BN49</f>
        <v>7.4278907059584425</v>
      </c>
      <c r="AN40" s="85">
        <f>'Net zero emission summary'!BO49</f>
        <v>7.3778315045306231</v>
      </c>
      <c r="AO40" s="85">
        <f>'Net zero emission summary'!BP49</f>
        <v>7.3152851320841803</v>
      </c>
      <c r="AP40" s="85">
        <f>'Net zero emission summary'!BQ49</f>
        <v>7.2497523065010512</v>
      </c>
    </row>
    <row r="41" spans="1:42" x14ac:dyDescent="0.3">
      <c r="A41" t="str">
        <f>'Emissions summary'!B52</f>
        <v>3C6 Indirect N2O from manure management (N2O)</v>
      </c>
      <c r="B41" t="str">
        <f t="shared" si="2"/>
        <v>A3C6</v>
      </c>
      <c r="C41" t="str">
        <f>'Emissions summary'!D52</f>
        <v>N2O</v>
      </c>
      <c r="D41" s="85">
        <f>'Net zero emission summary'!AE52</f>
        <v>1.4966006533780924</v>
      </c>
      <c r="E41" s="85">
        <f>'Net zero emission summary'!AF52</f>
        <v>1.5114628716679737</v>
      </c>
      <c r="F41" s="85">
        <f>'Net zero emission summary'!AG52</f>
        <v>1.5337636748745853</v>
      </c>
      <c r="G41" s="85">
        <f>'Net zero emission summary'!AH52</f>
        <v>1.5436359301289113</v>
      </c>
      <c r="H41" s="85">
        <f>'Net zero emission summary'!AI52</f>
        <v>1.5455830647924338</v>
      </c>
      <c r="I41" s="85">
        <f>'Net zero emission summary'!AJ52</f>
        <v>1.5396059638680233</v>
      </c>
      <c r="J41" s="85">
        <f>'Net zero emission summary'!AK52</f>
        <v>1.5406069398014894</v>
      </c>
      <c r="K41" s="85">
        <f>'Net zero emission summary'!AL52</f>
        <v>1.5429841908916511</v>
      </c>
      <c r="L41" s="85">
        <f>'Net zero emission summary'!AM52</f>
        <v>1.4117859501059316</v>
      </c>
      <c r="M41" s="85">
        <f>'Net zero emission summary'!AN52</f>
        <v>1.4446426217840949</v>
      </c>
      <c r="N41" s="85">
        <f>'Net zero emission summary'!AO52</f>
        <v>1.4951838775169701</v>
      </c>
      <c r="O41" s="85">
        <f>'Net zero emission summary'!AP52</f>
        <v>1.5172047837314651</v>
      </c>
      <c r="P41" s="85">
        <f>'Net zero emission summary'!AQ52</f>
        <v>1.5429640139702714</v>
      </c>
      <c r="Q41" s="85">
        <f>'Net zero emission summary'!AR52</f>
        <v>1.5735625206935386</v>
      </c>
      <c r="R41" s="85">
        <f>'Net zero emission summary'!AS52</f>
        <v>1.6071792475356412</v>
      </c>
      <c r="S41" s="85">
        <f>'Net zero emission summary'!AT52</f>
        <v>1.6445951351252028</v>
      </c>
      <c r="T41" s="85">
        <f>'Net zero emission summary'!AU52</f>
        <v>1.6829074957995804</v>
      </c>
      <c r="U41" s="85">
        <f>'Net zero emission summary'!AV52</f>
        <v>1.7247417477440332</v>
      </c>
      <c r="V41" s="85">
        <f>'Net zero emission summary'!AW52</f>
        <v>1.7672384541700492</v>
      </c>
      <c r="W41" s="85">
        <f>'Net zero emission summary'!AX52</f>
        <v>1.8156553307258507</v>
      </c>
      <c r="X41" s="85">
        <f>'Net zero emission summary'!AY52</f>
        <v>1.8629402828847581</v>
      </c>
      <c r="Y41" s="85">
        <f>'Net zero emission summary'!AZ52</f>
        <v>1.9128175005161601</v>
      </c>
      <c r="Z41" s="85">
        <f>'Net zero emission summary'!BA52</f>
        <v>1.9697153482281267</v>
      </c>
      <c r="AA41" s="85">
        <f>'Net zero emission summary'!BB52</f>
        <v>2.0231064624911688</v>
      </c>
      <c r="AB41" s="85">
        <f>'Net zero emission summary'!BC52</f>
        <v>2.079691437691749</v>
      </c>
      <c r="AC41" s="85">
        <f>'Net zero emission summary'!BD52</f>
        <v>2.1402377989121648</v>
      </c>
      <c r="AD41" s="85">
        <f>'Net zero emission summary'!BE52</f>
        <v>2.1962903000752121</v>
      </c>
      <c r="AE41" s="85">
        <f>'Net zero emission summary'!BF52</f>
        <v>2.2517071860011386</v>
      </c>
      <c r="AF41" s="85">
        <f>'Net zero emission summary'!BG52</f>
        <v>2.3066741391223649</v>
      </c>
      <c r="AG41" s="85">
        <f>'Net zero emission summary'!BH52</f>
        <v>2.3665890862896992</v>
      </c>
      <c r="AH41" s="85">
        <f>'Net zero emission summary'!BI52</f>
        <v>2.4236251205669155</v>
      </c>
      <c r="AI41" s="85">
        <f>'Net zero emission summary'!BJ52</f>
        <v>2.4827941150212238</v>
      </c>
      <c r="AJ41" s="85">
        <f>'Net zero emission summary'!BK52</f>
        <v>2.5443887730337473</v>
      </c>
      <c r="AK41" s="85">
        <f>'Net zero emission summary'!BL52</f>
        <v>2.6088775644499851</v>
      </c>
      <c r="AL41" s="85">
        <f>'Net zero emission summary'!BM52</f>
        <v>2.676186289695635</v>
      </c>
      <c r="AM41" s="85">
        <f>'Net zero emission summary'!BN52</f>
        <v>2.689170915116248</v>
      </c>
      <c r="AN41" s="85">
        <f>'Net zero emission summary'!BO52</f>
        <v>2.6972200246106315</v>
      </c>
      <c r="AO41" s="85">
        <f>'Net zero emission summary'!BP52</f>
        <v>2.6981474699034997</v>
      </c>
      <c r="AP41" s="85">
        <f>'Net zero emission summary'!BQ52</f>
        <v>2.6970820443490537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G82"/>
  <sheetViews>
    <sheetView topLeftCell="A50" workbookViewId="0">
      <selection activeCell="C73" sqref="C73"/>
    </sheetView>
  </sheetViews>
  <sheetFormatPr defaultColWidth="8.77734375" defaultRowHeight="14.4" x14ac:dyDescent="0.3"/>
  <cols>
    <col min="1" max="1" width="44.44140625" customWidth="1"/>
    <col min="2" max="2" width="46.44140625" customWidth="1"/>
    <col min="3" max="3" width="37.44140625" customWidth="1"/>
    <col min="4" max="4" width="41" customWidth="1"/>
    <col min="6" max="6" width="35.6640625" customWidth="1"/>
  </cols>
  <sheetData>
    <row r="1" spans="1:6" ht="18" x14ac:dyDescent="0.35">
      <c r="A1" s="1" t="s">
        <v>7</v>
      </c>
    </row>
    <row r="3" spans="1:6" ht="17.399999999999999" x14ac:dyDescent="0.35">
      <c r="A3" s="132" t="s">
        <v>11</v>
      </c>
      <c r="B3" s="133"/>
      <c r="C3" s="133"/>
      <c r="D3" s="134"/>
    </row>
    <row r="4" spans="1:6" ht="15.6" x14ac:dyDescent="0.3">
      <c r="A4" s="2" t="s">
        <v>12</v>
      </c>
      <c r="B4" s="2" t="s">
        <v>13</v>
      </c>
      <c r="C4" s="2" t="s">
        <v>14</v>
      </c>
      <c r="D4" s="2" t="s">
        <v>70</v>
      </c>
      <c r="F4" s="10" t="s">
        <v>96</v>
      </c>
    </row>
    <row r="5" spans="1:6" ht="15" customHeight="1" x14ac:dyDescent="0.3">
      <c r="A5" s="8" t="s">
        <v>15</v>
      </c>
      <c r="B5" s="4" t="s">
        <v>16</v>
      </c>
      <c r="C5" s="3" t="s">
        <v>17</v>
      </c>
      <c r="D5" s="3" t="s">
        <v>6</v>
      </c>
      <c r="F5" t="s">
        <v>97</v>
      </c>
    </row>
    <row r="6" spans="1:6" ht="15" customHeight="1" x14ac:dyDescent="0.3">
      <c r="A6" s="8"/>
      <c r="B6" s="4"/>
      <c r="C6" s="3"/>
      <c r="D6" s="3" t="s">
        <v>67</v>
      </c>
      <c r="F6" t="s">
        <v>98</v>
      </c>
    </row>
    <row r="7" spans="1:6" x14ac:dyDescent="0.3">
      <c r="A7" s="6"/>
      <c r="B7" s="4"/>
      <c r="C7" s="3" t="s">
        <v>18</v>
      </c>
      <c r="D7" s="3"/>
      <c r="F7" t="s">
        <v>99</v>
      </c>
    </row>
    <row r="8" spans="1:6" x14ac:dyDescent="0.3">
      <c r="A8" s="6"/>
      <c r="B8" s="4"/>
      <c r="C8" s="3" t="s">
        <v>19</v>
      </c>
      <c r="D8" s="3"/>
      <c r="F8" t="s">
        <v>100</v>
      </c>
    </row>
    <row r="9" spans="1:6" x14ac:dyDescent="0.3">
      <c r="A9" s="6"/>
      <c r="B9" s="4"/>
      <c r="C9" s="3" t="s">
        <v>20</v>
      </c>
      <c r="D9" s="3"/>
      <c r="F9" t="s">
        <v>101</v>
      </c>
    </row>
    <row r="10" spans="1:6" x14ac:dyDescent="0.3">
      <c r="A10" s="6"/>
      <c r="B10" s="4"/>
      <c r="C10" s="3" t="s">
        <v>140</v>
      </c>
      <c r="D10" s="3"/>
      <c r="F10" t="s">
        <v>102</v>
      </c>
    </row>
    <row r="11" spans="1:6" x14ac:dyDescent="0.3">
      <c r="A11" s="6"/>
      <c r="B11" s="4"/>
      <c r="C11" s="3" t="s">
        <v>21</v>
      </c>
      <c r="D11" s="3"/>
      <c r="F11" t="s">
        <v>103</v>
      </c>
    </row>
    <row r="12" spans="1:6" x14ac:dyDescent="0.3">
      <c r="A12" s="6"/>
      <c r="B12" s="4" t="s">
        <v>22</v>
      </c>
      <c r="C12" s="3" t="s">
        <v>23</v>
      </c>
      <c r="D12" s="3" t="s">
        <v>68</v>
      </c>
      <c r="F12" t="s">
        <v>104</v>
      </c>
    </row>
    <row r="13" spans="1:6" x14ac:dyDescent="0.3">
      <c r="A13" s="6"/>
      <c r="B13" s="4"/>
      <c r="C13" s="3"/>
      <c r="D13" s="3" t="s">
        <v>69</v>
      </c>
      <c r="F13" t="s">
        <v>105</v>
      </c>
    </row>
    <row r="14" spans="1:6" x14ac:dyDescent="0.3">
      <c r="A14" s="6"/>
      <c r="B14" s="4"/>
      <c r="C14" s="3" t="s">
        <v>24</v>
      </c>
      <c r="D14" s="3"/>
      <c r="F14" t="s">
        <v>106</v>
      </c>
    </row>
    <row r="15" spans="1:6" x14ac:dyDescent="0.3">
      <c r="A15" s="6"/>
      <c r="B15" s="4"/>
      <c r="C15" s="3" t="s">
        <v>25</v>
      </c>
      <c r="D15" s="3"/>
      <c r="F15" t="s">
        <v>107</v>
      </c>
    </row>
    <row r="16" spans="1:6" x14ac:dyDescent="0.3">
      <c r="A16" s="6"/>
      <c r="B16" s="4"/>
      <c r="C16" s="3" t="s">
        <v>26</v>
      </c>
      <c r="D16" s="3"/>
      <c r="F16" t="s">
        <v>108</v>
      </c>
    </row>
    <row r="17" spans="1:6" x14ac:dyDescent="0.3">
      <c r="A17" s="6"/>
      <c r="B17" s="4"/>
      <c r="C17" s="3" t="s">
        <v>141</v>
      </c>
      <c r="D17" s="3"/>
      <c r="F17" t="s">
        <v>110</v>
      </c>
    </row>
    <row r="18" spans="1:6" x14ac:dyDescent="0.3">
      <c r="A18" s="6"/>
      <c r="B18" s="4"/>
      <c r="C18" s="3" t="s">
        <v>27</v>
      </c>
      <c r="D18" s="3"/>
      <c r="F18" t="s">
        <v>111</v>
      </c>
    </row>
    <row r="19" spans="1:6" x14ac:dyDescent="0.3">
      <c r="A19" s="6"/>
      <c r="B19" s="4"/>
      <c r="C19" s="3" t="s">
        <v>28</v>
      </c>
      <c r="D19" s="3"/>
      <c r="F19" t="s">
        <v>112</v>
      </c>
    </row>
    <row r="20" spans="1:6" x14ac:dyDescent="0.3">
      <c r="A20" s="6"/>
      <c r="B20" s="4" t="s">
        <v>657</v>
      </c>
      <c r="C20" s="3" t="s">
        <v>23</v>
      </c>
      <c r="D20" s="3" t="s">
        <v>68</v>
      </c>
      <c r="F20" t="s">
        <v>113</v>
      </c>
    </row>
    <row r="21" spans="1:6" x14ac:dyDescent="0.3">
      <c r="A21" s="6"/>
      <c r="B21" s="4"/>
      <c r="C21" s="3"/>
      <c r="D21" s="3" t="s">
        <v>69</v>
      </c>
      <c r="F21" t="s">
        <v>114</v>
      </c>
    </row>
    <row r="22" spans="1:6" x14ac:dyDescent="0.3">
      <c r="A22" s="6"/>
      <c r="B22" s="4"/>
      <c r="C22" s="3" t="s">
        <v>24</v>
      </c>
      <c r="D22" s="3"/>
      <c r="F22" t="s">
        <v>115</v>
      </c>
    </row>
    <row r="23" spans="1:6" x14ac:dyDescent="0.3">
      <c r="A23" s="6"/>
      <c r="B23" s="4"/>
      <c r="C23" s="3" t="s">
        <v>25</v>
      </c>
      <c r="D23" s="3"/>
      <c r="F23" t="s">
        <v>116</v>
      </c>
    </row>
    <row r="24" spans="1:6" x14ac:dyDescent="0.3">
      <c r="A24" s="6"/>
      <c r="B24" s="4"/>
      <c r="C24" s="3" t="s">
        <v>26</v>
      </c>
      <c r="D24" s="3"/>
      <c r="F24" t="s">
        <v>117</v>
      </c>
    </row>
    <row r="25" spans="1:6" x14ac:dyDescent="0.3">
      <c r="A25" s="6"/>
      <c r="B25" s="4"/>
      <c r="C25" s="3" t="s">
        <v>141</v>
      </c>
      <c r="D25" s="3"/>
      <c r="F25" t="s">
        <v>118</v>
      </c>
    </row>
    <row r="26" spans="1:6" x14ac:dyDescent="0.3">
      <c r="A26" s="6"/>
      <c r="B26" s="4"/>
      <c r="C26" s="3" t="s">
        <v>27</v>
      </c>
      <c r="D26" s="3"/>
      <c r="F26" t="s">
        <v>119</v>
      </c>
    </row>
    <row r="27" spans="1:6" x14ac:dyDescent="0.3">
      <c r="A27" s="6"/>
      <c r="B27" s="4"/>
      <c r="C27" s="3" t="s">
        <v>28</v>
      </c>
      <c r="D27" s="3"/>
      <c r="F27" t="s">
        <v>62</v>
      </c>
    </row>
    <row r="28" spans="1:6" ht="16.5" customHeight="1" x14ac:dyDescent="0.3">
      <c r="A28" s="8" t="s">
        <v>29</v>
      </c>
      <c r="B28" s="4" t="s">
        <v>30</v>
      </c>
      <c r="C28" s="3" t="s">
        <v>31</v>
      </c>
      <c r="D28" s="3"/>
      <c r="F28" t="s">
        <v>63</v>
      </c>
    </row>
    <row r="29" spans="1:6" x14ac:dyDescent="0.3">
      <c r="A29" s="6"/>
      <c r="B29" s="4"/>
      <c r="C29" s="3" t="s">
        <v>32</v>
      </c>
      <c r="D29" s="3" t="s">
        <v>71</v>
      </c>
      <c r="F29" t="s">
        <v>120</v>
      </c>
    </row>
    <row r="30" spans="1:6" x14ac:dyDescent="0.3">
      <c r="A30" s="6"/>
      <c r="B30" s="4"/>
      <c r="C30" s="3"/>
      <c r="D30" s="3" t="s">
        <v>72</v>
      </c>
    </row>
    <row r="31" spans="1:6" x14ac:dyDescent="0.3">
      <c r="A31" s="6"/>
      <c r="B31" s="4"/>
      <c r="C31" s="3"/>
      <c r="D31" s="3" t="s">
        <v>73</v>
      </c>
      <c r="F31" t="s">
        <v>1</v>
      </c>
    </row>
    <row r="32" spans="1:6" x14ac:dyDescent="0.3">
      <c r="A32" s="6"/>
      <c r="B32" s="4"/>
      <c r="C32" s="3"/>
      <c r="D32" s="3" t="s">
        <v>74</v>
      </c>
      <c r="F32" t="s">
        <v>97</v>
      </c>
    </row>
    <row r="33" spans="1:6" x14ac:dyDescent="0.3">
      <c r="A33" s="6"/>
      <c r="B33" s="4"/>
      <c r="C33" s="3"/>
      <c r="D33" s="3" t="s">
        <v>75</v>
      </c>
      <c r="F33" t="s">
        <v>98</v>
      </c>
    </row>
    <row r="34" spans="1:6" x14ac:dyDescent="0.3">
      <c r="A34" s="6"/>
      <c r="B34" s="4" t="s">
        <v>33</v>
      </c>
      <c r="C34" s="3" t="s">
        <v>34</v>
      </c>
      <c r="D34" s="3"/>
    </row>
    <row r="35" spans="1:6" x14ac:dyDescent="0.3">
      <c r="A35" s="6"/>
      <c r="B35" s="4"/>
      <c r="C35" s="3" t="s">
        <v>35</v>
      </c>
      <c r="D35" s="3" t="s">
        <v>76</v>
      </c>
    </row>
    <row r="36" spans="1:6" x14ac:dyDescent="0.3">
      <c r="A36" s="6"/>
      <c r="B36" s="4"/>
      <c r="C36" s="3"/>
      <c r="D36" s="3" t="s">
        <v>77</v>
      </c>
      <c r="F36" t="s">
        <v>122</v>
      </c>
    </row>
    <row r="37" spans="1:6" x14ac:dyDescent="0.3">
      <c r="A37" s="6"/>
      <c r="B37" s="4"/>
      <c r="C37" s="3"/>
      <c r="D37" s="3" t="s">
        <v>78</v>
      </c>
      <c r="F37" t="s">
        <v>123</v>
      </c>
    </row>
    <row r="38" spans="1:6" x14ac:dyDescent="0.3">
      <c r="A38" s="6"/>
      <c r="B38" s="4"/>
      <c r="C38" s="3"/>
      <c r="D38" s="3" t="s">
        <v>79</v>
      </c>
      <c r="F38" t="s">
        <v>135</v>
      </c>
    </row>
    <row r="39" spans="1:6" x14ac:dyDescent="0.3">
      <c r="A39" s="6"/>
      <c r="B39" s="4"/>
      <c r="C39" s="3"/>
      <c r="D39" s="3" t="s">
        <v>80</v>
      </c>
      <c r="F39" t="s">
        <v>136</v>
      </c>
    </row>
    <row r="40" spans="1:6" x14ac:dyDescent="0.3">
      <c r="A40" s="6"/>
      <c r="B40" s="131" t="s">
        <v>36</v>
      </c>
      <c r="C40" s="3" t="s">
        <v>37</v>
      </c>
      <c r="D40" s="3"/>
      <c r="F40" t="s">
        <v>137</v>
      </c>
    </row>
    <row r="41" spans="1:6" x14ac:dyDescent="0.3">
      <c r="A41" s="6"/>
      <c r="B41" s="131"/>
      <c r="C41" s="3" t="s">
        <v>38</v>
      </c>
      <c r="D41" s="3" t="s">
        <v>81</v>
      </c>
      <c r="F41" t="s">
        <v>307</v>
      </c>
    </row>
    <row r="42" spans="1:6" x14ac:dyDescent="0.3">
      <c r="A42" s="6"/>
      <c r="B42" s="4"/>
      <c r="C42" s="3"/>
      <c r="D42" s="3" t="s">
        <v>82</v>
      </c>
      <c r="F42" t="s">
        <v>3</v>
      </c>
    </row>
    <row r="43" spans="1:6" x14ac:dyDescent="0.3">
      <c r="A43" s="6"/>
      <c r="B43" s="4"/>
      <c r="C43" s="3"/>
      <c r="D43" s="3" t="s">
        <v>83</v>
      </c>
      <c r="F43" t="s">
        <v>124</v>
      </c>
    </row>
    <row r="44" spans="1:6" x14ac:dyDescent="0.3">
      <c r="A44" s="6"/>
      <c r="B44" s="4"/>
      <c r="C44" s="3"/>
      <c r="D44" s="3" t="s">
        <v>84</v>
      </c>
      <c r="F44" t="s">
        <v>125</v>
      </c>
    </row>
    <row r="45" spans="1:6" x14ac:dyDescent="0.3">
      <c r="A45" s="6"/>
      <c r="B45" s="4"/>
      <c r="C45" s="3"/>
      <c r="D45" s="3" t="s">
        <v>85</v>
      </c>
      <c r="F45" t="s">
        <v>126</v>
      </c>
    </row>
    <row r="46" spans="1:6" x14ac:dyDescent="0.3">
      <c r="A46" s="6"/>
      <c r="B46" s="4" t="s">
        <v>39</v>
      </c>
      <c r="C46" s="5" t="s">
        <v>39</v>
      </c>
      <c r="D46" s="5"/>
      <c r="F46" t="s">
        <v>127</v>
      </c>
    </row>
    <row r="47" spans="1:6" ht="14.25" customHeight="1" x14ac:dyDescent="0.3">
      <c r="A47" s="6"/>
      <c r="B47" s="4" t="s">
        <v>40</v>
      </c>
      <c r="C47" s="3" t="s">
        <v>41</v>
      </c>
      <c r="D47" s="3"/>
      <c r="F47" t="s">
        <v>128</v>
      </c>
    </row>
    <row r="48" spans="1:6" x14ac:dyDescent="0.3">
      <c r="A48" s="6"/>
      <c r="B48" s="4"/>
      <c r="C48" s="3" t="s">
        <v>42</v>
      </c>
      <c r="D48" s="3" t="s">
        <v>86</v>
      </c>
      <c r="F48" t="s">
        <v>129</v>
      </c>
    </row>
    <row r="49" spans="1:7" x14ac:dyDescent="0.3">
      <c r="A49" s="6"/>
      <c r="B49" s="4"/>
      <c r="C49" s="3"/>
      <c r="D49" s="3" t="s">
        <v>87</v>
      </c>
      <c r="F49" t="s">
        <v>130</v>
      </c>
    </row>
    <row r="50" spans="1:7" x14ac:dyDescent="0.3">
      <c r="A50" s="6"/>
      <c r="B50" s="4"/>
      <c r="C50" s="3"/>
      <c r="D50" s="3" t="s">
        <v>88</v>
      </c>
      <c r="F50" t="s">
        <v>131</v>
      </c>
    </row>
    <row r="51" spans="1:7" x14ac:dyDescent="0.3">
      <c r="A51" s="6"/>
      <c r="B51" s="4"/>
      <c r="C51" s="3"/>
      <c r="D51" s="3" t="s">
        <v>89</v>
      </c>
      <c r="F51" t="s">
        <v>132</v>
      </c>
    </row>
    <row r="52" spans="1:7" x14ac:dyDescent="0.3">
      <c r="A52" s="6"/>
      <c r="B52" s="4"/>
      <c r="C52" s="3"/>
      <c r="D52" s="3" t="s">
        <v>90</v>
      </c>
      <c r="F52" t="s">
        <v>134</v>
      </c>
    </row>
    <row r="53" spans="1:7" x14ac:dyDescent="0.3">
      <c r="A53" s="6"/>
      <c r="B53" s="4" t="s">
        <v>43</v>
      </c>
      <c r="C53" s="3" t="s">
        <v>109</v>
      </c>
      <c r="D53" s="3"/>
      <c r="F53" t="s">
        <v>133</v>
      </c>
    </row>
    <row r="54" spans="1:7" x14ac:dyDescent="0.3">
      <c r="A54" s="6"/>
      <c r="B54" s="4"/>
      <c r="C54" s="3" t="s">
        <v>44</v>
      </c>
      <c r="D54" s="3" t="s">
        <v>91</v>
      </c>
    </row>
    <row r="55" spans="1:7" x14ac:dyDescent="0.3">
      <c r="A55" s="6"/>
      <c r="B55" s="4"/>
      <c r="C55" s="3"/>
      <c r="D55" s="3" t="s">
        <v>92</v>
      </c>
      <c r="F55" t="s">
        <v>294</v>
      </c>
    </row>
    <row r="56" spans="1:7" x14ac:dyDescent="0.3">
      <c r="A56" s="6"/>
      <c r="B56" s="4"/>
      <c r="C56" s="3"/>
      <c r="D56" s="3" t="s">
        <v>93</v>
      </c>
      <c r="F56" t="s">
        <v>295</v>
      </c>
    </row>
    <row r="57" spans="1:7" x14ac:dyDescent="0.3">
      <c r="A57" s="6"/>
      <c r="B57" s="4"/>
      <c r="C57" s="3"/>
      <c r="D57" s="3" t="s">
        <v>94</v>
      </c>
      <c r="F57" t="s">
        <v>296</v>
      </c>
    </row>
    <row r="58" spans="1:7" x14ac:dyDescent="0.3">
      <c r="A58" s="6"/>
      <c r="B58" s="4"/>
      <c r="C58" s="3"/>
      <c r="D58" s="3" t="s">
        <v>95</v>
      </c>
      <c r="F58" t="s">
        <v>297</v>
      </c>
    </row>
    <row r="59" spans="1:7" ht="15" customHeight="1" x14ac:dyDescent="0.3">
      <c r="A59" s="9" t="s">
        <v>369</v>
      </c>
      <c r="B59" s="4" t="s">
        <v>45</v>
      </c>
      <c r="C59" s="3" t="s">
        <v>46</v>
      </c>
      <c r="D59" s="3"/>
      <c r="F59" t="s">
        <v>303</v>
      </c>
    </row>
    <row r="60" spans="1:7" x14ac:dyDescent="0.3">
      <c r="A60" s="7"/>
      <c r="B60" s="4"/>
      <c r="C60" s="3" t="s">
        <v>47</v>
      </c>
      <c r="D60" s="3"/>
      <c r="F60" t="s">
        <v>299</v>
      </c>
    </row>
    <row r="61" spans="1:7" x14ac:dyDescent="0.3">
      <c r="A61" s="7"/>
      <c r="B61" s="4"/>
      <c r="C61" s="3" t="s">
        <v>48</v>
      </c>
      <c r="D61" s="3"/>
      <c r="F61" t="s">
        <v>300</v>
      </c>
    </row>
    <row r="62" spans="1:7" x14ac:dyDescent="0.3">
      <c r="A62" s="7"/>
      <c r="B62" s="4"/>
      <c r="C62" s="3" t="s">
        <v>49</v>
      </c>
      <c r="D62" s="3"/>
      <c r="F62" t="s">
        <v>301</v>
      </c>
    </row>
    <row r="63" spans="1:7" x14ac:dyDescent="0.3">
      <c r="A63" s="7"/>
      <c r="B63" s="4"/>
      <c r="C63" s="3" t="s">
        <v>50</v>
      </c>
      <c r="D63" s="3"/>
      <c r="F63" t="s">
        <v>302</v>
      </c>
    </row>
    <row r="64" spans="1:7" x14ac:dyDescent="0.3">
      <c r="A64" s="7"/>
      <c r="B64" s="4"/>
      <c r="C64" s="3" t="s">
        <v>51</v>
      </c>
      <c r="D64" s="3"/>
      <c r="F64" t="s">
        <v>304</v>
      </c>
      <c r="G64" t="s">
        <v>306</v>
      </c>
    </row>
    <row r="65" spans="1:6" x14ac:dyDescent="0.3">
      <c r="A65" s="7"/>
      <c r="B65" s="4" t="s">
        <v>52</v>
      </c>
      <c r="C65" s="3" t="s">
        <v>46</v>
      </c>
      <c r="D65" s="3"/>
      <c r="F65" t="s">
        <v>98</v>
      </c>
    </row>
    <row r="66" spans="1:6" x14ac:dyDescent="0.3">
      <c r="A66" s="7"/>
      <c r="B66" s="4"/>
      <c r="C66" s="3" t="s">
        <v>47</v>
      </c>
      <c r="D66" s="3"/>
    </row>
    <row r="67" spans="1:6" x14ac:dyDescent="0.3">
      <c r="A67" s="7"/>
      <c r="B67" s="4"/>
      <c r="C67" s="3" t="s">
        <v>48</v>
      </c>
      <c r="D67" s="3"/>
      <c r="F67" t="s">
        <v>786</v>
      </c>
    </row>
    <row r="68" spans="1:6" x14ac:dyDescent="0.3">
      <c r="A68" s="7"/>
      <c r="B68" s="4"/>
      <c r="C68" s="3" t="s">
        <v>49</v>
      </c>
      <c r="D68" s="3"/>
      <c r="F68" t="s">
        <v>787</v>
      </c>
    </row>
    <row r="69" spans="1:6" x14ac:dyDescent="0.3">
      <c r="A69" s="7"/>
      <c r="B69" s="4"/>
      <c r="C69" s="3" t="s">
        <v>50</v>
      </c>
      <c r="D69" s="3"/>
      <c r="F69" t="s">
        <v>788</v>
      </c>
    </row>
    <row r="70" spans="1:6" x14ac:dyDescent="0.3">
      <c r="A70" s="7"/>
      <c r="B70" s="4"/>
      <c r="C70" s="3" t="s">
        <v>51</v>
      </c>
      <c r="D70" s="3"/>
      <c r="F70" t="s">
        <v>789</v>
      </c>
    </row>
    <row r="71" spans="1:6" x14ac:dyDescent="0.3">
      <c r="A71" s="7"/>
      <c r="B71" s="3" t="s">
        <v>53</v>
      </c>
      <c r="C71" s="5" t="s">
        <v>53</v>
      </c>
      <c r="D71" s="5"/>
      <c r="F71" t="s">
        <v>790</v>
      </c>
    </row>
    <row r="72" spans="1:6" x14ac:dyDescent="0.3">
      <c r="A72" s="7"/>
      <c r="B72" s="3" t="s">
        <v>54</v>
      </c>
      <c r="C72" s="5" t="s">
        <v>54</v>
      </c>
      <c r="D72" s="5"/>
      <c r="F72" t="s">
        <v>791</v>
      </c>
    </row>
    <row r="73" spans="1:6" ht="24.75" customHeight="1" x14ac:dyDescent="0.3">
      <c r="A73" s="7"/>
      <c r="B73" s="4" t="s">
        <v>55</v>
      </c>
      <c r="C73" s="3" t="s">
        <v>56</v>
      </c>
      <c r="D73" s="3"/>
    </row>
    <row r="74" spans="1:6" x14ac:dyDescent="0.3">
      <c r="A74" s="7"/>
      <c r="B74" s="4"/>
      <c r="C74" s="3" t="s">
        <v>57</v>
      </c>
      <c r="D74" s="3"/>
    </row>
    <row r="75" spans="1:6" x14ac:dyDescent="0.3">
      <c r="A75" s="7"/>
      <c r="B75" s="4"/>
      <c r="C75" s="3" t="s">
        <v>58</v>
      </c>
      <c r="D75" s="3"/>
    </row>
    <row r="76" spans="1:6" x14ac:dyDescent="0.3">
      <c r="A76" s="7"/>
      <c r="B76" s="4"/>
      <c r="C76" s="3" t="s">
        <v>59</v>
      </c>
      <c r="D76" s="3"/>
    </row>
    <row r="77" spans="1:6" x14ac:dyDescent="0.3">
      <c r="A77" s="7"/>
      <c r="B77" s="4"/>
      <c r="C77" s="3" t="s">
        <v>60</v>
      </c>
      <c r="D77" s="3"/>
    </row>
    <row r="78" spans="1:6" ht="16.5" customHeight="1" x14ac:dyDescent="0.3">
      <c r="A78" s="7"/>
      <c r="B78" s="4" t="s">
        <v>61</v>
      </c>
      <c r="C78" s="3" t="s">
        <v>62</v>
      </c>
      <c r="D78" s="3"/>
    </row>
    <row r="79" spans="1:6" x14ac:dyDescent="0.3">
      <c r="A79" s="7"/>
      <c r="B79" s="4"/>
      <c r="C79" s="3" t="s">
        <v>63</v>
      </c>
      <c r="D79" s="3"/>
    </row>
    <row r="80" spans="1:6" x14ac:dyDescent="0.3">
      <c r="A80" s="7"/>
      <c r="B80" s="4" t="s">
        <v>64</v>
      </c>
      <c r="C80" s="3" t="s">
        <v>62</v>
      </c>
      <c r="D80" s="3"/>
    </row>
    <row r="81" spans="1:4" x14ac:dyDescent="0.3">
      <c r="A81" s="7"/>
      <c r="B81" s="4"/>
      <c r="C81" s="3" t="s">
        <v>63</v>
      </c>
      <c r="D81" s="3"/>
    </row>
    <row r="82" spans="1:4" x14ac:dyDescent="0.3">
      <c r="A82" s="3" t="s">
        <v>65</v>
      </c>
      <c r="B82" s="3" t="s">
        <v>66</v>
      </c>
      <c r="C82" s="5" t="s">
        <v>66</v>
      </c>
      <c r="D82" s="5"/>
    </row>
  </sheetData>
  <mergeCells count="2">
    <mergeCell ref="B40:B41"/>
    <mergeCell ref="A3:D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sheetPr>
  <dimension ref="A1:BP19"/>
  <sheetViews>
    <sheetView topLeftCell="X1" workbookViewId="0">
      <selection activeCell="Z4" sqref="Z4:AF4"/>
    </sheetView>
  </sheetViews>
  <sheetFormatPr defaultColWidth="8.77734375" defaultRowHeight="14.4" outlineLevelCol="1" x14ac:dyDescent="0.3"/>
  <cols>
    <col min="1" max="1" width="19.109375" customWidth="1"/>
    <col min="2" max="2" width="12.77734375" customWidth="1"/>
    <col min="3" max="3" width="28.44140625" customWidth="1"/>
    <col min="4" max="23" width="12.6640625" customWidth="1" outlineLevel="1"/>
    <col min="24" max="30" width="12.6640625" customWidth="1"/>
    <col min="31" max="31" width="13.77734375" customWidth="1"/>
    <col min="32" max="34" width="12.6640625" customWidth="1"/>
  </cols>
  <sheetData>
    <row r="1" spans="1:68" ht="18" x14ac:dyDescent="0.35">
      <c r="A1" s="1" t="s">
        <v>316</v>
      </c>
    </row>
    <row r="2" spans="1:68" x14ac:dyDescent="0.3">
      <c r="X2">
        <v>1</v>
      </c>
      <c r="Y2">
        <v>2</v>
      </c>
      <c r="Z2">
        <v>3</v>
      </c>
      <c r="AA2">
        <v>4</v>
      </c>
      <c r="AB2">
        <v>5</v>
      </c>
      <c r="AC2">
        <v>6</v>
      </c>
      <c r="AD2">
        <v>7</v>
      </c>
      <c r="AE2">
        <v>8</v>
      </c>
      <c r="AF2">
        <v>9</v>
      </c>
      <c r="AG2">
        <v>10</v>
      </c>
      <c r="AH2">
        <v>11</v>
      </c>
      <c r="AI2">
        <v>12</v>
      </c>
      <c r="AJ2">
        <v>13</v>
      </c>
      <c r="AK2">
        <v>14</v>
      </c>
      <c r="AL2">
        <v>15</v>
      </c>
      <c r="AM2">
        <v>16</v>
      </c>
      <c r="AN2">
        <v>17</v>
      </c>
      <c r="AO2">
        <v>18</v>
      </c>
      <c r="AP2">
        <v>19</v>
      </c>
      <c r="AQ2">
        <v>20</v>
      </c>
      <c r="AR2">
        <v>21</v>
      </c>
      <c r="AS2">
        <v>22</v>
      </c>
      <c r="AT2">
        <v>23</v>
      </c>
      <c r="AU2">
        <v>24</v>
      </c>
      <c r="AV2">
        <v>25</v>
      </c>
      <c r="AW2">
        <v>26</v>
      </c>
      <c r="AX2">
        <v>27</v>
      </c>
      <c r="AY2">
        <v>28</v>
      </c>
      <c r="AZ2">
        <v>29</v>
      </c>
      <c r="BA2">
        <v>30</v>
      </c>
      <c r="BB2">
        <v>31</v>
      </c>
      <c r="BC2">
        <v>32</v>
      </c>
      <c r="BD2">
        <v>33</v>
      </c>
      <c r="BE2">
        <v>34</v>
      </c>
      <c r="BF2">
        <v>35</v>
      </c>
      <c r="BG2">
        <v>36</v>
      </c>
      <c r="BH2">
        <v>37</v>
      </c>
      <c r="BI2">
        <v>38</v>
      </c>
      <c r="BJ2">
        <v>39</v>
      </c>
      <c r="BK2">
        <v>40</v>
      </c>
      <c r="BL2">
        <v>41</v>
      </c>
    </row>
    <row r="3" spans="1:68" s="19" customFormat="1" ht="29.25" customHeight="1" x14ac:dyDescent="0.3">
      <c r="A3" s="17" t="s">
        <v>317</v>
      </c>
      <c r="B3" s="17" t="s">
        <v>0</v>
      </c>
      <c r="C3" s="17" t="s">
        <v>283</v>
      </c>
      <c r="D3" s="17">
        <v>1990</v>
      </c>
      <c r="E3" s="17">
        <v>1991</v>
      </c>
      <c r="F3" s="17">
        <v>1992</v>
      </c>
      <c r="G3" s="17">
        <v>1993</v>
      </c>
      <c r="H3" s="17">
        <v>1994</v>
      </c>
      <c r="I3" s="17">
        <v>1995</v>
      </c>
      <c r="J3" s="17">
        <v>1996</v>
      </c>
      <c r="K3" s="17">
        <v>1997</v>
      </c>
      <c r="L3" s="17">
        <v>1998</v>
      </c>
      <c r="M3" s="17">
        <v>1999</v>
      </c>
      <c r="N3" s="17">
        <v>2000</v>
      </c>
      <c r="O3" s="17">
        <v>2001</v>
      </c>
      <c r="P3" s="17">
        <v>2002</v>
      </c>
      <c r="Q3" s="17">
        <v>2003</v>
      </c>
      <c r="R3" s="17">
        <v>2004</v>
      </c>
      <c r="S3" s="17">
        <v>2005</v>
      </c>
      <c r="T3" s="17">
        <v>2006</v>
      </c>
      <c r="U3" s="17">
        <v>2007</v>
      </c>
      <c r="V3" s="17">
        <v>2008</v>
      </c>
      <c r="W3" s="17">
        <v>2009</v>
      </c>
      <c r="X3" s="17">
        <v>2010</v>
      </c>
      <c r="Y3" s="17">
        <v>2011</v>
      </c>
      <c r="Z3" s="17">
        <v>2012</v>
      </c>
      <c r="AA3" s="17">
        <v>2013</v>
      </c>
      <c r="AB3" s="17">
        <v>2014</v>
      </c>
      <c r="AC3" s="17">
        <v>2015</v>
      </c>
      <c r="AD3" s="17">
        <v>2016</v>
      </c>
      <c r="AE3" s="17">
        <v>2017</v>
      </c>
      <c r="AF3" s="17">
        <v>2018</v>
      </c>
      <c r="AG3" s="17">
        <v>2019</v>
      </c>
      <c r="AH3" s="17">
        <v>2020</v>
      </c>
      <c r="AI3" s="17">
        <v>2021</v>
      </c>
      <c r="AJ3" s="17">
        <v>2022</v>
      </c>
      <c r="AK3" s="17">
        <v>2023</v>
      </c>
      <c r="AL3" s="17">
        <v>2024</v>
      </c>
      <c r="AM3" s="17">
        <v>2025</v>
      </c>
      <c r="AN3" s="17">
        <v>2026</v>
      </c>
      <c r="AO3" s="17">
        <v>2027</v>
      </c>
      <c r="AP3" s="17">
        <v>2028</v>
      </c>
      <c r="AQ3" s="17">
        <v>2029</v>
      </c>
      <c r="AR3" s="17">
        <v>2030</v>
      </c>
      <c r="AS3" s="17">
        <v>2031</v>
      </c>
      <c r="AT3" s="17">
        <v>2032</v>
      </c>
      <c r="AU3" s="17">
        <v>2033</v>
      </c>
      <c r="AV3" s="17">
        <v>2034</v>
      </c>
      <c r="AW3" s="17">
        <v>2035</v>
      </c>
      <c r="AX3" s="17">
        <v>2036</v>
      </c>
      <c r="AY3" s="17">
        <v>2037</v>
      </c>
      <c r="AZ3" s="17">
        <v>2038</v>
      </c>
      <c r="BA3" s="17">
        <v>2039</v>
      </c>
      <c r="BB3" s="17">
        <v>2040</v>
      </c>
      <c r="BC3" s="17">
        <v>2041</v>
      </c>
      <c r="BD3" s="17">
        <v>2042</v>
      </c>
      <c r="BE3" s="17">
        <v>2043</v>
      </c>
      <c r="BF3" s="17">
        <v>2044</v>
      </c>
      <c r="BG3" s="17">
        <v>2045</v>
      </c>
      <c r="BH3" s="17">
        <v>2046</v>
      </c>
      <c r="BI3" s="17">
        <v>2047</v>
      </c>
      <c r="BJ3" s="17">
        <v>2048</v>
      </c>
      <c r="BK3" s="17">
        <v>2049</v>
      </c>
      <c r="BL3" s="17">
        <v>2050</v>
      </c>
      <c r="BO3" s="18" t="s">
        <v>308</v>
      </c>
      <c r="BP3" s="17" t="s">
        <v>282</v>
      </c>
    </row>
    <row r="4" spans="1:68" x14ac:dyDescent="0.3">
      <c r="A4" t="s">
        <v>1</v>
      </c>
      <c r="B4" t="s">
        <v>323</v>
      </c>
      <c r="C4" t="s">
        <v>748</v>
      </c>
      <c r="D4" s="21">
        <v>36800509</v>
      </c>
      <c r="E4" s="21">
        <v>37718950</v>
      </c>
      <c r="F4" s="21">
        <v>38672607</v>
      </c>
      <c r="G4" s="21">
        <v>39633750</v>
      </c>
      <c r="H4" s="21">
        <v>40564059</v>
      </c>
      <c r="I4" s="21">
        <v>41435758</v>
      </c>
      <c r="J4" s="21">
        <v>42241011</v>
      </c>
      <c r="K4" s="21">
        <v>42987461</v>
      </c>
      <c r="L4" s="21">
        <v>43682260</v>
      </c>
      <c r="M4" s="21">
        <v>44338543</v>
      </c>
      <c r="N4" s="21">
        <v>44967708</v>
      </c>
      <c r="O4" s="21">
        <v>45571274</v>
      </c>
      <c r="P4" s="21">
        <v>46150913</v>
      </c>
      <c r="Q4" s="21">
        <v>46719196</v>
      </c>
      <c r="R4" s="21">
        <v>47291610</v>
      </c>
      <c r="S4" s="21">
        <v>47880601</v>
      </c>
      <c r="T4" s="21">
        <v>48489459</v>
      </c>
      <c r="U4" s="21">
        <v>49119759</v>
      </c>
      <c r="V4" s="21">
        <v>49779471</v>
      </c>
      <c r="W4" s="21">
        <v>50477011</v>
      </c>
      <c r="X4" s="21">
        <v>51216964</v>
      </c>
      <c r="Y4" s="21">
        <v>52004172</v>
      </c>
      <c r="Z4" s="21">
        <v>52325432.882070079</v>
      </c>
      <c r="AA4" s="21">
        <v>53104386.458423339</v>
      </c>
      <c r="AB4" s="21">
        <v>53912365.691429272</v>
      </c>
      <c r="AC4" s="21">
        <v>54750491.457321107</v>
      </c>
      <c r="AD4" s="21">
        <v>55619940.469824828</v>
      </c>
      <c r="AE4" s="21">
        <v>56521948.041648097</v>
      </c>
      <c r="AF4" s="21">
        <v>57436000.617299654</v>
      </c>
      <c r="AG4" s="22">
        <f>DriversCGE!A35*1000</f>
        <v>58364834.921819441</v>
      </c>
      <c r="AH4" s="22">
        <f>DriversCGE!B35*1000</f>
        <v>59308690</v>
      </c>
      <c r="AI4" s="22">
        <f>DriversCGE!C35*1000</f>
        <v>59991580.449204266</v>
      </c>
      <c r="AJ4" s="22">
        <f>DriversCGE!D35*1000</f>
        <v>60682333.816399373</v>
      </c>
      <c r="AK4" s="22">
        <f>DriversCGE!E35*1000</f>
        <v>61381040.636574373</v>
      </c>
      <c r="AL4" s="22">
        <f>DriversCGE!F35*1000</f>
        <v>62087792.487153694</v>
      </c>
      <c r="AM4" s="22">
        <f>DriversCGE!G35*1000</f>
        <v>62802682.000000022</v>
      </c>
      <c r="AN4" s="22">
        <f>DriversCGE!H35*1000</f>
        <v>63421065.342005149</v>
      </c>
      <c r="AO4" s="22">
        <f>DriversCGE!I35*1000</f>
        <v>64045537.563425794</v>
      </c>
      <c r="AP4" s="22">
        <f>DriversCGE!J35*1000</f>
        <v>64676158.618096448</v>
      </c>
      <c r="AQ4" s="22">
        <f>DriversCGE!K35*1000</f>
        <v>65312989.050183922</v>
      </c>
      <c r="AR4" s="22">
        <f>DriversCGE!L35*1000</f>
        <v>65956090</v>
      </c>
      <c r="AS4" s="22">
        <f>DriversCGE!M35*1000</f>
        <v>66518977.190687671</v>
      </c>
      <c r="AT4" s="22">
        <f>DriversCGE!N35*1000</f>
        <v>67086668.213583104</v>
      </c>
      <c r="AU4" s="22">
        <f>DriversCGE!O35*1000</f>
        <v>67659204.065895453</v>
      </c>
      <c r="AV4" s="22">
        <f>DriversCGE!P35*1000</f>
        <v>68236626.094715163</v>
      </c>
      <c r="AW4" s="22">
        <f>DriversCGE!Q35*1000</f>
        <v>68818976.000000015</v>
      </c>
      <c r="AX4" s="22">
        <f>DriversCGE!R35*1000</f>
        <v>69322810.489383534</v>
      </c>
      <c r="AY4" s="22">
        <f>DriversCGE!S35*1000</f>
        <v>69830333.629884064</v>
      </c>
      <c r="AZ4" s="22">
        <f>DriversCGE!T35*1000</f>
        <v>70341572.426693439</v>
      </c>
      <c r="BA4" s="22">
        <f>DriversCGE!U35*1000</f>
        <v>70856554.082712814</v>
      </c>
      <c r="BB4" s="22">
        <f>DriversCGE!V35*1000</f>
        <v>71375306</v>
      </c>
      <c r="BC4" s="22">
        <f>DriversCGE!W35*1000</f>
        <v>71818612.994947314</v>
      </c>
      <c r="BD4" s="22">
        <f>DriversCGE!X35*1000</f>
        <v>72264673.338395417</v>
      </c>
      <c r="BE4" s="22">
        <f>DriversCGE!Y35*1000</f>
        <v>72713504.131197795</v>
      </c>
      <c r="BF4" s="22">
        <f>DriversCGE!Z35*1000</f>
        <v>73165122.580420136</v>
      </c>
      <c r="BG4" s="22">
        <f>DriversCGE!AA35*1000</f>
        <v>73619545.99999997</v>
      </c>
      <c r="BH4" s="22">
        <f>DriversCGE!AB35*1000</f>
        <v>73995362.001779526</v>
      </c>
      <c r="BI4" s="22">
        <f>DriversCGE!AC35*1000</f>
        <v>74373096.484110355</v>
      </c>
      <c r="BJ4" s="22">
        <f>DriversCGE!AD35*1000</f>
        <v>74752759.240528658</v>
      </c>
      <c r="BK4" s="22">
        <f>DriversCGE!AE35*1000</f>
        <v>75134360.114565104</v>
      </c>
      <c r="BL4" s="22">
        <f>DriversCGE!AF35*1000</f>
        <v>75517908.999999985</v>
      </c>
    </row>
    <row r="5" spans="1:68" x14ac:dyDescent="0.3">
      <c r="A5" t="s">
        <v>809</v>
      </c>
      <c r="B5" t="s">
        <v>747</v>
      </c>
      <c r="C5" t="s">
        <v>810</v>
      </c>
      <c r="D5" s="21">
        <f t="shared" ref="D5:Y5" si="0">E5/(1+E7)</f>
        <v>1973.3467312265302</v>
      </c>
      <c r="E5" s="21">
        <f t="shared" si="0"/>
        <v>2032.5471331633262</v>
      </c>
      <c r="F5" s="21">
        <f t="shared" si="0"/>
        <v>2093.5235471582259</v>
      </c>
      <c r="G5" s="21">
        <f t="shared" si="0"/>
        <v>2156.3292535729729</v>
      </c>
      <c r="H5" s="21">
        <f t="shared" si="0"/>
        <v>2221.0191311801623</v>
      </c>
      <c r="I5" s="21">
        <f t="shared" si="0"/>
        <v>2287.649705115567</v>
      </c>
      <c r="J5" s="21">
        <f t="shared" si="0"/>
        <v>2383.7309927304209</v>
      </c>
      <c r="K5" s="21">
        <f t="shared" si="0"/>
        <v>2445.7079985414121</v>
      </c>
      <c r="L5" s="21">
        <f t="shared" si="0"/>
        <v>2462.8279545312016</v>
      </c>
      <c r="M5" s="21">
        <f t="shared" si="0"/>
        <v>2529.3243093035439</v>
      </c>
      <c r="N5" s="21">
        <f t="shared" si="0"/>
        <v>2640.6145789129</v>
      </c>
      <c r="O5" s="21">
        <f t="shared" si="0"/>
        <v>2717.1924017013739</v>
      </c>
      <c r="P5" s="21">
        <f t="shared" si="0"/>
        <v>2820.4571329418754</v>
      </c>
      <c r="Q5" s="21">
        <f t="shared" si="0"/>
        <v>2904.5482054521644</v>
      </c>
      <c r="R5" s="21">
        <f t="shared" si="0"/>
        <v>3035.185414251006</v>
      </c>
      <c r="S5" s="21">
        <f t="shared" si="0"/>
        <v>3196.4274968685281</v>
      </c>
      <c r="T5" s="21">
        <f t="shared" si="0"/>
        <v>3373.0676278794672</v>
      </c>
      <c r="U5" s="21">
        <f t="shared" si="0"/>
        <v>3561.4766916115773</v>
      </c>
      <c r="V5" s="21">
        <f t="shared" si="0"/>
        <v>3695.4560573775502</v>
      </c>
      <c r="W5" s="21">
        <f t="shared" si="0"/>
        <v>3645.8533384635466</v>
      </c>
      <c r="X5" s="21">
        <f t="shared" si="0"/>
        <v>3758.134885517457</v>
      </c>
      <c r="Y5" s="21">
        <f t="shared" si="0"/>
        <v>3887.0947593436704</v>
      </c>
      <c r="Z5" s="21">
        <f t="shared" ref="Z5" si="1">AA5/(1+AA7)</f>
        <v>3981.8907939004121</v>
      </c>
      <c r="AA5" s="21">
        <f t="shared" ref="AA5" si="2">AB5/(1+AB7)</f>
        <v>4070.0241652365949</v>
      </c>
      <c r="AB5" s="21">
        <f t="shared" ref="AB5" si="3">AC5/(1+AC7)</f>
        <v>4176.4054767156358</v>
      </c>
      <c r="AC5" s="21">
        <f t="shared" ref="AC5" si="4">AD5/(1+AD7)</f>
        <v>4250.983717643976</v>
      </c>
      <c r="AD5" s="21">
        <f t="shared" ref="AD5" si="5">AE5/(1+AE7)</f>
        <v>4304.4537543882225</v>
      </c>
      <c r="AE5" s="21">
        <f t="shared" ref="AE5" si="6">AF5/(1+AF7)</f>
        <v>4336.2905989387091</v>
      </c>
      <c r="AF5" s="21">
        <f t="shared" ref="AF5" si="7">AG5/(1+AG7)</f>
        <v>4385.0223641614493</v>
      </c>
      <c r="AG5" s="22">
        <f>SUM(DriversCGE!B8:B26)</f>
        <v>4436.398293976099</v>
      </c>
      <c r="AH5" s="22">
        <f>SUM(DriversCGE!C8:C26)</f>
        <v>4128.1621972804714</v>
      </c>
      <c r="AI5" s="22">
        <f>SUM(DriversCGE!D8:D26)</f>
        <v>4254.1951565086138</v>
      </c>
      <c r="AJ5" s="22">
        <f>SUM(DriversCGE!E8:E26)</f>
        <v>4429.3010058900227</v>
      </c>
      <c r="AK5" s="22">
        <f>SUM(DriversCGE!F8:F26)</f>
        <v>4527.3916605579452</v>
      </c>
      <c r="AL5" s="22">
        <f>SUM(DriversCGE!G8:G26)</f>
        <v>4636.1251639645625</v>
      </c>
      <c r="AM5" s="22">
        <f>SUM(DriversCGE!H8:H26)</f>
        <v>4758.8312128350362</v>
      </c>
      <c r="AN5" s="22">
        <f>SUM(DriversCGE!I8:I26)</f>
        <v>4889.4547828356208</v>
      </c>
      <c r="AO5" s="22">
        <f>SUM(DriversCGE!J8:J26)</f>
        <v>5031.6105531046333</v>
      </c>
      <c r="AP5" s="22">
        <f>SUM(DriversCGE!K8:K26)</f>
        <v>5177.2198816955352</v>
      </c>
      <c r="AQ5" s="22">
        <f>SUM(DriversCGE!L8:L26)</f>
        <v>5333.8792817514386</v>
      </c>
      <c r="AR5" s="22">
        <f>SUM(DriversCGE!M8:M26)</f>
        <v>5493.4927565973503</v>
      </c>
      <c r="AS5" s="22">
        <f>SUM(DriversCGE!N8:N26)</f>
        <v>5669.9493043026914</v>
      </c>
      <c r="AT5" s="22">
        <f>SUM(DriversCGE!O8:O26)</f>
        <v>5844.2357059641845</v>
      </c>
      <c r="AU5" s="22">
        <f>SUM(DriversCGE!P8:P26)</f>
        <v>6027.2579600301833</v>
      </c>
      <c r="AV5" s="22">
        <f>SUM(DriversCGE!Q8:Q26)</f>
        <v>6232.2759234591294</v>
      </c>
      <c r="AW5" s="22">
        <f>SUM(DriversCGE!R8:R26)</f>
        <v>6428.1835725755827</v>
      </c>
      <c r="AX5" s="22">
        <f>SUM(DriversCGE!S8:S26)</f>
        <v>6633.9672509463471</v>
      </c>
      <c r="AY5" s="22">
        <f>SUM(DriversCGE!T8:T26)</f>
        <v>6852.9967093323348</v>
      </c>
      <c r="AZ5" s="22">
        <f>SUM(DriversCGE!U8:U26)</f>
        <v>7059.7650777387335</v>
      </c>
      <c r="BA5" s="22">
        <f>SUM(DriversCGE!V8:V26)</f>
        <v>7265.7997666783467</v>
      </c>
      <c r="BB5" s="22">
        <f>SUM(DriversCGE!W8:W26)</f>
        <v>7471.6126584410986</v>
      </c>
      <c r="BC5" s="22">
        <f>SUM(DriversCGE!X8:X26)</f>
        <v>7693.4377830904059</v>
      </c>
      <c r="BD5" s="22">
        <f>SUM(DriversCGE!Y8:Y26)</f>
        <v>7907.6457912383185</v>
      </c>
      <c r="BE5" s="22">
        <f>SUM(DriversCGE!Z8:Z26)</f>
        <v>8129.6834196933514</v>
      </c>
      <c r="BF5" s="22">
        <f>SUM(DriversCGE!AA8:AA26)</f>
        <v>8360.5379430778848</v>
      </c>
      <c r="BG5" s="22">
        <f>SUM(DriversCGE!AB8:AB26)</f>
        <v>8601.7638953958976</v>
      </c>
      <c r="BH5" s="22">
        <f>SUM(DriversCGE!AC8:AC26)</f>
        <v>8852.3661346105237</v>
      </c>
      <c r="BI5" s="22">
        <f>SUM(DriversCGE!AD8:AD26)</f>
        <v>8932.0849285434051</v>
      </c>
      <c r="BJ5" s="22">
        <f>SUM(DriversCGE!AE8:AE26)</f>
        <v>8995.925852905264</v>
      </c>
      <c r="BK5" s="22">
        <f>SUM(DriversCGE!AF8:AF26)</f>
        <v>9036.6980674291372</v>
      </c>
      <c r="BL5" s="22">
        <f>SUM(DriversCGE!AG8:AG26)</f>
        <v>9070.5964466439054</v>
      </c>
    </row>
    <row r="6" spans="1:68" x14ac:dyDescent="0.3">
      <c r="Z6" s="84">
        <v>2893.5650000000001</v>
      </c>
      <c r="AA6" s="84">
        <v>2965.2651000000001</v>
      </c>
      <c r="AB6" s="84">
        <v>3020.9666999999999</v>
      </c>
      <c r="AC6" s="84">
        <v>3059.4472000000001</v>
      </c>
      <c r="AD6" s="84">
        <v>3083.9180999999999</v>
      </c>
      <c r="AE6" s="84">
        <v>3120.5392000000002</v>
      </c>
      <c r="AF6" s="84">
        <v>3152.2314999999999</v>
      </c>
      <c r="AG6" s="84">
        <v>3179.2959999999998</v>
      </c>
      <c r="AH6" s="84">
        <v>2948.9344000000001</v>
      </c>
      <c r="AI6" s="84">
        <v>3014.3775000000001</v>
      </c>
      <c r="AJ6" s="84">
        <v>3077.2037999999998</v>
      </c>
      <c r="AK6" s="84">
        <v>3140.6174999999998</v>
      </c>
      <c r="AL6" s="84">
        <v>3201.7784999999999</v>
      </c>
      <c r="AM6" s="84">
        <v>3265.5524</v>
      </c>
      <c r="AN6" s="84">
        <v>3341.2748999999999</v>
      </c>
      <c r="AO6" s="84">
        <v>3416.3045999999999</v>
      </c>
      <c r="AP6" s="84">
        <v>3494.8710999999998</v>
      </c>
      <c r="AQ6" s="84">
        <v>3576.0637999999999</v>
      </c>
      <c r="AR6" s="84">
        <v>3660.1224000000002</v>
      </c>
      <c r="AS6" s="84">
        <v>3761.0109000000002</v>
      </c>
      <c r="AT6" s="84">
        <v>3857.1878000000002</v>
      </c>
      <c r="AU6" s="84">
        <v>3963.9917</v>
      </c>
      <c r="AV6" s="84">
        <v>4078.2248</v>
      </c>
      <c r="AW6" s="84">
        <v>4200.2892000000002</v>
      </c>
      <c r="AX6" s="84">
        <v>4325.9525000000003</v>
      </c>
      <c r="AY6" s="84">
        <v>4457.0024000000003</v>
      </c>
      <c r="AZ6" s="84">
        <v>4590.0533999999998</v>
      </c>
      <c r="BA6" s="84">
        <v>4728.5418</v>
      </c>
      <c r="BB6" s="84">
        <v>4875.5102999999999</v>
      </c>
      <c r="BC6" s="84">
        <v>5028.5456999999997</v>
      </c>
      <c r="BD6" s="84">
        <v>5188.0910000000003</v>
      </c>
      <c r="BE6" s="84">
        <v>5353.7750999999998</v>
      </c>
      <c r="BF6" s="84">
        <v>5526.5140000000001</v>
      </c>
      <c r="BG6" s="84">
        <v>5709.9394000000002</v>
      </c>
      <c r="BH6" s="84">
        <v>5902.4267</v>
      </c>
      <c r="BI6" s="84">
        <v>6104.1282000000001</v>
      </c>
      <c r="BJ6" s="84">
        <v>6308.1403</v>
      </c>
      <c r="BK6" s="84">
        <v>6522.2016999999996</v>
      </c>
      <c r="BL6" s="84">
        <v>6747.1509999999998</v>
      </c>
    </row>
    <row r="7" spans="1:68" x14ac:dyDescent="0.3">
      <c r="C7" t="s">
        <v>805</v>
      </c>
      <c r="D7" s="78">
        <v>3.0000000000000027E-2</v>
      </c>
      <c r="E7" s="78">
        <v>3.0000000000000027E-2</v>
      </c>
      <c r="F7" s="78">
        <v>3.0000000000000027E-2</v>
      </c>
      <c r="G7" s="78">
        <v>3.0000000000000027E-2</v>
      </c>
      <c r="H7" s="78">
        <v>3.0000000000000027E-2</v>
      </c>
      <c r="I7" s="78">
        <v>3.0000000000000027E-2</v>
      </c>
      <c r="J7" s="78">
        <v>4.2000000000000037E-2</v>
      </c>
      <c r="K7" s="78">
        <v>2.6000000000000023E-2</v>
      </c>
      <c r="L7" s="78">
        <v>6.9999999999998952E-3</v>
      </c>
      <c r="M7" s="78">
        <v>2.6999999999999913E-2</v>
      </c>
      <c r="N7" s="78">
        <v>4.4000000000000039E-2</v>
      </c>
      <c r="O7" s="78">
        <v>2.8999999999999915E-2</v>
      </c>
      <c r="P7" s="78">
        <v>3.8004202858745728E-2</v>
      </c>
      <c r="Q7" s="78">
        <v>2.9814696181032829E-2</v>
      </c>
      <c r="R7" s="78">
        <v>4.4976774203169034E-2</v>
      </c>
      <c r="S7" s="78">
        <v>5.3124294107518955E-2</v>
      </c>
      <c r="T7" s="78">
        <v>5.5261735541941581E-2</v>
      </c>
      <c r="U7" s="78">
        <v>5.5856888896875345E-2</v>
      </c>
      <c r="V7" s="78">
        <v>3.7619048885406903E-2</v>
      </c>
      <c r="W7" s="78">
        <v>-1.3422624472824496E-2</v>
      </c>
      <c r="X7" s="78">
        <v>3.0797055347604463E-2</v>
      </c>
      <c r="Y7" s="78">
        <v>3.4314860364160982E-2</v>
      </c>
      <c r="Z7" s="78">
        <v>2.4387374228239223E-2</v>
      </c>
      <c r="AA7" s="78">
        <f t="shared" ref="AA7:AG7" si="8">Z16/Y16-1</f>
        <v>2.2133548080019771E-2</v>
      </c>
      <c r="AB7" s="78">
        <f t="shared" si="8"/>
        <v>2.6137759177863984E-2</v>
      </c>
      <c r="AC7" s="78">
        <f t="shared" si="8"/>
        <v>1.7857040305145233E-2</v>
      </c>
      <c r="AD7" s="78">
        <f t="shared" si="8"/>
        <v>1.2578273711638888E-2</v>
      </c>
      <c r="AE7" s="78">
        <f t="shared" si="8"/>
        <v>7.3962566139851305E-3</v>
      </c>
      <c r="AF7" s="78">
        <f t="shared" si="8"/>
        <v>1.1238122563710817E-2</v>
      </c>
      <c r="AG7" s="78">
        <f t="shared" si="8"/>
        <v>1.1716229826908675E-2</v>
      </c>
    </row>
    <row r="9" spans="1:68" x14ac:dyDescent="0.3">
      <c r="Z9">
        <v>2893.58</v>
      </c>
      <c r="AA9">
        <v>2965.2699999999995</v>
      </c>
      <c r="AB9">
        <v>3020.96</v>
      </c>
      <c r="AC9">
        <v>3059.4500000000003</v>
      </c>
      <c r="AD9">
        <v>3083.92</v>
      </c>
      <c r="AE9">
        <v>3120.5399999999995</v>
      </c>
      <c r="AF9">
        <v>3152.24</v>
      </c>
      <c r="AG9">
        <v>3179.29</v>
      </c>
      <c r="AH9">
        <v>2948.9199999999996</v>
      </c>
      <c r="AI9">
        <v>3014.3800000000006</v>
      </c>
      <c r="AJ9">
        <v>3077.2000000000003</v>
      </c>
      <c r="AK9">
        <v>3140.61</v>
      </c>
      <c r="AL9">
        <v>3201.7699999999991</v>
      </c>
      <c r="AM9">
        <v>3265.5400000000009</v>
      </c>
      <c r="AN9">
        <v>3341.2800000000007</v>
      </c>
      <c r="AO9">
        <v>3416.2799999999997</v>
      </c>
      <c r="AP9">
        <v>3494.88</v>
      </c>
      <c r="AQ9">
        <v>3576.08</v>
      </c>
      <c r="AR9">
        <v>3660.1199999999994</v>
      </c>
      <c r="AS9">
        <v>3761.0299999999997</v>
      </c>
      <c r="AT9">
        <v>3857.2000000000003</v>
      </c>
      <c r="AU9">
        <v>3964.01</v>
      </c>
      <c r="AV9">
        <v>4078.2199999999993</v>
      </c>
      <c r="AW9">
        <v>4200.2899999999991</v>
      </c>
      <c r="AX9">
        <v>4325.97</v>
      </c>
      <c r="AY9">
        <v>4457.0000000000018</v>
      </c>
      <c r="AZ9">
        <v>4590.03</v>
      </c>
      <c r="BA9">
        <v>4728.5300000000007</v>
      </c>
      <c r="BB9">
        <v>4875.51</v>
      </c>
      <c r="BC9">
        <v>5028.54</v>
      </c>
      <c r="BD9">
        <v>5188.0999999999995</v>
      </c>
      <c r="BE9">
        <v>5353.79</v>
      </c>
      <c r="BF9">
        <v>5526.5</v>
      </c>
      <c r="BG9">
        <v>5709.9300000000012</v>
      </c>
      <c r="BH9">
        <v>5902.43</v>
      </c>
      <c r="BI9">
        <v>6104.12</v>
      </c>
      <c r="BJ9">
        <v>6308.13</v>
      </c>
      <c r="BK9">
        <v>6522.2000000000007</v>
      </c>
      <c r="BL9">
        <v>6747.130000000001</v>
      </c>
    </row>
    <row r="10" spans="1:68" x14ac:dyDescent="0.3">
      <c r="Z10">
        <f>Z9+(Z9*0.5)</f>
        <v>4340.37</v>
      </c>
      <c r="AA10">
        <f t="shared" ref="AA10:BL10" si="9">AA9+(AA9*0.2)</f>
        <v>3558.3239999999996</v>
      </c>
      <c r="AB10">
        <f t="shared" si="9"/>
        <v>3625.152</v>
      </c>
      <c r="AC10">
        <f t="shared" si="9"/>
        <v>3671.34</v>
      </c>
      <c r="AD10">
        <f t="shared" si="9"/>
        <v>3700.7040000000002</v>
      </c>
      <c r="AE10">
        <f t="shared" si="9"/>
        <v>3744.6479999999992</v>
      </c>
      <c r="AF10">
        <f t="shared" si="9"/>
        <v>3782.6879999999996</v>
      </c>
      <c r="AG10">
        <f t="shared" si="9"/>
        <v>3815.1480000000001</v>
      </c>
      <c r="AH10">
        <f t="shared" si="9"/>
        <v>3538.7039999999997</v>
      </c>
      <c r="AI10">
        <f t="shared" si="9"/>
        <v>3617.2560000000008</v>
      </c>
      <c r="AJ10">
        <f t="shared" si="9"/>
        <v>3692.6400000000003</v>
      </c>
      <c r="AK10">
        <f t="shared" si="9"/>
        <v>3768.732</v>
      </c>
      <c r="AL10">
        <f t="shared" si="9"/>
        <v>3842.1239999999989</v>
      </c>
      <c r="AM10">
        <f t="shared" si="9"/>
        <v>3918.648000000001</v>
      </c>
      <c r="AN10">
        <f t="shared" si="9"/>
        <v>4009.536000000001</v>
      </c>
      <c r="AO10">
        <f t="shared" si="9"/>
        <v>4099.5360000000001</v>
      </c>
      <c r="AP10">
        <f t="shared" si="9"/>
        <v>4193.8559999999998</v>
      </c>
      <c r="AQ10">
        <f t="shared" si="9"/>
        <v>4291.2960000000003</v>
      </c>
      <c r="AR10">
        <f t="shared" si="9"/>
        <v>4392.1439999999993</v>
      </c>
      <c r="AS10">
        <f t="shared" si="9"/>
        <v>4513.2359999999999</v>
      </c>
      <c r="AT10">
        <f t="shared" si="9"/>
        <v>4628.6400000000003</v>
      </c>
      <c r="AU10">
        <f t="shared" si="9"/>
        <v>4756.8119999999999</v>
      </c>
      <c r="AV10">
        <f t="shared" si="9"/>
        <v>4893.8639999999996</v>
      </c>
      <c r="AW10">
        <f t="shared" si="9"/>
        <v>5040.347999999999</v>
      </c>
      <c r="AX10">
        <f t="shared" si="9"/>
        <v>5191.1640000000007</v>
      </c>
      <c r="AY10">
        <f t="shared" si="9"/>
        <v>5348.4000000000024</v>
      </c>
      <c r="AZ10">
        <f t="shared" si="9"/>
        <v>5508.0360000000001</v>
      </c>
      <c r="BA10">
        <f t="shared" si="9"/>
        <v>5674.2360000000008</v>
      </c>
      <c r="BB10">
        <f t="shared" si="9"/>
        <v>5850.6120000000001</v>
      </c>
      <c r="BC10">
        <f t="shared" si="9"/>
        <v>6034.2479999999996</v>
      </c>
      <c r="BD10">
        <f t="shared" si="9"/>
        <v>6225.7199999999993</v>
      </c>
      <c r="BE10">
        <f t="shared" si="9"/>
        <v>6424.5479999999998</v>
      </c>
      <c r="BF10">
        <f t="shared" si="9"/>
        <v>6631.8</v>
      </c>
      <c r="BG10">
        <f t="shared" si="9"/>
        <v>6851.9160000000011</v>
      </c>
      <c r="BH10">
        <f t="shared" si="9"/>
        <v>7082.9160000000002</v>
      </c>
      <c r="BI10">
        <f t="shared" si="9"/>
        <v>7324.9439999999995</v>
      </c>
      <c r="BJ10">
        <f t="shared" si="9"/>
        <v>7569.7560000000003</v>
      </c>
      <c r="BK10">
        <f t="shared" si="9"/>
        <v>7826.6400000000012</v>
      </c>
      <c r="BL10">
        <f t="shared" si="9"/>
        <v>8096.5560000000014</v>
      </c>
    </row>
    <row r="16" spans="1:68" x14ac:dyDescent="0.3">
      <c r="Y16">
        <v>2830.9069841561718</v>
      </c>
      <c r="Z16">
        <v>2893.5650000000564</v>
      </c>
      <c r="AA16">
        <v>2969.1963051355538</v>
      </c>
      <c r="AB16">
        <v>3022.2173632302474</v>
      </c>
      <c r="AC16">
        <v>3060.2316404410249</v>
      </c>
      <c r="AD16">
        <v>3082.8658989519636</v>
      </c>
      <c r="AE16">
        <v>3117.5115237718705</v>
      </c>
      <c r="AF16">
        <v>3154.0370052724184</v>
      </c>
    </row>
    <row r="18" spans="26:32" x14ac:dyDescent="0.3">
      <c r="Z18">
        <v>52.325432882070082</v>
      </c>
      <c r="AA18">
        <v>53.104386458423342</v>
      </c>
      <c r="AB18">
        <v>53.912365691429272</v>
      </c>
      <c r="AC18">
        <v>54.750491457321111</v>
      </c>
      <c r="AD18">
        <v>55.619940469824826</v>
      </c>
      <c r="AE18">
        <v>56.521948041648095</v>
      </c>
      <c r="AF18">
        <v>57.436000617299655</v>
      </c>
    </row>
    <row r="19" spans="26:32" x14ac:dyDescent="0.3">
      <c r="Z19">
        <f>Z18*1000000</f>
        <v>52325432.882070079</v>
      </c>
      <c r="AA19">
        <f t="shared" ref="AA19:AF19" si="10">AA18*1000000</f>
        <v>53104386.458423339</v>
      </c>
      <c r="AB19">
        <f t="shared" si="10"/>
        <v>53912365.691429272</v>
      </c>
      <c r="AC19">
        <f t="shared" si="10"/>
        <v>54750491.457321107</v>
      </c>
      <c r="AD19">
        <f t="shared" si="10"/>
        <v>55619940.469824828</v>
      </c>
      <c r="AE19">
        <f t="shared" si="10"/>
        <v>56521948.041648097</v>
      </c>
      <c r="AF19">
        <f t="shared" si="10"/>
        <v>57436000.617299654</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00000000-0003-0000-0600-000000000000}">
          <x14:colorSeries rgb="FF376092"/>
          <x14:colorNegative rgb="FFD00000"/>
          <x14:colorAxis rgb="FF000000"/>
          <x14:colorMarkers rgb="FFD00000"/>
          <x14:colorFirst rgb="FFD00000"/>
          <x14:colorLast rgb="FFD00000"/>
          <x14:colorHigh rgb="FFD00000"/>
          <x14:colorLow rgb="FFD00000"/>
          <x14:sparklines>
            <x14:sparkline>
              <xm:f>Drivers!D5:BL5</xm:f>
              <xm:sqref>BN5</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J135"/>
  <sheetViews>
    <sheetView topLeftCell="A58" workbookViewId="0">
      <selection activeCell="H81" sqref="H81"/>
    </sheetView>
  </sheetViews>
  <sheetFormatPr defaultColWidth="8.77734375" defaultRowHeight="14.4" x14ac:dyDescent="0.3"/>
  <cols>
    <col min="1" max="1" width="21.33203125" customWidth="1"/>
    <col min="2" max="2" width="24.77734375" customWidth="1"/>
    <col min="3" max="3" width="16.77734375" customWidth="1"/>
    <col min="4" max="4" width="12.77734375" customWidth="1"/>
    <col min="5" max="5" width="42.44140625" customWidth="1"/>
    <col min="6" max="7" width="12.77734375" customWidth="1"/>
    <col min="8" max="8" width="12.6640625" customWidth="1"/>
    <col min="9" max="9" width="11.44140625" customWidth="1"/>
    <col min="10" max="10" width="11.6640625" customWidth="1"/>
  </cols>
  <sheetData>
    <row r="1" spans="1:10" ht="18" x14ac:dyDescent="0.35">
      <c r="A1" s="1" t="s">
        <v>8</v>
      </c>
    </row>
    <row r="3" spans="1:10" x14ac:dyDescent="0.3">
      <c r="A3" t="s">
        <v>9</v>
      </c>
      <c r="B3" s="21">
        <v>21</v>
      </c>
    </row>
    <row r="4" spans="1:10" x14ac:dyDescent="0.3">
      <c r="A4" t="s">
        <v>10</v>
      </c>
      <c r="B4" s="21">
        <v>310</v>
      </c>
    </row>
    <row r="5" spans="1:10" x14ac:dyDescent="0.3">
      <c r="A5" t="s">
        <v>388</v>
      </c>
      <c r="B5" s="21">
        <f>44/12</f>
        <v>3.6666666666666665</v>
      </c>
    </row>
    <row r="6" spans="1:10" x14ac:dyDescent="0.3">
      <c r="A6" t="s">
        <v>794</v>
      </c>
      <c r="B6" s="21">
        <f>12/44</f>
        <v>0.27272727272727271</v>
      </c>
    </row>
    <row r="8" spans="1:10" x14ac:dyDescent="0.3">
      <c r="A8" t="s">
        <v>146</v>
      </c>
      <c r="B8" s="21">
        <f>44/28</f>
        <v>1.5714285714285714</v>
      </c>
    </row>
    <row r="9" spans="1:10" x14ac:dyDescent="0.3">
      <c r="A9" t="s">
        <v>147</v>
      </c>
      <c r="B9" s="21">
        <v>9.9999999999999995E-7</v>
      </c>
    </row>
    <row r="10" spans="1:10" x14ac:dyDescent="0.3">
      <c r="A10" t="s">
        <v>319</v>
      </c>
      <c r="B10" s="21">
        <v>1E-3</v>
      </c>
    </row>
    <row r="11" spans="1:10" x14ac:dyDescent="0.3">
      <c r="A11" t="s">
        <v>389</v>
      </c>
      <c r="B11" s="21">
        <v>1E-3</v>
      </c>
    </row>
    <row r="12" spans="1:10" x14ac:dyDescent="0.3">
      <c r="A12" t="s">
        <v>418</v>
      </c>
      <c r="B12" s="21">
        <v>1000</v>
      </c>
    </row>
    <row r="13" spans="1:10" x14ac:dyDescent="0.3">
      <c r="A13" t="s">
        <v>795</v>
      </c>
      <c r="B13" s="21">
        <v>1000</v>
      </c>
    </row>
    <row r="16" spans="1:10" s="19" customFormat="1" ht="29.25" customHeight="1" x14ac:dyDescent="0.3">
      <c r="A16" s="17" t="s">
        <v>4</v>
      </c>
      <c r="B16" s="17" t="s">
        <v>313</v>
      </c>
      <c r="C16" s="17" t="s">
        <v>315</v>
      </c>
      <c r="D16" s="17" t="s">
        <v>149</v>
      </c>
      <c r="E16" s="17" t="s">
        <v>150</v>
      </c>
      <c r="F16" s="17" t="s">
        <v>0</v>
      </c>
      <c r="G16" s="17" t="s">
        <v>283</v>
      </c>
      <c r="H16" s="17" t="s">
        <v>717</v>
      </c>
      <c r="I16" s="17" t="s">
        <v>717</v>
      </c>
      <c r="J16" s="17" t="s">
        <v>717</v>
      </c>
    </row>
    <row r="17" spans="1:10" ht="18.75" customHeight="1" x14ac:dyDescent="0.3">
      <c r="A17" s="20" t="s">
        <v>1</v>
      </c>
      <c r="B17" s="20"/>
      <c r="C17" s="20"/>
      <c r="D17" s="15"/>
      <c r="E17" s="15"/>
      <c r="F17" s="15"/>
      <c r="G17" s="15"/>
      <c r="H17" s="15"/>
      <c r="I17" s="15"/>
      <c r="J17" s="15"/>
    </row>
    <row r="18" spans="1:10" x14ac:dyDescent="0.3">
      <c r="A18" t="str">
        <f>'IPCC Categories'!A5</f>
        <v>3A Livestock</v>
      </c>
      <c r="C18" t="str">
        <f>'IPCC Categories'!$D$5</f>
        <v>3A1ai Dairy cattle</v>
      </c>
      <c r="D18" t="str">
        <f>'IPCC Categories'!$F$39</f>
        <v>TMR</v>
      </c>
      <c r="E18" t="s">
        <v>330</v>
      </c>
      <c r="F18" t="s">
        <v>327</v>
      </c>
      <c r="G18" t="s">
        <v>331</v>
      </c>
      <c r="H18" s="48">
        <v>0.35</v>
      </c>
    </row>
    <row r="19" spans="1:10" x14ac:dyDescent="0.3">
      <c r="A19" t="str">
        <f>A18</f>
        <v>3A Livestock</v>
      </c>
      <c r="C19" t="str">
        <f>C18</f>
        <v>3A1ai Dairy cattle</v>
      </c>
      <c r="E19" t="s">
        <v>841</v>
      </c>
      <c r="F19" t="s">
        <v>327</v>
      </c>
      <c r="H19" s="48">
        <v>0.28999999999999998</v>
      </c>
    </row>
    <row r="20" spans="1:10" x14ac:dyDescent="0.3">
      <c r="A20" t="str">
        <f>A19</f>
        <v>3A Livestock</v>
      </c>
      <c r="C20" t="str">
        <f>'IPCC Categories'!D13</f>
        <v>3A2aii Other cattle</v>
      </c>
      <c r="E20" t="s">
        <v>844</v>
      </c>
      <c r="F20" t="s">
        <v>327</v>
      </c>
      <c r="H20" s="48">
        <v>0.53</v>
      </c>
    </row>
    <row r="21" spans="1:10" x14ac:dyDescent="0.3">
      <c r="A21" t="str">
        <f>A20</f>
        <v>3A Livestock</v>
      </c>
      <c r="C21" t="str">
        <f>C20</f>
        <v>3A2aii Other cattle</v>
      </c>
      <c r="E21" t="s">
        <v>908</v>
      </c>
      <c r="F21" t="s">
        <v>909</v>
      </c>
      <c r="H21" s="48">
        <v>460</v>
      </c>
    </row>
    <row r="22" spans="1:10" x14ac:dyDescent="0.3">
      <c r="A22" t="str">
        <f>A18</f>
        <v>3A Livestock</v>
      </c>
      <c r="C22" t="str">
        <f>'IPCC Categories'!C7</f>
        <v>3A1c Sheep</v>
      </c>
      <c r="E22" t="s">
        <v>833</v>
      </c>
      <c r="F22" t="s">
        <v>327</v>
      </c>
      <c r="H22" s="48">
        <v>0.87</v>
      </c>
    </row>
    <row r="23" spans="1:10" x14ac:dyDescent="0.3">
      <c r="A23" t="str">
        <f t="shared" ref="A23:A27" si="0">A22</f>
        <v>3A Livestock</v>
      </c>
      <c r="C23" t="str">
        <f>'IPCC Categories'!C8</f>
        <v>3A1d Goats</v>
      </c>
      <c r="E23" t="s">
        <v>834</v>
      </c>
      <c r="F23" t="s">
        <v>327</v>
      </c>
      <c r="H23" s="48">
        <v>0.34</v>
      </c>
    </row>
    <row r="24" spans="1:10" x14ac:dyDescent="0.3">
      <c r="A24" t="str">
        <f t="shared" si="0"/>
        <v>3A Livestock</v>
      </c>
      <c r="C24" t="str">
        <f>'IPCC Categories'!C11</f>
        <v>3A1h Swine</v>
      </c>
      <c r="E24" t="s">
        <v>835</v>
      </c>
      <c r="F24" t="s">
        <v>327</v>
      </c>
      <c r="H24" s="48">
        <v>0.88</v>
      </c>
    </row>
    <row r="25" spans="1:10" x14ac:dyDescent="0.3">
      <c r="A25" t="str">
        <f t="shared" si="0"/>
        <v>3A Livestock</v>
      </c>
      <c r="C25" t="str">
        <f>'IPCC Categories'!C19</f>
        <v>3A2i Poultry</v>
      </c>
      <c r="E25" t="s">
        <v>837</v>
      </c>
      <c r="F25" t="s">
        <v>327</v>
      </c>
      <c r="H25" s="48">
        <v>0.96</v>
      </c>
    </row>
    <row r="26" spans="1:10" x14ac:dyDescent="0.3">
      <c r="A26" t="str">
        <f t="shared" si="0"/>
        <v>3A Livestock</v>
      </c>
      <c r="C26" t="str">
        <f>C25</f>
        <v>3A2i Poultry</v>
      </c>
      <c r="E26" t="s">
        <v>839</v>
      </c>
      <c r="F26" t="s">
        <v>327</v>
      </c>
      <c r="H26" s="48">
        <v>0.96</v>
      </c>
    </row>
    <row r="27" spans="1:10" x14ac:dyDescent="0.3">
      <c r="A27" t="str">
        <f t="shared" si="0"/>
        <v>3A Livestock</v>
      </c>
      <c r="C27" t="str">
        <f>C23</f>
        <v>3A1d Goats</v>
      </c>
      <c r="E27" t="s">
        <v>342</v>
      </c>
      <c r="F27" t="s">
        <v>327</v>
      </c>
      <c r="G27" t="s">
        <v>343</v>
      </c>
      <c r="H27" s="48">
        <v>0.06</v>
      </c>
    </row>
    <row r="28" spans="1:10" ht="18.75" customHeight="1" x14ac:dyDescent="0.3">
      <c r="A28" s="20" t="s">
        <v>629</v>
      </c>
      <c r="B28" s="20"/>
      <c r="C28" s="20"/>
      <c r="D28" s="15"/>
      <c r="E28" s="15"/>
      <c r="F28" s="15"/>
      <c r="G28" s="15"/>
      <c r="H28" s="15"/>
      <c r="I28" s="15"/>
      <c r="J28" s="15"/>
    </row>
    <row r="29" spans="1:10" x14ac:dyDescent="0.3">
      <c r="A29" t="str">
        <f>A41</f>
        <v>3C Aggregated and non-CO2 emissions on land</v>
      </c>
      <c r="B29" t="str">
        <f>B41</f>
        <v>3C4 Direct N2O from managed soils (N2O)</v>
      </c>
      <c r="C29" t="str">
        <f>'IPCC Categories'!B73</f>
        <v>3C4 Direct N2O from managed soils (N2O)</v>
      </c>
      <c r="E29" t="s">
        <v>852</v>
      </c>
      <c r="H29" s="48">
        <v>1.5</v>
      </c>
    </row>
    <row r="30" spans="1:10" x14ac:dyDescent="0.3">
      <c r="A30" t="str">
        <f>A29</f>
        <v>3C Aggregated and non-CO2 emissions on land</v>
      </c>
      <c r="B30" t="str">
        <f>B29</f>
        <v>3C4 Direct N2O from managed soils (N2O)</v>
      </c>
      <c r="C30" t="str">
        <f>C29</f>
        <v>3C4 Direct N2O from managed soils (N2O)</v>
      </c>
      <c r="E30" t="s">
        <v>853</v>
      </c>
      <c r="H30" s="48">
        <v>5.5</v>
      </c>
    </row>
    <row r="31" spans="1:10" x14ac:dyDescent="0.3">
      <c r="A31" t="str">
        <f t="shared" ref="A31:A34" si="1">A30</f>
        <v>3C Aggregated and non-CO2 emissions on land</v>
      </c>
      <c r="B31" t="str">
        <f t="shared" ref="B31:B34" si="2">B30</f>
        <v>3C4 Direct N2O from managed soils (N2O)</v>
      </c>
      <c r="C31" t="str">
        <f t="shared" ref="C31:C34" si="3">C30</f>
        <v>3C4 Direct N2O from managed soils (N2O)</v>
      </c>
      <c r="E31" t="s">
        <v>854</v>
      </c>
      <c r="H31" s="48">
        <v>5.5</v>
      </c>
    </row>
    <row r="32" spans="1:10" x14ac:dyDescent="0.3">
      <c r="A32" t="str">
        <f t="shared" si="1"/>
        <v>3C Aggregated and non-CO2 emissions on land</v>
      </c>
      <c r="B32" t="str">
        <f t="shared" si="2"/>
        <v>3C4 Direct N2O from managed soils (N2O)</v>
      </c>
      <c r="C32" t="str">
        <f t="shared" si="3"/>
        <v>3C4 Direct N2O from managed soils (N2O)</v>
      </c>
      <c r="E32" t="s">
        <v>855</v>
      </c>
      <c r="H32" s="48">
        <v>2</v>
      </c>
    </row>
    <row r="33" spans="1:8" x14ac:dyDescent="0.3">
      <c r="A33" t="str">
        <f t="shared" si="1"/>
        <v>3C Aggregated and non-CO2 emissions on land</v>
      </c>
      <c r="B33" t="str">
        <f t="shared" si="2"/>
        <v>3C4 Direct N2O from managed soils (N2O)</v>
      </c>
      <c r="C33" t="str">
        <f t="shared" si="3"/>
        <v>3C4 Direct N2O from managed soils (N2O)</v>
      </c>
      <c r="E33" t="s">
        <v>856</v>
      </c>
      <c r="H33" s="48">
        <v>2</v>
      </c>
    </row>
    <row r="34" spans="1:8" x14ac:dyDescent="0.3">
      <c r="A34" t="str">
        <f t="shared" si="1"/>
        <v>3C Aggregated and non-CO2 emissions on land</v>
      </c>
      <c r="B34" t="str">
        <f t="shared" si="2"/>
        <v>3C4 Direct N2O from managed soils (N2O)</v>
      </c>
      <c r="C34" t="str">
        <f t="shared" si="3"/>
        <v>3C4 Direct N2O from managed soils (N2O)</v>
      </c>
      <c r="E34" t="s">
        <v>857</v>
      </c>
      <c r="H34" s="48">
        <v>1.6</v>
      </c>
    </row>
    <row r="35" spans="1:8" x14ac:dyDescent="0.3">
      <c r="A35" t="str">
        <f>A68</f>
        <v>3C Aggregated and non-CO2 emissions on land</v>
      </c>
      <c r="B35" t="str">
        <f>B68</f>
        <v>3C4 Direct N2O from managed soils (N2O)</v>
      </c>
      <c r="C35" t="str">
        <f>C34</f>
        <v>3C4 Direct N2O from managed soils (N2O)</v>
      </c>
      <c r="E35" t="s">
        <v>864</v>
      </c>
      <c r="F35" t="s">
        <v>327</v>
      </c>
      <c r="H35" s="48">
        <v>0.6</v>
      </c>
    </row>
    <row r="36" spans="1:8" x14ac:dyDescent="0.3">
      <c r="A36" t="str">
        <f>A35</f>
        <v>3C Aggregated and non-CO2 emissions on land</v>
      </c>
      <c r="B36" t="str">
        <f>B35</f>
        <v>3C4 Direct N2O from managed soils (N2O)</v>
      </c>
      <c r="C36" t="str">
        <f>C35</f>
        <v>3C4 Direct N2O from managed soils (N2O)</v>
      </c>
      <c r="E36" t="s">
        <v>865</v>
      </c>
      <c r="F36" t="s">
        <v>327</v>
      </c>
      <c r="H36" s="48">
        <v>0.7</v>
      </c>
    </row>
    <row r="37" spans="1:8" x14ac:dyDescent="0.3">
      <c r="A37" t="str">
        <f t="shared" ref="A37:A40" si="4">A36</f>
        <v>3C Aggregated and non-CO2 emissions on land</v>
      </c>
      <c r="B37" t="str">
        <f t="shared" ref="B37:B40" si="5">B36</f>
        <v>3C4 Direct N2O from managed soils (N2O)</v>
      </c>
      <c r="C37" t="str">
        <f t="shared" ref="C37:C40" si="6">C36</f>
        <v>3C4 Direct N2O from managed soils (N2O)</v>
      </c>
      <c r="E37" t="s">
        <v>866</v>
      </c>
      <c r="F37" t="s">
        <v>327</v>
      </c>
      <c r="H37" s="48">
        <v>0.7</v>
      </c>
    </row>
    <row r="38" spans="1:8" x14ac:dyDescent="0.3">
      <c r="A38" t="str">
        <f t="shared" si="4"/>
        <v>3C Aggregated and non-CO2 emissions on land</v>
      </c>
      <c r="B38" t="str">
        <f t="shared" si="5"/>
        <v>3C4 Direct N2O from managed soils (N2O)</v>
      </c>
      <c r="C38" t="str">
        <f t="shared" si="6"/>
        <v>3C4 Direct N2O from managed soils (N2O)</v>
      </c>
      <c r="E38" t="s">
        <v>867</v>
      </c>
      <c r="F38" t="s">
        <v>327</v>
      </c>
      <c r="H38" s="48">
        <v>0.25</v>
      </c>
    </row>
    <row r="39" spans="1:8" x14ac:dyDescent="0.3">
      <c r="A39" t="str">
        <f t="shared" si="4"/>
        <v>3C Aggregated and non-CO2 emissions on land</v>
      </c>
      <c r="B39" t="str">
        <f t="shared" si="5"/>
        <v>3C4 Direct N2O from managed soils (N2O)</v>
      </c>
      <c r="C39" t="str">
        <f t="shared" si="6"/>
        <v>3C4 Direct N2O from managed soils (N2O)</v>
      </c>
      <c r="E39" t="s">
        <v>868</v>
      </c>
      <c r="F39" t="s">
        <v>327</v>
      </c>
      <c r="H39" s="48">
        <v>0.6</v>
      </c>
    </row>
    <row r="40" spans="1:8" x14ac:dyDescent="0.3">
      <c r="A40" t="str">
        <f t="shared" si="4"/>
        <v>3C Aggregated and non-CO2 emissions on land</v>
      </c>
      <c r="B40" t="str">
        <f t="shared" si="5"/>
        <v>3C4 Direct N2O from managed soils (N2O)</v>
      </c>
      <c r="C40" t="str">
        <f t="shared" si="6"/>
        <v>3C4 Direct N2O from managed soils (N2O)</v>
      </c>
      <c r="E40" t="s">
        <v>869</v>
      </c>
      <c r="F40" t="s">
        <v>327</v>
      </c>
      <c r="H40" s="48">
        <v>0.65</v>
      </c>
    </row>
    <row r="41" spans="1:8" x14ac:dyDescent="0.3">
      <c r="A41" t="str">
        <f>'IPCC Categories'!A59</f>
        <v>3C Aggregated and non-CO2 emissions on land</v>
      </c>
      <c r="B41" t="str">
        <f>'IPCC Categories'!B73</f>
        <v>3C4 Direct N2O from managed soils (N2O)</v>
      </c>
      <c r="C41" t="str">
        <f>'IPCC Categories'!C75</f>
        <v>Crop residues</v>
      </c>
      <c r="E41" t="s">
        <v>445</v>
      </c>
      <c r="F41" t="s">
        <v>377</v>
      </c>
      <c r="H41" s="48">
        <v>0.6</v>
      </c>
    </row>
    <row r="42" spans="1:8" x14ac:dyDescent="0.3">
      <c r="A42" t="str">
        <f>A41</f>
        <v>3C Aggregated and non-CO2 emissions on land</v>
      </c>
      <c r="B42" t="str">
        <f t="shared" ref="B42:C53" si="7">B41</f>
        <v>3C4 Direct N2O from managed soils (N2O)</v>
      </c>
      <c r="C42" t="str">
        <f t="shared" si="7"/>
        <v>Crop residues</v>
      </c>
      <c r="E42" t="s">
        <v>910</v>
      </c>
      <c r="F42" t="s">
        <v>377</v>
      </c>
      <c r="H42" s="48">
        <v>0.48</v>
      </c>
    </row>
    <row r="43" spans="1:8" x14ac:dyDescent="0.3">
      <c r="A43" t="str">
        <f t="shared" ref="A43:A53" si="8">A42</f>
        <v>3C Aggregated and non-CO2 emissions on land</v>
      </c>
      <c r="B43" t="str">
        <f t="shared" si="7"/>
        <v>3C4 Direct N2O from managed soils (N2O)</v>
      </c>
      <c r="C43" t="str">
        <f t="shared" si="7"/>
        <v>Crop residues</v>
      </c>
      <c r="E43" t="s">
        <v>911</v>
      </c>
      <c r="F43" t="s">
        <v>377</v>
      </c>
      <c r="H43" s="48">
        <v>0.12</v>
      </c>
    </row>
    <row r="44" spans="1:8" x14ac:dyDescent="0.3">
      <c r="A44" t="str">
        <f t="shared" si="8"/>
        <v>3C Aggregated and non-CO2 emissions on land</v>
      </c>
      <c r="B44" t="str">
        <f t="shared" si="7"/>
        <v>3C4 Direct N2O from managed soils (N2O)</v>
      </c>
      <c r="C44" t="str">
        <f t="shared" si="7"/>
        <v>Crop residues</v>
      </c>
      <c r="E44" t="s">
        <v>912</v>
      </c>
      <c r="F44" t="s">
        <v>377</v>
      </c>
      <c r="H44" s="48">
        <v>0.48</v>
      </c>
    </row>
    <row r="45" spans="1:8" x14ac:dyDescent="0.3">
      <c r="A45" t="str">
        <f t="shared" si="8"/>
        <v>3C Aggregated and non-CO2 emissions on land</v>
      </c>
      <c r="B45" t="str">
        <f t="shared" si="7"/>
        <v>3C4 Direct N2O from managed soils (N2O)</v>
      </c>
      <c r="C45" t="str">
        <f t="shared" si="7"/>
        <v>Crop residues</v>
      </c>
      <c r="E45" t="s">
        <v>913</v>
      </c>
      <c r="F45" t="s">
        <v>365</v>
      </c>
      <c r="H45" s="48">
        <v>4.2</v>
      </c>
    </row>
    <row r="46" spans="1:8" x14ac:dyDescent="0.3">
      <c r="A46" t="str">
        <f t="shared" si="8"/>
        <v>3C Aggregated and non-CO2 emissions on land</v>
      </c>
      <c r="B46" t="str">
        <f t="shared" si="7"/>
        <v>3C4 Direct N2O from managed soils (N2O)</v>
      </c>
      <c r="C46" t="str">
        <f t="shared" si="7"/>
        <v>Crop residues</v>
      </c>
      <c r="E46" t="s">
        <v>914</v>
      </c>
      <c r="F46" t="s">
        <v>365</v>
      </c>
      <c r="H46" s="48">
        <v>2.8</v>
      </c>
    </row>
    <row r="47" spans="1:8" x14ac:dyDescent="0.3">
      <c r="A47" t="str">
        <f t="shared" si="8"/>
        <v>3C Aggregated and non-CO2 emissions on land</v>
      </c>
      <c r="B47" t="str">
        <f t="shared" si="7"/>
        <v>3C4 Direct N2O from managed soils (N2O)</v>
      </c>
      <c r="C47" t="str">
        <f t="shared" si="7"/>
        <v>Crop residues</v>
      </c>
      <c r="E47" t="s">
        <v>915</v>
      </c>
      <c r="F47" t="s">
        <v>365</v>
      </c>
      <c r="H47" s="48">
        <v>3.7</v>
      </c>
    </row>
    <row r="48" spans="1:8" x14ac:dyDescent="0.3">
      <c r="A48" t="str">
        <f t="shared" si="8"/>
        <v>3C Aggregated and non-CO2 emissions on land</v>
      </c>
      <c r="B48" t="str">
        <f t="shared" si="7"/>
        <v>3C4 Direct N2O from managed soils (N2O)</v>
      </c>
      <c r="C48" t="str">
        <f t="shared" si="7"/>
        <v>Crop residues</v>
      </c>
      <c r="E48" t="s">
        <v>916</v>
      </c>
      <c r="H48" s="48">
        <v>1.5</v>
      </c>
    </row>
    <row r="49" spans="1:8" x14ac:dyDescent="0.3">
      <c r="A49" t="str">
        <f t="shared" si="8"/>
        <v>3C Aggregated and non-CO2 emissions on land</v>
      </c>
      <c r="B49" t="str">
        <f t="shared" si="7"/>
        <v>3C4 Direct N2O from managed soils (N2O)</v>
      </c>
      <c r="C49" t="str">
        <f t="shared" si="7"/>
        <v>Crop residues</v>
      </c>
      <c r="E49" t="s">
        <v>917</v>
      </c>
      <c r="H49" s="48">
        <v>1.4</v>
      </c>
    </row>
    <row r="50" spans="1:8" x14ac:dyDescent="0.3">
      <c r="A50" t="str">
        <f t="shared" si="8"/>
        <v>3C Aggregated and non-CO2 emissions on land</v>
      </c>
      <c r="B50" t="str">
        <f t="shared" si="7"/>
        <v>3C4 Direct N2O from managed soils (N2O)</v>
      </c>
      <c r="C50" t="str">
        <f t="shared" si="7"/>
        <v>Crop residues</v>
      </c>
      <c r="E50" t="s">
        <v>918</v>
      </c>
      <c r="H50" s="48">
        <v>1.3</v>
      </c>
    </row>
    <row r="51" spans="1:8" x14ac:dyDescent="0.3">
      <c r="A51" t="str">
        <f t="shared" si="8"/>
        <v>3C Aggregated and non-CO2 emissions on land</v>
      </c>
      <c r="B51" t="str">
        <f t="shared" si="7"/>
        <v>3C4 Direct N2O from managed soils (N2O)</v>
      </c>
      <c r="C51" t="str">
        <f t="shared" si="7"/>
        <v>Crop residues</v>
      </c>
      <c r="E51" t="s">
        <v>919</v>
      </c>
      <c r="H51" s="48">
        <v>0.45</v>
      </c>
    </row>
    <row r="52" spans="1:8" x14ac:dyDescent="0.3">
      <c r="A52" t="str">
        <f t="shared" si="8"/>
        <v>3C Aggregated and non-CO2 emissions on land</v>
      </c>
      <c r="B52" t="str">
        <f t="shared" si="7"/>
        <v>3C4 Direct N2O from managed soils (N2O)</v>
      </c>
      <c r="C52" t="str">
        <f t="shared" si="7"/>
        <v>Crop residues</v>
      </c>
      <c r="E52" t="s">
        <v>920</v>
      </c>
      <c r="H52" s="48">
        <v>0</v>
      </c>
    </row>
    <row r="53" spans="1:8" x14ac:dyDescent="0.3">
      <c r="A53" t="str">
        <f t="shared" si="8"/>
        <v>3C Aggregated and non-CO2 emissions on land</v>
      </c>
      <c r="B53" t="str">
        <f t="shared" si="7"/>
        <v>3C4 Direct N2O from managed soils (N2O)</v>
      </c>
      <c r="C53" t="str">
        <f t="shared" si="7"/>
        <v>Crop residues</v>
      </c>
      <c r="E53" t="s">
        <v>921</v>
      </c>
      <c r="H53" s="48">
        <v>0.6</v>
      </c>
    </row>
    <row r="54" spans="1:8" x14ac:dyDescent="0.3">
      <c r="A54" t="str">
        <f>A47</f>
        <v>3C Aggregated and non-CO2 emissions on land</v>
      </c>
      <c r="B54" t="str">
        <f>B47</f>
        <v>3C4 Direct N2O from managed soils (N2O)</v>
      </c>
      <c r="C54" t="str">
        <f>C47</f>
        <v>Crop residues</v>
      </c>
      <c r="E54" t="s">
        <v>922</v>
      </c>
      <c r="F54" t="s">
        <v>327</v>
      </c>
      <c r="H54" s="48">
        <v>0.87</v>
      </c>
    </row>
    <row r="55" spans="1:8" x14ac:dyDescent="0.3">
      <c r="A55" t="str">
        <f t="shared" ref="A55:C58" si="9">A54</f>
        <v>3C Aggregated and non-CO2 emissions on land</v>
      </c>
      <c r="B55" t="str">
        <f t="shared" si="9"/>
        <v>3C4 Direct N2O from managed soils (N2O)</v>
      </c>
      <c r="C55" t="str">
        <f t="shared" si="9"/>
        <v>Crop residues</v>
      </c>
      <c r="E55" t="s">
        <v>923</v>
      </c>
      <c r="F55" t="s">
        <v>327</v>
      </c>
      <c r="H55" s="48">
        <v>0.89</v>
      </c>
    </row>
    <row r="56" spans="1:8" x14ac:dyDescent="0.3">
      <c r="A56" t="str">
        <f t="shared" si="9"/>
        <v>3C Aggregated and non-CO2 emissions on land</v>
      </c>
      <c r="B56" t="str">
        <f t="shared" si="9"/>
        <v>3C4 Direct N2O from managed soils (N2O)</v>
      </c>
      <c r="C56" t="str">
        <f t="shared" si="9"/>
        <v>Crop residues</v>
      </c>
      <c r="E56" t="s">
        <v>924</v>
      </c>
      <c r="F56" t="s">
        <v>327</v>
      </c>
      <c r="H56" s="48">
        <v>0.89</v>
      </c>
    </row>
    <row r="57" spans="1:8" x14ac:dyDescent="0.3">
      <c r="A57" t="str">
        <f>A56</f>
        <v>3C Aggregated and non-CO2 emissions on land</v>
      </c>
      <c r="B57" t="str">
        <f>B56</f>
        <v>3C4 Direct N2O from managed soils (N2O)</v>
      </c>
      <c r="C57" t="str">
        <f>C56</f>
        <v>Crop residues</v>
      </c>
      <c r="E57" t="s">
        <v>925</v>
      </c>
      <c r="F57" t="s">
        <v>327</v>
      </c>
      <c r="H57" s="48">
        <v>0.5</v>
      </c>
    </row>
    <row r="58" spans="1:8" x14ac:dyDescent="0.3">
      <c r="A58" t="str">
        <f t="shared" si="9"/>
        <v>3C Aggregated and non-CO2 emissions on land</v>
      </c>
      <c r="B58" t="str">
        <f t="shared" si="9"/>
        <v>3C4 Direct N2O from managed soils (N2O)</v>
      </c>
      <c r="C58" t="str">
        <f t="shared" si="9"/>
        <v>Crop residues</v>
      </c>
      <c r="E58" t="s">
        <v>926</v>
      </c>
      <c r="F58" t="s">
        <v>284</v>
      </c>
      <c r="H58" s="48">
        <v>1.4999999999999999E-2</v>
      </c>
    </row>
    <row r="59" spans="1:8" x14ac:dyDescent="0.3">
      <c r="A59" t="str">
        <f>A41</f>
        <v>3C Aggregated and non-CO2 emissions on land</v>
      </c>
      <c r="B59" t="str">
        <f>B41</f>
        <v>3C4 Direct N2O from managed soils (N2O)</v>
      </c>
      <c r="C59" t="str">
        <f>'IPCC Categories'!B71</f>
        <v>3C2 Liming (CO2)</v>
      </c>
      <c r="E59" t="s">
        <v>883</v>
      </c>
      <c r="F59" t="s">
        <v>365</v>
      </c>
      <c r="H59" s="48">
        <v>0.5</v>
      </c>
    </row>
    <row r="60" spans="1:8" x14ac:dyDescent="0.3">
      <c r="A60" t="str">
        <f t="shared" ref="A60:B61" si="10">A59</f>
        <v>3C Aggregated and non-CO2 emissions on land</v>
      </c>
      <c r="B60" t="str">
        <f t="shared" si="10"/>
        <v>3C4 Direct N2O from managed soils (N2O)</v>
      </c>
      <c r="C60" t="str">
        <f>C59</f>
        <v>3C2 Liming (CO2)</v>
      </c>
      <c r="E60" t="s">
        <v>884</v>
      </c>
      <c r="F60" t="s">
        <v>365</v>
      </c>
      <c r="H60" s="48">
        <v>1.1499999999999999</v>
      </c>
    </row>
    <row r="61" spans="1:8" x14ac:dyDescent="0.3">
      <c r="A61" t="str">
        <f t="shared" si="10"/>
        <v>3C Aggregated and non-CO2 emissions on land</v>
      </c>
      <c r="B61" t="str">
        <f t="shared" si="10"/>
        <v>3C4 Direct N2O from managed soils (N2O)</v>
      </c>
      <c r="C61" t="str">
        <f>C60</f>
        <v>3C2 Liming (CO2)</v>
      </c>
      <c r="E61" t="s">
        <v>885</v>
      </c>
      <c r="F61" t="s">
        <v>365</v>
      </c>
      <c r="H61" s="48">
        <v>0.63</v>
      </c>
    </row>
    <row r="62" spans="1:8" x14ac:dyDescent="0.3">
      <c r="A62" t="str">
        <f>A41</f>
        <v>3C Aggregated and non-CO2 emissions on land</v>
      </c>
      <c r="B62" t="str">
        <f>B41</f>
        <v>3C4 Direct N2O from managed soils (N2O)</v>
      </c>
      <c r="C62" t="str">
        <f>C61</f>
        <v>3C2 Liming (CO2)</v>
      </c>
      <c r="E62" t="s">
        <v>882</v>
      </c>
      <c r="F62" t="s">
        <v>327</v>
      </c>
      <c r="H62" s="48">
        <v>0.55000000000000004</v>
      </c>
    </row>
    <row r="63" spans="1:8" x14ac:dyDescent="0.3">
      <c r="A63" t="str">
        <f>'IPCC Categories'!A59</f>
        <v>3C Aggregated and non-CO2 emissions on land</v>
      </c>
      <c r="B63" t="str">
        <f>'IPCC Categories'!B73</f>
        <v>3C4 Direct N2O from managed soils (N2O)</v>
      </c>
      <c r="C63" t="s">
        <v>310</v>
      </c>
      <c r="D63" t="str">
        <f>" - "&amp;'Activity data'!D5</f>
        <v xml:space="preserve"> - TMR</v>
      </c>
      <c r="E63" t="str">
        <f t="shared" ref="E63:E83" si="11">C63&amp;D63</f>
        <v>Excretion rate - TMR</v>
      </c>
      <c r="F63" t="s">
        <v>311</v>
      </c>
      <c r="H63" s="22">
        <f>SUM('Aggregated EF'!T8:T10)</f>
        <v>128.28236394776278</v>
      </c>
    </row>
    <row r="64" spans="1:8" x14ac:dyDescent="0.3">
      <c r="A64" t="str">
        <f t="shared" ref="A64:A80" si="12">A63</f>
        <v>3C Aggregated and non-CO2 emissions on land</v>
      </c>
      <c r="B64" t="str">
        <f t="shared" ref="B64:B80" si="13">B63</f>
        <v>3C4 Direct N2O from managed soils (N2O)</v>
      </c>
      <c r="C64" t="str">
        <f t="shared" ref="C64:C80" si="14">C63</f>
        <v>Excretion rate</v>
      </c>
      <c r="D64" t="str">
        <f>" - "&amp;'Activity data'!D6</f>
        <v xml:space="preserve"> - Pasture</v>
      </c>
      <c r="E64" t="str">
        <f t="shared" si="11"/>
        <v>Excretion rate - Pasture</v>
      </c>
      <c r="F64" t="str">
        <f t="shared" ref="F64:F80" si="15">F63</f>
        <v>kg N/head/yr</v>
      </c>
      <c r="H64" s="22">
        <f>SUM('Aggregated EF'!T5:T7)</f>
        <v>116.88195504174696</v>
      </c>
    </row>
    <row r="65" spans="1:8" x14ac:dyDescent="0.3">
      <c r="A65" t="str">
        <f t="shared" si="12"/>
        <v>3C Aggregated and non-CO2 emissions on land</v>
      </c>
      <c r="B65" t="str">
        <f t="shared" si="13"/>
        <v>3C4 Direct N2O from managed soils (N2O)</v>
      </c>
      <c r="C65" t="str">
        <f t="shared" si="14"/>
        <v>Excretion rate</v>
      </c>
      <c r="D65" t="str">
        <f>" - "&amp;'Activity data'!D7</f>
        <v xml:space="preserve"> - Non-lactating</v>
      </c>
      <c r="E65" t="str">
        <f t="shared" si="11"/>
        <v>Excretion rate - Non-lactating</v>
      </c>
      <c r="F65" t="str">
        <f t="shared" si="15"/>
        <v>kg N/head/yr</v>
      </c>
      <c r="H65" s="22">
        <f>SUM('Aggregated EF'!T12:T21)</f>
        <v>40.496928454397946</v>
      </c>
    </row>
    <row r="66" spans="1:8" x14ac:dyDescent="0.3">
      <c r="A66" t="str">
        <f t="shared" si="12"/>
        <v>3C Aggregated and non-CO2 emissions on land</v>
      </c>
      <c r="B66" t="str">
        <f t="shared" si="13"/>
        <v>3C4 Direct N2O from managed soils (N2O)</v>
      </c>
      <c r="C66" t="str">
        <f t="shared" si="14"/>
        <v>Excretion rate</v>
      </c>
      <c r="D66" t="str">
        <f>" - "&amp;'Activity data'!D8&amp;" cattle"</f>
        <v xml:space="preserve"> - Commercial cattle</v>
      </c>
      <c r="E66" t="str">
        <f t="shared" si="11"/>
        <v>Excretion rate - Commercial cattle</v>
      </c>
      <c r="F66" t="str">
        <f t="shared" si="15"/>
        <v>kg N/head/yr</v>
      </c>
      <c r="H66" s="22">
        <f>SUM('Aggregated EF'!T22:T24,'Aggregated EF'!T26:T28)</f>
        <v>86.354881619987609</v>
      </c>
    </row>
    <row r="67" spans="1:8" x14ac:dyDescent="0.3">
      <c r="A67" t="str">
        <f t="shared" si="12"/>
        <v>3C Aggregated and non-CO2 emissions on land</v>
      </c>
      <c r="B67" t="str">
        <f t="shared" si="13"/>
        <v>3C4 Direct N2O from managed soils (N2O)</v>
      </c>
      <c r="C67" t="str">
        <f t="shared" si="14"/>
        <v>Excretion rate</v>
      </c>
      <c r="D67" t="str">
        <f>" - "&amp;'Activity data'!D9&amp;" cattle"</f>
        <v xml:space="preserve"> - Subsistence cattle</v>
      </c>
      <c r="E67" t="str">
        <f t="shared" si="11"/>
        <v>Excretion rate - Subsistence cattle</v>
      </c>
      <c r="F67" t="str">
        <f t="shared" si="15"/>
        <v>kg N/head/yr</v>
      </c>
      <c r="H67" s="22">
        <f>SUM('Aggregated EF'!T29:T34)</f>
        <v>64.633710943402036</v>
      </c>
    </row>
    <row r="68" spans="1:8" x14ac:dyDescent="0.3">
      <c r="A68" t="str">
        <f t="shared" si="12"/>
        <v>3C Aggregated and non-CO2 emissions on land</v>
      </c>
      <c r="B68" t="str">
        <f t="shared" si="13"/>
        <v>3C4 Direct N2O from managed soils (N2O)</v>
      </c>
      <c r="C68" t="str">
        <f t="shared" si="14"/>
        <v>Excretion rate</v>
      </c>
      <c r="D68" t="str">
        <f>" - "&amp;'Activity data'!D10</f>
        <v xml:space="preserve"> - Feedlot</v>
      </c>
      <c r="E68" t="str">
        <f t="shared" si="11"/>
        <v>Excretion rate - Feedlot</v>
      </c>
      <c r="F68" t="str">
        <f t="shared" si="15"/>
        <v>kg N/head/yr</v>
      </c>
      <c r="H68" s="22">
        <f>'Aggregated EF'!T25</f>
        <v>65.765699999999995</v>
      </c>
    </row>
    <row r="69" spans="1:8" x14ac:dyDescent="0.3">
      <c r="A69" t="str">
        <f t="shared" si="12"/>
        <v>3C Aggregated and non-CO2 emissions on land</v>
      </c>
      <c r="B69" t="str">
        <f t="shared" si="13"/>
        <v>3C4 Direct N2O from managed soils (N2O)</v>
      </c>
      <c r="C69" t="str">
        <f t="shared" si="14"/>
        <v>Excretion rate</v>
      </c>
      <c r="D69" t="str">
        <f>" - "&amp;'Activity data'!D11&amp;" sheep"</f>
        <v xml:space="preserve"> - Commercial sheep</v>
      </c>
      <c r="E69" t="str">
        <f t="shared" si="11"/>
        <v>Excretion rate - Commercial sheep</v>
      </c>
      <c r="F69" t="str">
        <f t="shared" si="15"/>
        <v>kg N/head/yr</v>
      </c>
      <c r="H69" s="22">
        <f>SUM('Aggregated EF'!T36:T59)</f>
        <v>19.60551595998232</v>
      </c>
    </row>
    <row r="70" spans="1:8" x14ac:dyDescent="0.3">
      <c r="A70" t="str">
        <f t="shared" si="12"/>
        <v>3C Aggregated and non-CO2 emissions on land</v>
      </c>
      <c r="B70" t="str">
        <f t="shared" si="13"/>
        <v>3C4 Direct N2O from managed soils (N2O)</v>
      </c>
      <c r="C70" t="str">
        <f t="shared" si="14"/>
        <v>Excretion rate</v>
      </c>
      <c r="D70" t="str">
        <f>" - "&amp;'Activity data'!D12&amp;" sheep"</f>
        <v xml:space="preserve"> - Subsistence sheep</v>
      </c>
      <c r="E70" t="str">
        <f t="shared" si="11"/>
        <v>Excretion rate - Subsistence sheep</v>
      </c>
      <c r="F70" t="str">
        <f t="shared" si="15"/>
        <v>kg N/head/yr</v>
      </c>
      <c r="H70" s="22">
        <f>SUM('Aggregated EF'!T60:T83)</f>
        <v>15.591414113527657</v>
      </c>
    </row>
    <row r="71" spans="1:8" x14ac:dyDescent="0.3">
      <c r="A71" t="str">
        <f t="shared" si="12"/>
        <v>3C Aggregated and non-CO2 emissions on land</v>
      </c>
      <c r="B71" t="str">
        <f t="shared" si="13"/>
        <v>3C4 Direct N2O from managed soils (N2O)</v>
      </c>
      <c r="C71" t="str">
        <f t="shared" si="14"/>
        <v>Excretion rate</v>
      </c>
      <c r="D71" t="str">
        <f>" - "&amp;'Activity data'!D13&amp;" goats"</f>
        <v xml:space="preserve"> - Commercial goats</v>
      </c>
      <c r="E71" t="str">
        <f t="shared" si="11"/>
        <v>Excretion rate - Commercial goats</v>
      </c>
      <c r="F71" t="str">
        <f t="shared" si="15"/>
        <v>kg N/head/yr</v>
      </c>
      <c r="H71" s="22">
        <f>SUM('Aggregated EF'!T85:T102)</f>
        <v>22.287353637058541</v>
      </c>
    </row>
    <row r="72" spans="1:8" x14ac:dyDescent="0.3">
      <c r="A72" t="str">
        <f t="shared" si="12"/>
        <v>3C Aggregated and non-CO2 emissions on land</v>
      </c>
      <c r="B72" t="str">
        <f t="shared" si="13"/>
        <v>3C4 Direct N2O from managed soils (N2O)</v>
      </c>
      <c r="C72" t="str">
        <f t="shared" si="14"/>
        <v>Excretion rate</v>
      </c>
      <c r="D72" t="str">
        <f>" - "&amp;'Activity data'!D14&amp;" goats"</f>
        <v xml:space="preserve"> - Subsistence goats</v>
      </c>
      <c r="E72" t="str">
        <f t="shared" si="11"/>
        <v>Excretion rate - Subsistence goats</v>
      </c>
      <c r="F72" t="str">
        <f t="shared" si="15"/>
        <v>kg N/head/yr</v>
      </c>
      <c r="H72" s="22">
        <f>SUM('Aggregated EF'!T103:T108)</f>
        <v>20.227322529999995</v>
      </c>
    </row>
    <row r="73" spans="1:8" x14ac:dyDescent="0.3">
      <c r="A73" t="str">
        <f t="shared" si="12"/>
        <v>3C Aggregated and non-CO2 emissions on land</v>
      </c>
      <c r="B73" t="str">
        <f t="shared" si="13"/>
        <v>3C4 Direct N2O from managed soils (N2O)</v>
      </c>
      <c r="C73" t="str">
        <f t="shared" si="14"/>
        <v>Excretion rate</v>
      </c>
      <c r="D73" t="str">
        <f>" - "&amp;'Activity data'!D15</f>
        <v xml:space="preserve"> - Horses</v>
      </c>
      <c r="E73" t="str">
        <f t="shared" si="11"/>
        <v>Excretion rate - Horses</v>
      </c>
      <c r="F73" t="str">
        <f t="shared" si="15"/>
        <v>kg N/head/yr</v>
      </c>
      <c r="H73" s="22">
        <f>'Aggregated EF'!T110</f>
        <v>39.5</v>
      </c>
    </row>
    <row r="74" spans="1:8" x14ac:dyDescent="0.3">
      <c r="A74" t="str">
        <f t="shared" si="12"/>
        <v>3C Aggregated and non-CO2 emissions on land</v>
      </c>
      <c r="B74" t="str">
        <f t="shared" si="13"/>
        <v>3C4 Direct N2O from managed soils (N2O)</v>
      </c>
      <c r="C74" t="str">
        <f t="shared" si="14"/>
        <v>Excretion rate</v>
      </c>
      <c r="D74" t="str">
        <f>" - "&amp;'Activity data'!D16</f>
        <v xml:space="preserve"> - Mules &amp; Asses</v>
      </c>
      <c r="E74" t="str">
        <f t="shared" si="11"/>
        <v>Excretion rate - Mules &amp; Asses</v>
      </c>
      <c r="F74" t="str">
        <f t="shared" si="15"/>
        <v>kg N/head/yr</v>
      </c>
      <c r="H74" s="22">
        <f>'Aggregated EF'!T112</f>
        <v>13.2</v>
      </c>
    </row>
    <row r="75" spans="1:8" x14ac:dyDescent="0.3">
      <c r="A75" t="str">
        <f t="shared" si="12"/>
        <v>3C Aggregated and non-CO2 emissions on land</v>
      </c>
      <c r="B75" t="str">
        <f t="shared" si="13"/>
        <v>3C4 Direct N2O from managed soils (N2O)</v>
      </c>
      <c r="C75" t="str">
        <f t="shared" si="14"/>
        <v>Excretion rate</v>
      </c>
      <c r="D75" t="str">
        <f>" - "&amp;'Activity data'!D17&amp;" swine"</f>
        <v xml:space="preserve"> - Commercial swine</v>
      </c>
      <c r="E75" t="str">
        <f t="shared" si="11"/>
        <v>Excretion rate - Commercial swine</v>
      </c>
      <c r="F75" t="str">
        <f t="shared" si="15"/>
        <v>kg N/head/yr</v>
      </c>
      <c r="H75" s="22">
        <f>SUM('Aggregated EF'!T114:T123)</f>
        <v>13.769600000000001</v>
      </c>
    </row>
    <row r="76" spans="1:8" x14ac:dyDescent="0.3">
      <c r="A76" t="str">
        <f t="shared" si="12"/>
        <v>3C Aggregated and non-CO2 emissions on land</v>
      </c>
      <c r="B76" t="str">
        <f t="shared" si="13"/>
        <v>3C4 Direct N2O from managed soils (N2O)</v>
      </c>
      <c r="C76" t="str">
        <f t="shared" si="14"/>
        <v>Excretion rate</v>
      </c>
      <c r="D76" t="str">
        <f>" - "&amp;'Activity data'!D18&amp;" swine"</f>
        <v xml:space="preserve"> - Subsistence swine</v>
      </c>
      <c r="E76" t="str">
        <f t="shared" si="11"/>
        <v>Excretion rate - Subsistence swine</v>
      </c>
      <c r="F76" t="str">
        <f t="shared" si="15"/>
        <v>kg N/head/yr</v>
      </c>
      <c r="H76" s="22">
        <f>SUM('Aggregated EF'!T124:T133)</f>
        <v>15.091520000000001</v>
      </c>
    </row>
    <row r="77" spans="1:8" x14ac:dyDescent="0.3">
      <c r="A77" t="str">
        <f t="shared" si="12"/>
        <v>3C Aggregated and non-CO2 emissions on land</v>
      </c>
      <c r="B77" t="str">
        <f t="shared" si="13"/>
        <v>3C4 Direct N2O from managed soils (N2O)</v>
      </c>
      <c r="C77" t="str">
        <f t="shared" si="14"/>
        <v>Excretion rate</v>
      </c>
      <c r="D77" t="str">
        <f>" - "&amp;'Activity data'!D19</f>
        <v xml:space="preserve"> - Commercial layers</v>
      </c>
      <c r="E77" t="str">
        <f t="shared" si="11"/>
        <v>Excretion rate - Commercial layers</v>
      </c>
      <c r="F77" t="str">
        <f t="shared" si="15"/>
        <v>kg N/head/yr</v>
      </c>
      <c r="H77" s="22">
        <f>'Aggregated EF'!T136</f>
        <v>0.6</v>
      </c>
    </row>
    <row r="78" spans="1:8" x14ac:dyDescent="0.3">
      <c r="A78" t="str">
        <f t="shared" si="12"/>
        <v>3C Aggregated and non-CO2 emissions on land</v>
      </c>
      <c r="B78" t="str">
        <f t="shared" si="13"/>
        <v>3C4 Direct N2O from managed soils (N2O)</v>
      </c>
      <c r="C78" t="str">
        <f t="shared" si="14"/>
        <v>Excretion rate</v>
      </c>
      <c r="D78" t="str">
        <f>" - "&amp;'Activity data'!D20</f>
        <v xml:space="preserve"> - Commercial broilers</v>
      </c>
      <c r="E78" t="str">
        <f t="shared" si="11"/>
        <v>Excretion rate - Commercial broilers</v>
      </c>
      <c r="F78" t="str">
        <f t="shared" si="15"/>
        <v>kg N/head/yr</v>
      </c>
      <c r="H78" s="22">
        <f>'Aggregated EF'!T135</f>
        <v>0.7</v>
      </c>
    </row>
    <row r="79" spans="1:8" x14ac:dyDescent="0.3">
      <c r="A79" t="str">
        <f t="shared" si="12"/>
        <v>3C Aggregated and non-CO2 emissions on land</v>
      </c>
      <c r="B79" t="str">
        <f t="shared" si="13"/>
        <v>3C4 Direct N2O from managed soils (N2O)</v>
      </c>
      <c r="C79" t="str">
        <f t="shared" si="14"/>
        <v>Excretion rate</v>
      </c>
      <c r="D79" t="str">
        <f>" - "&amp;'Activity data'!D21</f>
        <v xml:space="preserve"> - Subsistence layers</v>
      </c>
      <c r="E79" t="str">
        <f t="shared" si="11"/>
        <v>Excretion rate - Subsistence layers</v>
      </c>
      <c r="F79" t="str">
        <f t="shared" si="15"/>
        <v>kg N/head/yr</v>
      </c>
      <c r="H79" s="22">
        <f>'Aggregated EF'!T138</f>
        <v>0.6</v>
      </c>
    </row>
    <row r="80" spans="1:8" x14ac:dyDescent="0.3">
      <c r="A80" t="str">
        <f t="shared" si="12"/>
        <v>3C Aggregated and non-CO2 emissions on land</v>
      </c>
      <c r="B80" t="str">
        <f t="shared" si="13"/>
        <v>3C4 Direct N2O from managed soils (N2O)</v>
      </c>
      <c r="C80" t="str">
        <f t="shared" si="14"/>
        <v>Excretion rate</v>
      </c>
      <c r="D80" t="str">
        <f>" - "&amp;'Activity data'!D22</f>
        <v xml:space="preserve"> - Subsistence broilers</v>
      </c>
      <c r="E80" t="str">
        <f t="shared" si="11"/>
        <v>Excretion rate - Subsistence broilers</v>
      </c>
      <c r="F80" t="str">
        <f t="shared" si="15"/>
        <v>kg N/head/yr</v>
      </c>
      <c r="H80" s="22">
        <f>'Aggregated EF'!T137</f>
        <v>0.7</v>
      </c>
    </row>
    <row r="81" spans="1:8" x14ac:dyDescent="0.3">
      <c r="A81" t="str">
        <f t="shared" ref="A81:A112" si="16">A80</f>
        <v>3C Aggregated and non-CO2 emissions on land</v>
      </c>
      <c r="B81" t="str">
        <f t="shared" ref="B81:B112" si="17">B80</f>
        <v>3C4 Direct N2O from managed soils (N2O)</v>
      </c>
      <c r="C81" t="s">
        <v>391</v>
      </c>
      <c r="D81" t="str">
        <f t="shared" ref="D81:D114" si="18">D63</f>
        <v xml:space="preserve"> - TMR</v>
      </c>
      <c r="E81" t="str">
        <f t="shared" si="11"/>
        <v>FracMM - TMR</v>
      </c>
      <c r="F81" t="s">
        <v>327</v>
      </c>
      <c r="H81" s="22">
        <v>1</v>
      </c>
    </row>
    <row r="82" spans="1:8" x14ac:dyDescent="0.3">
      <c r="A82" t="str">
        <f t="shared" si="16"/>
        <v>3C Aggregated and non-CO2 emissions on land</v>
      </c>
      <c r="B82" t="str">
        <f t="shared" si="17"/>
        <v>3C4 Direct N2O from managed soils (N2O)</v>
      </c>
      <c r="C82" t="s">
        <v>391</v>
      </c>
      <c r="D82" t="str">
        <f t="shared" si="18"/>
        <v xml:space="preserve"> - Pasture</v>
      </c>
      <c r="E82" t="str">
        <f t="shared" si="11"/>
        <v>FracMM - Pasture</v>
      </c>
      <c r="F82" t="s">
        <v>327</v>
      </c>
      <c r="H82" s="22">
        <v>0.4</v>
      </c>
    </row>
    <row r="83" spans="1:8" x14ac:dyDescent="0.3">
      <c r="A83" t="str">
        <f t="shared" si="16"/>
        <v>3C Aggregated and non-CO2 emissions on land</v>
      </c>
      <c r="B83" t="str">
        <f t="shared" si="17"/>
        <v>3C4 Direct N2O from managed soils (N2O)</v>
      </c>
      <c r="C83" t="s">
        <v>391</v>
      </c>
      <c r="D83" t="str">
        <f t="shared" si="18"/>
        <v xml:space="preserve"> - Non-lactating</v>
      </c>
      <c r="E83" t="str">
        <f t="shared" si="11"/>
        <v>FracMM - Non-lactating</v>
      </c>
      <c r="F83" t="s">
        <v>327</v>
      </c>
      <c r="H83" s="22">
        <v>0.05</v>
      </c>
    </row>
    <row r="84" spans="1:8" x14ac:dyDescent="0.3">
      <c r="A84" t="str">
        <f t="shared" si="16"/>
        <v>3C Aggregated and non-CO2 emissions on land</v>
      </c>
      <c r="B84" t="str">
        <f t="shared" si="17"/>
        <v>3C4 Direct N2O from managed soils (N2O)</v>
      </c>
      <c r="C84" t="s">
        <v>391</v>
      </c>
      <c r="D84" t="str">
        <f t="shared" si="18"/>
        <v xml:space="preserve"> - Commercial cattle</v>
      </c>
      <c r="E84" t="str">
        <f>C84&amp;D84&amp;" cattle"</f>
        <v>FracMM - Commercial cattle cattle</v>
      </c>
      <c r="F84" t="s">
        <v>327</v>
      </c>
      <c r="H84" s="22">
        <v>0.05</v>
      </c>
    </row>
    <row r="85" spans="1:8" x14ac:dyDescent="0.3">
      <c r="A85" t="str">
        <f t="shared" si="16"/>
        <v>3C Aggregated and non-CO2 emissions on land</v>
      </c>
      <c r="B85" t="str">
        <f t="shared" si="17"/>
        <v>3C4 Direct N2O from managed soils (N2O)</v>
      </c>
      <c r="C85" t="s">
        <v>391</v>
      </c>
      <c r="D85" t="str">
        <f t="shared" si="18"/>
        <v xml:space="preserve"> - Subsistence cattle</v>
      </c>
      <c r="E85" t="str">
        <f>C85&amp;D85&amp;" cattle"</f>
        <v>FracMM - Subsistence cattle cattle</v>
      </c>
      <c r="F85" t="s">
        <v>327</v>
      </c>
      <c r="H85" s="22">
        <v>0.1</v>
      </c>
    </row>
    <row r="86" spans="1:8" x14ac:dyDescent="0.3">
      <c r="A86" t="str">
        <f t="shared" si="16"/>
        <v>3C Aggregated and non-CO2 emissions on land</v>
      </c>
      <c r="B86" t="str">
        <f t="shared" si="17"/>
        <v>3C4 Direct N2O from managed soils (N2O)</v>
      </c>
      <c r="C86" t="s">
        <v>391</v>
      </c>
      <c r="D86" t="str">
        <f t="shared" si="18"/>
        <v xml:space="preserve"> - Feedlot</v>
      </c>
      <c r="E86" t="str">
        <f t="shared" ref="E86:E130" si="19">C86&amp;D86</f>
        <v>FracMM - Feedlot</v>
      </c>
      <c r="F86" t="s">
        <v>327</v>
      </c>
      <c r="H86" s="22">
        <v>1</v>
      </c>
    </row>
    <row r="87" spans="1:8" x14ac:dyDescent="0.3">
      <c r="A87" t="str">
        <f t="shared" si="16"/>
        <v>3C Aggregated and non-CO2 emissions on land</v>
      </c>
      <c r="B87" t="str">
        <f t="shared" si="17"/>
        <v>3C4 Direct N2O from managed soils (N2O)</v>
      </c>
      <c r="C87" t="s">
        <v>391</v>
      </c>
      <c r="D87" t="str">
        <f t="shared" si="18"/>
        <v xml:space="preserve"> - Commercial sheep</v>
      </c>
      <c r="E87" t="str">
        <f t="shared" si="19"/>
        <v>FracMM - Commercial sheep</v>
      </c>
      <c r="F87" t="s">
        <v>327</v>
      </c>
      <c r="H87" s="22">
        <v>0.01</v>
      </c>
    </row>
    <row r="88" spans="1:8" x14ac:dyDescent="0.3">
      <c r="A88" t="str">
        <f t="shared" si="16"/>
        <v>3C Aggregated and non-CO2 emissions on land</v>
      </c>
      <c r="B88" t="str">
        <f t="shared" si="17"/>
        <v>3C4 Direct N2O from managed soils (N2O)</v>
      </c>
      <c r="C88" t="s">
        <v>391</v>
      </c>
      <c r="D88" t="str">
        <f t="shared" si="18"/>
        <v xml:space="preserve"> - Subsistence sheep</v>
      </c>
      <c r="E88" t="str">
        <f t="shared" si="19"/>
        <v>FracMM - Subsistence sheep</v>
      </c>
      <c r="F88" t="s">
        <v>327</v>
      </c>
      <c r="H88" s="22">
        <v>7.0000000000000007E-2</v>
      </c>
    </row>
    <row r="89" spans="1:8" x14ac:dyDescent="0.3">
      <c r="A89" t="str">
        <f t="shared" si="16"/>
        <v>3C Aggregated and non-CO2 emissions on land</v>
      </c>
      <c r="B89" t="str">
        <f t="shared" si="17"/>
        <v>3C4 Direct N2O from managed soils (N2O)</v>
      </c>
      <c r="C89" t="s">
        <v>391</v>
      </c>
      <c r="D89" t="str">
        <f t="shared" si="18"/>
        <v xml:space="preserve"> - Commercial goats</v>
      </c>
      <c r="E89" t="str">
        <f t="shared" si="19"/>
        <v>FracMM - Commercial goats</v>
      </c>
      <c r="F89" t="s">
        <v>327</v>
      </c>
      <c r="H89" s="22">
        <v>0.01</v>
      </c>
    </row>
    <row r="90" spans="1:8" x14ac:dyDescent="0.3">
      <c r="A90" t="str">
        <f t="shared" si="16"/>
        <v>3C Aggregated and non-CO2 emissions on land</v>
      </c>
      <c r="B90" t="str">
        <f t="shared" si="17"/>
        <v>3C4 Direct N2O from managed soils (N2O)</v>
      </c>
      <c r="C90" t="s">
        <v>391</v>
      </c>
      <c r="D90" t="str">
        <f t="shared" si="18"/>
        <v xml:space="preserve"> - Subsistence goats</v>
      </c>
      <c r="E90" t="str">
        <f t="shared" si="19"/>
        <v>FracMM - Subsistence goats</v>
      </c>
      <c r="F90" t="s">
        <v>327</v>
      </c>
      <c r="H90" s="22">
        <v>7.0000000000000007E-2</v>
      </c>
    </row>
    <row r="91" spans="1:8" x14ac:dyDescent="0.3">
      <c r="A91" t="str">
        <f t="shared" si="16"/>
        <v>3C Aggregated and non-CO2 emissions on land</v>
      </c>
      <c r="B91" t="str">
        <f t="shared" si="17"/>
        <v>3C4 Direct N2O from managed soils (N2O)</v>
      </c>
      <c r="C91" t="s">
        <v>391</v>
      </c>
      <c r="D91" t="str">
        <f t="shared" si="18"/>
        <v xml:space="preserve"> - Horses</v>
      </c>
      <c r="E91" t="str">
        <f t="shared" si="19"/>
        <v>FracMM - Horses</v>
      </c>
      <c r="F91" t="s">
        <v>327</v>
      </c>
      <c r="H91" s="22">
        <v>0</v>
      </c>
    </row>
    <row r="92" spans="1:8" x14ac:dyDescent="0.3">
      <c r="A92" t="str">
        <f t="shared" si="16"/>
        <v>3C Aggregated and non-CO2 emissions on land</v>
      </c>
      <c r="B92" t="str">
        <f t="shared" si="17"/>
        <v>3C4 Direct N2O from managed soils (N2O)</v>
      </c>
      <c r="C92" t="s">
        <v>391</v>
      </c>
      <c r="D92" t="str">
        <f t="shared" si="18"/>
        <v xml:space="preserve"> - Mules &amp; Asses</v>
      </c>
      <c r="E92" t="str">
        <f t="shared" si="19"/>
        <v>FracMM - Mules &amp; Asses</v>
      </c>
      <c r="F92" t="s">
        <v>327</v>
      </c>
      <c r="H92" s="22">
        <v>0</v>
      </c>
    </row>
    <row r="93" spans="1:8" x14ac:dyDescent="0.3">
      <c r="A93" t="str">
        <f t="shared" si="16"/>
        <v>3C Aggregated and non-CO2 emissions on land</v>
      </c>
      <c r="B93" t="str">
        <f t="shared" si="17"/>
        <v>3C4 Direct N2O from managed soils (N2O)</v>
      </c>
      <c r="C93" t="s">
        <v>391</v>
      </c>
      <c r="D93" t="str">
        <f t="shared" si="18"/>
        <v xml:space="preserve"> - Commercial swine</v>
      </c>
      <c r="E93" t="str">
        <f t="shared" si="19"/>
        <v>FracMM - Commercial swine</v>
      </c>
      <c r="F93" t="s">
        <v>327</v>
      </c>
      <c r="H93" s="22">
        <v>1</v>
      </c>
    </row>
    <row r="94" spans="1:8" x14ac:dyDescent="0.3">
      <c r="A94" t="str">
        <f t="shared" si="16"/>
        <v>3C Aggregated and non-CO2 emissions on land</v>
      </c>
      <c r="B94" t="str">
        <f t="shared" si="17"/>
        <v>3C4 Direct N2O from managed soils (N2O)</v>
      </c>
      <c r="C94" t="s">
        <v>391</v>
      </c>
      <c r="D94" t="str">
        <f t="shared" si="18"/>
        <v xml:space="preserve"> - Subsistence swine</v>
      </c>
      <c r="E94" t="str">
        <f t="shared" si="19"/>
        <v>FracMM - Subsistence swine</v>
      </c>
      <c r="F94" t="s">
        <v>327</v>
      </c>
      <c r="H94" s="22">
        <v>1</v>
      </c>
    </row>
    <row r="95" spans="1:8" x14ac:dyDescent="0.3">
      <c r="A95" t="str">
        <f t="shared" si="16"/>
        <v>3C Aggregated and non-CO2 emissions on land</v>
      </c>
      <c r="B95" t="str">
        <f t="shared" si="17"/>
        <v>3C4 Direct N2O from managed soils (N2O)</v>
      </c>
      <c r="C95" t="s">
        <v>391</v>
      </c>
      <c r="D95" t="str">
        <f t="shared" si="18"/>
        <v xml:space="preserve"> - Commercial layers</v>
      </c>
      <c r="E95" t="str">
        <f t="shared" si="19"/>
        <v>FracMM - Commercial layers</v>
      </c>
      <c r="F95" t="s">
        <v>327</v>
      </c>
      <c r="H95" s="22">
        <v>1</v>
      </c>
    </row>
    <row r="96" spans="1:8" x14ac:dyDescent="0.3">
      <c r="A96" t="str">
        <f t="shared" si="16"/>
        <v>3C Aggregated and non-CO2 emissions on land</v>
      </c>
      <c r="B96" t="str">
        <f t="shared" si="17"/>
        <v>3C4 Direct N2O from managed soils (N2O)</v>
      </c>
      <c r="C96" t="s">
        <v>391</v>
      </c>
      <c r="D96" t="str">
        <f t="shared" si="18"/>
        <v xml:space="preserve"> - Commercial broilers</v>
      </c>
      <c r="E96" t="str">
        <f t="shared" si="19"/>
        <v>FracMM - Commercial broilers</v>
      </c>
      <c r="F96" t="s">
        <v>327</v>
      </c>
      <c r="H96" s="22">
        <v>1</v>
      </c>
    </row>
    <row r="97" spans="1:8" x14ac:dyDescent="0.3">
      <c r="A97" t="str">
        <f t="shared" si="16"/>
        <v>3C Aggregated and non-CO2 emissions on land</v>
      </c>
      <c r="B97" t="str">
        <f t="shared" si="17"/>
        <v>3C4 Direct N2O from managed soils (N2O)</v>
      </c>
      <c r="C97" t="s">
        <v>391</v>
      </c>
      <c r="D97" t="str">
        <f t="shared" si="18"/>
        <v xml:space="preserve"> - Subsistence layers</v>
      </c>
      <c r="E97" t="str">
        <f t="shared" si="19"/>
        <v>FracMM - Subsistence layers</v>
      </c>
      <c r="F97" t="s">
        <v>327</v>
      </c>
      <c r="H97" s="22">
        <v>1</v>
      </c>
    </row>
    <row r="98" spans="1:8" x14ac:dyDescent="0.3">
      <c r="A98" t="str">
        <f t="shared" si="16"/>
        <v>3C Aggregated and non-CO2 emissions on land</v>
      </c>
      <c r="B98" t="str">
        <f t="shared" si="17"/>
        <v>3C4 Direct N2O from managed soils (N2O)</v>
      </c>
      <c r="C98" t="s">
        <v>391</v>
      </c>
      <c r="D98" t="str">
        <f t="shared" si="18"/>
        <v xml:space="preserve"> - Subsistence broilers</v>
      </c>
      <c r="E98" t="str">
        <f t="shared" si="19"/>
        <v>FracMM - Subsistence broilers</v>
      </c>
      <c r="F98" t="s">
        <v>327</v>
      </c>
      <c r="H98" s="22">
        <v>1</v>
      </c>
    </row>
    <row r="99" spans="1:8" x14ac:dyDescent="0.3">
      <c r="A99" t="str">
        <f t="shared" si="16"/>
        <v>3C Aggregated and non-CO2 emissions on land</v>
      </c>
      <c r="B99" t="str">
        <f t="shared" si="17"/>
        <v>3C4 Direct N2O from managed soils (N2O)</v>
      </c>
      <c r="C99" t="s">
        <v>404</v>
      </c>
      <c r="D99" t="str">
        <f t="shared" si="18"/>
        <v xml:space="preserve"> - TMR</v>
      </c>
      <c r="E99" t="str">
        <f t="shared" si="19"/>
        <v>FracLoss - TMR</v>
      </c>
      <c r="F99" t="s">
        <v>327</v>
      </c>
      <c r="H99" s="22">
        <v>0.73199999999999998</v>
      </c>
    </row>
    <row r="100" spans="1:8" x14ac:dyDescent="0.3">
      <c r="A100" t="str">
        <f t="shared" si="16"/>
        <v>3C Aggregated and non-CO2 emissions on land</v>
      </c>
      <c r="B100" t="str">
        <f t="shared" si="17"/>
        <v>3C4 Direct N2O from managed soils (N2O)</v>
      </c>
      <c r="C100" t="s">
        <v>404</v>
      </c>
      <c r="D100" t="str">
        <f t="shared" si="18"/>
        <v xml:space="preserve"> - Pasture</v>
      </c>
      <c r="E100" t="str">
        <f t="shared" si="19"/>
        <v>FracLoss - Pasture</v>
      </c>
      <c r="F100" t="s">
        <v>327</v>
      </c>
      <c r="H100" s="22">
        <v>0.155</v>
      </c>
    </row>
    <row r="101" spans="1:8" x14ac:dyDescent="0.3">
      <c r="A101" t="str">
        <f t="shared" si="16"/>
        <v>3C Aggregated and non-CO2 emissions on land</v>
      </c>
      <c r="B101" t="str">
        <f t="shared" si="17"/>
        <v>3C4 Direct N2O from managed soils (N2O)</v>
      </c>
      <c r="C101" t="s">
        <v>404</v>
      </c>
      <c r="D101" t="str">
        <f t="shared" si="18"/>
        <v xml:space="preserve"> - Non-lactating</v>
      </c>
      <c r="E101" t="str">
        <f t="shared" si="19"/>
        <v>FracLoss - Non-lactating</v>
      </c>
      <c r="F101" t="s">
        <v>327</v>
      </c>
      <c r="H101" s="22">
        <v>1.7999999999999999E-2</v>
      </c>
    </row>
    <row r="102" spans="1:8" x14ac:dyDescent="0.3">
      <c r="A102" t="str">
        <f t="shared" si="16"/>
        <v>3C Aggregated and non-CO2 emissions on land</v>
      </c>
      <c r="B102" t="str">
        <f t="shared" si="17"/>
        <v>3C4 Direct N2O from managed soils (N2O)</v>
      </c>
      <c r="C102" t="s">
        <v>404</v>
      </c>
      <c r="D102" t="str">
        <f t="shared" si="18"/>
        <v xml:space="preserve"> - Commercial cattle</v>
      </c>
      <c r="E102" t="str">
        <f t="shared" si="19"/>
        <v>FracLoss - Commercial cattle</v>
      </c>
      <c r="F102" t="s">
        <v>327</v>
      </c>
      <c r="H102" s="22">
        <v>0.01</v>
      </c>
    </row>
    <row r="103" spans="1:8" x14ac:dyDescent="0.3">
      <c r="A103" t="str">
        <f t="shared" si="16"/>
        <v>3C Aggregated and non-CO2 emissions on land</v>
      </c>
      <c r="B103" t="str">
        <f t="shared" si="17"/>
        <v>3C4 Direct N2O from managed soils (N2O)</v>
      </c>
      <c r="C103" t="s">
        <v>404</v>
      </c>
      <c r="D103" t="str">
        <f t="shared" si="18"/>
        <v xml:space="preserve"> - Subsistence cattle</v>
      </c>
      <c r="E103" t="str">
        <f t="shared" si="19"/>
        <v>FracLoss - Subsistence cattle</v>
      </c>
      <c r="F103" t="s">
        <v>327</v>
      </c>
      <c r="H103" s="22">
        <v>0.04</v>
      </c>
    </row>
    <row r="104" spans="1:8" x14ac:dyDescent="0.3">
      <c r="A104" t="str">
        <f t="shared" si="16"/>
        <v>3C Aggregated and non-CO2 emissions on land</v>
      </c>
      <c r="B104" t="str">
        <f t="shared" si="17"/>
        <v>3C4 Direct N2O from managed soils (N2O)</v>
      </c>
      <c r="C104" t="s">
        <v>404</v>
      </c>
      <c r="D104" t="str">
        <f t="shared" si="18"/>
        <v xml:space="preserve"> - Feedlot</v>
      </c>
      <c r="E104" t="str">
        <f t="shared" si="19"/>
        <v>FracLoss - Feedlot</v>
      </c>
      <c r="F104" t="s">
        <v>327</v>
      </c>
      <c r="H104" s="22">
        <v>0.38600000000000001</v>
      </c>
    </row>
    <row r="105" spans="1:8" x14ac:dyDescent="0.3">
      <c r="A105" t="str">
        <f t="shared" si="16"/>
        <v>3C Aggregated and non-CO2 emissions on land</v>
      </c>
      <c r="B105" t="str">
        <f t="shared" si="17"/>
        <v>3C4 Direct N2O from managed soils (N2O)</v>
      </c>
      <c r="C105" t="s">
        <v>404</v>
      </c>
      <c r="D105" t="str">
        <f t="shared" si="18"/>
        <v xml:space="preserve"> - Commercial sheep</v>
      </c>
      <c r="E105" t="str">
        <f t="shared" si="19"/>
        <v>FracLoss - Commercial sheep</v>
      </c>
      <c r="F105" t="s">
        <v>327</v>
      </c>
      <c r="H105" s="22">
        <v>4.0000000000000001E-3</v>
      </c>
    </row>
    <row r="106" spans="1:8" x14ac:dyDescent="0.3">
      <c r="A106" t="str">
        <f t="shared" si="16"/>
        <v>3C Aggregated and non-CO2 emissions on land</v>
      </c>
      <c r="B106" t="str">
        <f t="shared" si="17"/>
        <v>3C4 Direct N2O from managed soils (N2O)</v>
      </c>
      <c r="C106" t="s">
        <v>404</v>
      </c>
      <c r="D106" t="str">
        <f t="shared" si="18"/>
        <v xml:space="preserve"> - Subsistence sheep</v>
      </c>
      <c r="E106" t="str">
        <f t="shared" si="19"/>
        <v>FracLoss - Subsistence sheep</v>
      </c>
      <c r="F106" t="s">
        <v>327</v>
      </c>
      <c r="H106" s="22">
        <v>2.5499999999999998E-2</v>
      </c>
    </row>
    <row r="107" spans="1:8" x14ac:dyDescent="0.3">
      <c r="A107" t="str">
        <f t="shared" si="16"/>
        <v>3C Aggregated and non-CO2 emissions on land</v>
      </c>
      <c r="B107" t="str">
        <f t="shared" si="17"/>
        <v>3C4 Direct N2O from managed soils (N2O)</v>
      </c>
      <c r="C107" t="s">
        <v>404</v>
      </c>
      <c r="D107" t="str">
        <f t="shared" si="18"/>
        <v xml:space="preserve"> - Commercial goats</v>
      </c>
      <c r="E107" t="str">
        <f t="shared" si="19"/>
        <v>FracLoss - Commercial goats</v>
      </c>
      <c r="F107" t="s">
        <v>327</v>
      </c>
      <c r="H107" s="22">
        <v>4.0000000000000001E-3</v>
      </c>
    </row>
    <row r="108" spans="1:8" x14ac:dyDescent="0.3">
      <c r="A108" t="str">
        <f t="shared" si="16"/>
        <v>3C Aggregated and non-CO2 emissions on land</v>
      </c>
      <c r="B108" t="str">
        <f t="shared" si="17"/>
        <v>3C4 Direct N2O from managed soils (N2O)</v>
      </c>
      <c r="C108" t="s">
        <v>404</v>
      </c>
      <c r="D108" t="str">
        <f t="shared" si="18"/>
        <v xml:space="preserve"> - Subsistence goats</v>
      </c>
      <c r="E108" t="str">
        <f t="shared" si="19"/>
        <v>FracLoss - Subsistence goats</v>
      </c>
      <c r="F108" t="s">
        <v>327</v>
      </c>
      <c r="H108" s="22">
        <v>2.5499999999999998E-2</v>
      </c>
    </row>
    <row r="109" spans="1:8" x14ac:dyDescent="0.3">
      <c r="A109" t="str">
        <f t="shared" si="16"/>
        <v>3C Aggregated and non-CO2 emissions on land</v>
      </c>
      <c r="B109" t="str">
        <f t="shared" si="17"/>
        <v>3C4 Direct N2O from managed soils (N2O)</v>
      </c>
      <c r="C109" t="s">
        <v>404</v>
      </c>
      <c r="D109" t="str">
        <f t="shared" si="18"/>
        <v xml:space="preserve"> - Horses</v>
      </c>
      <c r="E109" t="str">
        <f t="shared" si="19"/>
        <v>FracLoss - Horses</v>
      </c>
      <c r="F109" t="s">
        <v>327</v>
      </c>
      <c r="H109" s="22">
        <v>0</v>
      </c>
    </row>
    <row r="110" spans="1:8" x14ac:dyDescent="0.3">
      <c r="A110" t="str">
        <f t="shared" si="16"/>
        <v>3C Aggregated and non-CO2 emissions on land</v>
      </c>
      <c r="B110" t="str">
        <f t="shared" si="17"/>
        <v>3C4 Direct N2O from managed soils (N2O)</v>
      </c>
      <c r="C110" t="s">
        <v>404</v>
      </c>
      <c r="D110" t="str">
        <f t="shared" si="18"/>
        <v xml:space="preserve"> - Mules &amp; Asses</v>
      </c>
      <c r="E110" t="str">
        <f t="shared" si="19"/>
        <v>FracLoss - Mules &amp; Asses</v>
      </c>
      <c r="F110" t="s">
        <v>327</v>
      </c>
      <c r="H110" s="22">
        <v>0</v>
      </c>
    </row>
    <row r="111" spans="1:8" x14ac:dyDescent="0.3">
      <c r="A111" t="str">
        <f t="shared" si="16"/>
        <v>3C Aggregated and non-CO2 emissions on land</v>
      </c>
      <c r="B111" t="str">
        <f t="shared" si="17"/>
        <v>3C4 Direct N2O from managed soils (N2O)</v>
      </c>
      <c r="C111" t="s">
        <v>404</v>
      </c>
      <c r="D111" t="str">
        <f t="shared" si="18"/>
        <v xml:space="preserve"> - Commercial swine</v>
      </c>
      <c r="E111" t="str">
        <f t="shared" si="19"/>
        <v>FracLoss - Commercial swine</v>
      </c>
      <c r="F111" t="s">
        <v>327</v>
      </c>
      <c r="H111" s="22">
        <v>0.6522</v>
      </c>
    </row>
    <row r="112" spans="1:8" x14ac:dyDescent="0.3">
      <c r="A112" t="str">
        <f t="shared" si="16"/>
        <v>3C Aggregated and non-CO2 emissions on land</v>
      </c>
      <c r="B112" t="str">
        <f t="shared" si="17"/>
        <v>3C4 Direct N2O from managed soils (N2O)</v>
      </c>
      <c r="C112" t="s">
        <v>404</v>
      </c>
      <c r="D112" t="str">
        <f t="shared" si="18"/>
        <v xml:space="preserve"> - Subsistence swine</v>
      </c>
      <c r="E112" t="str">
        <f t="shared" si="19"/>
        <v>FracLoss - Subsistence swine</v>
      </c>
      <c r="F112" t="s">
        <v>327</v>
      </c>
      <c r="H112" s="22">
        <v>0.40959999999999996</v>
      </c>
    </row>
    <row r="113" spans="1:8" x14ac:dyDescent="0.3">
      <c r="A113" t="str">
        <f t="shared" ref="A113:A130" si="20">A112</f>
        <v>3C Aggregated and non-CO2 emissions on land</v>
      </c>
      <c r="B113" t="str">
        <f t="shared" ref="B113:B130" si="21">B112</f>
        <v>3C4 Direct N2O from managed soils (N2O)</v>
      </c>
      <c r="C113" t="s">
        <v>404</v>
      </c>
      <c r="D113" t="str">
        <f t="shared" si="18"/>
        <v xml:space="preserve"> - Commercial layers</v>
      </c>
      <c r="E113" t="str">
        <f t="shared" si="19"/>
        <v>FracLoss - Commercial layers</v>
      </c>
      <c r="F113" t="s">
        <v>327</v>
      </c>
      <c r="H113" s="22">
        <v>0.29599999999999999</v>
      </c>
    </row>
    <row r="114" spans="1:8" x14ac:dyDescent="0.3">
      <c r="A114" t="str">
        <f t="shared" si="20"/>
        <v>3C Aggregated and non-CO2 emissions on land</v>
      </c>
      <c r="B114" t="str">
        <f t="shared" si="21"/>
        <v>3C4 Direct N2O from managed soils (N2O)</v>
      </c>
      <c r="C114" t="s">
        <v>404</v>
      </c>
      <c r="D114" t="str">
        <f t="shared" si="18"/>
        <v xml:space="preserve"> - Commercial broilers</v>
      </c>
      <c r="E114" t="str">
        <f t="shared" si="19"/>
        <v>FracLoss - Commercial broilers</v>
      </c>
      <c r="F114" t="s">
        <v>327</v>
      </c>
      <c r="H114" s="22">
        <v>0.24</v>
      </c>
    </row>
    <row r="115" spans="1:8" x14ac:dyDescent="0.3">
      <c r="A115" t="str">
        <f t="shared" si="20"/>
        <v>3C Aggregated and non-CO2 emissions on land</v>
      </c>
      <c r="B115" t="str">
        <f t="shared" si="21"/>
        <v>3C4 Direct N2O from managed soils (N2O)</v>
      </c>
      <c r="C115" t="s">
        <v>408</v>
      </c>
      <c r="D115" t="str">
        <f t="shared" ref="D115:D130" si="22">D99</f>
        <v xml:space="preserve"> - TMR</v>
      </c>
      <c r="E115" t="str">
        <f t="shared" si="19"/>
        <v>N bedding - TMR</v>
      </c>
      <c r="F115" t="str">
        <f t="shared" ref="F115:F130" si="23">F114</f>
        <v>Fraction</v>
      </c>
      <c r="H115" s="22">
        <v>0</v>
      </c>
    </row>
    <row r="116" spans="1:8" x14ac:dyDescent="0.3">
      <c r="A116" t="str">
        <f t="shared" si="20"/>
        <v>3C Aggregated and non-CO2 emissions on land</v>
      </c>
      <c r="B116" t="str">
        <f t="shared" si="21"/>
        <v>3C4 Direct N2O from managed soils (N2O)</v>
      </c>
      <c r="C116" t="s">
        <v>408</v>
      </c>
      <c r="D116" t="str">
        <f t="shared" si="22"/>
        <v xml:space="preserve"> - Pasture</v>
      </c>
      <c r="E116" t="str">
        <f t="shared" si="19"/>
        <v>N bedding - Pasture</v>
      </c>
      <c r="F116" t="str">
        <f t="shared" si="23"/>
        <v>Fraction</v>
      </c>
      <c r="H116" s="22">
        <v>0.7</v>
      </c>
    </row>
    <row r="117" spans="1:8" x14ac:dyDescent="0.3">
      <c r="A117" t="str">
        <f t="shared" si="20"/>
        <v>3C Aggregated and non-CO2 emissions on land</v>
      </c>
      <c r="B117" t="str">
        <f t="shared" si="21"/>
        <v>3C4 Direct N2O from managed soils (N2O)</v>
      </c>
      <c r="C117" t="s">
        <v>408</v>
      </c>
      <c r="D117" t="str">
        <f t="shared" si="22"/>
        <v xml:space="preserve"> - Non-lactating</v>
      </c>
      <c r="E117" t="str">
        <f t="shared" si="19"/>
        <v>N bedding - Non-lactating</v>
      </c>
      <c r="F117" t="str">
        <f t="shared" si="23"/>
        <v>Fraction</v>
      </c>
      <c r="H117" s="22">
        <v>0.08</v>
      </c>
    </row>
    <row r="118" spans="1:8" x14ac:dyDescent="0.3">
      <c r="A118" t="str">
        <f t="shared" si="20"/>
        <v>3C Aggregated and non-CO2 emissions on land</v>
      </c>
      <c r="B118" t="str">
        <f t="shared" si="21"/>
        <v>3C4 Direct N2O from managed soils (N2O)</v>
      </c>
      <c r="C118" t="s">
        <v>408</v>
      </c>
      <c r="D118" t="str">
        <f t="shared" si="22"/>
        <v xml:space="preserve"> - Commercial cattle</v>
      </c>
      <c r="E118" t="str">
        <f t="shared" si="19"/>
        <v>N bedding - Commercial cattle</v>
      </c>
      <c r="F118" t="str">
        <f t="shared" si="23"/>
        <v>Fraction</v>
      </c>
      <c r="H118" s="22">
        <v>0</v>
      </c>
    </row>
    <row r="119" spans="1:8" x14ac:dyDescent="0.3">
      <c r="A119" t="str">
        <f t="shared" si="20"/>
        <v>3C Aggregated and non-CO2 emissions on land</v>
      </c>
      <c r="B119" t="str">
        <f t="shared" si="21"/>
        <v>3C4 Direct N2O from managed soils (N2O)</v>
      </c>
      <c r="C119" t="s">
        <v>408</v>
      </c>
      <c r="D119" t="str">
        <f t="shared" si="22"/>
        <v xml:space="preserve"> - Subsistence cattle</v>
      </c>
      <c r="E119" t="str">
        <f t="shared" si="19"/>
        <v>N bedding - Subsistence cattle</v>
      </c>
      <c r="F119" t="str">
        <f t="shared" si="23"/>
        <v>Fraction</v>
      </c>
      <c r="H119" s="22">
        <v>0.4</v>
      </c>
    </row>
    <row r="120" spans="1:8" x14ac:dyDescent="0.3">
      <c r="A120" t="str">
        <f t="shared" si="20"/>
        <v>3C Aggregated and non-CO2 emissions on land</v>
      </c>
      <c r="B120" t="str">
        <f t="shared" si="21"/>
        <v>3C4 Direct N2O from managed soils (N2O)</v>
      </c>
      <c r="C120" t="s">
        <v>408</v>
      </c>
      <c r="D120" t="str">
        <f t="shared" si="22"/>
        <v xml:space="preserve"> - Feedlot</v>
      </c>
      <c r="E120" t="str">
        <f t="shared" si="19"/>
        <v>N bedding - Feedlot</v>
      </c>
      <c r="F120" t="str">
        <f t="shared" si="23"/>
        <v>Fraction</v>
      </c>
      <c r="H120" s="22">
        <v>0</v>
      </c>
    </row>
    <row r="121" spans="1:8" x14ac:dyDescent="0.3">
      <c r="A121" t="str">
        <f t="shared" si="20"/>
        <v>3C Aggregated and non-CO2 emissions on land</v>
      </c>
      <c r="B121" t="str">
        <f t="shared" si="21"/>
        <v>3C4 Direct N2O from managed soils (N2O)</v>
      </c>
      <c r="C121" t="s">
        <v>408</v>
      </c>
      <c r="D121" t="str">
        <f t="shared" si="22"/>
        <v xml:space="preserve"> - Commercial sheep</v>
      </c>
      <c r="E121" t="str">
        <f t="shared" si="19"/>
        <v>N bedding - Commercial sheep</v>
      </c>
      <c r="F121" t="str">
        <f t="shared" si="23"/>
        <v>Fraction</v>
      </c>
      <c r="H121" s="22">
        <v>0</v>
      </c>
    </row>
    <row r="122" spans="1:8" x14ac:dyDescent="0.3">
      <c r="A122" t="str">
        <f t="shared" si="20"/>
        <v>3C Aggregated and non-CO2 emissions on land</v>
      </c>
      <c r="B122" t="str">
        <f t="shared" si="21"/>
        <v>3C4 Direct N2O from managed soils (N2O)</v>
      </c>
      <c r="C122" t="s">
        <v>408</v>
      </c>
      <c r="D122" t="str">
        <f t="shared" si="22"/>
        <v xml:space="preserve"> - Subsistence sheep</v>
      </c>
      <c r="E122" t="str">
        <f t="shared" si="19"/>
        <v>N bedding - Subsistence sheep</v>
      </c>
      <c r="F122" t="str">
        <f t="shared" si="23"/>
        <v>Fraction</v>
      </c>
      <c r="H122" s="22">
        <v>0</v>
      </c>
    </row>
    <row r="123" spans="1:8" x14ac:dyDescent="0.3">
      <c r="A123" t="str">
        <f t="shared" si="20"/>
        <v>3C Aggregated and non-CO2 emissions on land</v>
      </c>
      <c r="B123" t="str">
        <f t="shared" si="21"/>
        <v>3C4 Direct N2O from managed soils (N2O)</v>
      </c>
      <c r="C123" t="s">
        <v>408</v>
      </c>
      <c r="D123" t="str">
        <f t="shared" si="22"/>
        <v xml:space="preserve"> - Commercial goats</v>
      </c>
      <c r="E123" t="str">
        <f t="shared" si="19"/>
        <v>N bedding - Commercial goats</v>
      </c>
      <c r="F123" t="str">
        <f t="shared" si="23"/>
        <v>Fraction</v>
      </c>
      <c r="H123" s="22">
        <v>0</v>
      </c>
    </row>
    <row r="124" spans="1:8" x14ac:dyDescent="0.3">
      <c r="A124" t="str">
        <f t="shared" si="20"/>
        <v>3C Aggregated and non-CO2 emissions on land</v>
      </c>
      <c r="B124" t="str">
        <f t="shared" si="21"/>
        <v>3C4 Direct N2O from managed soils (N2O)</v>
      </c>
      <c r="C124" t="s">
        <v>408</v>
      </c>
      <c r="D124" t="str">
        <f t="shared" si="22"/>
        <v xml:space="preserve"> - Subsistence goats</v>
      </c>
      <c r="E124" t="str">
        <f t="shared" si="19"/>
        <v>N bedding - Subsistence goats</v>
      </c>
      <c r="F124" t="str">
        <f t="shared" si="23"/>
        <v>Fraction</v>
      </c>
      <c r="H124" s="22">
        <v>0</v>
      </c>
    </row>
    <row r="125" spans="1:8" x14ac:dyDescent="0.3">
      <c r="A125" t="str">
        <f t="shared" si="20"/>
        <v>3C Aggregated and non-CO2 emissions on land</v>
      </c>
      <c r="B125" t="str">
        <f t="shared" si="21"/>
        <v>3C4 Direct N2O from managed soils (N2O)</v>
      </c>
      <c r="C125" t="s">
        <v>408</v>
      </c>
      <c r="D125" t="str">
        <f t="shared" si="22"/>
        <v xml:space="preserve"> - Horses</v>
      </c>
      <c r="E125" t="str">
        <f t="shared" si="19"/>
        <v>N bedding - Horses</v>
      </c>
      <c r="F125" t="str">
        <f t="shared" si="23"/>
        <v>Fraction</v>
      </c>
      <c r="H125" s="22">
        <v>0</v>
      </c>
    </row>
    <row r="126" spans="1:8" x14ac:dyDescent="0.3">
      <c r="A126" t="str">
        <f t="shared" si="20"/>
        <v>3C Aggregated and non-CO2 emissions on land</v>
      </c>
      <c r="B126" t="str">
        <f t="shared" si="21"/>
        <v>3C4 Direct N2O from managed soils (N2O)</v>
      </c>
      <c r="C126" t="s">
        <v>408</v>
      </c>
      <c r="D126" t="str">
        <f t="shared" si="22"/>
        <v xml:space="preserve"> - Mules &amp; Asses</v>
      </c>
      <c r="E126" t="str">
        <f t="shared" si="19"/>
        <v>N bedding - Mules &amp; Asses</v>
      </c>
      <c r="F126" t="str">
        <f t="shared" si="23"/>
        <v>Fraction</v>
      </c>
      <c r="H126" s="22">
        <v>0</v>
      </c>
    </row>
    <row r="127" spans="1:8" x14ac:dyDescent="0.3">
      <c r="A127" t="str">
        <f t="shared" si="20"/>
        <v>3C Aggregated and non-CO2 emissions on land</v>
      </c>
      <c r="B127" t="str">
        <f t="shared" si="21"/>
        <v>3C4 Direct N2O from managed soils (N2O)</v>
      </c>
      <c r="C127" t="s">
        <v>408</v>
      </c>
      <c r="D127" t="str">
        <f t="shared" si="22"/>
        <v xml:space="preserve"> - Commercial swine</v>
      </c>
      <c r="E127" t="str">
        <f t="shared" si="19"/>
        <v>N bedding - Commercial swine</v>
      </c>
      <c r="F127" t="str">
        <f t="shared" si="23"/>
        <v>Fraction</v>
      </c>
      <c r="H127" s="22">
        <v>0</v>
      </c>
    </row>
    <row r="128" spans="1:8" x14ac:dyDescent="0.3">
      <c r="A128" t="str">
        <f t="shared" si="20"/>
        <v>3C Aggregated and non-CO2 emissions on land</v>
      </c>
      <c r="B128" t="str">
        <f t="shared" si="21"/>
        <v>3C4 Direct N2O from managed soils (N2O)</v>
      </c>
      <c r="C128" t="s">
        <v>408</v>
      </c>
      <c r="D128" t="str">
        <f t="shared" si="22"/>
        <v xml:space="preserve"> - Subsistence swine</v>
      </c>
      <c r="E128" t="str">
        <f t="shared" si="19"/>
        <v>N bedding - Subsistence swine</v>
      </c>
      <c r="F128" t="str">
        <f t="shared" si="23"/>
        <v>Fraction</v>
      </c>
      <c r="H128" s="22">
        <v>0</v>
      </c>
    </row>
    <row r="129" spans="1:10" x14ac:dyDescent="0.3">
      <c r="A129" t="str">
        <f t="shared" si="20"/>
        <v>3C Aggregated and non-CO2 emissions on land</v>
      </c>
      <c r="B129" t="str">
        <f t="shared" si="21"/>
        <v>3C4 Direct N2O from managed soils (N2O)</v>
      </c>
      <c r="C129" t="s">
        <v>408</v>
      </c>
      <c r="D129" t="str">
        <f t="shared" si="22"/>
        <v xml:space="preserve"> - Commercial layers</v>
      </c>
      <c r="E129" t="str">
        <f t="shared" si="19"/>
        <v>N bedding - Commercial layers</v>
      </c>
      <c r="F129" t="str">
        <f t="shared" si="23"/>
        <v>Fraction</v>
      </c>
      <c r="H129" s="22">
        <v>0</v>
      </c>
    </row>
    <row r="130" spans="1:10" x14ac:dyDescent="0.3">
      <c r="A130" t="str">
        <f t="shared" si="20"/>
        <v>3C Aggregated and non-CO2 emissions on land</v>
      </c>
      <c r="B130" t="str">
        <f t="shared" si="21"/>
        <v>3C4 Direct N2O from managed soils (N2O)</v>
      </c>
      <c r="C130" t="s">
        <v>408</v>
      </c>
      <c r="D130" t="str">
        <f t="shared" si="22"/>
        <v xml:space="preserve"> - Commercial broilers</v>
      </c>
      <c r="E130" t="str">
        <f t="shared" si="19"/>
        <v>N bedding - Commercial broilers</v>
      </c>
      <c r="F130" t="str">
        <f t="shared" si="23"/>
        <v>Fraction</v>
      </c>
      <c r="H130" s="22">
        <v>0</v>
      </c>
    </row>
    <row r="131" spans="1:10" ht="18.75" customHeight="1" x14ac:dyDescent="0.3">
      <c r="A131" s="20" t="s">
        <v>60</v>
      </c>
      <c r="B131" s="20"/>
      <c r="C131" s="20"/>
      <c r="D131" s="15"/>
      <c r="E131" s="15"/>
      <c r="F131" s="15"/>
      <c r="G131" s="15"/>
      <c r="H131" s="15"/>
      <c r="I131" s="15"/>
      <c r="J131" s="15"/>
    </row>
    <row r="132" spans="1:10" x14ac:dyDescent="0.3">
      <c r="A132" t="str">
        <f>'IPCC Categories'!A59</f>
        <v>3C Aggregated and non-CO2 emissions on land</v>
      </c>
      <c r="B132" t="str">
        <f>'IPCC Categories'!B73</f>
        <v>3C4 Direct N2O from managed soils (N2O)</v>
      </c>
      <c r="C132" t="str">
        <f>'IPCC Categories'!C77</f>
        <v>FSOM</v>
      </c>
      <c r="E132" t="s">
        <v>722</v>
      </c>
      <c r="F132" t="s">
        <v>327</v>
      </c>
      <c r="H132" s="26">
        <v>15</v>
      </c>
    </row>
    <row r="133" spans="1:10" x14ac:dyDescent="0.3">
      <c r="A133" t="str">
        <f>A132</f>
        <v>3C Aggregated and non-CO2 emissions on land</v>
      </c>
      <c r="B133" t="str">
        <f t="shared" ref="B133:C133" si="24">B132</f>
        <v>3C4 Direct N2O from managed soils (N2O)</v>
      </c>
      <c r="C133" t="str">
        <f t="shared" si="24"/>
        <v>FSOM</v>
      </c>
      <c r="E133" t="s">
        <v>723</v>
      </c>
      <c r="F133" t="s">
        <v>327</v>
      </c>
      <c r="H133" s="26">
        <v>15</v>
      </c>
    </row>
    <row r="134" spans="1:10" x14ac:dyDescent="0.3">
      <c r="A134" t="str">
        <f t="shared" ref="A134:A135" si="25">A133</f>
        <v>3C Aggregated and non-CO2 emissions on land</v>
      </c>
      <c r="B134" t="str">
        <f t="shared" ref="B134:B135" si="26">B133</f>
        <v>3C4 Direct N2O from managed soils (N2O)</v>
      </c>
      <c r="C134" t="str">
        <f t="shared" ref="C134:C135" si="27">C133</f>
        <v>FSOM</v>
      </c>
      <c r="E134" t="s">
        <v>724</v>
      </c>
      <c r="F134" t="s">
        <v>327</v>
      </c>
      <c r="H134" s="26">
        <v>10</v>
      </c>
    </row>
    <row r="135" spans="1:10" x14ac:dyDescent="0.3">
      <c r="A135" t="str">
        <f t="shared" si="25"/>
        <v>3C Aggregated and non-CO2 emissions on land</v>
      </c>
      <c r="B135" t="str">
        <f t="shared" si="26"/>
        <v>3C4 Direct N2O from managed soils (N2O)</v>
      </c>
      <c r="C135" t="str">
        <f t="shared" si="27"/>
        <v>FSOM</v>
      </c>
      <c r="E135" t="s">
        <v>725</v>
      </c>
      <c r="F135" t="s">
        <v>327</v>
      </c>
      <c r="H135" s="42">
        <f>+H133</f>
        <v>15</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66FF"/>
  </sheetPr>
  <dimension ref="A1:L8"/>
  <sheetViews>
    <sheetView workbookViewId="0">
      <selection activeCell="G8" sqref="G8:K8"/>
    </sheetView>
  </sheetViews>
  <sheetFormatPr defaultColWidth="8.77734375" defaultRowHeight="14.4" x14ac:dyDescent="0.3"/>
  <cols>
    <col min="1" max="1" width="21.33203125" customWidth="1"/>
    <col min="2" max="2" width="24.77734375" customWidth="1"/>
    <col min="3" max="3" width="16.77734375" customWidth="1"/>
    <col min="4" max="4" width="12.77734375" customWidth="1"/>
    <col min="5" max="5" width="42.44140625" customWidth="1"/>
    <col min="6" max="8" width="12.77734375" customWidth="1"/>
    <col min="9" max="9" width="12.6640625" customWidth="1"/>
    <col min="10" max="10" width="11.44140625" customWidth="1"/>
    <col min="11" max="11" width="11.6640625" customWidth="1"/>
    <col min="12" max="12" width="14.109375" customWidth="1"/>
  </cols>
  <sheetData>
    <row r="1" spans="1:12" ht="18" x14ac:dyDescent="0.35">
      <c r="A1" s="1" t="s">
        <v>876</v>
      </c>
    </row>
    <row r="3" spans="1:12" x14ac:dyDescent="0.3">
      <c r="G3">
        <v>1</v>
      </c>
      <c r="H3">
        <v>20</v>
      </c>
      <c r="I3">
        <v>33</v>
      </c>
      <c r="J3">
        <v>43</v>
      </c>
      <c r="K3">
        <v>53</v>
      </c>
    </row>
    <row r="4" spans="1:12" s="19" customFormat="1" ht="29.25" customHeight="1" x14ac:dyDescent="0.3">
      <c r="A4" s="17" t="s">
        <v>4</v>
      </c>
      <c r="B4" s="17" t="s">
        <v>313</v>
      </c>
      <c r="C4" s="17" t="s">
        <v>315</v>
      </c>
      <c r="D4" s="17" t="s">
        <v>149</v>
      </c>
      <c r="E4" s="17" t="s">
        <v>150</v>
      </c>
      <c r="F4" s="17" t="s">
        <v>0</v>
      </c>
      <c r="G4" s="17" t="s">
        <v>717</v>
      </c>
      <c r="H4" s="17" t="s">
        <v>717</v>
      </c>
      <c r="I4" s="17" t="s">
        <v>717</v>
      </c>
      <c r="J4" s="17" t="s">
        <v>717</v>
      </c>
      <c r="K4" s="17" t="s">
        <v>717</v>
      </c>
      <c r="L4" s="17" t="s">
        <v>842</v>
      </c>
    </row>
    <row r="5" spans="1:12" ht="18.75" customHeight="1" x14ac:dyDescent="0.3">
      <c r="A5" s="20" t="s">
        <v>814</v>
      </c>
      <c r="B5" s="20"/>
      <c r="C5" s="20"/>
      <c r="D5" s="15"/>
      <c r="E5" s="15"/>
      <c r="F5" s="15"/>
      <c r="G5" s="80">
        <v>2012</v>
      </c>
      <c r="H5" s="80">
        <v>2020</v>
      </c>
      <c r="I5" s="80">
        <v>2030</v>
      </c>
      <c r="J5" s="80">
        <v>2040</v>
      </c>
      <c r="K5" s="80">
        <v>2050</v>
      </c>
    </row>
    <row r="6" spans="1:12" x14ac:dyDescent="0.3">
      <c r="A6" t="str">
        <f>'IPCC Categories'!A5</f>
        <v>3A Livestock</v>
      </c>
      <c r="C6" t="str">
        <f>'IPCC Categories'!D6</f>
        <v>3A1aii Other cattle</v>
      </c>
      <c r="E6" t="s">
        <v>848</v>
      </c>
      <c r="F6" t="s">
        <v>327</v>
      </c>
      <c r="G6" s="42">
        <v>0.7</v>
      </c>
      <c r="H6" s="42">
        <v>0.74</v>
      </c>
      <c r="I6" s="42">
        <v>0.76</v>
      </c>
      <c r="J6" s="42">
        <v>0.8</v>
      </c>
      <c r="K6" s="42">
        <v>0.83</v>
      </c>
    </row>
    <row r="7" spans="1:12" x14ac:dyDescent="0.3">
      <c r="A7" t="str">
        <f>A6</f>
        <v>3A Livestock</v>
      </c>
      <c r="C7" t="str">
        <f>C6</f>
        <v>3A1aii Other cattle</v>
      </c>
      <c r="E7" t="s">
        <v>927</v>
      </c>
      <c r="F7" t="s">
        <v>327</v>
      </c>
      <c r="G7" s="42">
        <v>0.57999999999999996</v>
      </c>
      <c r="H7" s="42">
        <v>0.57999999999999996</v>
      </c>
      <c r="I7" s="42">
        <v>0.57999999999999996</v>
      </c>
      <c r="J7" s="42">
        <v>0.57999999999999996</v>
      </c>
      <c r="K7" s="42">
        <v>0.57999999999999996</v>
      </c>
    </row>
    <row r="8" spans="1:12" x14ac:dyDescent="0.3">
      <c r="A8" t="str">
        <f>A7</f>
        <v>3A Livestock</v>
      </c>
      <c r="C8" t="str">
        <f>C7</f>
        <v>3A1aii Other cattle</v>
      </c>
      <c r="E8" t="s">
        <v>850</v>
      </c>
      <c r="F8" t="s">
        <v>851</v>
      </c>
      <c r="G8" s="42">
        <v>120</v>
      </c>
      <c r="H8" s="42">
        <v>120</v>
      </c>
      <c r="I8" s="42">
        <v>120</v>
      </c>
      <c r="J8" s="42">
        <v>120</v>
      </c>
      <c r="K8" s="42">
        <v>120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2" tint="0.59999389629810485"/>
  </sheetPr>
  <dimension ref="A1:BO65"/>
  <sheetViews>
    <sheetView workbookViewId="0">
      <pane xSplit="1" ySplit="3" topLeftCell="W40" activePane="bottomRight" state="frozen"/>
      <selection pane="topRight" activeCell="B1" sqref="B1"/>
      <selection pane="bottomLeft" activeCell="A4" sqref="A4"/>
      <selection pane="bottomRight" activeCell="Y16" sqref="Y16"/>
    </sheetView>
  </sheetViews>
  <sheetFormatPr defaultColWidth="8.77734375" defaultRowHeight="14.4" x14ac:dyDescent="0.3"/>
  <cols>
    <col min="1" max="1" width="29.44140625" customWidth="1"/>
    <col min="2" max="2" width="12.77734375" customWidth="1"/>
    <col min="3" max="29" width="12.6640625" customWidth="1"/>
    <col min="30" max="30" width="13.77734375" customWidth="1"/>
    <col min="31" max="33" width="12.6640625" customWidth="1"/>
    <col min="34" max="35" width="11.44140625" customWidth="1"/>
    <col min="36" max="36" width="11.33203125" customWidth="1"/>
    <col min="37" max="63" width="11.44140625" bestFit="1" customWidth="1"/>
  </cols>
  <sheetData>
    <row r="1" spans="1:67" ht="18" x14ac:dyDescent="0.35">
      <c r="A1" s="1" t="s">
        <v>326</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53.622810793908592</v>
      </c>
      <c r="D4" s="22">
        <f>(Drivers!E5*1000000)/Drivers!E4</f>
        <v>53.886630809270308</v>
      </c>
      <c r="E4" s="22">
        <f>(Drivers!F5*1000000)/Drivers!F4</f>
        <v>54.134533706461163</v>
      </c>
      <c r="F4" s="22">
        <f>(Drivers!G5*1000000)/Drivers!G4</f>
        <v>54.406389846355005</v>
      </c>
      <c r="G4" s="22">
        <f>(Drivers!H5*1000000)/Drivers!H4</f>
        <v>54.75337493173852</v>
      </c>
      <c r="H4" s="22">
        <f>(Drivers!I5*1000000)/Drivers!I4</f>
        <v>55.209553668972752</v>
      </c>
      <c r="I4" s="22">
        <f>(Drivers!J5*1000000)/Drivers!J4</f>
        <v>56.431674723183619</v>
      </c>
      <c r="J4" s="22">
        <f>(Drivers!K5*1000000)/Drivers!K4</f>
        <v>56.893520613869519</v>
      </c>
      <c r="K4" s="22">
        <f>(Drivers!L5*1000000)/Drivers!L4</f>
        <v>56.380506744184068</v>
      </c>
      <c r="L4" s="22">
        <f>(Drivers!M5*1000000)/Drivers!M4</f>
        <v>57.045724513400089</v>
      </c>
      <c r="M4" s="22">
        <f>(Drivers!N5*1000000)/Drivers!N4</f>
        <v>58.722463215445629</v>
      </c>
      <c r="N4" s="22">
        <f>(Drivers!O5*1000000)/Drivers!O4</f>
        <v>59.625113875494769</v>
      </c>
      <c r="O4" s="22">
        <f>(Drivers!P5*1000000)/Drivers!P4</f>
        <v>61.113788430185018</v>
      </c>
      <c r="P4" s="22">
        <f>(Drivers!Q5*1000000)/Drivers!Q4</f>
        <v>62.170337979535532</v>
      </c>
      <c r="Q4" s="22">
        <f>(Drivers!R5*1000000)/Drivers!R4</f>
        <v>64.180209010668193</v>
      </c>
      <c r="R4" s="22">
        <f>(Drivers!S5*1000000)/Drivers!S4</f>
        <v>66.758299397046585</v>
      </c>
      <c r="S4" s="22">
        <f>(Drivers!T5*1000000)/Drivers!T4</f>
        <v>69.562904957951105</v>
      </c>
      <c r="T4" s="22">
        <f>(Drivers!U5*1000000)/Drivers!U4</f>
        <v>72.505988712436022</v>
      </c>
      <c r="U4" s="22">
        <f>(Drivers!V5*1000000)/Drivers!V4</f>
        <v>74.236547378688499</v>
      </c>
      <c r="V4" s="22">
        <f>(Drivers!W5*1000000)/Drivers!W4</f>
        <v>72.22799579918761</v>
      </c>
      <c r="W4" s="22">
        <f>(Drivers!X5*1000000)/Drivers!X4</f>
        <v>73.376760198387728</v>
      </c>
      <c r="X4" s="22">
        <f>(Drivers!Y5*1000000)/Drivers!Y4</f>
        <v>74.745825380003552</v>
      </c>
      <c r="Y4" s="22">
        <f>(Drivers!Z5*1000000)/Drivers!Z4</f>
        <v>76.09857338160414</v>
      </c>
      <c r="Z4" s="22">
        <f>(Drivers!AA5*1000000)/Drivers!AA4</f>
        <v>76.641958163345151</v>
      </c>
      <c r="AA4" s="22">
        <f>(Drivers!AB5*1000000)/Drivers!AB4</f>
        <v>77.466559353368922</v>
      </c>
      <c r="AB4" s="22">
        <f>(Drivers!AC5*1000000)/Drivers!AC4</f>
        <v>77.642841269428359</v>
      </c>
      <c r="AC4" s="22">
        <f>(Drivers!AD5*1000000)/Drivers!AD4</f>
        <v>77.390477552263718</v>
      </c>
      <c r="AD4" s="22">
        <f>(Drivers!AE5*1000000)/Drivers!AE4</f>
        <v>76.718703958036286</v>
      </c>
      <c r="AE4" s="22">
        <f>(Drivers!AF5*1000000)/Drivers!AF4</f>
        <v>76.346234365780091</v>
      </c>
      <c r="AF4" s="22">
        <f>(Drivers!AG5*1000000)/Drivers!AG4</f>
        <v>76.011493905854792</v>
      </c>
      <c r="AG4" s="22">
        <f>(Drivers!AH5*1000000)/Drivers!AH4</f>
        <v>69.604676773006986</v>
      </c>
      <c r="AH4" s="22">
        <f>(Drivers!AI5*1000000)/Drivers!AI4</f>
        <v>70.913203563801787</v>
      </c>
      <c r="AI4" s="22">
        <f>(Drivers!AJ5*1000000)/Drivers!AJ4</f>
        <v>72.991606079148625</v>
      </c>
      <c r="AJ4" s="22">
        <f>(Drivers!AK5*1000000)/Drivers!AK4</f>
        <v>73.758796097377726</v>
      </c>
      <c r="AK4" s="22">
        <f>(Drivers!AL5*1000000)/Drivers!AL4</f>
        <v>74.670478337972838</v>
      </c>
      <c r="AL4" s="22">
        <f>(Drivers!AM5*1000000)/Drivers!AM4</f>
        <v>75.774330988524255</v>
      </c>
      <c r="AM4" s="22">
        <f>(Drivers!AN5*1000000)/Drivers!AN4</f>
        <v>77.095122203777123</v>
      </c>
      <c r="AN4" s="22">
        <f>(Drivers!AO5*1000000)/Drivers!AO4</f>
        <v>78.563015387632774</v>
      </c>
      <c r="AO4" s="22">
        <f>(Drivers!AP5*1000000)/Drivers!AP4</f>
        <v>80.04835154583445</v>
      </c>
      <c r="AP4" s="22">
        <f>(Drivers!AQ5*1000000)/Drivers!AQ4</f>
        <v>81.666439697823293</v>
      </c>
      <c r="AQ4" s="22">
        <f>(Drivers!AR5*1000000)/Drivers!AR4</f>
        <v>83.290151926794778</v>
      </c>
      <c r="AR4" s="22">
        <f>(Drivers!AS5*1000000)/Drivers!AS4</f>
        <v>85.238071055254537</v>
      </c>
      <c r="AS4" s="22">
        <f>(Drivers!AT5*1000000)/Drivers!AT4</f>
        <v>87.114710889471425</v>
      </c>
      <c r="AT4" s="22">
        <f>(Drivers!AU5*1000000)/Drivers!AU4</f>
        <v>89.082602186097915</v>
      </c>
      <c r="AU4" s="22">
        <f>(Drivers!AV5*1000000)/Drivers!AV4</f>
        <v>91.333295330406301</v>
      </c>
      <c r="AV4" s="22">
        <f>(Drivers!AW5*1000000)/Drivers!AW4</f>
        <v>93.40713777222696</v>
      </c>
      <c r="AW4" s="22">
        <f>(Drivers!AX5*1000000)/Drivers!AX4</f>
        <v>95.696744031494632</v>
      </c>
      <c r="AX4" s="22">
        <f>(Drivers!AY5*1000000)/Drivers!AY4</f>
        <v>98.137819957365593</v>
      </c>
      <c r="AY4" s="22">
        <f>(Drivers!AZ5*1000000)/Drivers!AZ4</f>
        <v>100.3640497956749</v>
      </c>
      <c r="AZ4" s="22">
        <f>(Drivers!BA5*1000000)/Drivers!BA4</f>
        <v>102.54238102232262</v>
      </c>
      <c r="BA4" s="22">
        <f>(Drivers!BB5*1000000)/Drivers!BB4</f>
        <v>104.68063924575117</v>
      </c>
      <c r="BB4" s="22">
        <f>(Drivers!BC5*1000000)/Drivers!BC4</f>
        <v>107.12317409459948</v>
      </c>
      <c r="BC4" s="22">
        <f>(Drivers!BD5*1000000)/Drivers!BD4</f>
        <v>109.42616116465382</v>
      </c>
      <c r="BD4" s="22">
        <f>(Drivers!BE5*1000000)/Drivers!BE4</f>
        <v>111.80431361174497</v>
      </c>
      <c r="BE4" s="22">
        <f>(Drivers!BF5*1000000)/Drivers!BF4</f>
        <v>114.26944489689497</v>
      </c>
      <c r="BF4" s="22">
        <f>(Drivers!BG5*1000000)/Drivers!BG4</f>
        <v>116.84076257949079</v>
      </c>
      <c r="BG4" s="22">
        <f>(Drivers!BH5*1000000)/Drivers!BH4</f>
        <v>119.63406752976803</v>
      </c>
      <c r="BH4" s="22">
        <f>(Drivers!BI5*1000000)/Drivers!BI4</f>
        <v>120.09833327904703</v>
      </c>
      <c r="BI4" s="22">
        <f>(Drivers!BJ5*1000000)/Drivers!BJ4</f>
        <v>120.34239196388016</v>
      </c>
      <c r="BJ4" s="22">
        <f>(Drivers!BK5*1000000)/Drivers!BK4</f>
        <v>120.27384080532464</v>
      </c>
      <c r="BK4" s="22">
        <f>(Drivers!BL5*1000000)/Drivers!BL4</f>
        <v>120.11185911733742</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27">
        <f>((Data!$AJ$5*'Intermediate calculations'!Y4)+Data!$AK$5)*Drivers!Z4</f>
        <v>920446.2624380854</v>
      </c>
      <c r="Z5" s="27">
        <f>((Data!$AJ$5*'Intermediate calculations'!Z4)+Data!$AK$5)*Drivers!AA4</f>
        <v>941691.58339834888</v>
      </c>
      <c r="AA5" s="27">
        <f>((Data!$AJ$5*'Intermediate calculations'!AA4)+Data!$AK$5)*Drivers!AB4</f>
        <v>967640.07013586559</v>
      </c>
      <c r="AB5" s="27">
        <f>((Data!$AJ$5*'Intermediate calculations'!AB4)+Data!$AK$5)*Drivers!AC4</f>
        <v>985205.95615670993</v>
      </c>
      <c r="AC5" s="27">
        <f>((Data!$AJ$5*'Intermediate calculations'!AC4)+Data!$AK$5)*Drivers!AD4</f>
        <v>997182.14033234725</v>
      </c>
      <c r="AD5" s="27">
        <f>((Data!$AJ$5*'Intermediate calculations'!AD4)+Data!$AK$5)*Drivers!AE4</f>
        <v>1003428.5497078975</v>
      </c>
      <c r="AE5" s="27">
        <f>((Data!$AJ$5*'Intermediate calculations'!AE4)+Data!$AK$5)*Drivers!AF4</f>
        <v>1014063.5244529055</v>
      </c>
      <c r="AF5" s="27">
        <f>((Data!$AJ$5*'Intermediate calculations'!AF4)+Data!$AK$5)*Drivers!AG4</f>
        <v>1025355.6611865474</v>
      </c>
      <c r="AG5" s="27">
        <f>((Data!$AJ$5*'Intermediate calculations'!AG4)+Data!$AK$5)*Drivers!AH4</f>
        <v>942611.7054097075</v>
      </c>
      <c r="AH5" s="27">
        <f>((Data!$AJ$5*'Intermediate calculations'!AH4)+Data!$AK$5)*Drivers!AI4</f>
        <v>973984.9223148895</v>
      </c>
      <c r="AI5" s="27">
        <f>((Data!$AJ$5*'Intermediate calculations'!AI4)+Data!$AK$5)*Drivers!AJ4</f>
        <v>1018167.5548834999</v>
      </c>
      <c r="AJ5" s="27">
        <f>((Data!$AJ$5*'Intermediate calculations'!AJ4)+Data!$AK$5)*Drivers!AK4</f>
        <v>1042200.3397128336</v>
      </c>
      <c r="AK5" s="27">
        <f>((Data!$AJ$5*'Intermediate calculations'!AK4)+Data!$AK$5)*Drivers!AL4</f>
        <v>1068996.6211805635</v>
      </c>
      <c r="AL5" s="27">
        <f>((Data!$AJ$5*'Intermediate calculations'!AL4)+Data!$AK$5)*Drivers!AM4</f>
        <v>1099426.5590723169</v>
      </c>
      <c r="AM5" s="27">
        <f>((Data!$AJ$5*'Intermediate calculations'!AM4)+Data!$AK$5)*Drivers!AN4</f>
        <v>1132148.1882203426</v>
      </c>
      <c r="AN5" s="27">
        <f>((Data!$AJ$5*'Intermediate calculations'!AN4)+Data!$AK$5)*Drivers!AO4</f>
        <v>1167870.2892675358</v>
      </c>
      <c r="AO5" s="27">
        <f>((Data!$AJ$5*'Intermediate calculations'!AO4)+Data!$AK$5)*Drivers!AP4</f>
        <v>1204480.9909733646</v>
      </c>
      <c r="AP5" s="27">
        <f>((Data!$AJ$5*'Intermediate calculations'!AP4)+Data!$AK$5)*Drivers!AQ4</f>
        <v>1243965.860242021</v>
      </c>
      <c r="AQ5" s="27">
        <f>((Data!$AJ$5*'Intermediate calculations'!AQ4)+Data!$AK$5)*Drivers!AR4</f>
        <v>1284208.4866276728</v>
      </c>
      <c r="AR5" s="27">
        <f>((Data!$AJ$5*'Intermediate calculations'!AR4)+Data!$AK$5)*Drivers!AS4</f>
        <v>1329038.4261107321</v>
      </c>
      <c r="AS5" s="27">
        <f>((Data!$AJ$5*'Intermediate calculations'!AS4)+Data!$AK$5)*Drivers!AT4</f>
        <v>1373290.0414873564</v>
      </c>
      <c r="AT5" s="27">
        <f>((Data!$AJ$5*'Intermediate calculations'!AT4)+Data!$AK$5)*Drivers!AU4</f>
        <v>1419814.0343810506</v>
      </c>
      <c r="AU5" s="27">
        <f>((Data!$AJ$5*'Intermediate calculations'!AU4)+Data!$AK$5)*Drivers!AV4</f>
        <v>1472076.3973115464</v>
      </c>
      <c r="AV5" s="27">
        <f>((Data!$AJ$5*'Intermediate calculations'!AV4)+Data!$AK$5)*Drivers!AW4</f>
        <v>1521946.0110896085</v>
      </c>
      <c r="AW5" s="27">
        <f>((Data!$AJ$5*'Intermediate calculations'!AW4)+Data!$AK$5)*Drivers!AX4</f>
        <v>1574577.8650982191</v>
      </c>
      <c r="AX5" s="27">
        <f>((Data!$AJ$5*'Intermediate calculations'!AX4)+Data!$AK$5)*Drivers!AY4</f>
        <v>1630663.6389873163</v>
      </c>
      <c r="AY5" s="27">
        <f>((Data!$AJ$5*'Intermediate calculations'!AY4)+Data!$AK$5)*Drivers!AZ4</f>
        <v>1683535.8497100582</v>
      </c>
      <c r="AZ5" s="27">
        <f>((Data!$AJ$5*'Intermediate calculations'!AZ4)+Data!$AK$5)*Drivers!BA4</f>
        <v>1736207.6659212087</v>
      </c>
      <c r="BA5" s="27">
        <f>((Data!$AJ$5*'Intermediate calculations'!BA4)+Data!$AK$5)*Drivers!BB4</f>
        <v>1788812.829091928</v>
      </c>
      <c r="BB5" s="27">
        <f>((Data!$AJ$5*'Intermediate calculations'!BB4)+Data!$AK$5)*Drivers!BC4</f>
        <v>1845777.1524565457</v>
      </c>
      <c r="BC5" s="27">
        <f>((Data!$AJ$5*'Intermediate calculations'!BC4)+Data!$AK$5)*Drivers!BD4</f>
        <v>1900744.0480905981</v>
      </c>
      <c r="BD5" s="27">
        <f>((Data!$AJ$5*'Intermediate calculations'!BD4)+Data!$AK$5)*Drivers!BE4</f>
        <v>1957751.2082779061</v>
      </c>
      <c r="BE5" s="27">
        <f>((Data!$AJ$5*'Intermediate calculations'!BE4)+Data!$AK$5)*Drivers!BF4</f>
        <v>2017056.6641092594</v>
      </c>
      <c r="BF5" s="27">
        <f>((Data!$AJ$5*'Intermediate calculations'!BF4)+Data!$AK$5)*Drivers!BG4</f>
        <v>2079066.7263658533</v>
      </c>
      <c r="BG5" s="27">
        <f>((Data!$AJ$5*'Intermediate calculations'!BG4)+Data!$AK$5)*Drivers!BH4</f>
        <v>2143708.609377929</v>
      </c>
      <c r="BH5" s="27">
        <f>((Data!$AJ$5*'Intermediate calculations'!BH4)+Data!$AK$5)*Drivers!BI4</f>
        <v>2163677.6469730278</v>
      </c>
      <c r="BI5" s="27">
        <f>((Data!$AJ$5*'Intermediate calculations'!BI4)+Data!$AK$5)*Drivers!BJ4</f>
        <v>2179491.8188607423</v>
      </c>
      <c r="BJ5" s="27">
        <f>((Data!$AJ$5*'Intermediate calculations'!BJ4)+Data!$AK$5)*Drivers!BK4</f>
        <v>2189271.4378631134</v>
      </c>
      <c r="BK5" s="27">
        <f>((Data!$AJ$5*'Intermediate calculations'!BK4)+Data!$AK$5)*Drivers!BL4</f>
        <v>2197249.7738513239</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0.18777666480331262</v>
      </c>
      <c r="AP6" s="22"/>
      <c r="AQ6" s="22">
        <f>(AQ8-AD8)/AD8</f>
        <v>0.31614761455901103</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17.732839906466506</v>
      </c>
      <c r="AA7" s="45">
        <f>AA5*ttokg/Drivers!AB4</f>
        <v>17.948388235719666</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15.893315219231912</v>
      </c>
      <c r="AH7" s="45">
        <f>AH5*ttokg/Drivers!AI4</f>
        <v>16.235360279257463</v>
      </c>
      <c r="AI7" s="45">
        <f>AI5*ttokg/Drivers!AJ4</f>
        <v>16.778648592588251</v>
      </c>
      <c r="AJ7" s="45">
        <f>AJ5*ttokg/Drivers!AK4</f>
        <v>16.979189810148483</v>
      </c>
      <c r="AK7" s="45">
        <f>AK5*ttokg/Drivers!AL4</f>
        <v>17.21750087026761</v>
      </c>
      <c r="AL7" s="45">
        <f>AL5*ttokg/Drivers!AM4</f>
        <v>17.506044711152885</v>
      </c>
      <c r="AM7" s="45">
        <f>AM5*ttokg/Drivers!AN4</f>
        <v>17.851295655711674</v>
      </c>
      <c r="AN7" s="45">
        <f>AN5*ttokg/Drivers!AO4</f>
        <v>18.234998622830926</v>
      </c>
      <c r="AO7" s="45">
        <f>AO5*ttokg/Drivers!AP4</f>
        <v>18.623261132214949</v>
      </c>
      <c r="AP7" s="45">
        <f>AP5*ttokg/Drivers!AQ4</f>
        <v>19.046224622887905</v>
      </c>
      <c r="AQ7" s="45">
        <f>AQ5*ttokg/Drivers!AR4</f>
        <v>19.470658230766453</v>
      </c>
      <c r="AR7" s="45">
        <f>AR5*ttokg/Drivers!AS4</f>
        <v>19.97983856998918</v>
      </c>
      <c r="AS7" s="45">
        <f>AS5*ttokg/Drivers!AT4</f>
        <v>20.470386711041122</v>
      </c>
      <c r="AT7" s="45">
        <f>AT5*ttokg/Drivers!AU4</f>
        <v>20.984787716365219</v>
      </c>
      <c r="AU7" s="45">
        <f>AU5*ttokg/Drivers!AV4</f>
        <v>21.573112294096216</v>
      </c>
      <c r="AV7" s="45">
        <f>AV5*ttokg/Drivers!AW4</f>
        <v>22.115208617600008</v>
      </c>
      <c r="AW7" s="45">
        <f>AW5*ttokg/Drivers!AX4</f>
        <v>22.713704969295186</v>
      </c>
      <c r="AX7" s="45">
        <f>AX5*ttokg/Drivers!AY4</f>
        <v>23.351795046980413</v>
      </c>
      <c r="AY7" s="45">
        <f>AY5*ttokg/Drivers!AZ4</f>
        <v>23.933724988370955</v>
      </c>
      <c r="AZ7" s="45">
        <f>AZ5*ttokg/Drivers!BA4</f>
        <v>24.503134373349365</v>
      </c>
      <c r="BA7" s="45">
        <f>BA5*ttokg/Drivers!BB4</f>
        <v>25.062068792979016</v>
      </c>
      <c r="BB7" s="45">
        <f>BB5*ttokg/Drivers!BC4</f>
        <v>25.700540228845725</v>
      </c>
      <c r="BC7" s="45">
        <f>BC5*ttokg/Drivers!BD4</f>
        <v>26.302534285181654</v>
      </c>
      <c r="BD7" s="45">
        <f>BD5*ttokg/Drivers!BE4</f>
        <v>26.924176350317452</v>
      </c>
      <c r="BE7" s="45">
        <f>BE5*ttokg/Drivers!BF4</f>
        <v>27.568554428268641</v>
      </c>
      <c r="BF7" s="45">
        <f>BF5*ttokg/Drivers!BG4</f>
        <v>28.240689318647171</v>
      </c>
      <c r="BG7" s="45">
        <f>BG5*ttokg/Drivers!BH4</f>
        <v>28.970851028830356</v>
      </c>
      <c r="BH7" s="45">
        <f>BH5*ttokg/Drivers!BI4</f>
        <v>29.092208732162881</v>
      </c>
      <c r="BI7" s="45">
        <f>BI5*ttokg/Drivers!BJ4</f>
        <v>29.156004955588159</v>
      </c>
      <c r="BJ7" s="45">
        <f>BJ5*ttokg/Drivers!BK4</f>
        <v>29.138085884073618</v>
      </c>
      <c r="BK7" s="45">
        <f>BK5*ttokg/Drivers!BL4</f>
        <v>29.095744346567177</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22">
        <f>((Data!$AJ$14*'Intermediate calculations'!Y5)+Data!$AK$14)</f>
        <v>919934.15141939744</v>
      </c>
      <c r="Z8" s="22">
        <f>((Data!$AJ$14*'Intermediate calculations'!Z5)+Data!$AK$14)</f>
        <v>944208.34947610227</v>
      </c>
      <c r="AA8" s="22">
        <f>((Data!$AJ$14*'Intermediate calculations'!AA5)+Data!$AK$14)</f>
        <v>973856.22853221837</v>
      </c>
      <c r="AB8" s="22">
        <f>((Data!$AJ$14*'Intermediate calculations'!AB5)+Data!$AK$14)</f>
        <v>993926.42644116026</v>
      </c>
      <c r="AC8" s="22">
        <f>((Data!$AJ$14*'Intermediate calculations'!AC5)+Data!$AK$14)</f>
        <v>1007610.0166861247</v>
      </c>
      <c r="AD8" s="22">
        <f>((Data!$AJ$14*'Intermediate calculations'!AD5)+Data!$AK$14)</f>
        <v>1014746.9565614488</v>
      </c>
      <c r="AE8" s="22">
        <f>((Data!$AJ$14*'Intermediate calculations'!AE5)+Data!$AK$14)</f>
        <v>1026898.1254598254</v>
      </c>
      <c r="AF8" s="22">
        <f>((Data!$AJ$14*'Intermediate calculations'!AF5)+Data!$AK$14)</f>
        <v>1039800.1458184961</v>
      </c>
      <c r="AG8" s="22">
        <f>((Data!$AJ$14*'Intermediate calculations'!AG5)+Data!$AK$14)</f>
        <v>945259.65032403148</v>
      </c>
      <c r="AH8" s="22">
        <f>((Data!$AJ$14*'Intermediate calculations'!AH5)+Data!$AK$14)</f>
        <v>981105.6458849716</v>
      </c>
      <c r="AI8" s="22">
        <f>((Data!$AJ$14*'Intermediate calculations'!AI5)+Data!$AK$14)</f>
        <v>1031587.2543126829</v>
      </c>
      <c r="AJ8" s="22">
        <f>((Data!$AJ$14*'Intermediate calculations'!AJ5)+Data!$AK$14)</f>
        <v>1059046.3159993738</v>
      </c>
      <c r="AK8" s="22">
        <f>((Data!$AJ$14*'Intermediate calculations'!AK5)+Data!$AK$14)</f>
        <v>1089662.857154364</v>
      </c>
      <c r="AL8" s="22">
        <f>((Data!$AJ$14*'Intermediate calculations'!AL5)+Data!$AK$14)</f>
        <v>1124431.0934459795</v>
      </c>
      <c r="AM8" s="22">
        <f>((Data!$AJ$14*'Intermediate calculations'!AM5)+Data!$AK$14)</f>
        <v>1161817.7400474991</v>
      </c>
      <c r="AN8" s="22">
        <f>((Data!$AJ$14*'Intermediate calculations'!AN5)+Data!$AK$14)</f>
        <v>1202632.6261790399</v>
      </c>
      <c r="AO8" s="22">
        <f>((Data!$AJ$14*'Intermediate calculations'!AO5)+Data!$AK$14)</f>
        <v>1244462.797907884</v>
      </c>
      <c r="AP8" s="22">
        <f>((Data!$AJ$14*'Intermediate calculations'!AP5)+Data!$AK$14)</f>
        <v>1289576.8980273008</v>
      </c>
      <c r="AQ8" s="22">
        <f>((Data!$AJ$14*'Intermediate calculations'!AQ5)+Data!$AK$14)</f>
        <v>1335556.7862593671</v>
      </c>
      <c r="AR8" s="22">
        <f>((Data!$AJ$14*'Intermediate calculations'!AR5)+Data!$AK$14)</f>
        <v>1386777.9860669498</v>
      </c>
      <c r="AS8" s="22">
        <f>((Data!$AJ$14*'Intermediate calculations'!AS5)+Data!$AK$14)</f>
        <v>1437338.4119598041</v>
      </c>
      <c r="AT8" s="22">
        <f>((Data!$AJ$14*'Intermediate calculations'!AT5)+Data!$AK$14)</f>
        <v>1490495.1809256638</v>
      </c>
      <c r="AU8" s="22">
        <f>((Data!$AJ$14*'Intermediate calculations'!AU5)+Data!$AK$14)</f>
        <v>1550208.4208931392</v>
      </c>
      <c r="AV8" s="22">
        <f>((Data!$AJ$14*'Intermediate calculations'!AV5)+Data!$AK$14)</f>
        <v>1607187.7851552384</v>
      </c>
      <c r="AW8" s="22">
        <f>((Data!$AJ$14*'Intermediate calculations'!AW5)+Data!$AK$14)</f>
        <v>1667323.1933557624</v>
      </c>
      <c r="AX8" s="22">
        <f>((Data!$AJ$14*'Intermediate calculations'!AX5)+Data!$AK$14)</f>
        <v>1731404.9356882928</v>
      </c>
      <c r="AY8" s="22">
        <f>((Data!$AJ$14*'Intermediate calculations'!AY5)+Data!$AK$14)</f>
        <v>1791814.9674868314</v>
      </c>
      <c r="AZ8" s="22">
        <f>((Data!$AJ$14*'Intermediate calculations'!AZ5)+Data!$AK$14)</f>
        <v>1851996.0351726157</v>
      </c>
      <c r="BA8" s="22">
        <f>((Data!$AJ$14*'Intermediate calculations'!BA5)+Data!$AK$14)</f>
        <v>1912100.9473083129</v>
      </c>
      <c r="BB8" s="22">
        <f>((Data!$AJ$14*'Intermediate calculations'!BB5)+Data!$AK$14)</f>
        <v>1977186.4910901738</v>
      </c>
      <c r="BC8" s="22">
        <f>((Data!$AJ$14*'Intermediate calculations'!BC5)+Data!$AK$14)</f>
        <v>2039989.8402925134</v>
      </c>
      <c r="BD8" s="22">
        <f>((Data!$AJ$14*'Intermediate calculations'!BD5)+Data!$AK$14)</f>
        <v>2105124.3280051365</v>
      </c>
      <c r="BE8" s="22">
        <f>((Data!$AJ$14*'Intermediate calculations'!BE5)+Data!$AK$14)</f>
        <v>2172884.7719817655</v>
      </c>
      <c r="BF8" s="22">
        <f>((Data!$AJ$14*'Intermediate calculations'!BF5)+Data!$AK$14)</f>
        <v>2243735.4094252065</v>
      </c>
      <c r="BG8" s="22">
        <f>((Data!$AJ$14*'Intermediate calculations'!BG5)+Data!$AK$14)</f>
        <v>2317593.0778468004</v>
      </c>
      <c r="BH8" s="22">
        <f>((Data!$AJ$14*'Intermediate calculations'!BH5)+Data!$AK$14)</f>
        <v>2340409.0369227701</v>
      </c>
      <c r="BI8" s="22">
        <f>((Data!$AJ$14*'Intermediate calculations'!BI5)+Data!$AK$14)</f>
        <v>2358477.7844471377</v>
      </c>
      <c r="BJ8" s="22">
        <f>((Data!$AJ$14*'Intermediate calculations'!BJ5)+Data!$AK$14)</f>
        <v>2369651.6522849868</v>
      </c>
      <c r="BK8" s="22">
        <f>((Data!$AJ$14*'Intermediate calculations'!BK5)+Data!$AK$14)</f>
        <v>2378767.4339812477</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665666.88638065208</v>
      </c>
      <c r="AA9" s="22">
        <f t="shared" si="1"/>
        <v>691437.92225787498</v>
      </c>
      <c r="AB9" s="22">
        <f t="shared" si="1"/>
        <v>710657.39490542957</v>
      </c>
      <c r="AC9" s="22">
        <f t="shared" si="1"/>
        <v>725479.21201400983</v>
      </c>
      <c r="AD9" s="22">
        <f t="shared" si="1"/>
        <v>735691.54350705037</v>
      </c>
      <c r="AE9" s="22">
        <f t="shared" si="1"/>
        <v>749635.6315856725</v>
      </c>
      <c r="AF9" s="22">
        <f t="shared" si="1"/>
        <v>764253.10717659467</v>
      </c>
      <c r="AG9" s="22">
        <f t="shared" si="1"/>
        <v>699492.14123978326</v>
      </c>
      <c r="AH9" s="22">
        <f t="shared" si="1"/>
        <v>727980.38924664888</v>
      </c>
      <c r="AI9" s="22">
        <f t="shared" si="1"/>
        <v>767500.91720863606</v>
      </c>
      <c r="AJ9" s="22">
        <f t="shared" si="1"/>
        <v>790048.55173553282</v>
      </c>
      <c r="AK9" s="22">
        <f t="shared" si="1"/>
        <v>815067.81715146429</v>
      </c>
      <c r="AL9" s="22">
        <f t="shared" si="1"/>
        <v>843323.32008448464</v>
      </c>
      <c r="AM9" s="22">
        <f t="shared" si="1"/>
        <v>873686.94051571935</v>
      </c>
      <c r="AN9" s="22">
        <f t="shared" si="1"/>
        <v>906785.00013899617</v>
      </c>
      <c r="AO9" s="22">
        <f t="shared" si="1"/>
        <v>940813.87521836034</v>
      </c>
      <c r="AP9" s="22">
        <f t="shared" si="1"/>
        <v>977499.28870469402</v>
      </c>
      <c r="AQ9" s="22">
        <f t="shared" si="1"/>
        <v>1015023.157557119</v>
      </c>
      <c r="AR9" s="22">
        <f t="shared" si="1"/>
        <v>1059498.3813551497</v>
      </c>
      <c r="AS9" s="22">
        <f t="shared" si="1"/>
        <v>1103875.9003851295</v>
      </c>
      <c r="AT9" s="22">
        <f t="shared" si="1"/>
        <v>1150662.2796746125</v>
      </c>
      <c r="AU9" s="22">
        <f t="shared" si="1"/>
        <v>1202961.7346130761</v>
      </c>
      <c r="AV9" s="22">
        <f t="shared" si="1"/>
        <v>1253606.4724210859</v>
      </c>
      <c r="AW9" s="22">
        <f t="shared" si="1"/>
        <v>1307181.3835909178</v>
      </c>
      <c r="AX9" s="22">
        <f t="shared" si="1"/>
        <v>1364347.0893223749</v>
      </c>
      <c r="AY9" s="22">
        <f t="shared" si="1"/>
        <v>1419117.4542495706</v>
      </c>
      <c r="AZ9" s="22">
        <f t="shared" si="1"/>
        <v>1474188.8439974021</v>
      </c>
      <c r="BA9" s="22">
        <f t="shared" si="1"/>
        <v>1529680.7578466504</v>
      </c>
      <c r="BB9" s="22">
        <f t="shared" si="1"/>
        <v>1587680.7523454097</v>
      </c>
      <c r="BC9" s="22">
        <f t="shared" si="1"/>
        <v>1644231.8112757658</v>
      </c>
      <c r="BD9" s="22">
        <f t="shared" si="1"/>
        <v>1703045.5813561555</v>
      </c>
      <c r="BE9" s="22">
        <f t="shared" si="1"/>
        <v>1764382.4348491938</v>
      </c>
      <c r="BF9" s="22">
        <f t="shared" si="1"/>
        <v>1828644.3586815435</v>
      </c>
      <c r="BG9" s="22">
        <f t="shared" si="1"/>
        <v>1895791.1376786828</v>
      </c>
      <c r="BH9" s="22">
        <f t="shared" si="1"/>
        <v>1921475.8193135944</v>
      </c>
      <c r="BI9" s="22">
        <f t="shared" si="1"/>
        <v>1943385.6943844417</v>
      </c>
      <c r="BJ9" s="22">
        <f t="shared" si="1"/>
        <v>1959701.9164396843</v>
      </c>
      <c r="BK9" s="22">
        <f t="shared" si="1"/>
        <v>1974376.9702044355</v>
      </c>
    </row>
    <row r="10" spans="1:67" x14ac:dyDescent="0.3">
      <c r="A10" t="s">
        <v>846</v>
      </c>
      <c r="B10" t="s">
        <v>321</v>
      </c>
      <c r="C10" s="22">
        <f t="shared" ref="C10:AH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278541.46309545019</v>
      </c>
      <c r="AA10" s="22">
        <f t="shared" si="2"/>
        <v>282418.3062743434</v>
      </c>
      <c r="AB10" s="22">
        <f t="shared" si="2"/>
        <v>283269.0315357307</v>
      </c>
      <c r="AC10" s="22">
        <f t="shared" si="2"/>
        <v>282130.8046721149</v>
      </c>
      <c r="AD10" s="22">
        <f t="shared" si="2"/>
        <v>279055.41305439838</v>
      </c>
      <c r="AE10" s="22">
        <f t="shared" si="2"/>
        <v>277262.49387415289</v>
      </c>
      <c r="AF10" s="22">
        <f t="shared" si="2"/>
        <v>275547.03864190145</v>
      </c>
      <c r="AG10" s="22">
        <f t="shared" si="2"/>
        <v>245767.50908424822</v>
      </c>
      <c r="AH10" s="22">
        <f t="shared" si="2"/>
        <v>253125.25663832272</v>
      </c>
      <c r="AI10" s="22">
        <f t="shared" ref="AI10:BK10" si="3">AI8-AI9</f>
        <v>264086.33710404683</v>
      </c>
      <c r="AJ10" s="22">
        <f t="shared" si="3"/>
        <v>268997.76426384097</v>
      </c>
      <c r="AK10" s="22">
        <f t="shared" si="3"/>
        <v>274595.04000289971</v>
      </c>
      <c r="AL10" s="22">
        <f t="shared" si="3"/>
        <v>281107.77336149488</v>
      </c>
      <c r="AM10" s="22">
        <f t="shared" si="3"/>
        <v>288130.79953177972</v>
      </c>
      <c r="AN10" s="22">
        <f t="shared" si="3"/>
        <v>295847.62604004377</v>
      </c>
      <c r="AO10" s="22">
        <f t="shared" si="3"/>
        <v>303648.92268952366</v>
      </c>
      <c r="AP10" s="22">
        <f t="shared" si="3"/>
        <v>312077.60932260682</v>
      </c>
      <c r="AQ10" s="22">
        <f t="shared" si="3"/>
        <v>320533.6287022481</v>
      </c>
      <c r="AR10" s="22">
        <f t="shared" si="3"/>
        <v>327279.60471180012</v>
      </c>
      <c r="AS10" s="22">
        <f t="shared" si="3"/>
        <v>333462.51157467463</v>
      </c>
      <c r="AT10" s="22">
        <f t="shared" si="3"/>
        <v>339832.90125105134</v>
      </c>
      <c r="AU10" s="22">
        <f t="shared" si="3"/>
        <v>347246.68628006312</v>
      </c>
      <c r="AV10" s="22">
        <f t="shared" si="3"/>
        <v>353581.31273415242</v>
      </c>
      <c r="AW10" s="22">
        <f t="shared" si="3"/>
        <v>360141.8097648446</v>
      </c>
      <c r="AX10" s="22">
        <f t="shared" si="3"/>
        <v>367057.84636591794</v>
      </c>
      <c r="AY10" s="22">
        <f t="shared" si="3"/>
        <v>372697.51323726075</v>
      </c>
      <c r="AZ10" s="22">
        <f t="shared" si="3"/>
        <v>377807.19117521355</v>
      </c>
      <c r="BA10" s="22">
        <f t="shared" si="3"/>
        <v>382420.18946166243</v>
      </c>
      <c r="BB10" s="22">
        <f t="shared" si="3"/>
        <v>389505.73874476412</v>
      </c>
      <c r="BC10" s="22">
        <f t="shared" si="3"/>
        <v>395758.02901674761</v>
      </c>
      <c r="BD10" s="22">
        <f t="shared" si="3"/>
        <v>402078.746648981</v>
      </c>
      <c r="BE10" s="22">
        <f t="shared" si="3"/>
        <v>408502.33713257173</v>
      </c>
      <c r="BF10" s="22">
        <f t="shared" si="3"/>
        <v>415091.05074366299</v>
      </c>
      <c r="BG10" s="22">
        <f t="shared" si="3"/>
        <v>421801.94016811764</v>
      </c>
      <c r="BH10" s="22">
        <f t="shared" si="3"/>
        <v>418933.21760917571</v>
      </c>
      <c r="BI10" s="22">
        <f t="shared" si="3"/>
        <v>415092.09006269602</v>
      </c>
      <c r="BJ10" s="22">
        <f t="shared" si="3"/>
        <v>409949.73584530246</v>
      </c>
      <c r="BK10" s="22">
        <f t="shared" si="3"/>
        <v>404390.46377681219</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22">
        <f>((Data!$AJ$15*LN('Intermediate calculations'!Y2))+Data!$AK$15)</f>
        <v>40.711692719818267</v>
      </c>
      <c r="Z11" s="22">
        <f>((Data!$AJ$15*LN('Intermediate calculations'!Z2))+Data!$AK$15)</f>
        <v>39.98751157220714</v>
      </c>
      <c r="AA11" s="22">
        <f>((Data!$AJ$15*LN('Intermediate calculations'!AA2))+Data!$AK$15)</f>
        <v>39.307247949386728</v>
      </c>
      <c r="AB11" s="22">
        <f>((Data!$AJ$15*LN('Intermediate calculations'!AB2))+Data!$AK$15)</f>
        <v>38.665878345611468</v>
      </c>
      <c r="AC11" s="22">
        <f>((Data!$AJ$15*LN('Intermediate calculations'!AC2))+Data!$AK$15)</f>
        <v>38.059194745530348</v>
      </c>
      <c r="AD11" s="22">
        <f>((Data!$AJ$15*LN('Intermediate calculations'!AD2))+Data!$AK$15)</f>
        <v>37.483637138389781</v>
      </c>
      <c r="AE11" s="22">
        <f>((Data!$AJ$15*LN('Intermediate calculations'!AE2))+Data!$AK$15)</f>
        <v>36.936166938305114</v>
      </c>
      <c r="AF11" s="22">
        <f>((Data!$AJ$15*LN('Intermediate calculations'!AF2))+Data!$AK$15)</f>
        <v>36.414169878013752</v>
      </c>
      <c r="AG11" s="22">
        <f>((Data!$AJ$15*LN('Intermediate calculations'!AG2))+Data!$AK$15)</f>
        <v>35.915380505953856</v>
      </c>
      <c r="AH11" s="22">
        <f>((Data!$AJ$15*LN('Intermediate calculations'!AH2))+Data!$AK$15)</f>
        <v>35.437822764182975</v>
      </c>
      <c r="AI11" s="22">
        <f>((Data!$AJ$15*LN('Intermediate calculations'!AI2))+Data!$AK$15)</f>
        <v>34.979762704572416</v>
      </c>
      <c r="AJ11" s="22">
        <f>((Data!$AJ$15*LN('Intermediate calculations'!AJ2))+Data!$AK$15)</f>
        <v>34.539670484285466</v>
      </c>
      <c r="AK11" s="22">
        <f>((Data!$AJ$15*LN('Intermediate calculations'!AK2))+Data!$AK$15)</f>
        <v>34.116189537587296</v>
      </c>
      <c r="AL11" s="22">
        <f>((Data!$AJ$15*LN('Intermediate calculations'!AL2))+Data!$AK$15)</f>
        <v>33.708111356876628</v>
      </c>
      <c r="AM11" s="22">
        <f>((Data!$AJ$15*LN('Intermediate calculations'!AM2))+Data!$AK$15)</f>
        <v>33.314354701096661</v>
      </c>
      <c r="AN11" s="22">
        <f>((Data!$AJ$15*LN('Intermediate calculations'!AN2))+Data!$AK$15)</f>
        <v>32.933948330365617</v>
      </c>
      <c r="AO11" s="22">
        <f>((Data!$AJ$15*LN('Intermediate calculations'!AO2))+Data!$AK$15)</f>
        <v>32.566016572659201</v>
      </c>
      <c r="AP11" s="22">
        <f>((Data!$AJ$15*LN('Intermediate calculations'!AP2))+Data!$AK$15)</f>
        <v>32.20976718275449</v>
      </c>
      <c r="AQ11" s="22">
        <f>((Data!$AJ$15*LN('Intermediate calculations'!AQ2))+Data!$AK$15)</f>
        <v>31.864481069989587</v>
      </c>
      <c r="AR11" s="22">
        <f>((Data!$AJ$15*LN('Intermediate calculations'!AR2))+Data!$AK$15)</f>
        <v>31.529503559934071</v>
      </c>
      <c r="AS11" s="22">
        <f>((Data!$AJ$15*LN('Intermediate calculations'!AS2))+Data!$AK$15)</f>
        <v>31.20423692305927</v>
      </c>
      <c r="AT11" s="22">
        <f>((Data!$AJ$15*LN('Intermediate calculations'!AT2))+Data!$AK$15)</f>
        <v>30.888133956158811</v>
      </c>
      <c r="AU11" s="22">
        <f>((Data!$AJ$15*LN('Intermediate calculations'!AU2))+Data!$AK$15)</f>
        <v>30.580692443381956</v>
      </c>
      <c r="AV11" s="22">
        <f>((Data!$AJ$15*LN('Intermediate calculations'!AV2))+Data!$AK$15)</f>
        <v>30.281450356077698</v>
      </c>
      <c r="AW11" s="22">
        <f>((Data!$AJ$15*LN('Intermediate calculations'!AW2))+Data!$AK$15)</f>
        <v>29.989981676261301</v>
      </c>
      <c r="AX11" s="22">
        <f>((Data!$AJ$15*LN('Intermediate calculations'!AX2))+Data!$AK$15)</f>
        <v>29.705892748937131</v>
      </c>
      <c r="AY11" s="22">
        <f>((Data!$AJ$15*LN('Intermediate calculations'!AY2))+Data!$AK$15)</f>
        <v>29.428819084898642</v>
      </c>
      <c r="AZ11" s="22">
        <f>((Data!$AJ$15*LN('Intermediate calculations'!AZ2))+Data!$AK$15)</f>
        <v>29.158422548852464</v>
      </c>
      <c r="BA11" s="22">
        <f>((Data!$AJ$15*LN('Intermediate calculations'!BA2))+Data!$AK$15)</f>
        <v>28.894388878448837</v>
      </c>
      <c r="BB11" s="22">
        <f>((Data!$AJ$15*LN('Intermediate calculations'!BB2))+Data!$AK$15)</f>
        <v>28.636425488561102</v>
      </c>
      <c r="BC11" s="22">
        <f>((Data!$AJ$15*LN('Intermediate calculations'!BC2))+Data!$AK$15)</f>
        <v>28.384259522341452</v>
      </c>
      <c r="BD11" s="22">
        <f>((Data!$AJ$15*LN('Intermediate calculations'!BD2))+Data!$AK$15)</f>
        <v>28.137636116501199</v>
      </c>
      <c r="BE11" s="22">
        <f>((Data!$AJ$15*LN('Intermediate calculations'!BE2))+Data!$AK$15)</f>
        <v>27.896316853165757</v>
      </c>
      <c r="BF11" s="22">
        <f>((Data!$AJ$15*LN('Intermediate calculations'!BF2))+Data!$AK$15)</f>
        <v>27.660078374730325</v>
      </c>
      <c r="BG11" s="22">
        <f>((Data!$AJ$15*LN('Intermediate calculations'!BG2))+Data!$AK$15)</f>
        <v>27.428711141546117</v>
      </c>
      <c r="BH11" s="22">
        <f>((Data!$AJ$15*LN('Intermediate calculations'!BH2))+Data!$AK$15)</f>
        <v>27.202018315119766</v>
      </c>
      <c r="BI11" s="22">
        <f>((Data!$AJ$15*LN('Intermediate calculations'!BI2))+Data!$AK$15)</f>
        <v>26.979814751909913</v>
      </c>
      <c r="BJ11" s="22">
        <f>((Data!$AJ$15*LN('Intermediate calculations'!BJ2))+Data!$AK$15)</f>
        <v>26.761926094832809</v>
      </c>
      <c r="BK11" s="22">
        <f>((Data!$AJ$15*LN('Intermediate calculations'!BK2))+Data!$AK$15)</f>
        <v>26.548187951307746</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((Data!$AJ$6*'Intermediate calculations'!Y4)+Data!$AK$6)*Drivers!Z4</f>
        <v>1952293.7553922518</v>
      </c>
      <c r="Z12" s="22">
        <f>((Data!$AJ$6*'Intermediate calculations'!Z4)+Data!$AK$6)*Drivers!AA4</f>
        <v>1989214.080984012</v>
      </c>
      <c r="AA12" s="22">
        <f>((Data!$AJ$6*'Intermediate calculations'!AA4)+Data!$AK$6)*Drivers!AB4</f>
        <v>2031584.5891224523</v>
      </c>
      <c r="AB12" s="22">
        <f>((Data!$AJ$6*'Intermediate calculations'!AB4)+Data!$AK$6)*Drivers!AC4</f>
        <v>2065795.7253002254</v>
      </c>
      <c r="AC12" s="22">
        <f>((Data!$AJ$6*'Intermediate calculations'!AC4)+Data!$AK$6)*Drivers!AD4</f>
        <v>2094779.0652397447</v>
      </c>
      <c r="AD12" s="22">
        <f>((Data!$AJ$6*'Intermediate calculations'!AD4)+Data!$AK$6)*Drivers!AE4</f>
        <v>2118412.1564230546</v>
      </c>
      <c r="AE12" s="22">
        <f>((Data!$AJ$6*'Intermediate calculations'!AE4)+Data!$AK$6)*Drivers!AF4</f>
        <v>2146845.3123571589</v>
      </c>
      <c r="AF12" s="22">
        <f>((Data!$AJ$6*'Intermediate calculations'!AF4)+Data!$AK$6)*Drivers!AG4</f>
        <v>2176243.6654550005</v>
      </c>
      <c r="AG12" s="22">
        <f>((Data!$AJ$6*'Intermediate calculations'!AG4)+Data!$AK$6)*Drivers!AH4</f>
        <v>2107974.1784917102</v>
      </c>
      <c r="AH12" s="22">
        <f>((Data!$AJ$6*'Intermediate calculations'!AH4)+Data!$AK$6)*Drivers!AI4</f>
        <v>2153620.3051344007</v>
      </c>
      <c r="AI12" s="22">
        <f>((Data!$AJ$6*'Intermediate calculations'!AI4)+Data!$AK$6)*Drivers!AJ4</f>
        <v>2212758.7005073996</v>
      </c>
      <c r="AJ12" s="22">
        <f>((Data!$AJ$6*'Intermediate calculations'!AJ4)+Data!$AK$6)*Drivers!AK4</f>
        <v>2251058.9459517668</v>
      </c>
      <c r="AK12" s="22">
        <f>((Data!$AJ$6*'Intermediate calculations'!AK4)+Data!$AK$6)*Drivers!AL4</f>
        <v>2292390.5494986027</v>
      </c>
      <c r="AL12" s="22">
        <f>((Data!$AJ$6*'Intermediate calculations'!AL4)+Data!$AK$6)*Drivers!AM4</f>
        <v>2337661.6750905244</v>
      </c>
      <c r="AM12" s="22">
        <f>((Data!$AJ$6*'Intermediate calculations'!AM4)+Data!$AK$6)*Drivers!AN4</f>
        <v>2383487.5782585628</v>
      </c>
      <c r="AN12" s="22">
        <f>((Data!$AJ$6*'Intermediate calculations'!AN4)+Data!$AK$6)*Drivers!AO4</f>
        <v>2432554.544070587</v>
      </c>
      <c r="AO12" s="22">
        <f>((Data!$AJ$6*'Intermediate calculations'!AO4)+Data!$AK$6)*Drivers!AP4</f>
        <v>2482663.8724488593</v>
      </c>
      <c r="AP12" s="22">
        <f>((Data!$AJ$6*'Intermediate calculations'!AP4)+Data!$AK$6)*Drivers!AQ4</f>
        <v>2535884.9860017379</v>
      </c>
      <c r="AQ12" s="22">
        <f>((Data!$AJ$6*'Intermediate calculations'!AQ4)+Data!$AK$6)*Drivers!AR4</f>
        <v>2590014.4788993755</v>
      </c>
      <c r="AR12" s="22">
        <f>((Data!$AJ$6*'Intermediate calculations'!AR4)+Data!$AK$6)*Drivers!AS4</f>
        <v>2647399.3377200095</v>
      </c>
      <c r="AS12" s="22">
        <f>((Data!$AJ$6*'Intermediate calculations'!AS4)+Data!$AK$6)*Drivers!AT4</f>
        <v>2704272.9938916918</v>
      </c>
      <c r="AT12" s="22">
        <f>((Data!$AJ$6*'Intermediate calculations'!AT4)+Data!$AK$6)*Drivers!AU4</f>
        <v>2763605.6696376507</v>
      </c>
      <c r="AU12" s="22">
        <f>((Data!$AJ$6*'Intermediate calculations'!AU4)+Data!$AK$6)*Drivers!AV4</f>
        <v>2829008.5138439648</v>
      </c>
      <c r="AV12" s="22">
        <f>((Data!$AJ$6*'Intermediate calculations'!AV4)+Data!$AK$6)*Drivers!AW4</f>
        <v>2892012.5081339013</v>
      </c>
      <c r="AW12" s="22">
        <f>((Data!$AJ$6*'Intermediate calculations'!AW4)+Data!$AK$6)*Drivers!AX4</f>
        <v>2956403.0210887142</v>
      </c>
      <c r="AX12" s="22">
        <f>((Data!$AJ$6*'Intermediate calculations'!AX4)+Data!$AK$6)*Drivers!AY4</f>
        <v>3024461.3590982864</v>
      </c>
      <c r="AY12" s="22">
        <f>((Data!$AJ$6*'Intermediate calculations'!AY4)+Data!$AK$6)*Drivers!AZ4</f>
        <v>3089242.8267330569</v>
      </c>
      <c r="AZ12" s="22">
        <f>((Data!$AJ$6*'Intermediate calculations'!AZ4)+Data!$AK$6)*Drivers!BA4</f>
        <v>3153886.6186817531</v>
      </c>
      <c r="BA12" s="22">
        <f>((Data!$AJ$6*'Intermediate calculations'!BA4)+Data!$AK$6)*Drivers!BB4</f>
        <v>3218532.5675237677</v>
      </c>
      <c r="BB12" s="22">
        <f>((Data!$AJ$6*'Intermediate calculations'!BB4)+Data!$AK$6)*Drivers!BC4</f>
        <v>3286286.7722971141</v>
      </c>
      <c r="BC12" s="22">
        <f>((Data!$AJ$6*'Intermediate calculations'!BC4)+Data!$AK$6)*Drivers!BD4</f>
        <v>3352012.6272127358</v>
      </c>
      <c r="BD12" s="22">
        <f>((Data!$AJ$6*'Intermediate calculations'!BD4)+Data!$AK$6)*Drivers!BE4</f>
        <v>3419916.3339482034</v>
      </c>
      <c r="BE12" s="22">
        <f>((Data!$AJ$6*'Intermediate calculations'!BE4)+Data!$AK$6)*Drivers!BF4</f>
        <v>3490266.99824803</v>
      </c>
      <c r="BF12" s="22">
        <f>((Data!$AJ$6*'Intermediate calculations'!BF4)+Data!$AK$6)*Drivers!BG4</f>
        <v>3563488.1839694791</v>
      </c>
      <c r="BG12" s="22">
        <f>((Data!$AJ$6*'Intermediate calculations'!BG4)+Data!$AK$6)*Drivers!BH4</f>
        <v>3637958.2895830497</v>
      </c>
      <c r="BH12" s="22">
        <f>((Data!$AJ$6*'Intermediate calculations'!BH4)+Data!$AK$6)*Drivers!BI4</f>
        <v>3665931.1882148916</v>
      </c>
      <c r="BI12" s="22">
        <f>((Data!$AJ$6*'Intermediate calculations'!BI4)+Data!$AK$6)*Drivers!BJ4</f>
        <v>3689612.7680451851</v>
      </c>
      <c r="BJ12" s="22">
        <f>((Data!$AJ$6*'Intermediate calculations'!BJ4)+Data!$AK$6)*Drivers!BK4</f>
        <v>3707045.2329281992</v>
      </c>
      <c r="BK12" s="22">
        <f>((Data!$AJ$6*'Intermediate calculations'!BK4)+Data!$AK$6)*Drivers!BL4</f>
        <v>3722638.3718116516</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37.68309112514838</v>
      </c>
      <c r="AB13" s="45">
        <f>AB12*ttokg/Drivers!AC4</f>
        <v>37.731090083648773</v>
      </c>
      <c r="AC13" s="45">
        <f>AC12*ttokg/Drivers!AD4</f>
        <v>37.662375175971526</v>
      </c>
      <c r="AD13" s="45">
        <f>AD12*ttokg/Drivers!AE4</f>
        <v>37.479461161920788</v>
      </c>
      <c r="AE13" s="45">
        <f>AE12*ttokg/Drivers!AF4</f>
        <v>37.378043200844516</v>
      </c>
      <c r="AF13" s="45">
        <f>AF12*ttokg/Drivers!AG4</f>
        <v>37.286898324481015</v>
      </c>
      <c r="AG13" s="45">
        <f>AG12*ttokg/Drivers!AH4</f>
        <v>35.542416777232987</v>
      </c>
      <c r="AH13" s="45">
        <f>AH12*ttokg/Drivers!AI4</f>
        <v>35.898709269009878</v>
      </c>
      <c r="AI13" s="45">
        <f>AI12*ttokg/Drivers!AJ4</f>
        <v>36.464627533976</v>
      </c>
      <c r="AJ13" s="45">
        <f>AJ12*ttokg/Drivers!AK4</f>
        <v>36.673522029055597</v>
      </c>
      <c r="AK13" s="45">
        <f>AK12*ttokg/Drivers!AL4</f>
        <v>36.921759619218399</v>
      </c>
      <c r="AL13" s="45">
        <f>AL12*ttokg/Drivers!AM4</f>
        <v>37.222322369775917</v>
      </c>
      <c r="AM13" s="45">
        <f>AM12*ttokg/Drivers!AN4</f>
        <v>37.581954282939606</v>
      </c>
      <c r="AN13" s="45">
        <f>AN12*ttokg/Drivers!AO4</f>
        <v>37.981639886488132</v>
      </c>
      <c r="AO13" s="45">
        <f>AO12*ttokg/Drivers!AP4</f>
        <v>38.386074953966229</v>
      </c>
      <c r="AP13" s="45">
        <f>AP12*ttokg/Drivers!AQ4</f>
        <v>38.826656425925691</v>
      </c>
      <c r="AQ13" s="45">
        <f>AQ12*ttokg/Drivers!AR4</f>
        <v>39.268769250866377</v>
      </c>
      <c r="AR13" s="45">
        <f>AR12*ttokg/Drivers!AS4</f>
        <v>39.799158819456899</v>
      </c>
      <c r="AS13" s="45">
        <f>AS12*ttokg/Drivers!AT4</f>
        <v>40.310140090459207</v>
      </c>
      <c r="AT13" s="45">
        <f>AT12*ttokg/Drivers!AU4</f>
        <v>40.845967785049424</v>
      </c>
      <c r="AU13" s="45">
        <f>AU12*ttokg/Drivers!AV4</f>
        <v>41.458798240071069</v>
      </c>
      <c r="AV13" s="45">
        <f>AV12*ttokg/Drivers!AW4</f>
        <v>42.023474864460354</v>
      </c>
      <c r="AW13" s="45">
        <f>AW12*ttokg/Drivers!AX4</f>
        <v>42.646900785153157</v>
      </c>
      <c r="AX13" s="45">
        <f>AX12*ttokg/Drivers!AY4</f>
        <v>43.311569655797271</v>
      </c>
      <c r="AY13" s="45">
        <f>AY12*ttokg/Drivers!AZ4</f>
        <v>43.917739114412257</v>
      </c>
      <c r="AZ13" s="45">
        <f>AZ12*ttokg/Drivers!BA4</f>
        <v>44.510866489501225</v>
      </c>
      <c r="BA13" s="45">
        <f>BA12*ttokg/Drivers!BB4</f>
        <v>45.093082578500855</v>
      </c>
      <c r="BB13" s="45">
        <f>BB12*ttokg/Drivers!BC4</f>
        <v>45.758148692293958</v>
      </c>
      <c r="BC13" s="45">
        <f>BC12*ttokg/Drivers!BD4</f>
        <v>46.385218009859265</v>
      </c>
      <c r="BD13" s="45">
        <f>BD12*ttokg/Drivers!BE4</f>
        <v>47.032753747881685</v>
      </c>
      <c r="BE13" s="45">
        <f>BE12*ttokg/Drivers!BF4</f>
        <v>47.703972537074208</v>
      </c>
      <c r="BF13" s="45">
        <f>BF12*ttokg/Drivers!BG4</f>
        <v>48.404104311774489</v>
      </c>
      <c r="BG13" s="45">
        <f>BG12*ttokg/Drivers!BH4</f>
        <v>49.164679936231138</v>
      </c>
      <c r="BH13" s="45">
        <f>BH12*ttokg/Drivers!BI4</f>
        <v>49.291092633182345</v>
      </c>
      <c r="BI13" s="45">
        <f>BI12*ttokg/Drivers!BJ4</f>
        <v>49.357546203388701</v>
      </c>
      <c r="BJ13" s="45">
        <f>BJ12*ttokg/Drivers!BK4</f>
        <v>49.338880736798522</v>
      </c>
      <c r="BK13" s="45">
        <f>BK12*ttokg/Drivers!BL4</f>
        <v>49.294775518899129</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((Data!$AJ$6*LN('Intermediate calculations'!Y4))+Data!$AK$6)</f>
        <v>1.7769640324400995E-2</v>
      </c>
      <c r="Z14" s="22">
        <f>((Data!$AJ$6*LN('Intermediate calculations'!Z4))+Data!$AK$6)</f>
        <v>1.7771577678710335E-2</v>
      </c>
      <c r="AA14" s="22">
        <f>((Data!$AJ$6*LN('Intermediate calculations'!AA4))+Data!$AK$6)</f>
        <v>1.7774491584502058E-2</v>
      </c>
      <c r="AB14" s="22">
        <f>((Data!$AJ$6*LN('Intermediate calculations'!AB4))+Data!$AK$6)</f>
        <v>1.7775110489339201E-2</v>
      </c>
      <c r="AC14" s="22">
        <f>((Data!$AJ$6*LN('Intermediate calculations'!AC4))+Data!$AK$6)</f>
        <v>1.7774224035138363E-2</v>
      </c>
      <c r="AD14" s="22">
        <f>((Data!$AJ$6*LN('Intermediate calculations'!AD4))+Data!$AK$6)</f>
        <v>1.7771850196398573E-2</v>
      </c>
      <c r="AE14" s="22">
        <f>((Data!$AJ$6*LN('Intermediate calculations'!AE4))+Data!$AK$6)</f>
        <v>1.7770525031244894E-2</v>
      </c>
      <c r="AF14" s="22">
        <f>((Data!$AJ$6*LN('Intermediate calculations'!AF4))+Data!$AK$6)</f>
        <v>1.776932857046731E-2</v>
      </c>
      <c r="AG14" s="22">
        <f>((Data!$AJ$6*LN('Intermediate calculations'!AG4))+Data!$AK$6)</f>
        <v>1.7745353094158277E-2</v>
      </c>
      <c r="AH14" s="22">
        <f>((Data!$AJ$6*LN('Intermediate calculations'!AH4))+Data!$AK$6)</f>
        <v>1.7750424374628478E-2</v>
      </c>
      <c r="AI14" s="22">
        <f>((Data!$AJ$6*LN('Intermediate calculations'!AI4))+Data!$AK$6)</f>
        <v>1.7758290096712009E-2</v>
      </c>
      <c r="AJ14" s="22">
        <f>((Data!$AJ$6*LN('Intermediate calculations'!AJ4))+Data!$AK$6)</f>
        <v>1.7761137058561173E-2</v>
      </c>
      <c r="AK14" s="22">
        <f>((Data!$AJ$6*LN('Intermediate calculations'!AK4))+Data!$AK$6)</f>
        <v>1.7764481960877772E-2</v>
      </c>
      <c r="AL14" s="22">
        <f>((Data!$AJ$6*LN('Intermediate calculations'!AL4))+Data!$AK$6)</f>
        <v>1.7768477687227044E-2</v>
      </c>
      <c r="AM14" s="22">
        <f>((Data!$AJ$6*LN('Intermediate calculations'!AM4))+Data!$AK$6)</f>
        <v>1.7773182889670509E-2</v>
      </c>
      <c r="AN14" s="22">
        <f>((Data!$AJ$6*LN('Intermediate calculations'!AN4))+Data!$AK$6)</f>
        <v>1.7778318470222813E-2</v>
      </c>
      <c r="AO14" s="22">
        <f>((Data!$AJ$6*LN('Intermediate calculations'!AO4))+Data!$AK$6)</f>
        <v>1.7783418317710364E-2</v>
      </c>
      <c r="AP14" s="22">
        <f>((Data!$AJ$6*LN('Intermediate calculations'!AP4))+Data!$AK$6)</f>
        <v>1.7788867369990441E-2</v>
      </c>
      <c r="AQ14" s="22">
        <f>((Data!$AJ$6*LN('Intermediate calculations'!AQ4))+Data!$AK$6)</f>
        <v>1.7794227896662105E-2</v>
      </c>
      <c r="AR14" s="22">
        <f>((Data!$AJ$6*LN('Intermediate calculations'!AR4))+Data!$AK$6)</f>
        <v>1.7800522547855548E-2</v>
      </c>
      <c r="AS14" s="22">
        <f>((Data!$AJ$6*LN('Intermediate calculations'!AS4))+Data!$AK$6)</f>
        <v>1.7806452263176089E-2</v>
      </c>
      <c r="AT14" s="22">
        <f>((Data!$AJ$6*LN('Intermediate calculations'!AT4))+Data!$AK$6)</f>
        <v>1.7812534648503225E-2</v>
      </c>
      <c r="AU14" s="22">
        <f>((Data!$AJ$6*LN('Intermediate calculations'!AU4))+Data!$AK$6)</f>
        <v>1.7819328531495475E-2</v>
      </c>
      <c r="AV14" s="22">
        <f>((Data!$AJ$6*LN('Intermediate calculations'!AV4))+Data!$AK$6)</f>
        <v>1.782544197765594E-2</v>
      </c>
      <c r="AW14" s="22">
        <f>((Data!$AJ$6*LN('Intermediate calculations'!AW4))+Data!$AK$6)</f>
        <v>1.7832035775532992E-2</v>
      </c>
      <c r="AX14" s="22">
        <f>((Data!$AJ$6*LN('Intermediate calculations'!AX4))+Data!$AK$6)</f>
        <v>1.7838894242866065E-2</v>
      </c>
      <c r="AY14" s="22">
        <f>((Data!$AJ$6*LN('Intermediate calculations'!AY4))+Data!$AK$6)</f>
        <v>1.7845001942263614E-2</v>
      </c>
      <c r="AZ14" s="22">
        <f>((Data!$AJ$6*LN('Intermediate calculations'!AZ4))+Data!$AK$6)</f>
        <v>1.7850848481094854E-2</v>
      </c>
      <c r="BA14" s="22">
        <f>((Data!$AJ$6*LN('Intermediate calculations'!BA4))+Data!$AK$6)</f>
        <v>1.7856467902655517E-2</v>
      </c>
      <c r="BB14" s="22">
        <f>((Data!$AJ$6*LN('Intermediate calculations'!BB4))+Data!$AK$6)</f>
        <v>1.7862748201274301E-2</v>
      </c>
      <c r="BC14" s="22">
        <f>((Data!$AJ$6*LN('Intermediate calculations'!BC4))+Data!$AK$6)</f>
        <v>1.7868539888044394E-2</v>
      </c>
      <c r="BD14" s="22">
        <f>((Data!$AJ$6*LN('Intermediate calculations'!BD4))+Data!$AK$6)</f>
        <v>1.787439406055337E-2</v>
      </c>
      <c r="BE14" s="22">
        <f>((Data!$AJ$6*LN('Intermediate calculations'!BE4))+Data!$AK$6)</f>
        <v>1.7880332347226097E-2</v>
      </c>
      <c r="BF14" s="22">
        <f>((Data!$AJ$6*LN('Intermediate calculations'!BF4))+Data!$AK$6)</f>
        <v>1.7886391453601717E-2</v>
      </c>
      <c r="BG14" s="22">
        <f>((Data!$AJ$6*LN('Intermediate calculations'!BG4))+Data!$AK$6)</f>
        <v>1.7892824366579217E-2</v>
      </c>
      <c r="BH14" s="22">
        <f>((Data!$AJ$6*LN('Intermediate calculations'!BH4))+Data!$AK$6)</f>
        <v>1.7893878982931103E-2</v>
      </c>
      <c r="BI14" s="22">
        <f>((Data!$AJ$6*LN('Intermediate calculations'!BI4))+Data!$AK$6)</f>
        <v>1.7894431747800383E-2</v>
      </c>
      <c r="BJ14" s="22">
        <f>((Data!$AJ$6*LN('Intermediate calculations'!BJ4))+Data!$AK$6)</f>
        <v>1.789427660060287E-2</v>
      </c>
      <c r="BK14" s="22">
        <f>((Data!$AJ$6*LN('Intermediate calculations'!BK4))+Data!$AK$6)</f>
        <v>1.7893909646789982E-2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((Data!$AJ$17*'Intermediate calculations'!Y12)+Data!$AK$17)</f>
        <v>2855689.0503554838</v>
      </c>
      <c r="Z15" s="22">
        <f>((Data!$AJ$17*'Intermediate calculations'!Z12)+Data!$AK$17)</f>
        <v>2896085.5151347173</v>
      </c>
      <c r="AA15" s="22">
        <f>((Data!$AJ$17*'Intermediate calculations'!AA12)+Data!$AK$17)</f>
        <v>2942445.3105118945</v>
      </c>
      <c r="AB15" s="22">
        <f>((Data!$AJ$17*'Intermediate calculations'!AB12)+Data!$AK$17)</f>
        <v>2979877.5090505611</v>
      </c>
      <c r="AC15" s="22">
        <f>((Data!$AJ$17*'Intermediate calculations'!AC12)+Data!$AK$17)</f>
        <v>3011589.701515967</v>
      </c>
      <c r="AD15" s="22">
        <f>((Data!$AJ$17*'Intermediate calculations'!AD12)+Data!$AK$17)</f>
        <v>3037447.9061853234</v>
      </c>
      <c r="AE15" s="22">
        <f>((Data!$AJ$17*'Intermediate calculations'!AE12)+Data!$AK$17)</f>
        <v>3068558.1134720882</v>
      </c>
      <c r="AF15" s="22">
        <f>((Data!$AJ$17*'Intermediate calculations'!AF12)+Data!$AK$17)</f>
        <v>3100724.393602334</v>
      </c>
      <c r="AG15" s="22">
        <f>((Data!$AJ$17*'Intermediate calculations'!AG12)+Data!$AK$17)</f>
        <v>3026027.1670365855</v>
      </c>
      <c r="AH15" s="22">
        <f>((Data!$AJ$17*'Intermediate calculations'!AH12)+Data!$AK$17)</f>
        <v>3075970.9884323915</v>
      </c>
      <c r="AI15" s="22">
        <f>((Data!$AJ$17*'Intermediate calculations'!AI12)+Data!$AK$17)</f>
        <v>3140677.4087441061</v>
      </c>
      <c r="AJ15" s="22">
        <f>((Data!$AJ$17*'Intermediate calculations'!AJ12)+Data!$AK$17)</f>
        <v>3182583.7162137963</v>
      </c>
      <c r="AK15" s="22">
        <f>((Data!$AJ$17*'Intermediate calculations'!AK12)+Data!$AK$17)</f>
        <v>3227806.7915845523</v>
      </c>
      <c r="AL15" s="22">
        <f>((Data!$AJ$17*'Intermediate calculations'!AL12)+Data!$AK$17)</f>
        <v>3277340.3046611128</v>
      </c>
      <c r="AM15" s="22">
        <f>((Data!$AJ$17*'Intermediate calculations'!AM12)+Data!$AK$17)</f>
        <v>3327480.8289829623</v>
      </c>
      <c r="AN15" s="22">
        <f>((Data!$AJ$17*'Intermediate calculations'!AN12)+Data!$AK$17)</f>
        <v>3381167.5699441982</v>
      </c>
      <c r="AO15" s="22">
        <f>((Data!$AJ$17*'Intermediate calculations'!AO12)+Data!$AK$17)</f>
        <v>3435994.8144632913</v>
      </c>
      <c r="AP15" s="22">
        <f>((Data!$AJ$17*'Intermediate calculations'!AP12)+Data!$AK$17)</f>
        <v>3494226.826361645</v>
      </c>
      <c r="AQ15" s="22">
        <f>((Data!$AJ$17*'Intermediate calculations'!AQ12)+Data!$AK$17)</f>
        <v>3553452.7437475203</v>
      </c>
      <c r="AR15" s="22">
        <f>((Data!$AJ$17*'Intermediate calculations'!AR12)+Data!$AK$17)</f>
        <v>3616240.5277405847</v>
      </c>
      <c r="AS15" s="22">
        <f>((Data!$AJ$17*'Intermediate calculations'!AS12)+Data!$AK$17)</f>
        <v>3678468.9781017695</v>
      </c>
      <c r="AT15" s="22">
        <f>((Data!$AJ$17*'Intermediate calculations'!AT12)+Data!$AK$17)</f>
        <v>3743387.9707599562</v>
      </c>
      <c r="AU15" s="22">
        <f>((Data!$AJ$17*'Intermediate calculations'!AU12)+Data!$AK$17)</f>
        <v>3814948.6531238118</v>
      </c>
      <c r="AV15" s="22">
        <f>((Data!$AJ$17*'Intermediate calculations'!AV12)+Data!$AK$17)</f>
        <v>3883884.6279693991</v>
      </c>
      <c r="AW15" s="22">
        <f>((Data!$AJ$17*'Intermediate calculations'!AW12)+Data!$AK$17)</f>
        <v>3954337.665612069</v>
      </c>
      <c r="AX15" s="22">
        <f>((Data!$AJ$17*'Intermediate calculations'!AX12)+Data!$AK$17)</f>
        <v>4028803.8630323457</v>
      </c>
      <c r="AY15" s="22">
        <f>((Data!$AJ$17*'Intermediate calculations'!AY12)+Data!$AK$17)</f>
        <v>4099684.6646967577</v>
      </c>
      <c r="AZ15" s="22">
        <f>((Data!$AJ$17*'Intermediate calculations'!AZ12)+Data!$AK$17)</f>
        <v>4170414.8281716555</v>
      </c>
      <c r="BA15" s="22">
        <f>((Data!$AJ$17*'Intermediate calculations'!BA12)+Data!$AK$17)</f>
        <v>4241147.3516166657</v>
      </c>
      <c r="BB15" s="22">
        <f>((Data!$AJ$17*'Intermediate calculations'!BB12)+Data!$AK$17)</f>
        <v>4315280.7809107546</v>
      </c>
      <c r="BC15" s="22">
        <f>((Data!$AJ$17*'Intermediate calculations'!BC12)+Data!$AK$17)</f>
        <v>4387194.8862342602</v>
      </c>
      <c r="BD15" s="22">
        <f>((Data!$AJ$17*'Intermediate calculations'!BD12)+Data!$AK$17)</f>
        <v>4461491.8934668005</v>
      </c>
      <c r="BE15" s="22">
        <f>((Data!$AJ$17*'Intermediate calculations'!BE12)+Data!$AK$17)</f>
        <v>4538466.2453186139</v>
      </c>
      <c r="BF15" s="22">
        <f>((Data!$AJ$17*'Intermediate calculations'!BF12)+Data!$AK$17)</f>
        <v>4618581.3852227535</v>
      </c>
      <c r="BG15" s="22">
        <f>((Data!$AJ$17*'Intermediate calculations'!BG12)+Data!$AK$17)</f>
        <v>4700063.0338893579</v>
      </c>
      <c r="BH15" s="22">
        <f>((Data!$AJ$17*'Intermediate calculations'!BH12)+Data!$AK$17)</f>
        <v>4730669.6495202472</v>
      </c>
      <c r="BI15" s="22">
        <f>((Data!$AJ$17*'Intermediate calculations'!BI12)+Data!$AK$17)</f>
        <v>4756580.9081616001</v>
      </c>
      <c r="BJ15" s="22">
        <f>((Data!$AJ$17*'Intermediate calculations'!BJ12)+Data!$AK$17)</f>
        <v>4775654.6823598184</v>
      </c>
      <c r="BK15" s="22">
        <f>((Data!$AJ$17*'Intermediate calculations'!BK12)+Data!$AK$17)</f>
        <v>4792715.9535053698</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22">
        <f>((Data!$AJ$18*LN('Intermediate calculations'!Y2))+Data!$AK$18)</f>
        <v>0.59036032260533733</v>
      </c>
      <c r="Z16" s="22">
        <f>((Data!$AJ$18*LN('Intermediate calculations'!Z2))+Data!$AK$18)</f>
        <v>0.58537997662592556</v>
      </c>
      <c r="AA16" s="22">
        <f>((Data!$AJ$18*LN('Intermediate calculations'!AA2))+Data!$AK$18)</f>
        <v>0.58070166069623075</v>
      </c>
      <c r="AB16" s="22">
        <f>((Data!$AJ$18*LN('Intermediate calculations'!AB2))+Data!$AK$18)</f>
        <v>0.57629082711126922</v>
      </c>
      <c r="AC16" s="22">
        <f>((Data!$AJ$18*LN('Intermediate calculations'!AC2))+Data!$AK$18)</f>
        <v>0.57211853646492172</v>
      </c>
      <c r="AD16" s="22">
        <f>((Data!$AJ$18*LN('Intermediate calculations'!AD2))+Data!$AK$18)</f>
        <v>0.56816030581489985</v>
      </c>
      <c r="AE16" s="22">
        <f>((Data!$AJ$18*LN('Intermediate calculations'!AE2))+Data!$AK$18)</f>
        <v>0.56439523816734538</v>
      </c>
      <c r="AF16" s="22">
        <f>((Data!$AJ$18*LN('Intermediate calculations'!AF2))+Data!$AK$18)</f>
        <v>0.56080535465675874</v>
      </c>
      <c r="AG16" s="22">
        <f>((Data!$AJ$18*LN('Intermediate calculations'!AG2))+Data!$AK$18)</f>
        <v>0.5573750752965374</v>
      </c>
      <c r="AH16" s="22">
        <f>((Data!$AJ$18*LN('Intermediate calculations'!AH2))+Data!$AK$18)</f>
        <v>0.55409081032083174</v>
      </c>
      <c r="AI16" s="22">
        <f>((Data!$AJ$18*LN('Intermediate calculations'!AI2))+Data!$AK$18)</f>
        <v>0.55094063500387414</v>
      </c>
      <c r="AJ16" s="22">
        <f>((Data!$AJ$18*LN('Intermediate calculations'!AJ2))+Data!$AK$18)</f>
        <v>0.54791402829489422</v>
      </c>
      <c r="AK16" s="22">
        <f>((Data!$AJ$18*LN('Intermediate calculations'!AK2))+Data!$AK$18)</f>
        <v>0.5450016608061754</v>
      </c>
      <c r="AL16" s="22">
        <f>((Data!$AJ$18*LN('Intermediate calculations'!AL2))+Data!$AK$18)</f>
        <v>0.5421952213769079</v>
      </c>
      <c r="AM16" s="22">
        <f>((Data!$AJ$18*LN('Intermediate calculations'!AM2))+Data!$AK$18)</f>
        <v>0.53948727408506059</v>
      </c>
      <c r="AN16" s="22">
        <f>((Data!$AJ$18*LN('Intermediate calculations'!AN2))+Data!$AK$18)</f>
        <v>0.53687113950980603</v>
      </c>
      <c r="AO16" s="22">
        <f>((Data!$AJ$18*LN('Intermediate calculations'!AO2))+Data!$AK$18)</f>
        <v>0.53434079547056146</v>
      </c>
      <c r="AP16" s="22">
        <f>((Data!$AJ$18*LN('Intermediate calculations'!AP2))+Data!$AK$18)</f>
        <v>0.53189079353039415</v>
      </c>
      <c r="AQ16" s="22">
        <f>((Data!$AJ$18*LN('Intermediate calculations'!AQ2))+Data!$AK$18)</f>
        <v>0.52951618835166503</v>
      </c>
      <c r="AR16" s="22">
        <f>((Data!$AJ$18*LN('Intermediate calculations'!AR2))+Data!$AK$18)</f>
        <v>0.52721247760069934</v>
      </c>
      <c r="AS16" s="22">
        <f>((Data!$AJ$18*LN('Intermediate calculations'!AS2))+Data!$AK$18)</f>
        <v>0.52497555056588219</v>
      </c>
      <c r="AT16" s="22">
        <f>((Data!$AJ$18*LN('Intermediate calculations'!AT2))+Data!$AK$18)</f>
        <v>0.52280164401573792</v>
      </c>
      <c r="AU16" s="22">
        <f>((Data!$AJ$18*LN('Intermediate calculations'!AU2))+Data!$AK$18)</f>
        <v>0.52068730410629205</v>
      </c>
      <c r="AV16" s="22">
        <f>((Data!$AJ$18*LN('Intermediate calculations'!AV2))+Data!$AK$18)</f>
        <v>0.51862935336939042</v>
      </c>
      <c r="AW16" s="22">
        <f>((Data!$AJ$18*LN('Intermediate calculations'!AW2))+Data!$AK$18)</f>
        <v>0.5166248619898004</v>
      </c>
      <c r="AX16" s="22">
        <f>((Data!$AJ$18*LN('Intermediate calculations'!AX2))+Data!$AK$18)</f>
        <v>0.51467112271936843</v>
      </c>
      <c r="AY16" s="22">
        <f>((Data!$AJ$18*LN('Intermediate calculations'!AY2))+Data!$AK$18)</f>
        <v>0.51276562888920318</v>
      </c>
      <c r="AZ16" s="22">
        <f>((Data!$AJ$18*LN('Intermediate calculations'!AZ2))+Data!$AK$18)</f>
        <v>0.51090605507181408</v>
      </c>
      <c r="BA16" s="22">
        <f>((Data!$AJ$18*LN('Intermediate calculations'!BA2))+Data!$AK$18)</f>
        <v>0.50909024001896186</v>
      </c>
      <c r="BB16" s="22">
        <f>((Data!$AJ$18*LN('Intermediate calculations'!BB2))+Data!$AK$18)</f>
        <v>0.50731617156122744</v>
      </c>
      <c r="BC16" s="22">
        <f>((Data!$AJ$18*LN('Intermediate calculations'!BC2))+Data!$AK$18)</f>
        <v>0.50558197320471221</v>
      </c>
      <c r="BD16" s="22">
        <f>((Data!$AJ$18*LN('Intermediate calculations'!BD2))+Data!$AK$18)</f>
        <v>0.5038858922010061</v>
      </c>
      <c r="BE16" s="22">
        <f>((Data!$AJ$18*LN('Intermediate calculations'!BE2))+Data!$AK$18)</f>
        <v>0.50222628890026844</v>
      </c>
      <c r="BF16" s="22">
        <f>((Data!$AJ$18*LN('Intermediate calculations'!BF2))+Data!$AK$18)</f>
        <v>0.50060162722530022</v>
      </c>
      <c r="BG16" s="22">
        <f>((Data!$AJ$18*LN('Intermediate calculations'!BG2))+Data!$AK$18)</f>
        <v>0.49901046612789024</v>
      </c>
      <c r="BH16" s="22">
        <f>((Data!$AJ$18*LN('Intermediate calculations'!BH2))+Data!$AK$18)</f>
        <v>0.49745145190834272</v>
      </c>
      <c r="BI16" s="22">
        <f>((Data!$AJ$18*LN('Intermediate calculations'!BI2))+Data!$AK$18)</f>
        <v>0.49592331129560552</v>
      </c>
      <c r="BJ16" s="22">
        <f>((Data!$AJ$18*LN('Intermediate calculations'!BJ2))+Data!$AK$18)</f>
        <v>0.49442484519936286</v>
      </c>
      <c r="BK16" s="22">
        <f>((Data!$AJ$18*LN('Intermediate calculations'!BK2))+Data!$AK$18)</f>
        <v>0.49295492305728073</v>
      </c>
    </row>
    <row r="17" spans="1:63"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3" x14ac:dyDescent="0.3">
      <c r="A18" t="s">
        <v>870</v>
      </c>
      <c r="B18" t="s">
        <v>321</v>
      </c>
      <c r="C18" s="22">
        <f>C27+C22</f>
        <v>168200</v>
      </c>
      <c r="D18" s="22">
        <f t="shared" ref="D18:BK18" si="4">D27+D22</f>
        <v>191200</v>
      </c>
      <c r="E18" s="22">
        <f t="shared" si="4"/>
        <v>176100</v>
      </c>
      <c r="F18" s="22">
        <f t="shared" si="4"/>
        <v>167400</v>
      </c>
      <c r="G18" s="22">
        <f t="shared" si="4"/>
        <v>135300</v>
      </c>
      <c r="H18" s="22">
        <f t="shared" si="4"/>
        <v>94800</v>
      </c>
      <c r="I18" s="22">
        <f t="shared" si="4"/>
        <v>106300</v>
      </c>
      <c r="J18" s="22">
        <f t="shared" si="4"/>
        <v>102600</v>
      </c>
      <c r="K18" s="22">
        <f t="shared" si="4"/>
        <v>96900</v>
      </c>
      <c r="L18" s="22">
        <f t="shared" si="4"/>
        <v>104900</v>
      </c>
      <c r="M18" s="22">
        <f t="shared" si="4"/>
        <v>108300</v>
      </c>
      <c r="N18" s="22">
        <f t="shared" si="4"/>
        <v>105400</v>
      </c>
      <c r="O18" s="22">
        <f t="shared" si="4"/>
        <v>105100</v>
      </c>
      <c r="P18" s="22">
        <f t="shared" si="4"/>
        <v>114400</v>
      </c>
      <c r="Q18" s="22">
        <f t="shared" si="4"/>
        <v>120300</v>
      </c>
      <c r="R18" s="22">
        <f t="shared" si="4"/>
        <v>134600</v>
      </c>
      <c r="S18" s="22">
        <f t="shared" si="4"/>
        <v>135300</v>
      </c>
      <c r="T18" s="22">
        <f t="shared" si="4"/>
        <v>160700</v>
      </c>
      <c r="U18" s="22">
        <f t="shared" si="4"/>
        <v>160600</v>
      </c>
      <c r="V18" s="22">
        <f t="shared" si="4"/>
        <v>162100</v>
      </c>
      <c r="W18" s="22">
        <f t="shared" si="4"/>
        <v>163900</v>
      </c>
      <c r="X18" s="22">
        <f t="shared" si="4"/>
        <v>148800</v>
      </c>
      <c r="Y18" s="22">
        <f t="shared" si="4"/>
        <v>163484.42116083094</v>
      </c>
      <c r="Z18" s="22">
        <f t="shared" si="4"/>
        <v>165085.80191754238</v>
      </c>
      <c r="AA18" s="22">
        <f t="shared" si="4"/>
        <v>166751.80150266935</v>
      </c>
      <c r="AB18" s="22">
        <f t="shared" si="4"/>
        <v>168468.13366972576</v>
      </c>
      <c r="AC18" s="22">
        <f t="shared" si="4"/>
        <v>170240.70959794082</v>
      </c>
      <c r="AD18" s="22">
        <f t="shared" si="4"/>
        <v>172071.84906435863</v>
      </c>
      <c r="AE18" s="22">
        <f t="shared" si="4"/>
        <v>173932.88623482941</v>
      </c>
      <c r="AF18" s="22">
        <f t="shared" si="4"/>
        <v>175824.63311708838</v>
      </c>
      <c r="AG18" s="22">
        <f t="shared" si="4"/>
        <v>177627.79756286176</v>
      </c>
      <c r="AH18" s="22">
        <f t="shared" si="4"/>
        <v>179047.81533352009</v>
      </c>
      <c r="AI18" s="22">
        <f t="shared" si="4"/>
        <v>180499.92884986705</v>
      </c>
      <c r="AJ18" s="22">
        <f t="shared" si="4"/>
        <v>181942.63169272177</v>
      </c>
      <c r="AK18" s="22">
        <f t="shared" si="4"/>
        <v>183405.09153396953</v>
      </c>
      <c r="AL18" s="22">
        <f t="shared" si="4"/>
        <v>184888.59625670058</v>
      </c>
      <c r="AM18" s="22">
        <f t="shared" si="4"/>
        <v>186179.93062782122</v>
      </c>
      <c r="AN18" s="22">
        <f t="shared" si="4"/>
        <v>187487.36775089632</v>
      </c>
      <c r="AO18" s="22">
        <f t="shared" si="4"/>
        <v>188808.35755367592</v>
      </c>
      <c r="AP18" s="22">
        <f t="shared" si="4"/>
        <v>190145.53391297185</v>
      </c>
      <c r="AQ18" s="22">
        <f t="shared" si="4"/>
        <v>191496.34341323789</v>
      </c>
      <c r="AR18" s="22">
        <f t="shared" si="4"/>
        <v>192690.81828510558</v>
      </c>
      <c r="AS18" s="22">
        <f t="shared" si="4"/>
        <v>193894.2716906417</v>
      </c>
      <c r="AT18" s="22">
        <f t="shared" si="4"/>
        <v>195110.39228528627</v>
      </c>
      <c r="AU18" s="22">
        <f t="shared" si="4"/>
        <v>196343.64769908375</v>
      </c>
      <c r="AV18" s="22">
        <f t="shared" si="4"/>
        <v>197583.83735391626</v>
      </c>
      <c r="AW18" s="22">
        <f t="shared" si="4"/>
        <v>198668.81676857665</v>
      </c>
      <c r="AX18" s="22">
        <f t="shared" si="4"/>
        <v>199765.62088145196</v>
      </c>
      <c r="AY18" s="22">
        <f t="shared" si="4"/>
        <v>200865.87073160932</v>
      </c>
      <c r="AZ18" s="22">
        <f t="shared" si="4"/>
        <v>201973.43259272445</v>
      </c>
      <c r="BA18" s="22">
        <f t="shared" si="4"/>
        <v>203088.53101942819</v>
      </c>
      <c r="BB18" s="22">
        <f t="shared" si="4"/>
        <v>204056.64553829643</v>
      </c>
      <c r="BC18" s="22">
        <f t="shared" si="4"/>
        <v>205027.79893224742</v>
      </c>
      <c r="BD18" s="22">
        <f t="shared" si="4"/>
        <v>206007.13295208014</v>
      </c>
      <c r="BE18" s="22">
        <f t="shared" si="4"/>
        <v>206995.00875626557</v>
      </c>
      <c r="BF18" s="22">
        <f t="shared" si="4"/>
        <v>207991.97527488592</v>
      </c>
      <c r="BG18" s="22">
        <f t="shared" si="4"/>
        <v>208833.38062420065</v>
      </c>
      <c r="BH18" s="22">
        <f t="shared" si="4"/>
        <v>209622.15816018035</v>
      </c>
      <c r="BI18" s="22">
        <f t="shared" si="4"/>
        <v>210409.57794465171</v>
      </c>
      <c r="BJ18" s="22">
        <f t="shared" si="4"/>
        <v>211193.28230112934</v>
      </c>
      <c r="BK18" s="22">
        <f t="shared" si="4"/>
        <v>211978.64579428855</v>
      </c>
    </row>
    <row r="19" spans="1:63" x14ac:dyDescent="0.3">
      <c r="A19" t="s">
        <v>332</v>
      </c>
      <c r="B19" t="s">
        <v>321</v>
      </c>
      <c r="C19" s="22">
        <f>C17-C22</f>
        <v>172960</v>
      </c>
      <c r="D19" s="22">
        <f t="shared" ref="D19:X19" si="5">D17-D22</f>
        <v>193640</v>
      </c>
      <c r="E19" s="22">
        <f t="shared" si="5"/>
        <v>187060</v>
      </c>
      <c r="F19" s="22">
        <f t="shared" si="5"/>
        <v>177660</v>
      </c>
      <c r="G19" s="22">
        <f t="shared" si="5"/>
        <v>146640</v>
      </c>
      <c r="H19" s="22">
        <f t="shared" si="5"/>
        <v>110920</v>
      </c>
      <c r="I19" s="22">
        <f t="shared" si="5"/>
        <v>134420</v>
      </c>
      <c r="J19" s="22">
        <f t="shared" si="5"/>
        <v>133480</v>
      </c>
      <c r="K19" s="22">
        <f t="shared" si="5"/>
        <v>136300</v>
      </c>
      <c r="L19" s="22">
        <f t="shared" si="5"/>
        <v>144760</v>
      </c>
      <c r="M19" s="22">
        <f t="shared" si="5"/>
        <v>153220</v>
      </c>
      <c r="N19" s="22">
        <f t="shared" si="5"/>
        <v>149460</v>
      </c>
      <c r="O19" s="22">
        <f t="shared" si="5"/>
        <v>137240</v>
      </c>
      <c r="P19" s="22">
        <f t="shared" si="5"/>
        <v>137240</v>
      </c>
      <c r="Q19" s="22">
        <f t="shared" si="5"/>
        <v>143820</v>
      </c>
      <c r="R19" s="22">
        <f t="shared" si="5"/>
        <v>157920</v>
      </c>
      <c r="S19" s="22">
        <f t="shared" si="5"/>
        <v>165440</v>
      </c>
      <c r="T19" s="22">
        <f t="shared" si="5"/>
        <v>190820</v>
      </c>
      <c r="U19" s="22">
        <f t="shared" si="5"/>
        <v>177660</v>
      </c>
      <c r="V19" s="22">
        <f t="shared" si="5"/>
        <v>169200</v>
      </c>
      <c r="W19" s="22">
        <f t="shared" si="5"/>
        <v>163560</v>
      </c>
      <c r="X19" s="22">
        <f t="shared" si="5"/>
        <v>145700</v>
      </c>
      <c r="Y19" s="22">
        <f>(((Data!$AJ$7*'Intermediate calculations'!Y4)+Data!$AK$7)*Drivers!Z4)</f>
        <v>168493.35641070595</v>
      </c>
      <c r="Z19" s="22">
        <f>(((Data!$AJ$7*'Intermediate calculations'!Z4)+Data!$AK$7)*Drivers!AA4)</f>
        <v>171016.70205543257</v>
      </c>
      <c r="AA19" s="22">
        <f>(((Data!$AJ$7*'Intermediate calculations'!AA4)+Data!$AK$7)*Drivers!AB4)</f>
        <v>173641.86960514102</v>
      </c>
      <c r="AB19" s="22">
        <f>(((Data!$AJ$7*'Intermediate calculations'!AB4)+Data!$AK$7)*Drivers!AC4)</f>
        <v>176346.34777530449</v>
      </c>
      <c r="AC19" s="22">
        <f>(((Data!$AJ$7*'Intermediate calculations'!AC4)+Data!$AK$7)*Drivers!AD4)</f>
        <v>179139.45099554921</v>
      </c>
      <c r="AD19" s="22">
        <f>(((Data!$AJ$7*'Intermediate calculations'!AD4)+Data!$AK$7)*Drivers!AE4)</f>
        <v>182024.83461097442</v>
      </c>
      <c r="AE19" s="22">
        <f>(((Data!$AJ$7*'Intermediate calculations'!AE4)+Data!$AK$7)*Drivers!AF4)</f>
        <v>184957.32897191923</v>
      </c>
      <c r="AF19" s="22">
        <f>(((Data!$AJ$7*'Intermediate calculations'!AF4)+Data!$AK$7)*Drivers!AG4)</f>
        <v>187938.21358431841</v>
      </c>
      <c r="AG19" s="22">
        <f>(((Data!$AJ$7*'Intermediate calculations'!AG4)+Data!$AK$7)*Drivers!AH4)</f>
        <v>190779.51608648655</v>
      </c>
      <c r="AH19" s="22">
        <f>(((Data!$AJ$7*'Intermediate calculations'!AH4)+Data!$AK$7)*Drivers!AI4)</f>
        <v>193017.08241292564</v>
      </c>
      <c r="AI19" s="22">
        <f>(((Data!$AJ$7*'Intermediate calculations'!AI4)+Data!$AK$7)*Drivers!AJ4)</f>
        <v>195305.22300770052</v>
      </c>
      <c r="AJ19" s="22">
        <f>(((Data!$AJ$7*'Intermediate calculations'!AJ4)+Data!$AK$7)*Drivers!AK4)</f>
        <v>197578.53491050377</v>
      </c>
      <c r="AK19" s="22">
        <f>(((Data!$AJ$7*'Intermediate calculations'!AK4)+Data!$AK$7)*Drivers!AL4)</f>
        <v>199882.97853238066</v>
      </c>
      <c r="AL19" s="22">
        <f>(((Data!$AJ$7*'Intermediate calculations'!AL4)+Data!$AK$7)*Drivers!AM4)</f>
        <v>202220.58323091723</v>
      </c>
      <c r="AM19" s="22">
        <f>(((Data!$AJ$7*'Intermediate calculations'!AM4)+Data!$AK$7)*Drivers!AN4)</f>
        <v>204255.3791079107</v>
      </c>
      <c r="AN19" s="22">
        <f>(((Data!$AJ$7*'Intermediate calculations'!AN4)+Data!$AK$7)*Drivers!AO4)</f>
        <v>206315.54859379883</v>
      </c>
      <c r="AO19" s="22">
        <f>(((Data!$AJ$7*'Intermediate calculations'!AO4)+Data!$AK$7)*Drivers!AP4)</f>
        <v>208397.0734601382</v>
      </c>
      <c r="AP19" s="22">
        <f>(((Data!$AJ$7*'Intermediate calculations'!AP4)+Data!$AK$7)*Drivers!AQ4)</f>
        <v>210504.1039888364</v>
      </c>
      <c r="AQ19" s="22">
        <f>(((Data!$AJ$7*'Intermediate calculations'!AQ4)+Data!$AK$7)*Drivers!AR4)</f>
        <v>212632.61668331348</v>
      </c>
      <c r="AR19" s="22">
        <f>(((Data!$AJ$7*'Intermediate calculations'!AR4)+Data!$AK$7)*Drivers!AS4)</f>
        <v>214514.78802390856</v>
      </c>
      <c r="AS19" s="22">
        <f>(((Data!$AJ$7*'Intermediate calculations'!AS4)+Data!$AK$7)*Drivers!AT4)</f>
        <v>216411.10712026578</v>
      </c>
      <c r="AT19" s="22">
        <f>(((Data!$AJ$7*'Intermediate calculations'!AT4)+Data!$AK$7)*Drivers!AU4)</f>
        <v>218327.38630190183</v>
      </c>
      <c r="AU19" s="22">
        <f>(((Data!$AJ$7*'Intermediate calculations'!AU4)+Data!$AK$7)*Drivers!AV4)</f>
        <v>220270.66535293276</v>
      </c>
      <c r="AV19" s="22">
        <f>(((Data!$AJ$7*'Intermediate calculations'!AV4)+Data!$AK$7)*Drivers!AW4)</f>
        <v>222224.8709040118</v>
      </c>
      <c r="AW19" s="22">
        <f>(((Data!$AJ$7*'Intermediate calculations'!AW4)+Data!$AK$7)*Drivers!AX4)</f>
        <v>223934.50683483414</v>
      </c>
      <c r="AX19" s="22">
        <f>(((Data!$AJ$7*'Intermediate calculations'!AX4)+Data!$AK$7)*Drivers!AY4)</f>
        <v>225662.7753117363</v>
      </c>
      <c r="AY19" s="22">
        <f>(((Data!$AJ$7*'Intermediate calculations'!AY4)+Data!$AK$7)*Drivers!AZ4)</f>
        <v>227396.47334443094</v>
      </c>
      <c r="AZ19" s="22">
        <f>(((Data!$AJ$7*'Intermediate calculations'!AZ4)+Data!$AK$7)*Drivers!BA4)</f>
        <v>229141.69314103288</v>
      </c>
      <c r="BA19" s="22">
        <f>(((Data!$AJ$7*'Intermediate calculations'!BA4)+Data!$AK$7)*Drivers!BB4)</f>
        <v>230898.78853928321</v>
      </c>
      <c r="BB19" s="22">
        <f>(((Data!$AJ$7*'Intermediate calculations'!BB4)+Data!$AK$7)*Drivers!BC4)</f>
        <v>232424.27680592096</v>
      </c>
      <c r="BC19" s="22">
        <f>(((Data!$AJ$7*'Intermediate calculations'!BC4)+Data!$AK$7)*Drivers!BD4)</f>
        <v>233954.55352288368</v>
      </c>
      <c r="BD19" s="22">
        <f>(((Data!$AJ$7*'Intermediate calculations'!BD4)+Data!$AK$7)*Drivers!BE4)</f>
        <v>235497.7207074028</v>
      </c>
      <c r="BE19" s="22">
        <f>(((Data!$AJ$7*'Intermediate calculations'!BE4)+Data!$AK$7)*Drivers!BF4)</f>
        <v>237054.34744815447</v>
      </c>
      <c r="BF19" s="22">
        <f>(((Data!$AJ$7*'Intermediate calculations'!BF4)+Data!$AK$7)*Drivers!BG4)</f>
        <v>238625.29871140371</v>
      </c>
      <c r="BG19" s="22">
        <f>(((Data!$AJ$7*'Intermediate calculations'!BG4)+Data!$AK$7)*Drivers!BH4)</f>
        <v>239951.1273844066</v>
      </c>
      <c r="BH19" s="22">
        <f>(((Data!$AJ$7*'Intermediate calculations'!BH4)+Data!$AK$7)*Drivers!BI4)</f>
        <v>241194.02876918399</v>
      </c>
      <c r="BI19" s="22">
        <f>(((Data!$AJ$7*'Intermediate calculations'!BI4)+Data!$AK$7)*Drivers!BJ4)</f>
        <v>242434.79070252812</v>
      </c>
      <c r="BJ19" s="22">
        <f>(((Data!$AJ$7*'Intermediate calculations'!BJ4)+Data!$AK$7)*Drivers!BK4)</f>
        <v>243669.69812000712</v>
      </c>
      <c r="BK19" s="22">
        <f>(((Data!$AJ$7*'Intermediate calculations'!BK4)+Data!$AK$7)*Drivers!BL4)</f>
        <v>244907.21989094446</v>
      </c>
    </row>
    <row r="20" spans="1:63"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3.2167211261366008E-3</v>
      </c>
      <c r="AH20" s="22">
        <f>AH19/Drivers!AI4</f>
        <v>3.2174028583286944E-3</v>
      </c>
      <c r="AI20" s="22">
        <f>AI19/Drivers!AJ4</f>
        <v>3.2184856897333005E-3</v>
      </c>
      <c r="AJ20" s="22">
        <f>AJ19/Drivers!AK4</f>
        <v>3.2188853897138891E-3</v>
      </c>
      <c r="AK20" s="22">
        <f>AK19/Drivers!AL4</f>
        <v>3.2193603690087312E-3</v>
      </c>
      <c r="AL20" s="22">
        <f>AL19/Drivers!AM4</f>
        <v>3.2199354675795083E-3</v>
      </c>
      <c r="AM20" s="22">
        <f>AM19/Drivers!AN4</f>
        <v>3.2206235894405252E-3</v>
      </c>
      <c r="AN20" s="22">
        <f>AN19/Drivers!AO4</f>
        <v>3.2213883502731117E-3</v>
      </c>
      <c r="AO20" s="22">
        <f>AO19/Drivers!AP4</f>
        <v>3.2221621987584851E-3</v>
      </c>
      <c r="AP20" s="22">
        <f>AP19/Drivers!AQ4</f>
        <v>3.2230052099911301E-3</v>
      </c>
      <c r="AQ20" s="22">
        <f>AQ19/Drivers!AR4</f>
        <v>3.2238511513237593E-3</v>
      </c>
      <c r="AR20" s="22">
        <f>AR19/Drivers!AS4</f>
        <v>3.2248660019074914E-3</v>
      </c>
      <c r="AS20" s="22">
        <f>AS19/Drivers!AT4</f>
        <v>3.2258437165381365E-3</v>
      </c>
      <c r="AT20" s="22">
        <f>AT19/Drivers!AU4</f>
        <v>3.2268689724647935E-3</v>
      </c>
      <c r="AU20" s="22">
        <f>AU19/Drivers!AV4</f>
        <v>3.2280415659354006E-3</v>
      </c>
      <c r="AV20" s="22">
        <f>AV19/Drivers!AW4</f>
        <v>3.2291220215774751E-3</v>
      </c>
      <c r="AW20" s="22">
        <f>AW19/Drivers!AX4</f>
        <v>3.2303148884756869E-3</v>
      </c>
      <c r="AX20" s="22">
        <f>AX19/Drivers!AY4</f>
        <v>3.2315866698818599E-3</v>
      </c>
      <c r="AY20" s="22">
        <f>AY19/Drivers!AZ4</f>
        <v>3.2327465181619655E-3</v>
      </c>
      <c r="AZ20" s="22">
        <f>AZ19/Drivers!BA4</f>
        <v>3.2338814116411791E-3</v>
      </c>
      <c r="BA20" s="22">
        <f>BA19/Drivers!BB4</f>
        <v>3.2349954274001041E-3</v>
      </c>
      <c r="BB20" s="22">
        <f>BB19/Drivers!BC4</f>
        <v>3.236267968893702E-3</v>
      </c>
      <c r="BC20" s="22">
        <f>BC19/Drivers!BD4</f>
        <v>3.2374678070893562E-3</v>
      </c>
      <c r="BD20" s="22">
        <f>BD19/Drivers!BE4</f>
        <v>3.2387068058567442E-3</v>
      </c>
      <c r="BE20" s="22">
        <f>BE19/Drivers!BF4</f>
        <v>3.2399911199163774E-3</v>
      </c>
      <c r="BF20" s="22">
        <f>BF19/Drivers!BG4</f>
        <v>3.2413307562560059E-3</v>
      </c>
      <c r="BG20" s="22">
        <f>BG19/Drivers!BH4</f>
        <v>3.2427860462205184E-3</v>
      </c>
      <c r="BH20" s="22">
        <f>BH19/Drivers!BI4</f>
        <v>3.2430279250335444E-3</v>
      </c>
      <c r="BI20" s="22">
        <f>BI19/Drivers!BJ4</f>
        <v>3.2431550776936056E-3</v>
      </c>
      <c r="BJ20" s="22">
        <f>BJ19/Drivers!BK4</f>
        <v>3.2431193630778092E-3</v>
      </c>
      <c r="BK20" s="22">
        <f>BK19/Drivers!BL4</f>
        <v>3.2430349718891782E-3</v>
      </c>
    </row>
    <row r="21" spans="1:63" x14ac:dyDescent="0.3">
      <c r="A21" t="s">
        <v>332</v>
      </c>
      <c r="B21" t="s">
        <v>663</v>
      </c>
      <c r="C21" s="22">
        <f>C20*1000</f>
        <v>4.6999349927469751</v>
      </c>
      <c r="D21" s="22">
        <f t="shared" ref="D21:X21" si="6">D20*1000</f>
        <v>5.1337590256356549</v>
      </c>
      <c r="E21" s="22">
        <f t="shared" si="6"/>
        <v>4.8370155133322141</v>
      </c>
      <c r="F21" s="22">
        <f t="shared" si="6"/>
        <v>4.4825432869713318</v>
      </c>
      <c r="G21" s="22">
        <f t="shared" si="6"/>
        <v>3.6150228457166969</v>
      </c>
      <c r="H21" s="22">
        <f t="shared" si="6"/>
        <v>2.6769149486779025</v>
      </c>
      <c r="I21" s="22">
        <f t="shared" si="6"/>
        <v>3.1822155014234865</v>
      </c>
      <c r="J21" s="22">
        <f t="shared" si="6"/>
        <v>3.1050915056369575</v>
      </c>
      <c r="K21" s="22">
        <f t="shared" si="6"/>
        <v>3.1202598034076074</v>
      </c>
      <c r="L21" s="22">
        <f t="shared" si="6"/>
        <v>3.2648794977318043</v>
      </c>
      <c r="M21" s="22">
        <f t="shared" si="6"/>
        <v>3.407333991761377</v>
      </c>
      <c r="N21" s="22">
        <f t="shared" si="6"/>
        <v>3.2796976446170891</v>
      </c>
      <c r="O21" s="22">
        <f t="shared" si="6"/>
        <v>2.973722318342868</v>
      </c>
      <c r="P21" s="22">
        <f t="shared" si="6"/>
        <v>2.9375505520257668</v>
      </c>
      <c r="Q21" s="22">
        <f t="shared" si="6"/>
        <v>3.04113139730282</v>
      </c>
      <c r="R21" s="22">
        <f t="shared" si="6"/>
        <v>3.29820421427041</v>
      </c>
      <c r="S21" s="22">
        <f t="shared" si="6"/>
        <v>3.4118755583558893</v>
      </c>
      <c r="T21" s="22">
        <f t="shared" si="6"/>
        <v>3.884791047122198</v>
      </c>
      <c r="U21" s="22">
        <f t="shared" si="6"/>
        <v>3.5689411002378875</v>
      </c>
      <c r="V21" s="22">
        <f t="shared" si="6"/>
        <v>3.3520209823834457</v>
      </c>
      <c r="W21" s="22">
        <f t="shared" si="6"/>
        <v>3.1934731625248225</v>
      </c>
      <c r="X21" s="22">
        <f t="shared" si="6"/>
        <v>2.8016982945137556</v>
      </c>
      <c r="Y21" s="22">
        <f>Y20*1000</f>
        <v>3.2201043953224926</v>
      </c>
      <c r="Z21" s="22">
        <f t="shared" ref="Z21:BK21" si="7">Z20*1000</f>
        <v>3.2203874945307116</v>
      </c>
      <c r="AA21" s="22">
        <f t="shared" si="7"/>
        <v>3.220817105281391</v>
      </c>
      <c r="AB21" s="22">
        <f t="shared" si="7"/>
        <v>3.2209089467766567</v>
      </c>
      <c r="AC21" s="22">
        <f t="shared" si="7"/>
        <v>3.2207774672599072</v>
      </c>
      <c r="AD21" s="22">
        <f t="shared" si="7"/>
        <v>3.2204274784876441</v>
      </c>
      <c r="AE21" s="22">
        <f t="shared" si="7"/>
        <v>3.2202334247522502</v>
      </c>
      <c r="AF21" s="22">
        <f t="shared" si="7"/>
        <v>3.2200590275988001</v>
      </c>
      <c r="AG21" s="22">
        <f t="shared" si="7"/>
        <v>3.2167211261366009</v>
      </c>
      <c r="AH21" s="22">
        <f t="shared" si="7"/>
        <v>3.2174028583286942</v>
      </c>
      <c r="AI21" s="22">
        <f t="shared" si="7"/>
        <v>3.2184856897333005</v>
      </c>
      <c r="AJ21" s="22">
        <f t="shared" si="7"/>
        <v>3.2188853897138889</v>
      </c>
      <c r="AK21" s="22">
        <f t="shared" si="7"/>
        <v>3.2193603690087311</v>
      </c>
      <c r="AL21" s="22">
        <f t="shared" si="7"/>
        <v>3.2199354675795084</v>
      </c>
      <c r="AM21" s="22">
        <f t="shared" si="7"/>
        <v>3.2206235894405251</v>
      </c>
      <c r="AN21" s="22">
        <f t="shared" si="7"/>
        <v>3.2213883502731115</v>
      </c>
      <c r="AO21" s="22">
        <f t="shared" si="7"/>
        <v>3.2221621987584852</v>
      </c>
      <c r="AP21" s="22">
        <f t="shared" si="7"/>
        <v>3.2230052099911299</v>
      </c>
      <c r="AQ21" s="22">
        <f t="shared" si="7"/>
        <v>3.2238511513237591</v>
      </c>
      <c r="AR21" s="22">
        <f t="shared" si="7"/>
        <v>3.2248660019074915</v>
      </c>
      <c r="AS21" s="22">
        <f t="shared" si="7"/>
        <v>3.2258437165381366</v>
      </c>
      <c r="AT21" s="22">
        <f t="shared" si="7"/>
        <v>3.2268689724647937</v>
      </c>
      <c r="AU21" s="22">
        <f t="shared" si="7"/>
        <v>3.2280415659354005</v>
      </c>
      <c r="AV21" s="22">
        <f t="shared" si="7"/>
        <v>3.2291220215774752</v>
      </c>
      <c r="AW21" s="22">
        <f t="shared" si="7"/>
        <v>3.2303148884756867</v>
      </c>
      <c r="AX21" s="22">
        <f t="shared" si="7"/>
        <v>3.2315866698818598</v>
      </c>
      <c r="AY21" s="22">
        <f t="shared" si="7"/>
        <v>3.2327465181619655</v>
      </c>
      <c r="AZ21" s="22">
        <f t="shared" si="7"/>
        <v>3.2338814116411791</v>
      </c>
      <c r="BA21" s="22">
        <f t="shared" si="7"/>
        <v>3.2349954274001043</v>
      </c>
      <c r="BB21" s="22">
        <f t="shared" si="7"/>
        <v>3.2362679688937019</v>
      </c>
      <c r="BC21" s="22">
        <f t="shared" si="7"/>
        <v>3.2374678070893563</v>
      </c>
      <c r="BD21" s="22">
        <f t="shared" si="7"/>
        <v>3.2387068058567441</v>
      </c>
      <c r="BE21" s="22">
        <f t="shared" si="7"/>
        <v>3.2399911199163776</v>
      </c>
      <c r="BF21" s="22">
        <f t="shared" si="7"/>
        <v>3.2413307562560059</v>
      </c>
      <c r="BG21" s="22">
        <f t="shared" si="7"/>
        <v>3.2427860462205182</v>
      </c>
      <c r="BH21" s="22">
        <f t="shared" si="7"/>
        <v>3.2430279250335445</v>
      </c>
      <c r="BI21" s="22">
        <f t="shared" si="7"/>
        <v>3.2431550776936056</v>
      </c>
      <c r="BJ21" s="22">
        <f t="shared" si="7"/>
        <v>3.2431193630778092</v>
      </c>
      <c r="BK21" s="22">
        <f t="shared" si="7"/>
        <v>3.2430349718891782</v>
      </c>
    </row>
    <row r="22" spans="1:63"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((Data!$AJ$8*'Intermediate calculations'!Y4)+Data!$AK$8)*Drivers!Z4</f>
        <v>10754.895090045064</v>
      </c>
      <c r="Z22" s="22">
        <f>((Data!$AJ$8*'Intermediate calculations'!Z4)+Data!$AK$8)*Drivers!AA4</f>
        <v>10915.959705665911</v>
      </c>
      <c r="AA22" s="22">
        <f>((Data!$AJ$8*'Intermediate calculations'!AA4)+Data!$AK$8)*Drivers!AB4</f>
        <v>11083.523591817515</v>
      </c>
      <c r="AB22" s="22">
        <f>((Data!$AJ$8*'Intermediate calculations'!AB4)+Data!$AK$8)*Drivers!AC4</f>
        <v>11256.149857998162</v>
      </c>
      <c r="AC22" s="22">
        <f>((Data!$AJ$8*'Intermediate calculations'!AC4)+Data!$AK$8)*Drivers!AD4</f>
        <v>11434.433042269102</v>
      </c>
      <c r="AD22" s="22">
        <f>((Data!$AJ$8*'Intermediate calculations'!AD4)+Data!$AK$8)*Drivers!AE4</f>
        <v>11618.606464530285</v>
      </c>
      <c r="AE22" s="22">
        <f>((Data!$AJ$8*'Intermediate calculations'!AE4)+Data!$AK$8)*Drivers!AF4</f>
        <v>11805.786955654421</v>
      </c>
      <c r="AF22" s="22">
        <f>((Data!$AJ$8*'Intermediate calculations'!AF4)+Data!$AK$8)*Drivers!AG4</f>
        <v>11996.056186233092</v>
      </c>
      <c r="AG22" s="22">
        <f>((Data!$AJ$8*'Intermediate calculations'!AG4)+Data!$AK$8)*Drivers!AH4</f>
        <v>12177.415920414036</v>
      </c>
      <c r="AH22" s="22">
        <f>((Data!$AJ$8*'Intermediate calculations'!AH4)+Data!$AK$8)*Drivers!AI4</f>
        <v>12320.239302952703</v>
      </c>
      <c r="AI22" s="22">
        <f>((Data!$AJ$8*'Intermediate calculations'!AI4)+Data!$AK$8)*Drivers!AJ4</f>
        <v>12466.29083027876</v>
      </c>
      <c r="AJ22" s="22">
        <f>((Data!$AJ$8*'Intermediate calculations'!AJ4)+Data!$AK$8)*Drivers!AK4</f>
        <v>12611.395845351306</v>
      </c>
      <c r="AK22" s="22">
        <f>((Data!$AJ$8*'Intermediate calculations'!AK4)+Data!$AK$8)*Drivers!AL4</f>
        <v>12758.487991428556</v>
      </c>
      <c r="AL22" s="22">
        <f>((Data!$AJ$8*'Intermediate calculations'!AL4)+Data!$AK$8)*Drivers!AM4</f>
        <v>12907.696801973441</v>
      </c>
      <c r="AM22" s="22">
        <f>((Data!$AJ$8*'Intermediate calculations'!AM4)+Data!$AK$8)*Drivers!AN4</f>
        <v>13037.577389866645</v>
      </c>
      <c r="AN22" s="22">
        <f>((Data!$AJ$8*'Intermediate calculations'!AN4)+Data!$AK$8)*Drivers!AO4</f>
        <v>13169.077569816949</v>
      </c>
      <c r="AO22" s="22">
        <f>((Data!$AJ$8*'Intermediate calculations'!AO4)+Data!$AK$8)*Drivers!AP4</f>
        <v>13301.940859157761</v>
      </c>
      <c r="AP22" s="22">
        <f>((Data!$AJ$8*'Intermediate calculations'!AP4)+Data!$AK$8)*Drivers!AQ4</f>
        <v>13436.4321695002</v>
      </c>
      <c r="AQ22" s="22">
        <f>((Data!$AJ$8*'Intermediate calculations'!AQ4)+Data!$AK$8)*Drivers!AR4</f>
        <v>13572.294681913632</v>
      </c>
      <c r="AR22" s="22">
        <f>((Data!$AJ$8*'Intermediate calculations'!AR4)+Data!$AK$8)*Drivers!AS4</f>
        <v>13692.433278121825</v>
      </c>
      <c r="AS22" s="22">
        <f>((Data!$AJ$8*'Intermediate calculations'!AS4)+Data!$AK$8)*Drivers!AT4</f>
        <v>13813.474922570162</v>
      </c>
      <c r="AT22" s="22">
        <f>((Data!$AJ$8*'Intermediate calculations'!AT4)+Data!$AK$8)*Drivers!AU4</f>
        <v>13935.790615015014</v>
      </c>
      <c r="AU22" s="22">
        <f>((Data!$AJ$8*'Intermediate calculations'!AU4)+Data!$AK$8)*Drivers!AV4</f>
        <v>14059.829703378689</v>
      </c>
      <c r="AV22" s="22">
        <f>((Data!$AJ$8*'Intermediate calculations'!AV4)+Data!$AK$8)*Drivers!AW4</f>
        <v>14184.56622791565</v>
      </c>
      <c r="AW22" s="22">
        <f>((Data!$AJ$8*'Intermediate calculations'!AW4)+Data!$AK$8)*Drivers!AX4</f>
        <v>14293.691925627716</v>
      </c>
      <c r="AX22" s="22">
        <f>((Data!$AJ$8*'Intermediate calculations'!AX4)+Data!$AK$8)*Drivers!AY4</f>
        <v>14404.00693479168</v>
      </c>
      <c r="AY22" s="22">
        <f>((Data!$AJ$8*'Intermediate calculations'!AY4)+Data!$AK$8)*Drivers!AZ4</f>
        <v>14514.668511346657</v>
      </c>
      <c r="AZ22" s="22">
        <f>((Data!$AJ$8*'Intermediate calculations'!AZ4)+Data!$AK$8)*Drivers!BA4</f>
        <v>14626.065519640399</v>
      </c>
      <c r="BA22" s="22">
        <f>((Data!$AJ$8*'Intermediate calculations'!BA4)+Data!$AK$8)*Drivers!BB4</f>
        <v>14738.220545060634</v>
      </c>
      <c r="BB22" s="22">
        <f>((Data!$AJ$8*'Intermediate calculations'!BB4)+Data!$AK$8)*Drivers!BC4</f>
        <v>14835.592136548152</v>
      </c>
      <c r="BC22" s="22">
        <f>((Data!$AJ$8*'Intermediate calculations'!BC4)+Data!$AK$8)*Drivers!BD4</f>
        <v>14933.269373801089</v>
      </c>
      <c r="BD22" s="22">
        <f>((Data!$AJ$8*'Intermediate calculations'!BD4)+Data!$AK$8)*Drivers!BE4</f>
        <v>15031.769406855503</v>
      </c>
      <c r="BE22" s="22">
        <f>((Data!$AJ$8*'Intermediate calculations'!BE4)+Data!$AK$8)*Drivers!BF4</f>
        <v>15131.128560520505</v>
      </c>
      <c r="BF22" s="22">
        <f>((Data!$AJ$8*'Intermediate calculations'!BF4)+Data!$AK$8)*Drivers!BG4</f>
        <v>15231.402045408753</v>
      </c>
      <c r="BG22" s="22">
        <f>((Data!$AJ$8*'Intermediate calculations'!BG4)+Data!$AK$8)*Drivers!BH4</f>
        <v>15316.02940751532</v>
      </c>
      <c r="BH22" s="22">
        <f>((Data!$AJ$8*'Intermediate calculations'!BH4)+Data!$AK$8)*Drivers!BI4</f>
        <v>15395.363538458558</v>
      </c>
      <c r="BI22" s="22">
        <f>((Data!$AJ$8*'Intermediate calculations'!BI4)+Data!$AK$8)*Drivers!BJ4</f>
        <v>15474.561108672013</v>
      </c>
      <c r="BJ22" s="22">
        <f>((Data!$AJ$8*'Intermediate calculations'!BJ4)+Data!$AK$8)*Drivers!BK4</f>
        <v>15553.384986383438</v>
      </c>
      <c r="BK22" s="22">
        <f>((Data!$AJ$8*'Intermediate calculations'!BK4)+Data!$AK$8)*Drivers!BL4</f>
        <v>15632.375737719864</v>
      </c>
    </row>
    <row r="23" spans="1:63"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2.0555920075453053E-4</v>
      </c>
      <c r="AE23" s="22">
        <f>AE22/Drivers!AF4</f>
        <v>2.0554681434588836E-4</v>
      </c>
      <c r="AF23" s="22">
        <f>AF22/Drivers!AG4</f>
        <v>2.0553568261268943E-4</v>
      </c>
      <c r="AG23" s="22">
        <f>AG22/Drivers!AH4</f>
        <v>2.05322625072549E-4</v>
      </c>
      <c r="AH23" s="22">
        <f>AH22/Drivers!AI4</f>
        <v>2.0536613989332098E-4</v>
      </c>
      <c r="AI23" s="22">
        <f>AI22/Drivers!AJ4</f>
        <v>2.0543525679148731E-4</v>
      </c>
      <c r="AJ23" s="22">
        <f>AJ22/Drivers!AK4</f>
        <v>2.0546076955620571E-4</v>
      </c>
      <c r="AK23" s="22">
        <f>AK22/Drivers!AL4</f>
        <v>2.0549108738353609E-4</v>
      </c>
      <c r="AL23" s="22">
        <f>AL22/Drivers!AM4</f>
        <v>2.0552779580294736E-4</v>
      </c>
      <c r="AM23" s="22">
        <f>AM22/Drivers!AN4</f>
        <v>2.0557171847492719E-4</v>
      </c>
      <c r="AN23" s="22">
        <f>AN22/Drivers!AO4</f>
        <v>2.0562053299615611E-4</v>
      </c>
      <c r="AO23" s="22">
        <f>AO22/Drivers!AP4</f>
        <v>2.0566992758032888E-4</v>
      </c>
      <c r="AP23" s="22">
        <f>AP22/Drivers!AQ4</f>
        <v>2.0572373680794451E-4</v>
      </c>
      <c r="AQ23" s="22">
        <f>AQ22/Drivers!AR4</f>
        <v>2.0577773306321875E-4</v>
      </c>
      <c r="AR23" s="22">
        <f>AR22/Drivers!AS4</f>
        <v>2.0584251076005269E-4</v>
      </c>
      <c r="AS23" s="22">
        <f>AS22/Drivers!AT4</f>
        <v>2.059049180769024E-4</v>
      </c>
      <c r="AT23" s="22">
        <f>AT22/Drivers!AU4</f>
        <v>2.0597035994456133E-4</v>
      </c>
      <c r="AU23" s="22">
        <f>AU22/Drivers!AV4</f>
        <v>2.0604520633630221E-4</v>
      </c>
      <c r="AV23" s="22">
        <f>AV22/Drivers!AW4</f>
        <v>2.0611417159005166E-4</v>
      </c>
      <c r="AW23" s="22">
        <f>AW22/Drivers!AX4</f>
        <v>2.0619031203036306E-4</v>
      </c>
      <c r="AX23" s="22">
        <f>AX22/Drivers!AY4</f>
        <v>2.0627148956692726E-4</v>
      </c>
      <c r="AY23" s="22">
        <f>AY22/Drivers!AZ4</f>
        <v>2.0634552243587018E-4</v>
      </c>
      <c r="AZ23" s="22">
        <f>AZ22/Drivers!BA4</f>
        <v>2.0641796244518168E-4</v>
      </c>
      <c r="BA23" s="22">
        <f>BA22/Drivers!BB4</f>
        <v>2.0648906983404924E-4</v>
      </c>
      <c r="BB23" s="22">
        <f>BB22/Drivers!BC4</f>
        <v>2.0657029588683209E-4</v>
      </c>
      <c r="BC23" s="22">
        <f>BC22/Drivers!BD4</f>
        <v>2.0664688130357599E-4</v>
      </c>
      <c r="BD23" s="22">
        <f>BD22/Drivers!BE4</f>
        <v>2.0672596633128162E-4</v>
      </c>
      <c r="BE23" s="22">
        <f>BE22/Drivers!BF4</f>
        <v>2.0680794382444971E-4</v>
      </c>
      <c r="BF23" s="22">
        <f>BF22/Drivers!BG4</f>
        <v>2.0689345252697917E-4</v>
      </c>
      <c r="BG23" s="22">
        <f>BG22/Drivers!BH4</f>
        <v>2.0698634337577783E-4</v>
      </c>
      <c r="BH23" s="22">
        <f>BH22/Drivers!BI4</f>
        <v>2.0700178244894971E-4</v>
      </c>
      <c r="BI23" s="22">
        <f>BI22/Drivers!BJ4</f>
        <v>2.0700989857618766E-4</v>
      </c>
      <c r="BJ23" s="22">
        <f>BJ22/Drivers!BK4</f>
        <v>2.0700761891986023E-4</v>
      </c>
      <c r="BK23" s="22">
        <f>BK22/Drivers!BL4</f>
        <v>2.0700223224824548E-4</v>
      </c>
    </row>
    <row r="24" spans="1:63" x14ac:dyDescent="0.3">
      <c r="A24" t="s">
        <v>340</v>
      </c>
      <c r="B24" t="s">
        <v>663</v>
      </c>
      <c r="C24" s="22">
        <f>C23*1000</f>
        <v>0.29999585060087075</v>
      </c>
      <c r="D24" s="22">
        <f t="shared" ref="D24:X24" si="8">D23*1000</f>
        <v>0.32768674631716949</v>
      </c>
      <c r="E24" s="22">
        <f t="shared" si="8"/>
        <v>0.30874567106375839</v>
      </c>
      <c r="F24" s="22">
        <f t="shared" si="8"/>
        <v>0.28611978427476581</v>
      </c>
      <c r="G24" s="22">
        <f t="shared" si="8"/>
        <v>0.2307461390882998</v>
      </c>
      <c r="H24" s="22">
        <f t="shared" si="8"/>
        <v>0.17086691161773848</v>
      </c>
      <c r="I24" s="22">
        <f t="shared" si="8"/>
        <v>0.20312013838873316</v>
      </c>
      <c r="J24" s="22">
        <f t="shared" si="8"/>
        <v>0.19819733014703986</v>
      </c>
      <c r="K24" s="22">
        <f t="shared" si="8"/>
        <v>0.19916551936644303</v>
      </c>
      <c r="L24" s="22">
        <f t="shared" si="8"/>
        <v>0.20839656368500878</v>
      </c>
      <c r="M24" s="22">
        <f t="shared" si="8"/>
        <v>0.21748940372944958</v>
      </c>
      <c r="N24" s="22">
        <f t="shared" si="8"/>
        <v>0.20934240284789929</v>
      </c>
      <c r="O24" s="22">
        <f t="shared" si="8"/>
        <v>0.18981206287294902</v>
      </c>
      <c r="P24" s="22">
        <f t="shared" si="8"/>
        <v>0.18750322672504893</v>
      </c>
      <c r="Q24" s="22">
        <f t="shared" si="8"/>
        <v>0.19411477004060551</v>
      </c>
      <c r="R24" s="22">
        <f t="shared" si="8"/>
        <v>0.21052367325130275</v>
      </c>
      <c r="S24" s="22">
        <f t="shared" si="8"/>
        <v>0.21777929095888654</v>
      </c>
      <c r="T24" s="22">
        <f t="shared" si="8"/>
        <v>0.24796538598652329</v>
      </c>
      <c r="U24" s="22">
        <f t="shared" si="8"/>
        <v>0.22780475107901407</v>
      </c>
      <c r="V24" s="22">
        <f t="shared" si="8"/>
        <v>0.21395878610958166</v>
      </c>
      <c r="W24" s="22">
        <f t="shared" si="8"/>
        <v>0.20383871250158445</v>
      </c>
      <c r="X24" s="22">
        <f t="shared" si="8"/>
        <v>0.17883180603279289</v>
      </c>
      <c r="Y24" s="22">
        <f t="shared" ref="Y24" si="9">Y23*1000</f>
        <v>0.20553857842484002</v>
      </c>
      <c r="Z24" s="22">
        <f t="shared" ref="Z24" si="10">Z23*1000</f>
        <v>0.20555664858706674</v>
      </c>
      <c r="AA24" s="22">
        <f t="shared" ref="AA24" si="11">AA23*1000</f>
        <v>0.2055840705498761</v>
      </c>
      <c r="AB24" s="22">
        <f t="shared" ref="AB24" si="12">AB23*1000</f>
        <v>0.20558993277297816</v>
      </c>
      <c r="AC24" s="22">
        <f t="shared" ref="AC24" si="13">AC23*1000</f>
        <v>0.20558154046339838</v>
      </c>
      <c r="AD24" s="22">
        <f t="shared" ref="AD24" si="14">AD23*1000</f>
        <v>0.20555920075453052</v>
      </c>
      <c r="AE24" s="22">
        <f t="shared" ref="AE24" si="15">AE23*1000</f>
        <v>0.20554681434588837</v>
      </c>
      <c r="AF24" s="22">
        <f t="shared" ref="AF24" si="16">AF23*1000</f>
        <v>0.20553568261268942</v>
      </c>
      <c r="AG24" s="22">
        <f t="shared" ref="AG24" si="17">AG23*1000</f>
        <v>0.205322625072549</v>
      </c>
      <c r="AH24" s="22">
        <f t="shared" ref="AH24" si="18">AH23*1000</f>
        <v>0.20536613989332098</v>
      </c>
      <c r="AI24" s="22">
        <f t="shared" ref="AI24" si="19">AI23*1000</f>
        <v>0.2054352567914873</v>
      </c>
      <c r="AJ24" s="22">
        <f t="shared" ref="AJ24" si="20">AJ23*1000</f>
        <v>0.20546076955620571</v>
      </c>
      <c r="AK24" s="22">
        <f t="shared" ref="AK24" si="21">AK23*1000</f>
        <v>0.20549108738353608</v>
      </c>
      <c r="AL24" s="22">
        <f t="shared" ref="AL24" si="22">AL23*1000</f>
        <v>0.20552779580294736</v>
      </c>
      <c r="AM24" s="22">
        <f t="shared" ref="AM24" si="23">AM23*1000</f>
        <v>0.2055717184749272</v>
      </c>
      <c r="AN24" s="22">
        <f t="shared" ref="AN24" si="24">AN23*1000</f>
        <v>0.2056205329961561</v>
      </c>
      <c r="AO24" s="22">
        <f t="shared" ref="AO24" si="25">AO23*1000</f>
        <v>0.20566992758032887</v>
      </c>
      <c r="AP24" s="22">
        <f t="shared" ref="AP24" si="26">AP23*1000</f>
        <v>0.20572373680794451</v>
      </c>
      <c r="AQ24" s="22">
        <f t="shared" ref="AQ24" si="27">AQ23*1000</f>
        <v>0.20577773306321875</v>
      </c>
      <c r="AR24" s="22">
        <f t="shared" ref="AR24" si="28">AR23*1000</f>
        <v>0.20584251076005269</v>
      </c>
      <c r="AS24" s="22">
        <f t="shared" ref="AS24" si="29">AS23*1000</f>
        <v>0.20590491807690239</v>
      </c>
      <c r="AT24" s="22">
        <f t="shared" ref="AT24" si="30">AT23*1000</f>
        <v>0.20597035994456134</v>
      </c>
      <c r="AU24" s="22">
        <f t="shared" ref="AU24" si="31">AU23*1000</f>
        <v>0.20604520633630222</v>
      </c>
      <c r="AV24" s="22">
        <f t="shared" ref="AV24" si="32">AV23*1000</f>
        <v>0.20611417159005166</v>
      </c>
      <c r="AW24" s="22">
        <f t="shared" ref="AW24" si="33">AW23*1000</f>
        <v>0.20619031203036306</v>
      </c>
      <c r="AX24" s="22">
        <f t="shared" ref="AX24" si="34">AX23*1000</f>
        <v>0.20627148956692726</v>
      </c>
      <c r="AY24" s="22">
        <f t="shared" ref="AY24" si="35">AY23*1000</f>
        <v>0.20634552243587018</v>
      </c>
      <c r="AZ24" s="22">
        <f t="shared" ref="AZ24" si="36">AZ23*1000</f>
        <v>0.20641796244518168</v>
      </c>
      <c r="BA24" s="22">
        <f t="shared" ref="BA24" si="37">BA23*1000</f>
        <v>0.20648906983404924</v>
      </c>
      <c r="BB24" s="22">
        <f t="shared" ref="BB24" si="38">BB23*1000</f>
        <v>0.20657029588683209</v>
      </c>
      <c r="BC24" s="22">
        <f t="shared" ref="BC24" si="39">BC23*1000</f>
        <v>0.20664688130357597</v>
      </c>
      <c r="BD24" s="22">
        <f t="shared" ref="BD24" si="40">BD23*1000</f>
        <v>0.20672596633128162</v>
      </c>
      <c r="BE24" s="22">
        <f t="shared" ref="BE24" si="41">BE23*1000</f>
        <v>0.2068079438244497</v>
      </c>
      <c r="BF24" s="22">
        <f t="shared" ref="BF24" si="42">BF23*1000</f>
        <v>0.20689345252697916</v>
      </c>
      <c r="BG24" s="22">
        <f t="shared" ref="BG24" si="43">BG23*1000</f>
        <v>0.20698634337577784</v>
      </c>
      <c r="BH24" s="22">
        <f t="shared" ref="BH24" si="44">BH23*1000</f>
        <v>0.20700178244894971</v>
      </c>
      <c r="BI24" s="22">
        <f t="shared" ref="BI24" si="45">BI23*1000</f>
        <v>0.20700989857618765</v>
      </c>
      <c r="BJ24" s="22">
        <f t="shared" ref="BJ24" si="46">BJ23*1000</f>
        <v>0.20700761891986022</v>
      </c>
      <c r="BK24" s="22">
        <f t="shared" ref="BK24" si="47">BK23*1000</f>
        <v>0.20700223224824549</v>
      </c>
    </row>
    <row r="25" spans="1:63"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((Data!$AJ$21*LN('Intermediate calculations'!Y2))+Data!$AK$21)</f>
        <v>565.56709991308276</v>
      </c>
      <c r="Z25" s="22">
        <f>((Data!$AJ$21*LN('Intermediate calculations'!Z2))+Data!$AK$21)</f>
        <v>558.67068520624093</v>
      </c>
      <c r="AA25" s="22">
        <f>((Data!$AJ$21*LN('Intermediate calculations'!AA2))+Data!$AK$21)</f>
        <v>552.19249937052302</v>
      </c>
      <c r="AB25" s="22">
        <f>((Data!$AJ$21*LN('Intermediate calculations'!AB2))+Data!$AK$21)</f>
        <v>546.08470329962574</v>
      </c>
      <c r="AC25" s="22">
        <f>((Data!$AJ$21*LN('Intermediate calculations'!AC2))+Data!$AK$21)</f>
        <v>540.30722384465673</v>
      </c>
      <c r="AD25" s="22">
        <f>((Data!$AJ$21*LN('Intermediate calculations'!AD2))+Data!$AK$21)</f>
        <v>534.82615883818357</v>
      </c>
      <c r="AE25" s="22">
        <f>((Data!$AJ$21*LN('Intermediate calculations'!AE2))+Data!$AK$21)</f>
        <v>529.61257166890118</v>
      </c>
      <c r="AF25" s="22">
        <f>((Data!$AJ$21*LN('Intermediate calculations'!AF2))+Data!$AK$21)</f>
        <v>524.64156653379541</v>
      </c>
      <c r="AG25" s="22">
        <f>((Data!$AJ$21*LN('Intermediate calculations'!AG2))+Data!$AK$21)</f>
        <v>519.89156941990007</v>
      </c>
      <c r="AH25" s="22">
        <f>((Data!$AJ$21*LN('Intermediate calculations'!AH2))+Data!$AK$21)</f>
        <v>515.34376222472656</v>
      </c>
      <c r="AI25" s="22">
        <f>((Data!$AJ$21*LN('Intermediate calculations'!AI2))+Data!$AK$21)</f>
        <v>510.98163247012616</v>
      </c>
      <c r="AJ25" s="22">
        <f>((Data!$AJ$21*LN('Intermediate calculations'!AJ2))+Data!$AK$21)</f>
        <v>506.7906113832538</v>
      </c>
      <c r="AK25" s="22">
        <f>((Data!$AJ$21*LN('Intermediate calculations'!AK2))+Data!$AK$21)</f>
        <v>502.75778031811149</v>
      </c>
      <c r="AL25" s="22">
        <f>((Data!$AJ$21*LN('Intermediate calculations'!AL2))+Data!$AK$21)</f>
        <v>498.87163059400189</v>
      </c>
      <c r="AM25" s="22">
        <f>((Data!$AJ$21*LN('Intermediate calculations'!AM2))+Data!$AK$21)</f>
        <v>495.1218654961454</v>
      </c>
      <c r="AN25" s="22">
        <f>((Data!$AJ$21*LN('Intermediate calculations'!AN2))+Data!$AK$21)</f>
        <v>491.49923585666915</v>
      </c>
      <c r="AO25" s="22">
        <f>((Data!$AJ$21*LN('Intermediate calculations'!AO2))+Data!$AK$21)</f>
        <v>487.99540260537441</v>
      </c>
      <c r="AP25" s="22">
        <f>((Data!$AJ$21*LN('Intermediate calculations'!AP2))+Data!$AK$21)</f>
        <v>484.60282114982732</v>
      </c>
      <c r="AQ25" s="22">
        <f>((Data!$AJ$21*LN('Intermediate calculations'!AQ2))+Data!$AK$21)</f>
        <v>481.31464355228115</v>
      </c>
      <c r="AR25" s="22">
        <f>((Data!$AJ$21*LN('Intermediate calculations'!AR2))+Data!$AK$21)</f>
        <v>478.12463531410947</v>
      </c>
      <c r="AS25" s="22">
        <f>((Data!$AJ$21*LN('Intermediate calculations'!AS2))+Data!$AK$21)</f>
        <v>475.02710422594453</v>
      </c>
      <c r="AT25" s="22">
        <f>((Data!$AJ$21*LN('Intermediate calculations'!AT2))+Data!$AK$21)</f>
        <v>472.01683924321225</v>
      </c>
      <c r="AU25" s="22">
        <f>((Data!$AJ$21*LN('Intermediate calculations'!AU2))+Data!$AK$21)</f>
        <v>469.08905773826399</v>
      </c>
      <c r="AV25" s="22">
        <f>((Data!$AJ$21*LN('Intermediate calculations'!AV2))+Data!$AK$21)</f>
        <v>466.23935978824318</v>
      </c>
      <c r="AW25" s="22">
        <f>((Data!$AJ$21*LN('Intermediate calculations'!AW2))+Data!$AK$21)</f>
        <v>463.46368840173949</v>
      </c>
      <c r="AX25" s="22">
        <f>((Data!$AJ$21*LN('Intermediate calculations'!AX2))+Data!$AK$21)</f>
        <v>460.75829478176996</v>
      </c>
      <c r="AY25" s="22">
        <f>((Data!$AJ$21*LN('Intermediate calculations'!AY2))+Data!$AK$21)</f>
        <v>458.11970787867688</v>
      </c>
      <c r="AZ25" s="22">
        <f>((Data!$AJ$21*LN('Intermediate calculations'!AZ2))+Data!$AK$21)</f>
        <v>455.54470761248751</v>
      </c>
      <c r="BA25" s="22">
        <f>((Data!$AJ$21*LN('Intermediate calculations'!BA2))+Data!$AK$21)</f>
        <v>453.03030124651184</v>
      </c>
      <c r="BB25" s="22">
        <f>((Data!$AJ$21*LN('Intermediate calculations'!BB2))+Data!$AK$21)</f>
        <v>450.57370247738191</v>
      </c>
      <c r="BC25" s="22">
        <f>((Data!$AJ$21*LN('Intermediate calculations'!BC2))+Data!$AK$21)</f>
        <v>448.17231287515489</v>
      </c>
      <c r="BD25" s="22">
        <f>((Data!$AJ$21*LN('Intermediate calculations'!BD2))+Data!$AK$21)</f>
        <v>445.82370536348645</v>
      </c>
      <c r="BE25" s="22">
        <f>((Data!$AJ$21*LN('Intermediate calculations'!BE2))+Data!$AK$21)</f>
        <v>443.52560947656553</v>
      </c>
      <c r="BF25" s="22">
        <f>((Data!$AJ$21*LN('Intermediate calculations'!BF2))+Data!$AK$21)</f>
        <v>441.27589816831295</v>
      </c>
      <c r="BG25" s="22">
        <f>((Data!$AJ$21*LN('Intermediate calculations'!BG2))+Data!$AK$21)</f>
        <v>439.0725759817629</v>
      </c>
      <c r="BH25" s="22">
        <f>((Data!$AJ$21*LN('Intermediate calculations'!BH2))+Data!$AK$21)</f>
        <v>436.9137684137126</v>
      </c>
      <c r="BI25" s="22">
        <f>((Data!$AJ$21*LN('Intermediate calculations'!BI2))+Data!$AK$21)</f>
        <v>434.79771233259515</v>
      </c>
      <c r="BJ25" s="22">
        <f>((Data!$AJ$21*LN('Intermediate calculations'!BJ2))+Data!$AK$21)</f>
        <v>432.72274732684025</v>
      </c>
      <c r="BK25" s="22">
        <f>((Data!$AJ$21*LN('Intermediate calculations'!BK2))+Data!$AK$21)</f>
        <v>430.68730787735745</v>
      </c>
    </row>
    <row r="26" spans="1:63"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3.4220437512091495</v>
      </c>
      <c r="AH26" s="45">
        <f>(AH19+AH22)*ttokg/Drivers!AI4</f>
        <v>3.4227689982220153</v>
      </c>
      <c r="AI26" s="45">
        <f>(AI19+AI22)*ttokg/Drivers!AJ4</f>
        <v>3.4239209465247877</v>
      </c>
      <c r="AJ26" s="45">
        <f>(AJ19+AJ22)*ttokg/Drivers!AK4</f>
        <v>3.4243461592700952</v>
      </c>
      <c r="AK26" s="45">
        <f>(AK19+AK22)*ttokg/Drivers!AL4</f>
        <v>3.4248514563922678</v>
      </c>
      <c r="AL26" s="45">
        <f>(AL19+AL22)*ttokg/Drivers!AM4</f>
        <v>3.4254632633824555</v>
      </c>
      <c r="AM26" s="45">
        <f>(AM19+AM22)*ttokg/Drivers!AN4</f>
        <v>3.4261953079154521</v>
      </c>
      <c r="AN26" s="45">
        <f>(AN19+AN22)*ttokg/Drivers!AO4</f>
        <v>3.4270088832692682</v>
      </c>
      <c r="AO26" s="45">
        <f>(AO19+AO22)*ttokg/Drivers!AP4</f>
        <v>3.4278321263388141</v>
      </c>
      <c r="AP26" s="45">
        <f>(AP19+AP22)*ttokg/Drivers!AQ4</f>
        <v>3.4287289467990747</v>
      </c>
      <c r="AQ26" s="45">
        <f>(AQ19+AQ22)*ttokg/Drivers!AR4</f>
        <v>3.429628884386978</v>
      </c>
      <c r="AR26" s="45">
        <f>(AR19+AR22)*ttokg/Drivers!AS4</f>
        <v>3.4307085126675441</v>
      </c>
      <c r="AS26" s="45">
        <f>(AS19+AS22)*ttokg/Drivers!AT4</f>
        <v>3.431748634615039</v>
      </c>
      <c r="AT26" s="45">
        <f>(AT19+AT22)*ttokg/Drivers!AU4</f>
        <v>3.4328393324093547</v>
      </c>
      <c r="AU26" s="45">
        <f>(AU19+AU22)*ttokg/Drivers!AV4</f>
        <v>3.4340867722717032</v>
      </c>
      <c r="AV26" s="45">
        <f>(AV19+AV22)*ttokg/Drivers!AW4</f>
        <v>3.4352361931675266</v>
      </c>
      <c r="AW26" s="45">
        <f>(AW19+AW22)*ttokg/Drivers!AX4</f>
        <v>3.4365052005060495</v>
      </c>
      <c r="AX26" s="45">
        <f>(AX19+AX22)*ttokg/Drivers!AY4</f>
        <v>3.4378581594487874</v>
      </c>
      <c r="AY26" s="45">
        <f>(AY19+AY22)*ttokg/Drivers!AZ4</f>
        <v>3.4390920405978358</v>
      </c>
      <c r="AZ26" s="45">
        <f>(AZ19+AZ22)*ttokg/Drivers!BA4</f>
        <v>3.440299374086361</v>
      </c>
      <c r="BA26" s="45">
        <f>(BA19+BA22)*ttokg/Drivers!BB4</f>
        <v>3.4414844972341534</v>
      </c>
      <c r="BB26" s="45">
        <f>(BB19+BB22)*ttokg/Drivers!BC4</f>
        <v>3.442838264780534</v>
      </c>
      <c r="BC26" s="45">
        <f>(BC19+BC22)*ttokg/Drivers!BD4</f>
        <v>3.4441146883929328</v>
      </c>
      <c r="BD26" s="45">
        <f>(BD19+BD22)*ttokg/Drivers!BE4</f>
        <v>3.4454327721880262</v>
      </c>
      <c r="BE26" s="45">
        <f>(BE19+BE22)*ttokg/Drivers!BF4</f>
        <v>3.4467990637408272</v>
      </c>
      <c r="BF26" s="45">
        <f>(BF19+BF22)*ttokg/Drivers!BG4</f>
        <v>3.4482242087829849</v>
      </c>
      <c r="BG26" s="45">
        <f>(BG19+BG22)*ttokg/Drivers!BH4</f>
        <v>3.449772389596296</v>
      </c>
      <c r="BH26" s="45">
        <f>(BH19+BH22)*ttokg/Drivers!BI4</f>
        <v>3.4500297074824942</v>
      </c>
      <c r="BI26" s="45">
        <f>(BI19+BI22)*ttokg/Drivers!BJ4</f>
        <v>3.450164976269793</v>
      </c>
      <c r="BJ26" s="45">
        <f>(BJ19+BJ22)*ttokg/Drivers!BK4</f>
        <v>3.450126981997669</v>
      </c>
      <c r="BK26" s="45">
        <f>(BK19+BK22)*ttokg/Drivers!BL4</f>
        <v>3.4500372041374234</v>
      </c>
    </row>
    <row r="27" spans="1:63"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22">
        <f>((Data!$AJ$23*'Intermediate calculations'!Y19)+Data!$AK$23)</f>
        <v>152729.52607078588</v>
      </c>
      <c r="Z27" s="22">
        <f>((Data!$AJ$23*'Intermediate calculations'!Z19)+Data!$AK$23)</f>
        <v>154169.84221187647</v>
      </c>
      <c r="AA27" s="22">
        <f>((Data!$AJ$23*'Intermediate calculations'!AA19)+Data!$AK$23)</f>
        <v>155668.27791085184</v>
      </c>
      <c r="AB27" s="22">
        <f>((Data!$AJ$23*'Intermediate calculations'!AB19)+Data!$AK$23)</f>
        <v>157211.98381172761</v>
      </c>
      <c r="AC27" s="22">
        <f>((Data!$AJ$23*'Intermediate calculations'!AC19)+Data!$AK$23)</f>
        <v>158806.27655567171</v>
      </c>
      <c r="AD27" s="22">
        <f>((Data!$AJ$23*'Intermediate calculations'!AD19)+Data!$AK$23)</f>
        <v>160453.24259982834</v>
      </c>
      <c r="AE27" s="22">
        <f>((Data!$AJ$23*'Intermediate calculations'!AE19)+Data!$AK$23)</f>
        <v>162127.09927917499</v>
      </c>
      <c r="AF27" s="22">
        <f>((Data!$AJ$23*'Intermediate calculations'!AF19)+Data!$AK$23)</f>
        <v>163828.57693085528</v>
      </c>
      <c r="AG27" s="22">
        <f>((Data!$AJ$23*'Intermediate calculations'!AG19)+Data!$AK$23)</f>
        <v>165450.38164244773</v>
      </c>
      <c r="AH27" s="22">
        <f>((Data!$AJ$23*'Intermediate calculations'!AH19)+Data!$AK$23)</f>
        <v>166727.57603056738</v>
      </c>
      <c r="AI27" s="22">
        <f>((Data!$AJ$23*'Intermediate calculations'!AI19)+Data!$AK$23)</f>
        <v>168033.63801958828</v>
      </c>
      <c r="AJ27" s="22">
        <f>((Data!$AJ$23*'Intermediate calculations'!AJ19)+Data!$AK$23)</f>
        <v>169331.23584737047</v>
      </c>
      <c r="AK27" s="22">
        <f>((Data!$AJ$23*'Intermediate calculations'!AK19)+Data!$AK$23)</f>
        <v>170646.60354254098</v>
      </c>
      <c r="AL27" s="22">
        <f>((Data!$AJ$23*'Intermediate calculations'!AL19)+Data!$AK$23)</f>
        <v>171980.89945472713</v>
      </c>
      <c r="AM27" s="22">
        <f>((Data!$AJ$23*'Intermediate calculations'!AM19)+Data!$AK$23)</f>
        <v>173142.35323795458</v>
      </c>
      <c r="AN27" s="22">
        <f>((Data!$AJ$23*'Intermediate calculations'!AN19)+Data!$AK$23)</f>
        <v>174318.29018107936</v>
      </c>
      <c r="AO27" s="22">
        <f>((Data!$AJ$23*'Intermediate calculations'!AO19)+Data!$AK$23)</f>
        <v>175506.41669451815</v>
      </c>
      <c r="AP27" s="22">
        <f>((Data!$AJ$23*'Intermediate calculations'!AP19)+Data!$AK$23)</f>
        <v>176709.10174347166</v>
      </c>
      <c r="AQ27" s="22">
        <f>((Data!$AJ$23*'Intermediate calculations'!AQ19)+Data!$AK$23)</f>
        <v>177924.04873132426</v>
      </c>
      <c r="AR27" s="22">
        <f>((Data!$AJ$23*'Intermediate calculations'!AR19)+Data!$AK$23)</f>
        <v>178998.38500698376</v>
      </c>
      <c r="AS27" s="22">
        <f>((Data!$AJ$23*'Intermediate calculations'!AS19)+Data!$AK$23)</f>
        <v>180080.79676807154</v>
      </c>
      <c r="AT27" s="22">
        <f>((Data!$AJ$23*'Intermediate calculations'!AT19)+Data!$AK$23)</f>
        <v>181174.60167027125</v>
      </c>
      <c r="AU27" s="22">
        <f>((Data!$AJ$23*'Intermediate calculations'!AU19)+Data!$AK$23)</f>
        <v>182283.81799570506</v>
      </c>
      <c r="AV27" s="22">
        <f>((Data!$AJ$23*'Intermediate calculations'!AV19)+Data!$AK$23)</f>
        <v>183399.27112600062</v>
      </c>
      <c r="AW27" s="22">
        <f>((Data!$AJ$23*'Intermediate calculations'!AW19)+Data!$AK$23)</f>
        <v>184375.12484294895</v>
      </c>
      <c r="AX27" s="22">
        <f>((Data!$AJ$23*'Intermediate calculations'!AX19)+Data!$AK$23)</f>
        <v>185361.61394666028</v>
      </c>
      <c r="AY27" s="22">
        <f>((Data!$AJ$23*'Intermediate calculations'!AY19)+Data!$AK$23)</f>
        <v>186351.20222026267</v>
      </c>
      <c r="AZ27" s="22">
        <f>((Data!$AJ$23*'Intermediate calculations'!AZ19)+Data!$AK$23)</f>
        <v>187347.36707308405</v>
      </c>
      <c r="BA27" s="22">
        <f>((Data!$AJ$23*'Intermediate calculations'!BA19)+Data!$AK$23)</f>
        <v>188350.31047436755</v>
      </c>
      <c r="BB27" s="22">
        <f>((Data!$AJ$23*'Intermediate calculations'!BB19)+Data!$AK$23)</f>
        <v>189221.05340174827</v>
      </c>
      <c r="BC27" s="22">
        <f>((Data!$AJ$23*'Intermediate calculations'!BC19)+Data!$AK$23)</f>
        <v>190094.52955844632</v>
      </c>
      <c r="BD27" s="22">
        <f>((Data!$AJ$23*'Intermediate calculations'!BD19)+Data!$AK$23)</f>
        <v>190975.36354522462</v>
      </c>
      <c r="BE27" s="22">
        <f>((Data!$AJ$23*'Intermediate calculations'!BE19)+Data!$AK$23)</f>
        <v>191863.88019574506</v>
      </c>
      <c r="BF27" s="22">
        <f>((Data!$AJ$23*'Intermediate calculations'!BF19)+Data!$AK$23)</f>
        <v>192760.57322947716</v>
      </c>
      <c r="BG27" s="22">
        <f>((Data!$AJ$23*'Intermediate calculations'!BG19)+Data!$AK$23)</f>
        <v>193517.35121668535</v>
      </c>
      <c r="BH27" s="22">
        <f>((Data!$AJ$23*'Intermediate calculations'!BH19)+Data!$AK$23)</f>
        <v>194226.79462172178</v>
      </c>
      <c r="BI27" s="22">
        <f>((Data!$AJ$23*'Intermediate calculations'!BI19)+Data!$AK$23)</f>
        <v>194935.01683597971</v>
      </c>
      <c r="BJ27" s="22">
        <f>((Data!$AJ$23*'Intermediate calculations'!BJ19)+Data!$AK$23)</f>
        <v>195639.8973147459</v>
      </c>
      <c r="BK27" s="22">
        <f>((Data!$AJ$23*'Intermediate calculations'!BK19)+Data!$AK$23)</f>
        <v>196346.27005656867</v>
      </c>
    </row>
    <row r="28" spans="1:63"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((Data!$AJ$24*LN('Intermediate calculations'!Y2))+Data!$AK$24)</f>
        <v>143.13279435069433</v>
      </c>
      <c r="Z28" s="22">
        <f>((Data!$AJ$24*LN('Intermediate calculations'!Z2))+Data!$AK$24)</f>
        <v>141.87225913644176</v>
      </c>
      <c r="AA28" s="22">
        <f>((Data!$AJ$24*LN('Intermediate calculations'!AA2))+Data!$AK$24)</f>
        <v>140.68816831280071</v>
      </c>
      <c r="AB28" s="22">
        <f>((Data!$AJ$24*LN('Intermediate calculations'!AB2))+Data!$AK$24)</f>
        <v>139.57177778872142</v>
      </c>
      <c r="AC28" s="22">
        <f>((Data!$AJ$24*LN('Intermediate calculations'!AC2))+Data!$AK$24)</f>
        <v>138.51576294445979</v>
      </c>
      <c r="AD28" s="22">
        <f>((Data!$AJ$24*LN('Intermediate calculations'!AD2))+Data!$AK$24)</f>
        <v>137.51392709989949</v>
      </c>
      <c r="AE28" s="22">
        <f>((Data!$AJ$24*LN('Intermediate calculations'!AE2))+Data!$AK$24)</f>
        <v>136.56098118541792</v>
      </c>
      <c r="AF28" s="22">
        <f>((Data!$AJ$24*LN('Intermediate calculations'!AF2))+Data!$AK$24)</f>
        <v>135.65237471533214</v>
      </c>
      <c r="AG28" s="22">
        <f>((Data!$AJ$24*LN('Intermediate calculations'!AG2))+Data!$AK$24)</f>
        <v>134.78416436485497</v>
      </c>
      <c r="AH28" s="22">
        <f>((Data!$AJ$24*LN('Intermediate calculations'!AH2))+Data!$AK$24)</f>
        <v>133.95291053792658</v>
      </c>
      <c r="AI28" s="22">
        <f>((Data!$AJ$24*LN('Intermediate calculations'!AI2))+Data!$AK$24)</f>
        <v>133.15559506335725</v>
      </c>
      <c r="AJ28" s="22">
        <f>((Data!$AJ$24*LN('Intermediate calculations'!AJ2))+Data!$AK$24)</f>
        <v>132.38955504281779</v>
      </c>
      <c r="AK28" s="22">
        <f>((Data!$AJ$24*LN('Intermediate calculations'!AK2))+Data!$AK$24)</f>
        <v>131.65242919020625</v>
      </c>
      <c r="AL28" s="22">
        <f>((Data!$AJ$24*LN('Intermediate calculations'!AL2))+Data!$AK$24)</f>
        <v>130.94211393462308</v>
      </c>
      <c r="AM28" s="22">
        <f>((Data!$AJ$24*LN('Intermediate calculations'!AM2))+Data!$AK$24)</f>
        <v>130.25672722979891</v>
      </c>
      <c r="AN28" s="22">
        <f>((Data!$AJ$24*LN('Intermediate calculations'!AN2))+Data!$AK$24)</f>
        <v>129.59457850138432</v>
      </c>
      <c r="AO28" s="22">
        <f>((Data!$AJ$24*LN('Intermediate calculations'!AO2))+Data!$AK$24)</f>
        <v>128.95414352380905</v>
      </c>
      <c r="AP28" s="22">
        <f>((Data!$AJ$24*LN('Intermediate calculations'!AP2))+Data!$AK$24)</f>
        <v>128.33404328713178</v>
      </c>
      <c r="AQ28" s="22">
        <f>((Data!$AJ$24*LN('Intermediate calculations'!AQ2))+Data!$AK$24)</f>
        <v>127.733026116817</v>
      </c>
      <c r="AR28" s="22">
        <f>((Data!$AJ$24*LN('Intermediate calculations'!AR2))+Data!$AK$24)</f>
        <v>127.14995246349075</v>
      </c>
      <c r="AS28" s="22">
        <f>((Data!$AJ$24*LN('Intermediate calculations'!AS2))+Data!$AK$24)</f>
        <v>126.58378189808082</v>
      </c>
      <c r="AT28" s="22">
        <f>((Data!$AJ$24*LN('Intermediate calculations'!AT2))+Data!$AK$24)</f>
        <v>126.03356193941144</v>
      </c>
      <c r="AU28" s="22">
        <f>((Data!$AJ$24*LN('Intermediate calculations'!AU2))+Data!$AK$24)</f>
        <v>125.49841841288261</v>
      </c>
      <c r="AV28" s="22">
        <f>((Data!$AJ$24*LN('Intermediate calculations'!AV2))+Data!$AK$24)</f>
        <v>124.97754709514982</v>
      </c>
      <c r="AW28" s="22">
        <f>((Data!$AJ$24*LN('Intermediate calculations'!AW2))+Data!$AK$24)</f>
        <v>124.47020644430265</v>
      </c>
      <c r="AX28" s="22">
        <f>((Data!$AJ$24*LN('Intermediate calculations'!AX2))+Data!$AK$24)</f>
        <v>123.97571125058951</v>
      </c>
      <c r="AY28" s="22">
        <f>((Data!$AJ$24*LN('Intermediate calculations'!AY2))+Data!$AK$24)</f>
        <v>123.49342707125868</v>
      </c>
      <c r="AZ28" s="22">
        <f>((Data!$AJ$24*LN('Intermediate calculations'!AZ2))+Data!$AK$24)</f>
        <v>123.02276533610791</v>
      </c>
      <c r="BA28" s="22">
        <f>((Data!$AJ$24*LN('Intermediate calculations'!BA2))+Data!$AK$24)</f>
        <v>122.5631790290216</v>
      </c>
      <c r="BB28" s="22">
        <f>((Data!$AJ$24*LN('Intermediate calculations'!BB2))+Data!$AK$24)</f>
        <v>122.11415886602218</v>
      </c>
      <c r="BC28" s="22">
        <f>((Data!$AJ$24*LN('Intermediate calculations'!BC2))+Data!$AK$24)</f>
        <v>121.67522990286919</v>
      </c>
      <c r="BD28" s="22">
        <f>((Data!$AJ$24*LN('Intermediate calculations'!BD2))+Data!$AK$24)</f>
        <v>121.24594851554498</v>
      </c>
      <c r="BE28" s="22">
        <f>((Data!$AJ$24*LN('Intermediate calculations'!BE2))+Data!$AK$24)</f>
        <v>120.82589970549897</v>
      </c>
      <c r="BF28" s="22">
        <f>((Data!$AJ$24*LN('Intermediate calculations'!BF2))+Data!$AK$24)</f>
        <v>120.41469468861661</v>
      </c>
      <c r="BG28" s="22">
        <f>((Data!$AJ$24*LN('Intermediate calculations'!BG2))+Data!$AK$24)</f>
        <v>120.01196873280439</v>
      </c>
      <c r="BH28" s="22">
        <f>((Data!$AJ$24*LN('Intermediate calculations'!BH2))+Data!$AK$24)</f>
        <v>119.61737921404726</v>
      </c>
      <c r="BI28" s="22">
        <f>((Data!$AJ$24*LN('Intermediate calculations'!BI2))+Data!$AK$24)</f>
        <v>119.23060386497559</v>
      </c>
      <c r="BJ28" s="22">
        <f>((Data!$AJ$24*LN('Intermediate calculations'!BJ2))+Data!$AK$24)</f>
        <v>118.85133919350781</v>
      </c>
      <c r="BK28" s="22">
        <f>((Data!$AJ$24*LN('Intermediate calculations'!BK2))+Data!$AK$24)</f>
        <v>118.47929905212735</v>
      </c>
    </row>
    <row r="29" spans="1:63"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((Data!$AJ$9*'Intermediate calculations'!Y4)+Data!$AK$9)*Drivers!Z4</f>
        <v>232803.07737192552</v>
      </c>
      <c r="Z29" s="22">
        <f>((Data!$AJ$9*'Intermediate calculations'!Z4)+Data!$AK$9)*Drivers!AA4</f>
        <v>238588.45125065101</v>
      </c>
      <c r="AA29" s="22">
        <f>((Data!$AJ$9*'Intermediate calculations'!AA4)+Data!$AK$9)*Drivers!AB4</f>
        <v>245792.32692559363</v>
      </c>
      <c r="AB29" s="22">
        <f>((Data!$AJ$9*'Intermediate calculations'!AB4)+Data!$AK$9)*Drivers!AC4</f>
        <v>250389.30527292378</v>
      </c>
      <c r="AC29" s="22">
        <f>((Data!$AJ$9*'Intermediate calculations'!AC4)+Data!$AK$9)*Drivers!AD4</f>
        <v>253237.16816783999</v>
      </c>
      <c r="AD29" s="22">
        <f>((Data!$AJ$9*'Intermediate calculations'!AD4)+Data!$AK$9)*Drivers!AE4</f>
        <v>254291.65168168259</v>
      </c>
      <c r="AE29" s="22">
        <f>((Data!$AJ$9*'Intermediate calculations'!AE4)+Data!$AK$9)*Drivers!AF4</f>
        <v>256684.19880969997</v>
      </c>
      <c r="AF29" s="22">
        <f>((Data!$AJ$9*'Intermediate calculations'!AF4)+Data!$AK$9)*Drivers!AG4</f>
        <v>259264.64593191381</v>
      </c>
      <c r="AG29" s="22">
        <f>((Data!$AJ$9*'Intermediate calculations'!AG4)+Data!$AK$9)*Drivers!AH4</f>
        <v>232911.33728752579</v>
      </c>
      <c r="AH29" s="22">
        <f>((Data!$AJ$9*'Intermediate calculations'!AH4)+Data!$AK$9)*Drivers!AI4</f>
        <v>241903.66859850031</v>
      </c>
      <c r="AI29" s="22">
        <f>((Data!$AJ$9*'Intermediate calculations'!AI4)+Data!$AK$9)*Drivers!AJ4</f>
        <v>254827.78150268033</v>
      </c>
      <c r="AJ29" s="22">
        <f>((Data!$AJ$9*'Intermediate calculations'!AJ4)+Data!$AK$9)*Drivers!AK4</f>
        <v>261547.48419841839</v>
      </c>
      <c r="AK29" s="22">
        <f>((Data!$AJ$9*'Intermediate calculations'!AK4)+Data!$AK$9)*Drivers!AL4</f>
        <v>269109.32861484628</v>
      </c>
      <c r="AL29" s="22">
        <f>((Data!$AJ$9*'Intermediate calculations'!AL4)+Data!$AK$9)*Drivers!AM4</f>
        <v>277780.82976888557</v>
      </c>
      <c r="AM29" s="22">
        <f>((Data!$AJ$9*'Intermediate calculations'!AM4)+Data!$AK$9)*Drivers!AN4</f>
        <v>287249.81203807209</v>
      </c>
      <c r="AN29" s="22">
        <f>((Data!$AJ$9*'Intermediate calculations'!AN4)+Data!$AK$9)*Drivers!AO4</f>
        <v>297635.69320573151</v>
      </c>
      <c r="AO29" s="22">
        <f>((Data!$AJ$9*'Intermediate calculations'!AO4)+Data!$AK$9)*Drivers!AP4</f>
        <v>308288.9427810823</v>
      </c>
      <c r="AP29" s="22">
        <f>((Data!$AJ$9*'Intermediate calculations'!AP4)+Data!$AK$9)*Drivers!AQ4</f>
        <v>319820.13258122798</v>
      </c>
      <c r="AQ29" s="22">
        <f>((Data!$AJ$9*'Intermediate calculations'!AQ4)+Data!$AK$9)*Drivers!AR4</f>
        <v>331578.33501417353</v>
      </c>
      <c r="AR29" s="22">
        <f>((Data!$AJ$9*'Intermediate calculations'!AR4)+Data!$AK$9)*Drivers!AS4</f>
        <v>344824.34998388705</v>
      </c>
      <c r="AS29" s="22">
        <f>((Data!$AJ$9*'Intermediate calculations'!AS4)+Data!$AK$9)*Drivers!AT4</f>
        <v>357887.89570117608</v>
      </c>
      <c r="AT29" s="22">
        <f>((Data!$AJ$9*'Intermediate calculations'!AT4)+Data!$AK$9)*Drivers!AU4</f>
        <v>371645.62138280412</v>
      </c>
      <c r="AU29" s="22">
        <f>((Data!$AJ$9*'Intermediate calculations'!AU4)+Data!$AK$9)*Drivers!AV4</f>
        <v>387163.3989800128</v>
      </c>
      <c r="AV29" s="22">
        <f>((Data!$AJ$9*'Intermediate calculations'!AV4)+Data!$AK$9)*Drivers!AW4</f>
        <v>401940.59018111456</v>
      </c>
      <c r="AW29" s="22">
        <f>((Data!$AJ$9*'Intermediate calculations'!AW4)+Data!$AK$9)*Drivers!AX4</f>
        <v>417642.68987517961</v>
      </c>
      <c r="AX29" s="22">
        <f>((Data!$AJ$9*'Intermediate calculations'!AX4)+Data!$AK$9)*Drivers!AY4</f>
        <v>434403.44503460417</v>
      </c>
      <c r="AY29" s="22">
        <f>((Data!$AJ$9*'Intermediate calculations'!AY4)+Data!$AK$9)*Drivers!AZ4</f>
        <v>450172.34981745819</v>
      </c>
      <c r="AZ29" s="22">
        <f>((Data!$AJ$9*'Intermediate calculations'!AZ4)+Data!$AK$9)*Drivers!BA4</f>
        <v>465876.03088065598</v>
      </c>
      <c r="BA29" s="22">
        <f>((Data!$AJ$9*'Intermediate calculations'!BA4)+Data!$AK$9)*Drivers!BB4</f>
        <v>481555.59199385665</v>
      </c>
      <c r="BB29" s="22">
        <f>((Data!$AJ$9*'Intermediate calculations'!BB4)+Data!$AK$9)*Drivers!BC4</f>
        <v>498648.21967389667</v>
      </c>
      <c r="BC29" s="22">
        <f>((Data!$AJ$9*'Intermediate calculations'!BC4)+Data!$AK$9)*Drivers!BD4</f>
        <v>515123.9247964035</v>
      </c>
      <c r="BD29" s="22">
        <f>((Data!$AJ$9*'Intermediate calculations'!BD4)+Data!$AK$9)*Drivers!BE4</f>
        <v>532224.41990562819</v>
      </c>
      <c r="BE29" s="22">
        <f>((Data!$AJ$9*'Intermediate calculations'!BE4)+Data!$AK$9)*Drivers!BF4</f>
        <v>550029.04188922071</v>
      </c>
      <c r="BF29" s="22">
        <f>((Data!$AJ$9*'Intermediate calculations'!BF4)+Data!$AK$9)*Drivers!BG4</f>
        <v>568662.7286266993</v>
      </c>
      <c r="BG29" s="22">
        <f>((Data!$AJ$9*'Intermediate calculations'!BG4)+Data!$AK$9)*Drivers!BH4</f>
        <v>588181.30377230153</v>
      </c>
      <c r="BH29" s="22">
        <f>((Data!$AJ$9*'Intermediate calculations'!BH4)+Data!$AK$9)*Drivers!BI4</f>
        <v>593959.60258355376</v>
      </c>
      <c r="BI29" s="22">
        <f>((Data!$AJ$9*'Intermediate calculations'!BI4)+Data!$AK$9)*Drivers!BJ4</f>
        <v>598458.28520180739</v>
      </c>
      <c r="BJ29" s="22">
        <f>((Data!$AJ$9*'Intermediate calculations'!BJ4)+Data!$AK$9)*Drivers!BK4</f>
        <v>601099.27384309936</v>
      </c>
      <c r="BK29" s="22">
        <f>((Data!$AJ$9*'Intermediate calculations'!BK4)+Data!$AK$9)*Drivers!BL4</f>
        <v>603184.43479641981</v>
      </c>
    </row>
    <row r="30" spans="1:63"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4.4928200316832108</v>
      </c>
      <c r="AA30" s="45">
        <f>AA29*ttokg/Drivers!AB4</f>
        <v>4.5591085416730008</v>
      </c>
      <c r="AB30" s="45">
        <f>AB29*ttokg/Drivers!AC4</f>
        <v>4.5732795927157346</v>
      </c>
      <c r="AC30" s="45">
        <f>AC29*ttokg/Drivers!AD4</f>
        <v>4.5529924345249402</v>
      </c>
      <c r="AD30" s="45">
        <f>AD29*ttokg/Drivers!AE4</f>
        <v>4.4989895163257332</v>
      </c>
      <c r="AE30" s="45">
        <f>AE29*ttokg/Drivers!AF4</f>
        <v>4.4690472186600507</v>
      </c>
      <c r="AF30" s="45">
        <f>AF29*ttokg/Drivers!AG4</f>
        <v>4.4421379119670714</v>
      </c>
      <c r="AG30" s="45">
        <f>AG29*ttokg/Drivers!AH4</f>
        <v>3.9271030482636826</v>
      </c>
      <c r="AH30" s="45">
        <f>AH29*ttokg/Drivers!AI4</f>
        <v>4.0322936449944606</v>
      </c>
      <c r="AI30" s="45">
        <f>AI29*ttokg/Drivers!AJ4</f>
        <v>4.1993734498361244</v>
      </c>
      <c r="AJ30" s="45">
        <f>AJ29*ttokg/Drivers!AK4</f>
        <v>4.2610467578578861</v>
      </c>
      <c r="AK30" s="45">
        <f>AK29*ttokg/Drivers!AL4</f>
        <v>4.3343355889247714</v>
      </c>
      <c r="AL30" s="45">
        <f>AL29*ttokg/Drivers!AM4</f>
        <v>4.4230727243286436</v>
      </c>
      <c r="AM30" s="45">
        <f>AM29*ttokg/Drivers!AN4</f>
        <v>4.5292492405960942</v>
      </c>
      <c r="AN30" s="45">
        <f>AN29*ttokg/Drivers!AO4</f>
        <v>4.6472510736751316</v>
      </c>
      <c r="AO30" s="45">
        <f>AO29*ttokg/Drivers!AP4</f>
        <v>4.7666551225078901</v>
      </c>
      <c r="AP30" s="45">
        <f>AP29*ttokg/Drivers!AQ4</f>
        <v>4.8967309142059134</v>
      </c>
      <c r="AQ30" s="45">
        <f>AQ29*ttokg/Drivers!AR4</f>
        <v>5.0272588174067554</v>
      </c>
      <c r="AR30" s="45">
        <f>AR29*ttokg/Drivers!AS4</f>
        <v>5.1838492494463786</v>
      </c>
      <c r="AS30" s="45">
        <f>AS29*ttokg/Drivers!AT4</f>
        <v>5.3347096409941281</v>
      </c>
      <c r="AT30" s="45">
        <f>AT29*ttokg/Drivers!AU4</f>
        <v>5.4929056070604467</v>
      </c>
      <c r="AU30" s="45">
        <f>AU29*ttokg/Drivers!AV4</f>
        <v>5.6738356090849873</v>
      </c>
      <c r="AV30" s="45">
        <f>AV29*ttokg/Drivers!AW4</f>
        <v>5.8405488361395328</v>
      </c>
      <c r="AW30" s="45">
        <f>AW29*ttokg/Drivers!AX4</f>
        <v>6.0246070078064653</v>
      </c>
      <c r="AX30" s="45">
        <f>AX29*ttokg/Drivers!AY4</f>
        <v>6.2208416092788097</v>
      </c>
      <c r="AY30" s="45">
        <f>AY29*ttokg/Drivers!AZ4</f>
        <v>6.3998050411313443</v>
      </c>
      <c r="AZ30" s="45">
        <f>AZ29*ttokg/Drivers!BA4</f>
        <v>6.5749179721162569</v>
      </c>
      <c r="BA30" s="45">
        <f>BA29*ttokg/Drivers!BB4</f>
        <v>6.7468094917009065</v>
      </c>
      <c r="BB30" s="45">
        <f>BB29*ttokg/Drivers!BC4</f>
        <v>6.9431613739042595</v>
      </c>
      <c r="BC30" s="45">
        <f>BC29*ttokg/Drivers!BD4</f>
        <v>7.1282952098077175</v>
      </c>
      <c r="BD30" s="45">
        <f>BD29*ttokg/Drivers!BE4</f>
        <v>7.3194714828394147</v>
      </c>
      <c r="BE30" s="45">
        <f>BE29*ttokg/Drivers!BF4</f>
        <v>7.5176398602305499</v>
      </c>
      <c r="BF30" s="45">
        <f>BF29*ttokg/Drivers!BG4</f>
        <v>7.7243444102018719</v>
      </c>
      <c r="BG30" s="45">
        <f>BG29*ttokg/Drivers!BH4</f>
        <v>7.9488941990466415</v>
      </c>
      <c r="BH30" s="45">
        <f>BH29*ttokg/Drivers!BI4</f>
        <v>7.9862158584516099</v>
      </c>
      <c r="BI30" s="45">
        <f>BI29*ttokg/Drivers!BJ4</f>
        <v>8.0058353869744732</v>
      </c>
      <c r="BJ30" s="45">
        <f>BJ29*ttokg/Drivers!BK4</f>
        <v>8.0003246574076279</v>
      </c>
      <c r="BK30" s="45">
        <f>BK29*ttokg/Drivers!BL4</f>
        <v>7.9873031812416837</v>
      </c>
    </row>
    <row r="31" spans="1:63"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0.20041773709352567</v>
      </c>
      <c r="AP31" s="45"/>
      <c r="AQ31" s="45">
        <f>(AQ32-AE32)/AE32</f>
        <v>0.27553221380470833</v>
      </c>
      <c r="AR31" s="45"/>
      <c r="AS31" s="45"/>
      <c r="AT31" s="45"/>
      <c r="AU31" s="45"/>
      <c r="AV31" s="45"/>
      <c r="AW31" s="45"/>
      <c r="AX31" s="45"/>
      <c r="AY31" s="45"/>
      <c r="AZ31" s="45"/>
      <c r="BA31" s="45"/>
      <c r="BB31" s="45"/>
      <c r="BC31" s="45"/>
      <c r="BD31" s="45"/>
      <c r="BE31" s="45"/>
      <c r="BF31" s="45"/>
      <c r="BG31" s="45"/>
      <c r="BH31" s="45"/>
      <c r="BI31" s="45"/>
      <c r="BJ31" s="45"/>
      <c r="BK31" s="45"/>
    </row>
    <row r="32" spans="1:63"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22">
        <f>((Data!$AJ$26*'Intermediate calculations'!Y29)+Data!$AK$26)</f>
        <v>210251.25025039676</v>
      </c>
      <c r="Z32" s="22">
        <f>((Data!$AJ$26*'Intermediate calculations'!Z29)+Data!$AK$26)</f>
        <v>215157.29984140492</v>
      </c>
      <c r="AA32" s="22">
        <f>((Data!$AJ$26*'Intermediate calculations'!AA29)+Data!$AK$26)</f>
        <v>221266.25183821382</v>
      </c>
      <c r="AB32" s="22">
        <f>((Data!$AJ$26*'Intermediate calculations'!AB29)+Data!$AK$26)</f>
        <v>225164.53122577883</v>
      </c>
      <c r="AC32" s="22">
        <f>((Data!$AJ$26*'Intermediate calculations'!AC29)+Data!$AK$26)</f>
        <v>227579.54482450738</v>
      </c>
      <c r="AD32" s="22">
        <f>((Data!$AJ$26*'Intermediate calculations'!AD29)+Data!$AK$26)</f>
        <v>228473.75642089811</v>
      </c>
      <c r="AE32" s="22">
        <f>((Data!$AJ$26*'Intermediate calculations'!AE29)+Data!$AK$26)</f>
        <v>230502.6581141908</v>
      </c>
      <c r="AF32" s="22">
        <f>((Data!$AJ$26*'Intermediate calculations'!AF29)+Data!$AK$26)</f>
        <v>232690.90070904008</v>
      </c>
      <c r="AG32" s="22">
        <f>((Data!$AJ$26*'Intermediate calculations'!AG29)+Data!$AK$26)</f>
        <v>210343.05564202517</v>
      </c>
      <c r="AH32" s="22">
        <f>((Data!$AJ$26*'Intermediate calculations'!AH29)+Data!$AK$26)</f>
        <v>217968.63426065986</v>
      </c>
      <c r="AI32" s="22">
        <f>((Data!$AJ$26*'Intermediate calculations'!AI29)+Data!$AK$26)</f>
        <v>228928.39937815029</v>
      </c>
      <c r="AJ32" s="22">
        <f>((Data!$AJ$26*'Intermediate calculations'!AJ29)+Data!$AK$26)</f>
        <v>234626.76829141143</v>
      </c>
      <c r="AK32" s="22">
        <f>((Data!$AJ$26*'Intermediate calculations'!AK29)+Data!$AK$26)</f>
        <v>241039.28103201522</v>
      </c>
      <c r="AL32" s="22">
        <f>((Data!$AJ$26*'Intermediate calculations'!AL29)+Data!$AK$26)</f>
        <v>248392.79276384015</v>
      </c>
      <c r="AM32" s="22">
        <f>((Data!$AJ$26*'Intermediate calculations'!AM29)+Data!$AK$26)</f>
        <v>256422.5757239071</v>
      </c>
      <c r="AN32" s="22">
        <f>((Data!$AJ$26*'Intermediate calculations'!AN29)+Data!$AK$26)</f>
        <v>265229.89727700956</v>
      </c>
      <c r="AO32" s="22">
        <f>((Data!$AJ$26*'Intermediate calculations'!AO29)+Data!$AK$26)</f>
        <v>274263.94966803188</v>
      </c>
      <c r="AP32" s="22">
        <f>((Data!$AJ$26*'Intermediate calculations'!AP29)+Data!$AK$26)</f>
        <v>284042.50334299426</v>
      </c>
      <c r="AQ32" s="22">
        <f>((Data!$AJ$26*'Intermediate calculations'!AQ29)+Data!$AK$26)</f>
        <v>294013.5657922636</v>
      </c>
      <c r="AR32" s="22">
        <f>((Data!$AJ$26*'Intermediate calculations'!AR29)+Data!$AK$26)</f>
        <v>305246.30678479001</v>
      </c>
      <c r="AS32" s="22">
        <f>((Data!$AJ$26*'Intermediate calculations'!AS29)+Data!$AK$26)</f>
        <v>316324.31219410361</v>
      </c>
      <c r="AT32" s="22">
        <f>((Data!$AJ$26*'Intermediate calculations'!AT29)+Data!$AK$26)</f>
        <v>327990.98851760919</v>
      </c>
      <c r="AU32" s="22">
        <f>((Data!$AJ$26*'Intermediate calculations'!AU29)+Data!$AK$26)</f>
        <v>341150.20485003979</v>
      </c>
      <c r="AV32" s="22">
        <f>((Data!$AJ$26*'Intermediate calculations'!AV29)+Data!$AK$26)</f>
        <v>353681.3971926833</v>
      </c>
      <c r="AW32" s="22">
        <f>((Data!$AJ$26*'Intermediate calculations'!AW29)+Data!$AK$26)</f>
        <v>366996.92033723218</v>
      </c>
      <c r="AX32" s="22">
        <f>((Data!$AJ$26*'Intermediate calculations'!AX29)+Data!$AK$26)</f>
        <v>381210.19293094706</v>
      </c>
      <c r="AY32" s="22">
        <f>((Data!$AJ$26*'Intermediate calculations'!AY29)+Data!$AK$26)</f>
        <v>394582.36739750218</v>
      </c>
      <c r="AZ32" s="22">
        <f>((Data!$AJ$26*'Intermediate calculations'!AZ29)+Data!$AK$26)</f>
        <v>407899.23155743734</v>
      </c>
      <c r="BA32" s="22">
        <f>((Data!$AJ$26*'Intermediate calculations'!BA29)+Data!$AK$26)</f>
        <v>421195.64178072137</v>
      </c>
      <c r="BB32" s="22">
        <f>((Data!$AJ$26*'Intermediate calculations'!BB29)+Data!$AK$26)</f>
        <v>435690.34528593195</v>
      </c>
      <c r="BC32" s="22">
        <f>((Data!$AJ$26*'Intermediate calculations'!BC29)+Data!$AK$26)</f>
        <v>449661.89285956137</v>
      </c>
      <c r="BD32" s="22">
        <f>((Data!$AJ$26*'Intermediate calculations'!BD29)+Data!$AK$26)</f>
        <v>464163.26801617118</v>
      </c>
      <c r="BE32" s="22">
        <f>((Data!$AJ$26*'Intermediate calculations'!BE29)+Data!$AK$26)</f>
        <v>479261.7491570136</v>
      </c>
      <c r="BF32" s="22">
        <f>((Data!$AJ$26*'Intermediate calculations'!BF29)+Data!$AK$26)</f>
        <v>495063.28473858617</v>
      </c>
      <c r="BG32" s="22">
        <f>((Data!$AJ$26*'Intermediate calculations'!BG29)+Data!$AK$26)</f>
        <v>511615.21372666396</v>
      </c>
      <c r="BH32" s="22">
        <f>((Data!$AJ$26*'Intermediate calculations'!BH29)+Data!$AK$26)</f>
        <v>516515.26359620015</v>
      </c>
      <c r="BI32" s="22">
        <f>((Data!$AJ$26*'Intermediate calculations'!BI29)+Data!$AK$26)</f>
        <v>520330.18731280207</v>
      </c>
      <c r="BJ32" s="22">
        <f>((Data!$AJ$26*'Intermediate calculations'!BJ29)+Data!$AK$26)</f>
        <v>522569.76966565812</v>
      </c>
      <c r="BK32" s="22">
        <f>((Data!$AJ$26*'Intermediate calculations'!BK29)+Data!$AK$26)</f>
        <v>524338.0050911752</v>
      </c>
    </row>
    <row r="33" spans="1:63"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((Data!$AJ$27*LN('Intermediate calculations'!Y2))+Data!$AK$27)</f>
        <v>8.9505840171188549</v>
      </c>
      <c r="Z33" s="22">
        <f>((Data!$AJ$27*LN('Intermediate calculations'!Z2))+Data!$AK$27)</f>
        <v>8.6989484356715767</v>
      </c>
      <c r="AA33" s="22">
        <f>((Data!$AJ$27*LN('Intermediate calculations'!AA2))+Data!$AK$27)</f>
        <v>8.462573140856847</v>
      </c>
      <c r="AB33" s="22">
        <f>((Data!$AJ$27*LN('Intermediate calculations'!AB2))+Data!$AK$27)</f>
        <v>8.2397125849020476</v>
      </c>
      <c r="AC33" s="22">
        <f>((Data!$AJ$27*LN('Intermediate calculations'!AC2))+Data!$AK$27)</f>
        <v>8.0289045833895329</v>
      </c>
      <c r="AD33" s="22">
        <f>((Data!$AJ$27*LN('Intermediate calculations'!AD2))+Data!$AK$27)</f>
        <v>7.8289121179587777</v>
      </c>
      <c r="AE33" s="22">
        <f>((Data!$AJ$27*LN('Intermediate calculations'!AE2))+Data!$AK$27)</f>
        <v>7.6386793528863848</v>
      </c>
      <c r="AF33" s="22">
        <f>((Data!$AJ$27*LN('Intermediate calculations'!AF2))+Data!$AK$27)</f>
        <v>7.4572978929940827</v>
      </c>
      <c r="AG33" s="22">
        <f>((Data!$AJ$27*LN('Intermediate calculations'!AG2))+Data!$AK$27)</f>
        <v>7.2839805481943056</v>
      </c>
      <c r="AH33" s="22">
        <f>((Data!$AJ$27*LN('Intermediate calculations'!AH2))+Data!$AK$27)</f>
        <v>7.1180406857419687</v>
      </c>
      <c r="AI33" s="22">
        <f>((Data!$AJ$27*LN('Intermediate calculations'!AI2))+Data!$AK$27)</f>
        <v>6.9588758002459805</v>
      </c>
      <c r="AJ33" s="22">
        <f>((Data!$AJ$27*LN('Intermediate calculations'!AJ2))+Data!$AK$27)</f>
        <v>6.8059543080093459</v>
      </c>
      <c r="AK33" s="22">
        <f>((Data!$AJ$27*LN('Intermediate calculations'!AK2))+Data!$AK$27)</f>
        <v>6.6588048349724414</v>
      </c>
      <c r="AL33" s="22">
        <f>((Data!$AJ$27*LN('Intermediate calculations'!AL2))+Data!$AK$27)</f>
        <v>6.5170074537263076</v>
      </c>
      <c r="AM33" s="22">
        <f>((Data!$AJ$27*LN('Intermediate calculations'!AM2))+Data!$AK$27)</f>
        <v>6.3801864589340838</v>
      </c>
      <c r="AN33" s="22">
        <f>((Data!$AJ$27*LN('Intermediate calculations'!AN2))+Data!$AK$27)</f>
        <v>6.2480043680291715</v>
      </c>
      <c r="AO33" s="22">
        <f>((Data!$AJ$27*LN('Intermediate calculations'!AO2))+Data!$AK$27)</f>
        <v>6.1201569059835439</v>
      </c>
      <c r="AP33" s="22">
        <f>((Data!$AJ$27*LN('Intermediate calculations'!AP2))+Data!$AK$27)</f>
        <v>5.9963687865818933</v>
      </c>
      <c r="AQ33" s="22">
        <f>((Data!$AJ$27*LN('Intermediate calculations'!AQ2))+Data!$AK$27)</f>
        <v>5.8763901430644783</v>
      </c>
      <c r="AR33" s="22">
        <f>((Data!$AJ$27*LN('Intermediate calculations'!AR2))+Data!$AK$27)</f>
        <v>5.7599934917671636</v>
      </c>
      <c r="AS33" s="22">
        <f>((Data!$AJ$27*LN('Intermediate calculations'!AS2))+Data!$AK$27)</f>
        <v>5.6469711360135104</v>
      </c>
      <c r="AT33" s="22">
        <f>((Data!$AJ$27*LN('Intermediate calculations'!AT2))+Data!$AK$27)</f>
        <v>5.5371329358123642</v>
      </c>
      <c r="AU33" s="22">
        <f>((Data!$AJ$27*LN('Intermediate calculations'!AU2))+Data!$AK$27)</f>
        <v>5.4303043831997524</v>
      </c>
      <c r="AV33" s="22">
        <f>((Data!$AJ$27*LN('Intermediate calculations'!AV2))+Data!$AK$27)</f>
        <v>5.3263249342998495</v>
      </c>
      <c r="AW33" s="22">
        <f>((Data!$AJ$27*LN('Intermediate calculations'!AW2))+Data!$AK$27)</f>
        <v>5.2250465580797414</v>
      </c>
      <c r="AX33" s="22">
        <f>((Data!$AJ$27*LN('Intermediate calculations'!AX2))+Data!$AK$27)</f>
        <v>5.1263324688690943</v>
      </c>
      <c r="AY33" s="22">
        <f>((Data!$AJ$27*LN('Intermediate calculations'!AY2))+Data!$AK$27)</f>
        <v>5.0300560154098388</v>
      </c>
      <c r="AZ33" s="22">
        <f>((Data!$AJ$27*LN('Intermediate calculations'!AZ2))+Data!$AK$27)</f>
        <v>4.9360997037967014</v>
      </c>
      <c r="BA33" s="22">
        <f>((Data!$AJ$27*LN('Intermediate calculations'!BA2))+Data!$AK$27)</f>
        <v>4.8443543353997978</v>
      </c>
      <c r="BB33" s="22">
        <f>((Data!$AJ$27*LN('Intermediate calculations'!BB2))+Data!$AK$27)</f>
        <v>4.7547182439044011</v>
      </c>
      <c r="BC33" s="22">
        <f>((Data!$AJ$27*LN('Intermediate calculations'!BC2))+Data!$AK$27)</f>
        <v>4.667096618099567</v>
      </c>
      <c r="BD33" s="22">
        <f>((Data!$AJ$27*LN('Intermediate calculations'!BD2))+Data!$AK$27)</f>
        <v>4.5814008991046222</v>
      </c>
      <c r="BE33" s="22">
        <f>((Data!$AJ$27*LN('Intermediate calculations'!BE2))+Data!$AK$27)</f>
        <v>4.4975482424258928</v>
      </c>
      <c r="BF33" s="22">
        <f>((Data!$AJ$27*LN('Intermediate calculations'!BF2))+Data!$AK$27)</f>
        <v>4.4154610366522853</v>
      </c>
      <c r="BG33" s="22">
        <f>((Data!$AJ$27*LN('Intermediate calculations'!BG2))+Data!$AK$27)</f>
        <v>4.3350664717810403</v>
      </c>
      <c r="BH33" s="22">
        <f>((Data!$AJ$27*LN('Intermediate calculations'!BH2))+Data!$AK$27)</f>
        <v>4.2562961511562971</v>
      </c>
      <c r="BI33" s="22">
        <f>((Data!$AJ$27*LN('Intermediate calculations'!BI2))+Data!$AK$27)</f>
        <v>4.1790857418375573</v>
      </c>
      <c r="BJ33" s="22">
        <f>((Data!$AJ$27*LN('Intermediate calculations'!BJ2))+Data!$AK$27)</f>
        <v>4.1033746589196625</v>
      </c>
      <c r="BK33" s="22">
        <f>((Data!$AJ$27*LN('Intermediate calculations'!BK2))+Data!$AK$27)</f>
        <v>4.0291057799232792</v>
      </c>
    </row>
    <row r="34" spans="1:63"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((Data!$AJ$10*'Intermediate calculations'!Y4)+Data!$AK$10)*Drivers!Z4</f>
        <v>419285.99149200955</v>
      </c>
      <c r="Z34" s="22">
        <f>((Data!$AJ$10*'Intermediate calculations'!Z4)+Data!$AK$10)*Drivers!AA4</f>
        <v>427660.19548096799</v>
      </c>
      <c r="AA34" s="22">
        <f>((Data!$AJ$10*'Intermediate calculations'!AA4)+Data!$AK$10)*Drivers!AB4</f>
        <v>437452.24598008749</v>
      </c>
      <c r="AB34" s="22">
        <f>((Data!$AJ$10*'Intermediate calculations'!AB4)+Data!$AK$10)*Drivers!AC4</f>
        <v>444966.14209508407</v>
      </c>
      <c r="AC34" s="22">
        <f>((Data!$AJ$10*'Intermediate calculations'!AC4)+Data!$AK$10)*Drivers!AD4</f>
        <v>450995.02687358489</v>
      </c>
      <c r="AD34" s="22">
        <f>((Data!$AJ$10*'Intermediate calculations'!AD4)+Data!$AK$10)*Drivers!AE4</f>
        <v>455503.05642644467</v>
      </c>
      <c r="AE34" s="22">
        <f>((Data!$AJ$10*'Intermediate calculations'!AE4)+Data!$AK$10)*Drivers!AF4</f>
        <v>461288.37157907069</v>
      </c>
      <c r="AF34" s="22">
        <f>((Data!$AJ$10*'Intermediate calculations'!AF4)+Data!$AK$10)*Drivers!AG4</f>
        <v>467304.40661090246</v>
      </c>
      <c r="AG34" s="22">
        <f>((Data!$AJ$10*'Intermediate calculations'!AG4)+Data!$AK$10)*Drivers!AH4</f>
        <v>446781.6549634742</v>
      </c>
      <c r="AH34" s="22">
        <f>((Data!$AJ$10*'Intermediate calculations'!AH4)+Data!$AK$10)*Drivers!AI4</f>
        <v>457727.02745202376</v>
      </c>
      <c r="AI34" s="22">
        <f>((Data!$AJ$10*'Intermediate calculations'!AI4)+Data!$AK$10)*Drivers!AJ4</f>
        <v>472317.58624318294</v>
      </c>
      <c r="AJ34" s="22">
        <f>((Data!$AJ$10*'Intermediate calculations'!AJ4)+Data!$AK$10)*Drivers!AK4</f>
        <v>481235.86609880422</v>
      </c>
      <c r="AK34" s="22">
        <f>((Data!$AJ$10*'Intermediate calculations'!AK4)+Data!$AK$10)*Drivers!AL4</f>
        <v>490959.8568146904</v>
      </c>
      <c r="AL34" s="22">
        <f>((Data!$AJ$10*'Intermediate calculations'!AL4)+Data!$AK$10)*Drivers!AM4</f>
        <v>501735.83830405131</v>
      </c>
      <c r="AM34" s="22">
        <f>((Data!$AJ$10*'Intermediate calculations'!AM4)+Data!$AK$10)*Drivers!AN4</f>
        <v>512866.30909946584</v>
      </c>
      <c r="AN34" s="22">
        <f>((Data!$AJ$10*'Intermediate calculations'!AN4)+Data!$AK$10)*Drivers!AO4</f>
        <v>524863.53800901852</v>
      </c>
      <c r="AO34" s="22">
        <f>((Data!$AJ$10*'Intermediate calculations'!AO4)+Data!$AK$10)*Drivers!AP4</f>
        <v>537130.67125426384</v>
      </c>
      <c r="AP34" s="22">
        <f>((Data!$AJ$10*'Intermediate calculations'!AP4)+Data!$AK$10)*Drivers!AQ4</f>
        <v>550229.22209610662</v>
      </c>
      <c r="AQ34" s="22">
        <f>((Data!$AJ$10*'Intermediate calculations'!AQ4)+Data!$AK$10)*Drivers!AR4</f>
        <v>563561.05710812018</v>
      </c>
      <c r="AR34" s="22">
        <f>((Data!$AJ$10*'Intermediate calculations'!AR4)+Data!$AK$10)*Drivers!AS4</f>
        <v>577945.89423338266</v>
      </c>
      <c r="AS34" s="22">
        <f>((Data!$AJ$10*'Intermediate calculations'!AS4)+Data!$AK$10)*Drivers!AT4</f>
        <v>592181.84023058391</v>
      </c>
      <c r="AT34" s="22">
        <f>((Data!$AJ$10*'Intermediate calculations'!AT4)+Data!$AK$10)*Drivers!AU4</f>
        <v>607074.92663549562</v>
      </c>
      <c r="AU34" s="22">
        <f>((Data!$AJ$10*'Intermediate calculations'!AU4)+Data!$AK$10)*Drivers!AV4</f>
        <v>623605.13170929684</v>
      </c>
      <c r="AV34" s="22">
        <f>((Data!$AJ$10*'Intermediate calculations'!AV4)+Data!$AK$10)*Drivers!AW4</f>
        <v>639473.87616749632</v>
      </c>
      <c r="AW34" s="22">
        <f>((Data!$AJ$10*'Intermediate calculations'!AW4)+Data!$AK$10)*Drivers!AX4</f>
        <v>655884.8289951029</v>
      </c>
      <c r="AX34" s="22">
        <f>((Data!$AJ$10*'Intermediate calculations'!AX4)+Data!$AK$10)*Drivers!AY4</f>
        <v>673283.43504484475</v>
      </c>
      <c r="AY34" s="22">
        <f>((Data!$AJ$10*'Intermediate calculations'!AY4)+Data!$AK$10)*Drivers!AZ4</f>
        <v>689784.84725582972</v>
      </c>
      <c r="AZ34" s="22">
        <f>((Data!$AJ$10*'Intermediate calculations'!AZ4)+Data!$AK$10)*Drivers!BA4</f>
        <v>706240.98543075286</v>
      </c>
      <c r="BA34" s="22">
        <f>((Data!$AJ$10*'Intermediate calculations'!BA4)+Data!$AK$10)*Drivers!BB4</f>
        <v>722689.74222275952</v>
      </c>
      <c r="BB34" s="22">
        <f>((Data!$AJ$10*'Intermediate calculations'!BB4)+Data!$AK$10)*Drivers!BC4</f>
        <v>740141.4986763976</v>
      </c>
      <c r="BC34" s="22">
        <f>((Data!$AJ$10*'Intermediate calculations'!BC4)+Data!$AK$10)*Drivers!BD4</f>
        <v>757036.94310596329</v>
      </c>
      <c r="BD34" s="22">
        <f>((Data!$AJ$10*'Intermediate calculations'!BD4)+Data!$AK$10)*Drivers!BE4</f>
        <v>774517.60230452823</v>
      </c>
      <c r="BE34" s="22">
        <f>((Data!$AJ$10*'Intermediate calculations'!BE4)+Data!$AK$10)*Drivers!BF4</f>
        <v>792656.47519844701</v>
      </c>
      <c r="BF34" s="22">
        <f>((Data!$AJ$10*'Intermediate calculations'!BF4)+Data!$AK$10)*Drivers!BG4</f>
        <v>811568.48041244003</v>
      </c>
      <c r="BG34" s="22">
        <f>((Data!$AJ$10*'Intermediate calculations'!BG4)+Data!$AK$10)*Drivers!BH4</f>
        <v>830985.54410062416</v>
      </c>
      <c r="BH34" s="22">
        <f>((Data!$AJ$10*'Intermediate calculations'!BH4)+Data!$AK$10)*Drivers!BI4</f>
        <v>837779.21425249311</v>
      </c>
      <c r="BI34" s="22">
        <f>((Data!$AJ$10*'Intermediate calculations'!BI4)+Data!$AK$10)*Drivers!BJ4</f>
        <v>843404.1461467651</v>
      </c>
      <c r="BJ34" s="22">
        <f>((Data!$AJ$10*'Intermediate calculations'!BJ4)+Data!$AK$10)*Drivers!BK4</f>
        <v>847328.97320602578</v>
      </c>
      <c r="BK34" s="22">
        <f>((Data!$AJ$10*'Intermediate calculations'!BK4)+Data!$AK$10)*Drivers!BL4</f>
        <v>850750.49102736707</v>
      </c>
    </row>
    <row r="35" spans="1:63"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8.0066088979239574</v>
      </c>
      <c r="AG35" s="45">
        <f>AG34*ttokg/Drivers!AH4</f>
        <v>7.533156691936278</v>
      </c>
      <c r="AH35" s="45">
        <f>AH34*ttokg/Drivers!AI4</f>
        <v>7.629854456653093</v>
      </c>
      <c r="AI35" s="45">
        <f>AI34*ttokg/Drivers!AJ4</f>
        <v>7.7834446458870268</v>
      </c>
      <c r="AJ35" s="45">
        <f>AJ34*ttokg/Drivers!AK4</f>
        <v>7.8401386015612138</v>
      </c>
      <c r="AK35" s="45">
        <f>AK34*ttokg/Drivers!AL4</f>
        <v>7.9075102713028924</v>
      </c>
      <c r="AL35" s="45">
        <f>AL34*ttokg/Drivers!AM4</f>
        <v>7.9890829869980893</v>
      </c>
      <c r="AM35" s="45">
        <f>AM34*ttokg/Drivers!AN4</f>
        <v>8.0866870705147775</v>
      </c>
      <c r="AN35" s="45">
        <f>AN34*ttokg/Drivers!AO4</f>
        <v>8.1951617236288143</v>
      </c>
      <c r="AO35" s="45">
        <f>AO34*ttokg/Drivers!AP4</f>
        <v>8.3049253810193697</v>
      </c>
      <c r="AP35" s="45">
        <f>AP34*ttokg/Drivers!AQ4</f>
        <v>8.4244991708055537</v>
      </c>
      <c r="AQ35" s="45">
        <f>AQ34*ttokg/Drivers!AR4</f>
        <v>8.5444885697153996</v>
      </c>
      <c r="AR35" s="45">
        <f>AR34*ttokg/Drivers!AS4</f>
        <v>8.6884362725031838</v>
      </c>
      <c r="AS35" s="45">
        <f>AS34*ttokg/Drivers!AT4</f>
        <v>8.8271165642816083</v>
      </c>
      <c r="AT35" s="45">
        <f>AT34*ttokg/Drivers!AU4</f>
        <v>8.9725401741978228</v>
      </c>
      <c r="AU35" s="45">
        <f>AU34*ttokg/Drivers!AV4</f>
        <v>9.1388623295018725</v>
      </c>
      <c r="AV35" s="45">
        <f>AV34*ttokg/Drivers!AW4</f>
        <v>9.2921155375444151</v>
      </c>
      <c r="AW35" s="45">
        <f>AW34*ttokg/Drivers!AX4</f>
        <v>9.4613133017096676</v>
      </c>
      <c r="AX35" s="45">
        <f>AX34*ttokg/Drivers!AY4</f>
        <v>9.6417044004600232</v>
      </c>
      <c r="AY35" s="45">
        <f>AY34*ttokg/Drivers!AZ4</f>
        <v>9.8062187616674308</v>
      </c>
      <c r="AZ35" s="45">
        <f>AZ34*ttokg/Drivers!BA4</f>
        <v>9.9671935020483531</v>
      </c>
      <c r="BA35" s="45">
        <f>BA34*ttokg/Drivers!BB4</f>
        <v>10.12520691992213</v>
      </c>
      <c r="BB35" s="45">
        <f>BB34*ttokg/Drivers!BC4</f>
        <v>10.305705830443552</v>
      </c>
      <c r="BC35" s="45">
        <f>BC34*ttokg/Drivers!BD4</f>
        <v>10.475892412340528</v>
      </c>
      <c r="BD35" s="45">
        <f>BD34*ttokg/Drivers!BE4</f>
        <v>10.651633579741356</v>
      </c>
      <c r="BE35" s="45">
        <f>BE34*ttokg/Drivers!BF4</f>
        <v>10.833802326063093</v>
      </c>
      <c r="BF35" s="45">
        <f>BF34*ttokg/Drivers!BG4</f>
        <v>11.02381805522735</v>
      </c>
      <c r="BG35" s="45">
        <f>BG34*ttokg/Drivers!BH4</f>
        <v>11.230238242237935</v>
      </c>
      <c r="BH35" s="45">
        <f>BH34*ttokg/Drivers!BI4</f>
        <v>11.264546641963237</v>
      </c>
      <c r="BI35" s="45">
        <f>BI34*ttokg/Drivers!BJ4</f>
        <v>11.282582137643653</v>
      </c>
      <c r="BJ35" s="45">
        <f>BJ34*ttokg/Drivers!BK4</f>
        <v>11.277516330930561</v>
      </c>
      <c r="BK35" s="45">
        <f>BK34*ttokg/Drivers!BL4</f>
        <v>11.265546176965351</v>
      </c>
    </row>
    <row r="36" spans="1:63"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0.18179990505022861</v>
      </c>
      <c r="AP36" s="45"/>
      <c r="AQ36" s="45">
        <f>(AQ37-AE37)/AE37</f>
        <v>0.22488271549650843</v>
      </c>
      <c r="AR36" s="45"/>
      <c r="AS36" s="45"/>
      <c r="AT36" s="45"/>
      <c r="AU36" s="45"/>
      <c r="AV36" s="45"/>
      <c r="AW36" s="45"/>
      <c r="AX36" s="45"/>
      <c r="AY36" s="45"/>
      <c r="AZ36" s="45"/>
      <c r="BA36" s="45"/>
      <c r="BB36" s="45"/>
      <c r="BC36" s="45"/>
      <c r="BD36" s="45"/>
      <c r="BE36" s="45"/>
      <c r="BF36" s="45"/>
      <c r="BG36" s="45"/>
      <c r="BH36" s="45"/>
      <c r="BI36" s="45"/>
      <c r="BJ36" s="45"/>
      <c r="BK36" s="45"/>
    </row>
    <row r="37" spans="1:63"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((Data!$AJ$29*'Intermediate calculations'!Y34)+Data!$AK$29)</f>
        <v>448982.05019678234</v>
      </c>
      <c r="Z37" s="22">
        <f>((Data!$AJ$29*'Intermediate calculations'!Z34)+Data!$AK$29)</f>
        <v>458090.69820274442</v>
      </c>
      <c r="AA37" s="22">
        <f>((Data!$AJ$29*'Intermediate calculations'!AA34)+Data!$AK$29)</f>
        <v>468741.54231529374</v>
      </c>
      <c r="AB37" s="22">
        <f>((Data!$AJ$29*'Intermediate calculations'!AB34)+Data!$AK$29)</f>
        <v>476914.43074207567</v>
      </c>
      <c r="AC37" s="22">
        <f>((Data!$AJ$29*'Intermediate calculations'!AC34)+Data!$AK$29)</f>
        <v>483472.06766951061</v>
      </c>
      <c r="AD37" s="22">
        <f>((Data!$AJ$29*'Intermediate calculations'!AD34)+Data!$AK$29)</f>
        <v>488375.46558668761</v>
      </c>
      <c r="AE37" s="22">
        <f>((Data!$AJ$29*'Intermediate calculations'!AE34)+Data!$AK$29)</f>
        <v>494668.17106631416</v>
      </c>
      <c r="AF37" s="22">
        <f>((Data!$AJ$29*'Intermediate calculations'!AF34)+Data!$AK$29)</f>
        <v>501211.83128389955</v>
      </c>
      <c r="AG37" s="22">
        <f>((Data!$AJ$29*'Intermediate calculations'!AG34)+Data!$AK$29)</f>
        <v>478889.16979670874</v>
      </c>
      <c r="AH37" s="22">
        <f>((Data!$AJ$29*'Intermediate calculations'!AH34)+Data!$AK$29)</f>
        <v>490794.48586302291</v>
      </c>
      <c r="AI37" s="22">
        <f>((Data!$AJ$29*'Intermediate calculations'!AI34)+Data!$AK$29)</f>
        <v>506664.68253057438</v>
      </c>
      <c r="AJ37" s="22">
        <f>((Data!$AJ$29*'Intermediate calculations'!AJ34)+Data!$AK$29)</f>
        <v>516365.12356719404</v>
      </c>
      <c r="AK37" s="22">
        <f>((Data!$AJ$29*'Intermediate calculations'!AK34)+Data!$AK$29)</f>
        <v>526941.93883955129</v>
      </c>
      <c r="AL37" s="22">
        <f>((Data!$AJ$29*'Intermediate calculations'!AL34)+Data!$AK$29)</f>
        <v>538663.00778350956</v>
      </c>
      <c r="AM37" s="22">
        <f>((Data!$AJ$29*'Intermediate calculations'!AM34)+Data!$AK$29)</f>
        <v>550769.65586012043</v>
      </c>
      <c r="AN37" s="22">
        <f>((Data!$AJ$29*'Intermediate calculations'!AN34)+Data!$AK$29)</f>
        <v>563819.07946242974</v>
      </c>
      <c r="AO37" s="22">
        <f>((Data!$AJ$29*'Intermediate calculations'!AO34)+Data!$AK$29)</f>
        <v>577162.07885920862</v>
      </c>
      <c r="AP37" s="22">
        <f>((Data!$AJ$29*'Intermediate calculations'!AP34)+Data!$AK$29)</f>
        <v>591409.41378965182</v>
      </c>
      <c r="AQ37" s="22">
        <f>((Data!$AJ$29*'Intermediate calculations'!AQ34)+Data!$AK$29)</f>
        <v>605910.49264539825</v>
      </c>
      <c r="AR37" s="22">
        <f>((Data!$AJ$29*'Intermediate calculations'!AR34)+Data!$AK$29)</f>
        <v>621556.92521019746</v>
      </c>
      <c r="AS37" s="22">
        <f>((Data!$AJ$29*'Intermediate calculations'!AS34)+Data!$AK$29)</f>
        <v>637041.40842691436</v>
      </c>
      <c r="AT37" s="22">
        <f>((Data!$AJ$29*'Intermediate calculations'!AT34)+Data!$AK$29)</f>
        <v>653240.66533104354</v>
      </c>
      <c r="AU37" s="22">
        <f>((Data!$AJ$29*'Intermediate calculations'!AU34)+Data!$AK$29)</f>
        <v>671220.62135816552</v>
      </c>
      <c r="AV37" s="22">
        <f>((Data!$AJ$29*'Intermediate calculations'!AV34)+Data!$AK$29)</f>
        <v>688481.10459417035</v>
      </c>
      <c r="AW37" s="22">
        <f>((Data!$AJ$29*'Intermediate calculations'!AW34)+Data!$AK$29)</f>
        <v>706331.34957819642</v>
      </c>
      <c r="AX37" s="22">
        <f>((Data!$AJ$29*'Intermediate calculations'!AX34)+Data!$AK$29)</f>
        <v>725255.86807696428</v>
      </c>
      <c r="AY37" s="22">
        <f>((Data!$AJ$29*'Intermediate calculations'!AY34)+Data!$AK$29)</f>
        <v>743204.50601668097</v>
      </c>
      <c r="AZ37" s="22">
        <f>((Data!$AJ$29*'Intermediate calculations'!AZ34)+Data!$AK$29)</f>
        <v>761103.89924503886</v>
      </c>
      <c r="BA37" s="22">
        <f>((Data!$AJ$29*'Intermediate calculations'!BA34)+Data!$AK$29)</f>
        <v>778995.26371999271</v>
      </c>
      <c r="BB37" s="22">
        <f>((Data!$AJ$29*'Intermediate calculations'!BB34)+Data!$AK$29)</f>
        <v>797977.59408017504</v>
      </c>
      <c r="BC37" s="22">
        <f>((Data!$AJ$29*'Intermediate calculations'!BC34)+Data!$AK$29)</f>
        <v>816354.82210281701</v>
      </c>
      <c r="BD37" s="22">
        <f>((Data!$AJ$29*'Intermediate calculations'!BD34)+Data!$AK$29)</f>
        <v>835368.59006952192</v>
      </c>
      <c r="BE37" s="22">
        <f>((Data!$AJ$29*'Intermediate calculations'!BE34)+Data!$AK$29)</f>
        <v>855098.29914198304</v>
      </c>
      <c r="BF37" s="22">
        <f>((Data!$AJ$29*'Intermediate calculations'!BF34)+Data!$AK$29)</f>
        <v>875668.94666959438</v>
      </c>
      <c r="BG37" s="22">
        <f>((Data!$AJ$29*'Intermediate calculations'!BG34)+Data!$AK$29)</f>
        <v>896788.94788740738</v>
      </c>
      <c r="BH37" s="22">
        <f>((Data!$AJ$29*'Intermediate calculations'!BH34)+Data!$AK$29)</f>
        <v>904178.44426981895</v>
      </c>
      <c r="BI37" s="22">
        <f>((Data!$AJ$29*'Intermediate calculations'!BI34)+Data!$AK$29)</f>
        <v>910296.70037511433</v>
      </c>
      <c r="BJ37" s="22">
        <f>((Data!$AJ$29*'Intermediate calculations'!BJ34)+Data!$AK$29)</f>
        <v>914565.74710650719</v>
      </c>
      <c r="BK37" s="22">
        <f>((Data!$AJ$29*'Intermediate calculations'!BK34)+Data!$AK$29)</f>
        <v>918287.34279749077</v>
      </c>
    </row>
    <row r="38" spans="1:63"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((Data!$AJ$30*LN('Intermediate calculations'!Y2))+Data!$AK$30)</f>
        <v>54.878404435813614</v>
      </c>
      <c r="Z38" s="22">
        <f>((Data!$AJ$30*LN('Intermediate calculations'!Z2))+Data!$AK$30)</f>
        <v>54.880806049015746</v>
      </c>
      <c r="AA38" s="22">
        <f>((Data!$AJ$30*LN('Intermediate calculations'!AA2))+Data!$AK$30)</f>
        <v>54.883062017847422</v>
      </c>
      <c r="AB38" s="22">
        <f>((Data!$AJ$30*LN('Intermediate calculations'!AB2))+Data!$AK$30)</f>
        <v>54.88518900183886</v>
      </c>
      <c r="AC38" s="22">
        <f>((Data!$AJ$30*LN('Intermediate calculations'!AC2))+Data!$AK$30)</f>
        <v>54.887200956096819</v>
      </c>
      <c r="AD38" s="22">
        <f>((Data!$AJ$30*LN('Intermediate calculations'!AD2))+Data!$AK$30)</f>
        <v>54.889109686740333</v>
      </c>
      <c r="AE38" s="22">
        <f>((Data!$AJ$30*LN('Intermediate calculations'!AE2))+Data!$AK$30)</f>
        <v>54.890925270679013</v>
      </c>
      <c r="AF38" s="22">
        <f>((Data!$AJ$30*LN('Intermediate calculations'!AF2))+Data!$AK$30)</f>
        <v>54.892656377648038</v>
      </c>
      <c r="AG38" s="22">
        <f>((Data!$AJ$30*LN('Intermediate calculations'!AG2))+Data!$AK$30)</f>
        <v>54.894310520599667</v>
      </c>
      <c r="AH38" s="22">
        <f>((Data!$AJ$30*LN('Intermediate calculations'!AH2))+Data!$AK$30)</f>
        <v>54.895894252765579</v>
      </c>
      <c r="AI38" s="22">
        <f>((Data!$AJ$30*LN('Intermediate calculations'!AI2))+Data!$AK$30)</f>
        <v>54.897413324464914</v>
      </c>
      <c r="AJ38" s="22">
        <f>((Data!$AJ$30*LN('Intermediate calculations'!AJ2))+Data!$AK$30)</f>
        <v>54.89887280913927</v>
      </c>
      <c r="AK38" s="22">
        <f>((Data!$AJ$30*LN('Intermediate calculations'!AK2))+Data!$AK$30)</f>
        <v>54.900277205588694</v>
      </c>
      <c r="AL38" s="22">
        <f>((Data!$AJ$30*LN('Intermediate calculations'!AL2))+Data!$AK$30)</f>
        <v>54.901630521605725</v>
      </c>
      <c r="AM38" s="22">
        <f>((Data!$AJ$30*LN('Intermediate calculations'!AM2))+Data!$AK$30)</f>
        <v>54.902936342926907</v>
      </c>
      <c r="AN38" s="22">
        <f>((Data!$AJ$30*LN('Intermediate calculations'!AN2))+Data!$AK$30)</f>
        <v>54.90419789049016</v>
      </c>
      <c r="AO38" s="22">
        <f>((Data!$AJ$30*LN('Intermediate calculations'!AO2))+Data!$AK$30)</f>
        <v>54.905418068300236</v>
      </c>
      <c r="AP38" s="22">
        <f>((Data!$AJ$30*LN('Intermediate calculations'!AP2))+Data!$AK$30)</f>
        <v>54.906599503692291</v>
      </c>
      <c r="AQ38" s="22">
        <f>((Data!$AJ$30*LN('Intermediate calculations'!AQ2))+Data!$AK$30)</f>
        <v>54.907744581397871</v>
      </c>
      <c r="AR38" s="22">
        <f>((Data!$AJ$30*LN('Intermediate calculations'!AR2))+Data!$AK$30)</f>
        <v>54.908855472523967</v>
      </c>
      <c r="AS38" s="22">
        <f>((Data!$AJ$30*LN('Intermediate calculations'!AS2))+Data!$AK$30)</f>
        <v>54.909934159330312</v>
      </c>
      <c r="AT38" s="22">
        <f>((Data!$AJ$30*LN('Intermediate calculations'!AT2))+Data!$AK$30)</f>
        <v>54.910982456515406</v>
      </c>
      <c r="AU38" s="22">
        <f>((Data!$AJ$30*LN('Intermediate calculations'!AU2))+Data!$AK$30)</f>
        <v>54.912002029585494</v>
      </c>
      <c r="AV38" s="22">
        <f>((Data!$AJ$30*LN('Intermediate calculations'!AV2))+Data!$AK$30)</f>
        <v>54.912994410773372</v>
      </c>
      <c r="AW38" s="22">
        <f>((Data!$AJ$30*LN('Intermediate calculations'!AW2))+Data!$AK$30)</f>
        <v>54.913961012889104</v>
      </c>
      <c r="AX38" s="22">
        <f>((Data!$AJ$30*LN('Intermediate calculations'!AX2))+Data!$AK$30)</f>
        <v>54.914903141416879</v>
      </c>
      <c r="AY38" s="22">
        <f>((Data!$AJ$30*LN('Intermediate calculations'!AY2))+Data!$AK$30)</f>
        <v>54.915822005117917</v>
      </c>
      <c r="AZ38" s="22">
        <f>((Data!$AJ$30*LN('Intermediate calculations'!AZ2))+Data!$AK$30)</f>
        <v>54.916718725355558</v>
      </c>
      <c r="BA38" s="22">
        <f>((Data!$AJ$30*LN('Intermediate calculations'!BA2))+Data!$AK$30)</f>
        <v>54.917594344322914</v>
      </c>
      <c r="BB38" s="22">
        <f>((Data!$AJ$30*LN('Intermediate calculations'!BB2))+Data!$AK$30)</f>
        <v>54.91844983232459</v>
      </c>
      <c r="BC38" s="22">
        <f>((Data!$AJ$30*LN('Intermediate calculations'!BC2))+Data!$AK$30)</f>
        <v>54.919286094239993</v>
      </c>
      <c r="BD38" s="22">
        <f>((Data!$AJ$30*LN('Intermediate calculations'!BD2))+Data!$AK$30)</f>
        <v>54.920103975276213</v>
      </c>
      <c r="BE38" s="22">
        <f>((Data!$AJ$30*LN('Intermediate calculations'!BE2))+Data!$AK$30)</f>
        <v>54.920904266102156</v>
      </c>
      <c r="BF38" s="22">
        <f>((Data!$AJ$30*LN('Intermediate calculations'!BF2))+Data!$AK$30)</f>
        <v>54.921687707442125</v>
      </c>
      <c r="BG38" s="22">
        <f>((Data!$AJ$30*LN('Intermediate calculations'!BG2))+Data!$AK$30)</f>
        <v>54.922454994195704</v>
      </c>
      <c r="BH38" s="22">
        <f>((Data!$AJ$30*LN('Intermediate calculations'!BH2))+Data!$AK$30)</f>
        <v>54.923206779141459</v>
      </c>
      <c r="BI38" s="22">
        <f>((Data!$AJ$30*LN('Intermediate calculations'!BI2))+Data!$AK$30)</f>
        <v>54.923943676273794</v>
      </c>
      <c r="BJ38" s="22">
        <f>((Data!$AJ$30*LN('Intermediate calculations'!BJ2))+Data!$AK$30)</f>
        <v>54.924666263815823</v>
      </c>
      <c r="BK38" s="22">
        <f>((Data!$AJ$30*LN('Intermediate calculations'!BK2))+Data!$AK$30)</f>
        <v>54.925375086945202</v>
      </c>
    </row>
    <row r="39" spans="1:63"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22">
        <f>((Data!$AJ$11*'Intermediate calculations'!Y4)+Data!$AK$11)*Drivers!Z4</f>
        <v>1780536.5679391939</v>
      </c>
      <c r="Z39" s="22">
        <f>((Data!$AJ$11*'Intermediate calculations'!Z4)+Data!$AK$11)*Drivers!AA4</f>
        <v>1834642.5186756081</v>
      </c>
      <c r="AA39" s="22">
        <f>((Data!$AJ$11*'Intermediate calculations'!AA4)+Data!$AK$11)*Drivers!AB4</f>
        <v>1905076.8868757137</v>
      </c>
      <c r="AB39" s="22">
        <f>((Data!$AJ$11*'Intermediate calculations'!AB4)+Data!$AK$11)*Drivers!AC4</f>
        <v>1943924.6182197323</v>
      </c>
      <c r="AC39" s="22">
        <f>((Data!$AJ$11*'Intermediate calculations'!AC4)+Data!$AK$11)*Drivers!AD4</f>
        <v>1961369.2810630382</v>
      </c>
      <c r="AD39" s="22">
        <f>((Data!$AJ$11*'Intermediate calculations'!AD4)+Data!$AK$11)*Drivers!AE4</f>
        <v>1956860.8704089574</v>
      </c>
      <c r="AE39" s="22">
        <f>((Data!$AJ$11*'Intermediate calculations'!AE4)+Data!$AK$11)*Drivers!AF4</f>
        <v>1968044.8895064972</v>
      </c>
      <c r="AF39" s="22">
        <f>((Data!$AJ$11*'Intermediate calculations'!AF4)+Data!$AK$11)*Drivers!AG4</f>
        <v>1981185.0437649265</v>
      </c>
      <c r="AG39" s="22">
        <f>((Data!$AJ$11*'Intermediate calculations'!AG4)+Data!$AK$11)*Drivers!AH4</f>
        <v>1649789.7930508428</v>
      </c>
      <c r="AH39" s="22">
        <f>((Data!$AJ$11*'Intermediate calculations'!AH4)+Data!$AK$11)*Drivers!AI4</f>
        <v>1743868.1531968752</v>
      </c>
      <c r="AI39" s="22">
        <f>((Data!$AJ$11*'Intermediate calculations'!AI4)+Data!$AK$11)*Drivers!AJ4</f>
        <v>1884577.8544416991</v>
      </c>
      <c r="AJ39" s="22">
        <f>((Data!$AJ$11*'Intermediate calculations'!AJ4)+Data!$AK$11)*Drivers!AK4</f>
        <v>1951317.6241627187</v>
      </c>
      <c r="AK39" s="22">
        <f>((Data!$AJ$11*'Intermediate calculations'!AK4)+Data!$AK$11)*Drivers!AL4</f>
        <v>2027925.0153671976</v>
      </c>
      <c r="AL39" s="22">
        <f>((Data!$AJ$11*'Intermediate calculations'!AL4)+Data!$AK$11)*Drivers!AM4</f>
        <v>2117581.1478916127</v>
      </c>
      <c r="AM39" s="22">
        <f>((Data!$AJ$11*'Intermediate calculations'!AM4)+Data!$AK$11)*Drivers!AN4</f>
        <v>2218550.3192499061</v>
      </c>
      <c r="AN39" s="22">
        <f>((Data!$AJ$11*'Intermediate calculations'!AN4)+Data!$AK$11)*Drivers!AO4</f>
        <v>2330313.5523487939</v>
      </c>
      <c r="AO39" s="22">
        <f>((Data!$AJ$11*'Intermediate calculations'!AO4)+Data!$AK$11)*Drivers!AP4</f>
        <v>2445141.6542588295</v>
      </c>
      <c r="AP39" s="22">
        <f>((Data!$AJ$11*'Intermediate calculations'!AP4)+Data!$AK$11)*Drivers!AQ4</f>
        <v>2570298.0125768725</v>
      </c>
      <c r="AQ39" s="22">
        <f>((Data!$AJ$11*'Intermediate calculations'!AQ4)+Data!$AK$11)*Drivers!AR4</f>
        <v>2698036.7893471522</v>
      </c>
      <c r="AR39" s="22">
        <f>((Data!$AJ$11*'Intermediate calculations'!AR4)+Data!$AK$11)*Drivers!AS4</f>
        <v>2844994.0641422924</v>
      </c>
      <c r="AS39" s="22">
        <f>((Data!$AJ$11*'Intermediate calculations'!AS4)+Data!$AK$11)*Drivers!AT4</f>
        <v>2989689.507352842</v>
      </c>
      <c r="AT39" s="22">
        <f>((Data!$AJ$11*'Intermediate calculations'!AT4)+Data!$AK$11)*Drivers!AU4</f>
        <v>3142552.6427659136</v>
      </c>
      <c r="AU39" s="22">
        <f>((Data!$AJ$11*'Intermediate calculations'!AU4)+Data!$AK$11)*Drivers!AV4</f>
        <v>3316264.3437950383</v>
      </c>
      <c r="AV39" s="22">
        <f>((Data!$AJ$11*'Intermediate calculations'!AV4)+Data!$AK$11)*Drivers!AW4</f>
        <v>3481071.4368756572</v>
      </c>
      <c r="AW39" s="22">
        <f>((Data!$AJ$11*'Intermediate calculations'!AW4)+Data!$AK$11)*Drivers!AX4</f>
        <v>3658367.5316689452</v>
      </c>
      <c r="AX39" s="22">
        <f>((Data!$AJ$11*'Intermediate calculations'!AX4)+Data!$AK$11)*Drivers!AY4</f>
        <v>3848189.6779006226</v>
      </c>
      <c r="AY39" s="22">
        <f>((Data!$AJ$11*'Intermediate calculations'!AY4)+Data!$AK$11)*Drivers!AZ4</f>
        <v>4026140.6182582239</v>
      </c>
      <c r="AZ39" s="22">
        <f>((Data!$AJ$11*'Intermediate calculations'!AZ4)+Data!$AK$11)*Drivers!BA4</f>
        <v>4203244.7647383884</v>
      </c>
      <c r="BA39" s="22">
        <f>((Data!$AJ$11*'Intermediate calculations'!BA4)+Data!$AK$11)*Drivers!BB4</f>
        <v>4379990.6484487224</v>
      </c>
      <c r="BB39" s="22">
        <f>((Data!$AJ$11*'Intermediate calculations'!BB4)+Data!$AK$11)*Drivers!BC4</f>
        <v>4574975.5428598318</v>
      </c>
      <c r="BC39" s="22">
        <f>((Data!$AJ$11*'Intermediate calculations'!BC4)+Data!$AK$11)*Drivers!BD4</f>
        <v>4762568.2858607862</v>
      </c>
      <c r="BD39" s="22">
        <f>((Data!$AJ$11*'Intermediate calculations'!BD4)+Data!$AK$11)*Drivers!BE4</f>
        <v>4957542.3459407697</v>
      </c>
      <c r="BE39" s="22">
        <f>((Data!$AJ$11*'Intermediate calculations'!BE4)+Data!$AK$11)*Drivers!BF4</f>
        <v>5160841.341402295</v>
      </c>
      <c r="BF39" s="22">
        <f>((Data!$AJ$11*'Intermediate calculations'!BF4)+Data!$AK$11)*Drivers!BG4</f>
        <v>5373951.4453080129</v>
      </c>
      <c r="BG39" s="22">
        <f>((Data!$AJ$11*'Intermediate calculations'!BG4)+Data!$AK$11)*Drivers!BH4</f>
        <v>5599076.1348213833</v>
      </c>
      <c r="BH39" s="22">
        <f>((Data!$AJ$11*'Intermediate calculations'!BH4)+Data!$AK$11)*Drivers!BI4</f>
        <v>5660683.8942970913</v>
      </c>
      <c r="BI39" s="22">
        <f>((Data!$AJ$11*'Intermediate calculations'!BI4)+Data!$AK$11)*Drivers!BJ4</f>
        <v>5707030.4289737996</v>
      </c>
      <c r="BJ39" s="22">
        <f>((Data!$AJ$11*'Intermediate calculations'!BJ4)+Data!$AK$11)*Drivers!BK4</f>
        <v>5731237.6316942275</v>
      </c>
      <c r="BK39" s="22">
        <f>((Data!$AJ$11*'Intermediate calculations'!BK4)+Data!$AK$11)*Drivers!BL4</f>
        <v>5748794.8114293879</v>
      </c>
    </row>
    <row r="40" spans="1:63"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34.547852654544698</v>
      </c>
      <c r="AA40" s="45">
        <f>AA39*ttokg/Drivers!AB4</f>
        <v>35.336547792755709</v>
      </c>
      <c r="AB40" s="45">
        <f>AB39*ttokg/Drivers!AC4</f>
        <v>35.505153770812321</v>
      </c>
      <c r="AC40" s="45">
        <f>AC39*ttokg/Drivers!AD4</f>
        <v>35.263778862315192</v>
      </c>
      <c r="AD40" s="45">
        <f>AD39*ttokg/Drivers!AE4</f>
        <v>34.621256665942369</v>
      </c>
      <c r="AE40" s="45">
        <f>AE39*ttokg/Drivers!AF4</f>
        <v>34.265005716880026</v>
      </c>
      <c r="AF40" s="45">
        <f>AF39*ttokg/Drivers!AG4</f>
        <v>33.944841040307118</v>
      </c>
      <c r="AG40" s="45">
        <f>AG39*ttokg/Drivers!AH4</f>
        <v>27.816999381555092</v>
      </c>
      <c r="AH40" s="45">
        <f>AH39*ttokg/Drivers!AI4</f>
        <v>29.068548288595824</v>
      </c>
      <c r="AI40" s="45">
        <f>AI39*ttokg/Drivers!AJ4</f>
        <v>31.056449808665612</v>
      </c>
      <c r="AJ40" s="45">
        <f>AJ39*ttokg/Drivers!AK4</f>
        <v>31.790233660522382</v>
      </c>
      <c r="AK40" s="45">
        <f>AK39*ttokg/Drivers!AL4</f>
        <v>32.662218032422174</v>
      </c>
      <c r="AL40" s="45">
        <f>AL39*ttokg/Drivers!AM4</f>
        <v>33.718005035065417</v>
      </c>
      <c r="AM40" s="45">
        <f>AM39*ttokg/Drivers!AN4</f>
        <v>34.981284330153187</v>
      </c>
      <c r="AN40" s="45">
        <f>AN39*ttokg/Drivers!AO4</f>
        <v>36.385260253940878</v>
      </c>
      <c r="AO40" s="45">
        <f>AO39*ttokg/Drivers!AP4</f>
        <v>37.805919623288773</v>
      </c>
      <c r="AP40" s="45">
        <f>AP39*ttokg/Drivers!AQ4</f>
        <v>39.3535504951696</v>
      </c>
      <c r="AQ40" s="45">
        <f>AQ39*ttokg/Drivers!AR4</f>
        <v>40.906560551833081</v>
      </c>
      <c r="AR40" s="45">
        <f>AR39*ttokg/Drivers!AS4</f>
        <v>42.769660393103244</v>
      </c>
      <c r="AS40" s="45">
        <f>AS39*ttokg/Drivers!AT4</f>
        <v>44.564584692663516</v>
      </c>
      <c r="AT40" s="45">
        <f>AT39*ttokg/Drivers!AU4</f>
        <v>46.446787043271769</v>
      </c>
      <c r="AU40" s="45">
        <f>AU39*ttokg/Drivers!AV4</f>
        <v>48.599477049054727</v>
      </c>
      <c r="AV40" s="45">
        <f>AV39*ttokg/Drivers!AW4</f>
        <v>50.583017057325243</v>
      </c>
      <c r="AW40" s="45">
        <f>AW39*ttokg/Drivers!AX4</f>
        <v>52.772925763435502</v>
      </c>
      <c r="AX40" s="45">
        <f>AX39*ttokg/Drivers!AY4</f>
        <v>55.107708611229953</v>
      </c>
      <c r="AY40" s="45">
        <f>AY39*ttokg/Drivers!AZ4</f>
        <v>57.23700052986549</v>
      </c>
      <c r="AZ40" s="45">
        <f>AZ39*ttokg/Drivers!BA4</f>
        <v>59.320479511772824</v>
      </c>
      <c r="BA40" s="45">
        <f>BA39*ttokg/Drivers!BB4</f>
        <v>61.365630410729487</v>
      </c>
      <c r="BB40" s="45">
        <f>BB39*ttokg/Drivers!BC4</f>
        <v>63.701808654835716</v>
      </c>
      <c r="BC40" s="45">
        <f>BC39*ttokg/Drivers!BD4</f>
        <v>65.904515523913048</v>
      </c>
      <c r="BD40" s="45">
        <f>BD39*ttokg/Drivers!BE4</f>
        <v>68.179114803707165</v>
      </c>
      <c r="BE40" s="45">
        <f>BE39*ttokg/Drivers!BF4</f>
        <v>70.536905555371789</v>
      </c>
      <c r="BF40" s="45">
        <f>BF39*ttokg/Drivers!BG4</f>
        <v>72.996258973235385</v>
      </c>
      <c r="BG40" s="45">
        <f>BG39*ttokg/Drivers!BH4</f>
        <v>75.667933548142258</v>
      </c>
      <c r="BH40" s="45">
        <f>BH39*ttokg/Drivers!BI4</f>
        <v>76.111983524936122</v>
      </c>
      <c r="BI40" s="45">
        <f>BI39*ttokg/Drivers!BJ4</f>
        <v>76.345415031578156</v>
      </c>
      <c r="BJ40" s="45">
        <f>BJ39*ttokg/Drivers!BK4</f>
        <v>76.279848832880432</v>
      </c>
      <c r="BK40" s="45">
        <f>BK39*ttokg/Drivers!BL4</f>
        <v>76.124920400396533</v>
      </c>
    </row>
    <row r="41" spans="1:63"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0.22148889363587396</v>
      </c>
      <c r="AP41" s="45"/>
      <c r="AQ41" s="45">
        <f>(AQ42-AE42)/AE42</f>
        <v>0.32945998773273349</v>
      </c>
      <c r="AR41" s="45"/>
      <c r="AS41" s="45"/>
      <c r="AT41" s="45"/>
      <c r="AU41" s="45"/>
      <c r="AV41" s="45"/>
      <c r="AW41" s="45"/>
      <c r="AX41" s="45"/>
      <c r="AY41" s="45"/>
      <c r="AZ41" s="45"/>
      <c r="BA41" s="45"/>
      <c r="BB41" s="45"/>
      <c r="BC41" s="45"/>
      <c r="BD41" s="45"/>
      <c r="BE41" s="45"/>
      <c r="BF41" s="45"/>
      <c r="BG41" s="45"/>
      <c r="BH41" s="45"/>
      <c r="BI41" s="45"/>
      <c r="BJ41" s="45"/>
      <c r="BK41" s="45"/>
    </row>
    <row r="42" spans="1:63"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22">
        <f>((Data!$AJ$33*'Intermediate calculations'!Y39)+Data!$AK$33)</f>
        <v>1461929.6645871287</v>
      </c>
      <c r="Z42" s="22">
        <f>((Data!$AJ$33*'Intermediate calculations'!Z39)+Data!$AK$33)</f>
        <v>1500929.0445244408</v>
      </c>
      <c r="AA42" s="22">
        <f>((Data!$AJ$33*'Intermediate calculations'!AA39)+Data!$AK$33)</f>
        <v>1551697.8906253513</v>
      </c>
      <c r="AB42" s="22">
        <f>((Data!$AJ$33*'Intermediate calculations'!AB39)+Data!$AK$33)</f>
        <v>1579699.1994235048</v>
      </c>
      <c r="AC42" s="22">
        <f>((Data!$AJ$33*'Intermediate calculations'!AC39)+Data!$AK$33)</f>
        <v>1592273.251350228</v>
      </c>
      <c r="AD42" s="22">
        <f>((Data!$AJ$33*'Intermediate calculations'!AD39)+Data!$AK$33)</f>
        <v>1589023.6047287595</v>
      </c>
      <c r="AE42" s="22">
        <f>((Data!$AJ$33*'Intermediate calculations'!AE39)+Data!$AK$33)</f>
        <v>1597085.0065537822</v>
      </c>
      <c r="AF42" s="22">
        <f>((Data!$AJ$33*'Intermediate calculations'!AF39)+Data!$AK$33)</f>
        <v>1606556.3837569274</v>
      </c>
      <c r="AG42" s="22">
        <f>((Data!$AJ$33*'Intermediate calculations'!AG39)+Data!$AK$33)</f>
        <v>1367687.8468194336</v>
      </c>
      <c r="AH42" s="22">
        <f>((Data!$AJ$33*'Intermediate calculations'!AH39)+Data!$AK$33)</f>
        <v>1435499.1995685704</v>
      </c>
      <c r="AI42" s="22">
        <f>((Data!$AJ$33*'Intermediate calculations'!AI39)+Data!$AK$33)</f>
        <v>1536922.2597869604</v>
      </c>
      <c r="AJ42" s="22">
        <f>((Data!$AJ$33*'Intermediate calculations'!AJ39)+Data!$AK$33)</f>
        <v>1585028.0522340569</v>
      </c>
      <c r="AK42" s="22">
        <f>((Data!$AJ$33*'Intermediate calculations'!AK39)+Data!$AK$33)</f>
        <v>1640246.3917129165</v>
      </c>
      <c r="AL42" s="22">
        <f>((Data!$AJ$33*'Intermediate calculations'!AL39)+Data!$AK$33)</f>
        <v>1704870.2182687717</v>
      </c>
      <c r="AM42" s="22">
        <f>((Data!$AJ$33*'Intermediate calculations'!AM39)+Data!$AK$33)</f>
        <v>1777648.4436240746</v>
      </c>
      <c r="AN42" s="22">
        <f>((Data!$AJ$33*'Intermediate calculations'!AN39)+Data!$AK$33)</f>
        <v>1858206.9909062395</v>
      </c>
      <c r="AO42" s="22">
        <f>((Data!$AJ$33*'Intermediate calculations'!AO39)+Data!$AK$33)</f>
        <v>1940974.6849014207</v>
      </c>
      <c r="AP42" s="22">
        <f>((Data!$AJ$33*'Intermediate calculations'!AP39)+Data!$AK$33)</f>
        <v>2031186.9499699047</v>
      </c>
      <c r="AQ42" s="22">
        <f>((Data!$AJ$33*'Intermediate calculations'!AQ39)+Data!$AK$33)</f>
        <v>2123260.6132211238</v>
      </c>
      <c r="AR42" s="22">
        <f>((Data!$AJ$33*'Intermediate calculations'!AR39)+Data!$AK$33)</f>
        <v>2229186.9025900755</v>
      </c>
      <c r="AS42" s="22">
        <f>((Data!$AJ$33*'Intermediate calculations'!AS39)+Data!$AK$33)</f>
        <v>2333482.8716685404</v>
      </c>
      <c r="AT42" s="22">
        <f>((Data!$AJ$33*'Intermediate calculations'!AT39)+Data!$AK$33)</f>
        <v>2443666.0847022771</v>
      </c>
      <c r="AU42" s="22">
        <f>((Data!$AJ$33*'Intermediate calculations'!AU39)+Data!$AK$33)</f>
        <v>2568876.8708687639</v>
      </c>
      <c r="AV42" s="22">
        <f>((Data!$AJ$33*'Intermediate calculations'!AV39)+Data!$AK$33)</f>
        <v>2687669.2467892426</v>
      </c>
      <c r="AW42" s="22">
        <f>((Data!$AJ$33*'Intermediate calculations'!AW39)+Data!$AK$33)</f>
        <v>2815463.6514367084</v>
      </c>
      <c r="AX42" s="22">
        <f>((Data!$AJ$33*'Intermediate calculations'!AX39)+Data!$AK$33)</f>
        <v>2952286.7901237975</v>
      </c>
      <c r="AY42" s="22">
        <f>((Data!$AJ$33*'Intermediate calculations'!AY39)+Data!$AK$33)</f>
        <v>3080553.2051622705</v>
      </c>
      <c r="AZ42" s="22">
        <f>((Data!$AJ$33*'Intermediate calculations'!AZ39)+Data!$AK$33)</f>
        <v>3208209.254137394</v>
      </c>
      <c r="BA42" s="22">
        <f>((Data!$AJ$33*'Intermediate calculations'!BA39)+Data!$AK$33)</f>
        <v>3335607.0685618292</v>
      </c>
      <c r="BB42" s="22">
        <f>((Data!$AJ$33*'Intermediate calculations'!BB39)+Data!$AK$33)</f>
        <v>3476151.498068688</v>
      </c>
      <c r="BC42" s="22">
        <f>((Data!$AJ$33*'Intermediate calculations'!BC39)+Data!$AK$33)</f>
        <v>3611367.6907092691</v>
      </c>
      <c r="BD42" s="22">
        <f>((Data!$AJ$33*'Intermediate calculations'!BD39)+Data!$AK$33)</f>
        <v>3751904.3108681696</v>
      </c>
      <c r="BE42" s="22">
        <f>((Data!$AJ$33*'Intermediate calculations'!BE39)+Data!$AK$33)</f>
        <v>3898441.5153154782</v>
      </c>
      <c r="BF42" s="22">
        <f>((Data!$AJ$33*'Intermediate calculations'!BF39)+Data!$AK$33)</f>
        <v>4052050.5323936241</v>
      </c>
      <c r="BG42" s="22">
        <f>((Data!$AJ$33*'Intermediate calculations'!BG39)+Data!$AK$33)</f>
        <v>4214319.6207305649</v>
      </c>
      <c r="BH42" s="22">
        <f>((Data!$AJ$33*'Intermediate calculations'!BH39)+Data!$AK$33)</f>
        <v>4258726.2781532332</v>
      </c>
      <c r="BI42" s="22">
        <f>((Data!$AJ$33*'Intermediate calculations'!BI39)+Data!$AK$33)</f>
        <v>4292132.6981501793</v>
      </c>
      <c r="BJ42" s="22">
        <f>((Data!$AJ$33*'Intermediate calculations'!BJ39)+Data!$AK$33)</f>
        <v>4309581.1651536087</v>
      </c>
      <c r="BK42" s="22">
        <f>((Data!$AJ$33*'Intermediate calculations'!BK39)+Data!$AK$33)</f>
        <v>4322236.3188622072</v>
      </c>
    </row>
    <row r="43" spans="1:63"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((Data!$AJ$35*LN('Intermediate calculations'!Y2))+Data!$AK$35)</f>
        <v>67.008604056011919</v>
      </c>
      <c r="Z43" s="22">
        <f>((Data!$AJ$35*LN('Intermediate calculations'!Z2))+Data!$AK$35)</f>
        <v>66.126942573569849</v>
      </c>
      <c r="AA43" s="22">
        <f>((Data!$AJ$35*LN('Intermediate calculations'!AA2))+Data!$AK$35)</f>
        <v>65.298748914944895</v>
      </c>
      <c r="AB43" s="22">
        <f>((Data!$AJ$35*LN('Intermediate calculations'!AB2))+Data!$AK$35)</f>
        <v>64.517907163508653</v>
      </c>
      <c r="AC43" s="22">
        <f>((Data!$AJ$35*LN('Intermediate calculations'!AC2))+Data!$AK$35)</f>
        <v>63.779294229458571</v>
      </c>
      <c r="AD43" s="22">
        <f>((Data!$AJ$35*LN('Intermediate calculations'!AD2))+Data!$AK$35)</f>
        <v>63.078575942582013</v>
      </c>
      <c r="AE43" s="22">
        <f>((Data!$AJ$35*LN('Intermediate calculations'!AE2))+Data!$AK$35)</f>
        <v>62.412052946517086</v>
      </c>
      <c r="AF43" s="22">
        <f>((Data!$AJ$35*LN('Intermediate calculations'!AF2))+Data!$AK$35)</f>
        <v>61.776542475794329</v>
      </c>
      <c r="AG43" s="22">
        <f>((Data!$AJ$35*LN('Intermediate calculations'!AG2))+Data!$AK$35)</f>
        <v>61.169286434060382</v>
      </c>
      <c r="AH43" s="22">
        <f>((Data!$AJ$35*LN('Intermediate calculations'!AH2))+Data!$AK$35)</f>
        <v>60.587879050078747</v>
      </c>
      <c r="AI43" s="22">
        <f>((Data!$AJ$35*LN('Intermediate calculations'!AI2))+Data!$AK$35)</f>
        <v>60.030209311594177</v>
      </c>
      <c r="AJ43" s="22">
        <f>((Data!$AJ$35*LN('Intermediate calculations'!AJ2))+Data!$AK$35)</f>
        <v>59.494414696352727</v>
      </c>
      <c r="AK43" s="22">
        <f>((Data!$AJ$35*LN('Intermediate calculations'!AK2))+Data!$AK$35)</f>
        <v>58.978843640017558</v>
      </c>
      <c r="AL43" s="22">
        <f>((Data!$AJ$35*LN('Intermediate calculations'!AL2))+Data!$AK$35)</f>
        <v>58.482024833087181</v>
      </c>
      <c r="AM43" s="22">
        <f>((Data!$AJ$35*LN('Intermediate calculations'!AM2))+Data!$AK$35)</f>
        <v>58.002641907970194</v>
      </c>
      <c r="AN43" s="22">
        <f>((Data!$AJ$35*LN('Intermediate calculations'!AN2))+Data!$AK$35)</f>
        <v>57.539512419090912</v>
      </c>
      <c r="AO43" s="22">
        <f>((Data!$AJ$35*LN('Intermediate calculations'!AO2))+Data!$AK$35)</f>
        <v>57.091570270904612</v>
      </c>
      <c r="AP43" s="22">
        <f>((Data!$AJ$35*LN('Intermediate calculations'!AP2))+Data!$AK$35)</f>
        <v>56.657850936648842</v>
      </c>
      <c r="AQ43" s="22">
        <f>((Data!$AJ$35*LN('Intermediate calculations'!AQ2))+Data!$AK$35)</f>
        <v>56.237478952303242</v>
      </c>
      <c r="AR43" s="22">
        <f>((Data!$AJ$35*LN('Intermediate calculations'!AR2))+Data!$AK$35)</f>
        <v>55.829657278023902</v>
      </c>
      <c r="AS43" s="22">
        <f>((Data!$AJ$35*LN('Intermediate calculations'!AS2))+Data!$AK$35)</f>
        <v>55.433658202099345</v>
      </c>
      <c r="AT43" s="22">
        <f>((Data!$AJ$35*LN('Intermediate calculations'!AT2))+Data!$AK$35)</f>
        <v>55.048815526587653</v>
      </c>
      <c r="AU43" s="22">
        <f>((Data!$AJ$35*LN('Intermediate calculations'!AU2))+Data!$AK$35)</f>
        <v>54.674517823846799</v>
      </c>
      <c r="AV43" s="22">
        <f>((Data!$AJ$35*LN('Intermediate calculations'!AV2))+Data!$AK$35)</f>
        <v>54.310202592537571</v>
      </c>
      <c r="AW43" s="22">
        <f>((Data!$AJ$35*LN('Intermediate calculations'!AW2))+Data!$AK$35)</f>
        <v>53.955351172861633</v>
      </c>
      <c r="AX43" s="22">
        <f>((Data!$AJ$35*LN('Intermediate calculations'!AX2))+Data!$AK$35)</f>
        <v>53.609484305661013</v>
      </c>
      <c r="AY43" s="22">
        <f>((Data!$AJ$35*LN('Intermediate calculations'!AY2))+Data!$AK$35)</f>
        <v>53.272158239955402</v>
      </c>
      <c r="AZ43" s="22">
        <f>((Data!$AJ$35*LN('Intermediate calculations'!AZ2))+Data!$AK$35)</f>
        <v>52.942961309596079</v>
      </c>
      <c r="BA43" s="22">
        <f>((Data!$AJ$35*LN('Intermediate calculations'!BA2))+Data!$AK$35)</f>
        <v>52.621510912785027</v>
      </c>
      <c r="BB43" s="22">
        <f>((Data!$AJ$35*LN('Intermediate calculations'!BB2))+Data!$AK$35)</f>
        <v>52.307450838873336</v>
      </c>
      <c r="BC43" s="22">
        <f>((Data!$AJ$35*LN('Intermediate calculations'!BC2))+Data!$AK$35)</f>
        <v>52.000448895599824</v>
      </c>
      <c r="BD43" s="22">
        <f>((Data!$AJ$35*LN('Intermediate calculations'!BD2))+Data!$AK$35)</f>
        <v>51.700194797139382</v>
      </c>
      <c r="BE43" s="22">
        <f>((Data!$AJ$35*LN('Intermediate calculations'!BE2))+Data!$AK$35)</f>
        <v>51.406398279298507</v>
      </c>
      <c r="BF43" s="22">
        <f>((Data!$AJ$35*LN('Intermediate calculations'!BF2))+Data!$AK$35)</f>
        <v>51.118787413157747</v>
      </c>
      <c r="BG43" s="22">
        <f>((Data!$AJ$35*LN('Intermediate calculations'!BG2))+Data!$AK$35)</f>
        <v>50.837107092604512</v>
      </c>
      <c r="BH43" s="22">
        <f>((Data!$AJ$35*LN('Intermediate calculations'!BH2))+Data!$AK$35)</f>
        <v>50.561117674673177</v>
      </c>
      <c r="BI43" s="22">
        <f>((Data!$AJ$35*LN('Intermediate calculations'!BI2))+Data!$AK$35)</f>
        <v>50.290593754532807</v>
      </c>
      <c r="BJ43" s="22">
        <f>((Data!$AJ$35*LN('Intermediate calculations'!BJ2))+Data!$AK$35)</f>
        <v>50.02532305943172</v>
      </c>
      <c r="BK43" s="22">
        <f>((Data!$AJ$35*LN('Intermediate calculations'!BK2))+Data!$AK$35)</f>
        <v>49.765105448000718</v>
      </c>
    </row>
    <row r="44" spans="1:63"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((Data!$AJ$40*'Intermediate calculations'!Y45)+Data!$AK$40)</f>
        <v>8837588.9818800241</v>
      </c>
      <c r="Z44" s="22">
        <f>((Data!$AJ$40*'Intermediate calculations'!Z45)+Data!$AK$40)</f>
        <v>9069608.5036172904</v>
      </c>
      <c r="AA44" s="22">
        <f>((Data!$AJ$40*'Intermediate calculations'!AA45)+Data!$AK$40)</f>
        <v>9310273.6227034926</v>
      </c>
      <c r="AB44" s="22">
        <f>((Data!$AJ$40*'Intermediate calculations'!AB45)+Data!$AK$40)</f>
        <v>9559918.203922689</v>
      </c>
      <c r="AC44" s="22">
        <f>((Data!$AJ$40*'Intermediate calculations'!AC45)+Data!$AK$40)</f>
        <v>9818892.7438438833</v>
      </c>
      <c r="AD44" s="22">
        <f>((Data!$AJ$40*'Intermediate calculations'!AD45)+Data!$AK$40)</f>
        <v>10087565.193359558</v>
      </c>
      <c r="AE44" s="22">
        <f>((Data!$AJ$40*'Intermediate calculations'!AE45)+Data!$AK$40)</f>
        <v>10359825.374047417</v>
      </c>
      <c r="AF44" s="22">
        <f>((Data!$AJ$40*'Intermediate calculations'!AF45)+Data!$AK$40)</f>
        <v>10636488.44826651</v>
      </c>
      <c r="AG44" s="22">
        <f>((Data!$AJ$40*'Intermediate calculations'!AG45)+Data!$AK$40)</f>
        <v>10917625.618024401</v>
      </c>
      <c r="AH44" s="22">
        <f>((Data!$AJ$40*'Intermediate calculations'!AH45)+Data!$AK$40)</f>
        <v>11121031.726210065</v>
      </c>
      <c r="AI44" s="22">
        <f>((Data!$AJ$40*'Intermediate calculations'!AI45)+Data!$AK$40)</f>
        <v>11326779.887281906</v>
      </c>
      <c r="AJ44" s="22">
        <f>((Data!$AJ$40*'Intermediate calculations'!AJ45)+Data!$AK$40)</f>
        <v>11534897.06803935</v>
      </c>
      <c r="AK44" s="22">
        <f>((Data!$AJ$40*'Intermediate calculations'!AK45)+Data!$AK$40)</f>
        <v>11745410.545782186</v>
      </c>
      <c r="AL44" s="22">
        <f>((Data!$AJ$40*'Intermediate calculations'!AL45)+Data!$AK$40)</f>
        <v>11958347.911885723</v>
      </c>
      <c r="AM44" s="22">
        <f>((Data!$AJ$40*'Intermediate calculations'!AM45)+Data!$AK$40)</f>
        <v>12142539.899210595</v>
      </c>
      <c r="AN44" s="22">
        <f>((Data!$AJ$40*'Intermediate calculations'!AN45)+Data!$AK$40)</f>
        <v>12328545.523359008</v>
      </c>
      <c r="AO44" s="22">
        <f>((Data!$AJ$40*'Intermediate calculations'!AO45)+Data!$AK$40)</f>
        <v>12516382.642211623</v>
      </c>
      <c r="AP44" s="22">
        <f>((Data!$AJ$40*'Intermediate calculations'!AP45)+Data!$AK$40)</f>
        <v>12706069.28948579</v>
      </c>
      <c r="AQ44" s="22">
        <f>((Data!$AJ$40*'Intermediate calculations'!AQ45)+Data!$AK$40)</f>
        <v>12897623.676466923</v>
      </c>
      <c r="AR44" s="22">
        <f>((Data!$AJ$40*'Intermediate calculations'!AR45)+Data!$AK$40)</f>
        <v>13065285.550986849</v>
      </c>
      <c r="AS44" s="22">
        <f>((Data!$AJ$40*'Intermediate calculations'!AS45)+Data!$AK$40)</f>
        <v>13234378.29749348</v>
      </c>
      <c r="AT44" s="22">
        <f>((Data!$AJ$40*'Intermediate calculations'!AT45)+Data!$AK$40)</f>
        <v>13404914.127437096</v>
      </c>
      <c r="AU44" s="22">
        <f>((Data!$AJ$40*'Intermediate calculations'!AU45)+Data!$AK$40)</f>
        <v>13576905.356483787</v>
      </c>
      <c r="AV44" s="22">
        <f>((Data!$AJ$40*'Intermediate calculations'!AV45)+Data!$AK$40)</f>
        <v>13750364.405404896</v>
      </c>
      <c r="AW44" s="22">
        <f>((Data!$AJ$40*'Intermediate calculations'!AW45)+Data!$AK$40)</f>
        <v>13900436.811271213</v>
      </c>
      <c r="AX44" s="22">
        <f>((Data!$AJ$40*'Intermediate calculations'!AX45)+Data!$AK$40)</f>
        <v>14051607.920698311</v>
      </c>
      <c r="AY44" s="22">
        <f>((Data!$AJ$40*'Intermediate calculations'!AY45)+Data!$AK$40)</f>
        <v>14203885.777466834</v>
      </c>
      <c r="AZ44" s="22">
        <f>((Data!$AJ$40*'Intermediate calculations'!AZ45)+Data!$AK$40)</f>
        <v>14357278.484247208</v>
      </c>
      <c r="BA44" s="22">
        <f>((Data!$AJ$40*'Intermediate calculations'!BA45)+Data!$AK$40)</f>
        <v>14511794.203030787</v>
      </c>
      <c r="BB44" s="22">
        <f>((Data!$AJ$40*'Intermediate calculations'!BB45)+Data!$AK$40)</f>
        <v>14643837.857585903</v>
      </c>
      <c r="BC44" s="22">
        <f>((Data!$AJ$40*'Intermediate calculations'!BC45)+Data!$AK$40)</f>
        <v>14776701.62597286</v>
      </c>
      <c r="BD44" s="22">
        <f>((Data!$AJ$40*'Intermediate calculations'!BD45)+Data!$AK$40)</f>
        <v>14910390.601860862</v>
      </c>
      <c r="BE44" s="22">
        <f>((Data!$AJ$40*'Intermediate calculations'!BE45)+Data!$AK$40)</f>
        <v>15044909.910555549</v>
      </c>
      <c r="BF44" s="22">
        <f>((Data!$AJ$40*'Intermediate calculations'!BF45)+Data!$AK$40)</f>
        <v>15180264.709195454</v>
      </c>
      <c r="BG44" s="22">
        <f>((Data!$AJ$40*'Intermediate calculations'!BG45)+Data!$AK$40)</f>
        <v>15292205.461046573</v>
      </c>
      <c r="BH44" s="22">
        <f>((Data!$AJ$40*'Intermediate calculations'!BH45)+Data!$AK$40)</f>
        <v>15404717.65252322</v>
      </c>
      <c r="BI44" s="22">
        <f>((Data!$AJ$40*'Intermediate calculations'!BI45)+Data!$AK$40)</f>
        <v>15517804.200733222</v>
      </c>
      <c r="BJ44" s="22">
        <f>((Data!$AJ$40*'Intermediate calculations'!BJ45)+Data!$AK$40)</f>
        <v>15631468.037675805</v>
      </c>
      <c r="BK44" s="22">
        <f>((Data!$AJ$40*'Intermediate calculations'!BK45)+Data!$AK$40)</f>
        <v>15745712.110317566</v>
      </c>
    </row>
    <row r="45" spans="1:63"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3"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((Data!$AJ$41*'Intermediate calculations'!Y44)+Data!$AK$41)</f>
        <v>11669565.858699916</v>
      </c>
      <c r="Z46" s="22">
        <f>((Data!$AJ$41*'Intermediate calculations'!Z44)+Data!$AK$41)</f>
        <v>11888967.550540989</v>
      </c>
      <c r="AA46" s="22">
        <f>((Data!$AJ$41*'Intermediate calculations'!AA44)+Data!$AK$41)</f>
        <v>12116544.669480311</v>
      </c>
      <c r="AB46" s="22">
        <f>((Data!$AJ$41*'Intermediate calculations'!AB44)+Data!$AK$41)</f>
        <v>12352612.92385966</v>
      </c>
      <c r="AC46" s="22">
        <f>((Data!$AJ$41*'Intermediate calculations'!AC44)+Data!$AK$41)</f>
        <v>12597503.749325693</v>
      </c>
      <c r="AD46" s="22">
        <f>((Data!$AJ$41*'Intermediate calculations'!AD44)+Data!$AK$41)</f>
        <v>12851565.086636676</v>
      </c>
      <c r="AE46" s="22">
        <f>((Data!$AJ$41*'Intermediate calculations'!AE44)+Data!$AK$41)</f>
        <v>13109019.044892458</v>
      </c>
      <c r="AF46" s="22">
        <f>((Data!$AJ$41*'Intermediate calculations'!AF44)+Data!$AK$41)</f>
        <v>13370636.455785826</v>
      </c>
      <c r="AG46" s="22">
        <f>((Data!$AJ$41*'Intermediate calculations'!AG44)+Data!$AK$41)</f>
        <v>13636484.649172502</v>
      </c>
      <c r="AH46" s="22">
        <f>((Data!$AJ$41*'Intermediate calculations'!AH44)+Data!$AK$41)</f>
        <v>13828828.99990898</v>
      </c>
      <c r="AI46" s="22">
        <f>((Data!$AJ$41*'Intermediate calculations'!AI44)+Data!$AK$41)</f>
        <v>14023388.036555341</v>
      </c>
      <c r="AJ46" s="22">
        <f>((Data!$AJ$41*'Intermediate calculations'!AJ44)+Data!$AK$41)</f>
        <v>14220187.259385752</v>
      </c>
      <c r="AK46" s="22">
        <f>((Data!$AJ$41*'Intermediate calculations'!AK44)+Data!$AK$41)</f>
        <v>14419252.462288925</v>
      </c>
      <c r="AL46" s="22">
        <f>((Data!$AJ$41*'Intermediate calculations'!AL44)+Data!$AK$41)</f>
        <v>14620609.736148844</v>
      </c>
      <c r="AM46" s="22">
        <f>((Data!$AJ$41*'Intermediate calculations'!AM44)+Data!$AK$41)</f>
        <v>14794784.880292136</v>
      </c>
      <c r="AN46" s="22">
        <f>((Data!$AJ$41*'Intermediate calculations'!AN44)+Data!$AK$41)</f>
        <v>14970675.030933551</v>
      </c>
      <c r="AO46" s="22">
        <f>((Data!$AJ$41*'Intermediate calculations'!AO44)+Data!$AK$41)</f>
        <v>15148297.074795378</v>
      </c>
      <c r="AP46" s="22">
        <f>((Data!$AJ$41*'Intermediate calculations'!AP44)+Data!$AK$41)</f>
        <v>15327668.064874135</v>
      </c>
      <c r="AQ46" s="22">
        <f>((Data!$AJ$41*'Intermediate calculations'!AQ44)+Data!$AK$41)</f>
        <v>15508805.222077791</v>
      </c>
      <c r="AR46" s="22">
        <f>((Data!$AJ$41*'Intermediate calculations'!AR44)+Data!$AK$41)</f>
        <v>15667349.204288788</v>
      </c>
      <c r="AS46" s="22">
        <f>((Data!$AJ$41*'Intermediate calculations'!AS44)+Data!$AK$41)</f>
        <v>15827246.243916424</v>
      </c>
      <c r="AT46" s="22">
        <f>((Data!$AJ$41*'Intermediate calculations'!AT44)+Data!$AK$41)</f>
        <v>15988507.888320293</v>
      </c>
      <c r="AU46" s="22">
        <f>((Data!$AJ$41*'Intermediate calculations'!AU44)+Data!$AK$41)</f>
        <v>16151145.783408277</v>
      </c>
      <c r="AV46" s="22">
        <f>((Data!$AJ$41*'Intermediate calculations'!AV44)+Data!$AK$41)</f>
        <v>16315171.674477605</v>
      </c>
      <c r="AW46" s="22">
        <f>((Data!$AJ$41*'Intermediate calculations'!AW44)+Data!$AK$41)</f>
        <v>16457082.749456095</v>
      </c>
      <c r="AX46" s="22">
        <f>((Data!$AJ$41*'Intermediate calculations'!AX44)+Data!$AK$41)</f>
        <v>16600032.777615169</v>
      </c>
      <c r="AY46" s="22">
        <f>((Data!$AJ$41*'Intermediate calculations'!AY44)+Data!$AK$41)</f>
        <v>16744029.365293594</v>
      </c>
      <c r="AZ46" s="22">
        <f>((Data!$AJ$41*'Intermediate calculations'!AZ44)+Data!$AK$41)</f>
        <v>16889080.174517334</v>
      </c>
      <c r="BA46" s="22">
        <f>((Data!$AJ$41*'Intermediate calculations'!BA44)+Data!$AK$41)</f>
        <v>17035192.923407257</v>
      </c>
      <c r="BB46" s="22">
        <f>((Data!$AJ$41*'Intermediate calculations'!BB44)+Data!$AK$41)</f>
        <v>17160055.697838265</v>
      </c>
      <c r="BC46" s="22">
        <f>((Data!$AJ$41*'Intermediate calculations'!BC44)+Data!$AK$41)</f>
        <v>17285693.986160778</v>
      </c>
      <c r="BD46" s="22">
        <f>((Data!$AJ$41*'Intermediate calculations'!BD44)+Data!$AK$41)</f>
        <v>17412112.605036922</v>
      </c>
      <c r="BE46" s="22">
        <f>((Data!$AJ$41*'Intermediate calculations'!BE44)+Data!$AK$41)</f>
        <v>17539316.401044771</v>
      </c>
      <c r="BF46" s="22">
        <f>((Data!$AJ$41*'Intermediate calculations'!BF44)+Data!$AK$41)</f>
        <v>17667310.250864148</v>
      </c>
      <c r="BG46" s="22">
        <f>((Data!$AJ$41*'Intermediate calculations'!BG44)+Data!$AK$41)</f>
        <v>17773163.371145587</v>
      </c>
      <c r="BH46" s="22">
        <f>((Data!$AJ$41*'Intermediate calculations'!BH44)+Data!$AK$41)</f>
        <v>17879556.854667529</v>
      </c>
      <c r="BI46" s="22">
        <f>((Data!$AJ$41*'Intermediate calculations'!BI44)+Data!$AK$41)</f>
        <v>17986493.459897831</v>
      </c>
      <c r="BJ46" s="22">
        <f>((Data!$AJ$41*'Intermediate calculations'!BJ44)+Data!$AK$41)</f>
        <v>18093975.959385917</v>
      </c>
      <c r="BK46" s="22">
        <f>((Data!$AJ$41*'Intermediate calculations'!BK44)+Data!$AK$41)</f>
        <v>18202007.139834601</v>
      </c>
    </row>
    <row r="47" spans="1:63"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170728.40022483494</v>
      </c>
      <c r="Z47" s="22">
        <f>((Data!$AJ$12*((Drivers!AA5*1000000)/Drivers!AA4))+Data!$AK$12)*Drivers!AA4</f>
        <v>170863.40739787836</v>
      </c>
      <c r="AA47" s="22">
        <f>((Data!$AJ$12*((Drivers!AB5*1000000)/Drivers!AB4))+Data!$AK$12)*Drivers!AB4</f>
        <v>169755.4693978721</v>
      </c>
      <c r="AB47" s="22">
        <f>((Data!$AJ$12*((Drivers!AC5*1000000)/Drivers!AC4))+Data!$AK$12)*Drivers!AC4</f>
        <v>171589.57169404562</v>
      </c>
      <c r="AC47" s="22">
        <f>((Data!$AJ$12*((Drivers!AD5*1000000)/Drivers!AD4))+Data!$AK$12)*Drivers!AD4</f>
        <v>175485.07841312452</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225634.24755966829</v>
      </c>
      <c r="AH47" s="22">
        <f>((Data!$AJ$12*((Drivers!AI5*1000000)/Drivers!AI4))+Data!$AK$12)*Drivers!AI4</f>
        <v>221685.35217700154</v>
      </c>
      <c r="AI47" s="22">
        <f>((Data!$AJ$12*((Drivers!AJ5*1000000)/Drivers!AJ4))+Data!$AK$12)*Drivers!AJ4</f>
        <v>213719.37448742436</v>
      </c>
      <c r="AJ47" s="22">
        <f>((Data!$AJ$12*((Drivers!AK5*1000000)/Drivers!AK4))+Data!$AK$12)*Drivers!AK4</f>
        <v>212252.83062240941</v>
      </c>
      <c r="AK47" s="22">
        <f>((Data!$AJ$12*((Drivers!AL5*1000000)/Drivers!AL4))+Data!$AK$12)*Drivers!AL4</f>
        <v>209975.9893729176</v>
      </c>
      <c r="AL47" s="22">
        <f>((Data!$AJ$12*((Drivers!AM5*1000000)/Drivers!AM4))+Data!$AK$12)*Drivers!AM4</f>
        <v>206612.04681101374</v>
      </c>
      <c r="AM47" s="22">
        <f>((Data!$AJ$12*((Drivers!AN5*1000000)/Drivers!AN4))+Data!$AK$12)*Drivers!AN4</f>
        <v>201660.42487653662</v>
      </c>
      <c r="AN47" s="22">
        <f>((Data!$AJ$12*((Drivers!AO5*1000000)/Drivers!AO4))+Data!$AK$12)*Drivers!AO4</f>
        <v>195805.53694950219</v>
      </c>
      <c r="AO47" s="22">
        <f>((Data!$AJ$12*((Drivers!AP5*1000000)/Drivers!AP4))+Data!$AK$12)*Drivers!AP4</f>
        <v>189721.71147182185</v>
      </c>
      <c r="AP47" s="22">
        <f>((Data!$AJ$12*((Drivers!AQ5*1000000)/Drivers!AQ4))+Data!$AK$12)*Drivers!AQ4</f>
        <v>182775.98707190892</v>
      </c>
      <c r="AQ47" s="22">
        <f>((Data!$AJ$12*((Drivers!AR5*1000000)/Drivers!AR4))+Data!$AK$12)*Drivers!AR4</f>
        <v>175644.15096355637</v>
      </c>
      <c r="AR47" s="22">
        <f>((Data!$AJ$12*((Drivers!AS5*1000000)/Drivers!AS4))+Data!$AK$12)*Drivers!AS4</f>
        <v>166336.81151997682</v>
      </c>
      <c r="AS47" s="22">
        <f>((Data!$AJ$12*((Drivers!AT5*1000000)/Drivers!AT4))+Data!$AK$12)*Drivers!AT4</f>
        <v>157256.62237871179</v>
      </c>
      <c r="AT47" s="22">
        <f>((Data!$AJ$12*((Drivers!AU5*1000000)/Drivers!AU4))+Data!$AK$12)*Drivers!AU4</f>
        <v>147494.42588777869</v>
      </c>
      <c r="AU47" s="22">
        <f>((Data!$AJ$12*((Drivers!AV5*1000000)/Drivers!AV4))+Data!$AK$12)*Drivers!AV4</f>
        <v>135944.75782688681</v>
      </c>
      <c r="AV47" s="22">
        <f>((Data!$AJ$12*((Drivers!AW5*1000000)/Drivers!AW4))+Data!$AK$12)*Drivers!AW4</f>
        <v>125202.23657877218</v>
      </c>
      <c r="AW47" s="22">
        <f>((Data!$AJ$12*((Drivers!AX5*1000000)/Drivers!AX4))+Data!$AK$12)*Drivers!AX4</f>
        <v>112881.5779235037</v>
      </c>
      <c r="AX47" s="22">
        <f>((Data!$AJ$12*((Drivers!AY5*1000000)/Drivers!AY4))+Data!$AK$12)*Drivers!AY4</f>
        <v>99491.677381550166</v>
      </c>
      <c r="AY47" s="22">
        <f>((Data!$AJ$12*((Drivers!AZ5*1000000)/Drivers!AZ4))+Data!$AK$12)*Drivers!AZ4</f>
        <v>87160.04715761001</v>
      </c>
      <c r="AZ47" s="22">
        <f>((Data!$AJ$12*((Drivers!BA5*1000000)/Drivers!BA4))+Data!$AK$12)*Drivers!BA4</f>
        <v>74925.571772275784</v>
      </c>
      <c r="BA47" s="22">
        <f>((Data!$AJ$12*((Drivers!BB5*1000000)/Drivers!BB4))+Data!$AK$12)*Drivers!BB4</f>
        <v>62745.823965840085</v>
      </c>
      <c r="BB47" s="22">
        <f>((Data!$AJ$12*((Drivers!BC5*1000000)/Drivers!BC4))+Data!$AK$12)*Drivers!BC4</f>
        <v>48505.689779511762</v>
      </c>
      <c r="BC47" s="22">
        <f>((Data!$AJ$12*((Drivers!BD5*1000000)/Drivers!BD4))+Data!$AK$12)*Drivers!BD4</f>
        <v>34927.275030369201</v>
      </c>
      <c r="BD47" s="22">
        <f>((Data!$AJ$12*((Drivers!BE5*1000000)/Drivers!BE4))+Data!$AK$12)*Drivers!BE4</f>
        <v>20722.498464025204</v>
      </c>
      <c r="BE47" s="22">
        <f>((Data!$AJ$12*((Drivers!BF5*1000000)/Drivers!BF4))+Data!$AK$12)*Drivers!BF4</f>
        <v>5809.1875102270824</v>
      </c>
      <c r="BF47" s="22">
        <f>((Data!$AJ$12*((Drivers!BG5*1000000)/Drivers!BG4))+Data!$AK$12)*Drivers!BG4</f>
        <v>-9942.1383562487754</v>
      </c>
      <c r="BG47" s="22">
        <f>((Data!$AJ$12*((Drivers!BH5*1000000)/Drivers!BH4))+Data!$AK$12)*Drivers!BH4</f>
        <v>-27230.807595252154</v>
      </c>
      <c r="BH47" s="22">
        <f>((Data!$AJ$12*((Drivers!BI5*1000000)/Drivers!BI4))+Data!$AK$12)*Drivers!BI4</f>
        <v>-30249.497795713971</v>
      </c>
      <c r="BI47" s="22">
        <f>((Data!$AJ$12*((Drivers!BJ5*1000000)/Drivers!BJ4))+Data!$AK$12)*Drivers!BJ4</f>
        <v>-31925.456766135743</v>
      </c>
      <c r="BJ47" s="22">
        <f>((Data!$AJ$12*((Drivers!BK5*1000000)/Drivers!BK4))+Data!$AK$12)*Drivers!BK4</f>
        <v>-31658.879548559795</v>
      </c>
      <c r="BK47" s="22">
        <f>((Data!$AJ$12*((Drivers!BL5*1000000)/Drivers!BL4))+Data!$AK$12)*Drivers!BL4</f>
        <v>-30800.310744626706</v>
      </c>
    </row>
    <row r="48" spans="1:63"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((Data!$AJ$44*'Intermediate calculations'!Y47)+Data!$AK$44)</f>
        <v>178443.63035186304</v>
      </c>
      <c r="Z49" s="22">
        <f>((Data!$AJ$44*'Intermediate calculations'!Z47)+Data!$AK$44)</f>
        <v>178577.37849101151</v>
      </c>
      <c r="AA49" s="22">
        <f>((Data!$AJ$44*'Intermediate calculations'!AA47)+Data!$AK$44)</f>
        <v>177479.77276790631</v>
      </c>
      <c r="AB49" s="22">
        <f>((Data!$AJ$44*'Intermediate calculations'!AB47)+Data!$AK$44)</f>
        <v>179296.77081024175</v>
      </c>
      <c r="AC49" s="22">
        <f>((Data!$AJ$44*'Intermediate calculations'!AC47)+Data!$AK$44)</f>
        <v>183155.94927440817</v>
      </c>
      <c r="AD49" s="22">
        <f>((Data!$AJ$44*'Intermediate calculations'!AD47)+Data!$AK$44)</f>
        <v>189112.44331875222</v>
      </c>
      <c r="AE49" s="22">
        <f>((Data!$AJ$44*'Intermediate calculations'!AE47)+Data!$AK$44)</f>
        <v>193787.72010440074</v>
      </c>
      <c r="AF49" s="22">
        <f>((Data!$AJ$44*'Intermediate calculations'!AF47)+Data!$AK$44)</f>
        <v>198385.25076266562</v>
      </c>
      <c r="AG49" s="22">
        <f>((Data!$AJ$44*'Intermediate calculations'!AG47)+Data!$AK$44)</f>
        <v>232837.44324239736</v>
      </c>
      <c r="AH49" s="22">
        <f>((Data!$AJ$44*'Intermediate calculations'!AH47)+Data!$AK$44)</f>
        <v>228925.37400031503</v>
      </c>
      <c r="AI49" s="22">
        <f>((Data!$AJ$44*'Intermediate calculations'!AI47)+Data!$AK$44)</f>
        <v>221033.6844814441</v>
      </c>
      <c r="AJ49" s="22">
        <f>((Data!$AJ$44*'Intermediate calculations'!AJ47)+Data!$AK$44)</f>
        <v>219580.81713740848</v>
      </c>
      <c r="AK49" s="22">
        <f>((Data!$AJ$44*'Intermediate calculations'!AK47)+Data!$AK$44)</f>
        <v>217325.20898421752</v>
      </c>
      <c r="AL49" s="22">
        <f>((Data!$AJ$44*'Intermediate calculations'!AL47)+Data!$AK$44)</f>
        <v>213992.63747920372</v>
      </c>
      <c r="AM49" s="22">
        <f>((Data!$AJ$44*'Intermediate calculations'!AM47)+Data!$AK$44)</f>
        <v>209087.19279375687</v>
      </c>
      <c r="AN49" s="22">
        <f>((Data!$AJ$44*'Intermediate calculations'!AN47)+Data!$AK$44)</f>
        <v>203286.90568670197</v>
      </c>
      <c r="AO49" s="22">
        <f>((Data!$AJ$44*'Intermediate calculations'!AO47)+Data!$AK$44)</f>
        <v>197259.81602768006</v>
      </c>
      <c r="AP49" s="22">
        <f>((Data!$AJ$44*'Intermediate calculations'!AP47)+Data!$AK$44)</f>
        <v>190378.86524125267</v>
      </c>
      <c r="AQ49" s="22">
        <f>((Data!$AJ$44*'Intermediate calculations'!AQ47)+Data!$AK$44)</f>
        <v>183313.53836490054</v>
      </c>
      <c r="AR49" s="22">
        <f>((Data!$AJ$44*'Intermediate calculations'!AR47)+Data!$AK$44)</f>
        <v>174092.99620451077</v>
      </c>
      <c r="AS49" s="22">
        <f>((Data!$AJ$44*'Intermediate calculations'!AS47)+Data!$AK$44)</f>
        <v>165097.48601506528</v>
      </c>
      <c r="AT49" s="22">
        <f>((Data!$AJ$44*'Intermediate calculations'!AT47)+Data!$AK$44)</f>
        <v>155426.32865927002</v>
      </c>
      <c r="AU49" s="22">
        <f>((Data!$AJ$44*'Intermediate calculations'!AU47)+Data!$AK$44)</f>
        <v>143984.3691240536</v>
      </c>
      <c r="AV49" s="22">
        <f>((Data!$AJ$44*'Intermediate calculations'!AV47)+Data!$AK$44)</f>
        <v>133342.02920752109</v>
      </c>
      <c r="AW49" s="22">
        <f>((Data!$AJ$44*'Intermediate calculations'!AW47)+Data!$AK$44)</f>
        <v>121136.26909064464</v>
      </c>
      <c r="AX49" s="22">
        <f>((Data!$AJ$44*'Intermediate calculations'!AX47)+Data!$AK$44)</f>
        <v>107871.23849635638</v>
      </c>
      <c r="AY49" s="22">
        <f>((Data!$AJ$44*'Intermediate calculations'!AY47)+Data!$AK$44)</f>
        <v>95654.609128163152</v>
      </c>
      <c r="AZ49" s="22">
        <f>((Data!$AJ$44*'Intermediate calculations'!AZ47)+Data!$AK$44)</f>
        <v>83534.228563495606</v>
      </c>
      <c r="BA49" s="22">
        <f>((Data!$AJ$44*'Intermediate calculations'!BA47)+Data!$AK$44)</f>
        <v>71468.065205756939</v>
      </c>
      <c r="BB49" s="22">
        <f>((Data!$AJ$44*'Intermediate calculations'!BB47)+Data!$AK$44)</f>
        <v>57360.729975255206</v>
      </c>
      <c r="BC49" s="22">
        <f>((Data!$AJ$44*'Intermediate calculations'!BC47)+Data!$AK$44)</f>
        <v>43908.943197230903</v>
      </c>
      <c r="BD49" s="22">
        <f>((Data!$AJ$44*'Intermediate calculations'!BD47)+Data!$AK$44)</f>
        <v>29836.635852811203</v>
      </c>
      <c r="BE49" s="22">
        <f>((Data!$AJ$44*'Intermediate calculations'!BE47)+Data!$AK$44)</f>
        <v>15062.401686960982</v>
      </c>
      <c r="BF49" s="22">
        <f>((Data!$AJ$44*'Intermediate calculations'!BF47)+Data!$AK$44)</f>
        <v>-542.0323314057041</v>
      </c>
      <c r="BG49" s="22">
        <f>((Data!$AJ$44*'Intermediate calculations'!BG47)+Data!$AK$44)</f>
        <v>-17669.472947663715</v>
      </c>
      <c r="BH49" s="22">
        <f>((Data!$AJ$44*'Intermediate calculations'!BH47)+Data!$AK$44)</f>
        <v>-20660.011804792674</v>
      </c>
      <c r="BI49" s="22">
        <f>((Data!$AJ$44*'Intermediate calculations'!BI47)+Data!$AK$44)</f>
        <v>-22320.341315662448</v>
      </c>
      <c r="BJ49" s="22">
        <f>((Data!$AJ$44*'Intermediate calculations'!BJ47)+Data!$AK$44)</f>
        <v>-22056.250112310667</v>
      </c>
      <c r="BK49" s="22">
        <f>((Data!$AJ$44*'Intermediate calculations'!BK47)+Data!$AK$44)</f>
        <v>-21205.68804758212</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2648200.7794607049</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2790651.9542421005</v>
      </c>
      <c r="AG50" s="22">
        <f>AG15*Constants!$H$29*Constants!$H$35</f>
        <v>2723424.4503329271</v>
      </c>
      <c r="AH50" s="22">
        <f>AH15*Constants!$H$29*Constants!$H$35</f>
        <v>2768373.8895891518</v>
      </c>
      <c r="AI50" s="22">
        <f>AI15*Constants!$H$29*Constants!$H$35</f>
        <v>2826609.6678696955</v>
      </c>
      <c r="AJ50" s="22">
        <f>AJ15*Constants!$H$29*Constants!$H$35</f>
        <v>2864325.3445924167</v>
      </c>
      <c r="AK50" s="22">
        <f>AK15*Constants!$H$29*Constants!$H$35</f>
        <v>2905026.112426097</v>
      </c>
      <c r="AL50" s="22">
        <f>AL15*Constants!$H$29*Constants!$H$35</f>
        <v>2949606.274195001</v>
      </c>
      <c r="AM50" s="22">
        <f>AM15*Constants!$H$29*Constants!$H$35</f>
        <v>2994732.7460846659</v>
      </c>
      <c r="AN50" s="22">
        <f>AN15*Constants!$H$29*Constants!$H$35</f>
        <v>3043050.812949778</v>
      </c>
      <c r="AO50" s="22">
        <f>AO15*Constants!$H$29*Constants!$H$35</f>
        <v>3092395.3330169623</v>
      </c>
      <c r="AP50" s="22">
        <f>AP15*Constants!$H$29*Constants!$H$35</f>
        <v>3144804.1437254804</v>
      </c>
      <c r="AQ50" s="22">
        <f>AQ15*Constants!$H$29*Constants!$H$35</f>
        <v>3198107.469372768</v>
      </c>
      <c r="AR50" s="22">
        <f>AR15*Constants!$H$29*Constants!$H$35</f>
        <v>3254616.474966526</v>
      </c>
      <c r="AS50" s="22">
        <f>AS15*Constants!$H$29*Constants!$H$35</f>
        <v>3310622.0802915925</v>
      </c>
      <c r="AT50" s="22">
        <f>AT15*Constants!$H$29*Constants!$H$35</f>
        <v>3369049.1736839605</v>
      </c>
      <c r="AU50" s="22">
        <f>AU15*Constants!$H$29*Constants!$H$35</f>
        <v>3433453.7878114306</v>
      </c>
      <c r="AV50" s="22">
        <f>AV15*Constants!$H$29*Constants!$H$35</f>
        <v>3495496.1651724591</v>
      </c>
      <c r="AW50" s="22">
        <f>AW15*Constants!$H$29*Constants!$H$35</f>
        <v>3558903.8990508621</v>
      </c>
      <c r="AX50" s="22">
        <f>AX15*Constants!$H$29*Constants!$H$35</f>
        <v>3625923.4767291113</v>
      </c>
      <c r="AY50" s="22">
        <f>AY15*Constants!$H$29*Constants!$H$35</f>
        <v>3689716.1982270819</v>
      </c>
      <c r="AZ50" s="22">
        <f>AZ15*Constants!$H$29*Constants!$H$35</f>
        <v>3753373.34535449</v>
      </c>
      <c r="BA50" s="22">
        <f>BA15*Constants!$H$29*Constants!$H$35</f>
        <v>3817032.616454999</v>
      </c>
      <c r="BB50" s="22">
        <f>BB15*Constants!$H$29*Constants!$H$35</f>
        <v>3883752.7028196789</v>
      </c>
      <c r="BC50" s="22">
        <f>BC15*Constants!$H$29*Constants!$H$35</f>
        <v>3948475.3976108339</v>
      </c>
      <c r="BD50" s="22">
        <f>BD15*Constants!$H$29*Constants!$H$35</f>
        <v>4015342.70412012</v>
      </c>
      <c r="BE50" s="22">
        <f>BE15*Constants!$H$29*Constants!$H$35</f>
        <v>4084619.6207867526</v>
      </c>
      <c r="BF50" s="22">
        <f>BF15*Constants!$H$29*Constants!$H$35</f>
        <v>4156723.2467004778</v>
      </c>
      <c r="BG50" s="22">
        <f>BG15*Constants!$H$29*Constants!$H$35</f>
        <v>4230056.7305004224</v>
      </c>
      <c r="BH50" s="22">
        <f>BH15*Constants!$H$29*Constants!$H$35</f>
        <v>4257602.6845682217</v>
      </c>
      <c r="BI50" s="22">
        <f>BI15*Constants!$H$29*Constants!$H$35</f>
        <v>4280922.8173454404</v>
      </c>
      <c r="BJ50" s="22">
        <f>BJ15*Constants!$H$29*Constants!$H$35</f>
        <v>4298089.2141238367</v>
      </c>
      <c r="BK50" s="22">
        <f>BK15*Constants!$H$29*Constants!$H$35</f>
        <v>4313444.3581548324</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3635202.1454829932</v>
      </c>
      <c r="AA51" s="22">
        <f>AA8*Constants!$H$30*Constants!$H$36</f>
        <v>3749346.479849041</v>
      </c>
      <c r="AB51" s="22">
        <f>AB8*Constants!$H$30*Constants!$H$36</f>
        <v>3826616.741798467</v>
      </c>
      <c r="AC51" s="22">
        <f>AC8*Constants!$H$30*Constants!$H$36</f>
        <v>3879298.5642415797</v>
      </c>
      <c r="AD51" s="22">
        <f>AD8*Constants!$H$30*Constants!$H$36</f>
        <v>3906775.7827615775</v>
      </c>
      <c r="AE51" s="22">
        <f>AE8*Constants!$H$30*Constants!$H$36</f>
        <v>3953557.7830203278</v>
      </c>
      <c r="AF51" s="22">
        <f>AF8*Constants!$H$30*Constants!$H$36</f>
        <v>4003230.5614012098</v>
      </c>
      <c r="AG51" s="22">
        <f>AG8*Constants!$H$30*Constants!$H$36</f>
        <v>3639249.6537475213</v>
      </c>
      <c r="AH51" s="22">
        <f>AH8*Constants!$H$30*Constants!$H$36</f>
        <v>3777256.7366571403</v>
      </c>
      <c r="AI51" s="22">
        <f>AI8*Constants!$H$30*Constants!$H$36</f>
        <v>3971610.929103829</v>
      </c>
      <c r="AJ51" s="22">
        <f>AJ8*Constants!$H$30*Constants!$H$36</f>
        <v>4077328.3165975888</v>
      </c>
      <c r="AK51" s="22">
        <f>AK8*Constants!$H$30*Constants!$H$36</f>
        <v>4195202.0000443012</v>
      </c>
      <c r="AL51" s="22">
        <f>AL8*Constants!$H$30*Constants!$H$36</f>
        <v>4329059.7097670212</v>
      </c>
      <c r="AM51" s="22">
        <f>AM8*Constants!$H$30*Constants!$H$36</f>
        <v>4472998.2991828714</v>
      </c>
      <c r="AN51" s="22">
        <f>AN8*Constants!$H$30*Constants!$H$36</f>
        <v>4630135.6107893037</v>
      </c>
      <c r="AO51" s="22">
        <f>AO8*Constants!$H$30*Constants!$H$36</f>
        <v>4791181.7719453527</v>
      </c>
      <c r="AP51" s="22">
        <f>AP8*Constants!$H$30*Constants!$H$36</f>
        <v>4964871.0574051077</v>
      </c>
      <c r="AQ51" s="22">
        <f>AQ8*Constants!$H$30*Constants!$H$36</f>
        <v>5141893.6270985631</v>
      </c>
      <c r="AR51" s="22">
        <f>AR8*Constants!$H$30*Constants!$H$36</f>
        <v>5339095.2463577567</v>
      </c>
      <c r="AS51" s="22">
        <f>AS8*Constants!$H$30*Constants!$H$36</f>
        <v>5533752.8860452455</v>
      </c>
      <c r="AT51" s="22">
        <f>AT8*Constants!$H$30*Constants!$H$36</f>
        <v>5738406.4465638055</v>
      </c>
      <c r="AU51" s="22">
        <f>AU8*Constants!$H$30*Constants!$H$36</f>
        <v>5968302.4204385849</v>
      </c>
      <c r="AV51" s="22">
        <f>AV8*Constants!$H$30*Constants!$H$36</f>
        <v>6187672.9728476675</v>
      </c>
      <c r="AW51" s="22">
        <f>AW8*Constants!$H$30*Constants!$H$36</f>
        <v>6419194.2944196854</v>
      </c>
      <c r="AX51" s="22">
        <f>AX8*Constants!$H$30*Constants!$H$36</f>
        <v>6665909.002399927</v>
      </c>
      <c r="AY51" s="22">
        <f>AY8*Constants!$H$30*Constants!$H$36</f>
        <v>6898487.6248243004</v>
      </c>
      <c r="AZ51" s="22">
        <f>AZ8*Constants!$H$30*Constants!$H$36</f>
        <v>7130184.7354145693</v>
      </c>
      <c r="BA51" s="22">
        <f>BA8*Constants!$H$30*Constants!$H$36</f>
        <v>7361588.647137004</v>
      </c>
      <c r="BB51" s="22">
        <f>BB8*Constants!$H$30*Constants!$H$36</f>
        <v>7612167.9906971687</v>
      </c>
      <c r="BC51" s="22">
        <f>BC8*Constants!$H$30*Constants!$H$36</f>
        <v>7853960.8851261763</v>
      </c>
      <c r="BD51" s="22">
        <f>BD8*Constants!$H$30*Constants!$H$36</f>
        <v>8104728.6628197748</v>
      </c>
      <c r="BE51" s="22">
        <f>BE8*Constants!$H$30*Constants!$H$36</f>
        <v>8365606.372129797</v>
      </c>
      <c r="BF51" s="22">
        <f>BF8*Constants!$H$30*Constants!$H$36</f>
        <v>8638381.3262870442</v>
      </c>
      <c r="BG51" s="22">
        <f>BG8*Constants!$H$30*Constants!$H$36</f>
        <v>8922733.3497101814</v>
      </c>
      <c r="BH51" s="22">
        <f>BH8*Constants!$H$30*Constants!$H$36</f>
        <v>9010574.7921526637</v>
      </c>
      <c r="BI51" s="22">
        <f>BI8*Constants!$H$30*Constants!$H$36</f>
        <v>9080139.4701214787</v>
      </c>
      <c r="BJ51" s="22">
        <f>BJ8*Constants!$H$30*Constants!$H$36</f>
        <v>9123158.8612971995</v>
      </c>
      <c r="BK51" s="22">
        <f>BK8*Constants!$H$30*Constants!$H$36</f>
        <v>9158254.6208278034</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683867.02061701776</v>
      </c>
      <c r="AH52" s="22">
        <f>AH18*Constants!$H$31*Constants!$H$37</f>
        <v>689334.08903405233</v>
      </c>
      <c r="AI52" s="22">
        <f>AI18*Constants!$H$31*Constants!$H$37</f>
        <v>694924.72607198812</v>
      </c>
      <c r="AJ52" s="22">
        <f>AJ18*Constants!$H$31*Constants!$H$37</f>
        <v>700479.13201697869</v>
      </c>
      <c r="AK52" s="22">
        <f>AK18*Constants!$H$31*Constants!$H$37</f>
        <v>706109.60240578267</v>
      </c>
      <c r="AL52" s="22">
        <f>AL18*Constants!$H$31*Constants!$H$37</f>
        <v>711821.09558829723</v>
      </c>
      <c r="AM52" s="22">
        <f>AM18*Constants!$H$31*Constants!$H$37</f>
        <v>716792.73291711172</v>
      </c>
      <c r="AN52" s="22">
        <f>AN18*Constants!$H$31*Constants!$H$37</f>
        <v>721826.36584095075</v>
      </c>
      <c r="AO52" s="22">
        <f>AO18*Constants!$H$31*Constants!$H$37</f>
        <v>726912.17658165225</v>
      </c>
      <c r="AP52" s="22">
        <f>AP18*Constants!$H$31*Constants!$H$37</f>
        <v>732060.30556494161</v>
      </c>
      <c r="AQ52" s="22">
        <f>AQ18*Constants!$H$31*Constants!$H$37</f>
        <v>737260.92214096594</v>
      </c>
      <c r="AR52" s="22">
        <f>AR18*Constants!$H$31*Constants!$H$37</f>
        <v>741859.65039765649</v>
      </c>
      <c r="AS52" s="22">
        <f>AS18*Constants!$H$31*Constants!$H$37</f>
        <v>746492.9460089705</v>
      </c>
      <c r="AT52" s="22">
        <f>AT18*Constants!$H$31*Constants!$H$37</f>
        <v>751175.01029835211</v>
      </c>
      <c r="AU52" s="22">
        <f>AU18*Constants!$H$31*Constants!$H$37</f>
        <v>755923.04364147235</v>
      </c>
      <c r="AV52" s="22">
        <f>AV18*Constants!$H$31*Constants!$H$37</f>
        <v>760697.77381257748</v>
      </c>
      <c r="AW52" s="22">
        <f>AW18*Constants!$H$31*Constants!$H$37</f>
        <v>764874.94455901999</v>
      </c>
      <c r="AX52" s="22">
        <f>AX18*Constants!$H$31*Constants!$H$37</f>
        <v>769097.64039359009</v>
      </c>
      <c r="AY52" s="22">
        <f>AY18*Constants!$H$31*Constants!$H$37</f>
        <v>773333.60231669585</v>
      </c>
      <c r="AZ52" s="22">
        <f>AZ18*Constants!$H$31*Constants!$H$37</f>
        <v>777597.71548198909</v>
      </c>
      <c r="BA52" s="22">
        <f>BA18*Constants!$H$31*Constants!$H$37</f>
        <v>781890.8444247985</v>
      </c>
      <c r="BB52" s="22">
        <f>BB18*Constants!$H$31*Constants!$H$37</f>
        <v>785618.08532244118</v>
      </c>
      <c r="BC52" s="22">
        <f>BC18*Constants!$H$31*Constants!$H$37</f>
        <v>789357.02588915254</v>
      </c>
      <c r="BD52" s="22">
        <f>BD18*Constants!$H$31*Constants!$H$37</f>
        <v>793127.46186550858</v>
      </c>
      <c r="BE52" s="22">
        <f>BE18*Constants!$H$31*Constants!$H$37</f>
        <v>796930.78371162235</v>
      </c>
      <c r="BF52" s="22">
        <f>BF18*Constants!$H$31*Constants!$H$37</f>
        <v>800769.10480831075</v>
      </c>
      <c r="BG52" s="22">
        <f>BG18*Constants!$H$31*Constants!$H$37</f>
        <v>804008.51540317247</v>
      </c>
      <c r="BH52" s="22">
        <f>BH18*Constants!$H$31*Constants!$H$37</f>
        <v>807045.30891669437</v>
      </c>
      <c r="BI52" s="22">
        <f>BI18*Constants!$H$31*Constants!$H$37</f>
        <v>810076.87508690904</v>
      </c>
      <c r="BJ52" s="22">
        <f>BJ18*Constants!$H$31*Constants!$H$37</f>
        <v>813094.13685934793</v>
      </c>
      <c r="BK52" s="22">
        <f>BK18*Constants!$H$31*Constants!$H$37</f>
        <v>816117.78630801092</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107578.64992070246</v>
      </c>
      <c r="AA53" s="22">
        <f>AA32*Constants!$H$32*Constants!$H$38</f>
        <v>110633.12591910691</v>
      </c>
      <c r="AB53" s="22">
        <f>AB32*Constants!$H$32*Constants!$H$38</f>
        <v>112582.26561288942</v>
      </c>
      <c r="AC53" s="22">
        <f>AC32*Constants!$H$32*Constants!$H$38</f>
        <v>113789.77241225369</v>
      </c>
      <c r="AD53" s="22">
        <f>AD32*Constants!$H$32*Constants!$H$38</f>
        <v>114236.87821044905</v>
      </c>
      <c r="AE53" s="22">
        <f>AE32*Constants!$H$32*Constants!$H$38</f>
        <v>115251.3290570954</v>
      </c>
      <c r="AF53" s="22">
        <f>AF32*Constants!$H$32*Constants!$H$38</f>
        <v>116345.45035452004</v>
      </c>
      <c r="AG53" s="22">
        <f>AG32*Constants!$H$32*Constants!$H$38</f>
        <v>105171.52782101258</v>
      </c>
      <c r="AH53" s="22">
        <f>AH32*Constants!$H$32*Constants!$H$38</f>
        <v>108984.31713032993</v>
      </c>
      <c r="AI53" s="22">
        <f>AI32*Constants!$H$32*Constants!$H$38</f>
        <v>114464.19968907515</v>
      </c>
      <c r="AJ53" s="22">
        <f>AJ32*Constants!$H$32*Constants!$H$38</f>
        <v>117313.38414570571</v>
      </c>
      <c r="AK53" s="22">
        <f>AK32*Constants!$H$32*Constants!$H$38</f>
        <v>120519.64051600761</v>
      </c>
      <c r="AL53" s="22">
        <f>AL32*Constants!$H$32*Constants!$H$38</f>
        <v>124196.39638192007</v>
      </c>
      <c r="AM53" s="22">
        <f>AM32*Constants!$H$32*Constants!$H$38</f>
        <v>128211.28786195355</v>
      </c>
      <c r="AN53" s="22">
        <f>AN32*Constants!$H$32*Constants!$H$38</f>
        <v>132614.94863850478</v>
      </c>
      <c r="AO53" s="22">
        <f>AO32*Constants!$H$32*Constants!$H$38</f>
        <v>137131.97483401594</v>
      </c>
      <c r="AP53" s="22">
        <f>AP32*Constants!$H$32*Constants!$H$38</f>
        <v>142021.25167149713</v>
      </c>
      <c r="AQ53" s="22">
        <f>AQ32*Constants!$H$32*Constants!$H$38</f>
        <v>147006.7828961318</v>
      </c>
      <c r="AR53" s="22">
        <f>AR32*Constants!$H$32*Constants!$H$38</f>
        <v>152623.153392395</v>
      </c>
      <c r="AS53" s="22">
        <f>AS32*Constants!$H$32*Constants!$H$38</f>
        <v>158162.1560970518</v>
      </c>
      <c r="AT53" s="22">
        <f>AT32*Constants!$H$32*Constants!$H$38</f>
        <v>163995.4942588046</v>
      </c>
      <c r="AU53" s="22">
        <f>AU32*Constants!$H$32*Constants!$H$38</f>
        <v>170575.1024250199</v>
      </c>
      <c r="AV53" s="22">
        <f>AV32*Constants!$H$32*Constants!$H$38</f>
        <v>176840.69859634165</v>
      </c>
      <c r="AW53" s="22">
        <f>AW32*Constants!$H$32*Constants!$H$38</f>
        <v>183498.46016861609</v>
      </c>
      <c r="AX53" s="22">
        <f>AX32*Constants!$H$32*Constants!$H$38</f>
        <v>190605.09646547353</v>
      </c>
      <c r="AY53" s="22">
        <f>AY32*Constants!$H$32*Constants!$H$38</f>
        <v>197291.18369875109</v>
      </c>
      <c r="AZ53" s="22">
        <f>AZ32*Constants!$H$32*Constants!$H$38</f>
        <v>203949.61577871867</v>
      </c>
      <c r="BA53" s="22">
        <f>BA32*Constants!$H$32*Constants!$H$38</f>
        <v>210597.82089036069</v>
      </c>
      <c r="BB53" s="22">
        <f>BB32*Constants!$H$32*Constants!$H$38</f>
        <v>217845.17264296598</v>
      </c>
      <c r="BC53" s="22">
        <f>BC32*Constants!$H$32*Constants!$H$38</f>
        <v>224830.94642978068</v>
      </c>
      <c r="BD53" s="22">
        <f>BD32*Constants!$H$32*Constants!$H$38</f>
        <v>232081.63400808559</v>
      </c>
      <c r="BE53" s="22">
        <f>BE32*Constants!$H$32*Constants!$H$38</f>
        <v>239630.8745785068</v>
      </c>
      <c r="BF53" s="22">
        <f>BF32*Constants!$H$32*Constants!$H$38</f>
        <v>247531.64236929308</v>
      </c>
      <c r="BG53" s="22">
        <f>BG32*Constants!$H$32*Constants!$H$38</f>
        <v>255807.60686333198</v>
      </c>
      <c r="BH53" s="22">
        <f>BH32*Constants!$H$32*Constants!$H$38</f>
        <v>258257.63179810008</v>
      </c>
      <c r="BI53" s="22">
        <f>BI32*Constants!$H$32*Constants!$H$38</f>
        <v>260165.09365640103</v>
      </c>
      <c r="BJ53" s="22">
        <f>BJ32*Constants!$H$32*Constants!$H$38</f>
        <v>261284.88483282906</v>
      </c>
      <c r="BK53" s="22">
        <f>BK32*Constants!$H$32*Constants!$H$38</f>
        <v>262169.0025455876</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601454.19754067948</v>
      </c>
      <c r="AG54" s="22">
        <f>AG37*Constants!$H$33*Constants!$H$39</f>
        <v>574667.00375605049</v>
      </c>
      <c r="AH54" s="22">
        <f>AH37*Constants!$H$33*Constants!$H$39</f>
        <v>588953.38303562743</v>
      </c>
      <c r="AI54" s="22">
        <f>AI37*Constants!$H$33*Constants!$H$39</f>
        <v>607997.61903668928</v>
      </c>
      <c r="AJ54" s="22">
        <f>AJ37*Constants!$H$33*Constants!$H$39</f>
        <v>619638.1482806328</v>
      </c>
      <c r="AK54" s="22">
        <f>AK37*Constants!$H$33*Constants!$H$39</f>
        <v>632330.32660746155</v>
      </c>
      <c r="AL54" s="22">
        <f>AL37*Constants!$H$33*Constants!$H$39</f>
        <v>646395.60934021149</v>
      </c>
      <c r="AM54" s="22">
        <f>AM37*Constants!$H$33*Constants!$H$39</f>
        <v>660923.58703214454</v>
      </c>
      <c r="AN54" s="22">
        <f>AN37*Constants!$H$33*Constants!$H$39</f>
        <v>676582.89535491564</v>
      </c>
      <c r="AO54" s="22">
        <f>AO37*Constants!$H$33*Constants!$H$39</f>
        <v>692594.49463105027</v>
      </c>
      <c r="AP54" s="22">
        <f>AP37*Constants!$H$33*Constants!$H$39</f>
        <v>709691.29654758214</v>
      </c>
      <c r="AQ54" s="22">
        <f>AQ37*Constants!$H$33*Constants!$H$39</f>
        <v>727092.59117447783</v>
      </c>
      <c r="AR54" s="22">
        <f>AR37*Constants!$H$33*Constants!$H$39</f>
        <v>745868.3102522369</v>
      </c>
      <c r="AS54" s="22">
        <f>AS37*Constants!$H$33*Constants!$H$39</f>
        <v>764449.69011229719</v>
      </c>
      <c r="AT54" s="22">
        <f>AT37*Constants!$H$33*Constants!$H$39</f>
        <v>783888.79839725222</v>
      </c>
      <c r="AU54" s="22">
        <f>AU37*Constants!$H$33*Constants!$H$39</f>
        <v>805464.74562979862</v>
      </c>
      <c r="AV54" s="22">
        <f>AV37*Constants!$H$33*Constants!$H$39</f>
        <v>826177.32551300444</v>
      </c>
      <c r="AW54" s="22">
        <f>AW37*Constants!$H$33*Constants!$H$39</f>
        <v>847597.61949383572</v>
      </c>
      <c r="AX54" s="22">
        <f>AX37*Constants!$H$33*Constants!$H$39</f>
        <v>870307.04169235716</v>
      </c>
      <c r="AY54" s="22">
        <f>AY37*Constants!$H$33*Constants!$H$39</f>
        <v>891845.40722001716</v>
      </c>
      <c r="AZ54" s="22">
        <f>AZ37*Constants!$H$33*Constants!$H$39</f>
        <v>913324.67909404659</v>
      </c>
      <c r="BA54" s="22">
        <f>BA37*Constants!$H$33*Constants!$H$39</f>
        <v>934794.31646399118</v>
      </c>
      <c r="BB54" s="22">
        <f>BB37*Constants!$H$33*Constants!$H$39</f>
        <v>957573.11289621005</v>
      </c>
      <c r="BC54" s="22">
        <f>BC37*Constants!$H$33*Constants!$H$39</f>
        <v>979625.78652338032</v>
      </c>
      <c r="BD54" s="22">
        <f>BD37*Constants!$H$33*Constants!$H$39</f>
        <v>1002442.3080834262</v>
      </c>
      <c r="BE54" s="22">
        <f>BE37*Constants!$H$33*Constants!$H$39</f>
        <v>1026117.9589703796</v>
      </c>
      <c r="BF54" s="22">
        <f>BF37*Constants!$H$33*Constants!$H$39</f>
        <v>1050802.7360035132</v>
      </c>
      <c r="BG54" s="22">
        <f>BG37*Constants!$H$33*Constants!$H$39</f>
        <v>1076146.7374648887</v>
      </c>
      <c r="BH54" s="22">
        <f>BH37*Constants!$H$33*Constants!$H$39</f>
        <v>1085014.1331237827</v>
      </c>
      <c r="BI54" s="22">
        <f>BI37*Constants!$H$33*Constants!$H$39</f>
        <v>1092356.0404501371</v>
      </c>
      <c r="BJ54" s="22">
        <f>BJ37*Constants!$H$33*Constants!$H$39</f>
        <v>1097478.8965278086</v>
      </c>
      <c r="BK54" s="22">
        <f>BK37*Constants!$H$33*Constants!$H$39</f>
        <v>1101944.811356989</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1560966.2063054186</v>
      </c>
      <c r="AA55" s="22">
        <f>AA42*Constants!$H$34*Constants!$H$40</f>
        <v>1613765.8062503655</v>
      </c>
      <c r="AB55" s="22">
        <f>AB42*Constants!$H$34*Constants!$H$40</f>
        <v>1642887.1674004451</v>
      </c>
      <c r="AC55" s="22">
        <f>AC42*Constants!$H$34*Constants!$H$40</f>
        <v>1655964.1814042372</v>
      </c>
      <c r="AD55" s="22">
        <f>AD42*Constants!$H$34*Constants!$H$40</f>
        <v>1652584.5489179101</v>
      </c>
      <c r="AE55" s="22">
        <f>AE42*Constants!$H$34*Constants!$H$40</f>
        <v>1660968.4068159335</v>
      </c>
      <c r="AF55" s="22">
        <f>AF42*Constants!$H$34*Constants!$H$40</f>
        <v>1670818.6391072047</v>
      </c>
      <c r="AG55" s="22">
        <f>AG42*Constants!$H$34*Constants!$H$40</f>
        <v>1422395.360692211</v>
      </c>
      <c r="AH55" s="22">
        <f>AH42*Constants!$H$34*Constants!$H$40</f>
        <v>1492919.1675513133</v>
      </c>
      <c r="AI55" s="22">
        <f>AI42*Constants!$H$34*Constants!$H$40</f>
        <v>1598399.150178439</v>
      </c>
      <c r="AJ55" s="22">
        <f>AJ42*Constants!$H$34*Constants!$H$40</f>
        <v>1648429.1743234193</v>
      </c>
      <c r="AK55" s="22">
        <f>AK42*Constants!$H$34*Constants!$H$40</f>
        <v>1705856.2473814334</v>
      </c>
      <c r="AL55" s="22">
        <f>AL42*Constants!$H$34*Constants!$H$40</f>
        <v>1773065.0269995227</v>
      </c>
      <c r="AM55" s="22">
        <f>AM42*Constants!$H$34*Constants!$H$40</f>
        <v>1848754.3813690376</v>
      </c>
      <c r="AN55" s="22">
        <f>AN42*Constants!$H$34*Constants!$H$40</f>
        <v>1932535.2705424894</v>
      </c>
      <c r="AO55" s="22">
        <f>AO42*Constants!$H$34*Constants!$H$40</f>
        <v>2018613.6722974777</v>
      </c>
      <c r="AP55" s="22">
        <f>AP42*Constants!$H$34*Constants!$H$40</f>
        <v>2112434.4279687013</v>
      </c>
      <c r="AQ55" s="22">
        <f>AQ42*Constants!$H$34*Constants!$H$40</f>
        <v>2208191.0377499689</v>
      </c>
      <c r="AR55" s="22">
        <f>AR42*Constants!$H$34*Constants!$H$40</f>
        <v>2318354.3786936789</v>
      </c>
      <c r="AS55" s="22">
        <f>AS42*Constants!$H$34*Constants!$H$40</f>
        <v>2426822.1865352821</v>
      </c>
      <c r="AT55" s="22">
        <f>AT42*Constants!$H$34*Constants!$H$40</f>
        <v>2541412.7280903682</v>
      </c>
      <c r="AU55" s="22">
        <f>AU42*Constants!$H$34*Constants!$H$40</f>
        <v>2671631.9457035144</v>
      </c>
      <c r="AV55" s="22">
        <f>AV42*Constants!$H$34*Constants!$H$40</f>
        <v>2795176.0166608123</v>
      </c>
      <c r="AW55" s="22">
        <f>AW42*Constants!$H$34*Constants!$H$40</f>
        <v>2928082.1974941771</v>
      </c>
      <c r="AX55" s="22">
        <f>AX42*Constants!$H$34*Constants!$H$40</f>
        <v>3070378.2617287501</v>
      </c>
      <c r="AY55" s="22">
        <f>AY42*Constants!$H$34*Constants!$H$40</f>
        <v>3203775.3333687615</v>
      </c>
      <c r="AZ55" s="22">
        <f>AZ42*Constants!$H$34*Constants!$H$40</f>
        <v>3336537.6243028897</v>
      </c>
      <c r="BA55" s="22">
        <f>BA42*Constants!$H$34*Constants!$H$40</f>
        <v>3469031.3513043029</v>
      </c>
      <c r="BB55" s="22">
        <f>BB42*Constants!$H$34*Constants!$H$40</f>
        <v>3615197.5579914358</v>
      </c>
      <c r="BC55" s="22">
        <f>BC42*Constants!$H$34*Constants!$H$40</f>
        <v>3755822.3983376403</v>
      </c>
      <c r="BD55" s="22">
        <f>BD42*Constants!$H$34*Constants!$H$40</f>
        <v>3901980.4833028968</v>
      </c>
      <c r="BE55" s="22">
        <f>BE42*Constants!$H$34*Constants!$H$40</f>
        <v>4054379.1759280977</v>
      </c>
      <c r="BF55" s="22">
        <f>BF42*Constants!$H$34*Constants!$H$40</f>
        <v>4214132.553689369</v>
      </c>
      <c r="BG55" s="22">
        <f>BG42*Constants!$H$34*Constants!$H$40</f>
        <v>4382892.4055597875</v>
      </c>
      <c r="BH55" s="22">
        <f>BH42*Constants!$H$34*Constants!$H$40</f>
        <v>4429075.3292793632</v>
      </c>
      <c r="BI55" s="22">
        <f>BI42*Constants!$H$34*Constants!$H$40</f>
        <v>4463818.0060761869</v>
      </c>
      <c r="BJ55" s="22">
        <f>BJ42*Constants!$H$34*Constants!$H$40</f>
        <v>4481964.4117597537</v>
      </c>
      <c r="BK55" s="22">
        <f>BK42*Constants!$H$34*Constants!$H$40</f>
        <v>4495125.7716166964</v>
      </c>
    </row>
    <row r="56" spans="1:63" x14ac:dyDescent="0.3">
      <c r="A56" t="s">
        <v>873</v>
      </c>
      <c r="B56" t="s">
        <v>321</v>
      </c>
      <c r="C56" s="22">
        <f>SUM(C50:C55)</f>
        <v>5869585</v>
      </c>
      <c r="D56" s="22">
        <f t="shared" ref="D56:BK56" si="48">SUM(D50:D55)</f>
        <v>6203205</v>
      </c>
      <c r="E56" s="22">
        <f t="shared" si="48"/>
        <v>6211270</v>
      </c>
      <c r="F56" s="22">
        <f t="shared" si="48"/>
        <v>6065070</v>
      </c>
      <c r="G56" s="22">
        <f t="shared" si="48"/>
        <v>5671705</v>
      </c>
      <c r="H56" s="22">
        <f t="shared" si="48"/>
        <v>5466535</v>
      </c>
      <c r="I56" s="22">
        <f t="shared" si="48"/>
        <v>5694815</v>
      </c>
      <c r="J56" s="22">
        <f t="shared" si="48"/>
        <v>5746420</v>
      </c>
      <c r="K56" s="22">
        <f t="shared" si="48"/>
        <v>5792900</v>
      </c>
      <c r="L56" s="22">
        <f t="shared" si="48"/>
        <v>5938930</v>
      </c>
      <c r="M56" s="22">
        <f t="shared" si="48"/>
        <v>6294965</v>
      </c>
      <c r="N56" s="22">
        <f t="shared" si="48"/>
        <v>5899755</v>
      </c>
      <c r="O56" s="22">
        <f t="shared" si="48"/>
        <v>6221665</v>
      </c>
      <c r="P56" s="22">
        <f t="shared" si="48"/>
        <v>6329485</v>
      </c>
      <c r="Q56" s="22">
        <f t="shared" si="48"/>
        <v>6730420</v>
      </c>
      <c r="R56" s="22">
        <f t="shared" si="48"/>
        <v>7351635</v>
      </c>
      <c r="S56" s="22">
        <f t="shared" si="48"/>
        <v>7957970</v>
      </c>
      <c r="T56" s="22">
        <f t="shared" si="48"/>
        <v>8416295</v>
      </c>
      <c r="U56" s="22">
        <f t="shared" si="48"/>
        <v>8195490</v>
      </c>
      <c r="V56" s="22">
        <f t="shared" si="48"/>
        <v>8304590</v>
      </c>
      <c r="W56" s="22">
        <f t="shared" si="48"/>
        <v>8821035</v>
      </c>
      <c r="X56" s="22">
        <f t="shared" si="48"/>
        <v>8803245</v>
      </c>
      <c r="Y56" s="22">
        <f t="shared" si="48"/>
        <v>8905592.5862857662</v>
      </c>
      <c r="Z56" s="22">
        <f t="shared" si="48"/>
        <v>9095513.140556192</v>
      </c>
      <c r="AA56" s="22">
        <f t="shared" si="48"/>
        <v>9326430.4780428484</v>
      </c>
      <c r="AB56" s="22">
        <f t="shared" si="48"/>
        <v>9484875.5644762423</v>
      </c>
      <c r="AC56" s="22">
        <f t="shared" si="48"/>
        <v>9595076.462577926</v>
      </c>
      <c r="AD56" s="22">
        <f t="shared" si="48"/>
        <v>9655827.5030585341</v>
      </c>
      <c r="AE56" s="22">
        <f t="shared" si="48"/>
        <v>9754723.2383019067</v>
      </c>
      <c r="AF56" s="22">
        <f t="shared" si="48"/>
        <v>9859425.6401465051</v>
      </c>
      <c r="AG56" s="22">
        <f t="shared" si="48"/>
        <v>9148775.0169667397</v>
      </c>
      <c r="AH56" s="22">
        <f t="shared" si="48"/>
        <v>9425821.5829976145</v>
      </c>
      <c r="AI56" s="22">
        <f t="shared" si="48"/>
        <v>9814006.2919497155</v>
      </c>
      <c r="AJ56" s="22">
        <f t="shared" si="48"/>
        <v>10027513.499956742</v>
      </c>
      <c r="AK56" s="22">
        <f t="shared" si="48"/>
        <v>10265043.929381084</v>
      </c>
      <c r="AL56" s="22">
        <f t="shared" si="48"/>
        <v>10534144.112271974</v>
      </c>
      <c r="AM56" s="22">
        <f t="shared" si="48"/>
        <v>10822413.034447784</v>
      </c>
      <c r="AN56" s="22">
        <f t="shared" si="48"/>
        <v>11136745.904115941</v>
      </c>
      <c r="AO56" s="22">
        <f t="shared" si="48"/>
        <v>11458829.423306512</v>
      </c>
      <c r="AP56" s="22">
        <f t="shared" si="48"/>
        <v>11805882.48288331</v>
      </c>
      <c r="AQ56" s="22">
        <f t="shared" si="48"/>
        <v>12159552.430432875</v>
      </c>
      <c r="AR56" s="22">
        <f t="shared" si="48"/>
        <v>12552417.214060251</v>
      </c>
      <c r="AS56" s="22">
        <f t="shared" si="48"/>
        <v>12940301.945090441</v>
      </c>
      <c r="AT56" s="22">
        <f t="shared" si="48"/>
        <v>13347927.651292544</v>
      </c>
      <c r="AU56" s="22">
        <f t="shared" si="48"/>
        <v>13805351.045649821</v>
      </c>
      <c r="AV56" s="22">
        <f t="shared" si="48"/>
        <v>14242060.952602863</v>
      </c>
      <c r="AW56" s="22">
        <f t="shared" si="48"/>
        <v>14702151.415186198</v>
      </c>
      <c r="AX56" s="22">
        <f t="shared" si="48"/>
        <v>15192220.519409211</v>
      </c>
      <c r="AY56" s="22">
        <f t="shared" si="48"/>
        <v>15654449.349655608</v>
      </c>
      <c r="AZ56" s="22">
        <f t="shared" si="48"/>
        <v>16114967.715426702</v>
      </c>
      <c r="BA56" s="22">
        <f t="shared" si="48"/>
        <v>16574935.596675459</v>
      </c>
      <c r="BB56" s="22">
        <f t="shared" si="48"/>
        <v>17072154.6223699</v>
      </c>
      <c r="BC56" s="22">
        <f t="shared" si="48"/>
        <v>17552072.439916961</v>
      </c>
      <c r="BD56" s="22">
        <f t="shared" si="48"/>
        <v>18049703.25419981</v>
      </c>
      <c r="BE56" s="22">
        <f t="shared" si="48"/>
        <v>18567284.786105156</v>
      </c>
      <c r="BF56" s="22">
        <f t="shared" si="48"/>
        <v>19108340.609858006</v>
      </c>
      <c r="BG56" s="22">
        <f t="shared" si="48"/>
        <v>19671645.345501784</v>
      </c>
      <c r="BH56" s="22">
        <f t="shared" si="48"/>
        <v>19847569.879838824</v>
      </c>
      <c r="BI56" s="22">
        <f t="shared" si="48"/>
        <v>19987478.302736551</v>
      </c>
      <c r="BJ56" s="22">
        <f t="shared" si="48"/>
        <v>20075070.405400775</v>
      </c>
      <c r="BK56" s="22">
        <f t="shared" si="48"/>
        <v>20147056.350809921</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((Data!$AJ$37*'Intermediate calculations'!C56)+Data!$AK$37)</f>
        <v>5251932.2753573991</v>
      </c>
      <c r="D58" s="22">
        <f>((Data!$AJ$37*'Intermediate calculations'!D56)+Data!$AK$37)</f>
        <v>5456645.3617997784</v>
      </c>
      <c r="E58" s="22">
        <f>((Data!$AJ$37*'Intermediate calculations'!E56)+Data!$AK$37)</f>
        <v>5461594.1389778787</v>
      </c>
      <c r="F58" s="22">
        <f>((Data!$AJ$37*'Intermediate calculations'!F56)+Data!$AK$37)</f>
        <v>5371884.1298720818</v>
      </c>
      <c r="G58" s="22">
        <f>((Data!$AJ$37*'Intermediate calculations'!G56)+Data!$AK$37)</f>
        <v>5130510.8211723436</v>
      </c>
      <c r="H58" s="22">
        <f>((Data!$AJ$37*'Intermediate calculations'!H56)+Data!$AK$37)</f>
        <v>5004616.1387630664</v>
      </c>
      <c r="I58" s="22">
        <f>((Data!$AJ$37*'Intermediate calculations'!I56)+Data!$AK$37)</f>
        <v>5144691.384171214</v>
      </c>
      <c r="J58" s="22">
        <f>((Data!$AJ$37*'Intermediate calculations'!J56)+Data!$AK$37)</f>
        <v>5176356.8083839687</v>
      </c>
      <c r="K58" s="22">
        <f>((Data!$AJ$37*'Intermediate calculations'!K56)+Data!$AK$37)</f>
        <v>5204877.4733855929</v>
      </c>
      <c r="L58" s="22">
        <f>((Data!$AJ$37*'Intermediate calculations'!L56)+Data!$AK$37)</f>
        <v>5294483.1685273126</v>
      </c>
      <c r="M58" s="22">
        <f>((Data!$AJ$37*'Intermediate calculations'!M56)+Data!$AK$37)</f>
        <v>5512950.3579389574</v>
      </c>
      <c r="N58" s="22">
        <f>((Data!$AJ$37*'Intermediate calculations'!N56)+Data!$AK$37)</f>
        <v>5270444.9359232113</v>
      </c>
      <c r="O58" s="22">
        <f>((Data!$AJ$37*'Intermediate calculations'!O56)+Data!$AK$37)</f>
        <v>5467972.6310753804</v>
      </c>
      <c r="P58" s="22">
        <f>((Data!$AJ$37*'Intermediate calculations'!P56)+Data!$AK$37)</f>
        <v>5534132.2287620232</v>
      </c>
      <c r="Q58" s="22">
        <f>((Data!$AJ$37*'Intermediate calculations'!Q56)+Data!$AK$37)</f>
        <v>5780150.5769209331</v>
      </c>
      <c r="R58" s="22">
        <f>((Data!$AJ$37*'Intermediate calculations'!R56)+Data!$AK$37)</f>
        <v>6161335.2780608628</v>
      </c>
      <c r="S58" s="22">
        <f>((Data!$AJ$37*'Intermediate calculations'!S56)+Data!$AK$37)</f>
        <v>6533389.4392863307</v>
      </c>
      <c r="T58" s="22">
        <f>((Data!$AJ$37*'Intermediate calculations'!T56)+Data!$AK$37)</f>
        <v>6814622.9544943627</v>
      </c>
      <c r="U58" s="22">
        <f>((Data!$AJ$37*'Intermediate calculations'!U56)+Data!$AK$37)</f>
        <v>6679134.4554478135</v>
      </c>
      <c r="V58" s="22">
        <f>((Data!$AJ$37*'Intermediate calculations'!V56)+Data!$AK$37)</f>
        <v>6746079.475922795</v>
      </c>
      <c r="W58" s="22">
        <f>((Data!$AJ$37*'Intermediate calculations'!W56)+Data!$AK$37)</f>
        <v>7062976.0946139265</v>
      </c>
      <c r="X58" s="22">
        <f>((Data!$AJ$37*'Intermediate calculations'!X56)+Data!$AK$37)</f>
        <v>7052059.9450790975</v>
      </c>
      <c r="Y58" s="22">
        <f>((Data!$AJ$37*'Intermediate calculations'!Y56)+Data!$AK$37)</f>
        <v>7114861.6064857487</v>
      </c>
      <c r="Z58" s="22">
        <f>((Data!$AJ$37*'Intermediate calculations'!Z56)+Data!$AK$37)</f>
        <v>7231399.0528125465</v>
      </c>
      <c r="AA58" s="22">
        <f>((Data!$AJ$37*'Intermediate calculations'!AA56)+Data!$AK$37)</f>
        <v>7373092.5989726987</v>
      </c>
      <c r="AB58" s="22">
        <f>((Data!$AJ$37*'Intermediate calculations'!AB56)+Data!$AK$37)</f>
        <v>7470316.3345863</v>
      </c>
      <c r="AC58" s="22">
        <f>((Data!$AJ$37*'Intermediate calculations'!AC56)+Data!$AK$37)</f>
        <v>7537936.8788555823</v>
      </c>
      <c r="AD58" s="22">
        <f>((Data!$AJ$37*'Intermediate calculations'!AD56)+Data!$AK$37)</f>
        <v>7575214.4191750214</v>
      </c>
      <c r="AE58" s="22">
        <f>((Data!$AJ$37*'Intermediate calculations'!AE56)+Data!$AK$37)</f>
        <v>7635897.9849014748</v>
      </c>
      <c r="AF58" s="22">
        <f>((Data!$AJ$37*'Intermediate calculations'!AF56)+Data!$AK$37)</f>
        <v>7700144.5883411318</v>
      </c>
      <c r="AG58" s="22">
        <f>((Data!$AJ$37*'Intermediate calculations'!AG56)+Data!$AK$37)</f>
        <v>7264081.1555333529</v>
      </c>
      <c r="AH58" s="22">
        <f>((Data!$AJ$37*'Intermediate calculations'!AH56)+Data!$AK$37)</f>
        <v>7434080.1292772628</v>
      </c>
      <c r="AI58" s="22">
        <f>((Data!$AJ$37*'Intermediate calculations'!AI56)+Data!$AK$37)</f>
        <v>7672274.7515400816</v>
      </c>
      <c r="AJ58" s="22">
        <f>((Data!$AJ$37*'Intermediate calculations'!AJ56)+Data!$AK$37)</f>
        <v>7803285.2411054969</v>
      </c>
      <c r="AK58" s="22">
        <f>((Data!$AJ$37*'Intermediate calculations'!AK56)+Data!$AK$37)</f>
        <v>7949036.6568822507</v>
      </c>
      <c r="AL58" s="22">
        <f>((Data!$AJ$37*'Intermediate calculations'!AL56)+Data!$AK$37)</f>
        <v>8114159.6381237935</v>
      </c>
      <c r="AM58" s="22">
        <f>((Data!$AJ$37*'Intermediate calculations'!AM56)+Data!$AK$37)</f>
        <v>8291044.7792545054</v>
      </c>
      <c r="AN58" s="22">
        <f>((Data!$AJ$37*'Intermediate calculations'!AN56)+Data!$AK$37)</f>
        <v>8483923.059693506</v>
      </c>
      <c r="AO58" s="22">
        <f>((Data!$AJ$37*'Intermediate calculations'!AO56)+Data!$AK$37)</f>
        <v>8681557.2282257434</v>
      </c>
      <c r="AP58" s="22">
        <f>((Data!$AJ$37*'Intermediate calculations'!AP56)+Data!$AK$37)</f>
        <v>8894512.9952218384</v>
      </c>
      <c r="AQ58" s="22">
        <f>((Data!$AJ$37*'Intermediate calculations'!AQ56)+Data!$AK$37)</f>
        <v>9111528.961125521</v>
      </c>
      <c r="AR58" s="22">
        <f>((Data!$AJ$37*'Intermediate calculations'!AR56)+Data!$AK$37)</f>
        <v>9352595.3312798217</v>
      </c>
      <c r="AS58" s="22">
        <f>((Data!$AJ$37*'Intermediate calculations'!AS56)+Data!$AK$37)</f>
        <v>9590605.883623993</v>
      </c>
      <c r="AT58" s="22">
        <f>((Data!$AJ$37*'Intermediate calculations'!AT56)+Data!$AK$37)</f>
        <v>9840729.7264088616</v>
      </c>
      <c r="AU58" s="22">
        <f>((Data!$AJ$37*'Intermediate calculations'!AU56)+Data!$AK$37)</f>
        <v>10121410.005977916</v>
      </c>
      <c r="AV58" s="22">
        <f>((Data!$AJ$37*'Intermediate calculations'!AV56)+Data!$AK$37)</f>
        <v>10389380.25036471</v>
      </c>
      <c r="AW58" s="22">
        <f>((Data!$AJ$37*'Intermediate calculations'!AW56)+Data!$AK$37)</f>
        <v>10671697.073810956</v>
      </c>
      <c r="AX58" s="22">
        <f>((Data!$AJ$37*'Intermediate calculations'!AX56)+Data!$AK$37)</f>
        <v>10972409.138122285</v>
      </c>
      <c r="AY58" s="22">
        <f>((Data!$AJ$37*'Intermediate calculations'!AY56)+Data!$AK$37)</f>
        <v>11256038.088671984</v>
      </c>
      <c r="AZ58" s="22">
        <f>((Data!$AJ$37*'Intermediate calculations'!AZ56)+Data!$AK$37)</f>
        <v>11538617.478457972</v>
      </c>
      <c r="BA58" s="22">
        <f>((Data!$AJ$37*'Intermediate calculations'!BA56)+Data!$AK$37)</f>
        <v>11820859.084581094</v>
      </c>
      <c r="BB58" s="22">
        <f>((Data!$AJ$37*'Intermediate calculations'!BB56)+Data!$AK$37)</f>
        <v>12125958.42331313</v>
      </c>
      <c r="BC58" s="22">
        <f>((Data!$AJ$37*'Intermediate calculations'!BC56)+Data!$AK$37)</f>
        <v>12420441.540838309</v>
      </c>
      <c r="BD58" s="22">
        <f>((Data!$AJ$37*'Intermediate calculations'!BD56)+Data!$AK$37)</f>
        <v>12725793.557805747</v>
      </c>
      <c r="BE58" s="22">
        <f>((Data!$AJ$37*'Intermediate calculations'!BE56)+Data!$AK$37)</f>
        <v>13043387.565604795</v>
      </c>
      <c r="BF58" s="22">
        <f>((Data!$AJ$37*'Intermediate calculations'!BF56)+Data!$AK$37)</f>
        <v>13375385.67008915</v>
      </c>
      <c r="BG58" s="22">
        <f>((Data!$AJ$37*'Intermediate calculations'!BG56)+Data!$AK$37)</f>
        <v>13721035.963960161</v>
      </c>
      <c r="BH58" s="22">
        <f>((Data!$AJ$37*'Intermediate calculations'!BH56)+Data!$AK$37)</f>
        <v>13828985.290754341</v>
      </c>
      <c r="BI58" s="22">
        <f>((Data!$AJ$37*'Intermediate calculations'!BI56)+Data!$AK$37)</f>
        <v>13914834.715461131</v>
      </c>
      <c r="BJ58" s="22">
        <f>((Data!$AJ$37*'Intermediate calculations'!BJ56)+Data!$AK$37)</f>
        <v>13968582.241641728</v>
      </c>
      <c r="BK58" s="22">
        <f>((Data!$AJ$37*'Intermediate calculations'!BK56)+Data!$AK$37)</f>
        <v>14012753.64942657</v>
      </c>
    </row>
    <row r="59" spans="1:63" x14ac:dyDescent="0.3">
      <c r="A59" t="s">
        <v>345</v>
      </c>
      <c r="B59" t="s">
        <v>321</v>
      </c>
      <c r="C59" s="22">
        <f>C58+C56</f>
        <v>11121517.275357399</v>
      </c>
      <c r="D59" s="22">
        <f t="shared" ref="D59:BK59" si="49">D58+D56</f>
        <v>11659850.361799778</v>
      </c>
      <c r="E59" s="22">
        <f t="shared" si="49"/>
        <v>11672864.138977878</v>
      </c>
      <c r="F59" s="22">
        <f t="shared" si="49"/>
        <v>11436954.129872082</v>
      </c>
      <c r="G59" s="22">
        <f t="shared" si="49"/>
        <v>10802215.821172344</v>
      </c>
      <c r="H59" s="22">
        <f t="shared" si="49"/>
        <v>10471151.138763066</v>
      </c>
      <c r="I59" s="22">
        <f t="shared" si="49"/>
        <v>10839506.384171214</v>
      </c>
      <c r="J59" s="22">
        <f t="shared" si="49"/>
        <v>10922776.808383968</v>
      </c>
      <c r="K59" s="22">
        <f t="shared" si="49"/>
        <v>10997777.473385593</v>
      </c>
      <c r="L59" s="22">
        <f t="shared" si="49"/>
        <v>11233413.168527313</v>
      </c>
      <c r="M59" s="22">
        <f t="shared" si="49"/>
        <v>11807915.357938956</v>
      </c>
      <c r="N59" s="22">
        <f t="shared" si="49"/>
        <v>11170199.935923211</v>
      </c>
      <c r="O59" s="22">
        <f t="shared" si="49"/>
        <v>11689637.63107538</v>
      </c>
      <c r="P59" s="22">
        <f t="shared" si="49"/>
        <v>11863617.228762023</v>
      </c>
      <c r="Q59" s="22">
        <f t="shared" si="49"/>
        <v>12510570.576920934</v>
      </c>
      <c r="R59" s="22">
        <f t="shared" si="49"/>
        <v>13512970.278060863</v>
      </c>
      <c r="S59" s="22">
        <f t="shared" si="49"/>
        <v>14491359.439286331</v>
      </c>
      <c r="T59" s="22">
        <f t="shared" si="49"/>
        <v>15230917.954494363</v>
      </c>
      <c r="U59" s="22">
        <f t="shared" si="49"/>
        <v>14874624.455447813</v>
      </c>
      <c r="V59" s="22">
        <f t="shared" si="49"/>
        <v>15050669.475922795</v>
      </c>
      <c r="W59" s="22">
        <f t="shared" si="49"/>
        <v>15884011.094613926</v>
      </c>
      <c r="X59" s="22">
        <f t="shared" si="49"/>
        <v>15855304.945079098</v>
      </c>
      <c r="Y59" s="22">
        <f t="shared" si="49"/>
        <v>16020454.192771515</v>
      </c>
      <c r="Z59" s="22">
        <f t="shared" si="49"/>
        <v>16326912.193368739</v>
      </c>
      <c r="AA59" s="22">
        <f t="shared" si="49"/>
        <v>16699523.077015547</v>
      </c>
      <c r="AB59" s="22">
        <f t="shared" si="49"/>
        <v>16955191.899062544</v>
      </c>
      <c r="AC59" s="22">
        <f t="shared" si="49"/>
        <v>17133013.34143351</v>
      </c>
      <c r="AD59" s="22">
        <f t="shared" si="49"/>
        <v>17231041.922233555</v>
      </c>
      <c r="AE59" s="22">
        <f t="shared" si="49"/>
        <v>17390621.223203383</v>
      </c>
      <c r="AF59" s="22">
        <f t="shared" si="49"/>
        <v>17559570.228487637</v>
      </c>
      <c r="AG59" s="22">
        <f t="shared" si="49"/>
        <v>16412856.172500093</v>
      </c>
      <c r="AH59" s="22">
        <f t="shared" si="49"/>
        <v>16859901.712274879</v>
      </c>
      <c r="AI59" s="22">
        <f t="shared" si="49"/>
        <v>17486281.043489799</v>
      </c>
      <c r="AJ59" s="22">
        <f t="shared" si="49"/>
        <v>17830798.741062239</v>
      </c>
      <c r="AK59" s="22">
        <f t="shared" si="49"/>
        <v>18214080.586263336</v>
      </c>
      <c r="AL59" s="22">
        <f t="shared" si="49"/>
        <v>18648303.750395767</v>
      </c>
      <c r="AM59" s="22">
        <f t="shared" si="49"/>
        <v>19113457.813702289</v>
      </c>
      <c r="AN59" s="22">
        <f t="shared" si="49"/>
        <v>19620668.963809446</v>
      </c>
      <c r="AO59" s="22">
        <f t="shared" si="49"/>
        <v>20140386.651532255</v>
      </c>
      <c r="AP59" s="22">
        <f t="shared" si="49"/>
        <v>20700395.47810515</v>
      </c>
      <c r="AQ59" s="22">
        <f t="shared" si="49"/>
        <v>21271081.391558394</v>
      </c>
      <c r="AR59" s="22">
        <f t="shared" si="49"/>
        <v>21905012.545340072</v>
      </c>
      <c r="AS59" s="22">
        <f t="shared" si="49"/>
        <v>22530907.828714434</v>
      </c>
      <c r="AT59" s="22">
        <f t="shared" si="49"/>
        <v>23188657.377701405</v>
      </c>
      <c r="AU59" s="22">
        <f t="shared" si="49"/>
        <v>23926761.051627737</v>
      </c>
      <c r="AV59" s="22">
        <f t="shared" si="49"/>
        <v>24631441.202967573</v>
      </c>
      <c r="AW59" s="22">
        <f t="shared" si="49"/>
        <v>25373848.488997154</v>
      </c>
      <c r="AX59" s="22">
        <f t="shared" si="49"/>
        <v>26164629.657531496</v>
      </c>
      <c r="AY59" s="22">
        <f t="shared" si="49"/>
        <v>26910487.438327592</v>
      </c>
      <c r="AZ59" s="22">
        <f t="shared" si="49"/>
        <v>27653585.193884674</v>
      </c>
      <c r="BA59" s="22">
        <f t="shared" si="49"/>
        <v>28395794.681256555</v>
      </c>
      <c r="BB59" s="22">
        <f t="shared" si="49"/>
        <v>29198113.04568303</v>
      </c>
      <c r="BC59" s="22">
        <f t="shared" si="49"/>
        <v>29972513.98075527</v>
      </c>
      <c r="BD59" s="22">
        <f t="shared" si="49"/>
        <v>30775496.812005557</v>
      </c>
      <c r="BE59" s="22">
        <f t="shared" si="49"/>
        <v>31610672.351709951</v>
      </c>
      <c r="BF59" s="22">
        <f t="shared" si="49"/>
        <v>32483726.279947154</v>
      </c>
      <c r="BG59" s="22">
        <f t="shared" si="49"/>
        <v>33392681.309461944</v>
      </c>
      <c r="BH59" s="22">
        <f t="shared" si="49"/>
        <v>33676555.170593165</v>
      </c>
      <c r="BI59" s="22">
        <f t="shared" si="49"/>
        <v>33902313.018197685</v>
      </c>
      <c r="BJ59" s="22">
        <f t="shared" si="49"/>
        <v>34043652.647042505</v>
      </c>
      <c r="BK59" s="22">
        <f t="shared" si="49"/>
        <v>34159810.000236489</v>
      </c>
    </row>
    <row r="60" spans="1:63" x14ac:dyDescent="0.3">
      <c r="A60" t="s">
        <v>874</v>
      </c>
      <c r="B60" t="s">
        <v>321</v>
      </c>
      <c r="C60" s="22">
        <f>((Data!$AJ$41*'Intermediate calculations'!C59)+Data!$AK$41)</f>
        <v>13829288.143620679</v>
      </c>
      <c r="D60" s="22">
        <f>((Data!$AJ$41*'Intermediate calculations'!D59)+Data!$AK$41)</f>
        <v>14338345.265431453</v>
      </c>
      <c r="E60" s="22">
        <f>((Data!$AJ$41*'Intermediate calculations'!E59)+Data!$AK$41)</f>
        <v>14350651.319287347</v>
      </c>
      <c r="F60" s="22">
        <f>((Data!$AJ$41*'Intermediate calculations'!F59)+Data!$AK$41)</f>
        <v>14127570.714980846</v>
      </c>
      <c r="G60" s="22">
        <f>((Data!$AJ$41*'Intermediate calculations'!G59)+Data!$AK$41)</f>
        <v>13527351.139652345</v>
      </c>
      <c r="H60" s="22">
        <f>((Data!$AJ$41*'Intermediate calculations'!H59)+Data!$AK$41)</f>
        <v>13214290.622651216</v>
      </c>
      <c r="I60" s="22">
        <f>((Data!$AJ$41*'Intermediate calculations'!I59)+Data!$AK$41)</f>
        <v>13562613.744067688</v>
      </c>
      <c r="J60" s="22">
        <f>((Data!$AJ$41*'Intermediate calculations'!J59)+Data!$AK$41)</f>
        <v>13641355.704295026</v>
      </c>
      <c r="K60" s="22">
        <f>((Data!$AJ$41*'Intermediate calculations'!K59)+Data!$AK$41)</f>
        <v>13712277.636498626</v>
      </c>
      <c r="L60" s="22">
        <f>((Data!$AJ$41*'Intermediate calculations'!L59)+Data!$AK$41)</f>
        <v>13935098.844753608</v>
      </c>
      <c r="M60" s="22">
        <f>((Data!$AJ$41*'Intermediate calculations'!M59)+Data!$AK$41)</f>
        <v>14478358.098886751</v>
      </c>
      <c r="N60" s="22">
        <f>((Data!$AJ$41*'Intermediate calculations'!N59)+Data!$AK$41)</f>
        <v>13875323.313469701</v>
      </c>
      <c r="O60" s="22">
        <f>((Data!$AJ$41*'Intermediate calculations'!O59)+Data!$AK$41)</f>
        <v>14366512.624908183</v>
      </c>
      <c r="P60" s="22">
        <f>((Data!$AJ$41*'Intermediate calculations'!P59)+Data!$AK$41)</f>
        <v>14531030.755936412</v>
      </c>
      <c r="Q60" s="22">
        <f>((Data!$AJ$41*'Intermediate calculations'!Q59)+Data!$AK$41)</f>
        <v>15142801.084853152</v>
      </c>
      <c r="R60" s="22">
        <f>((Data!$AJ$41*'Intermediate calculations'!R59)+Data!$AK$41)</f>
        <v>16090687.662173694</v>
      </c>
      <c r="S60" s="22">
        <f>((Data!$AJ$41*'Intermediate calculations'!S59)+Data!$AK$41)</f>
        <v>17015869.455690674</v>
      </c>
      <c r="T60" s="22">
        <f>((Data!$AJ$41*'Intermediate calculations'!T59)+Data!$AK$41)</f>
        <v>17715208.839882039</v>
      </c>
      <c r="U60" s="22">
        <f>((Data!$AJ$41*'Intermediate calculations'!U59)+Data!$AK$41)</f>
        <v>17378291.51543678</v>
      </c>
      <c r="V60" s="22">
        <f>((Data!$AJ$41*'Intermediate calculations'!V59)+Data!$AK$41)</f>
        <v>17544762.746147033</v>
      </c>
      <c r="W60" s="22">
        <f>((Data!$AJ$41*'Intermediate calculations'!W59)+Data!$AK$41)</f>
        <v>18332785.062775426</v>
      </c>
      <c r="X60" s="22">
        <f>((Data!$AJ$41*'Intermediate calculations'!X59)+Data!$AK$41)</f>
        <v>18305640.028913509</v>
      </c>
      <c r="Y60" s="22">
        <f>((Data!$AJ$41*'Intermediate calculations'!Y59)+Data!$AK$41)</f>
        <v>18461808.027531434</v>
      </c>
      <c r="Z60" s="22">
        <f>((Data!$AJ$41*'Intermediate calculations'!Z59)+Data!$AK$41)</f>
        <v>18751600.038590752</v>
      </c>
      <c r="AA60" s="22">
        <f>((Data!$AJ$41*'Intermediate calculations'!AA59)+Data!$AK$41)</f>
        <v>19103947.365481116</v>
      </c>
      <c r="AB60" s="22">
        <f>((Data!$AJ$41*'Intermediate calculations'!AB59)+Data!$AK$41)</f>
        <v>19345712.24667782</v>
      </c>
      <c r="AC60" s="22">
        <f>((Data!$AJ$41*'Intermediate calculations'!AC59)+Data!$AK$41)</f>
        <v>19513863.292803966</v>
      </c>
      <c r="AD60" s="22">
        <f>((Data!$AJ$41*'Intermediate calculations'!AD59)+Data!$AK$41)</f>
        <v>19606560.822370742</v>
      </c>
      <c r="AE60" s="22">
        <f>((Data!$AJ$41*'Intermediate calculations'!AE59)+Data!$AK$41)</f>
        <v>19757461.782572024</v>
      </c>
      <c r="AF60" s="22">
        <f>((Data!$AJ$41*'Intermediate calculations'!AF59)+Data!$AK$41)</f>
        <v>19917222.898001812</v>
      </c>
      <c r="AG60" s="22">
        <f>((Data!$AJ$41*'Intermediate calculations'!AG59)+Data!$AK$41)</f>
        <v>18832870.158810742</v>
      </c>
      <c r="AH60" s="22">
        <f>((Data!$AJ$41*'Intermediate calculations'!AH59)+Data!$AK$41)</f>
        <v>19255604.190077566</v>
      </c>
      <c r="AI60" s="22">
        <f>((Data!$AJ$41*'Intermediate calculations'!AI59)+Data!$AK$41)</f>
        <v>19847919.371032272</v>
      </c>
      <c r="AJ60" s="22">
        <f>((Data!$AJ$41*'Intermediate calculations'!AJ59)+Data!$AK$41)</f>
        <v>20173701.292961143</v>
      </c>
      <c r="AK60" s="22">
        <f>((Data!$AJ$41*'Intermediate calculations'!AK59)+Data!$AK$41)</f>
        <v>20536139.266539566</v>
      </c>
      <c r="AL60" s="22">
        <f>((Data!$AJ$41*'Intermediate calculations'!AL59)+Data!$AK$41)</f>
        <v>20946748.236568905</v>
      </c>
      <c r="AM60" s="22">
        <f>((Data!$AJ$41*'Intermediate calculations'!AM59)+Data!$AK$41)</f>
        <v>21386606.002381243</v>
      </c>
      <c r="AN60" s="22">
        <f>((Data!$AJ$41*'Intermediate calculations'!AN59)+Data!$AK$41)</f>
        <v>21866233.680349566</v>
      </c>
      <c r="AO60" s="22">
        <f>((Data!$AJ$41*'Intermediate calculations'!AO59)+Data!$AK$41)</f>
        <v>22357687.75762862</v>
      </c>
      <c r="AP60" s="22">
        <f>((Data!$AJ$41*'Intermediate calculations'!AP59)+Data!$AK$41)</f>
        <v>22887241.83599259</v>
      </c>
      <c r="AQ60" s="22">
        <f>((Data!$AJ$41*'Intermediate calculations'!AQ59)+Data!$AK$41)</f>
        <v>23426892.353259385</v>
      </c>
      <c r="AR60" s="22">
        <f>((Data!$AJ$41*'Intermediate calculations'!AR59)+Data!$AK$41)</f>
        <v>24026348.668870457</v>
      </c>
      <c r="AS60" s="22">
        <f>((Data!$AJ$41*'Intermediate calculations'!AS59)+Data!$AK$41)</f>
        <v>24618206.12577524</v>
      </c>
      <c r="AT60" s="22">
        <f>((Data!$AJ$41*'Intermediate calculations'!AT59)+Data!$AK$41)</f>
        <v>25240185.529813752</v>
      </c>
      <c r="AU60" s="22">
        <f>((Data!$AJ$41*'Intermediate calculations'!AU59)+Data!$AK$41)</f>
        <v>25938149.190806583</v>
      </c>
      <c r="AV60" s="22">
        <f>((Data!$AJ$41*'Intermediate calculations'!AV59)+Data!$AK$41)</f>
        <v>26604506.988000296</v>
      </c>
      <c r="AW60" s="22">
        <f>((Data!$AJ$41*'Intermediate calculations'!AW59)+Data!$AK$41)</f>
        <v>27306540.219387084</v>
      </c>
      <c r="AX60" s="22">
        <f>((Data!$AJ$41*'Intermediate calculations'!AX59)+Data!$AK$41)</f>
        <v>28054316.634722345</v>
      </c>
      <c r="AY60" s="22">
        <f>((Data!$AJ$41*'Intermediate calculations'!AY59)+Data!$AK$41)</f>
        <v>28759612.713923804</v>
      </c>
      <c r="AZ60" s="22">
        <f>((Data!$AJ$41*'Intermediate calculations'!AZ59)+Data!$AK$41)</f>
        <v>29462298.865294933</v>
      </c>
      <c r="BA60" s="22">
        <f>((Data!$AJ$41*'Intermediate calculations'!BA59)+Data!$AK$41)</f>
        <v>30164145.054833606</v>
      </c>
      <c r="BB60" s="22">
        <f>((Data!$AJ$41*'Intermediate calculations'!BB59)+Data!$AK$41)</f>
        <v>30922831.243100405</v>
      </c>
      <c r="BC60" s="22">
        <f>((Data!$AJ$41*'Intermediate calculations'!BC59)+Data!$AK$41)</f>
        <v>31655118.225014597</v>
      </c>
      <c r="BD60" s="22">
        <f>((Data!$AJ$41*'Intermediate calculations'!BD59)+Data!$AK$41)</f>
        <v>32414432.744657241</v>
      </c>
      <c r="BE60" s="22">
        <f>((Data!$AJ$41*'Intermediate calculations'!BE59)+Data!$AK$41)</f>
        <v>33204189.248866066</v>
      </c>
      <c r="BF60" s="22">
        <f>((Data!$AJ$41*'Intermediate calculations'!BF59)+Data!$AK$41)</f>
        <v>34029764.215530477</v>
      </c>
      <c r="BG60" s="22">
        <f>((Data!$AJ$41*'Intermediate calculations'!BG59)+Data!$AK$41)</f>
        <v>34889287.887460224</v>
      </c>
      <c r="BH60" s="22">
        <f>((Data!$AJ$41*'Intermediate calculations'!BH59)+Data!$AK$41)</f>
        <v>35157723.943768337</v>
      </c>
      <c r="BI60" s="22">
        <f>((Data!$AJ$41*'Intermediate calculations'!BI59)+Data!$AK$41)</f>
        <v>35371204.487732738</v>
      </c>
      <c r="BJ60" s="22">
        <f>((Data!$AJ$41*'Intermediate calculations'!BJ59)+Data!$AK$41)</f>
        <v>35504857.69699958</v>
      </c>
      <c r="BK60" s="22">
        <f>((Data!$AJ$41*'Intermediate calculations'!BK59)+Data!$AK$41)</f>
        <v>35614698.108787857</v>
      </c>
    </row>
    <row r="61" spans="1:63" x14ac:dyDescent="0.3">
      <c r="A61" t="s">
        <v>367</v>
      </c>
      <c r="B61" t="s">
        <v>361</v>
      </c>
      <c r="C61" s="22">
        <f>((Data!$AJ$42*LN('Intermediate calculations'!C60))+Data!$AK$42)</f>
        <v>3291216.8411945887</v>
      </c>
      <c r="D61" s="22">
        <f>((Data!$AJ$42*LN('Intermediate calculations'!D60))+Data!$AK$42)</f>
        <v>3319070.3486274015</v>
      </c>
      <c r="E61" s="22">
        <f>((Data!$AJ$42*LN('Intermediate calculations'!E60))+Data!$AK$42)</f>
        <v>3319731.3767311443</v>
      </c>
      <c r="F61" s="22">
        <f>((Data!$AJ$42*LN('Intermediate calculations'!F60))+Data!$AK$42)</f>
        <v>3307659.5145521946</v>
      </c>
      <c r="G61" s="22">
        <f>((Data!$AJ$42*LN('Intermediate calculations'!G60))+Data!$AK$42)</f>
        <v>3274207.49275437</v>
      </c>
      <c r="H61" s="22">
        <f>((Data!$AJ$42*LN('Intermediate calculations'!H60))+Data!$AK$42)</f>
        <v>3256165.8317827508</v>
      </c>
      <c r="I61" s="22">
        <f>((Data!$AJ$42*LN('Intermediate calculations'!I60))+Data!$AK$42)</f>
        <v>3276213.4544376917</v>
      </c>
      <c r="J61" s="22">
        <f>((Data!$AJ$42*LN('Intermediate calculations'!J60))+Data!$AK$42)</f>
        <v>3280674.0371948611</v>
      </c>
      <c r="K61" s="22">
        <f>((Data!$AJ$42*LN('Intermediate calculations'!K60))+Data!$AK$42)</f>
        <v>3284669.6459477041</v>
      </c>
      <c r="L61" s="22">
        <f>((Data!$AJ$42*LN('Intermediate calculations'!L60))+Data!$AK$42)</f>
        <v>3297089.8418645374</v>
      </c>
      <c r="M61" s="22">
        <f>((Data!$AJ$42*LN('Intermediate calculations'!M60))+Data!$AK$42)</f>
        <v>3326557.9619940948</v>
      </c>
      <c r="N61" s="22">
        <f>((Data!$AJ$42*LN('Intermediate calculations'!N60))+Data!$AK$42)</f>
        <v>3293777.5166018195</v>
      </c>
      <c r="O61" s="22">
        <f>((Data!$AJ$42*LN('Intermediate calculations'!O60))+Data!$AK$42)</f>
        <v>3320582.5419616979</v>
      </c>
      <c r="P61" s="22">
        <f>((Data!$AJ$42*LN('Intermediate calculations'!P60))+Data!$AK$42)</f>
        <v>3329356.0641698465</v>
      </c>
      <c r="Q61" s="22">
        <f>((Data!$AJ$42*LN('Intermediate calculations'!Q60))+Data!$AK$42)</f>
        <v>3361131.5914097354</v>
      </c>
      <c r="R61" s="22">
        <f>((Data!$AJ$42*LN('Intermediate calculations'!R60))+Data!$AK$42)</f>
        <v>3407914.3370274547</v>
      </c>
      <c r="S61" s="22">
        <f>((Data!$AJ$42*LN('Intermediate calculations'!S60))+Data!$AK$42)</f>
        <v>3450991.0539786909</v>
      </c>
      <c r="T61" s="22">
        <f>((Data!$AJ$42*LN('Intermediate calculations'!T60))+Data!$AK$42)</f>
        <v>3482025.5623515509</v>
      </c>
      <c r="U61" s="22">
        <f>((Data!$AJ$42*LN('Intermediate calculations'!U60))+Data!$AK$42)</f>
        <v>3467230.1714797169</v>
      </c>
      <c r="V61" s="22">
        <f>((Data!$AJ$42*LN('Intermediate calculations'!V60))+Data!$AK$42)</f>
        <v>3474576.1001284774</v>
      </c>
      <c r="W61" s="22">
        <f>((Data!$AJ$42*LN('Intermediate calculations'!W60))+Data!$AK$42)</f>
        <v>3508429.4822034501</v>
      </c>
      <c r="X61" s="22">
        <f>((Data!$AJ$42*LN('Intermediate calculations'!X60))+Data!$AK$42)</f>
        <v>3507287.7345839478</v>
      </c>
      <c r="Y61" s="22">
        <f>((Data!$AJ$42*LN('Intermediate calculations'!Y60))+Data!$AK$42)</f>
        <v>3513833.3067218531</v>
      </c>
      <c r="Z61" s="22">
        <f>((Data!$AJ$42*LN('Intermediate calculations'!Z60))+Data!$AK$42)</f>
        <v>3525834.1616909783</v>
      </c>
      <c r="AA61" s="22">
        <f>((Data!$AJ$42*LN('Intermediate calculations'!AA60))+Data!$AK$42)</f>
        <v>3540178.1669921204</v>
      </c>
      <c r="AB61" s="22">
        <f>((Data!$AJ$42*LN('Intermediate calculations'!AB60))+Data!$AK$42)</f>
        <v>3549868.1470751893</v>
      </c>
      <c r="AC61" s="22">
        <f>((Data!$AJ$42*LN('Intermediate calculations'!AC60))+Data!$AK$42)</f>
        <v>3556536.5322364159</v>
      </c>
      <c r="AD61" s="22">
        <f>((Data!$AJ$42*LN('Intermediate calculations'!AD60))+Data!$AK$42)</f>
        <v>3560188.1210105196</v>
      </c>
      <c r="AE61" s="22">
        <f>((Data!$AJ$42*LN('Intermediate calculations'!AE60))+Data!$AK$42)</f>
        <v>3566095.721297171</v>
      </c>
      <c r="AF61" s="22">
        <f>((Data!$AJ$42*LN('Intermediate calculations'!AF60))+Data!$AK$42)</f>
        <v>3572301.2157589328</v>
      </c>
      <c r="AG61" s="22">
        <f>((Data!$AJ$42*LN('Intermediate calculations'!AG60))+Data!$AK$42)</f>
        <v>3529166.4271480162</v>
      </c>
      <c r="AH61" s="22">
        <f>((Data!$AJ$42*LN('Intermediate calculations'!AH60))+Data!$AK$42)</f>
        <v>3546270.8298196383</v>
      </c>
      <c r="AI61" s="22">
        <f>((Data!$AJ$42*LN('Intermediate calculations'!AI60))+Data!$AK$42)</f>
        <v>3569615.4404246323</v>
      </c>
      <c r="AJ61" s="22">
        <f>((Data!$AJ$42*LN('Intermediate calculations'!AJ60))+Data!$AK$42)</f>
        <v>3582160.0846004635</v>
      </c>
      <c r="AK61" s="22">
        <f>((Data!$AJ$42*LN('Intermediate calculations'!AK60))+Data!$AK$42)</f>
        <v>3595880.3405040652</v>
      </c>
      <c r="AL61" s="22">
        <f>((Data!$AJ$42*LN('Intermediate calculations'!AL60))+Data!$AK$42)</f>
        <v>3611134.5632110536</v>
      </c>
      <c r="AM61" s="22">
        <f>((Data!$AJ$42*LN('Intermediate calculations'!AM60))+Data!$AK$42)</f>
        <v>3627147.1559278443</v>
      </c>
      <c r="AN61" s="22">
        <f>((Data!$AJ$42*LN('Intermediate calculations'!AN60))+Data!$AK$42)</f>
        <v>3644236.4395725913</v>
      </c>
      <c r="AO61" s="22">
        <f>((Data!$AJ$42*LN('Intermediate calculations'!AO60))+Data!$AK$42)</f>
        <v>3661362.600325441</v>
      </c>
      <c r="AP61" s="22">
        <f>((Data!$AJ$42*LN('Intermediate calculations'!AP60))+Data!$AK$42)</f>
        <v>3679400.1141631156</v>
      </c>
      <c r="AQ61" s="22">
        <f>((Data!$AJ$42*LN('Intermediate calculations'!AQ60))+Data!$AK$42)</f>
        <v>3697357.1706347931</v>
      </c>
      <c r="AR61" s="22">
        <f>((Data!$AJ$42*LN('Intermediate calculations'!AR60))+Data!$AK$42)</f>
        <v>3716825.6131215878</v>
      </c>
      <c r="AS61" s="22">
        <f>((Data!$AJ$42*LN('Intermediate calculations'!AS60))+Data!$AK$42)</f>
        <v>3735576.4548132215</v>
      </c>
      <c r="AT61" s="22">
        <f>((Data!$AJ$42*LN('Intermediate calculations'!AT60))+Data!$AK$42)</f>
        <v>3754801.9136793837</v>
      </c>
      <c r="AU61" s="22">
        <f>((Data!$AJ$42*LN('Intermediate calculations'!AU60))+Data!$AK$42)</f>
        <v>3775819.8481446952</v>
      </c>
      <c r="AV61" s="22">
        <f>((Data!$AJ$42*LN('Intermediate calculations'!AV60))+Data!$AK$42)</f>
        <v>3795364.8263388891</v>
      </c>
      <c r="AW61" s="22">
        <f>((Data!$AJ$42*LN('Intermediate calculations'!AW60))+Data!$AK$42)</f>
        <v>3815433.6028827671</v>
      </c>
      <c r="AX61" s="22">
        <f>((Data!$AJ$42*LN('Intermediate calculations'!AX60))+Data!$AK$42)</f>
        <v>3836250.2997946851</v>
      </c>
      <c r="AY61" s="22">
        <f>((Data!$AJ$42*LN('Intermediate calculations'!AY60))+Data!$AK$42)</f>
        <v>3855382.0807021372</v>
      </c>
      <c r="AZ61" s="22">
        <f>((Data!$AJ$42*LN('Intermediate calculations'!AZ60))+Data!$AK$42)</f>
        <v>3873982.0602689441</v>
      </c>
      <c r="BA61" s="22">
        <f>((Data!$AJ$42*LN('Intermediate calculations'!BA60))+Data!$AK$42)</f>
        <v>3892122.1545698177</v>
      </c>
      <c r="BB61" s="22">
        <f>((Data!$AJ$42*LN('Intermediate calculations'!BB60))+Data!$AK$42)</f>
        <v>3911262.6125641726</v>
      </c>
      <c r="BC61" s="22">
        <f>((Data!$AJ$42*LN('Intermediate calculations'!BC60))+Data!$AK$42)</f>
        <v>3929296.7865376845</v>
      </c>
      <c r="BD61" s="22">
        <f>((Data!$AJ$42*LN('Intermediate calculations'!BD60))+Data!$AK$42)</f>
        <v>3947561.2451422345</v>
      </c>
      <c r="BE61" s="22">
        <f>((Data!$AJ$42*LN('Intermediate calculations'!BE60))+Data!$AK$42)</f>
        <v>3966109.5199365783</v>
      </c>
      <c r="BF61" s="22">
        <f>((Data!$AJ$42*LN('Intermediate calculations'!BF60))+Data!$AK$42)</f>
        <v>3985033.2236568704</v>
      </c>
      <c r="BG61" s="22">
        <f>((Data!$AJ$42*LN('Intermediate calculations'!BG60))+Data!$AK$42)</f>
        <v>4004253.4062462822</v>
      </c>
      <c r="BH61" s="22">
        <f>((Data!$AJ$42*LN('Intermediate calculations'!BH60))+Data!$AK$42)</f>
        <v>4010159.084837364</v>
      </c>
      <c r="BI61" s="22">
        <f>((Data!$AJ$42*LN('Intermediate calculations'!BI60))+Data!$AK$42)</f>
        <v>4014823.6244577486</v>
      </c>
      <c r="BJ61" s="22">
        <f>((Data!$AJ$42*LN('Intermediate calculations'!BJ60))+Data!$AK$42)</f>
        <v>4017729.6322231963</v>
      </c>
      <c r="BK61" s="22">
        <f>((Data!$AJ$42*LN('Intermediate calculations'!BK60))+Data!$AK$42)</f>
        <v>4020109.7031918075</v>
      </c>
    </row>
    <row r="62" spans="1:63" s="44" customFormat="1" x14ac:dyDescent="0.3">
      <c r="A62" s="36" t="s">
        <v>875</v>
      </c>
    </row>
    <row r="63" spans="1:63" x14ac:dyDescent="0.3">
      <c r="A63" t="s">
        <v>848</v>
      </c>
      <c r="B63" t="s">
        <v>327</v>
      </c>
      <c r="Y63" s="22">
        <f>'Levers &amp; variables'!G6</f>
        <v>0.7</v>
      </c>
      <c r="Z63" s="22">
        <f t="shared" ref="Z63:AF63" si="50">Y63+(($AG63-$Y63)/8)</f>
        <v>0.70499999999999996</v>
      </c>
      <c r="AA63" s="22">
        <f t="shared" si="50"/>
        <v>0.71</v>
      </c>
      <c r="AB63" s="22">
        <f t="shared" si="50"/>
        <v>0.71499999999999997</v>
      </c>
      <c r="AC63" s="22">
        <f t="shared" si="50"/>
        <v>0.72</v>
      </c>
      <c r="AD63" s="22">
        <f t="shared" si="50"/>
        <v>0.72499999999999998</v>
      </c>
      <c r="AE63" s="22">
        <f t="shared" si="50"/>
        <v>0.73</v>
      </c>
      <c r="AF63" s="22">
        <f t="shared" si="50"/>
        <v>0.73499999999999999</v>
      </c>
      <c r="AG63" s="22">
        <f>'Levers &amp; variables'!H6</f>
        <v>0.74</v>
      </c>
      <c r="AH63" s="22">
        <f t="shared" ref="AH63:AP63" si="51">AG63+(($AQ63-$AG63)/10)</f>
        <v>0.74199999999999999</v>
      </c>
      <c r="AI63" s="22">
        <f t="shared" si="51"/>
        <v>0.74399999999999999</v>
      </c>
      <c r="AJ63" s="22">
        <f t="shared" si="51"/>
        <v>0.746</v>
      </c>
      <c r="AK63" s="22">
        <f t="shared" si="51"/>
        <v>0.748</v>
      </c>
      <c r="AL63" s="22">
        <f t="shared" si="51"/>
        <v>0.75</v>
      </c>
      <c r="AM63" s="22">
        <f t="shared" si="51"/>
        <v>0.752</v>
      </c>
      <c r="AN63" s="22">
        <f t="shared" si="51"/>
        <v>0.754</v>
      </c>
      <c r="AO63" s="22">
        <f t="shared" si="51"/>
        <v>0.75600000000000001</v>
      </c>
      <c r="AP63" s="22">
        <f t="shared" si="51"/>
        <v>0.75800000000000001</v>
      </c>
      <c r="AQ63" s="22">
        <f>'Levers &amp; variables'!I6</f>
        <v>0.76</v>
      </c>
      <c r="AR63" s="22">
        <f t="shared" ref="AR63:AZ63" si="52">AQ63+(($BA63-$AQ63)/10)</f>
        <v>0.76400000000000001</v>
      </c>
      <c r="AS63" s="22">
        <f t="shared" si="52"/>
        <v>0.76800000000000002</v>
      </c>
      <c r="AT63" s="22">
        <f t="shared" si="52"/>
        <v>0.77200000000000002</v>
      </c>
      <c r="AU63" s="22">
        <f t="shared" si="52"/>
        <v>0.77600000000000002</v>
      </c>
      <c r="AV63" s="22">
        <f t="shared" si="52"/>
        <v>0.78</v>
      </c>
      <c r="AW63" s="22">
        <f t="shared" si="52"/>
        <v>0.78400000000000003</v>
      </c>
      <c r="AX63" s="22">
        <f t="shared" si="52"/>
        <v>0.78800000000000003</v>
      </c>
      <c r="AY63" s="22">
        <f t="shared" si="52"/>
        <v>0.79200000000000004</v>
      </c>
      <c r="AZ63" s="22">
        <f t="shared" si="52"/>
        <v>0.79600000000000004</v>
      </c>
      <c r="BA63" s="22">
        <f>'Levers &amp; variables'!J6</f>
        <v>0.8</v>
      </c>
      <c r="BB63" s="22">
        <f t="shared" ref="BB63:BJ63" si="53">BA63+(($BK63-$BA63)/10)</f>
        <v>0.80300000000000005</v>
      </c>
      <c r="BC63" s="22">
        <f t="shared" si="53"/>
        <v>0.80600000000000005</v>
      </c>
      <c r="BD63" s="22">
        <f t="shared" si="53"/>
        <v>0.80900000000000005</v>
      </c>
      <c r="BE63" s="22">
        <f t="shared" si="53"/>
        <v>0.81200000000000006</v>
      </c>
      <c r="BF63" s="22">
        <f t="shared" si="53"/>
        <v>0.81500000000000006</v>
      </c>
      <c r="BG63" s="22">
        <f t="shared" si="53"/>
        <v>0.81800000000000006</v>
      </c>
      <c r="BH63" s="22">
        <f t="shared" si="53"/>
        <v>0.82100000000000006</v>
      </c>
      <c r="BI63" s="22">
        <f t="shared" si="53"/>
        <v>0.82400000000000007</v>
      </c>
      <c r="BJ63" s="22">
        <f t="shared" si="53"/>
        <v>0.82700000000000007</v>
      </c>
      <c r="BK63" s="22">
        <f>'Levers &amp; variables'!K6</f>
        <v>0.83</v>
      </c>
    </row>
    <row r="64" spans="1:63" x14ac:dyDescent="0.3">
      <c r="A64" t="s">
        <v>849</v>
      </c>
      <c r="B64" t="s">
        <v>815</v>
      </c>
      <c r="Y64" s="22">
        <f>'Levers &amp; variables'!G7</f>
        <v>0.57999999999999996</v>
      </c>
      <c r="Z64" s="22">
        <f t="shared" ref="Z64:AF64" si="54">Y64+(($AG64-$Y64)/8)</f>
        <v>0.57999999999999996</v>
      </c>
      <c r="AA64" s="22">
        <f t="shared" si="54"/>
        <v>0.57999999999999996</v>
      </c>
      <c r="AB64" s="22">
        <f t="shared" si="54"/>
        <v>0.57999999999999996</v>
      </c>
      <c r="AC64" s="22">
        <f t="shared" si="54"/>
        <v>0.57999999999999996</v>
      </c>
      <c r="AD64" s="22">
        <f t="shared" si="54"/>
        <v>0.57999999999999996</v>
      </c>
      <c r="AE64" s="22">
        <f t="shared" si="54"/>
        <v>0.57999999999999996</v>
      </c>
      <c r="AF64" s="22">
        <f t="shared" si="54"/>
        <v>0.57999999999999996</v>
      </c>
      <c r="AG64" s="22">
        <f>'Levers &amp; variables'!H7</f>
        <v>0.57999999999999996</v>
      </c>
      <c r="AH64" s="22">
        <f t="shared" ref="AH64:AP64" si="55">AG64+(($AQ64-$AG64)/10)</f>
        <v>0.57999999999999996</v>
      </c>
      <c r="AI64" s="22">
        <f t="shared" si="55"/>
        <v>0.57999999999999996</v>
      </c>
      <c r="AJ64" s="22">
        <f t="shared" si="55"/>
        <v>0.57999999999999996</v>
      </c>
      <c r="AK64" s="22">
        <f t="shared" si="55"/>
        <v>0.57999999999999996</v>
      </c>
      <c r="AL64" s="22">
        <f t="shared" si="55"/>
        <v>0.57999999999999996</v>
      </c>
      <c r="AM64" s="22">
        <f t="shared" si="55"/>
        <v>0.57999999999999996</v>
      </c>
      <c r="AN64" s="22">
        <f t="shared" si="55"/>
        <v>0.57999999999999996</v>
      </c>
      <c r="AO64" s="22">
        <f t="shared" si="55"/>
        <v>0.57999999999999996</v>
      </c>
      <c r="AP64" s="22">
        <f t="shared" si="55"/>
        <v>0.57999999999999996</v>
      </c>
      <c r="AQ64" s="22">
        <f>'Levers &amp; variables'!I7</f>
        <v>0.57999999999999996</v>
      </c>
      <c r="AR64" s="22">
        <f t="shared" ref="AR64:AZ64" si="56">AQ64+(($BA64-$AQ64)/10)</f>
        <v>0.57999999999999996</v>
      </c>
      <c r="AS64" s="22">
        <f t="shared" si="56"/>
        <v>0.57999999999999996</v>
      </c>
      <c r="AT64" s="22">
        <f t="shared" si="56"/>
        <v>0.57999999999999996</v>
      </c>
      <c r="AU64" s="22">
        <f t="shared" si="56"/>
        <v>0.57999999999999996</v>
      </c>
      <c r="AV64" s="22">
        <f t="shared" si="56"/>
        <v>0.57999999999999996</v>
      </c>
      <c r="AW64" s="22">
        <f t="shared" si="56"/>
        <v>0.57999999999999996</v>
      </c>
      <c r="AX64" s="22">
        <f t="shared" si="56"/>
        <v>0.57999999999999996</v>
      </c>
      <c r="AY64" s="22">
        <f t="shared" si="56"/>
        <v>0.57999999999999996</v>
      </c>
      <c r="AZ64" s="22">
        <f t="shared" si="56"/>
        <v>0.57999999999999996</v>
      </c>
      <c r="BA64" s="22">
        <f>'Levers &amp; variables'!J7</f>
        <v>0.57999999999999996</v>
      </c>
      <c r="BB64" s="22">
        <f t="shared" ref="BB64:BJ64" si="57">BA64+(($BK64-$BA64)/10)</f>
        <v>0.57999999999999996</v>
      </c>
      <c r="BC64" s="22">
        <f t="shared" si="57"/>
        <v>0.57999999999999996</v>
      </c>
      <c r="BD64" s="22">
        <f t="shared" si="57"/>
        <v>0.57999999999999996</v>
      </c>
      <c r="BE64" s="22">
        <f t="shared" si="57"/>
        <v>0.57999999999999996</v>
      </c>
      <c r="BF64" s="22">
        <f t="shared" si="57"/>
        <v>0.57999999999999996</v>
      </c>
      <c r="BG64" s="22">
        <f t="shared" si="57"/>
        <v>0.57999999999999996</v>
      </c>
      <c r="BH64" s="22">
        <f t="shared" si="57"/>
        <v>0.57999999999999996</v>
      </c>
      <c r="BI64" s="22">
        <f t="shared" si="57"/>
        <v>0.57999999999999996</v>
      </c>
      <c r="BJ64" s="22">
        <f t="shared" si="57"/>
        <v>0.57999999999999996</v>
      </c>
      <c r="BK64" s="22">
        <f>'Levers &amp; variables'!K7</f>
        <v>0.57999999999999996</v>
      </c>
    </row>
    <row r="65" spans="1:63" x14ac:dyDescent="0.3">
      <c r="A65" t="s">
        <v>850</v>
      </c>
      <c r="B65" t="s">
        <v>851</v>
      </c>
      <c r="Y65" s="22">
        <f>'Levers &amp; variables'!G8</f>
        <v>120</v>
      </c>
      <c r="Z65" s="22">
        <f t="shared" ref="Z65:AF65" si="58">Y65+(($AG65-$Y65)/8)</f>
        <v>120</v>
      </c>
      <c r="AA65" s="22">
        <f t="shared" si="58"/>
        <v>120</v>
      </c>
      <c r="AB65" s="22">
        <f t="shared" si="58"/>
        <v>120</v>
      </c>
      <c r="AC65" s="22">
        <f t="shared" si="58"/>
        <v>120</v>
      </c>
      <c r="AD65" s="22">
        <f t="shared" si="58"/>
        <v>120</v>
      </c>
      <c r="AE65" s="22">
        <f t="shared" si="58"/>
        <v>120</v>
      </c>
      <c r="AF65" s="22">
        <f t="shared" si="58"/>
        <v>120</v>
      </c>
      <c r="AG65" s="22">
        <f>'Levers &amp; variables'!H8</f>
        <v>120</v>
      </c>
      <c r="AH65" s="22">
        <f t="shared" ref="AH65:AP65" si="59">AG65+(($AQ65-$AG65)/10)</f>
        <v>120</v>
      </c>
      <c r="AI65" s="22">
        <f t="shared" si="59"/>
        <v>120</v>
      </c>
      <c r="AJ65" s="22">
        <f t="shared" si="59"/>
        <v>120</v>
      </c>
      <c r="AK65" s="22">
        <f t="shared" si="59"/>
        <v>120</v>
      </c>
      <c r="AL65" s="22">
        <f t="shared" si="59"/>
        <v>120</v>
      </c>
      <c r="AM65" s="22">
        <f t="shared" si="59"/>
        <v>120</v>
      </c>
      <c r="AN65" s="22">
        <f t="shared" si="59"/>
        <v>120</v>
      </c>
      <c r="AO65" s="22">
        <f t="shared" si="59"/>
        <v>120</v>
      </c>
      <c r="AP65" s="22">
        <f t="shared" si="59"/>
        <v>120</v>
      </c>
      <c r="AQ65" s="22">
        <f>'Levers &amp; variables'!I8</f>
        <v>120</v>
      </c>
      <c r="AR65" s="22">
        <f t="shared" ref="AR65:AZ65" si="60">AQ65+(($BA65-$AQ65)/10)</f>
        <v>120</v>
      </c>
      <c r="AS65" s="22">
        <f t="shared" si="60"/>
        <v>120</v>
      </c>
      <c r="AT65" s="22">
        <f t="shared" si="60"/>
        <v>120</v>
      </c>
      <c r="AU65" s="22">
        <f t="shared" si="60"/>
        <v>120</v>
      </c>
      <c r="AV65" s="22">
        <f t="shared" si="60"/>
        <v>120</v>
      </c>
      <c r="AW65" s="22">
        <f t="shared" si="60"/>
        <v>120</v>
      </c>
      <c r="AX65" s="22">
        <f t="shared" si="60"/>
        <v>120</v>
      </c>
      <c r="AY65" s="22">
        <f t="shared" si="60"/>
        <v>120</v>
      </c>
      <c r="AZ65" s="22">
        <f t="shared" si="60"/>
        <v>120</v>
      </c>
      <c r="BA65" s="22">
        <f>'Levers &amp; variables'!J8</f>
        <v>120</v>
      </c>
      <c r="BB65" s="22">
        <f t="shared" ref="BB65:BJ65" si="61">BA65+(($BK65-$BA65)/10)</f>
        <v>120</v>
      </c>
      <c r="BC65" s="22">
        <f t="shared" si="61"/>
        <v>120</v>
      </c>
      <c r="BD65" s="22">
        <f t="shared" si="61"/>
        <v>120</v>
      </c>
      <c r="BE65" s="22">
        <f t="shared" si="61"/>
        <v>120</v>
      </c>
      <c r="BF65" s="22">
        <f t="shared" si="61"/>
        <v>120</v>
      </c>
      <c r="BG65" s="22">
        <f t="shared" si="61"/>
        <v>120</v>
      </c>
      <c r="BH65" s="22">
        <f t="shared" si="61"/>
        <v>120</v>
      </c>
      <c r="BI65" s="22">
        <f t="shared" si="61"/>
        <v>120</v>
      </c>
      <c r="BJ65" s="22">
        <f t="shared" si="61"/>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00000000-0003-0000-0900-000001000000}">
          <x14:colorSeries rgb="FF376092"/>
          <x14:colorNegative rgb="FFD00000"/>
          <x14:colorAxis rgb="FF000000"/>
          <x14:colorMarkers rgb="FFD00000"/>
          <x14:colorFirst rgb="FFD00000"/>
          <x14:colorLast rgb="FFD00000"/>
          <x14:colorHigh rgb="FFD00000"/>
          <x14:colorLow rgb="FFD00000"/>
          <x14:sparklines>
            <x14:sparkline>
              <xm:f>'Intermediate calculations'!C5:BK5</xm:f>
              <xm:sqref>BM5</xm:sqref>
            </x14:sparkline>
            <x14:sparkline>
              <xm:f>'Intermediate calculations'!C6:BK6</xm:f>
              <xm:sqref>BM6</xm:sqref>
            </x14:sparkline>
            <x14:sparkline>
              <xm:f>'Intermediate calculations'!C7:BK7</xm:f>
              <xm:sqref>BM7</xm:sqref>
            </x14:sparkline>
            <x14:sparkline>
              <xm:f>'Intermediate calculations'!C8:BK8</xm:f>
              <xm:sqref>BM8</xm:sqref>
            </x14:sparkline>
            <x14:sparkline>
              <xm:f>'Intermediate calculations'!C9:BK9</xm:f>
              <xm:sqref>BM9</xm:sqref>
            </x14:sparkline>
            <x14:sparkline>
              <xm:f>'Intermediate calculations'!C10:BK10</xm:f>
              <xm:sqref>BM10</xm:sqref>
            </x14:sparkline>
            <x14:sparkline>
              <xm:f>'Intermediate calculations'!C11:BK11</xm:f>
              <xm:sqref>BM11</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499984740745262"/>
  </sheetPr>
  <dimension ref="A1:AK70"/>
  <sheetViews>
    <sheetView workbookViewId="0">
      <pane xSplit="2" ySplit="3" topLeftCell="V4" activePane="bottomRight" state="frozen"/>
      <selection pane="topRight" activeCell="C1" sqref="C1"/>
      <selection pane="bottomLeft" activeCell="A4" sqref="A4"/>
      <selection pane="bottomRight" activeCell="Y17" sqref="Y17"/>
    </sheetView>
  </sheetViews>
  <sheetFormatPr defaultColWidth="8.77734375" defaultRowHeight="14.4" outlineLevelCol="1" x14ac:dyDescent="0.3"/>
  <cols>
    <col min="1" max="1" width="29.44140625" customWidth="1"/>
    <col min="2" max="2" width="12.77734375" customWidth="1"/>
    <col min="3" max="22" width="12.6640625" customWidth="1" outlineLevel="1"/>
    <col min="23" max="29" width="12.6640625" customWidth="1"/>
    <col min="30" max="34" width="13.77734375" customWidth="1"/>
    <col min="36" max="36" width="12.6640625" bestFit="1" customWidth="1"/>
    <col min="37" max="37" width="11.6640625" bestFit="1" customWidth="1"/>
  </cols>
  <sheetData>
    <row r="1" spans="1:37" ht="18" x14ac:dyDescent="0.35">
      <c r="A1" s="1" t="s">
        <v>806</v>
      </c>
    </row>
    <row r="2" spans="1:37" x14ac:dyDescent="0.3">
      <c r="K2">
        <v>1</v>
      </c>
      <c r="L2">
        <v>2</v>
      </c>
      <c r="M2">
        <v>3</v>
      </c>
      <c r="N2">
        <v>4</v>
      </c>
      <c r="O2">
        <v>5</v>
      </c>
      <c r="P2">
        <v>6</v>
      </c>
      <c r="Q2">
        <v>7</v>
      </c>
      <c r="R2">
        <v>8</v>
      </c>
      <c r="S2">
        <v>9</v>
      </c>
      <c r="T2">
        <v>10</v>
      </c>
      <c r="U2">
        <v>11</v>
      </c>
      <c r="V2">
        <v>12</v>
      </c>
      <c r="W2">
        <v>13</v>
      </c>
      <c r="X2">
        <v>14</v>
      </c>
      <c r="Y2">
        <v>15</v>
      </c>
      <c r="Z2">
        <v>16</v>
      </c>
      <c r="AA2">
        <v>17</v>
      </c>
      <c r="AB2">
        <v>18</v>
      </c>
      <c r="AC2">
        <v>19</v>
      </c>
      <c r="AD2">
        <v>20</v>
      </c>
    </row>
    <row r="3" spans="1:3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2020</v>
      </c>
      <c r="AF3" s="17">
        <v>2030</v>
      </c>
      <c r="AG3" s="17">
        <v>2040</v>
      </c>
      <c r="AH3" s="17">
        <v>2050</v>
      </c>
      <c r="AJ3" s="19" t="s">
        <v>447</v>
      </c>
      <c r="AK3" s="19" t="s">
        <v>448</v>
      </c>
    </row>
    <row r="4" spans="1:37" x14ac:dyDescent="0.3">
      <c r="A4" t="str">
        <f>'Intermediate calculations'!A4</f>
        <v>Wealth (GDP)</v>
      </c>
      <c r="B4" t="str">
        <f>'Intermediate calculations'!B4</f>
        <v>GDP/capita</v>
      </c>
      <c r="C4">
        <f>'Intermediate calculations'!C4</f>
        <v>53.622810793908592</v>
      </c>
      <c r="D4">
        <f>'Intermediate calculations'!D4</f>
        <v>53.886630809270308</v>
      </c>
      <c r="E4">
        <f>'Intermediate calculations'!E4</f>
        <v>54.134533706461163</v>
      </c>
      <c r="F4">
        <f>'Intermediate calculations'!F4</f>
        <v>54.406389846355005</v>
      </c>
      <c r="G4">
        <f>'Intermediate calculations'!G4</f>
        <v>54.75337493173852</v>
      </c>
      <c r="H4">
        <f>'Intermediate calculations'!H4</f>
        <v>55.209553668972752</v>
      </c>
      <c r="I4">
        <f>'Intermediate calculations'!I4</f>
        <v>56.431674723183619</v>
      </c>
      <c r="J4">
        <f>'Intermediate calculations'!J4</f>
        <v>56.893520613869519</v>
      </c>
      <c r="K4">
        <f>'Intermediate calculations'!K4</f>
        <v>56.380506744184068</v>
      </c>
      <c r="L4">
        <f>'Intermediate calculations'!L4</f>
        <v>57.045724513400089</v>
      </c>
      <c r="M4">
        <f>'Intermediate calculations'!M4</f>
        <v>58.722463215445629</v>
      </c>
      <c r="N4">
        <f>'Intermediate calculations'!N4</f>
        <v>59.625113875494769</v>
      </c>
      <c r="O4">
        <f>'Intermediate calculations'!O4</f>
        <v>61.113788430185018</v>
      </c>
      <c r="P4">
        <f>'Intermediate calculations'!P4</f>
        <v>62.170337979535532</v>
      </c>
      <c r="Q4">
        <f>'Intermediate calculations'!Q4</f>
        <v>64.180209010668193</v>
      </c>
      <c r="R4">
        <f>'Intermediate calculations'!R4</f>
        <v>66.758299397046585</v>
      </c>
      <c r="S4">
        <f>'Intermediate calculations'!S4</f>
        <v>69.562904957951105</v>
      </c>
      <c r="T4">
        <f>'Intermediate calculations'!T4</f>
        <v>72.505988712436022</v>
      </c>
      <c r="U4">
        <f>'Intermediate calculations'!U4</f>
        <v>74.236547378688499</v>
      </c>
      <c r="V4">
        <f>'Intermediate calculations'!V4</f>
        <v>72.22799579918761</v>
      </c>
      <c r="W4">
        <f>'Intermediate calculations'!W4</f>
        <v>73.376760198387728</v>
      </c>
      <c r="X4">
        <f>'Intermediate calculations'!X4</f>
        <v>74.745825380003552</v>
      </c>
      <c r="Y4">
        <f>'Intermediate calculations'!Y4</f>
        <v>76.09857338160414</v>
      </c>
      <c r="Z4">
        <f>'Intermediate calculations'!Z4</f>
        <v>76.641958163345151</v>
      </c>
      <c r="AA4">
        <f>'Intermediate calculations'!AA4</f>
        <v>77.466559353368922</v>
      </c>
      <c r="AB4">
        <f>'Intermediate calculations'!AB4</f>
        <v>77.642841269428359</v>
      </c>
      <c r="AC4">
        <f>'Intermediate calculations'!AC4</f>
        <v>77.390477552263718</v>
      </c>
      <c r="AD4">
        <f>'Intermediate calculations'!AD4</f>
        <v>76.718703958036286</v>
      </c>
      <c r="AE4">
        <f>'Intermediate calculations'!AG4</f>
        <v>69.604676773006986</v>
      </c>
      <c r="AF4">
        <f>'Intermediate calculations'!AQ4</f>
        <v>83.290151926794778</v>
      </c>
      <c r="AG4">
        <f>'Intermediate calculations'!BA4</f>
        <v>104.68063924575117</v>
      </c>
      <c r="AH4">
        <f>'Intermediate calculations'!BK4</f>
        <v>120.11185911733742</v>
      </c>
    </row>
    <row r="5" spans="1:37" x14ac:dyDescent="0.3">
      <c r="A5" t="str">
        <f>'Intermediate calculations'!A6</f>
        <v>Beef consumption</v>
      </c>
      <c r="B5" t="str">
        <f>'Intermediate calculations'!B6</f>
        <v>t/capita</v>
      </c>
      <c r="C5">
        <f>C13/Drivers!D4</f>
        <v>1.8151922844328049E-2</v>
      </c>
      <c r="D5">
        <f>D13/Drivers!E4</f>
        <v>1.8929477093079208E-2</v>
      </c>
      <c r="E5">
        <f>E13/Drivers!F4</f>
        <v>1.9160849435363898E-2</v>
      </c>
      <c r="F5">
        <f>F13/Drivers!G4</f>
        <v>1.8115873466426971E-2</v>
      </c>
      <c r="G5">
        <f>G13/Drivers!H4</f>
        <v>1.6344518185421236E-2</v>
      </c>
      <c r="H5">
        <f>H13/Drivers!I4</f>
        <v>1.4166508067741876E-2</v>
      </c>
      <c r="I5">
        <f>I13/Drivers!J4</f>
        <v>1.3991142399503649E-2</v>
      </c>
      <c r="J5">
        <f>J13/Drivers!K4</f>
        <v>1.3329468330311484E-2</v>
      </c>
      <c r="K5">
        <f>K13/Drivers!L4</f>
        <v>1.2819849522437712E-2</v>
      </c>
      <c r="L5">
        <f>L13/Drivers!M4</f>
        <v>1.2607541028129859E-2</v>
      </c>
      <c r="M5">
        <f>M13/Drivers!N4</f>
        <v>1.4921819008431562E-2</v>
      </c>
      <c r="N5">
        <f>N13/Drivers!O4</f>
        <v>1.21567810458843E-2</v>
      </c>
      <c r="O5">
        <f>O13/Drivers!P4</f>
        <v>1.3044162311588505E-2</v>
      </c>
      <c r="P5">
        <f>P13/Drivers!Q4</f>
        <v>1.3763079313265579E-2</v>
      </c>
      <c r="Q5">
        <f>Q13/Drivers!R4</f>
        <v>1.4273144855926876E-2</v>
      </c>
      <c r="R5">
        <f>R13/Drivers!S4</f>
        <v>1.5100061087370227E-2</v>
      </c>
      <c r="S5">
        <f>S13/Drivers!T4</f>
        <v>1.701400710616301E-2</v>
      </c>
      <c r="T5">
        <f>T13/Drivers!U4</f>
        <v>1.7610021254379524E-2</v>
      </c>
      <c r="U5">
        <f>U13/Drivers!V4</f>
        <v>1.5407958031534726E-2</v>
      </c>
      <c r="V5">
        <f>V13/Drivers!W4</f>
        <v>1.553182299165852E-2</v>
      </c>
      <c r="W5">
        <f>W13/Drivers!X4</f>
        <v>1.7181807184041598E-2</v>
      </c>
      <c r="X5">
        <f>X13/Drivers!Y4</f>
        <v>1.6902490054067201E-2</v>
      </c>
      <c r="Y5">
        <f>Y13/Drivers!Z4</f>
        <v>1.6531158030732743E-2</v>
      </c>
      <c r="Z5">
        <f>Z13/Drivers!AA4</f>
        <v>1.713606089230426E-2</v>
      </c>
      <c r="AA5">
        <f>AA13/Drivers!AB4</f>
        <v>1.8196196501834357E-2</v>
      </c>
      <c r="AB5">
        <f>AB13/Drivers!AC4</f>
        <v>1.8684763785133236E-2</v>
      </c>
      <c r="AC5">
        <f>AC13/Drivers!AD4</f>
        <v>1.9273663203246076E-2</v>
      </c>
      <c r="AD5">
        <f>AD13/Drivers!AE4</f>
        <v>1.8134548357121919E-2</v>
      </c>
      <c r="AJ5">
        <f>SLOPE(M5:AD5,$M$4:$AD$4)</f>
        <v>2.6139706304201043E-4</v>
      </c>
      <c r="AK5">
        <f>INTERCEPT(M5:AD5,$M$4:$AD$4)</f>
        <v>-2.3011428632205531E-3</v>
      </c>
    </row>
    <row r="6" spans="1:37" x14ac:dyDescent="0.3">
      <c r="A6" t="str">
        <f>'Intermediate calculations'!A14</f>
        <v>Milk consumption</v>
      </c>
      <c r="B6" t="str">
        <f>'Intermediate calculations'!B14</f>
        <v>t/capita</v>
      </c>
      <c r="C6">
        <f>C16/Drivers!D4</f>
        <v>3.1711517903189872E-2</v>
      </c>
      <c r="D6">
        <f>D16/Drivers!E4</f>
        <v>3.0568189199328188E-2</v>
      </c>
      <c r="E6">
        <f>E16/Drivers!F4</f>
        <v>3.035740517829584E-2</v>
      </c>
      <c r="F6">
        <f>F16/Drivers!G4</f>
        <v>2.7552275522755229E-2</v>
      </c>
      <c r="G6">
        <f>G16/Drivers!H4</f>
        <v>2.6821773432486134E-2</v>
      </c>
      <c r="H6">
        <f>H16/Drivers!I4</f>
        <v>3.3714841176550943E-2</v>
      </c>
      <c r="I6">
        <f>I16/Drivers!J4</f>
        <v>3.5202755918886504E-2</v>
      </c>
      <c r="J6">
        <f>J16/Drivers!K4</f>
        <v>3.654554057053986E-2</v>
      </c>
      <c r="K6">
        <f>K16/Drivers!L4</f>
        <v>3.6811282200142577E-2</v>
      </c>
      <c r="L6">
        <f>L16/Drivers!M4</f>
        <v>3.6221307497632478E-2</v>
      </c>
      <c r="M6">
        <f>M16/Drivers!N4</f>
        <v>2.855382355711792E-2</v>
      </c>
      <c r="N6">
        <f>N16/Drivers!O4</f>
        <v>3.4561245753190924E-2</v>
      </c>
      <c r="O6">
        <f>O16/Drivers!P4</f>
        <v>3.4907218411908775E-2</v>
      </c>
      <c r="P6">
        <f>P16/Drivers!Q4</f>
        <v>3.2706042287200317E-2</v>
      </c>
      <c r="Q6">
        <f>Q16/Drivers!R4</f>
        <v>3.4382420052943855E-2</v>
      </c>
      <c r="R6">
        <f>R16/Drivers!S4</f>
        <v>3.8324498057156799E-2</v>
      </c>
      <c r="S6">
        <f>S16/Drivers!T4</f>
        <v>3.4997297041404404E-2</v>
      </c>
      <c r="T6">
        <f>T16/Drivers!U4</f>
        <v>3.6624772527894527E-2</v>
      </c>
      <c r="U6">
        <f>U16/Drivers!V4</f>
        <v>3.6541167743626687E-2</v>
      </c>
      <c r="V6">
        <f>V16/Drivers!W4</f>
        <v>3.5422065700364075E-2</v>
      </c>
      <c r="W6">
        <f>W16/Drivers!X4</f>
        <v>3.6472290704306486E-2</v>
      </c>
      <c r="X6">
        <f>X16/Drivers!Y4</f>
        <v>3.5612527394917472E-2</v>
      </c>
      <c r="Y6">
        <f>Y16/Drivers!Z4</f>
        <v>3.6616992817206866E-2</v>
      </c>
      <c r="Z6">
        <f>Z16/Drivers!AA4</f>
        <v>3.6362344596746726E-2</v>
      </c>
      <c r="AA6">
        <f>AA16/Drivers!AB4</f>
        <v>3.6652073687690814E-2</v>
      </c>
      <c r="AB6">
        <f>AB16/Drivers!AC4</f>
        <v>3.8739378287651602E-2</v>
      </c>
      <c r="AC6">
        <f>AC16/Drivers!AD4</f>
        <v>3.8223701464646598E-2</v>
      </c>
      <c r="AD6">
        <f>AD16/Drivers!AE4</f>
        <v>3.9046778755285928E-2</v>
      </c>
      <c r="AJ6">
        <f>SLOPE(M6:AD6,$M$4:$AD$4)</f>
        <v>2.7228520981253831E-4</v>
      </c>
      <c r="AK6">
        <f>INTERCEPT(M6:AD6,$M$4:$AD$4)</f>
        <v>1.6590092758160868E-2</v>
      </c>
    </row>
    <row r="7" spans="1:37" x14ac:dyDescent="0.3">
      <c r="A7" t="str">
        <f>'Intermediate calculations'!A20</f>
        <v>Lamb consumption</v>
      </c>
      <c r="B7" t="str">
        <f>'Intermediate calculations'!B20</f>
        <v>t/capita</v>
      </c>
      <c r="C7">
        <f>C22/Drivers!D4</f>
        <v>4.6999349927469751E-3</v>
      </c>
      <c r="D7">
        <f>D22/Drivers!E4</f>
        <v>5.1337590256356549E-3</v>
      </c>
      <c r="E7">
        <f>E22/Drivers!F4</f>
        <v>4.8370155133322145E-3</v>
      </c>
      <c r="F7">
        <f>F22/Drivers!G4</f>
        <v>4.4825432869713315E-3</v>
      </c>
      <c r="G7">
        <f>G22/Drivers!H4</f>
        <v>3.615022845716697E-3</v>
      </c>
      <c r="H7">
        <f>H22/Drivers!I4</f>
        <v>2.6769149486779026E-3</v>
      </c>
      <c r="I7">
        <f>I22/Drivers!J4</f>
        <v>3.1822155014234865E-3</v>
      </c>
      <c r="J7">
        <f>J22/Drivers!K4</f>
        <v>3.1050915056369576E-3</v>
      </c>
      <c r="K7">
        <f>K22/Drivers!L4</f>
        <v>3.1202598034076076E-3</v>
      </c>
      <c r="L7">
        <f>L22/Drivers!M4</f>
        <v>3.2648794977318042E-3</v>
      </c>
      <c r="M7">
        <f>M22/Drivers!N4</f>
        <v>3.4073339917613768E-3</v>
      </c>
      <c r="N7">
        <f>N22/Drivers!O4</f>
        <v>3.2796976446170891E-3</v>
      </c>
      <c r="O7">
        <f>O22/Drivers!P4</f>
        <v>2.9737223183428679E-3</v>
      </c>
      <c r="P7">
        <f>P22/Drivers!Q4</f>
        <v>2.9375505520257668E-3</v>
      </c>
      <c r="Q7">
        <f>Q22/Drivers!R4</f>
        <v>3.0411313973028199E-3</v>
      </c>
      <c r="R7">
        <f>R22/Drivers!S4</f>
        <v>3.2982042142704099E-3</v>
      </c>
      <c r="S7">
        <f>S22/Drivers!T4</f>
        <v>3.4118755583558893E-3</v>
      </c>
      <c r="T7">
        <f>T22/Drivers!U4</f>
        <v>3.8847910471221979E-3</v>
      </c>
      <c r="U7">
        <f>U22/Drivers!V4</f>
        <v>3.5689411002378874E-3</v>
      </c>
      <c r="V7">
        <f>V22/Drivers!W4</f>
        <v>3.3520209823834457E-3</v>
      </c>
      <c r="W7">
        <f>W22/Drivers!X4</f>
        <v>3.1934731625248227E-3</v>
      </c>
      <c r="X7">
        <f>X22/Drivers!Y4</f>
        <v>2.8016982945137554E-3</v>
      </c>
      <c r="Y7">
        <f>Y22/Drivers!Z4</f>
        <v>2.8204257828618939E-3</v>
      </c>
      <c r="Z7">
        <f>Z22/Drivers!AA4</f>
        <v>3.0268686020098754E-3</v>
      </c>
      <c r="AA7">
        <f>AA22/Drivers!AB4</f>
        <v>3.2779121771704055E-3</v>
      </c>
      <c r="AB7">
        <f>AB22/Drivers!AC4</f>
        <v>3.3135775619734815E-3</v>
      </c>
      <c r="AC7">
        <f>AC22/Drivers!AD4</f>
        <v>3.2279790032750002E-3</v>
      </c>
      <c r="AD7">
        <f>AD22/Drivers!AE4</f>
        <v>3.0933116436675087E-3</v>
      </c>
      <c r="AJ7">
        <f>SLOPE(M7:AD7,$M$4:$AD$4)</f>
        <v>5.2099215460454826E-7</v>
      </c>
      <c r="AK7">
        <f>INTERCEPT(M7:AD7,$M$4:$AD$4)</f>
        <v>3.1804576356140785E-3</v>
      </c>
    </row>
    <row r="8" spans="1:37" x14ac:dyDescent="0.3">
      <c r="A8" t="str">
        <f>'Intermediate calculations'!A23</f>
        <v>Chevon consumption</v>
      </c>
      <c r="B8" t="str">
        <f>'Intermediate calculations'!B23</f>
        <v>t/capita</v>
      </c>
      <c r="C8">
        <f>C20/Drivers!D4</f>
        <v>2.9999585060087078E-4</v>
      </c>
      <c r="D8">
        <f>D20/Drivers!E4</f>
        <v>3.2768674631716946E-4</v>
      </c>
      <c r="E8">
        <f>E20/Drivers!F4</f>
        <v>3.0874567106375841E-4</v>
      </c>
      <c r="F8">
        <f>F20/Drivers!G4</f>
        <v>2.8611978427476583E-4</v>
      </c>
      <c r="G8">
        <f>G20/Drivers!H4</f>
        <v>2.3074613908829981E-4</v>
      </c>
      <c r="H8">
        <f>H20/Drivers!I4</f>
        <v>1.7086691161773848E-4</v>
      </c>
      <c r="I8">
        <f>I20/Drivers!J4</f>
        <v>2.0312013838873316E-4</v>
      </c>
      <c r="J8">
        <f>J20/Drivers!K4</f>
        <v>1.9819733014703986E-4</v>
      </c>
      <c r="K8">
        <f>K20/Drivers!L4</f>
        <v>1.9916551936644304E-4</v>
      </c>
      <c r="L8">
        <f>L20/Drivers!M4</f>
        <v>2.0839656368500879E-4</v>
      </c>
      <c r="M8">
        <f>M20/Drivers!N4</f>
        <v>2.1748940372944957E-4</v>
      </c>
      <c r="N8">
        <f>N20/Drivers!O4</f>
        <v>2.093424028478993E-4</v>
      </c>
      <c r="O8">
        <f>O20/Drivers!P4</f>
        <v>1.8981206287294901E-4</v>
      </c>
      <c r="P8">
        <f>P20/Drivers!Q4</f>
        <v>1.8750322672504894E-4</v>
      </c>
      <c r="Q8">
        <f>Q20/Drivers!R4</f>
        <v>1.941147700406055E-4</v>
      </c>
      <c r="R8">
        <f>R20/Drivers!S4</f>
        <v>2.1052367325130275E-4</v>
      </c>
      <c r="S8">
        <f>S20/Drivers!T4</f>
        <v>2.1777929095888654E-4</v>
      </c>
      <c r="T8">
        <f>T20/Drivers!U4</f>
        <v>2.4796538598652329E-4</v>
      </c>
      <c r="U8">
        <f>U20/Drivers!V4</f>
        <v>2.2780475107901408E-4</v>
      </c>
      <c r="V8">
        <f>V20/Drivers!W4</f>
        <v>2.1395878610958166E-4</v>
      </c>
      <c r="W8">
        <f>W20/Drivers!X4</f>
        <v>2.0383871250158445E-4</v>
      </c>
      <c r="X8">
        <f>X20/Drivers!Y4</f>
        <v>1.788318060327929E-4</v>
      </c>
      <c r="Y8">
        <f>Y20/Drivers!Z4</f>
        <v>1.800271776294826E-4</v>
      </c>
      <c r="Z8">
        <f>Z20/Drivers!AA4</f>
        <v>1.9320437885169417E-4</v>
      </c>
      <c r="AA8">
        <f>AA20/Drivers!AB4</f>
        <v>2.0922843684066417E-4</v>
      </c>
      <c r="AB8">
        <f>AB20/Drivers!AC4</f>
        <v>2.1150495076426476E-4</v>
      </c>
      <c r="AC8">
        <f>AC20/Drivers!AD4</f>
        <v>2.0604121297500001E-4</v>
      </c>
      <c r="AD8">
        <f>AD20/Drivers!AE4</f>
        <v>1.9744542406388354E-4</v>
      </c>
      <c r="AJ8">
        <f>SLOPE(M8:AD8,$M$4:$AD$4)</f>
        <v>3.3254818379014313E-8</v>
      </c>
      <c r="AK8">
        <f>INTERCEPT(M8:AD8,$M$4:$AD$4)</f>
        <v>2.0300793418813267E-4</v>
      </c>
    </row>
    <row r="9" spans="1:37" x14ac:dyDescent="0.3">
      <c r="A9" t="str">
        <f>'Intermediate calculations'!A31</f>
        <v>Pork consumption</v>
      </c>
      <c r="B9" t="str">
        <f>'Intermediate calculations'!B31</f>
        <v>t/capita</v>
      </c>
      <c r="C9">
        <f>C25/Drivers!D4</f>
        <v>3.3966921490134823E-3</v>
      </c>
      <c r="D9">
        <f>D25/Drivers!E4</f>
        <v>3.446543448319744E-3</v>
      </c>
      <c r="E9">
        <f>E25/Drivers!F4</f>
        <v>2.8961067972479849E-3</v>
      </c>
      <c r="F9">
        <f>F25/Drivers!G4</f>
        <v>3.2548017787870187E-3</v>
      </c>
      <c r="G9">
        <f>G25/Drivers!H4</f>
        <v>3.0075885650398052E-3</v>
      </c>
      <c r="H9">
        <f>H25/Drivers!I4</f>
        <v>2.9925843277683012E-3</v>
      </c>
      <c r="I9">
        <f>I25/Drivers!J4</f>
        <v>3.1012515301776277E-3</v>
      </c>
      <c r="J9">
        <f>J25/Drivers!K4</f>
        <v>3.0939254588681106E-3</v>
      </c>
      <c r="K9">
        <f>K25/Drivers!L4</f>
        <v>2.9760364962801832E-3</v>
      </c>
      <c r="L9">
        <f>L25/Drivers!M4</f>
        <v>2.8417713229773925E-3</v>
      </c>
      <c r="M9">
        <f>M25/Drivers!N4</f>
        <v>2.9132016245969217E-3</v>
      </c>
      <c r="N9">
        <f>N25/Drivers!O4</f>
        <v>2.5235195311853692E-3</v>
      </c>
      <c r="O9">
        <f>O25/Drivers!P4</f>
        <v>2.665169375955791E-3</v>
      </c>
      <c r="P9">
        <f>P25/Drivers!Q4</f>
        <v>3.125053778750816E-3</v>
      </c>
      <c r="Q9">
        <f>Q25/Drivers!R4</f>
        <v>3.6792995628611501E-3</v>
      </c>
      <c r="R9">
        <f>R25/Drivers!S4</f>
        <v>3.801121878148522E-3</v>
      </c>
      <c r="S9">
        <f>S25/Drivers!T4</f>
        <v>3.9802465108963164E-3</v>
      </c>
      <c r="T9">
        <f>T25/Drivers!U4</f>
        <v>4.1938316513320025E-3</v>
      </c>
      <c r="U9">
        <f>U25/Drivers!V4</f>
        <v>3.9775432728081823E-3</v>
      </c>
      <c r="V9">
        <f>V25/Drivers!W4</f>
        <v>3.9423887440561802E-3</v>
      </c>
      <c r="W9">
        <f>W25/Drivers!X4</f>
        <v>4.1978278915556179E-3</v>
      </c>
      <c r="X9">
        <f>X25/Drivers!Y4</f>
        <v>4.4419513111371139E-3</v>
      </c>
      <c r="Y9">
        <f>Y25/Drivers!Z4</f>
        <v>4.5293461887672372E-3</v>
      </c>
      <c r="Z9">
        <f>Z25/Drivers!AA4</f>
        <v>4.6135548556203772E-3</v>
      </c>
      <c r="AA9">
        <f>AA25/Drivers!AB4</f>
        <v>4.3774743878011299E-3</v>
      </c>
      <c r="AB9">
        <f>AB25/Drivers!AC4</f>
        <v>4.6392277628776561E-3</v>
      </c>
      <c r="AC9">
        <f>AC25/Drivers!AD4</f>
        <v>4.7285199836321996E-3</v>
      </c>
      <c r="AD9">
        <f>AD25/Drivers!AE4</f>
        <v>4.4938295441063099E-3</v>
      </c>
      <c r="AJ9">
        <f>SLOPE(R9:AD9,$R$4:$AD$4)</f>
        <v>8.0388569397868377E-5</v>
      </c>
      <c r="AK9">
        <f>INTERCEPT(R9:AD9,$R$4:$AD$4)</f>
        <v>-1.6683173409193864E-3</v>
      </c>
    </row>
    <row r="10" spans="1:37" x14ac:dyDescent="0.3">
      <c r="A10" t="str">
        <f>'Intermediate calculations'!A36</f>
        <v>Egg consumption</v>
      </c>
      <c r="B10" t="str">
        <f>'Intermediate calculations'!B36</f>
        <v>t/capita</v>
      </c>
      <c r="C10">
        <f>C28/Drivers!D4</f>
        <v>5.6792692731505428E-3</v>
      </c>
      <c r="D10">
        <f>D28/Drivers!E4</f>
        <v>5.6735407533878863E-3</v>
      </c>
      <c r="E10">
        <f>E28/Drivers!F4</f>
        <v>5.7663554980919695E-3</v>
      </c>
      <c r="F10">
        <f>F28/Drivers!G4</f>
        <v>5.5003626959346519E-3</v>
      </c>
      <c r="G10">
        <f>G28/Drivers!H4</f>
        <v>5.7440011119202841E-3</v>
      </c>
      <c r="H10">
        <f>H28/Drivers!I4</f>
        <v>6.5643785254272408E-3</v>
      </c>
      <c r="I10">
        <f>I28/Drivers!J4</f>
        <v>6.2261767361581379E-3</v>
      </c>
      <c r="J10">
        <f>J28/Drivers!K4</f>
        <v>6.8159410484838825E-3</v>
      </c>
      <c r="K10">
        <f>K28/Drivers!L4</f>
        <v>6.9135617067431947E-3</v>
      </c>
      <c r="L10">
        <f>L28/Drivers!M4</f>
        <v>6.7435684569066689E-3</v>
      </c>
      <c r="M10">
        <f>M28/Drivers!N4</f>
        <v>6.8938359055347002E-3</v>
      </c>
      <c r="N10">
        <f>N28/Drivers!O4</f>
        <v>6.7586436139573363E-3</v>
      </c>
      <c r="O10">
        <f>O28/Drivers!P4</f>
        <v>6.7820976802777447E-3</v>
      </c>
      <c r="P10">
        <f>P28/Drivers!Q4</f>
        <v>6.5283657706780738E-3</v>
      </c>
      <c r="Q10">
        <f>Q28/Drivers!R4</f>
        <v>6.9568365297776923E-3</v>
      </c>
      <c r="R10">
        <f>R28/Drivers!S4</f>
        <v>7.456046760983639E-3</v>
      </c>
      <c r="S10">
        <f>S28/Drivers!T4</f>
        <v>8.0842312552920001E-3</v>
      </c>
      <c r="T10">
        <f>T28/Drivers!U4</f>
        <v>8.4690969269617146E-3</v>
      </c>
      <c r="U10">
        <f>U28/Drivers!V4</f>
        <v>8.1157953647197252E-3</v>
      </c>
      <c r="V10">
        <f>V28/Drivers!W4</f>
        <v>7.5083685125492076E-3</v>
      </c>
      <c r="W10">
        <f>W28/Drivers!X4</f>
        <v>7.5365654239091563E-3</v>
      </c>
      <c r="X10">
        <f>X28/Drivers!Y4</f>
        <v>8.191650469889223E-3</v>
      </c>
      <c r="Y10">
        <f>Y28/Drivers!Z4</f>
        <v>8.5426909129913721E-3</v>
      </c>
      <c r="Z10">
        <f>Z28/Drivers!AA4</f>
        <v>8.1537520509535645E-3</v>
      </c>
      <c r="AA10">
        <f>AA28/Drivers!AB4</f>
        <v>7.7533232800884424E-3</v>
      </c>
      <c r="AB10">
        <f>AB28/Drivers!AC4</f>
        <v>7.9999281895291856E-3</v>
      </c>
      <c r="AC10">
        <f>AC28/Drivers!AD4</f>
        <v>7.9288110752159698E-3</v>
      </c>
      <c r="AD10">
        <f>AD28/Drivers!AE4</f>
        <v>7.2892038274480304E-3</v>
      </c>
      <c r="AJ10">
        <f>SLOPE(M10:AD10,$M$4:$AD$4)</f>
        <v>7.3898192529998512E-5</v>
      </c>
      <c r="AK10">
        <f>INTERCEPT(M10:AD10,$M$4:$AD$4)</f>
        <v>2.3894968867762918E-3</v>
      </c>
    </row>
    <row r="11" spans="1:37" x14ac:dyDescent="0.3">
      <c r="A11" t="str">
        <f>'Intermediate calculations'!A41</f>
        <v>Chicken consumption</v>
      </c>
      <c r="B11" t="str">
        <f>'Intermediate calculations'!B41</f>
        <v>t/capita</v>
      </c>
      <c r="C11">
        <f>C31/Drivers!D4</f>
        <v>1.3043297852211772E-2</v>
      </c>
      <c r="D11">
        <f>D31/Drivers!E4</f>
        <v>1.2274997050554164E-2</v>
      </c>
      <c r="E11">
        <f>E31/Drivers!F4</f>
        <v>1.1868866249435938E-2</v>
      </c>
      <c r="F11">
        <f>F31/Drivers!G4</f>
        <v>1.1379190714984073E-2</v>
      </c>
      <c r="G11">
        <f>G31/Drivers!H4</f>
        <v>1.200570189487201E-2</v>
      </c>
      <c r="H11">
        <f>H31/Drivers!I4</f>
        <v>1.2983954583381823E-2</v>
      </c>
      <c r="I11">
        <f>I31/Drivers!J4</f>
        <v>1.436992121234977E-2</v>
      </c>
      <c r="J11">
        <f>J31/Drivers!K4</f>
        <v>1.6120980022523313E-2</v>
      </c>
      <c r="K11">
        <f>K31/Drivers!L4</f>
        <v>1.657423402543733E-2</v>
      </c>
      <c r="L11">
        <f>L31/Drivers!M4</f>
        <v>1.6870198012595948E-2</v>
      </c>
      <c r="M11">
        <f>M31/Drivers!N4</f>
        <v>1.7701591550985878E-2</v>
      </c>
      <c r="N11">
        <f>N31/Drivers!O4</f>
        <v>1.8059622384048336E-2</v>
      </c>
      <c r="O11">
        <f>O31/Drivers!P4</f>
        <v>1.8244492801258342E-2</v>
      </c>
      <c r="P11">
        <f>P31/Drivers!Q4</f>
        <v>1.896436745187139E-2</v>
      </c>
      <c r="Q11">
        <f>Q31/Drivers!R4</f>
        <v>2.1610598581862619E-2</v>
      </c>
      <c r="R11">
        <f>R31/Drivers!S4</f>
        <v>2.6586967861994881E-2</v>
      </c>
      <c r="S11">
        <f>S31/Drivers!T4</f>
        <v>3.0336490246261564E-2</v>
      </c>
      <c r="T11">
        <f>T31/Drivers!U4</f>
        <v>3.1779471882180853E-2</v>
      </c>
      <c r="U11">
        <f>U31/Drivers!V4</f>
        <v>3.2443092856490982E-2</v>
      </c>
      <c r="V11">
        <f>V31/Drivers!W4</f>
        <v>3.2529659888141951E-2</v>
      </c>
      <c r="W11">
        <f>W31/Drivers!X4</f>
        <v>3.2645433649679041E-2</v>
      </c>
      <c r="X11">
        <f>X31/Drivers!Y4</f>
        <v>3.3766521655224126E-2</v>
      </c>
      <c r="Y11">
        <f>Y31/Drivers!Z4</f>
        <v>3.4610320455094795E-2</v>
      </c>
      <c r="Z11">
        <f>Z31/Drivers!AA4</f>
        <v>3.419679844002696E-2</v>
      </c>
      <c r="AA11">
        <f>AA31/Drivers!AB4</f>
        <v>3.2997995491094112E-2</v>
      </c>
      <c r="AB11">
        <f>AB31/Drivers!AC4</f>
        <v>3.3278240094342867E-2</v>
      </c>
      <c r="AC11">
        <f>AC31/Drivers!AD4</f>
        <v>3.4825639575268325E-2</v>
      </c>
      <c r="AD11">
        <f>AD31/Drivers!AE4</f>
        <v>3.36329526115988E-2</v>
      </c>
      <c r="AJ11">
        <f>SLOPE(M11:AD11,$M$4:$AD$4)</f>
        <v>9.5645646374617314E-4</v>
      </c>
      <c r="AK11">
        <f>INTERCEPT(M11:AD11,$M$4:$AD$4)</f>
        <v>-3.8756843624950556E-2</v>
      </c>
    </row>
    <row r="12" spans="1:37" x14ac:dyDescent="0.3">
      <c r="A12" t="str">
        <f>'Intermediate calculations'!A48</f>
        <v>Sorghum consumption (human)</v>
      </c>
      <c r="B12" t="str">
        <f>'Intermediate calculations'!B48</f>
        <v>t/capita</v>
      </c>
      <c r="C12">
        <f>C43/Drivers!D4</f>
        <v>5.2716662152689246E-3</v>
      </c>
      <c r="D12">
        <f>D43/Drivers!E4</f>
        <v>5.169815172479616E-3</v>
      </c>
      <c r="E12">
        <f>E43/Drivers!F4</f>
        <v>5.1457611843959729E-3</v>
      </c>
      <c r="F12">
        <f>F43/Drivers!G4</f>
        <v>5.0462043081969284E-3</v>
      </c>
      <c r="G12">
        <f>G43/Drivers!H4</f>
        <v>4.5360352128469197E-3</v>
      </c>
      <c r="H12">
        <f>H43/Drivers!I4</f>
        <v>4.4164752579161221E-3</v>
      </c>
      <c r="I12">
        <f>I43/Drivers!J4</f>
        <v>4.2849353203217606E-3</v>
      </c>
      <c r="J12">
        <f>J43/Drivers!K4</f>
        <v>4.164004940882645E-3</v>
      </c>
      <c r="K12">
        <f>K43/Drivers!L4</f>
        <v>4.0519881526276339E-3</v>
      </c>
      <c r="L12">
        <f>L43/Drivers!M4</f>
        <v>3.9581814855756533E-3</v>
      </c>
      <c r="M12">
        <f>M43/Drivers!N4</f>
        <v>3.8694433792356062E-3</v>
      </c>
      <c r="N12">
        <f>N43/Drivers!O4</f>
        <v>4.0815185460911186E-3</v>
      </c>
      <c r="O12">
        <f>O43/Drivers!P4</f>
        <v>4.1169283043219537E-3</v>
      </c>
      <c r="P12">
        <f>P43/Drivers!Q4</f>
        <v>3.7243791609769998E-3</v>
      </c>
      <c r="Q12">
        <f>Q43/Drivers!R4</f>
        <v>3.5735725639283586E-3</v>
      </c>
      <c r="R12">
        <f>R43/Drivers!S4</f>
        <v>3.7384660230142057E-3</v>
      </c>
      <c r="S12">
        <f>S43/Drivers!T4</f>
        <v>3.9390004330631945E-3</v>
      </c>
      <c r="T12">
        <f>T43/Drivers!U4</f>
        <v>3.7052299055457499E-3</v>
      </c>
      <c r="U12">
        <f>U43/Drivers!V4</f>
        <v>3.7163914417652206E-3</v>
      </c>
      <c r="V12">
        <f>V43/Drivers!W4</f>
        <v>3.5065467723514772E-3</v>
      </c>
      <c r="W12">
        <f>W43/Drivers!X4</f>
        <v>3.5925596839359707E-3</v>
      </c>
      <c r="X12">
        <f>X43/Drivers!Y4</f>
        <v>3.499719214835302E-3</v>
      </c>
      <c r="Y12">
        <f>Y43/Drivers!Z4</f>
        <v>3.4973432596810314E-3</v>
      </c>
      <c r="Z12">
        <f>Z43/Drivers!AA4</f>
        <v>2.9941029471168977E-3</v>
      </c>
      <c r="AA12">
        <f>AA43/Drivers!AB4</f>
        <v>3.0605223474033326E-3</v>
      </c>
      <c r="AB12">
        <f>AB43/Drivers!AC4</f>
        <v>2.7944954634656744E-3</v>
      </c>
      <c r="AC12">
        <f>AC43/Drivers!AD4</f>
        <v>2.6788953519437174E-3</v>
      </c>
      <c r="AD12">
        <f>AD43/Drivers!AE4</f>
        <v>2.8484510102406136E-3</v>
      </c>
      <c r="AJ12">
        <f>SLOPE(R12:AB12,$R$4:$AB$4)</f>
        <v>-8.3399205861028669E-5</v>
      </c>
      <c r="AK12">
        <f>INTERCEPT(R12:AB12,$R$4:$AB$4)</f>
        <v>9.6093792744095137E-3</v>
      </c>
    </row>
    <row r="13" spans="1:37" x14ac:dyDescent="0.3">
      <c r="A13" t="str">
        <f>'Intermediate calculations'!A5</f>
        <v>Beef consumption</v>
      </c>
      <c r="B13" t="str">
        <f>'Intermediate calculations'!B5</f>
        <v>t</v>
      </c>
      <c r="C13">
        <v>668000</v>
      </c>
      <c r="D13">
        <v>714000</v>
      </c>
      <c r="E13">
        <v>741000</v>
      </c>
      <c r="F13">
        <v>718000</v>
      </c>
      <c r="G13">
        <v>663000</v>
      </c>
      <c r="H13">
        <v>587000</v>
      </c>
      <c r="I13">
        <v>591000</v>
      </c>
      <c r="J13">
        <v>573000</v>
      </c>
      <c r="K13">
        <v>560000</v>
      </c>
      <c r="L13">
        <v>559000</v>
      </c>
      <c r="M13">
        <v>671000</v>
      </c>
      <c r="N13">
        <v>554000</v>
      </c>
      <c r="O13">
        <v>602000</v>
      </c>
      <c r="P13">
        <v>643000</v>
      </c>
      <c r="Q13">
        <v>675000</v>
      </c>
      <c r="R13">
        <v>723000</v>
      </c>
      <c r="S13">
        <v>825000</v>
      </c>
      <c r="T13">
        <v>865000</v>
      </c>
      <c r="U13">
        <v>767000</v>
      </c>
      <c r="V13">
        <v>784000</v>
      </c>
      <c r="W13">
        <v>880000</v>
      </c>
      <c r="X13">
        <v>879000</v>
      </c>
      <c r="Y13">
        <v>865000</v>
      </c>
      <c r="Z13">
        <v>910000</v>
      </c>
      <c r="AA13">
        <v>981000</v>
      </c>
      <c r="AB13">
        <v>1023000</v>
      </c>
      <c r="AC13">
        <v>1072000</v>
      </c>
      <c r="AD13">
        <v>1025000</v>
      </c>
      <c r="AF13" s="79"/>
      <c r="AG13" s="79"/>
      <c r="AH13" s="79"/>
    </row>
    <row r="14" spans="1:37" x14ac:dyDescent="0.3">
      <c r="A14" t="str">
        <f>'Intermediate calculations'!A8</f>
        <v>Beef production</v>
      </c>
      <c r="C14">
        <v>610300</v>
      </c>
      <c r="D14">
        <v>664900</v>
      </c>
      <c r="E14">
        <v>703500</v>
      </c>
      <c r="F14">
        <v>694000</v>
      </c>
      <c r="G14">
        <v>611200</v>
      </c>
      <c r="H14">
        <v>507500</v>
      </c>
      <c r="I14">
        <v>507000</v>
      </c>
      <c r="J14">
        <v>502400</v>
      </c>
      <c r="K14">
        <v>496300</v>
      </c>
      <c r="L14">
        <v>511700</v>
      </c>
      <c r="M14">
        <v>624600</v>
      </c>
      <c r="N14">
        <v>524300</v>
      </c>
      <c r="O14">
        <v>573400</v>
      </c>
      <c r="P14">
        <v>609700</v>
      </c>
      <c r="Q14">
        <v>631700</v>
      </c>
      <c r="R14">
        <v>672300</v>
      </c>
      <c r="S14">
        <v>808100</v>
      </c>
      <c r="T14">
        <v>861400</v>
      </c>
      <c r="U14">
        <v>770200</v>
      </c>
      <c r="V14">
        <v>796700</v>
      </c>
      <c r="W14">
        <v>885800</v>
      </c>
      <c r="X14">
        <v>869500</v>
      </c>
      <c r="Y14">
        <v>852100</v>
      </c>
      <c r="Z14">
        <v>904500</v>
      </c>
      <c r="AA14">
        <v>982600</v>
      </c>
      <c r="AB14">
        <v>1037900</v>
      </c>
      <c r="AC14">
        <v>1090900</v>
      </c>
      <c r="AD14">
        <v>1046300</v>
      </c>
      <c r="AJ14">
        <f>SLOPE(W14:AD14,W13:AD13)</f>
        <v>1.1425667845690142</v>
      </c>
      <c r="AK14">
        <f>INTERCEPT(W14:AD14,W13:AD13)</f>
        <v>-131737.17502305284</v>
      </c>
    </row>
    <row r="15" spans="1:37" x14ac:dyDescent="0.3">
      <c r="A15" t="s">
        <v>847</v>
      </c>
      <c r="B15" t="s">
        <v>815</v>
      </c>
      <c r="C15">
        <f>SUM(C54:C55)/'Intermediate calculations'!C10</f>
        <v>53.402776152243625</v>
      </c>
      <c r="D15">
        <f>SUM(D54:D55)/'Intermediate calculations'!D10</f>
        <v>48.956276991169453</v>
      </c>
      <c r="E15">
        <f>SUM(E54:E55)/'Intermediate calculations'!E10</f>
        <v>47.194598436389484</v>
      </c>
      <c r="F15">
        <f>SUM(F54:F55)/'Intermediate calculations'!F10</f>
        <v>45.863112391930834</v>
      </c>
      <c r="G15">
        <f>SUM(G54:G55)/'Intermediate calculations'!G10</f>
        <v>49.897391548242332</v>
      </c>
      <c r="H15">
        <f>SUM(H54:H55)/'Intermediate calculations'!H10</f>
        <v>60.053089373680507</v>
      </c>
      <c r="I15">
        <f>SUM(I54:I55)/'Intermediate calculations'!I10</f>
        <v>62.291011552550017</v>
      </c>
      <c r="J15">
        <f>SUM(J54:J55)/'Intermediate calculations'!J10</f>
        <v>65.440741583257505</v>
      </c>
      <c r="K15">
        <f>SUM(K54:K55)/'Intermediate calculations'!K10</f>
        <v>68.203390806251974</v>
      </c>
      <c r="L15">
        <f>SUM(L54:L55)/'Intermediate calculations'!L10</f>
        <v>66.6343560680086</v>
      </c>
      <c r="M15">
        <f>SUM(M54:M55)/'Intermediate calculations'!M10</f>
        <v>51.89867801106994</v>
      </c>
      <c r="N15">
        <f>SUM(N54:N55)/'Intermediate calculations'!N10</f>
        <v>61.355058445273968</v>
      </c>
      <c r="O15">
        <f>SUM(O54:O55)/'Intermediate calculations'!O10</f>
        <v>57.102047934625539</v>
      </c>
      <c r="P15">
        <f>SUM(P54:P55)/'Intermediate calculations'!P10</f>
        <v>55.049415403359966</v>
      </c>
      <c r="Q15">
        <f>SUM(Q54:Q55)/'Intermediate calculations'!Q10</f>
        <v>52.98274497388001</v>
      </c>
      <c r="R15">
        <f>SUM(R54:R55)/'Intermediate calculations'!R10</f>
        <v>49.327893584921696</v>
      </c>
      <c r="S15">
        <f>SUM(S54:S55)/'Intermediate calculations'!S10</f>
        <v>41.133098803189135</v>
      </c>
      <c r="T15">
        <f>SUM(T54:T55)/'Intermediate calculations'!T10</f>
        <v>39.914690371156588</v>
      </c>
      <c r="U15">
        <f>SUM(U54:U55)/'Intermediate calculations'!U10</f>
        <v>43.655274140297507</v>
      </c>
      <c r="V15">
        <f>SUM(V54:V55)/'Intermediate calculations'!V10</f>
        <v>41.61781844154757</v>
      </c>
      <c r="W15">
        <f>SUM(W54:W55)/'Intermediate calculations'!W10</f>
        <v>37.11227193067338</v>
      </c>
      <c r="X15">
        <f>SUM(X54:X55)/'Intermediate calculations'!X10</f>
        <v>37.868331005777812</v>
      </c>
      <c r="Y15">
        <f>SUM(Y54:Y55)/'Intermediate calculations'!Y10</f>
        <v>42.594955719368897</v>
      </c>
      <c r="Z15">
        <f>SUM(Z54:Z55)/'Intermediate calculations'!Z10</f>
        <v>41.560458796157924</v>
      </c>
      <c r="AA15">
        <f>SUM(AA54:AA55)/'Intermediate calculations'!AA10</f>
        <v>41.398998366070714</v>
      </c>
      <c r="AB15">
        <f>SUM(AB54:AB55)/'Intermediate calculations'!AB10</f>
        <v>40.503756933107503</v>
      </c>
      <c r="AC15">
        <f>SUM(AC54:AC55)/'Intermediate calculations'!AC10</f>
        <v>39.312134004260407</v>
      </c>
      <c r="AD15">
        <f>SUM(AD54:AD55)/'Intermediate calculations'!AD10</f>
        <v>37.700128748081923</v>
      </c>
      <c r="AJ15">
        <f>SLOPE(K15:AD15,LN(K2:AD2))</f>
        <v>-11.2209132599653</v>
      </c>
      <c r="AK15">
        <f>INTERCEPT(K15:AD15,LN(K2:AD2))</f>
        <v>71.098489130017754</v>
      </c>
    </row>
    <row r="16" spans="1:37" x14ac:dyDescent="0.3">
      <c r="A16" t="str">
        <f>'Intermediate calculations'!A12</f>
        <v>Milk consumption</v>
      </c>
      <c r="B16" t="str">
        <f>'Intermediate calculations'!B12</f>
        <v>t</v>
      </c>
      <c r="C16">
        <v>1167000</v>
      </c>
      <c r="D16">
        <v>1153000</v>
      </c>
      <c r="E16">
        <v>1174000</v>
      </c>
      <c r="F16">
        <v>1092000</v>
      </c>
      <c r="G16">
        <v>1088000</v>
      </c>
      <c r="H16">
        <v>1397000</v>
      </c>
      <c r="I16">
        <v>1487000</v>
      </c>
      <c r="J16">
        <v>1571000</v>
      </c>
      <c r="K16">
        <v>1608000</v>
      </c>
      <c r="L16">
        <v>1606000</v>
      </c>
      <c r="M16">
        <v>1284000</v>
      </c>
      <c r="N16">
        <v>1575000</v>
      </c>
      <c r="O16">
        <v>1611000</v>
      </c>
      <c r="P16">
        <v>1528000</v>
      </c>
      <c r="Q16">
        <v>1626000</v>
      </c>
      <c r="R16">
        <v>1835000</v>
      </c>
      <c r="S16">
        <v>1697000</v>
      </c>
      <c r="T16">
        <v>1799000</v>
      </c>
      <c r="U16">
        <v>1819000</v>
      </c>
      <c r="V16">
        <v>1788000</v>
      </c>
      <c r="W16">
        <v>1868000</v>
      </c>
      <c r="X16">
        <v>1852000</v>
      </c>
      <c r="Y16">
        <v>1916000</v>
      </c>
      <c r="Z16">
        <v>1931000</v>
      </c>
      <c r="AA16">
        <v>1976000</v>
      </c>
      <c r="AB16">
        <v>2121000</v>
      </c>
      <c r="AC16">
        <v>2126000</v>
      </c>
      <c r="AD16">
        <v>2207000</v>
      </c>
    </row>
    <row r="17" spans="1:37" x14ac:dyDescent="0.3">
      <c r="A17" t="str">
        <f>'Intermediate calculations'!A15</f>
        <v>Milk production</v>
      </c>
      <c r="B17" t="str">
        <f>'Intermediate calculations'!B15</f>
        <v>t</v>
      </c>
      <c r="C17">
        <v>2119000</v>
      </c>
      <c r="D17">
        <v>2163000</v>
      </c>
      <c r="E17">
        <v>2107000</v>
      </c>
      <c r="F17">
        <v>2002000</v>
      </c>
      <c r="G17">
        <v>2006000</v>
      </c>
      <c r="H17">
        <v>2297000</v>
      </c>
      <c r="I17">
        <v>2450000</v>
      </c>
      <c r="J17">
        <v>2437000</v>
      </c>
      <c r="K17">
        <v>2501000</v>
      </c>
      <c r="L17">
        <v>2543000</v>
      </c>
      <c r="M17">
        <v>2370000</v>
      </c>
      <c r="N17">
        <v>2358000</v>
      </c>
      <c r="O17">
        <v>2457000</v>
      </c>
      <c r="P17">
        <v>2354000</v>
      </c>
      <c r="Q17">
        <v>2505000</v>
      </c>
      <c r="R17">
        <v>2657000</v>
      </c>
      <c r="S17">
        <v>2513000</v>
      </c>
      <c r="T17">
        <v>2559000</v>
      </c>
      <c r="U17">
        <v>2625000</v>
      </c>
      <c r="V17">
        <v>2587000</v>
      </c>
      <c r="W17">
        <v>2711000</v>
      </c>
      <c r="X17">
        <v>2720000</v>
      </c>
      <c r="Y17">
        <v>2843000</v>
      </c>
      <c r="Z17">
        <v>2906000</v>
      </c>
      <c r="AA17">
        <v>2983000</v>
      </c>
      <c r="AB17">
        <v>3173000</v>
      </c>
      <c r="AC17">
        <v>3158000</v>
      </c>
      <c r="AD17">
        <v>3097986.6</v>
      </c>
      <c r="AJ17">
        <f>SLOPE(M17:AD17,M16:AD16)</f>
        <v>1.0941524521183956</v>
      </c>
      <c r="AK17">
        <f>INTERCEPT(M17:AD17,M16:AD16)</f>
        <v>719582.0506376198</v>
      </c>
    </row>
    <row r="18" spans="1:37" x14ac:dyDescent="0.3">
      <c r="A18" t="s">
        <v>840</v>
      </c>
      <c r="B18" t="s">
        <v>815</v>
      </c>
      <c r="C18">
        <f t="shared" ref="C18:AD18" si="0">SUM(C51:C53)/C17</f>
        <v>0.69526800377536568</v>
      </c>
      <c r="D18">
        <f t="shared" si="0"/>
        <v>0.78019747572815545</v>
      </c>
      <c r="E18">
        <f t="shared" si="0"/>
        <v>0.69287114855244414</v>
      </c>
      <c r="F18">
        <f t="shared" si="0"/>
        <v>0.76935057442557442</v>
      </c>
      <c r="G18">
        <f t="shared" si="0"/>
        <v>0.70104982552342976</v>
      </c>
      <c r="H18">
        <f t="shared" si="0"/>
        <v>0.65888248585111009</v>
      </c>
      <c r="I18">
        <f t="shared" si="0"/>
        <v>0.62320263673469389</v>
      </c>
      <c r="J18">
        <f t="shared" si="0"/>
        <v>0.60454366023799755</v>
      </c>
      <c r="K18">
        <f t="shared" si="0"/>
        <v>0.57300788884446219</v>
      </c>
      <c r="L18">
        <f t="shared" si="0"/>
        <v>0.56881090051120731</v>
      </c>
      <c r="M18">
        <f t="shared" si="0"/>
        <v>0.77421705907173</v>
      </c>
      <c r="N18">
        <f t="shared" si="0"/>
        <v>0.77247711620016968</v>
      </c>
      <c r="O18">
        <f t="shared" si="0"/>
        <v>0.65958493691493691</v>
      </c>
      <c r="P18">
        <f t="shared" si="0"/>
        <v>0.60879045454545455</v>
      </c>
      <c r="Q18">
        <f t="shared" si="0"/>
        <v>0.5453595928143713</v>
      </c>
      <c r="R18">
        <f t="shared" si="0"/>
        <v>0.55448735415882566</v>
      </c>
      <c r="S18">
        <f t="shared" si="0"/>
        <v>0.57560132113012341</v>
      </c>
      <c r="T18">
        <f t="shared" si="0"/>
        <v>0.56525444314185236</v>
      </c>
      <c r="U18">
        <f t="shared" si="0"/>
        <v>0.66329169523809528</v>
      </c>
      <c r="V18">
        <f t="shared" si="0"/>
        <v>0.69374343254735216</v>
      </c>
      <c r="W18">
        <f t="shared" si="0"/>
        <v>0.66201189966801921</v>
      </c>
      <c r="X18">
        <f t="shared" si="0"/>
        <v>0.63027717647058834</v>
      </c>
      <c r="Y18">
        <f t="shared" si="0"/>
        <v>0.58416474147027786</v>
      </c>
      <c r="Z18">
        <f t="shared" si="0"/>
        <v>0.62680696490020649</v>
      </c>
      <c r="AA18">
        <f t="shared" si="0"/>
        <v>0.56572817298022127</v>
      </c>
      <c r="AB18">
        <f t="shared" si="0"/>
        <v>0.53185223447841168</v>
      </c>
      <c r="AC18">
        <f t="shared" si="0"/>
        <v>0.55134284357188101</v>
      </c>
      <c r="AD18">
        <f t="shared" si="0"/>
        <v>0.60957913439651412</v>
      </c>
      <c r="AJ18">
        <f>SLOPE(M18:AD18,LN(M2:AD2))</f>
        <v>-7.7168579193124878E-2</v>
      </c>
      <c r="AK18">
        <f>INTERCEPT(M18:AD18,LN(M2:AD2))</f>
        <v>0.79933670900805098</v>
      </c>
    </row>
    <row r="19" spans="1:37" x14ac:dyDescent="0.3">
      <c r="A19" t="str">
        <f>'Intermediate calculations'!A17</f>
        <v>Lamb and chevon consumption</v>
      </c>
      <c r="B19" t="str">
        <f>'Intermediate calculations'!B17</f>
        <v>t</v>
      </c>
      <c r="C19">
        <v>184000</v>
      </c>
      <c r="D19">
        <v>206000</v>
      </c>
      <c r="E19">
        <v>199000</v>
      </c>
      <c r="F19">
        <v>189000</v>
      </c>
      <c r="G19">
        <v>156000</v>
      </c>
      <c r="H19">
        <v>118000</v>
      </c>
      <c r="I19">
        <v>143000</v>
      </c>
      <c r="J19">
        <v>142000</v>
      </c>
      <c r="K19">
        <v>145000</v>
      </c>
      <c r="L19">
        <v>154000</v>
      </c>
      <c r="M19">
        <v>163000</v>
      </c>
      <c r="N19">
        <v>159000</v>
      </c>
      <c r="O19">
        <v>146000</v>
      </c>
      <c r="P19">
        <v>146000</v>
      </c>
      <c r="Q19">
        <v>153000</v>
      </c>
      <c r="R19">
        <v>168000</v>
      </c>
      <c r="S19">
        <v>176000</v>
      </c>
      <c r="T19">
        <v>203000</v>
      </c>
      <c r="U19">
        <v>189000</v>
      </c>
      <c r="V19">
        <v>180000</v>
      </c>
      <c r="W19">
        <v>174000</v>
      </c>
      <c r="X19">
        <v>155000</v>
      </c>
      <c r="Y19">
        <v>157000</v>
      </c>
      <c r="Z19">
        <v>171000</v>
      </c>
      <c r="AA19">
        <v>188000</v>
      </c>
      <c r="AB19">
        <v>193000</v>
      </c>
      <c r="AC19">
        <v>191000</v>
      </c>
      <c r="AD19">
        <v>186000</v>
      </c>
    </row>
    <row r="20" spans="1:37" x14ac:dyDescent="0.3">
      <c r="A20" t="str">
        <f>'Intermediate calculations'!A22</f>
        <v>Chevon consumption</v>
      </c>
      <c r="B20" t="str">
        <f>'Intermediate calculations'!B22</f>
        <v>t</v>
      </c>
      <c r="C20">
        <f>C19*Constants!$H$27</f>
        <v>11040</v>
      </c>
      <c r="D20">
        <f>D19*Constants!$H$27</f>
        <v>12360</v>
      </c>
      <c r="E20">
        <f>E19*Constants!$H$27</f>
        <v>11940</v>
      </c>
      <c r="F20">
        <f>F19*Constants!$H$27</f>
        <v>11340</v>
      </c>
      <c r="G20">
        <f>G19*Constants!$H$27</f>
        <v>9360</v>
      </c>
      <c r="H20">
        <f>H19*Constants!$H$27</f>
        <v>7080</v>
      </c>
      <c r="I20">
        <f>I19*Constants!$H$27</f>
        <v>8580</v>
      </c>
      <c r="J20">
        <f>J19*Constants!$H$27</f>
        <v>8520</v>
      </c>
      <c r="K20">
        <f>K19*Constants!$H$27</f>
        <v>8700</v>
      </c>
      <c r="L20">
        <f>L19*Constants!$H$27</f>
        <v>9240</v>
      </c>
      <c r="M20">
        <f>M19*Constants!$H$27</f>
        <v>9780</v>
      </c>
      <c r="N20">
        <f>N19*Constants!$H$27</f>
        <v>9540</v>
      </c>
      <c r="O20">
        <f>O19*Constants!$H$27</f>
        <v>8760</v>
      </c>
      <c r="P20">
        <f>P19*Constants!$H$27</f>
        <v>8760</v>
      </c>
      <c r="Q20">
        <f>Q19*Constants!$H$27</f>
        <v>9180</v>
      </c>
      <c r="R20">
        <f>R19*Constants!$H$27</f>
        <v>10080</v>
      </c>
      <c r="S20">
        <f>S19*Constants!$H$27</f>
        <v>10560</v>
      </c>
      <c r="T20">
        <f>T19*Constants!$H$27</f>
        <v>12180</v>
      </c>
      <c r="U20">
        <f>U19*Constants!$H$27</f>
        <v>11340</v>
      </c>
      <c r="V20">
        <f>V19*Constants!$H$27</f>
        <v>10800</v>
      </c>
      <c r="W20">
        <f>W19*Constants!$H$27</f>
        <v>10440</v>
      </c>
      <c r="X20">
        <f>X19*Constants!$H$27</f>
        <v>9300</v>
      </c>
      <c r="Y20">
        <f>Y19*Constants!$H$27</f>
        <v>9420</v>
      </c>
      <c r="Z20">
        <f>Z19*Constants!$H$27</f>
        <v>10260</v>
      </c>
      <c r="AA20">
        <f>AA19*Constants!$H$27</f>
        <v>11280</v>
      </c>
      <c r="AB20">
        <f>AB19*Constants!$H$27</f>
        <v>11580</v>
      </c>
      <c r="AC20">
        <f>AC19*Constants!$H$27</f>
        <v>11460</v>
      </c>
      <c r="AD20">
        <f>AD19*Constants!$H$27</f>
        <v>11160</v>
      </c>
    </row>
    <row r="21" spans="1:37" x14ac:dyDescent="0.3">
      <c r="A21" t="s">
        <v>843</v>
      </c>
      <c r="B21" t="s">
        <v>815</v>
      </c>
      <c r="C21">
        <f t="shared" ref="C21:AD21" si="1">SUM(C59:C60)/C20</f>
        <v>747.58015507693869</v>
      </c>
      <c r="D21">
        <f t="shared" si="1"/>
        <v>590.47220402049277</v>
      </c>
      <c r="E21">
        <f t="shared" si="1"/>
        <v>569.38006615729716</v>
      </c>
      <c r="F21">
        <f t="shared" si="1"/>
        <v>566.44789692123072</v>
      </c>
      <c r="G21">
        <f t="shared" si="1"/>
        <v>742.85362090363867</v>
      </c>
      <c r="H21">
        <f t="shared" si="1"/>
        <v>995.52503048103245</v>
      </c>
      <c r="I21">
        <f t="shared" si="1"/>
        <v>834.31243407359318</v>
      </c>
      <c r="J21">
        <f t="shared" si="1"/>
        <v>835.99741053944376</v>
      </c>
      <c r="K21">
        <f t="shared" si="1"/>
        <v>807.07358113668761</v>
      </c>
      <c r="L21">
        <f t="shared" si="1"/>
        <v>748.63713691587566</v>
      </c>
      <c r="M21">
        <f t="shared" si="1"/>
        <v>716.42781303590107</v>
      </c>
      <c r="N21">
        <f t="shared" si="1"/>
        <v>756.90571182634426</v>
      </c>
      <c r="O21">
        <f t="shared" si="1"/>
        <v>752.63780790236967</v>
      </c>
      <c r="P21">
        <f t="shared" si="1"/>
        <v>733.6180799048368</v>
      </c>
      <c r="Q21">
        <f t="shared" si="1"/>
        <v>701.35025005281352</v>
      </c>
      <c r="R21">
        <f t="shared" si="1"/>
        <v>630.46516734678903</v>
      </c>
      <c r="S21">
        <f t="shared" si="1"/>
        <v>614.48619189756312</v>
      </c>
      <c r="T21">
        <f t="shared" si="1"/>
        <v>516.87884312506992</v>
      </c>
      <c r="U21">
        <f t="shared" si="1"/>
        <v>554.64143311323846</v>
      </c>
      <c r="V21">
        <f t="shared" si="1"/>
        <v>572.18059101466702</v>
      </c>
      <c r="W21">
        <f t="shared" si="1"/>
        <v>584.78636599310846</v>
      </c>
      <c r="X21">
        <f t="shared" si="1"/>
        <v>650.3914314253102</v>
      </c>
      <c r="Y21">
        <f t="shared" si="1"/>
        <v>640.52698172582961</v>
      </c>
      <c r="Z21">
        <f t="shared" si="1"/>
        <v>581.41655980762096</v>
      </c>
      <c r="AA21">
        <f t="shared" si="1"/>
        <v>524.09395246393069</v>
      </c>
      <c r="AB21">
        <f t="shared" si="1"/>
        <v>503.57932677405518</v>
      </c>
      <c r="AC21">
        <f t="shared" si="1"/>
        <v>493.53491275273376</v>
      </c>
      <c r="AD21">
        <f t="shared" si="1"/>
        <v>491.33932124809263</v>
      </c>
      <c r="AJ21">
        <f>SLOPE(K21:AD21,LN(K2:AD2))</f>
        <v>-106.85734016342576</v>
      </c>
      <c r="AK21">
        <f>INTERCEPT(K21:AD21,LN(K2:AD2))</f>
        <v>854.94214143189515</v>
      </c>
    </row>
    <row r="22" spans="1:37" x14ac:dyDescent="0.3">
      <c r="A22" t="str">
        <f>'Intermediate calculations'!A19</f>
        <v>Lamb consumption</v>
      </c>
      <c r="B22" t="str">
        <f>'Intermediate calculations'!B19</f>
        <v>t</v>
      </c>
      <c r="C22">
        <f t="shared" ref="C22:AD22" si="2">C19-C20</f>
        <v>172960</v>
      </c>
      <c r="D22">
        <f t="shared" si="2"/>
        <v>193640</v>
      </c>
      <c r="E22">
        <f t="shared" si="2"/>
        <v>187060</v>
      </c>
      <c r="F22">
        <f t="shared" si="2"/>
        <v>177660</v>
      </c>
      <c r="G22">
        <f t="shared" si="2"/>
        <v>146640</v>
      </c>
      <c r="H22">
        <f t="shared" si="2"/>
        <v>110920</v>
      </c>
      <c r="I22">
        <f t="shared" si="2"/>
        <v>134420</v>
      </c>
      <c r="J22">
        <f t="shared" si="2"/>
        <v>133480</v>
      </c>
      <c r="K22">
        <f t="shared" si="2"/>
        <v>136300</v>
      </c>
      <c r="L22">
        <f t="shared" si="2"/>
        <v>144760</v>
      </c>
      <c r="M22">
        <f t="shared" si="2"/>
        <v>153220</v>
      </c>
      <c r="N22">
        <f t="shared" si="2"/>
        <v>149460</v>
      </c>
      <c r="O22">
        <f t="shared" si="2"/>
        <v>137240</v>
      </c>
      <c r="P22">
        <f t="shared" si="2"/>
        <v>137240</v>
      </c>
      <c r="Q22">
        <f t="shared" si="2"/>
        <v>143820</v>
      </c>
      <c r="R22">
        <f t="shared" si="2"/>
        <v>157920</v>
      </c>
      <c r="S22">
        <f t="shared" si="2"/>
        <v>165440</v>
      </c>
      <c r="T22">
        <f t="shared" si="2"/>
        <v>190820</v>
      </c>
      <c r="U22">
        <f t="shared" si="2"/>
        <v>177660</v>
      </c>
      <c r="V22">
        <f t="shared" si="2"/>
        <v>169200</v>
      </c>
      <c r="W22">
        <f t="shared" si="2"/>
        <v>163560</v>
      </c>
      <c r="X22">
        <f t="shared" si="2"/>
        <v>145700</v>
      </c>
      <c r="Y22">
        <f t="shared" si="2"/>
        <v>147580</v>
      </c>
      <c r="Z22">
        <f t="shared" si="2"/>
        <v>160740</v>
      </c>
      <c r="AA22">
        <f t="shared" si="2"/>
        <v>176720</v>
      </c>
      <c r="AB22">
        <f t="shared" si="2"/>
        <v>181420</v>
      </c>
      <c r="AC22">
        <f t="shared" si="2"/>
        <v>179540</v>
      </c>
      <c r="AD22">
        <f t="shared" si="2"/>
        <v>174840</v>
      </c>
    </row>
    <row r="23" spans="1:37" x14ac:dyDescent="0.3">
      <c r="A23" t="str">
        <f>'Intermediate calculations'!A27</f>
        <v>Lamb production</v>
      </c>
      <c r="B23" t="str">
        <f>'Intermediate calculations'!B27</f>
        <v>t</v>
      </c>
      <c r="C23">
        <v>157160</v>
      </c>
      <c r="D23">
        <v>178840</v>
      </c>
      <c r="E23">
        <v>164160</v>
      </c>
      <c r="F23">
        <v>156060</v>
      </c>
      <c r="G23">
        <v>125940</v>
      </c>
      <c r="H23">
        <v>87720</v>
      </c>
      <c r="I23">
        <v>97720</v>
      </c>
      <c r="J23">
        <v>94080</v>
      </c>
      <c r="K23">
        <v>88200</v>
      </c>
      <c r="L23">
        <v>95660</v>
      </c>
      <c r="M23">
        <v>98520</v>
      </c>
      <c r="N23">
        <v>95860</v>
      </c>
      <c r="O23">
        <v>96340</v>
      </c>
      <c r="P23">
        <v>105640</v>
      </c>
      <c r="Q23">
        <v>111120</v>
      </c>
      <c r="R23">
        <v>124520</v>
      </c>
      <c r="S23">
        <v>124740</v>
      </c>
      <c r="T23">
        <v>148520</v>
      </c>
      <c r="U23">
        <v>149260</v>
      </c>
      <c r="V23">
        <v>151300</v>
      </c>
      <c r="W23">
        <v>153460</v>
      </c>
      <c r="X23">
        <v>139500</v>
      </c>
      <c r="Y23">
        <v>139480</v>
      </c>
      <c r="Z23">
        <v>156040</v>
      </c>
      <c r="AA23">
        <v>171520</v>
      </c>
      <c r="AB23">
        <v>173020</v>
      </c>
      <c r="AC23">
        <v>166240</v>
      </c>
      <c r="AD23">
        <v>166124.152</v>
      </c>
      <c r="AJ23">
        <f>SLOPE(S23:AD23,S22:AD22)</f>
        <v>0.57079621418517279</v>
      </c>
      <c r="AK23">
        <f>INTERCEPT(S23:AD23,S22:AD22)</f>
        <v>56554.156116201921</v>
      </c>
    </row>
    <row r="24" spans="1:37" x14ac:dyDescent="0.3">
      <c r="A24" t="s">
        <v>816</v>
      </c>
      <c r="B24" t="s">
        <v>815</v>
      </c>
      <c r="C24">
        <f t="shared" ref="C24:AD24" si="3">SUM(C57:C58)/C23</f>
        <v>217.37632200135343</v>
      </c>
      <c r="D24">
        <f t="shared" si="3"/>
        <v>182.43533983922441</v>
      </c>
      <c r="E24">
        <f t="shared" si="3"/>
        <v>190.5375058012163</v>
      </c>
      <c r="F24">
        <f t="shared" si="3"/>
        <v>187.44392961876648</v>
      </c>
      <c r="G24">
        <f t="shared" si="3"/>
        <v>233.91106858199078</v>
      </c>
      <c r="H24">
        <f t="shared" si="3"/>
        <v>331.02055240676185</v>
      </c>
      <c r="I24">
        <f t="shared" si="3"/>
        <v>298.13738680684139</v>
      </c>
      <c r="J24">
        <f t="shared" si="3"/>
        <v>302.93782099105391</v>
      </c>
      <c r="K24">
        <f t="shared" si="3"/>
        <v>324.02516807184935</v>
      </c>
      <c r="L24">
        <f t="shared" si="3"/>
        <v>291.41805349120352</v>
      </c>
      <c r="M24">
        <f t="shared" si="3"/>
        <v>272.814221136475</v>
      </c>
      <c r="N24">
        <f t="shared" si="3"/>
        <v>273.39449106353061</v>
      </c>
      <c r="O24">
        <f t="shared" si="3"/>
        <v>267.49019053642013</v>
      </c>
      <c r="P24">
        <f t="shared" si="3"/>
        <v>244.7939244530279</v>
      </c>
      <c r="Q24">
        <f t="shared" si="3"/>
        <v>228.57854595451533</v>
      </c>
      <c r="R24">
        <f t="shared" si="3"/>
        <v>203.49543332726975</v>
      </c>
      <c r="S24">
        <f t="shared" si="3"/>
        <v>200.47811015517084</v>
      </c>
      <c r="T24">
        <f t="shared" si="3"/>
        <v>168.21780706498231</v>
      </c>
      <c r="U24">
        <f t="shared" si="3"/>
        <v>167.92588402758949</v>
      </c>
      <c r="V24">
        <f t="shared" si="3"/>
        <v>165.07423520689287</v>
      </c>
      <c r="W24">
        <f t="shared" si="3"/>
        <v>159.60223145034516</v>
      </c>
      <c r="X24">
        <f t="shared" si="3"/>
        <v>174.20152254230294</v>
      </c>
      <c r="Y24">
        <f t="shared" si="3"/>
        <v>175.05984723704714</v>
      </c>
      <c r="Z24">
        <f t="shared" si="3"/>
        <v>157.66442051805819</v>
      </c>
      <c r="AA24">
        <f t="shared" si="3"/>
        <v>140.86372750241577</v>
      </c>
      <c r="AB24">
        <f t="shared" si="3"/>
        <v>138.52942398399955</v>
      </c>
      <c r="AC24">
        <f t="shared" si="3"/>
        <v>140.10059471972963</v>
      </c>
      <c r="AD24">
        <f t="shared" si="3"/>
        <v>136.7958899397365</v>
      </c>
      <c r="AJ24">
        <f>SLOPE(AA24:AD24,LN(AA2:AD2))</f>
        <v>-19.53151686828388</v>
      </c>
      <c r="AK24">
        <f>INTERCEPT(AA24:AD24,LN(AA2:AD2))</f>
        <v>196.0251225336817</v>
      </c>
    </row>
    <row r="25" spans="1:37" x14ac:dyDescent="0.3">
      <c r="A25" t="str">
        <f>'Intermediate calculations'!A29</f>
        <v>Pork consumption</v>
      </c>
      <c r="B25" t="str">
        <f>'Intermediate calculations'!B29</f>
        <v>t</v>
      </c>
      <c r="C25">
        <v>125000</v>
      </c>
      <c r="D25">
        <v>130000</v>
      </c>
      <c r="E25">
        <v>112000</v>
      </c>
      <c r="F25">
        <v>129000</v>
      </c>
      <c r="G25">
        <v>122000</v>
      </c>
      <c r="H25">
        <v>124000</v>
      </c>
      <c r="I25">
        <v>131000</v>
      </c>
      <c r="J25">
        <v>133000</v>
      </c>
      <c r="K25">
        <v>130000</v>
      </c>
      <c r="L25">
        <v>126000</v>
      </c>
      <c r="M25">
        <v>131000</v>
      </c>
      <c r="N25">
        <v>115000</v>
      </c>
      <c r="O25">
        <v>123000</v>
      </c>
      <c r="P25">
        <v>146000</v>
      </c>
      <c r="Q25">
        <v>174000</v>
      </c>
      <c r="R25">
        <v>182000</v>
      </c>
      <c r="S25">
        <v>193000</v>
      </c>
      <c r="T25">
        <v>206000</v>
      </c>
      <c r="U25">
        <v>198000</v>
      </c>
      <c r="V25">
        <v>199000</v>
      </c>
      <c r="W25">
        <v>215000</v>
      </c>
      <c r="X25">
        <v>231000</v>
      </c>
      <c r="Y25">
        <v>237000</v>
      </c>
      <c r="Z25">
        <v>245000</v>
      </c>
      <c r="AA25">
        <v>236000</v>
      </c>
      <c r="AB25">
        <v>254000</v>
      </c>
      <c r="AC25">
        <v>263000</v>
      </c>
      <c r="AD25">
        <v>254000</v>
      </c>
    </row>
    <row r="26" spans="1:37" x14ac:dyDescent="0.3">
      <c r="A26" t="str">
        <f>'Intermediate calculations'!A32</f>
        <v>Pork production</v>
      </c>
      <c r="B26" t="str">
        <f>'Intermediate calculations'!B32</f>
        <v>t</v>
      </c>
      <c r="C26">
        <v>126200</v>
      </c>
      <c r="D26">
        <v>130800</v>
      </c>
      <c r="E26">
        <v>112700</v>
      </c>
      <c r="F26">
        <v>129600</v>
      </c>
      <c r="G26">
        <v>119600</v>
      </c>
      <c r="H26">
        <v>119000</v>
      </c>
      <c r="I26">
        <v>126500</v>
      </c>
      <c r="J26">
        <v>127900</v>
      </c>
      <c r="K26">
        <v>125000</v>
      </c>
      <c r="L26">
        <v>119200</v>
      </c>
      <c r="M26">
        <v>123000</v>
      </c>
      <c r="N26">
        <v>106900</v>
      </c>
      <c r="O26">
        <v>116600</v>
      </c>
      <c r="P26">
        <v>135000</v>
      </c>
      <c r="Q26">
        <v>156800</v>
      </c>
      <c r="R26">
        <v>159700</v>
      </c>
      <c r="S26">
        <v>171400</v>
      </c>
      <c r="T26">
        <v>187100</v>
      </c>
      <c r="U26">
        <v>181700</v>
      </c>
      <c r="V26">
        <v>180700</v>
      </c>
      <c r="W26">
        <v>191900</v>
      </c>
      <c r="X26">
        <v>205100</v>
      </c>
      <c r="Y26">
        <v>206000</v>
      </c>
      <c r="Z26">
        <v>213500</v>
      </c>
      <c r="AA26">
        <v>224200</v>
      </c>
      <c r="AB26">
        <v>233000</v>
      </c>
      <c r="AC26">
        <v>243100</v>
      </c>
      <c r="AD26">
        <v>231800</v>
      </c>
      <c r="AJ26">
        <f>SLOPE(F26:AD26,F25:AD25)</f>
        <v>0.84800908184156654</v>
      </c>
      <c r="AK26">
        <f>INTERCEPT(F26:AD26,F25:AD25)</f>
        <v>12832.12635833901</v>
      </c>
    </row>
    <row r="27" spans="1:37" x14ac:dyDescent="0.3">
      <c r="A27" t="s">
        <v>818</v>
      </c>
      <c r="B27" t="s">
        <v>815</v>
      </c>
      <c r="C27">
        <f t="shared" ref="C27:AD27" si="4">SUM(C63:C64)/C26</f>
        <v>13.653011027487219</v>
      </c>
      <c r="D27">
        <f t="shared" si="4"/>
        <v>14.391608053652755</v>
      </c>
      <c r="E27">
        <f t="shared" si="4"/>
        <v>16.592599020349589</v>
      </c>
      <c r="F27">
        <f t="shared" si="4"/>
        <v>14.420179981553732</v>
      </c>
      <c r="G27">
        <f t="shared" si="4"/>
        <v>14.841278051291667</v>
      </c>
      <c r="H27">
        <f t="shared" si="4"/>
        <v>15.058618610882386</v>
      </c>
      <c r="I27">
        <f t="shared" si="4"/>
        <v>15.256180717369467</v>
      </c>
      <c r="J27">
        <f t="shared" si="4"/>
        <v>15.018469029514932</v>
      </c>
      <c r="K27">
        <f t="shared" si="4"/>
        <v>15.701550370273951</v>
      </c>
      <c r="L27">
        <f t="shared" si="4"/>
        <v>16.882881640786671</v>
      </c>
      <c r="M27">
        <f t="shared" si="4"/>
        <v>15.138795298415898</v>
      </c>
      <c r="N27">
        <f t="shared" si="4"/>
        <v>17.746678439758945</v>
      </c>
      <c r="O27">
        <f t="shared" si="4"/>
        <v>16.58060559776451</v>
      </c>
      <c r="P27">
        <f t="shared" si="4"/>
        <v>13.927119744071932</v>
      </c>
      <c r="Q27">
        <f t="shared" si="4"/>
        <v>11.990823759245604</v>
      </c>
      <c r="R27">
        <f t="shared" si="4"/>
        <v>11.688128726620503</v>
      </c>
      <c r="S27">
        <f t="shared" si="4"/>
        <v>10.698991960935169</v>
      </c>
      <c r="T27">
        <f t="shared" si="4"/>
        <v>9.9764519382217767</v>
      </c>
      <c r="U27">
        <f t="shared" si="4"/>
        <v>10.048944051821932</v>
      </c>
      <c r="V27">
        <f t="shared" si="4"/>
        <v>10.092041871875903</v>
      </c>
      <c r="W27">
        <f t="shared" si="4"/>
        <v>9.3910936453950828</v>
      </c>
      <c r="X27">
        <f t="shared" si="4"/>
        <v>8.7315701156068712</v>
      </c>
      <c r="Y27">
        <f t="shared" si="4"/>
        <v>8.6659811203436679</v>
      </c>
      <c r="Z27">
        <f t="shared" si="4"/>
        <v>8.3350781773799625</v>
      </c>
      <c r="AA27">
        <f t="shared" si="4"/>
        <v>7.876771556923309</v>
      </c>
      <c r="AB27">
        <f t="shared" si="4"/>
        <v>7.3900403763298383</v>
      </c>
      <c r="AC27">
        <f t="shared" si="4"/>
        <v>7.0318510236958893</v>
      </c>
      <c r="AD27">
        <f t="shared" si="4"/>
        <v>7.2234464208602027</v>
      </c>
      <c r="AJ27">
        <f>SLOPE(K27:AD27,LN(K2:AD2))</f>
        <v>-3.8989982573491209</v>
      </c>
      <c r="AK27">
        <f>INTERCEPT(K27:AD27,LN(K2:AD2))</f>
        <v>19.509267032030309</v>
      </c>
    </row>
    <row r="28" spans="1:37" x14ac:dyDescent="0.3">
      <c r="A28" t="str">
        <f>'Intermediate calculations'!A34</f>
        <v>Egg consumption</v>
      </c>
      <c r="B28" t="str">
        <f>'Intermediate calculations'!B34</f>
        <v>t</v>
      </c>
      <c r="C28">
        <v>209000</v>
      </c>
      <c r="D28">
        <v>214000</v>
      </c>
      <c r="E28">
        <v>223000</v>
      </c>
      <c r="F28">
        <v>218000</v>
      </c>
      <c r="G28">
        <v>233000</v>
      </c>
      <c r="H28">
        <v>272000</v>
      </c>
      <c r="I28">
        <v>263000</v>
      </c>
      <c r="J28">
        <v>293000</v>
      </c>
      <c r="K28">
        <v>302000</v>
      </c>
      <c r="L28">
        <v>299000</v>
      </c>
      <c r="M28">
        <v>310000</v>
      </c>
      <c r="N28">
        <v>308000</v>
      </c>
      <c r="O28">
        <v>313000</v>
      </c>
      <c r="P28">
        <v>305000</v>
      </c>
      <c r="Q28">
        <v>329000</v>
      </c>
      <c r="R28">
        <v>357000</v>
      </c>
      <c r="S28">
        <v>392000</v>
      </c>
      <c r="T28">
        <v>416000</v>
      </c>
      <c r="U28">
        <v>404000</v>
      </c>
      <c r="V28">
        <v>379000</v>
      </c>
      <c r="W28">
        <v>386000</v>
      </c>
      <c r="X28">
        <v>426000</v>
      </c>
      <c r="Y28">
        <v>447000</v>
      </c>
      <c r="Z28">
        <v>433000</v>
      </c>
      <c r="AA28">
        <v>418000</v>
      </c>
      <c r="AB28">
        <v>438000</v>
      </c>
      <c r="AC28">
        <v>441000</v>
      </c>
      <c r="AD28">
        <v>412000</v>
      </c>
    </row>
    <row r="29" spans="1:37" x14ac:dyDescent="0.3">
      <c r="A29" t="str">
        <f>'Intermediate calculations'!A37</f>
        <v>Egg production</v>
      </c>
      <c r="B29" t="str">
        <f>'Intermediate calculations'!B37</f>
        <v>t</v>
      </c>
      <c r="C29">
        <v>224000</v>
      </c>
      <c r="D29">
        <v>232000</v>
      </c>
      <c r="E29">
        <v>238000</v>
      </c>
      <c r="F29">
        <v>235000</v>
      </c>
      <c r="G29">
        <v>251000</v>
      </c>
      <c r="H29">
        <v>290000</v>
      </c>
      <c r="I29">
        <v>282000</v>
      </c>
      <c r="J29">
        <v>314000</v>
      </c>
      <c r="K29">
        <v>323000</v>
      </c>
      <c r="L29">
        <v>318000</v>
      </c>
      <c r="M29">
        <v>329000</v>
      </c>
      <c r="N29">
        <v>330000</v>
      </c>
      <c r="O29">
        <v>340000</v>
      </c>
      <c r="P29">
        <v>328000</v>
      </c>
      <c r="Q29">
        <v>348000</v>
      </c>
      <c r="R29">
        <v>375000</v>
      </c>
      <c r="S29">
        <v>412000</v>
      </c>
      <c r="T29">
        <v>438000</v>
      </c>
      <c r="U29">
        <v>426000</v>
      </c>
      <c r="V29">
        <v>404000</v>
      </c>
      <c r="W29">
        <v>413000</v>
      </c>
      <c r="X29">
        <v>452000</v>
      </c>
      <c r="Y29">
        <v>477000</v>
      </c>
      <c r="Z29">
        <v>468000</v>
      </c>
      <c r="AA29">
        <v>453000</v>
      </c>
      <c r="AB29">
        <v>477000</v>
      </c>
      <c r="AC29">
        <v>478000</v>
      </c>
      <c r="AD29">
        <v>445000</v>
      </c>
      <c r="AJ29">
        <f>SLOPE(M29:AD29,M28:AD28)</f>
        <v>1.0877031438417331</v>
      </c>
      <c r="AK29">
        <f>INTERCEPT(M29:AD29,M28:AD28)</f>
        <v>-7076.6409178745816</v>
      </c>
    </row>
    <row r="30" spans="1:37" x14ac:dyDescent="0.3">
      <c r="A30" t="s">
        <v>836</v>
      </c>
      <c r="B30" t="s">
        <v>815</v>
      </c>
      <c r="C30">
        <f t="shared" ref="C30:AD30" si="5">SUM(C65,C67)/C29</f>
        <v>68.119237849915791</v>
      </c>
      <c r="D30">
        <f t="shared" si="5"/>
        <v>63.894859769163475</v>
      </c>
      <c r="E30">
        <f t="shared" si="5"/>
        <v>59.072103114550025</v>
      </c>
      <c r="F30">
        <f t="shared" si="5"/>
        <v>58.885553141022513</v>
      </c>
      <c r="G30">
        <f t="shared" si="5"/>
        <v>52.733853566608673</v>
      </c>
      <c r="H30">
        <f t="shared" si="5"/>
        <v>49.801167659087803</v>
      </c>
      <c r="I30">
        <f t="shared" si="5"/>
        <v>54.097578895179353</v>
      </c>
      <c r="J30">
        <f t="shared" si="5"/>
        <v>48.744213441440387</v>
      </c>
      <c r="K30">
        <f t="shared" si="5"/>
        <v>53.352655002236958</v>
      </c>
      <c r="L30">
        <f t="shared" si="5"/>
        <v>58.098761689825743</v>
      </c>
      <c r="M30">
        <f t="shared" si="5"/>
        <v>54.966389071324642</v>
      </c>
      <c r="N30">
        <f t="shared" si="5"/>
        <v>56.261688084642699</v>
      </c>
      <c r="O30">
        <f t="shared" si="5"/>
        <v>54.178346501154266</v>
      </c>
      <c r="P30">
        <f t="shared" si="5"/>
        <v>53.918414227536552</v>
      </c>
      <c r="Q30">
        <f t="shared" si="5"/>
        <v>52.662428155033204</v>
      </c>
      <c r="R30">
        <f t="shared" si="5"/>
        <v>51.817664184004158</v>
      </c>
      <c r="S30">
        <f t="shared" si="5"/>
        <v>52.051167139869889</v>
      </c>
      <c r="T30">
        <f t="shared" si="5"/>
        <v>54.184194262204088</v>
      </c>
      <c r="U30">
        <f t="shared" si="5"/>
        <v>56.444210182137155</v>
      </c>
      <c r="V30">
        <f t="shared" si="5"/>
        <v>57.323692110809887</v>
      </c>
      <c r="W30">
        <f t="shared" si="5"/>
        <v>58.258803357595554</v>
      </c>
      <c r="X30">
        <f t="shared" si="5"/>
        <v>55.689096813946371</v>
      </c>
      <c r="Y30">
        <f t="shared" si="5"/>
        <v>54.692702222346824</v>
      </c>
      <c r="Z30">
        <f t="shared" si="5"/>
        <v>54.659527423183164</v>
      </c>
      <c r="AA30">
        <f t="shared" si="5"/>
        <v>55.988522813895251</v>
      </c>
      <c r="AB30">
        <f t="shared" si="5"/>
        <v>54.287021951504038</v>
      </c>
      <c r="AC30">
        <f t="shared" si="5"/>
        <v>54.061924686192469</v>
      </c>
      <c r="AD30">
        <f t="shared" si="5"/>
        <v>54.23083146067416</v>
      </c>
      <c r="AJ30">
        <f>SLOPE(K30:AD30,LN(K2:AD2))</f>
        <v>3.721208914924904E-2</v>
      </c>
      <c r="AK30">
        <f>INTERCEPT(K30:AD30,LN(K2:AD2))</f>
        <v>54.777632230309557</v>
      </c>
    </row>
    <row r="31" spans="1:37" x14ac:dyDescent="0.3">
      <c r="A31" t="str">
        <f>'Intermediate calculations'!A39</f>
        <v>Chicken consumption</v>
      </c>
      <c r="B31" t="str">
        <f>'Intermediate calculations'!B39</f>
        <v>t</v>
      </c>
      <c r="C31">
        <f>C32-C25</f>
        <v>480000</v>
      </c>
      <c r="D31">
        <f t="shared" ref="D31:AD31" si="6">D32-D25</f>
        <v>463000</v>
      </c>
      <c r="E31">
        <f t="shared" si="6"/>
        <v>459000</v>
      </c>
      <c r="F31">
        <f t="shared" si="6"/>
        <v>451000</v>
      </c>
      <c r="G31">
        <f t="shared" si="6"/>
        <v>487000</v>
      </c>
      <c r="H31">
        <f t="shared" si="6"/>
        <v>538000</v>
      </c>
      <c r="I31">
        <f t="shared" si="6"/>
        <v>607000</v>
      </c>
      <c r="J31">
        <f t="shared" si="6"/>
        <v>693000</v>
      </c>
      <c r="K31">
        <f t="shared" si="6"/>
        <v>724000</v>
      </c>
      <c r="L31">
        <f t="shared" si="6"/>
        <v>748000</v>
      </c>
      <c r="M31">
        <f t="shared" si="6"/>
        <v>796000</v>
      </c>
      <c r="N31">
        <f t="shared" si="6"/>
        <v>823000</v>
      </c>
      <c r="O31">
        <f t="shared" si="6"/>
        <v>842000</v>
      </c>
      <c r="P31">
        <f t="shared" si="6"/>
        <v>886000</v>
      </c>
      <c r="Q31">
        <f t="shared" si="6"/>
        <v>1022000</v>
      </c>
      <c r="R31">
        <f t="shared" si="6"/>
        <v>1273000</v>
      </c>
      <c r="S31">
        <f t="shared" si="6"/>
        <v>1471000</v>
      </c>
      <c r="T31">
        <f t="shared" si="6"/>
        <v>1561000</v>
      </c>
      <c r="U31">
        <f t="shared" si="6"/>
        <v>1615000</v>
      </c>
      <c r="V31">
        <f t="shared" si="6"/>
        <v>1642000</v>
      </c>
      <c r="W31">
        <f t="shared" si="6"/>
        <v>1672000</v>
      </c>
      <c r="X31">
        <f t="shared" si="6"/>
        <v>1756000</v>
      </c>
      <c r="Y31">
        <f t="shared" si="6"/>
        <v>1811000</v>
      </c>
      <c r="Z31">
        <f t="shared" si="6"/>
        <v>1816000</v>
      </c>
      <c r="AA31">
        <f t="shared" si="6"/>
        <v>1779000</v>
      </c>
      <c r="AB31">
        <f t="shared" si="6"/>
        <v>1822000</v>
      </c>
      <c r="AC31">
        <f t="shared" si="6"/>
        <v>1937000</v>
      </c>
      <c r="AD31">
        <f t="shared" si="6"/>
        <v>1901000</v>
      </c>
    </row>
    <row r="32" spans="1:37" x14ac:dyDescent="0.3">
      <c r="A32" t="s">
        <v>934</v>
      </c>
      <c r="B32" t="s">
        <v>321</v>
      </c>
      <c r="C32">
        <v>605000</v>
      </c>
      <c r="D32">
        <v>593000</v>
      </c>
      <c r="E32">
        <v>571000</v>
      </c>
      <c r="F32">
        <v>580000</v>
      </c>
      <c r="G32">
        <v>609000</v>
      </c>
      <c r="H32">
        <v>662000</v>
      </c>
      <c r="I32">
        <v>738000</v>
      </c>
      <c r="J32">
        <v>826000</v>
      </c>
      <c r="K32">
        <v>854000</v>
      </c>
      <c r="L32">
        <v>874000</v>
      </c>
      <c r="M32">
        <v>927000</v>
      </c>
      <c r="N32">
        <v>938000</v>
      </c>
      <c r="O32">
        <v>965000</v>
      </c>
      <c r="P32">
        <v>1032000</v>
      </c>
      <c r="Q32">
        <v>1196000</v>
      </c>
      <c r="R32">
        <v>1455000</v>
      </c>
      <c r="S32">
        <v>1664000</v>
      </c>
      <c r="T32">
        <v>1767000</v>
      </c>
      <c r="U32">
        <v>1813000</v>
      </c>
      <c r="V32">
        <v>1841000</v>
      </c>
      <c r="W32">
        <v>1887000</v>
      </c>
      <c r="X32">
        <v>1987000</v>
      </c>
      <c r="Y32">
        <v>2048000</v>
      </c>
      <c r="Z32">
        <v>2061000</v>
      </c>
      <c r="AA32">
        <v>2015000</v>
      </c>
      <c r="AB32">
        <v>2076000</v>
      </c>
      <c r="AC32">
        <v>2200000</v>
      </c>
      <c r="AD32">
        <v>2155000</v>
      </c>
    </row>
    <row r="33" spans="1:37" x14ac:dyDescent="0.3">
      <c r="A33" t="str">
        <f>'Intermediate calculations'!A42</f>
        <v>Chicken production</v>
      </c>
      <c r="B33" t="str">
        <f>'Intermediate calculations'!B42</f>
        <v>t</v>
      </c>
      <c r="C33">
        <f>C34-C26</f>
        <v>482800</v>
      </c>
      <c r="D33">
        <f t="shared" ref="D33:AD33" si="7">D34-D26</f>
        <v>462200</v>
      </c>
      <c r="E33">
        <f t="shared" si="7"/>
        <v>451300</v>
      </c>
      <c r="F33">
        <f t="shared" si="7"/>
        <v>447400</v>
      </c>
      <c r="G33">
        <f t="shared" si="7"/>
        <v>487400</v>
      </c>
      <c r="H33">
        <f t="shared" si="7"/>
        <v>528000</v>
      </c>
      <c r="I33">
        <f t="shared" si="7"/>
        <v>572500</v>
      </c>
      <c r="J33">
        <f t="shared" si="7"/>
        <v>625100</v>
      </c>
      <c r="K33">
        <f t="shared" si="7"/>
        <v>652000</v>
      </c>
      <c r="L33">
        <f t="shared" si="7"/>
        <v>683800</v>
      </c>
      <c r="M33">
        <f t="shared" si="7"/>
        <v>727000</v>
      </c>
      <c r="N33">
        <f t="shared" si="7"/>
        <v>762100</v>
      </c>
      <c r="O33">
        <f t="shared" si="7"/>
        <v>779400</v>
      </c>
      <c r="P33">
        <f t="shared" si="7"/>
        <v>790000</v>
      </c>
      <c r="Q33">
        <f t="shared" si="7"/>
        <v>886200</v>
      </c>
      <c r="R33">
        <f t="shared" si="7"/>
        <v>1113300</v>
      </c>
      <c r="S33">
        <f t="shared" si="7"/>
        <v>1255600</v>
      </c>
      <c r="T33">
        <f t="shared" si="7"/>
        <v>1311900</v>
      </c>
      <c r="U33">
        <f t="shared" si="7"/>
        <v>1402300</v>
      </c>
      <c r="V33">
        <f t="shared" si="7"/>
        <v>1463300</v>
      </c>
      <c r="W33">
        <f t="shared" si="7"/>
        <v>1489100</v>
      </c>
      <c r="X33">
        <f t="shared" si="7"/>
        <v>1515900</v>
      </c>
      <c r="Y33">
        <f t="shared" si="7"/>
        <v>1475000</v>
      </c>
      <c r="Z33">
        <f t="shared" si="7"/>
        <v>1477500</v>
      </c>
      <c r="AA33">
        <f t="shared" si="7"/>
        <v>1443800</v>
      </c>
      <c r="AB33">
        <f t="shared" si="7"/>
        <v>1476000</v>
      </c>
      <c r="AC33">
        <f t="shared" si="7"/>
        <v>1460900</v>
      </c>
      <c r="AD33">
        <f t="shared" si="7"/>
        <v>1431200</v>
      </c>
      <c r="AJ33">
        <f>SLOPE(M33:AD33,M31:AD31)</f>
        <v>0.72079650032034193</v>
      </c>
      <c r="AK33">
        <f>INTERCEPT(M33:AD33,M31:AD31)</f>
        <v>178525.13772416487</v>
      </c>
    </row>
    <row r="34" spans="1:37" x14ac:dyDescent="0.3">
      <c r="A34" t="s">
        <v>935</v>
      </c>
      <c r="B34" t="s">
        <v>321</v>
      </c>
      <c r="C34">
        <v>609000</v>
      </c>
      <c r="D34">
        <v>593000</v>
      </c>
      <c r="E34">
        <v>564000</v>
      </c>
      <c r="F34">
        <v>577000</v>
      </c>
      <c r="G34">
        <v>607000</v>
      </c>
      <c r="H34">
        <v>647000</v>
      </c>
      <c r="I34">
        <v>699000</v>
      </c>
      <c r="J34">
        <v>753000</v>
      </c>
      <c r="K34">
        <v>777000</v>
      </c>
      <c r="L34">
        <v>803000</v>
      </c>
      <c r="M34">
        <v>850000</v>
      </c>
      <c r="N34">
        <v>869000</v>
      </c>
      <c r="O34">
        <v>896000</v>
      </c>
      <c r="P34">
        <v>925000</v>
      </c>
      <c r="Q34">
        <v>1043000</v>
      </c>
      <c r="R34">
        <v>1273000</v>
      </c>
      <c r="S34">
        <v>1427000</v>
      </c>
      <c r="T34">
        <v>1499000</v>
      </c>
      <c r="U34">
        <v>1584000</v>
      </c>
      <c r="V34">
        <v>1644000</v>
      </c>
      <c r="W34">
        <v>1681000</v>
      </c>
      <c r="X34">
        <v>1721000</v>
      </c>
      <c r="Y34">
        <v>1681000</v>
      </c>
      <c r="Z34">
        <v>1691000</v>
      </c>
      <c r="AA34">
        <v>1668000</v>
      </c>
      <c r="AB34">
        <v>1709000</v>
      </c>
      <c r="AC34">
        <v>1704000</v>
      </c>
      <c r="AD34">
        <v>1663000</v>
      </c>
    </row>
    <row r="35" spans="1:37" x14ac:dyDescent="0.3">
      <c r="A35" t="s">
        <v>838</v>
      </c>
      <c r="B35" t="s">
        <v>815</v>
      </c>
      <c r="C35">
        <f t="shared" ref="C35:AB35" si="8">SUM(C66,C68)/C33</f>
        <v>86.98690270724579</v>
      </c>
      <c r="D35">
        <f t="shared" si="8"/>
        <v>85.412029598416751</v>
      </c>
      <c r="E35">
        <f t="shared" si="8"/>
        <v>82.670075098233795</v>
      </c>
      <c r="F35">
        <f t="shared" si="8"/>
        <v>93.784908087692543</v>
      </c>
      <c r="G35">
        <f t="shared" si="8"/>
        <v>85.280758961852342</v>
      </c>
      <c r="H35">
        <f t="shared" si="8"/>
        <v>90.110194006957386</v>
      </c>
      <c r="I35">
        <f t="shared" si="8"/>
        <v>96.630851643558501</v>
      </c>
      <c r="J35">
        <f t="shared" si="8"/>
        <v>90.082578577450462</v>
      </c>
      <c r="K35">
        <f t="shared" si="8"/>
        <v>94.634047967599372</v>
      </c>
      <c r="L35">
        <f t="shared" si="8"/>
        <v>94.202352622715566</v>
      </c>
      <c r="M35">
        <f t="shared" si="8"/>
        <v>95.33205671803546</v>
      </c>
      <c r="N35">
        <f t="shared" si="8"/>
        <v>87.813432210520816</v>
      </c>
      <c r="O35">
        <f t="shared" si="8"/>
        <v>95.16546905639143</v>
      </c>
      <c r="P35">
        <f t="shared" si="8"/>
        <v>89.302199213409068</v>
      </c>
      <c r="Q35">
        <f t="shared" si="8"/>
        <v>81.529954234122201</v>
      </c>
      <c r="R35">
        <f t="shared" si="8"/>
        <v>71.80889155599867</v>
      </c>
      <c r="S35">
        <f t="shared" si="8"/>
        <v>68.101686202690857</v>
      </c>
      <c r="T35">
        <f t="shared" si="8"/>
        <v>68.19521740619362</v>
      </c>
      <c r="U35">
        <f t="shared" si="8"/>
        <v>67.928587433949829</v>
      </c>
      <c r="V35">
        <f t="shared" si="8"/>
        <v>61.42602874071288</v>
      </c>
      <c r="W35">
        <f t="shared" si="8"/>
        <v>61.879913995624968</v>
      </c>
      <c r="X35">
        <f t="shared" si="8"/>
        <v>62.868580144994802</v>
      </c>
      <c r="Y35">
        <f t="shared" si="8"/>
        <v>66.051244173620844</v>
      </c>
      <c r="Z35">
        <f t="shared" si="8"/>
        <v>64.213565829178464</v>
      </c>
      <c r="AA35">
        <f t="shared" si="8"/>
        <v>68.701063341906504</v>
      </c>
      <c r="AB35">
        <f t="shared" si="8"/>
        <v>69.913648944780405</v>
      </c>
      <c r="AC35">
        <f t="shared" ref="AC35:AD35" si="9">SUM(AC66,AC68)/AC33</f>
        <v>65.686786999794649</v>
      </c>
      <c r="AD35">
        <f t="shared" si="9"/>
        <v>66.964110342370034</v>
      </c>
      <c r="AJ35">
        <f>SLOPE(K35:AD35,LN(K2:AD2))</f>
        <v>-13.661011546309085</v>
      </c>
      <c r="AK35">
        <f>INTERCEPT(K35:AD35,LN(K2:AD2))</f>
        <v>104.00330912125385</v>
      </c>
    </row>
    <row r="36" spans="1:37" x14ac:dyDescent="0.3">
      <c r="A36" t="str">
        <f>'Intermediate calculations'!A49</f>
        <v>Sorghum consumption (total)</v>
      </c>
      <c r="B36" t="str">
        <f>'Intermediate calculations'!B49</f>
        <v>t</v>
      </c>
      <c r="C36">
        <v>316000</v>
      </c>
      <c r="D36">
        <v>245000</v>
      </c>
      <c r="E36">
        <v>243000</v>
      </c>
      <c r="F36">
        <v>287000</v>
      </c>
      <c r="G36">
        <v>410000</v>
      </c>
      <c r="H36">
        <v>303000</v>
      </c>
      <c r="I36">
        <v>331000</v>
      </c>
      <c r="J36">
        <v>243000</v>
      </c>
      <c r="K36">
        <v>235000</v>
      </c>
      <c r="L36">
        <v>0</v>
      </c>
      <c r="M36">
        <v>210000</v>
      </c>
      <c r="N36">
        <v>209000</v>
      </c>
      <c r="O36">
        <v>206000</v>
      </c>
      <c r="P36">
        <v>196000</v>
      </c>
      <c r="Q36">
        <v>179000</v>
      </c>
      <c r="R36">
        <v>189000</v>
      </c>
      <c r="S36">
        <v>203000</v>
      </c>
      <c r="T36">
        <v>190000</v>
      </c>
      <c r="U36">
        <v>196000</v>
      </c>
      <c r="V36">
        <v>187000</v>
      </c>
      <c r="W36">
        <v>192000</v>
      </c>
      <c r="X36">
        <v>191000</v>
      </c>
      <c r="Y36">
        <v>190000</v>
      </c>
      <c r="Z36">
        <v>165000</v>
      </c>
      <c r="AA36">
        <v>170000</v>
      </c>
      <c r="AB36">
        <v>160000</v>
      </c>
      <c r="AC36">
        <v>159000</v>
      </c>
      <c r="AD36">
        <v>171000</v>
      </c>
    </row>
    <row r="37" spans="1:37" x14ac:dyDescent="0.3">
      <c r="A37" t="s">
        <v>871</v>
      </c>
      <c r="B37" t="s">
        <v>321</v>
      </c>
      <c r="C37">
        <f t="shared" ref="C37:AD37" si="10">C40-C39</f>
        <v>4072000</v>
      </c>
      <c r="D37">
        <f t="shared" si="10"/>
        <v>4235000</v>
      </c>
      <c r="E37">
        <f t="shared" si="10"/>
        <v>4455000</v>
      </c>
      <c r="F37">
        <f t="shared" si="10"/>
        <v>4085000</v>
      </c>
      <c r="G37">
        <f t="shared" si="10"/>
        <v>3855000</v>
      </c>
      <c r="H37">
        <f t="shared" si="10"/>
        <v>3877000</v>
      </c>
      <c r="I37">
        <f t="shared" si="10"/>
        <v>4035000</v>
      </c>
      <c r="J37">
        <f t="shared" si="10"/>
        <v>3826000</v>
      </c>
      <c r="K37">
        <f t="shared" si="10"/>
        <v>3001000</v>
      </c>
      <c r="L37">
        <f t="shared" si="10"/>
        <v>2960000</v>
      </c>
      <c r="M37">
        <f t="shared" si="10"/>
        <v>2936000</v>
      </c>
      <c r="N37">
        <f t="shared" si="10"/>
        <v>3263000</v>
      </c>
      <c r="O37">
        <f t="shared" si="10"/>
        <v>3274000</v>
      </c>
      <c r="P37">
        <f t="shared" si="10"/>
        <v>3275000</v>
      </c>
      <c r="Q37">
        <f t="shared" si="10"/>
        <v>3531000</v>
      </c>
      <c r="R37">
        <f t="shared" si="10"/>
        <v>3543000</v>
      </c>
      <c r="S37">
        <f t="shared" si="10"/>
        <v>3637000</v>
      </c>
      <c r="T37">
        <f t="shared" si="10"/>
        <v>3844000</v>
      </c>
      <c r="U37">
        <f t="shared" si="10"/>
        <v>4220000</v>
      </c>
      <c r="V37">
        <f t="shared" si="10"/>
        <v>4089000</v>
      </c>
      <c r="W37">
        <f t="shared" si="10"/>
        <v>4187000</v>
      </c>
      <c r="X37">
        <f t="shared" si="10"/>
        <v>4344000</v>
      </c>
      <c r="Y37">
        <f t="shared" si="10"/>
        <v>4429000</v>
      </c>
      <c r="Z37">
        <f t="shared" si="10"/>
        <v>4436000</v>
      </c>
      <c r="AA37">
        <f t="shared" si="10"/>
        <v>4767000</v>
      </c>
      <c r="AB37">
        <f t="shared" si="10"/>
        <v>5087000</v>
      </c>
      <c r="AC37">
        <f t="shared" si="10"/>
        <v>5551000</v>
      </c>
      <c r="AD37">
        <f t="shared" si="10"/>
        <v>5004000</v>
      </c>
      <c r="AJ37">
        <f>SLOPE(K39:AD39,K37:AD37)</f>
        <v>0.61361155339122397</v>
      </c>
      <c r="AK37">
        <f>INTERCEPT(K39:AD39,K37:AD37)</f>
        <v>1650287.1057455712</v>
      </c>
    </row>
    <row r="38" spans="1:37" x14ac:dyDescent="0.3">
      <c r="A38" t="s">
        <v>877</v>
      </c>
      <c r="B38" t="s">
        <v>321</v>
      </c>
      <c r="C38">
        <f>C44-C43</f>
        <v>122000</v>
      </c>
      <c r="D38">
        <f t="shared" ref="D38:AD38" si="11">D44-D43</f>
        <v>50000</v>
      </c>
      <c r="E38">
        <f t="shared" si="11"/>
        <v>44000</v>
      </c>
      <c r="F38">
        <f t="shared" si="11"/>
        <v>87000</v>
      </c>
      <c r="G38">
        <f t="shared" si="11"/>
        <v>226000</v>
      </c>
      <c r="H38">
        <f t="shared" si="11"/>
        <v>120000</v>
      </c>
      <c r="I38">
        <f t="shared" si="11"/>
        <v>150000</v>
      </c>
      <c r="J38">
        <f t="shared" si="11"/>
        <v>64000</v>
      </c>
      <c r="K38">
        <f t="shared" si="11"/>
        <v>58000</v>
      </c>
      <c r="L38">
        <f t="shared" si="11"/>
        <v>-175500</v>
      </c>
      <c r="M38">
        <f t="shared" si="11"/>
        <v>36000</v>
      </c>
      <c r="N38">
        <f t="shared" si="11"/>
        <v>23000</v>
      </c>
      <c r="O38">
        <f t="shared" si="11"/>
        <v>16000</v>
      </c>
      <c r="P38">
        <f t="shared" si="11"/>
        <v>22000</v>
      </c>
      <c r="Q38">
        <f t="shared" si="11"/>
        <v>10000</v>
      </c>
      <c r="R38">
        <f t="shared" si="11"/>
        <v>10000</v>
      </c>
      <c r="S38">
        <f t="shared" si="11"/>
        <v>12000</v>
      </c>
      <c r="T38">
        <f t="shared" si="11"/>
        <v>8000</v>
      </c>
      <c r="U38">
        <f t="shared" si="11"/>
        <v>11000</v>
      </c>
      <c r="V38">
        <f t="shared" si="11"/>
        <v>10000</v>
      </c>
      <c r="W38">
        <f t="shared" si="11"/>
        <v>8000</v>
      </c>
      <c r="X38">
        <f t="shared" si="11"/>
        <v>9000</v>
      </c>
      <c r="Y38">
        <f t="shared" si="11"/>
        <v>7000</v>
      </c>
      <c r="Z38">
        <f t="shared" si="11"/>
        <v>6000</v>
      </c>
      <c r="AA38">
        <f t="shared" si="11"/>
        <v>5000</v>
      </c>
      <c r="AB38">
        <f t="shared" si="11"/>
        <v>7000</v>
      </c>
      <c r="AC38">
        <f t="shared" si="11"/>
        <v>10000</v>
      </c>
      <c r="AD38">
        <f t="shared" si="11"/>
        <v>10000</v>
      </c>
    </row>
    <row r="39" spans="1:37" x14ac:dyDescent="0.3">
      <c r="A39" t="str">
        <f>'Intermediate calculations'!A45</f>
        <v>Maize consumption (human)</v>
      </c>
      <c r="B39" t="str">
        <f>'Intermediate calculations'!B45</f>
        <v>t</v>
      </c>
      <c r="C39">
        <v>2353000</v>
      </c>
      <c r="D39">
        <v>2534000</v>
      </c>
      <c r="E39">
        <v>2567000</v>
      </c>
      <c r="F39">
        <v>2743000</v>
      </c>
      <c r="G39">
        <v>2918000</v>
      </c>
      <c r="H39">
        <v>2540000</v>
      </c>
      <c r="I39">
        <v>2807000</v>
      </c>
      <c r="J39">
        <v>2912000</v>
      </c>
      <c r="K39">
        <v>3382000</v>
      </c>
      <c r="L39">
        <v>3381000</v>
      </c>
      <c r="M39">
        <v>3426000</v>
      </c>
      <c r="N39">
        <v>3589000</v>
      </c>
      <c r="O39">
        <v>3877000</v>
      </c>
      <c r="P39">
        <v>3708000</v>
      </c>
      <c r="Q39">
        <v>3712000</v>
      </c>
      <c r="R39">
        <v>3740000</v>
      </c>
      <c r="S39">
        <v>3825000</v>
      </c>
      <c r="T39">
        <v>3816000</v>
      </c>
      <c r="U39">
        <v>3809000</v>
      </c>
      <c r="V39">
        <v>4524000</v>
      </c>
      <c r="W39">
        <v>4471000</v>
      </c>
      <c r="X39">
        <v>4513000</v>
      </c>
      <c r="Y39">
        <v>4512000</v>
      </c>
      <c r="Z39">
        <v>4499000</v>
      </c>
      <c r="AA39">
        <v>4582000</v>
      </c>
      <c r="AB39">
        <v>4840000</v>
      </c>
      <c r="AC39">
        <v>4698000</v>
      </c>
      <c r="AD39">
        <v>4809000</v>
      </c>
      <c r="AJ39">
        <f>SLOPE(M39:AD39,Drivers!N4:AE4)</f>
        <v>0.12497708592423581</v>
      </c>
      <c r="AK39">
        <f>INTERCEPT(M39:AD39,Drivers!N4:AE4)</f>
        <v>-2125948.8862176696</v>
      </c>
    </row>
    <row r="40" spans="1:37" x14ac:dyDescent="0.3">
      <c r="A40" t="str">
        <f>'Intermediate calculations'!A44</f>
        <v>Maize consumption (total)</v>
      </c>
      <c r="B40" t="str">
        <f>'Intermediate calculations'!B44</f>
        <v>t</v>
      </c>
      <c r="C40">
        <v>6425000</v>
      </c>
      <c r="D40">
        <v>6769000</v>
      </c>
      <c r="E40">
        <v>7022000</v>
      </c>
      <c r="F40">
        <v>6828000</v>
      </c>
      <c r="G40">
        <v>6773000</v>
      </c>
      <c r="H40">
        <v>6417000</v>
      </c>
      <c r="I40">
        <v>6842000</v>
      </c>
      <c r="J40">
        <v>6738000</v>
      </c>
      <c r="K40">
        <v>6383000</v>
      </c>
      <c r="L40">
        <v>6341000</v>
      </c>
      <c r="M40">
        <v>6362000</v>
      </c>
      <c r="N40">
        <v>6852000</v>
      </c>
      <c r="O40">
        <v>7151000</v>
      </c>
      <c r="P40">
        <v>6983000</v>
      </c>
      <c r="Q40">
        <v>7243000</v>
      </c>
      <c r="R40">
        <v>7283000</v>
      </c>
      <c r="S40">
        <v>7462000</v>
      </c>
      <c r="T40">
        <v>7660000</v>
      </c>
      <c r="U40">
        <v>8029000</v>
      </c>
      <c r="V40">
        <v>8613000</v>
      </c>
      <c r="W40">
        <v>8658000</v>
      </c>
      <c r="X40">
        <v>8857000</v>
      </c>
      <c r="Y40">
        <v>8941000</v>
      </c>
      <c r="Z40">
        <v>8935000</v>
      </c>
      <c r="AA40">
        <v>9349000</v>
      </c>
      <c r="AB40">
        <v>9927000</v>
      </c>
      <c r="AC40">
        <v>10249000</v>
      </c>
      <c r="AD40">
        <v>9813000</v>
      </c>
      <c r="AJ40">
        <f>SLOPE(M40:AD40,M39:AD39)</f>
        <v>2.3833210982866073</v>
      </c>
      <c r="AK40">
        <f>INTERCEPT(M40:AD40,M39:AD39)</f>
        <v>-1681273.1286989572</v>
      </c>
    </row>
    <row r="41" spans="1:37" x14ac:dyDescent="0.3">
      <c r="A41" t="str">
        <f>'Intermediate calculations'!A46</f>
        <v>Maize production</v>
      </c>
      <c r="B41" t="str">
        <f>'Intermediate calculations'!B46</f>
        <v>t</v>
      </c>
      <c r="C41">
        <v>9180000</v>
      </c>
      <c r="D41">
        <v>8614000</v>
      </c>
      <c r="E41">
        <v>3277000</v>
      </c>
      <c r="F41">
        <v>9997000</v>
      </c>
      <c r="G41">
        <v>13275000</v>
      </c>
      <c r="H41">
        <v>4866000</v>
      </c>
      <c r="I41">
        <v>10171000</v>
      </c>
      <c r="J41">
        <v>10136000</v>
      </c>
      <c r="K41">
        <v>7693000</v>
      </c>
      <c r="L41">
        <v>7946000</v>
      </c>
      <c r="M41">
        <v>11455000</v>
      </c>
      <c r="N41">
        <v>7772000</v>
      </c>
      <c r="O41">
        <v>10076000</v>
      </c>
      <c r="P41">
        <v>9705000</v>
      </c>
      <c r="Q41">
        <v>9737000</v>
      </c>
      <c r="R41">
        <v>11749000</v>
      </c>
      <c r="S41">
        <v>6618000</v>
      </c>
      <c r="T41">
        <v>7339000</v>
      </c>
      <c r="U41">
        <v>13164000</v>
      </c>
      <c r="V41">
        <v>12567000</v>
      </c>
      <c r="W41">
        <v>13421000</v>
      </c>
      <c r="X41">
        <v>10924000</v>
      </c>
      <c r="Y41">
        <v>12759000</v>
      </c>
      <c r="Z41">
        <v>12486000</v>
      </c>
      <c r="AA41">
        <v>14925000</v>
      </c>
      <c r="AB41">
        <v>10629000</v>
      </c>
      <c r="AC41">
        <v>7779000</v>
      </c>
      <c r="AD41">
        <v>16820000</v>
      </c>
      <c r="AJ41">
        <f>SLOPE(M41:AD41,M40:AD40)</f>
        <v>0.94561737822009173</v>
      </c>
      <c r="AK41">
        <f>INTERCEPT(M41:AD41,M40:AD40)</f>
        <v>3312588.1358677577</v>
      </c>
    </row>
    <row r="42" spans="1:37" x14ac:dyDescent="0.3">
      <c r="A42" t="s">
        <v>367</v>
      </c>
      <c r="B42" t="s">
        <v>361</v>
      </c>
      <c r="C42">
        <v>4163000</v>
      </c>
      <c r="D42">
        <v>3816000</v>
      </c>
      <c r="E42">
        <v>4173000</v>
      </c>
      <c r="F42">
        <v>4377000</v>
      </c>
      <c r="G42">
        <v>4661000</v>
      </c>
      <c r="H42">
        <v>3526000</v>
      </c>
      <c r="I42">
        <v>3761000</v>
      </c>
      <c r="J42">
        <v>4023000</v>
      </c>
      <c r="K42">
        <v>3560000</v>
      </c>
      <c r="L42">
        <v>3567000</v>
      </c>
      <c r="M42">
        <v>4013000</v>
      </c>
      <c r="N42">
        <v>3189000</v>
      </c>
      <c r="O42">
        <v>3533000</v>
      </c>
      <c r="P42">
        <v>3651000</v>
      </c>
      <c r="Q42">
        <v>3204000</v>
      </c>
      <c r="R42">
        <v>3223000</v>
      </c>
      <c r="S42">
        <v>2032000</v>
      </c>
      <c r="T42">
        <v>2897000</v>
      </c>
      <c r="U42">
        <v>3297000</v>
      </c>
      <c r="V42">
        <v>2896000</v>
      </c>
      <c r="W42">
        <v>3263000</v>
      </c>
      <c r="X42">
        <v>2859000</v>
      </c>
      <c r="Y42">
        <v>3141000</v>
      </c>
      <c r="Z42">
        <v>3238000</v>
      </c>
      <c r="AA42">
        <v>3096000</v>
      </c>
      <c r="AB42">
        <v>3048000</v>
      </c>
      <c r="AC42">
        <v>2213000</v>
      </c>
      <c r="AD42">
        <v>2997000</v>
      </c>
      <c r="AJ42">
        <f>SLOPE(M42:AD42,LN(M41:AD41))</f>
        <v>770524.49426802737</v>
      </c>
      <c r="AK42">
        <f>INTERCEPT(M42:AD42,LN(M41:AD41))</f>
        <v>-9377977.4579253141</v>
      </c>
    </row>
    <row r="43" spans="1:37" x14ac:dyDescent="0.3">
      <c r="A43" t="str">
        <f>'Intermediate calculations'!A47</f>
        <v>Sorghum consumption (human)</v>
      </c>
      <c r="B43" t="str">
        <f>'Intermediate calculations'!B47</f>
        <v>t</v>
      </c>
      <c r="C43">
        <v>194000</v>
      </c>
      <c r="D43">
        <v>195000</v>
      </c>
      <c r="E43">
        <v>199000</v>
      </c>
      <c r="F43">
        <v>200000</v>
      </c>
      <c r="G43">
        <v>184000</v>
      </c>
      <c r="H43">
        <v>183000</v>
      </c>
      <c r="I43">
        <v>181000</v>
      </c>
      <c r="J43">
        <v>179000</v>
      </c>
      <c r="K43">
        <v>177000</v>
      </c>
      <c r="L43">
        <v>175500</v>
      </c>
      <c r="M43">
        <v>174000</v>
      </c>
      <c r="N43">
        <v>186000</v>
      </c>
      <c r="O43">
        <v>190000</v>
      </c>
      <c r="P43">
        <v>174000</v>
      </c>
      <c r="Q43">
        <v>169000</v>
      </c>
      <c r="R43">
        <v>179000</v>
      </c>
      <c r="S43">
        <v>191000</v>
      </c>
      <c r="T43">
        <v>182000</v>
      </c>
      <c r="U43">
        <v>185000</v>
      </c>
      <c r="V43">
        <v>177000</v>
      </c>
      <c r="W43">
        <v>184000</v>
      </c>
      <c r="X43">
        <v>182000</v>
      </c>
      <c r="Y43">
        <v>183000</v>
      </c>
      <c r="Z43">
        <v>159000</v>
      </c>
      <c r="AA43">
        <v>165000</v>
      </c>
      <c r="AB43">
        <v>153000</v>
      </c>
      <c r="AC43">
        <v>149000</v>
      </c>
      <c r="AD43">
        <v>161000</v>
      </c>
    </row>
    <row r="44" spans="1:37" x14ac:dyDescent="0.3">
      <c r="A44" t="str">
        <f>'Intermediate calculations'!A49</f>
        <v>Sorghum consumption (total)</v>
      </c>
      <c r="B44" t="str">
        <f>'Intermediate calculations'!B49</f>
        <v>t</v>
      </c>
      <c r="C44">
        <v>316000</v>
      </c>
      <c r="D44">
        <v>245000</v>
      </c>
      <c r="E44">
        <v>243000</v>
      </c>
      <c r="F44">
        <v>287000</v>
      </c>
      <c r="G44">
        <v>410000</v>
      </c>
      <c r="H44">
        <v>303000</v>
      </c>
      <c r="I44">
        <v>331000</v>
      </c>
      <c r="J44">
        <v>243000</v>
      </c>
      <c r="K44">
        <v>235000</v>
      </c>
      <c r="L44">
        <v>0</v>
      </c>
      <c r="M44">
        <v>210000</v>
      </c>
      <c r="N44">
        <v>209000</v>
      </c>
      <c r="O44">
        <v>206000</v>
      </c>
      <c r="P44">
        <v>196000</v>
      </c>
      <c r="Q44">
        <v>179000</v>
      </c>
      <c r="R44">
        <v>189000</v>
      </c>
      <c r="S44">
        <v>203000</v>
      </c>
      <c r="T44">
        <v>190000</v>
      </c>
      <c r="U44">
        <v>196000</v>
      </c>
      <c r="V44">
        <v>187000</v>
      </c>
      <c r="W44">
        <v>192000</v>
      </c>
      <c r="X44">
        <v>191000</v>
      </c>
      <c r="Y44">
        <v>190000</v>
      </c>
      <c r="Z44">
        <v>165000</v>
      </c>
      <c r="AA44">
        <v>170000</v>
      </c>
      <c r="AB44">
        <v>160000</v>
      </c>
      <c r="AC44">
        <v>159000</v>
      </c>
      <c r="AD44">
        <v>171000</v>
      </c>
      <c r="AJ44">
        <f>SLOPE(W44:AD44,W43:AD43)</f>
        <v>0.99067431850789101</v>
      </c>
      <c r="AK44">
        <f>INTERCEPT(W44:AD44,W43:AD43)</f>
        <v>9307.3888091822155</v>
      </c>
    </row>
    <row r="45" spans="1:37" x14ac:dyDescent="0.3">
      <c r="A45" t="s">
        <v>812</v>
      </c>
      <c r="B45" t="s">
        <v>361</v>
      </c>
      <c r="C45">
        <v>341000</v>
      </c>
      <c r="D45">
        <v>302000</v>
      </c>
      <c r="E45">
        <v>118000</v>
      </c>
      <c r="F45">
        <v>515368</v>
      </c>
      <c r="G45">
        <v>520185</v>
      </c>
      <c r="H45">
        <v>290557</v>
      </c>
      <c r="I45">
        <v>535839</v>
      </c>
      <c r="J45">
        <v>433371</v>
      </c>
      <c r="K45">
        <v>358469</v>
      </c>
      <c r="L45">
        <v>223530</v>
      </c>
      <c r="M45">
        <v>142000</v>
      </c>
      <c r="N45">
        <v>88000</v>
      </c>
      <c r="O45">
        <v>75000</v>
      </c>
      <c r="P45">
        <v>95000</v>
      </c>
      <c r="Q45">
        <v>130000</v>
      </c>
      <c r="R45">
        <v>86000</v>
      </c>
      <c r="S45">
        <v>37000</v>
      </c>
      <c r="T45">
        <v>69000</v>
      </c>
      <c r="U45">
        <v>87000</v>
      </c>
      <c r="V45">
        <v>86000</v>
      </c>
      <c r="W45">
        <v>87000</v>
      </c>
      <c r="X45">
        <v>69000</v>
      </c>
      <c r="Y45">
        <v>49000</v>
      </c>
      <c r="Z45">
        <v>63000</v>
      </c>
      <c r="AA45">
        <v>78750</v>
      </c>
      <c r="AB45">
        <v>70000</v>
      </c>
      <c r="AC45">
        <v>48000</v>
      </c>
      <c r="AD45">
        <v>42000</v>
      </c>
      <c r="AJ45">
        <f>SLOPE(M45:AD45,M44:AD44)</f>
        <v>0.59564510705077911</v>
      </c>
      <c r="AK45">
        <f>INTERCEPT(M45:AD45,M44:AD44)</f>
        <v>-33411.36083398723</v>
      </c>
    </row>
    <row r="46" spans="1:37" x14ac:dyDescent="0.3">
      <c r="A46" t="s">
        <v>370</v>
      </c>
      <c r="B46" t="s">
        <v>361</v>
      </c>
      <c r="C46">
        <v>1563000</v>
      </c>
      <c r="D46">
        <v>1436000</v>
      </c>
      <c r="E46">
        <v>750000</v>
      </c>
      <c r="F46">
        <v>1075000</v>
      </c>
      <c r="G46">
        <v>1048000</v>
      </c>
      <c r="H46">
        <v>1363000</v>
      </c>
      <c r="I46">
        <v>1294000</v>
      </c>
      <c r="J46">
        <v>1382000</v>
      </c>
      <c r="K46">
        <v>745000</v>
      </c>
      <c r="L46">
        <v>718000</v>
      </c>
      <c r="M46">
        <v>934000</v>
      </c>
      <c r="N46">
        <v>974000</v>
      </c>
      <c r="O46">
        <v>941000</v>
      </c>
      <c r="P46">
        <v>748000</v>
      </c>
      <c r="Q46">
        <v>830000</v>
      </c>
      <c r="R46">
        <v>805000</v>
      </c>
      <c r="S46">
        <v>765000</v>
      </c>
      <c r="T46">
        <v>632000</v>
      </c>
      <c r="U46">
        <v>748000</v>
      </c>
      <c r="V46">
        <v>642000</v>
      </c>
      <c r="W46">
        <v>558000</v>
      </c>
      <c r="X46">
        <v>605000</v>
      </c>
      <c r="Y46">
        <v>511000</v>
      </c>
      <c r="Z46">
        <v>506000</v>
      </c>
      <c r="AA46">
        <v>477000</v>
      </c>
      <c r="AB46">
        <v>482000</v>
      </c>
      <c r="AC46">
        <v>508000</v>
      </c>
      <c r="AD46">
        <v>492000</v>
      </c>
    </row>
    <row r="47" spans="1:37" x14ac:dyDescent="0.3">
      <c r="A47" t="s">
        <v>383</v>
      </c>
      <c r="B47" t="s">
        <v>321</v>
      </c>
      <c r="C47">
        <v>780000</v>
      </c>
      <c r="D47">
        <v>825000</v>
      </c>
      <c r="E47">
        <v>570000</v>
      </c>
      <c r="F47">
        <v>900000</v>
      </c>
      <c r="G47">
        <v>1299451</v>
      </c>
      <c r="H47">
        <v>1032745</v>
      </c>
      <c r="I47">
        <v>1263570</v>
      </c>
      <c r="J47">
        <v>1193985</v>
      </c>
      <c r="K47">
        <v>1244321</v>
      </c>
      <c r="L47">
        <v>1237174</v>
      </c>
      <c r="M47">
        <v>825252</v>
      </c>
      <c r="N47">
        <v>1068357</v>
      </c>
      <c r="O47">
        <v>1467915</v>
      </c>
      <c r="P47">
        <v>1265742</v>
      </c>
      <c r="Q47">
        <v>1264888</v>
      </c>
      <c r="R47">
        <v>580444</v>
      </c>
      <c r="S47">
        <v>963118</v>
      </c>
      <c r="T47">
        <v>1137646</v>
      </c>
      <c r="U47">
        <v>1429803</v>
      </c>
      <c r="V47">
        <v>1517602.3688259386</v>
      </c>
      <c r="W47">
        <v>1425245.0325037544</v>
      </c>
      <c r="X47">
        <v>1576608.4448095565</v>
      </c>
      <c r="Y47">
        <v>1810067.2671795222</v>
      </c>
      <c r="Z47">
        <v>1635614.5207931739</v>
      </c>
      <c r="AA47">
        <v>1686924.1520832763</v>
      </c>
      <c r="AB47">
        <v>1702317.0414703069</v>
      </c>
      <c r="AC47">
        <v>2143579.8705651872</v>
      </c>
      <c r="AD47">
        <v>2657958.9242484635</v>
      </c>
      <c r="AJ47">
        <f>SLOPE(M47:AD47,M42:AD42)</f>
        <v>-0.28544189547795717</v>
      </c>
      <c r="AK47">
        <f>INTERCEPT(M47:AD47,M42:AD42)</f>
        <v>2337993.6650663563</v>
      </c>
    </row>
    <row r="48" spans="1:37" x14ac:dyDescent="0.3">
      <c r="A48" t="s">
        <v>114</v>
      </c>
      <c r="B48" t="s">
        <v>321</v>
      </c>
      <c r="C48">
        <v>124083.5011138469</v>
      </c>
      <c r="D48">
        <v>152218.50271143019</v>
      </c>
      <c r="E48">
        <v>180353.50430901349</v>
      </c>
      <c r="F48">
        <v>208488.50590658933</v>
      </c>
      <c r="G48">
        <v>236623.50750417262</v>
      </c>
      <c r="H48">
        <v>264758.50910175592</v>
      </c>
      <c r="I48">
        <v>292893.51069933921</v>
      </c>
      <c r="J48">
        <v>321028.5122969225</v>
      </c>
      <c r="K48">
        <v>349163.5138945058</v>
      </c>
      <c r="L48">
        <v>377298.51549208909</v>
      </c>
      <c r="M48">
        <v>405433.51708967239</v>
      </c>
      <c r="N48">
        <v>433568.51868725568</v>
      </c>
      <c r="O48">
        <v>461703.52028483152</v>
      </c>
      <c r="P48">
        <v>489838.52188241482</v>
      </c>
      <c r="Q48">
        <v>594407</v>
      </c>
      <c r="R48">
        <v>484209</v>
      </c>
      <c r="S48">
        <v>536026</v>
      </c>
      <c r="T48">
        <v>660755</v>
      </c>
      <c r="U48">
        <v>654808</v>
      </c>
      <c r="V48">
        <v>518924</v>
      </c>
      <c r="W48">
        <v>683837</v>
      </c>
      <c r="X48">
        <v>778897</v>
      </c>
      <c r="Y48">
        <v>800756</v>
      </c>
      <c r="Z48">
        <v>726904.59500000009</v>
      </c>
      <c r="AA48">
        <v>905143.08</v>
      </c>
      <c r="AB48">
        <v>662862.79909999995</v>
      </c>
      <c r="AC48">
        <v>877638</v>
      </c>
      <c r="AD48">
        <v>926747</v>
      </c>
      <c r="AJ48">
        <f>SLOPE(M48:AD48,M49:AD49)</f>
        <v>1.3595755992345242</v>
      </c>
      <c r="AK48">
        <f>INTERCEPT(M48:AD48,M49:AD49)</f>
        <v>69456.835151908104</v>
      </c>
    </row>
    <row r="49" spans="1:37" x14ac:dyDescent="0.3">
      <c r="A49" t="s">
        <v>813</v>
      </c>
      <c r="B49" t="s">
        <v>321</v>
      </c>
      <c r="C49">
        <v>343689</v>
      </c>
      <c r="D49">
        <v>365035</v>
      </c>
      <c r="E49">
        <v>347525</v>
      </c>
      <c r="F49">
        <v>408459</v>
      </c>
      <c r="G49">
        <v>375066</v>
      </c>
      <c r="H49">
        <v>371491</v>
      </c>
      <c r="I49">
        <v>415084</v>
      </c>
      <c r="J49">
        <v>406914</v>
      </c>
      <c r="K49">
        <v>415521</v>
      </c>
      <c r="L49">
        <v>413045</v>
      </c>
      <c r="M49">
        <v>415933</v>
      </c>
      <c r="N49">
        <v>395813</v>
      </c>
      <c r="O49">
        <v>477072</v>
      </c>
      <c r="P49">
        <v>420827</v>
      </c>
      <c r="Q49">
        <v>427571</v>
      </c>
      <c r="R49">
        <v>347260</v>
      </c>
      <c r="S49">
        <v>428719</v>
      </c>
      <c r="T49">
        <v>439480</v>
      </c>
      <c r="U49">
        <v>424123</v>
      </c>
      <c r="V49">
        <v>453777</v>
      </c>
      <c r="W49">
        <v>395000</v>
      </c>
      <c r="X49">
        <v>419000</v>
      </c>
      <c r="Y49">
        <v>430000</v>
      </c>
      <c r="Z49">
        <v>416500</v>
      </c>
      <c r="AA49">
        <v>447547</v>
      </c>
      <c r="AB49">
        <v>402792</v>
      </c>
      <c r="AC49">
        <v>430000</v>
      </c>
      <c r="AD49">
        <v>442900</v>
      </c>
      <c r="AJ49">
        <f>SLOPE(M49:AD49,M42:AD42)</f>
        <v>-6.3872671298887381E-3</v>
      </c>
      <c r="AK49">
        <f>INTERCEPT(M49:AD49,M42:AD42)</f>
        <v>442814.42406536068</v>
      </c>
    </row>
    <row r="50" spans="1:37" x14ac:dyDescent="0.3">
      <c r="A50" t="s">
        <v>928</v>
      </c>
      <c r="B50" t="s">
        <v>811</v>
      </c>
      <c r="C50">
        <v>1100000</v>
      </c>
      <c r="D50">
        <v>1260000</v>
      </c>
      <c r="E50">
        <v>1090000</v>
      </c>
      <c r="F50">
        <v>1150000</v>
      </c>
      <c r="G50">
        <v>1050000</v>
      </c>
      <c r="H50">
        <v>1130000</v>
      </c>
      <c r="I50">
        <v>1140000</v>
      </c>
      <c r="J50">
        <v>1100000</v>
      </c>
      <c r="K50">
        <v>1070000</v>
      </c>
      <c r="L50">
        <v>1080000</v>
      </c>
      <c r="M50">
        <v>1370000</v>
      </c>
      <c r="N50">
        <v>1360000</v>
      </c>
      <c r="O50">
        <v>1210000</v>
      </c>
      <c r="P50">
        <v>1070000</v>
      </c>
      <c r="Q50">
        <v>1020000</v>
      </c>
      <c r="R50">
        <v>1100000</v>
      </c>
      <c r="S50">
        <v>1080000</v>
      </c>
      <c r="T50">
        <v>1080000</v>
      </c>
      <c r="U50">
        <v>1300000</v>
      </c>
      <c r="V50">
        <v>1340000</v>
      </c>
      <c r="W50">
        <v>1340000</v>
      </c>
      <c r="X50">
        <v>1280000</v>
      </c>
      <c r="Y50">
        <v>1240000</v>
      </c>
      <c r="Z50">
        <v>1360000</v>
      </c>
      <c r="AA50">
        <v>1260000</v>
      </c>
      <c r="AB50">
        <v>1260000</v>
      </c>
      <c r="AC50">
        <v>1300000</v>
      </c>
      <c r="AD50">
        <v>1410000</v>
      </c>
    </row>
    <row r="51" spans="1:37" x14ac:dyDescent="0.3">
      <c r="A51" t="str">
        <f>'Activity data'!C5&amp;" - "&amp;'Activity data'!D5</f>
        <v>3A1ai Dairy cattle - TMR</v>
      </c>
      <c r="B51" t="s">
        <v>811</v>
      </c>
      <c r="C51">
        <v>487746.14676082286</v>
      </c>
      <c r="D51">
        <v>561522.50537304278</v>
      </c>
      <c r="E51">
        <v>485789.62235185754</v>
      </c>
      <c r="F51">
        <v>515225.4221676389</v>
      </c>
      <c r="G51">
        <v>477963.52471599629</v>
      </c>
      <c r="H51">
        <v>511312.37334970833</v>
      </c>
      <c r="I51">
        <v>513268.89775867364</v>
      </c>
      <c r="J51">
        <v>494824.80810561875</v>
      </c>
      <c r="K51">
        <v>488955.23487872281</v>
      </c>
      <c r="L51">
        <v>480293.76727049437</v>
      </c>
      <c r="M51">
        <v>618437.58059564023</v>
      </c>
      <c r="N51">
        <v>616481.05618667486</v>
      </c>
      <c r="O51">
        <v>537582.56063862459</v>
      </c>
      <c r="P51">
        <v>488955.23487872281</v>
      </c>
      <c r="Q51">
        <v>472093.95148910041</v>
      </c>
      <c r="R51">
        <v>505442.80012281239</v>
      </c>
      <c r="S51">
        <v>494451.08996008604</v>
      </c>
      <c r="T51">
        <v>490911.75928768812</v>
      </c>
      <c r="U51">
        <v>601202.57906048512</v>
      </c>
      <c r="V51">
        <v>616107.33804114221</v>
      </c>
      <c r="W51">
        <v>616107.33804114221</v>
      </c>
      <c r="X51">
        <v>593750.19957015652</v>
      </c>
      <c r="Y51">
        <v>571766.77924470371</v>
      </c>
      <c r="Z51">
        <v>616481.05618667486</v>
      </c>
      <c r="AA51">
        <v>582758.48940743017</v>
      </c>
      <c r="AB51">
        <v>589837.15075222601</v>
      </c>
      <c r="AC51">
        <v>611820.57107767893</v>
      </c>
      <c r="AD51">
        <v>658117.65428308269</v>
      </c>
    </row>
    <row r="52" spans="1:37" x14ac:dyDescent="0.3">
      <c r="A52" t="str">
        <f>'Activity data'!C6&amp;" - "&amp;'Activity data'!D6</f>
        <v>3A1ai Dairy cattle - Pasture</v>
      </c>
      <c r="B52" t="s">
        <v>811</v>
      </c>
      <c r="C52">
        <v>399733.85323917714</v>
      </c>
      <c r="D52">
        <v>460197.49462695734</v>
      </c>
      <c r="E52">
        <v>398130.37764814246</v>
      </c>
      <c r="F52">
        <v>422254.57783236104</v>
      </c>
      <c r="G52">
        <v>391716.47528400371</v>
      </c>
      <c r="H52">
        <v>419047.62665029167</v>
      </c>
      <c r="I52">
        <v>420651.10224132636</v>
      </c>
      <c r="J52">
        <v>405535.19189438137</v>
      </c>
      <c r="K52">
        <v>400724.76512127731</v>
      </c>
      <c r="L52">
        <v>393626.23272950563</v>
      </c>
      <c r="M52">
        <v>506842.41940435988</v>
      </c>
      <c r="N52">
        <v>505238.9438133252</v>
      </c>
      <c r="O52">
        <v>440577.43936137547</v>
      </c>
      <c r="P52">
        <v>400724.76512127731</v>
      </c>
      <c r="Q52">
        <v>386906.04851089959</v>
      </c>
      <c r="R52">
        <v>414237.19987718761</v>
      </c>
      <c r="S52">
        <v>405228.91003991402</v>
      </c>
      <c r="T52">
        <v>402328.24071231199</v>
      </c>
      <c r="U52">
        <v>492717.42093951488</v>
      </c>
      <c r="V52">
        <v>504932.66195885779</v>
      </c>
      <c r="W52">
        <v>504932.66195885779</v>
      </c>
      <c r="X52">
        <v>486609.80042984337</v>
      </c>
      <c r="Y52">
        <v>468593.22075529629</v>
      </c>
      <c r="Z52">
        <v>505238.9438133252</v>
      </c>
      <c r="AA52">
        <v>477601.51059256989</v>
      </c>
      <c r="AB52">
        <v>483402.84924777399</v>
      </c>
      <c r="AC52">
        <v>501419.42892232112</v>
      </c>
      <c r="AD52">
        <v>539362.34571691742</v>
      </c>
    </row>
    <row r="53" spans="1:37" x14ac:dyDescent="0.3">
      <c r="A53" t="str">
        <f>'Activity data'!C7&amp;" - "&amp;'Activity data'!D7</f>
        <v>3A1aii Other cattle - Non-lactating</v>
      </c>
      <c r="B53" t="s">
        <v>811</v>
      </c>
      <c r="C53">
        <v>585792.9</v>
      </c>
      <c r="D53">
        <v>665847.14000000013</v>
      </c>
      <c r="E53">
        <v>575959.50999999989</v>
      </c>
      <c r="F53">
        <v>602759.85000000009</v>
      </c>
      <c r="G53">
        <v>536625.95000000007</v>
      </c>
      <c r="H53">
        <v>583093.06999999995</v>
      </c>
      <c r="I53">
        <v>592926.46</v>
      </c>
      <c r="J53">
        <v>572912.89999999991</v>
      </c>
      <c r="K53">
        <v>543412.73</v>
      </c>
      <c r="L53">
        <v>572566.12</v>
      </c>
      <c r="M53">
        <v>709614.43</v>
      </c>
      <c r="N53">
        <v>699781.04</v>
      </c>
      <c r="O53">
        <v>642440.19000000006</v>
      </c>
      <c r="P53">
        <v>543412.73</v>
      </c>
      <c r="Q53">
        <v>507125.77999999997</v>
      </c>
      <c r="R53">
        <v>553592.9</v>
      </c>
      <c r="S53">
        <v>546806.12</v>
      </c>
      <c r="T53">
        <v>553246.12</v>
      </c>
      <c r="U53">
        <v>647220.70000000019</v>
      </c>
      <c r="V53">
        <v>673674.26</v>
      </c>
      <c r="W53">
        <v>673674.26</v>
      </c>
      <c r="X53">
        <v>633993.92000000016</v>
      </c>
      <c r="Y53">
        <v>620420.36</v>
      </c>
      <c r="Z53">
        <v>699781.04</v>
      </c>
      <c r="AA53">
        <v>627207.14</v>
      </c>
      <c r="AB53">
        <v>614327.14</v>
      </c>
      <c r="AC53">
        <v>627900.70000000007</v>
      </c>
      <c r="AD53">
        <v>690987.99</v>
      </c>
    </row>
    <row r="54" spans="1:37" x14ac:dyDescent="0.3">
      <c r="A54" t="str">
        <f>'Activity data'!C8&amp;" - "&amp;'Activity data'!D8</f>
        <v>3A1aii Other cattle - Commercial</v>
      </c>
      <c r="B54" t="s">
        <v>811</v>
      </c>
      <c r="C54">
        <v>6817100</v>
      </c>
      <c r="D54">
        <v>6522860</v>
      </c>
      <c r="E54">
        <v>6520490</v>
      </c>
      <c r="F54">
        <v>6100150</v>
      </c>
      <c r="G54">
        <v>6284050</v>
      </c>
      <c r="H54">
        <v>6426930</v>
      </c>
      <c r="I54">
        <v>6693540</v>
      </c>
      <c r="J54">
        <v>6947100</v>
      </c>
      <c r="K54">
        <v>7007270</v>
      </c>
      <c r="L54">
        <v>6893880</v>
      </c>
      <c r="M54">
        <v>6425570</v>
      </c>
      <c r="N54">
        <v>6458960</v>
      </c>
      <c r="O54">
        <v>6019810</v>
      </c>
      <c r="P54">
        <v>6177270</v>
      </c>
      <c r="Q54">
        <v>6234220</v>
      </c>
      <c r="R54">
        <v>6287100</v>
      </c>
      <c r="S54">
        <v>6143880</v>
      </c>
      <c r="T54">
        <v>6323880</v>
      </c>
      <c r="U54">
        <v>6148152.25</v>
      </c>
      <c r="V54">
        <v>6044920.583333333</v>
      </c>
      <c r="W54">
        <v>6025917.666666667</v>
      </c>
      <c r="X54">
        <v>6004279.833333333</v>
      </c>
      <c r="Y54">
        <v>7105366.333333334</v>
      </c>
      <c r="Z54">
        <v>5896311</v>
      </c>
      <c r="AA54">
        <v>6031835</v>
      </c>
      <c r="AB54">
        <v>5893460</v>
      </c>
      <c r="AC54">
        <v>5611164</v>
      </c>
      <c r="AD54">
        <v>5220425</v>
      </c>
      <c r="AJ54">
        <f>SLOPE(M54:AD54,LN(M14:AD14))</f>
        <v>-849795.56703256955</v>
      </c>
      <c r="AK54">
        <f>INTERCEPT(M54:AD54,LN(M14:AD14))</f>
        <v>17654028.051321879</v>
      </c>
    </row>
    <row r="55" spans="1:37" x14ac:dyDescent="0.3">
      <c r="A55" t="str">
        <f>'Activity data'!C9&amp;" - "&amp;'Activity data'!D9</f>
        <v>3A1aii Other cattle - Subsistence</v>
      </c>
      <c r="B55" t="s">
        <v>811</v>
      </c>
      <c r="C55">
        <v>4590000</v>
      </c>
      <c r="D55">
        <v>4870000</v>
      </c>
      <c r="E55">
        <v>5100000</v>
      </c>
      <c r="F55">
        <v>5040000</v>
      </c>
      <c r="G55">
        <v>4390000</v>
      </c>
      <c r="H55">
        <v>4240000</v>
      </c>
      <c r="I55">
        <v>4360000</v>
      </c>
      <c r="J55">
        <v>4560000</v>
      </c>
      <c r="K55">
        <v>4840000</v>
      </c>
      <c r="L55">
        <v>5040000</v>
      </c>
      <c r="M55">
        <v>4920000</v>
      </c>
      <c r="N55">
        <v>4800000</v>
      </c>
      <c r="O55">
        <v>5440000</v>
      </c>
      <c r="P55">
        <v>5570000</v>
      </c>
      <c r="Q55">
        <v>5480000</v>
      </c>
      <c r="R55">
        <v>5320000</v>
      </c>
      <c r="S55">
        <v>5490000</v>
      </c>
      <c r="T55">
        <v>5710000</v>
      </c>
      <c r="U55">
        <v>5620000</v>
      </c>
      <c r="V55">
        <v>5560000</v>
      </c>
      <c r="W55">
        <v>5480000</v>
      </c>
      <c r="X55">
        <v>5520000</v>
      </c>
      <c r="Y55">
        <v>4650000</v>
      </c>
      <c r="Z55">
        <v>5680000</v>
      </c>
      <c r="AA55">
        <v>5660000</v>
      </c>
      <c r="AB55">
        <v>5580000</v>
      </c>
      <c r="AC55">
        <v>5480000</v>
      </c>
      <c r="AD55">
        <v>5300000</v>
      </c>
      <c r="AJ55">
        <f>SLOPE(M55:AD55,Drivers!N4:AE4)</f>
        <v>2.3330915544416523E-2</v>
      </c>
      <c r="AK55">
        <f>INTERCEPT(M55:AD55,Drivers!N4:AE4)</f>
        <v>4229136.6969350902</v>
      </c>
    </row>
    <row r="56" spans="1:37" x14ac:dyDescent="0.3">
      <c r="A56" t="str">
        <f>'Activity data'!C10&amp;" - "&amp;'Activity data'!D10</f>
        <v>3A1aii Other cattle - Feedlot</v>
      </c>
      <c r="B56" t="s">
        <v>811</v>
      </c>
      <c r="C56">
        <v>420000</v>
      </c>
      <c r="D56">
        <v>420000</v>
      </c>
      <c r="E56">
        <v>420000</v>
      </c>
      <c r="F56">
        <v>420000</v>
      </c>
      <c r="G56">
        <v>420000</v>
      </c>
      <c r="H56">
        <v>420000</v>
      </c>
      <c r="I56">
        <v>420000</v>
      </c>
      <c r="J56">
        <v>420000</v>
      </c>
      <c r="K56">
        <v>420000</v>
      </c>
      <c r="L56">
        <v>420000</v>
      </c>
      <c r="M56">
        <v>420000</v>
      </c>
      <c r="N56">
        <v>420000</v>
      </c>
      <c r="O56">
        <v>420000</v>
      </c>
      <c r="P56">
        <v>420000</v>
      </c>
      <c r="Q56">
        <v>420000</v>
      </c>
      <c r="R56">
        <v>420000</v>
      </c>
      <c r="S56">
        <v>420000</v>
      </c>
      <c r="T56">
        <v>420000</v>
      </c>
      <c r="U56">
        <v>391147.75</v>
      </c>
      <c r="V56">
        <v>400819.41666666669</v>
      </c>
      <c r="W56">
        <v>399822.33333333331</v>
      </c>
      <c r="X56">
        <v>461800.16666666669</v>
      </c>
      <c r="Y56">
        <v>484273.66666666669</v>
      </c>
      <c r="Z56">
        <v>502649</v>
      </c>
      <c r="AA56">
        <v>521025</v>
      </c>
      <c r="AB56">
        <v>539400</v>
      </c>
      <c r="AC56">
        <v>568136</v>
      </c>
      <c r="AD56">
        <v>591585</v>
      </c>
      <c r="AJ56">
        <f>SLOPE(U56:AD56,U13:AD13)</f>
        <v>0.637449100124306</v>
      </c>
      <c r="AK56">
        <f>INTERCEPT(U56:AD56,U13:AD13)</f>
        <v>-99494.910040854127</v>
      </c>
    </row>
    <row r="57" spans="1:37" x14ac:dyDescent="0.3">
      <c r="A57" t="str">
        <f>'Activity data'!C11&amp;" - "&amp;'Activity data'!D11</f>
        <v>3A1c Sheep - Commercial</v>
      </c>
      <c r="B57" t="s">
        <v>811</v>
      </c>
      <c r="C57">
        <v>29979000</v>
      </c>
      <c r="D57">
        <v>28631000</v>
      </c>
      <c r="E57">
        <v>27448000</v>
      </c>
      <c r="F57">
        <v>25670000</v>
      </c>
      <c r="G57">
        <v>25851000</v>
      </c>
      <c r="H57">
        <v>25481000</v>
      </c>
      <c r="I57">
        <v>25566000</v>
      </c>
      <c r="J57">
        <v>25010000</v>
      </c>
      <c r="K57">
        <v>25079000</v>
      </c>
      <c r="L57">
        <v>24463000</v>
      </c>
      <c r="M57">
        <v>23586000</v>
      </c>
      <c r="N57">
        <v>22998000</v>
      </c>
      <c r="O57">
        <v>22614000</v>
      </c>
      <c r="P57">
        <v>22693000</v>
      </c>
      <c r="Q57">
        <v>22289000</v>
      </c>
      <c r="R57">
        <v>22236000</v>
      </c>
      <c r="S57">
        <v>21945000</v>
      </c>
      <c r="T57">
        <v>21924000</v>
      </c>
      <c r="U57">
        <v>21995000</v>
      </c>
      <c r="V57">
        <v>21917000</v>
      </c>
      <c r="W57">
        <v>21493000</v>
      </c>
      <c r="X57">
        <v>21325000</v>
      </c>
      <c r="Y57">
        <v>21427000</v>
      </c>
      <c r="Z57">
        <v>21589000</v>
      </c>
      <c r="AA57">
        <v>21202000</v>
      </c>
      <c r="AB57">
        <v>21033000</v>
      </c>
      <c r="AC57">
        <v>20438000</v>
      </c>
      <c r="AD57">
        <v>19942000</v>
      </c>
      <c r="AJ57">
        <f>SLOPE(F57:AD57,LN(F23:AD23))</f>
        <v>-5142301.054387291</v>
      </c>
      <c r="AK57">
        <f>INTERCEPT(F57:AD57,LN(F23:AD23))</f>
        <v>83155618.791130543</v>
      </c>
    </row>
    <row r="58" spans="1:37" x14ac:dyDescent="0.3">
      <c r="A58" t="str">
        <f>'Activity data'!C12&amp;" - "&amp;'Activity data'!D12</f>
        <v>3A1c Sheep - Subsistence</v>
      </c>
      <c r="B58" t="s">
        <v>811</v>
      </c>
      <c r="C58">
        <v>4183862.7657327019</v>
      </c>
      <c r="D58">
        <v>3995736.1768468926</v>
      </c>
      <c r="E58">
        <v>3830636.9523276691</v>
      </c>
      <c r="F58">
        <v>3582499.6563046952</v>
      </c>
      <c r="G58">
        <v>3607759.9772159201</v>
      </c>
      <c r="H58">
        <v>3556122.8571211509</v>
      </c>
      <c r="I58">
        <v>3567985.4387645437</v>
      </c>
      <c r="J58">
        <v>3490390.1988383494</v>
      </c>
      <c r="K58">
        <v>3500019.8239371148</v>
      </c>
      <c r="L58">
        <v>3414050.996968525</v>
      </c>
      <c r="M58">
        <v>3291657.0663655167</v>
      </c>
      <c r="N58">
        <v>3209595.9133500443</v>
      </c>
      <c r="O58">
        <v>3156004.9562787157</v>
      </c>
      <c r="P58">
        <v>3167030.1792178694</v>
      </c>
      <c r="Q58">
        <v>3110648.0264657419</v>
      </c>
      <c r="R58">
        <v>3103251.3579116268</v>
      </c>
      <c r="S58">
        <v>3062639.4607560104</v>
      </c>
      <c r="T58">
        <v>3059708.705291172</v>
      </c>
      <c r="U58">
        <v>3069617.4499580064</v>
      </c>
      <c r="V58">
        <v>3058731.7868028926</v>
      </c>
      <c r="W58">
        <v>2999558.4383699675</v>
      </c>
      <c r="X58">
        <v>2976112.3946512612</v>
      </c>
      <c r="Y58">
        <v>2990347.4926233329</v>
      </c>
      <c r="Z58">
        <v>3012956.1776377996</v>
      </c>
      <c r="AA58">
        <v>2958946.5412143511</v>
      </c>
      <c r="AB58">
        <v>2935360.9377116049</v>
      </c>
      <c r="AC58">
        <v>2852322.8662078534</v>
      </c>
      <c r="AD58">
        <v>2783101.2133240541</v>
      </c>
    </row>
    <row r="59" spans="1:37" x14ac:dyDescent="0.3">
      <c r="A59" t="str">
        <f>'Activity data'!C13&amp;" - "&amp;'Activity data'!D13</f>
        <v>3A1d Goats - Commercial</v>
      </c>
      <c r="B59" t="s">
        <v>811</v>
      </c>
      <c r="C59">
        <v>2774000.0000000005</v>
      </c>
      <c r="D59">
        <v>2453000.0000000009</v>
      </c>
      <c r="E59">
        <v>2284999.9999999995</v>
      </c>
      <c r="F59">
        <v>2158999.9999999995</v>
      </c>
      <c r="G59">
        <v>2336999.9999999995</v>
      </c>
      <c r="H59">
        <v>2369000</v>
      </c>
      <c r="I59">
        <v>2405999.9999999995</v>
      </c>
      <c r="J59">
        <v>2394000</v>
      </c>
      <c r="K59">
        <v>2360000</v>
      </c>
      <c r="L59">
        <v>2325000.0000000005</v>
      </c>
      <c r="M59">
        <v>2355000</v>
      </c>
      <c r="N59">
        <v>2427000.0000000005</v>
      </c>
      <c r="O59">
        <v>2216000.0000000005</v>
      </c>
      <c r="P59">
        <v>2160000</v>
      </c>
      <c r="Q59">
        <v>2164000.0000000005</v>
      </c>
      <c r="R59">
        <v>2136000</v>
      </c>
      <c r="S59">
        <v>2181000</v>
      </c>
      <c r="T59">
        <v>2116000</v>
      </c>
      <c r="U59">
        <v>2114000.0000000005</v>
      </c>
      <c r="V59">
        <v>2077000</v>
      </c>
      <c r="W59">
        <v>2052000.0000000002</v>
      </c>
      <c r="X59">
        <v>2033000.0000000002</v>
      </c>
      <c r="Y59">
        <v>2028000.0000000002</v>
      </c>
      <c r="Z59">
        <v>2005000</v>
      </c>
      <c r="AA59">
        <v>1987000.0000000002</v>
      </c>
      <c r="AB59">
        <v>1960000.0000000002</v>
      </c>
      <c r="AC59">
        <v>1900999.9999999998</v>
      </c>
      <c r="AD59">
        <v>1843000</v>
      </c>
      <c r="AJ59">
        <f>SLOPE(M59:AD59,M20:AD20)</f>
        <v>-70.552737449711444</v>
      </c>
      <c r="AK59">
        <f>INTERCEPT(M59:AD59,M20:AD20)</f>
        <v>2826074.60206402</v>
      </c>
    </row>
    <row r="60" spans="1:37" x14ac:dyDescent="0.3">
      <c r="A60" t="str">
        <f>'Activity data'!C14&amp;" - "&amp;'Activity data'!D14</f>
        <v>3A1d Goats - Subsistence</v>
      </c>
      <c r="B60" t="s">
        <v>811</v>
      </c>
      <c r="C60">
        <v>5479284.9120494025</v>
      </c>
      <c r="D60">
        <v>4845236.4416932901</v>
      </c>
      <c r="E60">
        <v>4513397.9899181286</v>
      </c>
      <c r="F60">
        <v>4264519.151086757</v>
      </c>
      <c r="G60">
        <v>4616109.8916580593</v>
      </c>
      <c r="H60">
        <v>4679317.2158057094</v>
      </c>
      <c r="I60">
        <v>4752400.6843514293</v>
      </c>
      <c r="J60">
        <v>4728697.9377960609</v>
      </c>
      <c r="K60">
        <v>4661540.1558891824</v>
      </c>
      <c r="L60">
        <v>4592407.1451026909</v>
      </c>
      <c r="M60">
        <v>4651664.0114911124</v>
      </c>
      <c r="N60">
        <v>4793880.4908233248</v>
      </c>
      <c r="O60">
        <v>4377107.1972247576</v>
      </c>
      <c r="P60">
        <v>4266494.3799663708</v>
      </c>
      <c r="Q60">
        <v>4274395.2954848269</v>
      </c>
      <c r="R60">
        <v>4219088.886855633</v>
      </c>
      <c r="S60">
        <v>4307974.1864382662</v>
      </c>
      <c r="T60">
        <v>4179584.3092633518</v>
      </c>
      <c r="U60">
        <v>4175633.8515041238</v>
      </c>
      <c r="V60">
        <v>4102550.3829584038</v>
      </c>
      <c r="W60">
        <v>4053169.6609680522</v>
      </c>
      <c r="X60">
        <v>4015640.3122553849</v>
      </c>
      <c r="Y60">
        <v>4005764.1678573145</v>
      </c>
      <c r="Z60">
        <v>3960333.9036261914</v>
      </c>
      <c r="AA60">
        <v>3924779.7837931383</v>
      </c>
      <c r="AB60">
        <v>3871448.6040435587</v>
      </c>
      <c r="AC60">
        <v>3754910.100146329</v>
      </c>
      <c r="AD60">
        <v>3640346.8251287136</v>
      </c>
      <c r="AJ60">
        <f>SLOPE(M60:AD60,Drivers!N4:AE4)</f>
        <v>-7.5956822080505443E-2</v>
      </c>
      <c r="AK60">
        <f>INTERCEPT(M60:AD60,Drivers!N4:AE4)</f>
        <v>7965792.0435501803</v>
      </c>
    </row>
    <row r="61" spans="1:37" x14ac:dyDescent="0.3">
      <c r="A61" t="str">
        <f>'Activity data'!C15&amp;" - "&amp;'Activity data'!D15</f>
        <v>3A1f Horses - Horses</v>
      </c>
      <c r="B61" t="s">
        <v>811</v>
      </c>
      <c r="C61">
        <v>230000</v>
      </c>
      <c r="D61">
        <v>230000</v>
      </c>
      <c r="E61">
        <v>230000</v>
      </c>
      <c r="F61">
        <v>235000</v>
      </c>
      <c r="G61">
        <v>240000</v>
      </c>
      <c r="H61">
        <v>245000</v>
      </c>
      <c r="I61">
        <v>250000</v>
      </c>
      <c r="J61">
        <v>255000</v>
      </c>
      <c r="K61">
        <v>260000</v>
      </c>
      <c r="L61">
        <v>258000</v>
      </c>
      <c r="M61">
        <v>270000</v>
      </c>
      <c r="N61">
        <v>270000</v>
      </c>
      <c r="O61">
        <v>270000</v>
      </c>
      <c r="P61">
        <v>270000</v>
      </c>
      <c r="Q61">
        <v>270000</v>
      </c>
      <c r="R61">
        <v>270000</v>
      </c>
      <c r="S61">
        <v>280000</v>
      </c>
      <c r="T61">
        <v>290000</v>
      </c>
      <c r="U61">
        <v>298000</v>
      </c>
      <c r="V61">
        <v>300000</v>
      </c>
      <c r="W61">
        <v>300000</v>
      </c>
      <c r="X61">
        <v>305000</v>
      </c>
      <c r="Y61">
        <v>308000</v>
      </c>
      <c r="Z61">
        <v>310000</v>
      </c>
      <c r="AA61">
        <v>312000</v>
      </c>
      <c r="AB61">
        <v>314825</v>
      </c>
      <c r="AC61">
        <v>320860</v>
      </c>
      <c r="AD61">
        <v>322771</v>
      </c>
      <c r="AJ61">
        <f>SLOPE(M61:AD61,M4:AD4)</f>
        <v>2750.4646029065857</v>
      </c>
      <c r="AK61">
        <f>INTERCEPT(M61:AD61,M4:AD4)</f>
        <v>99172.538697585725</v>
      </c>
    </row>
    <row r="62" spans="1:37" x14ac:dyDescent="0.3">
      <c r="A62" t="str">
        <f>'Activity data'!C16&amp;" - "&amp;'Activity data'!D16</f>
        <v>3A1g Mules &amp; asses - Mules &amp; Asses</v>
      </c>
      <c r="B62" t="s">
        <v>811</v>
      </c>
      <c r="C62">
        <v>224000</v>
      </c>
      <c r="D62">
        <v>224000</v>
      </c>
      <c r="E62">
        <v>224000</v>
      </c>
      <c r="F62">
        <v>224000</v>
      </c>
      <c r="G62">
        <v>224000</v>
      </c>
      <c r="H62">
        <v>224000</v>
      </c>
      <c r="I62">
        <v>224000</v>
      </c>
      <c r="J62">
        <v>224000</v>
      </c>
      <c r="K62">
        <v>224000</v>
      </c>
      <c r="L62">
        <v>224000</v>
      </c>
      <c r="M62">
        <v>164000</v>
      </c>
      <c r="N62">
        <v>164000</v>
      </c>
      <c r="O62">
        <v>164000</v>
      </c>
      <c r="P62">
        <v>164000</v>
      </c>
      <c r="Q62">
        <v>164000</v>
      </c>
      <c r="R62">
        <v>164000</v>
      </c>
      <c r="S62">
        <v>164050</v>
      </c>
      <c r="T62">
        <v>164600</v>
      </c>
      <c r="U62">
        <v>164700</v>
      </c>
      <c r="V62">
        <v>164800</v>
      </c>
      <c r="W62">
        <v>166300</v>
      </c>
      <c r="X62">
        <v>167000</v>
      </c>
      <c r="Y62">
        <v>167000</v>
      </c>
      <c r="Z62">
        <v>170500</v>
      </c>
      <c r="AA62">
        <v>171000</v>
      </c>
      <c r="AB62">
        <v>169029</v>
      </c>
      <c r="AC62">
        <v>161868</v>
      </c>
      <c r="AD62">
        <v>162820</v>
      </c>
    </row>
    <row r="63" spans="1:37" x14ac:dyDescent="0.3">
      <c r="A63" t="str">
        <f>'Activity data'!C17&amp;" - "&amp;'Activity data'!D17</f>
        <v>3A1h Swine - Commercial</v>
      </c>
      <c r="B63" t="s">
        <v>811</v>
      </c>
      <c r="C63">
        <v>1524000</v>
      </c>
      <c r="D63">
        <v>1665000</v>
      </c>
      <c r="E63">
        <v>1654000</v>
      </c>
      <c r="F63">
        <v>1653000</v>
      </c>
      <c r="G63">
        <v>1570000</v>
      </c>
      <c r="H63">
        <v>1585000</v>
      </c>
      <c r="I63">
        <v>1707000</v>
      </c>
      <c r="J63">
        <v>1699000</v>
      </c>
      <c r="K63">
        <v>1736000</v>
      </c>
      <c r="L63">
        <v>1780000</v>
      </c>
      <c r="M63">
        <v>1647000</v>
      </c>
      <c r="N63">
        <v>1678000</v>
      </c>
      <c r="O63">
        <v>1710000</v>
      </c>
      <c r="P63">
        <v>1663000</v>
      </c>
      <c r="Q63">
        <v>1663000</v>
      </c>
      <c r="R63">
        <v>1651000</v>
      </c>
      <c r="S63">
        <v>1622000</v>
      </c>
      <c r="T63">
        <v>1651000</v>
      </c>
      <c r="U63">
        <v>1615000</v>
      </c>
      <c r="V63">
        <v>1613000</v>
      </c>
      <c r="W63">
        <v>1594000</v>
      </c>
      <c r="X63">
        <v>1584000</v>
      </c>
      <c r="Y63">
        <v>1579000</v>
      </c>
      <c r="Z63">
        <v>1574000</v>
      </c>
      <c r="AA63">
        <v>1562000</v>
      </c>
      <c r="AB63">
        <v>1523000</v>
      </c>
      <c r="AC63">
        <v>1512000</v>
      </c>
      <c r="AD63">
        <v>1481000</v>
      </c>
      <c r="AJ63">
        <f>SLOPE(F63:AD63,LN(F26:AD26))</f>
        <v>-205539.44223151155</v>
      </c>
      <c r="AK63">
        <f>INTERCEPT(F63:AD63,LN(F26:AD26))</f>
        <v>4088839.9263823261</v>
      </c>
    </row>
    <row r="64" spans="1:37" x14ac:dyDescent="0.3">
      <c r="A64" t="str">
        <f>'Activity data'!C18&amp;" - "&amp;'Activity data'!D18</f>
        <v>3A1h Swine - Subsistence</v>
      </c>
      <c r="B64" t="s">
        <v>811</v>
      </c>
      <c r="C64">
        <v>199009.99166888703</v>
      </c>
      <c r="D64">
        <v>217422.33341778014</v>
      </c>
      <c r="E64">
        <v>215985.90959339839</v>
      </c>
      <c r="F64">
        <v>215855.3256093637</v>
      </c>
      <c r="G64">
        <v>205016.85493448336</v>
      </c>
      <c r="H64">
        <v>206975.6146950039</v>
      </c>
      <c r="I64">
        <v>222906.86074723766</v>
      </c>
      <c r="J64">
        <v>221862.18887496003</v>
      </c>
      <c r="K64">
        <v>226693.79628424402</v>
      </c>
      <c r="L64">
        <v>232439.49158177094</v>
      </c>
      <c r="M64">
        <v>215071.82170515548</v>
      </c>
      <c r="N64">
        <v>219119.92521023127</v>
      </c>
      <c r="O64">
        <v>223298.61269934176</v>
      </c>
      <c r="P64">
        <v>217161.16544971074</v>
      </c>
      <c r="Q64">
        <v>217161.16544971074</v>
      </c>
      <c r="R64">
        <v>215594.1576412943</v>
      </c>
      <c r="S64">
        <v>211807.22210428791</v>
      </c>
      <c r="T64">
        <v>215594.1576412943</v>
      </c>
      <c r="U64">
        <v>210893.134216045</v>
      </c>
      <c r="V64">
        <v>210631.96624797559</v>
      </c>
      <c r="W64">
        <v>208150.87055131624</v>
      </c>
      <c r="X64">
        <v>206845.03071096921</v>
      </c>
      <c r="Y64">
        <v>206192.1107907957</v>
      </c>
      <c r="Z64">
        <v>205539.19087062217</v>
      </c>
      <c r="AA64">
        <v>203972.18306220576</v>
      </c>
      <c r="AB64">
        <v>198879.40768485234</v>
      </c>
      <c r="AC64">
        <v>197442.98386047062</v>
      </c>
      <c r="AD64">
        <v>193394.88035539482</v>
      </c>
    </row>
    <row r="65" spans="1:37" x14ac:dyDescent="0.3">
      <c r="A65" t="str">
        <f>'Activity data'!C19&amp;" - "&amp;'Activity data'!D19</f>
        <v>3A2i Poultry - Commercial layers</v>
      </c>
      <c r="B65" t="s">
        <v>811</v>
      </c>
      <c r="C65">
        <v>14643674.931267885</v>
      </c>
      <c r="D65">
        <v>14226110.812328145</v>
      </c>
      <c r="E65">
        <v>13492476.52712371</v>
      </c>
      <c r="F65">
        <v>13280331.082668224</v>
      </c>
      <c r="G65">
        <v>12702684.496371185</v>
      </c>
      <c r="H65">
        <v>13860209.809151115</v>
      </c>
      <c r="I65">
        <v>14640611.562802857</v>
      </c>
      <c r="J65">
        <v>14688755.298092401</v>
      </c>
      <c r="K65">
        <v>16538299.007411262</v>
      </c>
      <c r="L65">
        <v>17730716.13950536</v>
      </c>
      <c r="M65">
        <v>17355030.714458548</v>
      </c>
      <c r="N65">
        <v>17818001.024886843</v>
      </c>
      <c r="O65">
        <v>17678155.288284503</v>
      </c>
      <c r="P65">
        <v>16972399.104253348</v>
      </c>
      <c r="Q65">
        <v>17587835.89054852</v>
      </c>
      <c r="R65">
        <v>18648391.6209228</v>
      </c>
      <c r="S65">
        <v>20580691.805783488</v>
      </c>
      <c r="T65">
        <v>22776081.657241259</v>
      </c>
      <c r="U65">
        <v>23076039.863330547</v>
      </c>
      <c r="V65">
        <v>22225308.649488669</v>
      </c>
      <c r="W65">
        <v>23091061.215630483</v>
      </c>
      <c r="X65">
        <v>24156882.687047753</v>
      </c>
      <c r="Y65">
        <v>25036870.403128054</v>
      </c>
      <c r="Z65">
        <v>24549576.616170555</v>
      </c>
      <c r="AA65">
        <v>24340499.841357533</v>
      </c>
      <c r="AB65">
        <v>24851160.720602136</v>
      </c>
      <c r="AC65">
        <v>24800000</v>
      </c>
      <c r="AD65">
        <v>23160000</v>
      </c>
      <c r="AJ65">
        <f>SLOPE(M65:AD65,M29:AD29)</f>
        <v>53.758789541785902</v>
      </c>
      <c r="AK65">
        <f>INTERCEPT(M65:AD65,M29:AD29)</f>
        <v>-485263.55440489948</v>
      </c>
    </row>
    <row r="66" spans="1:37" x14ac:dyDescent="0.3">
      <c r="A66" t="str">
        <f>'Activity data'!C20&amp;" - "&amp;'Activity data'!D20</f>
        <v>3A2i Poultry - Commercial broilers</v>
      </c>
      <c r="B66" t="s">
        <v>811</v>
      </c>
      <c r="C66">
        <v>40304488.125775687</v>
      </c>
      <c r="D66">
        <v>37886218.887128815</v>
      </c>
      <c r="E66">
        <v>35805187.036307976</v>
      </c>
      <c r="F66">
        <v>40268107.368938237</v>
      </c>
      <c r="G66">
        <v>39890443.299430735</v>
      </c>
      <c r="H66">
        <v>45660443.796231762</v>
      </c>
      <c r="I66">
        <v>53091326.838711366</v>
      </c>
      <c r="J66">
        <v>54040901.985378392</v>
      </c>
      <c r="K66">
        <v>59214394.697576575</v>
      </c>
      <c r="L66">
        <v>61819163.842046939</v>
      </c>
      <c r="M66">
        <v>66512864.907880791</v>
      </c>
      <c r="N66">
        <v>64225159.968942329</v>
      </c>
      <c r="O66">
        <v>71182309.580183759</v>
      </c>
      <c r="P66">
        <v>67705122.244331256</v>
      </c>
      <c r="Q66">
        <v>69339582.95804137</v>
      </c>
      <c r="R66">
        <v>76722494.212373629</v>
      </c>
      <c r="S66">
        <v>82061878.307196394</v>
      </c>
      <c r="T66">
        <v>85859218.536646262</v>
      </c>
      <c r="U66">
        <v>91416754.470852047</v>
      </c>
      <c r="V66">
        <v>86261715.79298</v>
      </c>
      <c r="W66">
        <v>88431266.728296682</v>
      </c>
      <c r="X66">
        <v>91461113.859690607</v>
      </c>
      <c r="Y66">
        <v>93498642.184348121</v>
      </c>
      <c r="Z66">
        <v>91051385.328801513</v>
      </c>
      <c r="AA66">
        <v>95192509.839774087</v>
      </c>
      <c r="AB66">
        <v>99033153.399708137</v>
      </c>
      <c r="AC66">
        <v>92093884</v>
      </c>
      <c r="AD66">
        <v>91976041</v>
      </c>
      <c r="AJ66">
        <f>SLOPE(M66:AD66,M33:AD33)</f>
        <v>35.717419741834426</v>
      </c>
      <c r="AK66">
        <f>INTERCEPT(M66:AD66,M33:AD33)</f>
        <v>39385415.286496744</v>
      </c>
    </row>
    <row r="67" spans="1:37" x14ac:dyDescent="0.3">
      <c r="A67" t="str">
        <f>'Activity data'!C21&amp;" - "&amp;'Activity data'!D21</f>
        <v>3A2i Poultry - Subsistence layers</v>
      </c>
      <c r="B67" t="s">
        <v>811</v>
      </c>
      <c r="C67">
        <v>615034.34711325122</v>
      </c>
      <c r="D67">
        <v>597496.65411778213</v>
      </c>
      <c r="E67">
        <v>566684.0141391959</v>
      </c>
      <c r="F67">
        <v>557773.90547206544</v>
      </c>
      <c r="G67">
        <v>533512.74884758983</v>
      </c>
      <c r="H67">
        <v>582128.81198434683</v>
      </c>
      <c r="I67">
        <v>614905.68563772005</v>
      </c>
      <c r="J67">
        <v>616927.72251988086</v>
      </c>
      <c r="K67">
        <v>694608.55831127299</v>
      </c>
      <c r="L67">
        <v>744690.07785922522</v>
      </c>
      <c r="M67">
        <v>728911.290007259</v>
      </c>
      <c r="N67">
        <v>748356.04304524744</v>
      </c>
      <c r="O67">
        <v>742482.52210794913</v>
      </c>
      <c r="P67">
        <v>712840.76237864071</v>
      </c>
      <c r="Q67">
        <v>738689.10740303784</v>
      </c>
      <c r="R67">
        <v>783232.44807875762</v>
      </c>
      <c r="S67">
        <v>864389.05584290659</v>
      </c>
      <c r="T67">
        <v>956595.42960413289</v>
      </c>
      <c r="U67">
        <v>969193.674259883</v>
      </c>
      <c r="V67">
        <v>933462.96327852411</v>
      </c>
      <c r="W67">
        <v>969824.57105648029</v>
      </c>
      <c r="X67">
        <v>1014589.0728560057</v>
      </c>
      <c r="Y67">
        <v>1051548.5569313783</v>
      </c>
      <c r="Z67">
        <v>1031082.2178791633</v>
      </c>
      <c r="AA67">
        <v>1022300.9933370164</v>
      </c>
      <c r="AB67">
        <v>1043748.7502652898</v>
      </c>
      <c r="AC67">
        <v>1041600.0000000001</v>
      </c>
      <c r="AD67">
        <v>972720.00000000012</v>
      </c>
    </row>
    <row r="68" spans="1:37" x14ac:dyDescent="0.3">
      <c r="A68" t="str">
        <f>'Activity data'!C22&amp;" - "&amp;'Activity data'!D22</f>
        <v>3A2i Poultry - Subsistence broilers</v>
      </c>
      <c r="B68" t="s">
        <v>811</v>
      </c>
      <c r="C68">
        <v>1692788.501282579</v>
      </c>
      <c r="D68">
        <v>1591221.1932594103</v>
      </c>
      <c r="E68">
        <v>1503817.8555249351</v>
      </c>
      <c r="F68">
        <v>1691260.5094954062</v>
      </c>
      <c r="G68">
        <v>1675398.618576091</v>
      </c>
      <c r="H68">
        <v>1917738.6394417342</v>
      </c>
      <c r="I68">
        <v>2229835.7272258773</v>
      </c>
      <c r="J68">
        <v>2269717.8833858925</v>
      </c>
      <c r="K68">
        <v>2487004.5772982165</v>
      </c>
      <c r="L68">
        <v>2596404.8813659716</v>
      </c>
      <c r="M68">
        <v>2793540.3261309932</v>
      </c>
      <c r="N68">
        <v>2697456.7186955782</v>
      </c>
      <c r="O68">
        <v>2989657.0023677181</v>
      </c>
      <c r="P68">
        <v>2843615.1342619131</v>
      </c>
      <c r="Q68">
        <v>2912262.4842377375</v>
      </c>
      <c r="R68">
        <v>3222344.7569196927</v>
      </c>
      <c r="S68">
        <v>3446598.8889022488</v>
      </c>
      <c r="T68">
        <v>3606087.1785391434</v>
      </c>
      <c r="U68">
        <v>3839503.687775786</v>
      </c>
      <c r="V68">
        <v>3622992.06330516</v>
      </c>
      <c r="W68">
        <v>3714113.2025884609</v>
      </c>
      <c r="X68">
        <v>3841366.7821070058</v>
      </c>
      <c r="Y68">
        <v>3926942.9717426212</v>
      </c>
      <c r="Z68">
        <v>3824158.1838096636</v>
      </c>
      <c r="AA68">
        <v>3998085.4132705121</v>
      </c>
      <c r="AB68">
        <v>4159392.4427877418</v>
      </c>
      <c r="AC68">
        <v>3867943.128</v>
      </c>
      <c r="AD68">
        <v>3862993.7220000001</v>
      </c>
    </row>
    <row r="69" spans="1:37" x14ac:dyDescent="0.3">
      <c r="C69">
        <f>SUM(C51:C56)</f>
        <v>13300372.9</v>
      </c>
    </row>
    <row r="70" spans="1:37" x14ac:dyDescent="0.3">
      <c r="C70">
        <f>SUM(C51:C53)</f>
        <v>1473272.9</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A38"/>
  <sheetViews>
    <sheetView workbookViewId="0">
      <selection activeCell="L39" sqref="L39"/>
    </sheetView>
  </sheetViews>
  <sheetFormatPr defaultColWidth="8.77734375" defaultRowHeight="14.4" x14ac:dyDescent="0.3"/>
  <cols>
    <col min="2" max="2" width="26.44140625" customWidth="1"/>
    <col min="3" max="3" width="11" customWidth="1"/>
  </cols>
  <sheetData>
    <row r="1" spans="1:53" x14ac:dyDescent="0.3">
      <c r="A1" s="28" t="s">
        <v>665</v>
      </c>
    </row>
    <row r="3" spans="1:53" x14ac:dyDescent="0.3">
      <c r="A3" s="28"/>
      <c r="B3" s="29"/>
      <c r="C3" s="30">
        <v>2000</v>
      </c>
      <c r="D3" s="30">
        <v>2001</v>
      </c>
      <c r="E3" s="30">
        <v>2002</v>
      </c>
      <c r="F3" s="30">
        <v>2003</v>
      </c>
      <c r="G3" s="30">
        <v>2004</v>
      </c>
      <c r="H3" s="30">
        <v>2005</v>
      </c>
      <c r="I3" s="30">
        <v>2006</v>
      </c>
      <c r="J3" s="30">
        <v>2007</v>
      </c>
      <c r="K3" s="30">
        <v>2008</v>
      </c>
      <c r="L3" s="30">
        <v>2009</v>
      </c>
      <c r="M3" s="30">
        <v>2010</v>
      </c>
      <c r="N3" s="30">
        <v>2011</v>
      </c>
      <c r="O3" s="30">
        <v>2012</v>
      </c>
      <c r="P3" s="30">
        <v>2013</v>
      </c>
      <c r="Q3" s="30">
        <v>2014</v>
      </c>
      <c r="R3" s="31">
        <v>2015</v>
      </c>
      <c r="S3" s="31">
        <v>2016</v>
      </c>
      <c r="T3" s="31">
        <v>2017</v>
      </c>
      <c r="U3" s="31">
        <v>2018</v>
      </c>
      <c r="V3" s="31">
        <v>2019</v>
      </c>
      <c r="W3" s="31">
        <v>2020</v>
      </c>
      <c r="X3" s="31">
        <v>2021</v>
      </c>
      <c r="Y3" s="31">
        <v>2022</v>
      </c>
      <c r="Z3" s="31">
        <v>2023</v>
      </c>
      <c r="AA3" s="31">
        <v>2024</v>
      </c>
      <c r="AB3" s="31">
        <v>2025</v>
      </c>
      <c r="AC3" s="31">
        <v>2026</v>
      </c>
      <c r="AD3" s="31">
        <v>2027</v>
      </c>
      <c r="AE3" s="31">
        <v>2028</v>
      </c>
      <c r="AF3" s="31">
        <v>2029</v>
      </c>
      <c r="AG3" s="31">
        <v>2030</v>
      </c>
      <c r="AH3" s="31">
        <v>2031</v>
      </c>
      <c r="AI3" s="31">
        <v>2032</v>
      </c>
      <c r="AJ3" s="31">
        <v>2033</v>
      </c>
      <c r="AK3" s="31">
        <v>2034</v>
      </c>
      <c r="AL3" s="31">
        <v>2035</v>
      </c>
      <c r="AM3" s="31">
        <v>2036</v>
      </c>
      <c r="AN3" s="31">
        <v>2037</v>
      </c>
      <c r="AO3" s="31">
        <v>2038</v>
      </c>
      <c r="AP3" s="31">
        <v>2039</v>
      </c>
      <c r="AQ3" s="31">
        <v>2040</v>
      </c>
      <c r="AR3" s="31">
        <v>2041</v>
      </c>
      <c r="AS3" s="31">
        <v>2042</v>
      </c>
      <c r="AT3" s="31">
        <v>2043</v>
      </c>
      <c r="AU3" s="31">
        <v>2044</v>
      </c>
      <c r="AV3" s="31">
        <v>2045</v>
      </c>
      <c r="AW3" s="31">
        <v>2046</v>
      </c>
      <c r="AX3" s="31">
        <v>2047</v>
      </c>
      <c r="AY3" s="31">
        <v>2048</v>
      </c>
      <c r="AZ3" s="31">
        <v>2049</v>
      </c>
      <c r="BA3" s="31">
        <v>2050</v>
      </c>
    </row>
    <row r="4" spans="1:53" x14ac:dyDescent="0.3">
      <c r="A4" s="29"/>
      <c r="B4" s="29" t="s">
        <v>666</v>
      </c>
      <c r="C4" s="32">
        <v>993.09182234073091</v>
      </c>
      <c r="D4" s="32">
        <v>993.09182234073091</v>
      </c>
      <c r="E4" s="32">
        <v>993.09182234073091</v>
      </c>
      <c r="F4" s="32">
        <v>1043.5184288423109</v>
      </c>
      <c r="G4" s="32">
        <v>1063.935684388</v>
      </c>
      <c r="H4" s="32">
        <v>1250.3949420410001</v>
      </c>
      <c r="I4" s="32">
        <v>1361.4582773811801</v>
      </c>
      <c r="J4" s="32">
        <v>1418.12680256985</v>
      </c>
      <c r="K4" s="32">
        <v>1510.0595450369999</v>
      </c>
      <c r="L4" s="32">
        <v>1467.5146597320002</v>
      </c>
      <c r="M4" s="32">
        <v>1455.5368726329998</v>
      </c>
      <c r="N4" s="32">
        <v>1511.75508982</v>
      </c>
      <c r="O4" s="32">
        <v>1600</v>
      </c>
      <c r="P4" s="32">
        <v>1550</v>
      </c>
      <c r="Q4" s="32">
        <v>1500</v>
      </c>
      <c r="R4" s="33">
        <v>1604.9091918984675</v>
      </c>
      <c r="S4" s="33">
        <v>1560</v>
      </c>
      <c r="T4" s="33">
        <v>1530</v>
      </c>
      <c r="U4" s="33">
        <v>1620</v>
      </c>
      <c r="V4" s="33">
        <v>1680</v>
      </c>
      <c r="W4" s="33">
        <v>1715</v>
      </c>
      <c r="X4" s="33">
        <v>1780</v>
      </c>
      <c r="Y4" s="33">
        <v>1785</v>
      </c>
      <c r="Z4" s="33">
        <v>1790</v>
      </c>
      <c r="AA4" s="33">
        <v>1795</v>
      </c>
      <c r="AB4" s="33">
        <v>1800</v>
      </c>
      <c r="AC4" s="33">
        <v>1805</v>
      </c>
      <c r="AD4" s="33">
        <v>1810</v>
      </c>
      <c r="AE4" s="33">
        <v>1815</v>
      </c>
    </row>
    <row r="5" spans="1:53" x14ac:dyDescent="0.3">
      <c r="A5" s="29"/>
      <c r="B5" s="29" t="s">
        <v>667</v>
      </c>
      <c r="C5" s="32">
        <v>1079.3522583407307</v>
      </c>
      <c r="D5" s="32">
        <v>1079.3522583407307</v>
      </c>
      <c r="E5" s="32">
        <v>1079.3522583407307</v>
      </c>
      <c r="F5" s="32">
        <v>1188.8597378423108</v>
      </c>
      <c r="G5" s="32">
        <v>1206.674888388</v>
      </c>
      <c r="H5" s="32">
        <v>1426.810047041</v>
      </c>
      <c r="I5" s="32">
        <v>1614.02513538118</v>
      </c>
      <c r="J5" s="32">
        <v>1649.1401165698499</v>
      </c>
      <c r="K5" s="32">
        <v>1693.2698300369998</v>
      </c>
      <c r="L5" s="32">
        <v>1660.260131732</v>
      </c>
      <c r="M5" s="32">
        <v>1679.6840026329999</v>
      </c>
      <c r="N5" s="32">
        <v>1828.6388368200001</v>
      </c>
      <c r="O5" s="32">
        <v>1876.7825659999999</v>
      </c>
      <c r="P5" s="32">
        <v>1848.129913</v>
      </c>
      <c r="Q5" s="32">
        <v>1879.0711650000001</v>
      </c>
      <c r="R5" s="33">
        <v>1922.8356980734377</v>
      </c>
      <c r="S5" s="33">
        <v>1990.456203544496</v>
      </c>
      <c r="T5" s="33">
        <v>2057.8989690155481</v>
      </c>
      <c r="U5" s="33">
        <v>2126.2640708919885</v>
      </c>
      <c r="V5" s="33">
        <v>2198.3453171198826</v>
      </c>
      <c r="W5" s="33">
        <v>2269.7994713342828</v>
      </c>
      <c r="X5" s="33">
        <v>2342.1782343068635</v>
      </c>
      <c r="Y5" s="33">
        <v>2416.4818482639166</v>
      </c>
      <c r="Z5" s="33">
        <v>2491.5186816187529</v>
      </c>
      <c r="AA5" s="33">
        <v>2570.8561685926552</v>
      </c>
    </row>
    <row r="6" spans="1:53" x14ac:dyDescent="0.3">
      <c r="A6" s="29"/>
      <c r="B6" s="29" t="s">
        <v>668</v>
      </c>
      <c r="C6" s="32">
        <f>'Intermediate calculations'!M42/1000</f>
        <v>850</v>
      </c>
      <c r="D6" s="32">
        <f>'Intermediate calculations'!N42/1000</f>
        <v>869</v>
      </c>
      <c r="E6" s="32">
        <f>'Intermediate calculations'!O42/1000</f>
        <v>896</v>
      </c>
      <c r="F6" s="32">
        <f>'Intermediate calculations'!P42/1000</f>
        <v>925</v>
      </c>
      <c r="G6" s="32">
        <f>'Intermediate calculations'!Q42/1000</f>
        <v>1043</v>
      </c>
      <c r="H6" s="32">
        <f>'Intermediate calculations'!R42/1000</f>
        <v>1273</v>
      </c>
      <c r="I6" s="32">
        <f>'Intermediate calculations'!S42/1000</f>
        <v>1427</v>
      </c>
      <c r="J6" s="32">
        <f>'Intermediate calculations'!T42/1000</f>
        <v>1499</v>
      </c>
      <c r="K6" s="32">
        <f>'Intermediate calculations'!U42/1000</f>
        <v>1584</v>
      </c>
      <c r="L6" s="32">
        <f>'Intermediate calculations'!V42/1000</f>
        <v>1644</v>
      </c>
      <c r="M6" s="32">
        <f>'Intermediate calculations'!W42/1000</f>
        <v>1681</v>
      </c>
      <c r="N6" s="32">
        <f>'Intermediate calculations'!X42/1000</f>
        <v>1721</v>
      </c>
      <c r="O6" s="32">
        <f>'Intermediate calculations'!Y42/1000</f>
        <v>1461.9296645871286</v>
      </c>
      <c r="P6" s="32">
        <f>'Intermediate calculations'!Z42/1000</f>
        <v>1500.9290445244408</v>
      </c>
      <c r="Q6" s="32">
        <f>'Intermediate calculations'!AA42/1000</f>
        <v>1551.6978906253514</v>
      </c>
      <c r="R6" s="32">
        <f>'Intermediate calculations'!AB42/1000</f>
        <v>1579.6991994235048</v>
      </c>
      <c r="S6" s="32">
        <f>'Intermediate calculations'!AC42/1000</f>
        <v>1592.2732513502281</v>
      </c>
      <c r="T6" s="32">
        <f>'Intermediate calculations'!AD42/1000</f>
        <v>1589.0236047287594</v>
      </c>
      <c r="U6" s="32">
        <f>'Intermediate calculations'!AE42/1000</f>
        <v>1597.0850065537823</v>
      </c>
      <c r="V6" s="32">
        <f>'Intermediate calculations'!AF42/1000</f>
        <v>1606.5563837569275</v>
      </c>
      <c r="W6" s="32">
        <f>'Intermediate calculations'!AG42/1000</f>
        <v>1367.6878468194336</v>
      </c>
      <c r="X6" s="32">
        <f>'Intermediate calculations'!AH42/1000</f>
        <v>1435.4991995685702</v>
      </c>
      <c r="Y6" s="32">
        <f>'Intermediate calculations'!AI42/1000</f>
        <v>1536.9222597869605</v>
      </c>
      <c r="Z6" s="32">
        <f>'Intermediate calculations'!AJ42/1000</f>
        <v>1585.0280522340568</v>
      </c>
      <c r="AA6" s="32">
        <f>'Intermediate calculations'!AK42/1000</f>
        <v>1640.2463917129166</v>
      </c>
      <c r="AB6" s="32">
        <f>'Intermediate calculations'!AL42/1000</f>
        <v>1704.8702182687716</v>
      </c>
      <c r="AC6" s="32">
        <f>'Intermediate calculations'!AM42/1000</f>
        <v>1777.6484436240746</v>
      </c>
      <c r="AD6" s="32">
        <f>'Intermediate calculations'!AN42/1000</f>
        <v>1858.2069909062395</v>
      </c>
      <c r="AE6" s="32">
        <f>'Intermediate calculations'!AO42/1000</f>
        <v>1940.9746849014207</v>
      </c>
      <c r="AF6" s="32">
        <f>'Intermediate calculations'!AP42/1000</f>
        <v>2031.1869499699046</v>
      </c>
      <c r="AG6" s="32">
        <f>'Intermediate calculations'!AQ42/1000</f>
        <v>2123.260613221124</v>
      </c>
      <c r="AH6" s="32">
        <f>'Intermediate calculations'!AR42/1000</f>
        <v>2229.1869025900755</v>
      </c>
      <c r="AI6" s="32">
        <f>'Intermediate calculations'!AS42/1000</f>
        <v>2333.4828716685406</v>
      </c>
      <c r="AJ6" s="32">
        <f>'Intermediate calculations'!AT42/1000</f>
        <v>2443.6660847022772</v>
      </c>
      <c r="AK6" s="32">
        <f>'Intermediate calculations'!AU42/1000</f>
        <v>2568.8768708687639</v>
      </c>
      <c r="AL6" s="32">
        <f>'Intermediate calculations'!AV42/1000</f>
        <v>2687.6692467892426</v>
      </c>
      <c r="AM6" s="32">
        <f>'Intermediate calculations'!AW42/1000</f>
        <v>2815.4636514367085</v>
      </c>
      <c r="AN6" s="32">
        <f>'Intermediate calculations'!AX42/1000</f>
        <v>2952.2867901237973</v>
      </c>
      <c r="AO6" s="32">
        <f>'Intermediate calculations'!AY42/1000</f>
        <v>3080.5532051622704</v>
      </c>
      <c r="AP6" s="32">
        <f>'Intermediate calculations'!AZ42/1000</f>
        <v>3208.2092541373941</v>
      </c>
      <c r="AQ6" s="32">
        <f>'Intermediate calculations'!BA42/1000</f>
        <v>3335.6070685618292</v>
      </c>
      <c r="AR6" s="32">
        <f>'Intermediate calculations'!BB42/1000</f>
        <v>3476.1514980686879</v>
      </c>
      <c r="AS6" s="32">
        <f>'Intermediate calculations'!BC42/1000</f>
        <v>3611.367690709269</v>
      </c>
      <c r="AT6" s="32">
        <f>'Intermediate calculations'!BD42/1000</f>
        <v>3751.9043108681694</v>
      </c>
      <c r="AU6" s="32">
        <f>'Intermediate calculations'!BE42/1000</f>
        <v>3898.4415153154782</v>
      </c>
      <c r="AV6" s="32">
        <f>'Intermediate calculations'!BF42/1000</f>
        <v>4052.0505323936241</v>
      </c>
      <c r="AW6" s="32">
        <f>'Intermediate calculations'!BG42/1000</f>
        <v>4214.3196207305646</v>
      </c>
      <c r="AX6" s="32">
        <f>'Intermediate calculations'!BH42/1000</f>
        <v>4258.7262781532336</v>
      </c>
      <c r="AY6" s="32">
        <f>'Intermediate calculations'!BI42/1000</f>
        <v>4292.1326981501797</v>
      </c>
      <c r="AZ6" s="32">
        <f>'Intermediate calculations'!BJ42/1000</f>
        <v>4309.5811651536087</v>
      </c>
      <c r="BA6" s="32">
        <f>'Intermediate calculations'!BK42/1000</f>
        <v>4322.2363188622076</v>
      </c>
    </row>
    <row r="7" spans="1:53" x14ac:dyDescent="0.3">
      <c r="A7" s="29"/>
      <c r="B7" s="29" t="s">
        <v>669</v>
      </c>
      <c r="C7" s="32">
        <f>'Intermediate calculations'!M39/1000</f>
        <v>927</v>
      </c>
      <c r="D7" s="32">
        <f>'Intermediate calculations'!N39/1000</f>
        <v>938</v>
      </c>
      <c r="E7" s="32">
        <f>'Intermediate calculations'!O39/1000</f>
        <v>965</v>
      </c>
      <c r="F7" s="32">
        <f>'Intermediate calculations'!P39/1000</f>
        <v>1032</v>
      </c>
      <c r="G7" s="32">
        <f>'Intermediate calculations'!Q39/1000</f>
        <v>1196</v>
      </c>
      <c r="H7" s="32">
        <f>'Intermediate calculations'!R39/1000</f>
        <v>1455</v>
      </c>
      <c r="I7" s="32">
        <f>'Intermediate calculations'!S39/1000</f>
        <v>1664</v>
      </c>
      <c r="J7" s="32">
        <f>'Intermediate calculations'!T39/1000</f>
        <v>1767</v>
      </c>
      <c r="K7" s="32">
        <f>'Intermediate calculations'!U39/1000</f>
        <v>1813</v>
      </c>
      <c r="L7" s="32">
        <f>'Intermediate calculations'!V39/1000</f>
        <v>1841</v>
      </c>
      <c r="M7" s="32">
        <f>'Intermediate calculations'!W39/1000</f>
        <v>1887</v>
      </c>
      <c r="N7" s="32">
        <f>'Intermediate calculations'!X39/1000</f>
        <v>1987</v>
      </c>
      <c r="O7" s="32">
        <f>'Intermediate calculations'!Y39/1000</f>
        <v>1780.5365679391939</v>
      </c>
      <c r="P7" s="32">
        <f>'Intermediate calculations'!Z39/1000</f>
        <v>1834.642518675608</v>
      </c>
      <c r="Q7" s="32">
        <f>'Intermediate calculations'!AA39/1000</f>
        <v>1905.0768868757136</v>
      </c>
      <c r="R7" s="32">
        <f>'Intermediate calculations'!AB39/1000</f>
        <v>1943.9246182197323</v>
      </c>
      <c r="S7" s="32">
        <f>'Intermediate calculations'!AC39/1000</f>
        <v>1961.3692810630382</v>
      </c>
      <c r="T7" s="32">
        <f>'Intermediate calculations'!AD39/1000</f>
        <v>1956.8608704089575</v>
      </c>
      <c r="U7" s="32">
        <f>'Intermediate calculations'!AE39/1000</f>
        <v>1968.0448895064972</v>
      </c>
      <c r="V7" s="32">
        <f>'Intermediate calculations'!AF39/1000</f>
        <v>1981.1850437649266</v>
      </c>
      <c r="W7" s="32">
        <f>'Intermediate calculations'!AG39/1000</f>
        <v>1649.7897930508427</v>
      </c>
      <c r="X7" s="32">
        <f>'Intermediate calculations'!AH39/1000</f>
        <v>1743.8681531968753</v>
      </c>
      <c r="Y7" s="32">
        <f>'Intermediate calculations'!AI39/1000</f>
        <v>1884.5778544416992</v>
      </c>
      <c r="Z7" s="32">
        <f>'Intermediate calculations'!AJ39/1000</f>
        <v>1951.3176241627186</v>
      </c>
      <c r="AA7" s="32">
        <f>'Intermediate calculations'!AK39/1000</f>
        <v>2027.9250153671976</v>
      </c>
      <c r="AB7" s="32">
        <f>'Intermediate calculations'!AL39/1000</f>
        <v>2117.5811478916125</v>
      </c>
      <c r="AC7" s="32">
        <f>'Intermediate calculations'!AM39/1000</f>
        <v>2218.5503192499059</v>
      </c>
      <c r="AD7" s="32">
        <f>'Intermediate calculations'!AN39/1000</f>
        <v>2330.313552348794</v>
      </c>
      <c r="AE7" s="32">
        <f>'Intermediate calculations'!AO39/1000</f>
        <v>2445.1416542588295</v>
      </c>
      <c r="AF7" s="32">
        <f>'Intermediate calculations'!AP39/1000</f>
        <v>2570.2980125768727</v>
      </c>
      <c r="AG7" s="32">
        <f>'Intermediate calculations'!AQ39/1000</f>
        <v>2698.0367893471521</v>
      </c>
      <c r="AH7" s="32">
        <f>'Intermediate calculations'!AR39/1000</f>
        <v>2844.9940641422922</v>
      </c>
      <c r="AI7" s="32">
        <f>'Intermediate calculations'!AS39/1000</f>
        <v>2989.6895073528422</v>
      </c>
      <c r="AJ7" s="32">
        <f>'Intermediate calculations'!AT39/1000</f>
        <v>3142.5526427659138</v>
      </c>
      <c r="AK7" s="32">
        <f>'Intermediate calculations'!AU39/1000</f>
        <v>3316.2643437950383</v>
      </c>
      <c r="AL7" s="32">
        <f>'Intermediate calculations'!AV39/1000</f>
        <v>3481.0714368756571</v>
      </c>
      <c r="AM7" s="32">
        <f>'Intermediate calculations'!AW39/1000</f>
        <v>3658.367531668945</v>
      </c>
      <c r="AN7" s="32">
        <f>'Intermediate calculations'!AX39/1000</f>
        <v>3848.1896779006224</v>
      </c>
      <c r="AO7" s="32">
        <f>'Intermediate calculations'!AY39/1000</f>
        <v>4026.1406182582241</v>
      </c>
      <c r="AP7" s="32">
        <f>'Intermediate calculations'!AZ39/1000</f>
        <v>4203.2447647383888</v>
      </c>
      <c r="AQ7" s="32">
        <f>'Intermediate calculations'!BA39/1000</f>
        <v>4379.9906484487228</v>
      </c>
      <c r="AR7" s="32">
        <f>'Intermediate calculations'!BB39/1000</f>
        <v>4574.9755428598319</v>
      </c>
      <c r="AS7" s="32">
        <f>'Intermediate calculations'!BC39/1000</f>
        <v>4762.5682858607861</v>
      </c>
      <c r="AT7" s="32">
        <f>'Intermediate calculations'!BD39/1000</f>
        <v>4957.5423459407693</v>
      </c>
      <c r="AU7" s="32">
        <f>'Intermediate calculations'!BE39/1000</f>
        <v>5160.8413414022953</v>
      </c>
      <c r="AV7" s="32">
        <f>'Intermediate calculations'!BF39/1000</f>
        <v>5373.9514453080128</v>
      </c>
      <c r="AW7" s="32">
        <f>'Intermediate calculations'!BG39/1000</f>
        <v>5599.0761348213837</v>
      </c>
      <c r="AX7" s="32">
        <f>'Intermediate calculations'!BH39/1000</f>
        <v>5660.6838942970917</v>
      </c>
      <c r="AY7" s="32">
        <f>'Intermediate calculations'!BI39/1000</f>
        <v>5707.0304289737996</v>
      </c>
      <c r="AZ7" s="32">
        <f>'Intermediate calculations'!BJ39/1000</f>
        <v>5731.2376316942273</v>
      </c>
      <c r="BA7" s="32">
        <f>'Intermediate calculations'!BK39/1000</f>
        <v>5748.7948114293877</v>
      </c>
    </row>
    <row r="8" spans="1:53" x14ac:dyDescent="0.3">
      <c r="A8" s="29"/>
      <c r="B8" s="29"/>
      <c r="C8" s="32"/>
      <c r="D8" s="32"/>
      <c r="E8" s="32"/>
      <c r="F8" s="32"/>
      <c r="G8" s="32"/>
      <c r="H8" s="32"/>
      <c r="I8" s="32"/>
      <c r="J8" s="32"/>
      <c r="K8" s="32"/>
      <c r="L8" s="32"/>
      <c r="M8" s="32"/>
      <c r="N8" s="32"/>
      <c r="O8" s="32"/>
      <c r="P8" s="32"/>
      <c r="Q8" s="32"/>
      <c r="R8" s="33"/>
      <c r="S8" s="33"/>
      <c r="T8" s="33"/>
      <c r="U8" s="33"/>
      <c r="V8" s="33"/>
      <c r="W8" s="33"/>
      <c r="X8" s="33"/>
      <c r="Y8" s="33"/>
      <c r="Z8" s="33"/>
      <c r="AA8" s="33"/>
    </row>
    <row r="9" spans="1:53" x14ac:dyDescent="0.3">
      <c r="A9" s="28"/>
      <c r="B9" s="29"/>
      <c r="C9" s="30">
        <v>2000</v>
      </c>
      <c r="D9" s="30">
        <v>2001</v>
      </c>
      <c r="E9" s="30">
        <v>2002</v>
      </c>
      <c r="F9" s="30">
        <v>2003</v>
      </c>
      <c r="G9" s="30">
        <v>2004</v>
      </c>
      <c r="H9" s="30">
        <v>2005</v>
      </c>
      <c r="I9" s="30">
        <v>2006</v>
      </c>
      <c r="J9" s="30">
        <v>2007</v>
      </c>
      <c r="K9" s="30">
        <v>2008</v>
      </c>
      <c r="L9" s="30">
        <v>2009</v>
      </c>
      <c r="M9" s="30">
        <v>2010</v>
      </c>
      <c r="N9" s="30">
        <v>2011</v>
      </c>
      <c r="O9" s="30">
        <v>2012</v>
      </c>
      <c r="P9" s="30">
        <v>2013</v>
      </c>
      <c r="Q9" s="30">
        <v>2014</v>
      </c>
      <c r="R9" s="31">
        <v>2015</v>
      </c>
      <c r="S9" s="31">
        <v>2016</v>
      </c>
      <c r="T9" s="31">
        <v>2017</v>
      </c>
      <c r="U9" s="31">
        <v>2018</v>
      </c>
      <c r="V9" s="31">
        <v>2019</v>
      </c>
      <c r="W9" s="31">
        <v>2020</v>
      </c>
      <c r="X9" s="31">
        <v>2021</v>
      </c>
      <c r="Y9" s="31">
        <v>2022</v>
      </c>
      <c r="Z9" s="31">
        <v>2023</v>
      </c>
      <c r="AA9" s="31">
        <v>2024</v>
      </c>
      <c r="AB9" s="31">
        <v>2025</v>
      </c>
      <c r="AC9" s="31">
        <v>2026</v>
      </c>
      <c r="AD9" s="31">
        <v>2027</v>
      </c>
      <c r="AE9" s="31">
        <v>2028</v>
      </c>
      <c r="AF9" s="31">
        <v>2029</v>
      </c>
      <c r="AG9" s="31">
        <v>2030</v>
      </c>
      <c r="AH9" s="31">
        <v>2031</v>
      </c>
      <c r="AI9" s="31">
        <v>2032</v>
      </c>
      <c r="AJ9" s="31">
        <v>2033</v>
      </c>
      <c r="AK9" s="31">
        <v>2034</v>
      </c>
      <c r="AL9" s="31">
        <v>2035</v>
      </c>
      <c r="AM9" s="31">
        <v>2036</v>
      </c>
      <c r="AN9" s="31">
        <v>2037</v>
      </c>
      <c r="AO9" s="31">
        <v>2038</v>
      </c>
      <c r="AP9" s="31">
        <v>2039</v>
      </c>
      <c r="AQ9" s="31">
        <v>2040</v>
      </c>
      <c r="AR9" s="31">
        <v>2041</v>
      </c>
      <c r="AS9" s="31">
        <v>2042</v>
      </c>
      <c r="AT9" s="31">
        <v>2043</v>
      </c>
      <c r="AU9" s="31">
        <v>2044</v>
      </c>
      <c r="AV9" s="31">
        <v>2045</v>
      </c>
      <c r="AW9" s="31">
        <v>2046</v>
      </c>
      <c r="AX9" s="31">
        <v>2047</v>
      </c>
      <c r="AY9" s="31">
        <v>2048</v>
      </c>
      <c r="AZ9" s="31">
        <v>2049</v>
      </c>
      <c r="BA9" s="31">
        <v>2050</v>
      </c>
    </row>
    <row r="10" spans="1:53" x14ac:dyDescent="0.3">
      <c r="A10" s="29"/>
      <c r="B10" s="29" t="s">
        <v>670</v>
      </c>
      <c r="C10" s="32">
        <v>325.34589665653499</v>
      </c>
      <c r="D10" s="32">
        <v>325.34589665653499</v>
      </c>
      <c r="E10" s="32">
        <v>325.34589665653499</v>
      </c>
      <c r="F10" s="32">
        <v>318.8389787234043</v>
      </c>
      <c r="G10" s="32">
        <v>318.8389787234043</v>
      </c>
      <c r="H10" s="32">
        <v>325.21575829787241</v>
      </c>
      <c r="I10" s="32">
        <v>328.46791588085114</v>
      </c>
      <c r="J10" s="32">
        <v>363.86063999999999</v>
      </c>
      <c r="K10" s="32">
        <v>368.28791999999999</v>
      </c>
      <c r="L10" s="32">
        <v>373.60199999999998</v>
      </c>
      <c r="M10" s="32">
        <v>386.43599999999998</v>
      </c>
      <c r="N10" s="32">
        <v>404.49</v>
      </c>
      <c r="O10" s="32">
        <v>450.04</v>
      </c>
      <c r="P10" s="32">
        <v>439.4</v>
      </c>
      <c r="Q10" s="32">
        <v>421.88</v>
      </c>
      <c r="R10" s="33">
        <v>433.92676812049251</v>
      </c>
      <c r="S10" s="33">
        <v>435</v>
      </c>
      <c r="T10" s="33">
        <v>400</v>
      </c>
      <c r="U10" s="33">
        <v>410</v>
      </c>
      <c r="V10" s="33">
        <v>415</v>
      </c>
      <c r="W10" s="33">
        <v>424</v>
      </c>
      <c r="X10" s="33">
        <v>440</v>
      </c>
      <c r="Y10" s="33">
        <v>450</v>
      </c>
      <c r="Z10" s="33">
        <v>458</v>
      </c>
      <c r="AA10" s="33">
        <v>460</v>
      </c>
      <c r="AB10" s="33">
        <v>470</v>
      </c>
      <c r="AC10" s="33">
        <v>480</v>
      </c>
      <c r="AD10" s="33">
        <v>490</v>
      </c>
      <c r="AE10" s="33">
        <v>500</v>
      </c>
    </row>
    <row r="11" spans="1:53" x14ac:dyDescent="0.3">
      <c r="A11" s="29"/>
      <c r="B11" s="29" t="s">
        <v>671</v>
      </c>
      <c r="C11" s="32">
        <v>321.91089665653499</v>
      </c>
      <c r="D11" s="32">
        <v>321.91089665653499</v>
      </c>
      <c r="E11" s="32">
        <v>321.91089665653499</v>
      </c>
      <c r="F11" s="32">
        <v>316.1402608231254</v>
      </c>
      <c r="G11" s="32">
        <v>317.8939787234043</v>
      </c>
      <c r="H11" s="32">
        <v>324.27075829787242</v>
      </c>
      <c r="I11" s="32">
        <v>328.91791588085113</v>
      </c>
      <c r="J11" s="32">
        <v>364.32063999999997</v>
      </c>
      <c r="K11" s="32">
        <v>367.77791999999999</v>
      </c>
      <c r="L11" s="32">
        <v>371.36519499999997</v>
      </c>
      <c r="M11" s="32">
        <v>382.88327899999996</v>
      </c>
      <c r="N11" s="32">
        <v>401.97165999999999</v>
      </c>
      <c r="O11" s="32">
        <v>445.23</v>
      </c>
      <c r="P11" s="32">
        <v>435.75099999999998</v>
      </c>
      <c r="Q11" s="32">
        <v>416.88200000000001</v>
      </c>
      <c r="R11" s="33">
        <f>R10-4</f>
        <v>429.92676812049251</v>
      </c>
      <c r="S11" s="33">
        <f t="shared" ref="S11:AE11" si="0">S10-4</f>
        <v>431</v>
      </c>
      <c r="T11" s="33">
        <f t="shared" si="0"/>
        <v>396</v>
      </c>
      <c r="U11" s="33">
        <f t="shared" si="0"/>
        <v>406</v>
      </c>
      <c r="V11" s="33">
        <f t="shared" si="0"/>
        <v>411</v>
      </c>
      <c r="W11" s="33">
        <f t="shared" si="0"/>
        <v>420</v>
      </c>
      <c r="X11" s="33">
        <f t="shared" si="0"/>
        <v>436</v>
      </c>
      <c r="Y11" s="33">
        <f t="shared" si="0"/>
        <v>446</v>
      </c>
      <c r="Z11" s="33">
        <f t="shared" si="0"/>
        <v>454</v>
      </c>
      <c r="AA11" s="33">
        <f t="shared" si="0"/>
        <v>456</v>
      </c>
      <c r="AB11" s="33">
        <f t="shared" si="0"/>
        <v>466</v>
      </c>
      <c r="AC11" s="33">
        <f t="shared" si="0"/>
        <v>476</v>
      </c>
      <c r="AD11" s="33">
        <f t="shared" si="0"/>
        <v>486</v>
      </c>
      <c r="AE11" s="33">
        <f t="shared" si="0"/>
        <v>496</v>
      </c>
    </row>
    <row r="12" spans="1:53" x14ac:dyDescent="0.3">
      <c r="A12" s="29"/>
      <c r="B12" s="29" t="s">
        <v>672</v>
      </c>
      <c r="C12" s="32">
        <f>'Intermediate calculations'!M37/1000</f>
        <v>329</v>
      </c>
      <c r="D12" s="32">
        <f>'Intermediate calculations'!N37/1000</f>
        <v>330</v>
      </c>
      <c r="E12" s="32">
        <f>'Intermediate calculations'!O37/1000</f>
        <v>340</v>
      </c>
      <c r="F12" s="32">
        <f>'Intermediate calculations'!P37/1000</f>
        <v>328</v>
      </c>
      <c r="G12" s="32">
        <f>'Intermediate calculations'!Q37/1000</f>
        <v>348</v>
      </c>
      <c r="H12" s="32">
        <f>'Intermediate calculations'!R37/1000</f>
        <v>375</v>
      </c>
      <c r="I12" s="32">
        <f>'Intermediate calculations'!S37/1000</f>
        <v>412</v>
      </c>
      <c r="J12" s="32">
        <f>'Intermediate calculations'!T37/1000</f>
        <v>438</v>
      </c>
      <c r="K12" s="32">
        <f>'Intermediate calculations'!U37/1000</f>
        <v>426</v>
      </c>
      <c r="L12" s="32">
        <f>'Intermediate calculations'!V37/1000</f>
        <v>404</v>
      </c>
      <c r="M12" s="32">
        <f>'Intermediate calculations'!W37/1000</f>
        <v>413</v>
      </c>
      <c r="N12" s="32">
        <f>'Intermediate calculations'!X37/1000</f>
        <v>452</v>
      </c>
      <c r="O12" s="32">
        <f>'Intermediate calculations'!Y37/1000</f>
        <v>448.98205019678232</v>
      </c>
      <c r="P12" s="32">
        <f>'Intermediate calculations'!Z37/1000</f>
        <v>458.09069820274442</v>
      </c>
      <c r="Q12" s="32">
        <f>'Intermediate calculations'!AA37/1000</f>
        <v>468.74154231529377</v>
      </c>
      <c r="R12" s="32">
        <f>'Intermediate calculations'!AB37/1000</f>
        <v>476.91443074207569</v>
      </c>
      <c r="S12" s="32">
        <f>'Intermediate calculations'!AC37/1000</f>
        <v>483.47206766951064</v>
      </c>
      <c r="T12" s="32">
        <f>'Intermediate calculations'!AD37/1000</f>
        <v>488.3754655866876</v>
      </c>
      <c r="U12" s="32">
        <f>'Intermediate calculations'!AE37/1000</f>
        <v>494.66817106631413</v>
      </c>
      <c r="V12" s="32">
        <f>'Intermediate calculations'!AF37/1000</f>
        <v>501.21183128389953</v>
      </c>
      <c r="W12" s="32">
        <f>'Intermediate calculations'!AG37/1000</f>
        <v>478.88916979670876</v>
      </c>
      <c r="X12" s="32">
        <f>'Intermediate calculations'!AH37/1000</f>
        <v>490.79448586302294</v>
      </c>
      <c r="Y12" s="32">
        <f>'Intermediate calculations'!AI37/1000</f>
        <v>506.6646825305744</v>
      </c>
      <c r="Z12" s="32">
        <f>'Intermediate calculations'!AJ37/1000</f>
        <v>516.36512356719402</v>
      </c>
      <c r="AA12" s="32">
        <f>'Intermediate calculations'!AK37/1000</f>
        <v>526.94193883955131</v>
      </c>
      <c r="AB12" s="32">
        <f>'Intermediate calculations'!AL37/1000</f>
        <v>538.66300778350956</v>
      </c>
      <c r="AC12" s="32">
        <f>'Intermediate calculations'!AM37/1000</f>
        <v>550.76965586012045</v>
      </c>
      <c r="AD12" s="32">
        <f>'Intermediate calculations'!AN37/1000</f>
        <v>563.81907946242973</v>
      </c>
      <c r="AE12" s="32">
        <f>'Intermediate calculations'!AO37/1000</f>
        <v>577.16207885920858</v>
      </c>
      <c r="AF12" s="32">
        <f>'Intermediate calculations'!AP37/1000</f>
        <v>591.40941378965181</v>
      </c>
      <c r="AG12" s="32">
        <f>'Intermediate calculations'!AQ37/1000</f>
        <v>605.91049264539822</v>
      </c>
      <c r="AH12" s="32">
        <f>'Intermediate calculations'!AR37/1000</f>
        <v>621.55692521019751</v>
      </c>
      <c r="AI12" s="32">
        <f>'Intermediate calculations'!AS37/1000</f>
        <v>637.04140842691436</v>
      </c>
      <c r="AJ12" s="32">
        <f>'Intermediate calculations'!AT37/1000</f>
        <v>653.24066533104349</v>
      </c>
      <c r="AK12" s="32">
        <f>'Intermediate calculations'!AU37/1000</f>
        <v>671.22062135816554</v>
      </c>
      <c r="AL12" s="32">
        <f>'Intermediate calculations'!AV37/1000</f>
        <v>688.48110459417035</v>
      </c>
      <c r="AM12" s="32">
        <f>'Intermediate calculations'!AW37/1000</f>
        <v>706.33134957819641</v>
      </c>
      <c r="AN12" s="32">
        <f>'Intermediate calculations'!AX37/1000</f>
        <v>725.25586807696425</v>
      </c>
      <c r="AO12" s="32">
        <f>'Intermediate calculations'!AY37/1000</f>
        <v>743.20450601668097</v>
      </c>
      <c r="AP12" s="32">
        <f>'Intermediate calculations'!AZ37/1000</f>
        <v>761.10389924503886</v>
      </c>
      <c r="AQ12" s="32">
        <f>'Intermediate calculations'!BA37/1000</f>
        <v>778.99526371999275</v>
      </c>
      <c r="AR12" s="32">
        <f>'Intermediate calculations'!BB37/1000</f>
        <v>797.97759408017509</v>
      </c>
      <c r="AS12" s="32">
        <f>'Intermediate calculations'!BC37/1000</f>
        <v>816.35482210281702</v>
      </c>
      <c r="AT12" s="32">
        <f>'Intermediate calculations'!BD37/1000</f>
        <v>835.36859006952193</v>
      </c>
      <c r="AU12" s="32">
        <f>'Intermediate calculations'!BE37/1000</f>
        <v>855.09829914198303</v>
      </c>
      <c r="AV12" s="32">
        <f>'Intermediate calculations'!BF37/1000</f>
        <v>875.66894666959433</v>
      </c>
      <c r="AW12" s="32">
        <f>'Intermediate calculations'!BG37/1000</f>
        <v>896.7889478874074</v>
      </c>
      <c r="AX12" s="32">
        <f>'Intermediate calculations'!BH37/1000</f>
        <v>904.1784442698189</v>
      </c>
      <c r="AY12" s="32">
        <f>'Intermediate calculations'!BI37/1000</f>
        <v>910.29670037511437</v>
      </c>
      <c r="AZ12" s="32">
        <f>'Intermediate calculations'!BJ37/1000</f>
        <v>914.56574710650716</v>
      </c>
      <c r="BA12" s="32">
        <f>'Intermediate calculations'!BK37/1000</f>
        <v>918.28734279749074</v>
      </c>
    </row>
    <row r="13" spans="1:53" x14ac:dyDescent="0.3">
      <c r="A13" s="29"/>
      <c r="B13" s="29" t="s">
        <v>673</v>
      </c>
      <c r="C13" s="32">
        <f>'Intermediate calculations'!M34/1000</f>
        <v>310</v>
      </c>
      <c r="D13" s="32">
        <f>'Intermediate calculations'!N34/1000</f>
        <v>308</v>
      </c>
      <c r="E13" s="32">
        <f>'Intermediate calculations'!O34/1000</f>
        <v>313</v>
      </c>
      <c r="F13" s="32">
        <f>'Intermediate calculations'!P34/1000</f>
        <v>305</v>
      </c>
      <c r="G13" s="32">
        <f>'Intermediate calculations'!Q34/1000</f>
        <v>329</v>
      </c>
      <c r="H13" s="32">
        <f>'Intermediate calculations'!R34/1000</f>
        <v>357</v>
      </c>
      <c r="I13" s="32">
        <f>'Intermediate calculations'!S34/1000</f>
        <v>392</v>
      </c>
      <c r="J13" s="32">
        <f>'Intermediate calculations'!T34/1000</f>
        <v>416</v>
      </c>
      <c r="K13" s="32">
        <f>'Intermediate calculations'!U34/1000</f>
        <v>404</v>
      </c>
      <c r="L13" s="32">
        <f>'Intermediate calculations'!V34/1000</f>
        <v>379</v>
      </c>
      <c r="M13" s="32">
        <f>'Intermediate calculations'!W34/1000</f>
        <v>386</v>
      </c>
      <c r="N13" s="32">
        <f>'Intermediate calculations'!X34/1000</f>
        <v>426</v>
      </c>
      <c r="O13" s="32">
        <f>'Intermediate calculations'!Y34/1000</f>
        <v>419.28599149200954</v>
      </c>
      <c r="P13" s="32">
        <f>'Intermediate calculations'!Z34/1000</f>
        <v>427.66019548096801</v>
      </c>
      <c r="Q13" s="32">
        <f>'Intermediate calculations'!AA34/1000</f>
        <v>437.45224598008747</v>
      </c>
      <c r="R13" s="32">
        <f>'Intermediate calculations'!AB34/1000</f>
        <v>444.96614209508408</v>
      </c>
      <c r="S13" s="32">
        <f>'Intermediate calculations'!AC34/1000</f>
        <v>450.99502687358489</v>
      </c>
      <c r="T13" s="32">
        <f>'Intermediate calculations'!AD34/1000</f>
        <v>455.50305642644469</v>
      </c>
      <c r="U13" s="32">
        <f>'Intermediate calculations'!AE34/1000</f>
        <v>461.28837157907071</v>
      </c>
      <c r="V13" s="32">
        <f>'Intermediate calculations'!AF34/1000</f>
        <v>467.30440661090245</v>
      </c>
      <c r="W13" s="32">
        <f>'Intermediate calculations'!AG34/1000</f>
        <v>446.78165496347418</v>
      </c>
      <c r="X13" s="32">
        <f>'Intermediate calculations'!AH34/1000</f>
        <v>457.72702745202378</v>
      </c>
      <c r="Y13" s="32">
        <f>'Intermediate calculations'!AI34/1000</f>
        <v>472.31758624318297</v>
      </c>
      <c r="Z13" s="32">
        <f>'Intermediate calculations'!AJ34/1000</f>
        <v>481.23586609880425</v>
      </c>
      <c r="AA13" s="32">
        <f>'Intermediate calculations'!AK34/1000</f>
        <v>490.9598568146904</v>
      </c>
      <c r="AB13" s="32">
        <f>'Intermediate calculations'!AL34/1000</f>
        <v>501.7358383040513</v>
      </c>
      <c r="AC13" s="32">
        <f>'Intermediate calculations'!AM34/1000</f>
        <v>512.86630909946587</v>
      </c>
      <c r="AD13" s="32">
        <f>'Intermediate calculations'!AN34/1000</f>
        <v>524.8635380090185</v>
      </c>
      <c r="AE13" s="32">
        <f>'Intermediate calculations'!AO34/1000</f>
        <v>537.1306712542638</v>
      </c>
      <c r="AF13" s="32">
        <f>'Intermediate calculations'!AP34/1000</f>
        <v>550.22922209610658</v>
      </c>
      <c r="AG13" s="32">
        <f>'Intermediate calculations'!AQ34/1000</f>
        <v>563.56105710812017</v>
      </c>
      <c r="AH13" s="32">
        <f>'Intermediate calculations'!AR34/1000</f>
        <v>577.94589423338266</v>
      </c>
      <c r="AI13" s="32">
        <f>'Intermediate calculations'!AS34/1000</f>
        <v>592.18184023058393</v>
      </c>
      <c r="AJ13" s="32">
        <f>'Intermediate calculations'!AT34/1000</f>
        <v>607.07492663549567</v>
      </c>
      <c r="AK13" s="32">
        <f>'Intermediate calculations'!AU34/1000</f>
        <v>623.60513170929687</v>
      </c>
      <c r="AL13" s="32">
        <f>'Intermediate calculations'!AV34/1000</f>
        <v>639.47387616749631</v>
      </c>
      <c r="AM13" s="32">
        <f>'Intermediate calculations'!AW34/1000</f>
        <v>655.88482899510291</v>
      </c>
      <c r="AN13" s="32">
        <f>'Intermediate calculations'!AX34/1000</f>
        <v>673.28343504484474</v>
      </c>
      <c r="AO13" s="32">
        <f>'Intermediate calculations'!AY34/1000</f>
        <v>689.78484725582973</v>
      </c>
      <c r="AP13" s="32">
        <f>'Intermediate calculations'!AZ34/1000</f>
        <v>706.24098543075286</v>
      </c>
      <c r="AQ13" s="32">
        <f>'Intermediate calculations'!BA34/1000</f>
        <v>722.68974222275949</v>
      </c>
      <c r="AR13" s="32">
        <f>'Intermediate calculations'!BB34/1000</f>
        <v>740.14149867639765</v>
      </c>
      <c r="AS13" s="32">
        <f>'Intermediate calculations'!BC34/1000</f>
        <v>757.03694310596325</v>
      </c>
      <c r="AT13" s="32">
        <f>'Intermediate calculations'!BD34/1000</f>
        <v>774.51760230452828</v>
      </c>
      <c r="AU13" s="32">
        <f>'Intermediate calculations'!BE34/1000</f>
        <v>792.65647519844697</v>
      </c>
      <c r="AV13" s="32">
        <f>'Intermediate calculations'!BF34/1000</f>
        <v>811.56848041244007</v>
      </c>
      <c r="AW13" s="32">
        <f>'Intermediate calculations'!BG34/1000</f>
        <v>830.98554410062411</v>
      </c>
      <c r="AX13" s="32">
        <f>'Intermediate calculations'!BH34/1000</f>
        <v>837.77921425249315</v>
      </c>
      <c r="AY13" s="32">
        <f>'Intermediate calculations'!BI34/1000</f>
        <v>843.40414614676513</v>
      </c>
      <c r="AZ13" s="32">
        <f>'Intermediate calculations'!BJ34/1000</f>
        <v>847.32897320602581</v>
      </c>
      <c r="BA13" s="32">
        <f>'Intermediate calculations'!BK34/1000</f>
        <v>850.75049102736705</v>
      </c>
    </row>
    <row r="14" spans="1:53" x14ac:dyDescent="0.3">
      <c r="A14" s="29"/>
      <c r="B14" s="29"/>
      <c r="C14" s="32"/>
      <c r="D14" s="32"/>
      <c r="E14" s="32"/>
      <c r="F14" s="32"/>
      <c r="G14" s="32"/>
      <c r="H14" s="32"/>
      <c r="I14" s="32"/>
      <c r="J14" s="32"/>
      <c r="K14" s="32"/>
      <c r="L14" s="32"/>
      <c r="M14" s="32"/>
      <c r="N14" s="32"/>
      <c r="O14" s="32"/>
      <c r="P14" s="32"/>
      <c r="Q14" s="32"/>
      <c r="R14" s="33"/>
      <c r="S14" s="33"/>
      <c r="T14" s="33"/>
      <c r="U14" s="33"/>
      <c r="V14" s="33"/>
      <c r="W14" s="33"/>
      <c r="X14" s="33"/>
      <c r="Y14" s="33"/>
      <c r="Z14" s="33"/>
      <c r="AA14" s="33"/>
    </row>
    <row r="15" spans="1:53" x14ac:dyDescent="0.3">
      <c r="A15" s="28"/>
      <c r="B15" s="29"/>
      <c r="C15" s="30">
        <v>2000</v>
      </c>
      <c r="D15" s="30">
        <v>2001</v>
      </c>
      <c r="E15" s="30">
        <v>2002</v>
      </c>
      <c r="F15" s="30">
        <v>2003</v>
      </c>
      <c r="G15" s="30">
        <v>2004</v>
      </c>
      <c r="H15" s="30">
        <v>2005</v>
      </c>
      <c r="I15" s="30">
        <v>2006</v>
      </c>
      <c r="J15" s="30">
        <v>2007</v>
      </c>
      <c r="K15" s="30">
        <v>2008</v>
      </c>
      <c r="L15" s="30">
        <v>2009</v>
      </c>
      <c r="M15" s="30">
        <v>2010</v>
      </c>
      <c r="N15" s="30">
        <v>2011</v>
      </c>
      <c r="O15" s="30">
        <v>2012</v>
      </c>
      <c r="P15" s="30">
        <v>2013</v>
      </c>
      <c r="Q15" s="30">
        <v>2014</v>
      </c>
      <c r="R15" s="31">
        <v>2015</v>
      </c>
      <c r="S15" s="31">
        <v>2016</v>
      </c>
      <c r="T15" s="31">
        <v>2017</v>
      </c>
      <c r="U15" s="31">
        <v>2018</v>
      </c>
      <c r="V15" s="31">
        <v>2019</v>
      </c>
      <c r="W15" s="31">
        <v>2020</v>
      </c>
      <c r="X15" s="31">
        <v>2021</v>
      </c>
      <c r="Y15" s="31">
        <v>2022</v>
      </c>
      <c r="Z15" s="31">
        <v>2023</v>
      </c>
      <c r="AA15" s="31">
        <v>2024</v>
      </c>
      <c r="AB15" s="31">
        <v>2025</v>
      </c>
      <c r="AC15" s="31">
        <v>2026</v>
      </c>
      <c r="AD15" s="31">
        <v>2027</v>
      </c>
      <c r="AE15" s="31">
        <v>2028</v>
      </c>
      <c r="AF15" s="31">
        <v>2029</v>
      </c>
      <c r="AG15" s="31">
        <v>2030</v>
      </c>
      <c r="AH15" s="31">
        <v>2031</v>
      </c>
      <c r="AI15" s="31">
        <v>2032</v>
      </c>
      <c r="AJ15" s="31">
        <v>2033</v>
      </c>
      <c r="AK15" s="31">
        <v>2034</v>
      </c>
      <c r="AL15" s="31">
        <v>2035</v>
      </c>
      <c r="AM15" s="31">
        <v>2036</v>
      </c>
      <c r="AN15" s="31">
        <v>2037</v>
      </c>
      <c r="AO15" s="31">
        <v>2038</v>
      </c>
      <c r="AP15" s="31">
        <v>2039</v>
      </c>
      <c r="AQ15" s="31">
        <v>2040</v>
      </c>
      <c r="AR15" s="31">
        <v>2041</v>
      </c>
      <c r="AS15" s="31">
        <v>2042</v>
      </c>
      <c r="AT15" s="31">
        <v>2043</v>
      </c>
      <c r="AU15" s="31">
        <v>2044</v>
      </c>
      <c r="AV15" s="31">
        <v>2045</v>
      </c>
      <c r="AW15" s="31">
        <v>2046</v>
      </c>
      <c r="AX15" s="31">
        <v>2047</v>
      </c>
      <c r="AY15" s="31">
        <v>2048</v>
      </c>
      <c r="AZ15" s="31">
        <v>2049</v>
      </c>
      <c r="BA15" s="31">
        <v>2050</v>
      </c>
    </row>
    <row r="16" spans="1:53" x14ac:dyDescent="0.3">
      <c r="A16" s="29"/>
      <c r="B16" s="29" t="s">
        <v>674</v>
      </c>
      <c r="C16" s="32">
        <v>610.16713705625</v>
      </c>
      <c r="D16" s="32">
        <v>610.16713705625</v>
      </c>
      <c r="E16" s="32">
        <v>610.16713705625</v>
      </c>
      <c r="F16" s="32">
        <v>536</v>
      </c>
      <c r="G16" s="32">
        <v>559.68422552599998</v>
      </c>
      <c r="H16" s="32">
        <v>575.65290859000004</v>
      </c>
      <c r="I16" s="32">
        <v>579.69497297999999</v>
      </c>
      <c r="J16" s="32">
        <v>601.65087453649994</v>
      </c>
      <c r="K16" s="32">
        <v>631</v>
      </c>
      <c r="L16" s="32">
        <v>612.06999999999994</v>
      </c>
      <c r="M16" s="32">
        <v>654.91489999999999</v>
      </c>
      <c r="N16" s="32">
        <v>622.16915499999993</v>
      </c>
      <c r="O16" s="32">
        <v>613.14770225249993</v>
      </c>
      <c r="P16" s="32">
        <v>665.92799245872072</v>
      </c>
      <c r="Q16" s="32">
        <v>698.08925804689954</v>
      </c>
      <c r="R16" s="33">
        <v>699.22078053934399</v>
      </c>
      <c r="S16" s="33">
        <v>710.39885911430974</v>
      </c>
      <c r="T16" s="33">
        <v>739.18964380980105</v>
      </c>
      <c r="U16" s="33">
        <v>753.56215690376871</v>
      </c>
      <c r="V16" s="33">
        <v>770.46731576083528</v>
      </c>
      <c r="W16" s="33">
        <v>785.71589617587529</v>
      </c>
      <c r="X16" s="33">
        <v>803.32741953910943</v>
      </c>
      <c r="Y16" s="33">
        <v>821.94908336777723</v>
      </c>
      <c r="Z16" s="33">
        <v>844.55586695223269</v>
      </c>
      <c r="AA16" s="33">
        <v>859.84984588505426</v>
      </c>
      <c r="AB16" s="33">
        <v>875</v>
      </c>
      <c r="AC16" s="33">
        <v>890</v>
      </c>
      <c r="AD16" s="33">
        <v>910</v>
      </c>
      <c r="AE16" s="33">
        <v>925</v>
      </c>
    </row>
    <row r="17" spans="1:53" x14ac:dyDescent="0.3">
      <c r="A17" s="29"/>
      <c r="B17" s="29" t="s">
        <v>675</v>
      </c>
      <c r="C17" s="32">
        <v>649.892624710375</v>
      </c>
      <c r="D17" s="32">
        <v>649.892624710375</v>
      </c>
      <c r="E17" s="32">
        <v>649.892624710375</v>
      </c>
      <c r="F17" s="32">
        <v>574.19949799999995</v>
      </c>
      <c r="G17" s="32">
        <v>612.06163379999998</v>
      </c>
      <c r="H17" s="32">
        <v>642.21783919999996</v>
      </c>
      <c r="I17" s="32">
        <v>636.26177159999997</v>
      </c>
      <c r="J17" s="32">
        <v>658.9</v>
      </c>
      <c r="K17" s="32">
        <v>671.91341149238087</v>
      </c>
      <c r="L17" s="32">
        <v>649.94999999999993</v>
      </c>
      <c r="M17" s="32">
        <v>695.36469999999997</v>
      </c>
      <c r="N17" s="32">
        <v>663.10915499999999</v>
      </c>
      <c r="O17" s="32">
        <v>670.91943283249987</v>
      </c>
      <c r="P17" s="32">
        <v>716.42099245872066</v>
      </c>
      <c r="Q17" s="32">
        <v>729.84874533689958</v>
      </c>
      <c r="R17" s="33">
        <v>740.51634422626432</v>
      </c>
      <c r="S17" s="33">
        <v>752.08174895984371</v>
      </c>
      <c r="T17" s="33">
        <v>781.10112686931438</v>
      </c>
      <c r="U17" s="33">
        <v>797.63162045872559</v>
      </c>
      <c r="V17" s="33">
        <v>815.73258961364343</v>
      </c>
      <c r="W17" s="33">
        <v>831.42566617367947</v>
      </c>
      <c r="X17" s="33">
        <v>848.73455405867912</v>
      </c>
      <c r="Y17" s="33">
        <v>866.8135090431233</v>
      </c>
      <c r="Z17" s="33">
        <v>888.81185294880709</v>
      </c>
      <c r="AA17" s="33">
        <v>904.54032017152463</v>
      </c>
    </row>
    <row r="18" spans="1:53" x14ac:dyDescent="0.3">
      <c r="A18" s="29"/>
      <c r="B18" s="29" t="s">
        <v>676</v>
      </c>
      <c r="C18" s="32">
        <f>'Intermediate calculations'!M8/1000</f>
        <v>624.6</v>
      </c>
      <c r="D18" s="32">
        <f>'Intermediate calculations'!N8/1000</f>
        <v>524.29999999999995</v>
      </c>
      <c r="E18" s="32">
        <f>'Intermediate calculations'!O8/1000</f>
        <v>573.4</v>
      </c>
      <c r="F18" s="32">
        <f>'Intermediate calculations'!P8/1000</f>
        <v>609.70000000000005</v>
      </c>
      <c r="G18" s="32">
        <f>'Intermediate calculations'!Q8/1000</f>
        <v>631.70000000000005</v>
      </c>
      <c r="H18" s="32">
        <f>'Intermediate calculations'!R8/1000</f>
        <v>672.3</v>
      </c>
      <c r="I18" s="32">
        <f>'Intermediate calculations'!S8/1000</f>
        <v>808.1</v>
      </c>
      <c r="J18" s="32">
        <f>'Intermediate calculations'!T8/1000</f>
        <v>861.4</v>
      </c>
      <c r="K18" s="32">
        <f>'Intermediate calculations'!U8/1000</f>
        <v>770.2</v>
      </c>
      <c r="L18" s="32">
        <f>'Intermediate calculations'!V8/1000</f>
        <v>796.7</v>
      </c>
      <c r="M18" s="32">
        <f>'Intermediate calculations'!W8/1000</f>
        <v>885.8</v>
      </c>
      <c r="N18" s="32">
        <f>'Intermediate calculations'!X8/1000</f>
        <v>869.5</v>
      </c>
      <c r="O18" s="32">
        <f>'Intermediate calculations'!Y8/1000</f>
        <v>919.93415141939749</v>
      </c>
      <c r="P18" s="32">
        <f>'Intermediate calculations'!Z8/1000</f>
        <v>944.20834947610228</v>
      </c>
      <c r="Q18" s="32">
        <f>'Intermediate calculations'!AA8/1000</f>
        <v>973.85622853221832</v>
      </c>
      <c r="R18" s="32">
        <f>'Intermediate calculations'!AB8/1000</f>
        <v>993.92642644116029</v>
      </c>
      <c r="S18" s="32">
        <f>'Intermediate calculations'!AC8/1000</f>
        <v>1007.6100166861247</v>
      </c>
      <c r="T18" s="32">
        <f>'Intermediate calculations'!AD8/1000</f>
        <v>1014.7469565614488</v>
      </c>
      <c r="U18" s="32">
        <f>'Intermediate calculations'!AE8/1000</f>
        <v>1026.8981254598255</v>
      </c>
      <c r="V18" s="32">
        <f>'Intermediate calculations'!AF8/1000</f>
        <v>1039.800145818496</v>
      </c>
      <c r="W18" s="32">
        <f>'Intermediate calculations'!AG8/1000</f>
        <v>945.25965032403144</v>
      </c>
      <c r="X18" s="32">
        <f>'Intermediate calculations'!AH8/1000</f>
        <v>981.10564588497164</v>
      </c>
      <c r="Y18" s="32">
        <f>'Intermediate calculations'!AI8/1000</f>
        <v>1031.5872543126829</v>
      </c>
      <c r="Z18" s="32">
        <f>'Intermediate calculations'!AJ8/1000</f>
        <v>1059.0463159993737</v>
      </c>
      <c r="AA18" s="32">
        <f>'Intermediate calculations'!AK8/1000</f>
        <v>1089.662857154364</v>
      </c>
      <c r="AB18" s="32">
        <f>'Intermediate calculations'!AL8/1000</f>
        <v>1124.4310934459795</v>
      </c>
      <c r="AC18" s="32">
        <f>'Intermediate calculations'!AM8/1000</f>
        <v>1161.817740047499</v>
      </c>
      <c r="AD18" s="32">
        <f>'Intermediate calculations'!AN8/1000</f>
        <v>1202.63262617904</v>
      </c>
      <c r="AE18" s="32">
        <f>'Intermediate calculations'!AO8/1000</f>
        <v>1244.4627979078839</v>
      </c>
      <c r="AF18" s="32">
        <f>'Intermediate calculations'!AP8/1000</f>
        <v>1289.5768980273008</v>
      </c>
      <c r="AG18" s="32">
        <f>'Intermediate calculations'!AQ8/1000</f>
        <v>1335.5567862593671</v>
      </c>
      <c r="AH18" s="32">
        <f>'Intermediate calculations'!AR8/1000</f>
        <v>1386.7779860669498</v>
      </c>
      <c r="AI18" s="32">
        <f>'Intermediate calculations'!AS8/1000</f>
        <v>1437.338411959804</v>
      </c>
      <c r="AJ18" s="32">
        <f>'Intermediate calculations'!AT8/1000</f>
        <v>1490.4951809256638</v>
      </c>
      <c r="AK18" s="32">
        <f>'Intermediate calculations'!AU8/1000</f>
        <v>1550.2084208931392</v>
      </c>
      <c r="AL18" s="32">
        <f>'Intermediate calculations'!AV8/1000</f>
        <v>1607.1877851552383</v>
      </c>
      <c r="AM18" s="32">
        <f>'Intermediate calculations'!AW8/1000</f>
        <v>1667.3231933557624</v>
      </c>
      <c r="AN18" s="32">
        <f>'Intermediate calculations'!AX8/1000</f>
        <v>1731.4049356882929</v>
      </c>
      <c r="AO18" s="32">
        <f>'Intermediate calculations'!AY8/1000</f>
        <v>1791.8149674868314</v>
      </c>
      <c r="AP18" s="32">
        <f>'Intermediate calculations'!AZ8/1000</f>
        <v>1851.9960351726156</v>
      </c>
      <c r="AQ18" s="32">
        <f>'Intermediate calculations'!BA8/1000</f>
        <v>1912.1009473083129</v>
      </c>
      <c r="AR18" s="32">
        <f>'Intermediate calculations'!BB8/1000</f>
        <v>1977.1864910901738</v>
      </c>
      <c r="AS18" s="32">
        <f>'Intermediate calculations'!BC8/1000</f>
        <v>2039.9898402925135</v>
      </c>
      <c r="AT18" s="32">
        <f>'Intermediate calculations'!BD8/1000</f>
        <v>2105.1243280051362</v>
      </c>
      <c r="AU18" s="32">
        <f>'Intermediate calculations'!BE8/1000</f>
        <v>2172.8847719817654</v>
      </c>
      <c r="AV18" s="32">
        <f>'Intermediate calculations'!BF8/1000</f>
        <v>2243.7354094252064</v>
      </c>
      <c r="AW18" s="32">
        <f>'Intermediate calculations'!BG8/1000</f>
        <v>2317.5930778468005</v>
      </c>
      <c r="AX18" s="32">
        <f>'Intermediate calculations'!BH8/1000</f>
        <v>2340.4090369227702</v>
      </c>
      <c r="AY18" s="32">
        <f>'Intermediate calculations'!BI8/1000</f>
        <v>2358.4777844471378</v>
      </c>
      <c r="AZ18" s="32">
        <f>'Intermediate calculations'!BJ8/1000</f>
        <v>2369.651652284987</v>
      </c>
      <c r="BA18" s="32">
        <f>'Intermediate calculations'!BK8/1000</f>
        <v>2378.7674339812479</v>
      </c>
    </row>
    <row r="19" spans="1:53" x14ac:dyDescent="0.3">
      <c r="A19" s="29"/>
      <c r="B19" s="29" t="s">
        <v>677</v>
      </c>
      <c r="C19" s="32">
        <f>'Intermediate calculations'!M5/1000</f>
        <v>671</v>
      </c>
      <c r="D19" s="32">
        <f>'Intermediate calculations'!N5/1000</f>
        <v>554</v>
      </c>
      <c r="E19" s="32">
        <f>'Intermediate calculations'!O5/1000</f>
        <v>602</v>
      </c>
      <c r="F19" s="32">
        <f>'Intermediate calculations'!P5/1000</f>
        <v>643</v>
      </c>
      <c r="G19" s="32">
        <f>'Intermediate calculations'!Q5/1000</f>
        <v>675</v>
      </c>
      <c r="H19" s="32">
        <f>'Intermediate calculations'!R5/1000</f>
        <v>723</v>
      </c>
      <c r="I19" s="32">
        <f>'Intermediate calculations'!S5/1000</f>
        <v>825</v>
      </c>
      <c r="J19" s="32">
        <f>'Intermediate calculations'!T5/1000</f>
        <v>865</v>
      </c>
      <c r="K19" s="32">
        <f>'Intermediate calculations'!U5/1000</f>
        <v>767</v>
      </c>
      <c r="L19" s="32">
        <f>'Intermediate calculations'!V5/1000</f>
        <v>784</v>
      </c>
      <c r="M19" s="32">
        <f>'Intermediate calculations'!W5/1000</f>
        <v>880</v>
      </c>
      <c r="N19" s="32">
        <f>'Intermediate calculations'!X5/1000</f>
        <v>879</v>
      </c>
      <c r="O19" s="32">
        <f>'Intermediate calculations'!Y5/1000</f>
        <v>920.44626243808534</v>
      </c>
      <c r="P19" s="32">
        <f>'Intermediate calculations'!Z5/1000</f>
        <v>941.69158339834894</v>
      </c>
      <c r="Q19" s="32">
        <f>'Intermediate calculations'!AA5/1000</f>
        <v>967.64007013586559</v>
      </c>
      <c r="R19" s="32">
        <f>'Intermediate calculations'!AB5/1000</f>
        <v>985.20595615670993</v>
      </c>
      <c r="S19" s="32">
        <f>'Intermediate calculations'!AC5/1000</f>
        <v>997.18214033234722</v>
      </c>
      <c r="T19" s="32">
        <f>'Intermediate calculations'!AD5/1000</f>
        <v>1003.4285497078974</v>
      </c>
      <c r="U19" s="32">
        <f>'Intermediate calculations'!AE5/1000</f>
        <v>1014.0635244529055</v>
      </c>
      <c r="V19" s="32">
        <f>'Intermediate calculations'!AF5/1000</f>
        <v>1025.3556611865474</v>
      </c>
      <c r="W19" s="32">
        <f>'Intermediate calculations'!AG5/1000</f>
        <v>942.6117054097075</v>
      </c>
      <c r="X19" s="32">
        <f>'Intermediate calculations'!AH5/1000</f>
        <v>973.98492231488945</v>
      </c>
      <c r="Y19" s="32">
        <f>'Intermediate calculations'!AI5/1000</f>
        <v>1018.1675548834999</v>
      </c>
      <c r="Z19" s="32">
        <f>'Intermediate calculations'!AJ5/1000</f>
        <v>1042.2003397128337</v>
      </c>
      <c r="AA19" s="32">
        <f>'Intermediate calculations'!AK5/1000</f>
        <v>1068.9966211805636</v>
      </c>
      <c r="AB19" s="32">
        <f>'Intermediate calculations'!AL5/1000</f>
        <v>1099.4265590723169</v>
      </c>
      <c r="AC19" s="32">
        <f>'Intermediate calculations'!AM5/1000</f>
        <v>1132.1481882203427</v>
      </c>
      <c r="AD19" s="32">
        <f>'Intermediate calculations'!AN5/1000</f>
        <v>1167.8702892675358</v>
      </c>
      <c r="AE19" s="32">
        <f>'Intermediate calculations'!AO5/1000</f>
        <v>1204.4809909733647</v>
      </c>
      <c r="AF19" s="32">
        <f>'Intermediate calculations'!AP5/1000</f>
        <v>1243.9658602420211</v>
      </c>
      <c r="AG19" s="32">
        <f>'Intermediate calculations'!AQ5/1000</f>
        <v>1284.2084866276728</v>
      </c>
      <c r="AH19" s="32">
        <f>'Intermediate calculations'!AR5/1000</f>
        <v>1329.0384261107322</v>
      </c>
      <c r="AI19" s="32">
        <f>'Intermediate calculations'!AS5/1000</f>
        <v>1373.2900414873563</v>
      </c>
      <c r="AJ19" s="32">
        <f>'Intermediate calculations'!AT5/1000</f>
        <v>1419.8140343810505</v>
      </c>
      <c r="AK19" s="32">
        <f>'Intermediate calculations'!AU5/1000</f>
        <v>1472.0763973115463</v>
      </c>
      <c r="AL19" s="32">
        <f>'Intermediate calculations'!AV5/1000</f>
        <v>1521.9460110896086</v>
      </c>
      <c r="AM19" s="32">
        <f>'Intermediate calculations'!AW5/1000</f>
        <v>1574.577865098219</v>
      </c>
      <c r="AN19" s="32">
        <f>'Intermediate calculations'!AX5/1000</f>
        <v>1630.6636389873163</v>
      </c>
      <c r="AO19" s="32">
        <f>'Intermediate calculations'!AY5/1000</f>
        <v>1683.5358497100583</v>
      </c>
      <c r="AP19" s="32">
        <f>'Intermediate calculations'!AZ5/1000</f>
        <v>1736.2076659212087</v>
      </c>
      <c r="AQ19" s="32">
        <f>'Intermediate calculations'!BA5/1000</f>
        <v>1788.8128290919281</v>
      </c>
      <c r="AR19" s="32">
        <f>'Intermediate calculations'!BB5/1000</f>
        <v>1845.7771524565458</v>
      </c>
      <c r="AS19" s="32">
        <f>'Intermediate calculations'!BC5/1000</f>
        <v>1900.744048090598</v>
      </c>
      <c r="AT19" s="32">
        <f>'Intermediate calculations'!BD5/1000</f>
        <v>1957.751208277906</v>
      </c>
      <c r="AU19" s="32">
        <f>'Intermediate calculations'!BE5/1000</f>
        <v>2017.0566641092594</v>
      </c>
      <c r="AV19" s="32">
        <f>'Intermediate calculations'!BF5/1000</f>
        <v>2079.0667263658534</v>
      </c>
      <c r="AW19" s="32">
        <f>'Intermediate calculations'!BG5/1000</f>
        <v>2143.708609377929</v>
      </c>
      <c r="AX19" s="32">
        <f>'Intermediate calculations'!BH5/1000</f>
        <v>2163.677646973028</v>
      </c>
      <c r="AY19" s="32">
        <f>'Intermediate calculations'!BI5/1000</f>
        <v>2179.4918188607421</v>
      </c>
      <c r="AZ19" s="32">
        <f>'Intermediate calculations'!BJ5/1000</f>
        <v>2189.2714378631135</v>
      </c>
      <c r="BA19" s="32">
        <f>'Intermediate calculations'!BK5/1000</f>
        <v>2197.2497738513239</v>
      </c>
    </row>
    <row r="20" spans="1:53" x14ac:dyDescent="0.3">
      <c r="A20" s="29"/>
      <c r="B20" s="29"/>
      <c r="C20" s="32"/>
      <c r="D20" s="32"/>
      <c r="E20" s="32"/>
      <c r="F20" s="32"/>
      <c r="G20" s="32"/>
      <c r="H20" s="32"/>
      <c r="I20" s="32"/>
      <c r="J20" s="32"/>
      <c r="K20" s="32"/>
      <c r="L20" s="32"/>
      <c r="M20" s="32"/>
      <c r="N20" s="32"/>
      <c r="O20" s="32"/>
      <c r="P20" s="32"/>
      <c r="Q20" s="32"/>
      <c r="R20" s="33"/>
      <c r="S20" s="33"/>
      <c r="T20" s="33"/>
      <c r="U20" s="33"/>
      <c r="V20" s="33"/>
      <c r="W20" s="33"/>
      <c r="X20" s="33"/>
      <c r="Y20" s="33"/>
      <c r="Z20" s="33"/>
      <c r="AA20" s="33"/>
    </row>
    <row r="21" spans="1:53" x14ac:dyDescent="0.3">
      <c r="A21" s="28"/>
      <c r="B21" s="29"/>
      <c r="C21" s="30">
        <v>2000</v>
      </c>
      <c r="D21" s="30">
        <v>2001</v>
      </c>
      <c r="E21" s="30">
        <v>2002</v>
      </c>
      <c r="F21" s="30">
        <v>2003</v>
      </c>
      <c r="G21" s="30">
        <v>2004</v>
      </c>
      <c r="H21" s="30">
        <v>2005</v>
      </c>
      <c r="I21" s="30">
        <v>2006</v>
      </c>
      <c r="J21" s="30">
        <v>2007</v>
      </c>
      <c r="K21" s="30">
        <v>2008</v>
      </c>
      <c r="L21" s="30">
        <v>2009</v>
      </c>
      <c r="M21" s="30">
        <v>2010</v>
      </c>
      <c r="N21" s="30">
        <v>2011</v>
      </c>
      <c r="O21" s="30">
        <v>2012</v>
      </c>
      <c r="P21" s="30">
        <v>2013</v>
      </c>
      <c r="Q21" s="30">
        <v>2014</v>
      </c>
      <c r="R21" s="31">
        <v>2015</v>
      </c>
      <c r="S21" s="31">
        <v>2016</v>
      </c>
      <c r="T21" s="31">
        <v>2017</v>
      </c>
      <c r="U21" s="31">
        <v>2018</v>
      </c>
      <c r="V21" s="31">
        <v>2019</v>
      </c>
      <c r="W21" s="31">
        <v>2020</v>
      </c>
      <c r="X21" s="31">
        <v>2021</v>
      </c>
      <c r="Y21" s="31">
        <v>2022</v>
      </c>
      <c r="Z21" s="31">
        <v>2023</v>
      </c>
      <c r="AA21" s="31">
        <v>2024</v>
      </c>
      <c r="AB21" s="31">
        <v>2025</v>
      </c>
      <c r="AC21" s="31">
        <v>2026</v>
      </c>
      <c r="AD21" s="31">
        <v>2027</v>
      </c>
      <c r="AE21" s="31">
        <v>2028</v>
      </c>
      <c r="AF21" s="31">
        <v>2029</v>
      </c>
      <c r="AG21" s="31">
        <v>2030</v>
      </c>
      <c r="AH21" s="31">
        <v>2031</v>
      </c>
      <c r="AI21" s="31">
        <v>2032</v>
      </c>
      <c r="AJ21" s="31">
        <v>2033</v>
      </c>
      <c r="AK21" s="31">
        <v>2034</v>
      </c>
      <c r="AL21" s="31">
        <v>2035</v>
      </c>
      <c r="AM21" s="31">
        <v>2036</v>
      </c>
      <c r="AN21" s="31">
        <v>2037</v>
      </c>
      <c r="AO21" s="31">
        <v>2038</v>
      </c>
      <c r="AP21" s="31">
        <v>2039</v>
      </c>
      <c r="AQ21" s="31">
        <v>2040</v>
      </c>
      <c r="AR21" s="31">
        <v>2041</v>
      </c>
      <c r="AS21" s="31">
        <v>2042</v>
      </c>
      <c r="AT21" s="31">
        <v>2043</v>
      </c>
      <c r="AU21" s="31">
        <v>2044</v>
      </c>
      <c r="AV21" s="31">
        <v>2045</v>
      </c>
      <c r="AW21" s="31">
        <v>2046</v>
      </c>
      <c r="AX21" s="31">
        <v>2047</v>
      </c>
      <c r="AY21" s="31">
        <v>2048</v>
      </c>
      <c r="AZ21" s="31">
        <v>2049</v>
      </c>
      <c r="BA21" s="31">
        <v>2050</v>
      </c>
    </row>
    <row r="22" spans="1:53" x14ac:dyDescent="0.3">
      <c r="A22" s="29"/>
      <c r="B22" s="29" t="s">
        <v>678</v>
      </c>
      <c r="C22" s="32">
        <v>129.63</v>
      </c>
      <c r="D22" s="32">
        <v>129.63</v>
      </c>
      <c r="E22" s="32">
        <v>129.63</v>
      </c>
      <c r="F22" s="32">
        <v>143.13999999999999</v>
      </c>
      <c r="G22" s="32">
        <v>146.053</v>
      </c>
      <c r="H22" s="32">
        <v>149.999</v>
      </c>
      <c r="I22" s="32">
        <v>157.24799999999999</v>
      </c>
      <c r="J22" s="32">
        <v>152.83564942134379</v>
      </c>
      <c r="K22" s="32">
        <v>162.80000000000001</v>
      </c>
      <c r="L22" s="32">
        <v>165.18375564550669</v>
      </c>
      <c r="M22" s="32">
        <v>169.66697423006443</v>
      </c>
      <c r="N22" s="32">
        <v>186.75616508255388</v>
      </c>
      <c r="O22" s="32">
        <v>191.25698866104344</v>
      </c>
      <c r="P22" s="32">
        <v>197.47194670605705</v>
      </c>
      <c r="Q22" s="32">
        <v>204.80493212570124</v>
      </c>
      <c r="R22" s="33">
        <v>208.64102609863633</v>
      </c>
      <c r="S22" s="33">
        <v>213.80677245749976</v>
      </c>
      <c r="T22" s="33">
        <v>217.57407311191287</v>
      </c>
      <c r="U22" s="33">
        <v>225.22145508819884</v>
      </c>
      <c r="V22" s="33">
        <v>232.86299528535966</v>
      </c>
      <c r="W22" s="33">
        <v>241.53716288131423</v>
      </c>
      <c r="X22" s="33">
        <v>245</v>
      </c>
      <c r="Y22" s="33">
        <v>250</v>
      </c>
      <c r="Z22" s="33">
        <v>255</v>
      </c>
      <c r="AA22" s="33">
        <v>260</v>
      </c>
      <c r="AB22" s="33">
        <v>265</v>
      </c>
      <c r="AC22" s="33">
        <v>270</v>
      </c>
      <c r="AD22" s="33">
        <v>275</v>
      </c>
      <c r="AE22" s="33">
        <v>280</v>
      </c>
    </row>
    <row r="23" spans="1:53" x14ac:dyDescent="0.3">
      <c r="A23" s="29"/>
      <c r="B23" s="29" t="s">
        <v>679</v>
      </c>
      <c r="C23" s="32">
        <v>137.82499999999999</v>
      </c>
      <c r="D23" s="32">
        <v>137.82499999999999</v>
      </c>
      <c r="E23" s="32">
        <v>137.82499999999999</v>
      </c>
      <c r="F23" s="32">
        <v>156.29499999999999</v>
      </c>
      <c r="G23" s="32">
        <v>167.84399999999999</v>
      </c>
      <c r="H23" s="32">
        <v>176.53800000000001</v>
      </c>
      <c r="I23" s="32">
        <v>177.79399999999998</v>
      </c>
      <c r="J23" s="32">
        <v>173.29521483689047</v>
      </c>
      <c r="K23" s="32">
        <v>179.18</v>
      </c>
      <c r="L23" s="32">
        <v>188.69627164870266</v>
      </c>
      <c r="M23" s="32">
        <v>192.2214902332604</v>
      </c>
      <c r="N23" s="32">
        <v>215.34616508255388</v>
      </c>
      <c r="O23" s="32">
        <v>223.20098866104343</v>
      </c>
      <c r="P23" s="32">
        <v>219.00718870605706</v>
      </c>
      <c r="Q23" s="32">
        <v>215.58134712570126</v>
      </c>
      <c r="R23" s="33">
        <v>221.42544983376598</v>
      </c>
      <c r="S23" s="33">
        <v>226.46723800236197</v>
      </c>
      <c r="T23" s="33">
        <v>230.37779215363364</v>
      </c>
      <c r="U23" s="33">
        <v>237.99020308913876</v>
      </c>
      <c r="V23" s="33">
        <v>245.3694152709713</v>
      </c>
      <c r="W23" s="33">
        <v>253.78761345428606</v>
      </c>
      <c r="X23" s="33">
        <v>263.23358248496942</v>
      </c>
      <c r="Y23" s="33">
        <v>274.0317887557747</v>
      </c>
      <c r="Z23" s="33">
        <v>283.56552384740866</v>
      </c>
      <c r="AA23" s="33">
        <v>293.35792027883537</v>
      </c>
    </row>
    <row r="24" spans="1:53" x14ac:dyDescent="0.3">
      <c r="A24" s="29"/>
      <c r="B24" s="29" t="s">
        <v>680</v>
      </c>
      <c r="C24" s="32">
        <f>'Intermediate calculations'!M32/1000</f>
        <v>123</v>
      </c>
      <c r="D24" s="32">
        <f>'Intermediate calculations'!N32/1000</f>
        <v>106.9</v>
      </c>
      <c r="E24" s="32">
        <f>'Intermediate calculations'!O32/1000</f>
        <v>116.6</v>
      </c>
      <c r="F24" s="32">
        <f>'Intermediate calculations'!P32/1000</f>
        <v>135</v>
      </c>
      <c r="G24" s="32">
        <f>'Intermediate calculations'!Q32/1000</f>
        <v>156.80000000000001</v>
      </c>
      <c r="H24" s="32">
        <f>'Intermediate calculations'!R32/1000</f>
        <v>159.69999999999999</v>
      </c>
      <c r="I24" s="32">
        <f>'Intermediate calculations'!S32/1000</f>
        <v>171.4</v>
      </c>
      <c r="J24" s="32">
        <f>'Intermediate calculations'!T32/1000</f>
        <v>187.1</v>
      </c>
      <c r="K24" s="32">
        <f>'Intermediate calculations'!U32/1000</f>
        <v>181.7</v>
      </c>
      <c r="L24" s="32">
        <f>'Intermediate calculations'!V32/1000</f>
        <v>180.7</v>
      </c>
      <c r="M24" s="32">
        <f>'Intermediate calculations'!W32/1000</f>
        <v>191.9</v>
      </c>
      <c r="N24" s="32">
        <f>'Intermediate calculations'!X32/1000</f>
        <v>205.1</v>
      </c>
      <c r="O24" s="32">
        <f>'Intermediate calculations'!Y32/1000</f>
        <v>210.25125025039677</v>
      </c>
      <c r="P24" s="32">
        <f>'Intermediate calculations'!Z32/1000</f>
        <v>215.15729984140492</v>
      </c>
      <c r="Q24" s="32">
        <f>'Intermediate calculations'!AA32/1000</f>
        <v>221.26625183821383</v>
      </c>
      <c r="R24" s="32">
        <f>'Intermediate calculations'!AB32/1000</f>
        <v>225.16453122577883</v>
      </c>
      <c r="S24" s="32">
        <f>'Intermediate calculations'!AC32/1000</f>
        <v>227.57954482450737</v>
      </c>
      <c r="T24" s="32">
        <f>'Intermediate calculations'!AD32/1000</f>
        <v>228.4737564208981</v>
      </c>
      <c r="U24" s="32">
        <f>'Intermediate calculations'!AE32/1000</f>
        <v>230.50265811419081</v>
      </c>
      <c r="V24" s="32">
        <f>'Intermediate calculations'!AF32/1000</f>
        <v>232.69090070904008</v>
      </c>
      <c r="W24" s="32">
        <f>'Intermediate calculations'!AG32/1000</f>
        <v>210.34305564202518</v>
      </c>
      <c r="X24" s="32">
        <f>'Intermediate calculations'!AH32/1000</f>
        <v>217.96863426065985</v>
      </c>
      <c r="Y24" s="32">
        <f>'Intermediate calculations'!AI32/1000</f>
        <v>228.92839937815029</v>
      </c>
      <c r="Z24" s="32">
        <f>'Intermediate calculations'!AJ32/1000</f>
        <v>234.62676829141142</v>
      </c>
      <c r="AA24" s="32">
        <f>'Intermediate calculations'!AK32/1000</f>
        <v>241.03928103201523</v>
      </c>
      <c r="AB24" s="32">
        <f>'Intermediate calculations'!AL32/1000</f>
        <v>248.39279276384013</v>
      </c>
      <c r="AC24" s="32">
        <f>'Intermediate calculations'!AM32/1000</f>
        <v>256.42257572390707</v>
      </c>
      <c r="AD24" s="32">
        <f>'Intermediate calculations'!AN32/1000</f>
        <v>265.22989727700957</v>
      </c>
      <c r="AE24" s="32">
        <f>'Intermediate calculations'!AO32/1000</f>
        <v>274.2639496680319</v>
      </c>
      <c r="AF24" s="32">
        <f>'Intermediate calculations'!AP32/1000</f>
        <v>284.04250334299428</v>
      </c>
      <c r="AG24" s="32">
        <f>'Intermediate calculations'!AQ32/1000</f>
        <v>294.01356579226359</v>
      </c>
      <c r="AH24" s="32">
        <f>'Intermediate calculations'!AR32/1000</f>
        <v>305.24630678479002</v>
      </c>
      <c r="AI24" s="32">
        <f>'Intermediate calculations'!AS32/1000</f>
        <v>316.32431219410358</v>
      </c>
      <c r="AJ24" s="32">
        <f>'Intermediate calculations'!AT32/1000</f>
        <v>327.9909885176092</v>
      </c>
      <c r="AK24" s="32">
        <f>'Intermediate calculations'!AU32/1000</f>
        <v>341.15020485003981</v>
      </c>
      <c r="AL24" s="32">
        <f>'Intermediate calculations'!AV32/1000</f>
        <v>353.68139719268328</v>
      </c>
      <c r="AM24" s="32">
        <f>'Intermediate calculations'!AW32/1000</f>
        <v>366.99692033723215</v>
      </c>
      <c r="AN24" s="32">
        <f>'Intermediate calculations'!AX32/1000</f>
        <v>381.21019293094707</v>
      </c>
      <c r="AO24" s="32">
        <f>'Intermediate calculations'!AY32/1000</f>
        <v>394.5823673975022</v>
      </c>
      <c r="AP24" s="32">
        <f>'Intermediate calculations'!AZ32/1000</f>
        <v>407.89923155743736</v>
      </c>
      <c r="AQ24" s="32">
        <f>'Intermediate calculations'!BA32/1000</f>
        <v>421.19564178072136</v>
      </c>
      <c r="AR24" s="32">
        <f>'Intermediate calculations'!BB32/1000</f>
        <v>435.69034528593193</v>
      </c>
      <c r="AS24" s="32">
        <f>'Intermediate calculations'!BC32/1000</f>
        <v>449.66189285956136</v>
      </c>
      <c r="AT24" s="32">
        <f>'Intermediate calculations'!BD32/1000</f>
        <v>464.16326801617117</v>
      </c>
      <c r="AU24" s="32">
        <f>'Intermediate calculations'!BE32/1000</f>
        <v>479.26174915701358</v>
      </c>
      <c r="AV24" s="32">
        <f>'Intermediate calculations'!BF32/1000</f>
        <v>495.06328473858616</v>
      </c>
      <c r="AW24" s="32">
        <f>'Intermediate calculations'!BG32/1000</f>
        <v>511.61521372666397</v>
      </c>
      <c r="AX24" s="32">
        <f>'Intermediate calculations'!BH32/1000</f>
        <v>516.51526359620016</v>
      </c>
      <c r="AY24" s="32">
        <f>'Intermediate calculations'!BI32/1000</f>
        <v>520.33018731280208</v>
      </c>
      <c r="AZ24" s="32">
        <f>'Intermediate calculations'!BJ32/1000</f>
        <v>522.5697696656581</v>
      </c>
      <c r="BA24" s="32">
        <f>'Intermediate calculations'!BK32/1000</f>
        <v>524.33800509117521</v>
      </c>
    </row>
    <row r="25" spans="1:53" x14ac:dyDescent="0.3">
      <c r="A25" s="29"/>
      <c r="B25" s="29" t="s">
        <v>681</v>
      </c>
      <c r="C25" s="32">
        <f>'Intermediate calculations'!M29/1000</f>
        <v>131</v>
      </c>
      <c r="D25" s="32">
        <f>'Intermediate calculations'!N29/1000</f>
        <v>115</v>
      </c>
      <c r="E25" s="32">
        <f>'Intermediate calculations'!O29/1000</f>
        <v>123</v>
      </c>
      <c r="F25" s="32">
        <f>'Intermediate calculations'!P29/1000</f>
        <v>146</v>
      </c>
      <c r="G25" s="32">
        <f>'Intermediate calculations'!Q29/1000</f>
        <v>174</v>
      </c>
      <c r="H25" s="32">
        <f>'Intermediate calculations'!R29/1000</f>
        <v>182</v>
      </c>
      <c r="I25" s="32">
        <f>'Intermediate calculations'!S29/1000</f>
        <v>193</v>
      </c>
      <c r="J25" s="32">
        <f>'Intermediate calculations'!T29/1000</f>
        <v>206</v>
      </c>
      <c r="K25" s="32">
        <f>'Intermediate calculations'!U29/1000</f>
        <v>198</v>
      </c>
      <c r="L25" s="32">
        <f>'Intermediate calculations'!V29/1000</f>
        <v>199</v>
      </c>
      <c r="M25" s="32">
        <f>'Intermediate calculations'!W29/1000</f>
        <v>215</v>
      </c>
      <c r="N25" s="32">
        <f>'Intermediate calculations'!X29/1000</f>
        <v>231</v>
      </c>
      <c r="O25" s="32">
        <f>'Intermediate calculations'!Y29/1000</f>
        <v>232.80307737192553</v>
      </c>
      <c r="P25" s="32">
        <f>'Intermediate calculations'!Z29/1000</f>
        <v>238.58845125065102</v>
      </c>
      <c r="Q25" s="32">
        <f>'Intermediate calculations'!AA29/1000</f>
        <v>245.79232692559364</v>
      </c>
      <c r="R25" s="32">
        <f>'Intermediate calculations'!AB29/1000</f>
        <v>250.38930527292379</v>
      </c>
      <c r="S25" s="32">
        <f>'Intermediate calculations'!AC29/1000</f>
        <v>253.23716816784</v>
      </c>
      <c r="T25" s="32">
        <f>'Intermediate calculations'!AD29/1000</f>
        <v>254.29165168168259</v>
      </c>
      <c r="U25" s="32">
        <f>'Intermediate calculations'!AE29/1000</f>
        <v>256.68419880969998</v>
      </c>
      <c r="V25" s="32">
        <f>'Intermediate calculations'!AF29/1000</f>
        <v>259.26464593191383</v>
      </c>
      <c r="W25" s="32">
        <f>'Intermediate calculations'!AG29/1000</f>
        <v>232.91133728752578</v>
      </c>
      <c r="X25" s="32">
        <f>'Intermediate calculations'!AH29/1000</f>
        <v>241.9036685985003</v>
      </c>
      <c r="Y25" s="32">
        <f>'Intermediate calculations'!AI29/1000</f>
        <v>254.82778150268032</v>
      </c>
      <c r="Z25" s="32">
        <f>'Intermediate calculations'!AJ29/1000</f>
        <v>261.54748419841837</v>
      </c>
      <c r="AA25" s="32">
        <f>'Intermediate calculations'!AK29/1000</f>
        <v>269.10932861484628</v>
      </c>
      <c r="AB25" s="32">
        <f>'Intermediate calculations'!AL29/1000</f>
        <v>277.78082976888555</v>
      </c>
      <c r="AC25" s="32">
        <f>'Intermediate calculations'!AM29/1000</f>
        <v>287.24981203807209</v>
      </c>
      <c r="AD25" s="32">
        <f>'Intermediate calculations'!AN29/1000</f>
        <v>297.63569320573151</v>
      </c>
      <c r="AE25" s="32">
        <f>'Intermediate calculations'!AO29/1000</f>
        <v>308.28894278108231</v>
      </c>
      <c r="AF25" s="32">
        <f>'Intermediate calculations'!AP29/1000</f>
        <v>319.82013258122799</v>
      </c>
      <c r="AG25" s="32">
        <f>'Intermediate calculations'!AQ29/1000</f>
        <v>331.57833501417355</v>
      </c>
      <c r="AH25" s="32">
        <f>'Intermediate calculations'!AR29/1000</f>
        <v>344.82434998388703</v>
      </c>
      <c r="AI25" s="32">
        <f>'Intermediate calculations'!AS29/1000</f>
        <v>357.88789570117609</v>
      </c>
      <c r="AJ25" s="32">
        <f>'Intermediate calculations'!AT29/1000</f>
        <v>371.64562138280411</v>
      </c>
      <c r="AK25" s="32">
        <f>'Intermediate calculations'!AU29/1000</f>
        <v>387.1633989800128</v>
      </c>
      <c r="AL25" s="32">
        <f>'Intermediate calculations'!AV29/1000</f>
        <v>401.94059018111454</v>
      </c>
      <c r="AM25" s="32">
        <f>'Intermediate calculations'!AW29/1000</f>
        <v>417.6426898751796</v>
      </c>
      <c r="AN25" s="32">
        <f>'Intermediate calculations'!AX29/1000</f>
        <v>434.40344503460415</v>
      </c>
      <c r="AO25" s="32">
        <f>'Intermediate calculations'!AY29/1000</f>
        <v>450.17234981745821</v>
      </c>
      <c r="AP25" s="32">
        <f>'Intermediate calculations'!AZ29/1000</f>
        <v>465.876030880656</v>
      </c>
      <c r="AQ25" s="32">
        <f>'Intermediate calculations'!BA29/1000</f>
        <v>481.55559199385664</v>
      </c>
      <c r="AR25" s="32">
        <f>'Intermediate calculations'!BB29/1000</f>
        <v>498.64821967389668</v>
      </c>
      <c r="AS25" s="32">
        <f>'Intermediate calculations'!BC29/1000</f>
        <v>515.12392479640346</v>
      </c>
      <c r="AT25" s="32">
        <f>'Intermediate calculations'!BD29/1000</f>
        <v>532.22441990562822</v>
      </c>
      <c r="AU25" s="32">
        <f>'Intermediate calculations'!BE29/1000</f>
        <v>550.02904188922071</v>
      </c>
      <c r="AV25" s="32">
        <f>'Intermediate calculations'!BF29/1000</f>
        <v>568.66272862669928</v>
      </c>
      <c r="AW25" s="32">
        <f>'Intermediate calculations'!BG29/1000</f>
        <v>588.18130377230148</v>
      </c>
      <c r="AX25" s="32">
        <f>'Intermediate calculations'!BH29/1000</f>
        <v>593.95960258355376</v>
      </c>
      <c r="AY25" s="32">
        <f>'Intermediate calculations'!BI29/1000</f>
        <v>598.45828520180737</v>
      </c>
      <c r="AZ25" s="32">
        <f>'Intermediate calculations'!BJ29/1000</f>
        <v>601.09927384309935</v>
      </c>
      <c r="BA25" s="32">
        <f>'Intermediate calculations'!BK29/1000</f>
        <v>603.18443479641985</v>
      </c>
    </row>
    <row r="26" spans="1:53" x14ac:dyDescent="0.3">
      <c r="A26" s="29"/>
      <c r="B26" s="29"/>
      <c r="C26" s="32"/>
      <c r="D26" s="32"/>
      <c r="E26" s="32"/>
      <c r="F26" s="32"/>
      <c r="G26" s="32"/>
      <c r="H26" s="32"/>
      <c r="I26" s="32"/>
      <c r="J26" s="32"/>
      <c r="K26" s="32"/>
      <c r="L26" s="32"/>
      <c r="M26" s="32"/>
      <c r="N26" s="32"/>
      <c r="O26" s="32"/>
      <c r="P26" s="32"/>
      <c r="Q26" s="32"/>
      <c r="R26" s="33"/>
      <c r="S26" s="33"/>
      <c r="T26" s="33"/>
      <c r="U26" s="33"/>
      <c r="V26" s="33"/>
      <c r="W26" s="33"/>
      <c r="X26" s="33"/>
      <c r="Y26" s="33"/>
      <c r="Z26" s="33"/>
      <c r="AA26" s="33"/>
    </row>
    <row r="27" spans="1:53" x14ac:dyDescent="0.3">
      <c r="A27" s="28"/>
      <c r="B27" s="29"/>
      <c r="C27" s="30">
        <v>2000</v>
      </c>
      <c r="D27" s="30">
        <v>2001</v>
      </c>
      <c r="E27" s="30">
        <v>2002</v>
      </c>
      <c r="F27" s="30">
        <v>2003</v>
      </c>
      <c r="G27" s="30">
        <v>2004</v>
      </c>
      <c r="H27" s="30">
        <v>2005</v>
      </c>
      <c r="I27" s="30">
        <v>2006</v>
      </c>
      <c r="J27" s="30">
        <v>2007</v>
      </c>
      <c r="K27" s="30">
        <v>2008</v>
      </c>
      <c r="L27" s="30">
        <v>2009</v>
      </c>
      <c r="M27" s="30">
        <v>2010</v>
      </c>
      <c r="N27" s="30">
        <v>2011</v>
      </c>
      <c r="O27" s="30">
        <v>2012</v>
      </c>
      <c r="P27" s="30">
        <v>2013</v>
      </c>
      <c r="Q27" s="30">
        <v>2014</v>
      </c>
      <c r="R27" s="31">
        <v>2015</v>
      </c>
      <c r="S27" s="31">
        <v>2016</v>
      </c>
      <c r="T27" s="31">
        <v>2017</v>
      </c>
      <c r="U27" s="31">
        <v>2018</v>
      </c>
      <c r="V27" s="31">
        <v>2019</v>
      </c>
      <c r="W27" s="31">
        <v>2020</v>
      </c>
      <c r="X27" s="31">
        <v>2021</v>
      </c>
      <c r="Y27" s="31">
        <v>2022</v>
      </c>
      <c r="Z27" s="31">
        <v>2023</v>
      </c>
      <c r="AA27" s="31">
        <v>2024</v>
      </c>
      <c r="AB27" s="31">
        <v>2025</v>
      </c>
      <c r="AC27" s="31">
        <v>2026</v>
      </c>
      <c r="AD27" s="31">
        <v>2027</v>
      </c>
      <c r="AE27" s="31">
        <v>2028</v>
      </c>
      <c r="AF27" s="31">
        <v>2029</v>
      </c>
      <c r="AG27" s="31">
        <v>2030</v>
      </c>
      <c r="AH27" s="31">
        <v>2031</v>
      </c>
      <c r="AI27" s="31">
        <v>2032</v>
      </c>
      <c r="AJ27" s="31">
        <v>2033</v>
      </c>
      <c r="AK27" s="31">
        <v>2034</v>
      </c>
      <c r="AL27" s="31">
        <v>2035</v>
      </c>
      <c r="AM27" s="31">
        <v>2036</v>
      </c>
      <c r="AN27" s="31">
        <v>2037</v>
      </c>
      <c r="AO27" s="31">
        <v>2038</v>
      </c>
      <c r="AP27" s="31">
        <v>2039</v>
      </c>
      <c r="AQ27" s="31">
        <v>2040</v>
      </c>
      <c r="AR27" s="31">
        <v>2041</v>
      </c>
      <c r="AS27" s="31">
        <v>2042</v>
      </c>
      <c r="AT27" s="31">
        <v>2043</v>
      </c>
      <c r="AU27" s="31">
        <v>2044</v>
      </c>
      <c r="AV27" s="31">
        <v>2045</v>
      </c>
      <c r="AW27" s="31">
        <v>2046</v>
      </c>
      <c r="AX27" s="31">
        <v>2047</v>
      </c>
      <c r="AY27" s="31">
        <v>2048</v>
      </c>
      <c r="AZ27" s="31">
        <v>2049</v>
      </c>
      <c r="BA27" s="31">
        <v>2050</v>
      </c>
    </row>
    <row r="28" spans="1:53" x14ac:dyDescent="0.3">
      <c r="A28" s="29"/>
      <c r="B28" s="29" t="s">
        <v>682</v>
      </c>
      <c r="C28" s="34">
        <v>2024.0540449999999</v>
      </c>
      <c r="D28" s="34">
        <v>2024.0540449999999</v>
      </c>
      <c r="E28" s="34">
        <v>2024.0540449999999</v>
      </c>
      <c r="F28" s="34">
        <v>2113.8015639999999</v>
      </c>
      <c r="G28" s="34">
        <v>2290.0087429999999</v>
      </c>
      <c r="H28" s="34">
        <v>2393.5830030000002</v>
      </c>
      <c r="I28" s="34">
        <v>2495.02</v>
      </c>
      <c r="J28" s="34">
        <v>2546.5700000000002</v>
      </c>
      <c r="K28" s="34">
        <v>2673.6727109999997</v>
      </c>
      <c r="L28" s="34">
        <v>2586.3408249999998</v>
      </c>
      <c r="M28" s="34">
        <v>2706.3017989999998</v>
      </c>
      <c r="N28" s="34">
        <v>2720.4017549999999</v>
      </c>
      <c r="O28" s="34">
        <v>2842.8103229999997</v>
      </c>
      <c r="P28" s="34">
        <v>2904.1207999999997</v>
      </c>
      <c r="Q28" s="34">
        <v>2969.867827</v>
      </c>
      <c r="R28" s="35">
        <v>3150</v>
      </c>
      <c r="S28" s="35">
        <v>3100</v>
      </c>
      <c r="T28" s="35">
        <v>3200</v>
      </c>
      <c r="U28" s="35">
        <v>3400</v>
      </c>
      <c r="V28" s="35">
        <v>3250</v>
      </c>
      <c r="W28" s="35">
        <v>3300</v>
      </c>
      <c r="X28" s="35">
        <v>3400</v>
      </c>
      <c r="Y28" s="35">
        <v>3500</v>
      </c>
      <c r="Z28" s="35">
        <f>Y28+50</f>
        <v>3550</v>
      </c>
      <c r="AA28" s="35">
        <f t="shared" ref="AA28:AE28" si="1">Z28+50</f>
        <v>3600</v>
      </c>
      <c r="AB28" s="35">
        <f t="shared" si="1"/>
        <v>3650</v>
      </c>
      <c r="AC28" s="35">
        <f t="shared" si="1"/>
        <v>3700</v>
      </c>
      <c r="AD28" s="35">
        <f t="shared" si="1"/>
        <v>3750</v>
      </c>
      <c r="AE28" s="35">
        <f t="shared" si="1"/>
        <v>3800</v>
      </c>
    </row>
    <row r="29" spans="1:53" x14ac:dyDescent="0.3">
      <c r="A29" s="29"/>
      <c r="B29" s="29" t="s">
        <v>683</v>
      </c>
      <c r="C29" s="34">
        <v>1273.2</v>
      </c>
      <c r="D29" s="34">
        <v>1273.2</v>
      </c>
      <c r="E29" s="34">
        <v>1273.2</v>
      </c>
      <c r="F29" s="34">
        <v>1259</v>
      </c>
      <c r="G29" s="34">
        <v>1347</v>
      </c>
      <c r="H29" s="34">
        <v>1396.6</v>
      </c>
      <c r="I29" s="34">
        <v>1442.9</v>
      </c>
      <c r="J29" s="34">
        <v>1402.61000533527</v>
      </c>
      <c r="K29" s="34">
        <v>1458.4151718048199</v>
      </c>
      <c r="L29" s="34">
        <v>1493.2</v>
      </c>
      <c r="M29" s="34">
        <v>1545.3558772633801</v>
      </c>
      <c r="N29" s="34">
        <v>1571</v>
      </c>
      <c r="O29" s="34">
        <v>1661.1</v>
      </c>
      <c r="P29" s="34">
        <v>1681.39</v>
      </c>
      <c r="Q29" s="34">
        <v>1722.5233396599999</v>
      </c>
      <c r="R29" s="35">
        <v>1775.8304373666449</v>
      </c>
      <c r="S29" s="35">
        <v>1820.2326820256628</v>
      </c>
      <c r="T29" s="35">
        <v>1859.0411448844859</v>
      </c>
      <c r="U29" s="35">
        <v>1893.2454556799651</v>
      </c>
      <c r="V29" s="35">
        <v>1928.6136766918191</v>
      </c>
      <c r="W29" s="35">
        <v>1965.2479914611308</v>
      </c>
      <c r="X29" s="35">
        <v>2003.0736716496317</v>
      </c>
      <c r="Y29" s="35">
        <v>2044.3832164581972</v>
      </c>
      <c r="Z29" s="35">
        <v>2085.024175882957</v>
      </c>
      <c r="AA29" s="35">
        <v>2123.3681095603265</v>
      </c>
    </row>
    <row r="30" spans="1:53" x14ac:dyDescent="0.3">
      <c r="A30" s="29"/>
      <c r="B30" s="29" t="s">
        <v>684</v>
      </c>
      <c r="C30" s="34">
        <v>866.94927349604279</v>
      </c>
      <c r="D30" s="34">
        <v>866.94927349604279</v>
      </c>
      <c r="E30" s="34">
        <v>866.94927349604279</v>
      </c>
      <c r="F30" s="34">
        <v>846.1138215167158</v>
      </c>
      <c r="G30" s="34">
        <v>935.18533488170215</v>
      </c>
      <c r="H30" s="34">
        <v>990.02288429185</v>
      </c>
      <c r="I30" s="34">
        <v>1044.5425069013627</v>
      </c>
      <c r="J30" s="34">
        <v>1150.5392931285598</v>
      </c>
      <c r="K30" s="34">
        <v>1208.3756288442755</v>
      </c>
      <c r="L30" s="34">
        <v>1092.2210617160124</v>
      </c>
      <c r="M30" s="34">
        <v>1154.6007305262117</v>
      </c>
      <c r="N30" s="34">
        <v>1140</v>
      </c>
      <c r="O30" s="34">
        <v>1171</v>
      </c>
      <c r="P30" s="34">
        <v>1200</v>
      </c>
      <c r="Q30" s="34">
        <v>1223.1384873399998</v>
      </c>
      <c r="R30" s="35">
        <v>1297.1574685139426</v>
      </c>
      <c r="S30" s="35">
        <v>1339.9486902058916</v>
      </c>
      <c r="T30" s="35">
        <v>1382.183609812364</v>
      </c>
      <c r="U30" s="35">
        <v>1416.4086784270767</v>
      </c>
      <c r="V30" s="35">
        <v>1452.170708036087</v>
      </c>
      <c r="W30" s="35">
        <v>1490.0278167036406</v>
      </c>
      <c r="X30" s="35">
        <v>1529.1035404245388</v>
      </c>
      <c r="Y30" s="35">
        <v>1572.8770953399192</v>
      </c>
      <c r="Z30" s="35">
        <v>1615.0807207181326</v>
      </c>
      <c r="AA30" s="35">
        <v>1653.5952554033502</v>
      </c>
    </row>
    <row r="31" spans="1:53" x14ac:dyDescent="0.3">
      <c r="A31" s="29"/>
      <c r="B31" s="29" t="s">
        <v>685</v>
      </c>
      <c r="C31" s="34">
        <f>'Intermediate calculations'!M15/1000</f>
        <v>2370</v>
      </c>
      <c r="D31" s="34">
        <f>'Intermediate calculations'!N15/1000</f>
        <v>2358</v>
      </c>
      <c r="E31" s="34">
        <f>'Intermediate calculations'!O15/1000</f>
        <v>2457</v>
      </c>
      <c r="F31" s="34">
        <f>'Intermediate calculations'!P15/1000</f>
        <v>2354</v>
      </c>
      <c r="G31" s="34">
        <f>'Intermediate calculations'!Q15/1000</f>
        <v>2505</v>
      </c>
      <c r="H31" s="34">
        <f>'Intermediate calculations'!R15/1000</f>
        <v>2657</v>
      </c>
      <c r="I31" s="34">
        <f>'Intermediate calculations'!S15/1000</f>
        <v>2513</v>
      </c>
      <c r="J31" s="34">
        <f>'Intermediate calculations'!T15/1000</f>
        <v>2559</v>
      </c>
      <c r="K31" s="34">
        <f>'Intermediate calculations'!U15/1000</f>
        <v>2625</v>
      </c>
      <c r="L31" s="34">
        <f>'Intermediate calculations'!V15/1000</f>
        <v>2587</v>
      </c>
      <c r="M31" s="34">
        <f>'Intermediate calculations'!W15/1000</f>
        <v>2711</v>
      </c>
      <c r="N31" s="34">
        <f>'Intermediate calculations'!X15/1000</f>
        <v>2720</v>
      </c>
      <c r="O31" s="34">
        <f>'Intermediate calculations'!Y15/1000</f>
        <v>2855.6890503554837</v>
      </c>
      <c r="P31" s="34">
        <f>'Intermediate calculations'!Z15/1000</f>
        <v>2896.0855151347173</v>
      </c>
      <c r="Q31" s="34">
        <f>'Intermediate calculations'!AA15/1000</f>
        <v>2942.4453105118946</v>
      </c>
      <c r="R31" s="34">
        <f>'Intermediate calculations'!AB15/1000</f>
        <v>2979.877509050561</v>
      </c>
      <c r="S31" s="34">
        <f>'Intermediate calculations'!AC15/1000</f>
        <v>3011.5897015159671</v>
      </c>
      <c r="T31" s="34">
        <f>'Intermediate calculations'!AD15/1000</f>
        <v>3037.4479061853235</v>
      </c>
      <c r="U31" s="34">
        <f>'Intermediate calculations'!AE15/1000</f>
        <v>3068.5581134720883</v>
      </c>
      <c r="V31" s="34">
        <f>'Intermediate calculations'!AF15/1000</f>
        <v>3100.7243936023337</v>
      </c>
      <c r="W31" s="34">
        <f>'Intermediate calculations'!AG15/1000</f>
        <v>3026.0271670365855</v>
      </c>
      <c r="X31" s="34">
        <f>'Intermediate calculations'!AH15/1000</f>
        <v>3075.9709884323916</v>
      </c>
      <c r="Y31" s="34">
        <f>'Intermediate calculations'!AI15/1000</f>
        <v>3140.6774087441063</v>
      </c>
      <c r="Z31" s="34">
        <f>'Intermediate calculations'!AJ15/1000</f>
        <v>3182.5837162137964</v>
      </c>
      <c r="AA31" s="34">
        <f>'Intermediate calculations'!AK15/1000</f>
        <v>3227.8067915845522</v>
      </c>
      <c r="AB31" s="34">
        <f>'Intermediate calculations'!AL15/1000</f>
        <v>3277.3403046611129</v>
      </c>
      <c r="AC31" s="34">
        <f>'Intermediate calculations'!AM15/1000</f>
        <v>3327.4808289829625</v>
      </c>
      <c r="AD31" s="34">
        <f>'Intermediate calculations'!AN15/1000</f>
        <v>3381.167569944198</v>
      </c>
      <c r="AE31" s="34">
        <f>'Intermediate calculations'!AO15/1000</f>
        <v>3435.9948144632913</v>
      </c>
      <c r="AF31" s="34">
        <f>'Intermediate calculations'!AP15/1000</f>
        <v>3494.2268263616452</v>
      </c>
      <c r="AG31" s="34">
        <f>'Intermediate calculations'!AQ15/1000</f>
        <v>3553.4527437475203</v>
      </c>
      <c r="AH31" s="34">
        <f>'Intermediate calculations'!AR15/1000</f>
        <v>3616.2405277405846</v>
      </c>
      <c r="AI31" s="34">
        <f>'Intermediate calculations'!AS15/1000</f>
        <v>3678.4689781017696</v>
      </c>
      <c r="AJ31" s="34">
        <f>'Intermediate calculations'!AT15/1000</f>
        <v>3743.3879707599563</v>
      </c>
      <c r="AK31" s="34">
        <f>'Intermediate calculations'!AU15/1000</f>
        <v>3814.9486531238117</v>
      </c>
      <c r="AL31" s="34">
        <f>'Intermediate calculations'!AV15/1000</f>
        <v>3883.8846279693989</v>
      </c>
      <c r="AM31" s="34">
        <f>'Intermediate calculations'!AW15/1000</f>
        <v>3954.337665612069</v>
      </c>
      <c r="AN31" s="34">
        <f>'Intermediate calculations'!AX15/1000</f>
        <v>4028.8038630323458</v>
      </c>
      <c r="AO31" s="34">
        <f>'Intermediate calculations'!AY15/1000</f>
        <v>4099.6846646967579</v>
      </c>
      <c r="AP31" s="34">
        <f>'Intermediate calculations'!AZ15/1000</f>
        <v>4170.4148281716552</v>
      </c>
      <c r="AQ31" s="34">
        <f>'Intermediate calculations'!BA15/1000</f>
        <v>4241.1473516166661</v>
      </c>
      <c r="AR31" s="34">
        <f>'Intermediate calculations'!BB15/1000</f>
        <v>4315.2807809107544</v>
      </c>
      <c r="AS31" s="34">
        <f>'Intermediate calculations'!BC15/1000</f>
        <v>4387.1948862342606</v>
      </c>
      <c r="AT31" s="34">
        <f>'Intermediate calculations'!BD15/1000</f>
        <v>4461.4918934668003</v>
      </c>
      <c r="AU31" s="34">
        <f>'Intermediate calculations'!BE15/1000</f>
        <v>4538.4662453186138</v>
      </c>
      <c r="AV31" s="34">
        <f>'Intermediate calculations'!BF15/1000</f>
        <v>4618.5813852227539</v>
      </c>
      <c r="AW31" s="34">
        <f>'Intermediate calculations'!BG15/1000</f>
        <v>4700.0630338893579</v>
      </c>
      <c r="AX31" s="34">
        <f>'Intermediate calculations'!BH15/1000</f>
        <v>4730.6696495202468</v>
      </c>
      <c r="AY31" s="34">
        <f>'Intermediate calculations'!BI15/1000</f>
        <v>4756.5809081615998</v>
      </c>
      <c r="AZ31" s="34">
        <f>'Intermediate calculations'!BJ15/1000</f>
        <v>4775.6546823598183</v>
      </c>
      <c r="BA31" s="34">
        <f>'Intermediate calculations'!BK15/1000</f>
        <v>4792.7159535053697</v>
      </c>
    </row>
    <row r="32" spans="1:53" x14ac:dyDescent="0.3">
      <c r="A32" s="29"/>
      <c r="B32" s="29" t="s">
        <v>686</v>
      </c>
      <c r="C32" s="34">
        <f>'Intermediate calculations'!M12/1000</f>
        <v>1284</v>
      </c>
      <c r="D32" s="34">
        <f>'Intermediate calculations'!N12/1000</f>
        <v>1575</v>
      </c>
      <c r="E32" s="34">
        <f>'Intermediate calculations'!O12/1000</f>
        <v>1611</v>
      </c>
      <c r="F32" s="34">
        <f>'Intermediate calculations'!P12/1000</f>
        <v>1528</v>
      </c>
      <c r="G32" s="34">
        <f>'Intermediate calculations'!Q12/1000</f>
        <v>1626</v>
      </c>
      <c r="H32" s="34">
        <f>'Intermediate calculations'!R12/1000</f>
        <v>1835</v>
      </c>
      <c r="I32" s="34">
        <f>'Intermediate calculations'!S12/1000</f>
        <v>1697</v>
      </c>
      <c r="J32" s="34">
        <f>'Intermediate calculations'!T12/1000</f>
        <v>1799</v>
      </c>
      <c r="K32" s="34">
        <f>'Intermediate calculations'!U12/1000</f>
        <v>1819</v>
      </c>
      <c r="L32" s="34">
        <f>'Intermediate calculations'!V12/1000</f>
        <v>1788</v>
      </c>
      <c r="M32" s="34">
        <f>'Intermediate calculations'!W12/1000</f>
        <v>1868</v>
      </c>
      <c r="N32" s="34">
        <f>'Intermediate calculations'!X12/1000</f>
        <v>1852</v>
      </c>
      <c r="O32" s="34">
        <f>'Intermediate calculations'!Y12/1000</f>
        <v>1952.2937553922518</v>
      </c>
      <c r="P32" s="34">
        <f>'Intermediate calculations'!Z12/1000</f>
        <v>1989.2140809840121</v>
      </c>
      <c r="Q32" s="34">
        <f>'Intermediate calculations'!AA12/1000</f>
        <v>2031.5845891224524</v>
      </c>
      <c r="R32" s="34">
        <f>'Intermediate calculations'!AB12/1000</f>
        <v>2065.7957253002255</v>
      </c>
      <c r="S32" s="34">
        <f>'Intermediate calculations'!AC12/1000</f>
        <v>2094.7790652397448</v>
      </c>
      <c r="T32" s="34">
        <f>'Intermediate calculations'!AD12/1000</f>
        <v>2118.4121564230545</v>
      </c>
      <c r="U32" s="34">
        <f>'Intermediate calculations'!AE12/1000</f>
        <v>2146.8453123571589</v>
      </c>
      <c r="V32" s="34">
        <f>'Intermediate calculations'!AF12/1000</f>
        <v>2176.2436654550006</v>
      </c>
      <c r="W32" s="34">
        <f>'Intermediate calculations'!AG12/1000</f>
        <v>2107.9741784917101</v>
      </c>
      <c r="X32" s="34">
        <f>'Intermediate calculations'!AH12/1000</f>
        <v>2153.620305134401</v>
      </c>
      <c r="Y32" s="34">
        <f>'Intermediate calculations'!AI12/1000</f>
        <v>2212.7587005073997</v>
      </c>
      <c r="Z32" s="34">
        <f>'Intermediate calculations'!AJ12/1000</f>
        <v>2251.0589459517669</v>
      </c>
      <c r="AA32" s="34">
        <f>'Intermediate calculations'!AK12/1000</f>
        <v>2292.3905494986029</v>
      </c>
      <c r="AB32" s="34">
        <f>'Intermediate calculations'!AL12/1000</f>
        <v>2337.6616750905246</v>
      </c>
      <c r="AC32" s="34">
        <f>'Intermediate calculations'!AM12/1000</f>
        <v>2383.4875782585627</v>
      </c>
      <c r="AD32" s="34">
        <f>'Intermediate calculations'!AN12/1000</f>
        <v>2432.5545440705869</v>
      </c>
      <c r="AE32" s="34">
        <f>'Intermediate calculations'!AO12/1000</f>
        <v>2482.6638724488594</v>
      </c>
      <c r="AF32" s="34">
        <f>'Intermediate calculations'!AP12/1000</f>
        <v>2535.8849860017381</v>
      </c>
      <c r="AG32" s="34">
        <f>'Intermediate calculations'!AQ12/1000</f>
        <v>2590.0144788993757</v>
      </c>
      <c r="AH32" s="34">
        <f>'Intermediate calculations'!AR12/1000</f>
        <v>2647.3993377200095</v>
      </c>
      <c r="AI32" s="34">
        <f>'Intermediate calculations'!AS12/1000</f>
        <v>2704.2729938916918</v>
      </c>
      <c r="AJ32" s="34">
        <f>'Intermediate calculations'!AT12/1000</f>
        <v>2763.6056696376509</v>
      </c>
      <c r="AK32" s="34">
        <f>'Intermediate calculations'!AU12/1000</f>
        <v>2829.0085138439649</v>
      </c>
      <c r="AL32" s="34">
        <f>'Intermediate calculations'!AV12/1000</f>
        <v>2892.0125081339011</v>
      </c>
      <c r="AM32" s="34">
        <f>'Intermediate calculations'!AW12/1000</f>
        <v>2956.4030210887145</v>
      </c>
      <c r="AN32" s="34">
        <f>'Intermediate calculations'!AX12/1000</f>
        <v>3024.4613590982863</v>
      </c>
      <c r="AO32" s="34">
        <f>'Intermediate calculations'!AY12/1000</f>
        <v>3089.242826733057</v>
      </c>
      <c r="AP32" s="34">
        <f>'Intermediate calculations'!AZ12/1000</f>
        <v>3153.8866186817531</v>
      </c>
      <c r="AQ32" s="34">
        <f>'Intermediate calculations'!BA12/1000</f>
        <v>3218.5325675237677</v>
      </c>
      <c r="AR32" s="34">
        <f>'Intermediate calculations'!BB12/1000</f>
        <v>3286.2867722971141</v>
      </c>
      <c r="AS32" s="34">
        <f>'Intermediate calculations'!BC12/1000</f>
        <v>3352.0126272127359</v>
      </c>
      <c r="AT32" s="34">
        <f>'Intermediate calculations'!BD12/1000</f>
        <v>3419.9163339482034</v>
      </c>
      <c r="AU32" s="34">
        <f>'Intermediate calculations'!BE12/1000</f>
        <v>3490.2669982480302</v>
      </c>
      <c r="AV32" s="34">
        <f>'Intermediate calculations'!BF12/1000</f>
        <v>3563.488183969479</v>
      </c>
      <c r="AW32" s="34">
        <f>'Intermediate calculations'!BG12/1000</f>
        <v>3637.9582895830499</v>
      </c>
      <c r="AX32" s="34">
        <f>'Intermediate calculations'!BH12/1000</f>
        <v>3665.9311882148918</v>
      </c>
      <c r="AY32" s="34">
        <f>'Intermediate calculations'!BI12/1000</f>
        <v>3689.612768045185</v>
      </c>
      <c r="AZ32" s="34">
        <f>'Intermediate calculations'!BJ12/1000</f>
        <v>3707.0452329281993</v>
      </c>
      <c r="BA32" s="34">
        <f>'Intermediate calculations'!BK12/1000</f>
        <v>3722.6383718116517</v>
      </c>
    </row>
    <row r="33" spans="1:53" x14ac:dyDescent="0.3">
      <c r="A33" s="29"/>
      <c r="B33" s="29"/>
      <c r="C33" s="34"/>
      <c r="D33" s="34"/>
      <c r="E33" s="34"/>
      <c r="F33" s="34"/>
      <c r="G33" s="34"/>
      <c r="H33" s="34"/>
      <c r="I33" s="34"/>
      <c r="J33" s="34"/>
      <c r="K33" s="34"/>
      <c r="L33" s="34"/>
      <c r="M33" s="34"/>
      <c r="N33" s="34"/>
      <c r="O33" s="34"/>
      <c r="P33" s="34"/>
      <c r="Q33" s="34"/>
      <c r="R33" s="35"/>
      <c r="S33" s="35"/>
      <c r="T33" s="35"/>
      <c r="U33" s="35"/>
      <c r="V33" s="35"/>
      <c r="W33" s="35"/>
      <c r="X33" s="35"/>
      <c r="Y33" s="35"/>
      <c r="Z33" s="35"/>
      <c r="AA33" s="35"/>
    </row>
    <row r="34" spans="1:53" x14ac:dyDescent="0.3">
      <c r="A34" s="28"/>
      <c r="B34" s="29"/>
      <c r="C34" s="30">
        <v>2000</v>
      </c>
      <c r="D34" s="30">
        <v>2001</v>
      </c>
      <c r="E34" s="30">
        <v>2002</v>
      </c>
      <c r="F34" s="30">
        <v>2003</v>
      </c>
      <c r="G34" s="30">
        <v>2004</v>
      </c>
      <c r="H34" s="30">
        <v>2005</v>
      </c>
      <c r="I34" s="30">
        <v>2006</v>
      </c>
      <c r="J34" s="30">
        <v>2007</v>
      </c>
      <c r="K34" s="30">
        <v>2008</v>
      </c>
      <c r="L34" s="30">
        <v>2009</v>
      </c>
      <c r="M34" s="30">
        <v>2010</v>
      </c>
      <c r="N34" s="30">
        <v>2011</v>
      </c>
      <c r="O34" s="30">
        <v>2012</v>
      </c>
      <c r="P34" s="30">
        <v>2013</v>
      </c>
      <c r="Q34" s="30">
        <v>2014</v>
      </c>
      <c r="R34" s="31">
        <v>2015</v>
      </c>
      <c r="S34" s="31">
        <v>2016</v>
      </c>
      <c r="T34" s="31">
        <v>2017</v>
      </c>
      <c r="U34" s="31">
        <v>2018</v>
      </c>
      <c r="V34" s="31">
        <v>2019</v>
      </c>
      <c r="W34" s="31">
        <v>2020</v>
      </c>
      <c r="X34" s="31">
        <v>2021</v>
      </c>
      <c r="Y34" s="31">
        <v>2022</v>
      </c>
      <c r="Z34" s="31">
        <v>2023</v>
      </c>
      <c r="AA34" s="31">
        <v>2024</v>
      </c>
      <c r="AB34" s="31">
        <v>2025</v>
      </c>
      <c r="AC34" s="31">
        <v>2026</v>
      </c>
      <c r="AD34" s="31">
        <v>2027</v>
      </c>
      <c r="AE34" s="31">
        <v>2028</v>
      </c>
      <c r="AF34" s="31">
        <v>2029</v>
      </c>
      <c r="AG34" s="31">
        <v>2030</v>
      </c>
      <c r="AH34" s="31">
        <v>2031</v>
      </c>
      <c r="AI34" s="31">
        <v>2032</v>
      </c>
      <c r="AJ34" s="31">
        <v>2033</v>
      </c>
      <c r="AK34" s="31">
        <v>2034</v>
      </c>
      <c r="AL34" s="31">
        <v>2035</v>
      </c>
      <c r="AM34" s="31">
        <v>2036</v>
      </c>
      <c r="AN34" s="31">
        <v>2037</v>
      </c>
      <c r="AO34" s="31">
        <v>2038</v>
      </c>
      <c r="AP34" s="31">
        <v>2039</v>
      </c>
      <c r="AQ34" s="31">
        <v>2040</v>
      </c>
      <c r="AR34" s="31">
        <v>2041</v>
      </c>
      <c r="AS34" s="31">
        <v>2042</v>
      </c>
      <c r="AT34" s="31">
        <v>2043</v>
      </c>
      <c r="AU34" s="31">
        <v>2044</v>
      </c>
      <c r="AV34" s="31">
        <v>2045</v>
      </c>
      <c r="AW34" s="31">
        <v>2046</v>
      </c>
      <c r="AX34" s="31">
        <v>2047</v>
      </c>
      <c r="AY34" s="31">
        <v>2048</v>
      </c>
      <c r="AZ34" s="31">
        <v>2049</v>
      </c>
      <c r="BA34" s="31">
        <v>2050</v>
      </c>
    </row>
    <row r="35" spans="1:53" x14ac:dyDescent="0.3">
      <c r="A35" s="29"/>
      <c r="B35" s="29" t="s">
        <v>687</v>
      </c>
      <c r="C35" s="32">
        <v>114.36</v>
      </c>
      <c r="D35" s="32">
        <v>114.36</v>
      </c>
      <c r="E35" s="32">
        <v>114.36</v>
      </c>
      <c r="F35" s="32">
        <v>94.948778000000004</v>
      </c>
      <c r="G35" s="32">
        <v>97.52034399999998</v>
      </c>
      <c r="H35" s="32">
        <v>102.166586</v>
      </c>
      <c r="I35" s="32">
        <v>115.84967</v>
      </c>
      <c r="J35" s="32">
        <v>110.621706</v>
      </c>
      <c r="K35" s="32">
        <v>115.99826544161907</v>
      </c>
      <c r="L35" s="32">
        <v>120.63819605928383</v>
      </c>
      <c r="M35" s="32">
        <v>125.46372390165519</v>
      </c>
      <c r="N35" s="32">
        <v>91.588518448208291</v>
      </c>
      <c r="O35" s="32">
        <v>98.915599924064963</v>
      </c>
      <c r="P35" s="32">
        <v>115.10460982337811</v>
      </c>
      <c r="Q35" s="32">
        <v>118.08101882391567</v>
      </c>
      <c r="R35" s="33">
        <v>120</v>
      </c>
      <c r="S35" s="33">
        <v>125</v>
      </c>
      <c r="T35" s="33">
        <v>135</v>
      </c>
      <c r="U35" s="33">
        <v>115</v>
      </c>
      <c r="V35" s="33">
        <v>108</v>
      </c>
      <c r="W35" s="33">
        <v>113</v>
      </c>
      <c r="X35" s="33">
        <v>116</v>
      </c>
      <c r="Y35" s="33">
        <v>119</v>
      </c>
      <c r="Z35" s="33">
        <v>121</v>
      </c>
      <c r="AA35" s="33">
        <v>124</v>
      </c>
      <c r="AB35" s="33">
        <v>127</v>
      </c>
      <c r="AC35" s="33">
        <v>129</v>
      </c>
      <c r="AD35" s="33">
        <v>131</v>
      </c>
      <c r="AE35" s="33">
        <v>133</v>
      </c>
    </row>
    <row r="36" spans="1:53" x14ac:dyDescent="0.3">
      <c r="A36" s="29"/>
      <c r="B36" s="29" t="s">
        <v>688</v>
      </c>
      <c r="C36" s="32">
        <v>147.50101899999999</v>
      </c>
      <c r="D36" s="32">
        <v>147.50101899999999</v>
      </c>
      <c r="E36" s="32">
        <v>147.50101899999999</v>
      </c>
      <c r="F36" s="32">
        <v>156</v>
      </c>
      <c r="G36" s="32">
        <v>163</v>
      </c>
      <c r="H36" s="32">
        <v>150</v>
      </c>
      <c r="I36" s="32">
        <v>177</v>
      </c>
      <c r="J36" s="32">
        <v>165.63170600000001</v>
      </c>
      <c r="K36" s="32">
        <v>153.94826544161907</v>
      </c>
      <c r="L36" s="32">
        <v>149.24819605928383</v>
      </c>
      <c r="M36" s="32">
        <v>149.24372390165519</v>
      </c>
      <c r="N36" s="32">
        <v>116.67851844820828</v>
      </c>
      <c r="O36" s="32">
        <v>121.76574443406494</v>
      </c>
      <c r="P36" s="32">
        <v>134.49960982337811</v>
      </c>
      <c r="Q36" s="32">
        <v>134.87990262391565</v>
      </c>
      <c r="R36" s="33">
        <v>138.20716425710361</v>
      </c>
      <c r="S36" s="33">
        <v>140.54831762918488</v>
      </c>
      <c r="T36" s="33">
        <v>142.52537151325211</v>
      </c>
      <c r="U36" s="33">
        <v>143.33699921198837</v>
      </c>
      <c r="V36" s="33">
        <v>145.00011855243841</v>
      </c>
      <c r="W36" s="33">
        <v>146.72189410939382</v>
      </c>
      <c r="X36" s="33">
        <v>148.14351293952492</v>
      </c>
      <c r="Y36" s="33">
        <v>149.6242507758528</v>
      </c>
      <c r="Z36" s="33">
        <v>151.3117511608838</v>
      </c>
      <c r="AA36" s="33">
        <v>153.36736842443659</v>
      </c>
    </row>
    <row r="37" spans="1:53" x14ac:dyDescent="0.3">
      <c r="B37" s="29" t="s">
        <v>689</v>
      </c>
      <c r="C37">
        <f>'Intermediate calculations'!M27/1000</f>
        <v>98.52</v>
      </c>
      <c r="D37">
        <f>'Intermediate calculations'!N27/1000</f>
        <v>95.86</v>
      </c>
      <c r="E37">
        <f>'Intermediate calculations'!O27/1000</f>
        <v>96.34</v>
      </c>
      <c r="F37">
        <f>'Intermediate calculations'!P27/1000</f>
        <v>105.64</v>
      </c>
      <c r="G37">
        <f>'Intermediate calculations'!Q27/1000</f>
        <v>111.12</v>
      </c>
      <c r="H37">
        <f>'Intermediate calculations'!R27/1000</f>
        <v>124.52</v>
      </c>
      <c r="I37">
        <f>'Intermediate calculations'!S27/1000</f>
        <v>124.74</v>
      </c>
      <c r="J37">
        <f>'Intermediate calculations'!T27/1000</f>
        <v>148.52000000000001</v>
      </c>
      <c r="K37">
        <f>'Intermediate calculations'!U27/1000</f>
        <v>149.26</v>
      </c>
      <c r="L37">
        <f>'Intermediate calculations'!V27/1000</f>
        <v>151.30000000000001</v>
      </c>
      <c r="M37">
        <f>'Intermediate calculations'!W27/1000</f>
        <v>153.46</v>
      </c>
      <c r="N37">
        <f>'Intermediate calculations'!X27/1000</f>
        <v>139.5</v>
      </c>
      <c r="O37">
        <f>'Intermediate calculations'!Y27/1000</f>
        <v>152.72952607078588</v>
      </c>
      <c r="P37">
        <f>'Intermediate calculations'!Z27/1000</f>
        <v>154.16984221187647</v>
      </c>
      <c r="Q37">
        <f>'Intermediate calculations'!AA27/1000</f>
        <v>155.66827791085186</v>
      </c>
      <c r="R37">
        <f>'Intermediate calculations'!AB27/1000</f>
        <v>157.21198381172761</v>
      </c>
      <c r="S37">
        <f>'Intermediate calculations'!AC27/1000</f>
        <v>158.8062765556717</v>
      </c>
      <c r="T37">
        <f>'Intermediate calculations'!AD27/1000</f>
        <v>160.45324259982834</v>
      </c>
      <c r="U37">
        <f>'Intermediate calculations'!AE27/1000</f>
        <v>162.12709927917498</v>
      </c>
      <c r="V37">
        <f>'Intermediate calculations'!AF27/1000</f>
        <v>163.82857693085529</v>
      </c>
      <c r="W37">
        <f>'Intermediate calculations'!AG27/1000</f>
        <v>165.45038164244772</v>
      </c>
      <c r="X37">
        <f>'Intermediate calculations'!AH27/1000</f>
        <v>166.72757603056738</v>
      </c>
      <c r="Y37">
        <f>'Intermediate calculations'!AI27/1000</f>
        <v>168.0336380195883</v>
      </c>
      <c r="Z37">
        <f>'Intermediate calculations'!AJ27/1000</f>
        <v>169.33123584737046</v>
      </c>
      <c r="AA37">
        <f>'Intermediate calculations'!AK27/1000</f>
        <v>170.64660354254099</v>
      </c>
      <c r="AB37">
        <f>'Intermediate calculations'!AL27/1000</f>
        <v>171.98089945472714</v>
      </c>
      <c r="AC37">
        <f>'Intermediate calculations'!AM27/1000</f>
        <v>173.14235323795458</v>
      </c>
      <c r="AD37">
        <f>'Intermediate calculations'!AN27/1000</f>
        <v>174.31829018107936</v>
      </c>
      <c r="AE37">
        <f>'Intermediate calculations'!AO27/1000</f>
        <v>175.50641669451815</v>
      </c>
      <c r="AF37">
        <f>'Intermediate calculations'!AP27/1000</f>
        <v>176.70910174347165</v>
      </c>
      <c r="AG37">
        <f>'Intermediate calculations'!AQ27/1000</f>
        <v>177.92404873132426</v>
      </c>
      <c r="AH37">
        <f>'Intermediate calculations'!AR27/1000</f>
        <v>178.99838500698377</v>
      </c>
      <c r="AI37">
        <f>'Intermediate calculations'!AS27/1000</f>
        <v>180.08079676807154</v>
      </c>
      <c r="AJ37">
        <f>'Intermediate calculations'!AT27/1000</f>
        <v>181.17460167027124</v>
      </c>
      <c r="AK37">
        <f>'Intermediate calculations'!AU27/1000</f>
        <v>182.28381799570505</v>
      </c>
      <c r="AL37">
        <f>'Intermediate calculations'!AV27/1000</f>
        <v>183.39927112600063</v>
      </c>
      <c r="AM37">
        <f>'Intermediate calculations'!AW27/1000</f>
        <v>184.37512484294896</v>
      </c>
      <c r="AN37">
        <f>'Intermediate calculations'!AX27/1000</f>
        <v>185.36161394666027</v>
      </c>
      <c r="AO37">
        <f>'Intermediate calculations'!AY27/1000</f>
        <v>186.35120222026268</v>
      </c>
      <c r="AP37">
        <f>'Intermediate calculations'!AZ27/1000</f>
        <v>187.34736707308406</v>
      </c>
      <c r="AQ37">
        <f>'Intermediate calculations'!BA27/1000</f>
        <v>188.35031047436755</v>
      </c>
      <c r="AR37">
        <f>'Intermediate calculations'!BB27/1000</f>
        <v>189.22105340174826</v>
      </c>
      <c r="AS37">
        <f>'Intermediate calculations'!BC27/1000</f>
        <v>190.09452955844631</v>
      </c>
      <c r="AT37">
        <f>'Intermediate calculations'!BD27/1000</f>
        <v>190.97536354522461</v>
      </c>
      <c r="AU37">
        <f>'Intermediate calculations'!BE27/1000</f>
        <v>191.86388019574505</v>
      </c>
      <c r="AV37">
        <f>'Intermediate calculations'!BF27/1000</f>
        <v>192.76057322947716</v>
      </c>
      <c r="AW37">
        <f>'Intermediate calculations'!BG27/1000</f>
        <v>193.51735121668534</v>
      </c>
      <c r="AX37">
        <f>'Intermediate calculations'!BH27/1000</f>
        <v>194.22679462172178</v>
      </c>
      <c r="AY37">
        <f>'Intermediate calculations'!BI27/1000</f>
        <v>194.93501683597972</v>
      </c>
      <c r="AZ37">
        <f>'Intermediate calculations'!BJ27/1000</f>
        <v>195.63989731474589</v>
      </c>
      <c r="BA37">
        <f>'Intermediate calculations'!BK27/1000</f>
        <v>196.34627005656867</v>
      </c>
    </row>
    <row r="38" spans="1:53" x14ac:dyDescent="0.3">
      <c r="B38" s="29" t="s">
        <v>690</v>
      </c>
      <c r="C38">
        <f>'Intermediate calculations'!M19/1000</f>
        <v>153.22</v>
      </c>
      <c r="D38">
        <f>'Intermediate calculations'!N19/1000</f>
        <v>149.46</v>
      </c>
      <c r="E38">
        <f>'Intermediate calculations'!O19/1000</f>
        <v>137.24</v>
      </c>
      <c r="F38">
        <f>'Intermediate calculations'!P19/1000</f>
        <v>137.24</v>
      </c>
      <c r="G38">
        <f>'Intermediate calculations'!Q19/1000</f>
        <v>143.82</v>
      </c>
      <c r="H38">
        <f>'Intermediate calculations'!R19/1000</f>
        <v>157.91999999999999</v>
      </c>
      <c r="I38">
        <f>'Intermediate calculations'!S19/1000</f>
        <v>165.44</v>
      </c>
      <c r="J38">
        <f>'Intermediate calculations'!T19/1000</f>
        <v>190.82</v>
      </c>
      <c r="K38">
        <f>'Intermediate calculations'!U19/1000</f>
        <v>177.66</v>
      </c>
      <c r="L38">
        <f>'Intermediate calculations'!V19/1000</f>
        <v>169.2</v>
      </c>
      <c r="M38">
        <f>'Intermediate calculations'!W19/1000</f>
        <v>163.56</v>
      </c>
      <c r="N38">
        <f>'Intermediate calculations'!X19/1000</f>
        <v>145.69999999999999</v>
      </c>
      <c r="O38">
        <f>'Intermediate calculations'!Y19/1000</f>
        <v>168.49335641070596</v>
      </c>
      <c r="P38">
        <f>'Intermediate calculations'!Z19/1000</f>
        <v>171.01670205543257</v>
      </c>
      <c r="Q38">
        <f>'Intermediate calculations'!AA19/1000</f>
        <v>173.64186960514101</v>
      </c>
      <c r="R38">
        <f>'Intermediate calculations'!AB19/1000</f>
        <v>176.34634777530448</v>
      </c>
      <c r="S38">
        <f>'Intermediate calculations'!AC19/1000</f>
        <v>179.1394509955492</v>
      </c>
      <c r="T38">
        <f>'Intermediate calculations'!AD19/1000</f>
        <v>182.02483461097441</v>
      </c>
      <c r="U38">
        <f>'Intermediate calculations'!AE19/1000</f>
        <v>184.95732897191922</v>
      </c>
      <c r="V38">
        <f>'Intermediate calculations'!AF19/1000</f>
        <v>187.93821358431842</v>
      </c>
      <c r="W38">
        <f>'Intermediate calculations'!AG19/1000</f>
        <v>190.77951608648655</v>
      </c>
      <c r="X38">
        <f>'Intermediate calculations'!AH19/1000</f>
        <v>193.01708241292565</v>
      </c>
      <c r="Y38">
        <f>'Intermediate calculations'!AI19/1000</f>
        <v>195.30522300770053</v>
      </c>
      <c r="Z38">
        <f>'Intermediate calculations'!AJ19/1000</f>
        <v>197.57853491050378</v>
      </c>
      <c r="AA38">
        <f>'Intermediate calculations'!AK19/1000</f>
        <v>199.88297853238066</v>
      </c>
      <c r="AB38">
        <f>'Intermediate calculations'!AL19/1000</f>
        <v>202.22058323091721</v>
      </c>
      <c r="AC38">
        <f>'Intermediate calculations'!AM19/1000</f>
        <v>204.2553791079107</v>
      </c>
      <c r="AD38">
        <f>'Intermediate calculations'!AN19/1000</f>
        <v>206.31554859379884</v>
      </c>
      <c r="AE38">
        <f>'Intermediate calculations'!AO19/1000</f>
        <v>208.39707346013819</v>
      </c>
      <c r="AF38">
        <f>'Intermediate calculations'!AP19/1000</f>
        <v>210.50410398883639</v>
      </c>
      <c r="AG38">
        <f>'Intermediate calculations'!AQ19/1000</f>
        <v>212.63261668331347</v>
      </c>
      <c r="AH38">
        <f>'Intermediate calculations'!AR19/1000</f>
        <v>214.51478802390855</v>
      </c>
      <c r="AI38">
        <f>'Intermediate calculations'!AS19/1000</f>
        <v>216.41110712026577</v>
      </c>
      <c r="AJ38">
        <f>'Intermediate calculations'!AT19/1000</f>
        <v>218.32738630190184</v>
      </c>
      <c r="AK38">
        <f>'Intermediate calculations'!AU19/1000</f>
        <v>220.27066535293275</v>
      </c>
      <c r="AL38">
        <f>'Intermediate calculations'!AV19/1000</f>
        <v>222.22487090401179</v>
      </c>
      <c r="AM38">
        <f>'Intermediate calculations'!AW19/1000</f>
        <v>223.93450683483414</v>
      </c>
      <c r="AN38">
        <f>'Intermediate calculations'!AX19/1000</f>
        <v>225.66277531173631</v>
      </c>
      <c r="AO38">
        <f>'Intermediate calculations'!AY19/1000</f>
        <v>227.39647334443094</v>
      </c>
      <c r="AP38">
        <f>'Intermediate calculations'!AZ19/1000</f>
        <v>229.14169314103287</v>
      </c>
      <c r="AQ38">
        <f>'Intermediate calculations'!BA19/1000</f>
        <v>230.8987885392832</v>
      </c>
      <c r="AR38">
        <f>'Intermediate calculations'!BB19/1000</f>
        <v>232.42427680592095</v>
      </c>
      <c r="AS38">
        <f>'Intermediate calculations'!BC19/1000</f>
        <v>233.95455352288369</v>
      </c>
      <c r="AT38">
        <f>'Intermediate calculations'!BD19/1000</f>
        <v>235.49772070740281</v>
      </c>
      <c r="AU38">
        <f>'Intermediate calculations'!BE19/1000</f>
        <v>237.05434744815446</v>
      </c>
      <c r="AV38">
        <f>'Intermediate calculations'!BF19/1000</f>
        <v>238.6252987114037</v>
      </c>
      <c r="AW38">
        <f>'Intermediate calculations'!BG19/1000</f>
        <v>239.95112738440659</v>
      </c>
      <c r="AX38">
        <f>'Intermediate calculations'!BH19/1000</f>
        <v>241.194028769184</v>
      </c>
      <c r="AY38">
        <f>'Intermediate calculations'!BI19/1000</f>
        <v>242.43479070252812</v>
      </c>
      <c r="AZ38">
        <f>'Intermediate calculations'!BJ19/1000</f>
        <v>243.66969812000713</v>
      </c>
      <c r="BA38">
        <f>'Intermediate calculations'!BK19/1000</f>
        <v>244.90721989094445</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sheetPr>
  <dimension ref="A1:AN232"/>
  <sheetViews>
    <sheetView workbookViewId="0">
      <selection activeCell="C8" sqref="C8"/>
    </sheetView>
  </sheetViews>
  <sheetFormatPr defaultColWidth="8.77734375" defaultRowHeight="14.4" x14ac:dyDescent="0.3"/>
  <cols>
    <col min="1" max="1" width="55.77734375" customWidth="1"/>
    <col min="2" max="2" width="12.77734375" customWidth="1"/>
    <col min="3" max="3" width="13.77734375" customWidth="1"/>
    <col min="4" max="6" width="12.6640625" customWidth="1"/>
    <col min="7" max="7" width="10.33203125" customWidth="1"/>
    <col min="8" max="26" width="12" bestFit="1" customWidth="1"/>
    <col min="27" max="27" width="10" bestFit="1" customWidth="1"/>
    <col min="28" max="31" width="12" bestFit="1" customWidth="1"/>
    <col min="32" max="32" width="10" bestFit="1" customWidth="1"/>
    <col min="33" max="36" width="12" bestFit="1" customWidth="1"/>
  </cols>
  <sheetData>
    <row r="1" spans="1:40" ht="18" x14ac:dyDescent="0.35">
      <c r="A1" s="1" t="s">
        <v>656</v>
      </c>
    </row>
    <row r="2" spans="1:40" x14ac:dyDescent="0.3">
      <c r="B2" s="77" t="s">
        <v>796</v>
      </c>
    </row>
    <row r="3" spans="1:40" s="19" customFormat="1" ht="29.25" customHeight="1" x14ac:dyDescent="0.3">
      <c r="A3" s="17"/>
      <c r="B3" s="17" t="s">
        <v>0</v>
      </c>
      <c r="C3" s="17">
        <v>2017</v>
      </c>
      <c r="D3" s="17">
        <v>2018</v>
      </c>
      <c r="E3" s="17">
        <v>2019</v>
      </c>
      <c r="F3" s="17">
        <v>2020</v>
      </c>
      <c r="G3" s="17">
        <v>2021</v>
      </c>
      <c r="H3" s="17">
        <v>2022</v>
      </c>
      <c r="I3" s="17">
        <v>2023</v>
      </c>
      <c r="J3" s="17">
        <v>2024</v>
      </c>
      <c r="K3" s="17">
        <v>2025</v>
      </c>
      <c r="L3" s="17">
        <v>2026</v>
      </c>
      <c r="M3" s="17">
        <v>2027</v>
      </c>
      <c r="N3" s="17">
        <v>2028</v>
      </c>
      <c r="O3" s="17">
        <v>2029</v>
      </c>
      <c r="P3" s="17">
        <v>2030</v>
      </c>
      <c r="Q3" s="17">
        <v>2031</v>
      </c>
      <c r="R3" s="17">
        <v>2032</v>
      </c>
      <c r="S3" s="17">
        <v>2033</v>
      </c>
      <c r="T3" s="17">
        <v>2034</v>
      </c>
      <c r="U3" s="17">
        <v>2035</v>
      </c>
      <c r="V3" s="17">
        <v>2036</v>
      </c>
      <c r="W3" s="17">
        <v>2037</v>
      </c>
      <c r="X3" s="17">
        <v>2038</v>
      </c>
      <c r="Y3" s="17">
        <v>2039</v>
      </c>
      <c r="Z3" s="17">
        <v>2040</v>
      </c>
      <c r="AA3" s="17">
        <v>2041</v>
      </c>
      <c r="AB3" s="17">
        <v>2042</v>
      </c>
      <c r="AC3" s="17">
        <v>2043</v>
      </c>
      <c r="AD3" s="17">
        <v>2044</v>
      </c>
      <c r="AE3" s="17">
        <v>2045</v>
      </c>
      <c r="AF3" s="17">
        <v>2046</v>
      </c>
      <c r="AG3" s="17">
        <v>2047</v>
      </c>
      <c r="AH3" s="17">
        <v>2048</v>
      </c>
      <c r="AI3" s="17">
        <v>2049</v>
      </c>
      <c r="AJ3" s="17">
        <v>2050</v>
      </c>
      <c r="AM3" s="18" t="s">
        <v>308</v>
      </c>
      <c r="AN3" s="17" t="s">
        <v>282</v>
      </c>
    </row>
    <row r="4" spans="1:40" s="44" customFormat="1" ht="15.6" x14ac:dyDescent="0.3">
      <c r="A4" s="43" t="s">
        <v>712</v>
      </c>
      <c r="B4" s="46" t="s">
        <v>711</v>
      </c>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row>
    <row r="5" spans="1:40" x14ac:dyDescent="0.3">
      <c r="A5" t="s">
        <v>662</v>
      </c>
      <c r="B5" t="s">
        <v>361</v>
      </c>
      <c r="C5" s="72"/>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row>
    <row r="6" spans="1:40" x14ac:dyDescent="0.3">
      <c r="A6" t="s">
        <v>384</v>
      </c>
      <c r="B6" t="s">
        <v>321</v>
      </c>
      <c r="C6" s="64"/>
      <c r="D6" s="64"/>
      <c r="E6" s="64"/>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row>
    <row r="7" spans="1:40" x14ac:dyDescent="0.3">
      <c r="A7" t="s">
        <v>659</v>
      </c>
      <c r="B7" t="s">
        <v>321</v>
      </c>
      <c r="C7" s="64"/>
      <c r="D7" s="64"/>
      <c r="E7" s="64"/>
      <c r="F7" s="64"/>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row>
    <row r="8" spans="1:40" x14ac:dyDescent="0.3">
      <c r="A8" t="s">
        <v>660</v>
      </c>
      <c r="B8" t="s">
        <v>321</v>
      </c>
      <c r="C8" s="64"/>
      <c r="D8" s="64"/>
      <c r="E8" s="64"/>
      <c r="F8" s="64"/>
      <c r="G8" s="64"/>
      <c r="H8" s="64"/>
      <c r="I8" s="64"/>
      <c r="J8" s="64"/>
      <c r="K8" s="64"/>
      <c r="L8" s="64"/>
      <c r="M8" s="64"/>
      <c r="N8" s="64"/>
      <c r="O8" s="64"/>
      <c r="P8" s="64"/>
      <c r="Q8" s="64"/>
      <c r="R8" s="64"/>
      <c r="S8" s="64"/>
      <c r="T8" s="64"/>
      <c r="U8" s="64"/>
      <c r="V8" s="64"/>
      <c r="W8" s="64"/>
      <c r="X8" s="64"/>
      <c r="Y8" s="64"/>
      <c r="Z8" s="64"/>
      <c r="AA8" s="64"/>
      <c r="AB8" s="64"/>
      <c r="AC8" s="64"/>
      <c r="AD8" s="64"/>
      <c r="AE8" s="64"/>
      <c r="AF8" s="64"/>
      <c r="AG8" s="64"/>
      <c r="AH8" s="64"/>
      <c r="AI8" s="64"/>
      <c r="AJ8" s="64"/>
    </row>
    <row r="10" spans="1:40" s="44" customFormat="1" ht="15.6" x14ac:dyDescent="0.3">
      <c r="A10" s="43" t="s">
        <v>713</v>
      </c>
      <c r="B10" s="46" t="s">
        <v>778</v>
      </c>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row>
    <row r="11" spans="1:40" s="68" customFormat="1" ht="15.6" x14ac:dyDescent="0.3">
      <c r="A11" s="66" t="s">
        <v>771</v>
      </c>
      <c r="B11" s="67" t="s">
        <v>779</v>
      </c>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row>
    <row r="12" spans="1:40" x14ac:dyDescent="0.3">
      <c r="A12" s="69" t="s">
        <v>449</v>
      </c>
      <c r="B12" t="s">
        <v>305</v>
      </c>
      <c r="C12" s="24">
        <v>95</v>
      </c>
      <c r="D12" s="24">
        <v>95</v>
      </c>
      <c r="E12" s="24">
        <v>95</v>
      </c>
      <c r="F12" s="24">
        <v>95</v>
      </c>
      <c r="G12" s="24">
        <v>95</v>
      </c>
      <c r="H12" s="24">
        <v>95</v>
      </c>
      <c r="I12" s="24">
        <v>95</v>
      </c>
      <c r="J12" s="24">
        <v>95</v>
      </c>
      <c r="K12" s="24">
        <v>95</v>
      </c>
      <c r="L12" s="24">
        <v>95</v>
      </c>
      <c r="M12" s="24">
        <v>95</v>
      </c>
      <c r="N12" s="24">
        <v>95</v>
      </c>
      <c r="O12" s="24">
        <v>95</v>
      </c>
      <c r="P12" s="24">
        <v>95</v>
      </c>
      <c r="Q12" s="24">
        <v>95</v>
      </c>
      <c r="R12" s="24">
        <v>95</v>
      </c>
      <c r="S12" s="24">
        <v>95</v>
      </c>
      <c r="T12" s="24">
        <v>95</v>
      </c>
      <c r="U12" s="24">
        <v>95</v>
      </c>
      <c r="V12" s="24">
        <v>95</v>
      </c>
      <c r="W12" s="24">
        <v>95</v>
      </c>
      <c r="X12" s="24">
        <v>95</v>
      </c>
      <c r="Y12" s="24">
        <v>95</v>
      </c>
      <c r="Z12" s="24">
        <v>95</v>
      </c>
      <c r="AA12" s="24">
        <v>95</v>
      </c>
      <c r="AB12" s="24">
        <v>95</v>
      </c>
      <c r="AC12" s="24">
        <v>95</v>
      </c>
      <c r="AD12" s="24">
        <v>95</v>
      </c>
      <c r="AE12" s="24">
        <v>95</v>
      </c>
      <c r="AF12" s="24">
        <v>95</v>
      </c>
      <c r="AG12" s="24">
        <v>95</v>
      </c>
      <c r="AH12" s="24">
        <v>95</v>
      </c>
      <c r="AI12" s="24">
        <v>95</v>
      </c>
      <c r="AJ12" s="24">
        <v>95</v>
      </c>
    </row>
    <row r="13" spans="1:40" x14ac:dyDescent="0.3">
      <c r="A13" s="69" t="s">
        <v>450</v>
      </c>
      <c r="B13" t="s">
        <v>305</v>
      </c>
      <c r="C13" s="24">
        <v>0</v>
      </c>
      <c r="D13" s="24">
        <v>0</v>
      </c>
      <c r="E13" s="24">
        <v>0</v>
      </c>
      <c r="F13" s="24">
        <v>0</v>
      </c>
      <c r="G13" s="24">
        <v>0</v>
      </c>
      <c r="H13" s="24">
        <v>0</v>
      </c>
      <c r="I13" s="24">
        <v>0</v>
      </c>
      <c r="J13" s="24">
        <v>0</v>
      </c>
      <c r="K13" s="24">
        <v>0</v>
      </c>
      <c r="L13" s="24">
        <v>0</v>
      </c>
      <c r="M13" s="24">
        <v>0</v>
      </c>
      <c r="N13" s="24">
        <v>0</v>
      </c>
      <c r="O13" s="24">
        <v>0</v>
      </c>
      <c r="P13" s="24">
        <v>0</v>
      </c>
      <c r="Q13" s="24">
        <v>0</v>
      </c>
      <c r="R13" s="24">
        <v>0</v>
      </c>
      <c r="S13" s="24">
        <v>0</v>
      </c>
      <c r="T13" s="24">
        <v>0</v>
      </c>
      <c r="U13" s="24">
        <v>0</v>
      </c>
      <c r="V13" s="24">
        <v>0</v>
      </c>
      <c r="W13" s="24">
        <v>0</v>
      </c>
      <c r="X13" s="24">
        <v>0</v>
      </c>
      <c r="Y13" s="24">
        <v>0</v>
      </c>
      <c r="Z13" s="24">
        <v>0</v>
      </c>
      <c r="AA13" s="24">
        <v>0</v>
      </c>
      <c r="AB13" s="24">
        <v>0</v>
      </c>
      <c r="AC13" s="24">
        <v>0</v>
      </c>
      <c r="AD13" s="24">
        <v>0</v>
      </c>
      <c r="AE13" s="24">
        <v>0</v>
      </c>
      <c r="AF13" s="24">
        <v>0</v>
      </c>
      <c r="AG13" s="24">
        <v>0</v>
      </c>
      <c r="AH13" s="24">
        <v>0</v>
      </c>
      <c r="AI13" s="24">
        <v>0</v>
      </c>
      <c r="AJ13" s="24">
        <v>0</v>
      </c>
    </row>
    <row r="14" spans="1:40" x14ac:dyDescent="0.3">
      <c r="A14" s="69" t="s">
        <v>451</v>
      </c>
      <c r="B14" t="s">
        <v>305</v>
      </c>
      <c r="C14" s="24">
        <v>0</v>
      </c>
      <c r="D14" s="24">
        <v>0</v>
      </c>
      <c r="E14" s="24">
        <v>0</v>
      </c>
      <c r="F14" s="24">
        <v>0</v>
      </c>
      <c r="G14" s="24">
        <v>0</v>
      </c>
      <c r="H14" s="24">
        <v>0</v>
      </c>
      <c r="I14" s="24">
        <v>0</v>
      </c>
      <c r="J14" s="24">
        <v>0</v>
      </c>
      <c r="K14" s="24">
        <v>0</v>
      </c>
      <c r="L14" s="24">
        <v>0</v>
      </c>
      <c r="M14" s="24">
        <v>0</v>
      </c>
      <c r="N14" s="24">
        <v>0</v>
      </c>
      <c r="O14" s="24">
        <v>0</v>
      </c>
      <c r="P14" s="24">
        <v>0</v>
      </c>
      <c r="Q14" s="24">
        <v>0</v>
      </c>
      <c r="R14" s="24">
        <v>0</v>
      </c>
      <c r="S14" s="24">
        <v>0</v>
      </c>
      <c r="T14" s="24">
        <v>0</v>
      </c>
      <c r="U14" s="24">
        <v>0</v>
      </c>
      <c r="V14" s="24">
        <v>0</v>
      </c>
      <c r="W14" s="24">
        <v>0</v>
      </c>
      <c r="X14" s="24">
        <v>0</v>
      </c>
      <c r="Y14" s="24">
        <v>0</v>
      </c>
      <c r="Z14" s="24">
        <v>0</v>
      </c>
      <c r="AA14" s="24">
        <v>0</v>
      </c>
      <c r="AB14" s="24">
        <v>0</v>
      </c>
      <c r="AC14" s="24">
        <v>0</v>
      </c>
      <c r="AD14" s="24">
        <v>0</v>
      </c>
      <c r="AE14" s="24">
        <v>0</v>
      </c>
      <c r="AF14" s="24">
        <v>0</v>
      </c>
      <c r="AG14" s="24">
        <v>0</v>
      </c>
      <c r="AH14" s="24">
        <v>0</v>
      </c>
      <c r="AI14" s="24">
        <v>0</v>
      </c>
      <c r="AJ14" s="24">
        <v>0</v>
      </c>
    </row>
    <row r="15" spans="1:40" x14ac:dyDescent="0.3">
      <c r="A15" s="69" t="s">
        <v>452</v>
      </c>
      <c r="B15" t="s">
        <v>305</v>
      </c>
      <c r="C15" s="24">
        <v>0</v>
      </c>
      <c r="D15" s="24">
        <v>0</v>
      </c>
      <c r="E15" s="24">
        <v>0</v>
      </c>
      <c r="F15" s="24">
        <v>0</v>
      </c>
      <c r="G15" s="24">
        <v>0</v>
      </c>
      <c r="H15" s="24">
        <v>0</v>
      </c>
      <c r="I15" s="24">
        <v>0</v>
      </c>
      <c r="J15" s="24">
        <v>0</v>
      </c>
      <c r="K15" s="24">
        <v>0</v>
      </c>
      <c r="L15" s="24">
        <v>0</v>
      </c>
      <c r="M15" s="24">
        <v>0</v>
      </c>
      <c r="N15" s="24">
        <v>0</v>
      </c>
      <c r="O15" s="24">
        <v>0</v>
      </c>
      <c r="P15" s="24">
        <v>0</v>
      </c>
      <c r="Q15" s="24">
        <v>0</v>
      </c>
      <c r="R15" s="24">
        <v>0</v>
      </c>
      <c r="S15" s="24">
        <v>0</v>
      </c>
      <c r="T15" s="24">
        <v>0</v>
      </c>
      <c r="U15" s="24">
        <v>0</v>
      </c>
      <c r="V15" s="24">
        <v>0</v>
      </c>
      <c r="W15" s="24">
        <v>0</v>
      </c>
      <c r="X15" s="24">
        <v>0</v>
      </c>
      <c r="Y15" s="24">
        <v>0</v>
      </c>
      <c r="Z15" s="24">
        <v>0</v>
      </c>
      <c r="AA15" s="24">
        <v>0</v>
      </c>
      <c r="AB15" s="24">
        <v>0</v>
      </c>
      <c r="AC15" s="24">
        <v>0</v>
      </c>
      <c r="AD15" s="24">
        <v>0</v>
      </c>
      <c r="AE15" s="24">
        <v>0</v>
      </c>
      <c r="AF15" s="24">
        <v>0</v>
      </c>
      <c r="AG15" s="24">
        <v>0</v>
      </c>
      <c r="AH15" s="24">
        <v>0</v>
      </c>
      <c r="AI15" s="24">
        <v>0</v>
      </c>
      <c r="AJ15" s="24">
        <v>0</v>
      </c>
    </row>
    <row r="16" spans="1:40" x14ac:dyDescent="0.3">
      <c r="A16" s="69" t="s">
        <v>453</v>
      </c>
      <c r="B16" t="s">
        <v>305</v>
      </c>
      <c r="C16" s="24">
        <v>0</v>
      </c>
      <c r="D16" s="24">
        <v>0</v>
      </c>
      <c r="E16" s="24">
        <v>0</v>
      </c>
      <c r="F16" s="24">
        <v>0</v>
      </c>
      <c r="G16" s="24">
        <v>0</v>
      </c>
      <c r="H16" s="24">
        <v>0</v>
      </c>
      <c r="I16" s="24">
        <v>0</v>
      </c>
      <c r="J16" s="24">
        <v>0</v>
      </c>
      <c r="K16" s="24">
        <v>0</v>
      </c>
      <c r="L16" s="24">
        <v>0</v>
      </c>
      <c r="M16" s="24">
        <v>0</v>
      </c>
      <c r="N16" s="24">
        <v>0</v>
      </c>
      <c r="O16" s="24">
        <v>0</v>
      </c>
      <c r="P16" s="24">
        <v>0</v>
      </c>
      <c r="Q16" s="24">
        <v>0</v>
      </c>
      <c r="R16" s="24">
        <v>0</v>
      </c>
      <c r="S16" s="24">
        <v>0</v>
      </c>
      <c r="T16" s="24">
        <v>0</v>
      </c>
      <c r="U16" s="24">
        <v>0</v>
      </c>
      <c r="V16" s="24">
        <v>0</v>
      </c>
      <c r="W16" s="24">
        <v>0</v>
      </c>
      <c r="X16" s="24">
        <v>0</v>
      </c>
      <c r="Y16" s="24">
        <v>0</v>
      </c>
      <c r="Z16" s="24">
        <v>0</v>
      </c>
      <c r="AA16" s="24">
        <v>0</v>
      </c>
      <c r="AB16" s="24">
        <v>0</v>
      </c>
      <c r="AC16" s="24">
        <v>0</v>
      </c>
      <c r="AD16" s="24">
        <v>0</v>
      </c>
      <c r="AE16" s="24">
        <v>0</v>
      </c>
      <c r="AF16" s="24">
        <v>0</v>
      </c>
      <c r="AG16" s="24">
        <v>0</v>
      </c>
      <c r="AH16" s="24">
        <v>0</v>
      </c>
      <c r="AI16" s="24">
        <v>0</v>
      </c>
      <c r="AJ16" s="24">
        <v>0</v>
      </c>
    </row>
    <row r="17" spans="1:36" x14ac:dyDescent="0.3">
      <c r="A17" s="69" t="s">
        <v>454</v>
      </c>
      <c r="B17" t="s">
        <v>305</v>
      </c>
      <c r="C17" s="24">
        <v>0</v>
      </c>
      <c r="D17" s="24">
        <v>0</v>
      </c>
      <c r="E17" s="24">
        <v>0</v>
      </c>
      <c r="F17" s="24">
        <v>0</v>
      </c>
      <c r="G17" s="24">
        <v>0</v>
      </c>
      <c r="H17" s="24">
        <v>0</v>
      </c>
      <c r="I17" s="24">
        <v>0</v>
      </c>
      <c r="J17" s="24">
        <v>0</v>
      </c>
      <c r="K17" s="24">
        <v>0</v>
      </c>
      <c r="L17" s="24">
        <v>0</v>
      </c>
      <c r="M17" s="24">
        <v>0</v>
      </c>
      <c r="N17" s="24">
        <v>0</v>
      </c>
      <c r="O17" s="24">
        <v>0</v>
      </c>
      <c r="P17" s="24">
        <v>0</v>
      </c>
      <c r="Q17" s="24">
        <v>0</v>
      </c>
      <c r="R17" s="24">
        <v>0</v>
      </c>
      <c r="S17" s="24">
        <v>0</v>
      </c>
      <c r="T17" s="24">
        <v>0</v>
      </c>
      <c r="U17" s="24">
        <v>0</v>
      </c>
      <c r="V17" s="24">
        <v>0</v>
      </c>
      <c r="W17" s="24">
        <v>0</v>
      </c>
      <c r="X17" s="24">
        <v>0</v>
      </c>
      <c r="Y17" s="24">
        <v>0</v>
      </c>
      <c r="Z17" s="24">
        <v>0</v>
      </c>
      <c r="AA17" s="24">
        <v>0</v>
      </c>
      <c r="AB17" s="24">
        <v>0</v>
      </c>
      <c r="AC17" s="24">
        <v>0</v>
      </c>
      <c r="AD17" s="24">
        <v>0</v>
      </c>
      <c r="AE17" s="24">
        <v>0</v>
      </c>
      <c r="AF17" s="24">
        <v>0</v>
      </c>
      <c r="AG17" s="24">
        <v>0</v>
      </c>
      <c r="AH17" s="24">
        <v>0</v>
      </c>
      <c r="AI17" s="24">
        <v>0</v>
      </c>
      <c r="AJ17" s="24">
        <v>0</v>
      </c>
    </row>
    <row r="18" spans="1:36" x14ac:dyDescent="0.3">
      <c r="A18" s="69" t="s">
        <v>455</v>
      </c>
      <c r="B18" t="s">
        <v>305</v>
      </c>
      <c r="C18" s="24">
        <v>5</v>
      </c>
      <c r="D18" s="24">
        <v>5</v>
      </c>
      <c r="E18" s="24">
        <v>5</v>
      </c>
      <c r="F18" s="24">
        <v>5</v>
      </c>
      <c r="G18" s="24">
        <v>5</v>
      </c>
      <c r="H18" s="24">
        <v>5</v>
      </c>
      <c r="I18" s="24">
        <v>5</v>
      </c>
      <c r="J18" s="24">
        <v>5</v>
      </c>
      <c r="K18" s="24">
        <v>5</v>
      </c>
      <c r="L18" s="24">
        <v>5</v>
      </c>
      <c r="M18" s="24">
        <v>5</v>
      </c>
      <c r="N18" s="24">
        <v>5</v>
      </c>
      <c r="O18" s="24">
        <v>5</v>
      </c>
      <c r="P18" s="24">
        <v>5</v>
      </c>
      <c r="Q18" s="24">
        <v>5</v>
      </c>
      <c r="R18" s="24">
        <v>5</v>
      </c>
      <c r="S18" s="24">
        <v>5</v>
      </c>
      <c r="T18" s="24">
        <v>5</v>
      </c>
      <c r="U18" s="24">
        <v>5</v>
      </c>
      <c r="V18" s="24">
        <v>5</v>
      </c>
      <c r="W18" s="24">
        <v>5</v>
      </c>
      <c r="X18" s="24">
        <v>5</v>
      </c>
      <c r="Y18" s="24">
        <v>5</v>
      </c>
      <c r="Z18" s="24">
        <v>5</v>
      </c>
      <c r="AA18" s="24">
        <v>5</v>
      </c>
      <c r="AB18" s="24">
        <v>5</v>
      </c>
      <c r="AC18" s="24">
        <v>5</v>
      </c>
      <c r="AD18" s="24">
        <v>5</v>
      </c>
      <c r="AE18" s="24">
        <v>5</v>
      </c>
      <c r="AF18" s="24">
        <v>5</v>
      </c>
      <c r="AG18" s="24">
        <v>5</v>
      </c>
      <c r="AH18" s="24">
        <v>5</v>
      </c>
      <c r="AI18" s="24">
        <v>5</v>
      </c>
      <c r="AJ18" s="24">
        <v>5</v>
      </c>
    </row>
    <row r="19" spans="1:36" x14ac:dyDescent="0.3">
      <c r="A19" s="69" t="s">
        <v>456</v>
      </c>
      <c r="B19" t="s">
        <v>305</v>
      </c>
      <c r="C19" s="24">
        <v>0</v>
      </c>
      <c r="D19" s="24">
        <v>0</v>
      </c>
      <c r="E19" s="24">
        <v>0</v>
      </c>
      <c r="F19" s="24">
        <v>0</v>
      </c>
      <c r="G19" s="24">
        <v>0</v>
      </c>
      <c r="H19" s="24">
        <v>0</v>
      </c>
      <c r="I19" s="24">
        <v>0</v>
      </c>
      <c r="J19" s="24">
        <v>0</v>
      </c>
      <c r="K19" s="24">
        <v>0</v>
      </c>
      <c r="L19" s="24">
        <v>0</v>
      </c>
      <c r="M19" s="24">
        <v>0</v>
      </c>
      <c r="N19" s="24">
        <v>0</v>
      </c>
      <c r="O19" s="24">
        <v>0</v>
      </c>
      <c r="P19" s="24">
        <v>0</v>
      </c>
      <c r="Q19" s="24">
        <v>0</v>
      </c>
      <c r="R19" s="24">
        <v>0</v>
      </c>
      <c r="S19" s="24">
        <v>0</v>
      </c>
      <c r="T19" s="24">
        <v>0</v>
      </c>
      <c r="U19" s="24">
        <v>0</v>
      </c>
      <c r="V19" s="24">
        <v>0</v>
      </c>
      <c r="W19" s="24">
        <v>0</v>
      </c>
      <c r="X19" s="24">
        <v>0</v>
      </c>
      <c r="Y19" s="24">
        <v>0</v>
      </c>
      <c r="Z19" s="24">
        <v>0</v>
      </c>
      <c r="AA19" s="24">
        <v>0</v>
      </c>
      <c r="AB19" s="24">
        <v>0</v>
      </c>
      <c r="AC19" s="24">
        <v>0</v>
      </c>
      <c r="AD19" s="24">
        <v>0</v>
      </c>
      <c r="AE19" s="24">
        <v>0</v>
      </c>
      <c r="AF19" s="24">
        <v>0</v>
      </c>
      <c r="AG19" s="24">
        <v>0</v>
      </c>
      <c r="AH19" s="24">
        <v>0</v>
      </c>
      <c r="AI19" s="24">
        <v>0</v>
      </c>
      <c r="AJ19" s="24">
        <v>0</v>
      </c>
    </row>
    <row r="20" spans="1:36" x14ac:dyDescent="0.3">
      <c r="A20" s="69" t="s">
        <v>457</v>
      </c>
      <c r="B20" t="s">
        <v>305</v>
      </c>
      <c r="C20" s="24">
        <v>0</v>
      </c>
      <c r="D20" s="24">
        <v>0</v>
      </c>
      <c r="E20" s="24">
        <v>0</v>
      </c>
      <c r="F20" s="24">
        <v>0</v>
      </c>
      <c r="G20" s="24">
        <v>0</v>
      </c>
      <c r="H20" s="24">
        <v>0</v>
      </c>
      <c r="I20" s="24">
        <v>0</v>
      </c>
      <c r="J20" s="24">
        <v>0</v>
      </c>
      <c r="K20" s="24">
        <v>0</v>
      </c>
      <c r="L20" s="24">
        <v>0</v>
      </c>
      <c r="M20" s="24">
        <v>0</v>
      </c>
      <c r="N20" s="24">
        <v>0</v>
      </c>
      <c r="O20" s="24">
        <v>0</v>
      </c>
      <c r="P20" s="24">
        <v>0</v>
      </c>
      <c r="Q20" s="24">
        <v>0</v>
      </c>
      <c r="R20" s="24">
        <v>0</v>
      </c>
      <c r="S20" s="24">
        <v>0</v>
      </c>
      <c r="T20" s="24">
        <v>0</v>
      </c>
      <c r="U20" s="24">
        <v>0</v>
      </c>
      <c r="V20" s="24">
        <v>0</v>
      </c>
      <c r="W20" s="24">
        <v>0</v>
      </c>
      <c r="X20" s="24">
        <v>0</v>
      </c>
      <c r="Y20" s="24">
        <v>0</v>
      </c>
      <c r="Z20" s="24">
        <v>0</v>
      </c>
      <c r="AA20" s="24">
        <v>0</v>
      </c>
      <c r="AB20" s="24">
        <v>0</v>
      </c>
      <c r="AC20" s="24">
        <v>0</v>
      </c>
      <c r="AD20" s="24">
        <v>0</v>
      </c>
      <c r="AE20" s="24">
        <v>0</v>
      </c>
      <c r="AF20" s="24">
        <v>0</v>
      </c>
      <c r="AG20" s="24">
        <v>0</v>
      </c>
      <c r="AH20" s="24">
        <v>0</v>
      </c>
      <c r="AI20" s="24">
        <v>0</v>
      </c>
      <c r="AJ20" s="24">
        <v>0</v>
      </c>
    </row>
    <row r="21" spans="1:36" x14ac:dyDescent="0.3">
      <c r="A21" s="69" t="s">
        <v>458</v>
      </c>
      <c r="B21" t="s">
        <v>305</v>
      </c>
      <c r="C21" s="24">
        <v>0</v>
      </c>
      <c r="D21" s="24">
        <v>0</v>
      </c>
      <c r="E21" s="24">
        <v>0</v>
      </c>
      <c r="F21" s="24">
        <v>0</v>
      </c>
      <c r="G21" s="24">
        <v>0</v>
      </c>
      <c r="H21" s="24">
        <v>0</v>
      </c>
      <c r="I21" s="24">
        <v>0</v>
      </c>
      <c r="J21" s="24">
        <v>0</v>
      </c>
      <c r="K21" s="24">
        <v>0</v>
      </c>
      <c r="L21" s="24">
        <v>0</v>
      </c>
      <c r="M21" s="24">
        <v>0</v>
      </c>
      <c r="N21" s="24">
        <v>0</v>
      </c>
      <c r="O21" s="24">
        <v>0</v>
      </c>
      <c r="P21" s="24">
        <v>0</v>
      </c>
      <c r="Q21" s="24">
        <v>0</v>
      </c>
      <c r="R21" s="24">
        <v>0</v>
      </c>
      <c r="S21" s="24">
        <v>0</v>
      </c>
      <c r="T21" s="24">
        <v>0</v>
      </c>
      <c r="U21" s="24">
        <v>0</v>
      </c>
      <c r="V21" s="24">
        <v>0</v>
      </c>
      <c r="W21" s="24">
        <v>0</v>
      </c>
      <c r="X21" s="24">
        <v>0</v>
      </c>
      <c r="Y21" s="24">
        <v>0</v>
      </c>
      <c r="Z21" s="24">
        <v>0</v>
      </c>
      <c r="AA21" s="24">
        <v>0</v>
      </c>
      <c r="AB21" s="24">
        <v>0</v>
      </c>
      <c r="AC21" s="24">
        <v>0</v>
      </c>
      <c r="AD21" s="24">
        <v>0</v>
      </c>
      <c r="AE21" s="24">
        <v>0</v>
      </c>
      <c r="AF21" s="24">
        <v>0</v>
      </c>
      <c r="AG21" s="24">
        <v>0</v>
      </c>
      <c r="AH21" s="24">
        <v>0</v>
      </c>
      <c r="AI21" s="24">
        <v>0</v>
      </c>
      <c r="AJ21" s="24">
        <v>0</v>
      </c>
    </row>
    <row r="22" spans="1:36" x14ac:dyDescent="0.3">
      <c r="A22" s="69" t="s">
        <v>752</v>
      </c>
      <c r="B22" t="s">
        <v>305</v>
      </c>
      <c r="C22" s="24">
        <v>0</v>
      </c>
      <c r="D22" s="24">
        <v>0</v>
      </c>
      <c r="E22" s="24">
        <v>0</v>
      </c>
      <c r="F22" s="24">
        <v>0</v>
      </c>
      <c r="G22" s="24">
        <v>0</v>
      </c>
      <c r="H22" s="24">
        <v>0</v>
      </c>
      <c r="I22" s="24">
        <v>0</v>
      </c>
      <c r="J22" s="24">
        <v>0</v>
      </c>
      <c r="K22" s="24">
        <v>0</v>
      </c>
      <c r="L22" s="24">
        <v>0</v>
      </c>
      <c r="M22" s="24">
        <v>0</v>
      </c>
      <c r="N22" s="24">
        <v>0</v>
      </c>
      <c r="O22" s="24">
        <v>0</v>
      </c>
      <c r="P22" s="24">
        <v>0</v>
      </c>
      <c r="Q22" s="24">
        <v>0</v>
      </c>
      <c r="R22" s="24">
        <v>0</v>
      </c>
      <c r="S22" s="24">
        <v>0</v>
      </c>
      <c r="T22" s="24">
        <v>0</v>
      </c>
      <c r="U22" s="24">
        <v>0</v>
      </c>
      <c r="V22" s="24">
        <v>0</v>
      </c>
      <c r="W22" s="24">
        <v>0</v>
      </c>
      <c r="X22" s="24">
        <v>0</v>
      </c>
      <c r="Y22" s="24">
        <v>0</v>
      </c>
      <c r="Z22" s="24">
        <v>0</v>
      </c>
      <c r="AA22" s="24">
        <v>0</v>
      </c>
      <c r="AB22" s="24">
        <v>0</v>
      </c>
      <c r="AC22" s="24">
        <v>0</v>
      </c>
      <c r="AD22" s="24">
        <v>0</v>
      </c>
      <c r="AE22" s="24">
        <v>0</v>
      </c>
      <c r="AF22" s="24">
        <v>0</v>
      </c>
      <c r="AG22" s="24">
        <v>0</v>
      </c>
      <c r="AH22" s="24">
        <v>0</v>
      </c>
      <c r="AI22" s="24">
        <v>0</v>
      </c>
      <c r="AJ22" s="24">
        <v>0</v>
      </c>
    </row>
    <row r="23" spans="1:36" s="70" customFormat="1" x14ac:dyDescent="0.3">
      <c r="A23" s="70" t="s">
        <v>780</v>
      </c>
      <c r="C23" s="71">
        <f>+SUM(C12:C22)</f>
        <v>100</v>
      </c>
      <c r="D23" s="71">
        <f t="shared" ref="D23:AJ23" si="0">+SUM(D12:D22)</f>
        <v>100</v>
      </c>
      <c r="E23" s="71">
        <f t="shared" si="0"/>
        <v>100</v>
      </c>
      <c r="F23" s="71">
        <f t="shared" si="0"/>
        <v>100</v>
      </c>
      <c r="G23" s="71">
        <f t="shared" si="0"/>
        <v>100</v>
      </c>
      <c r="H23" s="71">
        <f t="shared" si="0"/>
        <v>100</v>
      </c>
      <c r="I23" s="71">
        <f t="shared" si="0"/>
        <v>100</v>
      </c>
      <c r="J23" s="71">
        <f t="shared" si="0"/>
        <v>100</v>
      </c>
      <c r="K23" s="71">
        <f t="shared" si="0"/>
        <v>100</v>
      </c>
      <c r="L23" s="71">
        <f t="shared" si="0"/>
        <v>100</v>
      </c>
      <c r="M23" s="71">
        <f t="shared" si="0"/>
        <v>100</v>
      </c>
      <c r="N23" s="71">
        <f t="shared" si="0"/>
        <v>100</v>
      </c>
      <c r="O23" s="71">
        <f t="shared" si="0"/>
        <v>100</v>
      </c>
      <c r="P23" s="71">
        <f t="shared" si="0"/>
        <v>100</v>
      </c>
      <c r="Q23" s="71">
        <f t="shared" si="0"/>
        <v>100</v>
      </c>
      <c r="R23" s="71">
        <f t="shared" si="0"/>
        <v>100</v>
      </c>
      <c r="S23" s="71">
        <f t="shared" si="0"/>
        <v>100</v>
      </c>
      <c r="T23" s="71">
        <f t="shared" si="0"/>
        <v>100</v>
      </c>
      <c r="U23" s="71">
        <f t="shared" si="0"/>
        <v>100</v>
      </c>
      <c r="V23" s="71">
        <f t="shared" si="0"/>
        <v>100</v>
      </c>
      <c r="W23" s="71">
        <f t="shared" si="0"/>
        <v>100</v>
      </c>
      <c r="X23" s="71">
        <f t="shared" si="0"/>
        <v>100</v>
      </c>
      <c r="Y23" s="71">
        <f t="shared" si="0"/>
        <v>100</v>
      </c>
      <c r="Z23" s="71">
        <f t="shared" si="0"/>
        <v>100</v>
      </c>
      <c r="AA23" s="71">
        <f t="shared" si="0"/>
        <v>100</v>
      </c>
      <c r="AB23" s="71">
        <f t="shared" si="0"/>
        <v>100</v>
      </c>
      <c r="AC23" s="71">
        <f t="shared" si="0"/>
        <v>100</v>
      </c>
      <c r="AD23" s="71">
        <f t="shared" si="0"/>
        <v>100</v>
      </c>
      <c r="AE23" s="71">
        <f t="shared" si="0"/>
        <v>100</v>
      </c>
      <c r="AF23" s="71">
        <f t="shared" si="0"/>
        <v>100</v>
      </c>
      <c r="AG23" s="71">
        <f t="shared" si="0"/>
        <v>100</v>
      </c>
      <c r="AH23" s="71">
        <f t="shared" si="0"/>
        <v>100</v>
      </c>
      <c r="AI23" s="71">
        <f t="shared" si="0"/>
        <v>100</v>
      </c>
      <c r="AJ23" s="71">
        <f t="shared" si="0"/>
        <v>100</v>
      </c>
    </row>
    <row r="24" spans="1:36" x14ac:dyDescent="0.3">
      <c r="A24" t="s">
        <v>459</v>
      </c>
      <c r="B24" t="s">
        <v>305</v>
      </c>
      <c r="C24" s="24">
        <v>11</v>
      </c>
      <c r="D24" s="24">
        <v>11</v>
      </c>
      <c r="E24" s="24">
        <v>11</v>
      </c>
      <c r="F24" s="24">
        <v>11</v>
      </c>
      <c r="G24" s="24">
        <v>11</v>
      </c>
      <c r="H24" s="24">
        <v>11</v>
      </c>
      <c r="I24" s="24">
        <v>11</v>
      </c>
      <c r="J24" s="24">
        <v>11</v>
      </c>
      <c r="K24" s="24">
        <v>11</v>
      </c>
      <c r="L24" s="24">
        <v>11</v>
      </c>
      <c r="M24" s="24">
        <v>11</v>
      </c>
      <c r="N24" s="24">
        <v>11</v>
      </c>
      <c r="O24" s="24">
        <v>11</v>
      </c>
      <c r="P24" s="24">
        <v>11</v>
      </c>
      <c r="Q24" s="24">
        <v>11</v>
      </c>
      <c r="R24" s="24">
        <v>11</v>
      </c>
      <c r="S24" s="24">
        <v>11</v>
      </c>
      <c r="T24" s="24">
        <v>11</v>
      </c>
      <c r="U24" s="24">
        <v>11</v>
      </c>
      <c r="V24" s="24">
        <v>11</v>
      </c>
      <c r="W24" s="24">
        <v>11</v>
      </c>
      <c r="X24" s="24">
        <v>11</v>
      </c>
      <c r="Y24" s="24">
        <v>11</v>
      </c>
      <c r="Z24" s="24">
        <v>11</v>
      </c>
      <c r="AA24" s="24">
        <v>11</v>
      </c>
      <c r="AB24" s="24">
        <v>11</v>
      </c>
      <c r="AC24" s="24">
        <v>11</v>
      </c>
      <c r="AD24" s="24">
        <v>11</v>
      </c>
      <c r="AE24" s="24">
        <v>11</v>
      </c>
      <c r="AF24" s="24">
        <v>11</v>
      </c>
      <c r="AG24" s="24">
        <v>11</v>
      </c>
      <c r="AH24" s="24">
        <v>11</v>
      </c>
      <c r="AI24" s="24">
        <v>11</v>
      </c>
      <c r="AJ24" s="24">
        <v>11</v>
      </c>
    </row>
    <row r="25" spans="1:36" x14ac:dyDescent="0.3">
      <c r="A25" t="s">
        <v>460</v>
      </c>
      <c r="B25" t="s">
        <v>305</v>
      </c>
      <c r="C25" s="24">
        <v>0</v>
      </c>
      <c r="D25" s="24">
        <v>0</v>
      </c>
      <c r="E25" s="24">
        <v>0</v>
      </c>
      <c r="F25" s="24">
        <v>0</v>
      </c>
      <c r="G25" s="24">
        <v>0</v>
      </c>
      <c r="H25" s="24">
        <v>0</v>
      </c>
      <c r="I25" s="24">
        <v>0</v>
      </c>
      <c r="J25" s="24">
        <v>0</v>
      </c>
      <c r="K25" s="24">
        <v>0</v>
      </c>
      <c r="L25" s="24">
        <v>0</v>
      </c>
      <c r="M25" s="24">
        <v>0</v>
      </c>
      <c r="N25" s="24">
        <v>0</v>
      </c>
      <c r="O25" s="24">
        <v>0</v>
      </c>
      <c r="P25" s="24">
        <v>0</v>
      </c>
      <c r="Q25" s="24">
        <v>0</v>
      </c>
      <c r="R25" s="24">
        <v>0</v>
      </c>
      <c r="S25" s="24">
        <v>0</v>
      </c>
      <c r="T25" s="24">
        <v>0</v>
      </c>
      <c r="U25" s="24">
        <v>0</v>
      </c>
      <c r="V25" s="24">
        <v>0</v>
      </c>
      <c r="W25" s="24">
        <v>0</v>
      </c>
      <c r="X25" s="24">
        <v>0</v>
      </c>
      <c r="Y25" s="24">
        <v>0</v>
      </c>
      <c r="Z25" s="24">
        <v>0</v>
      </c>
      <c r="AA25" s="24">
        <v>0</v>
      </c>
      <c r="AB25" s="24">
        <v>0</v>
      </c>
      <c r="AC25" s="24">
        <v>0</v>
      </c>
      <c r="AD25" s="24">
        <v>0</v>
      </c>
      <c r="AE25" s="24">
        <v>0</v>
      </c>
      <c r="AF25" s="24">
        <v>0</v>
      </c>
      <c r="AG25" s="24">
        <v>0</v>
      </c>
      <c r="AH25" s="24">
        <v>0</v>
      </c>
      <c r="AI25" s="24">
        <v>0</v>
      </c>
      <c r="AJ25" s="24">
        <v>0</v>
      </c>
    </row>
    <row r="26" spans="1:36" x14ac:dyDescent="0.3">
      <c r="A26" t="s">
        <v>461</v>
      </c>
      <c r="B26" t="s">
        <v>305</v>
      </c>
      <c r="C26" s="24">
        <v>8</v>
      </c>
      <c r="D26" s="24">
        <v>8</v>
      </c>
      <c r="E26" s="24">
        <v>8</v>
      </c>
      <c r="F26" s="24">
        <v>8</v>
      </c>
      <c r="G26" s="24">
        <v>8</v>
      </c>
      <c r="H26" s="24">
        <v>8</v>
      </c>
      <c r="I26" s="24">
        <v>8</v>
      </c>
      <c r="J26" s="24">
        <v>8</v>
      </c>
      <c r="K26" s="24">
        <v>8</v>
      </c>
      <c r="L26" s="24">
        <v>8</v>
      </c>
      <c r="M26" s="24">
        <v>8</v>
      </c>
      <c r="N26" s="24">
        <v>8</v>
      </c>
      <c r="O26" s="24">
        <v>8</v>
      </c>
      <c r="P26" s="24">
        <v>8</v>
      </c>
      <c r="Q26" s="24">
        <v>8</v>
      </c>
      <c r="R26" s="24">
        <v>8</v>
      </c>
      <c r="S26" s="24">
        <v>8</v>
      </c>
      <c r="T26" s="24">
        <v>8</v>
      </c>
      <c r="U26" s="24">
        <v>8</v>
      </c>
      <c r="V26" s="24">
        <v>8</v>
      </c>
      <c r="W26" s="24">
        <v>8</v>
      </c>
      <c r="X26" s="24">
        <v>8</v>
      </c>
      <c r="Y26" s="24">
        <v>8</v>
      </c>
      <c r="Z26" s="24">
        <v>8</v>
      </c>
      <c r="AA26" s="24">
        <v>8</v>
      </c>
      <c r="AB26" s="24">
        <v>8</v>
      </c>
      <c r="AC26" s="24">
        <v>8</v>
      </c>
      <c r="AD26" s="24">
        <v>8</v>
      </c>
      <c r="AE26" s="24">
        <v>8</v>
      </c>
      <c r="AF26" s="24">
        <v>8</v>
      </c>
      <c r="AG26" s="24">
        <v>8</v>
      </c>
      <c r="AH26" s="24">
        <v>8</v>
      </c>
      <c r="AI26" s="24">
        <v>8</v>
      </c>
      <c r="AJ26" s="24">
        <v>8</v>
      </c>
    </row>
    <row r="27" spans="1:36" x14ac:dyDescent="0.3">
      <c r="A27" t="s">
        <v>462</v>
      </c>
      <c r="B27" t="s">
        <v>305</v>
      </c>
      <c r="C27" s="24">
        <v>10</v>
      </c>
      <c r="D27" s="24">
        <v>10</v>
      </c>
      <c r="E27" s="24">
        <v>10</v>
      </c>
      <c r="F27" s="24">
        <v>10</v>
      </c>
      <c r="G27" s="24">
        <v>10</v>
      </c>
      <c r="H27" s="24">
        <v>10</v>
      </c>
      <c r="I27" s="24">
        <v>10</v>
      </c>
      <c r="J27" s="24">
        <v>10</v>
      </c>
      <c r="K27" s="24">
        <v>10</v>
      </c>
      <c r="L27" s="24">
        <v>10</v>
      </c>
      <c r="M27" s="24">
        <v>10</v>
      </c>
      <c r="N27" s="24">
        <v>10</v>
      </c>
      <c r="O27" s="24">
        <v>10</v>
      </c>
      <c r="P27" s="24">
        <v>10</v>
      </c>
      <c r="Q27" s="24">
        <v>10</v>
      </c>
      <c r="R27" s="24">
        <v>10</v>
      </c>
      <c r="S27" s="24">
        <v>10</v>
      </c>
      <c r="T27" s="24">
        <v>10</v>
      </c>
      <c r="U27" s="24">
        <v>10</v>
      </c>
      <c r="V27" s="24">
        <v>10</v>
      </c>
      <c r="W27" s="24">
        <v>10</v>
      </c>
      <c r="X27" s="24">
        <v>10</v>
      </c>
      <c r="Y27" s="24">
        <v>10</v>
      </c>
      <c r="Z27" s="24">
        <v>10</v>
      </c>
      <c r="AA27" s="24">
        <v>10</v>
      </c>
      <c r="AB27" s="24">
        <v>10</v>
      </c>
      <c r="AC27" s="24">
        <v>10</v>
      </c>
      <c r="AD27" s="24">
        <v>10</v>
      </c>
      <c r="AE27" s="24">
        <v>10</v>
      </c>
      <c r="AF27" s="24">
        <v>10</v>
      </c>
      <c r="AG27" s="24">
        <v>10</v>
      </c>
      <c r="AH27" s="24">
        <v>10</v>
      </c>
      <c r="AI27" s="24">
        <v>10</v>
      </c>
      <c r="AJ27" s="24">
        <v>10</v>
      </c>
    </row>
    <row r="28" spans="1:36" x14ac:dyDescent="0.3">
      <c r="A28" t="s">
        <v>463</v>
      </c>
      <c r="B28" t="s">
        <v>305</v>
      </c>
      <c r="C28" s="24">
        <v>3</v>
      </c>
      <c r="D28" s="24">
        <v>3</v>
      </c>
      <c r="E28" s="24">
        <v>3</v>
      </c>
      <c r="F28" s="24">
        <v>3</v>
      </c>
      <c r="G28" s="24">
        <v>3</v>
      </c>
      <c r="H28" s="24">
        <v>3</v>
      </c>
      <c r="I28" s="24">
        <v>3</v>
      </c>
      <c r="J28" s="24">
        <v>3</v>
      </c>
      <c r="K28" s="24">
        <v>3</v>
      </c>
      <c r="L28" s="24">
        <v>3</v>
      </c>
      <c r="M28" s="24">
        <v>3</v>
      </c>
      <c r="N28" s="24">
        <v>3</v>
      </c>
      <c r="O28" s="24">
        <v>3</v>
      </c>
      <c r="P28" s="24">
        <v>3</v>
      </c>
      <c r="Q28" s="24">
        <v>3</v>
      </c>
      <c r="R28" s="24">
        <v>3</v>
      </c>
      <c r="S28" s="24">
        <v>3</v>
      </c>
      <c r="T28" s="24">
        <v>3</v>
      </c>
      <c r="U28" s="24">
        <v>3</v>
      </c>
      <c r="V28" s="24">
        <v>3</v>
      </c>
      <c r="W28" s="24">
        <v>3</v>
      </c>
      <c r="X28" s="24">
        <v>3</v>
      </c>
      <c r="Y28" s="24">
        <v>3</v>
      </c>
      <c r="Z28" s="24">
        <v>3</v>
      </c>
      <c r="AA28" s="24">
        <v>3</v>
      </c>
      <c r="AB28" s="24">
        <v>3</v>
      </c>
      <c r="AC28" s="24">
        <v>3</v>
      </c>
      <c r="AD28" s="24">
        <v>3</v>
      </c>
      <c r="AE28" s="24">
        <v>3</v>
      </c>
      <c r="AF28" s="24">
        <v>3</v>
      </c>
      <c r="AG28" s="24">
        <v>3</v>
      </c>
      <c r="AH28" s="24">
        <v>3</v>
      </c>
      <c r="AI28" s="24">
        <v>3</v>
      </c>
      <c r="AJ28" s="24">
        <v>3</v>
      </c>
    </row>
    <row r="29" spans="1:36" x14ac:dyDescent="0.3">
      <c r="A29" t="s">
        <v>464</v>
      </c>
      <c r="B29" t="s">
        <v>305</v>
      </c>
      <c r="C29" s="24">
        <v>0</v>
      </c>
      <c r="D29" s="24">
        <v>0</v>
      </c>
      <c r="E29" s="24">
        <v>0</v>
      </c>
      <c r="F29" s="24">
        <v>0</v>
      </c>
      <c r="G29" s="24">
        <v>0</v>
      </c>
      <c r="H29" s="24">
        <v>0</v>
      </c>
      <c r="I29" s="24">
        <v>0</v>
      </c>
      <c r="J29" s="24">
        <v>0</v>
      </c>
      <c r="K29" s="24">
        <v>0</v>
      </c>
      <c r="L29" s="24">
        <v>0</v>
      </c>
      <c r="M29" s="24">
        <v>0</v>
      </c>
      <c r="N29" s="24">
        <v>0</v>
      </c>
      <c r="O29" s="24">
        <v>0</v>
      </c>
      <c r="P29" s="24">
        <v>0</v>
      </c>
      <c r="Q29" s="24">
        <v>0</v>
      </c>
      <c r="R29" s="24">
        <v>0</v>
      </c>
      <c r="S29" s="24">
        <v>0</v>
      </c>
      <c r="T29" s="24">
        <v>0</v>
      </c>
      <c r="U29" s="24">
        <v>0</v>
      </c>
      <c r="V29" s="24">
        <v>0</v>
      </c>
      <c r="W29" s="24">
        <v>0</v>
      </c>
      <c r="X29" s="24">
        <v>0</v>
      </c>
      <c r="Y29" s="24">
        <v>0</v>
      </c>
      <c r="Z29" s="24">
        <v>0</v>
      </c>
      <c r="AA29" s="24">
        <v>0</v>
      </c>
      <c r="AB29" s="24">
        <v>0</v>
      </c>
      <c r="AC29" s="24">
        <v>0</v>
      </c>
      <c r="AD29" s="24">
        <v>0</v>
      </c>
      <c r="AE29" s="24">
        <v>0</v>
      </c>
      <c r="AF29" s="24">
        <v>0</v>
      </c>
      <c r="AG29" s="24">
        <v>0</v>
      </c>
      <c r="AH29" s="24">
        <v>0</v>
      </c>
      <c r="AI29" s="24">
        <v>0</v>
      </c>
      <c r="AJ29" s="24">
        <v>0</v>
      </c>
    </row>
    <row r="30" spans="1:36" x14ac:dyDescent="0.3">
      <c r="A30" t="s">
        <v>465</v>
      </c>
      <c r="B30" t="s">
        <v>305</v>
      </c>
      <c r="C30" s="24">
        <v>8</v>
      </c>
      <c r="D30" s="24">
        <v>8</v>
      </c>
      <c r="E30" s="24">
        <v>8</v>
      </c>
      <c r="F30" s="24">
        <v>8</v>
      </c>
      <c r="G30" s="24">
        <v>8</v>
      </c>
      <c r="H30" s="24">
        <v>8</v>
      </c>
      <c r="I30" s="24">
        <v>8</v>
      </c>
      <c r="J30" s="24">
        <v>8</v>
      </c>
      <c r="K30" s="24">
        <v>8</v>
      </c>
      <c r="L30" s="24">
        <v>8</v>
      </c>
      <c r="M30" s="24">
        <v>8</v>
      </c>
      <c r="N30" s="24">
        <v>8</v>
      </c>
      <c r="O30" s="24">
        <v>8</v>
      </c>
      <c r="P30" s="24">
        <v>8</v>
      </c>
      <c r="Q30" s="24">
        <v>8</v>
      </c>
      <c r="R30" s="24">
        <v>8</v>
      </c>
      <c r="S30" s="24">
        <v>8</v>
      </c>
      <c r="T30" s="24">
        <v>8</v>
      </c>
      <c r="U30" s="24">
        <v>8</v>
      </c>
      <c r="V30" s="24">
        <v>8</v>
      </c>
      <c r="W30" s="24">
        <v>8</v>
      </c>
      <c r="X30" s="24">
        <v>8</v>
      </c>
      <c r="Y30" s="24">
        <v>8</v>
      </c>
      <c r="Z30" s="24">
        <v>8</v>
      </c>
      <c r="AA30" s="24">
        <v>8</v>
      </c>
      <c r="AB30" s="24">
        <v>8</v>
      </c>
      <c r="AC30" s="24">
        <v>8</v>
      </c>
      <c r="AD30" s="24">
        <v>8</v>
      </c>
      <c r="AE30" s="24">
        <v>8</v>
      </c>
      <c r="AF30" s="24">
        <v>8</v>
      </c>
      <c r="AG30" s="24">
        <v>8</v>
      </c>
      <c r="AH30" s="24">
        <v>8</v>
      </c>
      <c r="AI30" s="24">
        <v>8</v>
      </c>
      <c r="AJ30" s="24">
        <v>8</v>
      </c>
    </row>
    <row r="31" spans="1:36" x14ac:dyDescent="0.3">
      <c r="A31" t="s">
        <v>466</v>
      </c>
      <c r="B31" t="s">
        <v>305</v>
      </c>
      <c r="C31" s="24">
        <v>0</v>
      </c>
      <c r="D31" s="24">
        <v>0</v>
      </c>
      <c r="E31" s="24">
        <v>0</v>
      </c>
      <c r="F31" s="24">
        <v>0</v>
      </c>
      <c r="G31" s="24">
        <v>0</v>
      </c>
      <c r="H31" s="24">
        <v>0</v>
      </c>
      <c r="I31" s="24">
        <v>0</v>
      </c>
      <c r="J31" s="24">
        <v>0</v>
      </c>
      <c r="K31" s="24">
        <v>0</v>
      </c>
      <c r="L31" s="24">
        <v>0</v>
      </c>
      <c r="M31" s="24">
        <v>0</v>
      </c>
      <c r="N31" s="24">
        <v>0</v>
      </c>
      <c r="O31" s="24">
        <v>0</v>
      </c>
      <c r="P31" s="24">
        <v>0</v>
      </c>
      <c r="Q31" s="24">
        <v>0</v>
      </c>
      <c r="R31" s="24">
        <v>0</v>
      </c>
      <c r="S31" s="24">
        <v>0</v>
      </c>
      <c r="T31" s="24">
        <v>0</v>
      </c>
      <c r="U31" s="24">
        <v>0</v>
      </c>
      <c r="V31" s="24">
        <v>0</v>
      </c>
      <c r="W31" s="24">
        <v>0</v>
      </c>
      <c r="X31" s="24">
        <v>0</v>
      </c>
      <c r="Y31" s="24">
        <v>0</v>
      </c>
      <c r="Z31" s="24">
        <v>0</v>
      </c>
      <c r="AA31" s="24">
        <v>0</v>
      </c>
      <c r="AB31" s="24">
        <v>0</v>
      </c>
      <c r="AC31" s="24">
        <v>0</v>
      </c>
      <c r="AD31" s="24">
        <v>0</v>
      </c>
      <c r="AE31" s="24">
        <v>0</v>
      </c>
      <c r="AF31" s="24">
        <v>0</v>
      </c>
      <c r="AG31" s="24">
        <v>0</v>
      </c>
      <c r="AH31" s="24">
        <v>0</v>
      </c>
      <c r="AI31" s="24">
        <v>0</v>
      </c>
      <c r="AJ31" s="24">
        <v>0</v>
      </c>
    </row>
    <row r="32" spans="1:36" x14ac:dyDescent="0.3">
      <c r="A32" t="s">
        <v>467</v>
      </c>
      <c r="B32" t="s">
        <v>305</v>
      </c>
      <c r="C32" s="24">
        <v>0</v>
      </c>
      <c r="D32" s="24">
        <v>0</v>
      </c>
      <c r="E32" s="24">
        <v>0</v>
      </c>
      <c r="F32" s="24">
        <v>0</v>
      </c>
      <c r="G32" s="24">
        <v>0</v>
      </c>
      <c r="H32" s="24">
        <v>0</v>
      </c>
      <c r="I32" s="24">
        <v>0</v>
      </c>
      <c r="J32" s="24">
        <v>0</v>
      </c>
      <c r="K32" s="24">
        <v>0</v>
      </c>
      <c r="L32" s="24">
        <v>0</v>
      </c>
      <c r="M32" s="24">
        <v>0</v>
      </c>
      <c r="N32" s="24">
        <v>0</v>
      </c>
      <c r="O32" s="24">
        <v>0</v>
      </c>
      <c r="P32" s="24">
        <v>0</v>
      </c>
      <c r="Q32" s="24">
        <v>0</v>
      </c>
      <c r="R32" s="24">
        <v>0</v>
      </c>
      <c r="S32" s="24">
        <v>0</v>
      </c>
      <c r="T32" s="24">
        <v>0</v>
      </c>
      <c r="U32" s="24">
        <v>0</v>
      </c>
      <c r="V32" s="24">
        <v>0</v>
      </c>
      <c r="W32" s="24">
        <v>0</v>
      </c>
      <c r="X32" s="24">
        <v>0</v>
      </c>
      <c r="Y32" s="24">
        <v>0</v>
      </c>
      <c r="Z32" s="24">
        <v>0</v>
      </c>
      <c r="AA32" s="24">
        <v>0</v>
      </c>
      <c r="AB32" s="24">
        <v>0</v>
      </c>
      <c r="AC32" s="24">
        <v>0</v>
      </c>
      <c r="AD32" s="24">
        <v>0</v>
      </c>
      <c r="AE32" s="24">
        <v>0</v>
      </c>
      <c r="AF32" s="24">
        <v>0</v>
      </c>
      <c r="AG32" s="24">
        <v>0</v>
      </c>
      <c r="AH32" s="24">
        <v>0</v>
      </c>
      <c r="AI32" s="24">
        <v>0</v>
      </c>
      <c r="AJ32" s="24">
        <v>0</v>
      </c>
    </row>
    <row r="33" spans="1:36" x14ac:dyDescent="0.3">
      <c r="A33" t="s">
        <v>468</v>
      </c>
      <c r="B33" t="s">
        <v>305</v>
      </c>
      <c r="C33" s="24">
        <v>60</v>
      </c>
      <c r="D33" s="24">
        <v>60</v>
      </c>
      <c r="E33" s="24">
        <v>60</v>
      </c>
      <c r="F33" s="24">
        <v>60</v>
      </c>
      <c r="G33" s="24">
        <v>60</v>
      </c>
      <c r="H33" s="24">
        <v>60</v>
      </c>
      <c r="I33" s="24">
        <v>60</v>
      </c>
      <c r="J33" s="24">
        <v>60</v>
      </c>
      <c r="K33" s="24">
        <v>60</v>
      </c>
      <c r="L33" s="24">
        <v>60</v>
      </c>
      <c r="M33" s="24">
        <v>60</v>
      </c>
      <c r="N33" s="24">
        <v>60</v>
      </c>
      <c r="O33" s="24">
        <v>60</v>
      </c>
      <c r="P33" s="24">
        <v>60</v>
      </c>
      <c r="Q33" s="24">
        <v>60</v>
      </c>
      <c r="R33" s="24">
        <v>60</v>
      </c>
      <c r="S33" s="24">
        <v>60</v>
      </c>
      <c r="T33" s="24">
        <v>60</v>
      </c>
      <c r="U33" s="24">
        <v>60</v>
      </c>
      <c r="V33" s="24">
        <v>60</v>
      </c>
      <c r="W33" s="24">
        <v>60</v>
      </c>
      <c r="X33" s="24">
        <v>60</v>
      </c>
      <c r="Y33" s="24">
        <v>60</v>
      </c>
      <c r="Z33" s="24">
        <v>60</v>
      </c>
      <c r="AA33" s="24">
        <v>60</v>
      </c>
      <c r="AB33" s="24">
        <v>60</v>
      </c>
      <c r="AC33" s="24">
        <v>60</v>
      </c>
      <c r="AD33" s="24">
        <v>60</v>
      </c>
      <c r="AE33" s="24">
        <v>60</v>
      </c>
      <c r="AF33" s="24">
        <v>60</v>
      </c>
      <c r="AG33" s="24">
        <v>60</v>
      </c>
      <c r="AH33" s="24">
        <v>60</v>
      </c>
      <c r="AI33" s="24">
        <v>60</v>
      </c>
      <c r="AJ33" s="24">
        <v>60</v>
      </c>
    </row>
    <row r="34" spans="1:36" x14ac:dyDescent="0.3">
      <c r="A34" t="s">
        <v>753</v>
      </c>
      <c r="B34" t="s">
        <v>305</v>
      </c>
      <c r="C34" s="24">
        <v>0</v>
      </c>
      <c r="D34" s="24">
        <v>0</v>
      </c>
      <c r="E34" s="24">
        <v>0</v>
      </c>
      <c r="F34" s="24">
        <v>0</v>
      </c>
      <c r="G34" s="24">
        <v>0</v>
      </c>
      <c r="H34" s="24">
        <v>0</v>
      </c>
      <c r="I34" s="24">
        <v>0</v>
      </c>
      <c r="J34" s="24">
        <v>0</v>
      </c>
      <c r="K34" s="24">
        <v>0</v>
      </c>
      <c r="L34" s="24">
        <v>0</v>
      </c>
      <c r="M34" s="24">
        <v>0</v>
      </c>
      <c r="N34" s="24">
        <v>0</v>
      </c>
      <c r="O34" s="24">
        <v>0</v>
      </c>
      <c r="P34" s="24">
        <v>0</v>
      </c>
      <c r="Q34" s="24">
        <v>0</v>
      </c>
      <c r="R34" s="24">
        <v>0</v>
      </c>
      <c r="S34" s="24">
        <v>0</v>
      </c>
      <c r="T34" s="24">
        <v>0</v>
      </c>
      <c r="U34" s="24">
        <v>0</v>
      </c>
      <c r="V34" s="24">
        <v>0</v>
      </c>
      <c r="W34" s="24">
        <v>0</v>
      </c>
      <c r="X34" s="24">
        <v>0</v>
      </c>
      <c r="Y34" s="24">
        <v>0</v>
      </c>
      <c r="Z34" s="24">
        <v>0</v>
      </c>
      <c r="AA34" s="24">
        <v>0</v>
      </c>
      <c r="AB34" s="24">
        <v>0</v>
      </c>
      <c r="AC34" s="24">
        <v>0</v>
      </c>
      <c r="AD34" s="24">
        <v>0</v>
      </c>
      <c r="AE34" s="24">
        <v>0</v>
      </c>
      <c r="AF34" s="24">
        <v>0</v>
      </c>
      <c r="AG34" s="24">
        <v>0</v>
      </c>
      <c r="AH34" s="24">
        <v>0</v>
      </c>
      <c r="AI34" s="24">
        <v>0</v>
      </c>
      <c r="AJ34" s="24">
        <v>0</v>
      </c>
    </row>
    <row r="35" spans="1:36" s="70" customFormat="1" x14ac:dyDescent="0.3">
      <c r="A35" s="70" t="s">
        <v>780</v>
      </c>
      <c r="C35" s="71">
        <f>+SUM(C24:C34)</f>
        <v>100</v>
      </c>
      <c r="D35" s="71">
        <f t="shared" ref="D35" si="1">+SUM(D24:D34)</f>
        <v>100</v>
      </c>
      <c r="E35" s="71">
        <f t="shared" ref="E35" si="2">+SUM(E24:E34)</f>
        <v>100</v>
      </c>
      <c r="F35" s="71">
        <f t="shared" ref="F35" si="3">+SUM(F24:F34)</f>
        <v>100</v>
      </c>
      <c r="G35" s="71">
        <f t="shared" ref="G35" si="4">+SUM(G24:G34)</f>
        <v>100</v>
      </c>
      <c r="H35" s="71">
        <f t="shared" ref="H35" si="5">+SUM(H24:H34)</f>
        <v>100</v>
      </c>
      <c r="I35" s="71">
        <f t="shared" ref="I35" si="6">+SUM(I24:I34)</f>
        <v>100</v>
      </c>
      <c r="J35" s="71">
        <f t="shared" ref="J35" si="7">+SUM(J24:J34)</f>
        <v>100</v>
      </c>
      <c r="K35" s="71">
        <f t="shared" ref="K35" si="8">+SUM(K24:K34)</f>
        <v>100</v>
      </c>
      <c r="L35" s="71">
        <f t="shared" ref="L35" si="9">+SUM(L24:L34)</f>
        <v>100</v>
      </c>
      <c r="M35" s="71">
        <f t="shared" ref="M35" si="10">+SUM(M24:M34)</f>
        <v>100</v>
      </c>
      <c r="N35" s="71">
        <f t="shared" ref="N35" si="11">+SUM(N24:N34)</f>
        <v>100</v>
      </c>
      <c r="O35" s="71">
        <f t="shared" ref="O35" si="12">+SUM(O24:O34)</f>
        <v>100</v>
      </c>
      <c r="P35" s="71">
        <f t="shared" ref="P35" si="13">+SUM(P24:P34)</f>
        <v>100</v>
      </c>
      <c r="Q35" s="71">
        <f t="shared" ref="Q35" si="14">+SUM(Q24:Q34)</f>
        <v>100</v>
      </c>
      <c r="R35" s="71">
        <f t="shared" ref="R35" si="15">+SUM(R24:R34)</f>
        <v>100</v>
      </c>
      <c r="S35" s="71">
        <f t="shared" ref="S35" si="16">+SUM(S24:S34)</f>
        <v>100</v>
      </c>
      <c r="T35" s="71">
        <f t="shared" ref="T35" si="17">+SUM(T24:T34)</f>
        <v>100</v>
      </c>
      <c r="U35" s="71">
        <f t="shared" ref="U35" si="18">+SUM(U24:U34)</f>
        <v>100</v>
      </c>
      <c r="V35" s="71">
        <f t="shared" ref="V35" si="19">+SUM(V24:V34)</f>
        <v>100</v>
      </c>
      <c r="W35" s="71">
        <f t="shared" ref="W35" si="20">+SUM(W24:W34)</f>
        <v>100</v>
      </c>
      <c r="X35" s="71">
        <f t="shared" ref="X35" si="21">+SUM(X24:X34)</f>
        <v>100</v>
      </c>
      <c r="Y35" s="71">
        <f t="shared" ref="Y35" si="22">+SUM(Y24:Y34)</f>
        <v>100</v>
      </c>
      <c r="Z35" s="71">
        <f t="shared" ref="Z35" si="23">+SUM(Z24:Z34)</f>
        <v>100</v>
      </c>
      <c r="AA35" s="71">
        <f t="shared" ref="AA35" si="24">+SUM(AA24:AA34)</f>
        <v>100</v>
      </c>
      <c r="AB35" s="71">
        <f t="shared" ref="AB35" si="25">+SUM(AB24:AB34)</f>
        <v>100</v>
      </c>
      <c r="AC35" s="71">
        <f t="shared" ref="AC35" si="26">+SUM(AC24:AC34)</f>
        <v>100</v>
      </c>
      <c r="AD35" s="71">
        <f t="shared" ref="AD35" si="27">+SUM(AD24:AD34)</f>
        <v>100</v>
      </c>
      <c r="AE35" s="71">
        <f t="shared" ref="AE35" si="28">+SUM(AE24:AE34)</f>
        <v>100</v>
      </c>
      <c r="AF35" s="71">
        <f t="shared" ref="AF35" si="29">+SUM(AF24:AF34)</f>
        <v>100</v>
      </c>
      <c r="AG35" s="71">
        <f t="shared" ref="AG35" si="30">+SUM(AG24:AG34)</f>
        <v>100</v>
      </c>
      <c r="AH35" s="71">
        <f t="shared" ref="AH35" si="31">+SUM(AH24:AH34)</f>
        <v>100</v>
      </c>
      <c r="AI35" s="71">
        <f t="shared" ref="AI35" si="32">+SUM(AI24:AI34)</f>
        <v>100</v>
      </c>
      <c r="AJ35" s="71">
        <f t="shared" ref="AJ35" si="33">+SUM(AJ24:AJ34)</f>
        <v>100</v>
      </c>
    </row>
    <row r="36" spans="1:36" x14ac:dyDescent="0.3">
      <c r="A36" t="s">
        <v>469</v>
      </c>
      <c r="B36" t="s">
        <v>305</v>
      </c>
      <c r="C36" s="24">
        <v>0</v>
      </c>
      <c r="D36" s="24">
        <v>0</v>
      </c>
      <c r="E36" s="24">
        <v>0</v>
      </c>
      <c r="F36" s="24">
        <v>0</v>
      </c>
      <c r="G36" s="24">
        <v>0</v>
      </c>
      <c r="H36" s="24">
        <v>0</v>
      </c>
      <c r="I36" s="24">
        <v>0</v>
      </c>
      <c r="J36" s="24">
        <v>0</v>
      </c>
      <c r="K36" s="24">
        <v>0</v>
      </c>
      <c r="L36" s="24">
        <v>0</v>
      </c>
      <c r="M36" s="24">
        <v>0</v>
      </c>
      <c r="N36" s="24">
        <v>0</v>
      </c>
      <c r="O36" s="24">
        <v>0</v>
      </c>
      <c r="P36" s="24">
        <v>0</v>
      </c>
      <c r="Q36" s="24">
        <v>0</v>
      </c>
      <c r="R36" s="24">
        <v>0</v>
      </c>
      <c r="S36" s="24">
        <v>0</v>
      </c>
      <c r="T36" s="24">
        <v>0</v>
      </c>
      <c r="U36" s="24">
        <v>0</v>
      </c>
      <c r="V36" s="24">
        <v>0</v>
      </c>
      <c r="W36" s="24">
        <v>0</v>
      </c>
      <c r="X36" s="24">
        <v>0</v>
      </c>
      <c r="Y36" s="24">
        <v>0</v>
      </c>
      <c r="Z36" s="24">
        <v>0</v>
      </c>
      <c r="AA36" s="24">
        <v>0</v>
      </c>
      <c r="AB36" s="24">
        <v>0</v>
      </c>
      <c r="AC36" s="24">
        <v>0</v>
      </c>
      <c r="AD36" s="24">
        <v>0</v>
      </c>
      <c r="AE36" s="24">
        <v>0</v>
      </c>
      <c r="AF36" s="24">
        <v>0</v>
      </c>
      <c r="AG36" s="24">
        <v>0</v>
      </c>
      <c r="AH36" s="24">
        <v>0</v>
      </c>
      <c r="AI36" s="24">
        <v>0</v>
      </c>
      <c r="AJ36" s="24">
        <v>0</v>
      </c>
    </row>
    <row r="37" spans="1:36" x14ac:dyDescent="0.3">
      <c r="A37" t="s">
        <v>470</v>
      </c>
      <c r="B37" t="s">
        <v>305</v>
      </c>
      <c r="C37" s="24">
        <v>0</v>
      </c>
      <c r="D37" s="24">
        <v>0</v>
      </c>
      <c r="E37" s="24">
        <v>0</v>
      </c>
      <c r="F37" s="24">
        <v>0</v>
      </c>
      <c r="G37" s="24">
        <v>0</v>
      </c>
      <c r="H37" s="24">
        <v>0</v>
      </c>
      <c r="I37" s="24">
        <v>0</v>
      </c>
      <c r="J37" s="24">
        <v>0</v>
      </c>
      <c r="K37" s="24">
        <v>0</v>
      </c>
      <c r="L37" s="24">
        <v>0</v>
      </c>
      <c r="M37" s="24">
        <v>0</v>
      </c>
      <c r="N37" s="24">
        <v>0</v>
      </c>
      <c r="O37" s="24">
        <v>0</v>
      </c>
      <c r="P37" s="24">
        <v>0</v>
      </c>
      <c r="Q37" s="24">
        <v>0</v>
      </c>
      <c r="R37" s="24">
        <v>0</v>
      </c>
      <c r="S37" s="24">
        <v>0</v>
      </c>
      <c r="T37" s="24">
        <v>0</v>
      </c>
      <c r="U37" s="24">
        <v>0</v>
      </c>
      <c r="V37" s="24">
        <v>0</v>
      </c>
      <c r="W37" s="24">
        <v>0</v>
      </c>
      <c r="X37" s="24">
        <v>0</v>
      </c>
      <c r="Y37" s="24">
        <v>0</v>
      </c>
      <c r="Z37" s="24">
        <v>0</v>
      </c>
      <c r="AA37" s="24">
        <v>0</v>
      </c>
      <c r="AB37" s="24">
        <v>0</v>
      </c>
      <c r="AC37" s="24">
        <v>0</v>
      </c>
      <c r="AD37" s="24">
        <v>0</v>
      </c>
      <c r="AE37" s="24">
        <v>0</v>
      </c>
      <c r="AF37" s="24">
        <v>0</v>
      </c>
      <c r="AG37" s="24">
        <v>0</v>
      </c>
      <c r="AH37" s="24">
        <v>0</v>
      </c>
      <c r="AI37" s="24">
        <v>0</v>
      </c>
      <c r="AJ37" s="24">
        <v>0</v>
      </c>
    </row>
    <row r="38" spans="1:36" x14ac:dyDescent="0.3">
      <c r="A38" t="s">
        <v>471</v>
      </c>
      <c r="B38" t="s">
        <v>305</v>
      </c>
      <c r="C38" s="24">
        <v>0</v>
      </c>
      <c r="D38" s="24">
        <v>0</v>
      </c>
      <c r="E38" s="24">
        <v>0</v>
      </c>
      <c r="F38" s="24">
        <v>0</v>
      </c>
      <c r="G38" s="24">
        <v>0</v>
      </c>
      <c r="H38" s="24">
        <v>0</v>
      </c>
      <c r="I38" s="24">
        <v>0</v>
      </c>
      <c r="J38" s="24">
        <v>0</v>
      </c>
      <c r="K38" s="24">
        <v>0</v>
      </c>
      <c r="L38" s="24">
        <v>0</v>
      </c>
      <c r="M38" s="24">
        <v>0</v>
      </c>
      <c r="N38" s="24">
        <v>0</v>
      </c>
      <c r="O38" s="24">
        <v>0</v>
      </c>
      <c r="P38" s="24">
        <v>0</v>
      </c>
      <c r="Q38" s="24">
        <v>0</v>
      </c>
      <c r="R38" s="24">
        <v>0</v>
      </c>
      <c r="S38" s="24">
        <v>0</v>
      </c>
      <c r="T38" s="24">
        <v>0</v>
      </c>
      <c r="U38" s="24">
        <v>0</v>
      </c>
      <c r="V38" s="24">
        <v>0</v>
      </c>
      <c r="W38" s="24">
        <v>0</v>
      </c>
      <c r="X38" s="24">
        <v>0</v>
      </c>
      <c r="Y38" s="24">
        <v>0</v>
      </c>
      <c r="Z38" s="24">
        <v>0</v>
      </c>
      <c r="AA38" s="24">
        <v>0</v>
      </c>
      <c r="AB38" s="24">
        <v>0</v>
      </c>
      <c r="AC38" s="24">
        <v>0</v>
      </c>
      <c r="AD38" s="24">
        <v>0</v>
      </c>
      <c r="AE38" s="24">
        <v>0</v>
      </c>
      <c r="AF38" s="24">
        <v>0</v>
      </c>
      <c r="AG38" s="24">
        <v>0</v>
      </c>
      <c r="AH38" s="24">
        <v>0</v>
      </c>
      <c r="AI38" s="24">
        <v>0</v>
      </c>
      <c r="AJ38" s="24">
        <v>0</v>
      </c>
    </row>
    <row r="39" spans="1:36" x14ac:dyDescent="0.3">
      <c r="A39" t="s">
        <v>472</v>
      </c>
      <c r="B39" t="s">
        <v>305</v>
      </c>
      <c r="C39" s="24">
        <v>2</v>
      </c>
      <c r="D39" s="24">
        <v>2</v>
      </c>
      <c r="E39" s="24">
        <v>2</v>
      </c>
      <c r="F39" s="24">
        <v>2</v>
      </c>
      <c r="G39" s="24">
        <v>2</v>
      </c>
      <c r="H39" s="24">
        <v>2</v>
      </c>
      <c r="I39" s="24">
        <v>2</v>
      </c>
      <c r="J39" s="24">
        <v>2</v>
      </c>
      <c r="K39" s="24">
        <v>2</v>
      </c>
      <c r="L39" s="24">
        <v>2</v>
      </c>
      <c r="M39" s="24">
        <v>2</v>
      </c>
      <c r="N39" s="24">
        <v>2</v>
      </c>
      <c r="O39" s="24">
        <v>2</v>
      </c>
      <c r="P39" s="24">
        <v>2</v>
      </c>
      <c r="Q39" s="24">
        <v>2</v>
      </c>
      <c r="R39" s="24">
        <v>2</v>
      </c>
      <c r="S39" s="24">
        <v>2</v>
      </c>
      <c r="T39" s="24">
        <v>2</v>
      </c>
      <c r="U39" s="24">
        <v>2</v>
      </c>
      <c r="V39" s="24">
        <v>2</v>
      </c>
      <c r="W39" s="24">
        <v>2</v>
      </c>
      <c r="X39" s="24">
        <v>2</v>
      </c>
      <c r="Y39" s="24">
        <v>2</v>
      </c>
      <c r="Z39" s="24">
        <v>2</v>
      </c>
      <c r="AA39" s="24">
        <v>2</v>
      </c>
      <c r="AB39" s="24">
        <v>2</v>
      </c>
      <c r="AC39" s="24">
        <v>2</v>
      </c>
      <c r="AD39" s="24">
        <v>2</v>
      </c>
      <c r="AE39" s="24">
        <v>2</v>
      </c>
      <c r="AF39" s="24">
        <v>2</v>
      </c>
      <c r="AG39" s="24">
        <v>2</v>
      </c>
      <c r="AH39" s="24">
        <v>2</v>
      </c>
      <c r="AI39" s="24">
        <v>2</v>
      </c>
      <c r="AJ39" s="24">
        <v>2</v>
      </c>
    </row>
    <row r="40" spans="1:36" x14ac:dyDescent="0.3">
      <c r="A40" t="s">
        <v>473</v>
      </c>
      <c r="B40" t="s">
        <v>305</v>
      </c>
      <c r="C40" s="24">
        <v>1</v>
      </c>
      <c r="D40" s="24">
        <v>1</v>
      </c>
      <c r="E40" s="24">
        <v>1</v>
      </c>
      <c r="F40" s="24">
        <v>1</v>
      </c>
      <c r="G40" s="24">
        <v>1</v>
      </c>
      <c r="H40" s="24">
        <v>1</v>
      </c>
      <c r="I40" s="24">
        <v>1</v>
      </c>
      <c r="J40" s="24">
        <v>1</v>
      </c>
      <c r="K40" s="24">
        <v>1</v>
      </c>
      <c r="L40" s="24">
        <v>1</v>
      </c>
      <c r="M40" s="24">
        <v>1</v>
      </c>
      <c r="N40" s="24">
        <v>1</v>
      </c>
      <c r="O40" s="24">
        <v>1</v>
      </c>
      <c r="P40" s="24">
        <v>1</v>
      </c>
      <c r="Q40" s="24">
        <v>1</v>
      </c>
      <c r="R40" s="24">
        <v>1</v>
      </c>
      <c r="S40" s="24">
        <v>1</v>
      </c>
      <c r="T40" s="24">
        <v>1</v>
      </c>
      <c r="U40" s="24">
        <v>1</v>
      </c>
      <c r="V40" s="24">
        <v>1</v>
      </c>
      <c r="W40" s="24">
        <v>1</v>
      </c>
      <c r="X40" s="24">
        <v>1</v>
      </c>
      <c r="Y40" s="24">
        <v>1</v>
      </c>
      <c r="Z40" s="24">
        <v>1</v>
      </c>
      <c r="AA40" s="24">
        <v>1</v>
      </c>
      <c r="AB40" s="24">
        <v>1</v>
      </c>
      <c r="AC40" s="24">
        <v>1</v>
      </c>
      <c r="AD40" s="24">
        <v>1</v>
      </c>
      <c r="AE40" s="24">
        <v>1</v>
      </c>
      <c r="AF40" s="24">
        <v>1</v>
      </c>
      <c r="AG40" s="24">
        <v>1</v>
      </c>
      <c r="AH40" s="24">
        <v>1</v>
      </c>
      <c r="AI40" s="24">
        <v>1</v>
      </c>
      <c r="AJ40" s="24">
        <v>1</v>
      </c>
    </row>
    <row r="41" spans="1:36" x14ac:dyDescent="0.3">
      <c r="A41" t="s">
        <v>474</v>
      </c>
      <c r="B41" t="s">
        <v>305</v>
      </c>
      <c r="C41" s="24">
        <v>0</v>
      </c>
      <c r="D41" s="24">
        <v>0</v>
      </c>
      <c r="E41" s="24">
        <v>0</v>
      </c>
      <c r="F41" s="24">
        <v>0</v>
      </c>
      <c r="G41" s="24">
        <v>0</v>
      </c>
      <c r="H41" s="24">
        <v>0</v>
      </c>
      <c r="I41" s="24">
        <v>0</v>
      </c>
      <c r="J41" s="24">
        <v>0</v>
      </c>
      <c r="K41" s="24">
        <v>0</v>
      </c>
      <c r="L41" s="24">
        <v>0</v>
      </c>
      <c r="M41" s="24">
        <v>0</v>
      </c>
      <c r="N41" s="24">
        <v>0</v>
      </c>
      <c r="O41" s="24">
        <v>0</v>
      </c>
      <c r="P41" s="24">
        <v>0</v>
      </c>
      <c r="Q41" s="24">
        <v>0</v>
      </c>
      <c r="R41" s="24">
        <v>0</v>
      </c>
      <c r="S41" s="24">
        <v>0</v>
      </c>
      <c r="T41" s="24">
        <v>0</v>
      </c>
      <c r="U41" s="24">
        <v>0</v>
      </c>
      <c r="V41" s="24">
        <v>0</v>
      </c>
      <c r="W41" s="24">
        <v>0</v>
      </c>
      <c r="X41" s="24">
        <v>0</v>
      </c>
      <c r="Y41" s="24">
        <v>0</v>
      </c>
      <c r="Z41" s="24">
        <v>0</v>
      </c>
      <c r="AA41" s="24">
        <v>0</v>
      </c>
      <c r="AB41" s="24">
        <v>0</v>
      </c>
      <c r="AC41" s="24">
        <v>0</v>
      </c>
      <c r="AD41" s="24">
        <v>0</v>
      </c>
      <c r="AE41" s="24">
        <v>0</v>
      </c>
      <c r="AF41" s="24">
        <v>0</v>
      </c>
      <c r="AG41" s="24">
        <v>0</v>
      </c>
      <c r="AH41" s="24">
        <v>0</v>
      </c>
      <c r="AI41" s="24">
        <v>0</v>
      </c>
      <c r="AJ41" s="24">
        <v>0</v>
      </c>
    </row>
    <row r="42" spans="1:36" x14ac:dyDescent="0.3">
      <c r="A42" t="s">
        <v>475</v>
      </c>
      <c r="B42" t="s">
        <v>305</v>
      </c>
      <c r="C42" s="24">
        <v>2</v>
      </c>
      <c r="D42" s="24">
        <v>2</v>
      </c>
      <c r="E42" s="24">
        <v>2</v>
      </c>
      <c r="F42" s="24">
        <v>2</v>
      </c>
      <c r="G42" s="24">
        <v>2</v>
      </c>
      <c r="H42" s="24">
        <v>2</v>
      </c>
      <c r="I42" s="24">
        <v>2</v>
      </c>
      <c r="J42" s="24">
        <v>2</v>
      </c>
      <c r="K42" s="24">
        <v>2</v>
      </c>
      <c r="L42" s="24">
        <v>2</v>
      </c>
      <c r="M42" s="24">
        <v>2</v>
      </c>
      <c r="N42" s="24">
        <v>2</v>
      </c>
      <c r="O42" s="24">
        <v>2</v>
      </c>
      <c r="P42" s="24">
        <v>2</v>
      </c>
      <c r="Q42" s="24">
        <v>2</v>
      </c>
      <c r="R42" s="24">
        <v>2</v>
      </c>
      <c r="S42" s="24">
        <v>2</v>
      </c>
      <c r="T42" s="24">
        <v>2</v>
      </c>
      <c r="U42" s="24">
        <v>2</v>
      </c>
      <c r="V42" s="24">
        <v>2</v>
      </c>
      <c r="W42" s="24">
        <v>2</v>
      </c>
      <c r="X42" s="24">
        <v>2</v>
      </c>
      <c r="Y42" s="24">
        <v>2</v>
      </c>
      <c r="Z42" s="24">
        <v>2</v>
      </c>
      <c r="AA42" s="24">
        <v>2</v>
      </c>
      <c r="AB42" s="24">
        <v>2</v>
      </c>
      <c r="AC42" s="24">
        <v>2</v>
      </c>
      <c r="AD42" s="24">
        <v>2</v>
      </c>
      <c r="AE42" s="24">
        <v>2</v>
      </c>
      <c r="AF42" s="24">
        <v>2</v>
      </c>
      <c r="AG42" s="24">
        <v>2</v>
      </c>
      <c r="AH42" s="24">
        <v>2</v>
      </c>
      <c r="AI42" s="24">
        <v>2</v>
      </c>
      <c r="AJ42" s="24">
        <v>2</v>
      </c>
    </row>
    <row r="43" spans="1:36" x14ac:dyDescent="0.3">
      <c r="A43" t="s">
        <v>476</v>
      </c>
      <c r="B43" t="s">
        <v>305</v>
      </c>
      <c r="C43" s="24">
        <v>0</v>
      </c>
      <c r="D43" s="24">
        <v>0</v>
      </c>
      <c r="E43" s="24">
        <v>0</v>
      </c>
      <c r="F43" s="24">
        <v>0</v>
      </c>
      <c r="G43" s="24">
        <v>0</v>
      </c>
      <c r="H43" s="24">
        <v>0</v>
      </c>
      <c r="I43" s="24">
        <v>0</v>
      </c>
      <c r="J43" s="24">
        <v>0</v>
      </c>
      <c r="K43" s="24">
        <v>0</v>
      </c>
      <c r="L43" s="24">
        <v>0</v>
      </c>
      <c r="M43" s="24">
        <v>0</v>
      </c>
      <c r="N43" s="24">
        <v>0</v>
      </c>
      <c r="O43" s="24">
        <v>0</v>
      </c>
      <c r="P43" s="24">
        <v>0</v>
      </c>
      <c r="Q43" s="24">
        <v>0</v>
      </c>
      <c r="R43" s="24">
        <v>0</v>
      </c>
      <c r="S43" s="24">
        <v>0</v>
      </c>
      <c r="T43" s="24">
        <v>0</v>
      </c>
      <c r="U43" s="24">
        <v>0</v>
      </c>
      <c r="V43" s="24">
        <v>0</v>
      </c>
      <c r="W43" s="24">
        <v>0</v>
      </c>
      <c r="X43" s="24">
        <v>0</v>
      </c>
      <c r="Y43" s="24">
        <v>0</v>
      </c>
      <c r="Z43" s="24">
        <v>0</v>
      </c>
      <c r="AA43" s="24">
        <v>0</v>
      </c>
      <c r="AB43" s="24">
        <v>0</v>
      </c>
      <c r="AC43" s="24">
        <v>0</v>
      </c>
      <c r="AD43" s="24">
        <v>0</v>
      </c>
      <c r="AE43" s="24">
        <v>0</v>
      </c>
      <c r="AF43" s="24">
        <v>0</v>
      </c>
      <c r="AG43" s="24">
        <v>0</v>
      </c>
      <c r="AH43" s="24">
        <v>0</v>
      </c>
      <c r="AI43" s="24">
        <v>0</v>
      </c>
      <c r="AJ43" s="24">
        <v>0</v>
      </c>
    </row>
    <row r="44" spans="1:36" x14ac:dyDescent="0.3">
      <c r="A44" t="s">
        <v>477</v>
      </c>
      <c r="B44" t="s">
        <v>305</v>
      </c>
      <c r="C44" s="24">
        <v>0</v>
      </c>
      <c r="D44" s="24">
        <v>0</v>
      </c>
      <c r="E44" s="24">
        <v>0</v>
      </c>
      <c r="F44" s="24">
        <v>0</v>
      </c>
      <c r="G44" s="24">
        <v>0</v>
      </c>
      <c r="H44" s="24">
        <v>0</v>
      </c>
      <c r="I44" s="24">
        <v>0</v>
      </c>
      <c r="J44" s="24">
        <v>0</v>
      </c>
      <c r="K44" s="24">
        <v>0</v>
      </c>
      <c r="L44" s="24">
        <v>0</v>
      </c>
      <c r="M44" s="24">
        <v>0</v>
      </c>
      <c r="N44" s="24">
        <v>0</v>
      </c>
      <c r="O44" s="24">
        <v>0</v>
      </c>
      <c r="P44" s="24">
        <v>0</v>
      </c>
      <c r="Q44" s="24">
        <v>0</v>
      </c>
      <c r="R44" s="24">
        <v>0</v>
      </c>
      <c r="S44" s="24">
        <v>0</v>
      </c>
      <c r="T44" s="24">
        <v>0</v>
      </c>
      <c r="U44" s="24">
        <v>0</v>
      </c>
      <c r="V44" s="24">
        <v>0</v>
      </c>
      <c r="W44" s="24">
        <v>0</v>
      </c>
      <c r="X44" s="24">
        <v>0</v>
      </c>
      <c r="Y44" s="24">
        <v>0</v>
      </c>
      <c r="Z44" s="24">
        <v>0</v>
      </c>
      <c r="AA44" s="24">
        <v>0</v>
      </c>
      <c r="AB44" s="24">
        <v>0</v>
      </c>
      <c r="AC44" s="24">
        <v>0</v>
      </c>
      <c r="AD44" s="24">
        <v>0</v>
      </c>
      <c r="AE44" s="24">
        <v>0</v>
      </c>
      <c r="AF44" s="24">
        <v>0</v>
      </c>
      <c r="AG44" s="24">
        <v>0</v>
      </c>
      <c r="AH44" s="24">
        <v>0</v>
      </c>
      <c r="AI44" s="24">
        <v>0</v>
      </c>
      <c r="AJ44" s="24">
        <v>0</v>
      </c>
    </row>
    <row r="45" spans="1:36" x14ac:dyDescent="0.3">
      <c r="A45" t="s">
        <v>478</v>
      </c>
      <c r="B45" t="s">
        <v>305</v>
      </c>
      <c r="C45" s="24">
        <v>95</v>
      </c>
      <c r="D45" s="24">
        <v>95</v>
      </c>
      <c r="E45" s="24">
        <v>95</v>
      </c>
      <c r="F45" s="24">
        <v>95</v>
      </c>
      <c r="G45" s="24">
        <v>95</v>
      </c>
      <c r="H45" s="24">
        <v>95</v>
      </c>
      <c r="I45" s="24">
        <v>95</v>
      </c>
      <c r="J45" s="24">
        <v>95</v>
      </c>
      <c r="K45" s="24">
        <v>95</v>
      </c>
      <c r="L45" s="24">
        <v>95</v>
      </c>
      <c r="M45" s="24">
        <v>95</v>
      </c>
      <c r="N45" s="24">
        <v>95</v>
      </c>
      <c r="O45" s="24">
        <v>95</v>
      </c>
      <c r="P45" s="24">
        <v>95</v>
      </c>
      <c r="Q45" s="24">
        <v>95</v>
      </c>
      <c r="R45" s="24">
        <v>95</v>
      </c>
      <c r="S45" s="24">
        <v>95</v>
      </c>
      <c r="T45" s="24">
        <v>95</v>
      </c>
      <c r="U45" s="24">
        <v>95</v>
      </c>
      <c r="V45" s="24">
        <v>95</v>
      </c>
      <c r="W45" s="24">
        <v>95</v>
      </c>
      <c r="X45" s="24">
        <v>95</v>
      </c>
      <c r="Y45" s="24">
        <v>95</v>
      </c>
      <c r="Z45" s="24">
        <v>95</v>
      </c>
      <c r="AA45" s="24">
        <v>95</v>
      </c>
      <c r="AB45" s="24">
        <v>95</v>
      </c>
      <c r="AC45" s="24">
        <v>95</v>
      </c>
      <c r="AD45" s="24">
        <v>95</v>
      </c>
      <c r="AE45" s="24">
        <v>95</v>
      </c>
      <c r="AF45" s="24">
        <v>95</v>
      </c>
      <c r="AG45" s="24">
        <v>95</v>
      </c>
      <c r="AH45" s="24">
        <v>95</v>
      </c>
      <c r="AI45" s="24">
        <v>95</v>
      </c>
      <c r="AJ45" s="24">
        <v>95</v>
      </c>
    </row>
    <row r="46" spans="1:36" x14ac:dyDescent="0.3">
      <c r="A46" t="s">
        <v>754</v>
      </c>
      <c r="B46" t="s">
        <v>305</v>
      </c>
      <c r="C46" s="24">
        <v>0</v>
      </c>
      <c r="D46" s="24">
        <v>0</v>
      </c>
      <c r="E46" s="24">
        <v>0</v>
      </c>
      <c r="F46" s="24">
        <v>0</v>
      </c>
      <c r="G46" s="24">
        <v>0</v>
      </c>
      <c r="H46" s="24">
        <v>0</v>
      </c>
      <c r="I46" s="24">
        <v>0</v>
      </c>
      <c r="J46" s="24">
        <v>0</v>
      </c>
      <c r="K46" s="24">
        <v>0</v>
      </c>
      <c r="L46" s="24">
        <v>0</v>
      </c>
      <c r="M46" s="24">
        <v>0</v>
      </c>
      <c r="N46" s="24">
        <v>0</v>
      </c>
      <c r="O46" s="24">
        <v>0</v>
      </c>
      <c r="P46" s="24">
        <v>0</v>
      </c>
      <c r="Q46" s="24">
        <v>0</v>
      </c>
      <c r="R46" s="24">
        <v>0</v>
      </c>
      <c r="S46" s="24">
        <v>0</v>
      </c>
      <c r="T46" s="24">
        <v>0</v>
      </c>
      <c r="U46" s="24">
        <v>0</v>
      </c>
      <c r="V46" s="24">
        <v>0</v>
      </c>
      <c r="W46" s="24">
        <v>0</v>
      </c>
      <c r="X46" s="24">
        <v>0</v>
      </c>
      <c r="Y46" s="24">
        <v>0</v>
      </c>
      <c r="Z46" s="24">
        <v>0</v>
      </c>
      <c r="AA46" s="24">
        <v>0</v>
      </c>
      <c r="AB46" s="24">
        <v>0</v>
      </c>
      <c r="AC46" s="24">
        <v>0</v>
      </c>
      <c r="AD46" s="24">
        <v>0</v>
      </c>
      <c r="AE46" s="24">
        <v>0</v>
      </c>
      <c r="AF46" s="24">
        <v>0</v>
      </c>
      <c r="AG46" s="24">
        <v>0</v>
      </c>
      <c r="AH46" s="24">
        <v>0</v>
      </c>
      <c r="AI46" s="24">
        <v>0</v>
      </c>
      <c r="AJ46" s="24">
        <v>0</v>
      </c>
    </row>
    <row r="47" spans="1:36" s="70" customFormat="1" x14ac:dyDescent="0.3">
      <c r="A47" s="70" t="s">
        <v>780</v>
      </c>
      <c r="C47" s="71">
        <f>+SUM(C36:C46)</f>
        <v>100</v>
      </c>
      <c r="D47" s="71">
        <f t="shared" ref="D47" si="34">+SUM(D36:D46)</f>
        <v>100</v>
      </c>
      <c r="E47" s="71">
        <f t="shared" ref="E47" si="35">+SUM(E36:E46)</f>
        <v>100</v>
      </c>
      <c r="F47" s="71">
        <f t="shared" ref="F47" si="36">+SUM(F36:F46)</f>
        <v>100</v>
      </c>
      <c r="G47" s="71">
        <f t="shared" ref="G47" si="37">+SUM(G36:G46)</f>
        <v>100</v>
      </c>
      <c r="H47" s="71">
        <f t="shared" ref="H47" si="38">+SUM(H36:H46)</f>
        <v>100</v>
      </c>
      <c r="I47" s="71">
        <f t="shared" ref="I47" si="39">+SUM(I36:I46)</f>
        <v>100</v>
      </c>
      <c r="J47" s="71">
        <f t="shared" ref="J47" si="40">+SUM(J36:J46)</f>
        <v>100</v>
      </c>
      <c r="K47" s="71">
        <f t="shared" ref="K47" si="41">+SUM(K36:K46)</f>
        <v>100</v>
      </c>
      <c r="L47" s="71">
        <f t="shared" ref="L47" si="42">+SUM(L36:L46)</f>
        <v>100</v>
      </c>
      <c r="M47" s="71">
        <f t="shared" ref="M47" si="43">+SUM(M36:M46)</f>
        <v>100</v>
      </c>
      <c r="N47" s="71">
        <f t="shared" ref="N47" si="44">+SUM(N36:N46)</f>
        <v>100</v>
      </c>
      <c r="O47" s="71">
        <f t="shared" ref="O47" si="45">+SUM(O36:O46)</f>
        <v>100</v>
      </c>
      <c r="P47" s="71">
        <f t="shared" ref="P47" si="46">+SUM(P36:P46)</f>
        <v>100</v>
      </c>
      <c r="Q47" s="71">
        <f t="shared" ref="Q47" si="47">+SUM(Q36:Q46)</f>
        <v>100</v>
      </c>
      <c r="R47" s="71">
        <f t="shared" ref="R47" si="48">+SUM(R36:R46)</f>
        <v>100</v>
      </c>
      <c r="S47" s="71">
        <f t="shared" ref="S47" si="49">+SUM(S36:S46)</f>
        <v>100</v>
      </c>
      <c r="T47" s="71">
        <f t="shared" ref="T47" si="50">+SUM(T36:T46)</f>
        <v>100</v>
      </c>
      <c r="U47" s="71">
        <f t="shared" ref="U47" si="51">+SUM(U36:U46)</f>
        <v>100</v>
      </c>
      <c r="V47" s="71">
        <f t="shared" ref="V47" si="52">+SUM(V36:V46)</f>
        <v>100</v>
      </c>
      <c r="W47" s="71">
        <f t="shared" ref="W47" si="53">+SUM(W36:W46)</f>
        <v>100</v>
      </c>
      <c r="X47" s="71">
        <f t="shared" ref="X47" si="54">+SUM(X36:X46)</f>
        <v>100</v>
      </c>
      <c r="Y47" s="71">
        <f t="shared" ref="Y47" si="55">+SUM(Y36:Y46)</f>
        <v>100</v>
      </c>
      <c r="Z47" s="71">
        <f t="shared" ref="Z47" si="56">+SUM(Z36:Z46)</f>
        <v>100</v>
      </c>
      <c r="AA47" s="71">
        <f t="shared" ref="AA47" si="57">+SUM(AA36:AA46)</f>
        <v>100</v>
      </c>
      <c r="AB47" s="71">
        <f t="shared" ref="AB47" si="58">+SUM(AB36:AB46)</f>
        <v>100</v>
      </c>
      <c r="AC47" s="71">
        <f t="shared" ref="AC47" si="59">+SUM(AC36:AC46)</f>
        <v>100</v>
      </c>
      <c r="AD47" s="71">
        <f t="shared" ref="AD47" si="60">+SUM(AD36:AD46)</f>
        <v>100</v>
      </c>
      <c r="AE47" s="71">
        <f t="shared" ref="AE47" si="61">+SUM(AE36:AE46)</f>
        <v>100</v>
      </c>
      <c r="AF47" s="71">
        <f t="shared" ref="AF47" si="62">+SUM(AF36:AF46)</f>
        <v>100</v>
      </c>
      <c r="AG47" s="71">
        <f t="shared" ref="AG47" si="63">+SUM(AG36:AG46)</f>
        <v>100</v>
      </c>
      <c r="AH47" s="71">
        <f t="shared" ref="AH47" si="64">+SUM(AH36:AH46)</f>
        <v>100</v>
      </c>
      <c r="AI47" s="71">
        <f t="shared" ref="AI47" si="65">+SUM(AI36:AI46)</f>
        <v>100</v>
      </c>
      <c r="AJ47" s="71">
        <f t="shared" ref="AJ47" si="66">+SUM(AJ36:AJ46)</f>
        <v>100</v>
      </c>
    </row>
    <row r="48" spans="1:36" s="68" customFormat="1" ht="15.6" x14ac:dyDescent="0.3">
      <c r="A48" s="66" t="s">
        <v>772</v>
      </c>
      <c r="B48" s="67"/>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row>
    <row r="49" spans="1:36" x14ac:dyDescent="0.3">
      <c r="A49" t="s">
        <v>479</v>
      </c>
      <c r="B49" t="s">
        <v>305</v>
      </c>
      <c r="C49" s="24">
        <v>0</v>
      </c>
      <c r="D49" s="24">
        <v>0</v>
      </c>
      <c r="E49" s="24">
        <v>0</v>
      </c>
      <c r="F49" s="24">
        <v>0</v>
      </c>
      <c r="G49" s="24">
        <v>0</v>
      </c>
      <c r="H49" s="24">
        <v>0</v>
      </c>
      <c r="I49" s="24">
        <v>0</v>
      </c>
      <c r="J49" s="24">
        <v>0</v>
      </c>
      <c r="K49" s="24">
        <v>0</v>
      </c>
      <c r="L49" s="24">
        <v>0</v>
      </c>
      <c r="M49" s="24">
        <v>0</v>
      </c>
      <c r="N49" s="24">
        <v>0</v>
      </c>
      <c r="O49" s="24">
        <v>0</v>
      </c>
      <c r="P49" s="24">
        <v>0</v>
      </c>
      <c r="Q49" s="24">
        <v>0</v>
      </c>
      <c r="R49" s="24">
        <v>0</v>
      </c>
      <c r="S49" s="24">
        <v>0</v>
      </c>
      <c r="T49" s="24">
        <v>0</v>
      </c>
      <c r="U49" s="24">
        <v>0</v>
      </c>
      <c r="V49" s="24">
        <v>0</v>
      </c>
      <c r="W49" s="24">
        <v>0</v>
      </c>
      <c r="X49" s="24">
        <v>0</v>
      </c>
      <c r="Y49" s="24">
        <v>0</v>
      </c>
      <c r="Z49" s="24">
        <v>0</v>
      </c>
      <c r="AA49" s="24">
        <v>0</v>
      </c>
      <c r="AB49" s="24">
        <v>0</v>
      </c>
      <c r="AC49" s="24">
        <v>0</v>
      </c>
      <c r="AD49" s="24">
        <v>0</v>
      </c>
      <c r="AE49" s="24">
        <v>0</v>
      </c>
      <c r="AF49" s="24">
        <v>0</v>
      </c>
      <c r="AG49" s="24">
        <v>0</v>
      </c>
      <c r="AH49" s="24">
        <v>0</v>
      </c>
      <c r="AI49" s="24">
        <v>0</v>
      </c>
      <c r="AJ49" s="24">
        <v>0</v>
      </c>
    </row>
    <row r="50" spans="1:36" x14ac:dyDescent="0.3">
      <c r="A50" t="s">
        <v>480</v>
      </c>
      <c r="B50" t="s">
        <v>305</v>
      </c>
      <c r="C50" s="24">
        <v>0</v>
      </c>
      <c r="D50" s="24">
        <v>0</v>
      </c>
      <c r="E50" s="24">
        <v>0</v>
      </c>
      <c r="F50" s="24">
        <v>0</v>
      </c>
      <c r="G50" s="24">
        <v>0</v>
      </c>
      <c r="H50" s="24">
        <v>0</v>
      </c>
      <c r="I50" s="24">
        <v>0</v>
      </c>
      <c r="J50" s="24">
        <v>0</v>
      </c>
      <c r="K50" s="24">
        <v>0</v>
      </c>
      <c r="L50" s="24">
        <v>0</v>
      </c>
      <c r="M50" s="24">
        <v>0</v>
      </c>
      <c r="N50" s="24">
        <v>0</v>
      </c>
      <c r="O50" s="24">
        <v>0</v>
      </c>
      <c r="P50" s="24">
        <v>0</v>
      </c>
      <c r="Q50" s="24">
        <v>0</v>
      </c>
      <c r="R50" s="24">
        <v>0</v>
      </c>
      <c r="S50" s="24">
        <v>0</v>
      </c>
      <c r="T50" s="24">
        <v>0</v>
      </c>
      <c r="U50" s="24">
        <v>0</v>
      </c>
      <c r="V50" s="24">
        <v>0</v>
      </c>
      <c r="W50" s="24">
        <v>0</v>
      </c>
      <c r="X50" s="24">
        <v>0</v>
      </c>
      <c r="Y50" s="24">
        <v>0</v>
      </c>
      <c r="Z50" s="24">
        <v>0</v>
      </c>
      <c r="AA50" s="24">
        <v>0</v>
      </c>
      <c r="AB50" s="24">
        <v>0</v>
      </c>
      <c r="AC50" s="24">
        <v>0</v>
      </c>
      <c r="AD50" s="24">
        <v>0</v>
      </c>
      <c r="AE50" s="24">
        <v>0</v>
      </c>
      <c r="AF50" s="24">
        <v>0</v>
      </c>
      <c r="AG50" s="24">
        <v>0</v>
      </c>
      <c r="AH50" s="24">
        <v>0</v>
      </c>
      <c r="AI50" s="24">
        <v>0</v>
      </c>
      <c r="AJ50" s="24">
        <v>0</v>
      </c>
    </row>
    <row r="51" spans="1:36" x14ac:dyDescent="0.3">
      <c r="A51" t="s">
        <v>481</v>
      </c>
      <c r="B51" t="s">
        <v>305</v>
      </c>
      <c r="C51" s="24">
        <v>2.5</v>
      </c>
      <c r="D51" s="24">
        <v>2.5</v>
      </c>
      <c r="E51" s="24">
        <v>2.5</v>
      </c>
      <c r="F51" s="24">
        <v>2.5</v>
      </c>
      <c r="G51" s="24">
        <v>2.5</v>
      </c>
      <c r="H51" s="24">
        <v>2.5</v>
      </c>
      <c r="I51" s="24">
        <v>2.5</v>
      </c>
      <c r="J51" s="24">
        <v>2.5</v>
      </c>
      <c r="K51" s="24">
        <v>2.5</v>
      </c>
      <c r="L51" s="24">
        <v>2.5</v>
      </c>
      <c r="M51" s="24">
        <v>2.5</v>
      </c>
      <c r="N51" s="24">
        <v>2.5</v>
      </c>
      <c r="O51" s="24">
        <v>2.5</v>
      </c>
      <c r="P51" s="24">
        <v>2.5</v>
      </c>
      <c r="Q51" s="24">
        <v>2.5</v>
      </c>
      <c r="R51" s="24">
        <v>2.5</v>
      </c>
      <c r="S51" s="24">
        <v>2.5</v>
      </c>
      <c r="T51" s="24">
        <v>2.5</v>
      </c>
      <c r="U51" s="24">
        <v>2.5</v>
      </c>
      <c r="V51" s="24">
        <v>2.5</v>
      </c>
      <c r="W51" s="24">
        <v>2.5</v>
      </c>
      <c r="X51" s="24">
        <v>2.5</v>
      </c>
      <c r="Y51" s="24">
        <v>2.5</v>
      </c>
      <c r="Z51" s="24">
        <v>2.5</v>
      </c>
      <c r="AA51" s="24">
        <v>2.5</v>
      </c>
      <c r="AB51" s="24">
        <v>2.5</v>
      </c>
      <c r="AC51" s="24">
        <v>2.5</v>
      </c>
      <c r="AD51" s="24">
        <v>2.5</v>
      </c>
      <c r="AE51" s="24">
        <v>2.5</v>
      </c>
      <c r="AF51" s="24">
        <v>2.5</v>
      </c>
      <c r="AG51" s="24">
        <v>2.5</v>
      </c>
      <c r="AH51" s="24">
        <v>2.5</v>
      </c>
      <c r="AI51" s="24">
        <v>2.5</v>
      </c>
      <c r="AJ51" s="24">
        <v>2.5</v>
      </c>
    </row>
    <row r="52" spans="1:36" x14ac:dyDescent="0.3">
      <c r="A52" t="s">
        <v>482</v>
      </c>
      <c r="B52" t="s">
        <v>305</v>
      </c>
      <c r="C52" s="24">
        <v>0</v>
      </c>
      <c r="D52" s="24">
        <v>0</v>
      </c>
      <c r="E52" s="24">
        <v>0</v>
      </c>
      <c r="F52" s="24">
        <v>0</v>
      </c>
      <c r="G52" s="24">
        <v>0</v>
      </c>
      <c r="H52" s="24">
        <v>0</v>
      </c>
      <c r="I52" s="24">
        <v>0</v>
      </c>
      <c r="J52" s="24">
        <v>0</v>
      </c>
      <c r="K52" s="24">
        <v>0</v>
      </c>
      <c r="L52" s="24">
        <v>0</v>
      </c>
      <c r="M52" s="24">
        <v>0</v>
      </c>
      <c r="N52" s="24">
        <v>0</v>
      </c>
      <c r="O52" s="24">
        <v>0</v>
      </c>
      <c r="P52" s="24">
        <v>0</v>
      </c>
      <c r="Q52" s="24">
        <v>0</v>
      </c>
      <c r="R52" s="24">
        <v>0</v>
      </c>
      <c r="S52" s="24">
        <v>0</v>
      </c>
      <c r="T52" s="24">
        <v>0</v>
      </c>
      <c r="U52" s="24">
        <v>0</v>
      </c>
      <c r="V52" s="24">
        <v>0</v>
      </c>
      <c r="W52" s="24">
        <v>0</v>
      </c>
      <c r="X52" s="24">
        <v>0</v>
      </c>
      <c r="Y52" s="24">
        <v>0</v>
      </c>
      <c r="Z52" s="24">
        <v>0</v>
      </c>
      <c r="AA52" s="24">
        <v>0</v>
      </c>
      <c r="AB52" s="24">
        <v>0</v>
      </c>
      <c r="AC52" s="24">
        <v>0</v>
      </c>
      <c r="AD52" s="24">
        <v>0</v>
      </c>
      <c r="AE52" s="24">
        <v>0</v>
      </c>
      <c r="AF52" s="24">
        <v>0</v>
      </c>
      <c r="AG52" s="24">
        <v>0</v>
      </c>
      <c r="AH52" s="24">
        <v>0</v>
      </c>
      <c r="AI52" s="24">
        <v>0</v>
      </c>
      <c r="AJ52" s="24">
        <v>0</v>
      </c>
    </row>
    <row r="53" spans="1:36" x14ac:dyDescent="0.3">
      <c r="A53" t="s">
        <v>483</v>
      </c>
      <c r="B53" t="s">
        <v>305</v>
      </c>
      <c r="C53" s="24">
        <v>0</v>
      </c>
      <c r="D53" s="24">
        <v>0</v>
      </c>
      <c r="E53" s="24">
        <v>0</v>
      </c>
      <c r="F53" s="24">
        <v>0</v>
      </c>
      <c r="G53" s="24">
        <v>0</v>
      </c>
      <c r="H53" s="24">
        <v>0</v>
      </c>
      <c r="I53" s="24">
        <v>0</v>
      </c>
      <c r="J53" s="24">
        <v>0</v>
      </c>
      <c r="K53" s="24">
        <v>0</v>
      </c>
      <c r="L53" s="24">
        <v>0</v>
      </c>
      <c r="M53" s="24">
        <v>0</v>
      </c>
      <c r="N53" s="24">
        <v>0</v>
      </c>
      <c r="O53" s="24">
        <v>0</v>
      </c>
      <c r="P53" s="24">
        <v>0</v>
      </c>
      <c r="Q53" s="24">
        <v>0</v>
      </c>
      <c r="R53" s="24">
        <v>0</v>
      </c>
      <c r="S53" s="24">
        <v>0</v>
      </c>
      <c r="T53" s="24">
        <v>0</v>
      </c>
      <c r="U53" s="24">
        <v>0</v>
      </c>
      <c r="V53" s="24">
        <v>0</v>
      </c>
      <c r="W53" s="24">
        <v>0</v>
      </c>
      <c r="X53" s="24">
        <v>0</v>
      </c>
      <c r="Y53" s="24">
        <v>0</v>
      </c>
      <c r="Z53" s="24">
        <v>0</v>
      </c>
      <c r="AA53" s="24">
        <v>0</v>
      </c>
      <c r="AB53" s="24">
        <v>0</v>
      </c>
      <c r="AC53" s="24">
        <v>0</v>
      </c>
      <c r="AD53" s="24">
        <v>0</v>
      </c>
      <c r="AE53" s="24">
        <v>0</v>
      </c>
      <c r="AF53" s="24">
        <v>0</v>
      </c>
      <c r="AG53" s="24">
        <v>0</v>
      </c>
      <c r="AH53" s="24">
        <v>0</v>
      </c>
      <c r="AI53" s="24">
        <v>0</v>
      </c>
      <c r="AJ53" s="24">
        <v>0</v>
      </c>
    </row>
    <row r="54" spans="1:36" x14ac:dyDescent="0.3">
      <c r="A54" t="s">
        <v>484</v>
      </c>
      <c r="B54" t="s">
        <v>305</v>
      </c>
      <c r="C54" s="24">
        <v>2.5</v>
      </c>
      <c r="D54" s="24">
        <v>2.5</v>
      </c>
      <c r="E54" s="24">
        <v>2.5</v>
      </c>
      <c r="F54" s="24">
        <v>2.5</v>
      </c>
      <c r="G54" s="24">
        <v>2.5</v>
      </c>
      <c r="H54" s="24">
        <v>2.5</v>
      </c>
      <c r="I54" s="24">
        <v>2.5</v>
      </c>
      <c r="J54" s="24">
        <v>2.5</v>
      </c>
      <c r="K54" s="24">
        <v>2.5</v>
      </c>
      <c r="L54" s="24">
        <v>2.5</v>
      </c>
      <c r="M54" s="24">
        <v>2.5</v>
      </c>
      <c r="N54" s="24">
        <v>2.5</v>
      </c>
      <c r="O54" s="24">
        <v>2.5</v>
      </c>
      <c r="P54" s="24">
        <v>2.5</v>
      </c>
      <c r="Q54" s="24">
        <v>2.5</v>
      </c>
      <c r="R54" s="24">
        <v>2.5</v>
      </c>
      <c r="S54" s="24">
        <v>2.5</v>
      </c>
      <c r="T54" s="24">
        <v>2.5</v>
      </c>
      <c r="U54" s="24">
        <v>2.5</v>
      </c>
      <c r="V54" s="24">
        <v>2.5</v>
      </c>
      <c r="W54" s="24">
        <v>2.5</v>
      </c>
      <c r="X54" s="24">
        <v>2.5</v>
      </c>
      <c r="Y54" s="24">
        <v>2.5</v>
      </c>
      <c r="Z54" s="24">
        <v>2.5</v>
      </c>
      <c r="AA54" s="24">
        <v>2.5</v>
      </c>
      <c r="AB54" s="24">
        <v>2.5</v>
      </c>
      <c r="AC54" s="24">
        <v>2.5</v>
      </c>
      <c r="AD54" s="24">
        <v>2.5</v>
      </c>
      <c r="AE54" s="24">
        <v>2.5</v>
      </c>
      <c r="AF54" s="24">
        <v>2.5</v>
      </c>
      <c r="AG54" s="24">
        <v>2.5</v>
      </c>
      <c r="AH54" s="24">
        <v>2.5</v>
      </c>
      <c r="AI54" s="24">
        <v>2.5</v>
      </c>
      <c r="AJ54" s="24">
        <v>2.5</v>
      </c>
    </row>
    <row r="55" spans="1:36" x14ac:dyDescent="0.3">
      <c r="A55" t="s">
        <v>485</v>
      </c>
      <c r="B55" t="s">
        <v>305</v>
      </c>
      <c r="C55" s="24">
        <v>0</v>
      </c>
      <c r="D55" s="24">
        <v>0</v>
      </c>
      <c r="E55" s="24">
        <v>0</v>
      </c>
      <c r="F55" s="24">
        <v>0</v>
      </c>
      <c r="G55" s="24">
        <v>0</v>
      </c>
      <c r="H55" s="24">
        <v>0</v>
      </c>
      <c r="I55" s="24">
        <v>0</v>
      </c>
      <c r="J55" s="24">
        <v>0</v>
      </c>
      <c r="K55" s="24">
        <v>0</v>
      </c>
      <c r="L55" s="24">
        <v>0</v>
      </c>
      <c r="M55" s="24">
        <v>0</v>
      </c>
      <c r="N55" s="24">
        <v>0</v>
      </c>
      <c r="O55" s="24">
        <v>0</v>
      </c>
      <c r="P55" s="24">
        <v>0</v>
      </c>
      <c r="Q55" s="24">
        <v>0</v>
      </c>
      <c r="R55" s="24">
        <v>0</v>
      </c>
      <c r="S55" s="24">
        <v>0</v>
      </c>
      <c r="T55" s="24">
        <v>0</v>
      </c>
      <c r="U55" s="24">
        <v>0</v>
      </c>
      <c r="V55" s="24">
        <v>0</v>
      </c>
      <c r="W55" s="24">
        <v>0</v>
      </c>
      <c r="X55" s="24">
        <v>0</v>
      </c>
      <c r="Y55" s="24">
        <v>0</v>
      </c>
      <c r="Z55" s="24">
        <v>0</v>
      </c>
      <c r="AA55" s="24">
        <v>0</v>
      </c>
      <c r="AB55" s="24">
        <v>0</v>
      </c>
      <c r="AC55" s="24">
        <v>0</v>
      </c>
      <c r="AD55" s="24">
        <v>0</v>
      </c>
      <c r="AE55" s="24">
        <v>0</v>
      </c>
      <c r="AF55" s="24">
        <v>0</v>
      </c>
      <c r="AG55" s="24">
        <v>0</v>
      </c>
      <c r="AH55" s="24">
        <v>0</v>
      </c>
      <c r="AI55" s="24">
        <v>0</v>
      </c>
      <c r="AJ55" s="24">
        <v>0</v>
      </c>
    </row>
    <row r="56" spans="1:36" x14ac:dyDescent="0.3">
      <c r="A56" t="s">
        <v>486</v>
      </c>
      <c r="B56" t="s">
        <v>305</v>
      </c>
      <c r="C56" s="24">
        <v>0</v>
      </c>
      <c r="D56" s="24">
        <v>0</v>
      </c>
      <c r="E56" s="24">
        <v>0</v>
      </c>
      <c r="F56" s="24">
        <v>0</v>
      </c>
      <c r="G56" s="24">
        <v>0</v>
      </c>
      <c r="H56" s="24">
        <v>0</v>
      </c>
      <c r="I56" s="24">
        <v>0</v>
      </c>
      <c r="J56" s="24">
        <v>0</v>
      </c>
      <c r="K56" s="24">
        <v>0</v>
      </c>
      <c r="L56" s="24">
        <v>0</v>
      </c>
      <c r="M56" s="24">
        <v>0</v>
      </c>
      <c r="N56" s="24">
        <v>0</v>
      </c>
      <c r="O56" s="24">
        <v>0</v>
      </c>
      <c r="P56" s="24">
        <v>0</v>
      </c>
      <c r="Q56" s="24">
        <v>0</v>
      </c>
      <c r="R56" s="24">
        <v>0</v>
      </c>
      <c r="S56" s="24">
        <v>0</v>
      </c>
      <c r="T56" s="24">
        <v>0</v>
      </c>
      <c r="U56" s="24">
        <v>0</v>
      </c>
      <c r="V56" s="24">
        <v>0</v>
      </c>
      <c r="W56" s="24">
        <v>0</v>
      </c>
      <c r="X56" s="24">
        <v>0</v>
      </c>
      <c r="Y56" s="24">
        <v>0</v>
      </c>
      <c r="Z56" s="24">
        <v>0</v>
      </c>
      <c r="AA56" s="24">
        <v>0</v>
      </c>
      <c r="AB56" s="24">
        <v>0</v>
      </c>
      <c r="AC56" s="24">
        <v>0</v>
      </c>
      <c r="AD56" s="24">
        <v>0</v>
      </c>
      <c r="AE56" s="24">
        <v>0</v>
      </c>
      <c r="AF56" s="24">
        <v>0</v>
      </c>
      <c r="AG56" s="24">
        <v>0</v>
      </c>
      <c r="AH56" s="24">
        <v>0</v>
      </c>
      <c r="AI56" s="24">
        <v>0</v>
      </c>
      <c r="AJ56" s="24">
        <v>0</v>
      </c>
    </row>
    <row r="57" spans="1:36" x14ac:dyDescent="0.3">
      <c r="A57" t="s">
        <v>487</v>
      </c>
      <c r="B57" t="s">
        <v>305</v>
      </c>
      <c r="C57" s="24">
        <v>0</v>
      </c>
      <c r="D57" s="24">
        <v>0</v>
      </c>
      <c r="E57" s="24">
        <v>0</v>
      </c>
      <c r="F57" s="24">
        <v>0</v>
      </c>
      <c r="G57" s="24">
        <v>0</v>
      </c>
      <c r="H57" s="24">
        <v>0</v>
      </c>
      <c r="I57" s="24">
        <v>0</v>
      </c>
      <c r="J57" s="24">
        <v>0</v>
      </c>
      <c r="K57" s="24">
        <v>0</v>
      </c>
      <c r="L57" s="24">
        <v>0</v>
      </c>
      <c r="M57" s="24">
        <v>0</v>
      </c>
      <c r="N57" s="24">
        <v>0</v>
      </c>
      <c r="O57" s="24">
        <v>0</v>
      </c>
      <c r="P57" s="24">
        <v>0</v>
      </c>
      <c r="Q57" s="24">
        <v>0</v>
      </c>
      <c r="R57" s="24">
        <v>0</v>
      </c>
      <c r="S57" s="24">
        <v>0</v>
      </c>
      <c r="T57" s="24">
        <v>0</v>
      </c>
      <c r="U57" s="24">
        <v>0</v>
      </c>
      <c r="V57" s="24">
        <v>0</v>
      </c>
      <c r="W57" s="24">
        <v>0</v>
      </c>
      <c r="X57" s="24">
        <v>0</v>
      </c>
      <c r="Y57" s="24">
        <v>0</v>
      </c>
      <c r="Z57" s="24">
        <v>0</v>
      </c>
      <c r="AA57" s="24">
        <v>0</v>
      </c>
      <c r="AB57" s="24">
        <v>0</v>
      </c>
      <c r="AC57" s="24">
        <v>0</v>
      </c>
      <c r="AD57" s="24">
        <v>0</v>
      </c>
      <c r="AE57" s="24">
        <v>0</v>
      </c>
      <c r="AF57" s="24">
        <v>0</v>
      </c>
      <c r="AG57" s="24">
        <v>0</v>
      </c>
      <c r="AH57" s="24">
        <v>0</v>
      </c>
      <c r="AI57" s="24">
        <v>0</v>
      </c>
      <c r="AJ57" s="24">
        <v>0</v>
      </c>
    </row>
    <row r="58" spans="1:36" s="47" customFormat="1" x14ac:dyDescent="0.3">
      <c r="A58" t="s">
        <v>488</v>
      </c>
      <c r="B58" t="s">
        <v>305</v>
      </c>
      <c r="C58" s="24">
        <v>95</v>
      </c>
      <c r="D58" s="24">
        <v>95</v>
      </c>
      <c r="E58" s="24">
        <v>95</v>
      </c>
      <c r="F58" s="24">
        <v>95</v>
      </c>
      <c r="G58" s="24">
        <v>95</v>
      </c>
      <c r="H58" s="24">
        <v>95</v>
      </c>
      <c r="I58" s="24">
        <v>95</v>
      </c>
      <c r="J58" s="24">
        <v>95</v>
      </c>
      <c r="K58" s="24">
        <v>95</v>
      </c>
      <c r="L58" s="24">
        <v>95</v>
      </c>
      <c r="M58" s="24">
        <v>95</v>
      </c>
      <c r="N58" s="24">
        <v>95</v>
      </c>
      <c r="O58" s="24">
        <v>95</v>
      </c>
      <c r="P58" s="24">
        <v>95</v>
      </c>
      <c r="Q58" s="24">
        <v>95</v>
      </c>
      <c r="R58" s="24">
        <v>95</v>
      </c>
      <c r="S58" s="24">
        <v>95</v>
      </c>
      <c r="T58" s="24">
        <v>95</v>
      </c>
      <c r="U58" s="24">
        <v>95</v>
      </c>
      <c r="V58" s="24">
        <v>95</v>
      </c>
      <c r="W58" s="24">
        <v>95</v>
      </c>
      <c r="X58" s="24">
        <v>95</v>
      </c>
      <c r="Y58" s="24">
        <v>95</v>
      </c>
      <c r="Z58" s="24">
        <v>95</v>
      </c>
      <c r="AA58" s="24">
        <v>95</v>
      </c>
      <c r="AB58" s="24">
        <v>95</v>
      </c>
      <c r="AC58" s="24">
        <v>95</v>
      </c>
      <c r="AD58" s="24">
        <v>95</v>
      </c>
      <c r="AE58" s="24">
        <v>95</v>
      </c>
      <c r="AF58" s="24">
        <v>95</v>
      </c>
      <c r="AG58" s="24">
        <v>95</v>
      </c>
      <c r="AH58" s="24">
        <v>95</v>
      </c>
      <c r="AI58" s="24">
        <v>95</v>
      </c>
      <c r="AJ58" s="24">
        <v>95</v>
      </c>
    </row>
    <row r="59" spans="1:36" s="47" customFormat="1" x14ac:dyDescent="0.3">
      <c r="A59" t="s">
        <v>770</v>
      </c>
      <c r="B59" t="s">
        <v>305</v>
      </c>
      <c r="C59" s="24">
        <v>0</v>
      </c>
      <c r="D59" s="24">
        <v>0</v>
      </c>
      <c r="E59" s="24">
        <v>0</v>
      </c>
      <c r="F59" s="24">
        <v>0</v>
      </c>
      <c r="G59" s="24">
        <v>0</v>
      </c>
      <c r="H59" s="24">
        <v>0</v>
      </c>
      <c r="I59" s="24">
        <v>0</v>
      </c>
      <c r="J59" s="24">
        <v>0</v>
      </c>
      <c r="K59" s="24">
        <v>0</v>
      </c>
      <c r="L59" s="24">
        <v>0</v>
      </c>
      <c r="M59" s="24">
        <v>0</v>
      </c>
      <c r="N59" s="24">
        <v>0</v>
      </c>
      <c r="O59" s="24">
        <v>0</v>
      </c>
      <c r="P59" s="24">
        <v>0</v>
      </c>
      <c r="Q59" s="24">
        <v>0</v>
      </c>
      <c r="R59" s="24">
        <v>0</v>
      </c>
      <c r="S59" s="24">
        <v>0</v>
      </c>
      <c r="T59" s="24">
        <v>0</v>
      </c>
      <c r="U59" s="24">
        <v>0</v>
      </c>
      <c r="V59" s="24">
        <v>0</v>
      </c>
      <c r="W59" s="24">
        <v>0</v>
      </c>
      <c r="X59" s="24">
        <v>0</v>
      </c>
      <c r="Y59" s="24">
        <v>0</v>
      </c>
      <c r="Z59" s="24">
        <v>0</v>
      </c>
      <c r="AA59" s="24">
        <v>0</v>
      </c>
      <c r="AB59" s="24">
        <v>0</v>
      </c>
      <c r="AC59" s="24">
        <v>0</v>
      </c>
      <c r="AD59" s="24">
        <v>0</v>
      </c>
      <c r="AE59" s="24">
        <v>0</v>
      </c>
      <c r="AF59" s="24">
        <v>0</v>
      </c>
      <c r="AG59" s="24">
        <v>0</v>
      </c>
      <c r="AH59" s="24">
        <v>0</v>
      </c>
      <c r="AI59" s="24">
        <v>0</v>
      </c>
      <c r="AJ59" s="24">
        <v>0</v>
      </c>
    </row>
    <row r="60" spans="1:36" s="70" customFormat="1" x14ac:dyDescent="0.3">
      <c r="A60" s="70" t="s">
        <v>780</v>
      </c>
      <c r="C60" s="71">
        <f>+SUM(C49:C59)</f>
        <v>100</v>
      </c>
      <c r="D60" s="71">
        <f t="shared" ref="D60" si="67">+SUM(D49:D59)</f>
        <v>100</v>
      </c>
      <c r="E60" s="71">
        <f t="shared" ref="E60" si="68">+SUM(E49:E59)</f>
        <v>100</v>
      </c>
      <c r="F60" s="71">
        <f t="shared" ref="F60" si="69">+SUM(F49:F59)</f>
        <v>100</v>
      </c>
      <c r="G60" s="71">
        <f t="shared" ref="G60" si="70">+SUM(G49:G59)</f>
        <v>100</v>
      </c>
      <c r="H60" s="71">
        <f t="shared" ref="H60" si="71">+SUM(H49:H59)</f>
        <v>100</v>
      </c>
      <c r="I60" s="71">
        <f t="shared" ref="I60" si="72">+SUM(I49:I59)</f>
        <v>100</v>
      </c>
      <c r="J60" s="71">
        <f t="shared" ref="J60" si="73">+SUM(J49:J59)</f>
        <v>100</v>
      </c>
      <c r="K60" s="71">
        <f t="shared" ref="K60" si="74">+SUM(K49:K59)</f>
        <v>100</v>
      </c>
      <c r="L60" s="71">
        <f t="shared" ref="L60" si="75">+SUM(L49:L59)</f>
        <v>100</v>
      </c>
      <c r="M60" s="71">
        <f t="shared" ref="M60" si="76">+SUM(M49:M59)</f>
        <v>100</v>
      </c>
      <c r="N60" s="71">
        <f t="shared" ref="N60" si="77">+SUM(N49:N59)</f>
        <v>100</v>
      </c>
      <c r="O60" s="71">
        <f t="shared" ref="O60" si="78">+SUM(O49:O59)</f>
        <v>100</v>
      </c>
      <c r="P60" s="71">
        <f t="shared" ref="P60" si="79">+SUM(P49:P59)</f>
        <v>100</v>
      </c>
      <c r="Q60" s="71">
        <f t="shared" ref="Q60" si="80">+SUM(Q49:Q59)</f>
        <v>100</v>
      </c>
      <c r="R60" s="71">
        <f t="shared" ref="R60" si="81">+SUM(R49:R59)</f>
        <v>100</v>
      </c>
      <c r="S60" s="71">
        <f t="shared" ref="S60" si="82">+SUM(S49:S59)</f>
        <v>100</v>
      </c>
      <c r="T60" s="71">
        <f t="shared" ref="T60" si="83">+SUM(T49:T59)</f>
        <v>100</v>
      </c>
      <c r="U60" s="71">
        <f t="shared" ref="U60" si="84">+SUM(U49:U59)</f>
        <v>100</v>
      </c>
      <c r="V60" s="71">
        <f t="shared" ref="V60" si="85">+SUM(V49:V59)</f>
        <v>100</v>
      </c>
      <c r="W60" s="71">
        <f t="shared" ref="W60" si="86">+SUM(W49:W59)</f>
        <v>100</v>
      </c>
      <c r="X60" s="71">
        <f t="shared" ref="X60" si="87">+SUM(X49:X59)</f>
        <v>100</v>
      </c>
      <c r="Y60" s="71">
        <f t="shared" ref="Y60" si="88">+SUM(Y49:Y59)</f>
        <v>100</v>
      </c>
      <c r="Z60" s="71">
        <f t="shared" ref="Z60" si="89">+SUM(Z49:Z59)</f>
        <v>100</v>
      </c>
      <c r="AA60" s="71">
        <f t="shared" ref="AA60" si="90">+SUM(AA49:AA59)</f>
        <v>100</v>
      </c>
      <c r="AB60" s="71">
        <f t="shared" ref="AB60" si="91">+SUM(AB49:AB59)</f>
        <v>100</v>
      </c>
      <c r="AC60" s="71">
        <f t="shared" ref="AC60" si="92">+SUM(AC49:AC59)</f>
        <v>100</v>
      </c>
      <c r="AD60" s="71">
        <f t="shared" ref="AD60" si="93">+SUM(AD49:AD59)</f>
        <v>100</v>
      </c>
      <c r="AE60" s="71">
        <f t="shared" ref="AE60" si="94">+SUM(AE49:AE59)</f>
        <v>100</v>
      </c>
      <c r="AF60" s="71">
        <f t="shared" ref="AF60" si="95">+SUM(AF49:AF59)</f>
        <v>100</v>
      </c>
      <c r="AG60" s="71">
        <f t="shared" ref="AG60" si="96">+SUM(AG49:AG59)</f>
        <v>100</v>
      </c>
      <c r="AH60" s="71">
        <f t="shared" ref="AH60" si="97">+SUM(AH49:AH59)</f>
        <v>100</v>
      </c>
      <c r="AI60" s="71">
        <f t="shared" ref="AI60" si="98">+SUM(AI49:AI59)</f>
        <v>100</v>
      </c>
      <c r="AJ60" s="71">
        <f t="shared" ref="AJ60" si="99">+SUM(AJ49:AJ59)</f>
        <v>100</v>
      </c>
    </row>
    <row r="61" spans="1:36" s="44" customFormat="1" x14ac:dyDescent="0.3">
      <c r="A61" t="s">
        <v>489</v>
      </c>
      <c r="B61" t="s">
        <v>305</v>
      </c>
      <c r="C61" s="24">
        <v>0</v>
      </c>
      <c r="D61" s="24">
        <v>0</v>
      </c>
      <c r="E61" s="24">
        <v>0</v>
      </c>
      <c r="F61" s="24">
        <v>0</v>
      </c>
      <c r="G61" s="24">
        <v>0</v>
      </c>
      <c r="H61" s="24">
        <v>0</v>
      </c>
      <c r="I61" s="24">
        <v>0</v>
      </c>
      <c r="J61" s="24">
        <v>0</v>
      </c>
      <c r="K61" s="24">
        <v>0</v>
      </c>
      <c r="L61" s="24">
        <v>0</v>
      </c>
      <c r="M61" s="24">
        <v>0</v>
      </c>
      <c r="N61" s="24">
        <v>0</v>
      </c>
      <c r="O61" s="24">
        <v>0</v>
      </c>
      <c r="P61" s="24">
        <v>0</v>
      </c>
      <c r="Q61" s="24">
        <v>0</v>
      </c>
      <c r="R61" s="24">
        <v>0</v>
      </c>
      <c r="S61" s="24">
        <v>0</v>
      </c>
      <c r="T61" s="24">
        <v>0</v>
      </c>
      <c r="U61" s="24">
        <v>0</v>
      </c>
      <c r="V61" s="24">
        <v>0</v>
      </c>
      <c r="W61" s="24">
        <v>0</v>
      </c>
      <c r="X61" s="24">
        <v>0</v>
      </c>
      <c r="Y61" s="24">
        <v>0</v>
      </c>
      <c r="Z61" s="24">
        <v>0</v>
      </c>
      <c r="AA61" s="24">
        <v>0</v>
      </c>
      <c r="AB61" s="24">
        <v>0</v>
      </c>
      <c r="AC61" s="24">
        <v>0</v>
      </c>
      <c r="AD61" s="24">
        <v>0</v>
      </c>
      <c r="AE61" s="24">
        <v>0</v>
      </c>
      <c r="AF61" s="24">
        <v>0</v>
      </c>
      <c r="AG61" s="24">
        <v>0</v>
      </c>
      <c r="AH61" s="24">
        <v>0</v>
      </c>
      <c r="AI61" s="24">
        <v>0</v>
      </c>
      <c r="AJ61" s="24">
        <v>0</v>
      </c>
    </row>
    <row r="62" spans="1:36" x14ac:dyDescent="0.3">
      <c r="A62" t="s">
        <v>490</v>
      </c>
      <c r="B62" t="s">
        <v>305</v>
      </c>
      <c r="C62" s="24">
        <v>0</v>
      </c>
      <c r="D62" s="24">
        <v>0</v>
      </c>
      <c r="E62" s="24">
        <v>0</v>
      </c>
      <c r="F62" s="24">
        <v>0</v>
      </c>
      <c r="G62" s="24">
        <v>0</v>
      </c>
      <c r="H62" s="24">
        <v>0</v>
      </c>
      <c r="I62" s="24">
        <v>0</v>
      </c>
      <c r="J62" s="24">
        <v>0</v>
      </c>
      <c r="K62" s="24">
        <v>0</v>
      </c>
      <c r="L62" s="24">
        <v>0</v>
      </c>
      <c r="M62" s="24">
        <v>0</v>
      </c>
      <c r="N62" s="24">
        <v>0</v>
      </c>
      <c r="O62" s="24">
        <v>0</v>
      </c>
      <c r="P62" s="24">
        <v>0</v>
      </c>
      <c r="Q62" s="24">
        <v>0</v>
      </c>
      <c r="R62" s="24">
        <v>0</v>
      </c>
      <c r="S62" s="24">
        <v>0</v>
      </c>
      <c r="T62" s="24">
        <v>0</v>
      </c>
      <c r="U62" s="24">
        <v>0</v>
      </c>
      <c r="V62" s="24">
        <v>0</v>
      </c>
      <c r="W62" s="24">
        <v>0</v>
      </c>
      <c r="X62" s="24">
        <v>0</v>
      </c>
      <c r="Y62" s="24">
        <v>0</v>
      </c>
      <c r="Z62" s="24">
        <v>0</v>
      </c>
      <c r="AA62" s="24">
        <v>0</v>
      </c>
      <c r="AB62" s="24">
        <v>0</v>
      </c>
      <c r="AC62" s="24">
        <v>0</v>
      </c>
      <c r="AD62" s="24">
        <v>0</v>
      </c>
      <c r="AE62" s="24">
        <v>0</v>
      </c>
      <c r="AF62" s="24">
        <v>0</v>
      </c>
      <c r="AG62" s="24">
        <v>0</v>
      </c>
      <c r="AH62" s="24">
        <v>0</v>
      </c>
      <c r="AI62" s="24">
        <v>0</v>
      </c>
      <c r="AJ62" s="24">
        <v>0</v>
      </c>
    </row>
    <row r="63" spans="1:36" x14ac:dyDescent="0.3">
      <c r="A63" t="s">
        <v>491</v>
      </c>
      <c r="B63" t="s">
        <v>305</v>
      </c>
      <c r="C63" s="24">
        <v>5</v>
      </c>
      <c r="D63" s="24">
        <v>5</v>
      </c>
      <c r="E63" s="24">
        <v>5</v>
      </c>
      <c r="F63" s="24">
        <v>5</v>
      </c>
      <c r="G63" s="24">
        <v>5</v>
      </c>
      <c r="H63" s="24">
        <v>5</v>
      </c>
      <c r="I63" s="24">
        <v>5</v>
      </c>
      <c r="J63" s="24">
        <v>5</v>
      </c>
      <c r="K63" s="24">
        <v>5</v>
      </c>
      <c r="L63" s="24">
        <v>5</v>
      </c>
      <c r="M63" s="24">
        <v>5</v>
      </c>
      <c r="N63" s="24">
        <v>5</v>
      </c>
      <c r="O63" s="24">
        <v>5</v>
      </c>
      <c r="P63" s="24">
        <v>5</v>
      </c>
      <c r="Q63" s="24">
        <v>5</v>
      </c>
      <c r="R63" s="24">
        <v>5</v>
      </c>
      <c r="S63" s="24">
        <v>5</v>
      </c>
      <c r="T63" s="24">
        <v>5</v>
      </c>
      <c r="U63" s="24">
        <v>5</v>
      </c>
      <c r="V63" s="24">
        <v>5</v>
      </c>
      <c r="W63" s="24">
        <v>5</v>
      </c>
      <c r="X63" s="24">
        <v>5</v>
      </c>
      <c r="Y63" s="24">
        <v>5</v>
      </c>
      <c r="Z63" s="24">
        <v>5</v>
      </c>
      <c r="AA63" s="24">
        <v>5</v>
      </c>
      <c r="AB63" s="24">
        <v>5</v>
      </c>
      <c r="AC63" s="24">
        <v>5</v>
      </c>
      <c r="AD63" s="24">
        <v>5</v>
      </c>
      <c r="AE63" s="24">
        <v>5</v>
      </c>
      <c r="AF63" s="24">
        <v>5</v>
      </c>
      <c r="AG63" s="24">
        <v>5</v>
      </c>
      <c r="AH63" s="24">
        <v>5</v>
      </c>
      <c r="AI63" s="24">
        <v>5</v>
      </c>
      <c r="AJ63" s="24">
        <v>5</v>
      </c>
    </row>
    <row r="64" spans="1:36" s="44" customFormat="1" x14ac:dyDescent="0.3">
      <c r="A64" t="s">
        <v>492</v>
      </c>
      <c r="B64" t="s">
        <v>305</v>
      </c>
      <c r="C64" s="24">
        <v>0</v>
      </c>
      <c r="D64" s="24">
        <v>0</v>
      </c>
      <c r="E64" s="24">
        <v>0</v>
      </c>
      <c r="F64" s="24">
        <v>0</v>
      </c>
      <c r="G64" s="24">
        <v>0</v>
      </c>
      <c r="H64" s="24">
        <v>0</v>
      </c>
      <c r="I64" s="24">
        <v>0</v>
      </c>
      <c r="J64" s="24">
        <v>0</v>
      </c>
      <c r="K64" s="24">
        <v>0</v>
      </c>
      <c r="L64" s="24">
        <v>0</v>
      </c>
      <c r="M64" s="24">
        <v>0</v>
      </c>
      <c r="N64" s="24">
        <v>0</v>
      </c>
      <c r="O64" s="24">
        <v>0</v>
      </c>
      <c r="P64" s="24">
        <v>0</v>
      </c>
      <c r="Q64" s="24">
        <v>0</v>
      </c>
      <c r="R64" s="24">
        <v>0</v>
      </c>
      <c r="S64" s="24">
        <v>0</v>
      </c>
      <c r="T64" s="24">
        <v>0</v>
      </c>
      <c r="U64" s="24">
        <v>0</v>
      </c>
      <c r="V64" s="24">
        <v>0</v>
      </c>
      <c r="W64" s="24">
        <v>0</v>
      </c>
      <c r="X64" s="24">
        <v>0</v>
      </c>
      <c r="Y64" s="24">
        <v>0</v>
      </c>
      <c r="Z64" s="24">
        <v>0</v>
      </c>
      <c r="AA64" s="24">
        <v>0</v>
      </c>
      <c r="AB64" s="24">
        <v>0</v>
      </c>
      <c r="AC64" s="24">
        <v>0</v>
      </c>
      <c r="AD64" s="24">
        <v>0</v>
      </c>
      <c r="AE64" s="24">
        <v>0</v>
      </c>
      <c r="AF64" s="24">
        <v>0</v>
      </c>
      <c r="AG64" s="24">
        <v>0</v>
      </c>
      <c r="AH64" s="24">
        <v>0</v>
      </c>
      <c r="AI64" s="24">
        <v>0</v>
      </c>
      <c r="AJ64" s="24">
        <v>0</v>
      </c>
    </row>
    <row r="65" spans="1:36" x14ac:dyDescent="0.3">
      <c r="A65" t="s">
        <v>493</v>
      </c>
      <c r="B65" t="s">
        <v>305</v>
      </c>
      <c r="C65" s="24">
        <v>0</v>
      </c>
      <c r="D65" s="24">
        <v>0</v>
      </c>
      <c r="E65" s="24">
        <v>0</v>
      </c>
      <c r="F65" s="24">
        <v>0</v>
      </c>
      <c r="G65" s="24">
        <v>0</v>
      </c>
      <c r="H65" s="24">
        <v>0</v>
      </c>
      <c r="I65" s="24">
        <v>0</v>
      </c>
      <c r="J65" s="24">
        <v>0</v>
      </c>
      <c r="K65" s="24">
        <v>0</v>
      </c>
      <c r="L65" s="24">
        <v>0</v>
      </c>
      <c r="M65" s="24">
        <v>0</v>
      </c>
      <c r="N65" s="24">
        <v>0</v>
      </c>
      <c r="O65" s="24">
        <v>0</v>
      </c>
      <c r="P65" s="24">
        <v>0</v>
      </c>
      <c r="Q65" s="24">
        <v>0</v>
      </c>
      <c r="R65" s="24">
        <v>0</v>
      </c>
      <c r="S65" s="24">
        <v>0</v>
      </c>
      <c r="T65" s="24">
        <v>0</v>
      </c>
      <c r="U65" s="24">
        <v>0</v>
      </c>
      <c r="V65" s="24">
        <v>0</v>
      </c>
      <c r="W65" s="24">
        <v>0</v>
      </c>
      <c r="X65" s="24">
        <v>0</v>
      </c>
      <c r="Y65" s="24">
        <v>0</v>
      </c>
      <c r="Z65" s="24">
        <v>0</v>
      </c>
      <c r="AA65" s="24">
        <v>0</v>
      </c>
      <c r="AB65" s="24">
        <v>0</v>
      </c>
      <c r="AC65" s="24">
        <v>0</v>
      </c>
      <c r="AD65" s="24">
        <v>0</v>
      </c>
      <c r="AE65" s="24">
        <v>0</v>
      </c>
      <c r="AF65" s="24">
        <v>0</v>
      </c>
      <c r="AG65" s="24">
        <v>0</v>
      </c>
      <c r="AH65" s="24">
        <v>0</v>
      </c>
      <c r="AI65" s="24">
        <v>0</v>
      </c>
      <c r="AJ65" s="24">
        <v>0</v>
      </c>
    </row>
    <row r="66" spans="1:36" x14ac:dyDescent="0.3">
      <c r="A66" t="s">
        <v>494</v>
      </c>
      <c r="B66" t="s">
        <v>305</v>
      </c>
      <c r="C66" s="24">
        <v>0</v>
      </c>
      <c r="D66" s="24">
        <v>0</v>
      </c>
      <c r="E66" s="24">
        <v>0</v>
      </c>
      <c r="F66" s="24">
        <v>0</v>
      </c>
      <c r="G66" s="24">
        <v>0</v>
      </c>
      <c r="H66" s="24">
        <v>0</v>
      </c>
      <c r="I66" s="24">
        <v>0</v>
      </c>
      <c r="J66" s="24">
        <v>0</v>
      </c>
      <c r="K66" s="24">
        <v>0</v>
      </c>
      <c r="L66" s="24">
        <v>0</v>
      </c>
      <c r="M66" s="24">
        <v>0</v>
      </c>
      <c r="N66" s="24">
        <v>0</v>
      </c>
      <c r="O66" s="24">
        <v>0</v>
      </c>
      <c r="P66" s="24">
        <v>0</v>
      </c>
      <c r="Q66" s="24">
        <v>0</v>
      </c>
      <c r="R66" s="24">
        <v>0</v>
      </c>
      <c r="S66" s="24">
        <v>0</v>
      </c>
      <c r="T66" s="24">
        <v>0</v>
      </c>
      <c r="U66" s="24">
        <v>0</v>
      </c>
      <c r="V66" s="24">
        <v>0</v>
      </c>
      <c r="W66" s="24">
        <v>0</v>
      </c>
      <c r="X66" s="24">
        <v>0</v>
      </c>
      <c r="Y66" s="24">
        <v>0</v>
      </c>
      <c r="Z66" s="24">
        <v>0</v>
      </c>
      <c r="AA66" s="24">
        <v>0</v>
      </c>
      <c r="AB66" s="24">
        <v>0</v>
      </c>
      <c r="AC66" s="24">
        <v>0</v>
      </c>
      <c r="AD66" s="24">
        <v>0</v>
      </c>
      <c r="AE66" s="24">
        <v>0</v>
      </c>
      <c r="AF66" s="24">
        <v>0</v>
      </c>
      <c r="AG66" s="24">
        <v>0</v>
      </c>
      <c r="AH66" s="24">
        <v>0</v>
      </c>
      <c r="AI66" s="24">
        <v>0</v>
      </c>
      <c r="AJ66" s="24">
        <v>0</v>
      </c>
    </row>
    <row r="67" spans="1:36" s="47" customFormat="1" x14ac:dyDescent="0.3">
      <c r="A67" t="s">
        <v>495</v>
      </c>
      <c r="B67" t="s">
        <v>305</v>
      </c>
      <c r="C67" s="24">
        <v>5</v>
      </c>
      <c r="D67" s="24">
        <v>5</v>
      </c>
      <c r="E67" s="24">
        <v>5</v>
      </c>
      <c r="F67" s="24">
        <v>5</v>
      </c>
      <c r="G67" s="24">
        <v>5</v>
      </c>
      <c r="H67" s="24">
        <v>5</v>
      </c>
      <c r="I67" s="24">
        <v>5</v>
      </c>
      <c r="J67" s="24">
        <v>5</v>
      </c>
      <c r="K67" s="24">
        <v>5</v>
      </c>
      <c r="L67" s="24">
        <v>5</v>
      </c>
      <c r="M67" s="24">
        <v>5</v>
      </c>
      <c r="N67" s="24">
        <v>5</v>
      </c>
      <c r="O67" s="24">
        <v>5</v>
      </c>
      <c r="P67" s="24">
        <v>5</v>
      </c>
      <c r="Q67" s="24">
        <v>5</v>
      </c>
      <c r="R67" s="24">
        <v>5</v>
      </c>
      <c r="S67" s="24">
        <v>5</v>
      </c>
      <c r="T67" s="24">
        <v>5</v>
      </c>
      <c r="U67" s="24">
        <v>5</v>
      </c>
      <c r="V67" s="24">
        <v>5</v>
      </c>
      <c r="W67" s="24">
        <v>5</v>
      </c>
      <c r="X67" s="24">
        <v>5</v>
      </c>
      <c r="Y67" s="24">
        <v>5</v>
      </c>
      <c r="Z67" s="24">
        <v>5</v>
      </c>
      <c r="AA67" s="24">
        <v>5</v>
      </c>
      <c r="AB67" s="24">
        <v>5</v>
      </c>
      <c r="AC67" s="24">
        <v>5</v>
      </c>
      <c r="AD67" s="24">
        <v>5</v>
      </c>
      <c r="AE67" s="24">
        <v>5</v>
      </c>
      <c r="AF67" s="24">
        <v>5</v>
      </c>
      <c r="AG67" s="24">
        <v>5</v>
      </c>
      <c r="AH67" s="24">
        <v>5</v>
      </c>
      <c r="AI67" s="24">
        <v>5</v>
      </c>
      <c r="AJ67" s="24">
        <v>5</v>
      </c>
    </row>
    <row r="68" spans="1:36" x14ac:dyDescent="0.3">
      <c r="A68" t="s">
        <v>496</v>
      </c>
      <c r="B68" t="s">
        <v>305</v>
      </c>
      <c r="C68" s="24">
        <v>0</v>
      </c>
      <c r="D68" s="24">
        <v>0</v>
      </c>
      <c r="E68" s="24">
        <v>0</v>
      </c>
      <c r="F68" s="24">
        <v>0</v>
      </c>
      <c r="G68" s="24">
        <v>0</v>
      </c>
      <c r="H68" s="24">
        <v>0</v>
      </c>
      <c r="I68" s="24">
        <v>0</v>
      </c>
      <c r="J68" s="24">
        <v>0</v>
      </c>
      <c r="K68" s="24">
        <v>0</v>
      </c>
      <c r="L68" s="24">
        <v>0</v>
      </c>
      <c r="M68" s="24">
        <v>0</v>
      </c>
      <c r="N68" s="24">
        <v>0</v>
      </c>
      <c r="O68" s="24">
        <v>0</v>
      </c>
      <c r="P68" s="24">
        <v>0</v>
      </c>
      <c r="Q68" s="24">
        <v>0</v>
      </c>
      <c r="R68" s="24">
        <v>0</v>
      </c>
      <c r="S68" s="24">
        <v>0</v>
      </c>
      <c r="T68" s="24">
        <v>0</v>
      </c>
      <c r="U68" s="24">
        <v>0</v>
      </c>
      <c r="V68" s="24">
        <v>0</v>
      </c>
      <c r="W68" s="24">
        <v>0</v>
      </c>
      <c r="X68" s="24">
        <v>0</v>
      </c>
      <c r="Y68" s="24">
        <v>0</v>
      </c>
      <c r="Z68" s="24">
        <v>0</v>
      </c>
      <c r="AA68" s="24">
        <v>0</v>
      </c>
      <c r="AB68" s="24">
        <v>0</v>
      </c>
      <c r="AC68" s="24">
        <v>0</v>
      </c>
      <c r="AD68" s="24">
        <v>0</v>
      </c>
      <c r="AE68" s="24">
        <v>0</v>
      </c>
      <c r="AF68" s="24">
        <v>0</v>
      </c>
      <c r="AG68" s="24">
        <v>0</v>
      </c>
      <c r="AH68" s="24">
        <v>0</v>
      </c>
      <c r="AI68" s="24">
        <v>0</v>
      </c>
      <c r="AJ68" s="24">
        <v>0</v>
      </c>
    </row>
    <row r="69" spans="1:36" x14ac:dyDescent="0.3">
      <c r="A69" t="s">
        <v>497</v>
      </c>
      <c r="B69" t="s">
        <v>305</v>
      </c>
      <c r="C69" s="24">
        <v>0</v>
      </c>
      <c r="D69" s="24">
        <v>0</v>
      </c>
      <c r="E69" s="24">
        <v>0</v>
      </c>
      <c r="F69" s="24">
        <v>0</v>
      </c>
      <c r="G69" s="24">
        <v>0</v>
      </c>
      <c r="H69" s="24">
        <v>0</v>
      </c>
      <c r="I69" s="24">
        <v>0</v>
      </c>
      <c r="J69" s="24">
        <v>0</v>
      </c>
      <c r="K69" s="24">
        <v>0</v>
      </c>
      <c r="L69" s="24">
        <v>0</v>
      </c>
      <c r="M69" s="24">
        <v>0</v>
      </c>
      <c r="N69" s="24">
        <v>0</v>
      </c>
      <c r="O69" s="24">
        <v>0</v>
      </c>
      <c r="P69" s="24">
        <v>0</v>
      </c>
      <c r="Q69" s="24">
        <v>0</v>
      </c>
      <c r="R69" s="24">
        <v>0</v>
      </c>
      <c r="S69" s="24">
        <v>0</v>
      </c>
      <c r="T69" s="24">
        <v>0</v>
      </c>
      <c r="U69" s="24">
        <v>0</v>
      </c>
      <c r="V69" s="24">
        <v>0</v>
      </c>
      <c r="W69" s="24">
        <v>0</v>
      </c>
      <c r="X69" s="24">
        <v>0</v>
      </c>
      <c r="Y69" s="24">
        <v>0</v>
      </c>
      <c r="Z69" s="24">
        <v>0</v>
      </c>
      <c r="AA69" s="24">
        <v>0</v>
      </c>
      <c r="AB69" s="24">
        <v>0</v>
      </c>
      <c r="AC69" s="24">
        <v>0</v>
      </c>
      <c r="AD69" s="24">
        <v>0</v>
      </c>
      <c r="AE69" s="24">
        <v>0</v>
      </c>
      <c r="AF69" s="24">
        <v>0</v>
      </c>
      <c r="AG69" s="24">
        <v>0</v>
      </c>
      <c r="AH69" s="24">
        <v>0</v>
      </c>
      <c r="AI69" s="24">
        <v>0</v>
      </c>
      <c r="AJ69" s="24">
        <v>0</v>
      </c>
    </row>
    <row r="70" spans="1:36" s="47" customFormat="1" x14ac:dyDescent="0.3">
      <c r="A70" t="s">
        <v>498</v>
      </c>
      <c r="B70" t="s">
        <v>305</v>
      </c>
      <c r="C70" s="24">
        <v>90</v>
      </c>
      <c r="D70" s="24">
        <v>90</v>
      </c>
      <c r="E70" s="24">
        <v>90</v>
      </c>
      <c r="F70" s="24">
        <v>90</v>
      </c>
      <c r="G70" s="24">
        <v>90</v>
      </c>
      <c r="H70" s="24">
        <v>90</v>
      </c>
      <c r="I70" s="24">
        <v>90</v>
      </c>
      <c r="J70" s="24">
        <v>90</v>
      </c>
      <c r="K70" s="24">
        <v>90</v>
      </c>
      <c r="L70" s="24">
        <v>90</v>
      </c>
      <c r="M70" s="24">
        <v>90</v>
      </c>
      <c r="N70" s="24">
        <v>90</v>
      </c>
      <c r="O70" s="24">
        <v>90</v>
      </c>
      <c r="P70" s="24">
        <v>90</v>
      </c>
      <c r="Q70" s="24">
        <v>90</v>
      </c>
      <c r="R70" s="24">
        <v>90</v>
      </c>
      <c r="S70" s="24">
        <v>90</v>
      </c>
      <c r="T70" s="24">
        <v>90</v>
      </c>
      <c r="U70" s="24">
        <v>90</v>
      </c>
      <c r="V70" s="24">
        <v>90</v>
      </c>
      <c r="W70" s="24">
        <v>90</v>
      </c>
      <c r="X70" s="24">
        <v>90</v>
      </c>
      <c r="Y70" s="24">
        <v>90</v>
      </c>
      <c r="Z70" s="24">
        <v>90</v>
      </c>
      <c r="AA70" s="24">
        <v>90</v>
      </c>
      <c r="AB70" s="24">
        <v>90</v>
      </c>
      <c r="AC70" s="24">
        <v>90</v>
      </c>
      <c r="AD70" s="24">
        <v>90</v>
      </c>
      <c r="AE70" s="24">
        <v>90</v>
      </c>
      <c r="AF70" s="24">
        <v>90</v>
      </c>
      <c r="AG70" s="24">
        <v>90</v>
      </c>
      <c r="AH70" s="24">
        <v>90</v>
      </c>
      <c r="AI70" s="24">
        <v>90</v>
      </c>
      <c r="AJ70" s="24">
        <v>90</v>
      </c>
    </row>
    <row r="71" spans="1:36" x14ac:dyDescent="0.3">
      <c r="A71" t="s">
        <v>755</v>
      </c>
      <c r="B71" t="s">
        <v>305</v>
      </c>
      <c r="C71" s="24">
        <v>0</v>
      </c>
      <c r="D71" s="24">
        <v>0</v>
      </c>
      <c r="E71" s="24">
        <v>0</v>
      </c>
      <c r="F71" s="24">
        <v>0</v>
      </c>
      <c r="G71" s="24">
        <v>0</v>
      </c>
      <c r="H71" s="24">
        <v>0</v>
      </c>
      <c r="I71" s="24">
        <v>0</v>
      </c>
      <c r="J71" s="24">
        <v>0</v>
      </c>
      <c r="K71" s="24">
        <v>0</v>
      </c>
      <c r="L71" s="24">
        <v>0</v>
      </c>
      <c r="M71" s="24">
        <v>0</v>
      </c>
      <c r="N71" s="24">
        <v>0</v>
      </c>
      <c r="O71" s="24">
        <v>0</v>
      </c>
      <c r="P71" s="24">
        <v>0</v>
      </c>
      <c r="Q71" s="24">
        <v>0</v>
      </c>
      <c r="R71" s="24">
        <v>0</v>
      </c>
      <c r="S71" s="24">
        <v>0</v>
      </c>
      <c r="T71" s="24">
        <v>0</v>
      </c>
      <c r="U71" s="24">
        <v>0</v>
      </c>
      <c r="V71" s="24">
        <v>0</v>
      </c>
      <c r="W71" s="24">
        <v>0</v>
      </c>
      <c r="X71" s="24">
        <v>0</v>
      </c>
      <c r="Y71" s="24">
        <v>0</v>
      </c>
      <c r="Z71" s="24">
        <v>0</v>
      </c>
      <c r="AA71" s="24">
        <v>0</v>
      </c>
      <c r="AB71" s="24">
        <v>0</v>
      </c>
      <c r="AC71" s="24">
        <v>0</v>
      </c>
      <c r="AD71" s="24">
        <v>0</v>
      </c>
      <c r="AE71" s="24">
        <v>0</v>
      </c>
      <c r="AF71" s="24">
        <v>0</v>
      </c>
      <c r="AG71" s="24">
        <v>0</v>
      </c>
      <c r="AH71" s="24">
        <v>0</v>
      </c>
      <c r="AI71" s="24">
        <v>0</v>
      </c>
      <c r="AJ71" s="24">
        <v>0</v>
      </c>
    </row>
    <row r="72" spans="1:36" s="70" customFormat="1" x14ac:dyDescent="0.3">
      <c r="A72" s="70" t="s">
        <v>780</v>
      </c>
      <c r="C72" s="71">
        <f>+SUM(C61:C71)</f>
        <v>100</v>
      </c>
      <c r="D72" s="71">
        <f t="shared" ref="D72" si="100">+SUM(D61:D71)</f>
        <v>100</v>
      </c>
      <c r="E72" s="71">
        <f t="shared" ref="E72" si="101">+SUM(E61:E71)</f>
        <v>100</v>
      </c>
      <c r="F72" s="71">
        <f t="shared" ref="F72" si="102">+SUM(F61:F71)</f>
        <v>100</v>
      </c>
      <c r="G72" s="71">
        <f t="shared" ref="G72" si="103">+SUM(G61:G71)</f>
        <v>100</v>
      </c>
      <c r="H72" s="71">
        <f t="shared" ref="H72" si="104">+SUM(H61:H71)</f>
        <v>100</v>
      </c>
      <c r="I72" s="71">
        <f t="shared" ref="I72" si="105">+SUM(I61:I71)</f>
        <v>100</v>
      </c>
      <c r="J72" s="71">
        <f t="shared" ref="J72" si="106">+SUM(J61:J71)</f>
        <v>100</v>
      </c>
      <c r="K72" s="71">
        <f t="shared" ref="K72" si="107">+SUM(K61:K71)</f>
        <v>100</v>
      </c>
      <c r="L72" s="71">
        <f t="shared" ref="L72" si="108">+SUM(L61:L71)</f>
        <v>100</v>
      </c>
      <c r="M72" s="71">
        <f t="shared" ref="M72" si="109">+SUM(M61:M71)</f>
        <v>100</v>
      </c>
      <c r="N72" s="71">
        <f t="shared" ref="N72" si="110">+SUM(N61:N71)</f>
        <v>100</v>
      </c>
      <c r="O72" s="71">
        <f t="shared" ref="O72" si="111">+SUM(O61:O71)</f>
        <v>100</v>
      </c>
      <c r="P72" s="71">
        <f t="shared" ref="P72" si="112">+SUM(P61:P71)</f>
        <v>100</v>
      </c>
      <c r="Q72" s="71">
        <f t="shared" ref="Q72" si="113">+SUM(Q61:Q71)</f>
        <v>100</v>
      </c>
      <c r="R72" s="71">
        <f t="shared" ref="R72" si="114">+SUM(R61:R71)</f>
        <v>100</v>
      </c>
      <c r="S72" s="71">
        <f t="shared" ref="S72" si="115">+SUM(S61:S71)</f>
        <v>100</v>
      </c>
      <c r="T72" s="71">
        <f t="shared" ref="T72" si="116">+SUM(T61:T71)</f>
        <v>100</v>
      </c>
      <c r="U72" s="71">
        <f t="shared" ref="U72" si="117">+SUM(U61:U71)</f>
        <v>100</v>
      </c>
      <c r="V72" s="71">
        <f t="shared" ref="V72" si="118">+SUM(V61:V71)</f>
        <v>100</v>
      </c>
      <c r="W72" s="71">
        <f t="shared" ref="W72" si="119">+SUM(W61:W71)</f>
        <v>100</v>
      </c>
      <c r="X72" s="71">
        <f t="shared" ref="X72" si="120">+SUM(X61:X71)</f>
        <v>100</v>
      </c>
      <c r="Y72" s="71">
        <f t="shared" ref="Y72" si="121">+SUM(Y61:Y71)</f>
        <v>100</v>
      </c>
      <c r="Z72" s="71">
        <f t="shared" ref="Z72" si="122">+SUM(Z61:Z71)</f>
        <v>100</v>
      </c>
      <c r="AA72" s="71">
        <f t="shared" ref="AA72" si="123">+SUM(AA61:AA71)</f>
        <v>100</v>
      </c>
      <c r="AB72" s="71">
        <f t="shared" ref="AB72" si="124">+SUM(AB61:AB71)</f>
        <v>100</v>
      </c>
      <c r="AC72" s="71">
        <f t="shared" ref="AC72" si="125">+SUM(AC61:AC71)</f>
        <v>100</v>
      </c>
      <c r="AD72" s="71">
        <f t="shared" ref="AD72" si="126">+SUM(AD61:AD71)</f>
        <v>100</v>
      </c>
      <c r="AE72" s="71">
        <f t="shared" ref="AE72" si="127">+SUM(AE61:AE71)</f>
        <v>100</v>
      </c>
      <c r="AF72" s="71">
        <f t="shared" ref="AF72" si="128">+SUM(AF61:AF71)</f>
        <v>100</v>
      </c>
      <c r="AG72" s="71">
        <f t="shared" ref="AG72" si="129">+SUM(AG61:AG71)</f>
        <v>100</v>
      </c>
      <c r="AH72" s="71">
        <f t="shared" ref="AH72" si="130">+SUM(AH61:AH71)</f>
        <v>100</v>
      </c>
      <c r="AI72" s="71">
        <f t="shared" ref="AI72" si="131">+SUM(AI61:AI71)</f>
        <v>100</v>
      </c>
      <c r="AJ72" s="71">
        <f t="shared" ref="AJ72" si="132">+SUM(AJ61:AJ71)</f>
        <v>100</v>
      </c>
    </row>
    <row r="73" spans="1:36" x14ac:dyDescent="0.3">
      <c r="A73" s="69" t="s">
        <v>499</v>
      </c>
      <c r="B73" t="s">
        <v>305</v>
      </c>
      <c r="C73" s="24">
        <v>3</v>
      </c>
      <c r="D73" s="24">
        <v>3</v>
      </c>
      <c r="E73" s="24">
        <v>3</v>
      </c>
      <c r="F73" s="24">
        <v>3</v>
      </c>
      <c r="G73" s="24">
        <v>3</v>
      </c>
      <c r="H73" s="24">
        <v>3</v>
      </c>
      <c r="I73" s="24">
        <v>3</v>
      </c>
      <c r="J73" s="24">
        <v>3</v>
      </c>
      <c r="K73" s="24">
        <v>3</v>
      </c>
      <c r="L73" s="24">
        <v>3</v>
      </c>
      <c r="M73" s="24">
        <v>3</v>
      </c>
      <c r="N73" s="24">
        <v>3</v>
      </c>
      <c r="O73" s="24">
        <v>3</v>
      </c>
      <c r="P73" s="24">
        <v>3</v>
      </c>
      <c r="Q73" s="24">
        <v>3</v>
      </c>
      <c r="R73" s="24">
        <v>3</v>
      </c>
      <c r="S73" s="24">
        <v>3</v>
      </c>
      <c r="T73" s="24">
        <v>3</v>
      </c>
      <c r="U73" s="24">
        <v>3</v>
      </c>
      <c r="V73" s="24">
        <v>3</v>
      </c>
      <c r="W73" s="24">
        <v>3</v>
      </c>
      <c r="X73" s="24">
        <v>3</v>
      </c>
      <c r="Y73" s="24">
        <v>3</v>
      </c>
      <c r="Z73" s="24">
        <v>3</v>
      </c>
      <c r="AA73" s="24">
        <v>3</v>
      </c>
      <c r="AB73" s="24">
        <v>3</v>
      </c>
      <c r="AC73" s="24">
        <v>3</v>
      </c>
      <c r="AD73" s="24">
        <v>3</v>
      </c>
      <c r="AE73" s="24">
        <v>3</v>
      </c>
      <c r="AF73" s="24">
        <v>3</v>
      </c>
      <c r="AG73" s="24">
        <v>3</v>
      </c>
      <c r="AH73" s="24">
        <v>3</v>
      </c>
      <c r="AI73" s="24">
        <v>3</v>
      </c>
      <c r="AJ73" s="24">
        <v>3</v>
      </c>
    </row>
    <row r="74" spans="1:36" x14ac:dyDescent="0.3">
      <c r="A74" s="69" t="s">
        <v>500</v>
      </c>
      <c r="B74" t="s">
        <v>305</v>
      </c>
      <c r="C74" s="24">
        <v>3</v>
      </c>
      <c r="D74" s="24">
        <v>3</v>
      </c>
      <c r="E74" s="24">
        <v>3</v>
      </c>
      <c r="F74" s="24">
        <v>3</v>
      </c>
      <c r="G74" s="24">
        <v>3</v>
      </c>
      <c r="H74" s="24">
        <v>3</v>
      </c>
      <c r="I74" s="24">
        <v>3</v>
      </c>
      <c r="J74" s="24">
        <v>3</v>
      </c>
      <c r="K74" s="24">
        <v>3</v>
      </c>
      <c r="L74" s="24">
        <v>3</v>
      </c>
      <c r="M74" s="24">
        <v>3</v>
      </c>
      <c r="N74" s="24">
        <v>3</v>
      </c>
      <c r="O74" s="24">
        <v>3</v>
      </c>
      <c r="P74" s="24">
        <v>3</v>
      </c>
      <c r="Q74" s="24">
        <v>3</v>
      </c>
      <c r="R74" s="24">
        <v>3</v>
      </c>
      <c r="S74" s="24">
        <v>3</v>
      </c>
      <c r="T74" s="24">
        <v>3</v>
      </c>
      <c r="U74" s="24">
        <v>3</v>
      </c>
      <c r="V74" s="24">
        <v>3</v>
      </c>
      <c r="W74" s="24">
        <v>3</v>
      </c>
      <c r="X74" s="24">
        <v>3</v>
      </c>
      <c r="Y74" s="24">
        <v>3</v>
      </c>
      <c r="Z74" s="24">
        <v>3</v>
      </c>
      <c r="AA74" s="24">
        <v>3</v>
      </c>
      <c r="AB74" s="24">
        <v>3</v>
      </c>
      <c r="AC74" s="24">
        <v>3</v>
      </c>
      <c r="AD74" s="24">
        <v>3</v>
      </c>
      <c r="AE74" s="24">
        <v>3</v>
      </c>
      <c r="AF74" s="24">
        <v>3</v>
      </c>
      <c r="AG74" s="24">
        <v>3</v>
      </c>
      <c r="AH74" s="24">
        <v>3</v>
      </c>
      <c r="AI74" s="24">
        <v>3</v>
      </c>
      <c r="AJ74" s="24">
        <v>3</v>
      </c>
    </row>
    <row r="75" spans="1:36" x14ac:dyDescent="0.3">
      <c r="A75" s="69" t="s">
        <v>501</v>
      </c>
      <c r="B75" t="s">
        <v>305</v>
      </c>
      <c r="C75" s="24">
        <v>86</v>
      </c>
      <c r="D75" s="24">
        <v>86</v>
      </c>
      <c r="E75" s="24">
        <v>86</v>
      </c>
      <c r="F75" s="24">
        <v>86</v>
      </c>
      <c r="G75" s="24">
        <v>86</v>
      </c>
      <c r="H75" s="24">
        <v>86</v>
      </c>
      <c r="I75" s="24">
        <v>86</v>
      </c>
      <c r="J75" s="24">
        <v>86</v>
      </c>
      <c r="K75" s="24">
        <v>86</v>
      </c>
      <c r="L75" s="24">
        <v>86</v>
      </c>
      <c r="M75" s="24">
        <v>86</v>
      </c>
      <c r="N75" s="24">
        <v>86</v>
      </c>
      <c r="O75" s="24">
        <v>86</v>
      </c>
      <c r="P75" s="24">
        <v>86</v>
      </c>
      <c r="Q75" s="24">
        <v>86</v>
      </c>
      <c r="R75" s="24">
        <v>86</v>
      </c>
      <c r="S75" s="24">
        <v>86</v>
      </c>
      <c r="T75" s="24">
        <v>86</v>
      </c>
      <c r="U75" s="24">
        <v>86</v>
      </c>
      <c r="V75" s="24">
        <v>86</v>
      </c>
      <c r="W75" s="24">
        <v>86</v>
      </c>
      <c r="X75" s="24">
        <v>86</v>
      </c>
      <c r="Y75" s="24">
        <v>86</v>
      </c>
      <c r="Z75" s="24">
        <v>86</v>
      </c>
      <c r="AA75" s="24">
        <v>86</v>
      </c>
      <c r="AB75" s="24">
        <v>86</v>
      </c>
      <c r="AC75" s="24">
        <v>86</v>
      </c>
      <c r="AD75" s="24">
        <v>86</v>
      </c>
      <c r="AE75" s="24">
        <v>86</v>
      </c>
      <c r="AF75" s="24">
        <v>86</v>
      </c>
      <c r="AG75" s="24">
        <v>86</v>
      </c>
      <c r="AH75" s="24">
        <v>86</v>
      </c>
      <c r="AI75" s="24">
        <v>86</v>
      </c>
      <c r="AJ75" s="24">
        <v>86</v>
      </c>
    </row>
    <row r="76" spans="1:36" x14ac:dyDescent="0.3">
      <c r="A76" s="69" t="s">
        <v>502</v>
      </c>
      <c r="B76" t="s">
        <v>305</v>
      </c>
      <c r="C76" s="24">
        <v>0</v>
      </c>
      <c r="D76" s="24">
        <v>0</v>
      </c>
      <c r="E76" s="24">
        <v>0</v>
      </c>
      <c r="F76" s="24">
        <v>0</v>
      </c>
      <c r="G76" s="24">
        <v>0</v>
      </c>
      <c r="H76" s="24">
        <v>0</v>
      </c>
      <c r="I76" s="24">
        <v>0</v>
      </c>
      <c r="J76" s="24">
        <v>0</v>
      </c>
      <c r="K76" s="24">
        <v>0</v>
      </c>
      <c r="L76" s="24">
        <v>0</v>
      </c>
      <c r="M76" s="24">
        <v>0</v>
      </c>
      <c r="N76" s="24">
        <v>0</v>
      </c>
      <c r="O76" s="24">
        <v>0</v>
      </c>
      <c r="P76" s="24">
        <v>0</v>
      </c>
      <c r="Q76" s="24">
        <v>0</v>
      </c>
      <c r="R76" s="24">
        <v>0</v>
      </c>
      <c r="S76" s="24">
        <v>0</v>
      </c>
      <c r="T76" s="24">
        <v>0</v>
      </c>
      <c r="U76" s="24">
        <v>0</v>
      </c>
      <c r="V76" s="24">
        <v>0</v>
      </c>
      <c r="W76" s="24">
        <v>0</v>
      </c>
      <c r="X76" s="24">
        <v>0</v>
      </c>
      <c r="Y76" s="24">
        <v>0</v>
      </c>
      <c r="Z76" s="24">
        <v>0</v>
      </c>
      <c r="AA76" s="24">
        <v>0</v>
      </c>
      <c r="AB76" s="24">
        <v>0</v>
      </c>
      <c r="AC76" s="24">
        <v>0</v>
      </c>
      <c r="AD76" s="24">
        <v>0</v>
      </c>
      <c r="AE76" s="24">
        <v>0</v>
      </c>
      <c r="AF76" s="24">
        <v>0</v>
      </c>
      <c r="AG76" s="24">
        <v>0</v>
      </c>
      <c r="AH76" s="24">
        <v>0</v>
      </c>
      <c r="AI76" s="24">
        <v>0</v>
      </c>
      <c r="AJ76" s="24">
        <v>0</v>
      </c>
    </row>
    <row r="77" spans="1:36" x14ac:dyDescent="0.3">
      <c r="A77" s="69" t="s">
        <v>503</v>
      </c>
      <c r="B77" t="s">
        <v>305</v>
      </c>
      <c r="C77" s="24">
        <v>3</v>
      </c>
      <c r="D77" s="24">
        <v>3</v>
      </c>
      <c r="E77" s="24">
        <v>3</v>
      </c>
      <c r="F77" s="24">
        <v>3</v>
      </c>
      <c r="G77" s="24">
        <v>3</v>
      </c>
      <c r="H77" s="24">
        <v>3</v>
      </c>
      <c r="I77" s="24">
        <v>3</v>
      </c>
      <c r="J77" s="24">
        <v>3</v>
      </c>
      <c r="K77" s="24">
        <v>3</v>
      </c>
      <c r="L77" s="24">
        <v>3</v>
      </c>
      <c r="M77" s="24">
        <v>3</v>
      </c>
      <c r="N77" s="24">
        <v>3</v>
      </c>
      <c r="O77" s="24">
        <v>3</v>
      </c>
      <c r="P77" s="24">
        <v>3</v>
      </c>
      <c r="Q77" s="24">
        <v>3</v>
      </c>
      <c r="R77" s="24">
        <v>3</v>
      </c>
      <c r="S77" s="24">
        <v>3</v>
      </c>
      <c r="T77" s="24">
        <v>3</v>
      </c>
      <c r="U77" s="24">
        <v>3</v>
      </c>
      <c r="V77" s="24">
        <v>3</v>
      </c>
      <c r="W77" s="24">
        <v>3</v>
      </c>
      <c r="X77" s="24">
        <v>3</v>
      </c>
      <c r="Y77" s="24">
        <v>3</v>
      </c>
      <c r="Z77" s="24">
        <v>3</v>
      </c>
      <c r="AA77" s="24">
        <v>3</v>
      </c>
      <c r="AB77" s="24">
        <v>3</v>
      </c>
      <c r="AC77" s="24">
        <v>3</v>
      </c>
      <c r="AD77" s="24">
        <v>3</v>
      </c>
      <c r="AE77" s="24">
        <v>3</v>
      </c>
      <c r="AF77" s="24">
        <v>3</v>
      </c>
      <c r="AG77" s="24">
        <v>3</v>
      </c>
      <c r="AH77" s="24">
        <v>3</v>
      </c>
      <c r="AI77" s="24">
        <v>3</v>
      </c>
      <c r="AJ77" s="24">
        <v>3</v>
      </c>
    </row>
    <row r="78" spans="1:36" x14ac:dyDescent="0.3">
      <c r="A78" s="69" t="s">
        <v>504</v>
      </c>
      <c r="B78" t="s">
        <v>305</v>
      </c>
      <c r="C78" s="24">
        <v>5</v>
      </c>
      <c r="D78" s="24">
        <v>5</v>
      </c>
      <c r="E78" s="24">
        <v>5</v>
      </c>
      <c r="F78" s="24">
        <v>5</v>
      </c>
      <c r="G78" s="24">
        <v>5</v>
      </c>
      <c r="H78" s="24">
        <v>5</v>
      </c>
      <c r="I78" s="24">
        <v>5</v>
      </c>
      <c r="J78" s="24">
        <v>5</v>
      </c>
      <c r="K78" s="24">
        <v>5</v>
      </c>
      <c r="L78" s="24">
        <v>5</v>
      </c>
      <c r="M78" s="24">
        <v>5</v>
      </c>
      <c r="N78" s="24">
        <v>5</v>
      </c>
      <c r="O78" s="24">
        <v>5</v>
      </c>
      <c r="P78" s="24">
        <v>5</v>
      </c>
      <c r="Q78" s="24">
        <v>5</v>
      </c>
      <c r="R78" s="24">
        <v>5</v>
      </c>
      <c r="S78" s="24">
        <v>5</v>
      </c>
      <c r="T78" s="24">
        <v>5</v>
      </c>
      <c r="U78" s="24">
        <v>5</v>
      </c>
      <c r="V78" s="24">
        <v>5</v>
      </c>
      <c r="W78" s="24">
        <v>5</v>
      </c>
      <c r="X78" s="24">
        <v>5</v>
      </c>
      <c r="Y78" s="24">
        <v>5</v>
      </c>
      <c r="Z78" s="24">
        <v>5</v>
      </c>
      <c r="AA78" s="24">
        <v>5</v>
      </c>
      <c r="AB78" s="24">
        <v>5</v>
      </c>
      <c r="AC78" s="24">
        <v>5</v>
      </c>
      <c r="AD78" s="24">
        <v>5</v>
      </c>
      <c r="AE78" s="24">
        <v>5</v>
      </c>
      <c r="AF78" s="24">
        <v>5</v>
      </c>
      <c r="AG78" s="24">
        <v>5</v>
      </c>
      <c r="AH78" s="24">
        <v>5</v>
      </c>
      <c r="AI78" s="24">
        <v>5</v>
      </c>
      <c r="AJ78" s="24">
        <v>5</v>
      </c>
    </row>
    <row r="79" spans="1:36" x14ac:dyDescent="0.3">
      <c r="A79" s="69" t="s">
        <v>505</v>
      </c>
      <c r="B79" t="s">
        <v>305</v>
      </c>
      <c r="C79" s="24">
        <v>0</v>
      </c>
      <c r="D79" s="24">
        <v>0</v>
      </c>
      <c r="E79" s="24">
        <v>0</v>
      </c>
      <c r="F79" s="24">
        <v>0</v>
      </c>
      <c r="G79" s="24">
        <v>0</v>
      </c>
      <c r="H79" s="24">
        <v>0</v>
      </c>
      <c r="I79" s="24">
        <v>0</v>
      </c>
      <c r="J79" s="24">
        <v>0</v>
      </c>
      <c r="K79" s="24">
        <v>0</v>
      </c>
      <c r="L79" s="24">
        <v>0</v>
      </c>
      <c r="M79" s="24">
        <v>0</v>
      </c>
      <c r="N79" s="24">
        <v>0</v>
      </c>
      <c r="O79" s="24">
        <v>0</v>
      </c>
      <c r="P79" s="24">
        <v>0</v>
      </c>
      <c r="Q79" s="24">
        <v>0</v>
      </c>
      <c r="R79" s="24">
        <v>0</v>
      </c>
      <c r="S79" s="24">
        <v>0</v>
      </c>
      <c r="T79" s="24">
        <v>0</v>
      </c>
      <c r="U79" s="24">
        <v>0</v>
      </c>
      <c r="V79" s="24">
        <v>0</v>
      </c>
      <c r="W79" s="24">
        <v>0</v>
      </c>
      <c r="X79" s="24">
        <v>0</v>
      </c>
      <c r="Y79" s="24">
        <v>0</v>
      </c>
      <c r="Z79" s="24">
        <v>0</v>
      </c>
      <c r="AA79" s="24">
        <v>0</v>
      </c>
      <c r="AB79" s="24">
        <v>0</v>
      </c>
      <c r="AC79" s="24">
        <v>0</v>
      </c>
      <c r="AD79" s="24">
        <v>0</v>
      </c>
      <c r="AE79" s="24">
        <v>0</v>
      </c>
      <c r="AF79" s="24">
        <v>0</v>
      </c>
      <c r="AG79" s="24">
        <v>0</v>
      </c>
      <c r="AH79" s="24">
        <v>0</v>
      </c>
      <c r="AI79" s="24">
        <v>0</v>
      </c>
      <c r="AJ79" s="24">
        <v>0</v>
      </c>
    </row>
    <row r="80" spans="1:36" x14ac:dyDescent="0.3">
      <c r="A80" s="69" t="s">
        <v>506</v>
      </c>
      <c r="B80" t="s">
        <v>305</v>
      </c>
      <c r="C80" s="24">
        <v>0</v>
      </c>
      <c r="D80" s="24">
        <v>0</v>
      </c>
      <c r="E80" s="24">
        <v>0</v>
      </c>
      <c r="F80" s="24">
        <v>0</v>
      </c>
      <c r="G80" s="24">
        <v>0</v>
      </c>
      <c r="H80" s="24">
        <v>0</v>
      </c>
      <c r="I80" s="24">
        <v>0</v>
      </c>
      <c r="J80" s="24">
        <v>0</v>
      </c>
      <c r="K80" s="24">
        <v>0</v>
      </c>
      <c r="L80" s="24">
        <v>0</v>
      </c>
      <c r="M80" s="24">
        <v>0</v>
      </c>
      <c r="N80" s="24">
        <v>0</v>
      </c>
      <c r="O80" s="24">
        <v>0</v>
      </c>
      <c r="P80" s="24">
        <v>0</v>
      </c>
      <c r="Q80" s="24">
        <v>0</v>
      </c>
      <c r="R80" s="24">
        <v>0</v>
      </c>
      <c r="S80" s="24">
        <v>0</v>
      </c>
      <c r="T80" s="24">
        <v>0</v>
      </c>
      <c r="U80" s="24">
        <v>0</v>
      </c>
      <c r="V80" s="24">
        <v>0</v>
      </c>
      <c r="W80" s="24">
        <v>0</v>
      </c>
      <c r="X80" s="24">
        <v>0</v>
      </c>
      <c r="Y80" s="24">
        <v>0</v>
      </c>
      <c r="Z80" s="24">
        <v>0</v>
      </c>
      <c r="AA80" s="24">
        <v>0</v>
      </c>
      <c r="AB80" s="24">
        <v>0</v>
      </c>
      <c r="AC80" s="24">
        <v>0</v>
      </c>
      <c r="AD80" s="24">
        <v>0</v>
      </c>
      <c r="AE80" s="24">
        <v>0</v>
      </c>
      <c r="AF80" s="24">
        <v>0</v>
      </c>
      <c r="AG80" s="24">
        <v>0</v>
      </c>
      <c r="AH80" s="24">
        <v>0</v>
      </c>
      <c r="AI80" s="24">
        <v>0</v>
      </c>
      <c r="AJ80" s="24">
        <v>0</v>
      </c>
    </row>
    <row r="81" spans="1:36" x14ac:dyDescent="0.3">
      <c r="A81" s="69" t="s">
        <v>507</v>
      </c>
      <c r="B81" t="s">
        <v>305</v>
      </c>
      <c r="C81" s="24">
        <v>0</v>
      </c>
      <c r="D81" s="24">
        <v>0</v>
      </c>
      <c r="E81" s="24">
        <v>0</v>
      </c>
      <c r="F81" s="24">
        <v>0</v>
      </c>
      <c r="G81" s="24">
        <v>0</v>
      </c>
      <c r="H81" s="24">
        <v>0</v>
      </c>
      <c r="I81" s="24">
        <v>0</v>
      </c>
      <c r="J81" s="24">
        <v>0</v>
      </c>
      <c r="K81" s="24">
        <v>0</v>
      </c>
      <c r="L81" s="24">
        <v>0</v>
      </c>
      <c r="M81" s="24">
        <v>0</v>
      </c>
      <c r="N81" s="24">
        <v>0</v>
      </c>
      <c r="O81" s="24">
        <v>0</v>
      </c>
      <c r="P81" s="24">
        <v>0</v>
      </c>
      <c r="Q81" s="24">
        <v>0</v>
      </c>
      <c r="R81" s="24">
        <v>0</v>
      </c>
      <c r="S81" s="24">
        <v>0</v>
      </c>
      <c r="T81" s="24">
        <v>0</v>
      </c>
      <c r="U81" s="24">
        <v>0</v>
      </c>
      <c r="V81" s="24">
        <v>0</v>
      </c>
      <c r="W81" s="24">
        <v>0</v>
      </c>
      <c r="X81" s="24">
        <v>0</v>
      </c>
      <c r="Y81" s="24">
        <v>0</v>
      </c>
      <c r="Z81" s="24">
        <v>0</v>
      </c>
      <c r="AA81" s="24">
        <v>0</v>
      </c>
      <c r="AB81" s="24">
        <v>0</v>
      </c>
      <c r="AC81" s="24">
        <v>0</v>
      </c>
      <c r="AD81" s="24">
        <v>0</v>
      </c>
      <c r="AE81" s="24">
        <v>0</v>
      </c>
      <c r="AF81" s="24">
        <v>0</v>
      </c>
      <c r="AG81" s="24">
        <v>0</v>
      </c>
      <c r="AH81" s="24">
        <v>0</v>
      </c>
      <c r="AI81" s="24">
        <v>0</v>
      </c>
      <c r="AJ81" s="24">
        <v>0</v>
      </c>
    </row>
    <row r="82" spans="1:36" x14ac:dyDescent="0.3">
      <c r="A82" s="69" t="s">
        <v>508</v>
      </c>
      <c r="B82" t="s">
        <v>305</v>
      </c>
      <c r="C82" s="24">
        <v>0</v>
      </c>
      <c r="D82" s="24">
        <v>0</v>
      </c>
      <c r="E82" s="24">
        <v>0</v>
      </c>
      <c r="F82" s="24">
        <v>0</v>
      </c>
      <c r="G82" s="24">
        <v>0</v>
      </c>
      <c r="H82" s="24">
        <v>0</v>
      </c>
      <c r="I82" s="24">
        <v>0</v>
      </c>
      <c r="J82" s="24">
        <v>0</v>
      </c>
      <c r="K82" s="24">
        <v>0</v>
      </c>
      <c r="L82" s="24">
        <v>0</v>
      </c>
      <c r="M82" s="24">
        <v>0</v>
      </c>
      <c r="N82" s="24">
        <v>0</v>
      </c>
      <c r="O82" s="24">
        <v>0</v>
      </c>
      <c r="P82" s="24">
        <v>0</v>
      </c>
      <c r="Q82" s="24">
        <v>0</v>
      </c>
      <c r="R82" s="24">
        <v>0</v>
      </c>
      <c r="S82" s="24">
        <v>0</v>
      </c>
      <c r="T82" s="24">
        <v>0</v>
      </c>
      <c r="U82" s="24">
        <v>0</v>
      </c>
      <c r="V82" s="24">
        <v>0</v>
      </c>
      <c r="W82" s="24">
        <v>0</v>
      </c>
      <c r="X82" s="24">
        <v>0</v>
      </c>
      <c r="Y82" s="24">
        <v>0</v>
      </c>
      <c r="Z82" s="24">
        <v>0</v>
      </c>
      <c r="AA82" s="24">
        <v>0</v>
      </c>
      <c r="AB82" s="24">
        <v>0</v>
      </c>
      <c r="AC82" s="24">
        <v>0</v>
      </c>
      <c r="AD82" s="24">
        <v>0</v>
      </c>
      <c r="AE82" s="24">
        <v>0</v>
      </c>
      <c r="AF82" s="24">
        <v>0</v>
      </c>
      <c r="AG82" s="24">
        <v>0</v>
      </c>
      <c r="AH82" s="24">
        <v>0</v>
      </c>
      <c r="AI82" s="24">
        <v>0</v>
      </c>
      <c r="AJ82" s="24">
        <v>0</v>
      </c>
    </row>
    <row r="83" spans="1:36" x14ac:dyDescent="0.3">
      <c r="A83" s="69" t="s">
        <v>756</v>
      </c>
      <c r="B83" t="s">
        <v>305</v>
      </c>
      <c r="C83" s="24">
        <v>0</v>
      </c>
      <c r="D83" s="24">
        <v>0</v>
      </c>
      <c r="E83" s="24">
        <v>0</v>
      </c>
      <c r="F83" s="24">
        <v>0</v>
      </c>
      <c r="G83" s="24">
        <v>0</v>
      </c>
      <c r="H83" s="24">
        <v>0</v>
      </c>
      <c r="I83" s="24">
        <v>0</v>
      </c>
      <c r="J83" s="24">
        <v>0</v>
      </c>
      <c r="K83" s="24">
        <v>0</v>
      </c>
      <c r="L83" s="24">
        <v>0</v>
      </c>
      <c r="M83" s="24">
        <v>0</v>
      </c>
      <c r="N83" s="24">
        <v>0</v>
      </c>
      <c r="O83" s="24">
        <v>0</v>
      </c>
      <c r="P83" s="24">
        <v>0</v>
      </c>
      <c r="Q83" s="24">
        <v>0</v>
      </c>
      <c r="R83" s="24">
        <v>0</v>
      </c>
      <c r="S83" s="24">
        <v>0</v>
      </c>
      <c r="T83" s="24">
        <v>0</v>
      </c>
      <c r="U83" s="24">
        <v>0</v>
      </c>
      <c r="V83" s="24">
        <v>0</v>
      </c>
      <c r="W83" s="24">
        <v>0</v>
      </c>
      <c r="X83" s="24">
        <v>0</v>
      </c>
      <c r="Y83" s="24">
        <v>0</v>
      </c>
      <c r="Z83" s="24">
        <v>0</v>
      </c>
      <c r="AA83" s="24">
        <v>0</v>
      </c>
      <c r="AB83" s="24">
        <v>0</v>
      </c>
      <c r="AC83" s="24">
        <v>0</v>
      </c>
      <c r="AD83" s="24">
        <v>0</v>
      </c>
      <c r="AE83" s="24">
        <v>0</v>
      </c>
      <c r="AF83" s="24">
        <v>0</v>
      </c>
      <c r="AG83" s="24">
        <v>0</v>
      </c>
      <c r="AH83" s="24">
        <v>0</v>
      </c>
      <c r="AI83" s="24">
        <v>0</v>
      </c>
      <c r="AJ83" s="24">
        <v>0</v>
      </c>
    </row>
    <row r="84" spans="1:36" s="70" customFormat="1" x14ac:dyDescent="0.3">
      <c r="A84" s="70" t="s">
        <v>780</v>
      </c>
      <c r="C84" s="71">
        <f>+SUM(C73:C83)</f>
        <v>100</v>
      </c>
      <c r="D84" s="71">
        <f t="shared" ref="D84" si="133">+SUM(D73:D83)</f>
        <v>100</v>
      </c>
      <c r="E84" s="71">
        <f t="shared" ref="E84" si="134">+SUM(E73:E83)</f>
        <v>100</v>
      </c>
      <c r="F84" s="71">
        <f t="shared" ref="F84" si="135">+SUM(F73:F83)</f>
        <v>100</v>
      </c>
      <c r="G84" s="71">
        <f t="shared" ref="G84" si="136">+SUM(G73:G83)</f>
        <v>100</v>
      </c>
      <c r="H84" s="71">
        <f t="shared" ref="H84" si="137">+SUM(H73:H83)</f>
        <v>100</v>
      </c>
      <c r="I84" s="71">
        <f t="shared" ref="I84" si="138">+SUM(I73:I83)</f>
        <v>100</v>
      </c>
      <c r="J84" s="71">
        <f t="shared" ref="J84" si="139">+SUM(J73:J83)</f>
        <v>100</v>
      </c>
      <c r="K84" s="71">
        <f t="shared" ref="K84" si="140">+SUM(K73:K83)</f>
        <v>100</v>
      </c>
      <c r="L84" s="71">
        <f t="shared" ref="L84" si="141">+SUM(L73:L83)</f>
        <v>100</v>
      </c>
      <c r="M84" s="71">
        <f t="shared" ref="M84" si="142">+SUM(M73:M83)</f>
        <v>100</v>
      </c>
      <c r="N84" s="71">
        <f t="shared" ref="N84" si="143">+SUM(N73:N83)</f>
        <v>100</v>
      </c>
      <c r="O84" s="71">
        <f t="shared" ref="O84" si="144">+SUM(O73:O83)</f>
        <v>100</v>
      </c>
      <c r="P84" s="71">
        <f t="shared" ref="P84" si="145">+SUM(P73:P83)</f>
        <v>100</v>
      </c>
      <c r="Q84" s="71">
        <f t="shared" ref="Q84" si="146">+SUM(Q73:Q83)</f>
        <v>100</v>
      </c>
      <c r="R84" s="71">
        <f t="shared" ref="R84" si="147">+SUM(R73:R83)</f>
        <v>100</v>
      </c>
      <c r="S84" s="71">
        <f t="shared" ref="S84" si="148">+SUM(S73:S83)</f>
        <v>100</v>
      </c>
      <c r="T84" s="71">
        <f t="shared" ref="T84" si="149">+SUM(T73:T83)</f>
        <v>100</v>
      </c>
      <c r="U84" s="71">
        <f t="shared" ref="U84" si="150">+SUM(U73:U83)</f>
        <v>100</v>
      </c>
      <c r="V84" s="71">
        <f t="shared" ref="V84" si="151">+SUM(V73:V83)</f>
        <v>100</v>
      </c>
      <c r="W84" s="71">
        <f t="shared" ref="W84" si="152">+SUM(W73:W83)</f>
        <v>100</v>
      </c>
      <c r="X84" s="71">
        <f t="shared" ref="X84" si="153">+SUM(X73:X83)</f>
        <v>100</v>
      </c>
      <c r="Y84" s="71">
        <f t="shared" ref="Y84" si="154">+SUM(Y73:Y83)</f>
        <v>100</v>
      </c>
      <c r="Z84" s="71">
        <f t="shared" ref="Z84" si="155">+SUM(Z73:Z83)</f>
        <v>100</v>
      </c>
      <c r="AA84" s="71">
        <f t="shared" ref="AA84" si="156">+SUM(AA73:AA83)</f>
        <v>100</v>
      </c>
      <c r="AB84" s="71">
        <f t="shared" ref="AB84" si="157">+SUM(AB73:AB83)</f>
        <v>100</v>
      </c>
      <c r="AC84" s="71">
        <f t="shared" ref="AC84" si="158">+SUM(AC73:AC83)</f>
        <v>100</v>
      </c>
      <c r="AD84" s="71">
        <f t="shared" ref="AD84" si="159">+SUM(AD73:AD83)</f>
        <v>100</v>
      </c>
      <c r="AE84" s="71">
        <f t="shared" ref="AE84" si="160">+SUM(AE73:AE83)</f>
        <v>100</v>
      </c>
      <c r="AF84" s="71">
        <f t="shared" ref="AF84" si="161">+SUM(AF73:AF83)</f>
        <v>100</v>
      </c>
      <c r="AG84" s="71">
        <f t="shared" ref="AG84" si="162">+SUM(AG73:AG83)</f>
        <v>100</v>
      </c>
      <c r="AH84" s="71">
        <f t="shared" ref="AH84" si="163">+SUM(AH73:AH83)</f>
        <v>100</v>
      </c>
      <c r="AI84" s="71">
        <f t="shared" ref="AI84" si="164">+SUM(AI73:AI83)</f>
        <v>100</v>
      </c>
      <c r="AJ84" s="71">
        <f t="shared" ref="AJ84" si="165">+SUM(AJ73:AJ83)</f>
        <v>100</v>
      </c>
    </row>
    <row r="85" spans="1:36" s="68" customFormat="1" ht="15.6" x14ac:dyDescent="0.3">
      <c r="A85" s="66" t="s">
        <v>773</v>
      </c>
      <c r="B85" s="67"/>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row>
    <row r="86" spans="1:36" x14ac:dyDescent="0.3">
      <c r="A86" t="s">
        <v>509</v>
      </c>
      <c r="B86" t="s">
        <v>305</v>
      </c>
      <c r="C86" s="24">
        <v>0</v>
      </c>
      <c r="D86" s="24">
        <v>0</v>
      </c>
      <c r="E86" s="24">
        <v>0</v>
      </c>
      <c r="F86" s="24">
        <v>0</v>
      </c>
      <c r="G86" s="24">
        <v>0</v>
      </c>
      <c r="H86" s="24">
        <v>0</v>
      </c>
      <c r="I86" s="24">
        <v>0</v>
      </c>
      <c r="J86" s="24">
        <v>0</v>
      </c>
      <c r="K86" s="24">
        <v>0</v>
      </c>
      <c r="L86" s="24">
        <v>0</v>
      </c>
      <c r="M86" s="24">
        <v>0</v>
      </c>
      <c r="N86" s="24">
        <v>0</v>
      </c>
      <c r="O86" s="24">
        <v>0</v>
      </c>
      <c r="P86" s="24">
        <v>0</v>
      </c>
      <c r="Q86" s="24">
        <v>0</v>
      </c>
      <c r="R86" s="24">
        <v>0</v>
      </c>
      <c r="S86" s="24">
        <v>0</v>
      </c>
      <c r="T86" s="24">
        <v>0</v>
      </c>
      <c r="U86" s="24">
        <v>0</v>
      </c>
      <c r="V86" s="24">
        <v>0</v>
      </c>
      <c r="W86" s="24">
        <v>0</v>
      </c>
      <c r="X86" s="24">
        <v>0</v>
      </c>
      <c r="Y86" s="24">
        <v>0</v>
      </c>
      <c r="Z86" s="24">
        <v>0</v>
      </c>
      <c r="AA86" s="24">
        <v>0</v>
      </c>
      <c r="AB86" s="24">
        <v>0</v>
      </c>
      <c r="AC86" s="24">
        <v>0</v>
      </c>
      <c r="AD86" s="24">
        <v>0</v>
      </c>
      <c r="AE86" s="24">
        <v>0</v>
      </c>
      <c r="AF86" s="24">
        <v>0</v>
      </c>
      <c r="AG86" s="24">
        <v>0</v>
      </c>
      <c r="AH86" s="24">
        <v>0</v>
      </c>
      <c r="AI86" s="24">
        <v>0</v>
      </c>
      <c r="AJ86" s="24">
        <v>0</v>
      </c>
    </row>
    <row r="87" spans="1:36" x14ac:dyDescent="0.3">
      <c r="A87" t="s">
        <v>510</v>
      </c>
      <c r="B87" t="s">
        <v>305</v>
      </c>
      <c r="C87" s="24">
        <v>0</v>
      </c>
      <c r="D87" s="24">
        <v>0</v>
      </c>
      <c r="E87" s="24">
        <v>0</v>
      </c>
      <c r="F87" s="24">
        <v>0</v>
      </c>
      <c r="G87" s="24">
        <v>0</v>
      </c>
      <c r="H87" s="24">
        <v>0</v>
      </c>
      <c r="I87" s="24">
        <v>0</v>
      </c>
      <c r="J87" s="24">
        <v>0</v>
      </c>
      <c r="K87" s="24">
        <v>0</v>
      </c>
      <c r="L87" s="24">
        <v>0</v>
      </c>
      <c r="M87" s="24">
        <v>0</v>
      </c>
      <c r="N87" s="24">
        <v>0</v>
      </c>
      <c r="O87" s="24">
        <v>0</v>
      </c>
      <c r="P87" s="24">
        <v>0</v>
      </c>
      <c r="Q87" s="24">
        <v>0</v>
      </c>
      <c r="R87" s="24">
        <v>0</v>
      </c>
      <c r="S87" s="24">
        <v>0</v>
      </c>
      <c r="T87" s="24">
        <v>0</v>
      </c>
      <c r="U87" s="24">
        <v>0</v>
      </c>
      <c r="V87" s="24">
        <v>0</v>
      </c>
      <c r="W87" s="24">
        <v>0</v>
      </c>
      <c r="X87" s="24">
        <v>0</v>
      </c>
      <c r="Y87" s="24">
        <v>0</v>
      </c>
      <c r="Z87" s="24">
        <v>0</v>
      </c>
      <c r="AA87" s="24">
        <v>0</v>
      </c>
      <c r="AB87" s="24">
        <v>0</v>
      </c>
      <c r="AC87" s="24">
        <v>0</v>
      </c>
      <c r="AD87" s="24">
        <v>0</v>
      </c>
      <c r="AE87" s="24">
        <v>0</v>
      </c>
      <c r="AF87" s="24">
        <v>0</v>
      </c>
      <c r="AG87" s="24">
        <v>0</v>
      </c>
      <c r="AH87" s="24">
        <v>0</v>
      </c>
      <c r="AI87" s="24">
        <v>0</v>
      </c>
      <c r="AJ87" s="24">
        <v>0</v>
      </c>
    </row>
    <row r="88" spans="1:36" x14ac:dyDescent="0.3">
      <c r="A88" t="s">
        <v>511</v>
      </c>
      <c r="B88" t="s">
        <v>305</v>
      </c>
      <c r="C88" s="24">
        <v>1</v>
      </c>
      <c r="D88" s="24">
        <v>1</v>
      </c>
      <c r="E88" s="24">
        <v>1</v>
      </c>
      <c r="F88" s="24">
        <v>1</v>
      </c>
      <c r="G88" s="24">
        <v>1</v>
      </c>
      <c r="H88" s="24">
        <v>1</v>
      </c>
      <c r="I88" s="24">
        <v>1</v>
      </c>
      <c r="J88" s="24">
        <v>1</v>
      </c>
      <c r="K88" s="24">
        <v>1</v>
      </c>
      <c r="L88" s="24">
        <v>1</v>
      </c>
      <c r="M88" s="24">
        <v>1</v>
      </c>
      <c r="N88" s="24">
        <v>1</v>
      </c>
      <c r="O88" s="24">
        <v>1</v>
      </c>
      <c r="P88" s="24">
        <v>1</v>
      </c>
      <c r="Q88" s="24">
        <v>1</v>
      </c>
      <c r="R88" s="24">
        <v>1</v>
      </c>
      <c r="S88" s="24">
        <v>1</v>
      </c>
      <c r="T88" s="24">
        <v>1</v>
      </c>
      <c r="U88" s="24">
        <v>1</v>
      </c>
      <c r="V88" s="24">
        <v>1</v>
      </c>
      <c r="W88" s="24">
        <v>1</v>
      </c>
      <c r="X88" s="24">
        <v>1</v>
      </c>
      <c r="Y88" s="24">
        <v>1</v>
      </c>
      <c r="Z88" s="24">
        <v>1</v>
      </c>
      <c r="AA88" s="24">
        <v>1</v>
      </c>
      <c r="AB88" s="24">
        <v>1</v>
      </c>
      <c r="AC88" s="24">
        <v>1</v>
      </c>
      <c r="AD88" s="24">
        <v>1</v>
      </c>
      <c r="AE88" s="24">
        <v>1</v>
      </c>
      <c r="AF88" s="24">
        <v>1</v>
      </c>
      <c r="AG88" s="24">
        <v>1</v>
      </c>
      <c r="AH88" s="24">
        <v>1</v>
      </c>
      <c r="AI88" s="24">
        <v>1</v>
      </c>
      <c r="AJ88" s="24">
        <v>1</v>
      </c>
    </row>
    <row r="89" spans="1:36" x14ac:dyDescent="0.3">
      <c r="A89" t="s">
        <v>512</v>
      </c>
      <c r="B89" t="s">
        <v>305</v>
      </c>
      <c r="C89" s="24">
        <v>0</v>
      </c>
      <c r="D89" s="24">
        <v>0</v>
      </c>
      <c r="E89" s="24">
        <v>0</v>
      </c>
      <c r="F89" s="24">
        <v>0</v>
      </c>
      <c r="G89" s="24">
        <v>0</v>
      </c>
      <c r="H89" s="24">
        <v>0</v>
      </c>
      <c r="I89" s="24">
        <v>0</v>
      </c>
      <c r="J89" s="24">
        <v>0</v>
      </c>
      <c r="K89" s="24">
        <v>0</v>
      </c>
      <c r="L89" s="24">
        <v>0</v>
      </c>
      <c r="M89" s="24">
        <v>0</v>
      </c>
      <c r="N89" s="24">
        <v>0</v>
      </c>
      <c r="O89" s="24">
        <v>0</v>
      </c>
      <c r="P89" s="24">
        <v>0</v>
      </c>
      <c r="Q89" s="24">
        <v>0</v>
      </c>
      <c r="R89" s="24">
        <v>0</v>
      </c>
      <c r="S89" s="24">
        <v>0</v>
      </c>
      <c r="T89" s="24">
        <v>0</v>
      </c>
      <c r="U89" s="24">
        <v>0</v>
      </c>
      <c r="V89" s="24">
        <v>0</v>
      </c>
      <c r="W89" s="24">
        <v>0</v>
      </c>
      <c r="X89" s="24">
        <v>0</v>
      </c>
      <c r="Y89" s="24">
        <v>0</v>
      </c>
      <c r="Z89" s="24">
        <v>0</v>
      </c>
      <c r="AA89" s="24">
        <v>0</v>
      </c>
      <c r="AB89" s="24">
        <v>0</v>
      </c>
      <c r="AC89" s="24">
        <v>0</v>
      </c>
      <c r="AD89" s="24">
        <v>0</v>
      </c>
      <c r="AE89" s="24">
        <v>0</v>
      </c>
      <c r="AF89" s="24">
        <v>0</v>
      </c>
      <c r="AG89" s="24">
        <v>0</v>
      </c>
      <c r="AH89" s="24">
        <v>0</v>
      </c>
      <c r="AI89" s="24">
        <v>0</v>
      </c>
      <c r="AJ89" s="24">
        <v>0</v>
      </c>
    </row>
    <row r="90" spans="1:36" x14ac:dyDescent="0.3">
      <c r="A90" t="s">
        <v>513</v>
      </c>
      <c r="B90" t="s">
        <v>305</v>
      </c>
      <c r="C90" s="24">
        <v>0</v>
      </c>
      <c r="D90" s="24">
        <v>0</v>
      </c>
      <c r="E90" s="24">
        <v>0</v>
      </c>
      <c r="F90" s="24">
        <v>0</v>
      </c>
      <c r="G90" s="24">
        <v>0</v>
      </c>
      <c r="H90" s="24">
        <v>0</v>
      </c>
      <c r="I90" s="24">
        <v>0</v>
      </c>
      <c r="J90" s="24">
        <v>0</v>
      </c>
      <c r="K90" s="24">
        <v>0</v>
      </c>
      <c r="L90" s="24">
        <v>0</v>
      </c>
      <c r="M90" s="24">
        <v>0</v>
      </c>
      <c r="N90" s="24">
        <v>0</v>
      </c>
      <c r="O90" s="24">
        <v>0</v>
      </c>
      <c r="P90" s="24">
        <v>0</v>
      </c>
      <c r="Q90" s="24">
        <v>0</v>
      </c>
      <c r="R90" s="24">
        <v>0</v>
      </c>
      <c r="S90" s="24">
        <v>0</v>
      </c>
      <c r="T90" s="24">
        <v>0</v>
      </c>
      <c r="U90" s="24">
        <v>0</v>
      </c>
      <c r="V90" s="24">
        <v>0</v>
      </c>
      <c r="W90" s="24">
        <v>0</v>
      </c>
      <c r="X90" s="24">
        <v>0</v>
      </c>
      <c r="Y90" s="24">
        <v>0</v>
      </c>
      <c r="Z90" s="24">
        <v>0</v>
      </c>
      <c r="AA90" s="24">
        <v>0</v>
      </c>
      <c r="AB90" s="24">
        <v>0</v>
      </c>
      <c r="AC90" s="24">
        <v>0</v>
      </c>
      <c r="AD90" s="24">
        <v>0</v>
      </c>
      <c r="AE90" s="24">
        <v>0</v>
      </c>
      <c r="AF90" s="24">
        <v>0</v>
      </c>
      <c r="AG90" s="24">
        <v>0</v>
      </c>
      <c r="AH90" s="24">
        <v>0</v>
      </c>
      <c r="AI90" s="24">
        <v>0</v>
      </c>
      <c r="AJ90" s="24">
        <v>0</v>
      </c>
    </row>
    <row r="91" spans="1:36" x14ac:dyDescent="0.3">
      <c r="A91" t="s">
        <v>514</v>
      </c>
      <c r="B91" t="s">
        <v>305</v>
      </c>
      <c r="C91" s="24">
        <v>0</v>
      </c>
      <c r="D91" s="24">
        <v>0</v>
      </c>
      <c r="E91" s="24">
        <v>0</v>
      </c>
      <c r="F91" s="24">
        <v>0</v>
      </c>
      <c r="G91" s="24">
        <v>0</v>
      </c>
      <c r="H91" s="24">
        <v>0</v>
      </c>
      <c r="I91" s="24">
        <v>0</v>
      </c>
      <c r="J91" s="24">
        <v>0</v>
      </c>
      <c r="K91" s="24">
        <v>0</v>
      </c>
      <c r="L91" s="24">
        <v>0</v>
      </c>
      <c r="M91" s="24">
        <v>0</v>
      </c>
      <c r="N91" s="24">
        <v>0</v>
      </c>
      <c r="O91" s="24">
        <v>0</v>
      </c>
      <c r="P91" s="24">
        <v>0</v>
      </c>
      <c r="Q91" s="24">
        <v>0</v>
      </c>
      <c r="R91" s="24">
        <v>0</v>
      </c>
      <c r="S91" s="24">
        <v>0</v>
      </c>
      <c r="T91" s="24">
        <v>0</v>
      </c>
      <c r="U91" s="24">
        <v>0</v>
      </c>
      <c r="V91" s="24">
        <v>0</v>
      </c>
      <c r="W91" s="24">
        <v>0</v>
      </c>
      <c r="X91" s="24">
        <v>0</v>
      </c>
      <c r="Y91" s="24">
        <v>0</v>
      </c>
      <c r="Z91" s="24">
        <v>0</v>
      </c>
      <c r="AA91" s="24">
        <v>0</v>
      </c>
      <c r="AB91" s="24">
        <v>0</v>
      </c>
      <c r="AC91" s="24">
        <v>0</v>
      </c>
      <c r="AD91" s="24">
        <v>0</v>
      </c>
      <c r="AE91" s="24">
        <v>0</v>
      </c>
      <c r="AF91" s="24">
        <v>0</v>
      </c>
      <c r="AG91" s="24">
        <v>0</v>
      </c>
      <c r="AH91" s="24">
        <v>0</v>
      </c>
      <c r="AI91" s="24">
        <v>0</v>
      </c>
      <c r="AJ91" s="24">
        <v>0</v>
      </c>
    </row>
    <row r="92" spans="1:36" x14ac:dyDescent="0.3">
      <c r="A92" t="s">
        <v>515</v>
      </c>
      <c r="B92" t="s">
        <v>305</v>
      </c>
      <c r="C92" s="24">
        <v>0</v>
      </c>
      <c r="D92" s="24">
        <v>0</v>
      </c>
      <c r="E92" s="24">
        <v>0</v>
      </c>
      <c r="F92" s="24">
        <v>0</v>
      </c>
      <c r="G92" s="24">
        <v>0</v>
      </c>
      <c r="H92" s="24">
        <v>0</v>
      </c>
      <c r="I92" s="24">
        <v>0</v>
      </c>
      <c r="J92" s="24">
        <v>0</v>
      </c>
      <c r="K92" s="24">
        <v>0</v>
      </c>
      <c r="L92" s="24">
        <v>0</v>
      </c>
      <c r="M92" s="24">
        <v>0</v>
      </c>
      <c r="N92" s="24">
        <v>0</v>
      </c>
      <c r="O92" s="24">
        <v>0</v>
      </c>
      <c r="P92" s="24">
        <v>0</v>
      </c>
      <c r="Q92" s="24">
        <v>0</v>
      </c>
      <c r="R92" s="24">
        <v>0</v>
      </c>
      <c r="S92" s="24">
        <v>0</v>
      </c>
      <c r="T92" s="24">
        <v>0</v>
      </c>
      <c r="U92" s="24">
        <v>0</v>
      </c>
      <c r="V92" s="24">
        <v>0</v>
      </c>
      <c r="W92" s="24">
        <v>0</v>
      </c>
      <c r="X92" s="24">
        <v>0</v>
      </c>
      <c r="Y92" s="24">
        <v>0</v>
      </c>
      <c r="Z92" s="24">
        <v>0</v>
      </c>
      <c r="AA92" s="24">
        <v>0</v>
      </c>
      <c r="AB92" s="24">
        <v>0</v>
      </c>
      <c r="AC92" s="24">
        <v>0</v>
      </c>
      <c r="AD92" s="24">
        <v>0</v>
      </c>
      <c r="AE92" s="24">
        <v>0</v>
      </c>
      <c r="AF92" s="24">
        <v>0</v>
      </c>
      <c r="AG92" s="24">
        <v>0</v>
      </c>
      <c r="AH92" s="24">
        <v>0</v>
      </c>
      <c r="AI92" s="24">
        <v>0</v>
      </c>
      <c r="AJ92" s="24">
        <v>0</v>
      </c>
    </row>
    <row r="93" spans="1:36" x14ac:dyDescent="0.3">
      <c r="A93" t="s">
        <v>516</v>
      </c>
      <c r="B93" t="s">
        <v>305</v>
      </c>
      <c r="C93" s="24">
        <v>0</v>
      </c>
      <c r="D93" s="24">
        <v>0</v>
      </c>
      <c r="E93" s="24">
        <v>0</v>
      </c>
      <c r="F93" s="24">
        <v>0</v>
      </c>
      <c r="G93" s="24">
        <v>0</v>
      </c>
      <c r="H93" s="24">
        <v>0</v>
      </c>
      <c r="I93" s="24">
        <v>0</v>
      </c>
      <c r="J93" s="24">
        <v>0</v>
      </c>
      <c r="K93" s="24">
        <v>0</v>
      </c>
      <c r="L93" s="24">
        <v>0</v>
      </c>
      <c r="M93" s="24">
        <v>0</v>
      </c>
      <c r="N93" s="24">
        <v>0</v>
      </c>
      <c r="O93" s="24">
        <v>0</v>
      </c>
      <c r="P93" s="24">
        <v>0</v>
      </c>
      <c r="Q93" s="24">
        <v>0</v>
      </c>
      <c r="R93" s="24">
        <v>0</v>
      </c>
      <c r="S93" s="24">
        <v>0</v>
      </c>
      <c r="T93" s="24">
        <v>0</v>
      </c>
      <c r="U93" s="24">
        <v>0</v>
      </c>
      <c r="V93" s="24">
        <v>0</v>
      </c>
      <c r="W93" s="24">
        <v>0</v>
      </c>
      <c r="X93" s="24">
        <v>0</v>
      </c>
      <c r="Y93" s="24">
        <v>0</v>
      </c>
      <c r="Z93" s="24">
        <v>0</v>
      </c>
      <c r="AA93" s="24">
        <v>0</v>
      </c>
      <c r="AB93" s="24">
        <v>0</v>
      </c>
      <c r="AC93" s="24">
        <v>0</v>
      </c>
      <c r="AD93" s="24">
        <v>0</v>
      </c>
      <c r="AE93" s="24">
        <v>0</v>
      </c>
      <c r="AF93" s="24">
        <v>0</v>
      </c>
      <c r="AG93" s="24">
        <v>0</v>
      </c>
      <c r="AH93" s="24">
        <v>0</v>
      </c>
      <c r="AI93" s="24">
        <v>0</v>
      </c>
      <c r="AJ93" s="24">
        <v>0</v>
      </c>
    </row>
    <row r="94" spans="1:36" x14ac:dyDescent="0.3">
      <c r="A94" t="s">
        <v>517</v>
      </c>
      <c r="B94" t="s">
        <v>305</v>
      </c>
      <c r="C94" s="24">
        <v>0</v>
      </c>
      <c r="D94" s="24">
        <v>0</v>
      </c>
      <c r="E94" s="24">
        <v>0</v>
      </c>
      <c r="F94" s="24">
        <v>0</v>
      </c>
      <c r="G94" s="24">
        <v>0</v>
      </c>
      <c r="H94" s="24">
        <v>0</v>
      </c>
      <c r="I94" s="24">
        <v>0</v>
      </c>
      <c r="J94" s="24">
        <v>0</v>
      </c>
      <c r="K94" s="24">
        <v>0</v>
      </c>
      <c r="L94" s="24">
        <v>0</v>
      </c>
      <c r="M94" s="24">
        <v>0</v>
      </c>
      <c r="N94" s="24">
        <v>0</v>
      </c>
      <c r="O94" s="24">
        <v>0</v>
      </c>
      <c r="P94" s="24">
        <v>0</v>
      </c>
      <c r="Q94" s="24">
        <v>0</v>
      </c>
      <c r="R94" s="24">
        <v>0</v>
      </c>
      <c r="S94" s="24">
        <v>0</v>
      </c>
      <c r="T94" s="24">
        <v>0</v>
      </c>
      <c r="U94" s="24">
        <v>0</v>
      </c>
      <c r="V94" s="24">
        <v>0</v>
      </c>
      <c r="W94" s="24">
        <v>0</v>
      </c>
      <c r="X94" s="24">
        <v>0</v>
      </c>
      <c r="Y94" s="24">
        <v>0</v>
      </c>
      <c r="Z94" s="24">
        <v>0</v>
      </c>
      <c r="AA94" s="24">
        <v>0</v>
      </c>
      <c r="AB94" s="24">
        <v>0</v>
      </c>
      <c r="AC94" s="24">
        <v>0</v>
      </c>
      <c r="AD94" s="24">
        <v>0</v>
      </c>
      <c r="AE94" s="24">
        <v>0</v>
      </c>
      <c r="AF94" s="24">
        <v>0</v>
      </c>
      <c r="AG94" s="24">
        <v>0</v>
      </c>
      <c r="AH94" s="24">
        <v>0</v>
      </c>
      <c r="AI94" s="24">
        <v>0</v>
      </c>
      <c r="AJ94" s="24">
        <v>0</v>
      </c>
    </row>
    <row r="95" spans="1:36" x14ac:dyDescent="0.3">
      <c r="A95" t="s">
        <v>518</v>
      </c>
      <c r="B95" t="s">
        <v>305</v>
      </c>
      <c r="C95" s="24">
        <v>99</v>
      </c>
      <c r="D95" s="24">
        <v>99</v>
      </c>
      <c r="E95" s="24">
        <v>99</v>
      </c>
      <c r="F95" s="24">
        <v>99</v>
      </c>
      <c r="G95" s="24">
        <v>99</v>
      </c>
      <c r="H95" s="24">
        <v>99</v>
      </c>
      <c r="I95" s="24">
        <v>99</v>
      </c>
      <c r="J95" s="24">
        <v>99</v>
      </c>
      <c r="K95" s="24">
        <v>99</v>
      </c>
      <c r="L95" s="24">
        <v>99</v>
      </c>
      <c r="M95" s="24">
        <v>99</v>
      </c>
      <c r="N95" s="24">
        <v>99</v>
      </c>
      <c r="O95" s="24">
        <v>99</v>
      </c>
      <c r="P95" s="24">
        <v>99</v>
      </c>
      <c r="Q95" s="24">
        <v>99</v>
      </c>
      <c r="R95" s="24">
        <v>99</v>
      </c>
      <c r="S95" s="24">
        <v>99</v>
      </c>
      <c r="T95" s="24">
        <v>99</v>
      </c>
      <c r="U95" s="24">
        <v>99</v>
      </c>
      <c r="V95" s="24">
        <v>99</v>
      </c>
      <c r="W95" s="24">
        <v>99</v>
      </c>
      <c r="X95" s="24">
        <v>99</v>
      </c>
      <c r="Y95" s="24">
        <v>99</v>
      </c>
      <c r="Z95" s="24">
        <v>99</v>
      </c>
      <c r="AA95" s="24">
        <v>99</v>
      </c>
      <c r="AB95" s="24">
        <v>99</v>
      </c>
      <c r="AC95" s="24">
        <v>99</v>
      </c>
      <c r="AD95" s="24">
        <v>99</v>
      </c>
      <c r="AE95" s="24">
        <v>99</v>
      </c>
      <c r="AF95" s="24">
        <v>99</v>
      </c>
      <c r="AG95" s="24">
        <v>99</v>
      </c>
      <c r="AH95" s="24">
        <v>99</v>
      </c>
      <c r="AI95" s="24">
        <v>99</v>
      </c>
      <c r="AJ95" s="24">
        <v>99</v>
      </c>
    </row>
    <row r="96" spans="1:36" x14ac:dyDescent="0.3">
      <c r="A96" t="s">
        <v>757</v>
      </c>
      <c r="B96" t="s">
        <v>305</v>
      </c>
      <c r="C96" s="24">
        <v>0</v>
      </c>
      <c r="D96" s="24">
        <v>0</v>
      </c>
      <c r="E96" s="24">
        <v>0</v>
      </c>
      <c r="F96" s="24">
        <v>0</v>
      </c>
      <c r="G96" s="24">
        <v>0</v>
      </c>
      <c r="H96" s="24">
        <v>0</v>
      </c>
      <c r="I96" s="24">
        <v>0</v>
      </c>
      <c r="J96" s="24">
        <v>0</v>
      </c>
      <c r="K96" s="24">
        <v>0</v>
      </c>
      <c r="L96" s="24">
        <v>0</v>
      </c>
      <c r="M96" s="24">
        <v>0</v>
      </c>
      <c r="N96" s="24">
        <v>0</v>
      </c>
      <c r="O96" s="24">
        <v>0</v>
      </c>
      <c r="P96" s="24">
        <v>0</v>
      </c>
      <c r="Q96" s="24">
        <v>0</v>
      </c>
      <c r="R96" s="24">
        <v>0</v>
      </c>
      <c r="S96" s="24">
        <v>0</v>
      </c>
      <c r="T96" s="24">
        <v>0</v>
      </c>
      <c r="U96" s="24">
        <v>0</v>
      </c>
      <c r="V96" s="24">
        <v>0</v>
      </c>
      <c r="W96" s="24">
        <v>0</v>
      </c>
      <c r="X96" s="24">
        <v>0</v>
      </c>
      <c r="Y96" s="24">
        <v>0</v>
      </c>
      <c r="Z96" s="24">
        <v>0</v>
      </c>
      <c r="AA96" s="24">
        <v>0</v>
      </c>
      <c r="AB96" s="24">
        <v>0</v>
      </c>
      <c r="AC96" s="24">
        <v>0</v>
      </c>
      <c r="AD96" s="24">
        <v>0</v>
      </c>
      <c r="AE96" s="24">
        <v>0</v>
      </c>
      <c r="AF96" s="24">
        <v>0</v>
      </c>
      <c r="AG96" s="24">
        <v>0</v>
      </c>
      <c r="AH96" s="24">
        <v>0</v>
      </c>
      <c r="AI96" s="24">
        <v>0</v>
      </c>
      <c r="AJ96" s="24">
        <v>0</v>
      </c>
    </row>
    <row r="97" spans="1:36" x14ac:dyDescent="0.3">
      <c r="A97" t="s">
        <v>519</v>
      </c>
      <c r="B97" t="s">
        <v>305</v>
      </c>
      <c r="C97" s="24">
        <v>0</v>
      </c>
      <c r="D97" s="24">
        <v>0</v>
      </c>
      <c r="E97" s="24">
        <v>0</v>
      </c>
      <c r="F97" s="24">
        <v>0</v>
      </c>
      <c r="G97" s="24">
        <v>0</v>
      </c>
      <c r="H97" s="24">
        <v>0</v>
      </c>
      <c r="I97" s="24">
        <v>0</v>
      </c>
      <c r="J97" s="24">
        <v>0</v>
      </c>
      <c r="K97" s="24">
        <v>0</v>
      </c>
      <c r="L97" s="24">
        <v>0</v>
      </c>
      <c r="M97" s="24">
        <v>0</v>
      </c>
      <c r="N97" s="24">
        <v>0</v>
      </c>
      <c r="O97" s="24">
        <v>0</v>
      </c>
      <c r="P97" s="24">
        <v>0</v>
      </c>
      <c r="Q97" s="24">
        <v>0</v>
      </c>
      <c r="R97" s="24">
        <v>0</v>
      </c>
      <c r="S97" s="24">
        <v>0</v>
      </c>
      <c r="T97" s="24">
        <v>0</v>
      </c>
      <c r="U97" s="24">
        <v>0</v>
      </c>
      <c r="V97" s="24">
        <v>0</v>
      </c>
      <c r="W97" s="24">
        <v>0</v>
      </c>
      <c r="X97" s="24">
        <v>0</v>
      </c>
      <c r="Y97" s="24">
        <v>0</v>
      </c>
      <c r="Z97" s="24">
        <v>0</v>
      </c>
      <c r="AA97" s="24">
        <v>0</v>
      </c>
      <c r="AB97" s="24">
        <v>0</v>
      </c>
      <c r="AC97" s="24">
        <v>0</v>
      </c>
      <c r="AD97" s="24">
        <v>0</v>
      </c>
      <c r="AE97" s="24">
        <v>0</v>
      </c>
      <c r="AF97" s="24">
        <v>0</v>
      </c>
      <c r="AG97" s="24">
        <v>0</v>
      </c>
      <c r="AH97" s="24">
        <v>0</v>
      </c>
      <c r="AI97" s="24">
        <v>0</v>
      </c>
      <c r="AJ97" s="24">
        <v>0</v>
      </c>
    </row>
    <row r="98" spans="1:36" x14ac:dyDescent="0.3">
      <c r="A98" t="s">
        <v>520</v>
      </c>
      <c r="B98" t="s">
        <v>305</v>
      </c>
      <c r="C98" s="24">
        <v>0</v>
      </c>
      <c r="D98" s="24">
        <v>0</v>
      </c>
      <c r="E98" s="24">
        <v>0</v>
      </c>
      <c r="F98" s="24">
        <v>0</v>
      </c>
      <c r="G98" s="24">
        <v>0</v>
      </c>
      <c r="H98" s="24">
        <v>0</v>
      </c>
      <c r="I98" s="24">
        <v>0</v>
      </c>
      <c r="J98" s="24">
        <v>0</v>
      </c>
      <c r="K98" s="24">
        <v>0</v>
      </c>
      <c r="L98" s="24">
        <v>0</v>
      </c>
      <c r="M98" s="24">
        <v>0</v>
      </c>
      <c r="N98" s="24">
        <v>0</v>
      </c>
      <c r="O98" s="24">
        <v>0</v>
      </c>
      <c r="P98" s="24">
        <v>0</v>
      </c>
      <c r="Q98" s="24">
        <v>0</v>
      </c>
      <c r="R98" s="24">
        <v>0</v>
      </c>
      <c r="S98" s="24">
        <v>0</v>
      </c>
      <c r="T98" s="24">
        <v>0</v>
      </c>
      <c r="U98" s="24">
        <v>0</v>
      </c>
      <c r="V98" s="24">
        <v>0</v>
      </c>
      <c r="W98" s="24">
        <v>0</v>
      </c>
      <c r="X98" s="24">
        <v>0</v>
      </c>
      <c r="Y98" s="24">
        <v>0</v>
      </c>
      <c r="Z98" s="24">
        <v>0</v>
      </c>
      <c r="AA98" s="24">
        <v>0</v>
      </c>
      <c r="AB98" s="24">
        <v>0</v>
      </c>
      <c r="AC98" s="24">
        <v>0</v>
      </c>
      <c r="AD98" s="24">
        <v>0</v>
      </c>
      <c r="AE98" s="24">
        <v>0</v>
      </c>
      <c r="AF98" s="24">
        <v>0</v>
      </c>
      <c r="AG98" s="24">
        <v>0</v>
      </c>
      <c r="AH98" s="24">
        <v>0</v>
      </c>
      <c r="AI98" s="24">
        <v>0</v>
      </c>
      <c r="AJ98" s="24">
        <v>0</v>
      </c>
    </row>
    <row r="99" spans="1:36" x14ac:dyDescent="0.3">
      <c r="A99" t="s">
        <v>521</v>
      </c>
      <c r="B99" t="s">
        <v>305</v>
      </c>
      <c r="C99" s="24">
        <v>2</v>
      </c>
      <c r="D99" s="24">
        <v>2</v>
      </c>
      <c r="E99" s="24">
        <v>2</v>
      </c>
      <c r="F99" s="24">
        <v>2</v>
      </c>
      <c r="G99" s="24">
        <v>2</v>
      </c>
      <c r="H99" s="24">
        <v>2</v>
      </c>
      <c r="I99" s="24">
        <v>2</v>
      </c>
      <c r="J99" s="24">
        <v>2</v>
      </c>
      <c r="K99" s="24">
        <v>2</v>
      </c>
      <c r="L99" s="24">
        <v>2</v>
      </c>
      <c r="M99" s="24">
        <v>2</v>
      </c>
      <c r="N99" s="24">
        <v>2</v>
      </c>
      <c r="O99" s="24">
        <v>2</v>
      </c>
      <c r="P99" s="24">
        <v>2</v>
      </c>
      <c r="Q99" s="24">
        <v>2</v>
      </c>
      <c r="R99" s="24">
        <v>2</v>
      </c>
      <c r="S99" s="24">
        <v>2</v>
      </c>
      <c r="T99" s="24">
        <v>2</v>
      </c>
      <c r="U99" s="24">
        <v>2</v>
      </c>
      <c r="V99" s="24">
        <v>2</v>
      </c>
      <c r="W99" s="24">
        <v>2</v>
      </c>
      <c r="X99" s="24">
        <v>2</v>
      </c>
      <c r="Y99" s="24">
        <v>2</v>
      </c>
      <c r="Z99" s="24">
        <v>2</v>
      </c>
      <c r="AA99" s="24">
        <v>2</v>
      </c>
      <c r="AB99" s="24">
        <v>2</v>
      </c>
      <c r="AC99" s="24">
        <v>2</v>
      </c>
      <c r="AD99" s="24">
        <v>2</v>
      </c>
      <c r="AE99" s="24">
        <v>2</v>
      </c>
      <c r="AF99" s="24">
        <v>2</v>
      </c>
      <c r="AG99" s="24">
        <v>2</v>
      </c>
      <c r="AH99" s="24">
        <v>2</v>
      </c>
      <c r="AI99" s="24">
        <v>2</v>
      </c>
      <c r="AJ99" s="24">
        <v>2</v>
      </c>
    </row>
    <row r="100" spans="1:36" x14ac:dyDescent="0.3">
      <c r="A100" t="s">
        <v>522</v>
      </c>
      <c r="B100" t="s">
        <v>305</v>
      </c>
      <c r="C100" s="24">
        <v>0</v>
      </c>
      <c r="D100" s="24">
        <v>0</v>
      </c>
      <c r="E100" s="24">
        <v>0</v>
      </c>
      <c r="F100" s="24">
        <v>0</v>
      </c>
      <c r="G100" s="24">
        <v>0</v>
      </c>
      <c r="H100" s="24">
        <v>0</v>
      </c>
      <c r="I100" s="24">
        <v>0</v>
      </c>
      <c r="J100" s="24">
        <v>0</v>
      </c>
      <c r="K100" s="24">
        <v>0</v>
      </c>
      <c r="L100" s="24">
        <v>0</v>
      </c>
      <c r="M100" s="24">
        <v>0</v>
      </c>
      <c r="N100" s="24">
        <v>0</v>
      </c>
      <c r="O100" s="24">
        <v>0</v>
      </c>
      <c r="P100" s="24">
        <v>0</v>
      </c>
      <c r="Q100" s="24">
        <v>0</v>
      </c>
      <c r="R100" s="24">
        <v>0</v>
      </c>
      <c r="S100" s="24">
        <v>0</v>
      </c>
      <c r="T100" s="24">
        <v>0</v>
      </c>
      <c r="U100" s="24">
        <v>0</v>
      </c>
      <c r="V100" s="24">
        <v>0</v>
      </c>
      <c r="W100" s="24">
        <v>0</v>
      </c>
      <c r="X100" s="24">
        <v>0</v>
      </c>
      <c r="Y100" s="24">
        <v>0</v>
      </c>
      <c r="Z100" s="24">
        <v>0</v>
      </c>
      <c r="AA100" s="24">
        <v>0</v>
      </c>
      <c r="AB100" s="24">
        <v>0</v>
      </c>
      <c r="AC100" s="24">
        <v>0</v>
      </c>
      <c r="AD100" s="24">
        <v>0</v>
      </c>
      <c r="AE100" s="24">
        <v>0</v>
      </c>
      <c r="AF100" s="24">
        <v>0</v>
      </c>
      <c r="AG100" s="24">
        <v>0</v>
      </c>
      <c r="AH100" s="24">
        <v>0</v>
      </c>
      <c r="AI100" s="24">
        <v>0</v>
      </c>
      <c r="AJ100" s="24">
        <v>0</v>
      </c>
    </row>
    <row r="101" spans="1:36" x14ac:dyDescent="0.3">
      <c r="A101" t="s">
        <v>523</v>
      </c>
      <c r="B101" t="s">
        <v>305</v>
      </c>
      <c r="C101" s="24">
        <v>0</v>
      </c>
      <c r="D101" s="24">
        <v>0</v>
      </c>
      <c r="E101" s="24">
        <v>0</v>
      </c>
      <c r="F101" s="24">
        <v>0</v>
      </c>
      <c r="G101" s="24">
        <v>0</v>
      </c>
      <c r="H101" s="24">
        <v>0</v>
      </c>
      <c r="I101" s="24">
        <v>0</v>
      </c>
      <c r="J101" s="24">
        <v>0</v>
      </c>
      <c r="K101" s="24">
        <v>0</v>
      </c>
      <c r="L101" s="24">
        <v>0</v>
      </c>
      <c r="M101" s="24">
        <v>0</v>
      </c>
      <c r="N101" s="24">
        <v>0</v>
      </c>
      <c r="O101" s="24">
        <v>0</v>
      </c>
      <c r="P101" s="24">
        <v>0</v>
      </c>
      <c r="Q101" s="24">
        <v>0</v>
      </c>
      <c r="R101" s="24">
        <v>0</v>
      </c>
      <c r="S101" s="24">
        <v>0</v>
      </c>
      <c r="T101" s="24">
        <v>0</v>
      </c>
      <c r="U101" s="24">
        <v>0</v>
      </c>
      <c r="V101" s="24">
        <v>0</v>
      </c>
      <c r="W101" s="24">
        <v>0</v>
      </c>
      <c r="X101" s="24">
        <v>0</v>
      </c>
      <c r="Y101" s="24">
        <v>0</v>
      </c>
      <c r="Z101" s="24">
        <v>0</v>
      </c>
      <c r="AA101" s="24">
        <v>0</v>
      </c>
      <c r="AB101" s="24">
        <v>0</v>
      </c>
      <c r="AC101" s="24">
        <v>0</v>
      </c>
      <c r="AD101" s="24">
        <v>0</v>
      </c>
      <c r="AE101" s="24">
        <v>0</v>
      </c>
      <c r="AF101" s="24">
        <v>0</v>
      </c>
      <c r="AG101" s="24">
        <v>0</v>
      </c>
      <c r="AH101" s="24">
        <v>0</v>
      </c>
      <c r="AI101" s="24">
        <v>0</v>
      </c>
      <c r="AJ101" s="24">
        <v>0</v>
      </c>
    </row>
    <row r="102" spans="1:36" x14ac:dyDescent="0.3">
      <c r="A102" t="s">
        <v>524</v>
      </c>
      <c r="B102" t="s">
        <v>305</v>
      </c>
      <c r="C102" s="24">
        <v>0</v>
      </c>
      <c r="D102" s="24">
        <v>0</v>
      </c>
      <c r="E102" s="24">
        <v>0</v>
      </c>
      <c r="F102" s="24">
        <v>0</v>
      </c>
      <c r="G102" s="24">
        <v>0</v>
      </c>
      <c r="H102" s="24">
        <v>0</v>
      </c>
      <c r="I102" s="24">
        <v>0</v>
      </c>
      <c r="J102" s="24">
        <v>0</v>
      </c>
      <c r="K102" s="24">
        <v>0</v>
      </c>
      <c r="L102" s="24">
        <v>0</v>
      </c>
      <c r="M102" s="24">
        <v>0</v>
      </c>
      <c r="N102" s="24">
        <v>0</v>
      </c>
      <c r="O102" s="24">
        <v>0</v>
      </c>
      <c r="P102" s="24">
        <v>0</v>
      </c>
      <c r="Q102" s="24">
        <v>0</v>
      </c>
      <c r="R102" s="24">
        <v>0</v>
      </c>
      <c r="S102" s="24">
        <v>0</v>
      </c>
      <c r="T102" s="24">
        <v>0</v>
      </c>
      <c r="U102" s="24">
        <v>0</v>
      </c>
      <c r="V102" s="24">
        <v>0</v>
      </c>
      <c r="W102" s="24">
        <v>0</v>
      </c>
      <c r="X102" s="24">
        <v>0</v>
      </c>
      <c r="Y102" s="24">
        <v>0</v>
      </c>
      <c r="Z102" s="24">
        <v>0</v>
      </c>
      <c r="AA102" s="24">
        <v>0</v>
      </c>
      <c r="AB102" s="24">
        <v>0</v>
      </c>
      <c r="AC102" s="24">
        <v>0</v>
      </c>
      <c r="AD102" s="24">
        <v>0</v>
      </c>
      <c r="AE102" s="24">
        <v>0</v>
      </c>
      <c r="AF102" s="24">
        <v>0</v>
      </c>
      <c r="AG102" s="24">
        <v>0</v>
      </c>
      <c r="AH102" s="24">
        <v>0</v>
      </c>
      <c r="AI102" s="24">
        <v>0</v>
      </c>
      <c r="AJ102" s="24">
        <v>0</v>
      </c>
    </row>
    <row r="103" spans="1:36" x14ac:dyDescent="0.3">
      <c r="A103" t="s">
        <v>525</v>
      </c>
      <c r="B103" t="s">
        <v>305</v>
      </c>
      <c r="C103" s="24">
        <v>5</v>
      </c>
      <c r="D103" s="24">
        <v>5</v>
      </c>
      <c r="E103" s="24">
        <v>5</v>
      </c>
      <c r="F103" s="24">
        <v>5</v>
      </c>
      <c r="G103" s="24">
        <v>5</v>
      </c>
      <c r="H103" s="24">
        <v>5</v>
      </c>
      <c r="I103" s="24">
        <v>5</v>
      </c>
      <c r="J103" s="24">
        <v>5</v>
      </c>
      <c r="K103" s="24">
        <v>5</v>
      </c>
      <c r="L103" s="24">
        <v>5</v>
      </c>
      <c r="M103" s="24">
        <v>5</v>
      </c>
      <c r="N103" s="24">
        <v>5</v>
      </c>
      <c r="O103" s="24">
        <v>5</v>
      </c>
      <c r="P103" s="24">
        <v>5</v>
      </c>
      <c r="Q103" s="24">
        <v>5</v>
      </c>
      <c r="R103" s="24">
        <v>5</v>
      </c>
      <c r="S103" s="24">
        <v>5</v>
      </c>
      <c r="T103" s="24">
        <v>5</v>
      </c>
      <c r="U103" s="24">
        <v>5</v>
      </c>
      <c r="V103" s="24">
        <v>5</v>
      </c>
      <c r="W103" s="24">
        <v>5</v>
      </c>
      <c r="X103" s="24">
        <v>5</v>
      </c>
      <c r="Y103" s="24">
        <v>5</v>
      </c>
      <c r="Z103" s="24">
        <v>5</v>
      </c>
      <c r="AA103" s="24">
        <v>5</v>
      </c>
      <c r="AB103" s="24">
        <v>5</v>
      </c>
      <c r="AC103" s="24">
        <v>5</v>
      </c>
      <c r="AD103" s="24">
        <v>5</v>
      </c>
      <c r="AE103" s="24">
        <v>5</v>
      </c>
      <c r="AF103" s="24">
        <v>5</v>
      </c>
      <c r="AG103" s="24">
        <v>5</v>
      </c>
      <c r="AH103" s="24">
        <v>5</v>
      </c>
      <c r="AI103" s="24">
        <v>5</v>
      </c>
      <c r="AJ103" s="24">
        <v>5</v>
      </c>
    </row>
    <row r="104" spans="1:36" x14ac:dyDescent="0.3">
      <c r="A104" t="s">
        <v>526</v>
      </c>
      <c r="B104" t="s">
        <v>305</v>
      </c>
      <c r="C104" s="24">
        <v>0</v>
      </c>
      <c r="D104" s="24">
        <v>0</v>
      </c>
      <c r="E104" s="24">
        <v>0</v>
      </c>
      <c r="F104" s="24">
        <v>0</v>
      </c>
      <c r="G104" s="24">
        <v>0</v>
      </c>
      <c r="H104" s="24">
        <v>0</v>
      </c>
      <c r="I104" s="24">
        <v>0</v>
      </c>
      <c r="J104" s="24">
        <v>0</v>
      </c>
      <c r="K104" s="24">
        <v>0</v>
      </c>
      <c r="L104" s="24">
        <v>0</v>
      </c>
      <c r="M104" s="24">
        <v>0</v>
      </c>
      <c r="N104" s="24">
        <v>0</v>
      </c>
      <c r="O104" s="24">
        <v>0</v>
      </c>
      <c r="P104" s="24">
        <v>0</v>
      </c>
      <c r="Q104" s="24">
        <v>0</v>
      </c>
      <c r="R104" s="24">
        <v>0</v>
      </c>
      <c r="S104" s="24">
        <v>0</v>
      </c>
      <c r="T104" s="24">
        <v>0</v>
      </c>
      <c r="U104" s="24">
        <v>0</v>
      </c>
      <c r="V104" s="24">
        <v>0</v>
      </c>
      <c r="W104" s="24">
        <v>0</v>
      </c>
      <c r="X104" s="24">
        <v>0</v>
      </c>
      <c r="Y104" s="24">
        <v>0</v>
      </c>
      <c r="Z104" s="24">
        <v>0</v>
      </c>
      <c r="AA104" s="24">
        <v>0</v>
      </c>
      <c r="AB104" s="24">
        <v>0</v>
      </c>
      <c r="AC104" s="24">
        <v>0</v>
      </c>
      <c r="AD104" s="24">
        <v>0</v>
      </c>
      <c r="AE104" s="24">
        <v>0</v>
      </c>
      <c r="AF104" s="24">
        <v>0</v>
      </c>
      <c r="AG104" s="24">
        <v>0</v>
      </c>
      <c r="AH104" s="24">
        <v>0</v>
      </c>
      <c r="AI104" s="24">
        <v>0</v>
      </c>
      <c r="AJ104" s="24">
        <v>0</v>
      </c>
    </row>
    <row r="105" spans="1:36" x14ac:dyDescent="0.3">
      <c r="A105" t="s">
        <v>527</v>
      </c>
      <c r="B105" t="s">
        <v>305</v>
      </c>
      <c r="C105" s="24">
        <v>0</v>
      </c>
      <c r="D105" s="24">
        <v>0</v>
      </c>
      <c r="E105" s="24">
        <v>0</v>
      </c>
      <c r="F105" s="24">
        <v>0</v>
      </c>
      <c r="G105" s="24">
        <v>0</v>
      </c>
      <c r="H105" s="24">
        <v>0</v>
      </c>
      <c r="I105" s="24">
        <v>0</v>
      </c>
      <c r="J105" s="24">
        <v>0</v>
      </c>
      <c r="K105" s="24">
        <v>0</v>
      </c>
      <c r="L105" s="24">
        <v>0</v>
      </c>
      <c r="M105" s="24">
        <v>0</v>
      </c>
      <c r="N105" s="24">
        <v>0</v>
      </c>
      <c r="O105" s="24">
        <v>0</v>
      </c>
      <c r="P105" s="24">
        <v>0</v>
      </c>
      <c r="Q105" s="24">
        <v>0</v>
      </c>
      <c r="R105" s="24">
        <v>0</v>
      </c>
      <c r="S105" s="24">
        <v>0</v>
      </c>
      <c r="T105" s="24">
        <v>0</v>
      </c>
      <c r="U105" s="24">
        <v>0</v>
      </c>
      <c r="V105" s="24">
        <v>0</v>
      </c>
      <c r="W105" s="24">
        <v>0</v>
      </c>
      <c r="X105" s="24">
        <v>0</v>
      </c>
      <c r="Y105" s="24">
        <v>0</v>
      </c>
      <c r="Z105" s="24">
        <v>0</v>
      </c>
      <c r="AA105" s="24">
        <v>0</v>
      </c>
      <c r="AB105" s="24">
        <v>0</v>
      </c>
      <c r="AC105" s="24">
        <v>0</v>
      </c>
      <c r="AD105" s="24">
        <v>0</v>
      </c>
      <c r="AE105" s="24">
        <v>0</v>
      </c>
      <c r="AF105" s="24">
        <v>0</v>
      </c>
      <c r="AG105" s="24">
        <v>0</v>
      </c>
      <c r="AH105" s="24">
        <v>0</v>
      </c>
      <c r="AI105" s="24">
        <v>0</v>
      </c>
      <c r="AJ105" s="24">
        <v>0</v>
      </c>
    </row>
    <row r="106" spans="1:36" x14ac:dyDescent="0.3">
      <c r="A106" t="s">
        <v>528</v>
      </c>
      <c r="B106" t="s">
        <v>305</v>
      </c>
      <c r="C106" s="24">
        <v>93</v>
      </c>
      <c r="D106" s="24">
        <v>93</v>
      </c>
      <c r="E106" s="24">
        <v>93</v>
      </c>
      <c r="F106" s="24">
        <v>93</v>
      </c>
      <c r="G106" s="24">
        <v>93</v>
      </c>
      <c r="H106" s="24">
        <v>93</v>
      </c>
      <c r="I106" s="24">
        <v>93</v>
      </c>
      <c r="J106" s="24">
        <v>93</v>
      </c>
      <c r="K106" s="24">
        <v>93</v>
      </c>
      <c r="L106" s="24">
        <v>93</v>
      </c>
      <c r="M106" s="24">
        <v>93</v>
      </c>
      <c r="N106" s="24">
        <v>93</v>
      </c>
      <c r="O106" s="24">
        <v>93</v>
      </c>
      <c r="P106" s="24">
        <v>93</v>
      </c>
      <c r="Q106" s="24">
        <v>93</v>
      </c>
      <c r="R106" s="24">
        <v>93</v>
      </c>
      <c r="S106" s="24">
        <v>93</v>
      </c>
      <c r="T106" s="24">
        <v>93</v>
      </c>
      <c r="U106" s="24">
        <v>93</v>
      </c>
      <c r="V106" s="24">
        <v>93</v>
      </c>
      <c r="W106" s="24">
        <v>93</v>
      </c>
      <c r="X106" s="24">
        <v>93</v>
      </c>
      <c r="Y106" s="24">
        <v>93</v>
      </c>
      <c r="Z106" s="24">
        <v>93</v>
      </c>
      <c r="AA106" s="24">
        <v>93</v>
      </c>
      <c r="AB106" s="24">
        <v>93</v>
      </c>
      <c r="AC106" s="24">
        <v>93</v>
      </c>
      <c r="AD106" s="24">
        <v>93</v>
      </c>
      <c r="AE106" s="24">
        <v>93</v>
      </c>
      <c r="AF106" s="24">
        <v>93</v>
      </c>
      <c r="AG106" s="24">
        <v>93</v>
      </c>
      <c r="AH106" s="24">
        <v>93</v>
      </c>
      <c r="AI106" s="24">
        <v>93</v>
      </c>
      <c r="AJ106" s="24">
        <v>93</v>
      </c>
    </row>
    <row r="107" spans="1:36" x14ac:dyDescent="0.3">
      <c r="A107" t="s">
        <v>758</v>
      </c>
      <c r="B107" t="s">
        <v>305</v>
      </c>
      <c r="C107" s="24">
        <v>0</v>
      </c>
      <c r="D107" s="24">
        <v>0</v>
      </c>
      <c r="E107" s="24">
        <v>0</v>
      </c>
      <c r="F107" s="24">
        <v>0</v>
      </c>
      <c r="G107" s="24">
        <v>0</v>
      </c>
      <c r="H107" s="24">
        <v>0</v>
      </c>
      <c r="I107" s="24">
        <v>0</v>
      </c>
      <c r="J107" s="24">
        <v>0</v>
      </c>
      <c r="K107" s="24">
        <v>0</v>
      </c>
      <c r="L107" s="24">
        <v>0</v>
      </c>
      <c r="M107" s="24">
        <v>0</v>
      </c>
      <c r="N107" s="24">
        <v>0</v>
      </c>
      <c r="O107" s="24">
        <v>0</v>
      </c>
      <c r="P107" s="24">
        <v>0</v>
      </c>
      <c r="Q107" s="24">
        <v>0</v>
      </c>
      <c r="R107" s="24">
        <v>0</v>
      </c>
      <c r="S107" s="24">
        <v>0</v>
      </c>
      <c r="T107" s="24">
        <v>0</v>
      </c>
      <c r="U107" s="24">
        <v>0</v>
      </c>
      <c r="V107" s="24">
        <v>0</v>
      </c>
      <c r="W107" s="24">
        <v>0</v>
      </c>
      <c r="X107" s="24">
        <v>0</v>
      </c>
      <c r="Y107" s="24">
        <v>0</v>
      </c>
      <c r="Z107" s="24">
        <v>0</v>
      </c>
      <c r="AA107" s="24">
        <v>0</v>
      </c>
      <c r="AB107" s="24">
        <v>0</v>
      </c>
      <c r="AC107" s="24">
        <v>0</v>
      </c>
      <c r="AD107" s="24">
        <v>0</v>
      </c>
      <c r="AE107" s="24">
        <v>0</v>
      </c>
      <c r="AF107" s="24">
        <v>0</v>
      </c>
      <c r="AG107" s="24">
        <v>0</v>
      </c>
      <c r="AH107" s="24">
        <v>0</v>
      </c>
      <c r="AI107" s="24">
        <v>0</v>
      </c>
      <c r="AJ107" s="24">
        <v>0</v>
      </c>
    </row>
    <row r="108" spans="1:36" s="70" customFormat="1" x14ac:dyDescent="0.3">
      <c r="A108" s="70" t="s">
        <v>780</v>
      </c>
      <c r="C108" s="71">
        <f>+SUM(C97:C107)</f>
        <v>100</v>
      </c>
      <c r="D108" s="71">
        <f t="shared" ref="D108" si="166">+SUM(D97:D107)</f>
        <v>100</v>
      </c>
      <c r="E108" s="71">
        <f t="shared" ref="E108" si="167">+SUM(E97:E107)</f>
        <v>100</v>
      </c>
      <c r="F108" s="71">
        <f t="shared" ref="F108" si="168">+SUM(F97:F107)</f>
        <v>100</v>
      </c>
      <c r="G108" s="71">
        <f t="shared" ref="G108" si="169">+SUM(G97:G107)</f>
        <v>100</v>
      </c>
      <c r="H108" s="71">
        <f t="shared" ref="H108" si="170">+SUM(H97:H107)</f>
        <v>100</v>
      </c>
      <c r="I108" s="71">
        <f t="shared" ref="I108" si="171">+SUM(I97:I107)</f>
        <v>100</v>
      </c>
      <c r="J108" s="71">
        <f t="shared" ref="J108" si="172">+SUM(J97:J107)</f>
        <v>100</v>
      </c>
      <c r="K108" s="71">
        <f t="shared" ref="K108" si="173">+SUM(K97:K107)</f>
        <v>100</v>
      </c>
      <c r="L108" s="71">
        <f t="shared" ref="L108" si="174">+SUM(L97:L107)</f>
        <v>100</v>
      </c>
      <c r="M108" s="71">
        <f t="shared" ref="M108" si="175">+SUM(M97:M107)</f>
        <v>100</v>
      </c>
      <c r="N108" s="71">
        <f t="shared" ref="N108" si="176">+SUM(N97:N107)</f>
        <v>100</v>
      </c>
      <c r="O108" s="71">
        <f t="shared" ref="O108" si="177">+SUM(O97:O107)</f>
        <v>100</v>
      </c>
      <c r="P108" s="71">
        <f t="shared" ref="P108" si="178">+SUM(P97:P107)</f>
        <v>100</v>
      </c>
      <c r="Q108" s="71">
        <f t="shared" ref="Q108" si="179">+SUM(Q97:Q107)</f>
        <v>100</v>
      </c>
      <c r="R108" s="71">
        <f t="shared" ref="R108" si="180">+SUM(R97:R107)</f>
        <v>100</v>
      </c>
      <c r="S108" s="71">
        <f t="shared" ref="S108" si="181">+SUM(S97:S107)</f>
        <v>100</v>
      </c>
      <c r="T108" s="71">
        <f t="shared" ref="T108" si="182">+SUM(T97:T107)</f>
        <v>100</v>
      </c>
      <c r="U108" s="71">
        <f t="shared" ref="U108" si="183">+SUM(U97:U107)</f>
        <v>100</v>
      </c>
      <c r="V108" s="71">
        <f t="shared" ref="V108" si="184">+SUM(V97:V107)</f>
        <v>100</v>
      </c>
      <c r="W108" s="71">
        <f t="shared" ref="W108" si="185">+SUM(W97:W107)</f>
        <v>100</v>
      </c>
      <c r="X108" s="71">
        <f t="shared" ref="X108" si="186">+SUM(X97:X107)</f>
        <v>100</v>
      </c>
      <c r="Y108" s="71">
        <f t="shared" ref="Y108" si="187">+SUM(Y97:Y107)</f>
        <v>100</v>
      </c>
      <c r="Z108" s="71">
        <f t="shared" ref="Z108" si="188">+SUM(Z97:Z107)</f>
        <v>100</v>
      </c>
      <c r="AA108" s="71">
        <f t="shared" ref="AA108" si="189">+SUM(AA97:AA107)</f>
        <v>100</v>
      </c>
      <c r="AB108" s="71">
        <f t="shared" ref="AB108" si="190">+SUM(AB97:AB107)</f>
        <v>100</v>
      </c>
      <c r="AC108" s="71">
        <f t="shared" ref="AC108" si="191">+SUM(AC97:AC107)</f>
        <v>100</v>
      </c>
      <c r="AD108" s="71">
        <f t="shared" ref="AD108" si="192">+SUM(AD97:AD107)</f>
        <v>100</v>
      </c>
      <c r="AE108" s="71">
        <f t="shared" ref="AE108" si="193">+SUM(AE97:AE107)</f>
        <v>100</v>
      </c>
      <c r="AF108" s="71">
        <f t="shared" ref="AF108" si="194">+SUM(AF97:AF107)</f>
        <v>100</v>
      </c>
      <c r="AG108" s="71">
        <f t="shared" ref="AG108" si="195">+SUM(AG97:AG107)</f>
        <v>100</v>
      </c>
      <c r="AH108" s="71">
        <f t="shared" ref="AH108" si="196">+SUM(AH97:AH107)</f>
        <v>100</v>
      </c>
      <c r="AI108" s="71">
        <f t="shared" ref="AI108" si="197">+SUM(AI97:AI107)</f>
        <v>100</v>
      </c>
      <c r="AJ108" s="71">
        <f t="shared" ref="AJ108" si="198">+SUM(AJ97:AJ107)</f>
        <v>100</v>
      </c>
    </row>
    <row r="109" spans="1:36" s="68" customFormat="1" ht="15.6" x14ac:dyDescent="0.3">
      <c r="A109" s="66" t="s">
        <v>774</v>
      </c>
      <c r="B109" s="67"/>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row>
    <row r="110" spans="1:36" x14ac:dyDescent="0.3">
      <c r="A110" t="s">
        <v>529</v>
      </c>
      <c r="B110" t="s">
        <v>305</v>
      </c>
      <c r="C110" s="24">
        <v>0</v>
      </c>
      <c r="D110" s="24">
        <v>0</v>
      </c>
      <c r="E110" s="24">
        <v>0</v>
      </c>
      <c r="F110" s="24">
        <v>0</v>
      </c>
      <c r="G110" s="24">
        <v>0</v>
      </c>
      <c r="H110" s="24">
        <v>0</v>
      </c>
      <c r="I110" s="24">
        <v>0</v>
      </c>
      <c r="J110" s="24">
        <v>0</v>
      </c>
      <c r="K110" s="24">
        <v>0</v>
      </c>
      <c r="L110" s="24">
        <v>0</v>
      </c>
      <c r="M110" s="24">
        <v>0</v>
      </c>
      <c r="N110" s="24">
        <v>0</v>
      </c>
      <c r="O110" s="24">
        <v>0</v>
      </c>
      <c r="P110" s="24">
        <v>0</v>
      </c>
      <c r="Q110" s="24">
        <v>0</v>
      </c>
      <c r="R110" s="24">
        <v>0</v>
      </c>
      <c r="S110" s="24">
        <v>0</v>
      </c>
      <c r="T110" s="24">
        <v>0</v>
      </c>
      <c r="U110" s="24">
        <v>0</v>
      </c>
      <c r="V110" s="24">
        <v>0</v>
      </c>
      <c r="W110" s="24">
        <v>0</v>
      </c>
      <c r="X110" s="24">
        <v>0</v>
      </c>
      <c r="Y110" s="24">
        <v>0</v>
      </c>
      <c r="Z110" s="24">
        <v>0</v>
      </c>
      <c r="AA110" s="24">
        <v>0</v>
      </c>
      <c r="AB110" s="24">
        <v>0</v>
      </c>
      <c r="AC110" s="24">
        <v>0</v>
      </c>
      <c r="AD110" s="24">
        <v>0</v>
      </c>
      <c r="AE110" s="24">
        <v>0</v>
      </c>
      <c r="AF110" s="24">
        <v>0</v>
      </c>
      <c r="AG110" s="24">
        <v>0</v>
      </c>
      <c r="AH110" s="24">
        <v>0</v>
      </c>
      <c r="AI110" s="24">
        <v>0</v>
      </c>
      <c r="AJ110" s="24">
        <v>0</v>
      </c>
    </row>
    <row r="111" spans="1:36" x14ac:dyDescent="0.3">
      <c r="A111" t="s">
        <v>530</v>
      </c>
      <c r="B111" t="s">
        <v>305</v>
      </c>
      <c r="C111" s="24">
        <v>0</v>
      </c>
      <c r="D111" s="24">
        <v>0</v>
      </c>
      <c r="E111" s="24">
        <v>0</v>
      </c>
      <c r="F111" s="24">
        <v>0</v>
      </c>
      <c r="G111" s="24">
        <v>0</v>
      </c>
      <c r="H111" s="24">
        <v>0</v>
      </c>
      <c r="I111" s="24">
        <v>0</v>
      </c>
      <c r="J111" s="24">
        <v>0</v>
      </c>
      <c r="K111" s="24">
        <v>0</v>
      </c>
      <c r="L111" s="24">
        <v>0</v>
      </c>
      <c r="M111" s="24">
        <v>0</v>
      </c>
      <c r="N111" s="24">
        <v>0</v>
      </c>
      <c r="O111" s="24">
        <v>0</v>
      </c>
      <c r="P111" s="24">
        <v>0</v>
      </c>
      <c r="Q111" s="24">
        <v>0</v>
      </c>
      <c r="R111" s="24">
        <v>0</v>
      </c>
      <c r="S111" s="24">
        <v>0</v>
      </c>
      <c r="T111" s="24">
        <v>0</v>
      </c>
      <c r="U111" s="24">
        <v>0</v>
      </c>
      <c r="V111" s="24">
        <v>0</v>
      </c>
      <c r="W111" s="24">
        <v>0</v>
      </c>
      <c r="X111" s="24">
        <v>0</v>
      </c>
      <c r="Y111" s="24">
        <v>0</v>
      </c>
      <c r="Z111" s="24">
        <v>0</v>
      </c>
      <c r="AA111" s="24">
        <v>0</v>
      </c>
      <c r="AB111" s="24">
        <v>0</v>
      </c>
      <c r="AC111" s="24">
        <v>0</v>
      </c>
      <c r="AD111" s="24">
        <v>0</v>
      </c>
      <c r="AE111" s="24">
        <v>0</v>
      </c>
      <c r="AF111" s="24">
        <v>0</v>
      </c>
      <c r="AG111" s="24">
        <v>0</v>
      </c>
      <c r="AH111" s="24">
        <v>0</v>
      </c>
      <c r="AI111" s="24">
        <v>0</v>
      </c>
      <c r="AJ111" s="24">
        <v>0</v>
      </c>
    </row>
    <row r="112" spans="1:36" x14ac:dyDescent="0.3">
      <c r="A112" t="s">
        <v>531</v>
      </c>
      <c r="B112" t="s">
        <v>305</v>
      </c>
      <c r="C112" s="24">
        <v>1</v>
      </c>
      <c r="D112" s="24">
        <v>1</v>
      </c>
      <c r="E112" s="24">
        <v>1</v>
      </c>
      <c r="F112" s="24">
        <v>1</v>
      </c>
      <c r="G112" s="24">
        <v>1</v>
      </c>
      <c r="H112" s="24">
        <v>1</v>
      </c>
      <c r="I112" s="24">
        <v>1</v>
      </c>
      <c r="J112" s="24">
        <v>1</v>
      </c>
      <c r="K112" s="24">
        <v>1</v>
      </c>
      <c r="L112" s="24">
        <v>1</v>
      </c>
      <c r="M112" s="24">
        <v>1</v>
      </c>
      <c r="N112" s="24">
        <v>1</v>
      </c>
      <c r="O112" s="24">
        <v>1</v>
      </c>
      <c r="P112" s="24">
        <v>1</v>
      </c>
      <c r="Q112" s="24">
        <v>1</v>
      </c>
      <c r="R112" s="24">
        <v>1</v>
      </c>
      <c r="S112" s="24">
        <v>1</v>
      </c>
      <c r="T112" s="24">
        <v>1</v>
      </c>
      <c r="U112" s="24">
        <v>1</v>
      </c>
      <c r="V112" s="24">
        <v>1</v>
      </c>
      <c r="W112" s="24">
        <v>1</v>
      </c>
      <c r="X112" s="24">
        <v>1</v>
      </c>
      <c r="Y112" s="24">
        <v>1</v>
      </c>
      <c r="Z112" s="24">
        <v>1</v>
      </c>
      <c r="AA112" s="24">
        <v>1</v>
      </c>
      <c r="AB112" s="24">
        <v>1</v>
      </c>
      <c r="AC112" s="24">
        <v>1</v>
      </c>
      <c r="AD112" s="24">
        <v>1</v>
      </c>
      <c r="AE112" s="24">
        <v>1</v>
      </c>
      <c r="AF112" s="24">
        <v>1</v>
      </c>
      <c r="AG112" s="24">
        <v>1</v>
      </c>
      <c r="AH112" s="24">
        <v>1</v>
      </c>
      <c r="AI112" s="24">
        <v>1</v>
      </c>
      <c r="AJ112" s="24">
        <v>1</v>
      </c>
    </row>
    <row r="113" spans="1:36" x14ac:dyDescent="0.3">
      <c r="A113" t="s">
        <v>532</v>
      </c>
      <c r="B113" t="s">
        <v>305</v>
      </c>
      <c r="C113" s="24">
        <v>0</v>
      </c>
      <c r="D113" s="24">
        <v>0</v>
      </c>
      <c r="E113" s="24">
        <v>0</v>
      </c>
      <c r="F113" s="24">
        <v>0</v>
      </c>
      <c r="G113" s="24">
        <v>0</v>
      </c>
      <c r="H113" s="24">
        <v>0</v>
      </c>
      <c r="I113" s="24">
        <v>0</v>
      </c>
      <c r="J113" s="24">
        <v>0</v>
      </c>
      <c r="K113" s="24">
        <v>0</v>
      </c>
      <c r="L113" s="24">
        <v>0</v>
      </c>
      <c r="M113" s="24">
        <v>0</v>
      </c>
      <c r="N113" s="24">
        <v>0</v>
      </c>
      <c r="O113" s="24">
        <v>0</v>
      </c>
      <c r="P113" s="24">
        <v>0</v>
      </c>
      <c r="Q113" s="24">
        <v>0</v>
      </c>
      <c r="R113" s="24">
        <v>0</v>
      </c>
      <c r="S113" s="24">
        <v>0</v>
      </c>
      <c r="T113" s="24">
        <v>0</v>
      </c>
      <c r="U113" s="24">
        <v>0</v>
      </c>
      <c r="V113" s="24">
        <v>0</v>
      </c>
      <c r="W113" s="24">
        <v>0</v>
      </c>
      <c r="X113" s="24">
        <v>0</v>
      </c>
      <c r="Y113" s="24">
        <v>0</v>
      </c>
      <c r="Z113" s="24">
        <v>0</v>
      </c>
      <c r="AA113" s="24">
        <v>0</v>
      </c>
      <c r="AB113" s="24">
        <v>0</v>
      </c>
      <c r="AC113" s="24">
        <v>0</v>
      </c>
      <c r="AD113" s="24">
        <v>0</v>
      </c>
      <c r="AE113" s="24">
        <v>0</v>
      </c>
      <c r="AF113" s="24">
        <v>0</v>
      </c>
      <c r="AG113" s="24">
        <v>0</v>
      </c>
      <c r="AH113" s="24">
        <v>0</v>
      </c>
      <c r="AI113" s="24">
        <v>0</v>
      </c>
      <c r="AJ113" s="24">
        <v>0</v>
      </c>
    </row>
    <row r="114" spans="1:36" x14ac:dyDescent="0.3">
      <c r="A114" t="s">
        <v>533</v>
      </c>
      <c r="B114" t="s">
        <v>305</v>
      </c>
      <c r="C114" s="24">
        <v>0</v>
      </c>
      <c r="D114" s="24">
        <v>0</v>
      </c>
      <c r="E114" s="24">
        <v>0</v>
      </c>
      <c r="F114" s="24">
        <v>0</v>
      </c>
      <c r="G114" s="24">
        <v>0</v>
      </c>
      <c r="H114" s="24">
        <v>0</v>
      </c>
      <c r="I114" s="24">
        <v>0</v>
      </c>
      <c r="J114" s="24">
        <v>0</v>
      </c>
      <c r="K114" s="24">
        <v>0</v>
      </c>
      <c r="L114" s="24">
        <v>0</v>
      </c>
      <c r="M114" s="24">
        <v>0</v>
      </c>
      <c r="N114" s="24">
        <v>0</v>
      </c>
      <c r="O114" s="24">
        <v>0</v>
      </c>
      <c r="P114" s="24">
        <v>0</v>
      </c>
      <c r="Q114" s="24">
        <v>0</v>
      </c>
      <c r="R114" s="24">
        <v>0</v>
      </c>
      <c r="S114" s="24">
        <v>0</v>
      </c>
      <c r="T114" s="24">
        <v>0</v>
      </c>
      <c r="U114" s="24">
        <v>0</v>
      </c>
      <c r="V114" s="24">
        <v>0</v>
      </c>
      <c r="W114" s="24">
        <v>0</v>
      </c>
      <c r="X114" s="24">
        <v>0</v>
      </c>
      <c r="Y114" s="24">
        <v>0</v>
      </c>
      <c r="Z114" s="24">
        <v>0</v>
      </c>
      <c r="AA114" s="24">
        <v>0</v>
      </c>
      <c r="AB114" s="24">
        <v>0</v>
      </c>
      <c r="AC114" s="24">
        <v>0</v>
      </c>
      <c r="AD114" s="24">
        <v>0</v>
      </c>
      <c r="AE114" s="24">
        <v>0</v>
      </c>
      <c r="AF114" s="24">
        <v>0</v>
      </c>
      <c r="AG114" s="24">
        <v>0</v>
      </c>
      <c r="AH114" s="24">
        <v>0</v>
      </c>
      <c r="AI114" s="24">
        <v>0</v>
      </c>
      <c r="AJ114" s="24">
        <v>0</v>
      </c>
    </row>
    <row r="115" spans="1:36" x14ac:dyDescent="0.3">
      <c r="A115" t="s">
        <v>534</v>
      </c>
      <c r="B115" t="s">
        <v>305</v>
      </c>
      <c r="C115" s="24">
        <v>0</v>
      </c>
      <c r="D115" s="24">
        <v>0</v>
      </c>
      <c r="E115" s="24">
        <v>0</v>
      </c>
      <c r="F115" s="24">
        <v>0</v>
      </c>
      <c r="G115" s="24">
        <v>0</v>
      </c>
      <c r="H115" s="24">
        <v>0</v>
      </c>
      <c r="I115" s="24">
        <v>0</v>
      </c>
      <c r="J115" s="24">
        <v>0</v>
      </c>
      <c r="K115" s="24">
        <v>0</v>
      </c>
      <c r="L115" s="24">
        <v>0</v>
      </c>
      <c r="M115" s="24">
        <v>0</v>
      </c>
      <c r="N115" s="24">
        <v>0</v>
      </c>
      <c r="O115" s="24">
        <v>0</v>
      </c>
      <c r="P115" s="24">
        <v>0</v>
      </c>
      <c r="Q115" s="24">
        <v>0</v>
      </c>
      <c r="R115" s="24">
        <v>0</v>
      </c>
      <c r="S115" s="24">
        <v>0</v>
      </c>
      <c r="T115" s="24">
        <v>0</v>
      </c>
      <c r="U115" s="24">
        <v>0</v>
      </c>
      <c r="V115" s="24">
        <v>0</v>
      </c>
      <c r="W115" s="24">
        <v>0</v>
      </c>
      <c r="X115" s="24">
        <v>0</v>
      </c>
      <c r="Y115" s="24">
        <v>0</v>
      </c>
      <c r="Z115" s="24">
        <v>0</v>
      </c>
      <c r="AA115" s="24">
        <v>0</v>
      </c>
      <c r="AB115" s="24">
        <v>0</v>
      </c>
      <c r="AC115" s="24">
        <v>0</v>
      </c>
      <c r="AD115" s="24">
        <v>0</v>
      </c>
      <c r="AE115" s="24">
        <v>0</v>
      </c>
      <c r="AF115" s="24">
        <v>0</v>
      </c>
      <c r="AG115" s="24">
        <v>0</v>
      </c>
      <c r="AH115" s="24">
        <v>0</v>
      </c>
      <c r="AI115" s="24">
        <v>0</v>
      </c>
      <c r="AJ115" s="24">
        <v>0</v>
      </c>
    </row>
    <row r="116" spans="1:36" x14ac:dyDescent="0.3">
      <c r="A116" t="s">
        <v>535</v>
      </c>
      <c r="B116" t="s">
        <v>305</v>
      </c>
      <c r="C116" s="24">
        <v>0</v>
      </c>
      <c r="D116" s="24">
        <v>0</v>
      </c>
      <c r="E116" s="24">
        <v>0</v>
      </c>
      <c r="F116" s="24">
        <v>0</v>
      </c>
      <c r="G116" s="24">
        <v>0</v>
      </c>
      <c r="H116" s="24">
        <v>0</v>
      </c>
      <c r="I116" s="24">
        <v>0</v>
      </c>
      <c r="J116" s="24">
        <v>0</v>
      </c>
      <c r="K116" s="24">
        <v>0</v>
      </c>
      <c r="L116" s="24">
        <v>0</v>
      </c>
      <c r="M116" s="24">
        <v>0</v>
      </c>
      <c r="N116" s="24">
        <v>0</v>
      </c>
      <c r="O116" s="24">
        <v>0</v>
      </c>
      <c r="P116" s="24">
        <v>0</v>
      </c>
      <c r="Q116" s="24">
        <v>0</v>
      </c>
      <c r="R116" s="24">
        <v>0</v>
      </c>
      <c r="S116" s="24">
        <v>0</v>
      </c>
      <c r="T116" s="24">
        <v>0</v>
      </c>
      <c r="U116" s="24">
        <v>0</v>
      </c>
      <c r="V116" s="24">
        <v>0</v>
      </c>
      <c r="W116" s="24">
        <v>0</v>
      </c>
      <c r="X116" s="24">
        <v>0</v>
      </c>
      <c r="Y116" s="24">
        <v>0</v>
      </c>
      <c r="Z116" s="24">
        <v>0</v>
      </c>
      <c r="AA116" s="24">
        <v>0</v>
      </c>
      <c r="AB116" s="24">
        <v>0</v>
      </c>
      <c r="AC116" s="24">
        <v>0</v>
      </c>
      <c r="AD116" s="24">
        <v>0</v>
      </c>
      <c r="AE116" s="24">
        <v>0</v>
      </c>
      <c r="AF116" s="24">
        <v>0</v>
      </c>
      <c r="AG116" s="24">
        <v>0</v>
      </c>
      <c r="AH116" s="24">
        <v>0</v>
      </c>
      <c r="AI116" s="24">
        <v>0</v>
      </c>
      <c r="AJ116" s="24">
        <v>0</v>
      </c>
    </row>
    <row r="117" spans="1:36" x14ac:dyDescent="0.3">
      <c r="A117" t="s">
        <v>536</v>
      </c>
      <c r="B117" t="s">
        <v>305</v>
      </c>
      <c r="C117" s="24">
        <v>0</v>
      </c>
      <c r="D117" s="24">
        <v>0</v>
      </c>
      <c r="E117" s="24">
        <v>0</v>
      </c>
      <c r="F117" s="24">
        <v>0</v>
      </c>
      <c r="G117" s="24">
        <v>0</v>
      </c>
      <c r="H117" s="24">
        <v>0</v>
      </c>
      <c r="I117" s="24">
        <v>0</v>
      </c>
      <c r="J117" s="24">
        <v>0</v>
      </c>
      <c r="K117" s="24">
        <v>0</v>
      </c>
      <c r="L117" s="24">
        <v>0</v>
      </c>
      <c r="M117" s="24">
        <v>0</v>
      </c>
      <c r="N117" s="24">
        <v>0</v>
      </c>
      <c r="O117" s="24">
        <v>0</v>
      </c>
      <c r="P117" s="24">
        <v>0</v>
      </c>
      <c r="Q117" s="24">
        <v>0</v>
      </c>
      <c r="R117" s="24">
        <v>0</v>
      </c>
      <c r="S117" s="24">
        <v>0</v>
      </c>
      <c r="T117" s="24">
        <v>0</v>
      </c>
      <c r="U117" s="24">
        <v>0</v>
      </c>
      <c r="V117" s="24">
        <v>0</v>
      </c>
      <c r="W117" s="24">
        <v>0</v>
      </c>
      <c r="X117" s="24">
        <v>0</v>
      </c>
      <c r="Y117" s="24">
        <v>0</v>
      </c>
      <c r="Z117" s="24">
        <v>0</v>
      </c>
      <c r="AA117" s="24">
        <v>0</v>
      </c>
      <c r="AB117" s="24">
        <v>0</v>
      </c>
      <c r="AC117" s="24">
        <v>0</v>
      </c>
      <c r="AD117" s="24">
        <v>0</v>
      </c>
      <c r="AE117" s="24">
        <v>0</v>
      </c>
      <c r="AF117" s="24">
        <v>0</v>
      </c>
      <c r="AG117" s="24">
        <v>0</v>
      </c>
      <c r="AH117" s="24">
        <v>0</v>
      </c>
      <c r="AI117" s="24">
        <v>0</v>
      </c>
      <c r="AJ117" s="24">
        <v>0</v>
      </c>
    </row>
    <row r="118" spans="1:36" x14ac:dyDescent="0.3">
      <c r="A118" t="s">
        <v>537</v>
      </c>
      <c r="B118" t="s">
        <v>305</v>
      </c>
      <c r="C118" s="24">
        <v>0</v>
      </c>
      <c r="D118" s="24">
        <v>0</v>
      </c>
      <c r="E118" s="24">
        <v>0</v>
      </c>
      <c r="F118" s="24">
        <v>0</v>
      </c>
      <c r="G118" s="24">
        <v>0</v>
      </c>
      <c r="H118" s="24">
        <v>0</v>
      </c>
      <c r="I118" s="24">
        <v>0</v>
      </c>
      <c r="J118" s="24">
        <v>0</v>
      </c>
      <c r="K118" s="24">
        <v>0</v>
      </c>
      <c r="L118" s="24">
        <v>0</v>
      </c>
      <c r="M118" s="24">
        <v>0</v>
      </c>
      <c r="N118" s="24">
        <v>0</v>
      </c>
      <c r="O118" s="24">
        <v>0</v>
      </c>
      <c r="P118" s="24">
        <v>0</v>
      </c>
      <c r="Q118" s="24">
        <v>0</v>
      </c>
      <c r="R118" s="24">
        <v>0</v>
      </c>
      <c r="S118" s="24">
        <v>0</v>
      </c>
      <c r="T118" s="24">
        <v>0</v>
      </c>
      <c r="U118" s="24">
        <v>0</v>
      </c>
      <c r="V118" s="24">
        <v>0</v>
      </c>
      <c r="W118" s="24">
        <v>0</v>
      </c>
      <c r="X118" s="24">
        <v>0</v>
      </c>
      <c r="Y118" s="24">
        <v>0</v>
      </c>
      <c r="Z118" s="24">
        <v>0</v>
      </c>
      <c r="AA118" s="24">
        <v>0</v>
      </c>
      <c r="AB118" s="24">
        <v>0</v>
      </c>
      <c r="AC118" s="24">
        <v>0</v>
      </c>
      <c r="AD118" s="24">
        <v>0</v>
      </c>
      <c r="AE118" s="24">
        <v>0</v>
      </c>
      <c r="AF118" s="24">
        <v>0</v>
      </c>
      <c r="AG118" s="24">
        <v>0</v>
      </c>
      <c r="AH118" s="24">
        <v>0</v>
      </c>
      <c r="AI118" s="24">
        <v>0</v>
      </c>
      <c r="AJ118" s="24">
        <v>0</v>
      </c>
    </row>
    <row r="119" spans="1:36" x14ac:dyDescent="0.3">
      <c r="A119" t="s">
        <v>538</v>
      </c>
      <c r="B119" t="s">
        <v>305</v>
      </c>
      <c r="C119" s="24">
        <v>99</v>
      </c>
      <c r="D119" s="24">
        <v>99</v>
      </c>
      <c r="E119" s="24">
        <v>99</v>
      </c>
      <c r="F119" s="24">
        <v>99</v>
      </c>
      <c r="G119" s="24">
        <v>99</v>
      </c>
      <c r="H119" s="24">
        <v>99</v>
      </c>
      <c r="I119" s="24">
        <v>99</v>
      </c>
      <c r="J119" s="24">
        <v>99</v>
      </c>
      <c r="K119" s="24">
        <v>99</v>
      </c>
      <c r="L119" s="24">
        <v>99</v>
      </c>
      <c r="M119" s="24">
        <v>99</v>
      </c>
      <c r="N119" s="24">
        <v>99</v>
      </c>
      <c r="O119" s="24">
        <v>99</v>
      </c>
      <c r="P119" s="24">
        <v>99</v>
      </c>
      <c r="Q119" s="24">
        <v>99</v>
      </c>
      <c r="R119" s="24">
        <v>99</v>
      </c>
      <c r="S119" s="24">
        <v>99</v>
      </c>
      <c r="T119" s="24">
        <v>99</v>
      </c>
      <c r="U119" s="24">
        <v>99</v>
      </c>
      <c r="V119" s="24">
        <v>99</v>
      </c>
      <c r="W119" s="24">
        <v>99</v>
      </c>
      <c r="X119" s="24">
        <v>99</v>
      </c>
      <c r="Y119" s="24">
        <v>99</v>
      </c>
      <c r="Z119" s="24">
        <v>99</v>
      </c>
      <c r="AA119" s="24">
        <v>99</v>
      </c>
      <c r="AB119" s="24">
        <v>99</v>
      </c>
      <c r="AC119" s="24">
        <v>99</v>
      </c>
      <c r="AD119" s="24">
        <v>99</v>
      </c>
      <c r="AE119" s="24">
        <v>99</v>
      </c>
      <c r="AF119" s="24">
        <v>99</v>
      </c>
      <c r="AG119" s="24">
        <v>99</v>
      </c>
      <c r="AH119" s="24">
        <v>99</v>
      </c>
      <c r="AI119" s="24">
        <v>99</v>
      </c>
      <c r="AJ119" s="24">
        <v>99</v>
      </c>
    </row>
    <row r="120" spans="1:36" x14ac:dyDescent="0.3">
      <c r="A120" t="s">
        <v>759</v>
      </c>
      <c r="B120" t="s">
        <v>305</v>
      </c>
      <c r="C120" s="24">
        <v>0</v>
      </c>
      <c r="D120" s="24">
        <v>0</v>
      </c>
      <c r="E120" s="24">
        <v>0</v>
      </c>
      <c r="F120" s="24">
        <v>0</v>
      </c>
      <c r="G120" s="24">
        <v>0</v>
      </c>
      <c r="H120" s="24">
        <v>0</v>
      </c>
      <c r="I120" s="24">
        <v>0</v>
      </c>
      <c r="J120" s="24">
        <v>0</v>
      </c>
      <c r="K120" s="24">
        <v>0</v>
      </c>
      <c r="L120" s="24">
        <v>0</v>
      </c>
      <c r="M120" s="24">
        <v>0</v>
      </c>
      <c r="N120" s="24">
        <v>0</v>
      </c>
      <c r="O120" s="24">
        <v>0</v>
      </c>
      <c r="P120" s="24">
        <v>0</v>
      </c>
      <c r="Q120" s="24">
        <v>0</v>
      </c>
      <c r="R120" s="24">
        <v>0</v>
      </c>
      <c r="S120" s="24">
        <v>0</v>
      </c>
      <c r="T120" s="24">
        <v>0</v>
      </c>
      <c r="U120" s="24">
        <v>0</v>
      </c>
      <c r="V120" s="24">
        <v>0</v>
      </c>
      <c r="W120" s="24">
        <v>0</v>
      </c>
      <c r="X120" s="24">
        <v>0</v>
      </c>
      <c r="Y120" s="24">
        <v>0</v>
      </c>
      <c r="Z120" s="24">
        <v>0</v>
      </c>
      <c r="AA120" s="24">
        <v>0</v>
      </c>
      <c r="AB120" s="24">
        <v>0</v>
      </c>
      <c r="AC120" s="24">
        <v>0</v>
      </c>
      <c r="AD120" s="24">
        <v>0</v>
      </c>
      <c r="AE120" s="24">
        <v>0</v>
      </c>
      <c r="AF120" s="24">
        <v>0</v>
      </c>
      <c r="AG120" s="24">
        <v>0</v>
      </c>
      <c r="AH120" s="24">
        <v>0</v>
      </c>
      <c r="AI120" s="24">
        <v>0</v>
      </c>
      <c r="AJ120" s="24">
        <v>0</v>
      </c>
    </row>
    <row r="121" spans="1:36" s="70" customFormat="1" x14ac:dyDescent="0.3">
      <c r="A121" s="70" t="s">
        <v>780</v>
      </c>
      <c r="C121" s="71">
        <f>+SUM(C110:C120)</f>
        <v>100</v>
      </c>
      <c r="D121" s="71">
        <f t="shared" ref="D121" si="199">+SUM(D110:D120)</f>
        <v>100</v>
      </c>
      <c r="E121" s="71">
        <f t="shared" ref="E121" si="200">+SUM(E110:E120)</f>
        <v>100</v>
      </c>
      <c r="F121" s="71">
        <f t="shared" ref="F121" si="201">+SUM(F110:F120)</f>
        <v>100</v>
      </c>
      <c r="G121" s="71">
        <f t="shared" ref="G121" si="202">+SUM(G110:G120)</f>
        <v>100</v>
      </c>
      <c r="H121" s="71">
        <f t="shared" ref="H121" si="203">+SUM(H110:H120)</f>
        <v>100</v>
      </c>
      <c r="I121" s="71">
        <f t="shared" ref="I121" si="204">+SUM(I110:I120)</f>
        <v>100</v>
      </c>
      <c r="J121" s="71">
        <f t="shared" ref="J121" si="205">+SUM(J110:J120)</f>
        <v>100</v>
      </c>
      <c r="K121" s="71">
        <f t="shared" ref="K121" si="206">+SUM(K110:K120)</f>
        <v>100</v>
      </c>
      <c r="L121" s="71">
        <f t="shared" ref="L121" si="207">+SUM(L110:L120)</f>
        <v>100</v>
      </c>
      <c r="M121" s="71">
        <f t="shared" ref="M121" si="208">+SUM(M110:M120)</f>
        <v>100</v>
      </c>
      <c r="N121" s="71">
        <f t="shared" ref="N121" si="209">+SUM(N110:N120)</f>
        <v>100</v>
      </c>
      <c r="O121" s="71">
        <f t="shared" ref="O121" si="210">+SUM(O110:O120)</f>
        <v>100</v>
      </c>
      <c r="P121" s="71">
        <f t="shared" ref="P121" si="211">+SUM(P110:P120)</f>
        <v>100</v>
      </c>
      <c r="Q121" s="71">
        <f t="shared" ref="Q121" si="212">+SUM(Q110:Q120)</f>
        <v>100</v>
      </c>
      <c r="R121" s="71">
        <f t="shared" ref="R121" si="213">+SUM(R110:R120)</f>
        <v>100</v>
      </c>
      <c r="S121" s="71">
        <f t="shared" ref="S121" si="214">+SUM(S110:S120)</f>
        <v>100</v>
      </c>
      <c r="T121" s="71">
        <f t="shared" ref="T121" si="215">+SUM(T110:T120)</f>
        <v>100</v>
      </c>
      <c r="U121" s="71">
        <f t="shared" ref="U121" si="216">+SUM(U110:U120)</f>
        <v>100</v>
      </c>
      <c r="V121" s="71">
        <f t="shared" ref="V121" si="217">+SUM(V110:V120)</f>
        <v>100</v>
      </c>
      <c r="W121" s="71">
        <f t="shared" ref="W121" si="218">+SUM(W110:W120)</f>
        <v>100</v>
      </c>
      <c r="X121" s="71">
        <f t="shared" ref="X121" si="219">+SUM(X110:X120)</f>
        <v>100</v>
      </c>
      <c r="Y121" s="71">
        <f t="shared" ref="Y121" si="220">+SUM(Y110:Y120)</f>
        <v>100</v>
      </c>
      <c r="Z121" s="71">
        <f t="shared" ref="Z121" si="221">+SUM(Z110:Z120)</f>
        <v>100</v>
      </c>
      <c r="AA121" s="71">
        <f t="shared" ref="AA121" si="222">+SUM(AA110:AA120)</f>
        <v>100</v>
      </c>
      <c r="AB121" s="71">
        <f t="shared" ref="AB121" si="223">+SUM(AB110:AB120)</f>
        <v>100</v>
      </c>
      <c r="AC121" s="71">
        <f t="shared" ref="AC121" si="224">+SUM(AC110:AC120)</f>
        <v>100</v>
      </c>
      <c r="AD121" s="71">
        <f t="shared" ref="AD121" si="225">+SUM(AD110:AD120)</f>
        <v>100</v>
      </c>
      <c r="AE121" s="71">
        <f t="shared" ref="AE121" si="226">+SUM(AE110:AE120)</f>
        <v>100</v>
      </c>
      <c r="AF121" s="71">
        <f t="shared" ref="AF121" si="227">+SUM(AF110:AF120)</f>
        <v>100</v>
      </c>
      <c r="AG121" s="71">
        <f t="shared" ref="AG121" si="228">+SUM(AG110:AG120)</f>
        <v>100</v>
      </c>
      <c r="AH121" s="71">
        <f t="shared" ref="AH121" si="229">+SUM(AH110:AH120)</f>
        <v>100</v>
      </c>
      <c r="AI121" s="71">
        <f t="shared" ref="AI121" si="230">+SUM(AI110:AI120)</f>
        <v>100</v>
      </c>
      <c r="AJ121" s="71">
        <f t="shared" ref="AJ121" si="231">+SUM(AJ110:AJ120)</f>
        <v>100</v>
      </c>
    </row>
    <row r="122" spans="1:36" x14ac:dyDescent="0.3">
      <c r="A122" t="s">
        <v>539</v>
      </c>
      <c r="B122" t="s">
        <v>305</v>
      </c>
      <c r="C122" s="24">
        <v>0</v>
      </c>
      <c r="D122" s="24">
        <v>0</v>
      </c>
      <c r="E122" s="24">
        <v>0</v>
      </c>
      <c r="F122" s="24">
        <v>0</v>
      </c>
      <c r="G122" s="24">
        <v>0</v>
      </c>
      <c r="H122" s="24">
        <v>0</v>
      </c>
      <c r="I122" s="24">
        <v>0</v>
      </c>
      <c r="J122" s="24">
        <v>0</v>
      </c>
      <c r="K122" s="24">
        <v>0</v>
      </c>
      <c r="L122" s="24">
        <v>0</v>
      </c>
      <c r="M122" s="24">
        <v>0</v>
      </c>
      <c r="N122" s="24">
        <v>0</v>
      </c>
      <c r="O122" s="24">
        <v>0</v>
      </c>
      <c r="P122" s="24">
        <v>0</v>
      </c>
      <c r="Q122" s="24">
        <v>0</v>
      </c>
      <c r="R122" s="24">
        <v>0</v>
      </c>
      <c r="S122" s="24">
        <v>0</v>
      </c>
      <c r="T122" s="24">
        <v>0</v>
      </c>
      <c r="U122" s="24">
        <v>0</v>
      </c>
      <c r="V122" s="24">
        <v>0</v>
      </c>
      <c r="W122" s="24">
        <v>0</v>
      </c>
      <c r="X122" s="24">
        <v>0</v>
      </c>
      <c r="Y122" s="24">
        <v>0</v>
      </c>
      <c r="Z122" s="24">
        <v>0</v>
      </c>
      <c r="AA122" s="24">
        <v>0</v>
      </c>
      <c r="AB122" s="24">
        <v>0</v>
      </c>
      <c r="AC122" s="24">
        <v>0</v>
      </c>
      <c r="AD122" s="24">
        <v>0</v>
      </c>
      <c r="AE122" s="24">
        <v>0</v>
      </c>
      <c r="AF122" s="24">
        <v>0</v>
      </c>
      <c r="AG122" s="24">
        <v>0</v>
      </c>
      <c r="AH122" s="24">
        <v>0</v>
      </c>
      <c r="AI122" s="24">
        <v>0</v>
      </c>
      <c r="AJ122" s="24">
        <v>0</v>
      </c>
    </row>
    <row r="123" spans="1:36" x14ac:dyDescent="0.3">
      <c r="A123" t="s">
        <v>540</v>
      </c>
      <c r="B123" t="s">
        <v>305</v>
      </c>
      <c r="C123" s="24">
        <v>0</v>
      </c>
      <c r="D123" s="24">
        <v>0</v>
      </c>
      <c r="E123" s="24">
        <v>0</v>
      </c>
      <c r="F123" s="24">
        <v>0</v>
      </c>
      <c r="G123" s="24">
        <v>0</v>
      </c>
      <c r="H123" s="24">
        <v>0</v>
      </c>
      <c r="I123" s="24">
        <v>0</v>
      </c>
      <c r="J123" s="24">
        <v>0</v>
      </c>
      <c r="K123" s="24">
        <v>0</v>
      </c>
      <c r="L123" s="24">
        <v>0</v>
      </c>
      <c r="M123" s="24">
        <v>0</v>
      </c>
      <c r="N123" s="24">
        <v>0</v>
      </c>
      <c r="O123" s="24">
        <v>0</v>
      </c>
      <c r="P123" s="24">
        <v>0</v>
      </c>
      <c r="Q123" s="24">
        <v>0</v>
      </c>
      <c r="R123" s="24">
        <v>0</v>
      </c>
      <c r="S123" s="24">
        <v>0</v>
      </c>
      <c r="T123" s="24">
        <v>0</v>
      </c>
      <c r="U123" s="24">
        <v>0</v>
      </c>
      <c r="V123" s="24">
        <v>0</v>
      </c>
      <c r="W123" s="24">
        <v>0</v>
      </c>
      <c r="X123" s="24">
        <v>0</v>
      </c>
      <c r="Y123" s="24">
        <v>0</v>
      </c>
      <c r="Z123" s="24">
        <v>0</v>
      </c>
      <c r="AA123" s="24">
        <v>0</v>
      </c>
      <c r="AB123" s="24">
        <v>0</v>
      </c>
      <c r="AC123" s="24">
        <v>0</v>
      </c>
      <c r="AD123" s="24">
        <v>0</v>
      </c>
      <c r="AE123" s="24">
        <v>0</v>
      </c>
      <c r="AF123" s="24">
        <v>0</v>
      </c>
      <c r="AG123" s="24">
        <v>0</v>
      </c>
      <c r="AH123" s="24">
        <v>0</v>
      </c>
      <c r="AI123" s="24">
        <v>0</v>
      </c>
      <c r="AJ123" s="24">
        <v>0</v>
      </c>
    </row>
    <row r="124" spans="1:36" x14ac:dyDescent="0.3">
      <c r="A124" t="s">
        <v>541</v>
      </c>
      <c r="B124" t="s">
        <v>305</v>
      </c>
      <c r="C124" s="24">
        <v>2</v>
      </c>
      <c r="D124" s="24">
        <v>2</v>
      </c>
      <c r="E124" s="24">
        <v>2</v>
      </c>
      <c r="F124" s="24">
        <v>2</v>
      </c>
      <c r="G124" s="24">
        <v>2</v>
      </c>
      <c r="H124" s="24">
        <v>2</v>
      </c>
      <c r="I124" s="24">
        <v>2</v>
      </c>
      <c r="J124" s="24">
        <v>2</v>
      </c>
      <c r="K124" s="24">
        <v>2</v>
      </c>
      <c r="L124" s="24">
        <v>2</v>
      </c>
      <c r="M124" s="24">
        <v>2</v>
      </c>
      <c r="N124" s="24">
        <v>2</v>
      </c>
      <c r="O124" s="24">
        <v>2</v>
      </c>
      <c r="P124" s="24">
        <v>2</v>
      </c>
      <c r="Q124" s="24">
        <v>2</v>
      </c>
      <c r="R124" s="24">
        <v>2</v>
      </c>
      <c r="S124" s="24">
        <v>2</v>
      </c>
      <c r="T124" s="24">
        <v>2</v>
      </c>
      <c r="U124" s="24">
        <v>2</v>
      </c>
      <c r="V124" s="24">
        <v>2</v>
      </c>
      <c r="W124" s="24">
        <v>2</v>
      </c>
      <c r="X124" s="24">
        <v>2</v>
      </c>
      <c r="Y124" s="24">
        <v>2</v>
      </c>
      <c r="Z124" s="24">
        <v>2</v>
      </c>
      <c r="AA124" s="24">
        <v>2</v>
      </c>
      <c r="AB124" s="24">
        <v>2</v>
      </c>
      <c r="AC124" s="24">
        <v>2</v>
      </c>
      <c r="AD124" s="24">
        <v>2</v>
      </c>
      <c r="AE124" s="24">
        <v>2</v>
      </c>
      <c r="AF124" s="24">
        <v>2</v>
      </c>
      <c r="AG124" s="24">
        <v>2</v>
      </c>
      <c r="AH124" s="24">
        <v>2</v>
      </c>
      <c r="AI124" s="24">
        <v>2</v>
      </c>
      <c r="AJ124" s="24">
        <v>2</v>
      </c>
    </row>
    <row r="125" spans="1:36" x14ac:dyDescent="0.3">
      <c r="A125" t="s">
        <v>542</v>
      </c>
      <c r="B125" t="s">
        <v>305</v>
      </c>
      <c r="C125" s="24">
        <v>0</v>
      </c>
      <c r="D125" s="24">
        <v>0</v>
      </c>
      <c r="E125" s="24">
        <v>0</v>
      </c>
      <c r="F125" s="24">
        <v>0</v>
      </c>
      <c r="G125" s="24">
        <v>0</v>
      </c>
      <c r="H125" s="24">
        <v>0</v>
      </c>
      <c r="I125" s="24">
        <v>0</v>
      </c>
      <c r="J125" s="24">
        <v>0</v>
      </c>
      <c r="K125" s="24">
        <v>0</v>
      </c>
      <c r="L125" s="24">
        <v>0</v>
      </c>
      <c r="M125" s="24">
        <v>0</v>
      </c>
      <c r="N125" s="24">
        <v>0</v>
      </c>
      <c r="O125" s="24">
        <v>0</v>
      </c>
      <c r="P125" s="24">
        <v>0</v>
      </c>
      <c r="Q125" s="24">
        <v>0</v>
      </c>
      <c r="R125" s="24">
        <v>0</v>
      </c>
      <c r="S125" s="24">
        <v>0</v>
      </c>
      <c r="T125" s="24">
        <v>0</v>
      </c>
      <c r="U125" s="24">
        <v>0</v>
      </c>
      <c r="V125" s="24">
        <v>0</v>
      </c>
      <c r="W125" s="24">
        <v>0</v>
      </c>
      <c r="X125" s="24">
        <v>0</v>
      </c>
      <c r="Y125" s="24">
        <v>0</v>
      </c>
      <c r="Z125" s="24">
        <v>0</v>
      </c>
      <c r="AA125" s="24">
        <v>0</v>
      </c>
      <c r="AB125" s="24">
        <v>0</v>
      </c>
      <c r="AC125" s="24">
        <v>0</v>
      </c>
      <c r="AD125" s="24">
        <v>0</v>
      </c>
      <c r="AE125" s="24">
        <v>0</v>
      </c>
      <c r="AF125" s="24">
        <v>0</v>
      </c>
      <c r="AG125" s="24">
        <v>0</v>
      </c>
      <c r="AH125" s="24">
        <v>0</v>
      </c>
      <c r="AI125" s="24">
        <v>0</v>
      </c>
      <c r="AJ125" s="24">
        <v>0</v>
      </c>
    </row>
    <row r="126" spans="1:36" x14ac:dyDescent="0.3">
      <c r="A126" t="s">
        <v>543</v>
      </c>
      <c r="B126" t="s">
        <v>305</v>
      </c>
      <c r="C126" s="24">
        <v>0</v>
      </c>
      <c r="D126" s="24">
        <v>0</v>
      </c>
      <c r="E126" s="24">
        <v>0</v>
      </c>
      <c r="F126" s="24">
        <v>0</v>
      </c>
      <c r="G126" s="24">
        <v>0</v>
      </c>
      <c r="H126" s="24">
        <v>0</v>
      </c>
      <c r="I126" s="24">
        <v>0</v>
      </c>
      <c r="J126" s="24">
        <v>0</v>
      </c>
      <c r="K126" s="24">
        <v>0</v>
      </c>
      <c r="L126" s="24">
        <v>0</v>
      </c>
      <c r="M126" s="24">
        <v>0</v>
      </c>
      <c r="N126" s="24">
        <v>0</v>
      </c>
      <c r="O126" s="24">
        <v>0</v>
      </c>
      <c r="P126" s="24">
        <v>0</v>
      </c>
      <c r="Q126" s="24">
        <v>0</v>
      </c>
      <c r="R126" s="24">
        <v>0</v>
      </c>
      <c r="S126" s="24">
        <v>0</v>
      </c>
      <c r="T126" s="24">
        <v>0</v>
      </c>
      <c r="U126" s="24">
        <v>0</v>
      </c>
      <c r="V126" s="24">
        <v>0</v>
      </c>
      <c r="W126" s="24">
        <v>0</v>
      </c>
      <c r="X126" s="24">
        <v>0</v>
      </c>
      <c r="Y126" s="24">
        <v>0</v>
      </c>
      <c r="Z126" s="24">
        <v>0</v>
      </c>
      <c r="AA126" s="24">
        <v>0</v>
      </c>
      <c r="AB126" s="24">
        <v>0</v>
      </c>
      <c r="AC126" s="24">
        <v>0</v>
      </c>
      <c r="AD126" s="24">
        <v>0</v>
      </c>
      <c r="AE126" s="24">
        <v>0</v>
      </c>
      <c r="AF126" s="24">
        <v>0</v>
      </c>
      <c r="AG126" s="24">
        <v>0</v>
      </c>
      <c r="AH126" s="24">
        <v>0</v>
      </c>
      <c r="AI126" s="24">
        <v>0</v>
      </c>
      <c r="AJ126" s="24">
        <v>0</v>
      </c>
    </row>
    <row r="127" spans="1:36" x14ac:dyDescent="0.3">
      <c r="A127" t="s">
        <v>544</v>
      </c>
      <c r="B127" t="s">
        <v>305</v>
      </c>
      <c r="C127" s="24">
        <v>0</v>
      </c>
      <c r="D127" s="24">
        <v>0</v>
      </c>
      <c r="E127" s="24">
        <v>0</v>
      </c>
      <c r="F127" s="24">
        <v>0</v>
      </c>
      <c r="G127" s="24">
        <v>0</v>
      </c>
      <c r="H127" s="24">
        <v>0</v>
      </c>
      <c r="I127" s="24">
        <v>0</v>
      </c>
      <c r="J127" s="24">
        <v>0</v>
      </c>
      <c r="K127" s="24">
        <v>0</v>
      </c>
      <c r="L127" s="24">
        <v>0</v>
      </c>
      <c r="M127" s="24">
        <v>0</v>
      </c>
      <c r="N127" s="24">
        <v>0</v>
      </c>
      <c r="O127" s="24">
        <v>0</v>
      </c>
      <c r="P127" s="24">
        <v>0</v>
      </c>
      <c r="Q127" s="24">
        <v>0</v>
      </c>
      <c r="R127" s="24">
        <v>0</v>
      </c>
      <c r="S127" s="24">
        <v>0</v>
      </c>
      <c r="T127" s="24">
        <v>0</v>
      </c>
      <c r="U127" s="24">
        <v>0</v>
      </c>
      <c r="V127" s="24">
        <v>0</v>
      </c>
      <c r="W127" s="24">
        <v>0</v>
      </c>
      <c r="X127" s="24">
        <v>0</v>
      </c>
      <c r="Y127" s="24">
        <v>0</v>
      </c>
      <c r="Z127" s="24">
        <v>0</v>
      </c>
      <c r="AA127" s="24">
        <v>0</v>
      </c>
      <c r="AB127" s="24">
        <v>0</v>
      </c>
      <c r="AC127" s="24">
        <v>0</v>
      </c>
      <c r="AD127" s="24">
        <v>0</v>
      </c>
      <c r="AE127" s="24">
        <v>0</v>
      </c>
      <c r="AF127" s="24">
        <v>0</v>
      </c>
      <c r="AG127" s="24">
        <v>0</v>
      </c>
      <c r="AH127" s="24">
        <v>0</v>
      </c>
      <c r="AI127" s="24">
        <v>0</v>
      </c>
      <c r="AJ127" s="24">
        <v>0</v>
      </c>
    </row>
    <row r="128" spans="1:36" x14ac:dyDescent="0.3">
      <c r="A128" t="s">
        <v>545</v>
      </c>
      <c r="B128" t="s">
        <v>305</v>
      </c>
      <c r="C128" s="24">
        <v>5</v>
      </c>
      <c r="D128" s="24">
        <v>5</v>
      </c>
      <c r="E128" s="24">
        <v>5</v>
      </c>
      <c r="F128" s="24">
        <v>5</v>
      </c>
      <c r="G128" s="24">
        <v>5</v>
      </c>
      <c r="H128" s="24">
        <v>5</v>
      </c>
      <c r="I128" s="24">
        <v>5</v>
      </c>
      <c r="J128" s="24">
        <v>5</v>
      </c>
      <c r="K128" s="24">
        <v>5</v>
      </c>
      <c r="L128" s="24">
        <v>5</v>
      </c>
      <c r="M128" s="24">
        <v>5</v>
      </c>
      <c r="N128" s="24">
        <v>5</v>
      </c>
      <c r="O128" s="24">
        <v>5</v>
      </c>
      <c r="P128" s="24">
        <v>5</v>
      </c>
      <c r="Q128" s="24">
        <v>5</v>
      </c>
      <c r="R128" s="24">
        <v>5</v>
      </c>
      <c r="S128" s="24">
        <v>5</v>
      </c>
      <c r="T128" s="24">
        <v>5</v>
      </c>
      <c r="U128" s="24">
        <v>5</v>
      </c>
      <c r="V128" s="24">
        <v>5</v>
      </c>
      <c r="W128" s="24">
        <v>5</v>
      </c>
      <c r="X128" s="24">
        <v>5</v>
      </c>
      <c r="Y128" s="24">
        <v>5</v>
      </c>
      <c r="Z128" s="24">
        <v>5</v>
      </c>
      <c r="AA128" s="24">
        <v>5</v>
      </c>
      <c r="AB128" s="24">
        <v>5</v>
      </c>
      <c r="AC128" s="24">
        <v>5</v>
      </c>
      <c r="AD128" s="24">
        <v>5</v>
      </c>
      <c r="AE128" s="24">
        <v>5</v>
      </c>
      <c r="AF128" s="24">
        <v>5</v>
      </c>
      <c r="AG128" s="24">
        <v>5</v>
      </c>
      <c r="AH128" s="24">
        <v>5</v>
      </c>
      <c r="AI128" s="24">
        <v>5</v>
      </c>
      <c r="AJ128" s="24">
        <v>5</v>
      </c>
    </row>
    <row r="129" spans="1:36" x14ac:dyDescent="0.3">
      <c r="A129" t="s">
        <v>546</v>
      </c>
      <c r="B129" t="s">
        <v>305</v>
      </c>
      <c r="C129" s="24">
        <v>0</v>
      </c>
      <c r="D129" s="24">
        <v>0</v>
      </c>
      <c r="E129" s="24">
        <v>0</v>
      </c>
      <c r="F129" s="24">
        <v>0</v>
      </c>
      <c r="G129" s="24">
        <v>0</v>
      </c>
      <c r="H129" s="24">
        <v>0</v>
      </c>
      <c r="I129" s="24">
        <v>0</v>
      </c>
      <c r="J129" s="24">
        <v>0</v>
      </c>
      <c r="K129" s="24">
        <v>0</v>
      </c>
      <c r="L129" s="24">
        <v>0</v>
      </c>
      <c r="M129" s="24">
        <v>0</v>
      </c>
      <c r="N129" s="24">
        <v>0</v>
      </c>
      <c r="O129" s="24">
        <v>0</v>
      </c>
      <c r="P129" s="24">
        <v>0</v>
      </c>
      <c r="Q129" s="24">
        <v>0</v>
      </c>
      <c r="R129" s="24">
        <v>0</v>
      </c>
      <c r="S129" s="24">
        <v>0</v>
      </c>
      <c r="T129" s="24">
        <v>0</v>
      </c>
      <c r="U129" s="24">
        <v>0</v>
      </c>
      <c r="V129" s="24">
        <v>0</v>
      </c>
      <c r="W129" s="24">
        <v>0</v>
      </c>
      <c r="X129" s="24">
        <v>0</v>
      </c>
      <c r="Y129" s="24">
        <v>0</v>
      </c>
      <c r="Z129" s="24">
        <v>0</v>
      </c>
      <c r="AA129" s="24">
        <v>0</v>
      </c>
      <c r="AB129" s="24">
        <v>0</v>
      </c>
      <c r="AC129" s="24">
        <v>0</v>
      </c>
      <c r="AD129" s="24">
        <v>0</v>
      </c>
      <c r="AE129" s="24">
        <v>0</v>
      </c>
      <c r="AF129" s="24">
        <v>0</v>
      </c>
      <c r="AG129" s="24">
        <v>0</v>
      </c>
      <c r="AH129" s="24">
        <v>0</v>
      </c>
      <c r="AI129" s="24">
        <v>0</v>
      </c>
      <c r="AJ129" s="24">
        <v>0</v>
      </c>
    </row>
    <row r="130" spans="1:36" x14ac:dyDescent="0.3">
      <c r="A130" t="s">
        <v>547</v>
      </c>
      <c r="B130" t="s">
        <v>305</v>
      </c>
      <c r="C130" s="24">
        <v>0</v>
      </c>
      <c r="D130" s="24">
        <v>0</v>
      </c>
      <c r="E130" s="24">
        <v>0</v>
      </c>
      <c r="F130" s="24">
        <v>0</v>
      </c>
      <c r="G130" s="24">
        <v>0</v>
      </c>
      <c r="H130" s="24">
        <v>0</v>
      </c>
      <c r="I130" s="24">
        <v>0</v>
      </c>
      <c r="J130" s="24">
        <v>0</v>
      </c>
      <c r="K130" s="24">
        <v>0</v>
      </c>
      <c r="L130" s="24">
        <v>0</v>
      </c>
      <c r="M130" s="24">
        <v>0</v>
      </c>
      <c r="N130" s="24">
        <v>0</v>
      </c>
      <c r="O130" s="24">
        <v>0</v>
      </c>
      <c r="P130" s="24">
        <v>0</v>
      </c>
      <c r="Q130" s="24">
        <v>0</v>
      </c>
      <c r="R130" s="24">
        <v>0</v>
      </c>
      <c r="S130" s="24">
        <v>0</v>
      </c>
      <c r="T130" s="24">
        <v>0</v>
      </c>
      <c r="U130" s="24">
        <v>0</v>
      </c>
      <c r="V130" s="24">
        <v>0</v>
      </c>
      <c r="W130" s="24">
        <v>0</v>
      </c>
      <c r="X130" s="24">
        <v>0</v>
      </c>
      <c r="Y130" s="24">
        <v>0</v>
      </c>
      <c r="Z130" s="24">
        <v>0</v>
      </c>
      <c r="AA130" s="24">
        <v>0</v>
      </c>
      <c r="AB130" s="24">
        <v>0</v>
      </c>
      <c r="AC130" s="24">
        <v>0</v>
      </c>
      <c r="AD130" s="24">
        <v>0</v>
      </c>
      <c r="AE130" s="24">
        <v>0</v>
      </c>
      <c r="AF130" s="24">
        <v>0</v>
      </c>
      <c r="AG130" s="24">
        <v>0</v>
      </c>
      <c r="AH130" s="24">
        <v>0</v>
      </c>
      <c r="AI130" s="24">
        <v>0</v>
      </c>
      <c r="AJ130" s="24">
        <v>0</v>
      </c>
    </row>
    <row r="131" spans="1:36" x14ac:dyDescent="0.3">
      <c r="A131" t="s">
        <v>548</v>
      </c>
      <c r="B131" t="s">
        <v>305</v>
      </c>
      <c r="C131" s="24">
        <v>93</v>
      </c>
      <c r="D131" s="24">
        <v>93</v>
      </c>
      <c r="E131" s="24">
        <v>93</v>
      </c>
      <c r="F131" s="24">
        <v>93</v>
      </c>
      <c r="G131" s="24">
        <v>93</v>
      </c>
      <c r="H131" s="24">
        <v>93</v>
      </c>
      <c r="I131" s="24">
        <v>93</v>
      </c>
      <c r="J131" s="24">
        <v>93</v>
      </c>
      <c r="K131" s="24">
        <v>93</v>
      </c>
      <c r="L131" s="24">
        <v>93</v>
      </c>
      <c r="M131" s="24">
        <v>93</v>
      </c>
      <c r="N131" s="24">
        <v>93</v>
      </c>
      <c r="O131" s="24">
        <v>93</v>
      </c>
      <c r="P131" s="24">
        <v>93</v>
      </c>
      <c r="Q131" s="24">
        <v>93</v>
      </c>
      <c r="R131" s="24">
        <v>93</v>
      </c>
      <c r="S131" s="24">
        <v>93</v>
      </c>
      <c r="T131" s="24">
        <v>93</v>
      </c>
      <c r="U131" s="24">
        <v>93</v>
      </c>
      <c r="V131" s="24">
        <v>93</v>
      </c>
      <c r="W131" s="24">
        <v>93</v>
      </c>
      <c r="X131" s="24">
        <v>93</v>
      </c>
      <c r="Y131" s="24">
        <v>93</v>
      </c>
      <c r="Z131" s="24">
        <v>93</v>
      </c>
      <c r="AA131" s="24">
        <v>93</v>
      </c>
      <c r="AB131" s="24">
        <v>93</v>
      </c>
      <c r="AC131" s="24">
        <v>93</v>
      </c>
      <c r="AD131" s="24">
        <v>93</v>
      </c>
      <c r="AE131" s="24">
        <v>93</v>
      </c>
      <c r="AF131" s="24">
        <v>93</v>
      </c>
      <c r="AG131" s="24">
        <v>93</v>
      </c>
      <c r="AH131" s="24">
        <v>93</v>
      </c>
      <c r="AI131" s="24">
        <v>93</v>
      </c>
      <c r="AJ131" s="24">
        <v>93</v>
      </c>
    </row>
    <row r="132" spans="1:36" x14ac:dyDescent="0.3">
      <c r="A132" t="s">
        <v>760</v>
      </c>
      <c r="B132" t="s">
        <v>305</v>
      </c>
      <c r="C132" s="24">
        <v>0</v>
      </c>
      <c r="D132" s="24">
        <v>0</v>
      </c>
      <c r="E132" s="24">
        <v>0</v>
      </c>
      <c r="F132" s="24">
        <v>0</v>
      </c>
      <c r="G132" s="24">
        <v>0</v>
      </c>
      <c r="H132" s="24">
        <v>0</v>
      </c>
      <c r="I132" s="24">
        <v>0</v>
      </c>
      <c r="J132" s="24">
        <v>0</v>
      </c>
      <c r="K132" s="24">
        <v>0</v>
      </c>
      <c r="L132" s="24">
        <v>0</v>
      </c>
      <c r="M132" s="24">
        <v>0</v>
      </c>
      <c r="N132" s="24">
        <v>0</v>
      </c>
      <c r="O132" s="24">
        <v>0</v>
      </c>
      <c r="P132" s="24">
        <v>0</v>
      </c>
      <c r="Q132" s="24">
        <v>0</v>
      </c>
      <c r="R132" s="24">
        <v>0</v>
      </c>
      <c r="S132" s="24">
        <v>0</v>
      </c>
      <c r="T132" s="24">
        <v>0</v>
      </c>
      <c r="U132" s="24">
        <v>0</v>
      </c>
      <c r="V132" s="24">
        <v>0</v>
      </c>
      <c r="W132" s="24">
        <v>0</v>
      </c>
      <c r="X132" s="24">
        <v>0</v>
      </c>
      <c r="Y132" s="24">
        <v>0</v>
      </c>
      <c r="Z132" s="24">
        <v>0</v>
      </c>
      <c r="AA132" s="24">
        <v>0</v>
      </c>
      <c r="AB132" s="24">
        <v>0</v>
      </c>
      <c r="AC132" s="24">
        <v>0</v>
      </c>
      <c r="AD132" s="24">
        <v>0</v>
      </c>
      <c r="AE132" s="24">
        <v>0</v>
      </c>
      <c r="AF132" s="24">
        <v>0</v>
      </c>
      <c r="AG132" s="24">
        <v>0</v>
      </c>
      <c r="AH132" s="24">
        <v>0</v>
      </c>
      <c r="AI132" s="24">
        <v>0</v>
      </c>
      <c r="AJ132" s="24">
        <v>0</v>
      </c>
    </row>
    <row r="133" spans="1:36" s="70" customFormat="1" x14ac:dyDescent="0.3">
      <c r="A133" s="70" t="s">
        <v>780</v>
      </c>
      <c r="C133" s="71">
        <f>+SUM(C122:C132)</f>
        <v>100</v>
      </c>
      <c r="D133" s="71">
        <f t="shared" ref="D133" si="232">+SUM(D122:D132)</f>
        <v>100</v>
      </c>
      <c r="E133" s="71">
        <f t="shared" ref="E133" si="233">+SUM(E122:E132)</f>
        <v>100</v>
      </c>
      <c r="F133" s="71">
        <f t="shared" ref="F133" si="234">+SUM(F122:F132)</f>
        <v>100</v>
      </c>
      <c r="G133" s="71">
        <f t="shared" ref="G133" si="235">+SUM(G122:G132)</f>
        <v>100</v>
      </c>
      <c r="H133" s="71">
        <f t="shared" ref="H133" si="236">+SUM(H122:H132)</f>
        <v>100</v>
      </c>
      <c r="I133" s="71">
        <f t="shared" ref="I133" si="237">+SUM(I122:I132)</f>
        <v>100</v>
      </c>
      <c r="J133" s="71">
        <f t="shared" ref="J133" si="238">+SUM(J122:J132)</f>
        <v>100</v>
      </c>
      <c r="K133" s="71">
        <f t="shared" ref="K133" si="239">+SUM(K122:K132)</f>
        <v>100</v>
      </c>
      <c r="L133" s="71">
        <f t="shared" ref="L133" si="240">+SUM(L122:L132)</f>
        <v>100</v>
      </c>
      <c r="M133" s="71">
        <f t="shared" ref="M133" si="241">+SUM(M122:M132)</f>
        <v>100</v>
      </c>
      <c r="N133" s="71">
        <f t="shared" ref="N133" si="242">+SUM(N122:N132)</f>
        <v>100</v>
      </c>
      <c r="O133" s="71">
        <f t="shared" ref="O133" si="243">+SUM(O122:O132)</f>
        <v>100</v>
      </c>
      <c r="P133" s="71">
        <f t="shared" ref="P133" si="244">+SUM(P122:P132)</f>
        <v>100</v>
      </c>
      <c r="Q133" s="71">
        <f t="shared" ref="Q133" si="245">+SUM(Q122:Q132)</f>
        <v>100</v>
      </c>
      <c r="R133" s="71">
        <f t="shared" ref="R133" si="246">+SUM(R122:R132)</f>
        <v>100</v>
      </c>
      <c r="S133" s="71">
        <f t="shared" ref="S133" si="247">+SUM(S122:S132)</f>
        <v>100</v>
      </c>
      <c r="T133" s="71">
        <f t="shared" ref="T133" si="248">+SUM(T122:T132)</f>
        <v>100</v>
      </c>
      <c r="U133" s="71">
        <f t="shared" ref="U133" si="249">+SUM(U122:U132)</f>
        <v>100</v>
      </c>
      <c r="V133" s="71">
        <f t="shared" ref="V133" si="250">+SUM(V122:V132)</f>
        <v>100</v>
      </c>
      <c r="W133" s="71">
        <f t="shared" ref="W133" si="251">+SUM(W122:W132)</f>
        <v>100</v>
      </c>
      <c r="X133" s="71">
        <f t="shared" ref="X133" si="252">+SUM(X122:X132)</f>
        <v>100</v>
      </c>
      <c r="Y133" s="71">
        <f t="shared" ref="Y133" si="253">+SUM(Y122:Y132)</f>
        <v>100</v>
      </c>
      <c r="Z133" s="71">
        <f t="shared" ref="Z133" si="254">+SUM(Z122:Z132)</f>
        <v>100</v>
      </c>
      <c r="AA133" s="71">
        <f t="shared" ref="AA133" si="255">+SUM(AA122:AA132)</f>
        <v>100</v>
      </c>
      <c r="AB133" s="71">
        <f t="shared" ref="AB133" si="256">+SUM(AB122:AB132)</f>
        <v>100</v>
      </c>
      <c r="AC133" s="71">
        <f t="shared" ref="AC133" si="257">+SUM(AC122:AC132)</f>
        <v>100</v>
      </c>
      <c r="AD133" s="71">
        <f t="shared" ref="AD133" si="258">+SUM(AD122:AD132)</f>
        <v>100</v>
      </c>
      <c r="AE133" s="71">
        <f t="shared" ref="AE133" si="259">+SUM(AE122:AE132)</f>
        <v>100</v>
      </c>
      <c r="AF133" s="71">
        <f t="shared" ref="AF133" si="260">+SUM(AF122:AF132)</f>
        <v>100</v>
      </c>
      <c r="AG133" s="71">
        <f t="shared" ref="AG133" si="261">+SUM(AG122:AG132)</f>
        <v>100</v>
      </c>
      <c r="AH133" s="71">
        <f t="shared" ref="AH133" si="262">+SUM(AH122:AH132)</f>
        <v>100</v>
      </c>
      <c r="AI133" s="71">
        <f t="shared" ref="AI133" si="263">+SUM(AI122:AI132)</f>
        <v>100</v>
      </c>
      <c r="AJ133" s="71">
        <f t="shared" ref="AJ133" si="264">+SUM(AJ122:AJ132)</f>
        <v>100</v>
      </c>
    </row>
    <row r="134" spans="1:36" s="68" customFormat="1" ht="15.6" x14ac:dyDescent="0.3">
      <c r="A134" s="66" t="s">
        <v>775</v>
      </c>
      <c r="B134" s="67"/>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row>
    <row r="135" spans="1:36" x14ac:dyDescent="0.3">
      <c r="A135" t="s">
        <v>549</v>
      </c>
      <c r="B135" t="s">
        <v>305</v>
      </c>
      <c r="C135" s="24">
        <v>0</v>
      </c>
      <c r="D135" s="24">
        <v>0</v>
      </c>
      <c r="E135" s="24">
        <v>0</v>
      </c>
      <c r="F135" s="24">
        <v>0</v>
      </c>
      <c r="G135" s="24">
        <v>0</v>
      </c>
      <c r="H135" s="24">
        <v>0</v>
      </c>
      <c r="I135" s="24">
        <v>0</v>
      </c>
      <c r="J135" s="24">
        <v>0</v>
      </c>
      <c r="K135" s="24">
        <v>0</v>
      </c>
      <c r="L135" s="24">
        <v>0</v>
      </c>
      <c r="M135" s="24">
        <v>0</v>
      </c>
      <c r="N135" s="24">
        <v>0</v>
      </c>
      <c r="O135" s="24">
        <v>0</v>
      </c>
      <c r="P135" s="24">
        <v>0</v>
      </c>
      <c r="Q135" s="24">
        <v>0</v>
      </c>
      <c r="R135" s="24">
        <v>0</v>
      </c>
      <c r="S135" s="24">
        <v>0</v>
      </c>
      <c r="T135" s="24">
        <v>0</v>
      </c>
      <c r="U135" s="24">
        <v>0</v>
      </c>
      <c r="V135" s="24">
        <v>0</v>
      </c>
      <c r="W135" s="24">
        <v>0</v>
      </c>
      <c r="X135" s="24">
        <v>0</v>
      </c>
      <c r="Y135" s="24">
        <v>0</v>
      </c>
      <c r="Z135" s="24">
        <v>0</v>
      </c>
      <c r="AA135" s="24">
        <v>0</v>
      </c>
      <c r="AB135" s="24">
        <v>0</v>
      </c>
      <c r="AC135" s="24">
        <v>0</v>
      </c>
      <c r="AD135" s="24">
        <v>0</v>
      </c>
      <c r="AE135" s="24">
        <v>0</v>
      </c>
      <c r="AF135" s="24">
        <v>0</v>
      </c>
      <c r="AG135" s="24">
        <v>0</v>
      </c>
      <c r="AH135" s="24">
        <v>0</v>
      </c>
      <c r="AI135" s="24">
        <v>0</v>
      </c>
      <c r="AJ135" s="24">
        <v>0</v>
      </c>
    </row>
    <row r="136" spans="1:36" x14ac:dyDescent="0.3">
      <c r="A136" t="s">
        <v>550</v>
      </c>
      <c r="B136" t="s">
        <v>305</v>
      </c>
      <c r="C136" s="24">
        <v>0</v>
      </c>
      <c r="D136" s="24">
        <v>0</v>
      </c>
      <c r="E136" s="24">
        <v>0</v>
      </c>
      <c r="F136" s="24">
        <v>0</v>
      </c>
      <c r="G136" s="24">
        <v>0</v>
      </c>
      <c r="H136" s="24">
        <v>0</v>
      </c>
      <c r="I136" s="24">
        <v>0</v>
      </c>
      <c r="J136" s="24">
        <v>0</v>
      </c>
      <c r="K136" s="24">
        <v>0</v>
      </c>
      <c r="L136" s="24">
        <v>0</v>
      </c>
      <c r="M136" s="24">
        <v>0</v>
      </c>
      <c r="N136" s="24">
        <v>0</v>
      </c>
      <c r="O136" s="24">
        <v>0</v>
      </c>
      <c r="P136" s="24">
        <v>0</v>
      </c>
      <c r="Q136" s="24">
        <v>0</v>
      </c>
      <c r="R136" s="24">
        <v>0</v>
      </c>
      <c r="S136" s="24">
        <v>0</v>
      </c>
      <c r="T136" s="24">
        <v>0</v>
      </c>
      <c r="U136" s="24">
        <v>0</v>
      </c>
      <c r="V136" s="24">
        <v>0</v>
      </c>
      <c r="W136" s="24">
        <v>0</v>
      </c>
      <c r="X136" s="24">
        <v>0</v>
      </c>
      <c r="Y136" s="24">
        <v>0</v>
      </c>
      <c r="Z136" s="24">
        <v>0</v>
      </c>
      <c r="AA136" s="24">
        <v>0</v>
      </c>
      <c r="AB136" s="24">
        <v>0</v>
      </c>
      <c r="AC136" s="24">
        <v>0</v>
      </c>
      <c r="AD136" s="24">
        <v>0</v>
      </c>
      <c r="AE136" s="24">
        <v>0</v>
      </c>
      <c r="AF136" s="24">
        <v>0</v>
      </c>
      <c r="AG136" s="24">
        <v>0</v>
      </c>
      <c r="AH136" s="24">
        <v>0</v>
      </c>
      <c r="AI136" s="24">
        <v>0</v>
      </c>
      <c r="AJ136" s="24">
        <v>0</v>
      </c>
    </row>
    <row r="137" spans="1:36" x14ac:dyDescent="0.3">
      <c r="A137" t="s">
        <v>551</v>
      </c>
      <c r="B137" t="s">
        <v>305</v>
      </c>
      <c r="C137" s="24">
        <v>0</v>
      </c>
      <c r="D137" s="24">
        <v>0</v>
      </c>
      <c r="E137" s="24">
        <v>0</v>
      </c>
      <c r="F137" s="24">
        <v>0</v>
      </c>
      <c r="G137" s="24">
        <v>0</v>
      </c>
      <c r="H137" s="24">
        <v>0</v>
      </c>
      <c r="I137" s="24">
        <v>0</v>
      </c>
      <c r="J137" s="24">
        <v>0</v>
      </c>
      <c r="K137" s="24">
        <v>0</v>
      </c>
      <c r="L137" s="24">
        <v>0</v>
      </c>
      <c r="M137" s="24">
        <v>0</v>
      </c>
      <c r="N137" s="24">
        <v>0</v>
      </c>
      <c r="O137" s="24">
        <v>0</v>
      </c>
      <c r="P137" s="24">
        <v>0</v>
      </c>
      <c r="Q137" s="24">
        <v>0</v>
      </c>
      <c r="R137" s="24">
        <v>0</v>
      </c>
      <c r="S137" s="24">
        <v>0</v>
      </c>
      <c r="T137" s="24">
        <v>0</v>
      </c>
      <c r="U137" s="24">
        <v>0</v>
      </c>
      <c r="V137" s="24">
        <v>0</v>
      </c>
      <c r="W137" s="24">
        <v>0</v>
      </c>
      <c r="X137" s="24">
        <v>0</v>
      </c>
      <c r="Y137" s="24">
        <v>0</v>
      </c>
      <c r="Z137" s="24">
        <v>0</v>
      </c>
      <c r="AA137" s="24">
        <v>0</v>
      </c>
      <c r="AB137" s="24">
        <v>0</v>
      </c>
      <c r="AC137" s="24">
        <v>0</v>
      </c>
      <c r="AD137" s="24">
        <v>0</v>
      </c>
      <c r="AE137" s="24">
        <v>0</v>
      </c>
      <c r="AF137" s="24">
        <v>0</v>
      </c>
      <c r="AG137" s="24">
        <v>0</v>
      </c>
      <c r="AH137" s="24">
        <v>0</v>
      </c>
      <c r="AI137" s="24">
        <v>0</v>
      </c>
      <c r="AJ137" s="24">
        <v>0</v>
      </c>
    </row>
    <row r="138" spans="1:36" x14ac:dyDescent="0.3">
      <c r="A138" t="s">
        <v>552</v>
      </c>
      <c r="B138" t="s">
        <v>305</v>
      </c>
      <c r="C138" s="24">
        <v>0</v>
      </c>
      <c r="D138" s="24">
        <v>0</v>
      </c>
      <c r="E138" s="24">
        <v>0</v>
      </c>
      <c r="F138" s="24">
        <v>0</v>
      </c>
      <c r="G138" s="24">
        <v>0</v>
      </c>
      <c r="H138" s="24">
        <v>0</v>
      </c>
      <c r="I138" s="24">
        <v>0</v>
      </c>
      <c r="J138" s="24">
        <v>0</v>
      </c>
      <c r="K138" s="24">
        <v>0</v>
      </c>
      <c r="L138" s="24">
        <v>0</v>
      </c>
      <c r="M138" s="24">
        <v>0</v>
      </c>
      <c r="N138" s="24">
        <v>0</v>
      </c>
      <c r="O138" s="24">
        <v>0</v>
      </c>
      <c r="P138" s="24">
        <v>0</v>
      </c>
      <c r="Q138" s="24">
        <v>0</v>
      </c>
      <c r="R138" s="24">
        <v>0</v>
      </c>
      <c r="S138" s="24">
        <v>0</v>
      </c>
      <c r="T138" s="24">
        <v>0</v>
      </c>
      <c r="U138" s="24">
        <v>0</v>
      </c>
      <c r="V138" s="24">
        <v>0</v>
      </c>
      <c r="W138" s="24">
        <v>0</v>
      </c>
      <c r="X138" s="24">
        <v>0</v>
      </c>
      <c r="Y138" s="24">
        <v>0</v>
      </c>
      <c r="Z138" s="24">
        <v>0</v>
      </c>
      <c r="AA138" s="24">
        <v>0</v>
      </c>
      <c r="AB138" s="24">
        <v>0</v>
      </c>
      <c r="AC138" s="24">
        <v>0</v>
      </c>
      <c r="AD138" s="24">
        <v>0</v>
      </c>
      <c r="AE138" s="24">
        <v>0</v>
      </c>
      <c r="AF138" s="24">
        <v>0</v>
      </c>
      <c r="AG138" s="24">
        <v>0</v>
      </c>
      <c r="AH138" s="24">
        <v>0</v>
      </c>
      <c r="AI138" s="24">
        <v>0</v>
      </c>
      <c r="AJ138" s="24">
        <v>0</v>
      </c>
    </row>
    <row r="139" spans="1:36" x14ac:dyDescent="0.3">
      <c r="A139" t="s">
        <v>553</v>
      </c>
      <c r="B139" t="s">
        <v>305</v>
      </c>
      <c r="C139" s="24">
        <v>0</v>
      </c>
      <c r="D139" s="24">
        <v>0</v>
      </c>
      <c r="E139" s="24">
        <v>0</v>
      </c>
      <c r="F139" s="24">
        <v>0</v>
      </c>
      <c r="G139" s="24">
        <v>0</v>
      </c>
      <c r="H139" s="24">
        <v>0</v>
      </c>
      <c r="I139" s="24">
        <v>0</v>
      </c>
      <c r="J139" s="24">
        <v>0</v>
      </c>
      <c r="K139" s="24">
        <v>0</v>
      </c>
      <c r="L139" s="24">
        <v>0</v>
      </c>
      <c r="M139" s="24">
        <v>0</v>
      </c>
      <c r="N139" s="24">
        <v>0</v>
      </c>
      <c r="O139" s="24">
        <v>0</v>
      </c>
      <c r="P139" s="24">
        <v>0</v>
      </c>
      <c r="Q139" s="24">
        <v>0</v>
      </c>
      <c r="R139" s="24">
        <v>0</v>
      </c>
      <c r="S139" s="24">
        <v>0</v>
      </c>
      <c r="T139" s="24">
        <v>0</v>
      </c>
      <c r="U139" s="24">
        <v>0</v>
      </c>
      <c r="V139" s="24">
        <v>0</v>
      </c>
      <c r="W139" s="24">
        <v>0</v>
      </c>
      <c r="X139" s="24">
        <v>0</v>
      </c>
      <c r="Y139" s="24">
        <v>0</v>
      </c>
      <c r="Z139" s="24">
        <v>0</v>
      </c>
      <c r="AA139" s="24">
        <v>0</v>
      </c>
      <c r="AB139" s="24">
        <v>0</v>
      </c>
      <c r="AC139" s="24">
        <v>0</v>
      </c>
      <c r="AD139" s="24">
        <v>0</v>
      </c>
      <c r="AE139" s="24">
        <v>0</v>
      </c>
      <c r="AF139" s="24">
        <v>0</v>
      </c>
      <c r="AG139" s="24">
        <v>0</v>
      </c>
      <c r="AH139" s="24">
        <v>0</v>
      </c>
      <c r="AI139" s="24">
        <v>0</v>
      </c>
      <c r="AJ139" s="24">
        <v>0</v>
      </c>
    </row>
    <row r="140" spans="1:36" x14ac:dyDescent="0.3">
      <c r="A140" t="s">
        <v>554</v>
      </c>
      <c r="B140" t="s">
        <v>305</v>
      </c>
      <c r="C140" s="24">
        <v>0</v>
      </c>
      <c r="D140" s="24">
        <v>0</v>
      </c>
      <c r="E140" s="24">
        <v>0</v>
      </c>
      <c r="F140" s="24">
        <v>0</v>
      </c>
      <c r="G140" s="24">
        <v>0</v>
      </c>
      <c r="H140" s="24">
        <v>0</v>
      </c>
      <c r="I140" s="24">
        <v>0</v>
      </c>
      <c r="J140" s="24">
        <v>0</v>
      </c>
      <c r="K140" s="24">
        <v>0</v>
      </c>
      <c r="L140" s="24">
        <v>0</v>
      </c>
      <c r="M140" s="24">
        <v>0</v>
      </c>
      <c r="N140" s="24">
        <v>0</v>
      </c>
      <c r="O140" s="24">
        <v>0</v>
      </c>
      <c r="P140" s="24">
        <v>0</v>
      </c>
      <c r="Q140" s="24">
        <v>0</v>
      </c>
      <c r="R140" s="24">
        <v>0</v>
      </c>
      <c r="S140" s="24">
        <v>0</v>
      </c>
      <c r="T140" s="24">
        <v>0</v>
      </c>
      <c r="U140" s="24">
        <v>0</v>
      </c>
      <c r="V140" s="24">
        <v>0</v>
      </c>
      <c r="W140" s="24">
        <v>0</v>
      </c>
      <c r="X140" s="24">
        <v>0</v>
      </c>
      <c r="Y140" s="24">
        <v>0</v>
      </c>
      <c r="Z140" s="24">
        <v>0</v>
      </c>
      <c r="AA140" s="24">
        <v>0</v>
      </c>
      <c r="AB140" s="24">
        <v>0</v>
      </c>
      <c r="AC140" s="24">
        <v>0</v>
      </c>
      <c r="AD140" s="24">
        <v>0</v>
      </c>
      <c r="AE140" s="24">
        <v>0</v>
      </c>
      <c r="AF140" s="24">
        <v>0</v>
      </c>
      <c r="AG140" s="24">
        <v>0</v>
      </c>
      <c r="AH140" s="24">
        <v>0</v>
      </c>
      <c r="AI140" s="24">
        <v>0</v>
      </c>
      <c r="AJ140" s="24">
        <v>0</v>
      </c>
    </row>
    <row r="141" spans="1:36" x14ac:dyDescent="0.3">
      <c r="A141" t="s">
        <v>555</v>
      </c>
      <c r="B141" t="s">
        <v>305</v>
      </c>
      <c r="C141" s="24">
        <v>0</v>
      </c>
      <c r="D141" s="24">
        <v>0</v>
      </c>
      <c r="E141" s="24">
        <v>0</v>
      </c>
      <c r="F141" s="24">
        <v>0</v>
      </c>
      <c r="G141" s="24">
        <v>0</v>
      </c>
      <c r="H141" s="24">
        <v>0</v>
      </c>
      <c r="I141" s="24">
        <v>0</v>
      </c>
      <c r="J141" s="24">
        <v>0</v>
      </c>
      <c r="K141" s="24">
        <v>0</v>
      </c>
      <c r="L141" s="24">
        <v>0</v>
      </c>
      <c r="M141" s="24">
        <v>0</v>
      </c>
      <c r="N141" s="24">
        <v>0</v>
      </c>
      <c r="O141" s="24">
        <v>0</v>
      </c>
      <c r="P141" s="24">
        <v>0</v>
      </c>
      <c r="Q141" s="24">
        <v>0</v>
      </c>
      <c r="R141" s="24">
        <v>0</v>
      </c>
      <c r="S141" s="24">
        <v>0</v>
      </c>
      <c r="T141" s="24">
        <v>0</v>
      </c>
      <c r="U141" s="24">
        <v>0</v>
      </c>
      <c r="V141" s="24">
        <v>0</v>
      </c>
      <c r="W141" s="24">
        <v>0</v>
      </c>
      <c r="X141" s="24">
        <v>0</v>
      </c>
      <c r="Y141" s="24">
        <v>0</v>
      </c>
      <c r="Z141" s="24">
        <v>0</v>
      </c>
      <c r="AA141" s="24">
        <v>0</v>
      </c>
      <c r="AB141" s="24">
        <v>0</v>
      </c>
      <c r="AC141" s="24">
        <v>0</v>
      </c>
      <c r="AD141" s="24">
        <v>0</v>
      </c>
      <c r="AE141" s="24">
        <v>0</v>
      </c>
      <c r="AF141" s="24">
        <v>0</v>
      </c>
      <c r="AG141" s="24">
        <v>0</v>
      </c>
      <c r="AH141" s="24">
        <v>0</v>
      </c>
      <c r="AI141" s="24">
        <v>0</v>
      </c>
      <c r="AJ141" s="24">
        <v>0</v>
      </c>
    </row>
    <row r="142" spans="1:36" x14ac:dyDescent="0.3">
      <c r="A142" t="s">
        <v>556</v>
      </c>
      <c r="B142" t="s">
        <v>305</v>
      </c>
      <c r="C142" s="24">
        <v>0</v>
      </c>
      <c r="D142" s="24">
        <v>0</v>
      </c>
      <c r="E142" s="24">
        <v>0</v>
      </c>
      <c r="F142" s="24">
        <v>0</v>
      </c>
      <c r="G142" s="24">
        <v>0</v>
      </c>
      <c r="H142" s="24">
        <v>0</v>
      </c>
      <c r="I142" s="24">
        <v>0</v>
      </c>
      <c r="J142" s="24">
        <v>0</v>
      </c>
      <c r="K142" s="24">
        <v>0</v>
      </c>
      <c r="L142" s="24">
        <v>0</v>
      </c>
      <c r="M142" s="24">
        <v>0</v>
      </c>
      <c r="N142" s="24">
        <v>0</v>
      </c>
      <c r="O142" s="24">
        <v>0</v>
      </c>
      <c r="P142" s="24">
        <v>0</v>
      </c>
      <c r="Q142" s="24">
        <v>0</v>
      </c>
      <c r="R142" s="24">
        <v>0</v>
      </c>
      <c r="S142" s="24">
        <v>0</v>
      </c>
      <c r="T142" s="24">
        <v>0</v>
      </c>
      <c r="U142" s="24">
        <v>0</v>
      </c>
      <c r="V142" s="24">
        <v>0</v>
      </c>
      <c r="W142" s="24">
        <v>0</v>
      </c>
      <c r="X142" s="24">
        <v>0</v>
      </c>
      <c r="Y142" s="24">
        <v>0</v>
      </c>
      <c r="Z142" s="24">
        <v>0</v>
      </c>
      <c r="AA142" s="24">
        <v>0</v>
      </c>
      <c r="AB142" s="24">
        <v>0</v>
      </c>
      <c r="AC142" s="24">
        <v>0</v>
      </c>
      <c r="AD142" s="24">
        <v>0</v>
      </c>
      <c r="AE142" s="24">
        <v>0</v>
      </c>
      <c r="AF142" s="24">
        <v>0</v>
      </c>
      <c r="AG142" s="24">
        <v>0</v>
      </c>
      <c r="AH142" s="24">
        <v>0</v>
      </c>
      <c r="AI142" s="24">
        <v>0</v>
      </c>
      <c r="AJ142" s="24">
        <v>0</v>
      </c>
    </row>
    <row r="143" spans="1:36" x14ac:dyDescent="0.3">
      <c r="A143" t="s">
        <v>557</v>
      </c>
      <c r="B143" t="s">
        <v>305</v>
      </c>
      <c r="C143" s="24">
        <v>0</v>
      </c>
      <c r="D143" s="24">
        <v>0</v>
      </c>
      <c r="E143" s="24">
        <v>0</v>
      </c>
      <c r="F143" s="24">
        <v>0</v>
      </c>
      <c r="G143" s="24">
        <v>0</v>
      </c>
      <c r="H143" s="24">
        <v>0</v>
      </c>
      <c r="I143" s="24">
        <v>0</v>
      </c>
      <c r="J143" s="24">
        <v>0</v>
      </c>
      <c r="K143" s="24">
        <v>0</v>
      </c>
      <c r="L143" s="24">
        <v>0</v>
      </c>
      <c r="M143" s="24">
        <v>0</v>
      </c>
      <c r="N143" s="24">
        <v>0</v>
      </c>
      <c r="O143" s="24">
        <v>0</v>
      </c>
      <c r="P143" s="24">
        <v>0</v>
      </c>
      <c r="Q143" s="24">
        <v>0</v>
      </c>
      <c r="R143" s="24">
        <v>0</v>
      </c>
      <c r="S143" s="24">
        <v>0</v>
      </c>
      <c r="T143" s="24">
        <v>0</v>
      </c>
      <c r="U143" s="24">
        <v>0</v>
      </c>
      <c r="V143" s="24">
        <v>0</v>
      </c>
      <c r="W143" s="24">
        <v>0</v>
      </c>
      <c r="X143" s="24">
        <v>0</v>
      </c>
      <c r="Y143" s="24">
        <v>0</v>
      </c>
      <c r="Z143" s="24">
        <v>0</v>
      </c>
      <c r="AA143" s="24">
        <v>0</v>
      </c>
      <c r="AB143" s="24">
        <v>0</v>
      </c>
      <c r="AC143" s="24">
        <v>0</v>
      </c>
      <c r="AD143" s="24">
        <v>0</v>
      </c>
      <c r="AE143" s="24">
        <v>0</v>
      </c>
      <c r="AF143" s="24">
        <v>0</v>
      </c>
      <c r="AG143" s="24">
        <v>0</v>
      </c>
      <c r="AH143" s="24">
        <v>0</v>
      </c>
      <c r="AI143" s="24">
        <v>0</v>
      </c>
      <c r="AJ143" s="24">
        <v>0</v>
      </c>
    </row>
    <row r="144" spans="1:36" x14ac:dyDescent="0.3">
      <c r="A144" t="s">
        <v>558</v>
      </c>
      <c r="B144" t="s">
        <v>305</v>
      </c>
      <c r="C144" s="24">
        <v>100</v>
      </c>
      <c r="D144" s="24">
        <v>100</v>
      </c>
      <c r="E144" s="24">
        <v>100</v>
      </c>
      <c r="F144" s="24">
        <v>100</v>
      </c>
      <c r="G144" s="24">
        <v>100</v>
      </c>
      <c r="H144" s="24">
        <v>100</v>
      </c>
      <c r="I144" s="24">
        <v>100</v>
      </c>
      <c r="J144" s="24">
        <v>100</v>
      </c>
      <c r="K144" s="24">
        <v>100</v>
      </c>
      <c r="L144" s="24">
        <v>100</v>
      </c>
      <c r="M144" s="24">
        <v>100</v>
      </c>
      <c r="N144" s="24">
        <v>100</v>
      </c>
      <c r="O144" s="24">
        <v>100</v>
      </c>
      <c r="P144" s="24">
        <v>100</v>
      </c>
      <c r="Q144" s="24">
        <v>100</v>
      </c>
      <c r="R144" s="24">
        <v>100</v>
      </c>
      <c r="S144" s="24">
        <v>100</v>
      </c>
      <c r="T144" s="24">
        <v>100</v>
      </c>
      <c r="U144" s="24">
        <v>100</v>
      </c>
      <c r="V144" s="24">
        <v>100</v>
      </c>
      <c r="W144" s="24">
        <v>100</v>
      </c>
      <c r="X144" s="24">
        <v>100</v>
      </c>
      <c r="Y144" s="24">
        <v>100</v>
      </c>
      <c r="Z144" s="24">
        <v>100</v>
      </c>
      <c r="AA144" s="24">
        <v>100</v>
      </c>
      <c r="AB144" s="24">
        <v>100</v>
      </c>
      <c r="AC144" s="24">
        <v>100</v>
      </c>
      <c r="AD144" s="24">
        <v>100</v>
      </c>
      <c r="AE144" s="24">
        <v>100</v>
      </c>
      <c r="AF144" s="24">
        <v>100</v>
      </c>
      <c r="AG144" s="24">
        <v>100</v>
      </c>
      <c r="AH144" s="24">
        <v>100</v>
      </c>
      <c r="AI144" s="24">
        <v>100</v>
      </c>
      <c r="AJ144" s="24">
        <v>100</v>
      </c>
    </row>
    <row r="145" spans="1:36" x14ac:dyDescent="0.3">
      <c r="A145" t="s">
        <v>761</v>
      </c>
      <c r="B145" t="s">
        <v>305</v>
      </c>
      <c r="C145" s="24">
        <v>0</v>
      </c>
      <c r="D145" s="24">
        <v>0</v>
      </c>
      <c r="E145" s="24">
        <v>0</v>
      </c>
      <c r="F145" s="24">
        <v>0</v>
      </c>
      <c r="G145" s="24">
        <v>0</v>
      </c>
      <c r="H145" s="24">
        <v>0</v>
      </c>
      <c r="I145" s="24">
        <v>0</v>
      </c>
      <c r="J145" s="24">
        <v>0</v>
      </c>
      <c r="K145" s="24">
        <v>0</v>
      </c>
      <c r="L145" s="24">
        <v>0</v>
      </c>
      <c r="M145" s="24">
        <v>0</v>
      </c>
      <c r="N145" s="24">
        <v>0</v>
      </c>
      <c r="O145" s="24">
        <v>0</v>
      </c>
      <c r="P145" s="24">
        <v>0</v>
      </c>
      <c r="Q145" s="24">
        <v>0</v>
      </c>
      <c r="R145" s="24">
        <v>0</v>
      </c>
      <c r="S145" s="24">
        <v>0</v>
      </c>
      <c r="T145" s="24">
        <v>0</v>
      </c>
      <c r="U145" s="24">
        <v>0</v>
      </c>
      <c r="V145" s="24">
        <v>0</v>
      </c>
      <c r="W145" s="24">
        <v>0</v>
      </c>
      <c r="X145" s="24">
        <v>0</v>
      </c>
      <c r="Y145" s="24">
        <v>0</v>
      </c>
      <c r="Z145" s="24">
        <v>0</v>
      </c>
      <c r="AA145" s="24">
        <v>0</v>
      </c>
      <c r="AB145" s="24">
        <v>0</v>
      </c>
      <c r="AC145" s="24">
        <v>0</v>
      </c>
      <c r="AD145" s="24">
        <v>0</v>
      </c>
      <c r="AE145" s="24">
        <v>0</v>
      </c>
      <c r="AF145" s="24">
        <v>0</v>
      </c>
      <c r="AG145" s="24">
        <v>0</v>
      </c>
      <c r="AH145" s="24">
        <v>0</v>
      </c>
      <c r="AI145" s="24">
        <v>0</v>
      </c>
      <c r="AJ145" s="24">
        <v>0</v>
      </c>
    </row>
    <row r="146" spans="1:36" s="70" customFormat="1" x14ac:dyDescent="0.3">
      <c r="A146" s="70" t="s">
        <v>780</v>
      </c>
      <c r="C146" s="71">
        <f>+SUM(C135:C145)</f>
        <v>100</v>
      </c>
      <c r="D146" s="71">
        <f t="shared" ref="D146" si="265">+SUM(D135:D145)</f>
        <v>100</v>
      </c>
      <c r="E146" s="71">
        <f t="shared" ref="E146" si="266">+SUM(E135:E145)</f>
        <v>100</v>
      </c>
      <c r="F146" s="71">
        <f t="shared" ref="F146" si="267">+SUM(F135:F145)</f>
        <v>100</v>
      </c>
      <c r="G146" s="71">
        <f t="shared" ref="G146" si="268">+SUM(G135:G145)</f>
        <v>100</v>
      </c>
      <c r="H146" s="71">
        <f t="shared" ref="H146" si="269">+SUM(H135:H145)</f>
        <v>100</v>
      </c>
      <c r="I146" s="71">
        <f t="shared" ref="I146" si="270">+SUM(I135:I145)</f>
        <v>100</v>
      </c>
      <c r="J146" s="71">
        <f t="shared" ref="J146" si="271">+SUM(J135:J145)</f>
        <v>100</v>
      </c>
      <c r="K146" s="71">
        <f t="shared" ref="K146" si="272">+SUM(K135:K145)</f>
        <v>100</v>
      </c>
      <c r="L146" s="71">
        <f t="shared" ref="L146" si="273">+SUM(L135:L145)</f>
        <v>100</v>
      </c>
      <c r="M146" s="71">
        <f t="shared" ref="M146" si="274">+SUM(M135:M145)</f>
        <v>100</v>
      </c>
      <c r="N146" s="71">
        <f t="shared" ref="N146" si="275">+SUM(N135:N145)</f>
        <v>100</v>
      </c>
      <c r="O146" s="71">
        <f t="shared" ref="O146" si="276">+SUM(O135:O145)</f>
        <v>100</v>
      </c>
      <c r="P146" s="71">
        <f t="shared" ref="P146" si="277">+SUM(P135:P145)</f>
        <v>100</v>
      </c>
      <c r="Q146" s="71">
        <f t="shared" ref="Q146" si="278">+SUM(Q135:Q145)</f>
        <v>100</v>
      </c>
      <c r="R146" s="71">
        <f t="shared" ref="R146" si="279">+SUM(R135:R145)</f>
        <v>100</v>
      </c>
      <c r="S146" s="71">
        <f t="shared" ref="S146" si="280">+SUM(S135:S145)</f>
        <v>100</v>
      </c>
      <c r="T146" s="71">
        <f t="shared" ref="T146" si="281">+SUM(T135:T145)</f>
        <v>100</v>
      </c>
      <c r="U146" s="71">
        <f t="shared" ref="U146" si="282">+SUM(U135:U145)</f>
        <v>100</v>
      </c>
      <c r="V146" s="71">
        <f t="shared" ref="V146" si="283">+SUM(V135:V145)</f>
        <v>100</v>
      </c>
      <c r="W146" s="71">
        <f t="shared" ref="W146" si="284">+SUM(W135:W145)</f>
        <v>100</v>
      </c>
      <c r="X146" s="71">
        <f t="shared" ref="X146" si="285">+SUM(X135:X145)</f>
        <v>100</v>
      </c>
      <c r="Y146" s="71">
        <f t="shared" ref="Y146" si="286">+SUM(Y135:Y145)</f>
        <v>100</v>
      </c>
      <c r="Z146" s="71">
        <f t="shared" ref="Z146" si="287">+SUM(Z135:Z145)</f>
        <v>100</v>
      </c>
      <c r="AA146" s="71">
        <f t="shared" ref="AA146" si="288">+SUM(AA135:AA145)</f>
        <v>100</v>
      </c>
      <c r="AB146" s="71">
        <f t="shared" ref="AB146" si="289">+SUM(AB135:AB145)</f>
        <v>100</v>
      </c>
      <c r="AC146" s="71">
        <f t="shared" ref="AC146" si="290">+SUM(AC135:AC145)</f>
        <v>100</v>
      </c>
      <c r="AD146" s="71">
        <f t="shared" ref="AD146" si="291">+SUM(AD135:AD145)</f>
        <v>100</v>
      </c>
      <c r="AE146" s="71">
        <f t="shared" ref="AE146" si="292">+SUM(AE135:AE145)</f>
        <v>100</v>
      </c>
      <c r="AF146" s="71">
        <f t="shared" ref="AF146" si="293">+SUM(AF135:AF145)</f>
        <v>100</v>
      </c>
      <c r="AG146" s="71">
        <f t="shared" ref="AG146" si="294">+SUM(AG135:AG145)</f>
        <v>100</v>
      </c>
      <c r="AH146" s="71">
        <f t="shared" ref="AH146" si="295">+SUM(AH135:AH145)</f>
        <v>100</v>
      </c>
      <c r="AI146" s="71">
        <f t="shared" ref="AI146" si="296">+SUM(AI135:AI145)</f>
        <v>100</v>
      </c>
      <c r="AJ146" s="71">
        <f t="shared" ref="AJ146" si="297">+SUM(AJ135:AJ145)</f>
        <v>100</v>
      </c>
    </row>
    <row r="147" spans="1:36" x14ac:dyDescent="0.3">
      <c r="A147" t="s">
        <v>559</v>
      </c>
      <c r="B147" t="s">
        <v>305</v>
      </c>
      <c r="C147" s="24">
        <v>0</v>
      </c>
      <c r="D147" s="24">
        <v>0</v>
      </c>
      <c r="E147" s="24">
        <v>0</v>
      </c>
      <c r="F147" s="24">
        <v>0</v>
      </c>
      <c r="G147" s="24">
        <v>0</v>
      </c>
      <c r="H147" s="24">
        <v>0</v>
      </c>
      <c r="I147" s="24">
        <v>0</v>
      </c>
      <c r="J147" s="24">
        <v>0</v>
      </c>
      <c r="K147" s="24">
        <v>0</v>
      </c>
      <c r="L147" s="24">
        <v>0</v>
      </c>
      <c r="M147" s="24">
        <v>0</v>
      </c>
      <c r="N147" s="24">
        <v>0</v>
      </c>
      <c r="O147" s="24">
        <v>0</v>
      </c>
      <c r="P147" s="24">
        <v>0</v>
      </c>
      <c r="Q147" s="24">
        <v>0</v>
      </c>
      <c r="R147" s="24">
        <v>0</v>
      </c>
      <c r="S147" s="24">
        <v>0</v>
      </c>
      <c r="T147" s="24">
        <v>0</v>
      </c>
      <c r="U147" s="24">
        <v>0</v>
      </c>
      <c r="V147" s="24">
        <v>0</v>
      </c>
      <c r="W147" s="24">
        <v>0</v>
      </c>
      <c r="X147" s="24">
        <v>0</v>
      </c>
      <c r="Y147" s="24">
        <v>0</v>
      </c>
      <c r="Z147" s="24">
        <v>0</v>
      </c>
      <c r="AA147" s="24">
        <v>0</v>
      </c>
      <c r="AB147" s="24">
        <v>0</v>
      </c>
      <c r="AC147" s="24">
        <v>0</v>
      </c>
      <c r="AD147" s="24">
        <v>0</v>
      </c>
      <c r="AE147" s="24">
        <v>0</v>
      </c>
      <c r="AF147" s="24">
        <v>0</v>
      </c>
      <c r="AG147" s="24">
        <v>0</v>
      </c>
      <c r="AH147" s="24">
        <v>0</v>
      </c>
      <c r="AI147" s="24">
        <v>0</v>
      </c>
      <c r="AJ147" s="24">
        <v>0</v>
      </c>
    </row>
    <row r="148" spans="1:36" x14ac:dyDescent="0.3">
      <c r="A148" t="s">
        <v>560</v>
      </c>
      <c r="B148" t="s">
        <v>305</v>
      </c>
      <c r="C148" s="24">
        <v>0</v>
      </c>
      <c r="D148" s="24">
        <v>0</v>
      </c>
      <c r="E148" s="24">
        <v>0</v>
      </c>
      <c r="F148" s="24">
        <v>0</v>
      </c>
      <c r="G148" s="24">
        <v>0</v>
      </c>
      <c r="H148" s="24">
        <v>0</v>
      </c>
      <c r="I148" s="24">
        <v>0</v>
      </c>
      <c r="J148" s="24">
        <v>0</v>
      </c>
      <c r="K148" s="24">
        <v>0</v>
      </c>
      <c r="L148" s="24">
        <v>0</v>
      </c>
      <c r="M148" s="24">
        <v>0</v>
      </c>
      <c r="N148" s="24">
        <v>0</v>
      </c>
      <c r="O148" s="24">
        <v>0</v>
      </c>
      <c r="P148" s="24">
        <v>0</v>
      </c>
      <c r="Q148" s="24">
        <v>0</v>
      </c>
      <c r="R148" s="24">
        <v>0</v>
      </c>
      <c r="S148" s="24">
        <v>0</v>
      </c>
      <c r="T148" s="24">
        <v>0</v>
      </c>
      <c r="U148" s="24">
        <v>0</v>
      </c>
      <c r="V148" s="24">
        <v>0</v>
      </c>
      <c r="W148" s="24">
        <v>0</v>
      </c>
      <c r="X148" s="24">
        <v>0</v>
      </c>
      <c r="Y148" s="24">
        <v>0</v>
      </c>
      <c r="Z148" s="24">
        <v>0</v>
      </c>
      <c r="AA148" s="24">
        <v>0</v>
      </c>
      <c r="AB148" s="24">
        <v>0</v>
      </c>
      <c r="AC148" s="24">
        <v>0</v>
      </c>
      <c r="AD148" s="24">
        <v>0</v>
      </c>
      <c r="AE148" s="24">
        <v>0</v>
      </c>
      <c r="AF148" s="24">
        <v>0</v>
      </c>
      <c r="AG148" s="24">
        <v>0</v>
      </c>
      <c r="AH148" s="24">
        <v>0</v>
      </c>
      <c r="AI148" s="24">
        <v>0</v>
      </c>
      <c r="AJ148" s="24">
        <v>0</v>
      </c>
    </row>
    <row r="149" spans="1:36" x14ac:dyDescent="0.3">
      <c r="A149" t="s">
        <v>561</v>
      </c>
      <c r="B149" t="s">
        <v>305</v>
      </c>
      <c r="C149" s="24">
        <v>0</v>
      </c>
      <c r="D149" s="24">
        <v>0</v>
      </c>
      <c r="E149" s="24">
        <v>0</v>
      </c>
      <c r="F149" s="24">
        <v>0</v>
      </c>
      <c r="G149" s="24">
        <v>0</v>
      </c>
      <c r="H149" s="24">
        <v>0</v>
      </c>
      <c r="I149" s="24">
        <v>0</v>
      </c>
      <c r="J149" s="24">
        <v>0</v>
      </c>
      <c r="K149" s="24">
        <v>0</v>
      </c>
      <c r="L149" s="24">
        <v>0</v>
      </c>
      <c r="M149" s="24">
        <v>0</v>
      </c>
      <c r="N149" s="24">
        <v>0</v>
      </c>
      <c r="O149" s="24">
        <v>0</v>
      </c>
      <c r="P149" s="24">
        <v>0</v>
      </c>
      <c r="Q149" s="24">
        <v>0</v>
      </c>
      <c r="R149" s="24">
        <v>0</v>
      </c>
      <c r="S149" s="24">
        <v>0</v>
      </c>
      <c r="T149" s="24">
        <v>0</v>
      </c>
      <c r="U149" s="24">
        <v>0</v>
      </c>
      <c r="V149" s="24">
        <v>0</v>
      </c>
      <c r="W149" s="24">
        <v>0</v>
      </c>
      <c r="X149" s="24">
        <v>0</v>
      </c>
      <c r="Y149" s="24">
        <v>0</v>
      </c>
      <c r="Z149" s="24">
        <v>0</v>
      </c>
      <c r="AA149" s="24">
        <v>0</v>
      </c>
      <c r="AB149" s="24">
        <v>0</v>
      </c>
      <c r="AC149" s="24">
        <v>0</v>
      </c>
      <c r="AD149" s="24">
        <v>0</v>
      </c>
      <c r="AE149" s="24">
        <v>0</v>
      </c>
      <c r="AF149" s="24">
        <v>0</v>
      </c>
      <c r="AG149" s="24">
        <v>0</v>
      </c>
      <c r="AH149" s="24">
        <v>0</v>
      </c>
      <c r="AI149" s="24">
        <v>0</v>
      </c>
      <c r="AJ149" s="24">
        <v>0</v>
      </c>
    </row>
    <row r="150" spans="1:36" x14ac:dyDescent="0.3">
      <c r="A150" t="s">
        <v>562</v>
      </c>
      <c r="B150" t="s">
        <v>305</v>
      </c>
      <c r="C150" s="24">
        <v>0</v>
      </c>
      <c r="D150" s="24">
        <v>0</v>
      </c>
      <c r="E150" s="24">
        <v>0</v>
      </c>
      <c r="F150" s="24">
        <v>0</v>
      </c>
      <c r="G150" s="24">
        <v>0</v>
      </c>
      <c r="H150" s="24">
        <v>0</v>
      </c>
      <c r="I150" s="24">
        <v>0</v>
      </c>
      <c r="J150" s="24">
        <v>0</v>
      </c>
      <c r="K150" s="24">
        <v>0</v>
      </c>
      <c r="L150" s="24">
        <v>0</v>
      </c>
      <c r="M150" s="24">
        <v>0</v>
      </c>
      <c r="N150" s="24">
        <v>0</v>
      </c>
      <c r="O150" s="24">
        <v>0</v>
      </c>
      <c r="P150" s="24">
        <v>0</v>
      </c>
      <c r="Q150" s="24">
        <v>0</v>
      </c>
      <c r="R150" s="24">
        <v>0</v>
      </c>
      <c r="S150" s="24">
        <v>0</v>
      </c>
      <c r="T150" s="24">
        <v>0</v>
      </c>
      <c r="U150" s="24">
        <v>0</v>
      </c>
      <c r="V150" s="24">
        <v>0</v>
      </c>
      <c r="W150" s="24">
        <v>0</v>
      </c>
      <c r="X150" s="24">
        <v>0</v>
      </c>
      <c r="Y150" s="24">
        <v>0</v>
      </c>
      <c r="Z150" s="24">
        <v>0</v>
      </c>
      <c r="AA150" s="24">
        <v>0</v>
      </c>
      <c r="AB150" s="24">
        <v>0</v>
      </c>
      <c r="AC150" s="24">
        <v>0</v>
      </c>
      <c r="AD150" s="24">
        <v>0</v>
      </c>
      <c r="AE150" s="24">
        <v>0</v>
      </c>
      <c r="AF150" s="24">
        <v>0</v>
      </c>
      <c r="AG150" s="24">
        <v>0</v>
      </c>
      <c r="AH150" s="24">
        <v>0</v>
      </c>
      <c r="AI150" s="24">
        <v>0</v>
      </c>
      <c r="AJ150" s="24">
        <v>0</v>
      </c>
    </row>
    <row r="151" spans="1:36" x14ac:dyDescent="0.3">
      <c r="A151" t="s">
        <v>563</v>
      </c>
      <c r="B151" t="s">
        <v>305</v>
      </c>
      <c r="C151" s="24">
        <v>0</v>
      </c>
      <c r="D151" s="24">
        <v>0</v>
      </c>
      <c r="E151" s="24">
        <v>0</v>
      </c>
      <c r="F151" s="24">
        <v>0</v>
      </c>
      <c r="G151" s="24">
        <v>0</v>
      </c>
      <c r="H151" s="24">
        <v>0</v>
      </c>
      <c r="I151" s="24">
        <v>0</v>
      </c>
      <c r="J151" s="24">
        <v>0</v>
      </c>
      <c r="K151" s="24">
        <v>0</v>
      </c>
      <c r="L151" s="24">
        <v>0</v>
      </c>
      <c r="M151" s="24">
        <v>0</v>
      </c>
      <c r="N151" s="24">
        <v>0</v>
      </c>
      <c r="O151" s="24">
        <v>0</v>
      </c>
      <c r="P151" s="24">
        <v>0</v>
      </c>
      <c r="Q151" s="24">
        <v>0</v>
      </c>
      <c r="R151" s="24">
        <v>0</v>
      </c>
      <c r="S151" s="24">
        <v>0</v>
      </c>
      <c r="T151" s="24">
        <v>0</v>
      </c>
      <c r="U151" s="24">
        <v>0</v>
      </c>
      <c r="V151" s="24">
        <v>0</v>
      </c>
      <c r="W151" s="24">
        <v>0</v>
      </c>
      <c r="X151" s="24">
        <v>0</v>
      </c>
      <c r="Y151" s="24">
        <v>0</v>
      </c>
      <c r="Z151" s="24">
        <v>0</v>
      </c>
      <c r="AA151" s="24">
        <v>0</v>
      </c>
      <c r="AB151" s="24">
        <v>0</v>
      </c>
      <c r="AC151" s="24">
        <v>0</v>
      </c>
      <c r="AD151" s="24">
        <v>0</v>
      </c>
      <c r="AE151" s="24">
        <v>0</v>
      </c>
      <c r="AF151" s="24">
        <v>0</v>
      </c>
      <c r="AG151" s="24">
        <v>0</v>
      </c>
      <c r="AH151" s="24">
        <v>0</v>
      </c>
      <c r="AI151" s="24">
        <v>0</v>
      </c>
      <c r="AJ151" s="24">
        <v>0</v>
      </c>
    </row>
    <row r="152" spans="1:36" x14ac:dyDescent="0.3">
      <c r="A152" t="s">
        <v>564</v>
      </c>
      <c r="B152" t="s">
        <v>305</v>
      </c>
      <c r="C152" s="24">
        <v>0</v>
      </c>
      <c r="D152" s="24">
        <v>0</v>
      </c>
      <c r="E152" s="24">
        <v>0</v>
      </c>
      <c r="F152" s="24">
        <v>0</v>
      </c>
      <c r="G152" s="24">
        <v>0</v>
      </c>
      <c r="H152" s="24">
        <v>0</v>
      </c>
      <c r="I152" s="24">
        <v>0</v>
      </c>
      <c r="J152" s="24">
        <v>0</v>
      </c>
      <c r="K152" s="24">
        <v>0</v>
      </c>
      <c r="L152" s="24">
        <v>0</v>
      </c>
      <c r="M152" s="24">
        <v>0</v>
      </c>
      <c r="N152" s="24">
        <v>0</v>
      </c>
      <c r="O152" s="24">
        <v>0</v>
      </c>
      <c r="P152" s="24">
        <v>0</v>
      </c>
      <c r="Q152" s="24">
        <v>0</v>
      </c>
      <c r="R152" s="24">
        <v>0</v>
      </c>
      <c r="S152" s="24">
        <v>0</v>
      </c>
      <c r="T152" s="24">
        <v>0</v>
      </c>
      <c r="U152" s="24">
        <v>0</v>
      </c>
      <c r="V152" s="24">
        <v>0</v>
      </c>
      <c r="W152" s="24">
        <v>0</v>
      </c>
      <c r="X152" s="24">
        <v>0</v>
      </c>
      <c r="Y152" s="24">
        <v>0</v>
      </c>
      <c r="Z152" s="24">
        <v>0</v>
      </c>
      <c r="AA152" s="24">
        <v>0</v>
      </c>
      <c r="AB152" s="24">
        <v>0</v>
      </c>
      <c r="AC152" s="24">
        <v>0</v>
      </c>
      <c r="AD152" s="24">
        <v>0</v>
      </c>
      <c r="AE152" s="24">
        <v>0</v>
      </c>
      <c r="AF152" s="24">
        <v>0</v>
      </c>
      <c r="AG152" s="24">
        <v>0</v>
      </c>
      <c r="AH152" s="24">
        <v>0</v>
      </c>
      <c r="AI152" s="24">
        <v>0</v>
      </c>
      <c r="AJ152" s="24">
        <v>0</v>
      </c>
    </row>
    <row r="153" spans="1:36" x14ac:dyDescent="0.3">
      <c r="A153" t="s">
        <v>565</v>
      </c>
      <c r="B153" t="s">
        <v>305</v>
      </c>
      <c r="C153" s="24">
        <v>0</v>
      </c>
      <c r="D153" s="24">
        <v>0</v>
      </c>
      <c r="E153" s="24">
        <v>0</v>
      </c>
      <c r="F153" s="24">
        <v>0</v>
      </c>
      <c r="G153" s="24">
        <v>0</v>
      </c>
      <c r="H153" s="24">
        <v>0</v>
      </c>
      <c r="I153" s="24">
        <v>0</v>
      </c>
      <c r="J153" s="24">
        <v>0</v>
      </c>
      <c r="K153" s="24">
        <v>0</v>
      </c>
      <c r="L153" s="24">
        <v>0</v>
      </c>
      <c r="M153" s="24">
        <v>0</v>
      </c>
      <c r="N153" s="24">
        <v>0</v>
      </c>
      <c r="O153" s="24">
        <v>0</v>
      </c>
      <c r="P153" s="24">
        <v>0</v>
      </c>
      <c r="Q153" s="24">
        <v>0</v>
      </c>
      <c r="R153" s="24">
        <v>0</v>
      </c>
      <c r="S153" s="24">
        <v>0</v>
      </c>
      <c r="T153" s="24">
        <v>0</v>
      </c>
      <c r="U153" s="24">
        <v>0</v>
      </c>
      <c r="V153" s="24">
        <v>0</v>
      </c>
      <c r="W153" s="24">
        <v>0</v>
      </c>
      <c r="X153" s="24">
        <v>0</v>
      </c>
      <c r="Y153" s="24">
        <v>0</v>
      </c>
      <c r="Z153" s="24">
        <v>0</v>
      </c>
      <c r="AA153" s="24">
        <v>0</v>
      </c>
      <c r="AB153" s="24">
        <v>0</v>
      </c>
      <c r="AC153" s="24">
        <v>0</v>
      </c>
      <c r="AD153" s="24">
        <v>0</v>
      </c>
      <c r="AE153" s="24">
        <v>0</v>
      </c>
      <c r="AF153" s="24">
        <v>0</v>
      </c>
      <c r="AG153" s="24">
        <v>0</v>
      </c>
      <c r="AH153" s="24">
        <v>0</v>
      </c>
      <c r="AI153" s="24">
        <v>0</v>
      </c>
      <c r="AJ153" s="24">
        <v>0</v>
      </c>
    </row>
    <row r="154" spans="1:36" x14ac:dyDescent="0.3">
      <c r="A154" t="s">
        <v>566</v>
      </c>
      <c r="B154" t="s">
        <v>305</v>
      </c>
      <c r="C154" s="24">
        <v>0</v>
      </c>
      <c r="D154" s="24">
        <v>0</v>
      </c>
      <c r="E154" s="24">
        <v>0</v>
      </c>
      <c r="F154" s="24">
        <v>0</v>
      </c>
      <c r="G154" s="24">
        <v>0</v>
      </c>
      <c r="H154" s="24">
        <v>0</v>
      </c>
      <c r="I154" s="24">
        <v>0</v>
      </c>
      <c r="J154" s="24">
        <v>0</v>
      </c>
      <c r="K154" s="24">
        <v>0</v>
      </c>
      <c r="L154" s="24">
        <v>0</v>
      </c>
      <c r="M154" s="24">
        <v>0</v>
      </c>
      <c r="N154" s="24">
        <v>0</v>
      </c>
      <c r="O154" s="24">
        <v>0</v>
      </c>
      <c r="P154" s="24">
        <v>0</v>
      </c>
      <c r="Q154" s="24">
        <v>0</v>
      </c>
      <c r="R154" s="24">
        <v>0</v>
      </c>
      <c r="S154" s="24">
        <v>0</v>
      </c>
      <c r="T154" s="24">
        <v>0</v>
      </c>
      <c r="U154" s="24">
        <v>0</v>
      </c>
      <c r="V154" s="24">
        <v>0</v>
      </c>
      <c r="W154" s="24">
        <v>0</v>
      </c>
      <c r="X154" s="24">
        <v>0</v>
      </c>
      <c r="Y154" s="24">
        <v>0</v>
      </c>
      <c r="Z154" s="24">
        <v>0</v>
      </c>
      <c r="AA154" s="24">
        <v>0</v>
      </c>
      <c r="AB154" s="24">
        <v>0</v>
      </c>
      <c r="AC154" s="24">
        <v>0</v>
      </c>
      <c r="AD154" s="24">
        <v>0</v>
      </c>
      <c r="AE154" s="24">
        <v>0</v>
      </c>
      <c r="AF154" s="24">
        <v>0</v>
      </c>
      <c r="AG154" s="24">
        <v>0</v>
      </c>
      <c r="AH154" s="24">
        <v>0</v>
      </c>
      <c r="AI154" s="24">
        <v>0</v>
      </c>
      <c r="AJ154" s="24">
        <v>0</v>
      </c>
    </row>
    <row r="155" spans="1:36" x14ac:dyDescent="0.3">
      <c r="A155" t="s">
        <v>567</v>
      </c>
      <c r="B155" t="s">
        <v>305</v>
      </c>
      <c r="C155" s="24">
        <v>0</v>
      </c>
      <c r="D155" s="24">
        <v>0</v>
      </c>
      <c r="E155" s="24">
        <v>0</v>
      </c>
      <c r="F155" s="24">
        <v>0</v>
      </c>
      <c r="G155" s="24">
        <v>0</v>
      </c>
      <c r="H155" s="24">
        <v>0</v>
      </c>
      <c r="I155" s="24">
        <v>0</v>
      </c>
      <c r="J155" s="24">
        <v>0</v>
      </c>
      <c r="K155" s="24">
        <v>0</v>
      </c>
      <c r="L155" s="24">
        <v>0</v>
      </c>
      <c r="M155" s="24">
        <v>0</v>
      </c>
      <c r="N155" s="24">
        <v>0</v>
      </c>
      <c r="O155" s="24">
        <v>0</v>
      </c>
      <c r="P155" s="24">
        <v>0</v>
      </c>
      <c r="Q155" s="24">
        <v>0</v>
      </c>
      <c r="R155" s="24">
        <v>0</v>
      </c>
      <c r="S155" s="24">
        <v>0</v>
      </c>
      <c r="T155" s="24">
        <v>0</v>
      </c>
      <c r="U155" s="24">
        <v>0</v>
      </c>
      <c r="V155" s="24">
        <v>0</v>
      </c>
      <c r="W155" s="24">
        <v>0</v>
      </c>
      <c r="X155" s="24">
        <v>0</v>
      </c>
      <c r="Y155" s="24">
        <v>0</v>
      </c>
      <c r="Z155" s="24">
        <v>0</v>
      </c>
      <c r="AA155" s="24">
        <v>0</v>
      </c>
      <c r="AB155" s="24">
        <v>0</v>
      </c>
      <c r="AC155" s="24">
        <v>0</v>
      </c>
      <c r="AD155" s="24">
        <v>0</v>
      </c>
      <c r="AE155" s="24">
        <v>0</v>
      </c>
      <c r="AF155" s="24">
        <v>0</v>
      </c>
      <c r="AG155" s="24">
        <v>0</v>
      </c>
      <c r="AH155" s="24">
        <v>0</v>
      </c>
      <c r="AI155" s="24">
        <v>0</v>
      </c>
      <c r="AJ155" s="24">
        <v>0</v>
      </c>
    </row>
    <row r="156" spans="1:36" x14ac:dyDescent="0.3">
      <c r="A156" t="s">
        <v>568</v>
      </c>
      <c r="B156" t="s">
        <v>305</v>
      </c>
      <c r="C156" s="24">
        <v>100</v>
      </c>
      <c r="D156" s="24">
        <v>100</v>
      </c>
      <c r="E156" s="24">
        <v>100</v>
      </c>
      <c r="F156" s="24">
        <v>100</v>
      </c>
      <c r="G156" s="24">
        <v>100</v>
      </c>
      <c r="H156" s="24">
        <v>100</v>
      </c>
      <c r="I156" s="24">
        <v>100</v>
      </c>
      <c r="J156" s="24">
        <v>100</v>
      </c>
      <c r="K156" s="24">
        <v>100</v>
      </c>
      <c r="L156" s="24">
        <v>100</v>
      </c>
      <c r="M156" s="24">
        <v>100</v>
      </c>
      <c r="N156" s="24">
        <v>100</v>
      </c>
      <c r="O156" s="24">
        <v>100</v>
      </c>
      <c r="P156" s="24">
        <v>100</v>
      </c>
      <c r="Q156" s="24">
        <v>100</v>
      </c>
      <c r="R156" s="24">
        <v>100</v>
      </c>
      <c r="S156" s="24">
        <v>100</v>
      </c>
      <c r="T156" s="24">
        <v>100</v>
      </c>
      <c r="U156" s="24">
        <v>100</v>
      </c>
      <c r="V156" s="24">
        <v>100</v>
      </c>
      <c r="W156" s="24">
        <v>100</v>
      </c>
      <c r="X156" s="24">
        <v>100</v>
      </c>
      <c r="Y156" s="24">
        <v>100</v>
      </c>
      <c r="Z156" s="24">
        <v>100</v>
      </c>
      <c r="AA156" s="24">
        <v>100</v>
      </c>
      <c r="AB156" s="24">
        <v>100</v>
      </c>
      <c r="AC156" s="24">
        <v>100</v>
      </c>
      <c r="AD156" s="24">
        <v>100</v>
      </c>
      <c r="AE156" s="24">
        <v>100</v>
      </c>
      <c r="AF156" s="24">
        <v>100</v>
      </c>
      <c r="AG156" s="24">
        <v>100</v>
      </c>
      <c r="AH156" s="24">
        <v>100</v>
      </c>
      <c r="AI156" s="24">
        <v>100</v>
      </c>
      <c r="AJ156" s="24">
        <v>100</v>
      </c>
    </row>
    <row r="157" spans="1:36" x14ac:dyDescent="0.3">
      <c r="A157" t="s">
        <v>762</v>
      </c>
      <c r="B157" t="s">
        <v>305</v>
      </c>
      <c r="C157" s="24">
        <v>0</v>
      </c>
      <c r="D157" s="24">
        <v>0</v>
      </c>
      <c r="E157" s="24">
        <v>0</v>
      </c>
      <c r="F157" s="24">
        <v>0</v>
      </c>
      <c r="G157" s="24">
        <v>0</v>
      </c>
      <c r="H157" s="24">
        <v>0</v>
      </c>
      <c r="I157" s="24">
        <v>0</v>
      </c>
      <c r="J157" s="24">
        <v>0</v>
      </c>
      <c r="K157" s="24">
        <v>0</v>
      </c>
      <c r="L157" s="24">
        <v>0</v>
      </c>
      <c r="M157" s="24">
        <v>0</v>
      </c>
      <c r="N157" s="24">
        <v>0</v>
      </c>
      <c r="O157" s="24">
        <v>0</v>
      </c>
      <c r="P157" s="24">
        <v>0</v>
      </c>
      <c r="Q157" s="24">
        <v>0</v>
      </c>
      <c r="R157" s="24">
        <v>0</v>
      </c>
      <c r="S157" s="24">
        <v>0</v>
      </c>
      <c r="T157" s="24">
        <v>0</v>
      </c>
      <c r="U157" s="24">
        <v>0</v>
      </c>
      <c r="V157" s="24">
        <v>0</v>
      </c>
      <c r="W157" s="24">
        <v>0</v>
      </c>
      <c r="X157" s="24">
        <v>0</v>
      </c>
      <c r="Y157" s="24">
        <v>0</v>
      </c>
      <c r="Z157" s="24">
        <v>0</v>
      </c>
      <c r="AA157" s="24">
        <v>0</v>
      </c>
      <c r="AB157" s="24">
        <v>0</v>
      </c>
      <c r="AC157" s="24">
        <v>0</v>
      </c>
      <c r="AD157" s="24">
        <v>0</v>
      </c>
      <c r="AE157" s="24">
        <v>0</v>
      </c>
      <c r="AF157" s="24">
        <v>0</v>
      </c>
      <c r="AG157" s="24">
        <v>0</v>
      </c>
      <c r="AH157" s="24">
        <v>0</v>
      </c>
      <c r="AI157" s="24">
        <v>0</v>
      </c>
      <c r="AJ157" s="24">
        <v>0</v>
      </c>
    </row>
    <row r="158" spans="1:36" s="70" customFormat="1" x14ac:dyDescent="0.3">
      <c r="A158" s="70" t="s">
        <v>780</v>
      </c>
      <c r="C158" s="71">
        <f>+SUM(C147:C157)</f>
        <v>100</v>
      </c>
      <c r="D158" s="71">
        <f t="shared" ref="D158" si="298">+SUM(D147:D157)</f>
        <v>100</v>
      </c>
      <c r="E158" s="71">
        <f t="shared" ref="E158" si="299">+SUM(E147:E157)</f>
        <v>100</v>
      </c>
      <c r="F158" s="71">
        <f t="shared" ref="F158" si="300">+SUM(F147:F157)</f>
        <v>100</v>
      </c>
      <c r="G158" s="71">
        <f t="shared" ref="G158" si="301">+SUM(G147:G157)</f>
        <v>100</v>
      </c>
      <c r="H158" s="71">
        <f t="shared" ref="H158" si="302">+SUM(H147:H157)</f>
        <v>100</v>
      </c>
      <c r="I158" s="71">
        <f t="shared" ref="I158" si="303">+SUM(I147:I157)</f>
        <v>100</v>
      </c>
      <c r="J158" s="71">
        <f t="shared" ref="J158" si="304">+SUM(J147:J157)</f>
        <v>100</v>
      </c>
      <c r="K158" s="71">
        <f t="shared" ref="K158" si="305">+SUM(K147:K157)</f>
        <v>100</v>
      </c>
      <c r="L158" s="71">
        <f t="shared" ref="L158" si="306">+SUM(L147:L157)</f>
        <v>100</v>
      </c>
      <c r="M158" s="71">
        <f t="shared" ref="M158" si="307">+SUM(M147:M157)</f>
        <v>100</v>
      </c>
      <c r="N158" s="71">
        <f t="shared" ref="N158" si="308">+SUM(N147:N157)</f>
        <v>100</v>
      </c>
      <c r="O158" s="71">
        <f t="shared" ref="O158" si="309">+SUM(O147:O157)</f>
        <v>100</v>
      </c>
      <c r="P158" s="71">
        <f t="shared" ref="P158" si="310">+SUM(P147:P157)</f>
        <v>100</v>
      </c>
      <c r="Q158" s="71">
        <f t="shared" ref="Q158" si="311">+SUM(Q147:Q157)</f>
        <v>100</v>
      </c>
      <c r="R158" s="71">
        <f t="shared" ref="R158" si="312">+SUM(R147:R157)</f>
        <v>100</v>
      </c>
      <c r="S158" s="71">
        <f t="shared" ref="S158" si="313">+SUM(S147:S157)</f>
        <v>100</v>
      </c>
      <c r="T158" s="71">
        <f t="shared" ref="T158" si="314">+SUM(T147:T157)</f>
        <v>100</v>
      </c>
      <c r="U158" s="71">
        <f t="shared" ref="U158" si="315">+SUM(U147:U157)</f>
        <v>100</v>
      </c>
      <c r="V158" s="71">
        <f t="shared" ref="V158" si="316">+SUM(V147:V157)</f>
        <v>100</v>
      </c>
      <c r="W158" s="71">
        <f t="shared" ref="W158" si="317">+SUM(W147:W157)</f>
        <v>100</v>
      </c>
      <c r="X158" s="71">
        <f t="shared" ref="X158" si="318">+SUM(X147:X157)</f>
        <v>100</v>
      </c>
      <c r="Y158" s="71">
        <f t="shared" ref="Y158" si="319">+SUM(Y147:Y157)</f>
        <v>100</v>
      </c>
      <c r="Z158" s="71">
        <f t="shared" ref="Z158" si="320">+SUM(Z147:Z157)</f>
        <v>100</v>
      </c>
      <c r="AA158" s="71">
        <f t="shared" ref="AA158" si="321">+SUM(AA147:AA157)</f>
        <v>100</v>
      </c>
      <c r="AB158" s="71">
        <f t="shared" ref="AB158" si="322">+SUM(AB147:AB157)</f>
        <v>100</v>
      </c>
      <c r="AC158" s="71">
        <f t="shared" ref="AC158" si="323">+SUM(AC147:AC157)</f>
        <v>100</v>
      </c>
      <c r="AD158" s="71">
        <f t="shared" ref="AD158" si="324">+SUM(AD147:AD157)</f>
        <v>100</v>
      </c>
      <c r="AE158" s="71">
        <f t="shared" ref="AE158" si="325">+SUM(AE147:AE157)</f>
        <v>100</v>
      </c>
      <c r="AF158" s="71">
        <f t="shared" ref="AF158" si="326">+SUM(AF147:AF157)</f>
        <v>100</v>
      </c>
      <c r="AG158" s="71">
        <f t="shared" ref="AG158" si="327">+SUM(AG147:AG157)</f>
        <v>100</v>
      </c>
      <c r="AH158" s="71">
        <f t="shared" ref="AH158" si="328">+SUM(AH147:AH157)</f>
        <v>100</v>
      </c>
      <c r="AI158" s="71">
        <f t="shared" ref="AI158" si="329">+SUM(AI147:AI157)</f>
        <v>100</v>
      </c>
      <c r="AJ158" s="71">
        <f t="shared" ref="AJ158" si="330">+SUM(AJ147:AJ157)</f>
        <v>100</v>
      </c>
    </row>
    <row r="159" spans="1:36" s="68" customFormat="1" ht="15.6" x14ac:dyDescent="0.3">
      <c r="A159" s="66" t="s">
        <v>776</v>
      </c>
      <c r="B159" s="67"/>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row>
    <row r="160" spans="1:36" x14ac:dyDescent="0.3">
      <c r="A160" s="69" t="s">
        <v>569</v>
      </c>
      <c r="B160" t="s">
        <v>305</v>
      </c>
      <c r="C160" s="24">
        <v>71</v>
      </c>
      <c r="D160" s="24">
        <v>71</v>
      </c>
      <c r="E160" s="24">
        <v>71</v>
      </c>
      <c r="F160" s="24">
        <v>71</v>
      </c>
      <c r="G160" s="24">
        <v>71</v>
      </c>
      <c r="H160" s="24">
        <v>71</v>
      </c>
      <c r="I160" s="24">
        <v>71</v>
      </c>
      <c r="J160" s="24">
        <v>71</v>
      </c>
      <c r="K160" s="24">
        <v>71</v>
      </c>
      <c r="L160" s="24">
        <v>71</v>
      </c>
      <c r="M160" s="24">
        <v>71</v>
      </c>
      <c r="N160" s="24">
        <v>71</v>
      </c>
      <c r="O160" s="24">
        <v>71</v>
      </c>
      <c r="P160" s="24">
        <v>71</v>
      </c>
      <c r="Q160" s="24">
        <v>71</v>
      </c>
      <c r="R160" s="24">
        <v>71</v>
      </c>
      <c r="S160" s="24">
        <v>71</v>
      </c>
      <c r="T160" s="24">
        <v>71</v>
      </c>
      <c r="U160" s="24">
        <v>71</v>
      </c>
      <c r="V160" s="24">
        <v>71</v>
      </c>
      <c r="W160" s="24">
        <v>71</v>
      </c>
      <c r="X160" s="24">
        <v>71</v>
      </c>
      <c r="Y160" s="24">
        <v>71</v>
      </c>
      <c r="Z160" s="24">
        <v>71</v>
      </c>
      <c r="AA160" s="24">
        <v>71</v>
      </c>
      <c r="AB160" s="24">
        <v>71</v>
      </c>
      <c r="AC160" s="24">
        <v>71</v>
      </c>
      <c r="AD160" s="24">
        <v>71</v>
      </c>
      <c r="AE160" s="24">
        <v>71</v>
      </c>
      <c r="AF160" s="24">
        <v>71</v>
      </c>
      <c r="AG160" s="24">
        <v>71</v>
      </c>
      <c r="AH160" s="24">
        <v>71</v>
      </c>
      <c r="AI160" s="24">
        <v>71</v>
      </c>
      <c r="AJ160" s="24">
        <v>71</v>
      </c>
    </row>
    <row r="161" spans="1:36" x14ac:dyDescent="0.3">
      <c r="A161" s="69" t="s">
        <v>570</v>
      </c>
      <c r="B161" t="s">
        <v>305</v>
      </c>
      <c r="C161" s="24">
        <v>11</v>
      </c>
      <c r="D161" s="24">
        <v>11</v>
      </c>
      <c r="E161" s="24">
        <v>11</v>
      </c>
      <c r="F161" s="24">
        <v>11</v>
      </c>
      <c r="G161" s="24">
        <v>11</v>
      </c>
      <c r="H161" s="24">
        <v>11</v>
      </c>
      <c r="I161" s="24">
        <v>11</v>
      </c>
      <c r="J161" s="24">
        <v>11</v>
      </c>
      <c r="K161" s="24">
        <v>11</v>
      </c>
      <c r="L161" s="24">
        <v>11</v>
      </c>
      <c r="M161" s="24">
        <v>11</v>
      </c>
      <c r="N161" s="24">
        <v>11</v>
      </c>
      <c r="O161" s="24">
        <v>11</v>
      </c>
      <c r="P161" s="24">
        <v>11</v>
      </c>
      <c r="Q161" s="24">
        <v>11</v>
      </c>
      <c r="R161" s="24">
        <v>11</v>
      </c>
      <c r="S161" s="24">
        <v>11</v>
      </c>
      <c r="T161" s="24">
        <v>11</v>
      </c>
      <c r="U161" s="24">
        <v>11</v>
      </c>
      <c r="V161" s="24">
        <v>11</v>
      </c>
      <c r="W161" s="24">
        <v>11</v>
      </c>
      <c r="X161" s="24">
        <v>11</v>
      </c>
      <c r="Y161" s="24">
        <v>11</v>
      </c>
      <c r="Z161" s="24">
        <v>11</v>
      </c>
      <c r="AA161" s="24">
        <v>11</v>
      </c>
      <c r="AB161" s="24">
        <v>11</v>
      </c>
      <c r="AC161" s="24">
        <v>11</v>
      </c>
      <c r="AD161" s="24">
        <v>11</v>
      </c>
      <c r="AE161" s="24">
        <v>11</v>
      </c>
      <c r="AF161" s="24">
        <v>11</v>
      </c>
      <c r="AG161" s="24">
        <v>11</v>
      </c>
      <c r="AH161" s="24">
        <v>11</v>
      </c>
      <c r="AI161" s="24">
        <v>11</v>
      </c>
      <c r="AJ161" s="24">
        <v>11</v>
      </c>
    </row>
    <row r="162" spans="1:36" x14ac:dyDescent="0.3">
      <c r="A162" s="69" t="s">
        <v>571</v>
      </c>
      <c r="B162" t="s">
        <v>305</v>
      </c>
      <c r="C162" s="24">
        <v>13</v>
      </c>
      <c r="D162" s="24">
        <v>13</v>
      </c>
      <c r="E162" s="24">
        <v>13</v>
      </c>
      <c r="F162" s="24">
        <v>13</v>
      </c>
      <c r="G162" s="24">
        <v>13</v>
      </c>
      <c r="H162" s="24">
        <v>13</v>
      </c>
      <c r="I162" s="24">
        <v>13</v>
      </c>
      <c r="J162" s="24">
        <v>13</v>
      </c>
      <c r="K162" s="24">
        <v>13</v>
      </c>
      <c r="L162" s="24">
        <v>13</v>
      </c>
      <c r="M162" s="24">
        <v>13</v>
      </c>
      <c r="N162" s="24">
        <v>13</v>
      </c>
      <c r="O162" s="24">
        <v>13</v>
      </c>
      <c r="P162" s="24">
        <v>13</v>
      </c>
      <c r="Q162" s="24">
        <v>13</v>
      </c>
      <c r="R162" s="24">
        <v>13</v>
      </c>
      <c r="S162" s="24">
        <v>13</v>
      </c>
      <c r="T162" s="24">
        <v>13</v>
      </c>
      <c r="U162" s="24">
        <v>13</v>
      </c>
      <c r="V162" s="24">
        <v>13</v>
      </c>
      <c r="W162" s="24">
        <v>13</v>
      </c>
      <c r="X162" s="24">
        <v>13</v>
      </c>
      <c r="Y162" s="24">
        <v>13</v>
      </c>
      <c r="Z162" s="24">
        <v>13</v>
      </c>
      <c r="AA162" s="24">
        <v>13</v>
      </c>
      <c r="AB162" s="24">
        <v>13</v>
      </c>
      <c r="AC162" s="24">
        <v>13</v>
      </c>
      <c r="AD162" s="24">
        <v>13</v>
      </c>
      <c r="AE162" s="24">
        <v>13</v>
      </c>
      <c r="AF162" s="24">
        <v>13</v>
      </c>
      <c r="AG162" s="24">
        <v>13</v>
      </c>
      <c r="AH162" s="24">
        <v>13</v>
      </c>
      <c r="AI162" s="24">
        <v>13</v>
      </c>
      <c r="AJ162" s="24">
        <v>13</v>
      </c>
    </row>
    <row r="163" spans="1:36" x14ac:dyDescent="0.3">
      <c r="A163" s="69" t="s">
        <v>572</v>
      </c>
      <c r="B163" t="s">
        <v>305</v>
      </c>
      <c r="C163" s="24">
        <v>0</v>
      </c>
      <c r="D163" s="24">
        <v>0</v>
      </c>
      <c r="E163" s="24">
        <v>0</v>
      </c>
      <c r="F163" s="24">
        <v>0</v>
      </c>
      <c r="G163" s="24">
        <v>0</v>
      </c>
      <c r="H163" s="24">
        <v>0</v>
      </c>
      <c r="I163" s="24">
        <v>0</v>
      </c>
      <c r="J163" s="24">
        <v>0</v>
      </c>
      <c r="K163" s="24">
        <v>0</v>
      </c>
      <c r="L163" s="24">
        <v>0</v>
      </c>
      <c r="M163" s="24">
        <v>0</v>
      </c>
      <c r="N163" s="24">
        <v>0</v>
      </c>
      <c r="O163" s="24">
        <v>0</v>
      </c>
      <c r="P163" s="24">
        <v>0</v>
      </c>
      <c r="Q163" s="24">
        <v>0</v>
      </c>
      <c r="R163" s="24">
        <v>0</v>
      </c>
      <c r="S163" s="24">
        <v>0</v>
      </c>
      <c r="T163" s="24">
        <v>0</v>
      </c>
      <c r="U163" s="24">
        <v>0</v>
      </c>
      <c r="V163" s="24">
        <v>0</v>
      </c>
      <c r="W163" s="24">
        <v>0</v>
      </c>
      <c r="X163" s="24">
        <v>0</v>
      </c>
      <c r="Y163" s="24">
        <v>0</v>
      </c>
      <c r="Z163" s="24">
        <v>0</v>
      </c>
      <c r="AA163" s="24">
        <v>0</v>
      </c>
      <c r="AB163" s="24">
        <v>0</v>
      </c>
      <c r="AC163" s="24">
        <v>0</v>
      </c>
      <c r="AD163" s="24">
        <v>0</v>
      </c>
      <c r="AE163" s="24">
        <v>0</v>
      </c>
      <c r="AF163" s="24">
        <v>0</v>
      </c>
      <c r="AG163" s="24">
        <v>0</v>
      </c>
      <c r="AH163" s="24">
        <v>0</v>
      </c>
      <c r="AI163" s="24">
        <v>0</v>
      </c>
      <c r="AJ163" s="24">
        <v>0</v>
      </c>
    </row>
    <row r="164" spans="1:36" x14ac:dyDescent="0.3">
      <c r="A164" s="69" t="s">
        <v>573</v>
      </c>
      <c r="B164" t="s">
        <v>305</v>
      </c>
      <c r="C164" s="24">
        <v>3</v>
      </c>
      <c r="D164" s="24">
        <v>3</v>
      </c>
      <c r="E164" s="24">
        <v>3</v>
      </c>
      <c r="F164" s="24">
        <v>3</v>
      </c>
      <c r="G164" s="24">
        <v>3</v>
      </c>
      <c r="H164" s="24">
        <v>3</v>
      </c>
      <c r="I164" s="24">
        <v>3</v>
      </c>
      <c r="J164" s="24">
        <v>3</v>
      </c>
      <c r="K164" s="24">
        <v>3</v>
      </c>
      <c r="L164" s="24">
        <v>3</v>
      </c>
      <c r="M164" s="24">
        <v>3</v>
      </c>
      <c r="N164" s="24">
        <v>3</v>
      </c>
      <c r="O164" s="24">
        <v>3</v>
      </c>
      <c r="P164" s="24">
        <v>3</v>
      </c>
      <c r="Q164" s="24">
        <v>3</v>
      </c>
      <c r="R164" s="24">
        <v>3</v>
      </c>
      <c r="S164" s="24">
        <v>3</v>
      </c>
      <c r="T164" s="24">
        <v>3</v>
      </c>
      <c r="U164" s="24">
        <v>3</v>
      </c>
      <c r="V164" s="24">
        <v>3</v>
      </c>
      <c r="W164" s="24">
        <v>3</v>
      </c>
      <c r="X164" s="24">
        <v>3</v>
      </c>
      <c r="Y164" s="24">
        <v>3</v>
      </c>
      <c r="Z164" s="24">
        <v>3</v>
      </c>
      <c r="AA164" s="24">
        <v>3</v>
      </c>
      <c r="AB164" s="24">
        <v>3</v>
      </c>
      <c r="AC164" s="24">
        <v>3</v>
      </c>
      <c r="AD164" s="24">
        <v>3</v>
      </c>
      <c r="AE164" s="24">
        <v>3</v>
      </c>
      <c r="AF164" s="24">
        <v>3</v>
      </c>
      <c r="AG164" s="24">
        <v>3</v>
      </c>
      <c r="AH164" s="24">
        <v>3</v>
      </c>
      <c r="AI164" s="24">
        <v>3</v>
      </c>
      <c r="AJ164" s="24">
        <v>3</v>
      </c>
    </row>
    <row r="165" spans="1:36" x14ac:dyDescent="0.3">
      <c r="A165" s="69" t="s">
        <v>574</v>
      </c>
      <c r="B165" t="s">
        <v>305</v>
      </c>
      <c r="C165" s="24">
        <v>2</v>
      </c>
      <c r="D165" s="24">
        <v>2</v>
      </c>
      <c r="E165" s="24">
        <v>2</v>
      </c>
      <c r="F165" s="24">
        <v>2</v>
      </c>
      <c r="G165" s="24">
        <v>2</v>
      </c>
      <c r="H165" s="24">
        <v>2</v>
      </c>
      <c r="I165" s="24">
        <v>2</v>
      </c>
      <c r="J165" s="24">
        <v>2</v>
      </c>
      <c r="K165" s="24">
        <v>2</v>
      </c>
      <c r="L165" s="24">
        <v>2</v>
      </c>
      <c r="M165" s="24">
        <v>2</v>
      </c>
      <c r="N165" s="24">
        <v>2</v>
      </c>
      <c r="O165" s="24">
        <v>2</v>
      </c>
      <c r="P165" s="24">
        <v>2</v>
      </c>
      <c r="Q165" s="24">
        <v>2</v>
      </c>
      <c r="R165" s="24">
        <v>2</v>
      </c>
      <c r="S165" s="24">
        <v>2</v>
      </c>
      <c r="T165" s="24">
        <v>2</v>
      </c>
      <c r="U165" s="24">
        <v>2</v>
      </c>
      <c r="V165" s="24">
        <v>2</v>
      </c>
      <c r="W165" s="24">
        <v>2</v>
      </c>
      <c r="X165" s="24">
        <v>2</v>
      </c>
      <c r="Y165" s="24">
        <v>2</v>
      </c>
      <c r="Z165" s="24">
        <v>2</v>
      </c>
      <c r="AA165" s="24">
        <v>2</v>
      </c>
      <c r="AB165" s="24">
        <v>2</v>
      </c>
      <c r="AC165" s="24">
        <v>2</v>
      </c>
      <c r="AD165" s="24">
        <v>2</v>
      </c>
      <c r="AE165" s="24">
        <v>2</v>
      </c>
      <c r="AF165" s="24">
        <v>2</v>
      </c>
      <c r="AG165" s="24">
        <v>2</v>
      </c>
      <c r="AH165" s="24">
        <v>2</v>
      </c>
      <c r="AI165" s="24">
        <v>2</v>
      </c>
      <c r="AJ165" s="24">
        <v>2</v>
      </c>
    </row>
    <row r="166" spans="1:36" x14ac:dyDescent="0.3">
      <c r="A166" s="69" t="s">
        <v>575</v>
      </c>
      <c r="B166" t="s">
        <v>305</v>
      </c>
      <c r="C166" s="24">
        <v>0</v>
      </c>
      <c r="D166" s="24">
        <v>0</v>
      </c>
      <c r="E166" s="24">
        <v>0</v>
      </c>
      <c r="F166" s="24">
        <v>0</v>
      </c>
      <c r="G166" s="24">
        <v>0</v>
      </c>
      <c r="H166" s="24">
        <v>0</v>
      </c>
      <c r="I166" s="24">
        <v>0</v>
      </c>
      <c r="J166" s="24">
        <v>0</v>
      </c>
      <c r="K166" s="24">
        <v>0</v>
      </c>
      <c r="L166" s="24">
        <v>0</v>
      </c>
      <c r="M166" s="24">
        <v>0</v>
      </c>
      <c r="N166" s="24">
        <v>0</v>
      </c>
      <c r="O166" s="24">
        <v>0</v>
      </c>
      <c r="P166" s="24">
        <v>0</v>
      </c>
      <c r="Q166" s="24">
        <v>0</v>
      </c>
      <c r="R166" s="24">
        <v>0</v>
      </c>
      <c r="S166" s="24">
        <v>0</v>
      </c>
      <c r="T166" s="24">
        <v>0</v>
      </c>
      <c r="U166" s="24">
        <v>0</v>
      </c>
      <c r="V166" s="24">
        <v>0</v>
      </c>
      <c r="W166" s="24">
        <v>0</v>
      </c>
      <c r="X166" s="24">
        <v>0</v>
      </c>
      <c r="Y166" s="24">
        <v>0</v>
      </c>
      <c r="Z166" s="24">
        <v>0</v>
      </c>
      <c r="AA166" s="24">
        <v>0</v>
      </c>
      <c r="AB166" s="24">
        <v>0</v>
      </c>
      <c r="AC166" s="24">
        <v>0</v>
      </c>
      <c r="AD166" s="24">
        <v>0</v>
      </c>
      <c r="AE166" s="24">
        <v>0</v>
      </c>
      <c r="AF166" s="24">
        <v>0</v>
      </c>
      <c r="AG166" s="24">
        <v>0</v>
      </c>
      <c r="AH166" s="24">
        <v>0</v>
      </c>
      <c r="AI166" s="24">
        <v>0</v>
      </c>
      <c r="AJ166" s="24">
        <v>0</v>
      </c>
    </row>
    <row r="167" spans="1:36" x14ac:dyDescent="0.3">
      <c r="A167" s="69" t="s">
        <v>576</v>
      </c>
      <c r="B167" t="s">
        <v>305</v>
      </c>
      <c r="C167" s="24">
        <v>0</v>
      </c>
      <c r="D167" s="24">
        <v>0</v>
      </c>
      <c r="E167" s="24">
        <v>0</v>
      </c>
      <c r="F167" s="24">
        <v>0</v>
      </c>
      <c r="G167" s="24">
        <v>0</v>
      </c>
      <c r="H167" s="24">
        <v>0</v>
      </c>
      <c r="I167" s="24">
        <v>0</v>
      </c>
      <c r="J167" s="24">
        <v>0</v>
      </c>
      <c r="K167" s="24">
        <v>0</v>
      </c>
      <c r="L167" s="24">
        <v>0</v>
      </c>
      <c r="M167" s="24">
        <v>0</v>
      </c>
      <c r="N167" s="24">
        <v>0</v>
      </c>
      <c r="O167" s="24">
        <v>0</v>
      </c>
      <c r="P167" s="24">
        <v>0</v>
      </c>
      <c r="Q167" s="24">
        <v>0</v>
      </c>
      <c r="R167" s="24">
        <v>0</v>
      </c>
      <c r="S167" s="24">
        <v>0</v>
      </c>
      <c r="T167" s="24">
        <v>0</v>
      </c>
      <c r="U167" s="24">
        <v>0</v>
      </c>
      <c r="V167" s="24">
        <v>0</v>
      </c>
      <c r="W167" s="24">
        <v>0</v>
      </c>
      <c r="X167" s="24">
        <v>0</v>
      </c>
      <c r="Y167" s="24">
        <v>0</v>
      </c>
      <c r="Z167" s="24">
        <v>0</v>
      </c>
      <c r="AA167" s="24">
        <v>0</v>
      </c>
      <c r="AB167" s="24">
        <v>0</v>
      </c>
      <c r="AC167" s="24">
        <v>0</v>
      </c>
      <c r="AD167" s="24">
        <v>0</v>
      </c>
      <c r="AE167" s="24">
        <v>0</v>
      </c>
      <c r="AF167" s="24">
        <v>0</v>
      </c>
      <c r="AG167" s="24">
        <v>0</v>
      </c>
      <c r="AH167" s="24">
        <v>0</v>
      </c>
      <c r="AI167" s="24">
        <v>0</v>
      </c>
      <c r="AJ167" s="24">
        <v>0</v>
      </c>
    </row>
    <row r="168" spans="1:36" x14ac:dyDescent="0.3">
      <c r="A168" s="69" t="s">
        <v>577</v>
      </c>
      <c r="B168" t="s">
        <v>305</v>
      </c>
      <c r="C168" s="24">
        <v>0</v>
      </c>
      <c r="D168" s="24">
        <v>0</v>
      </c>
      <c r="E168" s="24">
        <v>0</v>
      </c>
      <c r="F168" s="24">
        <v>0</v>
      </c>
      <c r="G168" s="24">
        <v>0</v>
      </c>
      <c r="H168" s="24">
        <v>0</v>
      </c>
      <c r="I168" s="24">
        <v>0</v>
      </c>
      <c r="J168" s="24">
        <v>0</v>
      </c>
      <c r="K168" s="24">
        <v>0</v>
      </c>
      <c r="L168" s="24">
        <v>0</v>
      </c>
      <c r="M168" s="24">
        <v>0</v>
      </c>
      <c r="N168" s="24">
        <v>0</v>
      </c>
      <c r="O168" s="24">
        <v>0</v>
      </c>
      <c r="P168" s="24">
        <v>0</v>
      </c>
      <c r="Q168" s="24">
        <v>0</v>
      </c>
      <c r="R168" s="24">
        <v>0</v>
      </c>
      <c r="S168" s="24">
        <v>0</v>
      </c>
      <c r="T168" s="24">
        <v>0</v>
      </c>
      <c r="U168" s="24">
        <v>0</v>
      </c>
      <c r="V168" s="24">
        <v>0</v>
      </c>
      <c r="W168" s="24">
        <v>0</v>
      </c>
      <c r="X168" s="24">
        <v>0</v>
      </c>
      <c r="Y168" s="24">
        <v>0</v>
      </c>
      <c r="Z168" s="24">
        <v>0</v>
      </c>
      <c r="AA168" s="24">
        <v>0</v>
      </c>
      <c r="AB168" s="24">
        <v>0</v>
      </c>
      <c r="AC168" s="24">
        <v>0</v>
      </c>
      <c r="AD168" s="24">
        <v>0</v>
      </c>
      <c r="AE168" s="24">
        <v>0</v>
      </c>
      <c r="AF168" s="24">
        <v>0</v>
      </c>
      <c r="AG168" s="24">
        <v>0</v>
      </c>
      <c r="AH168" s="24">
        <v>0</v>
      </c>
      <c r="AI168" s="24">
        <v>0</v>
      </c>
      <c r="AJ168" s="24">
        <v>0</v>
      </c>
    </row>
    <row r="169" spans="1:36" x14ac:dyDescent="0.3">
      <c r="A169" s="69" t="s">
        <v>578</v>
      </c>
      <c r="B169" t="s">
        <v>305</v>
      </c>
      <c r="C169" s="24">
        <v>0</v>
      </c>
      <c r="D169" s="24">
        <v>0</v>
      </c>
      <c r="E169" s="24">
        <v>0</v>
      </c>
      <c r="F169" s="24">
        <v>0</v>
      </c>
      <c r="G169" s="24">
        <v>0</v>
      </c>
      <c r="H169" s="24">
        <v>0</v>
      </c>
      <c r="I169" s="24">
        <v>0</v>
      </c>
      <c r="J169" s="24">
        <v>0</v>
      </c>
      <c r="K169" s="24">
        <v>0</v>
      </c>
      <c r="L169" s="24">
        <v>0</v>
      </c>
      <c r="M169" s="24">
        <v>0</v>
      </c>
      <c r="N169" s="24">
        <v>0</v>
      </c>
      <c r="O169" s="24">
        <v>0</v>
      </c>
      <c r="P169" s="24">
        <v>0</v>
      </c>
      <c r="Q169" s="24">
        <v>0</v>
      </c>
      <c r="R169" s="24">
        <v>0</v>
      </c>
      <c r="S169" s="24">
        <v>0</v>
      </c>
      <c r="T169" s="24">
        <v>0</v>
      </c>
      <c r="U169" s="24">
        <v>0</v>
      </c>
      <c r="V169" s="24">
        <v>0</v>
      </c>
      <c r="W169" s="24">
        <v>0</v>
      </c>
      <c r="X169" s="24">
        <v>0</v>
      </c>
      <c r="Y169" s="24">
        <v>0</v>
      </c>
      <c r="Z169" s="24">
        <v>0</v>
      </c>
      <c r="AA169" s="24">
        <v>0</v>
      </c>
      <c r="AB169" s="24">
        <v>0</v>
      </c>
      <c r="AC169" s="24">
        <v>0</v>
      </c>
      <c r="AD169" s="24">
        <v>0</v>
      </c>
      <c r="AE169" s="24">
        <v>0</v>
      </c>
      <c r="AF169" s="24">
        <v>0</v>
      </c>
      <c r="AG169" s="24">
        <v>0</v>
      </c>
      <c r="AH169" s="24">
        <v>0</v>
      </c>
      <c r="AI169" s="24">
        <v>0</v>
      </c>
      <c r="AJ169" s="24">
        <v>0</v>
      </c>
    </row>
    <row r="170" spans="1:36" x14ac:dyDescent="0.3">
      <c r="A170" s="69" t="s">
        <v>763</v>
      </c>
      <c r="B170" t="s">
        <v>305</v>
      </c>
      <c r="C170" s="24">
        <v>0</v>
      </c>
      <c r="D170" s="24">
        <v>0</v>
      </c>
      <c r="E170" s="24">
        <v>0</v>
      </c>
      <c r="F170" s="24">
        <v>0</v>
      </c>
      <c r="G170" s="24">
        <v>0</v>
      </c>
      <c r="H170" s="24">
        <v>0</v>
      </c>
      <c r="I170" s="24">
        <v>0</v>
      </c>
      <c r="J170" s="24">
        <v>0</v>
      </c>
      <c r="K170" s="24">
        <v>0</v>
      </c>
      <c r="L170" s="24">
        <v>0</v>
      </c>
      <c r="M170" s="24">
        <v>0</v>
      </c>
      <c r="N170" s="24">
        <v>0</v>
      </c>
      <c r="O170" s="24">
        <v>0</v>
      </c>
      <c r="P170" s="24">
        <v>0</v>
      </c>
      <c r="Q170" s="24">
        <v>0</v>
      </c>
      <c r="R170" s="24">
        <v>0</v>
      </c>
      <c r="S170" s="24">
        <v>0</v>
      </c>
      <c r="T170" s="24">
        <v>0</v>
      </c>
      <c r="U170" s="24">
        <v>0</v>
      </c>
      <c r="V170" s="24">
        <v>0</v>
      </c>
      <c r="W170" s="24">
        <v>0</v>
      </c>
      <c r="X170" s="24">
        <v>0</v>
      </c>
      <c r="Y170" s="24">
        <v>0</v>
      </c>
      <c r="Z170" s="24">
        <v>0</v>
      </c>
      <c r="AA170" s="24">
        <v>0</v>
      </c>
      <c r="AB170" s="24">
        <v>0</v>
      </c>
      <c r="AC170" s="24">
        <v>0</v>
      </c>
      <c r="AD170" s="24">
        <v>0</v>
      </c>
      <c r="AE170" s="24">
        <v>0</v>
      </c>
      <c r="AF170" s="24">
        <v>0</v>
      </c>
      <c r="AG170" s="24">
        <v>0</v>
      </c>
      <c r="AH170" s="24">
        <v>0</v>
      </c>
      <c r="AI170" s="24">
        <v>0</v>
      </c>
      <c r="AJ170" s="24">
        <v>0</v>
      </c>
    </row>
    <row r="171" spans="1:36" s="70" customFormat="1" x14ac:dyDescent="0.3">
      <c r="A171" s="70" t="s">
        <v>780</v>
      </c>
      <c r="C171" s="71">
        <f>+SUM(C160:C170)</f>
        <v>100</v>
      </c>
      <c r="D171" s="71">
        <f t="shared" ref="D171" si="331">+SUM(D160:D170)</f>
        <v>100</v>
      </c>
      <c r="E171" s="71">
        <f t="shared" ref="E171" si="332">+SUM(E160:E170)</f>
        <v>100</v>
      </c>
      <c r="F171" s="71">
        <f t="shared" ref="F171" si="333">+SUM(F160:F170)</f>
        <v>100</v>
      </c>
      <c r="G171" s="71">
        <f t="shared" ref="G171" si="334">+SUM(G160:G170)</f>
        <v>100</v>
      </c>
      <c r="H171" s="71">
        <f t="shared" ref="H171" si="335">+SUM(H160:H170)</f>
        <v>100</v>
      </c>
      <c r="I171" s="71">
        <f t="shared" ref="I171" si="336">+SUM(I160:I170)</f>
        <v>100</v>
      </c>
      <c r="J171" s="71">
        <f t="shared" ref="J171" si="337">+SUM(J160:J170)</f>
        <v>100</v>
      </c>
      <c r="K171" s="71">
        <f t="shared" ref="K171" si="338">+SUM(K160:K170)</f>
        <v>100</v>
      </c>
      <c r="L171" s="71">
        <f t="shared" ref="L171" si="339">+SUM(L160:L170)</f>
        <v>100</v>
      </c>
      <c r="M171" s="71">
        <f t="shared" ref="M171" si="340">+SUM(M160:M170)</f>
        <v>100</v>
      </c>
      <c r="N171" s="71">
        <f t="shared" ref="N171" si="341">+SUM(N160:N170)</f>
        <v>100</v>
      </c>
      <c r="O171" s="71">
        <f t="shared" ref="O171" si="342">+SUM(O160:O170)</f>
        <v>100</v>
      </c>
      <c r="P171" s="71">
        <f t="shared" ref="P171" si="343">+SUM(P160:P170)</f>
        <v>100</v>
      </c>
      <c r="Q171" s="71">
        <f t="shared" ref="Q171" si="344">+SUM(Q160:Q170)</f>
        <v>100</v>
      </c>
      <c r="R171" s="71">
        <f t="shared" ref="R171" si="345">+SUM(R160:R170)</f>
        <v>100</v>
      </c>
      <c r="S171" s="71">
        <f t="shared" ref="S171" si="346">+SUM(S160:S170)</f>
        <v>100</v>
      </c>
      <c r="T171" s="71">
        <f t="shared" ref="T171" si="347">+SUM(T160:T170)</f>
        <v>100</v>
      </c>
      <c r="U171" s="71">
        <f t="shared" ref="U171" si="348">+SUM(U160:U170)</f>
        <v>100</v>
      </c>
      <c r="V171" s="71">
        <f t="shared" ref="V171" si="349">+SUM(V160:V170)</f>
        <v>100</v>
      </c>
      <c r="W171" s="71">
        <f t="shared" ref="W171" si="350">+SUM(W160:W170)</f>
        <v>100</v>
      </c>
      <c r="X171" s="71">
        <f t="shared" ref="X171" si="351">+SUM(X160:X170)</f>
        <v>100</v>
      </c>
      <c r="Y171" s="71">
        <f t="shared" ref="Y171" si="352">+SUM(Y160:Y170)</f>
        <v>100</v>
      </c>
      <c r="Z171" s="71">
        <f t="shared" ref="Z171" si="353">+SUM(Z160:Z170)</f>
        <v>100</v>
      </c>
      <c r="AA171" s="71">
        <f t="shared" ref="AA171" si="354">+SUM(AA160:AA170)</f>
        <v>100</v>
      </c>
      <c r="AB171" s="71">
        <f t="shared" ref="AB171" si="355">+SUM(AB160:AB170)</f>
        <v>100</v>
      </c>
      <c r="AC171" s="71">
        <f t="shared" ref="AC171" si="356">+SUM(AC160:AC170)</f>
        <v>100</v>
      </c>
      <c r="AD171" s="71">
        <f t="shared" ref="AD171" si="357">+SUM(AD160:AD170)</f>
        <v>100</v>
      </c>
      <c r="AE171" s="71">
        <f t="shared" ref="AE171" si="358">+SUM(AE160:AE170)</f>
        <v>100</v>
      </c>
      <c r="AF171" s="71">
        <f t="shared" ref="AF171" si="359">+SUM(AF160:AF170)</f>
        <v>100</v>
      </c>
      <c r="AG171" s="71">
        <f t="shared" ref="AG171" si="360">+SUM(AG160:AG170)</f>
        <v>100</v>
      </c>
      <c r="AH171" s="71">
        <f t="shared" ref="AH171" si="361">+SUM(AH160:AH170)</f>
        <v>100</v>
      </c>
      <c r="AI171" s="71">
        <f t="shared" ref="AI171" si="362">+SUM(AI160:AI170)</f>
        <v>100</v>
      </c>
      <c r="AJ171" s="71">
        <f t="shared" ref="AJ171" si="363">+SUM(AJ160:AJ170)</f>
        <v>100</v>
      </c>
    </row>
    <row r="172" spans="1:36" x14ac:dyDescent="0.3">
      <c r="A172" t="s">
        <v>579</v>
      </c>
      <c r="B172" t="s">
        <v>305</v>
      </c>
      <c r="C172" s="24">
        <v>25</v>
      </c>
      <c r="D172" s="24">
        <v>25</v>
      </c>
      <c r="E172" s="24">
        <v>25</v>
      </c>
      <c r="F172" s="24">
        <v>25</v>
      </c>
      <c r="G172" s="24">
        <v>25</v>
      </c>
      <c r="H172" s="24">
        <v>25</v>
      </c>
      <c r="I172" s="24">
        <v>25</v>
      </c>
      <c r="J172" s="24">
        <v>25</v>
      </c>
      <c r="K172" s="24">
        <v>25</v>
      </c>
      <c r="L172" s="24">
        <v>25</v>
      </c>
      <c r="M172" s="24">
        <v>25</v>
      </c>
      <c r="N172" s="24">
        <v>25</v>
      </c>
      <c r="O172" s="24">
        <v>25</v>
      </c>
      <c r="P172" s="24">
        <v>25</v>
      </c>
      <c r="Q172" s="24">
        <v>25</v>
      </c>
      <c r="R172" s="24">
        <v>25</v>
      </c>
      <c r="S172" s="24">
        <v>25</v>
      </c>
      <c r="T172" s="24">
        <v>25</v>
      </c>
      <c r="U172" s="24">
        <v>25</v>
      </c>
      <c r="V172" s="24">
        <v>25</v>
      </c>
      <c r="W172" s="24">
        <v>25</v>
      </c>
      <c r="X172" s="24">
        <v>25</v>
      </c>
      <c r="Y172" s="24">
        <v>25</v>
      </c>
      <c r="Z172" s="24">
        <v>25</v>
      </c>
      <c r="AA172" s="24">
        <v>25</v>
      </c>
      <c r="AB172" s="24">
        <v>25</v>
      </c>
      <c r="AC172" s="24">
        <v>25</v>
      </c>
      <c r="AD172" s="24">
        <v>25</v>
      </c>
      <c r="AE172" s="24">
        <v>25</v>
      </c>
      <c r="AF172" s="24">
        <v>25</v>
      </c>
      <c r="AG172" s="24">
        <v>25</v>
      </c>
      <c r="AH172" s="24">
        <v>25</v>
      </c>
      <c r="AI172" s="24">
        <v>25</v>
      </c>
      <c r="AJ172" s="24">
        <v>25</v>
      </c>
    </row>
    <row r="173" spans="1:36" x14ac:dyDescent="0.3">
      <c r="A173" t="s">
        <v>580</v>
      </c>
      <c r="B173" t="s">
        <v>305</v>
      </c>
      <c r="C173" s="24">
        <v>10</v>
      </c>
      <c r="D173" s="24">
        <v>10</v>
      </c>
      <c r="E173" s="24">
        <v>10</v>
      </c>
      <c r="F173" s="24">
        <v>10</v>
      </c>
      <c r="G173" s="24">
        <v>10</v>
      </c>
      <c r="H173" s="24">
        <v>10</v>
      </c>
      <c r="I173" s="24">
        <v>10</v>
      </c>
      <c r="J173" s="24">
        <v>10</v>
      </c>
      <c r="K173" s="24">
        <v>10</v>
      </c>
      <c r="L173" s="24">
        <v>10</v>
      </c>
      <c r="M173" s="24">
        <v>10</v>
      </c>
      <c r="N173" s="24">
        <v>10</v>
      </c>
      <c r="O173" s="24">
        <v>10</v>
      </c>
      <c r="P173" s="24">
        <v>10</v>
      </c>
      <c r="Q173" s="24">
        <v>10</v>
      </c>
      <c r="R173" s="24">
        <v>10</v>
      </c>
      <c r="S173" s="24">
        <v>10</v>
      </c>
      <c r="T173" s="24">
        <v>10</v>
      </c>
      <c r="U173" s="24">
        <v>10</v>
      </c>
      <c r="V173" s="24">
        <v>10</v>
      </c>
      <c r="W173" s="24">
        <v>10</v>
      </c>
      <c r="X173" s="24">
        <v>10</v>
      </c>
      <c r="Y173" s="24">
        <v>10</v>
      </c>
      <c r="Z173" s="24">
        <v>10</v>
      </c>
      <c r="AA173" s="24">
        <v>10</v>
      </c>
      <c r="AB173" s="24">
        <v>10</v>
      </c>
      <c r="AC173" s="24">
        <v>10</v>
      </c>
      <c r="AD173" s="24">
        <v>10</v>
      </c>
      <c r="AE173" s="24">
        <v>10</v>
      </c>
      <c r="AF173" s="24">
        <v>10</v>
      </c>
      <c r="AG173" s="24">
        <v>10</v>
      </c>
      <c r="AH173" s="24">
        <v>10</v>
      </c>
      <c r="AI173" s="24">
        <v>10</v>
      </c>
      <c r="AJ173" s="24">
        <v>10</v>
      </c>
    </row>
    <row r="174" spans="1:36" x14ac:dyDescent="0.3">
      <c r="A174" t="s">
        <v>581</v>
      </c>
      <c r="B174" t="s">
        <v>305</v>
      </c>
      <c r="C174" s="24">
        <v>35</v>
      </c>
      <c r="D174" s="24">
        <v>35</v>
      </c>
      <c r="E174" s="24">
        <v>35</v>
      </c>
      <c r="F174" s="24">
        <v>35</v>
      </c>
      <c r="G174" s="24">
        <v>35</v>
      </c>
      <c r="H174" s="24">
        <v>35</v>
      </c>
      <c r="I174" s="24">
        <v>35</v>
      </c>
      <c r="J174" s="24">
        <v>35</v>
      </c>
      <c r="K174" s="24">
        <v>35</v>
      </c>
      <c r="L174" s="24">
        <v>35</v>
      </c>
      <c r="M174" s="24">
        <v>35</v>
      </c>
      <c r="N174" s="24">
        <v>35</v>
      </c>
      <c r="O174" s="24">
        <v>35</v>
      </c>
      <c r="P174" s="24">
        <v>35</v>
      </c>
      <c r="Q174" s="24">
        <v>35</v>
      </c>
      <c r="R174" s="24">
        <v>35</v>
      </c>
      <c r="S174" s="24">
        <v>35</v>
      </c>
      <c r="T174" s="24">
        <v>35</v>
      </c>
      <c r="U174" s="24">
        <v>35</v>
      </c>
      <c r="V174" s="24">
        <v>35</v>
      </c>
      <c r="W174" s="24">
        <v>35</v>
      </c>
      <c r="X174" s="24">
        <v>35</v>
      </c>
      <c r="Y174" s="24">
        <v>35</v>
      </c>
      <c r="Z174" s="24">
        <v>35</v>
      </c>
      <c r="AA174" s="24">
        <v>35</v>
      </c>
      <c r="AB174" s="24">
        <v>35</v>
      </c>
      <c r="AC174" s="24">
        <v>35</v>
      </c>
      <c r="AD174" s="24">
        <v>35</v>
      </c>
      <c r="AE174" s="24">
        <v>35</v>
      </c>
      <c r="AF174" s="24">
        <v>35</v>
      </c>
      <c r="AG174" s="24">
        <v>35</v>
      </c>
      <c r="AH174" s="24">
        <v>35</v>
      </c>
      <c r="AI174" s="24">
        <v>35</v>
      </c>
      <c r="AJ174" s="24">
        <v>35</v>
      </c>
    </row>
    <row r="175" spans="1:36" x14ac:dyDescent="0.3">
      <c r="A175" t="s">
        <v>582</v>
      </c>
      <c r="B175" t="s">
        <v>305</v>
      </c>
      <c r="C175" s="24">
        <v>0</v>
      </c>
      <c r="D175" s="24">
        <v>0</v>
      </c>
      <c r="E175" s="24">
        <v>0</v>
      </c>
      <c r="F175" s="24">
        <v>0</v>
      </c>
      <c r="G175" s="24">
        <v>0</v>
      </c>
      <c r="H175" s="24">
        <v>0</v>
      </c>
      <c r="I175" s="24">
        <v>0</v>
      </c>
      <c r="J175" s="24">
        <v>0</v>
      </c>
      <c r="K175" s="24">
        <v>0</v>
      </c>
      <c r="L175" s="24">
        <v>0</v>
      </c>
      <c r="M175" s="24">
        <v>0</v>
      </c>
      <c r="N175" s="24">
        <v>0</v>
      </c>
      <c r="O175" s="24">
        <v>0</v>
      </c>
      <c r="P175" s="24">
        <v>0</v>
      </c>
      <c r="Q175" s="24">
        <v>0</v>
      </c>
      <c r="R175" s="24">
        <v>0</v>
      </c>
      <c r="S175" s="24">
        <v>0</v>
      </c>
      <c r="T175" s="24">
        <v>0</v>
      </c>
      <c r="U175" s="24">
        <v>0</v>
      </c>
      <c r="V175" s="24">
        <v>0</v>
      </c>
      <c r="W175" s="24">
        <v>0</v>
      </c>
      <c r="X175" s="24">
        <v>0</v>
      </c>
      <c r="Y175" s="24">
        <v>0</v>
      </c>
      <c r="Z175" s="24">
        <v>0</v>
      </c>
      <c r="AA175" s="24">
        <v>0</v>
      </c>
      <c r="AB175" s="24">
        <v>0</v>
      </c>
      <c r="AC175" s="24">
        <v>0</v>
      </c>
      <c r="AD175" s="24">
        <v>0</v>
      </c>
      <c r="AE175" s="24">
        <v>0</v>
      </c>
      <c r="AF175" s="24">
        <v>0</v>
      </c>
      <c r="AG175" s="24">
        <v>0</v>
      </c>
      <c r="AH175" s="24">
        <v>0</v>
      </c>
      <c r="AI175" s="24">
        <v>0</v>
      </c>
      <c r="AJ175" s="24">
        <v>0</v>
      </c>
    </row>
    <row r="176" spans="1:36" x14ac:dyDescent="0.3">
      <c r="A176" t="s">
        <v>583</v>
      </c>
      <c r="B176" t="s">
        <v>305</v>
      </c>
      <c r="C176" s="24">
        <v>28</v>
      </c>
      <c r="D176" s="24">
        <v>28</v>
      </c>
      <c r="E176" s="24">
        <v>28</v>
      </c>
      <c r="F176" s="24">
        <v>28</v>
      </c>
      <c r="G176" s="24">
        <v>28</v>
      </c>
      <c r="H176" s="24">
        <v>28</v>
      </c>
      <c r="I176" s="24">
        <v>28</v>
      </c>
      <c r="J176" s="24">
        <v>28</v>
      </c>
      <c r="K176" s="24">
        <v>28</v>
      </c>
      <c r="L176" s="24">
        <v>28</v>
      </c>
      <c r="M176" s="24">
        <v>28</v>
      </c>
      <c r="N176" s="24">
        <v>28</v>
      </c>
      <c r="O176" s="24">
        <v>28</v>
      </c>
      <c r="P176" s="24">
        <v>28</v>
      </c>
      <c r="Q176" s="24">
        <v>28</v>
      </c>
      <c r="R176" s="24">
        <v>28</v>
      </c>
      <c r="S176" s="24">
        <v>28</v>
      </c>
      <c r="T176" s="24">
        <v>28</v>
      </c>
      <c r="U176" s="24">
        <v>28</v>
      </c>
      <c r="V176" s="24">
        <v>28</v>
      </c>
      <c r="W176" s="24">
        <v>28</v>
      </c>
      <c r="X176" s="24">
        <v>28</v>
      </c>
      <c r="Y176" s="24">
        <v>28</v>
      </c>
      <c r="Z176" s="24">
        <v>28</v>
      </c>
      <c r="AA176" s="24">
        <v>28</v>
      </c>
      <c r="AB176" s="24">
        <v>28</v>
      </c>
      <c r="AC176" s="24">
        <v>28</v>
      </c>
      <c r="AD176" s="24">
        <v>28</v>
      </c>
      <c r="AE176" s="24">
        <v>28</v>
      </c>
      <c r="AF176" s="24">
        <v>28</v>
      </c>
      <c r="AG176" s="24">
        <v>28</v>
      </c>
      <c r="AH176" s="24">
        <v>28</v>
      </c>
      <c r="AI176" s="24">
        <v>28</v>
      </c>
      <c r="AJ176" s="24">
        <v>28</v>
      </c>
    </row>
    <row r="177" spans="1:36" x14ac:dyDescent="0.3">
      <c r="A177" t="s">
        <v>584</v>
      </c>
      <c r="B177" t="s">
        <v>305</v>
      </c>
      <c r="C177" s="24">
        <v>2</v>
      </c>
      <c r="D177" s="24">
        <v>2</v>
      </c>
      <c r="E177" s="24">
        <v>2</v>
      </c>
      <c r="F177" s="24">
        <v>2</v>
      </c>
      <c r="G177" s="24">
        <v>2</v>
      </c>
      <c r="H177" s="24">
        <v>2</v>
      </c>
      <c r="I177" s="24">
        <v>2</v>
      </c>
      <c r="J177" s="24">
        <v>2</v>
      </c>
      <c r="K177" s="24">
        <v>2</v>
      </c>
      <c r="L177" s="24">
        <v>2</v>
      </c>
      <c r="M177" s="24">
        <v>2</v>
      </c>
      <c r="N177" s="24">
        <v>2</v>
      </c>
      <c r="O177" s="24">
        <v>2</v>
      </c>
      <c r="P177" s="24">
        <v>2</v>
      </c>
      <c r="Q177" s="24">
        <v>2</v>
      </c>
      <c r="R177" s="24">
        <v>2</v>
      </c>
      <c r="S177" s="24">
        <v>2</v>
      </c>
      <c r="T177" s="24">
        <v>2</v>
      </c>
      <c r="U177" s="24">
        <v>2</v>
      </c>
      <c r="V177" s="24">
        <v>2</v>
      </c>
      <c r="W177" s="24">
        <v>2</v>
      </c>
      <c r="X177" s="24">
        <v>2</v>
      </c>
      <c r="Y177" s="24">
        <v>2</v>
      </c>
      <c r="Z177" s="24">
        <v>2</v>
      </c>
      <c r="AA177" s="24">
        <v>2</v>
      </c>
      <c r="AB177" s="24">
        <v>2</v>
      </c>
      <c r="AC177" s="24">
        <v>2</v>
      </c>
      <c r="AD177" s="24">
        <v>2</v>
      </c>
      <c r="AE177" s="24">
        <v>2</v>
      </c>
      <c r="AF177" s="24">
        <v>2</v>
      </c>
      <c r="AG177" s="24">
        <v>2</v>
      </c>
      <c r="AH177" s="24">
        <v>2</v>
      </c>
      <c r="AI177" s="24">
        <v>2</v>
      </c>
      <c r="AJ177" s="24">
        <v>2</v>
      </c>
    </row>
    <row r="178" spans="1:36" x14ac:dyDescent="0.3">
      <c r="A178" t="s">
        <v>585</v>
      </c>
      <c r="B178" t="s">
        <v>305</v>
      </c>
      <c r="C178" s="24">
        <v>0</v>
      </c>
      <c r="D178" s="24">
        <v>0</v>
      </c>
      <c r="E178" s="24">
        <v>0</v>
      </c>
      <c r="F178" s="24">
        <v>0</v>
      </c>
      <c r="G178" s="24">
        <v>0</v>
      </c>
      <c r="H178" s="24">
        <v>0</v>
      </c>
      <c r="I178" s="24">
        <v>0</v>
      </c>
      <c r="J178" s="24">
        <v>0</v>
      </c>
      <c r="K178" s="24">
        <v>0</v>
      </c>
      <c r="L178" s="24">
        <v>0</v>
      </c>
      <c r="M178" s="24">
        <v>0</v>
      </c>
      <c r="N178" s="24">
        <v>0</v>
      </c>
      <c r="O178" s="24">
        <v>0</v>
      </c>
      <c r="P178" s="24">
        <v>0</v>
      </c>
      <c r="Q178" s="24">
        <v>0</v>
      </c>
      <c r="R178" s="24">
        <v>0</v>
      </c>
      <c r="S178" s="24">
        <v>0</v>
      </c>
      <c r="T178" s="24">
        <v>0</v>
      </c>
      <c r="U178" s="24">
        <v>0</v>
      </c>
      <c r="V178" s="24">
        <v>0</v>
      </c>
      <c r="W178" s="24">
        <v>0</v>
      </c>
      <c r="X178" s="24">
        <v>0</v>
      </c>
      <c r="Y178" s="24">
        <v>0</v>
      </c>
      <c r="Z178" s="24">
        <v>0</v>
      </c>
      <c r="AA178" s="24">
        <v>0</v>
      </c>
      <c r="AB178" s="24">
        <v>0</v>
      </c>
      <c r="AC178" s="24">
        <v>0</v>
      </c>
      <c r="AD178" s="24">
        <v>0</v>
      </c>
      <c r="AE178" s="24">
        <v>0</v>
      </c>
      <c r="AF178" s="24">
        <v>0</v>
      </c>
      <c r="AG178" s="24">
        <v>0</v>
      </c>
      <c r="AH178" s="24">
        <v>0</v>
      </c>
      <c r="AI178" s="24">
        <v>0</v>
      </c>
      <c r="AJ178" s="24">
        <v>0</v>
      </c>
    </row>
    <row r="179" spans="1:36" x14ac:dyDescent="0.3">
      <c r="A179" t="s">
        <v>586</v>
      </c>
      <c r="B179" t="s">
        <v>305</v>
      </c>
      <c r="C179" s="24">
        <v>0</v>
      </c>
      <c r="D179" s="24">
        <v>0</v>
      </c>
      <c r="E179" s="24">
        <v>0</v>
      </c>
      <c r="F179" s="24">
        <v>0</v>
      </c>
      <c r="G179" s="24">
        <v>0</v>
      </c>
      <c r="H179" s="24">
        <v>0</v>
      </c>
      <c r="I179" s="24">
        <v>0</v>
      </c>
      <c r="J179" s="24">
        <v>0</v>
      </c>
      <c r="K179" s="24">
        <v>0</v>
      </c>
      <c r="L179" s="24">
        <v>0</v>
      </c>
      <c r="M179" s="24">
        <v>0</v>
      </c>
      <c r="N179" s="24">
        <v>0</v>
      </c>
      <c r="O179" s="24">
        <v>0</v>
      </c>
      <c r="P179" s="24">
        <v>0</v>
      </c>
      <c r="Q179" s="24">
        <v>0</v>
      </c>
      <c r="R179" s="24">
        <v>0</v>
      </c>
      <c r="S179" s="24">
        <v>0</v>
      </c>
      <c r="T179" s="24">
        <v>0</v>
      </c>
      <c r="U179" s="24">
        <v>0</v>
      </c>
      <c r="V179" s="24">
        <v>0</v>
      </c>
      <c r="W179" s="24">
        <v>0</v>
      </c>
      <c r="X179" s="24">
        <v>0</v>
      </c>
      <c r="Y179" s="24">
        <v>0</v>
      </c>
      <c r="Z179" s="24">
        <v>0</v>
      </c>
      <c r="AA179" s="24">
        <v>0</v>
      </c>
      <c r="AB179" s="24">
        <v>0</v>
      </c>
      <c r="AC179" s="24">
        <v>0</v>
      </c>
      <c r="AD179" s="24">
        <v>0</v>
      </c>
      <c r="AE179" s="24">
        <v>0</v>
      </c>
      <c r="AF179" s="24">
        <v>0</v>
      </c>
      <c r="AG179" s="24">
        <v>0</v>
      </c>
      <c r="AH179" s="24">
        <v>0</v>
      </c>
      <c r="AI179" s="24">
        <v>0</v>
      </c>
      <c r="AJ179" s="24">
        <v>0</v>
      </c>
    </row>
    <row r="180" spans="1:36" x14ac:dyDescent="0.3">
      <c r="A180" t="s">
        <v>587</v>
      </c>
      <c r="B180" t="s">
        <v>305</v>
      </c>
      <c r="C180" s="24">
        <v>0</v>
      </c>
      <c r="D180" s="24">
        <v>0</v>
      </c>
      <c r="E180" s="24">
        <v>0</v>
      </c>
      <c r="F180" s="24">
        <v>0</v>
      </c>
      <c r="G180" s="24">
        <v>0</v>
      </c>
      <c r="H180" s="24">
        <v>0</v>
      </c>
      <c r="I180" s="24">
        <v>0</v>
      </c>
      <c r="J180" s="24">
        <v>0</v>
      </c>
      <c r="K180" s="24">
        <v>0</v>
      </c>
      <c r="L180" s="24">
        <v>0</v>
      </c>
      <c r="M180" s="24">
        <v>0</v>
      </c>
      <c r="N180" s="24">
        <v>0</v>
      </c>
      <c r="O180" s="24">
        <v>0</v>
      </c>
      <c r="P180" s="24">
        <v>0</v>
      </c>
      <c r="Q180" s="24">
        <v>0</v>
      </c>
      <c r="R180" s="24">
        <v>0</v>
      </c>
      <c r="S180" s="24">
        <v>0</v>
      </c>
      <c r="T180" s="24">
        <v>0</v>
      </c>
      <c r="U180" s="24">
        <v>0</v>
      </c>
      <c r="V180" s="24">
        <v>0</v>
      </c>
      <c r="W180" s="24">
        <v>0</v>
      </c>
      <c r="X180" s="24">
        <v>0</v>
      </c>
      <c r="Y180" s="24">
        <v>0</v>
      </c>
      <c r="Z180" s="24">
        <v>0</v>
      </c>
      <c r="AA180" s="24">
        <v>0</v>
      </c>
      <c r="AB180" s="24">
        <v>0</v>
      </c>
      <c r="AC180" s="24">
        <v>0</v>
      </c>
      <c r="AD180" s="24">
        <v>0</v>
      </c>
      <c r="AE180" s="24">
        <v>0</v>
      </c>
      <c r="AF180" s="24">
        <v>0</v>
      </c>
      <c r="AG180" s="24">
        <v>0</v>
      </c>
      <c r="AH180" s="24">
        <v>0</v>
      </c>
      <c r="AI180" s="24">
        <v>0</v>
      </c>
      <c r="AJ180" s="24">
        <v>0</v>
      </c>
    </row>
    <row r="181" spans="1:36" x14ac:dyDescent="0.3">
      <c r="A181" t="s">
        <v>588</v>
      </c>
      <c r="B181" t="s">
        <v>305</v>
      </c>
      <c r="C181" s="24">
        <v>0</v>
      </c>
      <c r="D181" s="24">
        <v>0</v>
      </c>
      <c r="E181" s="24">
        <v>0</v>
      </c>
      <c r="F181" s="24">
        <v>0</v>
      </c>
      <c r="G181" s="24">
        <v>0</v>
      </c>
      <c r="H181" s="24">
        <v>0</v>
      </c>
      <c r="I181" s="24">
        <v>0</v>
      </c>
      <c r="J181" s="24">
        <v>0</v>
      </c>
      <c r="K181" s="24">
        <v>0</v>
      </c>
      <c r="L181" s="24">
        <v>0</v>
      </c>
      <c r="M181" s="24">
        <v>0</v>
      </c>
      <c r="N181" s="24">
        <v>0</v>
      </c>
      <c r="O181" s="24">
        <v>0</v>
      </c>
      <c r="P181" s="24">
        <v>0</v>
      </c>
      <c r="Q181" s="24">
        <v>0</v>
      </c>
      <c r="R181" s="24">
        <v>0</v>
      </c>
      <c r="S181" s="24">
        <v>0</v>
      </c>
      <c r="T181" s="24">
        <v>0</v>
      </c>
      <c r="U181" s="24">
        <v>0</v>
      </c>
      <c r="V181" s="24">
        <v>0</v>
      </c>
      <c r="W181" s="24">
        <v>0</v>
      </c>
      <c r="X181" s="24">
        <v>0</v>
      </c>
      <c r="Y181" s="24">
        <v>0</v>
      </c>
      <c r="Z181" s="24">
        <v>0</v>
      </c>
      <c r="AA181" s="24">
        <v>0</v>
      </c>
      <c r="AB181" s="24">
        <v>0</v>
      </c>
      <c r="AC181" s="24">
        <v>0</v>
      </c>
      <c r="AD181" s="24">
        <v>0</v>
      </c>
      <c r="AE181" s="24">
        <v>0</v>
      </c>
      <c r="AF181" s="24">
        <v>0</v>
      </c>
      <c r="AG181" s="24">
        <v>0</v>
      </c>
      <c r="AH181" s="24">
        <v>0</v>
      </c>
      <c r="AI181" s="24">
        <v>0</v>
      </c>
      <c r="AJ181" s="24">
        <v>0</v>
      </c>
    </row>
    <row r="182" spans="1:36" x14ac:dyDescent="0.3">
      <c r="A182" t="s">
        <v>764</v>
      </c>
      <c r="B182" t="s">
        <v>305</v>
      </c>
      <c r="C182" s="24">
        <v>0</v>
      </c>
      <c r="D182" s="24">
        <v>0</v>
      </c>
      <c r="E182" s="24">
        <v>0</v>
      </c>
      <c r="F182" s="24">
        <v>0</v>
      </c>
      <c r="G182" s="24">
        <v>0</v>
      </c>
      <c r="H182" s="24">
        <v>0</v>
      </c>
      <c r="I182" s="24">
        <v>0</v>
      </c>
      <c r="J182" s="24">
        <v>0</v>
      </c>
      <c r="K182" s="24">
        <v>0</v>
      </c>
      <c r="L182" s="24">
        <v>0</v>
      </c>
      <c r="M182" s="24">
        <v>0</v>
      </c>
      <c r="N182" s="24">
        <v>0</v>
      </c>
      <c r="O182" s="24">
        <v>0</v>
      </c>
      <c r="P182" s="24">
        <v>0</v>
      </c>
      <c r="Q182" s="24">
        <v>0</v>
      </c>
      <c r="R182" s="24">
        <v>0</v>
      </c>
      <c r="S182" s="24">
        <v>0</v>
      </c>
      <c r="T182" s="24">
        <v>0</v>
      </c>
      <c r="U182" s="24">
        <v>0</v>
      </c>
      <c r="V182" s="24">
        <v>0</v>
      </c>
      <c r="W182" s="24">
        <v>0</v>
      </c>
      <c r="X182" s="24">
        <v>0</v>
      </c>
      <c r="Y182" s="24">
        <v>0</v>
      </c>
      <c r="Z182" s="24">
        <v>0</v>
      </c>
      <c r="AA182" s="24">
        <v>0</v>
      </c>
      <c r="AB182" s="24">
        <v>0</v>
      </c>
      <c r="AC182" s="24">
        <v>0</v>
      </c>
      <c r="AD182" s="24">
        <v>0</v>
      </c>
      <c r="AE182" s="24">
        <v>0</v>
      </c>
      <c r="AF182" s="24">
        <v>0</v>
      </c>
      <c r="AG182" s="24">
        <v>0</v>
      </c>
      <c r="AH182" s="24">
        <v>0</v>
      </c>
      <c r="AI182" s="24">
        <v>0</v>
      </c>
      <c r="AJ182" s="24">
        <v>0</v>
      </c>
    </row>
    <row r="183" spans="1:36" s="70" customFormat="1" x14ac:dyDescent="0.3">
      <c r="A183" s="70" t="s">
        <v>780</v>
      </c>
      <c r="C183" s="71">
        <f>+SUM(C172:C182)</f>
        <v>100</v>
      </c>
      <c r="D183" s="71">
        <f t="shared" ref="D183" si="364">+SUM(D172:D182)</f>
        <v>100</v>
      </c>
      <c r="E183" s="71">
        <f t="shared" ref="E183" si="365">+SUM(E172:E182)</f>
        <v>100</v>
      </c>
      <c r="F183" s="71">
        <f t="shared" ref="F183" si="366">+SUM(F172:F182)</f>
        <v>100</v>
      </c>
      <c r="G183" s="71">
        <f t="shared" ref="G183" si="367">+SUM(G172:G182)</f>
        <v>100</v>
      </c>
      <c r="H183" s="71">
        <f t="shared" ref="H183" si="368">+SUM(H172:H182)</f>
        <v>100</v>
      </c>
      <c r="I183" s="71">
        <f t="shared" ref="I183" si="369">+SUM(I172:I182)</f>
        <v>100</v>
      </c>
      <c r="J183" s="71">
        <f t="shared" ref="J183" si="370">+SUM(J172:J182)</f>
        <v>100</v>
      </c>
      <c r="K183" s="71">
        <f t="shared" ref="K183" si="371">+SUM(K172:K182)</f>
        <v>100</v>
      </c>
      <c r="L183" s="71">
        <f t="shared" ref="L183" si="372">+SUM(L172:L182)</f>
        <v>100</v>
      </c>
      <c r="M183" s="71">
        <f t="shared" ref="M183" si="373">+SUM(M172:M182)</f>
        <v>100</v>
      </c>
      <c r="N183" s="71">
        <f t="shared" ref="N183" si="374">+SUM(N172:N182)</f>
        <v>100</v>
      </c>
      <c r="O183" s="71">
        <f t="shared" ref="O183" si="375">+SUM(O172:O182)</f>
        <v>100</v>
      </c>
      <c r="P183" s="71">
        <f t="shared" ref="P183" si="376">+SUM(P172:P182)</f>
        <v>100</v>
      </c>
      <c r="Q183" s="71">
        <f t="shared" ref="Q183" si="377">+SUM(Q172:Q182)</f>
        <v>100</v>
      </c>
      <c r="R183" s="71">
        <f t="shared" ref="R183" si="378">+SUM(R172:R182)</f>
        <v>100</v>
      </c>
      <c r="S183" s="71">
        <f t="shared" ref="S183" si="379">+SUM(S172:S182)</f>
        <v>100</v>
      </c>
      <c r="T183" s="71">
        <f t="shared" ref="T183" si="380">+SUM(T172:T182)</f>
        <v>100</v>
      </c>
      <c r="U183" s="71">
        <f t="shared" ref="U183" si="381">+SUM(U172:U182)</f>
        <v>100</v>
      </c>
      <c r="V183" s="71">
        <f t="shared" ref="V183" si="382">+SUM(V172:V182)</f>
        <v>100</v>
      </c>
      <c r="W183" s="71">
        <f t="shared" ref="W183" si="383">+SUM(W172:W182)</f>
        <v>100</v>
      </c>
      <c r="X183" s="71">
        <f t="shared" ref="X183" si="384">+SUM(X172:X182)</f>
        <v>100</v>
      </c>
      <c r="Y183" s="71">
        <f t="shared" ref="Y183" si="385">+SUM(Y172:Y182)</f>
        <v>100</v>
      </c>
      <c r="Z183" s="71">
        <f t="shared" ref="Z183" si="386">+SUM(Z172:Z182)</f>
        <v>100</v>
      </c>
      <c r="AA183" s="71">
        <f t="shared" ref="AA183" si="387">+SUM(AA172:AA182)</f>
        <v>100</v>
      </c>
      <c r="AB183" s="71">
        <f t="shared" ref="AB183" si="388">+SUM(AB172:AB182)</f>
        <v>100</v>
      </c>
      <c r="AC183" s="71">
        <f t="shared" ref="AC183" si="389">+SUM(AC172:AC182)</f>
        <v>100</v>
      </c>
      <c r="AD183" s="71">
        <f t="shared" ref="AD183" si="390">+SUM(AD172:AD182)</f>
        <v>100</v>
      </c>
      <c r="AE183" s="71">
        <f t="shared" ref="AE183" si="391">+SUM(AE172:AE182)</f>
        <v>100</v>
      </c>
      <c r="AF183" s="71">
        <f t="shared" ref="AF183" si="392">+SUM(AF172:AF182)</f>
        <v>100</v>
      </c>
      <c r="AG183" s="71">
        <f t="shared" ref="AG183" si="393">+SUM(AG172:AG182)</f>
        <v>100</v>
      </c>
      <c r="AH183" s="71">
        <f t="shared" ref="AH183" si="394">+SUM(AH172:AH182)</f>
        <v>100</v>
      </c>
      <c r="AI183" s="71">
        <f t="shared" ref="AI183" si="395">+SUM(AI172:AI182)</f>
        <v>100</v>
      </c>
      <c r="AJ183" s="71">
        <f t="shared" ref="AJ183" si="396">+SUM(AJ172:AJ182)</f>
        <v>100</v>
      </c>
    </row>
    <row r="184" spans="1:36" s="68" customFormat="1" ht="15.6" x14ac:dyDescent="0.3">
      <c r="A184" s="66" t="s">
        <v>777</v>
      </c>
      <c r="B184" s="67"/>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row>
    <row r="185" spans="1:36" x14ac:dyDescent="0.3">
      <c r="A185" s="69" t="s">
        <v>589</v>
      </c>
      <c r="B185" t="s">
        <v>305</v>
      </c>
      <c r="C185" s="24">
        <v>0</v>
      </c>
      <c r="D185" s="24">
        <v>0</v>
      </c>
      <c r="E185" s="24">
        <v>0</v>
      </c>
      <c r="F185" s="24">
        <v>0</v>
      </c>
      <c r="G185" s="24">
        <v>0</v>
      </c>
      <c r="H185" s="24">
        <v>0</v>
      </c>
      <c r="I185" s="24">
        <v>0</v>
      </c>
      <c r="J185" s="24">
        <v>0</v>
      </c>
      <c r="K185" s="24">
        <v>0</v>
      </c>
      <c r="L185" s="24">
        <v>0</v>
      </c>
      <c r="M185" s="24">
        <v>0</v>
      </c>
      <c r="N185" s="24">
        <v>0</v>
      </c>
      <c r="O185" s="24">
        <v>0</v>
      </c>
      <c r="P185" s="24">
        <v>0</v>
      </c>
      <c r="Q185" s="24">
        <v>0</v>
      </c>
      <c r="R185" s="24">
        <v>0</v>
      </c>
      <c r="S185" s="24">
        <v>0</v>
      </c>
      <c r="T185" s="24">
        <v>0</v>
      </c>
      <c r="U185" s="24">
        <v>0</v>
      </c>
      <c r="V185" s="24">
        <v>0</v>
      </c>
      <c r="W185" s="24">
        <v>0</v>
      </c>
      <c r="X185" s="24">
        <v>0</v>
      </c>
      <c r="Y185" s="24">
        <v>0</v>
      </c>
      <c r="Z185" s="24">
        <v>0</v>
      </c>
      <c r="AA185" s="24">
        <v>0</v>
      </c>
      <c r="AB185" s="24">
        <v>0</v>
      </c>
      <c r="AC185" s="24">
        <v>0</v>
      </c>
      <c r="AD185" s="24">
        <v>0</v>
      </c>
      <c r="AE185" s="24">
        <v>0</v>
      </c>
      <c r="AF185" s="24">
        <v>0</v>
      </c>
      <c r="AG185" s="24">
        <v>0</v>
      </c>
      <c r="AH185" s="24">
        <v>0</v>
      </c>
      <c r="AI185" s="24">
        <v>0</v>
      </c>
      <c r="AJ185" s="24">
        <v>0</v>
      </c>
    </row>
    <row r="186" spans="1:36" x14ac:dyDescent="0.3">
      <c r="A186" s="69" t="s">
        <v>590</v>
      </c>
      <c r="B186" t="s">
        <v>305</v>
      </c>
      <c r="C186" s="24">
        <v>5</v>
      </c>
      <c r="D186" s="24">
        <v>5</v>
      </c>
      <c r="E186" s="24">
        <v>5</v>
      </c>
      <c r="F186" s="24">
        <v>5</v>
      </c>
      <c r="G186" s="24">
        <v>5</v>
      </c>
      <c r="H186" s="24">
        <v>5</v>
      </c>
      <c r="I186" s="24">
        <v>5</v>
      </c>
      <c r="J186" s="24">
        <v>5</v>
      </c>
      <c r="K186" s="24">
        <v>5</v>
      </c>
      <c r="L186" s="24">
        <v>5</v>
      </c>
      <c r="M186" s="24">
        <v>5</v>
      </c>
      <c r="N186" s="24">
        <v>5</v>
      </c>
      <c r="O186" s="24">
        <v>5</v>
      </c>
      <c r="P186" s="24">
        <v>5</v>
      </c>
      <c r="Q186" s="24">
        <v>5</v>
      </c>
      <c r="R186" s="24">
        <v>5</v>
      </c>
      <c r="S186" s="24">
        <v>5</v>
      </c>
      <c r="T186" s="24">
        <v>5</v>
      </c>
      <c r="U186" s="24">
        <v>5</v>
      </c>
      <c r="V186" s="24">
        <v>5</v>
      </c>
      <c r="W186" s="24">
        <v>5</v>
      </c>
      <c r="X186" s="24">
        <v>5</v>
      </c>
      <c r="Y186" s="24">
        <v>5</v>
      </c>
      <c r="Z186" s="24">
        <v>5</v>
      </c>
      <c r="AA186" s="24">
        <v>5</v>
      </c>
      <c r="AB186" s="24">
        <v>5</v>
      </c>
      <c r="AC186" s="24">
        <v>5</v>
      </c>
      <c r="AD186" s="24">
        <v>5</v>
      </c>
      <c r="AE186" s="24">
        <v>5</v>
      </c>
      <c r="AF186" s="24">
        <v>5</v>
      </c>
      <c r="AG186" s="24">
        <v>5</v>
      </c>
      <c r="AH186" s="24">
        <v>5</v>
      </c>
      <c r="AI186" s="24">
        <v>5</v>
      </c>
      <c r="AJ186" s="24">
        <v>5</v>
      </c>
    </row>
    <row r="187" spans="1:36" x14ac:dyDescent="0.3">
      <c r="A187" s="69" t="s">
        <v>591</v>
      </c>
      <c r="B187" t="s">
        <v>305</v>
      </c>
      <c r="C187" s="24">
        <v>70</v>
      </c>
      <c r="D187" s="24">
        <v>70</v>
      </c>
      <c r="E187" s="24">
        <v>70</v>
      </c>
      <c r="F187" s="24">
        <v>70</v>
      </c>
      <c r="G187" s="24">
        <v>70</v>
      </c>
      <c r="H187" s="24">
        <v>70</v>
      </c>
      <c r="I187" s="24">
        <v>70</v>
      </c>
      <c r="J187" s="24">
        <v>70</v>
      </c>
      <c r="K187" s="24">
        <v>70</v>
      </c>
      <c r="L187" s="24">
        <v>70</v>
      </c>
      <c r="M187" s="24">
        <v>70</v>
      </c>
      <c r="N187" s="24">
        <v>70</v>
      </c>
      <c r="O187" s="24">
        <v>70</v>
      </c>
      <c r="P187" s="24">
        <v>70</v>
      </c>
      <c r="Q187" s="24">
        <v>70</v>
      </c>
      <c r="R187" s="24">
        <v>70</v>
      </c>
      <c r="S187" s="24">
        <v>70</v>
      </c>
      <c r="T187" s="24">
        <v>70</v>
      </c>
      <c r="U187" s="24">
        <v>70</v>
      </c>
      <c r="V187" s="24">
        <v>70</v>
      </c>
      <c r="W187" s="24">
        <v>70</v>
      </c>
      <c r="X187" s="24">
        <v>70</v>
      </c>
      <c r="Y187" s="24">
        <v>70</v>
      </c>
      <c r="Z187" s="24">
        <v>70</v>
      </c>
      <c r="AA187" s="24">
        <v>70</v>
      </c>
      <c r="AB187" s="24">
        <v>70</v>
      </c>
      <c r="AC187" s="24">
        <v>70</v>
      </c>
      <c r="AD187" s="24">
        <v>70</v>
      </c>
      <c r="AE187" s="24">
        <v>70</v>
      </c>
      <c r="AF187" s="24">
        <v>70</v>
      </c>
      <c r="AG187" s="24">
        <v>70</v>
      </c>
      <c r="AH187" s="24">
        <v>70</v>
      </c>
      <c r="AI187" s="24">
        <v>70</v>
      </c>
      <c r="AJ187" s="24">
        <v>70</v>
      </c>
    </row>
    <row r="188" spans="1:36" x14ac:dyDescent="0.3">
      <c r="A188" s="69" t="s">
        <v>592</v>
      </c>
      <c r="B188" t="s">
        <v>305</v>
      </c>
      <c r="C188" s="24">
        <v>0</v>
      </c>
      <c r="D188" s="24">
        <v>0</v>
      </c>
      <c r="E188" s="24">
        <v>0</v>
      </c>
      <c r="F188" s="24">
        <v>0</v>
      </c>
      <c r="G188" s="24">
        <v>0</v>
      </c>
      <c r="H188" s="24">
        <v>0</v>
      </c>
      <c r="I188" s="24">
        <v>0</v>
      </c>
      <c r="J188" s="24">
        <v>0</v>
      </c>
      <c r="K188" s="24">
        <v>0</v>
      </c>
      <c r="L188" s="24">
        <v>0</v>
      </c>
      <c r="M188" s="24">
        <v>0</v>
      </c>
      <c r="N188" s="24">
        <v>0</v>
      </c>
      <c r="O188" s="24">
        <v>0</v>
      </c>
      <c r="P188" s="24">
        <v>0</v>
      </c>
      <c r="Q188" s="24">
        <v>0</v>
      </c>
      <c r="R188" s="24">
        <v>0</v>
      </c>
      <c r="S188" s="24">
        <v>0</v>
      </c>
      <c r="T188" s="24">
        <v>0</v>
      </c>
      <c r="U188" s="24">
        <v>0</v>
      </c>
      <c r="V188" s="24">
        <v>0</v>
      </c>
      <c r="W188" s="24">
        <v>0</v>
      </c>
      <c r="X188" s="24">
        <v>0</v>
      </c>
      <c r="Y188" s="24">
        <v>0</v>
      </c>
      <c r="Z188" s="24">
        <v>0</v>
      </c>
      <c r="AA188" s="24">
        <v>0</v>
      </c>
      <c r="AB188" s="24">
        <v>0</v>
      </c>
      <c r="AC188" s="24">
        <v>0</v>
      </c>
      <c r="AD188" s="24">
        <v>0</v>
      </c>
      <c r="AE188" s="24">
        <v>0</v>
      </c>
      <c r="AF188" s="24">
        <v>0</v>
      </c>
      <c r="AG188" s="24">
        <v>0</v>
      </c>
      <c r="AH188" s="24">
        <v>0</v>
      </c>
      <c r="AI188" s="24">
        <v>0</v>
      </c>
      <c r="AJ188" s="24">
        <v>0</v>
      </c>
    </row>
    <row r="189" spans="1:36" x14ac:dyDescent="0.3">
      <c r="A189" s="69" t="s">
        <v>593</v>
      </c>
      <c r="B189" t="s">
        <v>305</v>
      </c>
      <c r="C189" s="24">
        <v>5</v>
      </c>
      <c r="D189" s="24">
        <v>5</v>
      </c>
      <c r="E189" s="24">
        <v>5</v>
      </c>
      <c r="F189" s="24">
        <v>5</v>
      </c>
      <c r="G189" s="24">
        <v>5</v>
      </c>
      <c r="H189" s="24">
        <v>5</v>
      </c>
      <c r="I189" s="24">
        <v>5</v>
      </c>
      <c r="J189" s="24">
        <v>5</v>
      </c>
      <c r="K189" s="24">
        <v>5</v>
      </c>
      <c r="L189" s="24">
        <v>5</v>
      </c>
      <c r="M189" s="24">
        <v>5</v>
      </c>
      <c r="N189" s="24">
        <v>5</v>
      </c>
      <c r="O189" s="24">
        <v>5</v>
      </c>
      <c r="P189" s="24">
        <v>5</v>
      </c>
      <c r="Q189" s="24">
        <v>5</v>
      </c>
      <c r="R189" s="24">
        <v>5</v>
      </c>
      <c r="S189" s="24">
        <v>5</v>
      </c>
      <c r="T189" s="24">
        <v>5</v>
      </c>
      <c r="U189" s="24">
        <v>5</v>
      </c>
      <c r="V189" s="24">
        <v>5</v>
      </c>
      <c r="W189" s="24">
        <v>5</v>
      </c>
      <c r="X189" s="24">
        <v>5</v>
      </c>
      <c r="Y189" s="24">
        <v>5</v>
      </c>
      <c r="Z189" s="24">
        <v>5</v>
      </c>
      <c r="AA189" s="24">
        <v>5</v>
      </c>
      <c r="AB189" s="24">
        <v>5</v>
      </c>
      <c r="AC189" s="24">
        <v>5</v>
      </c>
      <c r="AD189" s="24">
        <v>5</v>
      </c>
      <c r="AE189" s="24">
        <v>5</v>
      </c>
      <c r="AF189" s="24">
        <v>5</v>
      </c>
      <c r="AG189" s="24">
        <v>5</v>
      </c>
      <c r="AH189" s="24">
        <v>5</v>
      </c>
      <c r="AI189" s="24">
        <v>5</v>
      </c>
      <c r="AJ189" s="24">
        <v>5</v>
      </c>
    </row>
    <row r="190" spans="1:36" x14ac:dyDescent="0.3">
      <c r="A190" s="69" t="s">
        <v>594</v>
      </c>
      <c r="B190" t="s">
        <v>305</v>
      </c>
      <c r="C190" s="24">
        <v>10</v>
      </c>
      <c r="D190" s="24">
        <v>10</v>
      </c>
      <c r="E190" s="24">
        <v>10</v>
      </c>
      <c r="F190" s="24">
        <v>10</v>
      </c>
      <c r="G190" s="24">
        <v>10</v>
      </c>
      <c r="H190" s="24">
        <v>10</v>
      </c>
      <c r="I190" s="24">
        <v>10</v>
      </c>
      <c r="J190" s="24">
        <v>10</v>
      </c>
      <c r="K190" s="24">
        <v>10</v>
      </c>
      <c r="L190" s="24">
        <v>10</v>
      </c>
      <c r="M190" s="24">
        <v>10</v>
      </c>
      <c r="N190" s="24">
        <v>10</v>
      </c>
      <c r="O190" s="24">
        <v>10</v>
      </c>
      <c r="P190" s="24">
        <v>10</v>
      </c>
      <c r="Q190" s="24">
        <v>10</v>
      </c>
      <c r="R190" s="24">
        <v>10</v>
      </c>
      <c r="S190" s="24">
        <v>10</v>
      </c>
      <c r="T190" s="24">
        <v>10</v>
      </c>
      <c r="U190" s="24">
        <v>10</v>
      </c>
      <c r="V190" s="24">
        <v>10</v>
      </c>
      <c r="W190" s="24">
        <v>10</v>
      </c>
      <c r="X190" s="24">
        <v>10</v>
      </c>
      <c r="Y190" s="24">
        <v>10</v>
      </c>
      <c r="Z190" s="24">
        <v>10</v>
      </c>
      <c r="AA190" s="24">
        <v>10</v>
      </c>
      <c r="AB190" s="24">
        <v>10</v>
      </c>
      <c r="AC190" s="24">
        <v>10</v>
      </c>
      <c r="AD190" s="24">
        <v>10</v>
      </c>
      <c r="AE190" s="24">
        <v>10</v>
      </c>
      <c r="AF190" s="24">
        <v>10</v>
      </c>
      <c r="AG190" s="24">
        <v>10</v>
      </c>
      <c r="AH190" s="24">
        <v>10</v>
      </c>
      <c r="AI190" s="24">
        <v>10</v>
      </c>
      <c r="AJ190" s="24">
        <v>10</v>
      </c>
    </row>
    <row r="191" spans="1:36" x14ac:dyDescent="0.3">
      <c r="A191" s="69" t="s">
        <v>595</v>
      </c>
      <c r="B191" t="s">
        <v>305</v>
      </c>
      <c r="C191" s="24">
        <v>0</v>
      </c>
      <c r="D191" s="24">
        <v>0</v>
      </c>
      <c r="E191" s="24">
        <v>0</v>
      </c>
      <c r="F191" s="24">
        <v>0</v>
      </c>
      <c r="G191" s="24">
        <v>0</v>
      </c>
      <c r="H191" s="24">
        <v>0</v>
      </c>
      <c r="I191" s="24">
        <v>0</v>
      </c>
      <c r="J191" s="24">
        <v>0</v>
      </c>
      <c r="K191" s="24">
        <v>0</v>
      </c>
      <c r="L191" s="24">
        <v>0</v>
      </c>
      <c r="M191" s="24">
        <v>0</v>
      </c>
      <c r="N191" s="24">
        <v>0</v>
      </c>
      <c r="O191" s="24">
        <v>0</v>
      </c>
      <c r="P191" s="24">
        <v>0</v>
      </c>
      <c r="Q191" s="24">
        <v>0</v>
      </c>
      <c r="R191" s="24">
        <v>0</v>
      </c>
      <c r="S191" s="24">
        <v>0</v>
      </c>
      <c r="T191" s="24">
        <v>0</v>
      </c>
      <c r="U191" s="24">
        <v>0</v>
      </c>
      <c r="V191" s="24">
        <v>0</v>
      </c>
      <c r="W191" s="24">
        <v>0</v>
      </c>
      <c r="X191" s="24">
        <v>0</v>
      </c>
      <c r="Y191" s="24">
        <v>0</v>
      </c>
      <c r="Z191" s="24">
        <v>0</v>
      </c>
      <c r="AA191" s="24">
        <v>0</v>
      </c>
      <c r="AB191" s="24">
        <v>0</v>
      </c>
      <c r="AC191" s="24">
        <v>0</v>
      </c>
      <c r="AD191" s="24">
        <v>0</v>
      </c>
      <c r="AE191" s="24">
        <v>0</v>
      </c>
      <c r="AF191" s="24">
        <v>0</v>
      </c>
      <c r="AG191" s="24">
        <v>0</v>
      </c>
      <c r="AH191" s="24">
        <v>0</v>
      </c>
      <c r="AI191" s="24">
        <v>0</v>
      </c>
      <c r="AJ191" s="24">
        <v>0</v>
      </c>
    </row>
    <row r="192" spans="1:36" x14ac:dyDescent="0.3">
      <c r="A192" s="69" t="s">
        <v>596</v>
      </c>
      <c r="B192" t="s">
        <v>305</v>
      </c>
      <c r="C192" s="24">
        <v>10</v>
      </c>
      <c r="D192" s="24">
        <v>10</v>
      </c>
      <c r="E192" s="24">
        <v>10</v>
      </c>
      <c r="F192" s="24">
        <v>10</v>
      </c>
      <c r="G192" s="24">
        <v>10</v>
      </c>
      <c r="H192" s="24">
        <v>10</v>
      </c>
      <c r="I192" s="24">
        <v>10</v>
      </c>
      <c r="J192" s="24">
        <v>10</v>
      </c>
      <c r="K192" s="24">
        <v>10</v>
      </c>
      <c r="L192" s="24">
        <v>10</v>
      </c>
      <c r="M192" s="24">
        <v>10</v>
      </c>
      <c r="N192" s="24">
        <v>10</v>
      </c>
      <c r="O192" s="24">
        <v>10</v>
      </c>
      <c r="P192" s="24">
        <v>10</v>
      </c>
      <c r="Q192" s="24">
        <v>10</v>
      </c>
      <c r="R192" s="24">
        <v>10</v>
      </c>
      <c r="S192" s="24">
        <v>10</v>
      </c>
      <c r="T192" s="24">
        <v>10</v>
      </c>
      <c r="U192" s="24">
        <v>10</v>
      </c>
      <c r="V192" s="24">
        <v>10</v>
      </c>
      <c r="W192" s="24">
        <v>10</v>
      </c>
      <c r="X192" s="24">
        <v>10</v>
      </c>
      <c r="Y192" s="24">
        <v>10</v>
      </c>
      <c r="Z192" s="24">
        <v>10</v>
      </c>
      <c r="AA192" s="24">
        <v>10</v>
      </c>
      <c r="AB192" s="24">
        <v>10</v>
      </c>
      <c r="AC192" s="24">
        <v>10</v>
      </c>
      <c r="AD192" s="24">
        <v>10</v>
      </c>
      <c r="AE192" s="24">
        <v>10</v>
      </c>
      <c r="AF192" s="24">
        <v>10</v>
      </c>
      <c r="AG192" s="24">
        <v>10</v>
      </c>
      <c r="AH192" s="24">
        <v>10</v>
      </c>
      <c r="AI192" s="24">
        <v>10</v>
      </c>
      <c r="AJ192" s="24">
        <v>10</v>
      </c>
    </row>
    <row r="193" spans="1:36" x14ac:dyDescent="0.3">
      <c r="A193" s="69" t="s">
        <v>597</v>
      </c>
      <c r="B193" t="s">
        <v>305</v>
      </c>
      <c r="C193" s="24">
        <v>0</v>
      </c>
      <c r="D193" s="24">
        <v>0</v>
      </c>
      <c r="E193" s="24">
        <v>0</v>
      </c>
      <c r="F193" s="24">
        <v>0</v>
      </c>
      <c r="G193" s="24">
        <v>0</v>
      </c>
      <c r="H193" s="24">
        <v>0</v>
      </c>
      <c r="I193" s="24">
        <v>0</v>
      </c>
      <c r="J193" s="24">
        <v>0</v>
      </c>
      <c r="K193" s="24">
        <v>0</v>
      </c>
      <c r="L193" s="24">
        <v>0</v>
      </c>
      <c r="M193" s="24">
        <v>0</v>
      </c>
      <c r="N193" s="24">
        <v>0</v>
      </c>
      <c r="O193" s="24">
        <v>0</v>
      </c>
      <c r="P193" s="24">
        <v>0</v>
      </c>
      <c r="Q193" s="24">
        <v>0</v>
      </c>
      <c r="R193" s="24">
        <v>0</v>
      </c>
      <c r="S193" s="24">
        <v>0</v>
      </c>
      <c r="T193" s="24">
        <v>0</v>
      </c>
      <c r="U193" s="24">
        <v>0</v>
      </c>
      <c r="V193" s="24">
        <v>0</v>
      </c>
      <c r="W193" s="24">
        <v>0</v>
      </c>
      <c r="X193" s="24">
        <v>0</v>
      </c>
      <c r="Y193" s="24">
        <v>0</v>
      </c>
      <c r="Z193" s="24">
        <v>0</v>
      </c>
      <c r="AA193" s="24">
        <v>0</v>
      </c>
      <c r="AB193" s="24">
        <v>0</v>
      </c>
      <c r="AC193" s="24">
        <v>0</v>
      </c>
      <c r="AD193" s="24">
        <v>0</v>
      </c>
      <c r="AE193" s="24">
        <v>0</v>
      </c>
      <c r="AF193" s="24">
        <v>0</v>
      </c>
      <c r="AG193" s="24">
        <v>0</v>
      </c>
      <c r="AH193" s="24">
        <v>0</v>
      </c>
      <c r="AI193" s="24">
        <v>0</v>
      </c>
      <c r="AJ193" s="24">
        <v>0</v>
      </c>
    </row>
    <row r="194" spans="1:36" x14ac:dyDescent="0.3">
      <c r="A194" s="69" t="s">
        <v>598</v>
      </c>
      <c r="B194" t="s">
        <v>305</v>
      </c>
      <c r="C194" s="24">
        <v>0</v>
      </c>
      <c r="D194" s="24">
        <v>0</v>
      </c>
      <c r="E194" s="24">
        <v>0</v>
      </c>
      <c r="F194" s="24">
        <v>0</v>
      </c>
      <c r="G194" s="24">
        <v>0</v>
      </c>
      <c r="H194" s="24">
        <v>0</v>
      </c>
      <c r="I194" s="24">
        <v>0</v>
      </c>
      <c r="J194" s="24">
        <v>0</v>
      </c>
      <c r="K194" s="24">
        <v>0</v>
      </c>
      <c r="L194" s="24">
        <v>0</v>
      </c>
      <c r="M194" s="24">
        <v>0</v>
      </c>
      <c r="N194" s="24">
        <v>0</v>
      </c>
      <c r="O194" s="24">
        <v>0</v>
      </c>
      <c r="P194" s="24">
        <v>0</v>
      </c>
      <c r="Q194" s="24">
        <v>0</v>
      </c>
      <c r="R194" s="24">
        <v>0</v>
      </c>
      <c r="S194" s="24">
        <v>0</v>
      </c>
      <c r="T194" s="24">
        <v>0</v>
      </c>
      <c r="U194" s="24">
        <v>0</v>
      </c>
      <c r="V194" s="24">
        <v>0</v>
      </c>
      <c r="W194" s="24">
        <v>0</v>
      </c>
      <c r="X194" s="24">
        <v>0</v>
      </c>
      <c r="Y194" s="24">
        <v>0</v>
      </c>
      <c r="Z194" s="24">
        <v>0</v>
      </c>
      <c r="AA194" s="24">
        <v>0</v>
      </c>
      <c r="AB194" s="24">
        <v>0</v>
      </c>
      <c r="AC194" s="24">
        <v>0</v>
      </c>
      <c r="AD194" s="24">
        <v>0</v>
      </c>
      <c r="AE194" s="24">
        <v>0</v>
      </c>
      <c r="AF194" s="24">
        <v>0</v>
      </c>
      <c r="AG194" s="24">
        <v>0</v>
      </c>
      <c r="AH194" s="24">
        <v>0</v>
      </c>
      <c r="AI194" s="24">
        <v>0</v>
      </c>
      <c r="AJ194" s="24">
        <v>0</v>
      </c>
    </row>
    <row r="195" spans="1:36" x14ac:dyDescent="0.3">
      <c r="A195" s="69" t="s">
        <v>765</v>
      </c>
      <c r="B195" t="s">
        <v>305</v>
      </c>
      <c r="C195" s="24">
        <v>0</v>
      </c>
      <c r="D195" s="24">
        <v>0</v>
      </c>
      <c r="E195" s="24">
        <v>0</v>
      </c>
      <c r="F195" s="24">
        <v>0</v>
      </c>
      <c r="G195" s="24">
        <v>0</v>
      </c>
      <c r="H195" s="24">
        <v>0</v>
      </c>
      <c r="I195" s="24">
        <v>0</v>
      </c>
      <c r="J195" s="24">
        <v>0</v>
      </c>
      <c r="K195" s="24">
        <v>0</v>
      </c>
      <c r="L195" s="24">
        <v>0</v>
      </c>
      <c r="M195" s="24">
        <v>0</v>
      </c>
      <c r="N195" s="24">
        <v>0</v>
      </c>
      <c r="O195" s="24">
        <v>0</v>
      </c>
      <c r="P195" s="24">
        <v>0</v>
      </c>
      <c r="Q195" s="24">
        <v>0</v>
      </c>
      <c r="R195" s="24">
        <v>0</v>
      </c>
      <c r="S195" s="24">
        <v>0</v>
      </c>
      <c r="T195" s="24">
        <v>0</v>
      </c>
      <c r="U195" s="24">
        <v>0</v>
      </c>
      <c r="V195" s="24">
        <v>0</v>
      </c>
      <c r="W195" s="24">
        <v>0</v>
      </c>
      <c r="X195" s="24">
        <v>0</v>
      </c>
      <c r="Y195" s="24">
        <v>0</v>
      </c>
      <c r="Z195" s="24">
        <v>0</v>
      </c>
      <c r="AA195" s="24">
        <v>0</v>
      </c>
      <c r="AB195" s="24">
        <v>0</v>
      </c>
      <c r="AC195" s="24">
        <v>0</v>
      </c>
      <c r="AD195" s="24">
        <v>0</v>
      </c>
      <c r="AE195" s="24">
        <v>0</v>
      </c>
      <c r="AF195" s="24">
        <v>0</v>
      </c>
      <c r="AG195" s="24">
        <v>0</v>
      </c>
      <c r="AH195" s="24">
        <v>0</v>
      </c>
      <c r="AI195" s="24">
        <v>0</v>
      </c>
      <c r="AJ195" s="24">
        <v>0</v>
      </c>
    </row>
    <row r="196" spans="1:36" s="70" customFormat="1" x14ac:dyDescent="0.3">
      <c r="A196" s="70" t="s">
        <v>780</v>
      </c>
      <c r="C196" s="71">
        <f>+SUM(C185:C195)</f>
        <v>100</v>
      </c>
      <c r="D196" s="71">
        <f t="shared" ref="D196" si="397">+SUM(D185:D195)</f>
        <v>100</v>
      </c>
      <c r="E196" s="71">
        <f t="shared" ref="E196" si="398">+SUM(E185:E195)</f>
        <v>100</v>
      </c>
      <c r="F196" s="71">
        <f t="shared" ref="F196" si="399">+SUM(F185:F195)</f>
        <v>100</v>
      </c>
      <c r="G196" s="71">
        <f t="shared" ref="G196" si="400">+SUM(G185:G195)</f>
        <v>100</v>
      </c>
      <c r="H196" s="71">
        <f t="shared" ref="H196" si="401">+SUM(H185:H195)</f>
        <v>100</v>
      </c>
      <c r="I196" s="71">
        <f t="shared" ref="I196" si="402">+SUM(I185:I195)</f>
        <v>100</v>
      </c>
      <c r="J196" s="71">
        <f t="shared" ref="J196" si="403">+SUM(J185:J195)</f>
        <v>100</v>
      </c>
      <c r="K196" s="71">
        <f t="shared" ref="K196" si="404">+SUM(K185:K195)</f>
        <v>100</v>
      </c>
      <c r="L196" s="71">
        <f t="shared" ref="L196" si="405">+SUM(L185:L195)</f>
        <v>100</v>
      </c>
      <c r="M196" s="71">
        <f t="shared" ref="M196" si="406">+SUM(M185:M195)</f>
        <v>100</v>
      </c>
      <c r="N196" s="71">
        <f t="shared" ref="N196" si="407">+SUM(N185:N195)</f>
        <v>100</v>
      </c>
      <c r="O196" s="71">
        <f t="shared" ref="O196" si="408">+SUM(O185:O195)</f>
        <v>100</v>
      </c>
      <c r="P196" s="71">
        <f t="shared" ref="P196" si="409">+SUM(P185:P195)</f>
        <v>100</v>
      </c>
      <c r="Q196" s="71">
        <f t="shared" ref="Q196" si="410">+SUM(Q185:Q195)</f>
        <v>100</v>
      </c>
      <c r="R196" s="71">
        <f t="shared" ref="R196" si="411">+SUM(R185:R195)</f>
        <v>100</v>
      </c>
      <c r="S196" s="71">
        <f t="shared" ref="S196" si="412">+SUM(S185:S195)</f>
        <v>100</v>
      </c>
      <c r="T196" s="71">
        <f t="shared" ref="T196" si="413">+SUM(T185:T195)</f>
        <v>100</v>
      </c>
      <c r="U196" s="71">
        <f t="shared" ref="U196" si="414">+SUM(U185:U195)</f>
        <v>100</v>
      </c>
      <c r="V196" s="71">
        <f t="shared" ref="V196" si="415">+SUM(V185:V195)</f>
        <v>100</v>
      </c>
      <c r="W196" s="71">
        <f t="shared" ref="W196" si="416">+SUM(W185:W195)</f>
        <v>100</v>
      </c>
      <c r="X196" s="71">
        <f t="shared" ref="X196" si="417">+SUM(X185:X195)</f>
        <v>100</v>
      </c>
      <c r="Y196" s="71">
        <f t="shared" ref="Y196" si="418">+SUM(Y185:Y195)</f>
        <v>100</v>
      </c>
      <c r="Z196" s="71">
        <f t="shared" ref="Z196" si="419">+SUM(Z185:Z195)</f>
        <v>100</v>
      </c>
      <c r="AA196" s="71">
        <f t="shared" ref="AA196" si="420">+SUM(AA185:AA195)</f>
        <v>100</v>
      </c>
      <c r="AB196" s="71">
        <f t="shared" ref="AB196" si="421">+SUM(AB185:AB195)</f>
        <v>100</v>
      </c>
      <c r="AC196" s="71">
        <f t="shared" ref="AC196" si="422">+SUM(AC185:AC195)</f>
        <v>100</v>
      </c>
      <c r="AD196" s="71">
        <f t="shared" ref="AD196" si="423">+SUM(AD185:AD195)</f>
        <v>100</v>
      </c>
      <c r="AE196" s="71">
        <f t="shared" ref="AE196" si="424">+SUM(AE185:AE195)</f>
        <v>100</v>
      </c>
      <c r="AF196" s="71">
        <f t="shared" ref="AF196" si="425">+SUM(AF185:AF195)</f>
        <v>100</v>
      </c>
      <c r="AG196" s="71">
        <f t="shared" ref="AG196" si="426">+SUM(AG185:AG195)</f>
        <v>100</v>
      </c>
      <c r="AH196" s="71">
        <f t="shared" ref="AH196" si="427">+SUM(AH185:AH195)</f>
        <v>100</v>
      </c>
      <c r="AI196" s="71">
        <f t="shared" ref="AI196" si="428">+SUM(AI185:AI195)</f>
        <v>100</v>
      </c>
      <c r="AJ196" s="71">
        <f t="shared" ref="AJ196" si="429">+SUM(AJ185:AJ195)</f>
        <v>100</v>
      </c>
    </row>
    <row r="197" spans="1:36" x14ac:dyDescent="0.3">
      <c r="A197" s="69" t="s">
        <v>599</v>
      </c>
      <c r="B197" t="s">
        <v>305</v>
      </c>
      <c r="C197" s="24">
        <v>0</v>
      </c>
      <c r="D197" s="24">
        <v>0</v>
      </c>
      <c r="E197" s="24">
        <v>0</v>
      </c>
      <c r="F197" s="24">
        <v>0</v>
      </c>
      <c r="G197" s="24">
        <v>0</v>
      </c>
      <c r="H197" s="24">
        <v>0</v>
      </c>
      <c r="I197" s="24">
        <v>0</v>
      </c>
      <c r="J197" s="24">
        <v>0</v>
      </c>
      <c r="K197" s="24">
        <v>0</v>
      </c>
      <c r="L197" s="24">
        <v>0</v>
      </c>
      <c r="M197" s="24">
        <v>0</v>
      </c>
      <c r="N197" s="24">
        <v>0</v>
      </c>
      <c r="O197" s="24">
        <v>0</v>
      </c>
      <c r="P197" s="24">
        <v>0</v>
      </c>
      <c r="Q197" s="24">
        <v>0</v>
      </c>
      <c r="R197" s="24">
        <v>0</v>
      </c>
      <c r="S197" s="24">
        <v>0</v>
      </c>
      <c r="T197" s="24">
        <v>0</v>
      </c>
      <c r="U197" s="24">
        <v>0</v>
      </c>
      <c r="V197" s="24">
        <v>0</v>
      </c>
      <c r="W197" s="24">
        <v>0</v>
      </c>
      <c r="X197" s="24">
        <v>0</v>
      </c>
      <c r="Y197" s="24">
        <v>0</v>
      </c>
      <c r="Z197" s="24">
        <v>0</v>
      </c>
      <c r="AA197" s="24">
        <v>0</v>
      </c>
      <c r="AB197" s="24">
        <v>0</v>
      </c>
      <c r="AC197" s="24">
        <v>0</v>
      </c>
      <c r="AD197" s="24">
        <v>0</v>
      </c>
      <c r="AE197" s="24">
        <v>0</v>
      </c>
      <c r="AF197" s="24">
        <v>0</v>
      </c>
      <c r="AG197" s="24">
        <v>0</v>
      </c>
      <c r="AH197" s="24">
        <v>0</v>
      </c>
      <c r="AI197" s="24">
        <v>0</v>
      </c>
      <c r="AJ197" s="24">
        <v>0</v>
      </c>
    </row>
    <row r="198" spans="1:36" x14ac:dyDescent="0.3">
      <c r="A198" s="69" t="s">
        <v>600</v>
      </c>
      <c r="B198" t="s">
        <v>305</v>
      </c>
      <c r="C198" s="24">
        <v>0</v>
      </c>
      <c r="D198" s="24">
        <v>0</v>
      </c>
      <c r="E198" s="24">
        <v>0</v>
      </c>
      <c r="F198" s="24">
        <v>0</v>
      </c>
      <c r="G198" s="24">
        <v>0</v>
      </c>
      <c r="H198" s="24">
        <v>0</v>
      </c>
      <c r="I198" s="24">
        <v>0</v>
      </c>
      <c r="J198" s="24">
        <v>0</v>
      </c>
      <c r="K198" s="24">
        <v>0</v>
      </c>
      <c r="L198" s="24">
        <v>0</v>
      </c>
      <c r="M198" s="24">
        <v>0</v>
      </c>
      <c r="N198" s="24">
        <v>0</v>
      </c>
      <c r="O198" s="24">
        <v>0</v>
      </c>
      <c r="P198" s="24">
        <v>0</v>
      </c>
      <c r="Q198" s="24">
        <v>0</v>
      </c>
      <c r="R198" s="24">
        <v>0</v>
      </c>
      <c r="S198" s="24">
        <v>0</v>
      </c>
      <c r="T198" s="24">
        <v>0</v>
      </c>
      <c r="U198" s="24">
        <v>0</v>
      </c>
      <c r="V198" s="24">
        <v>0</v>
      </c>
      <c r="W198" s="24">
        <v>0</v>
      </c>
      <c r="X198" s="24">
        <v>0</v>
      </c>
      <c r="Y198" s="24">
        <v>0</v>
      </c>
      <c r="Z198" s="24">
        <v>0</v>
      </c>
      <c r="AA198" s="24">
        <v>0</v>
      </c>
      <c r="AB198" s="24">
        <v>0</v>
      </c>
      <c r="AC198" s="24">
        <v>0</v>
      </c>
      <c r="AD198" s="24">
        <v>0</v>
      </c>
      <c r="AE198" s="24">
        <v>0</v>
      </c>
      <c r="AF198" s="24">
        <v>0</v>
      </c>
      <c r="AG198" s="24">
        <v>0</v>
      </c>
      <c r="AH198" s="24">
        <v>0</v>
      </c>
      <c r="AI198" s="24">
        <v>0</v>
      </c>
      <c r="AJ198" s="24">
        <v>0</v>
      </c>
    </row>
    <row r="199" spans="1:36" x14ac:dyDescent="0.3">
      <c r="A199" s="69" t="s">
        <v>601</v>
      </c>
      <c r="B199" t="s">
        <v>305</v>
      </c>
      <c r="C199" s="24">
        <v>80</v>
      </c>
      <c r="D199" s="24">
        <v>80</v>
      </c>
      <c r="E199" s="24">
        <v>80</v>
      </c>
      <c r="F199" s="24">
        <v>80</v>
      </c>
      <c r="G199" s="24">
        <v>80</v>
      </c>
      <c r="H199" s="24">
        <v>80</v>
      </c>
      <c r="I199" s="24">
        <v>80</v>
      </c>
      <c r="J199" s="24">
        <v>80</v>
      </c>
      <c r="K199" s="24">
        <v>80</v>
      </c>
      <c r="L199" s="24">
        <v>80</v>
      </c>
      <c r="M199" s="24">
        <v>80</v>
      </c>
      <c r="N199" s="24">
        <v>80</v>
      </c>
      <c r="O199" s="24">
        <v>80</v>
      </c>
      <c r="P199" s="24">
        <v>80</v>
      </c>
      <c r="Q199" s="24">
        <v>80</v>
      </c>
      <c r="R199" s="24">
        <v>80</v>
      </c>
      <c r="S199" s="24">
        <v>80</v>
      </c>
      <c r="T199" s="24">
        <v>80</v>
      </c>
      <c r="U199" s="24">
        <v>80</v>
      </c>
      <c r="V199" s="24">
        <v>80</v>
      </c>
      <c r="W199" s="24">
        <v>80</v>
      </c>
      <c r="X199" s="24">
        <v>80</v>
      </c>
      <c r="Y199" s="24">
        <v>80</v>
      </c>
      <c r="Z199" s="24">
        <v>80</v>
      </c>
      <c r="AA199" s="24">
        <v>80</v>
      </c>
      <c r="AB199" s="24">
        <v>80</v>
      </c>
      <c r="AC199" s="24">
        <v>80</v>
      </c>
      <c r="AD199" s="24">
        <v>80</v>
      </c>
      <c r="AE199" s="24">
        <v>80</v>
      </c>
      <c r="AF199" s="24">
        <v>80</v>
      </c>
      <c r="AG199" s="24">
        <v>80</v>
      </c>
      <c r="AH199" s="24">
        <v>80</v>
      </c>
      <c r="AI199" s="24">
        <v>80</v>
      </c>
      <c r="AJ199" s="24">
        <v>80</v>
      </c>
    </row>
    <row r="200" spans="1:36" x14ac:dyDescent="0.3">
      <c r="A200" s="69" t="s">
        <v>602</v>
      </c>
      <c r="B200" t="s">
        <v>305</v>
      </c>
      <c r="C200" s="24">
        <v>0</v>
      </c>
      <c r="D200" s="24">
        <v>0</v>
      </c>
      <c r="E200" s="24">
        <v>0</v>
      </c>
      <c r="F200" s="24">
        <v>0</v>
      </c>
      <c r="G200" s="24">
        <v>0</v>
      </c>
      <c r="H200" s="24">
        <v>0</v>
      </c>
      <c r="I200" s="24">
        <v>0</v>
      </c>
      <c r="J200" s="24">
        <v>0</v>
      </c>
      <c r="K200" s="24">
        <v>0</v>
      </c>
      <c r="L200" s="24">
        <v>0</v>
      </c>
      <c r="M200" s="24">
        <v>0</v>
      </c>
      <c r="N200" s="24">
        <v>0</v>
      </c>
      <c r="O200" s="24">
        <v>0</v>
      </c>
      <c r="P200" s="24">
        <v>0</v>
      </c>
      <c r="Q200" s="24">
        <v>0</v>
      </c>
      <c r="R200" s="24">
        <v>0</v>
      </c>
      <c r="S200" s="24">
        <v>0</v>
      </c>
      <c r="T200" s="24">
        <v>0</v>
      </c>
      <c r="U200" s="24">
        <v>0</v>
      </c>
      <c r="V200" s="24">
        <v>0</v>
      </c>
      <c r="W200" s="24">
        <v>0</v>
      </c>
      <c r="X200" s="24">
        <v>0</v>
      </c>
      <c r="Y200" s="24">
        <v>0</v>
      </c>
      <c r="Z200" s="24">
        <v>0</v>
      </c>
      <c r="AA200" s="24">
        <v>0</v>
      </c>
      <c r="AB200" s="24">
        <v>0</v>
      </c>
      <c r="AC200" s="24">
        <v>0</v>
      </c>
      <c r="AD200" s="24">
        <v>0</v>
      </c>
      <c r="AE200" s="24">
        <v>0</v>
      </c>
      <c r="AF200" s="24">
        <v>0</v>
      </c>
      <c r="AG200" s="24">
        <v>0</v>
      </c>
      <c r="AH200" s="24">
        <v>0</v>
      </c>
      <c r="AI200" s="24">
        <v>0</v>
      </c>
      <c r="AJ200" s="24">
        <v>0</v>
      </c>
    </row>
    <row r="201" spans="1:36" x14ac:dyDescent="0.3">
      <c r="A201" s="69" t="s">
        <v>603</v>
      </c>
      <c r="B201" t="s">
        <v>305</v>
      </c>
      <c r="C201" s="24">
        <v>0</v>
      </c>
      <c r="D201" s="24">
        <v>0</v>
      </c>
      <c r="E201" s="24">
        <v>0</v>
      </c>
      <c r="F201" s="24">
        <v>0</v>
      </c>
      <c r="G201" s="24">
        <v>0</v>
      </c>
      <c r="H201" s="24">
        <v>0</v>
      </c>
      <c r="I201" s="24">
        <v>0</v>
      </c>
      <c r="J201" s="24">
        <v>0</v>
      </c>
      <c r="K201" s="24">
        <v>0</v>
      </c>
      <c r="L201" s="24">
        <v>0</v>
      </c>
      <c r="M201" s="24">
        <v>0</v>
      </c>
      <c r="N201" s="24">
        <v>0</v>
      </c>
      <c r="O201" s="24">
        <v>0</v>
      </c>
      <c r="P201" s="24">
        <v>0</v>
      </c>
      <c r="Q201" s="24">
        <v>0</v>
      </c>
      <c r="R201" s="24">
        <v>0</v>
      </c>
      <c r="S201" s="24">
        <v>0</v>
      </c>
      <c r="T201" s="24">
        <v>0</v>
      </c>
      <c r="U201" s="24">
        <v>0</v>
      </c>
      <c r="V201" s="24">
        <v>0</v>
      </c>
      <c r="W201" s="24">
        <v>0</v>
      </c>
      <c r="X201" s="24">
        <v>0</v>
      </c>
      <c r="Y201" s="24">
        <v>0</v>
      </c>
      <c r="Z201" s="24">
        <v>0</v>
      </c>
      <c r="AA201" s="24">
        <v>0</v>
      </c>
      <c r="AB201" s="24">
        <v>0</v>
      </c>
      <c r="AC201" s="24">
        <v>0</v>
      </c>
      <c r="AD201" s="24">
        <v>0</v>
      </c>
      <c r="AE201" s="24">
        <v>0</v>
      </c>
      <c r="AF201" s="24">
        <v>0</v>
      </c>
      <c r="AG201" s="24">
        <v>0</v>
      </c>
      <c r="AH201" s="24">
        <v>0</v>
      </c>
      <c r="AI201" s="24">
        <v>0</v>
      </c>
      <c r="AJ201" s="24">
        <v>0</v>
      </c>
    </row>
    <row r="202" spans="1:36" x14ac:dyDescent="0.3">
      <c r="A202" s="69" t="s">
        <v>604</v>
      </c>
      <c r="B202" t="s">
        <v>305</v>
      </c>
      <c r="C202" s="24">
        <v>5</v>
      </c>
      <c r="D202" s="24">
        <v>5</v>
      </c>
      <c r="E202" s="24">
        <v>5</v>
      </c>
      <c r="F202" s="24">
        <v>5</v>
      </c>
      <c r="G202" s="24">
        <v>5</v>
      </c>
      <c r="H202" s="24">
        <v>5</v>
      </c>
      <c r="I202" s="24">
        <v>5</v>
      </c>
      <c r="J202" s="24">
        <v>5</v>
      </c>
      <c r="K202" s="24">
        <v>5</v>
      </c>
      <c r="L202" s="24">
        <v>5</v>
      </c>
      <c r="M202" s="24">
        <v>5</v>
      </c>
      <c r="N202" s="24">
        <v>5</v>
      </c>
      <c r="O202" s="24">
        <v>5</v>
      </c>
      <c r="P202" s="24">
        <v>5</v>
      </c>
      <c r="Q202" s="24">
        <v>5</v>
      </c>
      <c r="R202" s="24">
        <v>5</v>
      </c>
      <c r="S202" s="24">
        <v>5</v>
      </c>
      <c r="T202" s="24">
        <v>5</v>
      </c>
      <c r="U202" s="24">
        <v>5</v>
      </c>
      <c r="V202" s="24">
        <v>5</v>
      </c>
      <c r="W202" s="24">
        <v>5</v>
      </c>
      <c r="X202" s="24">
        <v>5</v>
      </c>
      <c r="Y202" s="24">
        <v>5</v>
      </c>
      <c r="Z202" s="24">
        <v>5</v>
      </c>
      <c r="AA202" s="24">
        <v>5</v>
      </c>
      <c r="AB202" s="24">
        <v>5</v>
      </c>
      <c r="AC202" s="24">
        <v>5</v>
      </c>
      <c r="AD202" s="24">
        <v>5</v>
      </c>
      <c r="AE202" s="24">
        <v>5</v>
      </c>
      <c r="AF202" s="24">
        <v>5</v>
      </c>
      <c r="AG202" s="24">
        <v>5</v>
      </c>
      <c r="AH202" s="24">
        <v>5</v>
      </c>
      <c r="AI202" s="24">
        <v>5</v>
      </c>
      <c r="AJ202" s="24">
        <v>5</v>
      </c>
    </row>
    <row r="203" spans="1:36" x14ac:dyDescent="0.3">
      <c r="A203" s="69" t="s">
        <v>605</v>
      </c>
      <c r="B203" t="s">
        <v>305</v>
      </c>
      <c r="C203" s="24">
        <v>0</v>
      </c>
      <c r="D203" s="24">
        <v>0</v>
      </c>
      <c r="E203" s="24">
        <v>0</v>
      </c>
      <c r="F203" s="24">
        <v>0</v>
      </c>
      <c r="G203" s="24">
        <v>0</v>
      </c>
      <c r="H203" s="24">
        <v>0</v>
      </c>
      <c r="I203" s="24">
        <v>0</v>
      </c>
      <c r="J203" s="24">
        <v>0</v>
      </c>
      <c r="K203" s="24">
        <v>0</v>
      </c>
      <c r="L203" s="24">
        <v>0</v>
      </c>
      <c r="M203" s="24">
        <v>0</v>
      </c>
      <c r="N203" s="24">
        <v>0</v>
      </c>
      <c r="O203" s="24">
        <v>0</v>
      </c>
      <c r="P203" s="24">
        <v>0</v>
      </c>
      <c r="Q203" s="24">
        <v>0</v>
      </c>
      <c r="R203" s="24">
        <v>0</v>
      </c>
      <c r="S203" s="24">
        <v>0</v>
      </c>
      <c r="T203" s="24">
        <v>0</v>
      </c>
      <c r="U203" s="24">
        <v>0</v>
      </c>
      <c r="V203" s="24">
        <v>0</v>
      </c>
      <c r="W203" s="24">
        <v>0</v>
      </c>
      <c r="X203" s="24">
        <v>0</v>
      </c>
      <c r="Y203" s="24">
        <v>0</v>
      </c>
      <c r="Z203" s="24">
        <v>0</v>
      </c>
      <c r="AA203" s="24">
        <v>0</v>
      </c>
      <c r="AB203" s="24">
        <v>0</v>
      </c>
      <c r="AC203" s="24">
        <v>0</v>
      </c>
      <c r="AD203" s="24">
        <v>0</v>
      </c>
      <c r="AE203" s="24">
        <v>0</v>
      </c>
      <c r="AF203" s="24">
        <v>0</v>
      </c>
      <c r="AG203" s="24">
        <v>0</v>
      </c>
      <c r="AH203" s="24">
        <v>0</v>
      </c>
      <c r="AI203" s="24">
        <v>0</v>
      </c>
      <c r="AJ203" s="24">
        <v>0</v>
      </c>
    </row>
    <row r="204" spans="1:36" x14ac:dyDescent="0.3">
      <c r="A204" s="69" t="s">
        <v>606</v>
      </c>
      <c r="B204" t="s">
        <v>305</v>
      </c>
      <c r="C204" s="24">
        <v>0</v>
      </c>
      <c r="D204" s="24">
        <v>0</v>
      </c>
      <c r="E204" s="24">
        <v>0</v>
      </c>
      <c r="F204" s="24">
        <v>0</v>
      </c>
      <c r="G204" s="24">
        <v>0</v>
      </c>
      <c r="H204" s="24">
        <v>0</v>
      </c>
      <c r="I204" s="24">
        <v>0</v>
      </c>
      <c r="J204" s="24">
        <v>0</v>
      </c>
      <c r="K204" s="24">
        <v>0</v>
      </c>
      <c r="L204" s="24">
        <v>0</v>
      </c>
      <c r="M204" s="24">
        <v>0</v>
      </c>
      <c r="N204" s="24">
        <v>0</v>
      </c>
      <c r="O204" s="24">
        <v>0</v>
      </c>
      <c r="P204" s="24">
        <v>0</v>
      </c>
      <c r="Q204" s="24">
        <v>0</v>
      </c>
      <c r="R204" s="24">
        <v>0</v>
      </c>
      <c r="S204" s="24">
        <v>0</v>
      </c>
      <c r="T204" s="24">
        <v>0</v>
      </c>
      <c r="U204" s="24">
        <v>0</v>
      </c>
      <c r="V204" s="24">
        <v>0</v>
      </c>
      <c r="W204" s="24">
        <v>0</v>
      </c>
      <c r="X204" s="24">
        <v>0</v>
      </c>
      <c r="Y204" s="24">
        <v>0</v>
      </c>
      <c r="Z204" s="24">
        <v>0</v>
      </c>
      <c r="AA204" s="24">
        <v>0</v>
      </c>
      <c r="AB204" s="24">
        <v>0</v>
      </c>
      <c r="AC204" s="24">
        <v>0</v>
      </c>
      <c r="AD204" s="24">
        <v>0</v>
      </c>
      <c r="AE204" s="24">
        <v>0</v>
      </c>
      <c r="AF204" s="24">
        <v>0</v>
      </c>
      <c r="AG204" s="24">
        <v>0</v>
      </c>
      <c r="AH204" s="24">
        <v>0</v>
      </c>
      <c r="AI204" s="24">
        <v>0</v>
      </c>
      <c r="AJ204" s="24">
        <v>0</v>
      </c>
    </row>
    <row r="205" spans="1:36" x14ac:dyDescent="0.3">
      <c r="A205" s="69" t="s">
        <v>607</v>
      </c>
      <c r="B205" t="s">
        <v>305</v>
      </c>
      <c r="C205" s="24">
        <v>15</v>
      </c>
      <c r="D205" s="24">
        <v>15</v>
      </c>
      <c r="E205" s="24">
        <v>15</v>
      </c>
      <c r="F205" s="24">
        <v>15</v>
      </c>
      <c r="G205" s="24">
        <v>15</v>
      </c>
      <c r="H205" s="24">
        <v>15</v>
      </c>
      <c r="I205" s="24">
        <v>15</v>
      </c>
      <c r="J205" s="24">
        <v>15</v>
      </c>
      <c r="K205" s="24">
        <v>15</v>
      </c>
      <c r="L205" s="24">
        <v>15</v>
      </c>
      <c r="M205" s="24">
        <v>15</v>
      </c>
      <c r="N205" s="24">
        <v>15</v>
      </c>
      <c r="O205" s="24">
        <v>15</v>
      </c>
      <c r="P205" s="24">
        <v>15</v>
      </c>
      <c r="Q205" s="24">
        <v>15</v>
      </c>
      <c r="R205" s="24">
        <v>15</v>
      </c>
      <c r="S205" s="24">
        <v>15</v>
      </c>
      <c r="T205" s="24">
        <v>15</v>
      </c>
      <c r="U205" s="24">
        <v>15</v>
      </c>
      <c r="V205" s="24">
        <v>15</v>
      </c>
      <c r="W205" s="24">
        <v>15</v>
      </c>
      <c r="X205" s="24">
        <v>15</v>
      </c>
      <c r="Y205" s="24">
        <v>15</v>
      </c>
      <c r="Z205" s="24">
        <v>15</v>
      </c>
      <c r="AA205" s="24">
        <v>15</v>
      </c>
      <c r="AB205" s="24">
        <v>15</v>
      </c>
      <c r="AC205" s="24">
        <v>15</v>
      </c>
      <c r="AD205" s="24">
        <v>15</v>
      </c>
      <c r="AE205" s="24">
        <v>15</v>
      </c>
      <c r="AF205" s="24">
        <v>15</v>
      </c>
      <c r="AG205" s="24">
        <v>15</v>
      </c>
      <c r="AH205" s="24">
        <v>15</v>
      </c>
      <c r="AI205" s="24">
        <v>15</v>
      </c>
      <c r="AJ205" s="24">
        <v>15</v>
      </c>
    </row>
    <row r="206" spans="1:36" x14ac:dyDescent="0.3">
      <c r="A206" s="69" t="s">
        <v>608</v>
      </c>
      <c r="B206" t="s">
        <v>305</v>
      </c>
      <c r="C206" s="24">
        <v>0</v>
      </c>
      <c r="D206" s="24">
        <v>0</v>
      </c>
      <c r="E206" s="24">
        <v>0</v>
      </c>
      <c r="F206" s="24">
        <v>0</v>
      </c>
      <c r="G206" s="24">
        <v>0</v>
      </c>
      <c r="H206" s="24">
        <v>0</v>
      </c>
      <c r="I206" s="24">
        <v>0</v>
      </c>
      <c r="J206" s="24">
        <v>0</v>
      </c>
      <c r="K206" s="24">
        <v>0</v>
      </c>
      <c r="L206" s="24">
        <v>0</v>
      </c>
      <c r="M206" s="24">
        <v>0</v>
      </c>
      <c r="N206" s="24">
        <v>0</v>
      </c>
      <c r="O206" s="24">
        <v>0</v>
      </c>
      <c r="P206" s="24">
        <v>0</v>
      </c>
      <c r="Q206" s="24">
        <v>0</v>
      </c>
      <c r="R206" s="24">
        <v>0</v>
      </c>
      <c r="S206" s="24">
        <v>0</v>
      </c>
      <c r="T206" s="24">
        <v>0</v>
      </c>
      <c r="U206" s="24">
        <v>0</v>
      </c>
      <c r="V206" s="24">
        <v>0</v>
      </c>
      <c r="W206" s="24">
        <v>0</v>
      </c>
      <c r="X206" s="24">
        <v>0</v>
      </c>
      <c r="Y206" s="24">
        <v>0</v>
      </c>
      <c r="Z206" s="24">
        <v>0</v>
      </c>
      <c r="AA206" s="24">
        <v>0</v>
      </c>
      <c r="AB206" s="24">
        <v>0</v>
      </c>
      <c r="AC206" s="24">
        <v>0</v>
      </c>
      <c r="AD206" s="24">
        <v>0</v>
      </c>
      <c r="AE206" s="24">
        <v>0</v>
      </c>
      <c r="AF206" s="24">
        <v>0</v>
      </c>
      <c r="AG206" s="24">
        <v>0</v>
      </c>
      <c r="AH206" s="24">
        <v>0</v>
      </c>
      <c r="AI206" s="24">
        <v>0</v>
      </c>
      <c r="AJ206" s="24">
        <v>0</v>
      </c>
    </row>
    <row r="207" spans="1:36" x14ac:dyDescent="0.3">
      <c r="A207" s="69" t="s">
        <v>766</v>
      </c>
      <c r="B207" t="s">
        <v>305</v>
      </c>
      <c r="C207" s="24">
        <v>0</v>
      </c>
      <c r="D207" s="24">
        <v>0</v>
      </c>
      <c r="E207" s="24">
        <v>0</v>
      </c>
      <c r="F207" s="24">
        <v>0</v>
      </c>
      <c r="G207" s="24">
        <v>0</v>
      </c>
      <c r="H207" s="24">
        <v>0</v>
      </c>
      <c r="I207" s="24">
        <v>0</v>
      </c>
      <c r="J207" s="24">
        <v>0</v>
      </c>
      <c r="K207" s="24">
        <v>0</v>
      </c>
      <c r="L207" s="24">
        <v>0</v>
      </c>
      <c r="M207" s="24">
        <v>0</v>
      </c>
      <c r="N207" s="24">
        <v>0</v>
      </c>
      <c r="O207" s="24">
        <v>0</v>
      </c>
      <c r="P207" s="24">
        <v>0</v>
      </c>
      <c r="Q207" s="24">
        <v>0</v>
      </c>
      <c r="R207" s="24">
        <v>0</v>
      </c>
      <c r="S207" s="24">
        <v>0</v>
      </c>
      <c r="T207" s="24">
        <v>0</v>
      </c>
      <c r="U207" s="24">
        <v>0</v>
      </c>
      <c r="V207" s="24">
        <v>0</v>
      </c>
      <c r="W207" s="24">
        <v>0</v>
      </c>
      <c r="X207" s="24">
        <v>0</v>
      </c>
      <c r="Y207" s="24">
        <v>0</v>
      </c>
      <c r="Z207" s="24">
        <v>0</v>
      </c>
      <c r="AA207" s="24">
        <v>0</v>
      </c>
      <c r="AB207" s="24">
        <v>0</v>
      </c>
      <c r="AC207" s="24">
        <v>0</v>
      </c>
      <c r="AD207" s="24">
        <v>0</v>
      </c>
      <c r="AE207" s="24">
        <v>0</v>
      </c>
      <c r="AF207" s="24">
        <v>0</v>
      </c>
      <c r="AG207" s="24">
        <v>0</v>
      </c>
      <c r="AH207" s="24">
        <v>0</v>
      </c>
      <c r="AI207" s="24">
        <v>0</v>
      </c>
      <c r="AJ207" s="24">
        <v>0</v>
      </c>
    </row>
    <row r="208" spans="1:36" s="70" customFormat="1" x14ac:dyDescent="0.3">
      <c r="A208" s="70" t="s">
        <v>780</v>
      </c>
      <c r="C208" s="71">
        <f>+SUM(C197:C207)</f>
        <v>100</v>
      </c>
      <c r="D208" s="71">
        <f t="shared" ref="D208" si="430">+SUM(D197:D207)</f>
        <v>100</v>
      </c>
      <c r="E208" s="71">
        <f t="shared" ref="E208" si="431">+SUM(E197:E207)</f>
        <v>100</v>
      </c>
      <c r="F208" s="71">
        <f t="shared" ref="F208" si="432">+SUM(F197:F207)</f>
        <v>100</v>
      </c>
      <c r="G208" s="71">
        <f t="shared" ref="G208" si="433">+SUM(G197:G207)</f>
        <v>100</v>
      </c>
      <c r="H208" s="71">
        <f t="shared" ref="H208" si="434">+SUM(H197:H207)</f>
        <v>100</v>
      </c>
      <c r="I208" s="71">
        <f t="shared" ref="I208" si="435">+SUM(I197:I207)</f>
        <v>100</v>
      </c>
      <c r="J208" s="71">
        <f t="shared" ref="J208" si="436">+SUM(J197:J207)</f>
        <v>100</v>
      </c>
      <c r="K208" s="71">
        <f t="shared" ref="K208" si="437">+SUM(K197:K207)</f>
        <v>100</v>
      </c>
      <c r="L208" s="71">
        <f t="shared" ref="L208" si="438">+SUM(L197:L207)</f>
        <v>100</v>
      </c>
      <c r="M208" s="71">
        <f t="shared" ref="M208" si="439">+SUM(M197:M207)</f>
        <v>100</v>
      </c>
      <c r="N208" s="71">
        <f t="shared" ref="N208" si="440">+SUM(N197:N207)</f>
        <v>100</v>
      </c>
      <c r="O208" s="71">
        <f t="shared" ref="O208" si="441">+SUM(O197:O207)</f>
        <v>100</v>
      </c>
      <c r="P208" s="71">
        <f t="shared" ref="P208" si="442">+SUM(P197:P207)</f>
        <v>100</v>
      </c>
      <c r="Q208" s="71">
        <f t="shared" ref="Q208" si="443">+SUM(Q197:Q207)</f>
        <v>100</v>
      </c>
      <c r="R208" s="71">
        <f t="shared" ref="R208" si="444">+SUM(R197:R207)</f>
        <v>100</v>
      </c>
      <c r="S208" s="71">
        <f t="shared" ref="S208" si="445">+SUM(S197:S207)</f>
        <v>100</v>
      </c>
      <c r="T208" s="71">
        <f t="shared" ref="T208" si="446">+SUM(T197:T207)</f>
        <v>100</v>
      </c>
      <c r="U208" s="71">
        <f t="shared" ref="U208" si="447">+SUM(U197:U207)</f>
        <v>100</v>
      </c>
      <c r="V208" s="71">
        <f t="shared" ref="V208" si="448">+SUM(V197:V207)</f>
        <v>100</v>
      </c>
      <c r="W208" s="71">
        <f t="shared" ref="W208" si="449">+SUM(W197:W207)</f>
        <v>100</v>
      </c>
      <c r="X208" s="71">
        <f t="shared" ref="X208" si="450">+SUM(X197:X207)</f>
        <v>100</v>
      </c>
      <c r="Y208" s="71">
        <f t="shared" ref="Y208" si="451">+SUM(Y197:Y207)</f>
        <v>100</v>
      </c>
      <c r="Z208" s="71">
        <f t="shared" ref="Z208" si="452">+SUM(Z197:Z207)</f>
        <v>100</v>
      </c>
      <c r="AA208" s="71">
        <f t="shared" ref="AA208" si="453">+SUM(AA197:AA207)</f>
        <v>100</v>
      </c>
      <c r="AB208" s="71">
        <f t="shared" ref="AB208" si="454">+SUM(AB197:AB207)</f>
        <v>100</v>
      </c>
      <c r="AC208" s="71">
        <f t="shared" ref="AC208" si="455">+SUM(AC197:AC207)</f>
        <v>100</v>
      </c>
      <c r="AD208" s="71">
        <f t="shared" ref="AD208" si="456">+SUM(AD197:AD207)</f>
        <v>100</v>
      </c>
      <c r="AE208" s="71">
        <f t="shared" ref="AE208" si="457">+SUM(AE197:AE207)</f>
        <v>100</v>
      </c>
      <c r="AF208" s="71">
        <f t="shared" ref="AF208" si="458">+SUM(AF197:AF207)</f>
        <v>100</v>
      </c>
      <c r="AG208" s="71">
        <f t="shared" ref="AG208" si="459">+SUM(AG197:AG207)</f>
        <v>100</v>
      </c>
      <c r="AH208" s="71">
        <f t="shared" ref="AH208" si="460">+SUM(AH197:AH207)</f>
        <v>100</v>
      </c>
      <c r="AI208" s="71">
        <f t="shared" ref="AI208" si="461">+SUM(AI197:AI207)</f>
        <v>100</v>
      </c>
      <c r="AJ208" s="71">
        <f t="shared" ref="AJ208" si="462">+SUM(AJ197:AJ207)</f>
        <v>100</v>
      </c>
    </row>
    <row r="209" spans="1:36" x14ac:dyDescent="0.3">
      <c r="A209" t="s">
        <v>609</v>
      </c>
      <c r="B209" t="s">
        <v>305</v>
      </c>
      <c r="C209" s="24">
        <v>0</v>
      </c>
      <c r="D209" s="24">
        <v>0</v>
      </c>
      <c r="E209" s="24">
        <v>0</v>
      </c>
      <c r="F209" s="24">
        <v>0</v>
      </c>
      <c r="G209" s="24">
        <v>0</v>
      </c>
      <c r="H209" s="24">
        <v>0</v>
      </c>
      <c r="I209" s="24">
        <v>0</v>
      </c>
      <c r="J209" s="24">
        <v>0</v>
      </c>
      <c r="K209" s="24">
        <v>0</v>
      </c>
      <c r="L209" s="24">
        <v>0</v>
      </c>
      <c r="M209" s="24">
        <v>0</v>
      </c>
      <c r="N209" s="24">
        <v>0</v>
      </c>
      <c r="O209" s="24">
        <v>0</v>
      </c>
      <c r="P209" s="24">
        <v>0</v>
      </c>
      <c r="Q209" s="24">
        <v>0</v>
      </c>
      <c r="R209" s="24">
        <v>0</v>
      </c>
      <c r="S209" s="24">
        <v>0</v>
      </c>
      <c r="T209" s="24">
        <v>0</v>
      </c>
      <c r="U209" s="24">
        <v>0</v>
      </c>
      <c r="V209" s="24">
        <v>0</v>
      </c>
      <c r="W209" s="24">
        <v>0</v>
      </c>
      <c r="X209" s="24">
        <v>0</v>
      </c>
      <c r="Y209" s="24">
        <v>0</v>
      </c>
      <c r="Z209" s="24">
        <v>0</v>
      </c>
      <c r="AA209" s="24">
        <v>0</v>
      </c>
      <c r="AB209" s="24">
        <v>0</v>
      </c>
      <c r="AC209" s="24">
        <v>0</v>
      </c>
      <c r="AD209" s="24">
        <v>0</v>
      </c>
      <c r="AE209" s="24">
        <v>0</v>
      </c>
      <c r="AF209" s="24">
        <v>0</v>
      </c>
      <c r="AG209" s="24">
        <v>0</v>
      </c>
      <c r="AH209" s="24">
        <v>0</v>
      </c>
      <c r="AI209" s="24">
        <v>0</v>
      </c>
      <c r="AJ209" s="24">
        <v>0</v>
      </c>
    </row>
    <row r="210" spans="1:36" x14ac:dyDescent="0.3">
      <c r="A210" t="s">
        <v>610</v>
      </c>
      <c r="B210" t="s">
        <v>305</v>
      </c>
      <c r="C210" s="24">
        <v>5</v>
      </c>
      <c r="D210" s="24">
        <v>5</v>
      </c>
      <c r="E210" s="24">
        <v>5</v>
      </c>
      <c r="F210" s="24">
        <v>5</v>
      </c>
      <c r="G210" s="24">
        <v>5</v>
      </c>
      <c r="H210" s="24">
        <v>5</v>
      </c>
      <c r="I210" s="24">
        <v>5</v>
      </c>
      <c r="J210" s="24">
        <v>5</v>
      </c>
      <c r="K210" s="24">
        <v>5</v>
      </c>
      <c r="L210" s="24">
        <v>5</v>
      </c>
      <c r="M210" s="24">
        <v>5</v>
      </c>
      <c r="N210" s="24">
        <v>5</v>
      </c>
      <c r="O210" s="24">
        <v>5</v>
      </c>
      <c r="P210" s="24">
        <v>5</v>
      </c>
      <c r="Q210" s="24">
        <v>5</v>
      </c>
      <c r="R210" s="24">
        <v>5</v>
      </c>
      <c r="S210" s="24">
        <v>5</v>
      </c>
      <c r="T210" s="24">
        <v>5</v>
      </c>
      <c r="U210" s="24">
        <v>5</v>
      </c>
      <c r="V210" s="24">
        <v>5</v>
      </c>
      <c r="W210" s="24">
        <v>5</v>
      </c>
      <c r="X210" s="24">
        <v>5</v>
      </c>
      <c r="Y210" s="24">
        <v>5</v>
      </c>
      <c r="Z210" s="24">
        <v>5</v>
      </c>
      <c r="AA210" s="24">
        <v>5</v>
      </c>
      <c r="AB210" s="24">
        <v>5</v>
      </c>
      <c r="AC210" s="24">
        <v>5</v>
      </c>
      <c r="AD210" s="24">
        <v>5</v>
      </c>
      <c r="AE210" s="24">
        <v>5</v>
      </c>
      <c r="AF210" s="24">
        <v>5</v>
      </c>
      <c r="AG210" s="24">
        <v>5</v>
      </c>
      <c r="AH210" s="24">
        <v>5</v>
      </c>
      <c r="AI210" s="24">
        <v>5</v>
      </c>
      <c r="AJ210" s="24">
        <v>5</v>
      </c>
    </row>
    <row r="211" spans="1:36" x14ac:dyDescent="0.3">
      <c r="A211" t="s">
        <v>611</v>
      </c>
      <c r="B211" t="s">
        <v>305</v>
      </c>
      <c r="C211" s="24">
        <v>70</v>
      </c>
      <c r="D211" s="24">
        <v>70</v>
      </c>
      <c r="E211" s="24">
        <v>70</v>
      </c>
      <c r="F211" s="24">
        <v>70</v>
      </c>
      <c r="G211" s="24">
        <v>70</v>
      </c>
      <c r="H211" s="24">
        <v>70</v>
      </c>
      <c r="I211" s="24">
        <v>70</v>
      </c>
      <c r="J211" s="24">
        <v>70</v>
      </c>
      <c r="K211" s="24">
        <v>70</v>
      </c>
      <c r="L211" s="24">
        <v>70</v>
      </c>
      <c r="M211" s="24">
        <v>70</v>
      </c>
      <c r="N211" s="24">
        <v>70</v>
      </c>
      <c r="O211" s="24">
        <v>70</v>
      </c>
      <c r="P211" s="24">
        <v>70</v>
      </c>
      <c r="Q211" s="24">
        <v>70</v>
      </c>
      <c r="R211" s="24">
        <v>70</v>
      </c>
      <c r="S211" s="24">
        <v>70</v>
      </c>
      <c r="T211" s="24">
        <v>70</v>
      </c>
      <c r="U211" s="24">
        <v>70</v>
      </c>
      <c r="V211" s="24">
        <v>70</v>
      </c>
      <c r="W211" s="24">
        <v>70</v>
      </c>
      <c r="X211" s="24">
        <v>70</v>
      </c>
      <c r="Y211" s="24">
        <v>70</v>
      </c>
      <c r="Z211" s="24">
        <v>70</v>
      </c>
      <c r="AA211" s="24">
        <v>70</v>
      </c>
      <c r="AB211" s="24">
        <v>70</v>
      </c>
      <c r="AC211" s="24">
        <v>70</v>
      </c>
      <c r="AD211" s="24">
        <v>70</v>
      </c>
      <c r="AE211" s="24">
        <v>70</v>
      </c>
      <c r="AF211" s="24">
        <v>70</v>
      </c>
      <c r="AG211" s="24">
        <v>70</v>
      </c>
      <c r="AH211" s="24">
        <v>70</v>
      </c>
      <c r="AI211" s="24">
        <v>70</v>
      </c>
      <c r="AJ211" s="24">
        <v>70</v>
      </c>
    </row>
    <row r="212" spans="1:36" x14ac:dyDescent="0.3">
      <c r="A212" t="s">
        <v>612</v>
      </c>
      <c r="B212" t="s">
        <v>305</v>
      </c>
      <c r="C212" s="24">
        <v>0</v>
      </c>
      <c r="D212" s="24">
        <v>0</v>
      </c>
      <c r="E212" s="24">
        <v>0</v>
      </c>
      <c r="F212" s="24">
        <v>0</v>
      </c>
      <c r="G212" s="24">
        <v>0</v>
      </c>
      <c r="H212" s="24">
        <v>0</v>
      </c>
      <c r="I212" s="24">
        <v>0</v>
      </c>
      <c r="J212" s="24">
        <v>0</v>
      </c>
      <c r="K212" s="24">
        <v>0</v>
      </c>
      <c r="L212" s="24">
        <v>0</v>
      </c>
      <c r="M212" s="24">
        <v>0</v>
      </c>
      <c r="N212" s="24">
        <v>0</v>
      </c>
      <c r="O212" s="24">
        <v>0</v>
      </c>
      <c r="P212" s="24">
        <v>0</v>
      </c>
      <c r="Q212" s="24">
        <v>0</v>
      </c>
      <c r="R212" s="24">
        <v>0</v>
      </c>
      <c r="S212" s="24">
        <v>0</v>
      </c>
      <c r="T212" s="24">
        <v>0</v>
      </c>
      <c r="U212" s="24">
        <v>0</v>
      </c>
      <c r="V212" s="24">
        <v>0</v>
      </c>
      <c r="W212" s="24">
        <v>0</v>
      </c>
      <c r="X212" s="24">
        <v>0</v>
      </c>
      <c r="Y212" s="24">
        <v>0</v>
      </c>
      <c r="Z212" s="24">
        <v>0</v>
      </c>
      <c r="AA212" s="24">
        <v>0</v>
      </c>
      <c r="AB212" s="24">
        <v>0</v>
      </c>
      <c r="AC212" s="24">
        <v>0</v>
      </c>
      <c r="AD212" s="24">
        <v>0</v>
      </c>
      <c r="AE212" s="24">
        <v>0</v>
      </c>
      <c r="AF212" s="24">
        <v>0</v>
      </c>
      <c r="AG212" s="24">
        <v>0</v>
      </c>
      <c r="AH212" s="24">
        <v>0</v>
      </c>
      <c r="AI212" s="24">
        <v>0</v>
      </c>
      <c r="AJ212" s="24">
        <v>0</v>
      </c>
    </row>
    <row r="213" spans="1:36" x14ac:dyDescent="0.3">
      <c r="A213" t="s">
        <v>613</v>
      </c>
      <c r="B213" t="s">
        <v>305</v>
      </c>
      <c r="C213" s="24">
        <v>5</v>
      </c>
      <c r="D213" s="24">
        <v>5</v>
      </c>
      <c r="E213" s="24">
        <v>5</v>
      </c>
      <c r="F213" s="24">
        <v>5</v>
      </c>
      <c r="G213" s="24">
        <v>5</v>
      </c>
      <c r="H213" s="24">
        <v>5</v>
      </c>
      <c r="I213" s="24">
        <v>5</v>
      </c>
      <c r="J213" s="24">
        <v>5</v>
      </c>
      <c r="K213" s="24">
        <v>5</v>
      </c>
      <c r="L213" s="24">
        <v>5</v>
      </c>
      <c r="M213" s="24">
        <v>5</v>
      </c>
      <c r="N213" s="24">
        <v>5</v>
      </c>
      <c r="O213" s="24">
        <v>5</v>
      </c>
      <c r="P213" s="24">
        <v>5</v>
      </c>
      <c r="Q213" s="24">
        <v>5</v>
      </c>
      <c r="R213" s="24">
        <v>5</v>
      </c>
      <c r="S213" s="24">
        <v>5</v>
      </c>
      <c r="T213" s="24">
        <v>5</v>
      </c>
      <c r="U213" s="24">
        <v>5</v>
      </c>
      <c r="V213" s="24">
        <v>5</v>
      </c>
      <c r="W213" s="24">
        <v>5</v>
      </c>
      <c r="X213" s="24">
        <v>5</v>
      </c>
      <c r="Y213" s="24">
        <v>5</v>
      </c>
      <c r="Z213" s="24">
        <v>5</v>
      </c>
      <c r="AA213" s="24">
        <v>5</v>
      </c>
      <c r="AB213" s="24">
        <v>5</v>
      </c>
      <c r="AC213" s="24">
        <v>5</v>
      </c>
      <c r="AD213" s="24">
        <v>5</v>
      </c>
      <c r="AE213" s="24">
        <v>5</v>
      </c>
      <c r="AF213" s="24">
        <v>5</v>
      </c>
      <c r="AG213" s="24">
        <v>5</v>
      </c>
      <c r="AH213" s="24">
        <v>5</v>
      </c>
      <c r="AI213" s="24">
        <v>5</v>
      </c>
      <c r="AJ213" s="24">
        <v>5</v>
      </c>
    </row>
    <row r="214" spans="1:36" x14ac:dyDescent="0.3">
      <c r="A214" t="s">
        <v>614</v>
      </c>
      <c r="B214" t="s">
        <v>305</v>
      </c>
      <c r="C214" s="24">
        <v>10</v>
      </c>
      <c r="D214" s="24">
        <v>10</v>
      </c>
      <c r="E214" s="24">
        <v>10</v>
      </c>
      <c r="F214" s="24">
        <v>10</v>
      </c>
      <c r="G214" s="24">
        <v>10</v>
      </c>
      <c r="H214" s="24">
        <v>10</v>
      </c>
      <c r="I214" s="24">
        <v>10</v>
      </c>
      <c r="J214" s="24">
        <v>10</v>
      </c>
      <c r="K214" s="24">
        <v>10</v>
      </c>
      <c r="L214" s="24">
        <v>10</v>
      </c>
      <c r="M214" s="24">
        <v>10</v>
      </c>
      <c r="N214" s="24">
        <v>10</v>
      </c>
      <c r="O214" s="24">
        <v>10</v>
      </c>
      <c r="P214" s="24">
        <v>10</v>
      </c>
      <c r="Q214" s="24">
        <v>10</v>
      </c>
      <c r="R214" s="24">
        <v>10</v>
      </c>
      <c r="S214" s="24">
        <v>10</v>
      </c>
      <c r="T214" s="24">
        <v>10</v>
      </c>
      <c r="U214" s="24">
        <v>10</v>
      </c>
      <c r="V214" s="24">
        <v>10</v>
      </c>
      <c r="W214" s="24">
        <v>10</v>
      </c>
      <c r="X214" s="24">
        <v>10</v>
      </c>
      <c r="Y214" s="24">
        <v>10</v>
      </c>
      <c r="Z214" s="24">
        <v>10</v>
      </c>
      <c r="AA214" s="24">
        <v>10</v>
      </c>
      <c r="AB214" s="24">
        <v>10</v>
      </c>
      <c r="AC214" s="24">
        <v>10</v>
      </c>
      <c r="AD214" s="24">
        <v>10</v>
      </c>
      <c r="AE214" s="24">
        <v>10</v>
      </c>
      <c r="AF214" s="24">
        <v>10</v>
      </c>
      <c r="AG214" s="24">
        <v>10</v>
      </c>
      <c r="AH214" s="24">
        <v>10</v>
      </c>
      <c r="AI214" s="24">
        <v>10</v>
      </c>
      <c r="AJ214" s="24">
        <v>10</v>
      </c>
    </row>
    <row r="215" spans="1:36" x14ac:dyDescent="0.3">
      <c r="A215" t="s">
        <v>615</v>
      </c>
      <c r="B215" t="s">
        <v>305</v>
      </c>
      <c r="C215" s="24">
        <v>0</v>
      </c>
      <c r="D215" s="24">
        <v>0</v>
      </c>
      <c r="E215" s="24">
        <v>0</v>
      </c>
      <c r="F215" s="24">
        <v>0</v>
      </c>
      <c r="G215" s="24">
        <v>0</v>
      </c>
      <c r="H215" s="24">
        <v>0</v>
      </c>
      <c r="I215" s="24">
        <v>0</v>
      </c>
      <c r="J215" s="24">
        <v>0</v>
      </c>
      <c r="K215" s="24">
        <v>0</v>
      </c>
      <c r="L215" s="24">
        <v>0</v>
      </c>
      <c r="M215" s="24">
        <v>0</v>
      </c>
      <c r="N215" s="24">
        <v>0</v>
      </c>
      <c r="O215" s="24">
        <v>0</v>
      </c>
      <c r="P215" s="24">
        <v>0</v>
      </c>
      <c r="Q215" s="24">
        <v>0</v>
      </c>
      <c r="R215" s="24">
        <v>0</v>
      </c>
      <c r="S215" s="24">
        <v>0</v>
      </c>
      <c r="T215" s="24">
        <v>0</v>
      </c>
      <c r="U215" s="24">
        <v>0</v>
      </c>
      <c r="V215" s="24">
        <v>0</v>
      </c>
      <c r="W215" s="24">
        <v>0</v>
      </c>
      <c r="X215" s="24">
        <v>0</v>
      </c>
      <c r="Y215" s="24">
        <v>0</v>
      </c>
      <c r="Z215" s="24">
        <v>0</v>
      </c>
      <c r="AA215" s="24">
        <v>0</v>
      </c>
      <c r="AB215" s="24">
        <v>0</v>
      </c>
      <c r="AC215" s="24">
        <v>0</v>
      </c>
      <c r="AD215" s="24">
        <v>0</v>
      </c>
      <c r="AE215" s="24">
        <v>0</v>
      </c>
      <c r="AF215" s="24">
        <v>0</v>
      </c>
      <c r="AG215" s="24">
        <v>0</v>
      </c>
      <c r="AH215" s="24">
        <v>0</v>
      </c>
      <c r="AI215" s="24">
        <v>0</v>
      </c>
      <c r="AJ215" s="24">
        <v>0</v>
      </c>
    </row>
    <row r="216" spans="1:36" x14ac:dyDescent="0.3">
      <c r="A216" t="s">
        <v>616</v>
      </c>
      <c r="B216" t="s">
        <v>305</v>
      </c>
      <c r="C216" s="24">
        <v>10</v>
      </c>
      <c r="D216" s="24">
        <v>10</v>
      </c>
      <c r="E216" s="24">
        <v>10</v>
      </c>
      <c r="F216" s="24">
        <v>10</v>
      </c>
      <c r="G216" s="24">
        <v>10</v>
      </c>
      <c r="H216" s="24">
        <v>10</v>
      </c>
      <c r="I216" s="24">
        <v>10</v>
      </c>
      <c r="J216" s="24">
        <v>10</v>
      </c>
      <c r="K216" s="24">
        <v>10</v>
      </c>
      <c r="L216" s="24">
        <v>10</v>
      </c>
      <c r="M216" s="24">
        <v>10</v>
      </c>
      <c r="N216" s="24">
        <v>10</v>
      </c>
      <c r="O216" s="24">
        <v>10</v>
      </c>
      <c r="P216" s="24">
        <v>10</v>
      </c>
      <c r="Q216" s="24">
        <v>10</v>
      </c>
      <c r="R216" s="24">
        <v>10</v>
      </c>
      <c r="S216" s="24">
        <v>10</v>
      </c>
      <c r="T216" s="24">
        <v>10</v>
      </c>
      <c r="U216" s="24">
        <v>10</v>
      </c>
      <c r="V216" s="24">
        <v>10</v>
      </c>
      <c r="W216" s="24">
        <v>10</v>
      </c>
      <c r="X216" s="24">
        <v>10</v>
      </c>
      <c r="Y216" s="24">
        <v>10</v>
      </c>
      <c r="Z216" s="24">
        <v>10</v>
      </c>
      <c r="AA216" s="24">
        <v>10</v>
      </c>
      <c r="AB216" s="24">
        <v>10</v>
      </c>
      <c r="AC216" s="24">
        <v>10</v>
      </c>
      <c r="AD216" s="24">
        <v>10</v>
      </c>
      <c r="AE216" s="24">
        <v>10</v>
      </c>
      <c r="AF216" s="24">
        <v>10</v>
      </c>
      <c r="AG216" s="24">
        <v>10</v>
      </c>
      <c r="AH216" s="24">
        <v>10</v>
      </c>
      <c r="AI216" s="24">
        <v>10</v>
      </c>
      <c r="AJ216" s="24">
        <v>10</v>
      </c>
    </row>
    <row r="217" spans="1:36" x14ac:dyDescent="0.3">
      <c r="A217" t="s">
        <v>617</v>
      </c>
      <c r="B217" t="s">
        <v>305</v>
      </c>
      <c r="C217" s="24">
        <v>0</v>
      </c>
      <c r="D217" s="24">
        <v>0</v>
      </c>
      <c r="E217" s="24">
        <v>0</v>
      </c>
      <c r="F217" s="24">
        <v>0</v>
      </c>
      <c r="G217" s="24">
        <v>0</v>
      </c>
      <c r="H217" s="24">
        <v>0</v>
      </c>
      <c r="I217" s="24">
        <v>0</v>
      </c>
      <c r="J217" s="24">
        <v>0</v>
      </c>
      <c r="K217" s="24">
        <v>0</v>
      </c>
      <c r="L217" s="24">
        <v>0</v>
      </c>
      <c r="M217" s="24">
        <v>0</v>
      </c>
      <c r="N217" s="24">
        <v>0</v>
      </c>
      <c r="O217" s="24">
        <v>0</v>
      </c>
      <c r="P217" s="24">
        <v>0</v>
      </c>
      <c r="Q217" s="24">
        <v>0</v>
      </c>
      <c r="R217" s="24">
        <v>0</v>
      </c>
      <c r="S217" s="24">
        <v>0</v>
      </c>
      <c r="T217" s="24">
        <v>0</v>
      </c>
      <c r="U217" s="24">
        <v>0</v>
      </c>
      <c r="V217" s="24">
        <v>0</v>
      </c>
      <c r="W217" s="24">
        <v>0</v>
      </c>
      <c r="X217" s="24">
        <v>0</v>
      </c>
      <c r="Y217" s="24">
        <v>0</v>
      </c>
      <c r="Z217" s="24">
        <v>0</v>
      </c>
      <c r="AA217" s="24">
        <v>0</v>
      </c>
      <c r="AB217" s="24">
        <v>0</v>
      </c>
      <c r="AC217" s="24">
        <v>0</v>
      </c>
      <c r="AD217" s="24">
        <v>0</v>
      </c>
      <c r="AE217" s="24">
        <v>0</v>
      </c>
      <c r="AF217" s="24">
        <v>0</v>
      </c>
      <c r="AG217" s="24">
        <v>0</v>
      </c>
      <c r="AH217" s="24">
        <v>0</v>
      </c>
      <c r="AI217" s="24">
        <v>0</v>
      </c>
      <c r="AJ217" s="24">
        <v>0</v>
      </c>
    </row>
    <row r="218" spans="1:36" x14ac:dyDescent="0.3">
      <c r="A218" t="s">
        <v>618</v>
      </c>
      <c r="B218" t="s">
        <v>305</v>
      </c>
      <c r="C218" s="24">
        <v>0</v>
      </c>
      <c r="D218" s="24">
        <v>0</v>
      </c>
      <c r="E218" s="24">
        <v>0</v>
      </c>
      <c r="F218" s="24">
        <v>0</v>
      </c>
      <c r="G218" s="24">
        <v>0</v>
      </c>
      <c r="H218" s="24">
        <v>0</v>
      </c>
      <c r="I218" s="24">
        <v>0</v>
      </c>
      <c r="J218" s="24">
        <v>0</v>
      </c>
      <c r="K218" s="24">
        <v>0</v>
      </c>
      <c r="L218" s="24">
        <v>0</v>
      </c>
      <c r="M218" s="24">
        <v>0</v>
      </c>
      <c r="N218" s="24">
        <v>0</v>
      </c>
      <c r="O218" s="24">
        <v>0</v>
      </c>
      <c r="P218" s="24">
        <v>0</v>
      </c>
      <c r="Q218" s="24">
        <v>0</v>
      </c>
      <c r="R218" s="24">
        <v>0</v>
      </c>
      <c r="S218" s="24">
        <v>0</v>
      </c>
      <c r="T218" s="24">
        <v>0</v>
      </c>
      <c r="U218" s="24">
        <v>0</v>
      </c>
      <c r="V218" s="24">
        <v>0</v>
      </c>
      <c r="W218" s="24">
        <v>0</v>
      </c>
      <c r="X218" s="24">
        <v>0</v>
      </c>
      <c r="Y218" s="24">
        <v>0</v>
      </c>
      <c r="Z218" s="24">
        <v>0</v>
      </c>
      <c r="AA218" s="24">
        <v>0</v>
      </c>
      <c r="AB218" s="24">
        <v>0</v>
      </c>
      <c r="AC218" s="24">
        <v>0</v>
      </c>
      <c r="AD218" s="24">
        <v>0</v>
      </c>
      <c r="AE218" s="24">
        <v>0</v>
      </c>
      <c r="AF218" s="24">
        <v>0</v>
      </c>
      <c r="AG218" s="24">
        <v>0</v>
      </c>
      <c r="AH218" s="24">
        <v>0</v>
      </c>
      <c r="AI218" s="24">
        <v>0</v>
      </c>
      <c r="AJ218" s="24">
        <v>0</v>
      </c>
    </row>
    <row r="219" spans="1:36" x14ac:dyDescent="0.3">
      <c r="A219" t="s">
        <v>767</v>
      </c>
      <c r="B219" t="s">
        <v>305</v>
      </c>
      <c r="C219" s="24">
        <v>0</v>
      </c>
      <c r="D219" s="24">
        <v>0</v>
      </c>
      <c r="E219" s="24">
        <v>0</v>
      </c>
      <c r="F219" s="24">
        <v>0</v>
      </c>
      <c r="G219" s="24">
        <v>0</v>
      </c>
      <c r="H219" s="24">
        <v>0</v>
      </c>
      <c r="I219" s="24">
        <v>0</v>
      </c>
      <c r="J219" s="24">
        <v>0</v>
      </c>
      <c r="K219" s="24">
        <v>0</v>
      </c>
      <c r="L219" s="24">
        <v>0</v>
      </c>
      <c r="M219" s="24">
        <v>0</v>
      </c>
      <c r="N219" s="24">
        <v>0</v>
      </c>
      <c r="O219" s="24">
        <v>0</v>
      </c>
      <c r="P219" s="24">
        <v>0</v>
      </c>
      <c r="Q219" s="24">
        <v>0</v>
      </c>
      <c r="R219" s="24">
        <v>0</v>
      </c>
      <c r="S219" s="24">
        <v>0</v>
      </c>
      <c r="T219" s="24">
        <v>0</v>
      </c>
      <c r="U219" s="24">
        <v>0</v>
      </c>
      <c r="V219" s="24">
        <v>0</v>
      </c>
      <c r="W219" s="24">
        <v>0</v>
      </c>
      <c r="X219" s="24">
        <v>0</v>
      </c>
      <c r="Y219" s="24">
        <v>0</v>
      </c>
      <c r="Z219" s="24">
        <v>0</v>
      </c>
      <c r="AA219" s="24">
        <v>0</v>
      </c>
      <c r="AB219" s="24">
        <v>0</v>
      </c>
      <c r="AC219" s="24">
        <v>0</v>
      </c>
      <c r="AD219" s="24">
        <v>0</v>
      </c>
      <c r="AE219" s="24">
        <v>0</v>
      </c>
      <c r="AF219" s="24">
        <v>0</v>
      </c>
      <c r="AG219" s="24">
        <v>0</v>
      </c>
      <c r="AH219" s="24">
        <v>0</v>
      </c>
      <c r="AI219" s="24">
        <v>0</v>
      </c>
      <c r="AJ219" s="24">
        <v>0</v>
      </c>
    </row>
    <row r="220" spans="1:36" s="70" customFormat="1" x14ac:dyDescent="0.3">
      <c r="A220" s="70" t="s">
        <v>780</v>
      </c>
      <c r="C220" s="71">
        <f>+SUM(C209:C219)</f>
        <v>100</v>
      </c>
      <c r="D220" s="71">
        <f t="shared" ref="D220" si="463">+SUM(D209:D219)</f>
        <v>100</v>
      </c>
      <c r="E220" s="71">
        <f t="shared" ref="E220" si="464">+SUM(E209:E219)</f>
        <v>100</v>
      </c>
      <c r="F220" s="71">
        <f t="shared" ref="F220" si="465">+SUM(F209:F219)</f>
        <v>100</v>
      </c>
      <c r="G220" s="71">
        <f t="shared" ref="G220" si="466">+SUM(G209:G219)</f>
        <v>100</v>
      </c>
      <c r="H220" s="71">
        <f t="shared" ref="H220" si="467">+SUM(H209:H219)</f>
        <v>100</v>
      </c>
      <c r="I220" s="71">
        <f t="shared" ref="I220" si="468">+SUM(I209:I219)</f>
        <v>100</v>
      </c>
      <c r="J220" s="71">
        <f t="shared" ref="J220" si="469">+SUM(J209:J219)</f>
        <v>100</v>
      </c>
      <c r="K220" s="71">
        <f t="shared" ref="K220" si="470">+SUM(K209:K219)</f>
        <v>100</v>
      </c>
      <c r="L220" s="71">
        <f t="shared" ref="L220" si="471">+SUM(L209:L219)</f>
        <v>100</v>
      </c>
      <c r="M220" s="71">
        <f t="shared" ref="M220" si="472">+SUM(M209:M219)</f>
        <v>100</v>
      </c>
      <c r="N220" s="71">
        <f t="shared" ref="N220" si="473">+SUM(N209:N219)</f>
        <v>100</v>
      </c>
      <c r="O220" s="71">
        <f t="shared" ref="O220" si="474">+SUM(O209:O219)</f>
        <v>100</v>
      </c>
      <c r="P220" s="71">
        <f t="shared" ref="P220" si="475">+SUM(P209:P219)</f>
        <v>100</v>
      </c>
      <c r="Q220" s="71">
        <f t="shared" ref="Q220" si="476">+SUM(Q209:Q219)</f>
        <v>100</v>
      </c>
      <c r="R220" s="71">
        <f t="shared" ref="R220" si="477">+SUM(R209:R219)</f>
        <v>100</v>
      </c>
      <c r="S220" s="71">
        <f t="shared" ref="S220" si="478">+SUM(S209:S219)</f>
        <v>100</v>
      </c>
      <c r="T220" s="71">
        <f t="shared" ref="T220" si="479">+SUM(T209:T219)</f>
        <v>100</v>
      </c>
      <c r="U220" s="71">
        <f t="shared" ref="U220" si="480">+SUM(U209:U219)</f>
        <v>100</v>
      </c>
      <c r="V220" s="71">
        <f t="shared" ref="V220" si="481">+SUM(V209:V219)</f>
        <v>100</v>
      </c>
      <c r="W220" s="71">
        <f t="shared" ref="W220" si="482">+SUM(W209:W219)</f>
        <v>100</v>
      </c>
      <c r="X220" s="71">
        <f t="shared" ref="X220" si="483">+SUM(X209:X219)</f>
        <v>100</v>
      </c>
      <c r="Y220" s="71">
        <f t="shared" ref="Y220" si="484">+SUM(Y209:Y219)</f>
        <v>100</v>
      </c>
      <c r="Z220" s="71">
        <f t="shared" ref="Z220" si="485">+SUM(Z209:Z219)</f>
        <v>100</v>
      </c>
      <c r="AA220" s="71">
        <f t="shared" ref="AA220" si="486">+SUM(AA209:AA219)</f>
        <v>100</v>
      </c>
      <c r="AB220" s="71">
        <f t="shared" ref="AB220" si="487">+SUM(AB209:AB219)</f>
        <v>100</v>
      </c>
      <c r="AC220" s="71">
        <f t="shared" ref="AC220" si="488">+SUM(AC209:AC219)</f>
        <v>100</v>
      </c>
      <c r="AD220" s="71">
        <f t="shared" ref="AD220" si="489">+SUM(AD209:AD219)</f>
        <v>100</v>
      </c>
      <c r="AE220" s="71">
        <f t="shared" ref="AE220" si="490">+SUM(AE209:AE219)</f>
        <v>100</v>
      </c>
      <c r="AF220" s="71">
        <f t="shared" ref="AF220" si="491">+SUM(AF209:AF219)</f>
        <v>100</v>
      </c>
      <c r="AG220" s="71">
        <f t="shared" ref="AG220" si="492">+SUM(AG209:AG219)</f>
        <v>100</v>
      </c>
      <c r="AH220" s="71">
        <f t="shared" ref="AH220" si="493">+SUM(AH209:AH219)</f>
        <v>100</v>
      </c>
      <c r="AI220" s="71">
        <f t="shared" ref="AI220" si="494">+SUM(AI209:AI219)</f>
        <v>100</v>
      </c>
      <c r="AJ220" s="71">
        <f t="shared" ref="AJ220" si="495">+SUM(AJ209:AJ219)</f>
        <v>100</v>
      </c>
    </row>
    <row r="221" spans="1:36" x14ac:dyDescent="0.3">
      <c r="A221" t="s">
        <v>619</v>
      </c>
      <c r="B221" t="s">
        <v>305</v>
      </c>
      <c r="C221" s="24">
        <v>0</v>
      </c>
      <c r="D221" s="24">
        <v>0</v>
      </c>
      <c r="E221" s="24">
        <v>0</v>
      </c>
      <c r="F221" s="24">
        <v>0</v>
      </c>
      <c r="G221" s="24">
        <v>0</v>
      </c>
      <c r="H221" s="24">
        <v>0</v>
      </c>
      <c r="I221" s="24">
        <v>0</v>
      </c>
      <c r="J221" s="24">
        <v>0</v>
      </c>
      <c r="K221" s="24">
        <v>0</v>
      </c>
      <c r="L221" s="24">
        <v>0</v>
      </c>
      <c r="M221" s="24">
        <v>0</v>
      </c>
      <c r="N221" s="24">
        <v>0</v>
      </c>
      <c r="O221" s="24">
        <v>0</v>
      </c>
      <c r="P221" s="24">
        <v>0</v>
      </c>
      <c r="Q221" s="24">
        <v>0</v>
      </c>
      <c r="R221" s="24">
        <v>0</v>
      </c>
      <c r="S221" s="24">
        <v>0</v>
      </c>
      <c r="T221" s="24">
        <v>0</v>
      </c>
      <c r="U221" s="24">
        <v>0</v>
      </c>
      <c r="V221" s="24">
        <v>0</v>
      </c>
      <c r="W221" s="24">
        <v>0</v>
      </c>
      <c r="X221" s="24">
        <v>0</v>
      </c>
      <c r="Y221" s="24">
        <v>0</v>
      </c>
      <c r="Z221" s="24">
        <v>0</v>
      </c>
      <c r="AA221" s="24">
        <v>0</v>
      </c>
      <c r="AB221" s="24">
        <v>0</v>
      </c>
      <c r="AC221" s="24">
        <v>0</v>
      </c>
      <c r="AD221" s="24">
        <v>0</v>
      </c>
      <c r="AE221" s="24">
        <v>0</v>
      </c>
      <c r="AF221" s="24">
        <v>0</v>
      </c>
      <c r="AG221" s="24">
        <v>0</v>
      </c>
      <c r="AH221" s="24">
        <v>0</v>
      </c>
      <c r="AI221" s="24">
        <v>0</v>
      </c>
      <c r="AJ221" s="24">
        <v>0</v>
      </c>
    </row>
    <row r="222" spans="1:36" x14ac:dyDescent="0.3">
      <c r="A222" t="s">
        <v>620</v>
      </c>
      <c r="B222" t="s">
        <v>305</v>
      </c>
      <c r="C222" s="24">
        <v>0</v>
      </c>
      <c r="D222" s="24">
        <v>0</v>
      </c>
      <c r="E222" s="24">
        <v>0</v>
      </c>
      <c r="F222" s="24">
        <v>0</v>
      </c>
      <c r="G222" s="24">
        <v>0</v>
      </c>
      <c r="H222" s="24">
        <v>0</v>
      </c>
      <c r="I222" s="24">
        <v>0</v>
      </c>
      <c r="J222" s="24">
        <v>0</v>
      </c>
      <c r="K222" s="24">
        <v>0</v>
      </c>
      <c r="L222" s="24">
        <v>0</v>
      </c>
      <c r="M222" s="24">
        <v>0</v>
      </c>
      <c r="N222" s="24">
        <v>0</v>
      </c>
      <c r="O222" s="24">
        <v>0</v>
      </c>
      <c r="P222" s="24">
        <v>0</v>
      </c>
      <c r="Q222" s="24">
        <v>0</v>
      </c>
      <c r="R222" s="24">
        <v>0</v>
      </c>
      <c r="S222" s="24">
        <v>0</v>
      </c>
      <c r="T222" s="24">
        <v>0</v>
      </c>
      <c r="U222" s="24">
        <v>0</v>
      </c>
      <c r="V222" s="24">
        <v>0</v>
      </c>
      <c r="W222" s="24">
        <v>0</v>
      </c>
      <c r="X222" s="24">
        <v>0</v>
      </c>
      <c r="Y222" s="24">
        <v>0</v>
      </c>
      <c r="Z222" s="24">
        <v>0</v>
      </c>
      <c r="AA222" s="24">
        <v>0</v>
      </c>
      <c r="AB222" s="24">
        <v>0</v>
      </c>
      <c r="AC222" s="24">
        <v>0</v>
      </c>
      <c r="AD222" s="24">
        <v>0</v>
      </c>
      <c r="AE222" s="24">
        <v>0</v>
      </c>
      <c r="AF222" s="24">
        <v>0</v>
      </c>
      <c r="AG222" s="24">
        <v>0</v>
      </c>
      <c r="AH222" s="24">
        <v>0</v>
      </c>
      <c r="AI222" s="24">
        <v>0</v>
      </c>
      <c r="AJ222" s="24">
        <v>0</v>
      </c>
    </row>
    <row r="223" spans="1:36" x14ac:dyDescent="0.3">
      <c r="A223" t="s">
        <v>621</v>
      </c>
      <c r="B223" t="s">
        <v>305</v>
      </c>
      <c r="C223" s="24">
        <v>80</v>
      </c>
      <c r="D223" s="24">
        <v>80</v>
      </c>
      <c r="E223" s="24">
        <v>80</v>
      </c>
      <c r="F223" s="24">
        <v>80</v>
      </c>
      <c r="G223" s="24">
        <v>80</v>
      </c>
      <c r="H223" s="24">
        <v>80</v>
      </c>
      <c r="I223" s="24">
        <v>80</v>
      </c>
      <c r="J223" s="24">
        <v>80</v>
      </c>
      <c r="K223" s="24">
        <v>80</v>
      </c>
      <c r="L223" s="24">
        <v>80</v>
      </c>
      <c r="M223" s="24">
        <v>80</v>
      </c>
      <c r="N223" s="24">
        <v>80</v>
      </c>
      <c r="O223" s="24">
        <v>80</v>
      </c>
      <c r="P223" s="24">
        <v>80</v>
      </c>
      <c r="Q223" s="24">
        <v>80</v>
      </c>
      <c r="R223" s="24">
        <v>80</v>
      </c>
      <c r="S223" s="24">
        <v>80</v>
      </c>
      <c r="T223" s="24">
        <v>80</v>
      </c>
      <c r="U223" s="24">
        <v>80</v>
      </c>
      <c r="V223" s="24">
        <v>80</v>
      </c>
      <c r="W223" s="24">
        <v>80</v>
      </c>
      <c r="X223" s="24">
        <v>80</v>
      </c>
      <c r="Y223" s="24">
        <v>80</v>
      </c>
      <c r="Z223" s="24">
        <v>80</v>
      </c>
      <c r="AA223" s="24">
        <v>80</v>
      </c>
      <c r="AB223" s="24">
        <v>80</v>
      </c>
      <c r="AC223" s="24">
        <v>80</v>
      </c>
      <c r="AD223" s="24">
        <v>80</v>
      </c>
      <c r="AE223" s="24">
        <v>80</v>
      </c>
      <c r="AF223" s="24">
        <v>80</v>
      </c>
      <c r="AG223" s="24">
        <v>80</v>
      </c>
      <c r="AH223" s="24">
        <v>80</v>
      </c>
      <c r="AI223" s="24">
        <v>80</v>
      </c>
      <c r="AJ223" s="24">
        <v>80</v>
      </c>
    </row>
    <row r="224" spans="1:36" x14ac:dyDescent="0.3">
      <c r="A224" t="s">
        <v>622</v>
      </c>
      <c r="B224" t="s">
        <v>305</v>
      </c>
      <c r="C224" s="24">
        <v>0</v>
      </c>
      <c r="D224" s="24">
        <v>0</v>
      </c>
      <c r="E224" s="24">
        <v>0</v>
      </c>
      <c r="F224" s="24">
        <v>0</v>
      </c>
      <c r="G224" s="24">
        <v>0</v>
      </c>
      <c r="H224" s="24">
        <v>0</v>
      </c>
      <c r="I224" s="24">
        <v>0</v>
      </c>
      <c r="J224" s="24">
        <v>0</v>
      </c>
      <c r="K224" s="24">
        <v>0</v>
      </c>
      <c r="L224" s="24">
        <v>0</v>
      </c>
      <c r="M224" s="24">
        <v>0</v>
      </c>
      <c r="N224" s="24">
        <v>0</v>
      </c>
      <c r="O224" s="24">
        <v>0</v>
      </c>
      <c r="P224" s="24">
        <v>0</v>
      </c>
      <c r="Q224" s="24">
        <v>0</v>
      </c>
      <c r="R224" s="24">
        <v>0</v>
      </c>
      <c r="S224" s="24">
        <v>0</v>
      </c>
      <c r="T224" s="24">
        <v>0</v>
      </c>
      <c r="U224" s="24">
        <v>0</v>
      </c>
      <c r="V224" s="24">
        <v>0</v>
      </c>
      <c r="W224" s="24">
        <v>0</v>
      </c>
      <c r="X224" s="24">
        <v>0</v>
      </c>
      <c r="Y224" s="24">
        <v>0</v>
      </c>
      <c r="Z224" s="24">
        <v>0</v>
      </c>
      <c r="AA224" s="24">
        <v>0</v>
      </c>
      <c r="AB224" s="24">
        <v>0</v>
      </c>
      <c r="AC224" s="24">
        <v>0</v>
      </c>
      <c r="AD224" s="24">
        <v>0</v>
      </c>
      <c r="AE224" s="24">
        <v>0</v>
      </c>
      <c r="AF224" s="24">
        <v>0</v>
      </c>
      <c r="AG224" s="24">
        <v>0</v>
      </c>
      <c r="AH224" s="24">
        <v>0</v>
      </c>
      <c r="AI224" s="24">
        <v>0</v>
      </c>
      <c r="AJ224" s="24">
        <v>0</v>
      </c>
    </row>
    <row r="225" spans="1:36" x14ac:dyDescent="0.3">
      <c r="A225" t="s">
        <v>623</v>
      </c>
      <c r="B225" t="s">
        <v>305</v>
      </c>
      <c r="C225" s="24">
        <v>0</v>
      </c>
      <c r="D225" s="24">
        <v>0</v>
      </c>
      <c r="E225" s="24">
        <v>0</v>
      </c>
      <c r="F225" s="24">
        <v>0</v>
      </c>
      <c r="G225" s="24">
        <v>0</v>
      </c>
      <c r="H225" s="24">
        <v>0</v>
      </c>
      <c r="I225" s="24">
        <v>0</v>
      </c>
      <c r="J225" s="24">
        <v>0</v>
      </c>
      <c r="K225" s="24">
        <v>0</v>
      </c>
      <c r="L225" s="24">
        <v>0</v>
      </c>
      <c r="M225" s="24">
        <v>0</v>
      </c>
      <c r="N225" s="24">
        <v>0</v>
      </c>
      <c r="O225" s="24">
        <v>0</v>
      </c>
      <c r="P225" s="24">
        <v>0</v>
      </c>
      <c r="Q225" s="24">
        <v>0</v>
      </c>
      <c r="R225" s="24">
        <v>0</v>
      </c>
      <c r="S225" s="24">
        <v>0</v>
      </c>
      <c r="T225" s="24">
        <v>0</v>
      </c>
      <c r="U225" s="24">
        <v>0</v>
      </c>
      <c r="V225" s="24">
        <v>0</v>
      </c>
      <c r="W225" s="24">
        <v>0</v>
      </c>
      <c r="X225" s="24">
        <v>0</v>
      </c>
      <c r="Y225" s="24">
        <v>0</v>
      </c>
      <c r="Z225" s="24">
        <v>0</v>
      </c>
      <c r="AA225" s="24">
        <v>0</v>
      </c>
      <c r="AB225" s="24">
        <v>0</v>
      </c>
      <c r="AC225" s="24">
        <v>0</v>
      </c>
      <c r="AD225" s="24">
        <v>0</v>
      </c>
      <c r="AE225" s="24">
        <v>0</v>
      </c>
      <c r="AF225" s="24">
        <v>0</v>
      </c>
      <c r="AG225" s="24">
        <v>0</v>
      </c>
      <c r="AH225" s="24">
        <v>0</v>
      </c>
      <c r="AI225" s="24">
        <v>0</v>
      </c>
      <c r="AJ225" s="24">
        <v>0</v>
      </c>
    </row>
    <row r="226" spans="1:36" x14ac:dyDescent="0.3">
      <c r="A226" t="s">
        <v>624</v>
      </c>
      <c r="B226" t="s">
        <v>305</v>
      </c>
      <c r="C226" s="24">
        <v>5</v>
      </c>
      <c r="D226" s="24">
        <v>5</v>
      </c>
      <c r="E226" s="24">
        <v>5</v>
      </c>
      <c r="F226" s="24">
        <v>5</v>
      </c>
      <c r="G226" s="24">
        <v>5</v>
      </c>
      <c r="H226" s="24">
        <v>5</v>
      </c>
      <c r="I226" s="24">
        <v>5</v>
      </c>
      <c r="J226" s="24">
        <v>5</v>
      </c>
      <c r="K226" s="24">
        <v>5</v>
      </c>
      <c r="L226" s="24">
        <v>5</v>
      </c>
      <c r="M226" s="24">
        <v>5</v>
      </c>
      <c r="N226" s="24">
        <v>5</v>
      </c>
      <c r="O226" s="24">
        <v>5</v>
      </c>
      <c r="P226" s="24">
        <v>5</v>
      </c>
      <c r="Q226" s="24">
        <v>5</v>
      </c>
      <c r="R226" s="24">
        <v>5</v>
      </c>
      <c r="S226" s="24">
        <v>5</v>
      </c>
      <c r="T226" s="24">
        <v>5</v>
      </c>
      <c r="U226" s="24">
        <v>5</v>
      </c>
      <c r="V226" s="24">
        <v>5</v>
      </c>
      <c r="W226" s="24">
        <v>5</v>
      </c>
      <c r="X226" s="24">
        <v>5</v>
      </c>
      <c r="Y226" s="24">
        <v>5</v>
      </c>
      <c r="Z226" s="24">
        <v>5</v>
      </c>
      <c r="AA226" s="24">
        <v>5</v>
      </c>
      <c r="AB226" s="24">
        <v>5</v>
      </c>
      <c r="AC226" s="24">
        <v>5</v>
      </c>
      <c r="AD226" s="24">
        <v>5</v>
      </c>
      <c r="AE226" s="24">
        <v>5</v>
      </c>
      <c r="AF226" s="24">
        <v>5</v>
      </c>
      <c r="AG226" s="24">
        <v>5</v>
      </c>
      <c r="AH226" s="24">
        <v>5</v>
      </c>
      <c r="AI226" s="24">
        <v>5</v>
      </c>
      <c r="AJ226" s="24">
        <v>5</v>
      </c>
    </row>
    <row r="227" spans="1:36" x14ac:dyDescent="0.3">
      <c r="A227" t="s">
        <v>625</v>
      </c>
      <c r="B227" t="s">
        <v>305</v>
      </c>
      <c r="C227" s="24">
        <v>0</v>
      </c>
      <c r="D227" s="24">
        <v>0</v>
      </c>
      <c r="E227" s="24">
        <v>0</v>
      </c>
      <c r="F227" s="24">
        <v>0</v>
      </c>
      <c r="G227" s="24">
        <v>0</v>
      </c>
      <c r="H227" s="24">
        <v>0</v>
      </c>
      <c r="I227" s="24">
        <v>0</v>
      </c>
      <c r="J227" s="24">
        <v>0</v>
      </c>
      <c r="K227" s="24">
        <v>0</v>
      </c>
      <c r="L227" s="24">
        <v>0</v>
      </c>
      <c r="M227" s="24">
        <v>0</v>
      </c>
      <c r="N227" s="24">
        <v>0</v>
      </c>
      <c r="O227" s="24">
        <v>0</v>
      </c>
      <c r="P227" s="24">
        <v>0</v>
      </c>
      <c r="Q227" s="24">
        <v>0</v>
      </c>
      <c r="R227" s="24">
        <v>0</v>
      </c>
      <c r="S227" s="24">
        <v>0</v>
      </c>
      <c r="T227" s="24">
        <v>0</v>
      </c>
      <c r="U227" s="24">
        <v>0</v>
      </c>
      <c r="V227" s="24">
        <v>0</v>
      </c>
      <c r="W227" s="24">
        <v>0</v>
      </c>
      <c r="X227" s="24">
        <v>0</v>
      </c>
      <c r="Y227" s="24">
        <v>0</v>
      </c>
      <c r="Z227" s="24">
        <v>0</v>
      </c>
      <c r="AA227" s="24">
        <v>0</v>
      </c>
      <c r="AB227" s="24">
        <v>0</v>
      </c>
      <c r="AC227" s="24">
        <v>0</v>
      </c>
      <c r="AD227" s="24">
        <v>0</v>
      </c>
      <c r="AE227" s="24">
        <v>0</v>
      </c>
      <c r="AF227" s="24">
        <v>0</v>
      </c>
      <c r="AG227" s="24">
        <v>0</v>
      </c>
      <c r="AH227" s="24">
        <v>0</v>
      </c>
      <c r="AI227" s="24">
        <v>0</v>
      </c>
      <c r="AJ227" s="24">
        <v>0</v>
      </c>
    </row>
    <row r="228" spans="1:36" x14ac:dyDescent="0.3">
      <c r="A228" t="s">
        <v>626</v>
      </c>
      <c r="B228" t="s">
        <v>305</v>
      </c>
      <c r="C228" s="24">
        <v>0</v>
      </c>
      <c r="D228" s="24">
        <v>0</v>
      </c>
      <c r="E228" s="24">
        <v>0</v>
      </c>
      <c r="F228" s="24">
        <v>0</v>
      </c>
      <c r="G228" s="24">
        <v>0</v>
      </c>
      <c r="H228" s="24">
        <v>0</v>
      </c>
      <c r="I228" s="24">
        <v>0</v>
      </c>
      <c r="J228" s="24">
        <v>0</v>
      </c>
      <c r="K228" s="24">
        <v>0</v>
      </c>
      <c r="L228" s="24">
        <v>0</v>
      </c>
      <c r="M228" s="24">
        <v>0</v>
      </c>
      <c r="N228" s="24">
        <v>0</v>
      </c>
      <c r="O228" s="24">
        <v>0</v>
      </c>
      <c r="P228" s="24">
        <v>0</v>
      </c>
      <c r="Q228" s="24">
        <v>0</v>
      </c>
      <c r="R228" s="24">
        <v>0</v>
      </c>
      <c r="S228" s="24">
        <v>0</v>
      </c>
      <c r="T228" s="24">
        <v>0</v>
      </c>
      <c r="U228" s="24">
        <v>0</v>
      </c>
      <c r="V228" s="24">
        <v>0</v>
      </c>
      <c r="W228" s="24">
        <v>0</v>
      </c>
      <c r="X228" s="24">
        <v>0</v>
      </c>
      <c r="Y228" s="24">
        <v>0</v>
      </c>
      <c r="Z228" s="24">
        <v>0</v>
      </c>
      <c r="AA228" s="24">
        <v>0</v>
      </c>
      <c r="AB228" s="24">
        <v>0</v>
      </c>
      <c r="AC228" s="24">
        <v>0</v>
      </c>
      <c r="AD228" s="24">
        <v>0</v>
      </c>
      <c r="AE228" s="24">
        <v>0</v>
      </c>
      <c r="AF228" s="24">
        <v>0</v>
      </c>
      <c r="AG228" s="24">
        <v>0</v>
      </c>
      <c r="AH228" s="24">
        <v>0</v>
      </c>
      <c r="AI228" s="24">
        <v>0</v>
      </c>
      <c r="AJ228" s="24">
        <v>0</v>
      </c>
    </row>
    <row r="229" spans="1:36" x14ac:dyDescent="0.3">
      <c r="A229" t="s">
        <v>627</v>
      </c>
      <c r="B229" t="s">
        <v>305</v>
      </c>
      <c r="C229" s="24">
        <v>15</v>
      </c>
      <c r="D229" s="24">
        <v>15</v>
      </c>
      <c r="E229" s="24">
        <v>15</v>
      </c>
      <c r="F229" s="24">
        <v>15</v>
      </c>
      <c r="G229" s="24">
        <v>15</v>
      </c>
      <c r="H229" s="24">
        <v>15</v>
      </c>
      <c r="I229" s="24">
        <v>15</v>
      </c>
      <c r="J229" s="24">
        <v>15</v>
      </c>
      <c r="K229" s="24">
        <v>15</v>
      </c>
      <c r="L229" s="24">
        <v>15</v>
      </c>
      <c r="M229" s="24">
        <v>15</v>
      </c>
      <c r="N229" s="24">
        <v>15</v>
      </c>
      <c r="O229" s="24">
        <v>15</v>
      </c>
      <c r="P229" s="24">
        <v>15</v>
      </c>
      <c r="Q229" s="24">
        <v>15</v>
      </c>
      <c r="R229" s="24">
        <v>15</v>
      </c>
      <c r="S229" s="24">
        <v>15</v>
      </c>
      <c r="T229" s="24">
        <v>15</v>
      </c>
      <c r="U229" s="24">
        <v>15</v>
      </c>
      <c r="V229" s="24">
        <v>15</v>
      </c>
      <c r="W229" s="24">
        <v>15</v>
      </c>
      <c r="X229" s="24">
        <v>15</v>
      </c>
      <c r="Y229" s="24">
        <v>15</v>
      </c>
      <c r="Z229" s="24">
        <v>15</v>
      </c>
      <c r="AA229" s="24">
        <v>15</v>
      </c>
      <c r="AB229" s="24">
        <v>15</v>
      </c>
      <c r="AC229" s="24">
        <v>15</v>
      </c>
      <c r="AD229" s="24">
        <v>15</v>
      </c>
      <c r="AE229" s="24">
        <v>15</v>
      </c>
      <c r="AF229" s="24">
        <v>15</v>
      </c>
      <c r="AG229" s="24">
        <v>15</v>
      </c>
      <c r="AH229" s="24">
        <v>15</v>
      </c>
      <c r="AI229" s="24">
        <v>15</v>
      </c>
      <c r="AJ229" s="24">
        <v>15</v>
      </c>
    </row>
    <row r="230" spans="1:36" x14ac:dyDescent="0.3">
      <c r="A230" t="s">
        <v>628</v>
      </c>
      <c r="B230" t="s">
        <v>305</v>
      </c>
      <c r="C230" s="24">
        <v>0</v>
      </c>
      <c r="D230" s="24">
        <v>0</v>
      </c>
      <c r="E230" s="24">
        <v>0</v>
      </c>
      <c r="F230" s="24">
        <v>0</v>
      </c>
      <c r="G230" s="24">
        <v>0</v>
      </c>
      <c r="H230" s="24">
        <v>0</v>
      </c>
      <c r="I230" s="24">
        <v>0</v>
      </c>
      <c r="J230" s="24">
        <v>0</v>
      </c>
      <c r="K230" s="24">
        <v>0</v>
      </c>
      <c r="L230" s="24">
        <v>0</v>
      </c>
      <c r="M230" s="24">
        <v>0</v>
      </c>
      <c r="N230" s="24">
        <v>0</v>
      </c>
      <c r="O230" s="24">
        <v>0</v>
      </c>
      <c r="P230" s="24">
        <v>0</v>
      </c>
      <c r="Q230" s="24">
        <v>0</v>
      </c>
      <c r="R230" s="24">
        <v>0</v>
      </c>
      <c r="S230" s="24">
        <v>0</v>
      </c>
      <c r="T230" s="24">
        <v>0</v>
      </c>
      <c r="U230" s="24">
        <v>0</v>
      </c>
      <c r="V230" s="24">
        <v>0</v>
      </c>
      <c r="W230" s="24">
        <v>0</v>
      </c>
      <c r="X230" s="24">
        <v>0</v>
      </c>
      <c r="Y230" s="24">
        <v>0</v>
      </c>
      <c r="Z230" s="24">
        <v>0</v>
      </c>
      <c r="AA230" s="24">
        <v>0</v>
      </c>
      <c r="AB230" s="24">
        <v>0</v>
      </c>
      <c r="AC230" s="24">
        <v>0</v>
      </c>
      <c r="AD230" s="24">
        <v>0</v>
      </c>
      <c r="AE230" s="24">
        <v>0</v>
      </c>
      <c r="AF230" s="24">
        <v>0</v>
      </c>
      <c r="AG230" s="24">
        <v>0</v>
      </c>
      <c r="AH230" s="24">
        <v>0</v>
      </c>
      <c r="AI230" s="24">
        <v>0</v>
      </c>
      <c r="AJ230" s="24">
        <v>0</v>
      </c>
    </row>
    <row r="231" spans="1:36" x14ac:dyDescent="0.3">
      <c r="A231" t="s">
        <v>768</v>
      </c>
      <c r="B231" t="s">
        <v>305</v>
      </c>
      <c r="C231" s="24">
        <v>0</v>
      </c>
      <c r="D231" s="24">
        <v>0</v>
      </c>
      <c r="E231" s="24">
        <v>0</v>
      </c>
      <c r="F231" s="24">
        <v>0</v>
      </c>
      <c r="G231" s="24">
        <v>0</v>
      </c>
      <c r="H231" s="24">
        <v>0</v>
      </c>
      <c r="I231" s="24">
        <v>0</v>
      </c>
      <c r="J231" s="24">
        <v>0</v>
      </c>
      <c r="K231" s="24">
        <v>0</v>
      </c>
      <c r="L231" s="24">
        <v>0</v>
      </c>
      <c r="M231" s="24">
        <v>0</v>
      </c>
      <c r="N231" s="24">
        <v>0</v>
      </c>
      <c r="O231" s="24">
        <v>0</v>
      </c>
      <c r="P231" s="24">
        <v>0</v>
      </c>
      <c r="Q231" s="24">
        <v>0</v>
      </c>
      <c r="R231" s="24">
        <v>0</v>
      </c>
      <c r="S231" s="24">
        <v>0</v>
      </c>
      <c r="T231" s="24">
        <v>0</v>
      </c>
      <c r="U231" s="24">
        <v>0</v>
      </c>
      <c r="V231" s="24">
        <v>0</v>
      </c>
      <c r="W231" s="24">
        <v>0</v>
      </c>
      <c r="X231" s="24">
        <v>0</v>
      </c>
      <c r="Y231" s="24">
        <v>0</v>
      </c>
      <c r="Z231" s="24">
        <v>0</v>
      </c>
      <c r="AA231" s="24">
        <v>0</v>
      </c>
      <c r="AB231" s="24">
        <v>0</v>
      </c>
      <c r="AC231" s="24">
        <v>0</v>
      </c>
      <c r="AD231" s="24">
        <v>0</v>
      </c>
      <c r="AE231" s="24">
        <v>0</v>
      </c>
      <c r="AF231" s="24">
        <v>0</v>
      </c>
      <c r="AG231" s="24">
        <v>0</v>
      </c>
      <c r="AH231" s="24">
        <v>0</v>
      </c>
      <c r="AI231" s="24">
        <v>0</v>
      </c>
      <c r="AJ231" s="24">
        <v>0</v>
      </c>
    </row>
    <row r="232" spans="1:36" s="70" customFormat="1" x14ac:dyDescent="0.3">
      <c r="A232" s="70" t="s">
        <v>780</v>
      </c>
      <c r="C232" s="71">
        <f>+SUM(C221:C231)</f>
        <v>100</v>
      </c>
      <c r="D232" s="71">
        <f t="shared" ref="D232" si="496">+SUM(D221:D231)</f>
        <v>100</v>
      </c>
      <c r="E232" s="71">
        <f t="shared" ref="E232" si="497">+SUM(E221:E231)</f>
        <v>100</v>
      </c>
      <c r="F232" s="71">
        <f t="shared" ref="F232" si="498">+SUM(F221:F231)</f>
        <v>100</v>
      </c>
      <c r="G232" s="71">
        <f t="shared" ref="G232" si="499">+SUM(G221:G231)</f>
        <v>100</v>
      </c>
      <c r="H232" s="71">
        <f t="shared" ref="H232" si="500">+SUM(H221:H231)</f>
        <v>100</v>
      </c>
      <c r="I232" s="71">
        <f t="shared" ref="I232" si="501">+SUM(I221:I231)</f>
        <v>100</v>
      </c>
      <c r="J232" s="71">
        <f t="shared" ref="J232" si="502">+SUM(J221:J231)</f>
        <v>100</v>
      </c>
      <c r="K232" s="71">
        <f t="shared" ref="K232" si="503">+SUM(K221:K231)</f>
        <v>100</v>
      </c>
      <c r="L232" s="71">
        <f t="shared" ref="L232" si="504">+SUM(L221:L231)</f>
        <v>100</v>
      </c>
      <c r="M232" s="71">
        <f t="shared" ref="M232" si="505">+SUM(M221:M231)</f>
        <v>100</v>
      </c>
      <c r="N232" s="71">
        <f t="shared" ref="N232" si="506">+SUM(N221:N231)</f>
        <v>100</v>
      </c>
      <c r="O232" s="71">
        <f t="shared" ref="O232" si="507">+SUM(O221:O231)</f>
        <v>100</v>
      </c>
      <c r="P232" s="71">
        <f t="shared" ref="P232" si="508">+SUM(P221:P231)</f>
        <v>100</v>
      </c>
      <c r="Q232" s="71">
        <f t="shared" ref="Q232" si="509">+SUM(Q221:Q231)</f>
        <v>100</v>
      </c>
      <c r="R232" s="71">
        <f t="shared" ref="R232" si="510">+SUM(R221:R231)</f>
        <v>100</v>
      </c>
      <c r="S232" s="71">
        <f t="shared" ref="S232" si="511">+SUM(S221:S231)</f>
        <v>100</v>
      </c>
      <c r="T232" s="71">
        <f t="shared" ref="T232" si="512">+SUM(T221:T231)</f>
        <v>100</v>
      </c>
      <c r="U232" s="71">
        <f t="shared" ref="U232" si="513">+SUM(U221:U231)</f>
        <v>100</v>
      </c>
      <c r="V232" s="71">
        <f t="shared" ref="V232" si="514">+SUM(V221:V231)</f>
        <v>100</v>
      </c>
      <c r="W232" s="71">
        <f t="shared" ref="W232" si="515">+SUM(W221:W231)</f>
        <v>100</v>
      </c>
      <c r="X232" s="71">
        <f t="shared" ref="X232" si="516">+SUM(X221:X231)</f>
        <v>100</v>
      </c>
      <c r="Y232" s="71">
        <f t="shared" ref="Y232" si="517">+SUM(Y221:Y231)</f>
        <v>100</v>
      </c>
      <c r="Z232" s="71">
        <f t="shared" ref="Z232" si="518">+SUM(Z221:Z231)</f>
        <v>100</v>
      </c>
      <c r="AA232" s="71">
        <f t="shared" ref="AA232" si="519">+SUM(AA221:AA231)</f>
        <v>100</v>
      </c>
      <c r="AB232" s="71">
        <f t="shared" ref="AB232" si="520">+SUM(AB221:AB231)</f>
        <v>100</v>
      </c>
      <c r="AC232" s="71">
        <f t="shared" ref="AC232" si="521">+SUM(AC221:AC231)</f>
        <v>100</v>
      </c>
      <c r="AD232" s="71">
        <f t="shared" ref="AD232" si="522">+SUM(AD221:AD231)</f>
        <v>100</v>
      </c>
      <c r="AE232" s="71">
        <f t="shared" ref="AE232" si="523">+SUM(AE221:AE231)</f>
        <v>100</v>
      </c>
      <c r="AF232" s="71">
        <f t="shared" ref="AF232" si="524">+SUM(AF221:AF231)</f>
        <v>100</v>
      </c>
      <c r="AG232" s="71">
        <f t="shared" ref="AG232" si="525">+SUM(AG221:AG231)</f>
        <v>100</v>
      </c>
      <c r="AH232" s="71">
        <f t="shared" ref="AH232" si="526">+SUM(AH221:AH231)</f>
        <v>100</v>
      </c>
      <c r="AI232" s="71">
        <f t="shared" ref="AI232" si="527">+SUM(AI221:AI231)</f>
        <v>100</v>
      </c>
      <c r="AJ232" s="71">
        <f t="shared" ref="AJ232" si="528">+SUM(AJ221:AJ231)</f>
        <v>100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BT100"/>
  <sheetViews>
    <sheetView topLeftCell="C1" workbookViewId="0">
      <pane xSplit="2" ySplit="4" topLeftCell="H5" activePane="bottomRight" state="frozen"/>
      <selection activeCell="C1" sqref="C1"/>
      <selection pane="topRight" activeCell="E1" sqref="E1"/>
      <selection pane="bottomLeft" activeCell="C5" sqref="C5"/>
      <selection pane="bottomRight" activeCell="AE5" sqref="AE5"/>
    </sheetView>
  </sheetViews>
  <sheetFormatPr defaultColWidth="8.777343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71" max="71" width="14.109375" customWidth="1"/>
    <col min="72" max="72" width="27.6640625" customWidth="1"/>
  </cols>
  <sheetData>
    <row r="1" spans="1:72" ht="18" x14ac:dyDescent="0.35">
      <c r="A1" s="1" t="s">
        <v>142</v>
      </c>
      <c r="AI1" s="11"/>
      <c r="AJ1" s="11"/>
    </row>
    <row r="2" spans="1:72" x14ac:dyDescent="0.3">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36169.646807555109</v>
      </c>
      <c r="AU4" s="81">
        <f t="shared" si="0"/>
        <v>39597.062204208225</v>
      </c>
      <c r="AV4" s="81">
        <f t="shared" si="0"/>
        <v>42615.776397138834</v>
      </c>
      <c r="AW4" s="81">
        <f>AW11-AV11</f>
        <v>28587.313706237823</v>
      </c>
      <c r="AX4" s="81">
        <f t="shared" si="0"/>
        <v>31034.776975046843</v>
      </c>
      <c r="AY4" s="81">
        <f t="shared" si="0"/>
        <v>33731.709022443742</v>
      </c>
      <c r="AZ4" s="81">
        <f t="shared" si="0"/>
        <v>36757.916960038245</v>
      </c>
      <c r="BA4" s="15">
        <f>BA8/'Intermediate calculations'!AV8</f>
        <v>3.5308171115186591</v>
      </c>
      <c r="BB4" s="15">
        <f>BB8/'Intermediate calculations'!AW8</f>
        <v>3.4332531022983939</v>
      </c>
      <c r="BC4" s="15">
        <f>BC8/'Intermediate calculations'!AX8</f>
        <v>3.3377541092705751</v>
      </c>
      <c r="BD4" s="15">
        <f>BD8/'Intermediate calculations'!AY8</f>
        <v>3.2442330159192245</v>
      </c>
      <c r="BE4" s="15">
        <f>BE8/'Intermediate calculations'!AZ8</f>
        <v>3.1526086459819282</v>
      </c>
      <c r="BF4" s="15">
        <f>BF8/'Intermediate calculations'!BA8</f>
        <v>3.0628052211155756</v>
      </c>
      <c r="BG4" s="15">
        <f>BG8/'Intermediate calculations'!BB8</f>
        <v>2.9899291852606638</v>
      </c>
      <c r="BH4" s="15">
        <f>BH8/'Intermediate calculations'!BC8</f>
        <v>2.9184695640871481</v>
      </c>
      <c r="BI4" s="15">
        <f>BI8/'Intermediate calculations'!BD8</f>
        <v>2.848372904073416</v>
      </c>
      <c r="BJ4" s="15">
        <f>BJ8/'Intermediate calculations'!BE8</f>
        <v>2.7795890112494348</v>
      </c>
      <c r="BK4" s="15">
        <f>BK8/'Intermediate calculations'!BF8</f>
        <v>2.7120706846423071</v>
      </c>
      <c r="BL4" s="15">
        <f>BL8/'Intermediate calculations'!BG8</f>
        <v>2.6457734767135381</v>
      </c>
      <c r="BM4" s="15">
        <f>BM8/'Intermediate calculations'!BH8</f>
        <v>2.5806554775554114</v>
      </c>
      <c r="BN4" s="15">
        <f>BN8/'Intermediate calculations'!BI8</f>
        <v>2.5166771200581555</v>
      </c>
      <c r="BO4" s="15">
        <f>BO8/'Intermediate calculations'!BJ8</f>
        <v>2.4538010036352187</v>
      </c>
      <c r="BP4" s="15">
        <f>BP8/'Intermediate calculations'!BK8</f>
        <v>2.3919917344128288</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23">
        <f>'Intermediate calculations'!Y15*'Intermediate calculations'!Y16*Constants!$H$18</f>
        <v>590059.9281599375</v>
      </c>
      <c r="AE5" s="23">
        <f>'Intermediate calculations'!Z15*'Intermediate calculations'!Z16*Constants!$H$18</f>
        <v>593358.66490468476</v>
      </c>
      <c r="AF5" s="23">
        <f>'Intermediate calculations'!AA15*'Intermediate calculations'!AA16*Constants!$H$18</f>
        <v>598039.0074127327</v>
      </c>
      <c r="AG5" s="23">
        <f>'Intermediate calculations'!AB15*'Intermediate calculations'!AB16*Constants!$H$18</f>
        <v>601046.62603335571</v>
      </c>
      <c r="AH5" s="23">
        <f>'Intermediate calculations'!AC15*'Intermediate calculations'!AC16*Constants!$H$18</f>
        <v>603045.20236245089</v>
      </c>
      <c r="AI5" s="23">
        <f>'Intermediate calculations'!AD15*'Intermediate calculations'!AD16*Constants!$H$18</f>
        <v>604015.06594627816</v>
      </c>
      <c r="AJ5" s="23">
        <f>'Intermediate calculations'!AE15*'Intermediate calculations'!AE16*Constants!$H$18</f>
        <v>606157.85554919671</v>
      </c>
      <c r="AK5" s="23">
        <f>'Intermediate calculations'!AF15*'Intermediate calculations'!AF16*Constants!$H$18</f>
        <v>608615.99513645703</v>
      </c>
      <c r="AL5" s="23">
        <f>'Intermediate calculations'!AG15*'Intermediate calculations'!AG16*Constants!$H$18</f>
        <v>590321.24202673463</v>
      </c>
      <c r="AM5" s="23">
        <f>'Intermediate calculations'!AH15*'Intermediate calculations'!AH16*Constants!$H$18</f>
        <v>596528.54012635571</v>
      </c>
      <c r="AN5" s="23">
        <f>'Intermediate calculations'!AI15*'Intermediate calculations'!AI16*Constants!$H$18</f>
        <v>605614.38207052986</v>
      </c>
      <c r="AO5" s="23">
        <f>'Intermediate calculations'!AJ15*'Intermediate calculations'!AJ16*Constants!$H$18</f>
        <v>610323.79251775239</v>
      </c>
      <c r="AP5" s="23">
        <f>'Intermediate calculations'!AK15*'Intermediate calculations'!AK16*Constants!$H$18</f>
        <v>615706.02176126163</v>
      </c>
      <c r="AQ5" s="23">
        <f>'Intermediate calculations'!AL15*'Intermediate calculations'!AL16*Constants!$H$18</f>
        <v>621935.38820461812</v>
      </c>
      <c r="AR5" s="23">
        <f>'Intermediate calculations'!AM15*'Intermediate calculations'!AM16*Constants!$H$18</f>
        <v>628296.74669941061</v>
      </c>
      <c r="AS5" s="23">
        <f>'Intermediate calculations'!AN15*'Intermediate calculations'!AN16*Constants!$H$18</f>
        <v>635337.95015234023</v>
      </c>
      <c r="AT5" s="23">
        <f>'Intermediate calculations'!AO15*'Intermediate calculations'!AO16*Constants!$H$18</f>
        <v>642597.27083756379</v>
      </c>
      <c r="AU5" s="23">
        <f>'Intermediate calculations'!AP15*'Intermediate calculations'!AP16*Constants!$H$18</f>
        <v>650491.47780704009</v>
      </c>
      <c r="AV5" s="23">
        <f>'Intermediate calculations'!AQ15*'Intermediate calculations'!AQ16*Constants!$H$18</f>
        <v>658563.76332493348</v>
      </c>
      <c r="AW5" s="23">
        <f>'Intermediate calculations'!AR15*'Intermediate calculations'!AR16*Constants!$H$18</f>
        <v>667284.4948805609</v>
      </c>
      <c r="AX5" s="23">
        <f>'Intermediate calculations'!AS15*'Intermediate calculations'!AS16*Constants!$H$18</f>
        <v>675887.19695647305</v>
      </c>
      <c r="AY5" s="23">
        <f>'Intermediate calculations'!AT15*'Intermediate calculations'!AT16*Constants!$H$18</f>
        <v>684967.28485571465</v>
      </c>
      <c r="AZ5" s="23">
        <f>'Intermediate calculations'!AU15*'Intermediate calculations'!AU16*Constants!$H$18</f>
        <v>695238.36532463855</v>
      </c>
      <c r="BA5" s="23">
        <f>'Intermediate calculations'!AV15*'Intermediate calculations'!AV16*Constants!$H$18</f>
        <v>705003.80060777965</v>
      </c>
      <c r="BB5" s="23">
        <f>'Intermediate calculations'!AW15*'Intermediate calculations'!AW16*Constants!$H$18</f>
        <v>715018.20276526653</v>
      </c>
      <c r="BC5" s="23">
        <f>'Intermediate calculations'!AX15*'Intermediate calculations'!AX16*Constants!$H$18</f>
        <v>725728.15259104513</v>
      </c>
      <c r="BD5" s="23">
        <f>'Intermediate calculations'!AY15*'Intermediate calculations'!AY16*Constants!$H$18</f>
        <v>735762.08486922923</v>
      </c>
      <c r="BE5" s="23">
        <f>'Intermediate calculations'!AZ15*'Intermediate calculations'!AZ16*Constants!$H$18</f>
        <v>745741.56575596228</v>
      </c>
      <c r="BF5" s="23">
        <f>'Intermediate calculations'!BA15*'Intermediate calculations'!BA16*Constants!$H$18</f>
        <v>755694.35311660939</v>
      </c>
      <c r="BG5" s="23">
        <f>'Intermediate calculations'!BB15*'Intermediate calculations'!BB16*Constants!$H$18</f>
        <v>766224.10374418576</v>
      </c>
      <c r="BH5" s="23">
        <f>'Intermediate calculations'!BC15*'Intermediate calculations'!BC16*Constants!$H$18</f>
        <v>776330.32659557904</v>
      </c>
      <c r="BI5" s="23">
        <f>'Intermediate calculations'!BD15*'Intermediate calculations'!BD16*Constants!$H$18</f>
        <v>786828.98815047613</v>
      </c>
      <c r="BJ5" s="23">
        <f>'Intermediate calculations'!BE15*'Intermediate calculations'!BE16*Constants!$H$18</f>
        <v>797767.97088992584</v>
      </c>
      <c r="BK5" s="23">
        <f>'Intermediate calculations'!BF15*'Intermediate calculations'!BF16*Constants!$H$18</f>
        <v>809224.27492024703</v>
      </c>
      <c r="BL5" s="23">
        <f>'Intermediate calculations'!BG15*'Intermediate calculations'!BG16*Constants!$H$18</f>
        <v>820883.22588005802</v>
      </c>
      <c r="BM5" s="23">
        <f>'Intermediate calculations'!BH15*'Intermediate calculations'!BH16*Constants!$H$18</f>
        <v>823647.46997840214</v>
      </c>
      <c r="BN5" s="23">
        <f>'Intermediate calculations'!BI15*'Intermediate calculations'!BI16*Constants!$H$18</f>
        <v>825614.77404733561</v>
      </c>
      <c r="BO5" s="23">
        <f>'Intermediate calculations'!BJ15*'Intermediate calculations'!BJ16*Constants!$H$18</f>
        <v>826420.81446797797</v>
      </c>
      <c r="BP5" s="23">
        <f>'Intermediate calculations'!BK15*'Intermediate calculations'!BK16*Constants!$H$18</f>
        <v>826907.52343347447</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23">
        <f>'Intermediate calculations'!Y15*'Intermediate calculations'!Y16*Constants!$H$19</f>
        <v>488906.79761823389</v>
      </c>
      <c r="AE6" s="23">
        <f>'Intermediate calculations'!Z15*'Intermediate calculations'!Z16*Constants!$H$19</f>
        <v>491640.03663531021</v>
      </c>
      <c r="AF6" s="23">
        <f>'Intermediate calculations'!AA15*'Intermediate calculations'!AA16*Constants!$H$19</f>
        <v>495518.03471340711</v>
      </c>
      <c r="AG6" s="23">
        <f>'Intermediate calculations'!AB15*'Intermediate calculations'!AB16*Constants!$H$19</f>
        <v>498010.06157049473</v>
      </c>
      <c r="AH6" s="23">
        <f>'Intermediate calculations'!AC15*'Intermediate calculations'!AC16*Constants!$H$19</f>
        <v>499666.02481460216</v>
      </c>
      <c r="AI6" s="23">
        <f>'Intermediate calculations'!AD15*'Intermediate calculations'!AD16*Constants!$H$19</f>
        <v>500469.62606977334</v>
      </c>
      <c r="AJ6" s="23">
        <f>'Intermediate calculations'!AE15*'Intermediate calculations'!AE16*Constants!$H$19</f>
        <v>502245.08031219151</v>
      </c>
      <c r="AK6" s="23">
        <f>'Intermediate calculations'!AF15*'Intermediate calculations'!AF16*Constants!$H$19</f>
        <v>504281.82454163581</v>
      </c>
      <c r="AL6" s="23">
        <f>'Intermediate calculations'!AG15*'Intermediate calculations'!AG16*Constants!$H$19</f>
        <v>489123.3148221515</v>
      </c>
      <c r="AM6" s="23">
        <f>'Intermediate calculations'!AH15*'Intermediate calculations'!AH16*Constants!$H$19</f>
        <v>494266.50467612332</v>
      </c>
      <c r="AN6" s="23">
        <f>'Intermediate calculations'!AI15*'Intermediate calculations'!AI16*Constants!$H$19</f>
        <v>501794.77371558186</v>
      </c>
      <c r="AO6" s="23">
        <f>'Intermediate calculations'!AJ15*'Intermediate calculations'!AJ16*Constants!$H$19</f>
        <v>505696.85665756627</v>
      </c>
      <c r="AP6" s="23">
        <f>'Intermediate calculations'!AK15*'Intermediate calculations'!AK16*Constants!$H$19</f>
        <v>510156.41803075967</v>
      </c>
      <c r="AQ6" s="23">
        <f>'Intermediate calculations'!AL15*'Intermediate calculations'!AL16*Constants!$H$19</f>
        <v>515317.89308382646</v>
      </c>
      <c r="AR6" s="23">
        <f>'Intermediate calculations'!AM15*'Intermediate calculations'!AM16*Constants!$H$19</f>
        <v>520588.73297951161</v>
      </c>
      <c r="AS6" s="23">
        <f>'Intermediate calculations'!AN15*'Intermediate calculations'!AN16*Constants!$H$19</f>
        <v>526422.87298336753</v>
      </c>
      <c r="AT6" s="23">
        <f>'Intermediate calculations'!AO15*'Intermediate calculations'!AO16*Constants!$H$19</f>
        <v>532437.73869398143</v>
      </c>
      <c r="AU6" s="23">
        <f>'Intermediate calculations'!AP15*'Intermediate calculations'!AP16*Constants!$H$19</f>
        <v>538978.65304011898</v>
      </c>
      <c r="AV6" s="23">
        <f>'Intermediate calculations'!AQ15*'Intermediate calculations'!AQ16*Constants!$H$19</f>
        <v>545667.11818351632</v>
      </c>
      <c r="AW6" s="23">
        <f>'Intermediate calculations'!AR15*'Intermediate calculations'!AR16*Constants!$H$19</f>
        <v>552892.8671867504</v>
      </c>
      <c r="AX6" s="23">
        <f>'Intermediate calculations'!AS15*'Intermediate calculations'!AS16*Constants!$H$19</f>
        <v>560020.82033536339</v>
      </c>
      <c r="AY6" s="23">
        <f>'Intermediate calculations'!AT15*'Intermediate calculations'!AT16*Constants!$H$19</f>
        <v>567544.32173759222</v>
      </c>
      <c r="AZ6" s="23">
        <f>'Intermediate calculations'!AU15*'Intermediate calculations'!AU16*Constants!$H$19</f>
        <v>576054.64555470052</v>
      </c>
      <c r="BA6" s="23">
        <f>'Intermediate calculations'!AV15*'Intermediate calculations'!AV16*Constants!$H$19</f>
        <v>584146.00621787459</v>
      </c>
      <c r="BB6" s="23">
        <f>'Intermediate calculations'!AW15*'Intermediate calculations'!AW16*Constants!$H$19</f>
        <v>592443.65371979226</v>
      </c>
      <c r="BC6" s="23">
        <f>'Intermediate calculations'!AX15*'Intermediate calculations'!AX16*Constants!$H$19</f>
        <v>601317.61214686593</v>
      </c>
      <c r="BD6" s="23">
        <f>'Intermediate calculations'!AY15*'Intermediate calculations'!AY16*Constants!$H$19</f>
        <v>609631.44174878998</v>
      </c>
      <c r="BE6" s="23">
        <f>'Intermediate calculations'!AZ15*'Intermediate calculations'!AZ16*Constants!$H$19</f>
        <v>617900.15448351158</v>
      </c>
      <c r="BF6" s="23">
        <f>'Intermediate calculations'!BA15*'Intermediate calculations'!BA16*Constants!$H$19</f>
        <v>626146.74972519069</v>
      </c>
      <c r="BG6" s="23">
        <f>'Intermediate calculations'!BB15*'Intermediate calculations'!BB16*Constants!$H$19</f>
        <v>634871.40024518245</v>
      </c>
      <c r="BH6" s="23">
        <f>'Intermediate calculations'!BC15*'Intermediate calculations'!BC16*Constants!$H$19</f>
        <v>643245.12775062257</v>
      </c>
      <c r="BI6" s="23">
        <f>'Intermediate calculations'!BD15*'Intermediate calculations'!BD16*Constants!$H$19</f>
        <v>651944.01875325164</v>
      </c>
      <c r="BJ6" s="23">
        <f>'Intermediate calculations'!BE15*'Intermediate calculations'!BE16*Constants!$H$19</f>
        <v>661007.74730879569</v>
      </c>
      <c r="BK6" s="23">
        <f>'Intermediate calculations'!BF15*'Intermediate calculations'!BF16*Constants!$H$19</f>
        <v>670500.11350534752</v>
      </c>
      <c r="BL6" s="23">
        <f>'Intermediate calculations'!BG15*'Intermediate calculations'!BG16*Constants!$H$19</f>
        <v>680160.38715776231</v>
      </c>
      <c r="BM6" s="23">
        <f>'Intermediate calculations'!BH15*'Intermediate calculations'!BH16*Constants!$H$19</f>
        <v>682450.76083924749</v>
      </c>
      <c r="BN6" s="23">
        <f>'Intermediate calculations'!BI15*'Intermediate calculations'!BI16*Constants!$H$19</f>
        <v>684080.81278207805</v>
      </c>
      <c r="BO6" s="23">
        <f>'Intermediate calculations'!BJ15*'Intermediate calculations'!BJ16*Constants!$H$19</f>
        <v>684748.67484489607</v>
      </c>
      <c r="BP6" s="23">
        <f>'Intermediate calculations'!BK15*'Intermediate calculations'!BK16*Constants!$H$19</f>
        <v>685151.94798773597</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23">
        <f>'Intermediate calculations'!Y15*'Intermediate calculations'!Y16*(1-Constants!$H$18-Constants!$H$19)</f>
        <v>606918.78325022152</v>
      </c>
      <c r="AE7" s="23">
        <f>'Intermediate calculations'!Z15*'Intermediate calculations'!Z16*(1-Constants!$H$18-Constants!$H$19)</f>
        <v>610311.76961624727</v>
      </c>
      <c r="AF7" s="23">
        <f>'Intermediate calculations'!AA15*'Intermediate calculations'!AA16*(1-Constants!$H$18-Constants!$H$19)</f>
        <v>615125.83619595377</v>
      </c>
      <c r="AG7" s="23">
        <f>'Intermediate calculations'!AB15*'Intermediate calculations'!AB16*(1-Constants!$H$18-Constants!$H$19)</f>
        <v>618219.38677716604</v>
      </c>
      <c r="AH7" s="23">
        <f>'Intermediate calculations'!AC15*'Intermediate calculations'!AC16*(1-Constants!$H$18-Constants!$H$19)</f>
        <v>620275.06528709247</v>
      </c>
      <c r="AI7" s="23">
        <f>'Intermediate calculations'!AD15*'Intermediate calculations'!AD16*(1-Constants!$H$18-Constants!$H$19)</f>
        <v>621272.63925902906</v>
      </c>
      <c r="AJ7" s="23">
        <f>'Intermediate calculations'!AE15*'Intermediate calculations'!AE16*(1-Constants!$H$18-Constants!$H$19)</f>
        <v>623476.65142203099</v>
      </c>
      <c r="AK7" s="23">
        <f>'Intermediate calculations'!AF15*'Intermediate calculations'!AF16*(1-Constants!$H$18-Constants!$H$19)</f>
        <v>626005.02356892731</v>
      </c>
      <c r="AL7" s="23">
        <f>'Intermediate calculations'!AG15*'Intermediate calculations'!AG16*(1-Constants!$H$18-Constants!$H$19)</f>
        <v>607187.56322749855</v>
      </c>
      <c r="AM7" s="23">
        <f>'Intermediate calculations'!AH15*'Intermediate calculations'!AH16*(1-Constants!$H$18-Constants!$H$19)</f>
        <v>613572.21270139457</v>
      </c>
      <c r="AN7" s="23">
        <f>'Intermediate calculations'!AI15*'Intermediate calculations'!AI16*(1-Constants!$H$18-Constants!$H$19)</f>
        <v>622917.65012968797</v>
      </c>
      <c r="AO7" s="23">
        <f>'Intermediate calculations'!AJ15*'Intermediate calculations'!AJ16*(1-Constants!$H$18-Constants!$H$19)</f>
        <v>627761.61516111693</v>
      </c>
      <c r="AP7" s="23">
        <f>'Intermediate calculations'!AK15*'Intermediate calculations'!AK16*(1-Constants!$H$18-Constants!$H$19)</f>
        <v>633297.62238301209</v>
      </c>
      <c r="AQ7" s="23">
        <f>'Intermediate calculations'!AL15*'Intermediate calculations'!AL16*(1-Constants!$H$18-Constants!$H$19)</f>
        <v>639704.97072475019</v>
      </c>
      <c r="AR7" s="23">
        <f>'Intermediate calculations'!AM15*'Intermediate calculations'!AM16*(1-Constants!$H$18-Constants!$H$19)</f>
        <v>646248.08231939387</v>
      </c>
      <c r="AS7" s="23">
        <f>'Intermediate calculations'!AN15*'Intermediate calculations'!AN16*(1-Constants!$H$18-Constants!$H$19)</f>
        <v>653490.46301383572</v>
      </c>
      <c r="AT7" s="23">
        <f>'Intermediate calculations'!AO15*'Intermediate calculations'!AO16*(1-Constants!$H$18-Constants!$H$19)</f>
        <v>660957.19286149426</v>
      </c>
      <c r="AU7" s="23">
        <f>'Intermediate calculations'!AP15*'Intermediate calculations'!AP16*(1-Constants!$H$18-Constants!$H$19)</f>
        <v>669076.94860152714</v>
      </c>
      <c r="AV7" s="23">
        <f>'Intermediate calculations'!AQ15*'Intermediate calculations'!AQ16*(1-Constants!$H$18-Constants!$H$19)</f>
        <v>677379.87084850308</v>
      </c>
      <c r="AW7" s="23">
        <f>'Intermediate calculations'!AR15*'Intermediate calculations'!AR16*(1-Constants!$H$18-Constants!$H$19)</f>
        <v>686349.76616286277</v>
      </c>
      <c r="AX7" s="23">
        <f>'Intermediate calculations'!AS15*'Intermediate calculations'!AS16*(1-Constants!$H$18-Constants!$H$19)</f>
        <v>695198.25972665811</v>
      </c>
      <c r="AY7" s="23">
        <f>'Intermediate calculations'!AT15*'Intermediate calculations'!AT16*(1-Constants!$H$18-Constants!$H$19)</f>
        <v>704537.77870873525</v>
      </c>
      <c r="AZ7" s="23">
        <f>'Intermediate calculations'!AU15*'Intermediate calculations'!AU16*(1-Constants!$H$18-Constants!$H$19)</f>
        <v>715102.31861962832</v>
      </c>
      <c r="BA7" s="23">
        <f>'Intermediate calculations'!AV15*'Intermediate calculations'!AV16*(1-Constants!$H$18-Constants!$H$19)</f>
        <v>725146.7663394307</v>
      </c>
      <c r="BB7" s="23">
        <f>'Intermediate calculations'!AW15*'Intermediate calculations'!AW16*(1-Constants!$H$18-Constants!$H$19)</f>
        <v>735447.29427284573</v>
      </c>
      <c r="BC7" s="23">
        <f>'Intermediate calculations'!AX15*'Intermediate calculations'!AX16*(1-Constants!$H$18-Constants!$H$19)</f>
        <v>746463.24266507511</v>
      </c>
      <c r="BD7" s="23">
        <f>'Intermediate calculations'!AY15*'Intermediate calculations'!AY16*(1-Constants!$H$18-Constants!$H$19)</f>
        <v>756783.85872263601</v>
      </c>
      <c r="BE7" s="23">
        <f>'Intermediate calculations'!AZ15*'Intermediate calculations'!AZ16*(1-Constants!$H$18-Constants!$H$19)</f>
        <v>767048.4676347042</v>
      </c>
      <c r="BF7" s="23">
        <f>'Intermediate calculations'!BA15*'Intermediate calculations'!BA16*(1-Constants!$H$18-Constants!$H$19)</f>
        <v>777285.62034851266</v>
      </c>
      <c r="BG7" s="23">
        <f>'Intermediate calculations'!BB15*'Intermediate calculations'!BB16*(1-Constants!$H$18-Constants!$H$19)</f>
        <v>788116.22099401976</v>
      </c>
      <c r="BH7" s="23">
        <f>'Intermediate calculations'!BC15*'Intermediate calculations'!BC16*(1-Constants!$H$18-Constants!$H$19)</f>
        <v>798511.19306973857</v>
      </c>
      <c r="BI7" s="23">
        <f>'Intermediate calculations'!BD15*'Intermediate calculations'!BD16*(1-Constants!$H$18-Constants!$H$19)</f>
        <v>809309.81638334703</v>
      </c>
      <c r="BJ7" s="23">
        <f>'Intermediate calculations'!BE15*'Intermediate calculations'!BE16*(1-Constants!$H$18-Constants!$H$19)</f>
        <v>820561.34148678102</v>
      </c>
      <c r="BK7" s="23">
        <f>'Intermediate calculations'!BF15*'Intermediate calculations'!BF16*(1-Constants!$H$18-Constants!$H$19)</f>
        <v>832344.96848939708</v>
      </c>
      <c r="BL7" s="23">
        <f>'Intermediate calculations'!BG15*'Intermediate calculations'!BG16*(1-Constants!$H$18-Constants!$H$19)</f>
        <v>844337.03233377414</v>
      </c>
      <c r="BM7" s="23">
        <f>'Intermediate calculations'!BH15*'Intermediate calculations'!BH16*(1-Constants!$H$18-Constants!$H$19)</f>
        <v>847180.25483492808</v>
      </c>
      <c r="BN7" s="23">
        <f>'Intermediate calculations'!BI15*'Intermediate calculations'!BI16*(1-Constants!$H$18-Constants!$H$19)</f>
        <v>849203.76759154536</v>
      </c>
      <c r="BO7" s="23">
        <f>'Intermediate calculations'!BJ15*'Intermediate calculations'!BJ16*(1-Constants!$H$18-Constants!$H$19)</f>
        <v>850032.83773849171</v>
      </c>
      <c r="BP7" s="23">
        <f>'Intermediate calculations'!BK15*'Intermediate calculations'!BK16*(1-Constants!$H$18-Constants!$H$19)</f>
        <v>850533.45267443103</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23">
        <f>'Intermediate calculations'!Y10*'Intermediate calculations'!Y11*Constants!$H$20</f>
        <v>5954880.1627134737</v>
      </c>
      <c r="AE8" s="23">
        <f>'Intermediate calculations'!Z10*'Intermediate calculations'!Z11*Constants!$H$20</f>
        <v>5903235.3888004757</v>
      </c>
      <c r="AF8" s="23">
        <f>'Intermediate calculations'!AA10*'Intermediate calculations'!AA11*Constants!$H$20</f>
        <v>5883575.7867908729</v>
      </c>
      <c r="AG8" s="23">
        <f>'Intermediate calculations'!AB10*'Intermediate calculations'!AB11*Constants!$H$20</f>
        <v>5805008.3335930631</v>
      </c>
      <c r="AH8" s="23">
        <f>'Intermediate calculations'!AC10*'Intermediate calculations'!AC11*Constants!$H$20</f>
        <v>5690965.7565264786</v>
      </c>
      <c r="AI8" s="23">
        <f>'Intermediate calculations'!AD10*'Intermediate calculations'!AD11*Constants!$H$20</f>
        <v>5543806.2775503108</v>
      </c>
      <c r="AJ8" s="23">
        <f>'Intermediate calculations'!AE10*'Intermediate calculations'!AE11*Constants!$H$20</f>
        <v>5427737.2925172504</v>
      </c>
      <c r="AK8" s="23">
        <f>'Intermediate calculations'!AF10*'Intermediate calculations'!AF11*Constants!$H$20</f>
        <v>5317922.8374796044</v>
      </c>
      <c r="AL8" s="23">
        <f>'Intermediate calculations'!AG10*'Intermediate calculations'!AG11*Constants!$H$20</f>
        <v>4678221.8105234597</v>
      </c>
      <c r="AM8" s="23">
        <f>'Intermediate calculations'!AH10*'Intermediate calculations'!AH11*Constants!$H$20</f>
        <v>4754210.2304002214</v>
      </c>
      <c r="AN8" s="23">
        <f>'Intermediate calculations'!AI10*'Intermediate calculations'!AI11*Constants!$H$20</f>
        <v>4895969.0248722164</v>
      </c>
      <c r="AO8" s="23">
        <f>'Intermediate calculations'!AJ10*'Intermediate calculations'!AJ11*Constants!$H$20</f>
        <v>4924279.8935017614</v>
      </c>
      <c r="AP8" s="23">
        <f>'Intermediate calculations'!AK10*'Intermediate calculations'!AK11*Constants!$H$20</f>
        <v>4965112.3083347548</v>
      </c>
      <c r="AQ8" s="23">
        <f>'Intermediate calculations'!AL10*'Intermediate calculations'!AL11*Constants!$H$20</f>
        <v>5022074.4277090412</v>
      </c>
      <c r="AR8" s="23">
        <f>'Intermediate calculations'!AM10*'Intermediate calculations'!AM11*Constants!$H$20</f>
        <v>5087412.5776335113</v>
      </c>
      <c r="AS8" s="23">
        <f>'Intermediate calculations'!AN10*'Intermediate calculations'!AN11*Constants!$H$20</f>
        <v>5164018.1277219895</v>
      </c>
      <c r="AT8" s="23">
        <f>'Intermediate calculations'!AO10*'Intermediate calculations'!AO11*Constants!$H$20</f>
        <v>5240976.999745884</v>
      </c>
      <c r="AU8" s="23">
        <f>'Intermediate calculations'!AP10*'Intermediate calculations'!AP11*Constants!$H$20</f>
        <v>5327531.9837928433</v>
      </c>
      <c r="AV8" s="23">
        <f>'Intermediate calculations'!AQ10*'Intermediate calculations'!AQ11*Constants!$H$20</f>
        <v>5413228.0043612635</v>
      </c>
      <c r="AW8" s="23">
        <f>'Intermediate calculations'!AR10*'Intermediate calculations'!AR11*Constants!$H$20</f>
        <v>5469050.6347828945</v>
      </c>
      <c r="AX8" s="23">
        <f>'Intermediate calculations'!AS10*'Intermediate calculations'!AS11*Constants!$H$20</f>
        <v>5514884.9045513067</v>
      </c>
      <c r="AY8" s="23">
        <f>'Intermediate calculations'!AT10*'Intermediate calculations'!AT11*Constants!$H$20</f>
        <v>5563306.2135728579</v>
      </c>
      <c r="AZ8" s="23">
        <f>'Intermediate calculations'!AU10*'Intermediate calculations'!AU11*Constants!$H$20</f>
        <v>5628093.3810104998</v>
      </c>
      <c r="BA8" s="23">
        <f>'Intermediate calculations'!AV10*'Intermediate calculations'!AV11*Constants!$H$20</f>
        <v>5674686.1332498901</v>
      </c>
      <c r="BB8" s="23">
        <f>'Intermediate calculations'!AW10*'Intermediate calculations'!AW11*Constants!$H$20</f>
        <v>5724342.5261227358</v>
      </c>
      <c r="BC8" s="23">
        <f>'Intermediate calculations'!AX10*'Intermediate calculations'!AX11*Constants!$H$20</f>
        <v>5779003.9389049551</v>
      </c>
      <c r="BD8" s="23">
        <f>'Intermediate calculations'!AY10*'Intermediate calculations'!AY11*Constants!$H$20</f>
        <v>5813065.2759390101</v>
      </c>
      <c r="BE8" s="23">
        <f>'Intermediate calculations'!AZ10*'Intermediate calculations'!AZ11*Constants!$H$20</f>
        <v>5838618.7128094397</v>
      </c>
      <c r="BF8" s="23">
        <f>'Intermediate calculations'!BA10*'Intermediate calculations'!BA11*Constants!$H$20</f>
        <v>5856392.7647159388</v>
      </c>
      <c r="BG8" s="23">
        <f>'Intermediate calculations'!BB10*'Intermediate calculations'!BB11*Constants!$H$20</f>
        <v>5911647.5944136344</v>
      </c>
      <c r="BH8" s="23">
        <f>'Intermediate calculations'!BC10*'Intermediate calculations'!BC11*Constants!$H$20</f>
        <v>5953648.2599407025</v>
      </c>
      <c r="BI8" s="23">
        <f>'Intermediate calculations'!BD10*'Intermediate calculations'!BD11*Constants!$H$20</f>
        <v>5996179.0955955889</v>
      </c>
      <c r="BJ8" s="23">
        <f>'Intermediate calculations'!BE10*'Intermediate calculations'!BE11*Constants!$H$20</f>
        <v>6039726.6349117495</v>
      </c>
      <c r="BK8" s="23">
        <f>'Intermediate calculations'!BF10*'Intermediate calculations'!BF11*Constants!$H$20</f>
        <v>6085169.0279960074</v>
      </c>
      <c r="BL8" s="23">
        <f>'Intermediate calculations'!BG10*'Intermediate calculations'!BG11*Constants!$H$20</f>
        <v>6131826.2951819589</v>
      </c>
      <c r="BM8" s="23">
        <f>'Intermediate calculations'!BH10*'Intermediate calculations'!BH11*Constants!$H$20</f>
        <v>6039789.4008549312</v>
      </c>
      <c r="BN8" s="23">
        <f>'Intermediate calculations'!BI10*'Intermediate calculations'!BI11*Constants!$H$20</f>
        <v>5935527.0782835614</v>
      </c>
      <c r="BO8" s="23">
        <f>'Intermediate calculations'!BJ10*'Intermediate calculations'!BJ11*Constants!$H$20</f>
        <v>5814653.602642755</v>
      </c>
      <c r="BP8" s="23">
        <f>'Intermediate calculations'!BK10*'Intermediate calculations'!BK11*Constants!$H$20</f>
        <v>5689992.0401735585</v>
      </c>
    </row>
    <row r="9" spans="1:72" x14ac:dyDescent="0.3">
      <c r="A9" t="str">
        <f t="shared" si="1"/>
        <v>3A Livestock</v>
      </c>
      <c r="C9" t="str">
        <f>$C$8</f>
        <v>3A1aii Other cattle</v>
      </c>
      <c r="D9" t="str">
        <f>'IPCC Categories'!$F$37</f>
        <v>Subsistence</v>
      </c>
      <c r="E9" t="str">
        <f t="shared" ref="E9:E22" si="2">E8</f>
        <v>Population</v>
      </c>
      <c r="F9" t="str">
        <f t="shared" ref="F9:F22" si="3">F8</f>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23">
        <f>'Intermediate calculations'!Y10*'Intermediate calculations'!Y11*(1-Constants!$H$20)</f>
        <v>5280742.7858025134</v>
      </c>
      <c r="AE9" s="23">
        <f>'Intermediate calculations'!Z10*'Intermediate calculations'!Z11*(1-Constants!$H$20)</f>
        <v>5234944.5900683459</v>
      </c>
      <c r="AF9" s="23">
        <f>'Intermediate calculations'!AA10*'Intermediate calculations'!AA11*(1-Constants!$H$20)</f>
        <v>5217510.6033805842</v>
      </c>
      <c r="AG9" s="23">
        <f>'Intermediate calculations'!AB10*'Intermediate calculations'!AB11*(1-Constants!$H$20)</f>
        <v>5147837.5788466781</v>
      </c>
      <c r="AH9" s="23">
        <f>'Intermediate calculations'!AC10*'Intermediate calculations'!AC11*(1-Constants!$H$20)</f>
        <v>5046705.4822027264</v>
      </c>
      <c r="AI9" s="23">
        <f>'Intermediate calculations'!AD10*'Intermediate calculations'!AD11*(1-Constants!$H$20)</f>
        <v>4916205.5668842373</v>
      </c>
      <c r="AJ9" s="23">
        <f>'Intermediate calculations'!AE10*'Intermediate calculations'!AE11*(1-Constants!$H$20)</f>
        <v>4813276.4669492599</v>
      </c>
      <c r="AK9" s="23">
        <f>'Intermediate calculations'!AF10*'Intermediate calculations'!AF11*(1-Constants!$H$20)</f>
        <v>4715893.8370102141</v>
      </c>
      <c r="AL9" s="23">
        <f>'Intermediate calculations'!AG10*'Intermediate calculations'!AG11*(1-Constants!$H$20)</f>
        <v>4148611.7942377846</v>
      </c>
      <c r="AM9" s="23">
        <f>'Intermediate calculations'!AH10*'Intermediate calculations'!AH11*(1-Constants!$H$20)</f>
        <v>4215997.7514869887</v>
      </c>
      <c r="AN9" s="23">
        <f>'Intermediate calculations'!AI10*'Intermediate calculations'!AI11*(1-Constants!$H$20)</f>
        <v>4341708.3805470588</v>
      </c>
      <c r="AO9" s="23">
        <f>'Intermediate calculations'!AJ10*'Intermediate calculations'!AJ11*(1-Constants!$H$20)</f>
        <v>4366814.2451808071</v>
      </c>
      <c r="AP9" s="23">
        <f>'Intermediate calculations'!AK10*'Intermediate calculations'!AK11*(1-Constants!$H$20)</f>
        <v>4403024.1224855371</v>
      </c>
      <c r="AQ9" s="23">
        <f>'Intermediate calculations'!AL10*'Intermediate calculations'!AL11*(1-Constants!$H$20)</f>
        <v>4453537.7000438664</v>
      </c>
      <c r="AR9" s="23">
        <f>'Intermediate calculations'!AM10*'Intermediate calculations'!AM11*(1-Constants!$H$20)</f>
        <v>4511479.0782787744</v>
      </c>
      <c r="AS9" s="23">
        <f>'Intermediate calculations'!AN10*'Intermediate calculations'!AN11*(1-Constants!$H$20)</f>
        <v>4579412.3019421417</v>
      </c>
      <c r="AT9" s="23">
        <f>'Intermediate calculations'!AO10*'Intermediate calculations'!AO11*(1-Constants!$H$20)</f>
        <v>4647658.8488312559</v>
      </c>
      <c r="AU9" s="23">
        <f>'Intermediate calculations'!AP10*'Intermediate calculations'!AP11*(1-Constants!$H$20)</f>
        <v>4724415.1554389354</v>
      </c>
      <c r="AV9" s="23">
        <f>'Intermediate calculations'!AQ10*'Intermediate calculations'!AQ11*(1-Constants!$H$20)</f>
        <v>4800409.7397165922</v>
      </c>
      <c r="AW9" s="23">
        <f>'Intermediate calculations'!AR10*'Intermediate calculations'!AR11*(1-Constants!$H$20)</f>
        <v>4849912.8270716229</v>
      </c>
      <c r="AX9" s="23">
        <f>'Intermediate calculations'!AS10*'Intermediate calculations'!AS11*(1-Constants!$H$20)</f>
        <v>4890558.311583234</v>
      </c>
      <c r="AY9" s="23">
        <f>'Intermediate calculations'!AT10*'Intermediate calculations'!AT11*(1-Constants!$H$20)</f>
        <v>4933497.9629797041</v>
      </c>
      <c r="AZ9" s="23">
        <f>'Intermediate calculations'!AU10*'Intermediate calculations'!AU11*(1-Constants!$H$20)</f>
        <v>4990950.7341036508</v>
      </c>
      <c r="BA9" s="23">
        <f>'Intermediate calculations'!AV10*'Intermediate calculations'!AV11*(1-Constants!$H$20)</f>
        <v>5032268.8351461291</v>
      </c>
      <c r="BB9" s="23">
        <f>'Intermediate calculations'!AW10*'Intermediate calculations'!AW11*(1-Constants!$H$20)</f>
        <v>5076303.7495805379</v>
      </c>
      <c r="BC9" s="23">
        <f>'Intermediate calculations'!AX10*'Intermediate calculations'!AX11*(1-Constants!$H$20)</f>
        <v>5124777.0778968455</v>
      </c>
      <c r="BD9" s="23">
        <f>'Intermediate calculations'!AY10*'Intermediate calculations'!AY11*(1-Constants!$H$20)</f>
        <v>5154982.4145119525</v>
      </c>
      <c r="BE9" s="23">
        <f>'Intermediate calculations'!AZ10*'Intermediate calculations'!AZ11*(1-Constants!$H$20)</f>
        <v>5177643.009472521</v>
      </c>
      <c r="BF9" s="23">
        <f>'Intermediate calculations'!BA10*'Intermediate calculations'!BA11*(1-Constants!$H$20)</f>
        <v>5193404.9045594176</v>
      </c>
      <c r="BG9" s="23">
        <f>'Intermediate calculations'!BB10*'Intermediate calculations'!BB11*(1-Constants!$H$20)</f>
        <v>5242404.4705177508</v>
      </c>
      <c r="BH9" s="23">
        <f>'Intermediate calculations'!BC10*'Intermediate calculations'!BC11*(1-Constants!$H$20)</f>
        <v>5279650.3437210005</v>
      </c>
      <c r="BI9" s="23">
        <f>'Intermediate calculations'!BD10*'Intermediate calculations'!BD11*(1-Constants!$H$20)</f>
        <v>5317366.3677923139</v>
      </c>
      <c r="BJ9" s="23">
        <f>'Intermediate calculations'!BE10*'Intermediate calculations'!BE11*(1-Constants!$H$20)</f>
        <v>5355983.9969972111</v>
      </c>
      <c r="BK9" s="23">
        <f>'Intermediate calculations'!BF10*'Intermediate calculations'!BF11*(1-Constants!$H$20)</f>
        <v>5396281.9682228733</v>
      </c>
      <c r="BL9" s="23">
        <f>'Intermediate calculations'!BG10*'Intermediate calculations'!BG11*(1-Constants!$H$20)</f>
        <v>5437657.2806330575</v>
      </c>
      <c r="BM9" s="23">
        <f>'Intermediate calculations'!BH10*'Intermediate calculations'!BH11*(1-Constants!$H$20)</f>
        <v>5356039.65736192</v>
      </c>
      <c r="BN9" s="23">
        <f>'Intermediate calculations'!BI10*'Intermediate calculations'!BI11*(1-Constants!$H$20)</f>
        <v>5263580.6165910829</v>
      </c>
      <c r="BO9" s="23">
        <f>'Intermediate calculations'!BJ10*'Intermediate calculations'!BJ11*(1-Constants!$H$20)</f>
        <v>5156390.9306454612</v>
      </c>
      <c r="BP9" s="23">
        <f>'Intermediate calculations'!BK10*'Intermediate calculations'!BK11*(1-Constants!$H$20)</f>
        <v>5045841.997889759</v>
      </c>
    </row>
    <row r="10" spans="1:72" x14ac:dyDescent="0.3">
      <c r="A10" t="str">
        <f t="shared" si="1"/>
        <v>3A Livestock</v>
      </c>
      <c r="C10" t="str">
        <f>$C$9</f>
        <v>3A1aii Other cattle</v>
      </c>
      <c r="D10" t="str">
        <f>'IPCC Categories'!$F$38</f>
        <v>Feedlot</v>
      </c>
      <c r="E10" t="str">
        <f t="shared" si="2"/>
        <v>Population</v>
      </c>
      <c r="F10" t="str">
        <f t="shared" si="3"/>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23">
        <f>(((('Intermediate calculations'!Y9/('Intermediate calculations'!Y64+0.27))*ttokg)/Constants!$H$21)/(365/'Intermediate calculations'!Y65))</f>
        <v>541460.03376820497</v>
      </c>
      <c r="AE10" s="23">
        <f>(((('Intermediate calculations'!Z9/('Intermediate calculations'!Z64+0.27))*ttokg)/Constants!$H$21)/(365/'Intermediate calculations'!Z65))</f>
        <v>559717.10307730967</v>
      </c>
      <c r="AF10" s="23">
        <f>(((('Intermediate calculations'!AA9/('Intermediate calculations'!AA64+0.27))*ttokg)/Constants!$H$21)/(365/'Intermediate calculations'!AA65))</f>
        <v>581386.33409904351</v>
      </c>
      <c r="AG10" s="23">
        <f>(((('Intermediate calculations'!AB9/('Intermediate calculations'!AB64+0.27))*ttokg)/Constants!$H$21)/(365/'Intermediate calculations'!AB65))</f>
        <v>597546.77075746458</v>
      </c>
      <c r="AH10" s="23">
        <f>(((('Intermediate calculations'!AC9/('Intermediate calculations'!AC64+0.27))*ttokg)/Constants!$H$21)/(365/'Intermediate calculations'!AC65))</f>
        <v>610009.49754182238</v>
      </c>
      <c r="AI10" s="23">
        <f>(((('Intermediate calculations'!AD9/('Intermediate calculations'!AD64+0.27))*ttokg)/Constants!$H$21)/(365/'Intermediate calculations'!AD65))</f>
        <v>618596.39996388648</v>
      </c>
      <c r="AJ10" s="23">
        <f>(((('Intermediate calculations'!AE9/('Intermediate calculations'!AE64+0.27))*ttokg)/Constants!$H$21)/(365/'Intermediate calculations'!AE65))</f>
        <v>630321.10002649133</v>
      </c>
      <c r="AK10" s="23">
        <f>(((('Intermediate calculations'!AF9/('Intermediate calculations'!AF64+0.27))*ttokg)/Constants!$H$21)/(365/'Intermediate calculations'!AF65))</f>
        <v>642612.00897727197</v>
      </c>
      <c r="AL10" s="23">
        <f>(((('Intermediate calculations'!AG9/('Intermediate calculations'!AG64+0.27))*ttokg)/Constants!$H$21)/(365/'Intermediate calculations'!AG65))</f>
        <v>588158.61646480043</v>
      </c>
      <c r="AM10" s="23">
        <f>(((('Intermediate calculations'!AH9/('Intermediate calculations'!AH64+0.27))*ttokg)/Constants!$H$21)/(365/'Intermediate calculations'!AH65))</f>
        <v>612112.57898327347</v>
      </c>
      <c r="AN10" s="23">
        <f>(((('Intermediate calculations'!AI9/('Intermediate calculations'!AI64+0.27))*ttokg)/Constants!$H$21)/(365/'Intermediate calculations'!AI65))</f>
        <v>645342.88662744861</v>
      </c>
      <c r="AO10" s="23">
        <f>(((('Intermediate calculations'!AJ9/('Intermediate calculations'!AJ64+0.27))*ttokg)/Constants!$H$21)/(365/'Intermediate calculations'!AJ65))</f>
        <v>664301.76371274178</v>
      </c>
      <c r="AP10" s="23">
        <f>(((('Intermediate calculations'!AK9/('Intermediate calculations'!AK64+0.27))*ttokg)/Constants!$H$21)/(365/'Intermediate calculations'!AK65))</f>
        <v>685338.87859142851</v>
      </c>
      <c r="AQ10" s="23">
        <f>(((('Intermediate calculations'!AL9/('Intermediate calculations'!AL64+0.27))*ttokg)/Constants!$H$21)/(365/'Intermediate calculations'!AL65))</f>
        <v>709097.1405257904</v>
      </c>
      <c r="AR10" s="23">
        <f>(((('Intermediate calculations'!AM9/('Intermediate calculations'!AM64+0.27))*ttokg)/Constants!$H$21)/(365/'Intermediate calculations'!AM65))</f>
        <v>734627.9848781582</v>
      </c>
      <c r="AS10" s="23">
        <f>(((('Intermediate calculations'!AN9/('Intermediate calculations'!AN64+0.27))*ttokg)/Constants!$H$21)/(365/'Intermediate calculations'!AN65))</f>
        <v>762458.04587239982</v>
      </c>
      <c r="AT10" s="23">
        <f>(((('Intermediate calculations'!AO9/('Intermediate calculations'!AO64+0.27))*ttokg)/Constants!$H$21)/(365/'Intermediate calculations'!AO65))</f>
        <v>791070.7706001699</v>
      </c>
      <c r="AU10" s="23">
        <f>(((('Intermediate calculations'!AP9/('Intermediate calculations'!AP64+0.27))*ttokg)/Constants!$H$21)/(365/'Intermediate calculations'!AP65))</f>
        <v>821917.21013602836</v>
      </c>
      <c r="AV10" s="23">
        <f>(((('Intermediate calculations'!AQ9/('Intermediate calculations'!AQ64+0.27))*ttokg)/Constants!$H$21)/(365/'Intermediate calculations'!AQ65))</f>
        <v>853468.65365837014</v>
      </c>
      <c r="AW10" s="23">
        <f>(((('Intermediate calculations'!AR9/('Intermediate calculations'!AR64+0.27))*ttokg)/Constants!$H$21)/(365/'Intermediate calculations'!AR65))</f>
        <v>890865.05106413458</v>
      </c>
      <c r="AX10" s="23">
        <f>(((('Intermediate calculations'!AS9/('Intermediate calculations'!AS64+0.27))*ttokg)/Constants!$H$21)/(365/'Intermediate calculations'!AS65))</f>
        <v>928179.29472175706</v>
      </c>
      <c r="AY10" s="23">
        <f>(((('Intermediate calculations'!AT9/('Intermediate calculations'!AT64+0.27))*ttokg)/Constants!$H$21)/(365/'Intermediate calculations'!AT65))</f>
        <v>967518.99632802093</v>
      </c>
      <c r="AZ10" s="23">
        <f>(((('Intermediate calculations'!AU9/('Intermediate calculations'!AU64+0.27))*ttokg)/Constants!$H$21)/(365/'Intermediate calculations'!AU65))</f>
        <v>1011494.293897412</v>
      </c>
      <c r="BA10" s="23">
        <f>(((('Intermediate calculations'!AV9/('Intermediate calculations'!AV64+0.27))*ttokg)/Constants!$H$21)/(365/'Intermediate calculations'!AV65))</f>
        <v>1054078.2446871761</v>
      </c>
      <c r="BB10" s="23">
        <f>(((('Intermediate calculations'!AW9/('Intermediate calculations'!AW64+0.27))*ttokg)/Constants!$H$21)/(365/'Intermediate calculations'!AW65))</f>
        <v>1099125.992578987</v>
      </c>
      <c r="BC10" s="23">
        <f>(((('Intermediate calculations'!AX9/('Intermediate calculations'!AX64+0.27))*ttokg)/Constants!$H$21)/(365/'Intermediate calculations'!AX65))</f>
        <v>1147193.0120778126</v>
      </c>
      <c r="BD10" s="23">
        <f>(((('Intermediate calculations'!AY9/('Intermediate calculations'!AY64+0.27))*ttokg)/Constants!$H$21)/(365/'Intermediate calculations'!AY65))</f>
        <v>1193245.9412812144</v>
      </c>
      <c r="BE10" s="23">
        <f>(((('Intermediate calculations'!AZ9/('Intermediate calculations'!AZ64+0.27))*ttokg)/Constants!$H$21)/(365/'Intermediate calculations'!AZ65))</f>
        <v>1239551.9831810831</v>
      </c>
      <c r="BF10" s="23">
        <f>(((('Intermediate calculations'!BA9/('Intermediate calculations'!BA64+0.27))*ttokg)/Constants!$H$21)/(365/'Intermediate calculations'!BA65))</f>
        <v>1286211.6171502508</v>
      </c>
      <c r="BG10" s="23">
        <f>(((('Intermediate calculations'!BB9/('Intermediate calculations'!BB64+0.27))*ttokg)/Constants!$H$21)/(365/'Intermediate calculations'!BB65))</f>
        <v>1334980.1372066648</v>
      </c>
      <c r="BH10" s="23">
        <f>(((('Intermediate calculations'!BC9/('Intermediate calculations'!BC64+0.27))*ttokg)/Constants!$H$21)/(365/'Intermediate calculations'!BC65))</f>
        <v>1382530.3391591066</v>
      </c>
      <c r="BI10" s="23">
        <f>(((('Intermediate calculations'!BD9/('Intermediate calculations'!BD64+0.27))*ttokg)/Constants!$H$21)/(365/'Intermediate calculations'!BD65))</f>
        <v>1431983.1115351482</v>
      </c>
      <c r="BJ10" s="23">
        <f>(((('Intermediate calculations'!BE9/('Intermediate calculations'!BE64+0.27))*ttokg)/Constants!$H$21)/(365/'Intermediate calculations'!BE65))</f>
        <v>1483557.3848712698</v>
      </c>
      <c r="BK10" s="23">
        <f>(((('Intermediate calculations'!BF9/('Intermediate calculations'!BF64+0.27))*ttokg)/Constants!$H$21)/(365/'Intermediate calculations'!BF65))</f>
        <v>1537591.1645011755</v>
      </c>
      <c r="BL10" s="23">
        <f>(((('Intermediate calculations'!BG9/('Intermediate calculations'!BG64+0.27))*ttokg)/Constants!$H$21)/(365/'Intermediate calculations'!BG65))</f>
        <v>1594050.6360329464</v>
      </c>
      <c r="BM10" s="23">
        <f>(((('Intermediate calculations'!BH9/('Intermediate calculations'!BH64+0.27))*ttokg)/Constants!$H$21)/(365/'Intermediate calculations'!BH65))</f>
        <v>1615647.2572443776</v>
      </c>
      <c r="BN10" s="23">
        <f>(((('Intermediate calculations'!BI9/('Intermediate calculations'!BI64+0.27))*ttokg)/Constants!$H$21)/(365/'Intermediate calculations'!BI65))</f>
        <v>1634069.8828163336</v>
      </c>
      <c r="BO10" s="23">
        <f>(((('Intermediate calculations'!BJ9/('Intermediate calculations'!BJ64+0.27))*ttokg)/Constants!$H$21)/(365/'Intermediate calculations'!BJ65))</f>
        <v>1647789.1600235584</v>
      </c>
      <c r="BP10" s="23">
        <f>(((('Intermediate calculations'!BK9/('Intermediate calculations'!BK64+0.27))*ttokg)/Constants!$H$21)/(365/'Intermediate calculations'!BK65))</f>
        <v>1660128.4828121238</v>
      </c>
    </row>
    <row r="11" spans="1:72" x14ac:dyDescent="0.3">
      <c r="A11" t="str">
        <f t="shared" si="1"/>
        <v>3A Livestock</v>
      </c>
      <c r="C11" t="str">
        <f>'IPCC Categories'!$C$7</f>
        <v>3A1c Sheep</v>
      </c>
      <c r="D11" t="str">
        <f>'IPCC Categories'!F36</f>
        <v>Commercial</v>
      </c>
      <c r="E11" t="str">
        <f t="shared" si="2"/>
        <v>Population</v>
      </c>
      <c r="F11" t="str">
        <f t="shared" si="3"/>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('Intermediate calculations'!Y27*'Intermediate calculations'!Y28)*Constants!$H$22</f>
        <v>19018725.346340861</v>
      </c>
      <c r="AE11" s="23">
        <f>('Intermediate calculations'!Z27*'Intermediate calculations'!Z28)*Constants!$H$22</f>
        <v>19029008.710617676</v>
      </c>
      <c r="AF11" s="23">
        <f>('Intermediate calculations'!AA27*'Intermediate calculations'!AA28)*Constants!$H$22</f>
        <v>19053595.848806612</v>
      </c>
      <c r="AG11" s="23">
        <f>('Intermediate calculations'!AB27*'Intermediate calculations'!AB28)*Constants!$H$22</f>
        <v>19089849.781156227</v>
      </c>
      <c r="AH11" s="23">
        <f>('Intermediate calculations'!AC27*'Intermediate calculations'!AC28)*Constants!$H$22</f>
        <v>19137540.12500564</v>
      </c>
      <c r="AI11" s="23">
        <f>('Intermediate calculations'!AD27*'Intermediate calculations'!AD28)*Constants!$H$22</f>
        <v>19196163.290059295</v>
      </c>
      <c r="AJ11" s="23">
        <f>('Intermediate calculations'!AE27*'Intermediate calculations'!AE28)*Constants!$H$22</f>
        <v>19262005.106249526</v>
      </c>
      <c r="AK11" s="23">
        <f>('Intermediate calculations'!AF27*'Intermediate calculations'!AF28)*Constants!$H$22</f>
        <v>19334649.891006477</v>
      </c>
      <c r="AL11" s="23">
        <f>('Intermediate calculations'!AG27*'Intermediate calculations'!AG28)*Constants!$H$22</f>
        <v>19401079.547165584</v>
      </c>
      <c r="AM11" s="23">
        <f>('Intermediate calculations'!AH27*'Intermediate calculations'!AH28)*Constants!$H$22</f>
        <v>19430270.346318312</v>
      </c>
      <c r="AN11" s="23">
        <f>('Intermediate calculations'!AI27*'Intermediate calculations'!AI28)*Constants!$H$22</f>
        <v>19465918.583208371</v>
      </c>
      <c r="AO11" s="23">
        <f>('Intermediate calculations'!AJ27*'Intermediate calculations'!AJ28)*Constants!$H$22</f>
        <v>19503387.662754916</v>
      </c>
      <c r="AP11" s="23">
        <f>('Intermediate calculations'!AK27*'Intermediate calculations'!AK28)*Constants!$H$22</f>
        <v>19545454.703807209</v>
      </c>
      <c r="AQ11" s="23">
        <f>('Intermediate calculations'!AL27*'Intermediate calculations'!AL28)*Constants!$H$22</f>
        <v>19592002.001952454</v>
      </c>
      <c r="AR11" s="23">
        <f>('Intermediate calculations'!AM27*'Intermediate calculations'!AM28)*Constants!$H$22</f>
        <v>19621071.961548313</v>
      </c>
      <c r="AS11" s="23">
        <f>('Intermediate calculations'!AN27*'Intermediate calculations'!AN28)*Constants!$H$22</f>
        <v>19653913.646756113</v>
      </c>
      <c r="AT11" s="23">
        <f>('Intermediate calculations'!AO27*'Intermediate calculations'!AO28)*Constants!$H$22</f>
        <v>19690083.293563668</v>
      </c>
      <c r="AU11" s="23">
        <f>('Intermediate calculations'!AP27*'Intermediate calculations'!AP28)*Constants!$H$22</f>
        <v>19729680.355767876</v>
      </c>
      <c r="AV11" s="23">
        <f>('Intermediate calculations'!AQ27*'Intermediate calculations'!AQ28)*Constants!$H$22</f>
        <v>19772296.132165015</v>
      </c>
      <c r="AW11" s="23">
        <f>('Intermediate calculations'!AR27*'Intermediate calculations'!AR28)*Constants!$H$22</f>
        <v>19800883.445871253</v>
      </c>
      <c r="AX11" s="23">
        <f>('Intermediate calculations'!AS27*'Intermediate calculations'!AS28)*Constants!$H$22</f>
        <v>19831918.222846299</v>
      </c>
      <c r="AY11" s="23">
        <f>('Intermediate calculations'!AT27*'Intermediate calculations'!AT28)*Constants!$H$22</f>
        <v>19865649.931868743</v>
      </c>
      <c r="AZ11" s="23">
        <f>('Intermediate calculations'!AU27*'Intermediate calculations'!AU28)*Constants!$H$22</f>
        <v>19902407.848828781</v>
      </c>
      <c r="BA11" s="23">
        <f>('Intermediate calculations'!AV27*'Intermediate calculations'!AV28)*Constants!$H$22</f>
        <v>19941088.208598323</v>
      </c>
      <c r="BB11" s="23">
        <f>('Intermediate calculations'!AW27*'Intermediate calculations'!AW28)*Constants!$H$22</f>
        <v>19965812.571584459</v>
      </c>
      <c r="BC11" s="23">
        <f>('Intermediate calculations'!AX27*'Intermediate calculations'!AX28)*Constants!$H$22</f>
        <v>19992893.997007128</v>
      </c>
      <c r="BD11" s="23">
        <f>('Intermediate calculations'!AY27*'Intermediate calculations'!AY28)*Constants!$H$22</f>
        <v>20021439.282895565</v>
      </c>
      <c r="BE11" s="23">
        <f>('Intermediate calculations'!AZ27*'Intermediate calculations'!AZ28)*Constants!$H$22</f>
        <v>20051752.32291963</v>
      </c>
      <c r="BF11" s="23">
        <f>('Intermediate calculations'!BA27*'Intermediate calculations'!BA28)*Constants!$H$22</f>
        <v>20083787.155872289</v>
      </c>
      <c r="BG11" s="23">
        <f>('Intermediate calculations'!BB27*'Intermediate calculations'!BB28)*Constants!$H$22</f>
        <v>20102715.705030527</v>
      </c>
      <c r="BH11" s="23">
        <f>('Intermediate calculations'!BC27*'Intermediate calculations'!BC28)*Constants!$H$22</f>
        <v>20122922.160952497</v>
      </c>
      <c r="BI11" s="23">
        <f>('Intermediate calculations'!BD27*'Intermediate calculations'!BD28)*Constants!$H$22</f>
        <v>20144840.513643358</v>
      </c>
      <c r="BJ11" s="23">
        <f>('Intermediate calculations'!BE27*'Intermediate calculations'!BE28)*Constants!$H$22</f>
        <v>20168449.572705898</v>
      </c>
      <c r="BK11" s="23">
        <f>('Intermediate calculations'!BF27*'Intermediate calculations'!BF28)*Constants!$H$22</f>
        <v>20193748.848884284</v>
      </c>
      <c r="BL11" s="23">
        <f>('Intermediate calculations'!BG27*'Intermediate calculations'!BG28)*Constants!$H$22</f>
        <v>20205226.524020612</v>
      </c>
      <c r="BM11" s="23">
        <f>('Intermediate calculations'!BH27*'Intermediate calculations'!BH28)*Constants!$H$22</f>
        <v>20212623.126841974</v>
      </c>
      <c r="BN11" s="23">
        <f>('Intermediate calculations'!BI27*'Intermediate calculations'!BI28)*Constants!$H$22</f>
        <v>20220731.201451246</v>
      </c>
      <c r="BO11" s="23">
        <f>('Intermediate calculations'!BJ27*'Intermediate calculations'!BJ28)*Constants!$H$22</f>
        <v>20229295.502117977</v>
      </c>
      <c r="BP11" s="23">
        <f>('Intermediate calculations'!BK27*'Intermediate calculations'!BK28)*Constants!$H$22</f>
        <v>20238782.549587701</v>
      </c>
    </row>
    <row r="12" spans="1:72" x14ac:dyDescent="0.3">
      <c r="A12" t="str">
        <f t="shared" si="1"/>
        <v>3A Livestock</v>
      </c>
      <c r="C12" t="str">
        <f>'IPCC Categories'!$C$7</f>
        <v>3A1c Sheep</v>
      </c>
      <c r="D12" t="str">
        <f>'IPCC Categories'!$F$37</f>
        <v>Subsistence</v>
      </c>
      <c r="E12" t="str">
        <f t="shared" si="2"/>
        <v>Population</v>
      </c>
      <c r="F12" t="str">
        <f t="shared" si="3"/>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('Intermediate calculations'!Y27*'Intermediate calculations'!Y28)*(1-Constants!$H$22)</f>
        <v>2841878.5000279448</v>
      </c>
      <c r="AE12" s="23">
        <f>('Intermediate calculations'!Z27*'Intermediate calculations'!Z28)*(1-Constants!$H$22)</f>
        <v>2843415.0946899978</v>
      </c>
      <c r="AF12" s="23">
        <f>('Intermediate calculations'!AA27*'Intermediate calculations'!AA28)*(1-Constants!$H$22)</f>
        <v>2847089.0348791489</v>
      </c>
      <c r="AG12" s="23">
        <f>('Intermediate calculations'!AB27*'Intermediate calculations'!AB28)*(1-Constants!$H$22)</f>
        <v>2852506.2891382868</v>
      </c>
      <c r="AH12" s="23">
        <f>('Intermediate calculations'!AC27*'Intermediate calculations'!AC28)*(1-Constants!$H$22)</f>
        <v>2859632.432472107</v>
      </c>
      <c r="AI12" s="23">
        <f>('Intermediate calculations'!AD27*'Intermediate calculations'!AD28)*(1-Constants!$H$22)</f>
        <v>2868392.215755987</v>
      </c>
      <c r="AJ12" s="23">
        <f>('Intermediate calculations'!AE27*'Intermediate calculations'!AE28)*(1-Constants!$H$22)</f>
        <v>2878230.6480602738</v>
      </c>
      <c r="AK12" s="23">
        <f>('Intermediate calculations'!AF27*'Intermediate calculations'!AF28)*(1-Constants!$H$22)</f>
        <v>2889085.61589752</v>
      </c>
      <c r="AL12" s="23">
        <f>('Intermediate calculations'!AG27*'Intermediate calculations'!AG28)*(1-Constants!$H$22)</f>
        <v>2899011.8863580758</v>
      </c>
      <c r="AM12" s="23">
        <f>('Intermediate calculations'!AH27*'Intermediate calculations'!AH28)*(1-Constants!$H$22)</f>
        <v>2903373.7299096328</v>
      </c>
      <c r="AN12" s="23">
        <f>('Intermediate calculations'!AI27*'Intermediate calculations'!AI28)*(1-Constants!$H$22)</f>
        <v>2908700.4779506763</v>
      </c>
      <c r="AO12" s="23">
        <f>('Intermediate calculations'!AJ27*'Intermediate calculations'!AJ28)*(1-Constants!$H$22)</f>
        <v>2914299.3059288957</v>
      </c>
      <c r="AP12" s="23">
        <f>('Intermediate calculations'!AK27*'Intermediate calculations'!AK28)*(1-Constants!$H$22)</f>
        <v>2920585.1856263648</v>
      </c>
      <c r="AQ12" s="23">
        <f>('Intermediate calculations'!AL27*'Intermediate calculations'!AL28)*(1-Constants!$H$22)</f>
        <v>2927540.5290273787</v>
      </c>
      <c r="AR12" s="23">
        <f>('Intermediate calculations'!AM27*'Intermediate calculations'!AM28)*(1-Constants!$H$22)</f>
        <v>2931884.3160934262</v>
      </c>
      <c r="AS12" s="23">
        <f>('Intermediate calculations'!AN27*'Intermediate calculations'!AN28)*(1-Constants!$H$22)</f>
        <v>2936791.6943428675</v>
      </c>
      <c r="AT12" s="23">
        <f>('Intermediate calculations'!AO27*'Intermediate calculations'!AO28)*(1-Constants!$H$22)</f>
        <v>2942196.3542106631</v>
      </c>
      <c r="AU12" s="23">
        <f>('Intermediate calculations'!AP27*'Intermediate calculations'!AP28)*(1-Constants!$H$22)</f>
        <v>2948113.1566089927</v>
      </c>
      <c r="AV12" s="23">
        <f>('Intermediate calculations'!AQ27*'Intermediate calculations'!AQ28)*(1-Constants!$H$22)</f>
        <v>2954481.0312430481</v>
      </c>
      <c r="AW12" s="23">
        <f>('Intermediate calculations'!AR27*'Intermediate calculations'!AR28)*(1-Constants!$H$22)</f>
        <v>2958752.6988083483</v>
      </c>
      <c r="AX12" s="23">
        <f>('Intermediate calculations'!AS27*'Intermediate calculations'!AS28)*(1-Constants!$H$22)</f>
        <v>2963390.0792758837</v>
      </c>
      <c r="AY12" s="23">
        <f>('Intermediate calculations'!AT27*'Intermediate calculations'!AT28)*(1-Constants!$H$22)</f>
        <v>2968430.4495895826</v>
      </c>
      <c r="AZ12" s="23">
        <f>('Intermediate calculations'!AU27*'Intermediate calculations'!AU28)*(1-Constants!$H$22)</f>
        <v>2973923.0118939555</v>
      </c>
      <c r="BA12" s="23">
        <f>('Intermediate calculations'!AV27*'Intermediate calculations'!AV28)*(1-Constants!$H$22)</f>
        <v>2979702.8357675658</v>
      </c>
      <c r="BB12" s="23">
        <f>('Intermediate calculations'!AW27*'Intermediate calculations'!AW28)*(1-Constants!$H$22)</f>
        <v>2983397.2808114709</v>
      </c>
      <c r="BC12" s="23">
        <f>('Intermediate calculations'!AX27*'Intermediate calculations'!AX28)*(1-Constants!$H$22)</f>
        <v>2987443.9305872722</v>
      </c>
      <c r="BD12" s="23">
        <f>('Intermediate calculations'!AY27*'Intermediate calculations'!AY28)*(1-Constants!$H$22)</f>
        <v>2991709.3181338203</v>
      </c>
      <c r="BE12" s="23">
        <f>('Intermediate calculations'!AZ27*'Intermediate calculations'!AZ28)*(1-Constants!$H$22)</f>
        <v>2996238.85285006</v>
      </c>
      <c r="BF12" s="23">
        <f>('Intermediate calculations'!BA27*'Intermediate calculations'!BA28)*(1-Constants!$H$22)</f>
        <v>3001025.6669694227</v>
      </c>
      <c r="BG12" s="23">
        <f>('Intermediate calculations'!BB27*'Intermediate calculations'!BB28)*(1-Constants!$H$22)</f>
        <v>3003854.0708666304</v>
      </c>
      <c r="BH12" s="23">
        <f>('Intermediate calculations'!BC27*'Intermediate calculations'!BC28)*(1-Constants!$H$22)</f>
        <v>3006873.4263492236</v>
      </c>
      <c r="BI12" s="23">
        <f>('Intermediate calculations'!BD27*'Intermediate calculations'!BD28)*(1-Constants!$H$22)</f>
        <v>3010148.5824984326</v>
      </c>
      <c r="BJ12" s="23">
        <f>('Intermediate calculations'!BE27*'Intermediate calculations'!BE28)*(1-Constants!$H$22)</f>
        <v>3013676.3729330651</v>
      </c>
      <c r="BK12" s="23">
        <f>('Intermediate calculations'!BF27*'Intermediate calculations'!BF28)*(1-Constants!$H$22)</f>
        <v>3017456.7245459277</v>
      </c>
      <c r="BL12" s="23">
        <f>('Intermediate calculations'!BG27*'Intermediate calculations'!BG28)*(1-Constants!$H$22)</f>
        <v>3019171.7794513558</v>
      </c>
      <c r="BM12" s="23">
        <f>('Intermediate calculations'!BH27*'Intermediate calculations'!BH28)*(1-Constants!$H$22)</f>
        <v>3020277.0189533983</v>
      </c>
      <c r="BN12" s="23">
        <f>('Intermediate calculations'!BI27*'Intermediate calculations'!BI28)*(1-Constants!$H$22)</f>
        <v>3021488.5703317956</v>
      </c>
      <c r="BO12" s="23">
        <f>('Intermediate calculations'!BJ27*'Intermediate calculations'!BJ28)*(1-Constants!$H$22)</f>
        <v>3022768.2934199278</v>
      </c>
      <c r="BP12" s="23">
        <f>('Intermediate calculations'!BK27*'Intermediate calculations'!BK28)*(1-Constants!$H$22)</f>
        <v>3024185.8982142541</v>
      </c>
    </row>
    <row r="13" spans="1:72" x14ac:dyDescent="0.3">
      <c r="A13" t="str">
        <f t="shared" si="1"/>
        <v>3A Livestock</v>
      </c>
      <c r="C13" t="str">
        <f>'IPCC Categories'!$C$8</f>
        <v>3A1d Goats</v>
      </c>
      <c r="D13" t="str">
        <f>'IPCC Categories'!F36</f>
        <v>Commercial</v>
      </c>
      <c r="E13" t="str">
        <f t="shared" si="2"/>
        <v>Population</v>
      </c>
      <c r="F13" t="str">
        <f t="shared" si="3"/>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'Intermediate calculations'!Y22*'Intermediate calculations'!Y25*Constants!$H$23</f>
        <v>2068089.0408217218</v>
      </c>
      <c r="AE13" s="23">
        <f>'Intermediate calculations'!Z22*'Intermediate calculations'!Z25*Constants!$H$23</f>
        <v>2073465.0740723512</v>
      </c>
      <c r="AF13" s="23">
        <f>'Intermediate calculations'!AA22*'Intermediate calculations'!AA25*Constants!$H$23</f>
        <v>2080881.121959276</v>
      </c>
      <c r="AG13" s="23">
        <f>'Intermediate calculations'!AB22*'Intermediate calculations'!AB25*Constants!$H$23</f>
        <v>2089915.8268703574</v>
      </c>
      <c r="AH13" s="23">
        <f>'Intermediate calculations'!AC22*'Intermediate calculations'!AC25*Constants!$H$23</f>
        <v>2100556.3029240505</v>
      </c>
      <c r="AI13" s="23">
        <f>'Intermediate calculations'!AD22*'Intermediate calculations'!AD25*Constants!$H$23</f>
        <v>2112737.7866022554</v>
      </c>
      <c r="AJ13" s="23">
        <f>'Intermediate calculations'!AE22*'Intermediate calculations'!AE25*Constants!$H$23</f>
        <v>2125847.6846541641</v>
      </c>
      <c r="AK13" s="23">
        <f>'Intermediate calculations'!AF22*'Intermediate calculations'!AF25*Constants!$H$23</f>
        <v>2139834.1013227375</v>
      </c>
      <c r="AL13" s="23">
        <f>'Intermediate calculations'!AG22*'Intermediate calculations'!AG25*Constants!$H$23</f>
        <v>2152518.1972765964</v>
      </c>
      <c r="AM13" s="23">
        <f>'Intermediate calculations'!AH22*'Intermediate calculations'!AH25*Constants!$H$23</f>
        <v>2158713.8811234804</v>
      </c>
      <c r="AN13" s="23">
        <f>'Intermediate calculations'!AI22*'Intermediate calculations'!AI25*Constants!$H$23</f>
        <v>2165815.5173630901</v>
      </c>
      <c r="AO13" s="23">
        <f>'Intermediate calculations'!AJ22*'Intermediate calculations'!AJ25*Constants!$H$23</f>
        <v>2173054.5836930173</v>
      </c>
      <c r="AP13" s="23">
        <f>'Intermediate calculations'!AK22*'Intermediate calculations'!AK25*Constants!$H$23</f>
        <v>2180905.8949472066</v>
      </c>
      <c r="AQ13" s="23">
        <f>'Intermediate calculations'!AL22*'Intermediate calculations'!AL25*Constants!$H$23</f>
        <v>2189356.4752765815</v>
      </c>
      <c r="AR13" s="23">
        <f>'Intermediate calculations'!AM22*'Intermediate calculations'!AM25*Constants!$H$23</f>
        <v>2194764.4771991875</v>
      </c>
      <c r="AS13" s="23">
        <f>'Intermediate calculations'!AN22*'Intermediate calculations'!AN25*Constants!$H$23</f>
        <v>2200681.1312507591</v>
      </c>
      <c r="AT13" s="23">
        <f>'Intermediate calculations'!AO22*'Intermediate calculations'!AO25*Constants!$H$23</f>
        <v>2207037.2348991744</v>
      </c>
      <c r="AU13" s="23">
        <f>'Intermediate calculations'!AP22*'Intermediate calculations'!AP25*Constants!$H$23</f>
        <v>2213853.1980795516</v>
      </c>
      <c r="AV13" s="23">
        <f>'Intermediate calculations'!AQ22*'Intermediate calculations'!AQ25*Constants!$H$23</f>
        <v>2221065.0201840056</v>
      </c>
      <c r="AW13" s="23">
        <f>'Intermediate calculations'!AR22*'Intermediate calculations'!AR25*Constants!$H$23</f>
        <v>2225874.4870060231</v>
      </c>
      <c r="AX13" s="23">
        <f>'Intermediate calculations'!AS22*'Intermediate calculations'!AS25*Constants!$H$23</f>
        <v>2231003.4972005105</v>
      </c>
      <c r="AY13" s="23">
        <f>'Intermediate calculations'!AT22*'Intermediate calculations'!AT25*Constants!$H$23</f>
        <v>2236495.4650745667</v>
      </c>
      <c r="AZ13" s="23">
        <f>'Intermediate calculations'!AU22*'Intermediate calculations'!AU25*Constants!$H$23</f>
        <v>2242406.1709562442</v>
      </c>
      <c r="BA13" s="23">
        <f>'Intermediate calculations'!AV22*'Intermediate calculations'!AV25*Constants!$H$23</f>
        <v>2248557.0461722915</v>
      </c>
      <c r="BB13" s="23">
        <f>'Intermediate calculations'!AW22*'Intermediate calculations'!AW25*Constants!$H$23</f>
        <v>2252366.4414480585</v>
      </c>
      <c r="BC13" s="23">
        <f>'Intermediate calculations'!AX22*'Intermediate calculations'!AX25*Constants!$H$23</f>
        <v>2256500.3289217977</v>
      </c>
      <c r="BD13" s="23">
        <f>'Intermediate calculations'!AY22*'Intermediate calculations'!AY25*Constants!$H$23</f>
        <v>2260814.9374471465</v>
      </c>
      <c r="BE13" s="23">
        <f>'Intermediate calculations'!AZ22*'Intermediate calculations'!AZ25*Constants!$H$23</f>
        <v>2265361.0918263281</v>
      </c>
      <c r="BF13" s="23">
        <f>'Intermediate calculations'!BA22*'Intermediate calculations'!BA25*Constants!$H$23</f>
        <v>2270132.5677445591</v>
      </c>
      <c r="BG13" s="23">
        <f>'Intermediate calculations'!BB22*'Intermediate calculations'!BB25*Constants!$H$23</f>
        <v>2272739.4103190037</v>
      </c>
      <c r="BH13" s="23">
        <f>'Intermediate calculations'!BC22*'Intermediate calculations'!BC25*Constants!$H$23</f>
        <v>2275510.4771750113</v>
      </c>
      <c r="BI13" s="23">
        <f>'Intermediate calculations'!BD22*'Intermediate calculations'!BD25*Constants!$H$23</f>
        <v>2278516.5059454981</v>
      </c>
      <c r="BJ13" s="23">
        <f>'Intermediate calculations'!BE22*'Intermediate calculations'!BE25*Constants!$H$23</f>
        <v>2281754.6257368629</v>
      </c>
      <c r="BK13" s="23">
        <f>'Intermediate calculations'!BF22*'Intermediate calculations'!BF25*Constants!$H$23</f>
        <v>2285225.2101031453</v>
      </c>
      <c r="BL13" s="23">
        <f>'Intermediate calculations'!BG22*'Intermediate calculations'!BG25*Constants!$H$23</f>
        <v>2286448.4851618633</v>
      </c>
      <c r="BM13" s="23">
        <f>'Intermediate calculations'!BH22*'Intermediate calculations'!BH25*Constants!$H$23</f>
        <v>2286991.7418935793</v>
      </c>
      <c r="BN13" s="23">
        <f>'Intermediate calculations'!BI22*'Intermediate calculations'!BI25*Constants!$H$23</f>
        <v>2287623.2815965232</v>
      </c>
      <c r="BO13" s="23">
        <f>'Intermediate calculations'!BJ22*'Intermediate calculations'!BJ25*Constants!$H$23</f>
        <v>2288303.1837235563</v>
      </c>
      <c r="BP13" s="23">
        <f>'Intermediate calculations'!BK22*'Intermediate calculations'!BK25*Constants!$H$23</f>
        <v>2289106.379550002</v>
      </c>
    </row>
    <row r="14" spans="1:72" x14ac:dyDescent="0.3">
      <c r="A14" t="str">
        <f t="shared" si="1"/>
        <v>3A Livestock</v>
      </c>
      <c r="C14" t="str">
        <f>C13</f>
        <v>3A1d Goats</v>
      </c>
      <c r="D14" t="str">
        <f>$D$12</f>
        <v>Subsistence</v>
      </c>
      <c r="E14" t="str">
        <f t="shared" si="2"/>
        <v>Population</v>
      </c>
      <c r="F14" t="str">
        <f t="shared" si="3"/>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'Intermediate calculations'!Y22*'Intermediate calculations'!Y25*(1-Constants!$H$23)</f>
        <v>4014525.785124518</v>
      </c>
      <c r="AE14" s="23">
        <f>'Intermediate calculations'!Z22*'Intermediate calculations'!Z25*(1-Constants!$H$23)</f>
        <v>4024961.6143757398</v>
      </c>
      <c r="AF14" s="23">
        <f>'Intermediate calculations'!AA22*'Intermediate calculations'!AA25*(1-Constants!$H$23)</f>
        <v>4039357.4720385941</v>
      </c>
      <c r="AG14" s="23">
        <f>'Intermediate calculations'!AB22*'Intermediate calculations'!AB25*(1-Constants!$H$23)</f>
        <v>4056895.4286306929</v>
      </c>
      <c r="AH14" s="23">
        <f>'Intermediate calculations'!AC22*'Intermediate calculations'!AC25*(1-Constants!$H$23)</f>
        <v>4077550.4703819798</v>
      </c>
      <c r="AI14" s="23">
        <f>'Intermediate calculations'!AD22*'Intermediate calculations'!AD25*(1-Constants!$H$23)</f>
        <v>4101196.8798749652</v>
      </c>
      <c r="AJ14" s="23">
        <f>'Intermediate calculations'!AE22*'Intermediate calculations'!AE25*(1-Constants!$H$23)</f>
        <v>4126645.5055051413</v>
      </c>
      <c r="AK14" s="23">
        <f>'Intermediate calculations'!AF22*'Intermediate calculations'!AF25*(1-Constants!$H$23)</f>
        <v>4153795.6084500193</v>
      </c>
      <c r="AL14" s="23">
        <f>'Intermediate calculations'!AG22*'Intermediate calculations'!AG25*(1-Constants!$H$23)</f>
        <v>4178417.6770663336</v>
      </c>
      <c r="AM14" s="23">
        <f>'Intermediate calculations'!AH22*'Intermediate calculations'!AH25*(1-Constants!$H$23)</f>
        <v>4190444.5927691082</v>
      </c>
      <c r="AN14" s="23">
        <f>'Intermediate calculations'!AI22*'Intermediate calculations'!AI25*(1-Constants!$H$23)</f>
        <v>4204230.1219401155</v>
      </c>
      <c r="AO14" s="23">
        <f>'Intermediate calculations'!AJ22*'Intermediate calculations'!AJ25*(1-Constants!$H$23)</f>
        <v>4218282.4271687977</v>
      </c>
      <c r="AP14" s="23">
        <f>'Intermediate calculations'!AK22*'Intermediate calculations'!AK25*(1-Constants!$H$23)</f>
        <v>4233523.2078386946</v>
      </c>
      <c r="AQ14" s="23">
        <f>'Intermediate calculations'!AL22*'Intermediate calculations'!AL25*(1-Constants!$H$23)</f>
        <v>4249927.275536892</v>
      </c>
      <c r="AR14" s="23">
        <f>'Intermediate calculations'!AM22*'Intermediate calculations'!AM25*(1-Constants!$H$23)</f>
        <v>4260425.1616219515</v>
      </c>
      <c r="AS14" s="23">
        <f>'Intermediate calculations'!AN22*'Intermediate calculations'!AN25*(1-Constants!$H$23)</f>
        <v>4271910.4312514728</v>
      </c>
      <c r="AT14" s="23">
        <f>'Intermediate calculations'!AO22*'Intermediate calculations'!AO25*(1-Constants!$H$23)</f>
        <v>4284248.750098397</v>
      </c>
      <c r="AU14" s="23">
        <f>'Intermediate calculations'!AP22*'Intermediate calculations'!AP25*(1-Constants!$H$23)</f>
        <v>4297479.7374485405</v>
      </c>
      <c r="AV14" s="23">
        <f>'Intermediate calculations'!AQ22*'Intermediate calculations'!AQ25*(1-Constants!$H$23)</f>
        <v>4311479.1568277748</v>
      </c>
      <c r="AW14" s="23">
        <f>'Intermediate calculations'!AR22*'Intermediate calculations'!AR25*(1-Constants!$H$23)</f>
        <v>4320815.1806587502</v>
      </c>
      <c r="AX14" s="23">
        <f>'Intermediate calculations'!AS22*'Intermediate calculations'!AS25*(1-Constants!$H$23)</f>
        <v>4330771.4945656965</v>
      </c>
      <c r="AY14" s="23">
        <f>'Intermediate calculations'!AT22*'Intermediate calculations'!AT25*(1-Constants!$H$23)</f>
        <v>4341432.3733800407</v>
      </c>
      <c r="AZ14" s="23">
        <f>'Intermediate calculations'!AU22*'Intermediate calculations'!AU25*(1-Constants!$H$23)</f>
        <v>4352906.0965621201</v>
      </c>
      <c r="BA14" s="23">
        <f>'Intermediate calculations'!AV22*'Intermediate calculations'!AV25*(1-Constants!$H$23)</f>
        <v>4364846.0308050355</v>
      </c>
      <c r="BB14" s="23">
        <f>'Intermediate calculations'!AW22*'Intermediate calculations'!AW25*(1-Constants!$H$23)</f>
        <v>4372240.7392815249</v>
      </c>
      <c r="BC14" s="23">
        <f>'Intermediate calculations'!AX22*'Intermediate calculations'!AX25*(1-Constants!$H$23)</f>
        <v>4380265.3443776062</v>
      </c>
      <c r="BD14" s="23">
        <f>'Intermediate calculations'!AY22*'Intermediate calculations'!AY25*(1-Constants!$H$23)</f>
        <v>4388640.7609268129</v>
      </c>
      <c r="BE14" s="23">
        <f>'Intermediate calculations'!AZ22*'Intermediate calculations'!AZ25*(1-Constants!$H$23)</f>
        <v>4397465.6488393424</v>
      </c>
      <c r="BF14" s="23">
        <f>'Intermediate calculations'!BA22*'Intermediate calculations'!BA25*(1-Constants!$H$23)</f>
        <v>4406727.9256217899</v>
      </c>
      <c r="BG14" s="23">
        <f>'Intermediate calculations'!BB22*'Intermediate calculations'!BB25*(1-Constants!$H$23)</f>
        <v>4411788.2670898298</v>
      </c>
      <c r="BH14" s="23">
        <f>'Intermediate calculations'!BC22*'Intermediate calculations'!BC25*(1-Constants!$H$23)</f>
        <v>4417167.3968691388</v>
      </c>
      <c r="BI14" s="23">
        <f>'Intermediate calculations'!BD22*'Intermediate calculations'!BD25*(1-Constants!$H$23)</f>
        <v>4423002.6291883187</v>
      </c>
      <c r="BJ14" s="23">
        <f>'Intermediate calculations'!BE22*'Intermediate calculations'!BE25*(1-Constants!$H$23)</f>
        <v>4429288.3911362616</v>
      </c>
      <c r="BK14" s="23">
        <f>'Intermediate calculations'!BF22*'Intermediate calculations'!BF25*(1-Constants!$H$23)</f>
        <v>4436025.4078472806</v>
      </c>
      <c r="BL14" s="23">
        <f>'Intermediate calculations'!BG22*'Intermediate calculations'!BG25*(1-Constants!$H$23)</f>
        <v>4438400.0006083222</v>
      </c>
      <c r="BM14" s="23">
        <f>'Intermediate calculations'!BH22*'Intermediate calculations'!BH25*(1-Constants!$H$23)</f>
        <v>4439454.5577934179</v>
      </c>
      <c r="BN14" s="23">
        <f>'Intermediate calculations'!BI22*'Intermediate calculations'!BI25*(1-Constants!$H$23)</f>
        <v>4440680.4878050145</v>
      </c>
      <c r="BO14" s="23">
        <f>'Intermediate calculations'!BJ22*'Intermediate calculations'!BJ25*(1-Constants!$H$23)</f>
        <v>4442000.2978163147</v>
      </c>
      <c r="BP14" s="23">
        <f>'Intermediate calculations'!BK22*'Intermediate calculations'!BK25*(1-Constants!$H$23)</f>
        <v>4443559.4426558856</v>
      </c>
    </row>
    <row r="15" spans="1:72" x14ac:dyDescent="0.3">
      <c r="A15" t="str">
        <f t="shared" si="1"/>
        <v>3A Livestock</v>
      </c>
      <c r="C15" t="str">
        <f>'IPCC Categories'!$C$9</f>
        <v>3A1f Horses</v>
      </c>
      <c r="D15" t="str">
        <f>'IPCC Categories'!$F$42</f>
        <v>Horses</v>
      </c>
      <c r="E15" t="str">
        <f t="shared" si="2"/>
        <v>Population</v>
      </c>
      <c r="F15" t="str">
        <f t="shared" si="3"/>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308478.97111537727</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308239.46209968894</v>
      </c>
      <c r="AL15" s="23">
        <f>((Data!$AJ$61*((Drivers!AH5*1000000)/Drivers!AH4))+Data!$AK$61)</f>
        <v>290617.73835849564</v>
      </c>
      <c r="AM15" s="23">
        <f>((Data!$AJ$61*((Drivers!AI5*1000000)/Drivers!AI4))+Data!$AK$61)</f>
        <v>294216.79497853166</v>
      </c>
      <c r="AN15" s="23">
        <f>((Data!$AJ$61*((Drivers!AJ5*1000000)/Drivers!AJ4))+Data!$AK$61)</f>
        <v>299933.36752758519</v>
      </c>
      <c r="AO15" s="23">
        <f>((Data!$AJ$61*((Drivers!AK5*1000000)/Drivers!AK4))+Data!$AK$61)</f>
        <v>302043.49651642761</v>
      </c>
      <c r="AP15" s="23">
        <f>((Data!$AJ$61*((Drivers!AL5*1000000)/Drivers!AL4))+Data!$AK$61)</f>
        <v>304551.046248283</v>
      </c>
      <c r="AQ15" s="23">
        <f>((Data!$AJ$61*((Drivers!AM5*1000000)/Drivers!AM4))+Data!$AK$61)</f>
        <v>307587.15389044932</v>
      </c>
      <c r="AR15" s="23">
        <f>((Data!$AJ$61*((Drivers!AN5*1000000)/Drivers!AN4))+Data!$AK$61)</f>
        <v>311219.94337583228</v>
      </c>
      <c r="AS15" s="23">
        <f>((Data!$AJ$61*((Drivers!AO5*1000000)/Drivers!AO4))+Data!$AK$61)</f>
        <v>315257.33161887509</v>
      </c>
      <c r="AT15" s="23">
        <f>((Data!$AJ$61*((Drivers!AP5*1000000)/Drivers!AP4))+Data!$AK$61)</f>
        <v>319342.69614542602</v>
      </c>
      <c r="AU15" s="23">
        <f>((Data!$AJ$61*((Drivers!AQ5*1000000)/Drivers!AQ4))+Data!$AK$61)</f>
        <v>323793.19033185393</v>
      </c>
      <c r="AV15" s="23">
        <f>((Data!$AJ$61*((Drivers!AR5*1000000)/Drivers!AR4))+Data!$AK$61)</f>
        <v>328259.15334294655</v>
      </c>
      <c r="AW15" s="23">
        <f>((Data!$AJ$61*((Drivers!AS5*1000000)/Drivers!AS4))+Data!$AK$61)</f>
        <v>333616.83595509973</v>
      </c>
      <c r="AX15" s="23">
        <f>((Data!$AJ$61*((Drivers!AT5*1000000)/Drivers!AT4))+Data!$AK$61)</f>
        <v>338778.46739151777</v>
      </c>
      <c r="AY15" s="23">
        <f>((Data!$AJ$61*((Drivers!AU5*1000000)/Drivers!AU4))+Data!$AK$61)</f>
        <v>344191.08274525683</v>
      </c>
      <c r="AZ15" s="23">
        <f>((Data!$AJ$61*((Drivers!AV5*1000000)/Drivers!AV4))+Data!$AK$61)</f>
        <v>350381.53457068163</v>
      </c>
      <c r="BA15" s="23">
        <f>((Data!$AJ$61*((Drivers!AW5*1000000)/Drivers!AW4))+Data!$AK$61)</f>
        <v>356085.56479891471</v>
      </c>
      <c r="BB15" s="23">
        <f>((Data!$AJ$61*((Drivers!AX5*1000000)/Drivers!AX4))+Data!$AK$61)</f>
        <v>362383.04576962383</v>
      </c>
      <c r="BC15" s="23">
        <f>((Data!$AJ$61*((Drivers!AY5*1000000)/Drivers!AY4))+Data!$AK$61)</f>
        <v>369097.13869673933</v>
      </c>
      <c r="BD15" s="23">
        <f>((Data!$AJ$61*((Drivers!AZ5*1000000)/Drivers!AZ4))+Data!$AK$61)</f>
        <v>375220.3050649435</v>
      </c>
      <c r="BE15" s="23">
        <f>((Data!$AJ$61*((Drivers!BA5*1000000)/Drivers!BA4))+Data!$AK$61)</f>
        <v>381211.7279972441</v>
      </c>
      <c r="BF15" s="23">
        <f>((Data!$AJ$61*((Drivers!BB5*1000000)/Drivers!BB4))+Data!$AK$61)</f>
        <v>387092.93155265821</v>
      </c>
      <c r="BG15" s="23">
        <f>((Data!$AJ$61*((Drivers!BC5*1000000)/Drivers!BC4))+Data!$AK$61)</f>
        <v>393811.03719578136</v>
      </c>
      <c r="BH15" s="23">
        <f>((Data!$AJ$61*((Drivers!BD5*1000000)/Drivers!BD4))+Data!$AK$61)</f>
        <v>400145.32161291735</v>
      </c>
      <c r="BI15" s="23">
        <f>((Data!$AJ$61*((Drivers!BE5*1000000)/Drivers!BE4))+Data!$AK$61)</f>
        <v>406686.34573895729</v>
      </c>
      <c r="BJ15" s="23">
        <f>((Data!$AJ$61*((Drivers!BF5*1000000)/Drivers!BF4))+Data!$AK$61)</f>
        <v>413466.60208027996</v>
      </c>
      <c r="BK15" s="23">
        <f>((Data!$AJ$61*((Drivers!BG5*1000000)/Drivers!BG4))+Data!$AK$61)</f>
        <v>420538.92034908745</v>
      </c>
      <c r="BL15" s="23">
        <f>((Data!$AJ$61*((Drivers!BH5*1000000)/Drivers!BH4))+Data!$AK$61)</f>
        <v>428221.80673994881</v>
      </c>
      <c r="BM15" s="23">
        <f>((Data!$AJ$61*((Drivers!BI5*1000000)/Drivers!BI4))+Data!$AK$61)</f>
        <v>429498.7532496826</v>
      </c>
      <c r="BN15" s="23">
        <f>((Data!$AJ$61*((Drivers!BJ5*1000000)/Drivers!BJ4))+Data!$AK$61)</f>
        <v>430170.02802334807</v>
      </c>
      <c r="BO15" s="23">
        <f>((Data!$AJ$61*((Drivers!BK5*1000000)/Drivers!BK4))+Data!$AK$61)</f>
        <v>429981.48048825283</v>
      </c>
      <c r="BP15" s="23">
        <f>((Data!$AJ$61*((Drivers!BL5*1000000)/Drivers!BL4))+Data!$AK$61)</f>
        <v>429535.95558912493</v>
      </c>
    </row>
    <row r="16" spans="1:72" x14ac:dyDescent="0.3">
      <c r="A16" t="str">
        <f t="shared" si="1"/>
        <v>3A Livestock</v>
      </c>
      <c r="C16" t="str">
        <f>'IPCC Categories'!$C$10</f>
        <v>3A1g Mules &amp; asses</v>
      </c>
      <c r="D16" t="str">
        <f>'IPCC Categories'!$F$43</f>
        <v>Mules &amp; Asses</v>
      </c>
      <c r="E16" t="str">
        <f t="shared" si="2"/>
        <v>Population</v>
      </c>
      <c r="F16" t="str">
        <f t="shared" si="3"/>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AI16" si="4">AC16</f>
        <v>167000</v>
      </c>
      <c r="AE16" s="23">
        <f t="shared" si="4"/>
        <v>167000</v>
      </c>
      <c r="AF16" s="23">
        <f t="shared" si="4"/>
        <v>167000</v>
      </c>
      <c r="AG16" s="23">
        <f t="shared" si="4"/>
        <v>167000</v>
      </c>
      <c r="AH16" s="23">
        <f t="shared" si="4"/>
        <v>167000</v>
      </c>
      <c r="AI16" s="23">
        <f t="shared" si="4"/>
        <v>167000</v>
      </c>
      <c r="AJ16" s="23">
        <f>AI16</f>
        <v>167000</v>
      </c>
      <c r="AK16" s="23">
        <f t="shared" ref="AK16:BP16" si="5">AJ16</f>
        <v>167000</v>
      </c>
      <c r="AL16" s="23">
        <f t="shared" si="5"/>
        <v>167000</v>
      </c>
      <c r="AM16" s="23">
        <f t="shared" si="5"/>
        <v>167000</v>
      </c>
      <c r="AN16" s="23">
        <f t="shared" si="5"/>
        <v>167000</v>
      </c>
      <c r="AO16" s="23">
        <f t="shared" si="5"/>
        <v>167000</v>
      </c>
      <c r="AP16" s="23">
        <f t="shared" si="5"/>
        <v>167000</v>
      </c>
      <c r="AQ16" s="23">
        <f t="shared" si="5"/>
        <v>167000</v>
      </c>
      <c r="AR16" s="23">
        <f t="shared" si="5"/>
        <v>167000</v>
      </c>
      <c r="AS16" s="23">
        <f t="shared" si="5"/>
        <v>167000</v>
      </c>
      <c r="AT16" s="23">
        <f t="shared" si="5"/>
        <v>167000</v>
      </c>
      <c r="AU16" s="23">
        <f t="shared" si="5"/>
        <v>167000</v>
      </c>
      <c r="AV16" s="23">
        <f t="shared" si="5"/>
        <v>167000</v>
      </c>
      <c r="AW16" s="23">
        <f t="shared" si="5"/>
        <v>167000</v>
      </c>
      <c r="AX16" s="23">
        <f t="shared" si="5"/>
        <v>167000</v>
      </c>
      <c r="AY16" s="23">
        <f t="shared" si="5"/>
        <v>167000</v>
      </c>
      <c r="AZ16" s="23">
        <f t="shared" si="5"/>
        <v>167000</v>
      </c>
      <c r="BA16" s="23">
        <f t="shared" si="5"/>
        <v>167000</v>
      </c>
      <c r="BB16" s="23">
        <f t="shared" si="5"/>
        <v>167000</v>
      </c>
      <c r="BC16" s="23">
        <f t="shared" si="5"/>
        <v>167000</v>
      </c>
      <c r="BD16" s="23">
        <f t="shared" si="5"/>
        <v>167000</v>
      </c>
      <c r="BE16" s="23">
        <f t="shared" si="5"/>
        <v>167000</v>
      </c>
      <c r="BF16" s="23">
        <f t="shared" si="5"/>
        <v>167000</v>
      </c>
      <c r="BG16" s="23">
        <f t="shared" si="5"/>
        <v>167000</v>
      </c>
      <c r="BH16" s="23">
        <f t="shared" si="5"/>
        <v>167000</v>
      </c>
      <c r="BI16" s="23">
        <f t="shared" si="5"/>
        <v>167000</v>
      </c>
      <c r="BJ16" s="23">
        <f t="shared" si="5"/>
        <v>167000</v>
      </c>
      <c r="BK16" s="23">
        <f t="shared" si="5"/>
        <v>167000</v>
      </c>
      <c r="BL16" s="23">
        <f t="shared" si="5"/>
        <v>167000</v>
      </c>
      <c r="BM16" s="23">
        <f t="shared" si="5"/>
        <v>167000</v>
      </c>
      <c r="BN16" s="23">
        <f t="shared" si="5"/>
        <v>167000</v>
      </c>
      <c r="BO16" s="23">
        <f t="shared" si="5"/>
        <v>167000</v>
      </c>
      <c r="BP16" s="23">
        <f t="shared" si="5"/>
        <v>167000</v>
      </c>
    </row>
    <row r="17" spans="1:72" x14ac:dyDescent="0.3">
      <c r="A17" t="str">
        <f t="shared" si="1"/>
        <v>3A Livestock</v>
      </c>
      <c r="C17" t="str">
        <f>'IPCC Categories'!$C$11</f>
        <v>3A1h Swine</v>
      </c>
      <c r="D17" t="str">
        <f>'IPCC Categories'!F36</f>
        <v>Commercial</v>
      </c>
      <c r="E17" t="str">
        <f t="shared" si="2"/>
        <v>Population</v>
      </c>
      <c r="F17" t="str">
        <f t="shared" si="3"/>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'Intermediate calculations'!Y32*'Intermediate calculations'!Y33*Constants!$H$24</f>
        <v>1656046.9024620028</v>
      </c>
      <c r="AE17" s="23">
        <f>'Intermediate calculations'!Z32*'Intermediate calculations'!Z33*Constants!$H$24</f>
        <v>1647045.1860532644</v>
      </c>
      <c r="AF17" s="23">
        <f>'Intermediate calculations'!AA32*'Intermediate calculations'!AA33*Constants!$H$24</f>
        <v>1647784.019010039</v>
      </c>
      <c r="AG17" s="23">
        <f>'Intermediate calculations'!AB32*'Intermediate calculations'!AB33*Constants!$H$24</f>
        <v>1632656.0990208655</v>
      </c>
      <c r="AH17" s="23">
        <f>'Intermediate calculations'!AC32*'Intermediate calculations'!AC33*Constants!$H$24</f>
        <v>1607948.7164639281</v>
      </c>
      <c r="AI17" s="23">
        <f>'Intermediate calculations'!AD32*'Intermediate calculations'!AD33*Constants!$H$24</f>
        <v>1574056.8450456355</v>
      </c>
      <c r="AJ17" s="23">
        <f>'Intermediate calculations'!AE32*'Intermediate calculations'!AE33*Constants!$H$24</f>
        <v>1549447.5878836229</v>
      </c>
      <c r="AK17" s="23">
        <f>'Intermediate calculations'!AF32*'Intermediate calculations'!AF33*Constants!$H$24</f>
        <v>1527015.9199472496</v>
      </c>
      <c r="AL17" s="23">
        <f>'Intermediate calculations'!AG32*'Intermediate calculations'!AG33*Constants!$H$24</f>
        <v>1348278.5586549521</v>
      </c>
      <c r="AM17" s="23">
        <f>'Intermediate calculations'!AH32*'Intermediate calculations'!AH33*Constants!$H$24</f>
        <v>1365328.4540570292</v>
      </c>
      <c r="AN17" s="23">
        <f>'Intermediate calculations'!AI32*'Intermediate calculations'!AI33*Constants!$H$24</f>
        <v>1401914.1826110582</v>
      </c>
      <c r="AO17" s="23">
        <f>'Intermediate calculations'!AJ32*'Intermediate calculations'!AJ33*Constants!$H$24</f>
        <v>1405235.9766959732</v>
      </c>
      <c r="AP17" s="23">
        <f>'Intermediate calculations'!AK32*'Intermediate calculations'!AK33*Constants!$H$24</f>
        <v>1412429.5063597523</v>
      </c>
      <c r="AQ17" s="23">
        <f>'Intermediate calculations'!AL32*'Intermediate calculations'!AL33*Constants!$H$24</f>
        <v>1424524.3600665794</v>
      </c>
      <c r="AR17" s="23">
        <f>'Intermediate calculations'!AM32*'Intermediate calculations'!AM33*Constants!$H$24</f>
        <v>1439700.983950831</v>
      </c>
      <c r="AS17" s="23">
        <f>'Intermediate calculations'!AN32*'Intermediate calculations'!AN33*Constants!$H$24</f>
        <v>1458298.6499124421</v>
      </c>
      <c r="AT17" s="23">
        <f>'Intermediate calculations'!AO32*'Intermediate calculations'!AO33*Constants!$H$24</f>
        <v>1477113.7969483531</v>
      </c>
      <c r="AU17" s="23">
        <f>'Intermediate calculations'!AP32*'Intermediate calculations'!AP33*Constants!$H$24</f>
        <v>1498836.7689754921</v>
      </c>
      <c r="AV17" s="23">
        <f>'Intermediate calculations'!AQ32*'Intermediate calculations'!AQ33*Constants!$H$24</f>
        <v>1520409.8095550297</v>
      </c>
      <c r="AW17" s="23">
        <f>'Intermediate calculations'!AR32*'Intermediate calculations'!AR33*Constants!$H$24</f>
        <v>1547230.7316103911</v>
      </c>
      <c r="AX17" s="23">
        <f>'Intermediate calculations'!AS32*'Intermediate calculations'!AS33*Constants!$H$24</f>
        <v>1571921.349309898</v>
      </c>
      <c r="AY17" s="23">
        <f>'Intermediate calculations'!AT32*'Intermediate calculations'!AT33*Constants!$H$24</f>
        <v>1598194.1405500479</v>
      </c>
      <c r="AZ17" s="23">
        <f>'Intermediate calculations'!AU32*'Intermediate calculations'!AU33*Constants!$H$24</f>
        <v>1630243.5183994647</v>
      </c>
      <c r="BA17" s="23">
        <f>'Intermediate calculations'!AV32*'Intermediate calculations'!AV33*Constants!$H$24</f>
        <v>1657763.3993055501</v>
      </c>
      <c r="BB17" s="23">
        <f>'Intermediate calculations'!AW32*'Intermediate calculations'!AW33*Constants!$H$24</f>
        <v>1687466.8759818496</v>
      </c>
      <c r="BC17" s="23">
        <f>'Intermediate calculations'!AX32*'Intermediate calculations'!AX33*Constants!$H$24</f>
        <v>1719704.9667474737</v>
      </c>
      <c r="BD17" s="23">
        <f>'Intermediate calculations'!AY32*'Intermediate calculations'!AY33*Constants!$H$24</f>
        <v>1746598.8414181657</v>
      </c>
      <c r="BE17" s="23">
        <f>'Intermediate calculations'!AZ32*'Intermediate calculations'!AZ33*Constants!$H$24</f>
        <v>1771819.5229412203</v>
      </c>
      <c r="BF17" s="23">
        <f>'Intermediate calculations'!BA32*'Intermediate calculations'!BA33*Constants!$H$24</f>
        <v>1795570.4213145054</v>
      </c>
      <c r="BG17" s="23">
        <f>'Intermediate calculations'!BB32*'Intermediate calculations'!BB33*Constants!$H$24</f>
        <v>1822994.6534131451</v>
      </c>
      <c r="BH17" s="23">
        <f>'Intermediate calculations'!BC32*'Intermediate calculations'!BC33*Constants!$H$24</f>
        <v>1846781.6395187357</v>
      </c>
      <c r="BI17" s="23">
        <f>'Intermediate calculations'!BD32*'Intermediate calculations'!BD33*Constants!$H$24</f>
        <v>1871335.8518101512</v>
      </c>
      <c r="BJ17" s="23">
        <f>'Intermediate calculations'!BE32*'Intermediate calculations'!BE33*Constants!$H$24</f>
        <v>1896842.4970731153</v>
      </c>
      <c r="BK17" s="23">
        <f>'Intermediate calculations'!BF32*'Intermediate calculations'!BF33*Constants!$H$24</f>
        <v>1923620.7271074844</v>
      </c>
      <c r="BL17" s="23">
        <f>'Intermediate calculations'!BG32*'Intermediate calculations'!BG33*Constants!$H$24</f>
        <v>1951739.644342006</v>
      </c>
      <c r="BM17" s="23">
        <f>'Intermediate calculations'!BH32*'Intermediate calculations'!BH33*Constants!$H$24</f>
        <v>1934628.8970430286</v>
      </c>
      <c r="BN17" s="23">
        <f>'Intermediate calculations'!BI32*'Intermediate calculations'!BI33*Constants!$H$24</f>
        <v>1913563.9308250048</v>
      </c>
      <c r="BO17" s="23">
        <f>'Intermediate calculations'!BJ32*'Intermediate calculations'!BJ33*Constants!$H$24</f>
        <v>1886983.604319921</v>
      </c>
      <c r="BP17" s="23">
        <f>'Intermediate calculations'!BK32*'Intermediate calculations'!BK33*Constants!$H$24</f>
        <v>1859099.6925127404</v>
      </c>
    </row>
    <row r="18" spans="1:72" x14ac:dyDescent="0.3">
      <c r="A18" t="str">
        <f t="shared" si="1"/>
        <v>3A Livestock</v>
      </c>
      <c r="C18" t="str">
        <f>C17</f>
        <v>3A1h Swine</v>
      </c>
      <c r="D18" t="str">
        <f>'IPCC Categories'!F37</f>
        <v>Subsistence</v>
      </c>
      <c r="E18" t="str">
        <f t="shared" si="2"/>
        <v>Population</v>
      </c>
      <c r="F18" t="str">
        <f t="shared" si="3"/>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'Intermediate calculations'!Y32*'Intermediate calculations'!Y33*(1-Constants!$H$24)</f>
        <v>225824.57760845491</v>
      </c>
      <c r="AE18" s="23">
        <f>'Intermediate calculations'!Z32*'Intermediate calculations'!Z33*(1-Constants!$H$24)</f>
        <v>224597.07082544515</v>
      </c>
      <c r="AF18" s="23">
        <f>'Intermediate calculations'!AA32*'Intermediate calculations'!AA33*(1-Constants!$H$24)</f>
        <v>224697.82077409624</v>
      </c>
      <c r="AG18" s="23">
        <f>'Intermediate calculations'!AB32*'Intermediate calculations'!AB33*(1-Constants!$H$24)</f>
        <v>222634.9225937544</v>
      </c>
      <c r="AH18" s="23">
        <f>'Intermediate calculations'!AC32*'Intermediate calculations'!AC33*(1-Constants!$H$24)</f>
        <v>219265.73406326291</v>
      </c>
      <c r="AI18" s="23">
        <f>'Intermediate calculations'!AD32*'Intermediate calculations'!AD33*(1-Constants!$H$24)</f>
        <v>214644.11523349574</v>
      </c>
      <c r="AJ18" s="23">
        <f>'Intermediate calculations'!AE32*'Intermediate calculations'!AE33*(1-Constants!$H$24)</f>
        <v>211288.30743867584</v>
      </c>
      <c r="AK18" s="23">
        <f>'Intermediate calculations'!AF32*'Intermediate calculations'!AF33*(1-Constants!$H$24)</f>
        <v>208229.44362917039</v>
      </c>
      <c r="AL18" s="23">
        <f>'Intermediate calculations'!AG32*'Intermediate calculations'!AG33*(1-Constants!$H$24)</f>
        <v>183856.16708931164</v>
      </c>
      <c r="AM18" s="23">
        <f>'Intermediate calculations'!AH32*'Intermediate calculations'!AH33*(1-Constants!$H$24)</f>
        <v>186181.15282595853</v>
      </c>
      <c r="AN18" s="23">
        <f>'Intermediate calculations'!AI32*'Intermediate calculations'!AI33*(1-Constants!$H$24)</f>
        <v>191170.11581059883</v>
      </c>
      <c r="AO18" s="23">
        <f>'Intermediate calculations'!AJ32*'Intermediate calculations'!AJ33*(1-Constants!$H$24)</f>
        <v>191623.08773126904</v>
      </c>
      <c r="AP18" s="23">
        <f>'Intermediate calculations'!AK32*'Intermediate calculations'!AK33*(1-Constants!$H$24)</f>
        <v>192604.02359451167</v>
      </c>
      <c r="AQ18" s="23">
        <f>'Intermediate calculations'!AL32*'Intermediate calculations'!AL33*(1-Constants!$H$24)</f>
        <v>194253.32182726081</v>
      </c>
      <c r="AR18" s="23">
        <f>'Intermediate calculations'!AM32*'Intermediate calculations'!AM33*(1-Constants!$H$24)</f>
        <v>196322.86144784061</v>
      </c>
      <c r="AS18" s="23">
        <f>'Intermediate calculations'!AN32*'Intermediate calculations'!AN33*(1-Constants!$H$24)</f>
        <v>198858.9068062421</v>
      </c>
      <c r="AT18" s="23">
        <f>'Intermediate calculations'!AO32*'Intermediate calculations'!AO33*(1-Constants!$H$24)</f>
        <v>201424.6086747754</v>
      </c>
      <c r="AU18" s="23">
        <f>'Intermediate calculations'!AP32*'Intermediate calculations'!AP33*(1-Constants!$H$24)</f>
        <v>204386.83213302164</v>
      </c>
      <c r="AV18" s="23">
        <f>'Intermediate calculations'!AQ32*'Intermediate calculations'!AQ33*(1-Constants!$H$24)</f>
        <v>207328.61039386768</v>
      </c>
      <c r="AW18" s="23">
        <f>'Intermediate calculations'!AR32*'Intermediate calculations'!AR33*(1-Constants!$H$24)</f>
        <v>210986.0088559624</v>
      </c>
      <c r="AX18" s="23">
        <f>'Intermediate calculations'!AS32*'Intermediate calculations'!AS33*(1-Constants!$H$24)</f>
        <v>214352.91126953153</v>
      </c>
      <c r="AY18" s="23">
        <f>'Intermediate calculations'!AT32*'Intermediate calculations'!AT33*(1-Constants!$H$24)</f>
        <v>217935.56462046105</v>
      </c>
      <c r="AZ18" s="23">
        <f>'Intermediate calculations'!AU32*'Intermediate calculations'!AU33*(1-Constants!$H$24)</f>
        <v>222305.93432719973</v>
      </c>
      <c r="BA18" s="23">
        <f>'Intermediate calculations'!AV32*'Intermediate calculations'!AV33*(1-Constants!$H$24)</f>
        <v>226058.64535984772</v>
      </c>
      <c r="BB18" s="23">
        <f>'Intermediate calculations'!AW32*'Intermediate calculations'!AW33*(1-Constants!$H$24)</f>
        <v>230109.11945207039</v>
      </c>
      <c r="BC18" s="23">
        <f>'Intermediate calculations'!AX32*'Intermediate calculations'!AX33*(1-Constants!$H$24)</f>
        <v>234505.22273829186</v>
      </c>
      <c r="BD18" s="23">
        <f>'Intermediate calculations'!AY32*'Intermediate calculations'!AY33*(1-Constants!$H$24)</f>
        <v>238172.56928429531</v>
      </c>
      <c r="BE18" s="23">
        <f>'Intermediate calculations'!AZ32*'Intermediate calculations'!AZ33*(1-Constants!$H$24)</f>
        <v>241611.75312834821</v>
      </c>
      <c r="BF18" s="23">
        <f>'Intermediate calculations'!BA32*'Intermediate calculations'!BA33*(1-Constants!$H$24)</f>
        <v>244850.51199743254</v>
      </c>
      <c r="BG18" s="23">
        <f>'Intermediate calculations'!BB32*'Intermediate calculations'!BB33*(1-Constants!$H$24)</f>
        <v>248590.1800108834</v>
      </c>
      <c r="BH18" s="23">
        <f>'Intermediate calculations'!BC32*'Intermediate calculations'!BC33*(1-Constants!$H$24)</f>
        <v>251833.85993437303</v>
      </c>
      <c r="BI18" s="23">
        <f>'Intermediate calculations'!BD32*'Intermediate calculations'!BD33*(1-Constants!$H$24)</f>
        <v>255182.16161047516</v>
      </c>
      <c r="BJ18" s="23">
        <f>'Intermediate calculations'!BE32*'Intermediate calculations'!BE33*(1-Constants!$H$24)</f>
        <v>258660.34050997026</v>
      </c>
      <c r="BK18" s="23">
        <f>'Intermediate calculations'!BF32*'Intermediate calculations'!BF33*(1-Constants!$H$24)</f>
        <v>262311.91733283876</v>
      </c>
      <c r="BL18" s="23">
        <f>'Intermediate calculations'!BG32*'Intermediate calculations'!BG33*(1-Constants!$H$24)</f>
        <v>266146.31513754628</v>
      </c>
      <c r="BM18" s="23">
        <f>'Intermediate calculations'!BH32*'Intermediate calculations'!BH33*(1-Constants!$H$24)</f>
        <v>263813.03141495842</v>
      </c>
      <c r="BN18" s="23">
        <f>'Intermediate calculations'!BI32*'Intermediate calculations'!BI33*(1-Constants!$H$24)</f>
        <v>260940.53602159157</v>
      </c>
      <c r="BO18" s="23">
        <f>'Intermediate calculations'!BJ32*'Intermediate calculations'!BJ33*(1-Constants!$H$24)</f>
        <v>257315.94604362559</v>
      </c>
      <c r="BP18" s="23">
        <f>'Intermediate calculations'!BK32*'Intermediate calculations'!BK33*(1-Constants!$H$24)</f>
        <v>253513.5944335555</v>
      </c>
    </row>
    <row r="19" spans="1:72" x14ac:dyDescent="0.3">
      <c r="A19" t="str">
        <f t="shared" si="1"/>
        <v>3A Livestock</v>
      </c>
      <c r="C19" t="str">
        <f>'IPCC Categories'!$C$19</f>
        <v>3A2i Poultry</v>
      </c>
      <c r="D19" t="str">
        <f>'IPCC Categories'!F50</f>
        <v>Commercial layers</v>
      </c>
      <c r="E19" t="str">
        <f t="shared" si="2"/>
        <v>Population</v>
      </c>
      <c r="F19" t="str">
        <f t="shared" si="3"/>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'Intermediate calculations'!Y37*'Intermediate calculations'!Y38*Constants!$H$25</f>
        <v>23653841.793714996</v>
      </c>
      <c r="AE19" s="23">
        <f>'Intermediate calculations'!Z37*'Intermediate calculations'!Z38*Constants!$H$25</f>
        <v>24134771.290486097</v>
      </c>
      <c r="AF19" s="23">
        <f>'Intermediate calculations'!AA37*'Intermediate calculations'!AA38*Constants!$H$25</f>
        <v>24696932.291742448</v>
      </c>
      <c r="AG19" s="23">
        <f>'Intermediate calculations'!AB37*'Intermediate calculations'!AB38*Constants!$H$25</f>
        <v>25128517.122223884</v>
      </c>
      <c r="AH19" s="23">
        <f>'Intermediate calculations'!AC37*'Intermediate calculations'!AC38*Constants!$H$25</f>
        <v>25474971.393442623</v>
      </c>
      <c r="AI19" s="23">
        <f>'Intermediate calculations'!AD37*'Intermediate calculations'!AD38*Constants!$H$25</f>
        <v>25734234.71894455</v>
      </c>
      <c r="AJ19" s="23">
        <f>'Intermediate calculations'!AE37*'Intermediate calculations'!AE38*Constants!$H$25</f>
        <v>26066681.867313132</v>
      </c>
      <c r="AK19" s="23">
        <f>'Intermediate calculations'!AF37*'Intermediate calculations'!AF38*Constants!$H$25</f>
        <v>26412334.873995647</v>
      </c>
      <c r="AL19" s="23">
        <f>'Intermediate calculations'!AG37*'Intermediate calculations'!AG38*Constants!$H$25</f>
        <v>25236759.160101797</v>
      </c>
      <c r="AM19" s="23">
        <f>'Intermediate calculations'!AH37*'Intermediate calculations'!AH38*Constants!$H$25</f>
        <v>25864898.107945878</v>
      </c>
      <c r="AN19" s="23">
        <f>'Intermediate calculations'!AI37*'Intermediate calculations'!AI38*Constants!$H$25</f>
        <v>26701997.274038151</v>
      </c>
      <c r="AO19" s="23">
        <f>'Intermediate calculations'!AJ37*'Intermediate calculations'!AJ38*Constants!$H$25</f>
        <v>27213948.712119233</v>
      </c>
      <c r="AP19" s="23">
        <f>'Intermediate calculations'!AK37*'Intermediate calculations'!AK38*Constants!$H$25</f>
        <v>27772088.173000056</v>
      </c>
      <c r="AQ19" s="23">
        <f>'Intermediate calculations'!AL37*'Intermediate calculations'!AL38*Constants!$H$25</f>
        <v>28390538.331827588</v>
      </c>
      <c r="AR19" s="23">
        <f>'Intermediate calculations'!AM37*'Intermediate calculations'!AM38*Constants!$H$25</f>
        <v>29029316.501091793</v>
      </c>
      <c r="AS19" s="23">
        <f>'Intermediate calculations'!AN37*'Intermediate calculations'!AN38*Constants!$H$25</f>
        <v>29717792.940709669</v>
      </c>
      <c r="AT19" s="23">
        <f>'Intermediate calculations'!AO37*'Intermediate calculations'!AO38*Constants!$H$25</f>
        <v>30421752.223616753</v>
      </c>
      <c r="AU19" s="23">
        <f>'Intermediate calculations'!AP37*'Intermediate calculations'!AP38*Constants!$H$25</f>
        <v>31173388.63263537</v>
      </c>
      <c r="AV19" s="23">
        <f>'Intermediate calculations'!AQ37*'Intermediate calculations'!AQ38*Constants!$H$25</f>
        <v>31938411.42658798</v>
      </c>
      <c r="AW19" s="23">
        <f>'Intermediate calculations'!AR37*'Intermediate calculations'!AR38*Constants!$H$25</f>
        <v>32763820.199340597</v>
      </c>
      <c r="AX19" s="23">
        <f>'Intermediate calculations'!AS37*'Intermediate calculations'!AS38*Constants!$H$25</f>
        <v>33580705.721749365</v>
      </c>
      <c r="AY19" s="23">
        <f>'Intermediate calculations'!AT37*'Intermediate calculations'!AT38*Constants!$H$25</f>
        <v>34435283.245320365</v>
      </c>
      <c r="AZ19" s="23">
        <f>'Intermediate calculations'!AU37*'Intermediate calculations'!AU38*Constants!$H$25</f>
        <v>35383745.397426449</v>
      </c>
      <c r="BA19" s="23">
        <f>'Intermediate calculations'!AV37*'Intermediate calculations'!AV38*Constants!$H$25</f>
        <v>36294296.686562642</v>
      </c>
      <c r="BB19" s="23">
        <f>'Intermediate calculations'!AW37*'Intermediate calculations'!AW38*Constants!$H$25</f>
        <v>37235954.105201684</v>
      </c>
      <c r="BC19" s="23">
        <f>'Intermediate calculations'!AX37*'Intermediate calculations'!AX38*Constants!$H$25</f>
        <v>38234261.518263079</v>
      </c>
      <c r="BD19" s="23">
        <f>'Intermediate calculations'!AY37*'Intermediate calculations'!AY38*Constants!$H$25</f>
        <v>39181138.911181092</v>
      </c>
      <c r="BE19" s="23">
        <f>'Intermediate calculations'!AZ37*'Intermediate calculations'!AZ38*Constants!$H$25</f>
        <v>40125435.605386712</v>
      </c>
      <c r="BF19" s="23">
        <f>'Intermediate calculations'!BA37*'Intermediate calculations'!BA38*Constants!$H$25</f>
        <v>41069324.053558469</v>
      </c>
      <c r="BG19" s="23">
        <f>'Intermediate calculations'!BB37*'Intermediate calculations'!BB38*Constants!$H$25</f>
        <v>42070744.769098721</v>
      </c>
      <c r="BH19" s="23">
        <f>'Intermediate calculations'!BC37*'Intermediate calculations'!BC38*Constants!$H$25</f>
        <v>43040279.068297915</v>
      </c>
      <c r="BI19" s="23">
        <f>'Intermediate calculations'!BD37*'Intermediate calculations'!BD38*Constants!$H$25</f>
        <v>44043388.631326117</v>
      </c>
      <c r="BJ19" s="23">
        <f>'Intermediate calculations'!BE37*'Intermediate calculations'!BE38*Constants!$H$25</f>
        <v>45084260.952272281</v>
      </c>
      <c r="BK19" s="23">
        <f>'Intermediate calculations'!BF37*'Intermediate calculations'!BF38*Constants!$H$25</f>
        <v>46169487.767128564</v>
      </c>
      <c r="BL19" s="23">
        <f>'Intermediate calculations'!BG37*'Intermediate calculations'!BG38*Constants!$H$25</f>
        <v>47283696.604452714</v>
      </c>
      <c r="BM19" s="23">
        <f>'Intermediate calculations'!BH37*'Intermediate calculations'!BH38*Constants!$H$25</f>
        <v>47673964.473478749</v>
      </c>
      <c r="BN19" s="23">
        <f>'Intermediate calculations'!BI37*'Intermediate calculations'!BI38*Constants!$H$25</f>
        <v>47997201.312096633</v>
      </c>
      <c r="BO19" s="23">
        <f>'Intermediate calculations'!BJ37*'Intermediate calculations'!BJ38*Constants!$H$25</f>
        <v>48222929.698696598</v>
      </c>
      <c r="BP19" s="23">
        <f>'Intermediate calculations'!BK37*'Intermediate calculations'!BK38*Constants!$H$25</f>
        <v>48419785.671116553</v>
      </c>
    </row>
    <row r="20" spans="1:72" x14ac:dyDescent="0.3">
      <c r="A20" t="str">
        <f t="shared" si="1"/>
        <v>3A Livestock</v>
      </c>
      <c r="C20" t="str">
        <f>C19</f>
        <v>3A2i Poultry</v>
      </c>
      <c r="D20" t="str">
        <f>'IPCC Categories'!F51</f>
        <v>Commercial broilers</v>
      </c>
      <c r="E20" t="str">
        <f t="shared" si="2"/>
        <v>Population</v>
      </c>
      <c r="F20" t="str">
        <f t="shared" si="3"/>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'Intermediate calculations'!Y42*'Intermediate calculations'!Y43*Constants!$H$26</f>
        <v>94043391.409974933</v>
      </c>
      <c r="AE20" s="23">
        <f>'Intermediate calculations'!Z42*'Intermediate calculations'!Z43*Constants!$H$26</f>
        <v>95281774.78489992</v>
      </c>
      <c r="AF20" s="23">
        <f>'Intermediate calculations'!AA42*'Intermediate calculations'!AA43*Constants!$H$26</f>
        <v>97270973.713722661</v>
      </c>
      <c r="AG20" s="23">
        <f>'Intermediate calculations'!AB42*'Intermediate calculations'!AB43*Constants!$H$26</f>
        <v>97842130.842887625</v>
      </c>
      <c r="AH20" s="23">
        <f>'Intermediate calculations'!AC42*'Intermediate calculations'!AC43*Constants!$H$26</f>
        <v>97491901.623900309</v>
      </c>
      <c r="AI20" s="23">
        <f>'Intermediate calculations'!AD42*'Intermediate calculations'!AD43*Constants!$H$26</f>
        <v>96224012.280420944</v>
      </c>
      <c r="AJ20" s="23">
        <f>'Intermediate calculations'!AE42*'Intermediate calculations'!AE43*Constants!$H$26</f>
        <v>95690259.829558313</v>
      </c>
      <c r="AK20" s="23">
        <f>'Intermediate calculations'!AF42*'Intermediate calculations'!AF43*Constants!$H$26</f>
        <v>95277598.733681634</v>
      </c>
      <c r="AL20" s="23">
        <f>'Intermediate calculations'!AG42*'Intermediate calculations'!AG43*Constants!$H$26</f>
        <v>80314070.068301976</v>
      </c>
      <c r="AM20" s="23">
        <f>'Intermediate calculations'!AH42*'Intermediate calculations'!AH43*Constants!$H$26</f>
        <v>83494897.804747581</v>
      </c>
      <c r="AN20" s="23">
        <f>'Intermediate calculations'!AI42*'Intermediate calculations'!AI43*Constants!$H$26</f>
        <v>88571294.352633178</v>
      </c>
      <c r="AO20" s="23">
        <f>'Intermediate calculations'!AJ42*'Intermediate calculations'!AJ43*Constants!$H$26</f>
        <v>90528303.595166594</v>
      </c>
      <c r="AP20" s="23">
        <f>'Intermediate calculations'!AK42*'Intermediate calculations'!AK43*Constants!$H$26</f>
        <v>92870242.049221531</v>
      </c>
      <c r="AQ20" s="23">
        <f>'Intermediate calculations'!AL42*'Intermediate calculations'!AL43*Constants!$H$26</f>
        <v>95716091.944305658</v>
      </c>
      <c r="AR20" s="23">
        <f>'Intermediate calculations'!AM42*'Intermediate calculations'!AM43*Constants!$H$26</f>
        <v>98983973.869236231</v>
      </c>
      <c r="AS20" s="23">
        <f>'Intermediate calculations'!AN42*'Intermediate calculations'!AN43*Constants!$H$26</f>
        <v>102643511.26127146</v>
      </c>
      <c r="AT20" s="23">
        <f>'Intermediate calculations'!AO42*'Intermediate calculations'!AO43*Constants!$H$26</f>
        <v>106380760.91241254</v>
      </c>
      <c r="AU20" s="23">
        <f>'Intermediate calculations'!AP42*'Intermediate calculations'!AP43*Constants!$H$26</f>
        <v>110479379.93842682</v>
      </c>
      <c r="AV20" s="23">
        <f>'Intermediate calculations'!AQ42*'Intermediate calculations'!AQ43*Constants!$H$26</f>
        <v>114630551.08442631</v>
      </c>
      <c r="AW20" s="23">
        <f>'Intermediate calculations'!AR42*'Intermediate calculations'!AR43*Constants!$H$26</f>
        <v>119476551.14905302</v>
      </c>
      <c r="AX20" s="23">
        <f>'Intermediate calculations'!AS42*'Intermediate calculations'!AS43*Constants!$H$26</f>
        <v>124179352.25138603</v>
      </c>
      <c r="AY20" s="23">
        <f>'Intermediate calculations'!AT42*'Intermediate calculations'!AT43*Constants!$H$26</f>
        <v>129140086.56514019</v>
      </c>
      <c r="AZ20" s="23">
        <f>'Intermediate calculations'!AU42*'Intermediate calculations'!AU43*Constants!$H$26</f>
        <v>134834020.09303874</v>
      </c>
      <c r="BA20" s="23">
        <f>'Intermediate calculations'!AV42*'Intermediate calculations'!AV43*Constants!$H$26</f>
        <v>140129146.84306237</v>
      </c>
      <c r="BB20" s="23">
        <f>'Intermediate calculations'!AW42*'Intermediate calculations'!AW43*Constants!$H$26</f>
        <v>145832956.82658711</v>
      </c>
      <c r="BC20" s="23">
        <f>'Intermediate calculations'!AX42*'Intermediate calculations'!AX43*Constants!$H$26</f>
        <v>151939749.44731396</v>
      </c>
      <c r="BD20" s="23">
        <f>'Intermediate calculations'!AY42*'Intermediate calculations'!AY43*Constants!$H$26</f>
        <v>157543409.09952602</v>
      </c>
      <c r="BE20" s="23">
        <f>'Intermediate calculations'!AZ42*'Intermediate calculations'!AZ43*Constants!$H$26</f>
        <v>163058014.47828877</v>
      </c>
      <c r="BF20" s="23">
        <f>'Intermediate calculations'!BA42*'Intermediate calculations'!BA43*Constants!$H$26</f>
        <v>168503696.40872559</v>
      </c>
      <c r="BG20" s="23">
        <f>'Intermediate calculations'!BB42*'Intermediate calculations'!BB43*Constants!$H$26</f>
        <v>174555478.64995566</v>
      </c>
      <c r="BH20" s="23">
        <f>'Intermediate calculations'!BC42*'Intermediate calculations'!BC43*Constants!$H$26</f>
        <v>180281031.40218979</v>
      </c>
      <c r="BI20" s="23">
        <f>'Intermediate calculations'!BD42*'Intermediate calculations'!BD43*Constants!$H$26</f>
        <v>186215216.38282689</v>
      </c>
      <c r="BJ20" s="23">
        <f>'Intermediate calculations'!BE42*'Intermediate calculations'!BE43*Constants!$H$26</f>
        <v>192388643.71666509</v>
      </c>
      <c r="BK20" s="23">
        <f>'Intermediate calculations'!BF42*'Intermediate calculations'!BF43*Constants!$H$26</f>
        <v>198850473.36269024</v>
      </c>
      <c r="BL20" s="23">
        <f>'Intermediate calculations'!BG42*'Intermediate calculations'!BG43*Constants!$H$26</f>
        <v>205674065.16628239</v>
      </c>
      <c r="BM20" s="23">
        <f>'Intermediate calculations'!BH42*'Intermediate calculations'!BH43*Constants!$H$26</f>
        <v>206712922.07417139</v>
      </c>
      <c r="BN20" s="23">
        <f>'Intermediate calculations'!BI42*'Intermediate calculations'!BI43*Constants!$H$26</f>
        <v>207219745.78868875</v>
      </c>
      <c r="BO20" s="23">
        <f>'Intermediate calculations'!BJ42*'Intermediate calculations'!BJ43*Constants!$H$26</f>
        <v>206964662.4361454</v>
      </c>
      <c r="BP20" s="23">
        <f>'Intermediate calculations'!BK42*'Intermediate calculations'!BK43*Constants!$H$26</f>
        <v>206492684.33218193</v>
      </c>
    </row>
    <row r="21" spans="1:72" x14ac:dyDescent="0.3">
      <c r="A21" t="str">
        <f t="shared" si="1"/>
        <v>3A Livestock</v>
      </c>
      <c r="C21" t="str">
        <f>C20</f>
        <v>3A2i Poultry</v>
      </c>
      <c r="D21" t="str">
        <f>'IPCC Categories'!F52</f>
        <v>Subsistence layers</v>
      </c>
      <c r="E21" t="str">
        <f t="shared" si="2"/>
        <v>Population</v>
      </c>
      <c r="F21" t="str">
        <f t="shared" si="3"/>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'Intermediate calculations'!Y37*'Intermediate calculations'!Y38*(1-Constants!$H$25)</f>
        <v>985576.74140479253</v>
      </c>
      <c r="AE21" s="23">
        <f>'Intermediate calculations'!Z37*'Intermediate calculations'!Z38*(1-Constants!$H$25)</f>
        <v>1005615.4704369217</v>
      </c>
      <c r="AF21" s="23">
        <f>'Intermediate calculations'!AA37*'Intermediate calculations'!AA38*(1-Constants!$H$25)</f>
        <v>1029038.8454892697</v>
      </c>
      <c r="AG21" s="23">
        <f>'Intermediate calculations'!AB37*'Intermediate calculations'!AB38*(1-Constants!$H$25)</f>
        <v>1047021.5467593295</v>
      </c>
      <c r="AH21" s="23">
        <f>'Intermediate calculations'!AC37*'Intermediate calculations'!AC38*(1-Constants!$H$25)</f>
        <v>1061457.1413934438</v>
      </c>
      <c r="AI21" s="23">
        <f>'Intermediate calculations'!AD37*'Intermediate calculations'!AD38*(1-Constants!$H$25)</f>
        <v>1072259.7799560239</v>
      </c>
      <c r="AJ21" s="23">
        <f>'Intermediate calculations'!AE37*'Intermediate calculations'!AE38*(1-Constants!$H$25)</f>
        <v>1086111.7444713814</v>
      </c>
      <c r="AK21" s="23">
        <f>'Intermediate calculations'!AF37*'Intermediate calculations'!AF38*(1-Constants!$H$25)</f>
        <v>1100513.9530831531</v>
      </c>
      <c r="AL21" s="23">
        <f>'Intermediate calculations'!AG37*'Intermediate calculations'!AG38*(1-Constants!$H$25)</f>
        <v>1051531.6316709092</v>
      </c>
      <c r="AM21" s="23">
        <f>'Intermediate calculations'!AH37*'Intermediate calculations'!AH38*(1-Constants!$H$25)</f>
        <v>1077704.0878310793</v>
      </c>
      <c r="AN21" s="23">
        <f>'Intermediate calculations'!AI37*'Intermediate calculations'!AI38*(1-Constants!$H$25)</f>
        <v>1112583.2197515906</v>
      </c>
      <c r="AO21" s="23">
        <f>'Intermediate calculations'!AJ37*'Intermediate calculations'!AJ38*(1-Constants!$H$25)</f>
        <v>1133914.5296716357</v>
      </c>
      <c r="AP21" s="23">
        <f>'Intermediate calculations'!AK37*'Intermediate calculations'!AK38*(1-Constants!$H$25)</f>
        <v>1157170.3405416701</v>
      </c>
      <c r="AQ21" s="23">
        <f>'Intermediate calculations'!AL37*'Intermediate calculations'!AL38*(1-Constants!$H$25)</f>
        <v>1182939.0971594839</v>
      </c>
      <c r="AR21" s="23">
        <f>'Intermediate calculations'!AM37*'Intermediate calculations'!AM38*(1-Constants!$H$25)</f>
        <v>1209554.8542121591</v>
      </c>
      <c r="AS21" s="23">
        <f>'Intermediate calculations'!AN37*'Intermediate calculations'!AN38*(1-Constants!$H$25)</f>
        <v>1238241.3725295707</v>
      </c>
      <c r="AT21" s="23">
        <f>'Intermediate calculations'!AO37*'Intermediate calculations'!AO38*(1-Constants!$H$25)</f>
        <v>1267573.0093173657</v>
      </c>
      <c r="AU21" s="23">
        <f>'Intermediate calculations'!AP37*'Intermediate calculations'!AP38*(1-Constants!$H$25)</f>
        <v>1298891.1930264749</v>
      </c>
      <c r="AV21" s="23">
        <f>'Intermediate calculations'!AQ37*'Intermediate calculations'!AQ38*(1-Constants!$H$25)</f>
        <v>1330767.1427745004</v>
      </c>
      <c r="AW21" s="23">
        <f>'Intermediate calculations'!AR37*'Intermediate calculations'!AR38*(1-Constants!$H$25)</f>
        <v>1365159.1749725263</v>
      </c>
      <c r="AX21" s="23">
        <f>'Intermediate calculations'!AS37*'Intermediate calculations'!AS38*(1-Constants!$H$25)</f>
        <v>1399196.0717395581</v>
      </c>
      <c r="AY21" s="23">
        <f>'Intermediate calculations'!AT37*'Intermediate calculations'!AT38*(1-Constants!$H$25)</f>
        <v>1434803.4685550167</v>
      </c>
      <c r="AZ21" s="23">
        <f>'Intermediate calculations'!AU37*'Intermediate calculations'!AU38*(1-Constants!$H$25)</f>
        <v>1474322.7248927702</v>
      </c>
      <c r="BA21" s="23">
        <f>'Intermediate calculations'!AV37*'Intermediate calculations'!AV38*(1-Constants!$H$25)</f>
        <v>1512262.3619401113</v>
      </c>
      <c r="BB21" s="23">
        <f>'Intermediate calculations'!AW37*'Intermediate calculations'!AW38*(1-Constants!$H$25)</f>
        <v>1551498.0877167382</v>
      </c>
      <c r="BC21" s="23">
        <f>'Intermediate calculations'!AX37*'Intermediate calculations'!AX38*(1-Constants!$H$25)</f>
        <v>1593094.2299276297</v>
      </c>
      <c r="BD21" s="23">
        <f>'Intermediate calculations'!AY37*'Intermediate calculations'!AY38*(1-Constants!$H$25)</f>
        <v>1632547.4546325472</v>
      </c>
      <c r="BE21" s="23">
        <f>'Intermediate calculations'!AZ37*'Intermediate calculations'!AZ38*(1-Constants!$H$25)</f>
        <v>1671893.1502244479</v>
      </c>
      <c r="BF21" s="23">
        <f>'Intermediate calculations'!BA37*'Intermediate calculations'!BA38*(1-Constants!$H$25)</f>
        <v>1711221.8355649379</v>
      </c>
      <c r="BG21" s="23">
        <f>'Intermediate calculations'!BB37*'Intermediate calculations'!BB38*(1-Constants!$H$25)</f>
        <v>1752947.6987124484</v>
      </c>
      <c r="BH21" s="23">
        <f>'Intermediate calculations'!BC37*'Intermediate calculations'!BC38*(1-Constants!$H$25)</f>
        <v>1793344.9611790816</v>
      </c>
      <c r="BI21" s="23">
        <f>'Intermediate calculations'!BD37*'Intermediate calculations'!BD38*(1-Constants!$H$25)</f>
        <v>1835141.1929719232</v>
      </c>
      <c r="BJ21" s="23">
        <f>'Intermediate calculations'!BE37*'Intermediate calculations'!BE38*(1-Constants!$H$25)</f>
        <v>1878510.8730113469</v>
      </c>
      <c r="BK21" s="23">
        <f>'Intermediate calculations'!BF37*'Intermediate calculations'!BF38*(1-Constants!$H$25)</f>
        <v>1923728.6569636918</v>
      </c>
      <c r="BL21" s="23">
        <f>'Intermediate calculations'!BG37*'Intermediate calculations'!BG38*(1-Constants!$H$25)</f>
        <v>1970154.0251855317</v>
      </c>
      <c r="BM21" s="23">
        <f>'Intermediate calculations'!BH37*'Intermediate calculations'!BH38*(1-Constants!$H$25)</f>
        <v>1986415.1863949499</v>
      </c>
      <c r="BN21" s="23">
        <f>'Intermediate calculations'!BI37*'Intermediate calculations'!BI38*(1-Constants!$H$25)</f>
        <v>1999883.3880040282</v>
      </c>
      <c r="BO21" s="23">
        <f>'Intermediate calculations'!BJ37*'Intermediate calculations'!BJ38*(1-Constants!$H$25)</f>
        <v>2009288.7374456932</v>
      </c>
      <c r="BP21" s="23">
        <f>'Intermediate calculations'!BK37*'Intermediate calculations'!BK38*(1-Constants!$H$25)</f>
        <v>2017491.0696298582</v>
      </c>
    </row>
    <row r="22" spans="1:72" x14ac:dyDescent="0.3">
      <c r="A22" t="str">
        <f t="shared" si="1"/>
        <v>3A Livestock</v>
      </c>
      <c r="C22" t="str">
        <f>C21</f>
        <v>3A2i Poultry</v>
      </c>
      <c r="D22" t="str">
        <f>'IPCC Categories'!F53</f>
        <v>Subsistence broilers</v>
      </c>
      <c r="E22" t="str">
        <f t="shared" si="2"/>
        <v>Population</v>
      </c>
      <c r="F22" t="str">
        <f t="shared" si="3"/>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'Intermediate calculations'!Y42*'Intermediate calculations'!Y43*(1-Constants!$H$26)</f>
        <v>3918474.6420822921</v>
      </c>
      <c r="AE22" s="23">
        <f>'Intermediate calculations'!Z42*'Intermediate calculations'!Z43*(1-Constants!$H$26)</f>
        <v>3970073.9493708336</v>
      </c>
      <c r="AF22" s="23">
        <f>'Intermediate calculations'!AA42*'Intermediate calculations'!AA43*(1-Constants!$H$26)</f>
        <v>4052957.2380717816</v>
      </c>
      <c r="AG22" s="23">
        <f>'Intermediate calculations'!AB42*'Intermediate calculations'!AB43*(1-Constants!$H$26)</f>
        <v>4076755.4517869884</v>
      </c>
      <c r="AH22" s="23">
        <f>'Intermediate calculations'!AC42*'Intermediate calculations'!AC43*(1-Constants!$H$26)</f>
        <v>4062162.5676625171</v>
      </c>
      <c r="AI22" s="23">
        <f>'Intermediate calculations'!AD42*'Intermediate calculations'!AD43*(1-Constants!$H$26)</f>
        <v>4009333.8450175426</v>
      </c>
      <c r="AJ22" s="23">
        <f>'Intermediate calculations'!AE42*'Intermediate calculations'!AE43*(1-Constants!$H$26)</f>
        <v>3987094.1595649333</v>
      </c>
      <c r="AK22" s="23">
        <f>'Intermediate calculations'!AF42*'Intermediate calculations'!AF43*(1-Constants!$H$26)</f>
        <v>3969899.9472367382</v>
      </c>
      <c r="AL22" s="23">
        <f>'Intermediate calculations'!AG42*'Intermediate calculations'!AG43*(1-Constants!$H$26)</f>
        <v>3346419.5861792522</v>
      </c>
      <c r="AM22" s="23">
        <f>'Intermediate calculations'!AH42*'Intermediate calculations'!AH43*(1-Constants!$H$26)</f>
        <v>3478954.0751978192</v>
      </c>
      <c r="AN22" s="23">
        <f>'Intermediate calculations'!AI42*'Intermediate calculations'!AI43*(1-Constants!$H$26)</f>
        <v>3690470.5980263855</v>
      </c>
      <c r="AO22" s="23">
        <f>'Intermediate calculations'!AJ42*'Intermediate calculations'!AJ43*(1-Constants!$H$26)</f>
        <v>3772012.6497986116</v>
      </c>
      <c r="AP22" s="23">
        <f>'Intermediate calculations'!AK42*'Intermediate calculations'!AK43*(1-Constants!$H$26)</f>
        <v>3869593.4187175673</v>
      </c>
      <c r="AQ22" s="23">
        <f>'Intermediate calculations'!AL42*'Intermediate calculations'!AL43*(1-Constants!$H$26)</f>
        <v>3988170.4976794063</v>
      </c>
      <c r="AR22" s="23">
        <f>'Intermediate calculations'!AM42*'Intermediate calculations'!AM43*(1-Constants!$H$26)</f>
        <v>4124332.2445515133</v>
      </c>
      <c r="AS22" s="23">
        <f>'Intermediate calculations'!AN42*'Intermediate calculations'!AN43*(1-Constants!$H$26)</f>
        <v>4276812.9692196483</v>
      </c>
      <c r="AT22" s="23">
        <f>'Intermediate calculations'!AO42*'Intermediate calculations'!AO43*(1-Constants!$H$26)</f>
        <v>4432531.7046838598</v>
      </c>
      <c r="AU22" s="23">
        <f>'Intermediate calculations'!AP42*'Intermediate calculations'!AP43*(1-Constants!$H$26)</f>
        <v>4603307.497434455</v>
      </c>
      <c r="AV22" s="23">
        <f>'Intermediate calculations'!AQ42*'Intermediate calculations'!AQ43*(1-Constants!$H$26)</f>
        <v>4776272.9618511014</v>
      </c>
      <c r="AW22" s="23">
        <f>'Intermediate calculations'!AR42*'Intermediate calculations'!AR43*(1-Constants!$H$26)</f>
        <v>4978189.6312105469</v>
      </c>
      <c r="AX22" s="23">
        <f>'Intermediate calculations'!AS42*'Intermediate calculations'!AS43*(1-Constants!$H$26)</f>
        <v>5174139.677141089</v>
      </c>
      <c r="AY22" s="23">
        <f>'Intermediate calculations'!AT42*'Intermediate calculations'!AT43*(1-Constants!$H$26)</f>
        <v>5380836.9402141795</v>
      </c>
      <c r="AZ22" s="23">
        <f>'Intermediate calculations'!AU42*'Intermediate calculations'!AU43*(1-Constants!$H$26)</f>
        <v>5618084.170543286</v>
      </c>
      <c r="BA22" s="23">
        <f>'Intermediate calculations'!AV42*'Intermediate calculations'!AV43*(1-Constants!$H$26)</f>
        <v>5838714.4517942704</v>
      </c>
      <c r="BB22" s="23">
        <f>'Intermediate calculations'!AW42*'Intermediate calculations'!AW43*(1-Constants!$H$26)</f>
        <v>6076373.2011078019</v>
      </c>
      <c r="BC22" s="23">
        <f>'Intermediate calculations'!AX42*'Intermediate calculations'!AX43*(1-Constants!$H$26)</f>
        <v>6330822.8936380874</v>
      </c>
      <c r="BD22" s="23">
        <f>'Intermediate calculations'!AY42*'Intermediate calculations'!AY43*(1-Constants!$H$26)</f>
        <v>6564308.7124802563</v>
      </c>
      <c r="BE22" s="23">
        <f>'Intermediate calculations'!AZ42*'Intermediate calculations'!AZ43*(1-Constants!$H$26)</f>
        <v>6794083.9365953719</v>
      </c>
      <c r="BF22" s="23">
        <f>'Intermediate calculations'!BA42*'Intermediate calculations'!BA43*(1-Constants!$H$26)</f>
        <v>7020987.3503635731</v>
      </c>
      <c r="BG22" s="23">
        <f>'Intermediate calculations'!BB42*'Intermediate calculations'!BB43*(1-Constants!$H$26)</f>
        <v>7273144.9437481584</v>
      </c>
      <c r="BH22" s="23">
        <f>'Intermediate calculations'!BC42*'Intermediate calculations'!BC43*(1-Constants!$H$26)</f>
        <v>7511709.6417579148</v>
      </c>
      <c r="BI22" s="23">
        <f>'Intermediate calculations'!BD42*'Intermediate calculations'!BD43*(1-Constants!$H$26)</f>
        <v>7758967.3492844617</v>
      </c>
      <c r="BJ22" s="23">
        <f>'Intermediate calculations'!BE42*'Intermediate calculations'!BE43*(1-Constants!$H$26)</f>
        <v>8016193.4881943855</v>
      </c>
      <c r="BK22" s="23">
        <f>'Intermediate calculations'!BF42*'Intermediate calculations'!BF43*(1-Constants!$H$26)</f>
        <v>8285436.3901121011</v>
      </c>
      <c r="BL22" s="23">
        <f>'Intermediate calculations'!BG42*'Intermediate calculations'!BG43*(1-Constants!$H$26)</f>
        <v>8569752.7152617741</v>
      </c>
      <c r="BM22" s="23">
        <f>'Intermediate calculations'!BH42*'Intermediate calculations'!BH43*(1-Constants!$H$26)</f>
        <v>8613038.4197571501</v>
      </c>
      <c r="BN22" s="23">
        <f>'Intermediate calculations'!BI42*'Intermediate calculations'!BI43*(1-Constants!$H$26)</f>
        <v>8634156.0745287053</v>
      </c>
      <c r="BO22" s="23">
        <f>'Intermediate calculations'!BJ42*'Intermediate calculations'!BJ43*(1-Constants!$H$26)</f>
        <v>8623527.6015060656</v>
      </c>
      <c r="BP22" s="23">
        <f>'Intermediate calculations'!BK42*'Intermediate calculations'!BK43*(1-Constants!$H$26)</f>
        <v>8603861.8471742552</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6">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27" si="7">A24</f>
        <v>3C Aggregated and non-CO2 emissions on land</v>
      </c>
      <c r="B25" t="str">
        <f t="shared" si="7"/>
        <v>3C1 Biomass burning (CH4)</v>
      </c>
      <c r="C25" t="str">
        <f t="shared" si="7"/>
        <v>3C1a Biomass burning in forest land</v>
      </c>
      <c r="D25" t="s">
        <v>347</v>
      </c>
      <c r="E25" t="str">
        <f t="shared" si="6"/>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7"/>
        <v>3C Aggregated and non-CO2 emissions on land</v>
      </c>
      <c r="B26" t="str">
        <f t="shared" si="7"/>
        <v>3C1 Biomass burning (CH4)</v>
      </c>
      <c r="C26" t="str">
        <f t="shared" si="7"/>
        <v>3C1a Biomass burning in forest land</v>
      </c>
      <c r="D26" t="s">
        <v>348</v>
      </c>
      <c r="E26" t="str">
        <f t="shared" si="6"/>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7"/>
        <v>3C Aggregated and non-CO2 emissions on land</v>
      </c>
      <c r="B27" t="str">
        <f t="shared" si="7"/>
        <v>3C1 Biomass burning (CH4)</v>
      </c>
      <c r="C27" t="str">
        <f t="shared" si="7"/>
        <v>3C1a Biomass burning in forest land</v>
      </c>
      <c r="D27" t="s">
        <v>349</v>
      </c>
      <c r="E27" t="str">
        <f t="shared" si="6"/>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ref="A28:B34" si="8">A27</f>
        <v>3C Aggregated and non-CO2 emissions on land</v>
      </c>
      <c r="B28" t="str">
        <f t="shared" si="8"/>
        <v>3C1 Biomass burning (CH4)</v>
      </c>
      <c r="C28" t="str">
        <f>'IPCC Categories'!C60</f>
        <v>3C1b Biomass burning in Croplands</v>
      </c>
      <c r="D28" t="s">
        <v>350</v>
      </c>
      <c r="E28" t="str">
        <f t="shared" si="6"/>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8"/>
        <v>3C Aggregated and non-CO2 emissions on land</v>
      </c>
      <c r="B29" t="str">
        <f t="shared" si="8"/>
        <v>3C1 Biomass burning (CH4)</v>
      </c>
      <c r="C29" t="str">
        <f>C28</f>
        <v>3C1b Biomass burning in Croplands</v>
      </c>
      <c r="D29" t="s">
        <v>351</v>
      </c>
      <c r="E29" t="str">
        <f t="shared" si="6"/>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8"/>
        <v>3C Aggregated and non-CO2 emissions on land</v>
      </c>
      <c r="B30" t="str">
        <f t="shared" si="8"/>
        <v>3C1 Biomass burning (CH4)</v>
      </c>
      <c r="C30" t="str">
        <f>C29</f>
        <v>3C1b Biomass burning in Croplands</v>
      </c>
      <c r="D30" t="s">
        <v>352</v>
      </c>
      <c r="E30" t="str">
        <f t="shared" si="6"/>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8"/>
        <v>3C Aggregated and non-CO2 emissions on land</v>
      </c>
      <c r="B31" t="str">
        <f t="shared" si="8"/>
        <v>3C1 Biomass burning (CH4)</v>
      </c>
      <c r="C31" t="str">
        <f>C30</f>
        <v>3C1b Biomass burning in Croplands</v>
      </c>
      <c r="D31" t="s">
        <v>353</v>
      </c>
      <c r="E31" t="str">
        <f t="shared" si="6"/>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8"/>
        <v>3C Aggregated and non-CO2 emissions on land</v>
      </c>
      <c r="B32" t="str">
        <f t="shared" si="8"/>
        <v>3C1 Biomass burning (CH4)</v>
      </c>
      <c r="C32" t="str">
        <f>C31</f>
        <v>3C1b Biomass burning in Croplands</v>
      </c>
      <c r="D32" t="s">
        <v>354</v>
      </c>
      <c r="E32" t="str">
        <f t="shared" si="6"/>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8"/>
        <v>3C Aggregated and non-CO2 emissions on land</v>
      </c>
      <c r="B33" t="str">
        <f t="shared" si="8"/>
        <v>3C1 Biomass burning (CH4)</v>
      </c>
      <c r="C33" t="str">
        <f>'IPCC Categories'!C61</f>
        <v>3C1c Biomass burning in Grasslands</v>
      </c>
      <c r="D33" t="s">
        <v>355</v>
      </c>
      <c r="E33" t="str">
        <f t="shared" si="6"/>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8"/>
        <v>3C Aggregated and non-CO2 emissions on land</v>
      </c>
      <c r="B34" t="str">
        <f t="shared" si="8"/>
        <v>3C1 Biomass burning (CH4)</v>
      </c>
      <c r="C34" t="str">
        <f>C33</f>
        <v>3C1c Biomass burning in Grasslands</v>
      </c>
      <c r="D34" t="s">
        <v>356</v>
      </c>
      <c r="E34" t="str">
        <f t="shared" si="6"/>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6"/>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6"/>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9">A36</f>
        <v>3C Aggregated and non-CO2 emissions on land</v>
      </c>
      <c r="B37" t="str">
        <f t="shared" si="9"/>
        <v>3C1 Biomass burning (CH4)</v>
      </c>
      <c r="C37" t="str">
        <f>'IPCC Categories'!C63</f>
        <v>3C1e Biomass burning in Settlements</v>
      </c>
      <c r="D37" t="s">
        <v>357</v>
      </c>
      <c r="E37" t="str">
        <f t="shared" si="6"/>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9"/>
        <v>3C Aggregated and non-CO2 emissions on land</v>
      </c>
      <c r="B38" t="str">
        <f t="shared" si="9"/>
        <v>3C1 Biomass burning (CH4)</v>
      </c>
      <c r="C38" t="str">
        <f>C37</f>
        <v>3C1e Biomass burning in Settlements</v>
      </c>
      <c r="D38" t="s">
        <v>358</v>
      </c>
      <c r="E38" t="str">
        <f t="shared" si="6"/>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9"/>
        <v>3C Aggregated and non-CO2 emissions on land</v>
      </c>
      <c r="B39" t="str">
        <f t="shared" si="9"/>
        <v>3C1 Biomass burning (CH4)</v>
      </c>
      <c r="C39" t="str">
        <f>'IPCC Categories'!C64</f>
        <v>3C1f Biomass burning in Other lands</v>
      </c>
      <c r="D39" t="s">
        <v>359</v>
      </c>
      <c r="E39" t="str">
        <f t="shared" si="6"/>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((Data!$AJ$42*LN('Intermediate calculations'!X60))+Data!$AK$42)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3529166.4271480162</v>
      </c>
      <c r="AN41" s="22">
        <f>((Data!$AJ$42*LN('Intermediate calculations'!AH60))+Data!$AK$42)</f>
        <v>3546270.8298196383</v>
      </c>
      <c r="AO41" s="22">
        <f>((Data!$AJ$42*LN('Intermediate calculations'!AI60))+Data!$AK$42)</f>
        <v>3569615.4404246323</v>
      </c>
      <c r="AP41" s="22">
        <f>((Data!$AJ$42*LN('Intermediate calculations'!AJ60))+Data!$AK$42)</f>
        <v>3582160.0846004635</v>
      </c>
      <c r="AQ41" s="22">
        <f>((Data!$AJ$42*LN('Intermediate calculations'!AK60))+Data!$AK$42)</f>
        <v>3595880.3405040652</v>
      </c>
      <c r="AR41" s="22">
        <f>((Data!$AJ$42*LN('Intermediate calculations'!AL60))+Data!$AK$42)</f>
        <v>3611134.5632110536</v>
      </c>
      <c r="AS41" s="22">
        <f>((Data!$AJ$42*LN('Intermediate calculations'!AM60))+Data!$AK$42)</f>
        <v>3627147.1559278443</v>
      </c>
      <c r="AT41" s="22">
        <f>((Data!$AJ$42*LN('Intermediate calculations'!AN60))+Data!$AK$42)</f>
        <v>3644236.4395725913</v>
      </c>
      <c r="AU41" s="22">
        <f>((Data!$AJ$42*LN('Intermediate calculations'!AO60))+Data!$AK$42)</f>
        <v>3661362.600325441</v>
      </c>
      <c r="AV41" s="22">
        <f>((Data!$AJ$42*LN('Intermediate calculations'!AP60))+Data!$AK$42)</f>
        <v>3679400.1141631156</v>
      </c>
      <c r="AW41" s="22">
        <f>((Data!$AJ$42*LN('Intermediate calculations'!AQ60))+Data!$AK$42)</f>
        <v>3697357.1706347931</v>
      </c>
      <c r="AX41" s="22">
        <f>((Data!$AJ$42*LN('Intermediate calculations'!AR60))+Data!$AK$42)</f>
        <v>3716825.6131215878</v>
      </c>
      <c r="AY41" s="22">
        <f>((Data!$AJ$42*LN('Intermediate calculations'!AS60))+Data!$AK$42)</f>
        <v>3735576.4548132215</v>
      </c>
      <c r="AZ41" s="22">
        <f>((Data!$AJ$42*LN('Intermediate calculations'!AT60))+Data!$AK$42)</f>
        <v>3754801.9136793837</v>
      </c>
      <c r="BA41" s="22">
        <f>((Data!$AJ$42*LN('Intermediate calculations'!AU60))+Data!$AK$42)</f>
        <v>3775819.8481446952</v>
      </c>
      <c r="BB41" s="22">
        <f>((Data!$AJ$42*LN('Intermediate calculations'!AV60))+Data!$AK$42)</f>
        <v>3795364.8263388891</v>
      </c>
      <c r="BC41" s="22">
        <f>((Data!$AJ$42*LN('Intermediate calculations'!AW60))+Data!$AK$42)</f>
        <v>3815433.6028827671</v>
      </c>
      <c r="BD41" s="22">
        <f>((Data!$AJ$42*LN('Intermediate calculations'!AX60))+Data!$AK$42)</f>
        <v>3836250.2997946851</v>
      </c>
      <c r="BE41" s="22">
        <f>((Data!$AJ$42*LN('Intermediate calculations'!AY60))+Data!$AK$42)</f>
        <v>3855382.0807021372</v>
      </c>
      <c r="BF41" s="22">
        <f>((Data!$AJ$42*LN('Intermediate calculations'!AZ60))+Data!$AK$42)</f>
        <v>3873982.0602689441</v>
      </c>
      <c r="BG41" s="22">
        <f>((Data!$AJ$42*LN('Intermediate calculations'!BA60))+Data!$AK$42)</f>
        <v>3892122.1545698177</v>
      </c>
      <c r="BH41" s="22">
        <f>((Data!$AJ$42*LN('Intermediate calculations'!BB60))+Data!$AK$42)</f>
        <v>3911262.6125641726</v>
      </c>
      <c r="BI41" s="22">
        <f>((Data!$AJ$42*LN('Intermediate calculations'!BC60))+Data!$AK$42)</f>
        <v>3929296.7865376845</v>
      </c>
      <c r="BJ41" s="22">
        <f>((Data!$AJ$42*LN('Intermediate calculations'!BD60))+Data!$AK$42)</f>
        <v>3947561.2451422345</v>
      </c>
      <c r="BK41" s="22">
        <f>((Data!$AJ$42*LN('Intermediate calculations'!BE60))+Data!$AK$42)</f>
        <v>3966109.5199365783</v>
      </c>
      <c r="BL41" s="22">
        <f>((Data!$AJ$42*LN('Intermediate calculations'!BF60))+Data!$AK$42)</f>
        <v>3985033.2236568704</v>
      </c>
      <c r="BM41" s="22">
        <f>((Data!$AJ$42*LN('Intermediate calculations'!BG60))+Data!$AK$42)</f>
        <v>4004253.4062462822</v>
      </c>
      <c r="BN41" s="22">
        <f>((Data!$AJ$42*LN('Intermediate calculations'!BH60))+Data!$AK$42)</f>
        <v>4010159.084837364</v>
      </c>
      <c r="BO41" s="22">
        <f>((Data!$AJ$42*LN('Intermediate calculations'!BI60))+Data!$AK$42)</f>
        <v>4014823.6244577486</v>
      </c>
      <c r="BP41" s="22">
        <f>((Data!$AJ$42*LN('Intermediate calculations'!BJ60))+Data!$AK$42)</f>
        <v>4017729.6322231963</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 si="10">AD42</f>
        <v>492000</v>
      </c>
      <c r="AF42" s="22">
        <f t="shared" ref="AF42" si="11">AE42</f>
        <v>492000</v>
      </c>
      <c r="AG42" s="22">
        <f t="shared" ref="AG42" si="12">AF42</f>
        <v>492000</v>
      </c>
      <c r="AH42" s="22">
        <f t="shared" ref="AH42" si="13">AG42</f>
        <v>492000</v>
      </c>
      <c r="AI42" s="22">
        <f t="shared" ref="AI42" si="14">AH42</f>
        <v>492000</v>
      </c>
      <c r="AJ42" s="22">
        <f t="shared" ref="AJ42:BP42" si="15">AI42</f>
        <v>492000</v>
      </c>
      <c r="AK42" s="22">
        <f t="shared" si="15"/>
        <v>492000</v>
      </c>
      <c r="AL42" s="22">
        <f t="shared" si="15"/>
        <v>492000</v>
      </c>
      <c r="AM42" s="22">
        <f t="shared" si="15"/>
        <v>492000</v>
      </c>
      <c r="AN42" s="22">
        <f t="shared" si="15"/>
        <v>492000</v>
      </c>
      <c r="AO42" s="22">
        <f t="shared" si="15"/>
        <v>492000</v>
      </c>
      <c r="AP42" s="22">
        <f t="shared" si="15"/>
        <v>492000</v>
      </c>
      <c r="AQ42" s="22">
        <f t="shared" si="15"/>
        <v>492000</v>
      </c>
      <c r="AR42" s="22">
        <f t="shared" si="15"/>
        <v>492000</v>
      </c>
      <c r="AS42" s="22">
        <f t="shared" si="15"/>
        <v>492000</v>
      </c>
      <c r="AT42" s="22">
        <f t="shared" si="15"/>
        <v>492000</v>
      </c>
      <c r="AU42" s="22">
        <f t="shared" si="15"/>
        <v>492000</v>
      </c>
      <c r="AV42" s="22">
        <f t="shared" si="15"/>
        <v>492000</v>
      </c>
      <c r="AW42" s="22">
        <f t="shared" si="15"/>
        <v>492000</v>
      </c>
      <c r="AX42" s="22">
        <f t="shared" si="15"/>
        <v>492000</v>
      </c>
      <c r="AY42" s="22">
        <f t="shared" si="15"/>
        <v>492000</v>
      </c>
      <c r="AZ42" s="22">
        <f t="shared" si="15"/>
        <v>492000</v>
      </c>
      <c r="BA42" s="22">
        <f t="shared" si="15"/>
        <v>492000</v>
      </c>
      <c r="BB42" s="22">
        <f t="shared" si="15"/>
        <v>492000</v>
      </c>
      <c r="BC42" s="22">
        <f t="shared" si="15"/>
        <v>492000</v>
      </c>
      <c r="BD42" s="22">
        <f t="shared" si="15"/>
        <v>492000</v>
      </c>
      <c r="BE42" s="22">
        <f t="shared" si="15"/>
        <v>492000</v>
      </c>
      <c r="BF42" s="22">
        <f t="shared" si="15"/>
        <v>492000</v>
      </c>
      <c r="BG42" s="22">
        <f t="shared" si="15"/>
        <v>492000</v>
      </c>
      <c r="BH42" s="22">
        <f t="shared" si="15"/>
        <v>492000</v>
      </c>
      <c r="BI42" s="22">
        <f t="shared" si="15"/>
        <v>492000</v>
      </c>
      <c r="BJ42" s="22">
        <f t="shared" si="15"/>
        <v>492000</v>
      </c>
      <c r="BK42" s="22">
        <f t="shared" si="15"/>
        <v>492000</v>
      </c>
      <c r="BL42" s="22">
        <f t="shared" si="15"/>
        <v>492000</v>
      </c>
      <c r="BM42" s="22">
        <f t="shared" si="15"/>
        <v>492000</v>
      </c>
      <c r="BN42" s="22">
        <f t="shared" si="15"/>
        <v>492000</v>
      </c>
      <c r="BO42" s="22">
        <f t="shared" si="15"/>
        <v>492000</v>
      </c>
      <c r="BP42" s="22">
        <f t="shared" si="1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16">AD45*(AE41/AD41)</f>
        <v>1937719.2252643446</v>
      </c>
      <c r="AF45" s="22">
        <f t="shared" si="16"/>
        <v>1944337.150863945</v>
      </c>
      <c r="AG45" s="22">
        <f t="shared" si="16"/>
        <v>1952247.2172823341</v>
      </c>
      <c r="AH45" s="22">
        <f t="shared" si="16"/>
        <v>1957590.8005033913</v>
      </c>
      <c r="AI45" s="22">
        <f t="shared" si="16"/>
        <v>1961268.1115766452</v>
      </c>
      <c r="AJ45" s="22">
        <f t="shared" si="16"/>
        <v>1963281.7966757091</v>
      </c>
      <c r="AK45" s="22">
        <f t="shared" si="16"/>
        <v>1966539.5694985471</v>
      </c>
      <c r="AL45" s="22">
        <f t="shared" si="16"/>
        <v>1969961.6174078276</v>
      </c>
      <c r="AM45" s="22">
        <f t="shared" si="16"/>
        <v>1946174.7436795847</v>
      </c>
      <c r="AN45" s="22">
        <f t="shared" si="16"/>
        <v>1955607.0436780117</v>
      </c>
      <c r="AO45" s="22">
        <f t="shared" si="16"/>
        <v>1968480.5344862049</v>
      </c>
      <c r="AP45" s="22">
        <f t="shared" si="16"/>
        <v>1975398.3350964694</v>
      </c>
      <c r="AQ45" s="22">
        <f t="shared" si="16"/>
        <v>1982964.4320963179</v>
      </c>
      <c r="AR45" s="22">
        <f t="shared" si="16"/>
        <v>1991376.4420084702</v>
      </c>
      <c r="AS45" s="22">
        <f t="shared" si="16"/>
        <v>2000206.6584829676</v>
      </c>
      <c r="AT45" s="22">
        <f t="shared" si="16"/>
        <v>2009630.6210258338</v>
      </c>
      <c r="AU45" s="22">
        <f t="shared" si="16"/>
        <v>2019074.9196162883</v>
      </c>
      <c r="AV45" s="22">
        <f t="shared" si="16"/>
        <v>2029021.7879758009</v>
      </c>
      <c r="AW45" s="22">
        <f t="shared" si="16"/>
        <v>2038924.2877579518</v>
      </c>
      <c r="AX45" s="22">
        <f t="shared" si="16"/>
        <v>2049660.2481748704</v>
      </c>
      <c r="AY45" s="22">
        <f t="shared" si="16"/>
        <v>2060000.4843967368</v>
      </c>
      <c r="AZ45" s="22">
        <f t="shared" si="16"/>
        <v>2070602.4504001401</v>
      </c>
      <c r="BA45" s="22">
        <f t="shared" si="16"/>
        <v>2082192.8851572105</v>
      </c>
      <c r="BB45" s="22">
        <f t="shared" si="16"/>
        <v>2092971.0515351696</v>
      </c>
      <c r="BC45" s="22">
        <f t="shared" si="16"/>
        <v>2104038.0688755242</v>
      </c>
      <c r="BD45" s="22">
        <f t="shared" si="16"/>
        <v>2115517.5302761439</v>
      </c>
      <c r="BE45" s="22">
        <f t="shared" si="16"/>
        <v>2126067.8371467055</v>
      </c>
      <c r="BF45" s="22">
        <f t="shared" si="16"/>
        <v>2136324.87976941</v>
      </c>
      <c r="BG45" s="22">
        <f t="shared" si="16"/>
        <v>2146328.3165880172</v>
      </c>
      <c r="BH45" s="22">
        <f t="shared" si="16"/>
        <v>2156883.4084772868</v>
      </c>
      <c r="BI45" s="22">
        <f t="shared" si="16"/>
        <v>2166828.4350536438</v>
      </c>
      <c r="BJ45" s="22">
        <f t="shared" si="16"/>
        <v>2176900.4531284282</v>
      </c>
      <c r="BK45" s="22">
        <f t="shared" si="16"/>
        <v>2187128.9829211566</v>
      </c>
      <c r="BL45" s="22">
        <f t="shared" si="16"/>
        <v>2197564.5446883785</v>
      </c>
      <c r="BM45" s="22">
        <f t="shared" si="16"/>
        <v>2208163.6010651705</v>
      </c>
      <c r="BN45" s="22">
        <f t="shared" si="16"/>
        <v>2211420.3141603195</v>
      </c>
      <c r="BO45" s="22">
        <f t="shared" si="16"/>
        <v>2213992.5955722285</v>
      </c>
      <c r="BP45" s="22">
        <f t="shared" si="16"/>
        <v>2215595.1266613109</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((Data!$AJ$48*'Activity data'!AD47)+Data!$AK$48)</f>
        <v>641039.33073872479</v>
      </c>
      <c r="AE46" s="22">
        <f>((Data!$AJ$48*'Activity data'!AE47)+Data!$AK$48)</f>
        <v>640982.48917004955</v>
      </c>
      <c r="AF46" s="22">
        <f>((Data!$AJ$48*'Activity data'!AF47)+Data!$AK$48)</f>
        <v>640878.27407509403</v>
      </c>
      <c r="AG46" s="22">
        <f>((Data!$AJ$48*'Activity data'!AG47)+Data!$AK$48)</f>
        <v>640753.71112700854</v>
      </c>
      <c r="AH46" s="22">
        <f>((Data!$AJ$48*'Activity data'!AH47)+Data!$AK$48)</f>
        <v>640669.56360609678</v>
      </c>
      <c r="AI46" s="22">
        <f>((Data!$AJ$48*'Activity data'!AI47)+Data!$AK$48)</f>
        <v>640611.65553250001</v>
      </c>
      <c r="AJ46" s="22">
        <f>((Data!$AJ$48*'Activity data'!AJ47)+Data!$AK$48)</f>
        <v>640579.94523587439</v>
      </c>
      <c r="AK46" s="22">
        <f>((Data!$AJ$48*'Activity data'!AK47)+Data!$AK$48)</f>
        <v>640528.64379723382</v>
      </c>
      <c r="AL46" s="22">
        <f>((Data!$AJ$48*'Activity data'!AL47)+Data!$AK$48)</f>
        <v>640474.75545375817</v>
      </c>
      <c r="AM46" s="22">
        <f>((Data!$AJ$48*'Activity data'!AM47)+Data!$AK$48)</f>
        <v>640849.3367733839</v>
      </c>
      <c r="AN46" s="22">
        <f>((Data!$AJ$48*'Activity data'!AN47)+Data!$AK$48)</f>
        <v>640700.80261034577</v>
      </c>
      <c r="AO46" s="22">
        <f>((Data!$AJ$48*'Activity data'!AO47)+Data!$AK$48)</f>
        <v>640498.07865299797</v>
      </c>
      <c r="AP46" s="22">
        <f>((Data!$AJ$48*'Activity data'!AP47)+Data!$AK$48)</f>
        <v>640389.14130750636</v>
      </c>
      <c r="AQ46" s="22">
        <f>((Data!$AJ$48*'Activity data'!AQ47)+Data!$AK$48)</f>
        <v>640269.99498205818</v>
      </c>
      <c r="AR46" s="22">
        <f>((Data!$AJ$48*'Activity data'!AR47)+Data!$AK$48)</f>
        <v>640137.52773101896</v>
      </c>
      <c r="AS46" s="22">
        <f>((Data!$AJ$48*'Activity data'!AS47)+Data!$AK$48)</f>
        <v>639998.47481564269</v>
      </c>
      <c r="AT46" s="22">
        <f>((Data!$AJ$48*'Activity data'!AT47)+Data!$AK$48)</f>
        <v>639850.07194581884</v>
      </c>
      <c r="AU46" s="22">
        <f>((Data!$AJ$48*'Activity data'!AU47)+Data!$AK$48)</f>
        <v>639701.34883620101</v>
      </c>
      <c r="AV46" s="22">
        <f>((Data!$AJ$48*'Activity data'!AV47)+Data!$AK$48)</f>
        <v>639544.71156142431</v>
      </c>
      <c r="AW46" s="22">
        <f>((Data!$AJ$48*'Activity data'!AW47)+Data!$AK$48)</f>
        <v>639388.77297620429</v>
      </c>
      <c r="AX46" s="22">
        <f>((Data!$AJ$48*'Activity data'!AX47)+Data!$AK$48)</f>
        <v>639219.70955633826</v>
      </c>
      <c r="AY46" s="22">
        <f>((Data!$AJ$48*'Activity data'!AY47)+Data!$AK$48)</f>
        <v>639056.87776206888</v>
      </c>
      <c r="AZ46" s="22">
        <f>((Data!$AJ$48*'Activity data'!AZ47)+Data!$AK$48)</f>
        <v>638889.92440529109</v>
      </c>
      <c r="BA46" s="22">
        <f>((Data!$AJ$48*'Activity data'!BA47)+Data!$AK$48)</f>
        <v>638707.40523963945</v>
      </c>
      <c r="BB46" s="22">
        <f>((Data!$AJ$48*'Activity data'!BB47)+Data!$AK$48)</f>
        <v>638537.67718579236</v>
      </c>
      <c r="BC46" s="22">
        <f>((Data!$AJ$48*'Activity data'!BC47)+Data!$AK$48)</f>
        <v>638363.40048146248</v>
      </c>
      <c r="BD46" s="22">
        <f>((Data!$AJ$48*'Activity data'!BD47)+Data!$AK$48)</f>
        <v>638182.62885719771</v>
      </c>
      <c r="BE46" s="22">
        <f>((Data!$AJ$48*'Activity data'!BE47)+Data!$AK$48)</f>
        <v>638016.48899724043</v>
      </c>
      <c r="BF46" s="22">
        <f>((Data!$AJ$48*'Activity data'!BF47)+Data!$AK$48)</f>
        <v>637854.96728551982</v>
      </c>
      <c r="BG46" s="22">
        <f>((Data!$AJ$48*'Activity data'!BG47)+Data!$AK$48)</f>
        <v>637697.43920481799</v>
      </c>
      <c r="BH46" s="22">
        <f>((Data!$AJ$48*'Activity data'!BH47)+Data!$AK$48)</f>
        <v>637531.22399327648</v>
      </c>
      <c r="BI46" s="22">
        <f>((Data!$AJ$48*'Activity data'!BI47)+Data!$AK$48)</f>
        <v>637374.61572178837</v>
      </c>
      <c r="BJ46" s="22">
        <f>((Data!$AJ$48*'Activity data'!BJ47)+Data!$AK$48)</f>
        <v>637216.0076648891</v>
      </c>
      <c r="BK46" s="22">
        <f>((Data!$AJ$48*'Activity data'!BK47)+Data!$AK$48)</f>
        <v>637054.93495599239</v>
      </c>
      <c r="BL46" s="22">
        <f>((Data!$AJ$48*'Activity data'!BL47)+Data!$AK$48)</f>
        <v>636890.60203261371</v>
      </c>
      <c r="BM46" s="22">
        <f>((Data!$AJ$48*'Activity data'!BM47)+Data!$AK$48)</f>
        <v>636723.69449487829</v>
      </c>
      <c r="BN46" s="22">
        <f>((Data!$AJ$48*'Activity data'!BN47)+Data!$AK$48)</f>
        <v>636672.40974418935</v>
      </c>
      <c r="BO46" s="22">
        <f>((Data!$AJ$48*'Activity data'!BO47)+Data!$AK$48)</f>
        <v>636631.9030102347</v>
      </c>
      <c r="BP46" s="22">
        <f>((Data!$AJ$48*'Activity data'!BP47)+Data!$AK$48)</f>
        <v>636606.66731861141</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((Data!$AJ$49*'Activity data'!AD41)+Data!$AK$49)</f>
        <v>420412.44040319067</v>
      </c>
      <c r="AE47" s="22">
        <f>((Data!$AJ$49*'Activity data'!AE41)+Data!$AK$49)</f>
        <v>420370.63208542793</v>
      </c>
      <c r="AF47" s="22">
        <f>((Data!$AJ$49*'Activity data'!AF41)+Data!$AK$49)</f>
        <v>420293.97941895307</v>
      </c>
      <c r="AG47" s="22">
        <f>((Data!$AJ$49*'Activity data'!AG41)+Data!$AK$49)</f>
        <v>420202.36042538215</v>
      </c>
      <c r="AH47" s="22">
        <f>((Data!$AJ$49*'Activity data'!AH41)+Data!$AK$49)</f>
        <v>420140.46793410828</v>
      </c>
      <c r="AI47" s="22">
        <f>((Data!$AJ$49*'Activity data'!AI41)+Data!$AK$49)</f>
        <v>420097.87517675856</v>
      </c>
      <c r="AJ47" s="22">
        <f>((Data!$AJ$49*'Activity data'!AJ41)+Data!$AK$49)</f>
        <v>420074.55150380987</v>
      </c>
      <c r="AK47" s="22">
        <f>((Data!$AJ$49*'Activity data'!AK41)+Data!$AK$49)</f>
        <v>420036.81808268238</v>
      </c>
      <c r="AL47" s="22">
        <f>((Data!$AJ$49*'Activity data'!AL41)+Data!$AK$49)</f>
        <v>419997.18193188205</v>
      </c>
      <c r="AM47" s="22">
        <f>((Data!$AJ$49*'Activity data'!AM41)+Data!$AK$49)</f>
        <v>420272.6953493313</v>
      </c>
      <c r="AN47" s="22">
        <f>((Data!$AJ$49*'Activity data'!AN41)+Data!$AK$49)</f>
        <v>420163.44496037043</v>
      </c>
      <c r="AO47" s="22">
        <f>((Data!$AJ$49*'Activity data'!AO41)+Data!$AK$49)</f>
        <v>420014.33669639309</v>
      </c>
      <c r="AP47" s="22">
        <f>((Data!$AJ$49*'Activity data'!AP41)+Data!$AK$49)</f>
        <v>419934.21070299268</v>
      </c>
      <c r="AQ47" s="22">
        <f>((Data!$AJ$49*'Activity data'!AQ41)+Data!$AK$49)</f>
        <v>419846.57576344593</v>
      </c>
      <c r="AR47" s="22">
        <f>((Data!$AJ$49*'Activity data'!AR41)+Data!$AK$49)</f>
        <v>419749.1429681576</v>
      </c>
      <c r="AS47" s="22">
        <f>((Data!$AJ$49*'Activity data'!AS41)+Data!$AK$49)</f>
        <v>419646.86626103334</v>
      </c>
      <c r="AT47" s="22">
        <f>((Data!$AJ$49*'Activity data'!AT41)+Data!$AK$49)</f>
        <v>419537.7124413359</v>
      </c>
      <c r="AU47" s="22">
        <f>((Data!$AJ$49*'Activity data'!AU41)+Data!$AK$49)</f>
        <v>419428.32307769806</v>
      </c>
      <c r="AV47" s="22">
        <f>((Data!$AJ$49*'Activity data'!AV41)+Data!$AK$49)</f>
        <v>419313.11265845771</v>
      </c>
      <c r="AW47" s="22">
        <f>((Data!$AJ$49*'Activity data'!AW41)+Data!$AK$49)</f>
        <v>419198.41614190664</v>
      </c>
      <c r="AX47" s="22">
        <f>((Data!$AJ$49*'Activity data'!AX41)+Data!$AK$49)</f>
        <v>419074.06599914061</v>
      </c>
      <c r="AY47" s="22">
        <f>((Data!$AJ$49*'Activity data'!AY41)+Data!$AK$49)</f>
        <v>418954.2993643459</v>
      </c>
      <c r="AZ47" s="22">
        <f>((Data!$AJ$49*'Activity data'!AZ41)+Data!$AK$49)</f>
        <v>418831.50122287305</v>
      </c>
      <c r="BA47" s="22">
        <f>((Data!$AJ$49*'Activity data'!BA41)+Data!$AK$49)</f>
        <v>418697.25406092458</v>
      </c>
      <c r="BB47" s="22">
        <f>((Data!$AJ$49*'Activity data'!BB41)+Data!$AK$49)</f>
        <v>418572.41506415041</v>
      </c>
      <c r="BC47" s="22">
        <f>((Data!$AJ$49*'Activity data'!BC41)+Data!$AK$49)</f>
        <v>418444.23042739462</v>
      </c>
      <c r="BD47" s="22">
        <f>((Data!$AJ$49*'Activity data'!BD41)+Data!$AK$49)</f>
        <v>418311.2686234563</v>
      </c>
      <c r="BE47" s="22">
        <f>((Data!$AJ$49*'Activity data'!BE41)+Data!$AK$49)</f>
        <v>418189.06882812985</v>
      </c>
      <c r="BF47" s="22">
        <f>((Data!$AJ$49*'Activity data'!BF41)+Data!$AK$49)</f>
        <v>418070.26579002623</v>
      </c>
      <c r="BG47" s="22">
        <f>((Data!$AJ$49*'Activity data'!BG41)+Data!$AK$49)</f>
        <v>417954.40016196517</v>
      </c>
      <c r="BH47" s="22">
        <f>((Data!$AJ$49*'Activity data'!BH41)+Data!$AK$49)</f>
        <v>417832.14494376682</v>
      </c>
      <c r="BI47" s="22">
        <f>((Data!$AJ$49*'Activity data'!BI41)+Data!$AK$49)</f>
        <v>417716.95585713111</v>
      </c>
      <c r="BJ47" s="22">
        <f>((Data!$AJ$49*'Activity data'!BJ41)+Data!$AK$49)</f>
        <v>417600.29588104103</v>
      </c>
      <c r="BK47" s="22">
        <f>((Data!$AJ$49*'Activity data'!BK41)+Data!$AK$49)</f>
        <v>417481.82309513097</v>
      </c>
      <c r="BL47" s="22">
        <f>((Data!$AJ$49*'Activity data'!BL41)+Data!$AK$49)</f>
        <v>417360.95234438259</v>
      </c>
      <c r="BM47" s="22">
        <f>((Data!$AJ$49*'Activity data'!BM41)+Data!$AK$49)</f>
        <v>417238.18790389877</v>
      </c>
      <c r="BN47" s="22">
        <f>((Data!$AJ$49*'Activity data'!BN41)+Data!$AK$49)</f>
        <v>417200.46675715427</v>
      </c>
      <c r="BO47" s="22">
        <f>((Data!$AJ$49*'Activity data'!BO41)+Data!$AK$49)</f>
        <v>417170.67309656093</v>
      </c>
      <c r="BP47" s="22">
        <f>((Data!$AJ$49*'Activity data'!BP41)+Data!$AK$49)</f>
        <v>417152.11164868152</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AM48" si="17">H47*0.05*0.33*0.8*0.5</f>
        <v>2268.3474000000001</v>
      </c>
      <c r="I48" s="22">
        <f t="shared" si="17"/>
        <v>2409.2310000000002</v>
      </c>
      <c r="J48" s="22">
        <f t="shared" si="17"/>
        <v>2293.6650000000004</v>
      </c>
      <c r="K48" s="22">
        <f t="shared" si="17"/>
        <v>2695.8294000000005</v>
      </c>
      <c r="L48" s="22">
        <f t="shared" si="17"/>
        <v>2475.4356000000002</v>
      </c>
      <c r="M48" s="22">
        <f t="shared" si="17"/>
        <v>2451.8406</v>
      </c>
      <c r="N48" s="22">
        <f t="shared" si="17"/>
        <v>2739.5544000000004</v>
      </c>
      <c r="O48" s="22">
        <f t="shared" si="17"/>
        <v>2685.6324000000004</v>
      </c>
      <c r="P48" s="22">
        <f t="shared" si="17"/>
        <v>2742.4386000000009</v>
      </c>
      <c r="Q48" s="22">
        <f t="shared" si="17"/>
        <v>2726.0970000000002</v>
      </c>
      <c r="R48" s="22">
        <f t="shared" si="17"/>
        <v>2745.1578000000009</v>
      </c>
      <c r="S48" s="22">
        <f t="shared" si="17"/>
        <v>2612.3658000000005</v>
      </c>
      <c r="T48" s="22">
        <f t="shared" si="17"/>
        <v>3148.6752000000006</v>
      </c>
      <c r="U48" s="22">
        <f t="shared" si="17"/>
        <v>2777.4582000000009</v>
      </c>
      <c r="V48" s="22">
        <f t="shared" si="17"/>
        <v>2821.9686000000006</v>
      </c>
      <c r="W48" s="22">
        <f t="shared" si="17"/>
        <v>2291.9160000000002</v>
      </c>
      <c r="X48" s="22">
        <f t="shared" si="17"/>
        <v>2829.5454000000004</v>
      </c>
      <c r="Y48" s="22">
        <f t="shared" si="17"/>
        <v>2900.5680000000002</v>
      </c>
      <c r="Z48" s="22">
        <f t="shared" si="17"/>
        <v>2799.2118000000005</v>
      </c>
      <c r="AA48" s="22">
        <f t="shared" si="17"/>
        <v>2994.9282000000003</v>
      </c>
      <c r="AB48" s="22">
        <f t="shared" si="17"/>
        <v>2607</v>
      </c>
      <c r="AC48" s="22">
        <f t="shared" si="17"/>
        <v>2765.4</v>
      </c>
      <c r="AD48" s="22">
        <f t="shared" ref="AD48:AI48" si="18">AD47*0.05*0.33*0.8*0.5</f>
        <v>2774.7221066610591</v>
      </c>
      <c r="AE48" s="22">
        <f t="shared" si="18"/>
        <v>2774.4461717638246</v>
      </c>
      <c r="AF48" s="22">
        <f t="shared" si="18"/>
        <v>2773.9402641650904</v>
      </c>
      <c r="AG48" s="22">
        <f t="shared" si="18"/>
        <v>2773.3355788075228</v>
      </c>
      <c r="AH48" s="22">
        <f t="shared" si="18"/>
        <v>2772.9270883651152</v>
      </c>
      <c r="AI48" s="22">
        <f t="shared" si="18"/>
        <v>2772.6459761666069</v>
      </c>
      <c r="AJ48" s="22">
        <f t="shared" si="17"/>
        <v>2772.4920399251459</v>
      </c>
      <c r="AK48" s="22">
        <f t="shared" si="17"/>
        <v>2772.2429993457044</v>
      </c>
      <c r="AL48" s="22">
        <f t="shared" si="17"/>
        <v>2771.9814007504219</v>
      </c>
      <c r="AM48" s="22">
        <f t="shared" si="17"/>
        <v>2773.7997893055872</v>
      </c>
      <c r="AN48" s="22">
        <f t="shared" ref="AN48:BP48" si="19">AN47*0.05*0.33*0.8*0.5</f>
        <v>2773.0787367384455</v>
      </c>
      <c r="AO48" s="22">
        <f t="shared" si="19"/>
        <v>2772.0946221961949</v>
      </c>
      <c r="AP48" s="22">
        <f t="shared" si="19"/>
        <v>2771.5657906397519</v>
      </c>
      <c r="AQ48" s="22">
        <f t="shared" si="19"/>
        <v>2770.9874000387435</v>
      </c>
      <c r="AR48" s="22">
        <f t="shared" si="19"/>
        <v>2770.3443435898407</v>
      </c>
      <c r="AS48" s="22">
        <f t="shared" si="19"/>
        <v>2769.6693173228205</v>
      </c>
      <c r="AT48" s="22">
        <f t="shared" si="19"/>
        <v>2768.9489021128174</v>
      </c>
      <c r="AU48" s="22">
        <f t="shared" si="19"/>
        <v>2768.2269323128075</v>
      </c>
      <c r="AV48" s="22">
        <f t="shared" si="19"/>
        <v>2767.4665435458214</v>
      </c>
      <c r="AW48" s="22">
        <f t="shared" si="19"/>
        <v>2766.7095465365842</v>
      </c>
      <c r="AX48" s="22">
        <f t="shared" si="19"/>
        <v>2765.8888355943286</v>
      </c>
      <c r="AY48" s="22">
        <f t="shared" si="19"/>
        <v>2765.0983758046837</v>
      </c>
      <c r="AZ48" s="22">
        <f t="shared" si="19"/>
        <v>2764.2879080709627</v>
      </c>
      <c r="BA48" s="22">
        <f t="shared" si="19"/>
        <v>2763.4018768021028</v>
      </c>
      <c r="BB48" s="22">
        <f t="shared" si="19"/>
        <v>2762.5779394233928</v>
      </c>
      <c r="BC48" s="22">
        <f t="shared" si="19"/>
        <v>2761.731920820805</v>
      </c>
      <c r="BD48" s="22">
        <f t="shared" si="19"/>
        <v>2760.8543729148123</v>
      </c>
      <c r="BE48" s="22">
        <f t="shared" si="19"/>
        <v>2760.0478542656579</v>
      </c>
      <c r="BF48" s="22">
        <f t="shared" si="19"/>
        <v>2759.2637542141733</v>
      </c>
      <c r="BG48" s="22">
        <f t="shared" si="19"/>
        <v>2758.4990410689702</v>
      </c>
      <c r="BH48" s="22">
        <f t="shared" si="19"/>
        <v>2757.6921566288615</v>
      </c>
      <c r="BI48" s="22">
        <f t="shared" si="19"/>
        <v>2756.9319086570654</v>
      </c>
      <c r="BJ48" s="22">
        <f t="shared" si="19"/>
        <v>2756.1619528148713</v>
      </c>
      <c r="BK48" s="22">
        <f t="shared" si="19"/>
        <v>2755.3800324278645</v>
      </c>
      <c r="BL48" s="22">
        <f t="shared" si="19"/>
        <v>2754.5822854729254</v>
      </c>
      <c r="BM48" s="22">
        <f t="shared" si="19"/>
        <v>2753.7720401657325</v>
      </c>
      <c r="BN48" s="22">
        <f t="shared" si="19"/>
        <v>2753.5230805972187</v>
      </c>
      <c r="BO48" s="22">
        <f t="shared" si="19"/>
        <v>2753.3264424373024</v>
      </c>
      <c r="BP48" s="22">
        <f t="shared" si="19"/>
        <v>2753.2039368812984</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20924019.222796645</v>
      </c>
      <c r="AL50" s="22">
        <f>((AL5*Constants!$H63*Constants!$H81*(1-Constants!$H99))+(AL5*Constants!$H63*Constants!$H115))</f>
        <v>20295051.583426073</v>
      </c>
      <c r="AM50" s="22">
        <f>((AM5*Constants!$H63*Constants!$H81*(1-Constants!$H99))+(AM5*Constants!$H63*Constants!$H115))</f>
        <v>20508456.465644099</v>
      </c>
      <c r="AN50" s="22">
        <f>((AN5*Constants!$H63*Constants!$H81*(1-Constants!$H99))+(AN5*Constants!$H63*Constants!$H115))</f>
        <v>20820824.745502677</v>
      </c>
      <c r="AO50" s="22">
        <f>((AO5*Constants!$H63*Constants!$H81*(1-Constants!$H99))+(AO5*Constants!$H63*Constants!$H115))</f>
        <v>20982732.739234634</v>
      </c>
      <c r="AP50" s="22">
        <f>((AP5*Constants!$H63*Constants!$H81*(1-Constants!$H99))+(AP5*Constants!$H63*Constants!$H115))</f>
        <v>21167772.023533162</v>
      </c>
      <c r="AQ50" s="22">
        <f>((AQ5*Constants!$H63*Constants!$H81*(1-Constants!$H99))+(AQ5*Constants!$H63*Constants!$H115))</f>
        <v>21381935.608204335</v>
      </c>
      <c r="AR50" s="22">
        <f>((AR5*Constants!$H63*Constants!$H81*(1-Constants!$H99))+(AR5*Constants!$H63*Constants!$H115))</f>
        <v>21600637.036513485</v>
      </c>
      <c r="AS50" s="22">
        <f>((AS5*Constants!$H63*Constants!$H81*(1-Constants!$H99))+(AS5*Constants!$H63*Constants!$H115))</f>
        <v>21842711.312539846</v>
      </c>
      <c r="AT50" s="22">
        <f>((AT5*Constants!$H63*Constants!$H81*(1-Constants!$H99))+(AT5*Constants!$H63*Constants!$H115))</f>
        <v>22092284.387805484</v>
      </c>
      <c r="AU50" s="22">
        <f>((AU5*Constants!$H63*Constants!$H81*(1-Constants!$H99))+(AU5*Constants!$H63*Constants!$H115))</f>
        <v>22363684.646257486</v>
      </c>
      <c r="AV50" s="22">
        <f>((AV5*Constants!$H63*Constants!$H81*(1-Constants!$H99))+(AV5*Constants!$H63*Constants!$H115))</f>
        <v>22641207.18706819</v>
      </c>
      <c r="AW50" s="22">
        <f>((AW5*Constants!$H63*Constants!$H81*(1-Constants!$H99))+(AW5*Constants!$H63*Constants!$H115))</f>
        <v>22941023.0909632</v>
      </c>
      <c r="AX50" s="22">
        <f>((AX5*Constants!$H63*Constants!$H81*(1-Constants!$H99))+(AX5*Constants!$H63*Constants!$H115))</f>
        <v>23236781.179877736</v>
      </c>
      <c r="AY50" s="22">
        <f>((AY5*Constants!$H63*Constants!$H81*(1-Constants!$H99))+(AY5*Constants!$H63*Constants!$H115))</f>
        <v>23548951.637550015</v>
      </c>
      <c r="AZ50" s="22">
        <f>((AZ5*Constants!$H63*Constants!$H81*(1-Constants!$H99))+(AZ5*Constants!$H63*Constants!$H115))</f>
        <v>23902068.030954149</v>
      </c>
      <c r="BA50" s="22">
        <f>((BA5*Constants!$H63*Constants!$H81*(1-Constants!$H99))+(BA5*Constants!$H63*Constants!$H115))</f>
        <v>24237800.507945009</v>
      </c>
      <c r="BB50" s="22">
        <f>((BB5*Constants!$H63*Constants!$H81*(1-Constants!$H99))+(BB5*Constants!$H63*Constants!$H115))</f>
        <v>24582092.384797655</v>
      </c>
      <c r="BC50" s="22">
        <f>((BC5*Constants!$H63*Constants!$H81*(1-Constants!$H99))+(BC5*Constants!$H63*Constants!$H115))</f>
        <v>24950296.96341629</v>
      </c>
      <c r="BD50" s="22">
        <f>((BD5*Constants!$H63*Constants!$H81*(1-Constants!$H99))+(BD5*Constants!$H63*Constants!$H115))</f>
        <v>25295260.279442664</v>
      </c>
      <c r="BE50" s="22">
        <f>((BE5*Constants!$H63*Constants!$H81*(1-Constants!$H99))+(BE5*Constants!$H63*Constants!$H115))</f>
        <v>25638351.574407261</v>
      </c>
      <c r="BF50" s="22">
        <f>((BF5*Constants!$H63*Constants!$H81*(1-Constants!$H99))+(BF5*Constants!$H63*Constants!$H115))</f>
        <v>25980525.154659446</v>
      </c>
      <c r="BG50" s="22">
        <f>((BG5*Constants!$H63*Constants!$H81*(1-Constants!$H99))+(BG5*Constants!$H63*Constants!$H115))</f>
        <v>26342534.543672077</v>
      </c>
      <c r="BH50" s="22">
        <f>((BH5*Constants!$H63*Constants!$H81*(1-Constants!$H99))+(BH5*Constants!$H63*Constants!$H115))</f>
        <v>26689983.186005257</v>
      </c>
      <c r="BI50" s="22">
        <f>((BI5*Constants!$H63*Constants!$H81*(1-Constants!$H99))+(BI5*Constants!$H63*Constants!$H115))</f>
        <v>27050923.742848575</v>
      </c>
      <c r="BJ50" s="22">
        <f>((BJ5*Constants!$H63*Constants!$H81*(1-Constants!$H99))+(BJ5*Constants!$H63*Constants!$H115))</f>
        <v>27427002.398268681</v>
      </c>
      <c r="BK50" s="22">
        <f>((BK5*Constants!$H63*Constants!$H81*(1-Constants!$H99))+(BK5*Constants!$H63*Constants!$H115))</f>
        <v>27820866.390783198</v>
      </c>
      <c r="BL50" s="22">
        <f>((BL5*Constants!$H63*Constants!$H81*(1-Constants!$H99))+(BL5*Constants!$H63*Constants!$H115))</f>
        <v>28221697.318577059</v>
      </c>
      <c r="BM50" s="22">
        <f>((BM5*Constants!$H63*Constants!$H81*(1-Constants!$H99))+(BM5*Constants!$H63*Constants!$H115))</f>
        <v>28316731.128257472</v>
      </c>
      <c r="BN50" s="22">
        <f>((BN5*Constants!$H63*Constants!$H81*(1-Constants!$H99))+(BN5*Constants!$H63*Constants!$H115))</f>
        <v>28384366.399897385</v>
      </c>
      <c r="BO50" s="22">
        <f>((BO5*Constants!$H63*Constants!$H81*(1-Constants!$H99))+(BO5*Constants!$H63*Constants!$H115))</f>
        <v>28412077.806417499</v>
      </c>
      <c r="BP50" s="22">
        <f>((BP5*Constants!$H63*Constants!$H81*(1-Constants!$H99))+(BP5*Constants!$H63*Constants!$H115))</f>
        <v>28428810.70175929</v>
      </c>
    </row>
    <row r="51" spans="1:72" x14ac:dyDescent="0.3">
      <c r="A51" t="str">
        <f t="shared" ref="A51:A65" si="20">A50</f>
        <v>3C Aggregated and non-CO2 emissions on land</v>
      </c>
      <c r="B51" t="str">
        <f t="shared" ref="B51:B65" si="21">B50</f>
        <v>3C4 Direct N2O from managed soils (N2O)</v>
      </c>
      <c r="C51" t="s">
        <v>409</v>
      </c>
      <c r="D51" t="str">
        <f>Constants!D116</f>
        <v xml:space="preserve"> - Pasture</v>
      </c>
      <c r="E51" t="str">
        <f t="shared" ref="E51" si="22">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61181220.475134537</v>
      </c>
      <c r="AL51" s="22">
        <f>((AL6*Constants!$H64*Constants!$H82*(1-Constants!$H100))+(AL6*Constants!$H64*Constants!$H116))</f>
        <v>59342137.486043647</v>
      </c>
      <c r="AM51" s="22">
        <f>((AM6*Constants!$H64*Constants!$H82*(1-Constants!$H100))+(AM6*Constants!$H64*Constants!$H116))</f>
        <v>59966127.122567505</v>
      </c>
      <c r="AN51" s="22">
        <f>((AN6*Constants!$H64*Constants!$H82*(1-Constants!$H100))+(AN6*Constants!$H64*Constants!$H116))</f>
        <v>60879482.84050934</v>
      </c>
      <c r="AO51" s="22">
        <f>((AO6*Constants!$H64*Constants!$H82*(1-Constants!$H100))+(AO6*Constants!$H64*Constants!$H116))</f>
        <v>61352897.080657311</v>
      </c>
      <c r="AP51" s="22">
        <f>((AP6*Constants!$H64*Constants!$H82*(1-Constants!$H100))+(AP6*Constants!$H64*Constants!$H116))</f>
        <v>61893946.538158052</v>
      </c>
      <c r="AQ51" s="22">
        <f>((AQ6*Constants!$H64*Constants!$H82*(1-Constants!$H100))+(AQ6*Constants!$H64*Constants!$H116))</f>
        <v>62520154.598473571</v>
      </c>
      <c r="AR51" s="22">
        <f>((AR6*Constants!$H64*Constants!$H82*(1-Constants!$H100))+(AR6*Constants!$H64*Constants!$H116))</f>
        <v>63159631.180918634</v>
      </c>
      <c r="AS51" s="22">
        <f>((AS6*Constants!$H64*Constants!$H82*(1-Constants!$H100))+(AS6*Constants!$H64*Constants!$H116))</f>
        <v>63867449.286762819</v>
      </c>
      <c r="AT51" s="22">
        <f>((AT6*Constants!$H64*Constants!$H82*(1-Constants!$H100))+(AT6*Constants!$H64*Constants!$H116))</f>
        <v>64597193.662348613</v>
      </c>
      <c r="AU51" s="22">
        <f>((AU6*Constants!$H64*Constants!$H82*(1-Constants!$H100))+(AU6*Constants!$H64*Constants!$H116))</f>
        <v>65390760.083434179</v>
      </c>
      <c r="AV51" s="22">
        <f>((AV6*Constants!$H64*Constants!$H82*(1-Constants!$H100))+(AV6*Constants!$H64*Constants!$H116))</f>
        <v>66202227.879146226</v>
      </c>
      <c r="AW51" s="22">
        <f>((AW6*Constants!$H64*Constants!$H82*(1-Constants!$H100))+(AW6*Constants!$H64*Constants!$H116))</f>
        <v>67078880.816750467</v>
      </c>
      <c r="AX51" s="22">
        <f>((AX6*Constants!$H64*Constants!$H82*(1-Constants!$H100))+(AX6*Constants!$H64*Constants!$H116))</f>
        <v>67943668.821985632</v>
      </c>
      <c r="AY51" s="22">
        <f>((AY6*Constants!$H64*Constants!$H82*(1-Constants!$H100))+(AY6*Constants!$H64*Constants!$H116))</f>
        <v>68856446.113638252</v>
      </c>
      <c r="AZ51" s="22">
        <f>((AZ6*Constants!$H64*Constants!$H82*(1-Constants!$H100))+(AZ6*Constants!$H64*Constants!$H116))</f>
        <v>69888948.124279916</v>
      </c>
      <c r="BA51" s="22">
        <f>((BA6*Constants!$H64*Constants!$H82*(1-Constants!$H100))+(BA6*Constants!$H64*Constants!$H116))</f>
        <v>70870620.071563467</v>
      </c>
      <c r="BB51" s="22">
        <f>((BB6*Constants!$H64*Constants!$H82*(1-Constants!$H100))+(BB6*Constants!$H64*Constants!$H116))</f>
        <v>71877319.453801185</v>
      </c>
      <c r="BC51" s="22">
        <f>((BC6*Constants!$H64*Constants!$H82*(1-Constants!$H100))+(BC6*Constants!$H64*Constants!$H116))</f>
        <v>72953938.87689352</v>
      </c>
      <c r="BD51" s="22">
        <f>((BD6*Constants!$H64*Constants!$H82*(1-Constants!$H100))+(BD6*Constants!$H64*Constants!$H116))</f>
        <v>73962601.527645111</v>
      </c>
      <c r="BE51" s="22">
        <f>((BE6*Constants!$H64*Constants!$H82*(1-Constants!$H100))+(BE6*Constants!$H64*Constants!$H116))</f>
        <v>74965790.443542257</v>
      </c>
      <c r="BF51" s="22">
        <f>((BF6*Constants!$H64*Constants!$H82*(1-Constants!$H100))+(BF6*Constants!$H64*Constants!$H116))</f>
        <v>75966295.988450512</v>
      </c>
      <c r="BG51" s="22">
        <f>((BG6*Constants!$H64*Constants!$H82*(1-Constants!$H100))+(BG6*Constants!$H64*Constants!$H116))</f>
        <v>77024800.858256787</v>
      </c>
      <c r="BH51" s="22">
        <f>((BH6*Constants!$H64*Constants!$H82*(1-Constants!$H100))+(BH6*Constants!$H64*Constants!$H116))</f>
        <v>78040730.530468747</v>
      </c>
      <c r="BI51" s="22">
        <f>((BI6*Constants!$H64*Constants!$H82*(1-Constants!$H100))+(BI6*Constants!$H64*Constants!$H116))</f>
        <v>79096110.166260213</v>
      </c>
      <c r="BJ51" s="22">
        <f>((BJ6*Constants!$H64*Constants!$H82*(1-Constants!$H100))+(BJ6*Constants!$H64*Constants!$H116))</f>
        <v>80195753.159714431</v>
      </c>
      <c r="BK51" s="22">
        <f>((BK6*Constants!$H64*Constants!$H82*(1-Constants!$H100))+(BK6*Constants!$H64*Constants!$H116))</f>
        <v>81347399.958862558</v>
      </c>
      <c r="BL51" s="22">
        <f>((BL6*Constants!$H64*Constants!$H82*(1-Constants!$H100))+(BL6*Constants!$H64*Constants!$H116))</f>
        <v>82519417.873082906</v>
      </c>
      <c r="BM51" s="22">
        <f>((BM6*Constants!$H64*Constants!$H82*(1-Constants!$H100))+(BM6*Constants!$H64*Constants!$H116))</f>
        <v>82797293.954190448</v>
      </c>
      <c r="BN51" s="22">
        <f>((BN6*Constants!$H64*Constants!$H82*(1-Constants!$H100))+(BN6*Constants!$H64*Constants!$H116))</f>
        <v>82995057.511088192</v>
      </c>
      <c r="BO51" s="22">
        <f>((BO6*Constants!$H64*Constants!$H82*(1-Constants!$H100))+(BO6*Constants!$H64*Constants!$H116))</f>
        <v>83076084.853585392</v>
      </c>
      <c r="BP51" s="22">
        <f>((BP6*Constants!$H64*Constants!$H82*(1-Constants!$H100))+(BP6*Constants!$H64*Constants!$H116))</f>
        <v>83125011.350363687</v>
      </c>
    </row>
    <row r="52" spans="1:72" x14ac:dyDescent="0.3">
      <c r="A52" t="str">
        <f t="shared" si="20"/>
        <v>3C Aggregated and non-CO2 emissions on land</v>
      </c>
      <c r="B52" t="str">
        <f t="shared" si="21"/>
        <v>3C4 Direct N2O from managed soils (N2O)</v>
      </c>
      <c r="C52" t="s">
        <v>409</v>
      </c>
      <c r="D52" t="str">
        <f>Constants!D117</f>
        <v xml:space="preserve"> - Non-lactating</v>
      </c>
      <c r="E52" t="str">
        <f t="shared" ref="E52:E66" si="23">C52&amp;D52</f>
        <v>MM N available - Non-lactating</v>
      </c>
      <c r="F52" t="str">
        <f t="shared" ref="F52:F66" si="24">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3272850.3321169834</v>
      </c>
      <c r="AL52" s="22">
        <f>((AL7*Constants!$H65*Constants!$H83*(1-Constants!$H101))+(AL7*Constants!$H65*Constants!$H117))</f>
        <v>3174469.7616593693</v>
      </c>
      <c r="AM52" s="22">
        <f>((AM7*Constants!$H65*Constants!$H83*(1-Constants!$H101))+(AM7*Constants!$H65*Constants!$H117))</f>
        <v>3207849.6889193146</v>
      </c>
      <c r="AN52" s="22">
        <f>((AN7*Constants!$H65*Constants!$H83*(1-Constants!$H101))+(AN7*Constants!$H65*Constants!$H117))</f>
        <v>3256709.0699776215</v>
      </c>
      <c r="AO52" s="22">
        <f>((AO7*Constants!$H65*Constants!$H83*(1-Constants!$H101))+(AO7*Constants!$H65*Constants!$H117))</f>
        <v>3282034.0625335793</v>
      </c>
      <c r="AP52" s="22">
        <f>((AP7*Constants!$H65*Constants!$H83*(1-Constants!$H101))+(AP7*Constants!$H65*Constants!$H117))</f>
        <v>3310977.1578644849</v>
      </c>
      <c r="AQ52" s="22">
        <f>((AQ7*Constants!$H65*Constants!$H83*(1-Constants!$H101))+(AQ7*Constants!$H65*Constants!$H117))</f>
        <v>3344475.7582889562</v>
      </c>
      <c r="AR52" s="22">
        <f>((AR7*Constants!$H65*Constants!$H83*(1-Constants!$H101))+(AR7*Constants!$H65*Constants!$H117))</f>
        <v>3378684.1498343153</v>
      </c>
      <c r="AS52" s="22">
        <f>((AS7*Constants!$H65*Constants!$H83*(1-Constants!$H101))+(AS7*Constants!$H65*Constants!$H117))</f>
        <v>3416548.4275456779</v>
      </c>
      <c r="AT52" s="22">
        <f>((AT7*Constants!$H65*Constants!$H83*(1-Constants!$H101))+(AT7*Constants!$H65*Constants!$H117))</f>
        <v>3455585.6370594548</v>
      </c>
      <c r="AU52" s="22">
        <f>((AU7*Constants!$H65*Constants!$H83*(1-Constants!$H101))+(AU7*Constants!$H65*Constants!$H117))</f>
        <v>3498036.9661541795</v>
      </c>
      <c r="AV52" s="22">
        <f>((AV7*Constants!$H65*Constants!$H83*(1-Constants!$H101))+(AV7*Constants!$H65*Constants!$H117))</f>
        <v>3541445.917856568</v>
      </c>
      <c r="AW52" s="22">
        <f>((AW7*Constants!$H65*Constants!$H83*(1-Constants!$H101))+(AW7*Constants!$H65*Constants!$H117))</f>
        <v>3588341.9071112368</v>
      </c>
      <c r="AX52" s="22">
        <f>((AX7*Constants!$H65*Constants!$H83*(1-Constants!$H101))+(AX7*Constants!$H65*Constants!$H117))</f>
        <v>3634603.1893832213</v>
      </c>
      <c r="AY52" s="22">
        <f>((AY7*Constants!$H65*Constants!$H83*(1-Constants!$H101))+(AY7*Constants!$H65*Constants!$H117))</f>
        <v>3683431.6278964449</v>
      </c>
      <c r="AZ52" s="22">
        <f>((AZ7*Constants!$H65*Constants!$H83*(1-Constants!$H101))+(AZ7*Constants!$H65*Constants!$H117))</f>
        <v>3738664.6638214709</v>
      </c>
      <c r="BA52" s="22">
        <f>((BA7*Constants!$H65*Constants!$H83*(1-Constants!$H101))+(BA7*Constants!$H65*Constants!$H117))</f>
        <v>3791178.5779563263</v>
      </c>
      <c r="BB52" s="22">
        <f>((BB7*Constants!$H65*Constants!$H83*(1-Constants!$H101))+(BB7*Constants!$H65*Constants!$H117))</f>
        <v>3845031.3187469048</v>
      </c>
      <c r="BC52" s="22">
        <f>((BC7*Constants!$H65*Constants!$H83*(1-Constants!$H101))+(BC7*Constants!$H65*Constants!$H117))</f>
        <v>3902624.3874870664</v>
      </c>
      <c r="BD52" s="22">
        <f>((BD7*Constants!$H65*Constants!$H83*(1-Constants!$H101))+(BD7*Constants!$H65*Constants!$H117))</f>
        <v>3956582.1520734727</v>
      </c>
      <c r="BE52" s="22">
        <f>((BE7*Constants!$H65*Constants!$H83*(1-Constants!$H101))+(BE7*Constants!$H65*Constants!$H117))</f>
        <v>4010247.1027081925</v>
      </c>
      <c r="BF52" s="22">
        <f>((BF7*Constants!$H65*Constants!$H83*(1-Constants!$H101))+(BF7*Constants!$H65*Constants!$H117))</f>
        <v>4063768.5081248884</v>
      </c>
      <c r="BG52" s="22">
        <f>((BG7*Constants!$H65*Constants!$H83*(1-Constants!$H101))+(BG7*Constants!$H65*Constants!$H117))</f>
        <v>4120392.5504010785</v>
      </c>
      <c r="BH52" s="22">
        <f>((BH7*Constants!$H65*Constants!$H83*(1-Constants!$H101))+(BH7*Constants!$H65*Constants!$H117))</f>
        <v>4174739.059661346</v>
      </c>
      <c r="BI52" s="22">
        <f>((BI7*Constants!$H65*Constants!$H83*(1-Constants!$H101))+(BI7*Constants!$H65*Constants!$H117))</f>
        <v>4231195.9195390185</v>
      </c>
      <c r="BJ52" s="22">
        <f>((BJ7*Constants!$H65*Constants!$H83*(1-Constants!$H101))+(BJ7*Constants!$H65*Constants!$H117))</f>
        <v>4290020.6194777749</v>
      </c>
      <c r="BK52" s="22">
        <f>((BK7*Constants!$H65*Constants!$H83*(1-Constants!$H101))+(BK7*Constants!$H65*Constants!$H117))</f>
        <v>4351627.2298036562</v>
      </c>
      <c r="BL52" s="22">
        <f>((BL7*Constants!$H65*Constants!$H83*(1-Constants!$H101))+(BL7*Constants!$H65*Constants!$H117))</f>
        <v>4414323.579925702</v>
      </c>
      <c r="BM52" s="22">
        <f>((BM7*Constants!$H65*Constants!$H83*(1-Constants!$H101))+(BM7*Constants!$H65*Constants!$H117))</f>
        <v>4429188.3834925061</v>
      </c>
      <c r="BN52" s="22">
        <f>((BN7*Constants!$H65*Constants!$H83*(1-Constants!$H101))+(BN7*Constants!$H65*Constants!$H117))</f>
        <v>4439767.6187193757</v>
      </c>
      <c r="BO52" s="22">
        <f>((BO7*Constants!$H65*Constants!$H83*(1-Constants!$H101))+(BO7*Constants!$H65*Constants!$H117))</f>
        <v>4444102.1246795869</v>
      </c>
      <c r="BP52" s="22">
        <f>((BP7*Constants!$H65*Constants!$H83*(1-Constants!$H101))+(BP7*Constants!$H65*Constants!$H117))</f>
        <v>4446719.4163907785</v>
      </c>
    </row>
    <row r="53" spans="1:72" x14ac:dyDescent="0.3">
      <c r="A53" t="str">
        <f t="shared" si="20"/>
        <v>3C Aggregated and non-CO2 emissions on land</v>
      </c>
      <c r="B53" t="str">
        <f t="shared" si="21"/>
        <v>3C4 Direct N2O from managed soils (N2O)</v>
      </c>
      <c r="C53" t="s">
        <v>409</v>
      </c>
      <c r="D53" t="str">
        <f>Constants!D118</f>
        <v xml:space="preserve"> - Commercial cattle</v>
      </c>
      <c r="E53" t="str">
        <f t="shared" si="23"/>
        <v>MM N available - Commercial cattle</v>
      </c>
      <c r="F53" t="str">
        <f t="shared" si="24"/>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25454532.089860566</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19997370.886669975</v>
      </c>
      <c r="AM53" s="22">
        <f>((AM8*Constants!$H66*Constants!$H84*(1-Constants!$H102))+(AM8*Constants!$H66*Constants!$H118))</f>
        <v>20322188.451315884</v>
      </c>
      <c r="AN53" s="22">
        <f>((AN8*Constants!$H66*Constants!$H84*(1-Constants!$H102))+(AN8*Constants!$H66*Constants!$H118))</f>
        <v>20928145.865119338</v>
      </c>
      <c r="AO53" s="22">
        <f>((AO8*Constants!$H66*Constants!$H84*(1-Constants!$H102))+(AO8*Constants!$H66*Constants!$H118))</f>
        <v>21049162.559717976</v>
      </c>
      <c r="AP53" s="22">
        <f>((AP8*Constants!$H66*Constants!$H84*(1-Constants!$H102))+(AP8*Constants!$H66*Constants!$H118))</f>
        <v>21223703.438001461</v>
      </c>
      <c r="AQ53" s="22">
        <f>((AQ8*Constants!$H66*Constants!$H84*(1-Constants!$H102))+(AQ8*Constants!$H66*Constants!$H118))</f>
        <v>21467191.813233271</v>
      </c>
      <c r="AR53" s="22">
        <f>((AR8*Constants!$H66*Constants!$H84*(1-Constants!$H102))+(AR8*Constants!$H66*Constants!$H118))</f>
        <v>21746484.089232106</v>
      </c>
      <c r="AS53" s="22">
        <f>((AS8*Constants!$H66*Constants!$H84*(1-Constants!$H102))+(AS8*Constants!$H66*Constants!$H118))</f>
        <v>22073939.618093673</v>
      </c>
      <c r="AT53" s="22">
        <f>((AT8*Constants!$H66*Constants!$H84*(1-Constants!$H102))+(AT8*Constants!$H66*Constants!$H118))</f>
        <v>22402905.445113614</v>
      </c>
      <c r="AU53" s="22">
        <f>((AU8*Constants!$H66*Constants!$H84*(1-Constants!$H102))+(AU8*Constants!$H66*Constants!$H118))</f>
        <v>22772890.492462873</v>
      </c>
      <c r="AV53" s="22">
        <f>((AV8*Constants!$H66*Constants!$H84*(1-Constants!$H102))+(AV8*Constants!$H66*Constants!$H118))</f>
        <v>23139203.843181625</v>
      </c>
      <c r="AW53" s="22">
        <f>((AW8*Constants!$H66*Constants!$H84*(1-Constants!$H102))+(AW8*Constants!$H66*Constants!$H118))</f>
        <v>23377821.396949548</v>
      </c>
      <c r="AX53" s="22">
        <f>((AX8*Constants!$H66*Constants!$H84*(1-Constants!$H102))+(AX8*Constants!$H66*Constants!$H118))</f>
        <v>23573743.037479043</v>
      </c>
      <c r="AY53" s="22">
        <f>((AY8*Constants!$H66*Constants!$H84*(1-Constants!$H102))+(AY8*Constants!$H66*Constants!$H118))</f>
        <v>23780723.149696868</v>
      </c>
      <c r="AZ53" s="22">
        <f>((AZ8*Constants!$H66*Constants!$H84*(1-Constants!$H102))+(AZ8*Constants!$H66*Constants!$H118))</f>
        <v>24057660.21433818</v>
      </c>
      <c r="BA53" s="22">
        <f>((BA8*Constants!$H66*Constants!$H84*(1-Constants!$H102))+(BA8*Constants!$H66*Constants!$H118))</f>
        <v>24256824.038735285</v>
      </c>
      <c r="BB53" s="22">
        <f>((BB8*Constants!$H66*Constants!$H84*(1-Constants!$H102))+(BB8*Constants!$H66*Constants!$H118))</f>
        <v>24469083.599181689</v>
      </c>
      <c r="BC53" s="22">
        <f>((BC8*Constants!$H66*Constants!$H84*(1-Constants!$H102))+(BC8*Constants!$H66*Constants!$H118))</f>
        <v>24702737.450766187</v>
      </c>
      <c r="BD53" s="22">
        <f>((BD8*Constants!$H66*Constants!$H84*(1-Constants!$H102))+(BD8*Constants!$H66*Constants!$H118))</f>
        <v>24848334.905772205</v>
      </c>
      <c r="BE53" s="22">
        <f>((BE8*Constants!$H66*Constants!$H84*(1-Constants!$H102))+(BE8*Constants!$H66*Constants!$H118))</f>
        <v>24957564.774560731</v>
      </c>
      <c r="BF53" s="22">
        <f>((BF8*Constants!$H66*Constants!$H84*(1-Constants!$H102))+(BF8*Constants!$H66*Constants!$H118))</f>
        <v>25033541.143901248</v>
      </c>
      <c r="BG53" s="22">
        <f>((BG8*Constants!$H66*Constants!$H84*(1-Constants!$H102))+(BG8*Constants!$H66*Constants!$H118))</f>
        <v>25269731.59563636</v>
      </c>
      <c r="BH53" s="22">
        <f>((BH8*Constants!$H66*Constants!$H84*(1-Constants!$H102))+(BH8*Constants!$H66*Constants!$H118))</f>
        <v>25449266.239364117</v>
      </c>
      <c r="BI53" s="22">
        <f>((BI8*Constants!$H66*Constants!$H84*(1-Constants!$H102))+(BI8*Constants!$H66*Constants!$H118))</f>
        <v>25631067.130633876</v>
      </c>
      <c r="BJ53" s="22">
        <f>((BJ8*Constants!$H66*Constants!$H84*(1-Constants!$H102))+(BJ8*Constants!$H66*Constants!$H118))</f>
        <v>25817213.989457067</v>
      </c>
      <c r="BK53" s="22">
        <f>((BK8*Constants!$H66*Constants!$H84*(1-Constants!$H102))+(BK8*Constants!$H66*Constants!$H118))</f>
        <v>26011460.526985411</v>
      </c>
      <c r="BL53" s="22">
        <f>((BL8*Constants!$H66*Constants!$H84*(1-Constants!$H102))+(BL8*Constants!$H66*Constants!$H118))</f>
        <v>26210900.124820881</v>
      </c>
      <c r="BM53" s="22">
        <f>((BM8*Constants!$H66*Constants!$H84*(1-Constants!$H102))+(BM8*Constants!$H66*Constants!$H118))</f>
        <v>25817482.286663931</v>
      </c>
      <c r="BN53" s="22">
        <f>((BN8*Constants!$H66*Constants!$H84*(1-Constants!$H102))+(BN8*Constants!$H66*Constants!$H118))</f>
        <v>25371806.040771689</v>
      </c>
      <c r="BO53" s="22">
        <f>((BO8*Constants!$H66*Constants!$H84*(1-Constants!$H102))+(BO8*Constants!$H66*Constants!$H118))</f>
        <v>24855124.314113755</v>
      </c>
      <c r="BP53" s="22">
        <f>((BP8*Constants!$H66*Constants!$H84*(1-Constants!$H102))+(BP8*Constants!$H66*Constants!$H118))</f>
        <v>24322250.157869045</v>
      </c>
    </row>
    <row r="54" spans="1:72" x14ac:dyDescent="0.3">
      <c r="A54" t="str">
        <f t="shared" si="20"/>
        <v>3C Aggregated and non-CO2 emissions on land</v>
      </c>
      <c r="B54" t="str">
        <f t="shared" si="21"/>
        <v>3C4 Direct N2O from managed soils (N2O)</v>
      </c>
      <c r="C54" t="s">
        <v>409</v>
      </c>
      <c r="D54" t="str">
        <f>Constants!D119</f>
        <v xml:space="preserve"> - Subsistence cattle</v>
      </c>
      <c r="E54" t="str">
        <f t="shared" si="23"/>
        <v>MM N available - Subsistence cattle</v>
      </c>
      <c r="F54" t="str">
        <f t="shared" si="24"/>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169291745.38087156</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132997527.06047612</v>
      </c>
      <c r="AM54" s="22">
        <f>((AM9*Constants!$H67*Constants!$H85*(1-Constants!$H103))+(AM9*Constants!$H67*Constants!$H119))</f>
        <v>135157807.68379092</v>
      </c>
      <c r="AN54" s="22">
        <f>((AN9*Constants!$H67*Constants!$H85*(1-Constants!$H103))+(AN9*Constants!$H67*Constants!$H119))</f>
        <v>139187879.33653706</v>
      </c>
      <c r="AO54" s="22">
        <f>((AO9*Constants!$H67*Constants!$H85*(1-Constants!$H103))+(AO9*Constants!$H67*Constants!$H119))</f>
        <v>139992731.19460714</v>
      </c>
      <c r="AP54" s="22">
        <f>((AP9*Constants!$H67*Constants!$H85*(1-Constants!$H103))+(AP9*Constants!$H67*Constants!$H119))</f>
        <v>141153559.0511401</v>
      </c>
      <c r="AQ54" s="22">
        <f>((AQ9*Constants!$H67*Constants!$H85*(1-Constants!$H103))+(AQ9*Constants!$H67*Constants!$H119))</f>
        <v>142772939.51656869</v>
      </c>
      <c r="AR54" s="22">
        <f>((AR9*Constants!$H67*Constants!$H85*(1-Constants!$H103))+(AR9*Constants!$H67*Constants!$H119))</f>
        <v>144630442.79764739</v>
      </c>
      <c r="AS54" s="22">
        <f>((AS9*Constants!$H67*Constants!$H85*(1-Constants!$H103))+(AS9*Constants!$H67*Constants!$H119))</f>
        <v>146808267.86313632</v>
      </c>
      <c r="AT54" s="22">
        <f>((AT9*Constants!$H67*Constants!$H85*(1-Constants!$H103))+(AT9*Constants!$H67*Constants!$H119))</f>
        <v>148996137.54505643</v>
      </c>
      <c r="AU54" s="22">
        <f>((AU9*Constants!$H67*Constants!$H85*(1-Constants!$H103))+(AU9*Constants!$H67*Constants!$H119))</f>
        <v>151456815.8325009</v>
      </c>
      <c r="AV54" s="22">
        <f>((AV9*Constants!$H67*Constants!$H85*(1-Constants!$H103))+(AV9*Constants!$H67*Constants!$H119))</f>
        <v>153893074.58126009</v>
      </c>
      <c r="AW54" s="22">
        <f>((AW9*Constants!$H67*Constants!$H85*(1-Constants!$H103))+(AW9*Constants!$H67*Constants!$H119))</f>
        <v>155480060.42775998</v>
      </c>
      <c r="AX54" s="22">
        <f>((AX9*Constants!$H67*Constants!$H85*(1-Constants!$H103))+(AX9*Constants!$H67*Constants!$H119))</f>
        <v>156783086.40231061</v>
      </c>
      <c r="AY54" s="22">
        <f>((AY9*Constants!$H67*Constants!$H85*(1-Constants!$H103))+(AY9*Constants!$H67*Constants!$H119))</f>
        <v>158159659.51443011</v>
      </c>
      <c r="AZ54" s="22">
        <f>((AZ9*Constants!$H67*Constants!$H85*(1-Constants!$H103))+(AZ9*Constants!$H67*Constants!$H119))</f>
        <v>160001498.87208453</v>
      </c>
      <c r="BA54" s="22">
        <f>((BA9*Constants!$H67*Constants!$H85*(1-Constants!$H103))+(BA9*Constants!$H67*Constants!$H119))</f>
        <v>161326087.8030414</v>
      </c>
      <c r="BB54" s="22">
        <f>((BB9*Constants!$H67*Constants!$H85*(1-Constants!$H103))+(BB9*Constants!$H67*Constants!$H119))</f>
        <v>162737773.208803</v>
      </c>
      <c r="BC54" s="22">
        <f>((BC9*Constants!$H67*Constants!$H85*(1-Constants!$H103))+(BC9*Constants!$H67*Constants!$H119))</f>
        <v>164291746.70987001</v>
      </c>
      <c r="BD54" s="22">
        <f>((BD9*Constants!$H67*Constants!$H85*(1-Constants!$H103))+(BD9*Constants!$H67*Constants!$H119))</f>
        <v>165260079.07575157</v>
      </c>
      <c r="BE54" s="22">
        <f>((BE9*Constants!$H67*Constants!$H85*(1-Constants!$H103))+(BE9*Constants!$H67*Constants!$H119))</f>
        <v>165986539.69461709</v>
      </c>
      <c r="BF54" s="22">
        <f>((BF9*Constants!$H67*Constants!$H85*(1-Constants!$H103))+(BF9*Constants!$H67*Constants!$H119))</f>
        <v>166491839.5810166</v>
      </c>
      <c r="BG54" s="22">
        <f>((BG9*Constants!$H67*Constants!$H85*(1-Constants!$H103))+(BG9*Constants!$H67*Constants!$H119))</f>
        <v>168062683.37713808</v>
      </c>
      <c r="BH54" s="22">
        <f>((BH9*Constants!$H67*Constants!$H85*(1-Constants!$H103))+(BH9*Constants!$H67*Constants!$H119))</f>
        <v>169256723.52235499</v>
      </c>
      <c r="BI54" s="22">
        <f>((BI9*Constants!$H67*Constants!$H85*(1-Constants!$H103))+(BI9*Constants!$H67*Constants!$H119))</f>
        <v>170465835.9148438</v>
      </c>
      <c r="BJ54" s="22">
        <f>((BJ9*Constants!$H67*Constants!$H85*(1-Constants!$H103))+(BJ9*Constants!$H67*Constants!$H119))</f>
        <v>171703852.25378478</v>
      </c>
      <c r="BK54" s="22">
        <f>((BK9*Constants!$H67*Constants!$H85*(1-Constants!$H103))+(BK9*Constants!$H67*Constants!$H119))</f>
        <v>172995737.53599206</v>
      </c>
      <c r="BL54" s="22">
        <f>((BL9*Constants!$H67*Constants!$H85*(1-Constants!$H103))+(BL9*Constants!$H67*Constants!$H119))</f>
        <v>174322160.56731841</v>
      </c>
      <c r="BM54" s="22">
        <f>((BM9*Constants!$H67*Constants!$H85*(1-Constants!$H103))+(BM9*Constants!$H67*Constants!$H119))</f>
        <v>171705636.63160291</v>
      </c>
      <c r="BN54" s="22">
        <f>((BN9*Constants!$H67*Constants!$H85*(1-Constants!$H103))+(BN9*Constants!$H67*Constants!$H119))</f>
        <v>168741555.05762082</v>
      </c>
      <c r="BO54" s="22">
        <f>((BO9*Constants!$H67*Constants!$H85*(1-Constants!$H103))+(BO9*Constants!$H67*Constants!$H119))</f>
        <v>165305233.73756921</v>
      </c>
      <c r="BP54" s="22">
        <f>((BP9*Constants!$H67*Constants!$H85*(1-Constants!$H103))+(BP9*Constants!$H67*Constants!$H119))</f>
        <v>161761220.60621172</v>
      </c>
    </row>
    <row r="55" spans="1:72" x14ac:dyDescent="0.3">
      <c r="A55" t="str">
        <f t="shared" si="20"/>
        <v>3C Aggregated and non-CO2 emissions on land</v>
      </c>
      <c r="B55" t="str">
        <f t="shared" si="21"/>
        <v>3C4 Direct N2O from managed soils (N2O)</v>
      </c>
      <c r="C55" t="s">
        <v>409</v>
      </c>
      <c r="D55" t="str">
        <f>Constants!D120</f>
        <v xml:space="preserve"> - Feedlot</v>
      </c>
      <c r="E55" t="str">
        <f t="shared" si="23"/>
        <v>MM N available - Feedlot</v>
      </c>
      <c r="F55" t="str">
        <f t="shared" si="24"/>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22601454.870712772</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23749927.157423221</v>
      </c>
      <c r="AM55" s="22">
        <f>((AM10*Constants!$H68*Constants!$H86*(1-Constants!$H104))+(AM10*Constants!$H68*Constants!$H120))</f>
        <v>24717191.512683123</v>
      </c>
      <c r="AN55" s="22">
        <f>((AN10*Constants!$H68*Constants!$H86*(1-Constants!$H104))+(AN10*Constants!$H68*Constants!$H120))</f>
        <v>26059035.980951924</v>
      </c>
      <c r="AO55" s="22">
        <f>((AO10*Constants!$H68*Constants!$H86*(1-Constants!$H104))+(AO10*Constants!$H68*Constants!$H120))</f>
        <v>26824598.088107079</v>
      </c>
      <c r="AP55" s="22">
        <f>((AP10*Constants!$H68*Constants!$H86*(1-Constants!$H104))+(AP10*Constants!$H68*Constants!$H120))</f>
        <v>27674079.727897108</v>
      </c>
      <c r="AQ55" s="22">
        <f>((AQ10*Constants!$H68*Constants!$H86*(1-Constants!$H104))+(AQ10*Constants!$H68*Constants!$H120))</f>
        <v>28633441.666211661</v>
      </c>
      <c r="AR55" s="22">
        <f>((AR10*Constants!$H68*Constants!$H86*(1-Constants!$H104))+(AR10*Constants!$H68*Constants!$H120))</f>
        <v>29664380.73037231</v>
      </c>
      <c r="AS55" s="22">
        <f>((AS10*Constants!$H68*Constants!$H86*(1-Constants!$H104))+(AS10*Constants!$H68*Constants!$H120))</f>
        <v>30788162.483962316</v>
      </c>
      <c r="AT55" s="22">
        <f>((AT10*Constants!$H68*Constants!$H86*(1-Constants!$H104))+(AT10*Constants!$H68*Constants!$H120))</f>
        <v>31943548.308528587</v>
      </c>
      <c r="AU55" s="22">
        <f>((AU10*Constants!$H68*Constants!$H86*(1-Constants!$H104))+(AU10*Constants!$H68*Constants!$H120))</f>
        <v>33189131.849318799</v>
      </c>
      <c r="AV55" s="22">
        <f>((AV10*Constants!$H68*Constants!$H86*(1-Constants!$H104))+(AV10*Constants!$H68*Constants!$H120))</f>
        <v>34463183.549642764</v>
      </c>
      <c r="AW55" s="22">
        <f>((AW10*Constants!$H68*Constants!$H86*(1-Constants!$H104))+(AW10*Constants!$H68*Constants!$H120))</f>
        <v>35973255.304903887</v>
      </c>
      <c r="AX55" s="22">
        <f>((AX10*Constants!$H68*Constants!$H86*(1-Constants!$H104))+(AX10*Constants!$H68*Constants!$H120))</f>
        <v>37480009.680329949</v>
      </c>
      <c r="AY55" s="22">
        <f>((AY10*Constants!$H68*Constants!$H86*(1-Constants!$H104))+(AY10*Constants!$H68*Constants!$H120))</f>
        <v>39068552.330881171</v>
      </c>
      <c r="AZ55" s="22">
        <f>((AZ10*Constants!$H68*Constants!$H86*(1-Constants!$H104))+(AZ10*Constants!$H68*Constants!$H120))</f>
        <v>40844280.994479783</v>
      </c>
      <c r="BA55" s="22">
        <f>((BA10*Constants!$H68*Constants!$H86*(1-Constants!$H104))+(BA10*Constants!$H68*Constants!$H120))</f>
        <v>42563826.880606778</v>
      </c>
      <c r="BB55" s="22">
        <f>((BB10*Constants!$H68*Constants!$H86*(1-Constants!$H104))+(BB10*Constants!$H68*Constants!$H120))</f>
        <v>44382861.238153256</v>
      </c>
      <c r="BC55" s="22">
        <f>((BC10*Constants!$H68*Constants!$H86*(1-Constants!$H104))+(BC10*Constants!$H68*Constants!$H120))</f>
        <v>46323814.205285154</v>
      </c>
      <c r="BD55" s="22">
        <f>((BD10*Constants!$H68*Constants!$H86*(1-Constants!$H104))+(BD10*Constants!$H68*Constants!$H120))</f>
        <v>48183437.924718022</v>
      </c>
      <c r="BE55" s="22">
        <f>((BE10*Constants!$H68*Constants!$H86*(1-Constants!$H104))+(BE10*Constants!$H68*Constants!$H120))</f>
        <v>50053282.37021938</v>
      </c>
      <c r="BF55" s="22">
        <f>((BF10*Constants!$H68*Constants!$H86*(1-Constants!$H104))+(BF10*Constants!$H68*Constants!$H120))</f>
        <v>51937404.912911206</v>
      </c>
      <c r="BG55" s="22">
        <f>((BG10*Constants!$H68*Constants!$H86*(1-Constants!$H104))+(BG10*Constants!$H68*Constants!$H120))</f>
        <v>53906684.570628293</v>
      </c>
      <c r="BH55" s="22">
        <f>((BH10*Constants!$H68*Constants!$H86*(1-Constants!$H104))+(BH10*Constants!$H68*Constants!$H120))</f>
        <v>55826768.372986138</v>
      </c>
      <c r="BI55" s="22">
        <f>((BI10*Constants!$H68*Constants!$H86*(1-Constants!$H104))+(BI10*Constants!$H68*Constants!$H120))</f>
        <v>57823678.235028274</v>
      </c>
      <c r="BJ55" s="22">
        <f>((BJ10*Constants!$H68*Constants!$H86*(1-Constants!$H104))+(BJ10*Constants!$H68*Constants!$H120))</f>
        <v>59906254.602424279</v>
      </c>
      <c r="BK55" s="22">
        <f>((BK10*Constants!$H68*Constants!$H86*(1-Constants!$H104))+(BK10*Constants!$H68*Constants!$H120))</f>
        <v>62088146.177802265</v>
      </c>
      <c r="BL55" s="22">
        <f>((BL10*Constants!$H68*Constants!$H86*(1-Constants!$H104))+(BL10*Constants!$H68*Constants!$H120))</f>
        <v>64367987.531289287</v>
      </c>
      <c r="BM55" s="22">
        <f>((BM10*Constants!$H68*Constants!$H86*(1-Constants!$H104))+(BM10*Constants!$H68*Constants!$H120))</f>
        <v>65240062.115014531</v>
      </c>
      <c r="BN55" s="22">
        <f>((BN10*Constants!$H68*Constants!$H86*(1-Constants!$H104))+(BN10*Constants!$H68*Constants!$H120))</f>
        <v>65983970.311093166</v>
      </c>
      <c r="BO55" s="22">
        <f>((BO10*Constants!$H68*Constants!$H86*(1-Constants!$H104))+(BO10*Constants!$H68*Constants!$H120))</f>
        <v>66537956.642675854</v>
      </c>
      <c r="BP55" s="22">
        <f>((BP10*Constants!$H68*Constants!$H86*(1-Constants!$H104))+(BP10*Constants!$H68*Constants!$H120))</f>
        <v>67036220.221915454</v>
      </c>
    </row>
    <row r="56" spans="1:72" x14ac:dyDescent="0.3">
      <c r="A56" t="str">
        <f t="shared" si="20"/>
        <v>3C Aggregated and non-CO2 emissions on land</v>
      </c>
      <c r="B56" t="str">
        <f t="shared" si="21"/>
        <v>3C4 Direct N2O from managed soils (N2O)</v>
      </c>
      <c r="C56" t="s">
        <v>409</v>
      </c>
      <c r="D56" t="str">
        <f>Constants!D121</f>
        <v xml:space="preserve"> - Commercial sheep</v>
      </c>
      <c r="E56" t="str">
        <f t="shared" si="23"/>
        <v>MM N available - Commercial sheep</v>
      </c>
      <c r="F56" t="str">
        <f t="shared" si="24"/>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3788467.0200403007</v>
      </c>
      <c r="AM56" s="22">
        <f>((AM11*Constants!$H69*Constants!$H87*(1-Constants!$H105))+(AM11*Constants!$H69*Constants!$H121))</f>
        <v>3794167.1347998879</v>
      </c>
      <c r="AN56" s="22">
        <f>((AN11*Constants!$H69*Constants!$H87*(1-Constants!$H105))+(AN11*Constants!$H69*Constants!$H121))</f>
        <v>3801128.199489729</v>
      </c>
      <c r="AO56" s="22">
        <f>((AO11*Constants!$H69*Constants!$H87*(1-Constants!$H105))+(AO11*Constants!$H69*Constants!$H121))</f>
        <v>3808444.8218348031</v>
      </c>
      <c r="AP56" s="22">
        <f>((AP11*Constants!$H69*Constants!$H87*(1-Constants!$H105))+(AP11*Constants!$H69*Constants!$H121))</f>
        <v>3816659.2924404135</v>
      </c>
      <c r="AQ56" s="22">
        <f>((AQ11*Constants!$H69*Constants!$H87*(1-Constants!$H105))+(AQ11*Constants!$H69*Constants!$H121))</f>
        <v>3825748.627055353</v>
      </c>
      <c r="AR56" s="22">
        <f>((AR11*Constants!$H69*Constants!$H87*(1-Constants!$H105))+(AR11*Constants!$H69*Constants!$H121))</f>
        <v>3831425.1453612065</v>
      </c>
      <c r="AS56" s="22">
        <f>((AS11*Constants!$H69*Constants!$H87*(1-Constants!$H105))+(AS11*Constants!$H69*Constants!$H121))</f>
        <v>3837838.1720688092</v>
      </c>
      <c r="AT56" s="22">
        <f>((AT11*Constants!$H69*Constants!$H87*(1-Constants!$H105))+(AT11*Constants!$H69*Constants!$H121))</f>
        <v>3844901.0529628233</v>
      </c>
      <c r="AU56" s="22">
        <f>((AU11*Constants!$H69*Constants!$H87*(1-Constants!$H105))+(AU11*Constants!$H69*Constants!$H121))</f>
        <v>3852633.208479553</v>
      </c>
      <c r="AV56" s="22">
        <f>((AV11*Constants!$H69*Constants!$H87*(1-Constants!$H105))+(AV11*Constants!$H69*Constants!$H121))</f>
        <v>3860954.8311511925</v>
      </c>
      <c r="AW56" s="22">
        <f>((AW11*Constants!$H69*Constants!$H87*(1-Constants!$H105))+(AW11*Constants!$H69*Constants!$H121))</f>
        <v>3866537.1027409947</v>
      </c>
      <c r="AX56" s="22">
        <f>((AX11*Constants!$H69*Constants!$H87*(1-Constants!$H105))+(AX11*Constants!$H69*Constants!$H121))</f>
        <v>3872597.2927813702</v>
      </c>
      <c r="AY56" s="22">
        <f>((AY11*Constants!$H69*Constants!$H87*(1-Constants!$H105))+(AY11*Constants!$H69*Constants!$H121))</f>
        <v>3879184.1152749564</v>
      </c>
      <c r="AZ56" s="22">
        <f>((AZ11*Constants!$H69*Constants!$H87*(1-Constants!$H105))+(AZ11*Constants!$H69*Constants!$H121))</f>
        <v>3886361.8682340086</v>
      </c>
      <c r="BA56" s="22">
        <f>((BA11*Constants!$H69*Constants!$H87*(1-Constants!$H105))+(BA11*Constants!$H69*Constants!$H121))</f>
        <v>3893915.018405573</v>
      </c>
      <c r="BB56" s="22">
        <f>((BB11*Constants!$H69*Constants!$H87*(1-Constants!$H105))+(BB11*Constants!$H69*Constants!$H121))</f>
        <v>3898742.9679810996</v>
      </c>
      <c r="BC56" s="22">
        <f>((BC11*Constants!$H69*Constants!$H87*(1-Constants!$H105))+(BC11*Constants!$H69*Constants!$H121))</f>
        <v>3904031.1833517975</v>
      </c>
      <c r="BD56" s="22">
        <f>((BD11*Constants!$H69*Constants!$H87*(1-Constants!$H105))+(BD11*Constants!$H69*Constants!$H121))</f>
        <v>3909605.2481301548</v>
      </c>
      <c r="BE56" s="22">
        <f>((BE11*Constants!$H69*Constants!$H87*(1-Constants!$H105))+(BE11*Constants!$H69*Constants!$H121))</f>
        <v>3915524.5039184294</v>
      </c>
      <c r="BF56" s="22">
        <f>((BF11*Constants!$H69*Constants!$H87*(1-Constants!$H105))+(BF11*Constants!$H69*Constants!$H121))</f>
        <v>3921779.9758285671</v>
      </c>
      <c r="BG56" s="22">
        <f>((BG11*Constants!$H69*Constants!$H87*(1-Constants!$H105))+(BG11*Constants!$H69*Constants!$H121))</f>
        <v>3925476.1713958737</v>
      </c>
      <c r="BH56" s="22">
        <f>((BH11*Constants!$H69*Constants!$H87*(1-Constants!$H105))+(BH11*Constants!$H69*Constants!$H121))</f>
        <v>3929421.90501684</v>
      </c>
      <c r="BI56" s="22">
        <f>((BI11*Constants!$H69*Constants!$H87*(1-Constants!$H105))+(BI11*Constants!$H69*Constants!$H121))</f>
        <v>3933701.9223272717</v>
      </c>
      <c r="BJ56" s="22">
        <f>((BJ11*Constants!$H69*Constants!$H87*(1-Constants!$H105))+(BJ11*Constants!$H69*Constants!$H121))</f>
        <v>3938312.08545841</v>
      </c>
      <c r="BK56" s="22">
        <f>((BK11*Constants!$H69*Constants!$H87*(1-Constants!$H105))+(BK11*Constants!$H69*Constants!$H121))</f>
        <v>3943252.2988728071</v>
      </c>
      <c r="BL56" s="22">
        <f>((BL11*Constants!$H69*Constants!$H87*(1-Constants!$H105))+(BL11*Constants!$H69*Constants!$H121))</f>
        <v>3945493.5552737722</v>
      </c>
      <c r="BM56" s="22">
        <f>((BM11*Constants!$H69*Constants!$H87*(1-Constants!$H105))+(BM11*Constants!$H69*Constants!$H121))</f>
        <v>3946937.8968518241</v>
      </c>
      <c r="BN56" s="22">
        <f>((BN11*Constants!$H69*Constants!$H87*(1-Constants!$H105))+(BN11*Constants!$H69*Constants!$H121))</f>
        <v>3948521.1681939466</v>
      </c>
      <c r="BO56" s="22">
        <f>((BO11*Constants!$H69*Constants!$H87*(1-Constants!$H105))+(BO11*Constants!$H69*Constants!$H121))</f>
        <v>3950193.5272266869</v>
      </c>
      <c r="BP56" s="22">
        <f>((BP11*Constants!$H69*Constants!$H87*(1-Constants!$H105))+(BP11*Constants!$H69*Constants!$H121))</f>
        <v>3952046.0718940711</v>
      </c>
    </row>
    <row r="57" spans="1:72" x14ac:dyDescent="0.3">
      <c r="A57" t="str">
        <f t="shared" si="20"/>
        <v>3C Aggregated and non-CO2 emissions on land</v>
      </c>
      <c r="B57" t="str">
        <f t="shared" si="21"/>
        <v>3C4 Direct N2O from managed soils (N2O)</v>
      </c>
      <c r="C57" t="s">
        <v>409</v>
      </c>
      <c r="D57" t="str">
        <f>Constants!D122</f>
        <v xml:space="preserve"> - Subsistence sheep</v>
      </c>
      <c r="E57" t="str">
        <f t="shared" si="23"/>
        <v>MM N available - Subsistence sheep</v>
      </c>
      <c r="F57" t="str">
        <f t="shared" si="24"/>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3083297.1835274999</v>
      </c>
      <c r="AM57" s="22">
        <f>((AM12*Constants!$H70*Constants!$H88*(1-Constants!$H106))+(AM12*Constants!$H70*Constants!$H122))</f>
        <v>3087936.3021184891</v>
      </c>
      <c r="AN57" s="22">
        <f>((AN12*Constants!$H70*Constants!$H88*(1-Constants!$H106))+(AN12*Constants!$H70*Constants!$H122))</f>
        <v>3093601.6625502957</v>
      </c>
      <c r="AO57" s="22">
        <f>((AO12*Constants!$H70*Constants!$H88*(1-Constants!$H106))+(AO12*Constants!$H70*Constants!$H122))</f>
        <v>3099556.3985820911</v>
      </c>
      <c r="AP57" s="22">
        <f>((AP12*Constants!$H70*Constants!$H88*(1-Constants!$H106))+(AP12*Constants!$H70*Constants!$H122))</f>
        <v>3106241.8610523902</v>
      </c>
      <c r="AQ57" s="22">
        <f>((AQ12*Constants!$H70*Constants!$H88*(1-Constants!$H106))+(AQ12*Constants!$H70*Constants!$H122))</f>
        <v>3113639.3439049893</v>
      </c>
      <c r="AR57" s="22">
        <f>((AR12*Constants!$H70*Constants!$H88*(1-Constants!$H106))+(AR12*Constants!$H70*Constants!$H122))</f>
        <v>3118259.2581901331</v>
      </c>
      <c r="AS57" s="22">
        <f>((AS12*Constants!$H70*Constants!$H88*(1-Constants!$H106))+(AS12*Constants!$H70*Constants!$H122))</f>
        <v>3123478.5901998454</v>
      </c>
      <c r="AT57" s="22">
        <f>((AT12*Constants!$H70*Constants!$H88*(1-Constants!$H106))+(AT12*Constants!$H70*Constants!$H122))</f>
        <v>3129226.8151818528</v>
      </c>
      <c r="AU57" s="22">
        <f>((AU12*Constants!$H70*Constants!$H88*(1-Constants!$H106))+(AU12*Constants!$H70*Constants!$H122))</f>
        <v>3135519.7387314611</v>
      </c>
      <c r="AV57" s="22">
        <f>((AV12*Constants!$H70*Constants!$H88*(1-Constants!$H106))+(AV12*Constants!$H70*Constants!$H122))</f>
        <v>3142292.4084182023</v>
      </c>
      <c r="AW57" s="22">
        <f>((AW12*Constants!$H70*Constants!$H88*(1-Constants!$H106))+(AW12*Constants!$H70*Constants!$H122))</f>
        <v>3146835.6186875473</v>
      </c>
      <c r="AX57" s="22">
        <f>((AX12*Constants!$H70*Constants!$H88*(1-Constants!$H106))+(AX12*Constants!$H70*Constants!$H122))</f>
        <v>3151767.7896116413</v>
      </c>
      <c r="AY57" s="22">
        <f>((AY12*Constants!$H70*Constants!$H88*(1-Constants!$H106))+(AY12*Constants!$H70*Constants!$H122))</f>
        <v>3157128.5677668792</v>
      </c>
      <c r="AZ57" s="22">
        <f>((AZ12*Constants!$H70*Constants!$H88*(1-Constants!$H106))+(AZ12*Constants!$H70*Constants!$H122))</f>
        <v>3162970.2829951318</v>
      </c>
      <c r="BA57" s="22">
        <f>((BA12*Constants!$H70*Constants!$H88*(1-Constants!$H106))+(BA12*Constants!$H70*Constants!$H122))</f>
        <v>3169117.5205261838</v>
      </c>
      <c r="BB57" s="22">
        <f>((BB12*Constants!$H70*Constants!$H88*(1-Constants!$H106))+(BB12*Constants!$H70*Constants!$H122))</f>
        <v>3173046.8152117878</v>
      </c>
      <c r="BC57" s="22">
        <f>((BC12*Constants!$H70*Constants!$H88*(1-Constants!$H106))+(BC12*Constants!$H70*Constants!$H122))</f>
        <v>3177350.7036901913</v>
      </c>
      <c r="BD57" s="22">
        <f>((BD12*Constants!$H70*Constants!$H88*(1-Constants!$H106))+(BD12*Constants!$H70*Constants!$H122))</f>
        <v>3181887.2347305818</v>
      </c>
      <c r="BE57" s="22">
        <f>((BE12*Constants!$H70*Constants!$H88*(1-Constants!$H106))+(BE12*Constants!$H70*Constants!$H122))</f>
        <v>3186704.7043308243</v>
      </c>
      <c r="BF57" s="22">
        <f>((BF12*Constants!$H70*Constants!$H88*(1-Constants!$H106))+(BF12*Constants!$H70*Constants!$H122))</f>
        <v>3191795.8081520102</v>
      </c>
      <c r="BG57" s="22">
        <f>((BG12*Constants!$H70*Constants!$H88*(1-Constants!$H106))+(BG12*Constants!$H70*Constants!$H122))</f>
        <v>3194804.0089155794</v>
      </c>
      <c r="BH57" s="22">
        <f>((BH12*Constants!$H70*Constants!$H88*(1-Constants!$H106))+(BH12*Constants!$H70*Constants!$H122))</f>
        <v>3198015.2997348262</v>
      </c>
      <c r="BI57" s="22">
        <f>((BI12*Constants!$H70*Constants!$H88*(1-Constants!$H106))+(BI12*Constants!$H70*Constants!$H122))</f>
        <v>3201498.6520377221</v>
      </c>
      <c r="BJ57" s="22">
        <f>((BJ12*Constants!$H70*Constants!$H88*(1-Constants!$H106))+(BJ12*Constants!$H70*Constants!$H122))</f>
        <v>3205250.6981615624</v>
      </c>
      <c r="BK57" s="22">
        <f>((BK12*Constants!$H70*Constants!$H88*(1-Constants!$H106))+(BK12*Constants!$H70*Constants!$H122))</f>
        <v>3209271.3603518535</v>
      </c>
      <c r="BL57" s="22">
        <f>((BL12*Constants!$H70*Constants!$H88*(1-Constants!$H106))+(BL12*Constants!$H70*Constants!$H122))</f>
        <v>3211095.4384056157</v>
      </c>
      <c r="BM57" s="22">
        <f>((BM12*Constants!$H70*Constants!$H88*(1-Constants!$H106))+(BM12*Constants!$H70*Constants!$H122))</f>
        <v>3212270.9361190978</v>
      </c>
      <c r="BN57" s="22">
        <f>((BN12*Constants!$H70*Constants!$H88*(1-Constants!$H106))+(BN12*Constants!$H70*Constants!$H122))</f>
        <v>3213559.5037756464</v>
      </c>
      <c r="BO57" s="22">
        <f>((BO12*Constants!$H70*Constants!$H88*(1-Constants!$H106))+(BO12*Constants!$H70*Constants!$H122))</f>
        <v>3214920.5767025636</v>
      </c>
      <c r="BP57" s="22">
        <f>((BP12*Constants!$H70*Constants!$H88*(1-Constants!$H106))+(BP12*Constants!$H70*Constants!$H122))</f>
        <v>3216428.296243235</v>
      </c>
    </row>
    <row r="58" spans="1:72" x14ac:dyDescent="0.3">
      <c r="A58" t="str">
        <f t="shared" si="20"/>
        <v>3C Aggregated and non-CO2 emissions on land</v>
      </c>
      <c r="B58" t="str">
        <f t="shared" si="21"/>
        <v>3C4 Direct N2O from managed soils (N2O)</v>
      </c>
      <c r="C58" t="s">
        <v>409</v>
      </c>
      <c r="D58" t="str">
        <f>Constants!D123</f>
        <v xml:space="preserve"> - Commercial goats</v>
      </c>
      <c r="E58" t="str">
        <f t="shared" si="23"/>
        <v>MM N available - Commercial goats</v>
      </c>
      <c r="F58" t="str">
        <f t="shared" si="24"/>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477820.38535815617</v>
      </c>
      <c r="AM58" s="22">
        <f>((AM13*Constants!$H71*Constants!$H89*(1-Constants!$H107))+(AM13*Constants!$H71*Constants!$H123))</f>
        <v>479195.71591146855</v>
      </c>
      <c r="AN58" s="22">
        <f>((AN13*Constants!$H71*Constants!$H89*(1-Constants!$H107))+(AN13*Constants!$H71*Constants!$H123))</f>
        <v>480772.15162707691</v>
      </c>
      <c r="AO58" s="22">
        <f>((AO13*Constants!$H71*Constants!$H89*(1-Constants!$H107))+(AO13*Constants!$H71*Constants!$H123))</f>
        <v>482379.09435479715</v>
      </c>
      <c r="AP58" s="22">
        <f>((AP13*Constants!$H71*Constants!$H89*(1-Constants!$H107))+(AP13*Constants!$H71*Constants!$H123))</f>
        <v>484121.94446114701</v>
      </c>
      <c r="AQ58" s="22">
        <f>((AQ13*Constants!$H71*Constants!$H89*(1-Constants!$H107))+(AQ13*Constants!$H71*Constants!$H123))</f>
        <v>485997.82154064887</v>
      </c>
      <c r="AR58" s="22">
        <f>((AR13*Constants!$H71*Constants!$H89*(1-Constants!$H107))+(AR13*Constants!$H71*Constants!$H123))</f>
        <v>487198.30085178628</v>
      </c>
      <c r="AS58" s="22">
        <f>((AS13*Constants!$H71*Constants!$H89*(1-Constants!$H107))+(AS13*Constants!$H71*Constants!$H123))</f>
        <v>488511.69180129358</v>
      </c>
      <c r="AT58" s="22">
        <f>((AT13*Constants!$H71*Constants!$H89*(1-Constants!$H107))+(AT13*Constants!$H71*Constants!$H123))</f>
        <v>489922.63266976329</v>
      </c>
      <c r="AU58" s="22">
        <f>((AU13*Constants!$H71*Constants!$H89*(1-Constants!$H107))+(AU13*Constants!$H71*Constants!$H123))</f>
        <v>491435.65409627446</v>
      </c>
      <c r="AV58" s="22">
        <f>((AV13*Constants!$H71*Constants!$H89*(1-Constants!$H107))+(AV13*Constants!$H71*Constants!$H123))</f>
        <v>493036.5490951853</v>
      </c>
      <c r="AW58" s="22">
        <f>((AW13*Constants!$H71*Constants!$H89*(1-Constants!$H107))+(AW13*Constants!$H71*Constants!$H123))</f>
        <v>494104.16436235065</v>
      </c>
      <c r="AX58" s="22">
        <f>((AX13*Constants!$H71*Constants!$H89*(1-Constants!$H107))+(AX13*Constants!$H71*Constants!$H123))</f>
        <v>495242.7125199163</v>
      </c>
      <c r="AY58" s="22">
        <f>((AY13*Constants!$H71*Constants!$H89*(1-Constants!$H107))+(AY13*Constants!$H71*Constants!$H123))</f>
        <v>496461.83076443395</v>
      </c>
      <c r="AZ58" s="22">
        <f>((AZ13*Constants!$H71*Constants!$H89*(1-Constants!$H107))+(AZ13*Constants!$H71*Constants!$H123))</f>
        <v>497773.90132704074</v>
      </c>
      <c r="BA58" s="22">
        <f>((BA13*Constants!$H71*Constants!$H89*(1-Constants!$H107))+(BA13*Constants!$H71*Constants!$H123))</f>
        <v>499139.2851689707</v>
      </c>
      <c r="BB58" s="22">
        <f>((BB13*Constants!$H71*Constants!$H89*(1-Constants!$H107))+(BB13*Constants!$H71*Constants!$H123))</f>
        <v>499984.90251192806</v>
      </c>
      <c r="BC58" s="22">
        <f>((BC13*Constants!$H71*Constants!$H89*(1-Constants!$H107))+(BC13*Constants!$H71*Constants!$H123))</f>
        <v>500902.55129567743</v>
      </c>
      <c r="BD58" s="22">
        <f>((BD13*Constants!$H71*Constants!$H89*(1-Constants!$H107))+(BD13*Constants!$H71*Constants!$H123))</f>
        <v>501860.31690753624</v>
      </c>
      <c r="BE58" s="22">
        <f>((BE13*Constants!$H71*Constants!$H89*(1-Constants!$H107))+(BE13*Constants!$H71*Constants!$H123))</f>
        <v>502869.48154089751</v>
      </c>
      <c r="BF58" s="22">
        <f>((BF13*Constants!$H71*Constants!$H89*(1-Constants!$H107))+(BF13*Constants!$H71*Constants!$H123))</f>
        <v>503928.66350965435</v>
      </c>
      <c r="BG58" s="22">
        <f>((BG13*Constants!$H71*Constants!$H89*(1-Constants!$H107))+(BG13*Constants!$H71*Constants!$H123))</f>
        <v>504507.33574808895</v>
      </c>
      <c r="BH58" s="22">
        <f>((BH13*Constants!$H71*Constants!$H89*(1-Constants!$H107))+(BH13*Constants!$H71*Constants!$H123))</f>
        <v>505122.46282792778</v>
      </c>
      <c r="BI58" s="22">
        <f>((BI13*Constants!$H71*Constants!$H89*(1-Constants!$H107))+(BI13*Constants!$H71*Constants!$H123))</f>
        <v>505789.7472333879</v>
      </c>
      <c r="BJ58" s="22">
        <f>((BJ13*Constants!$H71*Constants!$H89*(1-Constants!$H107))+(BJ13*Constants!$H71*Constants!$H123))</f>
        <v>506508.55167764454</v>
      </c>
      <c r="BK58" s="22">
        <f>((BK13*Constants!$H71*Constants!$H89*(1-Constants!$H107))+(BK13*Constants!$H71*Constants!$H123))</f>
        <v>507278.9590829864</v>
      </c>
      <c r="BL58" s="22">
        <f>((BL13*Constants!$H71*Constants!$H89*(1-Constants!$H107))+(BL13*Constants!$H71*Constants!$H123))</f>
        <v>507550.50417872373</v>
      </c>
      <c r="BM58" s="22">
        <f>((BM13*Constants!$H71*Constants!$H89*(1-Constants!$H107))+(BM13*Constants!$H71*Constants!$H123))</f>
        <v>507671.09741748252</v>
      </c>
      <c r="BN58" s="22">
        <f>((BN13*Constants!$H71*Constants!$H89*(1-Constants!$H107))+(BN13*Constants!$H71*Constants!$H123))</f>
        <v>507811.28789048828</v>
      </c>
      <c r="BO58" s="22">
        <f>((BO13*Constants!$H71*Constants!$H89*(1-Constants!$H107))+(BO13*Constants!$H71*Constants!$H123))</f>
        <v>507962.21395316022</v>
      </c>
      <c r="BP58" s="22">
        <f>((BP13*Constants!$H71*Constants!$H89*(1-Constants!$H107))+(BP13*Constants!$H71*Constants!$H123))</f>
        <v>508140.50900302135</v>
      </c>
    </row>
    <row r="59" spans="1:72" x14ac:dyDescent="0.3">
      <c r="A59" t="str">
        <f t="shared" si="20"/>
        <v>3C Aggregated and non-CO2 emissions on land</v>
      </c>
      <c r="B59" t="str">
        <f t="shared" si="21"/>
        <v>3C4 Direct N2O from managed soils (N2O)</v>
      </c>
      <c r="C59" t="s">
        <v>409</v>
      </c>
      <c r="D59" t="str">
        <f>Constants!D124</f>
        <v xml:space="preserve"> - Subsistence goats</v>
      </c>
      <c r="E59" t="str">
        <f t="shared" si="23"/>
        <v>MM N available - Subsistence goats</v>
      </c>
      <c r="F59" t="str">
        <f t="shared" si="24"/>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5765409.1507311407</v>
      </c>
      <c r="AM59" s="22">
        <f>((AM14*Constants!$H72*Constants!$H90*(1-Constants!$H108))+(AM14*Constants!$H72*Constants!$H124))</f>
        <v>5782003.9708776344</v>
      </c>
      <c r="AN59" s="22">
        <f>((AN14*Constants!$H72*Constants!$H90*(1-Constants!$H108))+(AN14*Constants!$H72*Constants!$H124))</f>
        <v>5801025.3378573945</v>
      </c>
      <c r="AO59" s="22">
        <f>((AO14*Constants!$H72*Constants!$H90*(1-Constants!$H108))+(AO14*Constants!$H72*Constants!$H124))</f>
        <v>5820414.8042573156</v>
      </c>
      <c r="AP59" s="22">
        <f>((AP14*Constants!$H72*Constants!$H90*(1-Constants!$H108))+(AP14*Constants!$H72*Constants!$H124))</f>
        <v>5841444.1371602435</v>
      </c>
      <c r="AQ59" s="22">
        <f>((AQ14*Constants!$H72*Constants!$H90*(1-Constants!$H108))+(AQ14*Constants!$H72*Constants!$H124))</f>
        <v>5864078.5814226</v>
      </c>
      <c r="AR59" s="22">
        <f>((AR14*Constants!$H72*Constants!$H90*(1-Constants!$H108))+(AR14*Constants!$H72*Constants!$H124))</f>
        <v>5878563.6360954084</v>
      </c>
      <c r="AS59" s="22">
        <f>((AS14*Constants!$H72*Constants!$H90*(1-Constants!$H108))+(AS14*Constants!$H72*Constants!$H124))</f>
        <v>5894411.0893033762</v>
      </c>
      <c r="AT59" s="22">
        <f>((AT14*Constants!$H72*Constants!$H90*(1-Constants!$H108))+(AT14*Constants!$H72*Constants!$H124))</f>
        <v>5911435.5856276974</v>
      </c>
      <c r="AU59" s="22">
        <f>((AU14*Constants!$H72*Constants!$H90*(1-Constants!$H108))+(AU14*Constants!$H72*Constants!$H124))</f>
        <v>5929691.792028605</v>
      </c>
      <c r="AV59" s="22">
        <f>((AV14*Constants!$H72*Constants!$H90*(1-Constants!$H108))+(AV14*Constants!$H72*Constants!$H124))</f>
        <v>5949008.2861734964</v>
      </c>
      <c r="AW59" s="22">
        <f>((AW14*Constants!$H72*Constants!$H90*(1-Constants!$H108))+(AW14*Constants!$H72*Constants!$H124))</f>
        <v>5961890.1954000397</v>
      </c>
      <c r="AX59" s="22">
        <f>((AX14*Constants!$H72*Constants!$H90*(1-Constants!$H108))+(AX14*Constants!$H72*Constants!$H124))</f>
        <v>5975627.9850953398</v>
      </c>
      <c r="AY59" s="22">
        <f>((AY14*Constants!$H72*Constants!$H90*(1-Constants!$H108))+(AY14*Constants!$H72*Constants!$H124))</f>
        <v>5990337.9382454054</v>
      </c>
      <c r="AZ59" s="22">
        <f>((AZ14*Constants!$H72*Constants!$H90*(1-Constants!$H108))+(AZ14*Constants!$H72*Constants!$H124))</f>
        <v>6006169.4595866045</v>
      </c>
      <c r="BA59" s="22">
        <f>((BA14*Constants!$H72*Constants!$H90*(1-Constants!$H108))+(BA14*Constants!$H72*Constants!$H124))</f>
        <v>6022644.2621227549</v>
      </c>
      <c r="BB59" s="22">
        <f>((BB14*Constants!$H72*Constants!$H90*(1-Constants!$H108))+(BB14*Constants!$H72*Constants!$H124))</f>
        <v>6032847.5312098414</v>
      </c>
      <c r="BC59" s="22">
        <f>((BC14*Constants!$H72*Constants!$H90*(1-Constants!$H108))+(BC14*Constants!$H72*Constants!$H124))</f>
        <v>6043919.9359399574</v>
      </c>
      <c r="BD59" s="22">
        <f>((BD14*Constants!$H72*Constants!$H90*(1-Constants!$H108))+(BD14*Constants!$H72*Constants!$H124))</f>
        <v>6055476.3927008538</v>
      </c>
      <c r="BE59" s="22">
        <f>((BE14*Constants!$H72*Constants!$H90*(1-Constants!$H108))+(BE14*Constants!$H72*Constants!$H124))</f>
        <v>6067653.0331081366</v>
      </c>
      <c r="BF59" s="22">
        <f>((BF14*Constants!$H72*Constants!$H90*(1-Constants!$H108))+(BF14*Constants!$H72*Constants!$H124))</f>
        <v>6080433.1856551701</v>
      </c>
      <c r="BG59" s="22">
        <f>((BG14*Constants!$H72*Constants!$H90*(1-Constants!$H108))+(BG14*Constants!$H72*Constants!$H124))</f>
        <v>6087415.4792553978</v>
      </c>
      <c r="BH59" s="22">
        <f>((BH14*Constants!$H72*Constants!$H90*(1-Constants!$H108))+(BH14*Constants!$H72*Constants!$H124))</f>
        <v>6094837.6391373118</v>
      </c>
      <c r="BI59" s="22">
        <f>((BI14*Constants!$H72*Constants!$H90*(1-Constants!$H108))+(BI14*Constants!$H72*Constants!$H124))</f>
        <v>6102889.1324081467</v>
      </c>
      <c r="BJ59" s="22">
        <f>((BJ14*Constants!$H72*Constants!$H90*(1-Constants!$H108))+(BJ14*Constants!$H72*Constants!$H124))</f>
        <v>6111562.2695272285</v>
      </c>
      <c r="BK59" s="22">
        <f>((BK14*Constants!$H72*Constants!$H90*(1-Constants!$H108))+(BK14*Constants!$H72*Constants!$H124))</f>
        <v>6120858.0510398149</v>
      </c>
      <c r="BL59" s="22">
        <f>((BL14*Constants!$H72*Constants!$H90*(1-Constants!$H108))+(BL14*Constants!$H72*Constants!$H124))</f>
        <v>6124134.5302938893</v>
      </c>
      <c r="BM59" s="22">
        <f>((BM14*Constants!$H72*Constants!$H90*(1-Constants!$H108))+(BM14*Constants!$H72*Constants!$H124))</f>
        <v>6125589.6154756052</v>
      </c>
      <c r="BN59" s="22">
        <f>((BN14*Constants!$H72*Constants!$H90*(1-Constants!$H108))+(BN14*Constants!$H72*Constants!$H124))</f>
        <v>6127281.1620497582</v>
      </c>
      <c r="BO59" s="22">
        <f>((BO14*Constants!$H72*Constants!$H90*(1-Constants!$H108))+(BO14*Constants!$H72*Constants!$H124))</f>
        <v>6129102.244886484</v>
      </c>
      <c r="BP59" s="22">
        <f>((BP14*Constants!$H72*Constants!$H90*(1-Constants!$H108))+(BP14*Constants!$H72*Constants!$H124))</f>
        <v>6131253.5635482622</v>
      </c>
    </row>
    <row r="60" spans="1:72" x14ac:dyDescent="0.3">
      <c r="A60" t="str">
        <f t="shared" si="20"/>
        <v>3C Aggregated and non-CO2 emissions on land</v>
      </c>
      <c r="B60" t="str">
        <f t="shared" si="21"/>
        <v>3C4 Direct N2O from managed soils (N2O)</v>
      </c>
      <c r="C60" t="s">
        <v>409</v>
      </c>
      <c r="D60" t="str">
        <f>Constants!D125</f>
        <v xml:space="preserve"> - Horses</v>
      </c>
      <c r="E60" t="str">
        <f t="shared" si="23"/>
        <v>MM N available - Horses</v>
      </c>
      <c r="F60" t="str">
        <f t="shared" si="24"/>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20"/>
        <v>3C Aggregated and non-CO2 emissions on land</v>
      </c>
      <c r="B61" t="str">
        <f t="shared" si="21"/>
        <v>3C4 Direct N2O from managed soils (N2O)</v>
      </c>
      <c r="C61" t="s">
        <v>409</v>
      </c>
      <c r="D61" t="str">
        <f>Constants!D126</f>
        <v xml:space="preserve"> - Mules &amp; Asses</v>
      </c>
      <c r="E61" t="str">
        <f t="shared" si="23"/>
        <v>MM N available - Mules &amp; Asses</v>
      </c>
      <c r="F61" t="str">
        <f t="shared" si="24"/>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20"/>
        <v>3C Aggregated and non-CO2 emissions on land</v>
      </c>
      <c r="B62" t="str">
        <f t="shared" si="21"/>
        <v>3C4 Direct N2O from managed soils (N2O)</v>
      </c>
      <c r="C62" t="s">
        <v>409</v>
      </c>
      <c r="D62" t="str">
        <f>Constants!D127</f>
        <v xml:space="preserve"> - Commercial swine</v>
      </c>
      <c r="E62" t="str">
        <f t="shared" si="23"/>
        <v>MM N available - Commercial swine</v>
      </c>
      <c r="F62" t="str">
        <f t="shared" si="24"/>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7887809.5503911264</v>
      </c>
      <c r="AF62" s="22">
        <f>((AF17*Constants!$H75*Constants!$H93*(1-Constants!$H111))+(AF17*Constants!$H75*Constants!$H127))</f>
        <v>7891347.8708342696</v>
      </c>
      <c r="AG62" s="22">
        <f>((AG17*Constants!$H75*Constants!$H93*(1-Constants!$H111))+(AG17*Constants!$H75*Constants!$H127))</f>
        <v>7818899.2502508275</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7312981.3674521036</v>
      </c>
      <c r="AL62" s="22">
        <f>((AL17*Constants!$H75*Constants!$H93*(1-Constants!$H111))+(AL17*Constants!$H75*Constants!$H127))</f>
        <v>6456996.1902685687</v>
      </c>
      <c r="AM62" s="22">
        <f>((AM17*Constants!$H75*Constants!$H93*(1-Constants!$H111))+(AM17*Constants!$H75*Constants!$H127))</f>
        <v>6538649.27964612</v>
      </c>
      <c r="AN62" s="22">
        <f>((AN17*Constants!$H75*Constants!$H93*(1-Constants!$H111))+(AN17*Constants!$H75*Constants!$H127))</f>
        <v>6713860.780544892</v>
      </c>
      <c r="AO62" s="22">
        <f>((AO17*Constants!$H75*Constants!$H93*(1-Constants!$H111))+(AO17*Constants!$H75*Constants!$H127))</f>
        <v>6729769.0745791374</v>
      </c>
      <c r="AP62" s="22">
        <f>((AP17*Constants!$H75*Constants!$H93*(1-Constants!$H111))+(AP17*Constants!$H75*Constants!$H127))</f>
        <v>6764219.3692422388</v>
      </c>
      <c r="AQ62" s="22">
        <f>((AQ17*Constants!$H75*Constants!$H93*(1-Constants!$H111))+(AQ17*Constants!$H75*Constants!$H127))</f>
        <v>6822142.4325480508</v>
      </c>
      <c r="AR62" s="22">
        <f>((AR17*Constants!$H75*Constants!$H93*(1-Constants!$H111))+(AR17*Constants!$H75*Constants!$H127))</f>
        <v>6894824.2993423361</v>
      </c>
      <c r="AS62" s="22">
        <f>((AS17*Constants!$H75*Constants!$H93*(1-Constants!$H111))+(AS17*Constants!$H75*Constants!$H127))</f>
        <v>6983889.7654443914</v>
      </c>
      <c r="AT62" s="22">
        <f>((AT17*Constants!$H75*Constants!$H93*(1-Constants!$H111))+(AT17*Constants!$H75*Constants!$H127))</f>
        <v>7073996.7629564032</v>
      </c>
      <c r="AU62" s="22">
        <f>((AU17*Constants!$H75*Constants!$H93*(1-Constants!$H111))+(AU17*Constants!$H75*Constants!$H127))</f>
        <v>7178029.5288267406</v>
      </c>
      <c r="AV62" s="22">
        <f>((AV17*Constants!$H75*Constants!$H93*(1-Constants!$H111))+(AV17*Constants!$H75*Constants!$H127))</f>
        <v>7281344.2629671004</v>
      </c>
      <c r="AW62" s="22">
        <f>((AW17*Constants!$H75*Constants!$H93*(1-Constants!$H111))+(AW17*Constants!$H75*Constants!$H127))</f>
        <v>7409791.4524734924</v>
      </c>
      <c r="AX62" s="22">
        <f>((AX17*Constants!$H75*Constants!$H93*(1-Constants!$H111))+(AX17*Constants!$H75*Constants!$H127))</f>
        <v>7528036.471944944</v>
      </c>
      <c r="AY62" s="22">
        <f>((AY17*Constants!$H75*Constants!$H93*(1-Constants!$H111))+(AY17*Constants!$H75*Constants!$H127))</f>
        <v>7653858.6263182992</v>
      </c>
      <c r="AZ62" s="22">
        <f>((AZ17*Constants!$H75*Constants!$H93*(1-Constants!$H111))+(AZ17*Constants!$H75*Constants!$H127))</f>
        <v>7807345.2403015476</v>
      </c>
      <c r="BA62" s="22">
        <f>((BA17*Constants!$H75*Constants!$H93*(1-Constants!$H111))+(BA17*Constants!$H75*Constants!$H127))</f>
        <v>7939139.7904904252</v>
      </c>
      <c r="BB62" s="22">
        <f>((BB17*Constants!$H75*Constants!$H93*(1-Constants!$H111))+(BB17*Constants!$H75*Constants!$H127))</f>
        <v>8081391.7268617442</v>
      </c>
      <c r="BC62" s="22">
        <f>((BC17*Constants!$H75*Constants!$H93*(1-Constants!$H111))+(BC17*Constants!$H75*Constants!$H127))</f>
        <v>8235782.0996218277</v>
      </c>
      <c r="BD62" s="22">
        <f>((BD17*Constants!$H75*Constants!$H93*(1-Constants!$H111))+(BD17*Constants!$H75*Constants!$H127))</f>
        <v>8364578.6640821099</v>
      </c>
      <c r="BE62" s="22">
        <f>((BE17*Constants!$H75*Constants!$H93*(1-Constants!$H111))+(BE17*Constants!$H75*Constants!$H127))</f>
        <v>8485362.1946551986</v>
      </c>
      <c r="BF62" s="22">
        <f>((BF17*Constants!$H75*Constants!$H93*(1-Constants!$H111))+(BF17*Constants!$H75*Constants!$H127))</f>
        <v>8599106.8354249448</v>
      </c>
      <c r="BG62" s="22">
        <f>((BG17*Constants!$H75*Constants!$H93*(1-Constants!$H111))+(BG17*Constants!$H75*Constants!$H127))</f>
        <v>8730443.317077972</v>
      </c>
      <c r="BH62" s="22">
        <f>((BH17*Constants!$H75*Constants!$H93*(1-Constants!$H111))+(BH17*Constants!$H75*Constants!$H127))</f>
        <v>8844360.7844112776</v>
      </c>
      <c r="BI62" s="22">
        <f>((BI17*Constants!$H75*Constants!$H93*(1-Constants!$H111))+(BI17*Constants!$H75*Constants!$H127))</f>
        <v>8961952.5492605828</v>
      </c>
      <c r="BJ62" s="22">
        <f>((BJ17*Constants!$H75*Constants!$H93*(1-Constants!$H111))+(BJ17*Constants!$H75*Constants!$H127))</f>
        <v>9084105.5793093536</v>
      </c>
      <c r="BK62" s="22">
        <f>((BK17*Constants!$H75*Constants!$H93*(1-Constants!$H111))+(BK17*Constants!$H75*Constants!$H127))</f>
        <v>9212348.3138719723</v>
      </c>
      <c r="BL62" s="22">
        <f>((BL17*Constants!$H75*Constants!$H93*(1-Constants!$H111))+(BL17*Constants!$H75*Constants!$H127))</f>
        <v>9347011.6891012806</v>
      </c>
      <c r="BM62" s="22">
        <f>((BM17*Constants!$H75*Constants!$H93*(1-Constants!$H111))+(BM17*Constants!$H75*Constants!$H127))</f>
        <v>9265067.1759196986</v>
      </c>
      <c r="BN62" s="22">
        <f>((BN17*Constants!$H75*Constants!$H93*(1-Constants!$H111))+(BN17*Constants!$H75*Constants!$H127))</f>
        <v>9164185.643876642</v>
      </c>
      <c r="BO62" s="22">
        <f>((BO17*Constants!$H75*Constants!$H93*(1-Constants!$H111))+(BO17*Constants!$H75*Constants!$H127))</f>
        <v>9036890.6825515591</v>
      </c>
      <c r="BP62" s="22">
        <f>((BP17*Constants!$H75*Constants!$H93*(1-Constants!$H111))+(BP17*Constants!$H75*Constants!$H127))</f>
        <v>8903352.7640309483</v>
      </c>
    </row>
    <row r="63" spans="1:72" x14ac:dyDescent="0.3">
      <c r="A63" t="str">
        <f t="shared" si="20"/>
        <v>3C Aggregated and non-CO2 emissions on land</v>
      </c>
      <c r="B63" t="str">
        <f t="shared" si="21"/>
        <v>3C4 Direct N2O from managed soils (N2O)</v>
      </c>
      <c r="C63" t="s">
        <v>409</v>
      </c>
      <c r="D63" t="str">
        <f>Constants!D128</f>
        <v xml:space="preserve"> - Subsistence swine</v>
      </c>
      <c r="E63" t="str">
        <f t="shared" si="23"/>
        <v>MM N available - Subsistence swine</v>
      </c>
      <c r="F63" t="str">
        <f t="shared" si="24"/>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2001167.4043936585</v>
      </c>
      <c r="AF63" s="22">
        <f>((AF18*Constants!$H76*Constants!$H94*(1-Constants!$H112))+(AF18*Constants!$H76*Constants!$H128))</f>
        <v>2002065.0898019942</v>
      </c>
      <c r="AG63" s="22">
        <f>((AG18*Constants!$H76*Constants!$H94*(1-Constants!$H112))+(AG18*Constants!$H76*Constants!$H128))</f>
        <v>1983684.5980978459</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1855331.2992651612</v>
      </c>
      <c r="AL63" s="22">
        <f>((AL18*Constants!$H76*Constants!$H94*(1-Constants!$H112))+(AL18*Constants!$H76*Constants!$H128))</f>
        <v>1638164.591032597</v>
      </c>
      <c r="AM63" s="22">
        <f>((AM18*Constants!$H76*Constants!$H94*(1-Constants!$H112))+(AM18*Constants!$H76*Constants!$H128))</f>
        <v>1658880.2916192443</v>
      </c>
      <c r="AN63" s="22">
        <f>((AN18*Constants!$H76*Constants!$H94*(1-Constants!$H112))+(AN18*Constants!$H76*Constants!$H128))</f>
        <v>1703332.1184836649</v>
      </c>
      <c r="AO63" s="22">
        <f>((AO18*Constants!$H76*Constants!$H94*(1-Constants!$H112))+(AO18*Constants!$H76*Constants!$H128))</f>
        <v>1707368.1134297224</v>
      </c>
      <c r="AP63" s="22">
        <f>((AP18*Constants!$H76*Constants!$H94*(1-Constants!$H112))+(AP18*Constants!$H76*Constants!$H128))</f>
        <v>1716108.2847423195</v>
      </c>
      <c r="AQ63" s="22">
        <f>((AQ18*Constants!$H76*Constants!$H94*(1-Constants!$H112))+(AQ18*Constants!$H76*Constants!$H128))</f>
        <v>1730803.5870958697</v>
      </c>
      <c r="AR63" s="22">
        <f>((AR18*Constants!$H76*Constants!$H94*(1-Constants!$H112))+(AR18*Constants!$H76*Constants!$H128))</f>
        <v>1749243.2542544152</v>
      </c>
      <c r="AS63" s="22">
        <f>((AS18*Constants!$H76*Constants!$H94*(1-Constants!$H112))+(AS18*Constants!$H76*Constants!$H128))</f>
        <v>1771839.503121976</v>
      </c>
      <c r="AT63" s="22">
        <f>((AT18*Constants!$H76*Constants!$H94*(1-Constants!$H112))+(AT18*Constants!$H76*Constants!$H128))</f>
        <v>1794699.9924855756</v>
      </c>
      <c r="AU63" s="22">
        <f>((AU18*Constants!$H76*Constants!$H94*(1-Constants!$H112))+(AU18*Constants!$H76*Constants!$H128))</f>
        <v>1821093.5024605109</v>
      </c>
      <c r="AV63" s="22">
        <f>((AV18*Constants!$H76*Constants!$H94*(1-Constants!$H112))+(AV18*Constants!$H76*Constants!$H128))</f>
        <v>1847304.8450435773</v>
      </c>
      <c r="AW63" s="22">
        <f>((AW18*Constants!$H76*Constants!$H94*(1-Constants!$H112))+(AW18*Constants!$H76*Constants!$H128))</f>
        <v>1879892.3875272092</v>
      </c>
      <c r="AX63" s="22">
        <f>((AX18*Constants!$H76*Constants!$H94*(1-Constants!$H112))+(AX18*Constants!$H76*Constants!$H128))</f>
        <v>1909891.6005135858</v>
      </c>
      <c r="AY63" s="22">
        <f>((AY18*Constants!$H76*Constants!$H94*(1-Constants!$H112))+(AY18*Constants!$H76*Constants!$H128))</f>
        <v>1941813.1615596511</v>
      </c>
      <c r="AZ63" s="22">
        <f>((AZ18*Constants!$H76*Constants!$H94*(1-Constants!$H112))+(AZ18*Constants!$H76*Constants!$H128))</f>
        <v>1980753.3016520038</v>
      </c>
      <c r="BA63" s="22">
        <f>((BA18*Constants!$H76*Constants!$H94*(1-Constants!$H112))+(BA18*Constants!$H76*Constants!$H128))</f>
        <v>2014190.0823234678</v>
      </c>
      <c r="BB63" s="22">
        <f>((BB18*Constants!$H76*Constants!$H94*(1-Constants!$H112))+(BB18*Constants!$H76*Constants!$H128))</f>
        <v>2050279.9418034102</v>
      </c>
      <c r="BC63" s="22">
        <f>((BC18*Constants!$H76*Constants!$H94*(1-Constants!$H112))+(BC18*Constants!$H76*Constants!$H128))</f>
        <v>2089449.3689486622</v>
      </c>
      <c r="BD63" s="22">
        <f>((BD18*Constants!$H76*Constants!$H94*(1-Constants!$H112))+(BD18*Constants!$H76*Constants!$H128))</f>
        <v>2122125.5491922661</v>
      </c>
      <c r="BE63" s="22">
        <f>((BE18*Constants!$H76*Constants!$H94*(1-Constants!$H112))+(BE18*Constants!$H76*Constants!$H128))</f>
        <v>2152768.7921390315</v>
      </c>
      <c r="BF63" s="22">
        <f>((BF18*Constants!$H76*Constants!$H94*(1-Constants!$H112))+(BF18*Constants!$H76*Constants!$H128))</f>
        <v>2181626.2418630291</v>
      </c>
      <c r="BG63" s="22">
        <f>((BG18*Constants!$H76*Constants!$H94*(1-Constants!$H112))+(BG18*Constants!$H76*Constants!$H128))</f>
        <v>2214946.808797705</v>
      </c>
      <c r="BH63" s="22">
        <f>((BH18*Constants!$H76*Constants!$H94*(1-Constants!$H112))+(BH18*Constants!$H76*Constants!$H128))</f>
        <v>2243848.1052808566</v>
      </c>
      <c r="BI63" s="22">
        <f>((BI18*Constants!$H76*Constants!$H94*(1-Constants!$H112))+(BI18*Constants!$H76*Constants!$H128))</f>
        <v>2273681.5850749891</v>
      </c>
      <c r="BJ63" s="22">
        <f>((BJ18*Constants!$H76*Constants!$H94*(1-Constants!$H112))+(BJ18*Constants!$H76*Constants!$H128))</f>
        <v>2304672.2752684914</v>
      </c>
      <c r="BK63" s="22">
        <f>((BK18*Constants!$H76*Constants!$H94*(1-Constants!$H112))+(BK18*Constants!$H76*Constants!$H128))</f>
        <v>2337207.9467521277</v>
      </c>
      <c r="BL63" s="22">
        <f>((BL18*Constants!$H76*Constants!$H94*(1-Constants!$H112))+(BL18*Constants!$H76*Constants!$H128))</f>
        <v>2371372.5592916338</v>
      </c>
      <c r="BM63" s="22">
        <f>((BM18*Constants!$H76*Constants!$H94*(1-Constants!$H112))+(BM18*Constants!$H76*Constants!$H128))</f>
        <v>2350582.9233730333</v>
      </c>
      <c r="BN63" s="22">
        <f>((BN18*Constants!$H76*Constants!$H94*(1-Constants!$H112))+(BN18*Constants!$H76*Constants!$H128))</f>
        <v>2324988.8934538085</v>
      </c>
      <c r="BO63" s="22">
        <f>((BO18*Constants!$H76*Constants!$H94*(1-Constants!$H112))+(BO18*Constants!$H76*Constants!$H128))</f>
        <v>2292693.6756598298</v>
      </c>
      <c r="BP63" s="22">
        <f>((BP18*Constants!$H76*Constants!$H94*(1-Constants!$H112))+(BP18*Constants!$H76*Constants!$H128))</f>
        <v>2258814.5957851429</v>
      </c>
    </row>
    <row r="64" spans="1:72" x14ac:dyDescent="0.3">
      <c r="A64" t="str">
        <f t="shared" si="20"/>
        <v>3C Aggregated and non-CO2 emissions on land</v>
      </c>
      <c r="B64" t="str">
        <f t="shared" si="21"/>
        <v>3C4 Direct N2O from managed soils (N2O)</v>
      </c>
      <c r="C64" t="s">
        <v>409</v>
      </c>
      <c r="D64" t="str">
        <f>Constants!D129</f>
        <v xml:space="preserve"> - Commercial layers</v>
      </c>
      <c r="E64" t="str">
        <f t="shared" si="23"/>
        <v>MM N available - Commercial layers</v>
      </c>
      <c r="F64" t="str">
        <f t="shared" si="24"/>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v>
      </c>
      <c r="AL64" s="22">
        <f>((AL19*Constants!$H77*Constants!$H95*(1-Constants!$H113))+(AL19*Constants!$H77*Constants!$H129))</f>
        <v>10660007.069226997</v>
      </c>
      <c r="AM64" s="22">
        <f>((AM19*Constants!$H77*Constants!$H95*(1-Constants!$H113))+(AM19*Constants!$H77*Constants!$H129))</f>
        <v>10925332.960796338</v>
      </c>
      <c r="AN64" s="22">
        <f>((AN19*Constants!$H77*Constants!$H95*(1-Constants!$H113))+(AN19*Constants!$H77*Constants!$H129))</f>
        <v>11278923.648553714</v>
      </c>
      <c r="AO64" s="22">
        <f>((AO19*Constants!$H77*Constants!$H95*(1-Constants!$H113))+(AO19*Constants!$H77*Constants!$H129))</f>
        <v>11495171.935999162</v>
      </c>
      <c r="AP64" s="22">
        <f>((AP19*Constants!$H77*Constants!$H95*(1-Constants!$H113))+(AP19*Constants!$H77*Constants!$H129))</f>
        <v>11730930.044275222</v>
      </c>
      <c r="AQ64" s="22">
        <f>((AQ19*Constants!$H77*Constants!$H95*(1-Constants!$H113))+(AQ19*Constants!$H77*Constants!$H129))</f>
        <v>11992163.391363973</v>
      </c>
      <c r="AR64" s="22">
        <f>((AR19*Constants!$H77*Constants!$H95*(1-Constants!$H113))+(AR19*Constants!$H77*Constants!$H129))</f>
        <v>12261983.290061172</v>
      </c>
      <c r="AS64" s="22">
        <f>((AS19*Constants!$H77*Constants!$H95*(1-Constants!$H113))+(AS19*Constants!$H77*Constants!$H129))</f>
        <v>12552795.738155762</v>
      </c>
      <c r="AT64" s="22">
        <f>((AT19*Constants!$H77*Constants!$H95*(1-Constants!$H113))+(AT19*Constants!$H77*Constants!$H129))</f>
        <v>12850148.139255716</v>
      </c>
      <c r="AU64" s="22">
        <f>((AU19*Constants!$H77*Constants!$H95*(1-Constants!$H113))+(AU19*Constants!$H77*Constants!$H129))</f>
        <v>13167639.358425179</v>
      </c>
      <c r="AV64" s="22">
        <f>((AV19*Constants!$H77*Constants!$H95*(1-Constants!$H113))+(AV19*Constants!$H77*Constants!$H129))</f>
        <v>13490784.986590762</v>
      </c>
      <c r="AW64" s="22">
        <f>((AW19*Constants!$H77*Constants!$H95*(1-Constants!$H113))+(AW19*Constants!$H77*Constants!$H129))</f>
        <v>13839437.652201466</v>
      </c>
      <c r="AX64" s="22">
        <f>((AX19*Constants!$H77*Constants!$H95*(1-Constants!$H113))+(AX19*Constants!$H77*Constants!$H129))</f>
        <v>14184490.096866932</v>
      </c>
      <c r="AY64" s="22">
        <f>((AY19*Constants!$H77*Constants!$H95*(1-Constants!$H113))+(AY19*Constants!$H77*Constants!$H129))</f>
        <v>14545463.64282332</v>
      </c>
      <c r="AZ64" s="22">
        <f>((AZ19*Constants!$H77*Constants!$H95*(1-Constants!$H113))+(AZ19*Constants!$H77*Constants!$H129))</f>
        <v>14946094.05587293</v>
      </c>
      <c r="BA64" s="22">
        <f>((BA19*Constants!$H77*Constants!$H95*(1-Constants!$H113))+(BA19*Constants!$H77*Constants!$H129))</f>
        <v>15330710.920404058</v>
      </c>
      <c r="BB64" s="22">
        <f>((BB19*Constants!$H77*Constants!$H95*(1-Constants!$H113))+(BB19*Constants!$H77*Constants!$H129))</f>
        <v>15728467.014037188</v>
      </c>
      <c r="BC64" s="22">
        <f>((BC19*Constants!$H77*Constants!$H95*(1-Constants!$H113))+(BC19*Constants!$H77*Constants!$H129))</f>
        <v>16150152.065314323</v>
      </c>
      <c r="BD64" s="22">
        <f>((BD19*Constants!$H77*Constants!$H95*(1-Constants!$H113))+(BD19*Constants!$H77*Constants!$H129))</f>
        <v>16550113.076082893</v>
      </c>
      <c r="BE64" s="22">
        <f>((BE19*Constants!$H77*Constants!$H95*(1-Constants!$H113))+(BE19*Constants!$H77*Constants!$H129))</f>
        <v>16948983.999715347</v>
      </c>
      <c r="BF64" s="22">
        <f>((BF19*Constants!$H77*Constants!$H95*(1-Constants!$H113))+(BF19*Constants!$H77*Constants!$H129))</f>
        <v>17347682.480223093</v>
      </c>
      <c r="BG64" s="22">
        <f>((BG19*Constants!$H77*Constants!$H95*(1-Constants!$H113))+(BG19*Constants!$H77*Constants!$H129))</f>
        <v>17770682.5904673</v>
      </c>
      <c r="BH64" s="22">
        <f>((BH19*Constants!$H77*Constants!$H95*(1-Constants!$H113))+(BH19*Constants!$H77*Constants!$H129))</f>
        <v>18180213.878449038</v>
      </c>
      <c r="BI64" s="22">
        <f>((BI19*Constants!$H77*Constants!$H95*(1-Constants!$H113))+(BI19*Constants!$H77*Constants!$H129))</f>
        <v>18603927.357872151</v>
      </c>
      <c r="BJ64" s="22">
        <f>((BJ19*Constants!$H77*Constants!$H95*(1-Constants!$H113))+(BJ19*Constants!$H77*Constants!$H129))</f>
        <v>19043591.826239809</v>
      </c>
      <c r="BK64" s="22">
        <f>((BK19*Constants!$H77*Constants!$H95*(1-Constants!$H113))+(BK19*Constants!$H77*Constants!$H129))</f>
        <v>19501991.632835105</v>
      </c>
      <c r="BL64" s="22">
        <f>((BL19*Constants!$H77*Constants!$H95*(1-Constants!$H113))+(BL19*Constants!$H77*Constants!$H129))</f>
        <v>19972633.445720825</v>
      </c>
      <c r="BM64" s="22">
        <f>((BM19*Constants!$H77*Constants!$H95*(1-Constants!$H113))+(BM19*Constants!$H77*Constants!$H129))</f>
        <v>20137482.593597423</v>
      </c>
      <c r="BN64" s="22">
        <f>((BN19*Constants!$H77*Constants!$H95*(1-Constants!$H113))+(BN19*Constants!$H77*Constants!$H129))</f>
        <v>20274017.834229618</v>
      </c>
      <c r="BO64" s="22">
        <f>((BO19*Constants!$H77*Constants!$H95*(1-Constants!$H113))+(BO19*Constants!$H77*Constants!$H129))</f>
        <v>20369365.504729442</v>
      </c>
      <c r="BP64" s="22">
        <f>((BP19*Constants!$H77*Constants!$H95*(1-Constants!$H113))+(BP19*Constants!$H77*Constants!$H129))</f>
        <v>20452517.467479631</v>
      </c>
    </row>
    <row r="65" spans="1:68" x14ac:dyDescent="0.3">
      <c r="A65" t="str">
        <f t="shared" si="20"/>
        <v>3C Aggregated and non-CO2 emissions on land</v>
      </c>
      <c r="B65" t="str">
        <f t="shared" si="21"/>
        <v>3C4 Direct N2O from managed soils (N2O)</v>
      </c>
      <c r="C65" t="s">
        <v>409</v>
      </c>
      <c r="D65" t="str">
        <f>Constants!D130</f>
        <v xml:space="preserve"> - Commercial broilers</v>
      </c>
      <c r="E65" t="str">
        <f t="shared" si="23"/>
        <v>MM N available - Commercial broilers</v>
      </c>
      <c r="F65" t="str">
        <f t="shared" si="24"/>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50689904.185566761</v>
      </c>
      <c r="AF65" s="22">
        <f>((AF20*Constants!$H78*Constants!$H96*(1-Constants!$H114))+(AF20*Constants!$H78*Constants!$H130))</f>
        <v>51748158.015700452</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50907218.229325019</v>
      </c>
      <c r="AK65" s="22">
        <f>((AK20*Constants!$H78*Constants!$H96*(1-Constants!$H114))+(AK20*Constants!$H78*Constants!$H130))</f>
        <v>50687682.526318632</v>
      </c>
      <c r="AL65" s="22">
        <f>((AL20*Constants!$H78*Constants!$H96*(1-Constants!$H114))+(AL20*Constants!$H78*Constants!$H130))</f>
        <v>42727085.276336648</v>
      </c>
      <c r="AM65" s="22">
        <f>((AM20*Constants!$H78*Constants!$H96*(1-Constants!$H114))+(AM20*Constants!$H78*Constants!$H130))</f>
        <v>44419285.632125713</v>
      </c>
      <c r="AN65" s="22">
        <f>((AN20*Constants!$H78*Constants!$H96*(1-Constants!$H114))+(AN20*Constants!$H78*Constants!$H130))</f>
        <v>47119928.595600851</v>
      </c>
      <c r="AO65" s="22">
        <f>((AO20*Constants!$H78*Constants!$H96*(1-Constants!$H114))+(AO20*Constants!$H78*Constants!$H130))</f>
        <v>48161057.51262863</v>
      </c>
      <c r="AP65" s="22">
        <f>((AP20*Constants!$H78*Constants!$H96*(1-Constants!$H114))+(AP20*Constants!$H78*Constants!$H130))</f>
        <v>49406968.770185851</v>
      </c>
      <c r="AQ65" s="22">
        <f>((AQ20*Constants!$H78*Constants!$H96*(1-Constants!$H114))+(AQ20*Constants!$H78*Constants!$H130))</f>
        <v>50920960.914370604</v>
      </c>
      <c r="AR65" s="22">
        <f>((AR20*Constants!$H78*Constants!$H96*(1-Constants!$H114))+(AR20*Constants!$H78*Constants!$H130))</f>
        <v>52659474.098433666</v>
      </c>
      <c r="AS65" s="22">
        <f>((AS20*Constants!$H78*Constants!$H96*(1-Constants!$H114))+(AS20*Constants!$H78*Constants!$H130))</f>
        <v>54606347.990996413</v>
      </c>
      <c r="AT65" s="22">
        <f>((AT20*Constants!$H78*Constants!$H96*(1-Constants!$H114))+(AT20*Constants!$H78*Constants!$H130))</f>
        <v>56594564.805403471</v>
      </c>
      <c r="AU65" s="22">
        <f>((AU20*Constants!$H78*Constants!$H96*(1-Constants!$H114))+(AU20*Constants!$H78*Constants!$H130))</f>
        <v>58775030.127243064</v>
      </c>
      <c r="AV65" s="22">
        <f>((AV20*Constants!$H78*Constants!$H96*(1-Constants!$H114))+(AV20*Constants!$H78*Constants!$H130))</f>
        <v>60983453.176914796</v>
      </c>
      <c r="AW65" s="22">
        <f>((AW20*Constants!$H78*Constants!$H96*(1-Constants!$H114))+(AW20*Constants!$H78*Constants!$H130))</f>
        <v>63561525.211296208</v>
      </c>
      <c r="AX65" s="22">
        <f>((AX20*Constants!$H78*Constants!$H96*(1-Constants!$H114))+(AX20*Constants!$H78*Constants!$H130))</f>
        <v>66063415.397737369</v>
      </c>
      <c r="AY65" s="22">
        <f>((AY20*Constants!$H78*Constants!$H96*(1-Constants!$H114))+(AY20*Constants!$H78*Constants!$H130))</f>
        <v>68702526.052654579</v>
      </c>
      <c r="AZ65" s="22">
        <f>((AZ20*Constants!$H78*Constants!$H96*(1-Constants!$H114))+(AZ20*Constants!$H78*Constants!$H130))</f>
        <v>71731698.689496607</v>
      </c>
      <c r="BA65" s="22">
        <f>((BA20*Constants!$H78*Constants!$H96*(1-Constants!$H114))+(BA20*Constants!$H78*Constants!$H130))</f>
        <v>74548706.120509177</v>
      </c>
      <c r="BB65" s="22">
        <f>((BB20*Constants!$H78*Constants!$H96*(1-Constants!$H114))+(BB20*Constants!$H78*Constants!$H130))</f>
        <v>77583133.031744346</v>
      </c>
      <c r="BC65" s="22">
        <f>((BC20*Constants!$H78*Constants!$H96*(1-Constants!$H114))+(BC20*Constants!$H78*Constants!$H130))</f>
        <v>80831946.705971017</v>
      </c>
      <c r="BD65" s="22">
        <f>((BD20*Constants!$H78*Constants!$H96*(1-Constants!$H114))+(BD20*Constants!$H78*Constants!$H130))</f>
        <v>83813093.640947834</v>
      </c>
      <c r="BE65" s="22">
        <f>((BE20*Constants!$H78*Constants!$H96*(1-Constants!$H114))+(BE20*Constants!$H78*Constants!$H130))</f>
        <v>86746863.70244962</v>
      </c>
      <c r="BF65" s="22">
        <f>((BF20*Constants!$H78*Constants!$H96*(1-Constants!$H114))+(BF20*Constants!$H78*Constants!$H130))</f>
        <v>89643966.489442006</v>
      </c>
      <c r="BG65" s="22">
        <f>((BG20*Constants!$H78*Constants!$H96*(1-Constants!$H114))+(BG20*Constants!$H78*Constants!$H130))</f>
        <v>92863514.641776413</v>
      </c>
      <c r="BH65" s="22">
        <f>((BH20*Constants!$H78*Constants!$H96*(1-Constants!$H114))+(BH20*Constants!$H78*Constants!$H130))</f>
        <v>95909508.705964968</v>
      </c>
      <c r="BI65" s="22">
        <f>((BI20*Constants!$H78*Constants!$H96*(1-Constants!$H114))+(BI20*Constants!$H78*Constants!$H130))</f>
        <v>99066495.115663901</v>
      </c>
      <c r="BJ65" s="22">
        <f>((BJ20*Constants!$H78*Constants!$H96*(1-Constants!$H114))+(BJ20*Constants!$H78*Constants!$H130))</f>
        <v>102350758.45726582</v>
      </c>
      <c r="BK65" s="22">
        <f>((BK20*Constants!$H78*Constants!$H96*(1-Constants!$H114))+(BK20*Constants!$H78*Constants!$H130))</f>
        <v>105788451.82895119</v>
      </c>
      <c r="BL65" s="22">
        <f>((BL20*Constants!$H78*Constants!$H96*(1-Constants!$H114))+(BL20*Constants!$H78*Constants!$H130))</f>
        <v>109418602.66846222</v>
      </c>
      <c r="BM65" s="22">
        <f>((BM20*Constants!$H78*Constants!$H96*(1-Constants!$H114))+(BM20*Constants!$H78*Constants!$H130))</f>
        <v>109971274.54345918</v>
      </c>
      <c r="BN65" s="22">
        <f>((BN20*Constants!$H78*Constants!$H96*(1-Constants!$H114))+(BN20*Constants!$H78*Constants!$H130))</f>
        <v>110240904.75958242</v>
      </c>
      <c r="BO65" s="22">
        <f>((BO20*Constants!$H78*Constants!$H96*(1-Constants!$H114))+(BO20*Constants!$H78*Constants!$H130))</f>
        <v>110105200.41602933</v>
      </c>
      <c r="BP65" s="22">
        <f>((BP20*Constants!$H78*Constants!$H96*(1-Constants!$H114))+(BP20*Constants!$H78*Constants!$H130))</f>
        <v>109854108.06472076</v>
      </c>
    </row>
    <row r="66" spans="1:68" x14ac:dyDescent="0.3">
      <c r="A66" t="str">
        <f t="shared" ref="A66:A81" si="25">A65</f>
        <v>3C Aggregated and non-CO2 emissions on land</v>
      </c>
      <c r="B66" t="str">
        <f t="shared" ref="B66:B82" si="26">B65</f>
        <v>3C4 Direct N2O from managed soils (N2O)</v>
      </c>
      <c r="C66" t="s">
        <v>410</v>
      </c>
      <c r="D66" t="str">
        <f>D50</f>
        <v xml:space="preserve"> - TMR</v>
      </c>
      <c r="E66" t="str">
        <f t="shared" si="23"/>
        <v>Urine &amp; dung - TMR</v>
      </c>
      <c r="F66" t="str">
        <f t="shared" si="24"/>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si="25"/>
        <v>3C Aggregated and non-CO2 emissions on land</v>
      </c>
      <c r="B67" t="str">
        <f t="shared" si="26"/>
        <v>3C4 Direct N2O from managed soils (N2O)</v>
      </c>
      <c r="C67" t="s">
        <v>410</v>
      </c>
      <c r="D67" t="str">
        <f t="shared" ref="D67:D81" si="27">D51</f>
        <v xml:space="preserve"> - Pasture</v>
      </c>
      <c r="E67" t="str">
        <f t="shared" ref="E67:E79" si="28">C67&amp;D67</f>
        <v>Urine &amp; dung - Pasture</v>
      </c>
      <c r="F67" t="str">
        <f t="shared" ref="F67:F79" si="29">F66</f>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34750269.993448354</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35364867.326667361</v>
      </c>
      <c r="AL67" s="22">
        <f>AL6*Constants!$H64*(1-Constants!$H82)</f>
        <v>34301813.575747773</v>
      </c>
      <c r="AM67" s="22">
        <f>AM6*Constants!$H64*(1-Constants!$H82)</f>
        <v>34662501.226917632</v>
      </c>
      <c r="AN67" s="22">
        <f>AN6*Constants!$H64*(1-Constants!$H82)</f>
        <v>35190452.508964933</v>
      </c>
      <c r="AO67" s="22">
        <f>AO6*Constants!$H64*(1-Constants!$H82)</f>
        <v>35464102.358761452</v>
      </c>
      <c r="AP67" s="22">
        <f>AP6*Constants!$H64*(1-Constants!$H82)</f>
        <v>35776847.709917948</v>
      </c>
      <c r="AQ67" s="22">
        <f>AQ6*Constants!$H64*(1-Constants!$H82)</f>
        <v>36138817.686978944</v>
      </c>
      <c r="AR67" s="22">
        <f>AR6*Constants!$H64*(1-Constants!$H82)</f>
        <v>36508457.330010772</v>
      </c>
      <c r="AS67" s="22">
        <f>AS6*Constants!$H64*(1-Constants!$H82)</f>
        <v>36917600.74379354</v>
      </c>
      <c r="AT67" s="22">
        <f>AT6*Constants!$H64*(1-Constants!$H82)</f>
        <v>37339418.301935613</v>
      </c>
      <c r="AU67" s="22">
        <f>AU6*Constants!$H64*(1-Constants!$H82)</f>
        <v>37798127.215857908</v>
      </c>
      <c r="AV67" s="22">
        <f>AV6*Constants!$H64*(1-Constants!$H82)</f>
        <v>38267183.745171227</v>
      </c>
      <c r="AW67" s="22">
        <f>AW6*Constants!$H64*(1-Constants!$H82)</f>
        <v>38773919.5472546</v>
      </c>
      <c r="AX67" s="22">
        <f>AX6*Constants!$H64*(1-Constants!$H82)</f>
        <v>39273797.006928116</v>
      </c>
      <c r="AY67" s="22">
        <f>AY6*Constants!$H64*(1-Constants!$H82)</f>
        <v>39801413.938519217</v>
      </c>
      <c r="AZ67" s="22">
        <f>AZ6*Constants!$H64*(1-Constants!$H82)</f>
        <v>40398235.909988388</v>
      </c>
      <c r="BA67" s="22">
        <f>BA6*Constants!$H64*(1-Constants!$H82)</f>
        <v>40965676.341944195</v>
      </c>
      <c r="BB67" s="22">
        <f>BB6*Constants!$H64*(1-Constants!$H82)</f>
        <v>41547583.499307044</v>
      </c>
      <c r="BC67" s="22">
        <f>BC6*Constants!$H64*(1-Constants!$H82)</f>
        <v>42169906.865256377</v>
      </c>
      <c r="BD67" s="22">
        <f>BD6*Constants!$H64*(1-Constants!$H82)</f>
        <v>42752948.859910466</v>
      </c>
      <c r="BE67" s="22">
        <f>BE6*Constants!$H64*(1-Constants!$H82)</f>
        <v>43332826.845978186</v>
      </c>
      <c r="BF67" s="22">
        <f>BF6*Constants!$H64*(1-Constants!$H82)</f>
        <v>43911153.750549428</v>
      </c>
      <c r="BG67" s="22">
        <f>BG6*Constants!$H64*(1-Constants!$H82)</f>
        <v>44523006.276449017</v>
      </c>
      <c r="BH67" s="22">
        <f>BH6*Constants!$H64*(1-Constants!$H82)</f>
        <v>45110248.861542635</v>
      </c>
      <c r="BI67" s="22">
        <f>BI6*Constants!$H64*(1-Constants!$H82)</f>
        <v>45720294.893792033</v>
      </c>
      <c r="BJ67" s="22">
        <f>BJ6*Constants!$H64*(1-Constants!$H82)</f>
        <v>46355926.681915857</v>
      </c>
      <c r="BK67" s="22">
        <f>BK6*Constants!$H64*(1-Constants!$H82)</f>
        <v>47021618.47333096</v>
      </c>
      <c r="BL67" s="22">
        <f>BL6*Constants!$H64*(1-Constants!$H82)</f>
        <v>47699085.475770466</v>
      </c>
      <c r="BM67" s="22">
        <f>BM6*Constants!$H64*(1-Constants!$H82)</f>
        <v>47859707.487971358</v>
      </c>
      <c r="BN67" s="22">
        <f>BN6*Constants!$H64*(1-Constants!$H82)</f>
        <v>47974021.68270994</v>
      </c>
      <c r="BO67" s="22">
        <f>BO6*Constants!$H64*(1-Constants!$H82)</f>
        <v>48020858.296870172</v>
      </c>
      <c r="BP67" s="22">
        <f>BP6*Constants!$H64*(1-Constants!$H82)</f>
        <v>48049139.508880742</v>
      </c>
    </row>
    <row r="68" spans="1:68" x14ac:dyDescent="0.3">
      <c r="A68" t="str">
        <f t="shared" si="25"/>
        <v>3C Aggregated and non-CO2 emissions on land</v>
      </c>
      <c r="B68" t="str">
        <f t="shared" si="26"/>
        <v>3C4 Direct N2O from managed soils (N2O)</v>
      </c>
      <c r="C68" t="s">
        <v>410</v>
      </c>
      <c r="D68" t="str">
        <f t="shared" si="27"/>
        <v xml:space="preserve"> - Non-lactating</v>
      </c>
      <c r="E68" t="str">
        <f t="shared" si="28"/>
        <v>Urine &amp; dung - Non-lactating</v>
      </c>
      <c r="F68" t="str">
        <f t="shared" si="29"/>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23665171.629935287</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v>
      </c>
      <c r="AL68" s="22">
        <f>AL7*Constants!$H65*(1-Constants!$H83)</f>
        <v>23359769.741103023</v>
      </c>
      <c r="AM68" s="22">
        <f>AM7*Constants!$H65*(1-Constants!$H83)</f>
        <v>23605400.499406263</v>
      </c>
      <c r="AN68" s="22">
        <f>AN7*Constants!$H65*(1-Constants!$H83)</f>
        <v>23964938.934769478</v>
      </c>
      <c r="AO68" s="22">
        <f>AO7*Constants!$H65*(1-Constants!$H83)</f>
        <v>24151296.354817193</v>
      </c>
      <c r="AP68" s="22">
        <f>AP7*Constants!$H65*(1-Constants!$H83)</f>
        <v>24364278.078785907</v>
      </c>
      <c r="AQ68" s="22">
        <f>AQ7*Constants!$H65*(1-Constants!$H83)</f>
        <v>24610782.109794792</v>
      </c>
      <c r="AR68" s="22">
        <f>AR7*Constants!$H65*(1-Constants!$H83)</f>
        <v>24862509.23580635</v>
      </c>
      <c r="AS68" s="22">
        <f>AS7*Constants!$H65*(1-Constants!$H83)</f>
        <v>25141138.699987557</v>
      </c>
      <c r="AT68" s="22">
        <f>AT7*Constants!$H65*(1-Constants!$H83)</f>
        <v>25428399.343195055</v>
      </c>
      <c r="AU68" s="22">
        <f>AU7*Constants!$H65*(1-Constants!$H83)</f>
        <v>25740783.252102789</v>
      </c>
      <c r="AV68" s="22">
        <f>AV7*Constants!$H65*(1-Constants!$H83)</f>
        <v>26060213.957891088</v>
      </c>
      <c r="AW68" s="22">
        <f>AW7*Constants!$H65*(1-Constants!$H83)</f>
        <v>26405304.506240703</v>
      </c>
      <c r="AX68" s="22">
        <f>AX7*Constants!$H65*(1-Constants!$H83)</f>
        <v>26745724.476483811</v>
      </c>
      <c r="AY68" s="22">
        <f>AY7*Constants!$H65*(1-Constants!$H83)</f>
        <v>27105035.216898698</v>
      </c>
      <c r="AZ68" s="22">
        <f>AZ7*Constants!$H65*(1-Constants!$H83)</f>
        <v>27511475.062977515</v>
      </c>
      <c r="BA68" s="22">
        <f>BA7*Constants!$H65*(1-Constants!$H83)</f>
        <v>27897905.879616652</v>
      </c>
      <c r="BB68" s="22">
        <f>BB7*Constants!$H65*(1-Constants!$H83)</f>
        <v>28294188.635240585</v>
      </c>
      <c r="BC68" s="22">
        <f>BC7*Constants!$H65*(1-Constants!$H83)</f>
        <v>28717995.105443165</v>
      </c>
      <c r="BD68" s="22">
        <f>BD7*Constants!$H65*(1-Constants!$H83)</f>
        <v>29115050.693027101</v>
      </c>
      <c r="BE68" s="22">
        <f>BE7*Constants!$H65*(1-Constants!$H83)</f>
        <v>29509951.569115281</v>
      </c>
      <c r="BF68" s="22">
        <f>BF7*Constants!$H65*(1-Constants!$H83)</f>
        <v>29903796.148091741</v>
      </c>
      <c r="BG68" s="22">
        <f>BG7*Constants!$H65*(1-Constants!$H83)</f>
        <v>30320471.90457803</v>
      </c>
      <c r="BH68" s="22">
        <f>BH7*Constants!$H65*(1-Constants!$H83)</f>
        <v>30720388.122992087</v>
      </c>
      <c r="BI68" s="22">
        <f>BI7*Constants!$H65*(1-Constants!$H83)</f>
        <v>31135833.644942425</v>
      </c>
      <c r="BJ68" s="22">
        <f>BJ7*Constants!$H65*(1-Constants!$H83)</f>
        <v>31568703.241703223</v>
      </c>
      <c r="BK68" s="22">
        <f>BK7*Constants!$H65*(1-Constants!$H83)</f>
        <v>32022043.906378567</v>
      </c>
      <c r="BL68" s="22">
        <f>BL7*Constants!$H65*(1-Constants!$H83)</f>
        <v>32483403.570328556</v>
      </c>
      <c r="BM68" s="22">
        <f>BM7*Constants!$H65*(1-Constants!$H83)</f>
        <v>32592788.259627268</v>
      </c>
      <c r="BN68" s="22">
        <f>BN7*Constants!$H65*(1-Constants!$H83)</f>
        <v>32670637.008391991</v>
      </c>
      <c r="BO68" s="22">
        <f>BO7*Constants!$H65*(1-Constants!$H83)</f>
        <v>32702533.063095327</v>
      </c>
      <c r="BP68" s="22">
        <f>BP7*Constants!$H65*(1-Constants!$H83)</f>
        <v>32721792.761977069</v>
      </c>
    </row>
    <row r="69" spans="1:68" x14ac:dyDescent="0.3">
      <c r="A69" t="str">
        <f t="shared" si="25"/>
        <v>3C Aggregated and non-CO2 emissions on land</v>
      </c>
      <c r="B69" t="str">
        <f t="shared" si="26"/>
        <v>3C4 Direct N2O from managed soils (N2O)</v>
      </c>
      <c r="C69" t="s">
        <v>410</v>
      </c>
      <c r="D69" t="str">
        <f t="shared" si="27"/>
        <v xml:space="preserve"> - Commercial cattle</v>
      </c>
      <c r="E69" t="str">
        <f t="shared" si="28"/>
        <v>Urine &amp; dung - Commercial cattle</v>
      </c>
      <c r="F69" t="str">
        <f t="shared" si="29"/>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488521322.93671781</v>
      </c>
      <c r="AE69" s="22">
        <f>AE8*Constants!$H66*(1-Constants!$H84)</f>
        <v>484284533.5160473</v>
      </c>
      <c r="AF69" s="22">
        <f>AF8*Constants!$H66*(1-Constants!$H84)</f>
        <v>482671716.04202372</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383787926.10780758</v>
      </c>
      <c r="AM69" s="22">
        <f>AM8*Constants!$H66*(1-Constants!$H84)</f>
        <v>390021798.56060785</v>
      </c>
      <c r="AN69" s="22">
        <f>AN8*Constants!$H66*(1-Constants!$H84)</f>
        <v>401651284.2800681</v>
      </c>
      <c r="AO69" s="22">
        <f>AO8*Constants!$H66*(1-Constants!$H84)</f>
        <v>403973826.90367824</v>
      </c>
      <c r="AP69" s="22">
        <f>AP8*Constants!$H66*(1-Constants!$H84)</f>
        <v>407323601.33538157</v>
      </c>
      <c r="AQ69" s="22">
        <f>AQ8*Constants!$H66*(1-Constants!$H84)</f>
        <v>411996610.55700219</v>
      </c>
      <c r="AR69" s="22">
        <f>AR8*Constants!$H66*(1-Constants!$H84)</f>
        <v>417356765.34889895</v>
      </c>
      <c r="AS69" s="22">
        <f>AS8*Constants!$H66*(1-Constants!$H84)</f>
        <v>423641265.39775735</v>
      </c>
      <c r="AT69" s="22">
        <f>AT8*Constants!$H66*(1-Constants!$H84)</f>
        <v>429954750.96682692</v>
      </c>
      <c r="AU69" s="22">
        <f>AU8*Constants!$H66*(1-Constants!$H84)</f>
        <v>437055474.0977723</v>
      </c>
      <c r="AV69" s="22">
        <f>AV8*Constants!$H66*(1-Constants!$H84)</f>
        <v>444085730.32368773</v>
      </c>
      <c r="AW69" s="22">
        <f>AW8*Constants!$H66*(1-Constants!$H84)</f>
        <v>448665259.13337517</v>
      </c>
      <c r="AX69" s="22">
        <f>AX8*Constants!$H66*(1-Constants!$H84)</f>
        <v>452425371.42636549</v>
      </c>
      <c r="AY69" s="22">
        <f>AY8*Constants!$H66*(1-Constants!$H84)</f>
        <v>456397717.01438433</v>
      </c>
      <c r="AZ69" s="22">
        <f>AZ8*Constants!$H66*(1-Constants!$H84)</f>
        <v>461712670.78022766</v>
      </c>
      <c r="BA69" s="22">
        <f>BA8*Constants!$H66*(1-Constants!$H84)</f>
        <v>465535006.80401045</v>
      </c>
      <c r="BB69" s="22">
        <f>BB8*Constants!$H66*(1-Constants!$H84)</f>
        <v>469608675.13581014</v>
      </c>
      <c r="BC69" s="22">
        <f>BC8*Constants!$H66*(1-Constants!$H84)</f>
        <v>474092940.9743005</v>
      </c>
      <c r="BD69" s="22">
        <f>BD8*Constants!$H66*(1-Constants!$H84)</f>
        <v>476887235.56532508</v>
      </c>
      <c r="BE69" s="22">
        <f>BE8*Constants!$H66*(1-Constants!$H84)</f>
        <v>478983566.38045841</v>
      </c>
      <c r="BF69" s="22">
        <f>BF8*Constants!$H66*(1-Constants!$H84)</f>
        <v>480441698.72133702</v>
      </c>
      <c r="BG69" s="22">
        <f>BG8*Constants!$H66*(1-Constants!$H84)</f>
        <v>484974646.78494018</v>
      </c>
      <c r="BH69" s="22">
        <f>BH8*Constants!$H66*(1-Constants!$H84)</f>
        <v>488420261.15951335</v>
      </c>
      <c r="BI69" s="22">
        <f>BI8*Constants!$H66*(1-Constants!$H84)</f>
        <v>491909369.17378134</v>
      </c>
      <c r="BJ69" s="22">
        <f>BJ8*Constants!$H66*(1-Constants!$H84)</f>
        <v>495481884.6461457</v>
      </c>
      <c r="BK69" s="22">
        <f>BK8*Constants!$H66*(1-Constants!$H84)</f>
        <v>499209848.49769974</v>
      </c>
      <c r="BL69" s="22">
        <f>BL8*Constants!$H66*(1-Constants!$H84)</f>
        <v>503037477.14302695</v>
      </c>
      <c r="BM69" s="22">
        <f>BM8*Constants!$H66*(1-Constants!$H84)</f>
        <v>495487033.78445929</v>
      </c>
      <c r="BN69" s="22">
        <f>BN8*Constants!$H66*(1-Constants!$H84)</f>
        <v>486933651.28753746</v>
      </c>
      <c r="BO69" s="22">
        <f>BO8*Constants!$H66*(1-Constants!$H84)</f>
        <v>477017537.34157705</v>
      </c>
      <c r="BP69" s="22">
        <f>BP8*Constants!$H66*(1-Constants!$H84)</f>
        <v>466790659.59546643</v>
      </c>
    </row>
    <row r="70" spans="1:68" x14ac:dyDescent="0.3">
      <c r="A70" t="str">
        <f t="shared" si="25"/>
        <v>3C Aggregated and non-CO2 emissions on land</v>
      </c>
      <c r="B70" t="str">
        <f t="shared" si="26"/>
        <v>3C4 Direct N2O from managed soils (N2O)</v>
      </c>
      <c r="C70" t="s">
        <v>410</v>
      </c>
      <c r="D70" t="str">
        <f t="shared" si="27"/>
        <v xml:space="preserve"> - Subsistence cattle</v>
      </c>
      <c r="E70" t="str">
        <f t="shared" si="28"/>
        <v>Urine &amp; dung - Subsistence cattle</v>
      </c>
      <c r="F70" t="str">
        <f t="shared" si="29"/>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22">
        <f>AD9*Constants!$H67*(1-Constants!$H85)</f>
        <v>307182602.50561374</v>
      </c>
      <c r="AE70" s="22">
        <f>AE9*Constants!$H67*(1-Constants!$H85)</f>
        <v>304518505.8952834</v>
      </c>
      <c r="AF70" s="22">
        <f>AF9*Constants!$H67*(1-Constants!$H85)</f>
        <v>303504364.96473229</v>
      </c>
      <c r="AG70" s="22">
        <f>AG9*Constants!$H67*(1-Constants!$H85)</f>
        <v>299451461.44928294</v>
      </c>
      <c r="AH70" s="22">
        <f>AH9*Constants!$H67*(1-Constants!$H85)</f>
        <v>293568573.01785612</v>
      </c>
      <c r="AI70" s="22">
        <f>AI9*Constants!$H67*(1-Constants!$H85)</f>
        <v>285977348.59350574</v>
      </c>
      <c r="AJ70" s="22">
        <f>AJ9*Constants!$H67*(1-Constants!$H85)</f>
        <v>279989927.86993009</v>
      </c>
      <c r="AK70" s="22">
        <f>AK9*Constants!$H67*(1-Constants!$H85)</f>
        <v>274325147.19098037</v>
      </c>
      <c r="AL70" s="22">
        <f>AL9*Constants!$H67*(1-Constants!$H85)</f>
        <v>241326157.97263813</v>
      </c>
      <c r="AM70" s="22">
        <f>AM9*Constants!$H67*(1-Constants!$H85)</f>
        <v>245246022.0068787</v>
      </c>
      <c r="AN70" s="22">
        <f>AN9*Constants!$H67*(1-Constants!$H85)</f>
        <v>252558652.02194229</v>
      </c>
      <c r="AO70" s="22">
        <f>AO9*Constants!$H67*(1-Constants!$H85)</f>
        <v>254019068.69989198</v>
      </c>
      <c r="AP70" s="22">
        <f>AP9*Constants!$H67*(1-Constants!$H85)</f>
        <v>256125409.56860098</v>
      </c>
      <c r="AQ70" s="22">
        <f>AQ9*Constants!$H67*(1-Constants!$H85)</f>
        <v>259063801.54216093</v>
      </c>
      <c r="AR70" s="22">
        <f>AR9*Constants!$H67*(1-Constants!$H85)</f>
        <v>262434271.20540854</v>
      </c>
      <c r="AS70" s="22">
        <f>AS9*Constants!$H67*(1-Constants!$H85)</f>
        <v>266385969.91294897</v>
      </c>
      <c r="AT70" s="22">
        <f>AT9*Constants!$H67*(1-Constants!$H85)</f>
        <v>270355894.73901367</v>
      </c>
      <c r="AU70" s="22">
        <f>AU9*Constants!$H67*(1-Constants!$H85)</f>
        <v>274820835.17994118</v>
      </c>
      <c r="AV70" s="22">
        <f>AV9*Constants!$H67*(1-Constants!$H85)</f>
        <v>279241465.97406065</v>
      </c>
      <c r="AW70" s="22">
        <f>AW9*Constants!$H67*(1-Constants!$H85)</f>
        <v>282121077.38908058</v>
      </c>
      <c r="AX70" s="22">
        <f>AX9*Constants!$H67*(1-Constants!$H85)</f>
        <v>284485439.03645074</v>
      </c>
      <c r="AY70" s="22">
        <f>AY9*Constants!$H67*(1-Constants!$H85)</f>
        <v>286983253.15118366</v>
      </c>
      <c r="AZ70" s="22">
        <f>AZ9*Constants!$H67*(1-Constants!$H85)</f>
        <v>290325300.37273401</v>
      </c>
      <c r="BA70" s="22">
        <f>BA9*Constants!$H67*(1-Constants!$H85)</f>
        <v>292728788.3522929</v>
      </c>
      <c r="BB70" s="22">
        <f>BB9*Constants!$H67*(1-Constants!$H85)</f>
        <v>295290314.29016674</v>
      </c>
      <c r="BC70" s="22">
        <f>BC9*Constants!$H67*(1-Constants!$H85)</f>
        <v>298110024.27194154</v>
      </c>
      <c r="BD70" s="22">
        <f>BD9*Constants!$H67*(1-Constants!$H85)</f>
        <v>299867078.96809763</v>
      </c>
      <c r="BE70" s="22">
        <f>BE9*Constants!$H67*(1-Constants!$H85)</f>
        <v>301185253.47813582</v>
      </c>
      <c r="BF70" s="22">
        <f>BF9*Constants!$H67*(1-Constants!$H85)</f>
        <v>302102128.27200586</v>
      </c>
      <c r="BG70" s="22">
        <f>BG9*Constants!$H67*(1-Constants!$H85)</f>
        <v>304952449.67625862</v>
      </c>
      <c r="BH70" s="22">
        <f>BH9*Constants!$H67*(1-Constants!$H85)</f>
        <v>307119054.77846676</v>
      </c>
      <c r="BI70" s="22">
        <f>BI9*Constants!$H67*(1-Constants!$H85)</f>
        <v>309313008.71645045</v>
      </c>
      <c r="BJ70" s="22">
        <f>BJ9*Constants!$H67*(1-Constants!$H85)</f>
        <v>311559409.33146435</v>
      </c>
      <c r="BK70" s="22">
        <f>BK9*Constants!$H67*(1-Constants!$H85)</f>
        <v>313903556.01288885</v>
      </c>
      <c r="BL70" s="22">
        <f>BL9*Constants!$H67*(1-Constants!$H85)</f>
        <v>316310371.9971503</v>
      </c>
      <c r="BM70" s="22">
        <f>BM9*Constants!$H67*(1-Constants!$H85)</f>
        <v>311562647.11379558</v>
      </c>
      <c r="BN70" s="22">
        <f>BN9*Constants!$H67*(1-Constants!$H85)</f>
        <v>306184273.29003775</v>
      </c>
      <c r="BO70" s="22">
        <f>BO9*Constants!$H67*(1-Constants!$H85)</f>
        <v>299949012.83026671</v>
      </c>
      <c r="BP70" s="22">
        <f>BP9*Constants!$H67*(1-Constants!$H85)</f>
        <v>293518343.84191644</v>
      </c>
    </row>
    <row r="71" spans="1:68" x14ac:dyDescent="0.3">
      <c r="A71" t="str">
        <f t="shared" si="25"/>
        <v>3C Aggregated and non-CO2 emissions on land</v>
      </c>
      <c r="B71" t="str">
        <f t="shared" si="26"/>
        <v>3C4 Direct N2O from managed soils (N2O)</v>
      </c>
      <c r="C71" t="s">
        <v>410</v>
      </c>
      <c r="D71" t="str">
        <f t="shared" si="27"/>
        <v xml:space="preserve"> - Feedlot</v>
      </c>
      <c r="E71" t="str">
        <f t="shared" si="28"/>
        <v>Urine &amp; dung - Feedlot</v>
      </c>
      <c r="F71" t="str">
        <f t="shared" si="29"/>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25"/>
        <v>3C Aggregated and non-CO2 emissions on land</v>
      </c>
      <c r="B72" t="str">
        <f t="shared" si="26"/>
        <v>3C4 Direct N2O from managed soils (N2O)</v>
      </c>
      <c r="C72" t="s">
        <v>410</v>
      </c>
      <c r="D72" t="str">
        <f t="shared" si="27"/>
        <v xml:space="preserve"> - Commercial sheep</v>
      </c>
      <c r="E72" t="str">
        <f t="shared" si="28"/>
        <v>Urine &amp; dung - Commercial sheep</v>
      </c>
      <c r="F72" t="str">
        <f t="shared" si="29"/>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376564492.95581299</v>
      </c>
      <c r="AM72" s="22">
        <f>AM11*Constants!$H69*(1-Constants!$H87)</f>
        <v>377131070.62769967</v>
      </c>
      <c r="AN72" s="22">
        <f>AN11*Constants!$H69*(1-Constants!$H87)</f>
        <v>377822983.68422002</v>
      </c>
      <c r="AO72" s="22">
        <f>AO11*Constants!$H69*(1-Constants!$H87)</f>
        <v>378550238.31490511</v>
      </c>
      <c r="AP72" s="22">
        <f>AP11*Constants!$H69*(1-Constants!$H87)</f>
        <v>379366736.8991977</v>
      </c>
      <c r="AQ72" s="22">
        <f>AQ11*Constants!$H69*(1-Constants!$H87)</f>
        <v>380270194.85791159</v>
      </c>
      <c r="AR72" s="22">
        <f>AR11*Constants!$H69*(1-Constants!$H87)</f>
        <v>380834427.09915608</v>
      </c>
      <c r="AS72" s="22">
        <f>AS11*Constants!$H69*(1-Constants!$H87)</f>
        <v>381471866.50081533</v>
      </c>
      <c r="AT72" s="22">
        <f>AT11*Constants!$H69*(1-Constants!$H87)</f>
        <v>382173899.84269029</v>
      </c>
      <c r="AU72" s="22">
        <f>AU11*Constants!$H69*(1-Constants!$H87)</f>
        <v>382942457.4693532</v>
      </c>
      <c r="AV72" s="22">
        <f>AV11*Constants!$H69*(1-Constants!$H87)</f>
        <v>383769606.71081126</v>
      </c>
      <c r="AW72" s="22">
        <f>AW11*Constants!$H69*(1-Constants!$H87)</f>
        <v>384324471.05558079</v>
      </c>
      <c r="AX72" s="22">
        <f>AX11*Constants!$H69*(1-Constants!$H87)</f>
        <v>384926839.34272653</v>
      </c>
      <c r="AY72" s="22">
        <f>AY11*Constants!$H69*(1-Constants!$H87)</f>
        <v>385581553.62672758</v>
      </c>
      <c r="AZ72" s="22">
        <f>AZ11*Constants!$H69*(1-Constants!$H87)</f>
        <v>386295004.97506714</v>
      </c>
      <c r="BA72" s="22">
        <f>BA11*Constants!$H69*(1-Constants!$H87)</f>
        <v>387045769.90175879</v>
      </c>
      <c r="BB72" s="22">
        <f>BB11*Constants!$H69*(1-Constants!$H87)</f>
        <v>387525656.45595264</v>
      </c>
      <c r="BC72" s="22">
        <f>BC11*Constants!$H69*(1-Constants!$H87)</f>
        <v>388051292.32111233</v>
      </c>
      <c r="BD72" s="22">
        <f>BD11*Constants!$H69*(1-Constants!$H87)</f>
        <v>388605340.92859972</v>
      </c>
      <c r="BE72" s="22">
        <f>BE11*Constants!$H69*(1-Constants!$H87)</f>
        <v>389193700.69068724</v>
      </c>
      <c r="BF72" s="22">
        <f>BF11*Constants!$H69*(1-Constants!$H87)</f>
        <v>389815479.52512866</v>
      </c>
      <c r="BG72" s="22">
        <f>BG11*Constants!$H69*(1-Constants!$H87)</f>
        <v>390182872.45802355</v>
      </c>
      <c r="BH72" s="22">
        <f>BH11*Constants!$H69*(1-Constants!$H87)</f>
        <v>390575068.87215573</v>
      </c>
      <c r="BI72" s="22">
        <f>BI11*Constants!$H69*(1-Constants!$H87)</f>
        <v>391000492.27951801</v>
      </c>
      <c r="BJ72" s="22">
        <f>BJ11*Constants!$H69*(1-Constants!$H87)</f>
        <v>391458731.38592625</v>
      </c>
      <c r="BK72" s="22">
        <f>BK11*Constants!$H69*(1-Constants!$H87)</f>
        <v>391949776.6951887</v>
      </c>
      <c r="BL72" s="22">
        <f>BL11*Constants!$H69*(1-Constants!$H87)</f>
        <v>392172552.18082672</v>
      </c>
      <c r="BM72" s="22">
        <f>BM11*Constants!$H69*(1-Constants!$H87)</f>
        <v>392316116.25334394</v>
      </c>
      <c r="BN72" s="22">
        <f>BN11*Constants!$H69*(1-Constants!$H87)</f>
        <v>392473489.60963923</v>
      </c>
      <c r="BO72" s="22">
        <f>BO11*Constants!$H69*(1-Constants!$H87)</f>
        <v>392639718.06771284</v>
      </c>
      <c r="BP72" s="22">
        <f>BP11*Constants!$H69*(1-Constants!$H87)</f>
        <v>392823856.54368776</v>
      </c>
    </row>
    <row r="73" spans="1:68" x14ac:dyDescent="0.3">
      <c r="A73" t="str">
        <f t="shared" si="25"/>
        <v>3C Aggregated and non-CO2 emissions on land</v>
      </c>
      <c r="B73" t="str">
        <f t="shared" si="26"/>
        <v>3C4 Direct N2O from managed soils (N2O)</v>
      </c>
      <c r="C73" t="s">
        <v>410</v>
      </c>
      <c r="D73" t="str">
        <f t="shared" si="27"/>
        <v xml:space="preserve"> - Subsistence sheep</v>
      </c>
      <c r="E73" t="str">
        <f t="shared" si="28"/>
        <v>Urine &amp; dung - Subsistence sheep</v>
      </c>
      <c r="F73" t="str">
        <f t="shared" si="29"/>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42035716.201430388</v>
      </c>
      <c r="AM73" s="22">
        <f>AM12*Constants!$H70*(1-Constants!$H88)</f>
        <v>42098962.998903386</v>
      </c>
      <c r="AN73" s="22">
        <f>AN12*Constants!$H70*(1-Constants!$H88)</f>
        <v>42176200.926068671</v>
      </c>
      <c r="AO73" s="22">
        <f>AO12*Constants!$H70*(1-Constants!$H88)</f>
        <v>42257384.01643838</v>
      </c>
      <c r="AP73" s="22">
        <f>AP12*Constants!$H70*(1-Constants!$H88)</f>
        <v>42348529.367129259</v>
      </c>
      <c r="AQ73" s="22">
        <f>AQ12*Constants!$H70*(1-Constants!$H88)</f>
        <v>42449381.951647572</v>
      </c>
      <c r="AR73" s="22">
        <f>AR12*Constants!$H70*(1-Constants!$H88)</f>
        <v>42512366.929807566</v>
      </c>
      <c r="AS73" s="22">
        <f>AS12*Constants!$H70*(1-Constants!$H88)</f>
        <v>42583523.98865141</v>
      </c>
      <c r="AT73" s="22">
        <f>AT12*Constants!$H70*(1-Constants!$H88)</f>
        <v>42661891.638483062</v>
      </c>
      <c r="AU73" s="22">
        <f>AU12*Constants!$H70*(1-Constants!$H88)</f>
        <v>42747685.36275392</v>
      </c>
      <c r="AV73" s="22">
        <f>AV12*Constants!$H70*(1-Constants!$H88)</f>
        <v>42840019.641265519</v>
      </c>
      <c r="AW73" s="22">
        <f>AW12*Constants!$H70*(1-Constants!$H88)</f>
        <v>42901958.885573827</v>
      </c>
      <c r="AX73" s="22">
        <f>AX12*Constants!$H70*(1-Constants!$H88)</f>
        <v>42969200.972496167</v>
      </c>
      <c r="AY73" s="22">
        <f>AY12*Constants!$H70*(1-Constants!$H88)</f>
        <v>43042286.418283328</v>
      </c>
      <c r="AZ73" s="22">
        <f>AZ12*Constants!$H70*(1-Constants!$H88)</f>
        <v>43121928.654774927</v>
      </c>
      <c r="BA73" s="22">
        <f>BA12*Constants!$H70*(1-Constants!$H88)</f>
        <v>43205736.188365467</v>
      </c>
      <c r="BB73" s="22">
        <f>BB12*Constants!$H70*(1-Constants!$H88)</f>
        <v>43259305.697382718</v>
      </c>
      <c r="BC73" s="22">
        <f>BC12*Constants!$H70*(1-Constants!$H88)</f>
        <v>43317982.180339769</v>
      </c>
      <c r="BD73" s="22">
        <f>BD12*Constants!$H70*(1-Constants!$H88)</f>
        <v>43379830.364281178</v>
      </c>
      <c r="BE73" s="22">
        <f>BE12*Constants!$H70*(1-Constants!$H88)</f>
        <v>43445508.686178491</v>
      </c>
      <c r="BF73" s="22">
        <f>BF12*Constants!$H70*(1-Constants!$H88)</f>
        <v>43514917.563312598</v>
      </c>
      <c r="BG73" s="22">
        <f>BG12*Constants!$H70*(1-Constants!$H88)</f>
        <v>43555929.46260336</v>
      </c>
      <c r="BH73" s="22">
        <f>BH12*Constants!$H70*(1-Constants!$H88)</f>
        <v>43599710.162770472</v>
      </c>
      <c r="BI73" s="22">
        <f>BI12*Constants!$H70*(1-Constants!$H88)</f>
        <v>43647199.976472639</v>
      </c>
      <c r="BJ73" s="22">
        <f>BJ12*Constants!$H70*(1-Constants!$H88)</f>
        <v>43698352.991134688</v>
      </c>
      <c r="BK73" s="22">
        <f>BK12*Constants!$H70*(1-Constants!$H88)</f>
        <v>43753168.146701209</v>
      </c>
      <c r="BL73" s="22">
        <f>BL12*Constants!$H70*(1-Constants!$H88)</f>
        <v>43778036.468771115</v>
      </c>
      <c r="BM73" s="22">
        <f>BM12*Constants!$H70*(1-Constants!$H88)</f>
        <v>43794062.458268128</v>
      </c>
      <c r="BN73" s="22">
        <f>BN12*Constants!$H70*(1-Constants!$H88)</f>
        <v>43811629.971580304</v>
      </c>
      <c r="BO73" s="22">
        <f>BO12*Constants!$H70*(1-Constants!$H88)</f>
        <v>43830185.975714773</v>
      </c>
      <c r="BP73" s="22">
        <f>BP12*Constants!$H70*(1-Constants!$H88)</f>
        <v>43850741.266674601</v>
      </c>
    </row>
    <row r="74" spans="1:68" x14ac:dyDescent="0.3">
      <c r="A74" t="str">
        <f t="shared" si="25"/>
        <v>3C Aggregated and non-CO2 emissions on land</v>
      </c>
      <c r="B74" t="str">
        <f t="shared" si="26"/>
        <v>3C4 Direct N2O from managed soils (N2O)</v>
      </c>
      <c r="C74" t="s">
        <v>410</v>
      </c>
      <c r="D74" t="str">
        <f t="shared" si="27"/>
        <v xml:space="preserve"> - Commercial goats</v>
      </c>
      <c r="E74" t="str">
        <f t="shared" si="28"/>
        <v>Urine &amp; dung - Commercial goats</v>
      </c>
      <c r="F74" t="str">
        <f t="shared" si="29"/>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47494194.930178173</v>
      </c>
      <c r="AM74" s="22">
        <f>AM13*Constants!$H71*(1-Constants!$H89)</f>
        <v>47630899.473127894</v>
      </c>
      <c r="AN74" s="22">
        <f>AN13*Constants!$H71*(1-Constants!$H89)</f>
        <v>47787593.384619087</v>
      </c>
      <c r="AO74" s="22">
        <f>AO13*Constants!$H71*(1-Constants!$H89)</f>
        <v>47947319.619603328</v>
      </c>
      <c r="AP74" s="22">
        <f>AP13*Constants!$H71*(1-Constants!$H89)</f>
        <v>48120554.720535696</v>
      </c>
      <c r="AQ74" s="22">
        <f>AQ13*Constants!$H71*(1-Constants!$H89)</f>
        <v>48307012.382052451</v>
      </c>
      <c r="AR74" s="22">
        <f>AR13*Constants!$H71*(1-Constants!$H89)</f>
        <v>48426337.132858269</v>
      </c>
      <c r="AS74" s="22">
        <f>AS13*Constants!$H71*(1-Constants!$H89)</f>
        <v>48556885.028441831</v>
      </c>
      <c r="AT74" s="22">
        <f>AT13*Constants!$H71*(1-Constants!$H89)</f>
        <v>48697129.150910206</v>
      </c>
      <c r="AU74" s="22">
        <f>AU13*Constants!$H71*(1-Constants!$H89)</f>
        <v>48847519.834870651</v>
      </c>
      <c r="AV74" s="22">
        <f>AV13*Constants!$H71*(1-Constants!$H89)</f>
        <v>49006644.940184079</v>
      </c>
      <c r="AW74" s="22">
        <f>AW13*Constants!$H71*(1-Constants!$H89)</f>
        <v>49112763.325173408</v>
      </c>
      <c r="AX74" s="22">
        <f>AX13*Constants!$H71*(1-Constants!$H89)</f>
        <v>49225932.268545903</v>
      </c>
      <c r="AY74" s="22">
        <f>AY13*Constants!$H71*(1-Constants!$H89)</f>
        <v>49347109.684416629</v>
      </c>
      <c r="AZ74" s="22">
        <f>AZ13*Constants!$H71*(1-Constants!$H89)</f>
        <v>49477526.336723924</v>
      </c>
      <c r="BA74" s="22">
        <f>BA13*Constants!$H71*(1-Constants!$H89)</f>
        <v>49613242.200530216</v>
      </c>
      <c r="BB74" s="22">
        <f>BB13*Constants!$H71*(1-Constants!$H89)</f>
        <v>49697294.526788026</v>
      </c>
      <c r="BC74" s="22">
        <f>BC13*Constants!$H71*(1-Constants!$H89)</f>
        <v>49788506.604690827</v>
      </c>
      <c r="BD74" s="22">
        <f>BD13*Constants!$H71*(1-Constants!$H89)</f>
        <v>49883706.198640645</v>
      </c>
      <c r="BE74" s="22">
        <f>BE13*Constants!$H71*(1-Constants!$H89)</f>
        <v>49984014.73147475</v>
      </c>
      <c r="BF74" s="22">
        <f>BF13*Constants!$H71*(1-Constants!$H89)</f>
        <v>50089294.866923474</v>
      </c>
      <c r="BG74" s="22">
        <f>BG13*Constants!$H71*(1-Constants!$H89)</f>
        <v>50146813.493032932</v>
      </c>
      <c r="BH74" s="22">
        <f>BH13*Constants!$H71*(1-Constants!$H89)</f>
        <v>50207955.642534986</v>
      </c>
      <c r="BI74" s="22">
        <f>BI13*Constants!$H71*(1-Constants!$H89)</f>
        <v>50274282.104523495</v>
      </c>
      <c r="BJ74" s="22">
        <f>BJ13*Constants!$H71*(1-Constants!$H89)</f>
        <v>50345729.534223706</v>
      </c>
      <c r="BK74" s="22">
        <f>BK13*Constants!$H71*(1-Constants!$H89)</f>
        <v>50422306.173911303</v>
      </c>
      <c r="BL74" s="22">
        <f>BL13*Constants!$H71*(1-Constants!$H89)</f>
        <v>50449297.102102049</v>
      </c>
      <c r="BM74" s="22">
        <f>BM13*Constants!$H71*(1-Constants!$H89)</f>
        <v>50461283.779448561</v>
      </c>
      <c r="BN74" s="22">
        <f>BN13*Constants!$H71*(1-Constants!$H89)</f>
        <v>50475218.374656968</v>
      </c>
      <c r="BO74" s="22">
        <f>BO13*Constants!$H71*(1-Constants!$H89)</f>
        <v>50490220.061609298</v>
      </c>
      <c r="BP74" s="22">
        <f>BP13*Constants!$H71*(1-Constants!$H89)</f>
        <v>50507942.159938872</v>
      </c>
    </row>
    <row r="75" spans="1:68" x14ac:dyDescent="0.3">
      <c r="A75" t="str">
        <f t="shared" si="25"/>
        <v>3C Aggregated and non-CO2 emissions on land</v>
      </c>
      <c r="B75" t="str">
        <f t="shared" si="26"/>
        <v>3C4 Direct N2O from managed soils (N2O)</v>
      </c>
      <c r="C75" t="s">
        <v>410</v>
      </c>
      <c r="D75" t="str">
        <f t="shared" si="27"/>
        <v xml:space="preserve"> - Subsistence goats</v>
      </c>
      <c r="E75" t="str">
        <f t="shared" si="28"/>
        <v>Urine &amp; dung - Subsistence goats</v>
      </c>
      <c r="F75" t="str">
        <f t="shared" si="29"/>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78601927.877738908</v>
      </c>
      <c r="AM75" s="22">
        <f>AM14*Constants!$H72*(1-Constants!$H90)</f>
        <v>78828171.119492769</v>
      </c>
      <c r="AN75" s="22">
        <f>AN14*Constants!$H72*(1-Constants!$H90)</f>
        <v>79087496.360146239</v>
      </c>
      <c r="AO75" s="22">
        <f>AO14*Constants!$H72*(1-Constants!$H90)</f>
        <v>79351840.034586266</v>
      </c>
      <c r="AP75" s="22">
        <f>AP14*Constants!$H72*(1-Constants!$H90)</f>
        <v>79638540.607769936</v>
      </c>
      <c r="AQ75" s="22">
        <f>AQ14*Constants!$H72*(1-Constants!$H90)</f>
        <v>79947124.250135854</v>
      </c>
      <c r="AR75" s="22">
        <f>AR14*Constants!$H72*(1-Constants!$H90)</f>
        <v>80144604.288920745</v>
      </c>
      <c r="AS75" s="22">
        <f>AS14*Constants!$H72*(1-Constants!$H90)</f>
        <v>80360658.404341266</v>
      </c>
      <c r="AT75" s="22">
        <f>AT14*Constants!$H72*(1-Constants!$H90)</f>
        <v>80592759.578300342</v>
      </c>
      <c r="AU75" s="22">
        <f>AU14*Constants!$H72*(1-Constants!$H90)</f>
        <v>80841653.105425522</v>
      </c>
      <c r="AV75" s="22">
        <f>AV14*Constants!$H72*(1-Constants!$H90)</f>
        <v>81105001.922470883</v>
      </c>
      <c r="AW75" s="22">
        <f>AW14*Constants!$H72*(1-Constants!$H90)</f>
        <v>81280625.694085404</v>
      </c>
      <c r="AX75" s="22">
        <f>AX14*Constants!$H72*(1-Constants!$H90)</f>
        <v>81467917.996608734</v>
      </c>
      <c r="AY75" s="22">
        <f>AY14*Constants!$H72*(1-Constants!$H90)</f>
        <v>81668464.15844354</v>
      </c>
      <c r="AZ75" s="22">
        <f>AZ14*Constants!$H72*(1-Constants!$H90)</f>
        <v>81884301.068907738</v>
      </c>
      <c r="BA75" s="22">
        <f>BA14*Constants!$H72*(1-Constants!$H90)</f>
        <v>82108908.066761881</v>
      </c>
      <c r="BB75" s="22">
        <f>BB14*Constants!$H72*(1-Constants!$H90)</f>
        <v>82248012.959395304</v>
      </c>
      <c r="BC75" s="22">
        <f>BC14*Constants!$H72*(1-Constants!$H90)</f>
        <v>82398967.095567822</v>
      </c>
      <c r="BD75" s="22">
        <f>BD14*Constants!$H72*(1-Constants!$H90)</f>
        <v>82556520.489801258</v>
      </c>
      <c r="BE75" s="22">
        <f>BE14*Constants!$H72*(1-Constants!$H90)</f>
        <v>82722529.074112236</v>
      </c>
      <c r="BF75" s="22">
        <f>BF14*Constants!$H72*(1-Constants!$H90)</f>
        <v>82896765.559764087</v>
      </c>
      <c r="BG75" s="22">
        <f>BG14*Constants!$H72*(1-Constants!$H90)</f>
        <v>82991957.717621043</v>
      </c>
      <c r="BH75" s="22">
        <f>BH14*Constants!$H72*(1-Constants!$H90)</f>
        <v>83093146.733089477</v>
      </c>
      <c r="BI75" s="22">
        <f>BI14*Constants!$H72*(1-Constants!$H90)</f>
        <v>83202915.680415973</v>
      </c>
      <c r="BJ75" s="22">
        <f>BJ14*Constants!$H72*(1-Constants!$H90)</f>
        <v>83321159.725285083</v>
      </c>
      <c r="BK75" s="22">
        <f>BK14*Constants!$H72*(1-Constants!$H90)</f>
        <v>83447892.508495584</v>
      </c>
      <c r="BL75" s="22">
        <f>BL14*Constants!$H72*(1-Constants!$H90)</f>
        <v>83492561.946394727</v>
      </c>
      <c r="BM75" s="22">
        <f>BM14*Constants!$H72*(1-Constants!$H90)</f>
        <v>83512399.653922334</v>
      </c>
      <c r="BN75" s="22">
        <f>BN14*Constants!$H72*(1-Constants!$H90)</f>
        <v>83535461.125944048</v>
      </c>
      <c r="BO75" s="22">
        <f>BO14*Constants!$H72*(1-Constants!$H90)</f>
        <v>83560288.613126561</v>
      </c>
      <c r="BP75" s="22">
        <f>BP14*Constants!$H72*(1-Constants!$H90)</f>
        <v>83589618.325879678</v>
      </c>
    </row>
    <row r="76" spans="1:68" x14ac:dyDescent="0.3">
      <c r="A76" t="str">
        <f t="shared" si="25"/>
        <v>3C Aggregated and non-CO2 emissions on land</v>
      </c>
      <c r="B76" t="str">
        <f t="shared" si="26"/>
        <v>3C4 Direct N2O from managed soils (N2O)</v>
      </c>
      <c r="C76" t="s">
        <v>410</v>
      </c>
      <c r="D76" t="str">
        <f t="shared" si="27"/>
        <v xml:space="preserve"> - Horses</v>
      </c>
      <c r="E76" t="str">
        <f t="shared" si="28"/>
        <v>Urine &amp; dung - Horses</v>
      </c>
      <c r="F76" t="str">
        <f t="shared" si="29"/>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12184919.359057402</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12175458.752937714</v>
      </c>
      <c r="AL76" s="22">
        <f>AL15*Constants!$H73*(1-Constants!$H91)</f>
        <v>11479400.665160578</v>
      </c>
      <c r="AM76" s="22">
        <f>AM15*Constants!$H73*(1-Constants!$H91)</f>
        <v>11621563.401652001</v>
      </c>
      <c r="AN76" s="22">
        <f>AN15*Constants!$H73*(1-Constants!$H91)</f>
        <v>11847368.017339615</v>
      </c>
      <c r="AO76" s="22">
        <f>AO15*Constants!$H73*(1-Constants!$H91)</f>
        <v>11930718.112398891</v>
      </c>
      <c r="AP76" s="22">
        <f>AP15*Constants!$H73*(1-Constants!$H91)</f>
        <v>12029766.326807179</v>
      </c>
      <c r="AQ76" s="22">
        <f>AQ15*Constants!$H73*(1-Constants!$H91)</f>
        <v>12149692.578672748</v>
      </c>
      <c r="AR76" s="22">
        <f>AR15*Constants!$H73*(1-Constants!$H91)</f>
        <v>12293187.763345376</v>
      </c>
      <c r="AS76" s="22">
        <f>AS15*Constants!$H73*(1-Constants!$H91)</f>
        <v>12452664.598945566</v>
      </c>
      <c r="AT76" s="22">
        <f>AT15*Constants!$H73*(1-Constants!$H91)</f>
        <v>12614036.497744327</v>
      </c>
      <c r="AU76" s="22">
        <f>AU15*Constants!$H73*(1-Constants!$H91)</f>
        <v>12789831.01810823</v>
      </c>
      <c r="AV76" s="22">
        <f>AV15*Constants!$H73*(1-Constants!$H91)</f>
        <v>12966236.557046389</v>
      </c>
      <c r="AW76" s="22">
        <f>AW15*Constants!$H73*(1-Constants!$H91)</f>
        <v>13177865.020226439</v>
      </c>
      <c r="AX76" s="22">
        <f>AX15*Constants!$H73*(1-Constants!$H91)</f>
        <v>13381749.461964952</v>
      </c>
      <c r="AY76" s="22">
        <f>AY15*Constants!$H73*(1-Constants!$H91)</f>
        <v>13595547.768437644</v>
      </c>
      <c r="AZ76" s="22">
        <f>AZ15*Constants!$H73*(1-Constants!$H91)</f>
        <v>13840070.615541924</v>
      </c>
      <c r="BA76" s="22">
        <f>BA15*Constants!$H73*(1-Constants!$H91)</f>
        <v>14065379.809557131</v>
      </c>
      <c r="BB76" s="22">
        <f>BB15*Constants!$H73*(1-Constants!$H91)</f>
        <v>14314130.307900142</v>
      </c>
      <c r="BC76" s="22">
        <f>BC15*Constants!$H73*(1-Constants!$H91)</f>
        <v>14579336.978521204</v>
      </c>
      <c r="BD76" s="22">
        <f>BD15*Constants!$H73*(1-Constants!$H91)</f>
        <v>14821202.050065268</v>
      </c>
      <c r="BE76" s="22">
        <f>BE15*Constants!$H73*(1-Constants!$H91)</f>
        <v>15057863.255891142</v>
      </c>
      <c r="BF76" s="22">
        <f>BF15*Constants!$H73*(1-Constants!$H91)</f>
        <v>15290170.796329999</v>
      </c>
      <c r="BG76" s="22">
        <f>BG15*Constants!$H73*(1-Constants!$H91)</f>
        <v>15555535.969233364</v>
      </c>
      <c r="BH76" s="22">
        <f>BH15*Constants!$H73*(1-Constants!$H91)</f>
        <v>15805740.203710236</v>
      </c>
      <c r="BI76" s="22">
        <f>BI15*Constants!$H73*(1-Constants!$H91)</f>
        <v>16064110.656688813</v>
      </c>
      <c r="BJ76" s="22">
        <f>BJ15*Constants!$H73*(1-Constants!$H91)</f>
        <v>16331930.782171059</v>
      </c>
      <c r="BK76" s="22">
        <f>BK15*Constants!$H73*(1-Constants!$H91)</f>
        <v>16611287.353788955</v>
      </c>
      <c r="BL76" s="22">
        <f>BL15*Constants!$H73*(1-Constants!$H91)</f>
        <v>16914761.366227977</v>
      </c>
      <c r="BM76" s="22">
        <f>BM15*Constants!$H73*(1-Constants!$H91)</f>
        <v>16965200.753362462</v>
      </c>
      <c r="BN76" s="22">
        <f>BN15*Constants!$H73*(1-Constants!$H91)</f>
        <v>16991716.10692225</v>
      </c>
      <c r="BO76" s="22">
        <f>BO15*Constants!$H73*(1-Constants!$H91)</f>
        <v>16984268.479285985</v>
      </c>
      <c r="BP76" s="22">
        <f>BP15*Constants!$H73*(1-Constants!$H91)</f>
        <v>16966670.245770436</v>
      </c>
    </row>
    <row r="77" spans="1:68" x14ac:dyDescent="0.3">
      <c r="A77" t="str">
        <f t="shared" si="25"/>
        <v>3C Aggregated and non-CO2 emissions on land</v>
      </c>
      <c r="B77" t="str">
        <f t="shared" si="26"/>
        <v>3C4 Direct N2O from managed soils (N2O)</v>
      </c>
      <c r="C77" t="s">
        <v>410</v>
      </c>
      <c r="D77" t="str">
        <f t="shared" si="27"/>
        <v xml:space="preserve"> - Mules &amp; Asses</v>
      </c>
      <c r="E77" t="str">
        <f t="shared" si="28"/>
        <v>Urine &amp; dung - Mules &amp; Asses</v>
      </c>
      <c r="F77" t="str">
        <f t="shared" si="29"/>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25"/>
        <v>3C Aggregated and non-CO2 emissions on land</v>
      </c>
      <c r="B78" t="str">
        <f t="shared" si="26"/>
        <v>3C4 Direct N2O from managed soils (N2O)</v>
      </c>
      <c r="C78" t="s">
        <v>410</v>
      </c>
      <c r="D78" t="str">
        <f t="shared" si="27"/>
        <v xml:space="preserve"> - Commercial swine</v>
      </c>
      <c r="E78" t="str">
        <f t="shared" si="28"/>
        <v>Urine &amp; dung - Commercial swine</v>
      </c>
      <c r="F78" t="str">
        <f t="shared" si="29"/>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25"/>
        <v>3C Aggregated and non-CO2 emissions on land</v>
      </c>
      <c r="B79" t="str">
        <f t="shared" si="26"/>
        <v>3C4 Direct N2O from managed soils (N2O)</v>
      </c>
      <c r="C79" t="s">
        <v>410</v>
      </c>
      <c r="D79" t="str">
        <f>D63</f>
        <v xml:space="preserve"> - Subsistence swine</v>
      </c>
      <c r="E79" t="str">
        <f t="shared" si="28"/>
        <v>Urine &amp; dung - Subsistence swine</v>
      </c>
      <c r="F79" t="str">
        <f t="shared" si="29"/>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25"/>
        <v>3C Aggregated and non-CO2 emissions on land</v>
      </c>
      <c r="B80" t="str">
        <f t="shared" si="26"/>
        <v>3C4 Direct N2O from managed soils (N2O)</v>
      </c>
      <c r="C80" t="s">
        <v>410</v>
      </c>
      <c r="D80" t="str">
        <f t="shared" si="27"/>
        <v xml:space="preserve"> - Commercial layers</v>
      </c>
      <c r="E80" t="str">
        <f t="shared" ref="E80:E81" si="30">C80&amp;D80</f>
        <v>Urine &amp; dung - Commercial layers</v>
      </c>
      <c r="F80" t="str">
        <f t="shared" ref="F80:F81" si="31">F79</f>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25"/>
        <v>3C Aggregated and non-CO2 emissions on land</v>
      </c>
      <c r="B81" t="str">
        <f t="shared" si="26"/>
        <v>3C4 Direct N2O from managed soils (N2O)</v>
      </c>
      <c r="C81" t="s">
        <v>410</v>
      </c>
      <c r="D81" t="str">
        <f t="shared" si="27"/>
        <v xml:space="preserve"> - Commercial broilers</v>
      </c>
      <c r="E81" t="str">
        <f t="shared" si="30"/>
        <v>Urine &amp; dung - Commercial broilers</v>
      </c>
      <c r="F81" t="str">
        <f t="shared" si="31"/>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26"/>
        <v>3C4 Direct N2O from managed soils (N2O)</v>
      </c>
      <c r="C82" t="s">
        <v>661</v>
      </c>
      <c r="D82" t="s">
        <v>444</v>
      </c>
      <c r="E82" t="str">
        <f t="shared" ref="E82:E85" si="32">C82&amp;D82</f>
        <v>Crop residue N - maize</v>
      </c>
      <c r="F82" t="str">
        <f t="shared" ref="F82:F85" si="33">F81</f>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100972345.397175</v>
      </c>
      <c r="AN82" s="22">
        <f>((AN41*Constants!$H$45*Constants!$H$48)*(1+Constants!$H$51))*Constants!$H$54*Constants!$H$42*Constants!$H$57*Constants!$H$58*ttokg</f>
        <v>101461716.3832203</v>
      </c>
      <c r="AO82" s="22">
        <f>((AO41*Constants!$H$45*Constants!$H$48)*(1+Constants!$H$51))*Constants!$H$54*Constants!$H$42*Constants!$H$57*Constants!$H$58*ttokg</f>
        <v>102129624.83520988</v>
      </c>
      <c r="AP82" s="22">
        <f>((AP41*Constants!$H$45*Constants!$H$48)*(1+Constants!$H$51))*Constants!$H$54*Constants!$H$42*Constants!$H$57*Constants!$H$58*ttokg</f>
        <v>102488537.39168863</v>
      </c>
      <c r="AQ82" s="22">
        <f>((AQ41*Constants!$H$45*Constants!$H$48)*(1+Constants!$H$51))*Constants!$H$54*Constants!$H$42*Constants!$H$57*Constants!$H$58*ttokg</f>
        <v>102881085.16370052</v>
      </c>
      <c r="AR82" s="22">
        <f>((AR41*Constants!$H$45*Constants!$H$48)*(1+Constants!$H$51))*Constants!$H$54*Constants!$H$42*Constants!$H$57*Constants!$H$58*ttokg</f>
        <v>103317520.98381007</v>
      </c>
      <c r="AS82" s="22">
        <f>((AS41*Constants!$H$45*Constants!$H$48)*(1+Constants!$H$51))*Constants!$H$54*Constants!$H$42*Constants!$H$57*Constants!$H$58*ttokg</f>
        <v>103775654.39176346</v>
      </c>
      <c r="AT82" s="22">
        <f>((AT41*Constants!$H$45*Constants!$H$48)*(1+Constants!$H$51))*Constants!$H$54*Constants!$H$42*Constants!$H$57*Constants!$H$58*ttokg</f>
        <v>104264592.81005229</v>
      </c>
      <c r="AU82" s="22">
        <f>((AU41*Constants!$H$45*Constants!$H$48)*(1+Constants!$H$51))*Constants!$H$54*Constants!$H$42*Constants!$H$57*Constants!$H$58*ttokg</f>
        <v>104754586.31264314</v>
      </c>
      <c r="AV82" s="22">
        <f>((AV41*Constants!$H$45*Constants!$H$48)*(1+Constants!$H$51))*Constants!$H$54*Constants!$H$42*Constants!$H$57*Constants!$H$58*ttokg</f>
        <v>105270654.37430035</v>
      </c>
      <c r="AW82" s="22">
        <f>((AW41*Constants!$H$45*Constants!$H$48)*(1+Constants!$H$51))*Constants!$H$54*Constants!$H$42*Constants!$H$57*Constants!$H$58*ttokg</f>
        <v>105784420.48474136</v>
      </c>
      <c r="AX82" s="22">
        <f>((AX41*Constants!$H$45*Constants!$H$48)*(1+Constants!$H$51))*Constants!$H$54*Constants!$H$42*Constants!$H$57*Constants!$H$58*ttokg</f>
        <v>106341428.58841138</v>
      </c>
      <c r="AY82" s="22">
        <f>((AY41*Constants!$H$45*Constants!$H$48)*(1+Constants!$H$51))*Constants!$H$54*Constants!$H$42*Constants!$H$57*Constants!$H$58*ttokg</f>
        <v>106877905.54489923</v>
      </c>
      <c r="AZ82" s="22">
        <f>((AZ41*Constants!$H$45*Constants!$H$48)*(1+Constants!$H$51))*Constants!$H$54*Constants!$H$42*Constants!$H$57*Constants!$H$58*ttokg</f>
        <v>107427961.6879364</v>
      </c>
      <c r="BA82" s="22">
        <f>((BA41*Constants!$H$45*Constants!$H$48)*(1+Constants!$H$51))*Constants!$H$54*Constants!$H$42*Constants!$H$57*Constants!$H$58*ttokg</f>
        <v>108029302.02769519</v>
      </c>
      <c r="BB82" s="22">
        <f>((BB41*Constants!$H$45*Constants!$H$48)*(1+Constants!$H$51))*Constants!$H$54*Constants!$H$42*Constants!$H$57*Constants!$H$58*ttokg</f>
        <v>108588499.88071322</v>
      </c>
      <c r="BC82" s="22">
        <f>((BC41*Constants!$H$45*Constants!$H$48)*(1+Constants!$H$51))*Constants!$H$54*Constants!$H$42*Constants!$H$57*Constants!$H$58*ttokg</f>
        <v>109162684.03403035</v>
      </c>
      <c r="BD82" s="22">
        <f>((BD41*Constants!$H$45*Constants!$H$48)*(1+Constants!$H$51))*Constants!$H$54*Constants!$H$42*Constants!$H$57*Constants!$H$58*ttokg</f>
        <v>109758266.80237177</v>
      </c>
      <c r="BE82" s="22">
        <f>((BE41*Constants!$H$45*Constants!$H$48)*(1+Constants!$H$51))*Constants!$H$54*Constants!$H$42*Constants!$H$57*Constants!$H$58*ttokg</f>
        <v>110305642.74219431</v>
      </c>
      <c r="BF82" s="22">
        <f>((BF41*Constants!$H$45*Constants!$H$48)*(1+Constants!$H$51))*Constants!$H$54*Constants!$H$42*Constants!$H$57*Constants!$H$58*ttokg</f>
        <v>110837803.40958393</v>
      </c>
      <c r="BG82" s="22">
        <f>((BG41*Constants!$H$45*Constants!$H$48)*(1+Constants!$H$51))*Constants!$H$54*Constants!$H$42*Constants!$H$57*Constants!$H$58*ttokg</f>
        <v>111356806.38240921</v>
      </c>
      <c r="BH82" s="22">
        <f>((BH41*Constants!$H$45*Constants!$H$48)*(1+Constants!$H$51))*Constants!$H$54*Constants!$H$42*Constants!$H$57*Constants!$H$58*ttokg</f>
        <v>111904430.58080328</v>
      </c>
      <c r="BI82" s="22">
        <f>((BI41*Constants!$H$45*Constants!$H$48)*(1+Constants!$H$51))*Constants!$H$54*Constants!$H$42*Constants!$H$57*Constants!$H$58*ttokg</f>
        <v>112420403.08620812</v>
      </c>
      <c r="BJ82" s="22">
        <f>((BJ41*Constants!$H$45*Constants!$H$48)*(1+Constants!$H$51))*Constants!$H$54*Constants!$H$42*Constants!$H$57*Constants!$H$58*ttokg</f>
        <v>112942964.22374032</v>
      </c>
      <c r="BK82" s="22">
        <f>((BK41*Constants!$H$45*Constants!$H$48)*(1+Constants!$H$51))*Constants!$H$54*Constants!$H$42*Constants!$H$57*Constants!$H$58*ttokg</f>
        <v>113473645.57519184</v>
      </c>
      <c r="BL82" s="22">
        <f>((BL41*Constants!$H$45*Constants!$H$48)*(1+Constants!$H$51))*Constants!$H$54*Constants!$H$42*Constants!$H$57*Constants!$H$58*ttokg</f>
        <v>114015068.25606646</v>
      </c>
      <c r="BM82" s="22">
        <f>((BM41*Constants!$H$45*Constants!$H$48)*(1+Constants!$H$51))*Constants!$H$54*Constants!$H$42*Constants!$H$57*Constants!$H$58*ttokg</f>
        <v>114564973.44049925</v>
      </c>
      <c r="BN82" s="22">
        <f>((BN41*Constants!$H$45*Constants!$H$48)*(1+Constants!$H$51))*Constants!$H$54*Constants!$H$42*Constants!$H$57*Constants!$H$58*ttokg</f>
        <v>114733939.74764654</v>
      </c>
      <c r="BO82" s="22">
        <f>((BO41*Constants!$H$45*Constants!$H$48)*(1+Constants!$H$51))*Constants!$H$54*Constants!$H$42*Constants!$H$57*Constants!$H$58*ttokg</f>
        <v>114867396.05110823</v>
      </c>
      <c r="BP82" s="22">
        <f>((BP41*Constants!$H$45*Constants!$H$48)*(1+Constants!$H$51))*Constants!$H$54*Constants!$H$42*Constants!$H$57*Constants!$H$58*ttokg</f>
        <v>114950539.31620407</v>
      </c>
    </row>
    <row r="83" spans="1:72" x14ac:dyDescent="0.3">
      <c r="A83" t="str">
        <f>A82</f>
        <v>3C Aggregated and non-CO2 emissions on land</v>
      </c>
      <c r="B83" t="str">
        <f t="shared" ref="B83:C83" si="34">B82</f>
        <v>3C4 Direct N2O from managed soils (N2O)</v>
      </c>
      <c r="C83" t="str">
        <f t="shared" si="34"/>
        <v>Crop residue N</v>
      </c>
      <c r="D83" t="s">
        <v>374</v>
      </c>
      <c r="E83" t="str">
        <f t="shared" si="32"/>
        <v>Crop residue N - wheat</v>
      </c>
      <c r="F83" t="str">
        <f t="shared" si="33"/>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ref="B84" si="35">B83</f>
        <v>3C4 Direct N2O from managed soils (N2O)</v>
      </c>
      <c r="C84" t="str">
        <f t="shared" ref="C84" si="36">C83</f>
        <v>Crop residue N</v>
      </c>
      <c r="D84" t="s">
        <v>375</v>
      </c>
      <c r="E84" t="str">
        <f t="shared" si="32"/>
        <v>Crop residue N - sorghum</v>
      </c>
      <c r="F84" t="str">
        <f t="shared" si="33"/>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ref="B85" si="37">B84</f>
        <v>3C4 Direct N2O from managed soils (N2O)</v>
      </c>
      <c r="C85" t="str">
        <f t="shared" ref="C85" si="38">C84</f>
        <v>Crop residue N</v>
      </c>
      <c r="D85" t="s">
        <v>376</v>
      </c>
      <c r="E85" t="str">
        <f t="shared" si="32"/>
        <v>Crop residue N - total</v>
      </c>
      <c r="F85" t="str">
        <f t="shared" si="33"/>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188726584.943625</v>
      </c>
      <c r="AN85" s="22">
        <f>SUM(AN82:AN84)/Constants!$H$41</f>
        <v>189542203.25370052</v>
      </c>
      <c r="AO85" s="22">
        <f>SUM(AO82:AO84)/Constants!$H$41</f>
        <v>190655384.00701645</v>
      </c>
      <c r="AP85" s="22">
        <f>SUM(AP82:AP84)/Constants!$H$41</f>
        <v>191253571.60114774</v>
      </c>
      <c r="AQ85" s="22">
        <f>SUM(AQ82:AQ84)/Constants!$H$41</f>
        <v>191907817.88783419</v>
      </c>
      <c r="AR85" s="22">
        <f>SUM(AR82:AR84)/Constants!$H$41</f>
        <v>192635210.92135009</v>
      </c>
      <c r="AS85" s="22">
        <f>SUM(AS82:AS84)/Constants!$H$41</f>
        <v>193398766.60127246</v>
      </c>
      <c r="AT85" s="22">
        <f>SUM(AT82:AT84)/Constants!$H$41</f>
        <v>194213663.96508718</v>
      </c>
      <c r="AU85" s="22">
        <f>SUM(AU82:AU84)/Constants!$H$41</f>
        <v>195030319.80273855</v>
      </c>
      <c r="AV85" s="22">
        <f>SUM(AV82:AV84)/Constants!$H$41</f>
        <v>195890433.23883393</v>
      </c>
      <c r="AW85" s="22">
        <f>SUM(AW82:AW84)/Constants!$H$41</f>
        <v>196746710.08956891</v>
      </c>
      <c r="AX85" s="22">
        <f>SUM(AX82:AX84)/Constants!$H$41</f>
        <v>197675056.92901897</v>
      </c>
      <c r="AY85" s="22">
        <f>SUM(AY82:AY84)/Constants!$H$41</f>
        <v>198569185.18983203</v>
      </c>
      <c r="AZ85" s="22">
        <f>SUM(AZ82:AZ84)/Constants!$H$41</f>
        <v>199485945.42822731</v>
      </c>
      <c r="BA85" s="22">
        <f>SUM(BA82:BA84)/Constants!$H$41</f>
        <v>200488179.32782534</v>
      </c>
      <c r="BB85" s="22">
        <f>SUM(BB82:BB84)/Constants!$H$41</f>
        <v>201420175.74952203</v>
      </c>
      <c r="BC85" s="22">
        <f>SUM(BC82:BC84)/Constants!$H$41</f>
        <v>202377149.33838391</v>
      </c>
      <c r="BD85" s="22">
        <f>SUM(BD82:BD84)/Constants!$H$41</f>
        <v>203369787.28561962</v>
      </c>
      <c r="BE85" s="22">
        <f>SUM(BE82:BE84)/Constants!$H$41</f>
        <v>204282080.51865721</v>
      </c>
      <c r="BF85" s="22">
        <f>SUM(BF82:BF84)/Constants!$H$41</f>
        <v>205169014.96430653</v>
      </c>
      <c r="BG85" s="22">
        <f>SUM(BG82:BG84)/Constants!$H$41</f>
        <v>206034019.91901535</v>
      </c>
      <c r="BH85" s="22">
        <f>SUM(BH82:BH84)/Constants!$H$41</f>
        <v>206946726.91633877</v>
      </c>
      <c r="BI85" s="22">
        <f>SUM(BI82:BI84)/Constants!$H$41</f>
        <v>207806681.09201354</v>
      </c>
      <c r="BJ85" s="22">
        <f>SUM(BJ82:BJ84)/Constants!$H$41</f>
        <v>208677616.3212339</v>
      </c>
      <c r="BK85" s="22">
        <f>SUM(BK82:BK84)/Constants!$H$41</f>
        <v>209562085.24031976</v>
      </c>
      <c r="BL85" s="22">
        <f>SUM(BL82:BL84)/Constants!$H$41</f>
        <v>210464456.37511078</v>
      </c>
      <c r="BM85" s="22">
        <f>SUM(BM82:BM84)/Constants!$H$41</f>
        <v>211380965.01583207</v>
      </c>
      <c r="BN85" s="22">
        <f>SUM(BN82:BN84)/Constants!$H$41</f>
        <v>211662575.52774423</v>
      </c>
      <c r="BO85" s="22">
        <f>SUM(BO82:BO84)/Constants!$H$41</f>
        <v>211885002.70018038</v>
      </c>
      <c r="BP85" s="22">
        <f>SUM(BP82:BP84)/Constants!$H$41</f>
        <v>212023574.80867344</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0000000-0003-0000-0D00-000005000000}">
          <x14:colorSeries rgb="FF376092"/>
          <x14:colorNegative rgb="FFD00000"/>
          <x14:colorAxis rgb="FF000000"/>
          <x14:colorMarkers rgb="FFD00000"/>
          <x14:colorFirst rgb="FFD00000"/>
          <x14:colorLast rgb="FFD00000"/>
          <x14:colorHigh rgb="FFD00000"/>
          <x14:colorLow rgb="FFD00000"/>
          <x14:sparklines>
            <x14:sparkline>
              <xm:f>'Activity data'!AB41:BP41</xm:f>
              <xm:sqref>BR41</xm:sqref>
            </x14:sparkline>
            <x14:sparkline>
              <xm:f>'Activity data'!AB42:BP42</xm:f>
              <xm:sqref>BR42</xm:sqref>
            </x14:sparkline>
            <x14:sparkline>
              <xm:f>'Activity data'!AB43:BP43</xm:f>
              <xm:sqref>BR43</xm:sqref>
            </x14:sparkline>
          </x14:sparklines>
        </x14:sparklineGroup>
        <x14:sparklineGroup displayEmptyCellsAs="gap" xr2:uid="{00000000-0003-0000-0D00-000004000000}">
          <x14:colorSeries rgb="FF376092"/>
          <x14:colorNegative rgb="FFD00000"/>
          <x14:colorAxis rgb="FF000000"/>
          <x14:colorMarkers rgb="FFD00000"/>
          <x14:colorFirst rgb="FFD00000"/>
          <x14:colorLast rgb="FFD00000"/>
          <x14:colorHigh rgb="FFD00000"/>
          <x14:colorLow rgb="FFD00000"/>
          <x14:sparklines>
            <x14:sparkline>
              <xm:f>'Activity data'!AB24:BP24</xm:f>
              <xm:sqref>BR24</xm:sqref>
            </x14:sparkline>
            <x14:sparkline>
              <xm:f>'Activity data'!AB25:BP25</xm:f>
              <xm:sqref>BR25</xm:sqref>
            </x14:sparkline>
            <x14:sparkline>
              <xm:f>'Activity data'!AB26:BP26</xm:f>
              <xm:sqref>BR26</xm:sqref>
            </x14:sparkline>
            <x14:sparkline>
              <xm:f>'Activity data'!AB27:BP27</xm:f>
              <xm:sqref>BR27</xm:sqref>
            </x14:sparkline>
            <x14:sparkline>
              <xm:f>'Activity data'!AB28:BP28</xm:f>
              <xm:sqref>BR28</xm:sqref>
            </x14:sparkline>
            <x14:sparkline>
              <xm:f>'Activity data'!AB29:BP29</xm:f>
              <xm:sqref>BR29</xm:sqref>
            </x14:sparkline>
            <x14:sparkline>
              <xm:f>'Activity data'!AB30:BP30</xm:f>
              <xm:sqref>BR30</xm:sqref>
            </x14:sparkline>
            <x14:sparkline>
              <xm:f>'Activity data'!AB31:BP31</xm:f>
              <xm:sqref>BR31</xm:sqref>
            </x14:sparkline>
            <x14:sparkline>
              <xm:f>'Activity data'!AB32:BP32</xm:f>
              <xm:sqref>BR32</xm:sqref>
            </x14:sparkline>
            <x14:sparkline>
              <xm:f>'Activity data'!AB33:BP33</xm:f>
              <xm:sqref>BR33</xm:sqref>
            </x14:sparkline>
            <x14:sparkline>
              <xm:f>'Activity data'!AB34:BP34</xm:f>
              <xm:sqref>BR34</xm:sqref>
            </x14:sparkline>
            <x14:sparkline>
              <xm:f>'Activity data'!AB35:BP35</xm:f>
              <xm:sqref>BR35</xm:sqref>
            </x14:sparkline>
            <x14:sparkline>
              <xm:f>'Activity data'!AB36:BP36</xm:f>
              <xm:sqref>BR36</xm:sqref>
            </x14:sparkline>
            <x14:sparkline>
              <xm:f>'Activity data'!AB37:BP37</xm:f>
              <xm:sqref>BR37</xm:sqref>
            </x14:sparkline>
            <x14:sparkline>
              <xm:f>'Activity data'!AB38:BP38</xm:f>
              <xm:sqref>BR38</xm:sqref>
            </x14:sparkline>
            <x14:sparkline>
              <xm:f>'Activity data'!AB39:BP39</xm:f>
              <xm:sqref>BR39</xm:sqref>
            </x14:sparkline>
          </x14:sparklines>
        </x14:sparklineGroup>
        <x14:sparklineGroup displayEmptyCellsAs="gap" xr2:uid="{00000000-0003-0000-0D00-000003000000}">
          <x14:colorSeries rgb="FF376092"/>
          <x14:colorNegative rgb="FFD00000"/>
          <x14:colorAxis rgb="FF000000"/>
          <x14:colorMarkers rgb="FFD00000"/>
          <x14:colorFirst rgb="FFD00000"/>
          <x14:colorLast rgb="FFD00000"/>
          <x14:colorHigh rgb="FFD00000"/>
          <x14:colorLow rgb="FFD00000"/>
          <x14:sparklines>
            <x14:sparkline>
              <xm:f>'Activity data'!AB5:BP5</xm:f>
              <xm:sqref>BR5</xm:sqref>
            </x14:sparkline>
            <x14:sparkline>
              <xm:f>'Activity data'!AB6:BP6</xm:f>
              <xm:sqref>BR6</xm:sqref>
            </x14:sparkline>
            <x14:sparkline>
              <xm:f>'Activity data'!AB7:BP7</xm:f>
              <xm:sqref>BR7</xm:sqref>
            </x14:sparkline>
            <x14:sparkline>
              <xm:f>'Activity data'!AB8:BP8</xm:f>
              <xm:sqref>BR8</xm:sqref>
            </x14:sparkline>
            <x14:sparkline>
              <xm:f>'Activity data'!AB9:BP9</xm:f>
              <xm:sqref>BR9</xm:sqref>
            </x14:sparkline>
            <x14:sparkline>
              <xm:f>'Activity data'!AB10:BP10</xm:f>
              <xm:sqref>BR10</xm:sqref>
            </x14:sparkline>
            <x14:sparkline>
              <xm:f>'Activity data'!AB11:BP11</xm:f>
              <xm:sqref>BR11</xm:sqref>
            </x14:sparkline>
            <x14:sparkline>
              <xm:f>'Activity data'!AB12:BP12</xm:f>
              <xm:sqref>BR12</xm:sqref>
            </x14:sparkline>
            <x14:sparkline>
              <xm:f>'Activity data'!AB13:BP13</xm:f>
              <xm:sqref>BR13</xm:sqref>
            </x14:sparkline>
            <x14:sparkline>
              <xm:f>'Activity data'!AB14:BP14</xm:f>
              <xm:sqref>BR14</xm:sqref>
            </x14:sparkline>
            <x14:sparkline>
              <xm:f>'Activity data'!AB15:BP15</xm:f>
              <xm:sqref>BR15</xm:sqref>
            </x14:sparkline>
            <x14:sparkline>
              <xm:f>'Activity data'!AB16:BP16</xm:f>
              <xm:sqref>BR16</xm:sqref>
            </x14:sparkline>
            <x14:sparkline>
              <xm:f>'Activity data'!AB17:BP17</xm:f>
              <xm:sqref>BR17</xm:sqref>
            </x14:sparkline>
            <x14:sparkline>
              <xm:f>'Activity data'!AB18:BP18</xm:f>
              <xm:sqref>BR18</xm:sqref>
            </x14:sparkline>
            <x14:sparkline>
              <xm:f>'Activity data'!AB19:BP19</xm:f>
              <xm:sqref>BR19</xm:sqref>
            </x14:sparkline>
            <x14:sparkline>
              <xm:f>'Activity data'!AB20:BP20</xm:f>
              <xm:sqref>BR20</xm:sqref>
            </x14:sparkline>
            <x14:sparkline>
              <xm:f>'Activity data'!AB21:BP21</xm:f>
              <xm:sqref>BR21</xm:sqref>
            </x14:sparkline>
            <x14:sparkline>
              <xm:f>'Activity data'!AB22:BP22</xm:f>
              <xm:sqref>BR22</xm:sqref>
            </x14:sparkline>
          </x14:sparklines>
        </x14:sparklineGroup>
        <x14:sparklineGroup displayEmptyCellsAs="gap" xr2:uid="{00000000-0003-0000-0D00-000002000000}">
          <x14:colorSeries rgb="FF376092"/>
          <x14:colorNegative rgb="FFD00000"/>
          <x14:colorAxis rgb="FF000000"/>
          <x14:colorMarkers rgb="FFD00000"/>
          <x14:colorFirst rgb="FFD00000"/>
          <x14:colorLast rgb="FFD00000"/>
          <x14:colorHigh rgb="FFD00000"/>
          <x14:colorLow rgb="FFD00000"/>
          <x14:sparklines>
            <x14:sparkline>
              <xm:f>'Activity data'!AB45:BP45</xm:f>
              <xm:sqref>BR45</xm:sqref>
            </x14:sparkline>
            <x14:sparkline>
              <xm:f>'Activity data'!AB46:BP46</xm:f>
              <xm:sqref>BR46</xm:sqref>
            </x14:sparkline>
            <x14:sparkline>
              <xm:f>'Activity data'!AB47:BP47</xm:f>
              <xm:sqref>BR47</xm:sqref>
            </x14:sparkline>
            <x14:sparkline>
              <xm:f>'Activity data'!AB48:BP48</xm:f>
              <xm:sqref>BR48</xm:sqref>
            </x14:sparkline>
          </x14:sparklines>
        </x14:sparklineGroup>
      </x14:sparklineGroup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AO221"/>
  <sheetViews>
    <sheetView topLeftCell="G37" workbookViewId="0">
      <selection activeCell="J32" sqref="J32"/>
    </sheetView>
  </sheetViews>
  <sheetFormatPr defaultColWidth="8.77734375" defaultRowHeight="14.4" x14ac:dyDescent="0.3"/>
  <cols>
    <col min="1" max="1" width="19.44140625" customWidth="1"/>
    <col min="2" max="2" width="33.109375" customWidth="1"/>
    <col min="3" max="3" width="27.6640625" customWidth="1"/>
    <col min="4" max="4" width="27.44140625" customWidth="1"/>
    <col min="5" max="5" width="24.44140625" customWidth="1"/>
    <col min="6" max="6" width="9" customWidth="1"/>
    <col min="7" max="7" width="16.44140625" customWidth="1"/>
    <col min="8" max="8" width="9.77734375" customWidth="1"/>
    <col min="12" max="12" width="9.77734375" customWidth="1"/>
    <col min="17" max="17" width="12" bestFit="1" customWidth="1"/>
  </cols>
  <sheetData>
    <row r="1" spans="1:41" ht="18" x14ac:dyDescent="0.35">
      <c r="A1" s="1" t="s">
        <v>143</v>
      </c>
    </row>
    <row r="3" spans="1:41" s="19" customFormat="1" ht="29.25" customHeight="1" x14ac:dyDescent="0.3">
      <c r="A3" s="17" t="s">
        <v>4</v>
      </c>
      <c r="B3" s="17" t="s">
        <v>313</v>
      </c>
      <c r="C3" s="17" t="s">
        <v>315</v>
      </c>
      <c r="D3" s="17" t="s">
        <v>149</v>
      </c>
      <c r="E3" s="17" t="s">
        <v>150</v>
      </c>
      <c r="F3" s="17" t="s">
        <v>5</v>
      </c>
      <c r="G3" s="17" t="s">
        <v>0</v>
      </c>
      <c r="H3" s="18" t="s">
        <v>751</v>
      </c>
      <c r="I3" s="18"/>
      <c r="J3" s="18" t="s">
        <v>1022</v>
      </c>
      <c r="K3" s="18"/>
      <c r="L3" s="18" t="s">
        <v>1023</v>
      </c>
      <c r="M3" s="18"/>
      <c r="N3" s="18" t="s">
        <v>1024</v>
      </c>
      <c r="O3" s="18"/>
      <c r="P3" s="18" t="s">
        <v>1025</v>
      </c>
      <c r="Q3" s="18"/>
      <c r="R3" s="18" t="s">
        <v>279</v>
      </c>
      <c r="S3" s="18"/>
      <c r="T3" s="18"/>
      <c r="U3" s="18"/>
      <c r="V3" s="18"/>
      <c r="W3" s="18"/>
      <c r="X3" s="18"/>
      <c r="Y3" s="18"/>
      <c r="Z3" s="18"/>
      <c r="AA3" s="18"/>
      <c r="AB3" s="18"/>
      <c r="AC3" s="18"/>
      <c r="AD3" s="18"/>
      <c r="AE3" s="18"/>
      <c r="AF3" s="18"/>
      <c r="AG3" s="18"/>
      <c r="AH3" s="18"/>
      <c r="AI3" s="18"/>
      <c r="AJ3" s="18"/>
      <c r="AK3" s="18"/>
      <c r="AL3" s="18"/>
      <c r="AM3" s="18"/>
      <c r="AN3" s="18"/>
      <c r="AO3" s="18"/>
    </row>
    <row r="4" spans="1:41" x14ac:dyDescent="0.3">
      <c r="A4" t="str">
        <f>'IPCC Categories'!A5</f>
        <v>3A Livestock</v>
      </c>
      <c r="B4" t="str">
        <f>'IPCC Categories'!B5</f>
        <v>3A1 Enteric fermentation (CH4)</v>
      </c>
      <c r="C4" t="str">
        <f>'Activity data'!C5</f>
        <v>3A1ai Dairy cattle</v>
      </c>
      <c r="D4" t="str">
        <f>'Activity data'!D5</f>
        <v>TMR</v>
      </c>
      <c r="E4" t="str">
        <f>'IPCC Categories'!F32&amp;" EF"</f>
        <v>Enteric fermentation EF</v>
      </c>
      <c r="F4" t="s">
        <v>121</v>
      </c>
      <c r="G4" t="s">
        <v>144</v>
      </c>
      <c r="H4" s="25">
        <f>SUM('Aggregated EF'!H8:H10)</f>
        <v>122.43852137301079</v>
      </c>
      <c r="J4">
        <v>6</v>
      </c>
      <c r="L4">
        <f>((H4*55.65)/365)/(J4/100)</f>
        <v>311.12802348895207</v>
      </c>
      <c r="N4">
        <f>L4/18.4515</f>
        <v>16.861936617020408</v>
      </c>
      <c r="P4">
        <f>(J4+POWER(9,-15))/0.3016</f>
        <v>19.893899204244047</v>
      </c>
      <c r="R4">
        <f>P4*N4*0.001*365</f>
        <v>122.4391286182849</v>
      </c>
      <c r="T4" s="100">
        <f>R4-H4</f>
        <v>6.0724527411082363E-4</v>
      </c>
    </row>
    <row r="5" spans="1:41" x14ac:dyDescent="0.3">
      <c r="A5" t="str">
        <f>A4</f>
        <v>3A Livestock</v>
      </c>
      <c r="B5" t="str">
        <f>B4</f>
        <v>3A1 Enteric fermentation (CH4)</v>
      </c>
      <c r="C5" t="str">
        <f>'Activity data'!C6</f>
        <v>3A1ai Dairy cattle</v>
      </c>
      <c r="D5" t="str">
        <f>'Activity data'!D6</f>
        <v>Pasture</v>
      </c>
      <c r="E5" t="str">
        <f t="shared" ref="E5:E17" si="0">E4</f>
        <v>Enteric fermentation EF</v>
      </c>
      <c r="F5" t="str">
        <f>F4</f>
        <v>CH4</v>
      </c>
      <c r="G5" t="str">
        <f>G4</f>
        <v>kg CH4/head/yr</v>
      </c>
      <c r="H5" s="25">
        <f>SUM('Aggregated EF'!H5:H7)</f>
        <v>118.18939556126456</v>
      </c>
      <c r="J5">
        <v>6.3</v>
      </c>
      <c r="L5">
        <f t="shared" ref="L5:L17" si="1">((H5*55.65)/365)/(J5/100)</f>
        <v>286.02913081036627</v>
      </c>
      <c r="N5">
        <f>L5/18.4515</f>
        <v>15.501673620592705</v>
      </c>
      <c r="P5">
        <f t="shared" ref="P5:P17" si="2">(J5+POWER(9,-15))/0.3016</f>
        <v>20.888594164456251</v>
      </c>
      <c r="R5">
        <f t="shared" ref="R5:R17" si="3">P5*N5*0.001*365</f>
        <v>118.18998173260263</v>
      </c>
      <c r="T5" s="100">
        <f t="shared" ref="T5:T17" si="4">R5-H5</f>
        <v>5.8617133807103983E-4</v>
      </c>
    </row>
    <row r="6" spans="1:41" x14ac:dyDescent="0.3">
      <c r="A6" t="str">
        <f t="shared" ref="A6:A69" si="5">A5</f>
        <v>3A Livestock</v>
      </c>
      <c r="B6" t="str">
        <f t="shared" ref="B6:B17" si="6">B5</f>
        <v>3A1 Enteric fermentation (CH4)</v>
      </c>
      <c r="C6" t="str">
        <f>'Activity data'!C7</f>
        <v>3A1aii Other cattle</v>
      </c>
      <c r="D6" t="str">
        <f>'Activity data'!D7</f>
        <v>Non-lactating</v>
      </c>
      <c r="E6" t="str">
        <f t="shared" si="0"/>
        <v>Enteric fermentation EF</v>
      </c>
      <c r="F6" t="str">
        <f>F5</f>
        <v>CH4</v>
      </c>
      <c r="G6" t="str">
        <f>G5</f>
        <v>kg CH4/head/yr</v>
      </c>
      <c r="H6" s="25">
        <f>SUM('Aggregated EF'!H12:H21)</f>
        <v>43.047261887683739</v>
      </c>
      <c r="J6">
        <v>7</v>
      </c>
      <c r="L6">
        <f t="shared" si="1"/>
        <v>93.760474522489218</v>
      </c>
      <c r="N6">
        <f t="shared" ref="N6:N17" si="7">L6/18.4515</f>
        <v>5.0814554113480863</v>
      </c>
      <c r="P6">
        <f t="shared" si="2"/>
        <v>23.209549071618053</v>
      </c>
      <c r="R6">
        <f t="shared" si="3"/>
        <v>43.047475384596716</v>
      </c>
      <c r="T6" s="100">
        <f t="shared" si="4"/>
        <v>2.1349691297700701E-4</v>
      </c>
    </row>
    <row r="7" spans="1:41" x14ac:dyDescent="0.3">
      <c r="A7" t="str">
        <f t="shared" si="5"/>
        <v>3A Livestock</v>
      </c>
      <c r="B7" t="str">
        <f t="shared" si="6"/>
        <v>3A1 Enteric fermentation (CH4)</v>
      </c>
      <c r="C7" t="str">
        <f>'Activity data'!C8</f>
        <v>3A1aii Other cattle</v>
      </c>
      <c r="D7" t="str">
        <f>'Activity data'!D8</f>
        <v>Commercial</v>
      </c>
      <c r="E7" t="str">
        <f>E5</f>
        <v>Enteric fermentation EF</v>
      </c>
      <c r="F7" t="str">
        <f>F5</f>
        <v>CH4</v>
      </c>
      <c r="G7" t="str">
        <f>G5</f>
        <v>kg CH4/head/yr</v>
      </c>
      <c r="H7" s="25">
        <f>SUM('Aggregated EF'!H22:H24,'Aggregated EF'!H26:H28)</f>
        <v>77.790815813890134</v>
      </c>
      <c r="J7">
        <v>7</v>
      </c>
      <c r="L7">
        <f t="shared" si="1"/>
        <v>169.43479060833602</v>
      </c>
      <c r="N7">
        <f t="shared" si="7"/>
        <v>9.1827109236829543</v>
      </c>
      <c r="P7">
        <f t="shared" si="2"/>
        <v>23.209549071618053</v>
      </c>
      <c r="R7">
        <f t="shared" si="3"/>
        <v>77.791201624701472</v>
      </c>
      <c r="T7" s="100">
        <f t="shared" si="4"/>
        <v>3.8581081133770567E-4</v>
      </c>
    </row>
    <row r="8" spans="1:41" x14ac:dyDescent="0.3">
      <c r="A8" t="str">
        <f t="shared" si="5"/>
        <v>3A Livestock</v>
      </c>
      <c r="B8" t="str">
        <f t="shared" si="6"/>
        <v>3A1 Enteric fermentation (CH4)</v>
      </c>
      <c r="C8" t="str">
        <f>'Activity data'!C9</f>
        <v>3A1aii Other cattle</v>
      </c>
      <c r="D8" t="str">
        <f>'Activity data'!D9</f>
        <v>Subsistence</v>
      </c>
      <c r="E8" t="str">
        <f t="shared" si="0"/>
        <v>Enteric fermentation EF</v>
      </c>
      <c r="F8" t="str">
        <f t="shared" ref="F8:F35" si="8">F7</f>
        <v>CH4</v>
      </c>
      <c r="G8" t="str">
        <f t="shared" ref="G8:G17" si="9">G7</f>
        <v>kg CH4/head/yr</v>
      </c>
      <c r="H8" s="25">
        <f>SUM('Aggregated EF'!H29:H34)</f>
        <v>61.771690572163486</v>
      </c>
      <c r="J8">
        <v>7</v>
      </c>
      <c r="L8">
        <f t="shared" si="1"/>
        <v>134.54381919142457</v>
      </c>
      <c r="N8">
        <f t="shared" si="7"/>
        <v>7.2917550980367221</v>
      </c>
      <c r="P8">
        <f t="shared" si="2"/>
        <v>23.209549071618053</v>
      </c>
      <c r="R8">
        <f t="shared" si="3"/>
        <v>61.771996934628113</v>
      </c>
      <c r="T8" s="100">
        <f t="shared" si="4"/>
        <v>3.0636246462734107E-4</v>
      </c>
    </row>
    <row r="9" spans="1:41" x14ac:dyDescent="0.3">
      <c r="A9" t="str">
        <f t="shared" si="5"/>
        <v>3A Livestock</v>
      </c>
      <c r="B9" t="str">
        <f t="shared" si="6"/>
        <v>3A1 Enteric fermentation (CH4)</v>
      </c>
      <c r="C9" t="str">
        <f>'Activity data'!C10</f>
        <v>3A1aii Other cattle</v>
      </c>
      <c r="D9" t="str">
        <f>'Activity data'!D10</f>
        <v>Feedlot</v>
      </c>
      <c r="E9" t="str">
        <f t="shared" si="0"/>
        <v>Enteric fermentation EF</v>
      </c>
      <c r="F9" t="str">
        <f t="shared" si="8"/>
        <v>CH4</v>
      </c>
      <c r="G9" t="str">
        <f t="shared" si="9"/>
        <v>kg CH4/head/yr</v>
      </c>
      <c r="H9" s="25">
        <f>'Aggregated EF'!H25</f>
        <v>58.9</v>
      </c>
      <c r="J9">
        <v>3</v>
      </c>
      <c r="L9">
        <f t="shared" si="1"/>
        <v>299.34109589041094</v>
      </c>
      <c r="N9">
        <f t="shared" si="7"/>
        <v>16.223130688042215</v>
      </c>
      <c r="P9">
        <f t="shared" si="2"/>
        <v>9.9469496021220323</v>
      </c>
      <c r="R9">
        <f t="shared" si="3"/>
        <v>58.900292120047261</v>
      </c>
      <c r="T9" s="100">
        <f t="shared" si="4"/>
        <v>2.9212004726275609E-4</v>
      </c>
    </row>
    <row r="10" spans="1:41" x14ac:dyDescent="0.3">
      <c r="A10" t="str">
        <f t="shared" si="5"/>
        <v>3A Livestock</v>
      </c>
      <c r="B10" t="str">
        <f t="shared" si="6"/>
        <v>3A1 Enteric fermentation (CH4)</v>
      </c>
      <c r="C10" t="str">
        <f>'Activity data'!C11</f>
        <v>3A1c Sheep</v>
      </c>
      <c r="D10" t="str">
        <f>'Activity data'!D11</f>
        <v>Commercial</v>
      </c>
      <c r="E10" t="str">
        <f t="shared" si="0"/>
        <v>Enteric fermentation EF</v>
      </c>
      <c r="F10" t="str">
        <f t="shared" si="8"/>
        <v>CH4</v>
      </c>
      <c r="G10" t="str">
        <f t="shared" si="9"/>
        <v>kg CH4/head/yr</v>
      </c>
      <c r="H10" s="25">
        <f>SUM('Aggregated EF'!H36:H59)</f>
        <v>6.9715683106127573</v>
      </c>
      <c r="J10">
        <v>6.7</v>
      </c>
      <c r="L10">
        <f t="shared" si="1"/>
        <v>15.864558433269265</v>
      </c>
      <c r="N10">
        <f t="shared" si="7"/>
        <v>0.85979776350265646</v>
      </c>
      <c r="P10">
        <f t="shared" si="2"/>
        <v>22.214854111405852</v>
      </c>
      <c r="R10">
        <f t="shared" si="3"/>
        <v>6.9716028867564583</v>
      </c>
      <c r="T10" s="100">
        <f t="shared" si="4"/>
        <v>3.4576143701059436E-5</v>
      </c>
    </row>
    <row r="11" spans="1:41" x14ac:dyDescent="0.3">
      <c r="A11" t="str">
        <f t="shared" si="5"/>
        <v>3A Livestock</v>
      </c>
      <c r="B11" t="str">
        <f t="shared" si="6"/>
        <v>3A1 Enteric fermentation (CH4)</v>
      </c>
      <c r="C11" t="str">
        <f>'Activity data'!C12</f>
        <v>3A1c Sheep</v>
      </c>
      <c r="D11" t="str">
        <f>'Activity data'!D12</f>
        <v>Subsistence</v>
      </c>
      <c r="E11" t="str">
        <f t="shared" si="0"/>
        <v>Enteric fermentation EF</v>
      </c>
      <c r="F11" t="str">
        <f t="shared" si="8"/>
        <v>CH4</v>
      </c>
      <c r="G11" t="str">
        <f t="shared" si="9"/>
        <v>kg CH4/head/yr</v>
      </c>
      <c r="H11" s="25">
        <f>SUM('Aggregated EF'!H60:H83)</f>
        <v>5.0562757874656858</v>
      </c>
      <c r="J11">
        <v>6.7</v>
      </c>
      <c r="L11">
        <f t="shared" si="1"/>
        <v>11.506102947146408</v>
      </c>
      <c r="N11">
        <f t="shared" si="7"/>
        <v>0.62358631803085973</v>
      </c>
      <c r="P11">
        <f t="shared" si="2"/>
        <v>22.214854111405852</v>
      </c>
      <c r="R11">
        <f t="shared" si="3"/>
        <v>5.0563008645373637</v>
      </c>
      <c r="T11" s="100">
        <f t="shared" si="4"/>
        <v>2.5077071677870322E-5</v>
      </c>
    </row>
    <row r="12" spans="1:41" x14ac:dyDescent="0.3">
      <c r="A12" t="str">
        <f t="shared" si="5"/>
        <v>3A Livestock</v>
      </c>
      <c r="B12" t="str">
        <f t="shared" si="6"/>
        <v>3A1 Enteric fermentation (CH4)</v>
      </c>
      <c r="C12" t="str">
        <f>'Activity data'!C13</f>
        <v>3A1d Goats</v>
      </c>
      <c r="D12" t="str">
        <f>'Activity data'!D13</f>
        <v>Commercial</v>
      </c>
      <c r="E12" t="str">
        <f t="shared" si="0"/>
        <v>Enteric fermentation EF</v>
      </c>
      <c r="F12" t="str">
        <f t="shared" si="8"/>
        <v>CH4</v>
      </c>
      <c r="G12" t="str">
        <f t="shared" si="9"/>
        <v>kg CH4/head/yr</v>
      </c>
      <c r="H12" s="25">
        <f>SUM('Aggregated EF'!H85:H102)</f>
        <v>7.3127480970496874</v>
      </c>
      <c r="J12">
        <v>5.5</v>
      </c>
      <c r="L12">
        <f t="shared" si="1"/>
        <v>20.271702694934749</v>
      </c>
      <c r="N12">
        <f t="shared" si="7"/>
        <v>1.0986479524664525</v>
      </c>
      <c r="P12">
        <f t="shared" si="2"/>
        <v>18.236074270557044</v>
      </c>
      <c r="R12">
        <f t="shared" si="3"/>
        <v>7.3127843653063831</v>
      </c>
      <c r="T12" s="100">
        <f t="shared" si="4"/>
        <v>3.6268256695670686E-5</v>
      </c>
    </row>
    <row r="13" spans="1:41" x14ac:dyDescent="0.3">
      <c r="A13" t="str">
        <f t="shared" si="5"/>
        <v>3A Livestock</v>
      </c>
      <c r="B13" t="str">
        <f t="shared" si="6"/>
        <v>3A1 Enteric fermentation (CH4)</v>
      </c>
      <c r="C13" t="str">
        <f>'Activity data'!C14</f>
        <v>3A1d Goats</v>
      </c>
      <c r="D13" t="str">
        <f>'Activity data'!D14</f>
        <v>Subsistence</v>
      </c>
      <c r="E13" t="str">
        <f t="shared" si="0"/>
        <v>Enteric fermentation EF</v>
      </c>
      <c r="F13" t="str">
        <f t="shared" si="8"/>
        <v>CH4</v>
      </c>
      <c r="G13" t="str">
        <f t="shared" si="9"/>
        <v>kg CH4/head/yr</v>
      </c>
      <c r="H13" s="25">
        <f>SUM('Aggregated EF'!H103:H108)</f>
        <v>5.5750300000000008</v>
      </c>
      <c r="J13">
        <v>5.5</v>
      </c>
      <c r="L13">
        <f t="shared" si="1"/>
        <v>15.454566351183065</v>
      </c>
      <c r="N13">
        <f t="shared" si="7"/>
        <v>0.83757777693862645</v>
      </c>
      <c r="P13">
        <f t="shared" si="2"/>
        <v>18.236074270557044</v>
      </c>
      <c r="R13">
        <f t="shared" si="3"/>
        <v>5.5750576498816118</v>
      </c>
      <c r="T13" s="100">
        <f t="shared" si="4"/>
        <v>2.7649881610969373E-5</v>
      </c>
    </row>
    <row r="14" spans="1:41" x14ac:dyDescent="0.3">
      <c r="A14" t="str">
        <f t="shared" si="5"/>
        <v>3A Livestock</v>
      </c>
      <c r="B14" t="str">
        <f t="shared" si="6"/>
        <v>3A1 Enteric fermentation (CH4)</v>
      </c>
      <c r="C14" t="str">
        <f>'Activity data'!C15</f>
        <v>3A1f Horses</v>
      </c>
      <c r="D14" t="str">
        <f>'Activity data'!D15</f>
        <v>Horses</v>
      </c>
      <c r="E14" t="str">
        <f t="shared" si="0"/>
        <v>Enteric fermentation EF</v>
      </c>
      <c r="F14" t="str">
        <f t="shared" si="8"/>
        <v>CH4</v>
      </c>
      <c r="G14" t="str">
        <f t="shared" si="9"/>
        <v>kg CH4/head/yr</v>
      </c>
      <c r="H14" s="25">
        <f>'Aggregated EF'!H110</f>
        <v>18</v>
      </c>
      <c r="J14">
        <v>6.5</v>
      </c>
      <c r="L14">
        <f t="shared" si="1"/>
        <v>42.221285563751316</v>
      </c>
      <c r="N14">
        <f t="shared" si="7"/>
        <v>2.2882305267187664</v>
      </c>
      <c r="P14">
        <f t="shared" si="2"/>
        <v>21.55172413793105</v>
      </c>
      <c r="R14">
        <f t="shared" si="3"/>
        <v>18.000089272679965</v>
      </c>
      <c r="T14" s="100">
        <f t="shared" si="4"/>
        <v>8.9272679964835788E-5</v>
      </c>
    </row>
    <row r="15" spans="1:41" x14ac:dyDescent="0.3">
      <c r="A15" t="str">
        <f t="shared" si="5"/>
        <v>3A Livestock</v>
      </c>
      <c r="B15" t="str">
        <f t="shared" si="6"/>
        <v>3A1 Enteric fermentation (CH4)</v>
      </c>
      <c r="C15" t="str">
        <f>'Activity data'!C16</f>
        <v>3A1g Mules &amp; asses</v>
      </c>
      <c r="D15" t="str">
        <f>'Activity data'!D16</f>
        <v>Mules &amp; Asses</v>
      </c>
      <c r="E15" t="str">
        <f t="shared" si="0"/>
        <v>Enteric fermentation EF</v>
      </c>
      <c r="F15" t="str">
        <f t="shared" si="8"/>
        <v>CH4</v>
      </c>
      <c r="G15" t="str">
        <f t="shared" si="9"/>
        <v>kg CH4/head/yr</v>
      </c>
      <c r="H15" s="25">
        <f>'Aggregated EF'!H112</f>
        <v>10</v>
      </c>
      <c r="J15">
        <v>6.5</v>
      </c>
      <c r="L15">
        <f t="shared" si="1"/>
        <v>23.456269757639621</v>
      </c>
      <c r="N15">
        <f t="shared" si="7"/>
        <v>1.2712391815104258</v>
      </c>
      <c r="P15">
        <f t="shared" si="2"/>
        <v>21.55172413793105</v>
      </c>
      <c r="R15">
        <f t="shared" si="3"/>
        <v>10.000049595933314</v>
      </c>
      <c r="T15" s="100">
        <f t="shared" si="4"/>
        <v>4.9595933313995033E-5</v>
      </c>
    </row>
    <row r="16" spans="1:41" x14ac:dyDescent="0.3">
      <c r="A16" t="str">
        <f t="shared" si="5"/>
        <v>3A Livestock</v>
      </c>
      <c r="B16" t="str">
        <f t="shared" si="6"/>
        <v>3A1 Enteric fermentation (CH4)</v>
      </c>
      <c r="C16" t="str">
        <f>'Activity data'!C17</f>
        <v>3A1h Swine</v>
      </c>
      <c r="D16" t="str">
        <f>'Activity data'!D17</f>
        <v>Commercial</v>
      </c>
      <c r="E16" t="str">
        <f t="shared" si="0"/>
        <v>Enteric fermentation EF</v>
      </c>
      <c r="F16" t="str">
        <f t="shared" si="8"/>
        <v>CH4</v>
      </c>
      <c r="G16" t="str">
        <f t="shared" si="9"/>
        <v>kg CH4/head/yr</v>
      </c>
      <c r="H16" s="25">
        <f>SUM('Aggregated EF'!H114:H123)</f>
        <v>1.1111400000000002</v>
      </c>
      <c r="J16">
        <v>0.7</v>
      </c>
      <c r="L16">
        <f t="shared" si="1"/>
        <v>24.201542465753434</v>
      </c>
      <c r="N16">
        <f t="shared" si="7"/>
        <v>1.3116300824189597</v>
      </c>
      <c r="P16">
        <f t="shared" si="2"/>
        <v>2.3209549071618198</v>
      </c>
      <c r="R16">
        <f t="shared" si="3"/>
        <v>1.1111455108025416</v>
      </c>
      <c r="T16" s="100">
        <f t="shared" si="4"/>
        <v>5.510802541408566E-6</v>
      </c>
    </row>
    <row r="17" spans="1:20" x14ac:dyDescent="0.3">
      <c r="A17" t="str">
        <f t="shared" si="5"/>
        <v>3A Livestock</v>
      </c>
      <c r="B17" t="str">
        <f t="shared" si="6"/>
        <v>3A1 Enteric fermentation (CH4)</v>
      </c>
      <c r="C17" t="str">
        <f>'Activity data'!C18</f>
        <v>3A1h Swine</v>
      </c>
      <c r="D17" t="str">
        <f>'Activity data'!D18</f>
        <v>Subsistence</v>
      </c>
      <c r="E17" t="str">
        <f t="shared" si="0"/>
        <v>Enteric fermentation EF</v>
      </c>
      <c r="F17" t="str">
        <f t="shared" si="8"/>
        <v>CH4</v>
      </c>
      <c r="G17" t="str">
        <f t="shared" si="9"/>
        <v>kg CH4/head/yr</v>
      </c>
      <c r="H17" s="25">
        <f>SUM('Aggregated EF'!H124:H133)</f>
        <v>1.1290500000000001</v>
      </c>
      <c r="J17">
        <v>0.7</v>
      </c>
      <c r="L17">
        <f t="shared" si="1"/>
        <v>24.591636986301374</v>
      </c>
      <c r="N17">
        <f t="shared" si="7"/>
        <v>1.3327716980354647</v>
      </c>
      <c r="P17">
        <f t="shared" si="2"/>
        <v>2.3209549071618198</v>
      </c>
      <c r="R17">
        <f t="shared" si="3"/>
        <v>1.129055599628858</v>
      </c>
      <c r="T17" s="100">
        <f t="shared" si="4"/>
        <v>5.59962885793297E-6</v>
      </c>
    </row>
    <row r="18" spans="1:20" x14ac:dyDescent="0.3">
      <c r="A18" t="str">
        <f t="shared" si="5"/>
        <v>3A Livestock</v>
      </c>
      <c r="B18" t="str">
        <f>'IPCC Categories'!B12</f>
        <v>3A2 Manure management (CH4)</v>
      </c>
      <c r="C18" t="str">
        <f>'Activity data'!C5</f>
        <v>3A1ai Dairy cattle</v>
      </c>
      <c r="D18" t="str">
        <f>'Activity data'!D5</f>
        <v>TMR</v>
      </c>
      <c r="E18" t="str">
        <f>'IPCC Categories'!F33&amp;" EF"</f>
        <v>Manure management EF</v>
      </c>
      <c r="F18" t="str">
        <f t="shared" si="8"/>
        <v>CH4</v>
      </c>
      <c r="G18" t="s">
        <v>144</v>
      </c>
      <c r="H18" s="25">
        <f>SUM('Aggregated EF'!N8:N10)</f>
        <v>12.458616998501393</v>
      </c>
    </row>
    <row r="19" spans="1:20" x14ac:dyDescent="0.3">
      <c r="A19" t="str">
        <f t="shared" si="5"/>
        <v>3A Livestock</v>
      </c>
      <c r="B19" t="str">
        <f>B18</f>
        <v>3A2 Manure management (CH4)</v>
      </c>
      <c r="C19" t="str">
        <f>'Activity data'!C6</f>
        <v>3A1ai Dairy cattle</v>
      </c>
      <c r="D19" t="str">
        <f>'Activity data'!D6</f>
        <v>Pasture</v>
      </c>
      <c r="E19" t="str">
        <f>E18</f>
        <v>Manure management EF</v>
      </c>
      <c r="F19" t="str">
        <f t="shared" si="8"/>
        <v>CH4</v>
      </c>
      <c r="G19" t="s">
        <v>144</v>
      </c>
      <c r="H19" s="25">
        <f>SUM('Aggregated EF'!N5:N7)</f>
        <v>4.2839434810533081</v>
      </c>
    </row>
    <row r="20" spans="1:20" x14ac:dyDescent="0.3">
      <c r="A20" t="str">
        <f t="shared" si="5"/>
        <v>3A Livestock</v>
      </c>
      <c r="B20" t="str">
        <f t="shared" ref="B20:B35" si="10">B19</f>
        <v>3A2 Manure management (CH4)</v>
      </c>
      <c r="C20" t="str">
        <f>'Activity data'!C7</f>
        <v>3A1aii Other cattle</v>
      </c>
      <c r="D20" t="str">
        <f>'Activity data'!D7</f>
        <v>Non-lactating</v>
      </c>
      <c r="E20" t="str">
        <f>E19</f>
        <v>Manure management EF</v>
      </c>
      <c r="F20" t="str">
        <f t="shared" si="8"/>
        <v>CH4</v>
      </c>
      <c r="G20" t="s">
        <v>144</v>
      </c>
      <c r="H20" s="25">
        <f>SUM('Aggregated EF'!N12:N21)</f>
        <v>0.71275396941061553</v>
      </c>
    </row>
    <row r="21" spans="1:20" x14ac:dyDescent="0.3">
      <c r="A21" t="str">
        <f t="shared" si="5"/>
        <v>3A Livestock</v>
      </c>
      <c r="B21" t="str">
        <f t="shared" si="10"/>
        <v>3A2 Manure management (CH4)</v>
      </c>
      <c r="C21" t="str">
        <f>'Activity data'!C8</f>
        <v>3A1aii Other cattle</v>
      </c>
      <c r="D21" t="str">
        <f>'Activity data'!D8</f>
        <v>Commercial</v>
      </c>
      <c r="E21" t="str">
        <f>E19</f>
        <v>Manure management EF</v>
      </c>
      <c r="F21" t="str">
        <f>F19</f>
        <v>CH4</v>
      </c>
      <c r="G21" t="s">
        <v>144</v>
      </c>
      <c r="H21" s="25">
        <f>SUM('Aggregated EF'!N22:N24,'Aggregated EF'!N26:N28)</f>
        <v>1.5931745829252119E-2</v>
      </c>
    </row>
    <row r="22" spans="1:20" x14ac:dyDescent="0.3">
      <c r="A22" t="str">
        <f t="shared" si="5"/>
        <v>3A Livestock</v>
      </c>
      <c r="B22" t="str">
        <f t="shared" si="10"/>
        <v>3A2 Manure management (CH4)</v>
      </c>
      <c r="C22" t="str">
        <f>'Activity data'!C9</f>
        <v>3A1aii Other cattle</v>
      </c>
      <c r="D22" t="str">
        <f>'Activity data'!D9</f>
        <v>Subsistence</v>
      </c>
      <c r="E22" t="str">
        <f t="shared" ref="E22:E56" si="11">E21</f>
        <v>Manure management EF</v>
      </c>
      <c r="F22" t="str">
        <f t="shared" si="8"/>
        <v>CH4</v>
      </c>
      <c r="G22" t="s">
        <v>144</v>
      </c>
      <c r="H22" s="25">
        <f>SUM('Aggregated EF'!N29:N34)</f>
        <v>1.3196902890530698E-2</v>
      </c>
    </row>
    <row r="23" spans="1:20" ht="15.6" x14ac:dyDescent="0.3">
      <c r="A23" t="str">
        <f t="shared" si="5"/>
        <v>3A Livestock</v>
      </c>
      <c r="B23" t="str">
        <f t="shared" si="10"/>
        <v>3A2 Manure management (CH4)</v>
      </c>
      <c r="C23" t="str">
        <f>'Activity data'!C10</f>
        <v>3A1aii Other cattle</v>
      </c>
      <c r="D23" t="str">
        <f>'Activity data'!D10</f>
        <v>Feedlot</v>
      </c>
      <c r="E23" t="str">
        <f t="shared" si="11"/>
        <v>Manure management EF</v>
      </c>
      <c r="F23" t="str">
        <f t="shared" si="8"/>
        <v>CH4</v>
      </c>
      <c r="G23" t="s">
        <v>144</v>
      </c>
      <c r="H23" s="25">
        <f>'Aggregated EF'!N25</f>
        <v>0.87</v>
      </c>
      <c r="N23" t="s">
        <v>1025</v>
      </c>
      <c r="O23" s="18" t="s">
        <v>1022</v>
      </c>
    </row>
    <row r="24" spans="1:20" x14ac:dyDescent="0.3">
      <c r="A24" t="str">
        <f t="shared" si="5"/>
        <v>3A Livestock</v>
      </c>
      <c r="B24" t="str">
        <f t="shared" si="10"/>
        <v>3A2 Manure management (CH4)</v>
      </c>
      <c r="C24" t="str">
        <f>'Activity data'!C11</f>
        <v>3A1c Sheep</v>
      </c>
      <c r="D24" t="str">
        <f>'Activity data'!D11</f>
        <v>Commercial</v>
      </c>
      <c r="E24" t="str">
        <f t="shared" si="11"/>
        <v>Manure management EF</v>
      </c>
      <c r="F24" t="str">
        <f t="shared" si="8"/>
        <v>CH4</v>
      </c>
      <c r="G24" t="s">
        <v>144</v>
      </c>
      <c r="H24" s="25">
        <f>SUM('Aggregated EF'!N36:N59)</f>
        <v>1.8957461499092729E-3</v>
      </c>
      <c r="N24">
        <v>21.549865229110516</v>
      </c>
      <c r="O24">
        <v>6.5</v>
      </c>
    </row>
    <row r="25" spans="1:20" x14ac:dyDescent="0.3">
      <c r="A25" t="str">
        <f t="shared" si="5"/>
        <v>3A Livestock</v>
      </c>
      <c r="B25" t="str">
        <f t="shared" si="10"/>
        <v>3A2 Manure management (CH4)</v>
      </c>
      <c r="C25" t="str">
        <f>'Activity data'!C12</f>
        <v>3A1c Sheep</v>
      </c>
      <c r="D25" t="str">
        <f>'Activity data'!D12</f>
        <v>Subsistence</v>
      </c>
      <c r="E25" t="str">
        <f t="shared" si="11"/>
        <v>Manure management EF</v>
      </c>
      <c r="F25" t="str">
        <f t="shared" si="8"/>
        <v>CH4</v>
      </c>
      <c r="G25" t="s">
        <v>144</v>
      </c>
      <c r="H25" s="25">
        <f>SUM('Aggregated EF'!N60:N83)</f>
        <v>1.4489063415995907E-3</v>
      </c>
      <c r="N25">
        <v>16.576819407008088</v>
      </c>
      <c r="O25">
        <v>5</v>
      </c>
    </row>
    <row r="26" spans="1:20" x14ac:dyDescent="0.3">
      <c r="A26" t="str">
        <f t="shared" si="5"/>
        <v>3A Livestock</v>
      </c>
      <c r="B26" t="str">
        <f t="shared" si="10"/>
        <v>3A2 Manure management (CH4)</v>
      </c>
      <c r="C26" t="str">
        <f>'Activity data'!C13</f>
        <v>3A1d Goats</v>
      </c>
      <c r="D26" t="str">
        <f>'Activity data'!D13</f>
        <v>Commercial</v>
      </c>
      <c r="E26" t="str">
        <f t="shared" si="11"/>
        <v>Manure management EF</v>
      </c>
      <c r="F26" t="str">
        <f t="shared" si="8"/>
        <v>CH4</v>
      </c>
      <c r="G26" t="s">
        <v>144</v>
      </c>
      <c r="H26" s="25">
        <f>SUM('Aggregated EF'!N85:N102)</f>
        <v>7.6349095476515513E-3</v>
      </c>
      <c r="N26">
        <v>13.26145552560647</v>
      </c>
      <c r="O26">
        <v>4</v>
      </c>
    </row>
    <row r="27" spans="1:20" x14ac:dyDescent="0.3">
      <c r="A27" t="str">
        <f t="shared" si="5"/>
        <v>3A Livestock</v>
      </c>
      <c r="B27" t="str">
        <f t="shared" si="10"/>
        <v>3A2 Manure management (CH4)</v>
      </c>
      <c r="C27" t="str">
        <f>'Activity data'!C14</f>
        <v>3A1d Goats</v>
      </c>
      <c r="D27" t="str">
        <f>'Activity data'!D14</f>
        <v>Subsistence</v>
      </c>
      <c r="E27" t="str">
        <f t="shared" si="11"/>
        <v>Manure management EF</v>
      </c>
      <c r="F27" t="str">
        <f t="shared" si="8"/>
        <v>CH4</v>
      </c>
      <c r="G27" t="s">
        <v>144</v>
      </c>
      <c r="H27" s="25">
        <f>SUM('Aggregated EF'!N103:N108)</f>
        <v>6.6239999999999988E-3</v>
      </c>
      <c r="N27">
        <v>9.9460916442048521</v>
      </c>
      <c r="O27">
        <v>3</v>
      </c>
    </row>
    <row r="28" spans="1:20" x14ac:dyDescent="0.3">
      <c r="A28" t="str">
        <f t="shared" si="5"/>
        <v>3A Livestock</v>
      </c>
      <c r="B28" t="str">
        <f t="shared" si="10"/>
        <v>3A2 Manure management (CH4)</v>
      </c>
      <c r="C28" t="str">
        <f>'Activity data'!C15</f>
        <v>3A1f Horses</v>
      </c>
      <c r="D28" t="str">
        <f>'Activity data'!D15</f>
        <v>Horses</v>
      </c>
      <c r="E28" t="str">
        <f t="shared" si="11"/>
        <v>Manure management EF</v>
      </c>
      <c r="F28" t="str">
        <f t="shared" si="8"/>
        <v>CH4</v>
      </c>
      <c r="G28" t="s">
        <v>144</v>
      </c>
      <c r="H28" s="25">
        <f>'Aggregated EF'!N110</f>
        <v>1.34E-2</v>
      </c>
      <c r="N28">
        <v>6.6307277628032333</v>
      </c>
      <c r="O28">
        <v>2</v>
      </c>
    </row>
    <row r="29" spans="1:20" x14ac:dyDescent="0.3">
      <c r="A29" t="str">
        <f t="shared" si="5"/>
        <v>3A Livestock</v>
      </c>
      <c r="B29" t="str">
        <f t="shared" si="10"/>
        <v>3A2 Manure management (CH4)</v>
      </c>
      <c r="C29" t="str">
        <f>'Activity data'!C16</f>
        <v>3A1g Mules &amp; asses</v>
      </c>
      <c r="D29" t="str">
        <f>'Activity data'!D16</f>
        <v>Mules &amp; Asses</v>
      </c>
      <c r="E29" t="str">
        <f t="shared" si="11"/>
        <v>Manure management EF</v>
      </c>
      <c r="F29" t="str">
        <f t="shared" si="8"/>
        <v>CH4</v>
      </c>
      <c r="G29" t="s">
        <v>144</v>
      </c>
      <c r="H29" s="25">
        <f>'Aggregated EF'!N112</f>
        <v>4.4999999999999997E-3</v>
      </c>
      <c r="N29">
        <v>3.3153638814016171</v>
      </c>
      <c r="O29">
        <v>1</v>
      </c>
    </row>
    <row r="30" spans="1:20" x14ac:dyDescent="0.3">
      <c r="A30" t="str">
        <f t="shared" si="5"/>
        <v>3A Livestock</v>
      </c>
      <c r="B30" t="str">
        <f t="shared" si="10"/>
        <v>3A2 Manure management (CH4)</v>
      </c>
      <c r="C30" t="str">
        <f>'Activity data'!C17</f>
        <v>3A1h Swine</v>
      </c>
      <c r="D30" t="str">
        <f>'Activity data'!D17</f>
        <v>Commercial</v>
      </c>
      <c r="E30" t="str">
        <f t="shared" si="11"/>
        <v>Manure management EF</v>
      </c>
      <c r="F30" t="str">
        <f t="shared" si="8"/>
        <v>CH4</v>
      </c>
      <c r="G30" t="s">
        <v>144</v>
      </c>
      <c r="H30" s="25">
        <f>SUM('Aggregated EF'!N114:N123)</f>
        <v>14.057009999999998</v>
      </c>
      <c r="N30">
        <v>19.892183288409704</v>
      </c>
      <c r="O30">
        <v>6</v>
      </c>
    </row>
    <row r="31" spans="1:20" x14ac:dyDescent="0.3">
      <c r="A31" t="str">
        <f t="shared" si="5"/>
        <v>3A Livestock</v>
      </c>
      <c r="B31" t="str">
        <f t="shared" si="10"/>
        <v>3A2 Manure management (CH4)</v>
      </c>
      <c r="C31" t="str">
        <f>'Activity data'!C18</f>
        <v>3A1h Swine</v>
      </c>
      <c r="D31" t="str">
        <f>'Activity data'!D18</f>
        <v>Subsistence</v>
      </c>
      <c r="E31" t="str">
        <f t="shared" si="11"/>
        <v>Manure management EF</v>
      </c>
      <c r="F31" t="str">
        <f t="shared" si="8"/>
        <v>CH4</v>
      </c>
      <c r="G31" t="s">
        <v>144</v>
      </c>
      <c r="H31" s="25">
        <f>SUM('Aggregated EF'!N124:N133)</f>
        <v>0.34509999999999996</v>
      </c>
      <c r="N31">
        <v>16.576819407008085</v>
      </c>
      <c r="O31">
        <v>5</v>
      </c>
    </row>
    <row r="32" spans="1:20" x14ac:dyDescent="0.3">
      <c r="A32" t="str">
        <f t="shared" si="5"/>
        <v>3A Livestock</v>
      </c>
      <c r="B32" t="str">
        <f t="shared" si="10"/>
        <v>3A2 Manure management (CH4)</v>
      </c>
      <c r="C32" t="str">
        <f>'Activity data'!C19</f>
        <v>3A2i Poultry</v>
      </c>
      <c r="D32" t="str">
        <f>'Activity data'!D19</f>
        <v>Commercial layers</v>
      </c>
      <c r="E32" t="str">
        <f t="shared" si="11"/>
        <v>Manure management EF</v>
      </c>
      <c r="F32" t="str">
        <f t="shared" si="8"/>
        <v>CH4</v>
      </c>
      <c r="G32" t="s">
        <v>144</v>
      </c>
      <c r="H32" s="25">
        <f>'Aggregated EF'!N136</f>
        <v>2.35E-2</v>
      </c>
      <c r="N32">
        <v>13.26145552560647</v>
      </c>
      <c r="O32">
        <v>4</v>
      </c>
    </row>
    <row r="33" spans="1:15" x14ac:dyDescent="0.3">
      <c r="A33" t="str">
        <f t="shared" si="5"/>
        <v>3A Livestock</v>
      </c>
      <c r="B33" t="str">
        <f t="shared" si="10"/>
        <v>3A2 Manure management (CH4)</v>
      </c>
      <c r="C33" t="str">
        <f>'Activity data'!C20</f>
        <v>3A2i Poultry</v>
      </c>
      <c r="D33" t="str">
        <f>'Activity data'!D20</f>
        <v>Commercial broilers</v>
      </c>
      <c r="E33" t="str">
        <f t="shared" si="11"/>
        <v>Manure management EF</v>
      </c>
      <c r="F33" t="str">
        <f t="shared" si="8"/>
        <v>CH4</v>
      </c>
      <c r="G33" t="s">
        <v>144</v>
      </c>
      <c r="H33" s="25">
        <f>'Aggregated EF'!N135</f>
        <v>2.35E-2</v>
      </c>
      <c r="N33">
        <v>9.9460916442048521</v>
      </c>
      <c r="O33">
        <v>3</v>
      </c>
    </row>
    <row r="34" spans="1:15" x14ac:dyDescent="0.3">
      <c r="A34" t="str">
        <f t="shared" si="5"/>
        <v>3A Livestock</v>
      </c>
      <c r="B34" t="str">
        <f t="shared" si="10"/>
        <v>3A2 Manure management (CH4)</v>
      </c>
      <c r="C34" t="str">
        <f>'Activity data'!C21</f>
        <v>3A2i Poultry</v>
      </c>
      <c r="D34" t="str">
        <f>'Activity data'!D21</f>
        <v>Subsistence layers</v>
      </c>
      <c r="E34" t="str">
        <f t="shared" si="11"/>
        <v>Manure management EF</v>
      </c>
      <c r="F34" t="str">
        <f t="shared" si="8"/>
        <v>CH4</v>
      </c>
      <c r="G34" t="s">
        <v>144</v>
      </c>
      <c r="H34" s="25">
        <f>'Aggregated EF'!N138</f>
        <v>2.35E-2</v>
      </c>
      <c r="N34">
        <v>6.6307277628032342</v>
      </c>
      <c r="O34">
        <v>2</v>
      </c>
    </row>
    <row r="35" spans="1:15" x14ac:dyDescent="0.3">
      <c r="A35" t="str">
        <f t="shared" si="5"/>
        <v>3A Livestock</v>
      </c>
      <c r="B35" t="str">
        <f t="shared" si="10"/>
        <v>3A2 Manure management (CH4)</v>
      </c>
      <c r="C35" t="str">
        <f>'Activity data'!C22</f>
        <v>3A2i Poultry</v>
      </c>
      <c r="D35" t="str">
        <f>'Activity data'!D22</f>
        <v>Subsistence broilers</v>
      </c>
      <c r="E35" t="str">
        <f t="shared" si="11"/>
        <v>Manure management EF</v>
      </c>
      <c r="F35" t="str">
        <f t="shared" si="8"/>
        <v>CH4</v>
      </c>
      <c r="G35" t="s">
        <v>144</v>
      </c>
      <c r="H35" s="25">
        <f>'Aggregated EF'!N137</f>
        <v>2.35E-2</v>
      </c>
      <c r="N35">
        <v>6.6307277628032342</v>
      </c>
      <c r="O35">
        <v>2</v>
      </c>
    </row>
    <row r="36" spans="1:15" x14ac:dyDescent="0.3">
      <c r="A36" t="str">
        <f t="shared" si="5"/>
        <v>3A Livestock</v>
      </c>
      <c r="B36" t="str">
        <f>'IPCC Categories'!B20</f>
        <v>3A2 Manure management (N2O)</v>
      </c>
      <c r="C36" t="str">
        <f>C18</f>
        <v>3A1ai Dairy cattle</v>
      </c>
      <c r="D36" t="str">
        <f t="shared" ref="D36:E37" si="12">D18</f>
        <v>TMR</v>
      </c>
      <c r="E36" t="str">
        <f t="shared" si="12"/>
        <v>Manure management EF</v>
      </c>
      <c r="F36" t="s">
        <v>139</v>
      </c>
      <c r="G36" t="s">
        <v>311</v>
      </c>
      <c r="H36" s="25">
        <f>SUM('Aggregated EF'!T8:T10)</f>
        <v>128.28236394776278</v>
      </c>
      <c r="N36">
        <v>19.892183288409701</v>
      </c>
      <c r="O36">
        <v>6</v>
      </c>
    </row>
    <row r="37" spans="1:15" x14ac:dyDescent="0.3">
      <c r="A37" t="str">
        <f t="shared" si="5"/>
        <v>3A Livestock</v>
      </c>
      <c r="B37" t="str">
        <f>B36</f>
        <v>3A2 Manure management (N2O)</v>
      </c>
      <c r="C37" t="str">
        <f>C19</f>
        <v>3A1ai Dairy cattle</v>
      </c>
      <c r="D37" t="str">
        <f t="shared" si="12"/>
        <v>Pasture</v>
      </c>
      <c r="E37" t="str">
        <f t="shared" si="12"/>
        <v>Manure management EF</v>
      </c>
      <c r="F37" t="str">
        <f>F36</f>
        <v>N2O</v>
      </c>
      <c r="G37" t="str">
        <f>G36</f>
        <v>kg N/head/yr</v>
      </c>
      <c r="H37" s="25">
        <f>SUM('Aggregated EF'!T5:T7)</f>
        <v>116.88195504174696</v>
      </c>
      <c r="N37">
        <v>16.576819407008088</v>
      </c>
      <c r="O37">
        <v>5</v>
      </c>
    </row>
    <row r="38" spans="1:15" x14ac:dyDescent="0.3">
      <c r="A38" t="str">
        <f t="shared" si="5"/>
        <v>3A Livestock</v>
      </c>
      <c r="B38" t="str">
        <f t="shared" ref="B38:B71" si="13">B37</f>
        <v>3A2 Manure management (N2O)</v>
      </c>
      <c r="C38" t="str">
        <f t="shared" ref="C38:E38" si="14">C20</f>
        <v>3A1aii Other cattle</v>
      </c>
      <c r="D38" t="str">
        <f t="shared" si="14"/>
        <v>Non-lactating</v>
      </c>
      <c r="E38" t="str">
        <f t="shared" si="14"/>
        <v>Manure management EF</v>
      </c>
      <c r="F38" t="str">
        <f t="shared" ref="F38:F53" si="15">F37</f>
        <v>N2O</v>
      </c>
      <c r="G38" t="str">
        <f t="shared" ref="G38:G53" si="16">G37</f>
        <v>kg N/head/yr</v>
      </c>
      <c r="H38" s="25">
        <f>SUM('Aggregated EF'!T12:T21)</f>
        <v>40.496928454397946</v>
      </c>
    </row>
    <row r="39" spans="1:15" x14ac:dyDescent="0.3">
      <c r="A39" t="str">
        <f t="shared" si="5"/>
        <v>3A Livestock</v>
      </c>
      <c r="B39" t="str">
        <f t="shared" si="13"/>
        <v>3A2 Manure management (N2O)</v>
      </c>
      <c r="C39" t="str">
        <f t="shared" ref="C39:E39" si="17">C21</f>
        <v>3A1aii Other cattle</v>
      </c>
      <c r="D39" t="str">
        <f t="shared" si="17"/>
        <v>Commercial</v>
      </c>
      <c r="E39" t="str">
        <f t="shared" si="17"/>
        <v>Manure management EF</v>
      </c>
      <c r="F39" t="str">
        <f t="shared" si="15"/>
        <v>N2O</v>
      </c>
      <c r="G39" t="str">
        <f t="shared" si="16"/>
        <v>kg N/head/yr</v>
      </c>
      <c r="H39" s="25">
        <f>SUM('Aggregated EF'!T22:T24,'Aggregated EF'!T26:T28)</f>
        <v>86.354881619987609</v>
      </c>
    </row>
    <row r="40" spans="1:15" x14ac:dyDescent="0.3">
      <c r="A40" t="str">
        <f t="shared" si="5"/>
        <v>3A Livestock</v>
      </c>
      <c r="B40" t="str">
        <f t="shared" si="13"/>
        <v>3A2 Manure management (N2O)</v>
      </c>
      <c r="C40" t="str">
        <f t="shared" ref="C40:E40" si="18">C22</f>
        <v>3A1aii Other cattle</v>
      </c>
      <c r="D40" t="str">
        <f t="shared" si="18"/>
        <v>Subsistence</v>
      </c>
      <c r="E40" t="str">
        <f t="shared" si="18"/>
        <v>Manure management EF</v>
      </c>
      <c r="F40" t="str">
        <f t="shared" si="15"/>
        <v>N2O</v>
      </c>
      <c r="G40" t="str">
        <f t="shared" si="16"/>
        <v>kg N/head/yr</v>
      </c>
      <c r="H40" s="25">
        <f>SUM('Aggregated EF'!T29:T34)</f>
        <v>64.633710943402036</v>
      </c>
    </row>
    <row r="41" spans="1:15" x14ac:dyDescent="0.3">
      <c r="A41" t="str">
        <f t="shared" si="5"/>
        <v>3A Livestock</v>
      </c>
      <c r="B41" t="str">
        <f t="shared" si="13"/>
        <v>3A2 Manure management (N2O)</v>
      </c>
      <c r="C41" t="str">
        <f t="shared" ref="C41:E41" si="19">C23</f>
        <v>3A1aii Other cattle</v>
      </c>
      <c r="D41" t="str">
        <f t="shared" si="19"/>
        <v>Feedlot</v>
      </c>
      <c r="E41" t="str">
        <f t="shared" si="19"/>
        <v>Manure management EF</v>
      </c>
      <c r="F41" t="str">
        <f t="shared" si="15"/>
        <v>N2O</v>
      </c>
      <c r="G41" t="str">
        <f t="shared" si="16"/>
        <v>kg N/head/yr</v>
      </c>
      <c r="H41" s="25">
        <f>'Aggregated EF'!T25</f>
        <v>65.765699999999995</v>
      </c>
    </row>
    <row r="42" spans="1:15" x14ac:dyDescent="0.3">
      <c r="A42" t="str">
        <f t="shared" si="5"/>
        <v>3A Livestock</v>
      </c>
      <c r="B42" t="str">
        <f t="shared" si="13"/>
        <v>3A2 Manure management (N2O)</v>
      </c>
      <c r="C42" t="str">
        <f t="shared" ref="C42:E42" si="20">C24</f>
        <v>3A1c Sheep</v>
      </c>
      <c r="D42" t="str">
        <f t="shared" si="20"/>
        <v>Commercial</v>
      </c>
      <c r="E42" t="str">
        <f t="shared" si="20"/>
        <v>Manure management EF</v>
      </c>
      <c r="F42" t="str">
        <f t="shared" si="15"/>
        <v>N2O</v>
      </c>
      <c r="G42" t="str">
        <f t="shared" si="16"/>
        <v>kg N/head/yr</v>
      </c>
      <c r="H42" s="25">
        <f>SUM('Aggregated EF'!T36:T59)</f>
        <v>19.60551595998232</v>
      </c>
    </row>
    <row r="43" spans="1:15" x14ac:dyDescent="0.3">
      <c r="A43" t="str">
        <f t="shared" si="5"/>
        <v>3A Livestock</v>
      </c>
      <c r="B43" t="str">
        <f t="shared" si="13"/>
        <v>3A2 Manure management (N2O)</v>
      </c>
      <c r="C43" t="str">
        <f t="shared" ref="C43:E43" si="21">C25</f>
        <v>3A1c Sheep</v>
      </c>
      <c r="D43" t="str">
        <f t="shared" si="21"/>
        <v>Subsistence</v>
      </c>
      <c r="E43" t="str">
        <f t="shared" si="21"/>
        <v>Manure management EF</v>
      </c>
      <c r="F43" t="str">
        <f t="shared" si="15"/>
        <v>N2O</v>
      </c>
      <c r="G43" t="str">
        <f t="shared" si="16"/>
        <v>kg N/head/yr</v>
      </c>
      <c r="H43" s="25">
        <f>SUM('Aggregated EF'!T60:T83)</f>
        <v>15.591414113527657</v>
      </c>
    </row>
    <row r="44" spans="1:15" x14ac:dyDescent="0.3">
      <c r="A44" t="str">
        <f t="shared" si="5"/>
        <v>3A Livestock</v>
      </c>
      <c r="B44" t="str">
        <f t="shared" si="13"/>
        <v>3A2 Manure management (N2O)</v>
      </c>
      <c r="C44" t="str">
        <f t="shared" ref="C44:E44" si="22">C26</f>
        <v>3A1d Goats</v>
      </c>
      <c r="D44" t="str">
        <f t="shared" si="22"/>
        <v>Commercial</v>
      </c>
      <c r="E44" t="str">
        <f t="shared" si="22"/>
        <v>Manure management EF</v>
      </c>
      <c r="F44" t="str">
        <f t="shared" si="15"/>
        <v>N2O</v>
      </c>
      <c r="G44" t="str">
        <f t="shared" si="16"/>
        <v>kg N/head/yr</v>
      </c>
      <c r="H44" s="25">
        <f>SUM('Aggregated EF'!T85:T102)</f>
        <v>22.287353637058541</v>
      </c>
    </row>
    <row r="45" spans="1:15" x14ac:dyDescent="0.3">
      <c r="A45" t="str">
        <f t="shared" si="5"/>
        <v>3A Livestock</v>
      </c>
      <c r="B45" t="str">
        <f t="shared" si="13"/>
        <v>3A2 Manure management (N2O)</v>
      </c>
      <c r="C45" t="str">
        <f t="shared" ref="C45:E45" si="23">C27</f>
        <v>3A1d Goats</v>
      </c>
      <c r="D45" t="str">
        <f t="shared" si="23"/>
        <v>Subsistence</v>
      </c>
      <c r="E45" t="str">
        <f t="shared" si="23"/>
        <v>Manure management EF</v>
      </c>
      <c r="F45" t="str">
        <f t="shared" si="15"/>
        <v>N2O</v>
      </c>
      <c r="G45" t="str">
        <f t="shared" si="16"/>
        <v>kg N/head/yr</v>
      </c>
      <c r="H45" s="25">
        <f>SUM('Aggregated EF'!T103:T108)</f>
        <v>20.227322529999995</v>
      </c>
    </row>
    <row r="46" spans="1:15" x14ac:dyDescent="0.3">
      <c r="A46" t="str">
        <f t="shared" si="5"/>
        <v>3A Livestock</v>
      </c>
      <c r="B46" t="str">
        <f t="shared" si="13"/>
        <v>3A2 Manure management (N2O)</v>
      </c>
      <c r="C46" t="str">
        <f t="shared" ref="C46:E46" si="24">C28</f>
        <v>3A1f Horses</v>
      </c>
      <c r="D46" t="str">
        <f t="shared" si="24"/>
        <v>Horses</v>
      </c>
      <c r="E46" t="str">
        <f t="shared" si="24"/>
        <v>Manure management EF</v>
      </c>
      <c r="F46" t="str">
        <f t="shared" si="15"/>
        <v>N2O</v>
      </c>
      <c r="G46" t="str">
        <f t="shared" si="16"/>
        <v>kg N/head/yr</v>
      </c>
      <c r="H46" s="25">
        <f>'Aggregated EF'!T110</f>
        <v>39.5</v>
      </c>
    </row>
    <row r="47" spans="1:15" x14ac:dyDescent="0.3">
      <c r="A47" t="str">
        <f t="shared" si="5"/>
        <v>3A Livestock</v>
      </c>
      <c r="B47" t="str">
        <f t="shared" si="13"/>
        <v>3A2 Manure management (N2O)</v>
      </c>
      <c r="C47" t="str">
        <f t="shared" ref="C47:E47" si="25">C29</f>
        <v>3A1g Mules &amp; asses</v>
      </c>
      <c r="D47" t="str">
        <f t="shared" si="25"/>
        <v>Mules &amp; Asses</v>
      </c>
      <c r="E47" t="str">
        <f t="shared" si="25"/>
        <v>Manure management EF</v>
      </c>
      <c r="F47" t="str">
        <f t="shared" si="15"/>
        <v>N2O</v>
      </c>
      <c r="G47" t="str">
        <f t="shared" si="16"/>
        <v>kg N/head/yr</v>
      </c>
      <c r="H47" s="25">
        <f>'Aggregated EF'!T112</f>
        <v>13.2</v>
      </c>
    </row>
    <row r="48" spans="1:15" x14ac:dyDescent="0.3">
      <c r="A48" t="str">
        <f t="shared" si="5"/>
        <v>3A Livestock</v>
      </c>
      <c r="B48" t="str">
        <f t="shared" si="13"/>
        <v>3A2 Manure management (N2O)</v>
      </c>
      <c r="C48" t="str">
        <f t="shared" ref="C48:E48" si="26">C30</f>
        <v>3A1h Swine</v>
      </c>
      <c r="D48" t="str">
        <f t="shared" si="26"/>
        <v>Commercial</v>
      </c>
      <c r="E48" t="str">
        <f t="shared" si="26"/>
        <v>Manure management EF</v>
      </c>
      <c r="F48" t="str">
        <f t="shared" si="15"/>
        <v>N2O</v>
      </c>
      <c r="G48" t="str">
        <f t="shared" si="16"/>
        <v>kg N/head/yr</v>
      </c>
      <c r="H48" s="25">
        <f>SUM('Aggregated EF'!T114:T123)</f>
        <v>13.769600000000001</v>
      </c>
    </row>
    <row r="49" spans="1:41" x14ac:dyDescent="0.3">
      <c r="A49" t="str">
        <f t="shared" si="5"/>
        <v>3A Livestock</v>
      </c>
      <c r="B49" t="str">
        <f t="shared" si="13"/>
        <v>3A2 Manure management (N2O)</v>
      </c>
      <c r="C49" t="str">
        <f t="shared" ref="C49:E49" si="27">C31</f>
        <v>3A1h Swine</v>
      </c>
      <c r="D49" t="str">
        <f t="shared" si="27"/>
        <v>Subsistence</v>
      </c>
      <c r="E49" t="str">
        <f t="shared" si="27"/>
        <v>Manure management EF</v>
      </c>
      <c r="F49" t="str">
        <f t="shared" si="15"/>
        <v>N2O</v>
      </c>
      <c r="G49" t="str">
        <f t="shared" si="16"/>
        <v>kg N/head/yr</v>
      </c>
      <c r="H49" s="25">
        <f>SUM('Aggregated EF'!T124:T133)</f>
        <v>15.091520000000001</v>
      </c>
    </row>
    <row r="50" spans="1:41" x14ac:dyDescent="0.3">
      <c r="A50" t="str">
        <f t="shared" si="5"/>
        <v>3A Livestock</v>
      </c>
      <c r="B50" t="str">
        <f t="shared" si="13"/>
        <v>3A2 Manure management (N2O)</v>
      </c>
      <c r="C50" t="str">
        <f t="shared" ref="C50:E50" si="28">C32</f>
        <v>3A2i Poultry</v>
      </c>
      <c r="D50" t="str">
        <f t="shared" si="28"/>
        <v>Commercial layers</v>
      </c>
      <c r="E50" t="str">
        <f t="shared" si="28"/>
        <v>Manure management EF</v>
      </c>
      <c r="F50" t="str">
        <f t="shared" si="15"/>
        <v>N2O</v>
      </c>
      <c r="G50" t="str">
        <f t="shared" si="16"/>
        <v>kg N/head/yr</v>
      </c>
      <c r="H50" s="25">
        <f>'Aggregated EF'!T136</f>
        <v>0.6</v>
      </c>
    </row>
    <row r="51" spans="1:41" x14ac:dyDescent="0.3">
      <c r="A51" t="str">
        <f t="shared" si="5"/>
        <v>3A Livestock</v>
      </c>
      <c r="B51" t="str">
        <f t="shared" si="13"/>
        <v>3A2 Manure management (N2O)</v>
      </c>
      <c r="C51" t="str">
        <f t="shared" ref="C51:E51" si="29">C33</f>
        <v>3A2i Poultry</v>
      </c>
      <c r="D51" t="str">
        <f t="shared" si="29"/>
        <v>Commercial broilers</v>
      </c>
      <c r="E51" t="str">
        <f t="shared" si="29"/>
        <v>Manure management EF</v>
      </c>
      <c r="F51" t="str">
        <f t="shared" si="15"/>
        <v>N2O</v>
      </c>
      <c r="G51" t="str">
        <f t="shared" si="16"/>
        <v>kg N/head/yr</v>
      </c>
      <c r="H51" s="25">
        <f>'Aggregated EF'!T135</f>
        <v>0.7</v>
      </c>
    </row>
    <row r="52" spans="1:41" x14ac:dyDescent="0.3">
      <c r="A52" t="str">
        <f t="shared" si="5"/>
        <v>3A Livestock</v>
      </c>
      <c r="B52" t="str">
        <f t="shared" si="13"/>
        <v>3A2 Manure management (N2O)</v>
      </c>
      <c r="C52" t="str">
        <f t="shared" ref="C52:E52" si="30">C34</f>
        <v>3A2i Poultry</v>
      </c>
      <c r="D52" t="str">
        <f t="shared" si="30"/>
        <v>Subsistence layers</v>
      </c>
      <c r="E52" t="str">
        <f t="shared" si="30"/>
        <v>Manure management EF</v>
      </c>
      <c r="F52" t="str">
        <f t="shared" si="15"/>
        <v>N2O</v>
      </c>
      <c r="G52" t="str">
        <f t="shared" si="16"/>
        <v>kg N/head/yr</v>
      </c>
      <c r="H52" s="25">
        <f>'Aggregated EF'!T138</f>
        <v>0.6</v>
      </c>
    </row>
    <row r="53" spans="1:41" x14ac:dyDescent="0.3">
      <c r="A53" t="str">
        <f t="shared" si="5"/>
        <v>3A Livestock</v>
      </c>
      <c r="B53" t="str">
        <f t="shared" si="13"/>
        <v>3A2 Manure management (N2O)</v>
      </c>
      <c r="C53" t="str">
        <f t="shared" ref="C53:E53" si="31">C35</f>
        <v>3A2i Poultry</v>
      </c>
      <c r="D53" t="str">
        <f t="shared" si="31"/>
        <v>Subsistence broilers</v>
      </c>
      <c r="E53" t="str">
        <f t="shared" si="31"/>
        <v>Manure management EF</v>
      </c>
      <c r="F53" t="str">
        <f t="shared" si="15"/>
        <v>N2O</v>
      </c>
      <c r="G53" t="str">
        <f t="shared" si="16"/>
        <v>kg N/head/yr</v>
      </c>
      <c r="H53" s="25">
        <f>'Aggregated EF'!T137</f>
        <v>0.7</v>
      </c>
    </row>
    <row r="54" spans="1:41" x14ac:dyDescent="0.3">
      <c r="A54" t="str">
        <f t="shared" si="5"/>
        <v>3A Livestock</v>
      </c>
      <c r="B54" t="str">
        <f t="shared" si="13"/>
        <v>3A2 Manure management (N2O)</v>
      </c>
      <c r="C54" t="str">
        <f>'Activity data'!C5</f>
        <v>3A1ai Dairy cattle</v>
      </c>
      <c r="D54" t="str">
        <f>'Activity data'!D5</f>
        <v>TMR</v>
      </c>
      <c r="E54" t="str">
        <f>E35</f>
        <v>Manure management EF</v>
      </c>
      <c r="F54" t="s">
        <v>139</v>
      </c>
      <c r="G54" s="12" t="s">
        <v>145</v>
      </c>
      <c r="H54" s="25">
        <f>(('Mitigation drivers'!C12*LagoonN2O)+('Mitigation drivers'!C13*LiquidN2O)+('Mitigation drivers'!C14*DrylotN2O)+('Mitigation drivers'!C15*SolidStorageN2O)+('Mitigation drivers'!C16*DailyspreadN2O)+('Mitigation drivers'!C17*CompostN2O)+('Mitigation drivers'!C18*ManwithbedN2O)+('Mitigation drivers'!C19*PMwithoutlitterN2O)+('Mitigation drivers'!C20*PMwithlitterN2O)+('Mitigation drivers'!C22*DigesterN2OEF))/100</f>
        <v>5.0000000000000001E-4</v>
      </c>
      <c r="I54" s="25">
        <f>(('Mitigation drivers'!D12*LagoonN2O)+('Mitigation drivers'!D13*LiquidN2O)+('Mitigation drivers'!D14*DrylotN2O)+('Mitigation drivers'!D15*SolidStorageN2O)+('Mitigation drivers'!D16*DailyspreadN2O)+('Mitigation drivers'!D17*CompostN2O)+('Mitigation drivers'!D18*ManwithbedN2O)+('Mitigation drivers'!D19*PMwithoutlitterN2O)+('Mitigation drivers'!D20*PMwithlitterN2O)+('Mitigation drivers'!D22*DigesterN2OEF))/100</f>
        <v>5.0000000000000001E-4</v>
      </c>
      <c r="J54" s="25">
        <f>(('Mitigation drivers'!E12*LagoonN2O)+('Mitigation drivers'!E13*LiquidN2O)+('Mitigation drivers'!E14*DrylotN2O)+('Mitigation drivers'!E15*SolidStorageN2O)+('Mitigation drivers'!E16*DailyspreadN2O)+('Mitigation drivers'!E17*CompostN2O)+('Mitigation drivers'!E18*ManwithbedN2O)+('Mitigation drivers'!E19*PMwithoutlitterN2O)+('Mitigation drivers'!E20*PMwithlitterN2O)+('Mitigation drivers'!E22*DigesterN2OEF))/100</f>
        <v>5.0000000000000001E-4</v>
      </c>
      <c r="K54" s="25">
        <f>(('Mitigation drivers'!F12*LagoonN2O)+('Mitigation drivers'!F13*LiquidN2O)+('Mitigation drivers'!F14*DrylotN2O)+('Mitigation drivers'!F15*SolidStorageN2O)+('Mitigation drivers'!F16*DailyspreadN2O)+('Mitigation drivers'!F17*CompostN2O)+('Mitigation drivers'!F18*ManwithbedN2O)+('Mitigation drivers'!F19*PMwithoutlitterN2O)+('Mitigation drivers'!F20*PMwithlitterN2O)+('Mitigation drivers'!F22*DigesterN2OEF))/100</f>
        <v>5.0000000000000001E-4</v>
      </c>
      <c r="L54" s="25">
        <f>(('Mitigation drivers'!G12*LagoonN2O)+('Mitigation drivers'!G13*LiquidN2O)+('Mitigation drivers'!G14*DrylotN2O)+('Mitigation drivers'!G15*SolidStorageN2O)+('Mitigation drivers'!G16*DailyspreadN2O)+('Mitigation drivers'!G17*CompostN2O)+('Mitigation drivers'!G18*ManwithbedN2O)+('Mitigation drivers'!G19*PMwithoutlitterN2O)+('Mitigation drivers'!G20*PMwithlitterN2O)+('Mitigation drivers'!G22*DigesterN2OEF))/100</f>
        <v>5.0000000000000001E-4</v>
      </c>
      <c r="M54" s="25">
        <f>(('Mitigation drivers'!H12*LagoonN2O)+('Mitigation drivers'!H13*LiquidN2O)+('Mitigation drivers'!H14*DrylotN2O)+('Mitigation drivers'!H15*SolidStorageN2O)+('Mitigation drivers'!H16*DailyspreadN2O)+('Mitigation drivers'!H17*CompostN2O)+('Mitigation drivers'!H18*ManwithbedN2O)+('Mitigation drivers'!H19*PMwithoutlitterN2O)+('Mitigation drivers'!H20*PMwithlitterN2O)+('Mitigation drivers'!H22*DigesterN2OEF))/100</f>
        <v>5.0000000000000001E-4</v>
      </c>
      <c r="N54" s="25">
        <f>(('Mitigation drivers'!I12*LagoonN2O)+('Mitigation drivers'!I13*LiquidN2O)+('Mitigation drivers'!I14*DrylotN2O)+('Mitigation drivers'!I15*SolidStorageN2O)+('Mitigation drivers'!I16*DailyspreadN2O)+('Mitigation drivers'!I17*CompostN2O)+('Mitigation drivers'!I18*ManwithbedN2O)+('Mitigation drivers'!I19*PMwithoutlitterN2O)+('Mitigation drivers'!I20*PMwithlitterN2O)+('Mitigation drivers'!I22*DigesterN2OEF))/100</f>
        <v>5.0000000000000001E-4</v>
      </c>
      <c r="O54" s="25">
        <f>(('Mitigation drivers'!J12*LagoonN2O)+('Mitigation drivers'!J13*LiquidN2O)+('Mitigation drivers'!J14*DrylotN2O)+('Mitigation drivers'!J15*SolidStorageN2O)+('Mitigation drivers'!J16*DailyspreadN2O)+('Mitigation drivers'!J17*CompostN2O)+('Mitigation drivers'!J18*ManwithbedN2O)+('Mitigation drivers'!J19*PMwithoutlitterN2O)+('Mitigation drivers'!J20*PMwithlitterN2O)+('Mitigation drivers'!J22*DigesterN2OEF))/100</f>
        <v>5.0000000000000001E-4</v>
      </c>
      <c r="P54" s="25">
        <f>(('Mitigation drivers'!K12*LagoonN2O)+('Mitigation drivers'!K13*LiquidN2O)+('Mitigation drivers'!K14*DrylotN2O)+('Mitigation drivers'!K15*SolidStorageN2O)+('Mitigation drivers'!K16*DailyspreadN2O)+('Mitigation drivers'!K17*CompostN2O)+('Mitigation drivers'!K18*ManwithbedN2O)+('Mitigation drivers'!K19*PMwithoutlitterN2O)+('Mitigation drivers'!K20*PMwithlitterN2O)+('Mitigation drivers'!K22*DigesterN2OEF))/100</f>
        <v>5.0000000000000001E-4</v>
      </c>
      <c r="Q54" s="25">
        <f>(('Mitigation drivers'!L12*LagoonN2O)+('Mitigation drivers'!L13*LiquidN2O)+('Mitigation drivers'!L14*DrylotN2O)+('Mitigation drivers'!L15*SolidStorageN2O)+('Mitigation drivers'!L16*DailyspreadN2O)+('Mitigation drivers'!L17*CompostN2O)+('Mitigation drivers'!L18*ManwithbedN2O)+('Mitigation drivers'!L19*PMwithoutlitterN2O)+('Mitigation drivers'!L20*PMwithlitterN2O)+('Mitigation drivers'!L22*DigesterN2OEF))/100</f>
        <v>5.0000000000000001E-4</v>
      </c>
      <c r="R54" s="25">
        <f>(('Mitigation drivers'!M12*LagoonN2O)+('Mitigation drivers'!M13*LiquidN2O)+('Mitigation drivers'!M14*DrylotN2O)+('Mitigation drivers'!M15*SolidStorageN2O)+('Mitigation drivers'!M16*DailyspreadN2O)+('Mitigation drivers'!M17*CompostN2O)+('Mitigation drivers'!M18*ManwithbedN2O)+('Mitigation drivers'!M19*PMwithoutlitterN2O)+('Mitigation drivers'!M20*PMwithlitterN2O)+('Mitigation drivers'!M22*DigesterN2OEF))/100</f>
        <v>5.0000000000000001E-4</v>
      </c>
      <c r="S54" s="25">
        <f>(('Mitigation drivers'!N12*LagoonN2O)+('Mitigation drivers'!N13*LiquidN2O)+('Mitigation drivers'!N14*DrylotN2O)+('Mitigation drivers'!N15*SolidStorageN2O)+('Mitigation drivers'!N16*DailyspreadN2O)+('Mitigation drivers'!N17*CompostN2O)+('Mitigation drivers'!N18*ManwithbedN2O)+('Mitigation drivers'!N19*PMwithoutlitterN2O)+('Mitigation drivers'!N20*PMwithlitterN2O)+('Mitigation drivers'!N22*DigesterN2OEF))/100</f>
        <v>5.0000000000000001E-4</v>
      </c>
      <c r="T54" s="25">
        <f>(('Mitigation drivers'!O12*LagoonN2O)+('Mitigation drivers'!O13*LiquidN2O)+('Mitigation drivers'!O14*DrylotN2O)+('Mitigation drivers'!O15*SolidStorageN2O)+('Mitigation drivers'!O16*DailyspreadN2O)+('Mitigation drivers'!O17*CompostN2O)+('Mitigation drivers'!O18*ManwithbedN2O)+('Mitigation drivers'!O19*PMwithoutlitterN2O)+('Mitigation drivers'!O20*PMwithlitterN2O)+('Mitigation drivers'!O22*DigesterN2OEF))/100</f>
        <v>5.0000000000000001E-4</v>
      </c>
      <c r="U54" s="25">
        <f>(('Mitigation drivers'!P12*LagoonN2O)+('Mitigation drivers'!P13*LiquidN2O)+('Mitigation drivers'!P14*DrylotN2O)+('Mitigation drivers'!P15*SolidStorageN2O)+('Mitigation drivers'!P16*DailyspreadN2O)+('Mitigation drivers'!P17*CompostN2O)+('Mitigation drivers'!P18*ManwithbedN2O)+('Mitigation drivers'!P19*PMwithoutlitterN2O)+('Mitigation drivers'!P20*PMwithlitterN2O)+('Mitigation drivers'!P22*DigesterN2OEF))/100</f>
        <v>5.0000000000000001E-4</v>
      </c>
      <c r="V54" s="25">
        <f>(('Mitigation drivers'!Q12*LagoonN2O)+('Mitigation drivers'!Q13*LiquidN2O)+('Mitigation drivers'!Q14*DrylotN2O)+('Mitigation drivers'!Q15*SolidStorageN2O)+('Mitigation drivers'!Q16*DailyspreadN2O)+('Mitigation drivers'!Q17*CompostN2O)+('Mitigation drivers'!Q18*ManwithbedN2O)+('Mitigation drivers'!Q19*PMwithoutlitterN2O)+('Mitigation drivers'!Q20*PMwithlitterN2O)+('Mitigation drivers'!Q22*DigesterN2OEF))/100</f>
        <v>5.0000000000000001E-4</v>
      </c>
      <c r="W54" s="25">
        <f>(('Mitigation drivers'!R12*LagoonN2O)+('Mitigation drivers'!R13*LiquidN2O)+('Mitigation drivers'!R14*DrylotN2O)+('Mitigation drivers'!R15*SolidStorageN2O)+('Mitigation drivers'!R16*DailyspreadN2O)+('Mitigation drivers'!R17*CompostN2O)+('Mitigation drivers'!R18*ManwithbedN2O)+('Mitigation drivers'!R19*PMwithoutlitterN2O)+('Mitigation drivers'!R20*PMwithlitterN2O)+('Mitigation drivers'!R22*DigesterN2OEF))/100</f>
        <v>5.0000000000000001E-4</v>
      </c>
      <c r="X54" s="25">
        <f>(('Mitigation drivers'!S12*LagoonN2O)+('Mitigation drivers'!S13*LiquidN2O)+('Mitigation drivers'!S14*DrylotN2O)+('Mitigation drivers'!S15*SolidStorageN2O)+('Mitigation drivers'!S16*DailyspreadN2O)+('Mitigation drivers'!S17*CompostN2O)+('Mitigation drivers'!S18*ManwithbedN2O)+('Mitigation drivers'!S19*PMwithoutlitterN2O)+('Mitigation drivers'!S20*PMwithlitterN2O)+('Mitigation drivers'!S22*DigesterN2OEF))/100</f>
        <v>5.0000000000000001E-4</v>
      </c>
      <c r="Y54" s="25">
        <f>(('Mitigation drivers'!T12*LagoonN2O)+('Mitigation drivers'!T13*LiquidN2O)+('Mitigation drivers'!T14*DrylotN2O)+('Mitigation drivers'!T15*SolidStorageN2O)+('Mitigation drivers'!T16*DailyspreadN2O)+('Mitigation drivers'!T17*CompostN2O)+('Mitigation drivers'!T18*ManwithbedN2O)+('Mitigation drivers'!T19*PMwithoutlitterN2O)+('Mitigation drivers'!T20*PMwithlitterN2O)+('Mitigation drivers'!T22*DigesterN2OEF))/100</f>
        <v>5.0000000000000001E-4</v>
      </c>
      <c r="Z54" s="25">
        <f>(('Mitigation drivers'!U12*LagoonN2O)+('Mitigation drivers'!U13*LiquidN2O)+('Mitigation drivers'!U14*DrylotN2O)+('Mitigation drivers'!U15*SolidStorageN2O)+('Mitigation drivers'!U16*DailyspreadN2O)+('Mitigation drivers'!U17*CompostN2O)+('Mitigation drivers'!U18*ManwithbedN2O)+('Mitigation drivers'!U19*PMwithoutlitterN2O)+('Mitigation drivers'!U20*PMwithlitterN2O)+('Mitigation drivers'!U22*DigesterN2OEF))/100</f>
        <v>5.0000000000000001E-4</v>
      </c>
      <c r="AA54" s="25">
        <f>(('Mitigation drivers'!V12*LagoonN2O)+('Mitigation drivers'!V13*LiquidN2O)+('Mitigation drivers'!V14*DrylotN2O)+('Mitigation drivers'!V15*SolidStorageN2O)+('Mitigation drivers'!V16*DailyspreadN2O)+('Mitigation drivers'!V17*CompostN2O)+('Mitigation drivers'!V18*ManwithbedN2O)+('Mitigation drivers'!V19*PMwithoutlitterN2O)+('Mitigation drivers'!V20*PMwithlitterN2O)+('Mitigation drivers'!V22*DigesterN2OEF))/100</f>
        <v>5.0000000000000001E-4</v>
      </c>
      <c r="AB54" s="25">
        <f>(('Mitigation drivers'!W12*LagoonN2O)+('Mitigation drivers'!W13*LiquidN2O)+('Mitigation drivers'!W14*DrylotN2O)+('Mitigation drivers'!W15*SolidStorageN2O)+('Mitigation drivers'!W16*DailyspreadN2O)+('Mitigation drivers'!W17*CompostN2O)+('Mitigation drivers'!W18*ManwithbedN2O)+('Mitigation drivers'!W19*PMwithoutlitterN2O)+('Mitigation drivers'!W20*PMwithlitterN2O)+('Mitigation drivers'!W22*DigesterN2OEF))/100</f>
        <v>5.0000000000000001E-4</v>
      </c>
      <c r="AC54" s="25">
        <f>(('Mitigation drivers'!X12*LagoonN2O)+('Mitigation drivers'!X13*LiquidN2O)+('Mitigation drivers'!X14*DrylotN2O)+('Mitigation drivers'!X15*SolidStorageN2O)+('Mitigation drivers'!X16*DailyspreadN2O)+('Mitigation drivers'!X17*CompostN2O)+('Mitigation drivers'!X18*ManwithbedN2O)+('Mitigation drivers'!X19*PMwithoutlitterN2O)+('Mitigation drivers'!X20*PMwithlitterN2O)+('Mitigation drivers'!X22*DigesterN2OEF))/100</f>
        <v>5.0000000000000001E-4</v>
      </c>
      <c r="AD54" s="25">
        <f>(('Mitigation drivers'!Y12*LagoonN2O)+('Mitigation drivers'!Y13*LiquidN2O)+('Mitigation drivers'!Y14*DrylotN2O)+('Mitigation drivers'!Y15*SolidStorageN2O)+('Mitigation drivers'!Y16*DailyspreadN2O)+('Mitigation drivers'!Y17*CompostN2O)+('Mitigation drivers'!Y18*ManwithbedN2O)+('Mitigation drivers'!Y19*PMwithoutlitterN2O)+('Mitigation drivers'!Y20*PMwithlitterN2O)+('Mitigation drivers'!Y22*DigesterN2OEF))/100</f>
        <v>5.0000000000000001E-4</v>
      </c>
      <c r="AE54" s="25">
        <f>(('Mitigation drivers'!Z12*LagoonN2O)+('Mitigation drivers'!Z13*LiquidN2O)+('Mitigation drivers'!Z14*DrylotN2O)+('Mitigation drivers'!Z15*SolidStorageN2O)+('Mitigation drivers'!Z16*DailyspreadN2O)+('Mitigation drivers'!Z17*CompostN2O)+('Mitigation drivers'!Z18*ManwithbedN2O)+('Mitigation drivers'!Z19*PMwithoutlitterN2O)+('Mitigation drivers'!Z20*PMwithlitterN2O)+('Mitigation drivers'!Z22*DigesterN2OEF))/100</f>
        <v>5.0000000000000001E-4</v>
      </c>
      <c r="AF54" s="25">
        <f>(('Mitigation drivers'!AA12*LagoonN2O)+('Mitigation drivers'!AA13*LiquidN2O)+('Mitigation drivers'!AA14*DrylotN2O)+('Mitigation drivers'!AA15*SolidStorageN2O)+('Mitigation drivers'!AA16*DailyspreadN2O)+('Mitigation drivers'!AA17*CompostN2O)+('Mitigation drivers'!AA18*ManwithbedN2O)+('Mitigation drivers'!AA19*PMwithoutlitterN2O)+('Mitigation drivers'!AA20*PMwithlitterN2O)+('Mitigation drivers'!AA22*DigesterN2OEF))/100</f>
        <v>5.0000000000000001E-4</v>
      </c>
      <c r="AG54" s="25">
        <f>(('Mitigation drivers'!AB12*LagoonN2O)+('Mitigation drivers'!AB13*LiquidN2O)+('Mitigation drivers'!AB14*DrylotN2O)+('Mitigation drivers'!AB15*SolidStorageN2O)+('Mitigation drivers'!AB16*DailyspreadN2O)+('Mitigation drivers'!AB17*CompostN2O)+('Mitigation drivers'!AB18*ManwithbedN2O)+('Mitigation drivers'!AB19*PMwithoutlitterN2O)+('Mitigation drivers'!AB20*PMwithlitterN2O)+('Mitigation drivers'!AB22*DigesterN2OEF))/100</f>
        <v>5.0000000000000001E-4</v>
      </c>
      <c r="AH54" s="25">
        <f>(('Mitigation drivers'!AC12*LagoonN2O)+('Mitigation drivers'!AC13*LiquidN2O)+('Mitigation drivers'!AC14*DrylotN2O)+('Mitigation drivers'!AC15*SolidStorageN2O)+('Mitigation drivers'!AC16*DailyspreadN2O)+('Mitigation drivers'!AC17*CompostN2O)+('Mitigation drivers'!AC18*ManwithbedN2O)+('Mitigation drivers'!AC19*PMwithoutlitterN2O)+('Mitigation drivers'!AC20*PMwithlitterN2O)+('Mitigation drivers'!AC22*DigesterN2OEF))/100</f>
        <v>5.0000000000000001E-4</v>
      </c>
      <c r="AI54" s="25">
        <f>(('Mitigation drivers'!AD12*LagoonN2O)+('Mitigation drivers'!AD13*LiquidN2O)+('Mitigation drivers'!AD14*DrylotN2O)+('Mitigation drivers'!AD15*SolidStorageN2O)+('Mitigation drivers'!AD16*DailyspreadN2O)+('Mitigation drivers'!AD17*CompostN2O)+('Mitigation drivers'!AD18*ManwithbedN2O)+('Mitigation drivers'!AD19*PMwithoutlitterN2O)+('Mitigation drivers'!AD20*PMwithlitterN2O)+('Mitigation drivers'!AD22*DigesterN2OEF))/100</f>
        <v>5.0000000000000001E-4</v>
      </c>
      <c r="AJ54" s="25">
        <f>(('Mitigation drivers'!AE12*LagoonN2O)+('Mitigation drivers'!AE13*LiquidN2O)+('Mitigation drivers'!AE14*DrylotN2O)+('Mitigation drivers'!AE15*SolidStorageN2O)+('Mitigation drivers'!AE16*DailyspreadN2O)+('Mitigation drivers'!AE17*CompostN2O)+('Mitigation drivers'!AE18*ManwithbedN2O)+('Mitigation drivers'!AE19*PMwithoutlitterN2O)+('Mitigation drivers'!AE20*PMwithlitterN2O)+('Mitigation drivers'!AE22*DigesterN2OEF))/100</f>
        <v>5.0000000000000001E-4</v>
      </c>
      <c r="AK54" s="25">
        <f>(('Mitigation drivers'!AF12*LagoonN2O)+('Mitigation drivers'!AF13*LiquidN2O)+('Mitigation drivers'!AF14*DrylotN2O)+('Mitigation drivers'!AF15*SolidStorageN2O)+('Mitigation drivers'!AF16*DailyspreadN2O)+('Mitigation drivers'!AF17*CompostN2O)+('Mitigation drivers'!AF18*ManwithbedN2O)+('Mitigation drivers'!AF19*PMwithoutlitterN2O)+('Mitigation drivers'!AF20*PMwithlitterN2O)+('Mitigation drivers'!AF22*DigesterN2OEF))/100</f>
        <v>5.0000000000000001E-4</v>
      </c>
      <c r="AL54" s="25">
        <f>(('Mitigation drivers'!AG12*LagoonN2O)+('Mitigation drivers'!AG13*LiquidN2O)+('Mitigation drivers'!AG14*DrylotN2O)+('Mitigation drivers'!AG15*SolidStorageN2O)+('Mitigation drivers'!AG16*DailyspreadN2O)+('Mitigation drivers'!AG17*CompostN2O)+('Mitigation drivers'!AG18*ManwithbedN2O)+('Mitigation drivers'!AG19*PMwithoutlitterN2O)+('Mitigation drivers'!AG20*PMwithlitterN2O)+('Mitigation drivers'!AG22*DigesterN2OEF))/100</f>
        <v>5.0000000000000001E-4</v>
      </c>
      <c r="AM54" s="25">
        <f>(('Mitigation drivers'!AH12*LagoonN2O)+('Mitigation drivers'!AH13*LiquidN2O)+('Mitigation drivers'!AH14*DrylotN2O)+('Mitigation drivers'!AH15*SolidStorageN2O)+('Mitigation drivers'!AH16*DailyspreadN2O)+('Mitigation drivers'!AH17*CompostN2O)+('Mitigation drivers'!AH18*ManwithbedN2O)+('Mitigation drivers'!AH19*PMwithoutlitterN2O)+('Mitigation drivers'!AH20*PMwithlitterN2O)+('Mitigation drivers'!AH22*DigesterN2OEF))/100</f>
        <v>5.0000000000000001E-4</v>
      </c>
      <c r="AN54" s="25">
        <f>(('Mitigation drivers'!AI12*LagoonN2O)+('Mitigation drivers'!AI13*LiquidN2O)+('Mitigation drivers'!AI14*DrylotN2O)+('Mitigation drivers'!AI15*SolidStorageN2O)+('Mitigation drivers'!AI16*DailyspreadN2O)+('Mitigation drivers'!AI17*CompostN2O)+('Mitigation drivers'!AI18*ManwithbedN2O)+('Mitigation drivers'!AI19*PMwithoutlitterN2O)+('Mitigation drivers'!AI20*PMwithlitterN2O)+('Mitigation drivers'!AI22*DigesterN2OEF))/100</f>
        <v>5.0000000000000001E-4</v>
      </c>
      <c r="AO54" s="25">
        <f>(('Mitigation drivers'!AJ12*LagoonN2O)+('Mitigation drivers'!AJ13*LiquidN2O)+('Mitigation drivers'!AJ14*DrylotN2O)+('Mitigation drivers'!AJ15*SolidStorageN2O)+('Mitigation drivers'!AJ16*DailyspreadN2O)+('Mitigation drivers'!AJ17*CompostN2O)+('Mitigation drivers'!AJ18*ManwithbedN2O)+('Mitigation drivers'!AJ19*PMwithoutlitterN2O)+('Mitigation drivers'!AJ20*PMwithlitterN2O)+('Mitigation drivers'!AJ22*DigesterN2OEF))/100</f>
        <v>5.0000000000000001E-4</v>
      </c>
    </row>
    <row r="55" spans="1:41" x14ac:dyDescent="0.3">
      <c r="A55" t="str">
        <f t="shared" si="5"/>
        <v>3A Livestock</v>
      </c>
      <c r="B55" t="str">
        <f t="shared" si="13"/>
        <v>3A2 Manure management (N2O)</v>
      </c>
      <c r="C55" t="str">
        <f>'Activity data'!C6</f>
        <v>3A1ai Dairy cattle</v>
      </c>
      <c r="D55" t="str">
        <f>'Activity data'!D6</f>
        <v>Pasture</v>
      </c>
      <c r="E55" t="str">
        <f t="shared" si="11"/>
        <v>Manure management EF</v>
      </c>
      <c r="F55" t="str">
        <f>F54</f>
        <v>N2O</v>
      </c>
      <c r="G55" t="str">
        <f>G54</f>
        <v>kg N2O-N/kg Nex</v>
      </c>
      <c r="H55" s="25">
        <f>(('Mitigation drivers'!C24*LagoonN2O)+('Mitigation drivers'!C25*LiquidN2O)+('Mitigation drivers'!C26*DrylotN2O)+('Mitigation drivers'!C27*SolidStorageN2O)+('Mitigation drivers'!C28*DailyspreadN2O)+('Mitigation drivers'!C29*CompostN2O)+('Mitigation drivers'!C30*ManwithbedN2O)+('Mitigation drivers'!C31*PMwithoutlitterN2O)+('Mitigation drivers'!C32*PMwithlitterN2O)+('Mitigation drivers'!C34*DigesterN2OEF))/100</f>
        <v>2.9000000000000002E-3</v>
      </c>
      <c r="I55" s="25">
        <f>(('Mitigation drivers'!D24*LagoonN2O)+('Mitigation drivers'!D25*LiquidN2O)+('Mitigation drivers'!D26*DrylotN2O)+('Mitigation drivers'!D27*SolidStorageN2O)+('Mitigation drivers'!D28*DailyspreadN2O)+('Mitigation drivers'!D29*CompostN2O)+('Mitigation drivers'!D30*ManwithbedN2O)+('Mitigation drivers'!D31*PMwithoutlitterN2O)+('Mitigation drivers'!D32*PMwithlitterN2O)+('Mitigation drivers'!D34*DigesterN2OEF))/100</f>
        <v>2.9000000000000002E-3</v>
      </c>
      <c r="J55" s="25">
        <f>(('Mitigation drivers'!E24*LagoonN2O)+('Mitigation drivers'!E25*LiquidN2O)+('Mitigation drivers'!E26*DrylotN2O)+('Mitigation drivers'!E27*SolidStorageN2O)+('Mitigation drivers'!E28*DailyspreadN2O)+('Mitigation drivers'!E29*CompostN2O)+('Mitigation drivers'!E30*ManwithbedN2O)+('Mitigation drivers'!E31*PMwithoutlitterN2O)+('Mitigation drivers'!E32*PMwithlitterN2O)+('Mitigation drivers'!E34*DigesterN2OEF))/100</f>
        <v>2.9000000000000002E-3</v>
      </c>
      <c r="K55" s="25">
        <f>(('Mitigation drivers'!F24*LagoonN2O)+('Mitigation drivers'!F25*LiquidN2O)+('Mitigation drivers'!F26*DrylotN2O)+('Mitigation drivers'!F27*SolidStorageN2O)+('Mitigation drivers'!F28*DailyspreadN2O)+('Mitigation drivers'!F29*CompostN2O)+('Mitigation drivers'!F30*ManwithbedN2O)+('Mitigation drivers'!F31*PMwithoutlitterN2O)+('Mitigation drivers'!F32*PMwithlitterN2O)+('Mitigation drivers'!F34*DigesterN2OEF))/100</f>
        <v>2.9000000000000002E-3</v>
      </c>
      <c r="L55" s="25">
        <f>(('Mitigation drivers'!G24*LagoonN2O)+('Mitigation drivers'!G25*LiquidN2O)+('Mitigation drivers'!G26*DrylotN2O)+('Mitigation drivers'!G27*SolidStorageN2O)+('Mitigation drivers'!G28*DailyspreadN2O)+('Mitigation drivers'!G29*CompostN2O)+('Mitigation drivers'!G30*ManwithbedN2O)+('Mitigation drivers'!G31*PMwithoutlitterN2O)+('Mitigation drivers'!G32*PMwithlitterN2O)+('Mitigation drivers'!G34*DigesterN2OEF))/100</f>
        <v>2.9000000000000002E-3</v>
      </c>
      <c r="M55" s="25">
        <f>(('Mitigation drivers'!H24*LagoonN2O)+('Mitigation drivers'!H25*LiquidN2O)+('Mitigation drivers'!H26*DrylotN2O)+('Mitigation drivers'!H27*SolidStorageN2O)+('Mitigation drivers'!H28*DailyspreadN2O)+('Mitigation drivers'!H29*CompostN2O)+('Mitigation drivers'!H30*ManwithbedN2O)+('Mitigation drivers'!H31*PMwithoutlitterN2O)+('Mitigation drivers'!H32*PMwithlitterN2O)+('Mitigation drivers'!H34*DigesterN2OEF))/100</f>
        <v>2.9000000000000002E-3</v>
      </c>
      <c r="N55" s="25">
        <f>(('Mitigation drivers'!I24*LagoonN2O)+('Mitigation drivers'!I25*LiquidN2O)+('Mitigation drivers'!I26*DrylotN2O)+('Mitigation drivers'!I27*SolidStorageN2O)+('Mitigation drivers'!I28*DailyspreadN2O)+('Mitigation drivers'!I29*CompostN2O)+('Mitigation drivers'!I30*ManwithbedN2O)+('Mitigation drivers'!I31*PMwithoutlitterN2O)+('Mitigation drivers'!I32*PMwithlitterN2O)+('Mitigation drivers'!I34*DigesterN2OEF))/100</f>
        <v>2.9000000000000002E-3</v>
      </c>
      <c r="O55" s="25">
        <f>(('Mitigation drivers'!J24*LagoonN2O)+('Mitigation drivers'!J25*LiquidN2O)+('Mitigation drivers'!J26*DrylotN2O)+('Mitigation drivers'!J27*SolidStorageN2O)+('Mitigation drivers'!J28*DailyspreadN2O)+('Mitigation drivers'!J29*CompostN2O)+('Mitigation drivers'!J30*ManwithbedN2O)+('Mitigation drivers'!J31*PMwithoutlitterN2O)+('Mitigation drivers'!J32*PMwithlitterN2O)+('Mitigation drivers'!J34*DigesterN2OEF))/100</f>
        <v>2.9000000000000002E-3</v>
      </c>
      <c r="P55" s="25">
        <f>(('Mitigation drivers'!K24*LagoonN2O)+('Mitigation drivers'!K25*LiquidN2O)+('Mitigation drivers'!K26*DrylotN2O)+('Mitigation drivers'!K27*SolidStorageN2O)+('Mitigation drivers'!K28*DailyspreadN2O)+('Mitigation drivers'!K29*CompostN2O)+('Mitigation drivers'!K30*ManwithbedN2O)+('Mitigation drivers'!K31*PMwithoutlitterN2O)+('Mitigation drivers'!K32*PMwithlitterN2O)+('Mitigation drivers'!K34*DigesterN2OEF))/100</f>
        <v>2.9000000000000002E-3</v>
      </c>
      <c r="Q55" s="25">
        <f>(('Mitigation drivers'!L24*LagoonN2O)+('Mitigation drivers'!L25*LiquidN2O)+('Mitigation drivers'!L26*DrylotN2O)+('Mitigation drivers'!L27*SolidStorageN2O)+('Mitigation drivers'!L28*DailyspreadN2O)+('Mitigation drivers'!L29*CompostN2O)+('Mitigation drivers'!L30*ManwithbedN2O)+('Mitigation drivers'!L31*PMwithoutlitterN2O)+('Mitigation drivers'!L32*PMwithlitterN2O)+('Mitigation drivers'!L34*DigesterN2OEF))/100</f>
        <v>2.9000000000000002E-3</v>
      </c>
      <c r="R55" s="25">
        <f>(('Mitigation drivers'!M24*LagoonN2O)+('Mitigation drivers'!M25*LiquidN2O)+('Mitigation drivers'!M26*DrylotN2O)+('Mitigation drivers'!M27*SolidStorageN2O)+('Mitigation drivers'!M28*DailyspreadN2O)+('Mitigation drivers'!M29*CompostN2O)+('Mitigation drivers'!M30*ManwithbedN2O)+('Mitigation drivers'!M31*PMwithoutlitterN2O)+('Mitigation drivers'!M32*PMwithlitterN2O)+('Mitigation drivers'!M34*DigesterN2OEF))/100</f>
        <v>2.9000000000000002E-3</v>
      </c>
      <c r="S55" s="25">
        <f>(('Mitigation drivers'!N24*LagoonN2O)+('Mitigation drivers'!N25*LiquidN2O)+('Mitigation drivers'!N26*DrylotN2O)+('Mitigation drivers'!N27*SolidStorageN2O)+('Mitigation drivers'!N28*DailyspreadN2O)+('Mitigation drivers'!N29*CompostN2O)+('Mitigation drivers'!N30*ManwithbedN2O)+('Mitigation drivers'!N31*PMwithoutlitterN2O)+('Mitigation drivers'!N32*PMwithlitterN2O)+('Mitigation drivers'!N34*DigesterN2OEF))/100</f>
        <v>2.9000000000000002E-3</v>
      </c>
      <c r="T55" s="25">
        <f>(('Mitigation drivers'!O24*LagoonN2O)+('Mitigation drivers'!O25*LiquidN2O)+('Mitigation drivers'!O26*DrylotN2O)+('Mitigation drivers'!O27*SolidStorageN2O)+('Mitigation drivers'!O28*DailyspreadN2O)+('Mitigation drivers'!O29*CompostN2O)+('Mitigation drivers'!O30*ManwithbedN2O)+('Mitigation drivers'!O31*PMwithoutlitterN2O)+('Mitigation drivers'!O32*PMwithlitterN2O)+('Mitigation drivers'!O34*DigesterN2OEF))/100</f>
        <v>2.9000000000000002E-3</v>
      </c>
      <c r="U55" s="25">
        <f>(('Mitigation drivers'!P24*LagoonN2O)+('Mitigation drivers'!P25*LiquidN2O)+('Mitigation drivers'!P26*DrylotN2O)+('Mitigation drivers'!P27*SolidStorageN2O)+('Mitigation drivers'!P28*DailyspreadN2O)+('Mitigation drivers'!P29*CompostN2O)+('Mitigation drivers'!P30*ManwithbedN2O)+('Mitigation drivers'!P31*PMwithoutlitterN2O)+('Mitigation drivers'!P32*PMwithlitterN2O)+('Mitigation drivers'!P34*DigesterN2OEF))/100</f>
        <v>2.9000000000000002E-3</v>
      </c>
      <c r="V55" s="25">
        <f>(('Mitigation drivers'!Q24*LagoonN2O)+('Mitigation drivers'!Q25*LiquidN2O)+('Mitigation drivers'!Q26*DrylotN2O)+('Mitigation drivers'!Q27*SolidStorageN2O)+('Mitigation drivers'!Q28*DailyspreadN2O)+('Mitigation drivers'!Q29*CompostN2O)+('Mitigation drivers'!Q30*ManwithbedN2O)+('Mitigation drivers'!Q31*PMwithoutlitterN2O)+('Mitigation drivers'!Q32*PMwithlitterN2O)+('Mitigation drivers'!Q34*DigesterN2OEF))/100</f>
        <v>2.9000000000000002E-3</v>
      </c>
      <c r="W55" s="25">
        <f>(('Mitigation drivers'!R24*LagoonN2O)+('Mitigation drivers'!R25*LiquidN2O)+('Mitigation drivers'!R26*DrylotN2O)+('Mitigation drivers'!R27*SolidStorageN2O)+('Mitigation drivers'!R28*DailyspreadN2O)+('Mitigation drivers'!R29*CompostN2O)+('Mitigation drivers'!R30*ManwithbedN2O)+('Mitigation drivers'!R31*PMwithoutlitterN2O)+('Mitigation drivers'!R32*PMwithlitterN2O)+('Mitigation drivers'!R34*DigesterN2OEF))/100</f>
        <v>2.9000000000000002E-3</v>
      </c>
      <c r="X55" s="25">
        <f>(('Mitigation drivers'!S24*LagoonN2O)+('Mitigation drivers'!S25*LiquidN2O)+('Mitigation drivers'!S26*DrylotN2O)+('Mitigation drivers'!S27*SolidStorageN2O)+('Mitigation drivers'!S28*DailyspreadN2O)+('Mitigation drivers'!S29*CompostN2O)+('Mitigation drivers'!S30*ManwithbedN2O)+('Mitigation drivers'!S31*PMwithoutlitterN2O)+('Mitigation drivers'!S32*PMwithlitterN2O)+('Mitigation drivers'!S34*DigesterN2OEF))/100</f>
        <v>2.9000000000000002E-3</v>
      </c>
      <c r="Y55" s="25">
        <f>(('Mitigation drivers'!T24*LagoonN2O)+('Mitigation drivers'!T25*LiquidN2O)+('Mitigation drivers'!T26*DrylotN2O)+('Mitigation drivers'!T27*SolidStorageN2O)+('Mitigation drivers'!T28*DailyspreadN2O)+('Mitigation drivers'!T29*CompostN2O)+('Mitigation drivers'!T30*ManwithbedN2O)+('Mitigation drivers'!T31*PMwithoutlitterN2O)+('Mitigation drivers'!T32*PMwithlitterN2O)+('Mitigation drivers'!T34*DigesterN2OEF))/100</f>
        <v>2.9000000000000002E-3</v>
      </c>
      <c r="Z55" s="25">
        <f>(('Mitigation drivers'!U24*LagoonN2O)+('Mitigation drivers'!U25*LiquidN2O)+('Mitigation drivers'!U26*DrylotN2O)+('Mitigation drivers'!U27*SolidStorageN2O)+('Mitigation drivers'!U28*DailyspreadN2O)+('Mitigation drivers'!U29*CompostN2O)+('Mitigation drivers'!U30*ManwithbedN2O)+('Mitigation drivers'!U31*PMwithoutlitterN2O)+('Mitigation drivers'!U32*PMwithlitterN2O)+('Mitigation drivers'!U34*DigesterN2OEF))/100</f>
        <v>2.9000000000000002E-3</v>
      </c>
      <c r="AA55" s="25">
        <f>(('Mitigation drivers'!V24*LagoonN2O)+('Mitigation drivers'!V25*LiquidN2O)+('Mitigation drivers'!V26*DrylotN2O)+('Mitigation drivers'!V27*SolidStorageN2O)+('Mitigation drivers'!V28*DailyspreadN2O)+('Mitigation drivers'!V29*CompostN2O)+('Mitigation drivers'!V30*ManwithbedN2O)+('Mitigation drivers'!V31*PMwithoutlitterN2O)+('Mitigation drivers'!V32*PMwithlitterN2O)+('Mitigation drivers'!V34*DigesterN2OEF))/100</f>
        <v>2.9000000000000002E-3</v>
      </c>
      <c r="AB55" s="25">
        <f>(('Mitigation drivers'!W24*LagoonN2O)+('Mitigation drivers'!W25*LiquidN2O)+('Mitigation drivers'!W26*DrylotN2O)+('Mitigation drivers'!W27*SolidStorageN2O)+('Mitigation drivers'!W28*DailyspreadN2O)+('Mitigation drivers'!W29*CompostN2O)+('Mitigation drivers'!W30*ManwithbedN2O)+('Mitigation drivers'!W31*PMwithoutlitterN2O)+('Mitigation drivers'!W32*PMwithlitterN2O)+('Mitigation drivers'!W34*DigesterN2OEF))/100</f>
        <v>2.9000000000000002E-3</v>
      </c>
      <c r="AC55" s="25">
        <f>(('Mitigation drivers'!X24*LagoonN2O)+('Mitigation drivers'!X25*LiquidN2O)+('Mitigation drivers'!X26*DrylotN2O)+('Mitigation drivers'!X27*SolidStorageN2O)+('Mitigation drivers'!X28*DailyspreadN2O)+('Mitigation drivers'!X29*CompostN2O)+('Mitigation drivers'!X30*ManwithbedN2O)+('Mitigation drivers'!X31*PMwithoutlitterN2O)+('Mitigation drivers'!X32*PMwithlitterN2O)+('Mitigation drivers'!X34*DigesterN2OEF))/100</f>
        <v>2.9000000000000002E-3</v>
      </c>
      <c r="AD55" s="25">
        <f>(('Mitigation drivers'!Y24*LagoonN2O)+('Mitigation drivers'!Y25*LiquidN2O)+('Mitigation drivers'!Y26*DrylotN2O)+('Mitigation drivers'!Y27*SolidStorageN2O)+('Mitigation drivers'!Y28*DailyspreadN2O)+('Mitigation drivers'!Y29*CompostN2O)+('Mitigation drivers'!Y30*ManwithbedN2O)+('Mitigation drivers'!Y31*PMwithoutlitterN2O)+('Mitigation drivers'!Y32*PMwithlitterN2O)+('Mitigation drivers'!Y34*DigesterN2OEF))/100</f>
        <v>2.9000000000000002E-3</v>
      </c>
      <c r="AE55" s="25">
        <f>(('Mitigation drivers'!Z24*LagoonN2O)+('Mitigation drivers'!Z25*LiquidN2O)+('Mitigation drivers'!Z26*DrylotN2O)+('Mitigation drivers'!Z27*SolidStorageN2O)+('Mitigation drivers'!Z28*DailyspreadN2O)+('Mitigation drivers'!Z29*CompostN2O)+('Mitigation drivers'!Z30*ManwithbedN2O)+('Mitigation drivers'!Z31*PMwithoutlitterN2O)+('Mitigation drivers'!Z32*PMwithlitterN2O)+('Mitigation drivers'!Z34*DigesterN2OEF))/100</f>
        <v>2.9000000000000002E-3</v>
      </c>
      <c r="AF55" s="25">
        <f>(('Mitigation drivers'!AA24*LagoonN2O)+('Mitigation drivers'!AA25*LiquidN2O)+('Mitigation drivers'!AA26*DrylotN2O)+('Mitigation drivers'!AA27*SolidStorageN2O)+('Mitigation drivers'!AA28*DailyspreadN2O)+('Mitigation drivers'!AA29*CompostN2O)+('Mitigation drivers'!AA30*ManwithbedN2O)+('Mitigation drivers'!AA31*PMwithoutlitterN2O)+('Mitigation drivers'!AA32*PMwithlitterN2O)+('Mitigation drivers'!AA34*DigesterN2OEF))/100</f>
        <v>2.9000000000000002E-3</v>
      </c>
      <c r="AG55" s="25">
        <f>(('Mitigation drivers'!AB24*LagoonN2O)+('Mitigation drivers'!AB25*LiquidN2O)+('Mitigation drivers'!AB26*DrylotN2O)+('Mitigation drivers'!AB27*SolidStorageN2O)+('Mitigation drivers'!AB28*DailyspreadN2O)+('Mitigation drivers'!AB29*CompostN2O)+('Mitigation drivers'!AB30*ManwithbedN2O)+('Mitigation drivers'!AB31*PMwithoutlitterN2O)+('Mitigation drivers'!AB32*PMwithlitterN2O)+('Mitigation drivers'!AB34*DigesterN2OEF))/100</f>
        <v>2.9000000000000002E-3</v>
      </c>
      <c r="AH55" s="25">
        <f>(('Mitigation drivers'!AC24*LagoonN2O)+('Mitigation drivers'!AC25*LiquidN2O)+('Mitigation drivers'!AC26*DrylotN2O)+('Mitigation drivers'!AC27*SolidStorageN2O)+('Mitigation drivers'!AC28*DailyspreadN2O)+('Mitigation drivers'!AC29*CompostN2O)+('Mitigation drivers'!AC30*ManwithbedN2O)+('Mitigation drivers'!AC31*PMwithoutlitterN2O)+('Mitigation drivers'!AC32*PMwithlitterN2O)+('Mitigation drivers'!AC34*DigesterN2OEF))/100</f>
        <v>2.9000000000000002E-3</v>
      </c>
      <c r="AI55" s="25">
        <f>(('Mitigation drivers'!AD24*LagoonN2O)+('Mitigation drivers'!AD25*LiquidN2O)+('Mitigation drivers'!AD26*DrylotN2O)+('Mitigation drivers'!AD27*SolidStorageN2O)+('Mitigation drivers'!AD28*DailyspreadN2O)+('Mitigation drivers'!AD29*CompostN2O)+('Mitigation drivers'!AD30*ManwithbedN2O)+('Mitigation drivers'!AD31*PMwithoutlitterN2O)+('Mitigation drivers'!AD32*PMwithlitterN2O)+('Mitigation drivers'!AD34*DigesterN2OEF))/100</f>
        <v>2.9000000000000002E-3</v>
      </c>
      <c r="AJ55" s="25">
        <f>(('Mitigation drivers'!AE24*LagoonN2O)+('Mitigation drivers'!AE25*LiquidN2O)+('Mitigation drivers'!AE26*DrylotN2O)+('Mitigation drivers'!AE27*SolidStorageN2O)+('Mitigation drivers'!AE28*DailyspreadN2O)+('Mitigation drivers'!AE29*CompostN2O)+('Mitigation drivers'!AE30*ManwithbedN2O)+('Mitigation drivers'!AE31*PMwithoutlitterN2O)+('Mitigation drivers'!AE32*PMwithlitterN2O)+('Mitigation drivers'!AE34*DigesterN2OEF))/100</f>
        <v>2.9000000000000002E-3</v>
      </c>
      <c r="AK55" s="25">
        <f>(('Mitigation drivers'!AF24*LagoonN2O)+('Mitigation drivers'!AF25*LiquidN2O)+('Mitigation drivers'!AF26*DrylotN2O)+('Mitigation drivers'!AF27*SolidStorageN2O)+('Mitigation drivers'!AF28*DailyspreadN2O)+('Mitigation drivers'!AF29*CompostN2O)+('Mitigation drivers'!AF30*ManwithbedN2O)+('Mitigation drivers'!AF31*PMwithoutlitterN2O)+('Mitigation drivers'!AF32*PMwithlitterN2O)+('Mitigation drivers'!AF34*DigesterN2OEF))/100</f>
        <v>2.9000000000000002E-3</v>
      </c>
      <c r="AL55" s="25">
        <f>(('Mitigation drivers'!AG24*LagoonN2O)+('Mitigation drivers'!AG25*LiquidN2O)+('Mitigation drivers'!AG26*DrylotN2O)+('Mitigation drivers'!AG27*SolidStorageN2O)+('Mitigation drivers'!AG28*DailyspreadN2O)+('Mitigation drivers'!AG29*CompostN2O)+('Mitigation drivers'!AG30*ManwithbedN2O)+('Mitigation drivers'!AG31*PMwithoutlitterN2O)+('Mitigation drivers'!AG32*PMwithlitterN2O)+('Mitigation drivers'!AG34*DigesterN2OEF))/100</f>
        <v>2.9000000000000002E-3</v>
      </c>
      <c r="AM55" s="25">
        <f>(('Mitigation drivers'!AH24*LagoonN2O)+('Mitigation drivers'!AH25*LiquidN2O)+('Mitigation drivers'!AH26*DrylotN2O)+('Mitigation drivers'!AH27*SolidStorageN2O)+('Mitigation drivers'!AH28*DailyspreadN2O)+('Mitigation drivers'!AH29*CompostN2O)+('Mitigation drivers'!AH30*ManwithbedN2O)+('Mitigation drivers'!AH31*PMwithoutlitterN2O)+('Mitigation drivers'!AH32*PMwithlitterN2O)+('Mitigation drivers'!AH34*DigesterN2OEF))/100</f>
        <v>2.9000000000000002E-3</v>
      </c>
      <c r="AN55" s="25">
        <f>(('Mitigation drivers'!AI24*LagoonN2O)+('Mitigation drivers'!AI25*LiquidN2O)+('Mitigation drivers'!AI26*DrylotN2O)+('Mitigation drivers'!AI27*SolidStorageN2O)+('Mitigation drivers'!AI28*DailyspreadN2O)+('Mitigation drivers'!AI29*CompostN2O)+('Mitigation drivers'!AI30*ManwithbedN2O)+('Mitigation drivers'!AI31*PMwithoutlitterN2O)+('Mitigation drivers'!AI32*PMwithlitterN2O)+('Mitigation drivers'!AI34*DigesterN2OEF))/100</f>
        <v>2.9000000000000002E-3</v>
      </c>
      <c r="AO55" s="25">
        <f>(('Mitigation drivers'!AJ24*LagoonN2O)+('Mitigation drivers'!AJ25*LiquidN2O)+('Mitigation drivers'!AJ26*DrylotN2O)+('Mitigation drivers'!AJ27*SolidStorageN2O)+('Mitigation drivers'!AJ28*DailyspreadN2O)+('Mitigation drivers'!AJ29*CompostN2O)+('Mitigation drivers'!AJ30*ManwithbedN2O)+('Mitigation drivers'!AJ31*PMwithoutlitterN2O)+('Mitigation drivers'!AJ32*PMwithlitterN2O)+('Mitigation drivers'!AJ34*DigesterN2OEF))/100</f>
        <v>2.9000000000000002E-3</v>
      </c>
    </row>
    <row r="56" spans="1:41" x14ac:dyDescent="0.3">
      <c r="A56" t="str">
        <f t="shared" si="5"/>
        <v>3A Livestock</v>
      </c>
      <c r="B56" t="str">
        <f t="shared" si="13"/>
        <v>3A2 Manure management (N2O)</v>
      </c>
      <c r="C56" t="str">
        <f>'Activity data'!C7</f>
        <v>3A1aii Other cattle</v>
      </c>
      <c r="D56" t="str">
        <f>'Activity data'!D7</f>
        <v>Non-lactating</v>
      </c>
      <c r="E56" t="str">
        <f t="shared" si="11"/>
        <v>Manure management EF</v>
      </c>
      <c r="F56" t="str">
        <f>F55</f>
        <v>N2O</v>
      </c>
      <c r="G56" t="str">
        <f>G55</f>
        <v>kg N2O-N/kg Nex</v>
      </c>
      <c r="H56" s="25">
        <f>(('Mitigation drivers'!C36*LagoonN2O)+('Mitigation drivers'!C37*LiquidN2O)+('Mitigation drivers'!C38*DrylotN2O)+('Mitigation drivers'!C39*SolidStorageN2O)+('Mitigation drivers'!C40*DailyspreadN2O)+('Mitigation drivers'!C41*CompostN2O)+('Mitigation drivers'!C42*ManwithbedN2O)+('Mitigation drivers'!C43*PMwithoutlitterN2O)+('Mitigation drivers'!C44*PMwithlitterN2O)+('Mitigation drivers'!C46*DigesterN2OEF))/100</f>
        <v>2.9999999999999997E-4</v>
      </c>
      <c r="I56" s="25">
        <f>(('Mitigation drivers'!D36*LagoonN2O)+('Mitigation drivers'!D37*LiquidN2O)+('Mitigation drivers'!D38*DrylotN2O)+('Mitigation drivers'!D39*SolidStorageN2O)+('Mitigation drivers'!D40*DailyspreadN2O)+('Mitigation drivers'!D41*CompostN2O)+('Mitigation drivers'!D42*ManwithbedN2O)+('Mitigation drivers'!D43*PMwithoutlitterN2O)+('Mitigation drivers'!D44*PMwithlitterN2O)+('Mitigation drivers'!D46*DigesterN2OEF))/100</f>
        <v>2.9999999999999997E-4</v>
      </c>
      <c r="J56" s="25">
        <f>(('Mitigation drivers'!E36*LagoonN2O)+('Mitigation drivers'!E37*LiquidN2O)+('Mitigation drivers'!E38*DrylotN2O)+('Mitigation drivers'!E39*SolidStorageN2O)+('Mitigation drivers'!E40*DailyspreadN2O)+('Mitigation drivers'!E41*CompostN2O)+('Mitigation drivers'!E42*ManwithbedN2O)+('Mitigation drivers'!E43*PMwithoutlitterN2O)+('Mitigation drivers'!E44*PMwithlitterN2O)+('Mitigation drivers'!E46*DigesterN2OEF))/100</f>
        <v>2.9999999999999997E-4</v>
      </c>
      <c r="K56" s="25">
        <f>(('Mitigation drivers'!F36*LagoonN2O)+('Mitigation drivers'!F37*LiquidN2O)+('Mitigation drivers'!F38*DrylotN2O)+('Mitigation drivers'!F39*SolidStorageN2O)+('Mitigation drivers'!F40*DailyspreadN2O)+('Mitigation drivers'!F41*CompostN2O)+('Mitigation drivers'!F42*ManwithbedN2O)+('Mitigation drivers'!F43*PMwithoutlitterN2O)+('Mitigation drivers'!F44*PMwithlitterN2O)+('Mitigation drivers'!F46*DigesterN2OEF))/100</f>
        <v>2.9999999999999997E-4</v>
      </c>
      <c r="L56" s="25">
        <f>(('Mitigation drivers'!G36*LagoonN2O)+('Mitigation drivers'!G37*LiquidN2O)+('Mitigation drivers'!G38*DrylotN2O)+('Mitigation drivers'!G39*SolidStorageN2O)+('Mitigation drivers'!G40*DailyspreadN2O)+('Mitigation drivers'!G41*CompostN2O)+('Mitigation drivers'!G42*ManwithbedN2O)+('Mitigation drivers'!G43*PMwithoutlitterN2O)+('Mitigation drivers'!G44*PMwithlitterN2O)+('Mitigation drivers'!G46*DigesterN2OEF))/100</f>
        <v>2.9999999999999997E-4</v>
      </c>
      <c r="M56" s="25">
        <f>(('Mitigation drivers'!H36*LagoonN2O)+('Mitigation drivers'!H37*LiquidN2O)+('Mitigation drivers'!H38*DrylotN2O)+('Mitigation drivers'!H39*SolidStorageN2O)+('Mitigation drivers'!H40*DailyspreadN2O)+('Mitigation drivers'!H41*CompostN2O)+('Mitigation drivers'!H42*ManwithbedN2O)+('Mitigation drivers'!H43*PMwithoutlitterN2O)+('Mitigation drivers'!H44*PMwithlitterN2O)+('Mitigation drivers'!H46*DigesterN2OEF))/100</f>
        <v>2.9999999999999997E-4</v>
      </c>
      <c r="N56" s="25">
        <f>(('Mitigation drivers'!I36*LagoonN2O)+('Mitigation drivers'!I37*LiquidN2O)+('Mitigation drivers'!I38*DrylotN2O)+('Mitigation drivers'!I39*SolidStorageN2O)+('Mitigation drivers'!I40*DailyspreadN2O)+('Mitigation drivers'!I41*CompostN2O)+('Mitigation drivers'!I42*ManwithbedN2O)+('Mitigation drivers'!I43*PMwithoutlitterN2O)+('Mitigation drivers'!I44*PMwithlitterN2O)+('Mitigation drivers'!I46*DigesterN2OEF))/100</f>
        <v>2.9999999999999997E-4</v>
      </c>
      <c r="O56" s="25">
        <f>(('Mitigation drivers'!J36*LagoonN2O)+('Mitigation drivers'!J37*LiquidN2O)+('Mitigation drivers'!J38*DrylotN2O)+('Mitigation drivers'!J39*SolidStorageN2O)+('Mitigation drivers'!J40*DailyspreadN2O)+('Mitigation drivers'!J41*CompostN2O)+('Mitigation drivers'!J42*ManwithbedN2O)+('Mitigation drivers'!J43*PMwithoutlitterN2O)+('Mitigation drivers'!J44*PMwithlitterN2O)+('Mitigation drivers'!J46*DigesterN2OEF))/100</f>
        <v>2.9999999999999997E-4</v>
      </c>
      <c r="P56" s="25">
        <f>(('Mitigation drivers'!K36*LagoonN2O)+('Mitigation drivers'!K37*LiquidN2O)+('Mitigation drivers'!K38*DrylotN2O)+('Mitigation drivers'!K39*SolidStorageN2O)+('Mitigation drivers'!K40*DailyspreadN2O)+('Mitigation drivers'!K41*CompostN2O)+('Mitigation drivers'!K42*ManwithbedN2O)+('Mitigation drivers'!K43*PMwithoutlitterN2O)+('Mitigation drivers'!K44*PMwithlitterN2O)+('Mitigation drivers'!K46*DigesterN2OEF))/100</f>
        <v>2.9999999999999997E-4</v>
      </c>
      <c r="Q56" s="25">
        <f>(('Mitigation drivers'!L36*LagoonN2O)+('Mitigation drivers'!L37*LiquidN2O)+('Mitigation drivers'!L38*DrylotN2O)+('Mitigation drivers'!L39*SolidStorageN2O)+('Mitigation drivers'!L40*DailyspreadN2O)+('Mitigation drivers'!L41*CompostN2O)+('Mitigation drivers'!L42*ManwithbedN2O)+('Mitigation drivers'!L43*PMwithoutlitterN2O)+('Mitigation drivers'!L44*PMwithlitterN2O)+('Mitigation drivers'!L46*DigesterN2OEF))/100</f>
        <v>2.9999999999999997E-4</v>
      </c>
      <c r="R56" s="25">
        <f>(('Mitigation drivers'!M36*LagoonN2O)+('Mitigation drivers'!M37*LiquidN2O)+('Mitigation drivers'!M38*DrylotN2O)+('Mitigation drivers'!M39*SolidStorageN2O)+('Mitigation drivers'!M40*DailyspreadN2O)+('Mitigation drivers'!M41*CompostN2O)+('Mitigation drivers'!M42*ManwithbedN2O)+('Mitigation drivers'!M43*PMwithoutlitterN2O)+('Mitigation drivers'!M44*PMwithlitterN2O)+('Mitigation drivers'!M46*DigesterN2OEF))/100</f>
        <v>2.9999999999999997E-4</v>
      </c>
      <c r="S56" s="25">
        <f>(('Mitigation drivers'!N36*LagoonN2O)+('Mitigation drivers'!N37*LiquidN2O)+('Mitigation drivers'!N38*DrylotN2O)+('Mitigation drivers'!N39*SolidStorageN2O)+('Mitigation drivers'!N40*DailyspreadN2O)+('Mitigation drivers'!N41*CompostN2O)+('Mitigation drivers'!N42*ManwithbedN2O)+('Mitigation drivers'!N43*PMwithoutlitterN2O)+('Mitigation drivers'!N44*PMwithlitterN2O)+('Mitigation drivers'!N46*DigesterN2OEF))/100</f>
        <v>2.9999999999999997E-4</v>
      </c>
      <c r="T56" s="25">
        <f>(('Mitigation drivers'!O36*LagoonN2O)+('Mitigation drivers'!O37*LiquidN2O)+('Mitigation drivers'!O38*DrylotN2O)+('Mitigation drivers'!O39*SolidStorageN2O)+('Mitigation drivers'!O40*DailyspreadN2O)+('Mitigation drivers'!O41*CompostN2O)+('Mitigation drivers'!O42*ManwithbedN2O)+('Mitigation drivers'!O43*PMwithoutlitterN2O)+('Mitigation drivers'!O44*PMwithlitterN2O)+('Mitigation drivers'!O46*DigesterN2OEF))/100</f>
        <v>2.9999999999999997E-4</v>
      </c>
      <c r="U56" s="25">
        <f>(('Mitigation drivers'!P36*LagoonN2O)+('Mitigation drivers'!P37*LiquidN2O)+('Mitigation drivers'!P38*DrylotN2O)+('Mitigation drivers'!P39*SolidStorageN2O)+('Mitigation drivers'!P40*DailyspreadN2O)+('Mitigation drivers'!P41*CompostN2O)+('Mitigation drivers'!P42*ManwithbedN2O)+('Mitigation drivers'!P43*PMwithoutlitterN2O)+('Mitigation drivers'!P44*PMwithlitterN2O)+('Mitigation drivers'!P46*DigesterN2OEF))/100</f>
        <v>2.9999999999999997E-4</v>
      </c>
      <c r="V56" s="25">
        <f>(('Mitigation drivers'!Q36*LagoonN2O)+('Mitigation drivers'!Q37*LiquidN2O)+('Mitigation drivers'!Q38*DrylotN2O)+('Mitigation drivers'!Q39*SolidStorageN2O)+('Mitigation drivers'!Q40*DailyspreadN2O)+('Mitigation drivers'!Q41*CompostN2O)+('Mitigation drivers'!Q42*ManwithbedN2O)+('Mitigation drivers'!Q43*PMwithoutlitterN2O)+('Mitigation drivers'!Q44*PMwithlitterN2O)+('Mitigation drivers'!Q46*DigesterN2OEF))/100</f>
        <v>2.9999999999999997E-4</v>
      </c>
      <c r="W56" s="25">
        <f>(('Mitigation drivers'!R36*LagoonN2O)+('Mitigation drivers'!R37*LiquidN2O)+('Mitigation drivers'!R38*DrylotN2O)+('Mitigation drivers'!R39*SolidStorageN2O)+('Mitigation drivers'!R40*DailyspreadN2O)+('Mitigation drivers'!R41*CompostN2O)+('Mitigation drivers'!R42*ManwithbedN2O)+('Mitigation drivers'!R43*PMwithoutlitterN2O)+('Mitigation drivers'!R44*PMwithlitterN2O)+('Mitigation drivers'!R46*DigesterN2OEF))/100</f>
        <v>2.9999999999999997E-4</v>
      </c>
      <c r="X56" s="25">
        <f>(('Mitigation drivers'!S36*LagoonN2O)+('Mitigation drivers'!S37*LiquidN2O)+('Mitigation drivers'!S38*DrylotN2O)+('Mitigation drivers'!S39*SolidStorageN2O)+('Mitigation drivers'!S40*DailyspreadN2O)+('Mitigation drivers'!S41*CompostN2O)+('Mitigation drivers'!S42*ManwithbedN2O)+('Mitigation drivers'!S43*PMwithoutlitterN2O)+('Mitigation drivers'!S44*PMwithlitterN2O)+('Mitigation drivers'!S46*DigesterN2OEF))/100</f>
        <v>2.9999999999999997E-4</v>
      </c>
      <c r="Y56" s="25">
        <f>(('Mitigation drivers'!T36*LagoonN2O)+('Mitigation drivers'!T37*LiquidN2O)+('Mitigation drivers'!T38*DrylotN2O)+('Mitigation drivers'!T39*SolidStorageN2O)+('Mitigation drivers'!T40*DailyspreadN2O)+('Mitigation drivers'!T41*CompostN2O)+('Mitigation drivers'!T42*ManwithbedN2O)+('Mitigation drivers'!T43*PMwithoutlitterN2O)+('Mitigation drivers'!T44*PMwithlitterN2O)+('Mitigation drivers'!T46*DigesterN2OEF))/100</f>
        <v>2.9999999999999997E-4</v>
      </c>
      <c r="Z56" s="25">
        <f>(('Mitigation drivers'!U36*LagoonN2O)+('Mitigation drivers'!U37*LiquidN2O)+('Mitigation drivers'!U38*DrylotN2O)+('Mitigation drivers'!U39*SolidStorageN2O)+('Mitigation drivers'!U40*DailyspreadN2O)+('Mitigation drivers'!U41*CompostN2O)+('Mitigation drivers'!U42*ManwithbedN2O)+('Mitigation drivers'!U43*PMwithoutlitterN2O)+('Mitigation drivers'!U44*PMwithlitterN2O)+('Mitigation drivers'!U46*DigesterN2OEF))/100</f>
        <v>2.9999999999999997E-4</v>
      </c>
      <c r="AA56" s="25">
        <f>(('Mitigation drivers'!V36*LagoonN2O)+('Mitigation drivers'!V37*LiquidN2O)+('Mitigation drivers'!V38*DrylotN2O)+('Mitigation drivers'!V39*SolidStorageN2O)+('Mitigation drivers'!V40*DailyspreadN2O)+('Mitigation drivers'!V41*CompostN2O)+('Mitigation drivers'!V42*ManwithbedN2O)+('Mitigation drivers'!V43*PMwithoutlitterN2O)+('Mitigation drivers'!V44*PMwithlitterN2O)+('Mitigation drivers'!V46*DigesterN2OEF))/100</f>
        <v>2.9999999999999997E-4</v>
      </c>
      <c r="AB56" s="25">
        <f>(('Mitigation drivers'!W36*LagoonN2O)+('Mitigation drivers'!W37*LiquidN2O)+('Mitigation drivers'!W38*DrylotN2O)+('Mitigation drivers'!W39*SolidStorageN2O)+('Mitigation drivers'!W40*DailyspreadN2O)+('Mitigation drivers'!W41*CompostN2O)+('Mitigation drivers'!W42*ManwithbedN2O)+('Mitigation drivers'!W43*PMwithoutlitterN2O)+('Mitigation drivers'!W44*PMwithlitterN2O)+('Mitigation drivers'!W46*DigesterN2OEF))/100</f>
        <v>2.9999999999999997E-4</v>
      </c>
      <c r="AC56" s="25">
        <f>(('Mitigation drivers'!X36*LagoonN2O)+('Mitigation drivers'!X37*LiquidN2O)+('Mitigation drivers'!X38*DrylotN2O)+('Mitigation drivers'!X39*SolidStorageN2O)+('Mitigation drivers'!X40*DailyspreadN2O)+('Mitigation drivers'!X41*CompostN2O)+('Mitigation drivers'!X42*ManwithbedN2O)+('Mitigation drivers'!X43*PMwithoutlitterN2O)+('Mitigation drivers'!X44*PMwithlitterN2O)+('Mitigation drivers'!X46*DigesterN2OEF))/100</f>
        <v>2.9999999999999997E-4</v>
      </c>
      <c r="AD56" s="25">
        <f>(('Mitigation drivers'!Y36*LagoonN2O)+('Mitigation drivers'!Y37*LiquidN2O)+('Mitigation drivers'!Y38*DrylotN2O)+('Mitigation drivers'!Y39*SolidStorageN2O)+('Mitigation drivers'!Y40*DailyspreadN2O)+('Mitigation drivers'!Y41*CompostN2O)+('Mitigation drivers'!Y42*ManwithbedN2O)+('Mitigation drivers'!Y43*PMwithoutlitterN2O)+('Mitigation drivers'!Y44*PMwithlitterN2O)+('Mitigation drivers'!Y46*DigesterN2OEF))/100</f>
        <v>2.9999999999999997E-4</v>
      </c>
      <c r="AE56" s="25">
        <f>(('Mitigation drivers'!Z36*LagoonN2O)+('Mitigation drivers'!Z37*LiquidN2O)+('Mitigation drivers'!Z38*DrylotN2O)+('Mitigation drivers'!Z39*SolidStorageN2O)+('Mitigation drivers'!Z40*DailyspreadN2O)+('Mitigation drivers'!Z41*CompostN2O)+('Mitigation drivers'!Z42*ManwithbedN2O)+('Mitigation drivers'!Z43*PMwithoutlitterN2O)+('Mitigation drivers'!Z44*PMwithlitterN2O)+('Mitigation drivers'!Z46*DigesterN2OEF))/100</f>
        <v>2.9999999999999997E-4</v>
      </c>
      <c r="AF56" s="25">
        <f>(('Mitigation drivers'!AA36*LagoonN2O)+('Mitigation drivers'!AA37*LiquidN2O)+('Mitigation drivers'!AA38*DrylotN2O)+('Mitigation drivers'!AA39*SolidStorageN2O)+('Mitigation drivers'!AA40*DailyspreadN2O)+('Mitigation drivers'!AA41*CompostN2O)+('Mitigation drivers'!AA42*ManwithbedN2O)+('Mitigation drivers'!AA43*PMwithoutlitterN2O)+('Mitigation drivers'!AA44*PMwithlitterN2O)+('Mitigation drivers'!AA46*DigesterN2OEF))/100</f>
        <v>2.9999999999999997E-4</v>
      </c>
      <c r="AG56" s="25">
        <f>(('Mitigation drivers'!AB36*LagoonN2O)+('Mitigation drivers'!AB37*LiquidN2O)+('Mitigation drivers'!AB38*DrylotN2O)+('Mitigation drivers'!AB39*SolidStorageN2O)+('Mitigation drivers'!AB40*DailyspreadN2O)+('Mitigation drivers'!AB41*CompostN2O)+('Mitigation drivers'!AB42*ManwithbedN2O)+('Mitigation drivers'!AB43*PMwithoutlitterN2O)+('Mitigation drivers'!AB44*PMwithlitterN2O)+('Mitigation drivers'!AB46*DigesterN2OEF))/100</f>
        <v>2.9999999999999997E-4</v>
      </c>
      <c r="AH56" s="25">
        <f>(('Mitigation drivers'!AC36*LagoonN2O)+('Mitigation drivers'!AC37*LiquidN2O)+('Mitigation drivers'!AC38*DrylotN2O)+('Mitigation drivers'!AC39*SolidStorageN2O)+('Mitigation drivers'!AC40*DailyspreadN2O)+('Mitigation drivers'!AC41*CompostN2O)+('Mitigation drivers'!AC42*ManwithbedN2O)+('Mitigation drivers'!AC43*PMwithoutlitterN2O)+('Mitigation drivers'!AC44*PMwithlitterN2O)+('Mitigation drivers'!AC46*DigesterN2OEF))/100</f>
        <v>2.9999999999999997E-4</v>
      </c>
      <c r="AI56" s="25">
        <f>(('Mitigation drivers'!AD36*LagoonN2O)+('Mitigation drivers'!AD37*LiquidN2O)+('Mitigation drivers'!AD38*DrylotN2O)+('Mitigation drivers'!AD39*SolidStorageN2O)+('Mitigation drivers'!AD40*DailyspreadN2O)+('Mitigation drivers'!AD41*CompostN2O)+('Mitigation drivers'!AD42*ManwithbedN2O)+('Mitigation drivers'!AD43*PMwithoutlitterN2O)+('Mitigation drivers'!AD44*PMwithlitterN2O)+('Mitigation drivers'!AD46*DigesterN2OEF))/100</f>
        <v>2.9999999999999997E-4</v>
      </c>
      <c r="AJ56" s="25">
        <f>(('Mitigation drivers'!AE36*LagoonN2O)+('Mitigation drivers'!AE37*LiquidN2O)+('Mitigation drivers'!AE38*DrylotN2O)+('Mitigation drivers'!AE39*SolidStorageN2O)+('Mitigation drivers'!AE40*DailyspreadN2O)+('Mitigation drivers'!AE41*CompostN2O)+('Mitigation drivers'!AE42*ManwithbedN2O)+('Mitigation drivers'!AE43*PMwithoutlitterN2O)+('Mitigation drivers'!AE44*PMwithlitterN2O)+('Mitigation drivers'!AE46*DigesterN2OEF))/100</f>
        <v>2.9999999999999997E-4</v>
      </c>
      <c r="AK56" s="25">
        <f>(('Mitigation drivers'!AF36*LagoonN2O)+('Mitigation drivers'!AF37*LiquidN2O)+('Mitigation drivers'!AF38*DrylotN2O)+('Mitigation drivers'!AF39*SolidStorageN2O)+('Mitigation drivers'!AF40*DailyspreadN2O)+('Mitigation drivers'!AF41*CompostN2O)+('Mitigation drivers'!AF42*ManwithbedN2O)+('Mitigation drivers'!AF43*PMwithoutlitterN2O)+('Mitigation drivers'!AF44*PMwithlitterN2O)+('Mitigation drivers'!AF46*DigesterN2OEF))/100</f>
        <v>2.9999999999999997E-4</v>
      </c>
      <c r="AL56" s="25">
        <f>(('Mitigation drivers'!AG36*LagoonN2O)+('Mitigation drivers'!AG37*LiquidN2O)+('Mitigation drivers'!AG38*DrylotN2O)+('Mitigation drivers'!AG39*SolidStorageN2O)+('Mitigation drivers'!AG40*DailyspreadN2O)+('Mitigation drivers'!AG41*CompostN2O)+('Mitigation drivers'!AG42*ManwithbedN2O)+('Mitigation drivers'!AG43*PMwithoutlitterN2O)+('Mitigation drivers'!AG44*PMwithlitterN2O)+('Mitigation drivers'!AG46*DigesterN2OEF))/100</f>
        <v>2.9999999999999997E-4</v>
      </c>
      <c r="AM56" s="25">
        <f>(('Mitigation drivers'!AH36*LagoonN2O)+('Mitigation drivers'!AH37*LiquidN2O)+('Mitigation drivers'!AH38*DrylotN2O)+('Mitigation drivers'!AH39*SolidStorageN2O)+('Mitigation drivers'!AH40*DailyspreadN2O)+('Mitigation drivers'!AH41*CompostN2O)+('Mitigation drivers'!AH42*ManwithbedN2O)+('Mitigation drivers'!AH43*PMwithoutlitterN2O)+('Mitigation drivers'!AH44*PMwithlitterN2O)+('Mitigation drivers'!AH46*DigesterN2OEF))/100</f>
        <v>2.9999999999999997E-4</v>
      </c>
      <c r="AN56" s="25">
        <f>(('Mitigation drivers'!AI36*LagoonN2O)+('Mitigation drivers'!AI37*LiquidN2O)+('Mitigation drivers'!AI38*DrylotN2O)+('Mitigation drivers'!AI39*SolidStorageN2O)+('Mitigation drivers'!AI40*DailyspreadN2O)+('Mitigation drivers'!AI41*CompostN2O)+('Mitigation drivers'!AI42*ManwithbedN2O)+('Mitigation drivers'!AI43*PMwithoutlitterN2O)+('Mitigation drivers'!AI44*PMwithlitterN2O)+('Mitigation drivers'!AI46*DigesterN2OEF))/100</f>
        <v>2.9999999999999997E-4</v>
      </c>
      <c r="AO56" s="25">
        <f>(('Mitigation drivers'!AJ36*LagoonN2O)+('Mitigation drivers'!AJ37*LiquidN2O)+('Mitigation drivers'!AJ38*DrylotN2O)+('Mitigation drivers'!AJ39*SolidStorageN2O)+('Mitigation drivers'!AJ40*DailyspreadN2O)+('Mitigation drivers'!AJ41*CompostN2O)+('Mitigation drivers'!AJ42*ManwithbedN2O)+('Mitigation drivers'!AJ43*PMwithoutlitterN2O)+('Mitigation drivers'!AJ44*PMwithlitterN2O)+('Mitigation drivers'!AJ46*DigesterN2OEF))/100</f>
        <v>2.9999999999999997E-4</v>
      </c>
    </row>
    <row r="57" spans="1:41" x14ac:dyDescent="0.3">
      <c r="A57" t="str">
        <f t="shared" si="5"/>
        <v>3A Livestock</v>
      </c>
      <c r="B57" t="str">
        <f t="shared" si="13"/>
        <v>3A2 Manure management (N2O)</v>
      </c>
      <c r="C57" t="str">
        <f>'Activity data'!C8</f>
        <v>3A1aii Other cattle</v>
      </c>
      <c r="D57" t="str">
        <f>'Activity data'!D8</f>
        <v>Commercial</v>
      </c>
      <c r="E57" t="str">
        <f>E55</f>
        <v>Manure management EF</v>
      </c>
      <c r="F57" t="str">
        <f>F55</f>
        <v>N2O</v>
      </c>
      <c r="G57" t="str">
        <f>G55</f>
        <v>kg N2O-N/kg Nex</v>
      </c>
      <c r="H57" s="25">
        <f>(('Mitigation drivers'!C49*LagoonN2O)+('Mitigation drivers'!C50*LiquidN2O)+('Mitigation drivers'!C51*DrylotN2O)+('Mitigation drivers'!C52*SolidStorageN2O)+('Mitigation drivers'!C53*DailyspreadN2O)+('Mitigation drivers'!C54*CompostN2O)+('Mitigation drivers'!C55*ManwithbedN2O)+('Mitigation drivers'!C56*PMwithoutlitterN2O)+('Mitigation drivers'!C57*PMwithlitterN2O)+('Mitigation drivers'!C59*DigesterN2OEF))/100</f>
        <v>6.4999999999999997E-4</v>
      </c>
      <c r="I57" s="25">
        <f>(('Mitigation drivers'!D49*LagoonN2O)+('Mitigation drivers'!D50*LiquidN2O)+('Mitigation drivers'!D51*DrylotN2O)+('Mitigation drivers'!D52*SolidStorageN2O)+('Mitigation drivers'!D53*DailyspreadN2O)+('Mitigation drivers'!D54*CompostN2O)+('Mitigation drivers'!D55*ManwithbedN2O)+('Mitigation drivers'!D56*PMwithoutlitterN2O)+('Mitigation drivers'!D57*PMwithlitterN2O)+('Mitigation drivers'!D59*DigesterN2OEF))/100</f>
        <v>6.4999999999999997E-4</v>
      </c>
      <c r="J57" s="25">
        <f>(('Mitigation drivers'!E49*LagoonN2O)+('Mitigation drivers'!E50*LiquidN2O)+('Mitigation drivers'!E51*DrylotN2O)+('Mitigation drivers'!E52*SolidStorageN2O)+('Mitigation drivers'!E53*DailyspreadN2O)+('Mitigation drivers'!E54*CompostN2O)+('Mitigation drivers'!E55*ManwithbedN2O)+('Mitigation drivers'!E56*PMwithoutlitterN2O)+('Mitigation drivers'!E57*PMwithlitterN2O)+('Mitigation drivers'!E59*DigesterN2OEF))/100</f>
        <v>6.4999999999999997E-4</v>
      </c>
      <c r="K57" s="25">
        <f>(('Mitigation drivers'!F49*LagoonN2O)+('Mitigation drivers'!F50*LiquidN2O)+('Mitigation drivers'!F51*DrylotN2O)+('Mitigation drivers'!F52*SolidStorageN2O)+('Mitigation drivers'!F53*DailyspreadN2O)+('Mitigation drivers'!F54*CompostN2O)+('Mitigation drivers'!F55*ManwithbedN2O)+('Mitigation drivers'!F56*PMwithoutlitterN2O)+('Mitigation drivers'!F57*PMwithlitterN2O)+('Mitigation drivers'!F59*DigesterN2OEF))/100</f>
        <v>6.4999999999999997E-4</v>
      </c>
      <c r="L57" s="25">
        <f>(('Mitigation drivers'!G49*LagoonN2O)+('Mitigation drivers'!G50*LiquidN2O)+('Mitigation drivers'!G51*DrylotN2O)+('Mitigation drivers'!G52*SolidStorageN2O)+('Mitigation drivers'!G53*DailyspreadN2O)+('Mitigation drivers'!G54*CompostN2O)+('Mitigation drivers'!G55*ManwithbedN2O)+('Mitigation drivers'!G56*PMwithoutlitterN2O)+('Mitigation drivers'!G57*PMwithlitterN2O)+('Mitigation drivers'!G59*DigesterN2OEF))/100</f>
        <v>6.4999999999999997E-4</v>
      </c>
      <c r="M57" s="25">
        <f>(('Mitigation drivers'!H49*LagoonN2O)+('Mitigation drivers'!H50*LiquidN2O)+('Mitigation drivers'!H51*DrylotN2O)+('Mitigation drivers'!H52*SolidStorageN2O)+('Mitigation drivers'!H53*DailyspreadN2O)+('Mitigation drivers'!H54*CompostN2O)+('Mitigation drivers'!H55*ManwithbedN2O)+('Mitigation drivers'!H56*PMwithoutlitterN2O)+('Mitigation drivers'!H57*PMwithlitterN2O)+('Mitigation drivers'!H59*DigesterN2OEF))/100</f>
        <v>6.4999999999999997E-4</v>
      </c>
      <c r="N57" s="25">
        <f>(('Mitigation drivers'!I49*LagoonN2O)+('Mitigation drivers'!I50*LiquidN2O)+('Mitigation drivers'!I51*DrylotN2O)+('Mitigation drivers'!I52*SolidStorageN2O)+('Mitigation drivers'!I53*DailyspreadN2O)+('Mitigation drivers'!I54*CompostN2O)+('Mitigation drivers'!I55*ManwithbedN2O)+('Mitigation drivers'!I56*PMwithoutlitterN2O)+('Mitigation drivers'!I57*PMwithlitterN2O)+('Mitigation drivers'!I59*DigesterN2OEF))/100</f>
        <v>6.4999999999999997E-4</v>
      </c>
      <c r="O57" s="25">
        <f>(('Mitigation drivers'!J49*LagoonN2O)+('Mitigation drivers'!J50*LiquidN2O)+('Mitigation drivers'!J51*DrylotN2O)+('Mitigation drivers'!J52*SolidStorageN2O)+('Mitigation drivers'!J53*DailyspreadN2O)+('Mitigation drivers'!J54*CompostN2O)+('Mitigation drivers'!J55*ManwithbedN2O)+('Mitigation drivers'!J56*PMwithoutlitterN2O)+('Mitigation drivers'!J57*PMwithlitterN2O)+('Mitigation drivers'!J59*DigesterN2OEF))/100</f>
        <v>6.4999999999999997E-4</v>
      </c>
      <c r="P57" s="25">
        <f>(('Mitigation drivers'!K49*LagoonN2O)+('Mitigation drivers'!K50*LiquidN2O)+('Mitigation drivers'!K51*DrylotN2O)+('Mitigation drivers'!K52*SolidStorageN2O)+('Mitigation drivers'!K53*DailyspreadN2O)+('Mitigation drivers'!K54*CompostN2O)+('Mitigation drivers'!K55*ManwithbedN2O)+('Mitigation drivers'!K56*PMwithoutlitterN2O)+('Mitigation drivers'!K57*PMwithlitterN2O)+('Mitigation drivers'!K59*DigesterN2OEF))/100</f>
        <v>6.4999999999999997E-4</v>
      </c>
      <c r="Q57" s="25">
        <f>(('Mitigation drivers'!L49*LagoonN2O)+('Mitigation drivers'!L50*LiquidN2O)+('Mitigation drivers'!L51*DrylotN2O)+('Mitigation drivers'!L52*SolidStorageN2O)+('Mitigation drivers'!L53*DailyspreadN2O)+('Mitigation drivers'!L54*CompostN2O)+('Mitigation drivers'!L55*ManwithbedN2O)+('Mitigation drivers'!L56*PMwithoutlitterN2O)+('Mitigation drivers'!L57*PMwithlitterN2O)+('Mitigation drivers'!L59*DigesterN2OEF))/100</f>
        <v>6.4999999999999997E-4</v>
      </c>
      <c r="R57" s="25">
        <f>(('Mitigation drivers'!M49*LagoonN2O)+('Mitigation drivers'!M50*LiquidN2O)+('Mitigation drivers'!M51*DrylotN2O)+('Mitigation drivers'!M52*SolidStorageN2O)+('Mitigation drivers'!M53*DailyspreadN2O)+('Mitigation drivers'!M54*CompostN2O)+('Mitigation drivers'!M55*ManwithbedN2O)+('Mitigation drivers'!M56*PMwithoutlitterN2O)+('Mitigation drivers'!M57*PMwithlitterN2O)+('Mitigation drivers'!M59*DigesterN2OEF))/100</f>
        <v>6.4999999999999997E-4</v>
      </c>
      <c r="S57" s="25">
        <f>(('Mitigation drivers'!N49*LagoonN2O)+('Mitigation drivers'!N50*LiquidN2O)+('Mitigation drivers'!N51*DrylotN2O)+('Mitigation drivers'!N52*SolidStorageN2O)+('Mitigation drivers'!N53*DailyspreadN2O)+('Mitigation drivers'!N54*CompostN2O)+('Mitigation drivers'!N55*ManwithbedN2O)+('Mitigation drivers'!N56*PMwithoutlitterN2O)+('Mitigation drivers'!N57*PMwithlitterN2O)+('Mitigation drivers'!N59*DigesterN2OEF))/100</f>
        <v>6.4999999999999997E-4</v>
      </c>
      <c r="T57" s="25">
        <f>(('Mitigation drivers'!O49*LagoonN2O)+('Mitigation drivers'!O50*LiquidN2O)+('Mitigation drivers'!O51*DrylotN2O)+('Mitigation drivers'!O52*SolidStorageN2O)+('Mitigation drivers'!O53*DailyspreadN2O)+('Mitigation drivers'!O54*CompostN2O)+('Mitigation drivers'!O55*ManwithbedN2O)+('Mitigation drivers'!O56*PMwithoutlitterN2O)+('Mitigation drivers'!O57*PMwithlitterN2O)+('Mitigation drivers'!O59*DigesterN2OEF))/100</f>
        <v>6.4999999999999997E-4</v>
      </c>
      <c r="U57" s="25">
        <f>(('Mitigation drivers'!P49*LagoonN2O)+('Mitigation drivers'!P50*LiquidN2O)+('Mitigation drivers'!P51*DrylotN2O)+('Mitigation drivers'!P52*SolidStorageN2O)+('Mitigation drivers'!P53*DailyspreadN2O)+('Mitigation drivers'!P54*CompostN2O)+('Mitigation drivers'!P55*ManwithbedN2O)+('Mitigation drivers'!P56*PMwithoutlitterN2O)+('Mitigation drivers'!P57*PMwithlitterN2O)+('Mitigation drivers'!P59*DigesterN2OEF))/100</f>
        <v>6.4999999999999997E-4</v>
      </c>
      <c r="V57" s="25">
        <f>(('Mitigation drivers'!Q49*LagoonN2O)+('Mitigation drivers'!Q50*LiquidN2O)+('Mitigation drivers'!Q51*DrylotN2O)+('Mitigation drivers'!Q52*SolidStorageN2O)+('Mitigation drivers'!Q53*DailyspreadN2O)+('Mitigation drivers'!Q54*CompostN2O)+('Mitigation drivers'!Q55*ManwithbedN2O)+('Mitigation drivers'!Q56*PMwithoutlitterN2O)+('Mitigation drivers'!Q57*PMwithlitterN2O)+('Mitigation drivers'!Q59*DigesterN2OEF))/100</f>
        <v>6.4999999999999997E-4</v>
      </c>
      <c r="W57" s="25">
        <f>(('Mitigation drivers'!R49*LagoonN2O)+('Mitigation drivers'!R50*LiquidN2O)+('Mitigation drivers'!R51*DrylotN2O)+('Mitigation drivers'!R52*SolidStorageN2O)+('Mitigation drivers'!R53*DailyspreadN2O)+('Mitigation drivers'!R54*CompostN2O)+('Mitigation drivers'!R55*ManwithbedN2O)+('Mitigation drivers'!R56*PMwithoutlitterN2O)+('Mitigation drivers'!R57*PMwithlitterN2O)+('Mitigation drivers'!R59*DigesterN2OEF))/100</f>
        <v>6.4999999999999997E-4</v>
      </c>
      <c r="X57" s="25">
        <f>(('Mitigation drivers'!S49*LagoonN2O)+('Mitigation drivers'!S50*LiquidN2O)+('Mitigation drivers'!S51*DrylotN2O)+('Mitigation drivers'!S52*SolidStorageN2O)+('Mitigation drivers'!S53*DailyspreadN2O)+('Mitigation drivers'!S54*CompostN2O)+('Mitigation drivers'!S55*ManwithbedN2O)+('Mitigation drivers'!S56*PMwithoutlitterN2O)+('Mitigation drivers'!S57*PMwithlitterN2O)+('Mitigation drivers'!S59*DigesterN2OEF))/100</f>
        <v>6.4999999999999997E-4</v>
      </c>
      <c r="Y57" s="25">
        <f>(('Mitigation drivers'!T49*LagoonN2O)+('Mitigation drivers'!T50*LiquidN2O)+('Mitigation drivers'!T51*DrylotN2O)+('Mitigation drivers'!T52*SolidStorageN2O)+('Mitigation drivers'!T53*DailyspreadN2O)+('Mitigation drivers'!T54*CompostN2O)+('Mitigation drivers'!T55*ManwithbedN2O)+('Mitigation drivers'!T56*PMwithoutlitterN2O)+('Mitigation drivers'!T57*PMwithlitterN2O)+('Mitigation drivers'!T59*DigesterN2OEF))/100</f>
        <v>6.4999999999999997E-4</v>
      </c>
      <c r="Z57" s="25">
        <f>(('Mitigation drivers'!U49*LagoonN2O)+('Mitigation drivers'!U50*LiquidN2O)+('Mitigation drivers'!U51*DrylotN2O)+('Mitigation drivers'!U52*SolidStorageN2O)+('Mitigation drivers'!U53*DailyspreadN2O)+('Mitigation drivers'!U54*CompostN2O)+('Mitigation drivers'!U55*ManwithbedN2O)+('Mitigation drivers'!U56*PMwithoutlitterN2O)+('Mitigation drivers'!U57*PMwithlitterN2O)+('Mitigation drivers'!U59*DigesterN2OEF))/100</f>
        <v>6.4999999999999997E-4</v>
      </c>
      <c r="AA57" s="25">
        <f>(('Mitigation drivers'!V49*LagoonN2O)+('Mitigation drivers'!V50*LiquidN2O)+('Mitigation drivers'!V51*DrylotN2O)+('Mitigation drivers'!V52*SolidStorageN2O)+('Mitigation drivers'!V53*DailyspreadN2O)+('Mitigation drivers'!V54*CompostN2O)+('Mitigation drivers'!V55*ManwithbedN2O)+('Mitigation drivers'!V56*PMwithoutlitterN2O)+('Mitigation drivers'!V57*PMwithlitterN2O)+('Mitigation drivers'!V59*DigesterN2OEF))/100</f>
        <v>6.4999999999999997E-4</v>
      </c>
      <c r="AB57" s="25">
        <f>(('Mitigation drivers'!W49*LagoonN2O)+('Mitigation drivers'!W50*LiquidN2O)+('Mitigation drivers'!W51*DrylotN2O)+('Mitigation drivers'!W52*SolidStorageN2O)+('Mitigation drivers'!W53*DailyspreadN2O)+('Mitigation drivers'!W54*CompostN2O)+('Mitigation drivers'!W55*ManwithbedN2O)+('Mitigation drivers'!W56*PMwithoutlitterN2O)+('Mitigation drivers'!W57*PMwithlitterN2O)+('Mitigation drivers'!W59*DigesterN2OEF))/100</f>
        <v>6.4999999999999997E-4</v>
      </c>
      <c r="AC57" s="25">
        <f>(('Mitigation drivers'!X49*LagoonN2O)+('Mitigation drivers'!X50*LiquidN2O)+('Mitigation drivers'!X51*DrylotN2O)+('Mitigation drivers'!X52*SolidStorageN2O)+('Mitigation drivers'!X53*DailyspreadN2O)+('Mitigation drivers'!X54*CompostN2O)+('Mitigation drivers'!X55*ManwithbedN2O)+('Mitigation drivers'!X56*PMwithoutlitterN2O)+('Mitigation drivers'!X57*PMwithlitterN2O)+('Mitigation drivers'!X59*DigesterN2OEF))/100</f>
        <v>6.4999999999999997E-4</v>
      </c>
      <c r="AD57" s="25">
        <f>(('Mitigation drivers'!Y49*LagoonN2O)+('Mitigation drivers'!Y50*LiquidN2O)+('Mitigation drivers'!Y51*DrylotN2O)+('Mitigation drivers'!Y52*SolidStorageN2O)+('Mitigation drivers'!Y53*DailyspreadN2O)+('Mitigation drivers'!Y54*CompostN2O)+('Mitigation drivers'!Y55*ManwithbedN2O)+('Mitigation drivers'!Y56*PMwithoutlitterN2O)+('Mitigation drivers'!Y57*PMwithlitterN2O)+('Mitigation drivers'!Y59*DigesterN2OEF))/100</f>
        <v>6.4999999999999997E-4</v>
      </c>
      <c r="AE57" s="25">
        <f>(('Mitigation drivers'!Z49*LagoonN2O)+('Mitigation drivers'!Z50*LiquidN2O)+('Mitigation drivers'!Z51*DrylotN2O)+('Mitigation drivers'!Z52*SolidStorageN2O)+('Mitigation drivers'!Z53*DailyspreadN2O)+('Mitigation drivers'!Z54*CompostN2O)+('Mitigation drivers'!Z55*ManwithbedN2O)+('Mitigation drivers'!Z56*PMwithoutlitterN2O)+('Mitigation drivers'!Z57*PMwithlitterN2O)+('Mitigation drivers'!Z59*DigesterN2OEF))/100</f>
        <v>6.4999999999999997E-4</v>
      </c>
      <c r="AF57" s="25">
        <f>(('Mitigation drivers'!AA49*LagoonN2O)+('Mitigation drivers'!AA50*LiquidN2O)+('Mitigation drivers'!AA51*DrylotN2O)+('Mitigation drivers'!AA52*SolidStorageN2O)+('Mitigation drivers'!AA53*DailyspreadN2O)+('Mitigation drivers'!AA54*CompostN2O)+('Mitigation drivers'!AA55*ManwithbedN2O)+('Mitigation drivers'!AA56*PMwithoutlitterN2O)+('Mitigation drivers'!AA57*PMwithlitterN2O)+('Mitigation drivers'!AA59*DigesterN2OEF))/100</f>
        <v>6.4999999999999997E-4</v>
      </c>
      <c r="AG57" s="25">
        <f>(('Mitigation drivers'!AB49*LagoonN2O)+('Mitigation drivers'!AB50*LiquidN2O)+('Mitigation drivers'!AB51*DrylotN2O)+('Mitigation drivers'!AB52*SolidStorageN2O)+('Mitigation drivers'!AB53*DailyspreadN2O)+('Mitigation drivers'!AB54*CompostN2O)+('Mitigation drivers'!AB55*ManwithbedN2O)+('Mitigation drivers'!AB56*PMwithoutlitterN2O)+('Mitigation drivers'!AB57*PMwithlitterN2O)+('Mitigation drivers'!AB59*DigesterN2OEF))/100</f>
        <v>6.4999999999999997E-4</v>
      </c>
      <c r="AH57" s="25">
        <f>(('Mitigation drivers'!AC49*LagoonN2O)+('Mitigation drivers'!AC50*LiquidN2O)+('Mitigation drivers'!AC51*DrylotN2O)+('Mitigation drivers'!AC52*SolidStorageN2O)+('Mitigation drivers'!AC53*DailyspreadN2O)+('Mitigation drivers'!AC54*CompostN2O)+('Mitigation drivers'!AC55*ManwithbedN2O)+('Mitigation drivers'!AC56*PMwithoutlitterN2O)+('Mitigation drivers'!AC57*PMwithlitterN2O)+('Mitigation drivers'!AC59*DigesterN2OEF))/100</f>
        <v>6.4999999999999997E-4</v>
      </c>
      <c r="AI57" s="25">
        <f>(('Mitigation drivers'!AD49*LagoonN2O)+('Mitigation drivers'!AD50*LiquidN2O)+('Mitigation drivers'!AD51*DrylotN2O)+('Mitigation drivers'!AD52*SolidStorageN2O)+('Mitigation drivers'!AD53*DailyspreadN2O)+('Mitigation drivers'!AD54*CompostN2O)+('Mitigation drivers'!AD55*ManwithbedN2O)+('Mitigation drivers'!AD56*PMwithoutlitterN2O)+('Mitigation drivers'!AD57*PMwithlitterN2O)+('Mitigation drivers'!AD59*DigesterN2OEF))/100</f>
        <v>6.4999999999999997E-4</v>
      </c>
      <c r="AJ57" s="25">
        <f>(('Mitigation drivers'!AE49*LagoonN2O)+('Mitigation drivers'!AE50*LiquidN2O)+('Mitigation drivers'!AE51*DrylotN2O)+('Mitigation drivers'!AE52*SolidStorageN2O)+('Mitigation drivers'!AE53*DailyspreadN2O)+('Mitigation drivers'!AE54*CompostN2O)+('Mitigation drivers'!AE55*ManwithbedN2O)+('Mitigation drivers'!AE56*PMwithoutlitterN2O)+('Mitigation drivers'!AE57*PMwithlitterN2O)+('Mitigation drivers'!AE59*DigesterN2OEF))/100</f>
        <v>6.4999999999999997E-4</v>
      </c>
      <c r="AK57" s="25">
        <f>(('Mitigation drivers'!AF49*LagoonN2O)+('Mitigation drivers'!AF50*LiquidN2O)+('Mitigation drivers'!AF51*DrylotN2O)+('Mitigation drivers'!AF52*SolidStorageN2O)+('Mitigation drivers'!AF53*DailyspreadN2O)+('Mitigation drivers'!AF54*CompostN2O)+('Mitigation drivers'!AF55*ManwithbedN2O)+('Mitigation drivers'!AF56*PMwithoutlitterN2O)+('Mitigation drivers'!AF57*PMwithlitterN2O)+('Mitigation drivers'!AF59*DigesterN2OEF))/100</f>
        <v>6.4999999999999997E-4</v>
      </c>
      <c r="AL57" s="25">
        <f>(('Mitigation drivers'!AG49*LagoonN2O)+('Mitigation drivers'!AG50*LiquidN2O)+('Mitigation drivers'!AG51*DrylotN2O)+('Mitigation drivers'!AG52*SolidStorageN2O)+('Mitigation drivers'!AG53*DailyspreadN2O)+('Mitigation drivers'!AG54*CompostN2O)+('Mitigation drivers'!AG55*ManwithbedN2O)+('Mitigation drivers'!AG56*PMwithoutlitterN2O)+('Mitigation drivers'!AG57*PMwithlitterN2O)+('Mitigation drivers'!AG59*DigesterN2OEF))/100</f>
        <v>6.4999999999999997E-4</v>
      </c>
      <c r="AM57" s="25">
        <f>(('Mitigation drivers'!AH49*LagoonN2O)+('Mitigation drivers'!AH50*LiquidN2O)+('Mitigation drivers'!AH51*DrylotN2O)+('Mitigation drivers'!AH52*SolidStorageN2O)+('Mitigation drivers'!AH53*DailyspreadN2O)+('Mitigation drivers'!AH54*CompostN2O)+('Mitigation drivers'!AH55*ManwithbedN2O)+('Mitigation drivers'!AH56*PMwithoutlitterN2O)+('Mitigation drivers'!AH57*PMwithlitterN2O)+('Mitigation drivers'!AH59*DigesterN2OEF))/100</f>
        <v>6.4999999999999997E-4</v>
      </c>
      <c r="AN57" s="25">
        <f>(('Mitigation drivers'!AI49*LagoonN2O)+('Mitigation drivers'!AI50*LiquidN2O)+('Mitigation drivers'!AI51*DrylotN2O)+('Mitigation drivers'!AI52*SolidStorageN2O)+('Mitigation drivers'!AI53*DailyspreadN2O)+('Mitigation drivers'!AI54*CompostN2O)+('Mitigation drivers'!AI55*ManwithbedN2O)+('Mitigation drivers'!AI56*PMwithoutlitterN2O)+('Mitigation drivers'!AI57*PMwithlitterN2O)+('Mitigation drivers'!AI59*DigesterN2OEF))/100</f>
        <v>6.4999999999999997E-4</v>
      </c>
      <c r="AO57" s="25">
        <f>(('Mitigation drivers'!AJ49*LagoonN2O)+('Mitigation drivers'!AJ50*LiquidN2O)+('Mitigation drivers'!AJ51*DrylotN2O)+('Mitigation drivers'!AJ52*SolidStorageN2O)+('Mitigation drivers'!AJ53*DailyspreadN2O)+('Mitigation drivers'!AJ54*CompostN2O)+('Mitigation drivers'!AJ55*ManwithbedN2O)+('Mitigation drivers'!AJ56*PMwithoutlitterN2O)+('Mitigation drivers'!AJ57*PMwithlitterN2O)+('Mitigation drivers'!AJ59*DigesterN2OEF))/100</f>
        <v>6.4999999999999997E-4</v>
      </c>
    </row>
    <row r="58" spans="1:41" x14ac:dyDescent="0.3">
      <c r="A58" t="str">
        <f t="shared" si="5"/>
        <v>3A Livestock</v>
      </c>
      <c r="B58" t="str">
        <f t="shared" si="13"/>
        <v>3A2 Manure management (N2O)</v>
      </c>
      <c r="C58" t="str">
        <f>'Activity data'!C9</f>
        <v>3A1aii Other cattle</v>
      </c>
      <c r="D58" t="str">
        <f>'Activity data'!D9</f>
        <v>Subsistence</v>
      </c>
      <c r="E58" t="str">
        <f t="shared" ref="E58:E71" si="32">E57</f>
        <v>Manure management EF</v>
      </c>
      <c r="F58" t="str">
        <f t="shared" ref="F58:F71" si="33">F57</f>
        <v>N2O</v>
      </c>
      <c r="G58" t="str">
        <f t="shared" ref="G58:G71" si="34">G57</f>
        <v>kg N2O-N/kg Nex</v>
      </c>
      <c r="H58" s="25">
        <f>(('Mitigation drivers'!C61*LagoonN2O)+('Mitigation drivers'!C62*LiquidN2O)+('Mitigation drivers'!C63*DrylotN2O)+('Mitigation drivers'!C64*SolidStorageN2O)+('Mitigation drivers'!C65*DailyspreadN2O)+('Mitigation drivers'!C66*CompostN2O)+('Mitigation drivers'!C67*ManwithbedN2O)+('Mitigation drivers'!C68*PMwithoutlitterN2O)+('Mitigation drivers'!C69*PMwithlitterN2O)+('Mitigation drivers'!C71*DigesterN2OEF))/100</f>
        <v>1.5000000000000002E-3</v>
      </c>
      <c r="I58" s="25">
        <f>(('Mitigation drivers'!D61*LagoonN2O)+('Mitigation drivers'!D62*LiquidN2O)+('Mitigation drivers'!D63*DrylotN2O)+('Mitigation drivers'!D64*SolidStorageN2O)+('Mitigation drivers'!D65*DailyspreadN2O)+('Mitigation drivers'!D66*CompostN2O)+('Mitigation drivers'!D67*ManwithbedN2O)+('Mitigation drivers'!D68*PMwithoutlitterN2O)+('Mitigation drivers'!D69*PMwithlitterN2O)+('Mitigation drivers'!D71*DigesterN2OEF))/100</f>
        <v>1.5000000000000002E-3</v>
      </c>
      <c r="J58" s="25">
        <f>(('Mitigation drivers'!E61*LagoonN2O)+('Mitigation drivers'!E62*LiquidN2O)+('Mitigation drivers'!E63*DrylotN2O)+('Mitigation drivers'!E64*SolidStorageN2O)+('Mitigation drivers'!E65*DailyspreadN2O)+('Mitigation drivers'!E66*CompostN2O)+('Mitigation drivers'!E67*ManwithbedN2O)+('Mitigation drivers'!E68*PMwithoutlitterN2O)+('Mitigation drivers'!E69*PMwithlitterN2O)+('Mitigation drivers'!E71*DigesterN2OEF))/100</f>
        <v>1.5000000000000002E-3</v>
      </c>
      <c r="K58" s="25">
        <f>(('Mitigation drivers'!F61*LagoonN2O)+('Mitigation drivers'!F62*LiquidN2O)+('Mitigation drivers'!F63*DrylotN2O)+('Mitigation drivers'!F64*SolidStorageN2O)+('Mitigation drivers'!F65*DailyspreadN2O)+('Mitigation drivers'!F66*CompostN2O)+('Mitigation drivers'!F67*ManwithbedN2O)+('Mitigation drivers'!F68*PMwithoutlitterN2O)+('Mitigation drivers'!F69*PMwithlitterN2O)+('Mitigation drivers'!F71*DigesterN2OEF))/100</f>
        <v>1.5000000000000002E-3</v>
      </c>
      <c r="L58" s="25">
        <f>(('Mitigation drivers'!G61*LagoonN2O)+('Mitigation drivers'!G62*LiquidN2O)+('Mitigation drivers'!G63*DrylotN2O)+('Mitigation drivers'!G64*SolidStorageN2O)+('Mitigation drivers'!G65*DailyspreadN2O)+('Mitigation drivers'!G66*CompostN2O)+('Mitigation drivers'!G67*ManwithbedN2O)+('Mitigation drivers'!G68*PMwithoutlitterN2O)+('Mitigation drivers'!G69*PMwithlitterN2O)+('Mitigation drivers'!G71*DigesterN2OEF))/100</f>
        <v>1.5000000000000002E-3</v>
      </c>
      <c r="M58" s="25">
        <f>(('Mitigation drivers'!H61*LagoonN2O)+('Mitigation drivers'!H62*LiquidN2O)+('Mitigation drivers'!H63*DrylotN2O)+('Mitigation drivers'!H64*SolidStorageN2O)+('Mitigation drivers'!H65*DailyspreadN2O)+('Mitigation drivers'!H66*CompostN2O)+('Mitigation drivers'!H67*ManwithbedN2O)+('Mitigation drivers'!H68*PMwithoutlitterN2O)+('Mitigation drivers'!H69*PMwithlitterN2O)+('Mitigation drivers'!H71*DigesterN2OEF))/100</f>
        <v>1.5000000000000002E-3</v>
      </c>
      <c r="N58" s="25">
        <f>(('Mitigation drivers'!I61*LagoonN2O)+('Mitigation drivers'!I62*LiquidN2O)+('Mitigation drivers'!I63*DrylotN2O)+('Mitigation drivers'!I64*SolidStorageN2O)+('Mitigation drivers'!I65*DailyspreadN2O)+('Mitigation drivers'!I66*CompostN2O)+('Mitigation drivers'!I67*ManwithbedN2O)+('Mitigation drivers'!I68*PMwithoutlitterN2O)+('Mitigation drivers'!I69*PMwithlitterN2O)+('Mitigation drivers'!I71*DigesterN2OEF))/100</f>
        <v>1.5000000000000002E-3</v>
      </c>
      <c r="O58" s="25">
        <f>(('Mitigation drivers'!J61*LagoonN2O)+('Mitigation drivers'!J62*LiquidN2O)+('Mitigation drivers'!J63*DrylotN2O)+('Mitigation drivers'!J64*SolidStorageN2O)+('Mitigation drivers'!J65*DailyspreadN2O)+('Mitigation drivers'!J66*CompostN2O)+('Mitigation drivers'!J67*ManwithbedN2O)+('Mitigation drivers'!J68*PMwithoutlitterN2O)+('Mitigation drivers'!J69*PMwithlitterN2O)+('Mitigation drivers'!J71*DigesterN2OEF))/100</f>
        <v>1.5000000000000002E-3</v>
      </c>
      <c r="P58" s="25">
        <f>(('Mitigation drivers'!K61*LagoonN2O)+('Mitigation drivers'!K62*LiquidN2O)+('Mitigation drivers'!K63*DrylotN2O)+('Mitigation drivers'!K64*SolidStorageN2O)+('Mitigation drivers'!K65*DailyspreadN2O)+('Mitigation drivers'!K66*CompostN2O)+('Mitigation drivers'!K67*ManwithbedN2O)+('Mitigation drivers'!K68*PMwithoutlitterN2O)+('Mitigation drivers'!K69*PMwithlitterN2O)+('Mitigation drivers'!K71*DigesterN2OEF))/100</f>
        <v>1.5000000000000002E-3</v>
      </c>
      <c r="Q58" s="25">
        <f>(('Mitigation drivers'!L61*LagoonN2O)+('Mitigation drivers'!L62*LiquidN2O)+('Mitigation drivers'!L63*DrylotN2O)+('Mitigation drivers'!L64*SolidStorageN2O)+('Mitigation drivers'!L65*DailyspreadN2O)+('Mitigation drivers'!L66*CompostN2O)+('Mitigation drivers'!L67*ManwithbedN2O)+('Mitigation drivers'!L68*PMwithoutlitterN2O)+('Mitigation drivers'!L69*PMwithlitterN2O)+('Mitigation drivers'!L71*DigesterN2OEF))/100</f>
        <v>1.5000000000000002E-3</v>
      </c>
      <c r="R58" s="25">
        <f>(('Mitigation drivers'!M61*LagoonN2O)+('Mitigation drivers'!M62*LiquidN2O)+('Mitigation drivers'!M63*DrylotN2O)+('Mitigation drivers'!M64*SolidStorageN2O)+('Mitigation drivers'!M65*DailyspreadN2O)+('Mitigation drivers'!M66*CompostN2O)+('Mitigation drivers'!M67*ManwithbedN2O)+('Mitigation drivers'!M68*PMwithoutlitterN2O)+('Mitigation drivers'!M69*PMwithlitterN2O)+('Mitigation drivers'!M71*DigesterN2OEF))/100</f>
        <v>1.5000000000000002E-3</v>
      </c>
      <c r="S58" s="25">
        <f>(('Mitigation drivers'!N61*LagoonN2O)+('Mitigation drivers'!N62*LiquidN2O)+('Mitigation drivers'!N63*DrylotN2O)+('Mitigation drivers'!N64*SolidStorageN2O)+('Mitigation drivers'!N65*DailyspreadN2O)+('Mitigation drivers'!N66*CompostN2O)+('Mitigation drivers'!N67*ManwithbedN2O)+('Mitigation drivers'!N68*PMwithoutlitterN2O)+('Mitigation drivers'!N69*PMwithlitterN2O)+('Mitigation drivers'!N71*DigesterN2OEF))/100</f>
        <v>1.5000000000000002E-3</v>
      </c>
      <c r="T58" s="25">
        <f>(('Mitigation drivers'!O61*LagoonN2O)+('Mitigation drivers'!O62*LiquidN2O)+('Mitigation drivers'!O63*DrylotN2O)+('Mitigation drivers'!O64*SolidStorageN2O)+('Mitigation drivers'!O65*DailyspreadN2O)+('Mitigation drivers'!O66*CompostN2O)+('Mitigation drivers'!O67*ManwithbedN2O)+('Mitigation drivers'!O68*PMwithoutlitterN2O)+('Mitigation drivers'!O69*PMwithlitterN2O)+('Mitigation drivers'!O71*DigesterN2OEF))/100</f>
        <v>1.5000000000000002E-3</v>
      </c>
      <c r="U58" s="25">
        <f>(('Mitigation drivers'!P61*LagoonN2O)+('Mitigation drivers'!P62*LiquidN2O)+('Mitigation drivers'!P63*DrylotN2O)+('Mitigation drivers'!P64*SolidStorageN2O)+('Mitigation drivers'!P65*DailyspreadN2O)+('Mitigation drivers'!P66*CompostN2O)+('Mitigation drivers'!P67*ManwithbedN2O)+('Mitigation drivers'!P68*PMwithoutlitterN2O)+('Mitigation drivers'!P69*PMwithlitterN2O)+('Mitigation drivers'!P71*DigesterN2OEF))/100</f>
        <v>1.5000000000000002E-3</v>
      </c>
      <c r="V58" s="25">
        <f>(('Mitigation drivers'!Q61*LagoonN2O)+('Mitigation drivers'!Q62*LiquidN2O)+('Mitigation drivers'!Q63*DrylotN2O)+('Mitigation drivers'!Q64*SolidStorageN2O)+('Mitigation drivers'!Q65*DailyspreadN2O)+('Mitigation drivers'!Q66*CompostN2O)+('Mitigation drivers'!Q67*ManwithbedN2O)+('Mitigation drivers'!Q68*PMwithoutlitterN2O)+('Mitigation drivers'!Q69*PMwithlitterN2O)+('Mitigation drivers'!Q71*DigesterN2OEF))/100</f>
        <v>1.5000000000000002E-3</v>
      </c>
      <c r="W58" s="25">
        <f>(('Mitigation drivers'!R61*LagoonN2O)+('Mitigation drivers'!R62*LiquidN2O)+('Mitigation drivers'!R63*DrylotN2O)+('Mitigation drivers'!R64*SolidStorageN2O)+('Mitigation drivers'!R65*DailyspreadN2O)+('Mitigation drivers'!R66*CompostN2O)+('Mitigation drivers'!R67*ManwithbedN2O)+('Mitigation drivers'!R68*PMwithoutlitterN2O)+('Mitigation drivers'!R69*PMwithlitterN2O)+('Mitigation drivers'!R71*DigesterN2OEF))/100</f>
        <v>1.5000000000000002E-3</v>
      </c>
      <c r="X58" s="25">
        <f>(('Mitigation drivers'!S61*LagoonN2O)+('Mitigation drivers'!S62*LiquidN2O)+('Mitigation drivers'!S63*DrylotN2O)+('Mitigation drivers'!S64*SolidStorageN2O)+('Mitigation drivers'!S65*DailyspreadN2O)+('Mitigation drivers'!S66*CompostN2O)+('Mitigation drivers'!S67*ManwithbedN2O)+('Mitigation drivers'!S68*PMwithoutlitterN2O)+('Mitigation drivers'!S69*PMwithlitterN2O)+('Mitigation drivers'!S71*DigesterN2OEF))/100</f>
        <v>1.5000000000000002E-3</v>
      </c>
      <c r="Y58" s="25">
        <f>(('Mitigation drivers'!T61*LagoonN2O)+('Mitigation drivers'!T62*LiquidN2O)+('Mitigation drivers'!T63*DrylotN2O)+('Mitigation drivers'!T64*SolidStorageN2O)+('Mitigation drivers'!T65*DailyspreadN2O)+('Mitigation drivers'!T66*CompostN2O)+('Mitigation drivers'!T67*ManwithbedN2O)+('Mitigation drivers'!T68*PMwithoutlitterN2O)+('Mitigation drivers'!T69*PMwithlitterN2O)+('Mitigation drivers'!T71*DigesterN2OEF))/100</f>
        <v>1.5000000000000002E-3</v>
      </c>
      <c r="Z58" s="25">
        <f>(('Mitigation drivers'!U61*LagoonN2O)+('Mitigation drivers'!U62*LiquidN2O)+('Mitigation drivers'!U63*DrylotN2O)+('Mitigation drivers'!U64*SolidStorageN2O)+('Mitigation drivers'!U65*DailyspreadN2O)+('Mitigation drivers'!U66*CompostN2O)+('Mitigation drivers'!U67*ManwithbedN2O)+('Mitigation drivers'!U68*PMwithoutlitterN2O)+('Mitigation drivers'!U69*PMwithlitterN2O)+('Mitigation drivers'!U71*DigesterN2OEF))/100</f>
        <v>1.5000000000000002E-3</v>
      </c>
      <c r="AA58" s="25">
        <f>(('Mitigation drivers'!V61*LagoonN2O)+('Mitigation drivers'!V62*LiquidN2O)+('Mitigation drivers'!V63*DrylotN2O)+('Mitigation drivers'!V64*SolidStorageN2O)+('Mitigation drivers'!V65*DailyspreadN2O)+('Mitigation drivers'!V66*CompostN2O)+('Mitigation drivers'!V67*ManwithbedN2O)+('Mitigation drivers'!V68*PMwithoutlitterN2O)+('Mitigation drivers'!V69*PMwithlitterN2O)+('Mitigation drivers'!V71*DigesterN2OEF))/100</f>
        <v>1.5000000000000002E-3</v>
      </c>
      <c r="AB58" s="25">
        <f>(('Mitigation drivers'!W61*LagoonN2O)+('Mitigation drivers'!W62*LiquidN2O)+('Mitigation drivers'!W63*DrylotN2O)+('Mitigation drivers'!W64*SolidStorageN2O)+('Mitigation drivers'!W65*DailyspreadN2O)+('Mitigation drivers'!W66*CompostN2O)+('Mitigation drivers'!W67*ManwithbedN2O)+('Mitigation drivers'!W68*PMwithoutlitterN2O)+('Mitigation drivers'!W69*PMwithlitterN2O)+('Mitigation drivers'!W71*DigesterN2OEF))/100</f>
        <v>1.5000000000000002E-3</v>
      </c>
      <c r="AC58" s="25">
        <f>(('Mitigation drivers'!X61*LagoonN2O)+('Mitigation drivers'!X62*LiquidN2O)+('Mitigation drivers'!X63*DrylotN2O)+('Mitigation drivers'!X64*SolidStorageN2O)+('Mitigation drivers'!X65*DailyspreadN2O)+('Mitigation drivers'!X66*CompostN2O)+('Mitigation drivers'!X67*ManwithbedN2O)+('Mitigation drivers'!X68*PMwithoutlitterN2O)+('Mitigation drivers'!X69*PMwithlitterN2O)+('Mitigation drivers'!X71*DigesterN2OEF))/100</f>
        <v>1.5000000000000002E-3</v>
      </c>
      <c r="AD58" s="25">
        <f>(('Mitigation drivers'!Y61*LagoonN2O)+('Mitigation drivers'!Y62*LiquidN2O)+('Mitigation drivers'!Y63*DrylotN2O)+('Mitigation drivers'!Y64*SolidStorageN2O)+('Mitigation drivers'!Y65*DailyspreadN2O)+('Mitigation drivers'!Y66*CompostN2O)+('Mitigation drivers'!Y67*ManwithbedN2O)+('Mitigation drivers'!Y68*PMwithoutlitterN2O)+('Mitigation drivers'!Y69*PMwithlitterN2O)+('Mitigation drivers'!Y71*DigesterN2OEF))/100</f>
        <v>1.5000000000000002E-3</v>
      </c>
      <c r="AE58" s="25">
        <f>(('Mitigation drivers'!Z61*LagoonN2O)+('Mitigation drivers'!Z62*LiquidN2O)+('Mitigation drivers'!Z63*DrylotN2O)+('Mitigation drivers'!Z64*SolidStorageN2O)+('Mitigation drivers'!Z65*DailyspreadN2O)+('Mitigation drivers'!Z66*CompostN2O)+('Mitigation drivers'!Z67*ManwithbedN2O)+('Mitigation drivers'!Z68*PMwithoutlitterN2O)+('Mitigation drivers'!Z69*PMwithlitterN2O)+('Mitigation drivers'!Z71*DigesterN2OEF))/100</f>
        <v>1.5000000000000002E-3</v>
      </c>
      <c r="AF58" s="25">
        <f>(('Mitigation drivers'!AA61*LagoonN2O)+('Mitigation drivers'!AA62*LiquidN2O)+('Mitigation drivers'!AA63*DrylotN2O)+('Mitigation drivers'!AA64*SolidStorageN2O)+('Mitigation drivers'!AA65*DailyspreadN2O)+('Mitigation drivers'!AA66*CompostN2O)+('Mitigation drivers'!AA67*ManwithbedN2O)+('Mitigation drivers'!AA68*PMwithoutlitterN2O)+('Mitigation drivers'!AA69*PMwithlitterN2O)+('Mitigation drivers'!AA71*DigesterN2OEF))/100</f>
        <v>1.5000000000000002E-3</v>
      </c>
      <c r="AG58" s="25">
        <f>(('Mitigation drivers'!AB61*LagoonN2O)+('Mitigation drivers'!AB62*LiquidN2O)+('Mitigation drivers'!AB63*DrylotN2O)+('Mitigation drivers'!AB64*SolidStorageN2O)+('Mitigation drivers'!AB65*DailyspreadN2O)+('Mitigation drivers'!AB66*CompostN2O)+('Mitigation drivers'!AB67*ManwithbedN2O)+('Mitigation drivers'!AB68*PMwithoutlitterN2O)+('Mitigation drivers'!AB69*PMwithlitterN2O)+('Mitigation drivers'!AB71*DigesterN2OEF))/100</f>
        <v>1.5000000000000002E-3</v>
      </c>
      <c r="AH58" s="25">
        <f>(('Mitigation drivers'!AC61*LagoonN2O)+('Mitigation drivers'!AC62*LiquidN2O)+('Mitigation drivers'!AC63*DrylotN2O)+('Mitigation drivers'!AC64*SolidStorageN2O)+('Mitigation drivers'!AC65*DailyspreadN2O)+('Mitigation drivers'!AC66*CompostN2O)+('Mitigation drivers'!AC67*ManwithbedN2O)+('Mitigation drivers'!AC68*PMwithoutlitterN2O)+('Mitigation drivers'!AC69*PMwithlitterN2O)+('Mitigation drivers'!AC71*DigesterN2OEF))/100</f>
        <v>1.5000000000000002E-3</v>
      </c>
      <c r="AI58" s="25">
        <f>(('Mitigation drivers'!AD61*LagoonN2O)+('Mitigation drivers'!AD62*LiquidN2O)+('Mitigation drivers'!AD63*DrylotN2O)+('Mitigation drivers'!AD64*SolidStorageN2O)+('Mitigation drivers'!AD65*DailyspreadN2O)+('Mitigation drivers'!AD66*CompostN2O)+('Mitigation drivers'!AD67*ManwithbedN2O)+('Mitigation drivers'!AD68*PMwithoutlitterN2O)+('Mitigation drivers'!AD69*PMwithlitterN2O)+('Mitigation drivers'!AD71*DigesterN2OEF))/100</f>
        <v>1.5000000000000002E-3</v>
      </c>
      <c r="AJ58" s="25">
        <f>(('Mitigation drivers'!AE61*LagoonN2O)+('Mitigation drivers'!AE62*LiquidN2O)+('Mitigation drivers'!AE63*DrylotN2O)+('Mitigation drivers'!AE64*SolidStorageN2O)+('Mitigation drivers'!AE65*DailyspreadN2O)+('Mitigation drivers'!AE66*CompostN2O)+('Mitigation drivers'!AE67*ManwithbedN2O)+('Mitigation drivers'!AE68*PMwithoutlitterN2O)+('Mitigation drivers'!AE69*PMwithlitterN2O)+('Mitigation drivers'!AE71*DigesterN2OEF))/100</f>
        <v>1.5000000000000002E-3</v>
      </c>
      <c r="AK58" s="25">
        <f>(('Mitigation drivers'!AF61*LagoonN2O)+('Mitigation drivers'!AF62*LiquidN2O)+('Mitigation drivers'!AF63*DrylotN2O)+('Mitigation drivers'!AF64*SolidStorageN2O)+('Mitigation drivers'!AF65*DailyspreadN2O)+('Mitigation drivers'!AF66*CompostN2O)+('Mitigation drivers'!AF67*ManwithbedN2O)+('Mitigation drivers'!AF68*PMwithoutlitterN2O)+('Mitigation drivers'!AF69*PMwithlitterN2O)+('Mitigation drivers'!AF71*DigesterN2OEF))/100</f>
        <v>1.5000000000000002E-3</v>
      </c>
      <c r="AL58" s="25">
        <f>(('Mitigation drivers'!AG61*LagoonN2O)+('Mitigation drivers'!AG62*LiquidN2O)+('Mitigation drivers'!AG63*DrylotN2O)+('Mitigation drivers'!AG64*SolidStorageN2O)+('Mitigation drivers'!AG65*DailyspreadN2O)+('Mitigation drivers'!AG66*CompostN2O)+('Mitigation drivers'!AG67*ManwithbedN2O)+('Mitigation drivers'!AG68*PMwithoutlitterN2O)+('Mitigation drivers'!AG69*PMwithlitterN2O)+('Mitigation drivers'!AG71*DigesterN2OEF))/100</f>
        <v>1.5000000000000002E-3</v>
      </c>
      <c r="AM58" s="25">
        <f>(('Mitigation drivers'!AH61*LagoonN2O)+('Mitigation drivers'!AH62*LiquidN2O)+('Mitigation drivers'!AH63*DrylotN2O)+('Mitigation drivers'!AH64*SolidStorageN2O)+('Mitigation drivers'!AH65*DailyspreadN2O)+('Mitigation drivers'!AH66*CompostN2O)+('Mitigation drivers'!AH67*ManwithbedN2O)+('Mitigation drivers'!AH68*PMwithoutlitterN2O)+('Mitigation drivers'!AH69*PMwithlitterN2O)+('Mitigation drivers'!AH71*DigesterN2OEF))/100</f>
        <v>1.5000000000000002E-3</v>
      </c>
      <c r="AN58" s="25">
        <f>(('Mitigation drivers'!AI61*LagoonN2O)+('Mitigation drivers'!AI62*LiquidN2O)+('Mitigation drivers'!AI63*DrylotN2O)+('Mitigation drivers'!AI64*SolidStorageN2O)+('Mitigation drivers'!AI65*DailyspreadN2O)+('Mitigation drivers'!AI66*CompostN2O)+('Mitigation drivers'!AI67*ManwithbedN2O)+('Mitigation drivers'!AI68*PMwithoutlitterN2O)+('Mitigation drivers'!AI69*PMwithlitterN2O)+('Mitigation drivers'!AI71*DigesterN2OEF))/100</f>
        <v>1.5000000000000002E-3</v>
      </c>
      <c r="AO58" s="25">
        <f>(('Mitigation drivers'!AJ61*LagoonN2O)+('Mitigation drivers'!AJ62*LiquidN2O)+('Mitigation drivers'!AJ63*DrylotN2O)+('Mitigation drivers'!AJ64*SolidStorageN2O)+('Mitigation drivers'!AJ65*DailyspreadN2O)+('Mitigation drivers'!AJ66*CompostN2O)+('Mitigation drivers'!AJ67*ManwithbedN2O)+('Mitigation drivers'!AJ68*PMwithoutlitterN2O)+('Mitigation drivers'!AJ69*PMwithlitterN2O)+('Mitigation drivers'!AJ71*DigesterN2OEF))/100</f>
        <v>1.5000000000000002E-3</v>
      </c>
    </row>
    <row r="59" spans="1:41" x14ac:dyDescent="0.3">
      <c r="A59" t="str">
        <f t="shared" si="5"/>
        <v>3A Livestock</v>
      </c>
      <c r="B59" t="str">
        <f t="shared" si="13"/>
        <v>3A2 Manure management (N2O)</v>
      </c>
      <c r="C59" t="str">
        <f>'Activity data'!C10</f>
        <v>3A1aii Other cattle</v>
      </c>
      <c r="D59" t="str">
        <f>'Activity data'!D10</f>
        <v>Feedlot</v>
      </c>
      <c r="E59" t="str">
        <f t="shared" si="32"/>
        <v>Manure management EF</v>
      </c>
      <c r="F59" t="str">
        <f t="shared" si="33"/>
        <v>N2O</v>
      </c>
      <c r="G59" t="str">
        <f t="shared" si="34"/>
        <v>kg N2O-N/kg Nex</v>
      </c>
      <c r="H59" s="25">
        <f>(('Mitigation drivers'!C73*LagoonN2O)+('Mitigation drivers'!C74*LiquidN2O)+('Mitigation drivers'!C75*DrylotN2O)+('Mitigation drivers'!C76*SolidStorageN2O)+('Mitigation drivers'!C77*DailyspreadN2O)+('Mitigation drivers'!C78*CompostN2O)+('Mitigation drivers'!C79*ManwithbedN2O)+('Mitigation drivers'!C80*PMwithoutlitterN2O)+('Mitigation drivers'!C81*PMwithlitterN2O)+('Mitigation drivers'!C83*DigesterN2OEF))/100</f>
        <v>1.7500000000000002E-2</v>
      </c>
      <c r="I59" s="25">
        <f>(('Mitigation drivers'!D73*LagoonN2O)+('Mitigation drivers'!D74*LiquidN2O)+('Mitigation drivers'!D75*DrylotN2O)+('Mitigation drivers'!D76*SolidStorageN2O)+('Mitigation drivers'!D77*DailyspreadN2O)+('Mitigation drivers'!D78*CompostN2O)+('Mitigation drivers'!D79*ManwithbedN2O)+('Mitigation drivers'!D80*PMwithoutlitterN2O)+('Mitigation drivers'!D81*PMwithlitterN2O)+('Mitigation drivers'!D83*DigesterN2OEF))/100</f>
        <v>1.7500000000000002E-2</v>
      </c>
      <c r="J59" s="25">
        <f>(('Mitigation drivers'!E73*LagoonN2O)+('Mitigation drivers'!E74*LiquidN2O)+('Mitigation drivers'!E75*DrylotN2O)+('Mitigation drivers'!E76*SolidStorageN2O)+('Mitigation drivers'!E77*DailyspreadN2O)+('Mitigation drivers'!E78*CompostN2O)+('Mitigation drivers'!E79*ManwithbedN2O)+('Mitigation drivers'!E80*PMwithoutlitterN2O)+('Mitigation drivers'!E81*PMwithlitterN2O)+('Mitigation drivers'!E83*DigesterN2OEF))/100</f>
        <v>1.7500000000000002E-2</v>
      </c>
      <c r="K59" s="25">
        <f>(('Mitigation drivers'!F73*LagoonN2O)+('Mitigation drivers'!F74*LiquidN2O)+('Mitigation drivers'!F75*DrylotN2O)+('Mitigation drivers'!F76*SolidStorageN2O)+('Mitigation drivers'!F77*DailyspreadN2O)+('Mitigation drivers'!F78*CompostN2O)+('Mitigation drivers'!F79*ManwithbedN2O)+('Mitigation drivers'!F80*PMwithoutlitterN2O)+('Mitigation drivers'!F81*PMwithlitterN2O)+('Mitigation drivers'!F83*DigesterN2OEF))/100</f>
        <v>1.7500000000000002E-2</v>
      </c>
      <c r="L59" s="25">
        <f>(('Mitigation drivers'!G73*LagoonN2O)+('Mitigation drivers'!G74*LiquidN2O)+('Mitigation drivers'!G75*DrylotN2O)+('Mitigation drivers'!G76*SolidStorageN2O)+('Mitigation drivers'!G77*DailyspreadN2O)+('Mitigation drivers'!G78*CompostN2O)+('Mitigation drivers'!G79*ManwithbedN2O)+('Mitigation drivers'!G80*PMwithoutlitterN2O)+('Mitigation drivers'!G81*PMwithlitterN2O)+('Mitigation drivers'!G83*DigesterN2OEF))/100</f>
        <v>1.7500000000000002E-2</v>
      </c>
      <c r="M59" s="25">
        <f>(('Mitigation drivers'!H73*LagoonN2O)+('Mitigation drivers'!H74*LiquidN2O)+('Mitigation drivers'!H75*DrylotN2O)+('Mitigation drivers'!H76*SolidStorageN2O)+('Mitigation drivers'!H77*DailyspreadN2O)+('Mitigation drivers'!H78*CompostN2O)+('Mitigation drivers'!H79*ManwithbedN2O)+('Mitigation drivers'!H80*PMwithoutlitterN2O)+('Mitigation drivers'!H81*PMwithlitterN2O)+('Mitigation drivers'!H83*DigesterN2OEF))/100</f>
        <v>1.7500000000000002E-2</v>
      </c>
      <c r="N59" s="25">
        <f>(('Mitigation drivers'!I73*LagoonN2O)+('Mitigation drivers'!I74*LiquidN2O)+('Mitigation drivers'!I75*DrylotN2O)+('Mitigation drivers'!I76*SolidStorageN2O)+('Mitigation drivers'!I77*DailyspreadN2O)+('Mitigation drivers'!I78*CompostN2O)+('Mitigation drivers'!I79*ManwithbedN2O)+('Mitigation drivers'!I80*PMwithoutlitterN2O)+('Mitigation drivers'!I81*PMwithlitterN2O)+('Mitigation drivers'!I83*DigesterN2OEF))/100</f>
        <v>1.7500000000000002E-2</v>
      </c>
      <c r="O59" s="25">
        <f>(('Mitigation drivers'!J73*LagoonN2O)+('Mitigation drivers'!J74*LiquidN2O)+('Mitigation drivers'!J75*DrylotN2O)+('Mitigation drivers'!J76*SolidStorageN2O)+('Mitigation drivers'!J77*DailyspreadN2O)+('Mitigation drivers'!J78*CompostN2O)+('Mitigation drivers'!J79*ManwithbedN2O)+('Mitigation drivers'!J80*PMwithoutlitterN2O)+('Mitigation drivers'!J81*PMwithlitterN2O)+('Mitigation drivers'!J83*DigesterN2OEF))/100</f>
        <v>1.7500000000000002E-2</v>
      </c>
      <c r="P59" s="25">
        <f>(('Mitigation drivers'!K73*LagoonN2O)+('Mitigation drivers'!K74*LiquidN2O)+('Mitigation drivers'!K75*DrylotN2O)+('Mitigation drivers'!K76*SolidStorageN2O)+('Mitigation drivers'!K77*DailyspreadN2O)+('Mitigation drivers'!K78*CompostN2O)+('Mitigation drivers'!K79*ManwithbedN2O)+('Mitigation drivers'!K80*PMwithoutlitterN2O)+('Mitigation drivers'!K81*PMwithlitterN2O)+('Mitigation drivers'!K83*DigesterN2OEF))/100</f>
        <v>1.7500000000000002E-2</v>
      </c>
      <c r="Q59" s="25">
        <f>(('Mitigation drivers'!L73*LagoonN2O)+('Mitigation drivers'!L74*LiquidN2O)+('Mitigation drivers'!L75*DrylotN2O)+('Mitigation drivers'!L76*SolidStorageN2O)+('Mitigation drivers'!L77*DailyspreadN2O)+('Mitigation drivers'!L78*CompostN2O)+('Mitigation drivers'!L79*ManwithbedN2O)+('Mitigation drivers'!L80*PMwithoutlitterN2O)+('Mitigation drivers'!L81*PMwithlitterN2O)+('Mitigation drivers'!L83*DigesterN2OEF))/100</f>
        <v>1.7500000000000002E-2</v>
      </c>
      <c r="R59" s="25">
        <f>(('Mitigation drivers'!M73*LagoonN2O)+('Mitigation drivers'!M74*LiquidN2O)+('Mitigation drivers'!M75*DrylotN2O)+('Mitigation drivers'!M76*SolidStorageN2O)+('Mitigation drivers'!M77*DailyspreadN2O)+('Mitigation drivers'!M78*CompostN2O)+('Mitigation drivers'!M79*ManwithbedN2O)+('Mitigation drivers'!M80*PMwithoutlitterN2O)+('Mitigation drivers'!M81*PMwithlitterN2O)+('Mitigation drivers'!M83*DigesterN2OEF))/100</f>
        <v>1.7500000000000002E-2</v>
      </c>
      <c r="S59" s="25">
        <f>(('Mitigation drivers'!N73*LagoonN2O)+('Mitigation drivers'!N74*LiquidN2O)+('Mitigation drivers'!N75*DrylotN2O)+('Mitigation drivers'!N76*SolidStorageN2O)+('Mitigation drivers'!N77*DailyspreadN2O)+('Mitigation drivers'!N78*CompostN2O)+('Mitigation drivers'!N79*ManwithbedN2O)+('Mitigation drivers'!N80*PMwithoutlitterN2O)+('Mitigation drivers'!N81*PMwithlitterN2O)+('Mitigation drivers'!N83*DigesterN2OEF))/100</f>
        <v>1.7500000000000002E-2</v>
      </c>
      <c r="T59" s="25">
        <f>(('Mitigation drivers'!O73*LagoonN2O)+('Mitigation drivers'!O74*LiquidN2O)+('Mitigation drivers'!O75*DrylotN2O)+('Mitigation drivers'!O76*SolidStorageN2O)+('Mitigation drivers'!O77*DailyspreadN2O)+('Mitigation drivers'!O78*CompostN2O)+('Mitigation drivers'!O79*ManwithbedN2O)+('Mitigation drivers'!O80*PMwithoutlitterN2O)+('Mitigation drivers'!O81*PMwithlitterN2O)+('Mitigation drivers'!O83*DigesterN2OEF))/100</f>
        <v>1.7500000000000002E-2</v>
      </c>
      <c r="U59" s="25">
        <f>(('Mitigation drivers'!P73*LagoonN2O)+('Mitigation drivers'!P74*LiquidN2O)+('Mitigation drivers'!P75*DrylotN2O)+('Mitigation drivers'!P76*SolidStorageN2O)+('Mitigation drivers'!P77*DailyspreadN2O)+('Mitigation drivers'!P78*CompostN2O)+('Mitigation drivers'!P79*ManwithbedN2O)+('Mitigation drivers'!P80*PMwithoutlitterN2O)+('Mitigation drivers'!P81*PMwithlitterN2O)+('Mitigation drivers'!P83*DigesterN2OEF))/100</f>
        <v>1.7500000000000002E-2</v>
      </c>
      <c r="V59" s="25">
        <f>(('Mitigation drivers'!Q73*LagoonN2O)+('Mitigation drivers'!Q74*LiquidN2O)+('Mitigation drivers'!Q75*DrylotN2O)+('Mitigation drivers'!Q76*SolidStorageN2O)+('Mitigation drivers'!Q77*DailyspreadN2O)+('Mitigation drivers'!Q78*CompostN2O)+('Mitigation drivers'!Q79*ManwithbedN2O)+('Mitigation drivers'!Q80*PMwithoutlitterN2O)+('Mitigation drivers'!Q81*PMwithlitterN2O)+('Mitigation drivers'!Q83*DigesterN2OEF))/100</f>
        <v>1.7500000000000002E-2</v>
      </c>
      <c r="W59" s="25">
        <f>(('Mitigation drivers'!R73*LagoonN2O)+('Mitigation drivers'!R74*LiquidN2O)+('Mitigation drivers'!R75*DrylotN2O)+('Mitigation drivers'!R76*SolidStorageN2O)+('Mitigation drivers'!R77*DailyspreadN2O)+('Mitigation drivers'!R78*CompostN2O)+('Mitigation drivers'!R79*ManwithbedN2O)+('Mitigation drivers'!R80*PMwithoutlitterN2O)+('Mitigation drivers'!R81*PMwithlitterN2O)+('Mitigation drivers'!R83*DigesterN2OEF))/100</f>
        <v>1.7500000000000002E-2</v>
      </c>
      <c r="X59" s="25">
        <f>(('Mitigation drivers'!S73*LagoonN2O)+('Mitigation drivers'!S74*LiquidN2O)+('Mitigation drivers'!S75*DrylotN2O)+('Mitigation drivers'!S76*SolidStorageN2O)+('Mitigation drivers'!S77*DailyspreadN2O)+('Mitigation drivers'!S78*CompostN2O)+('Mitigation drivers'!S79*ManwithbedN2O)+('Mitigation drivers'!S80*PMwithoutlitterN2O)+('Mitigation drivers'!S81*PMwithlitterN2O)+('Mitigation drivers'!S83*DigesterN2OEF))/100</f>
        <v>1.7500000000000002E-2</v>
      </c>
      <c r="Y59" s="25">
        <f>(('Mitigation drivers'!T73*LagoonN2O)+('Mitigation drivers'!T74*LiquidN2O)+('Mitigation drivers'!T75*DrylotN2O)+('Mitigation drivers'!T76*SolidStorageN2O)+('Mitigation drivers'!T77*DailyspreadN2O)+('Mitigation drivers'!T78*CompostN2O)+('Mitigation drivers'!T79*ManwithbedN2O)+('Mitigation drivers'!T80*PMwithoutlitterN2O)+('Mitigation drivers'!T81*PMwithlitterN2O)+('Mitigation drivers'!T83*DigesterN2OEF))/100</f>
        <v>1.7500000000000002E-2</v>
      </c>
      <c r="Z59" s="25">
        <f>(('Mitigation drivers'!U73*LagoonN2O)+('Mitigation drivers'!U74*LiquidN2O)+('Mitigation drivers'!U75*DrylotN2O)+('Mitigation drivers'!U76*SolidStorageN2O)+('Mitigation drivers'!U77*DailyspreadN2O)+('Mitigation drivers'!U78*CompostN2O)+('Mitigation drivers'!U79*ManwithbedN2O)+('Mitigation drivers'!U80*PMwithoutlitterN2O)+('Mitigation drivers'!U81*PMwithlitterN2O)+('Mitigation drivers'!U83*DigesterN2OEF))/100</f>
        <v>1.7500000000000002E-2</v>
      </c>
      <c r="AA59" s="25">
        <f>(('Mitigation drivers'!V73*LagoonN2O)+('Mitigation drivers'!V74*LiquidN2O)+('Mitigation drivers'!V75*DrylotN2O)+('Mitigation drivers'!V76*SolidStorageN2O)+('Mitigation drivers'!V77*DailyspreadN2O)+('Mitigation drivers'!V78*CompostN2O)+('Mitigation drivers'!V79*ManwithbedN2O)+('Mitigation drivers'!V80*PMwithoutlitterN2O)+('Mitigation drivers'!V81*PMwithlitterN2O)+('Mitigation drivers'!V83*DigesterN2OEF))/100</f>
        <v>1.7500000000000002E-2</v>
      </c>
      <c r="AB59" s="25">
        <f>(('Mitigation drivers'!W73*LagoonN2O)+('Mitigation drivers'!W74*LiquidN2O)+('Mitigation drivers'!W75*DrylotN2O)+('Mitigation drivers'!W76*SolidStorageN2O)+('Mitigation drivers'!W77*DailyspreadN2O)+('Mitigation drivers'!W78*CompostN2O)+('Mitigation drivers'!W79*ManwithbedN2O)+('Mitigation drivers'!W80*PMwithoutlitterN2O)+('Mitigation drivers'!W81*PMwithlitterN2O)+('Mitigation drivers'!W83*DigesterN2OEF))/100</f>
        <v>1.7500000000000002E-2</v>
      </c>
      <c r="AC59" s="25">
        <f>(('Mitigation drivers'!X73*LagoonN2O)+('Mitigation drivers'!X74*LiquidN2O)+('Mitigation drivers'!X75*DrylotN2O)+('Mitigation drivers'!X76*SolidStorageN2O)+('Mitigation drivers'!X77*DailyspreadN2O)+('Mitigation drivers'!X78*CompostN2O)+('Mitigation drivers'!X79*ManwithbedN2O)+('Mitigation drivers'!X80*PMwithoutlitterN2O)+('Mitigation drivers'!X81*PMwithlitterN2O)+('Mitigation drivers'!X83*DigesterN2OEF))/100</f>
        <v>1.7500000000000002E-2</v>
      </c>
      <c r="AD59" s="25">
        <f>(('Mitigation drivers'!Y73*LagoonN2O)+('Mitigation drivers'!Y74*LiquidN2O)+('Mitigation drivers'!Y75*DrylotN2O)+('Mitigation drivers'!Y76*SolidStorageN2O)+('Mitigation drivers'!Y77*DailyspreadN2O)+('Mitigation drivers'!Y78*CompostN2O)+('Mitigation drivers'!Y79*ManwithbedN2O)+('Mitigation drivers'!Y80*PMwithoutlitterN2O)+('Mitigation drivers'!Y81*PMwithlitterN2O)+('Mitigation drivers'!Y83*DigesterN2OEF))/100</f>
        <v>1.7500000000000002E-2</v>
      </c>
      <c r="AE59" s="25">
        <f>(('Mitigation drivers'!Z73*LagoonN2O)+('Mitigation drivers'!Z74*LiquidN2O)+('Mitigation drivers'!Z75*DrylotN2O)+('Mitigation drivers'!Z76*SolidStorageN2O)+('Mitigation drivers'!Z77*DailyspreadN2O)+('Mitigation drivers'!Z78*CompostN2O)+('Mitigation drivers'!Z79*ManwithbedN2O)+('Mitigation drivers'!Z80*PMwithoutlitterN2O)+('Mitigation drivers'!Z81*PMwithlitterN2O)+('Mitigation drivers'!Z83*DigesterN2OEF))/100</f>
        <v>1.7500000000000002E-2</v>
      </c>
      <c r="AF59" s="25">
        <f>(('Mitigation drivers'!AA73*LagoonN2O)+('Mitigation drivers'!AA74*LiquidN2O)+('Mitigation drivers'!AA75*DrylotN2O)+('Mitigation drivers'!AA76*SolidStorageN2O)+('Mitigation drivers'!AA77*DailyspreadN2O)+('Mitigation drivers'!AA78*CompostN2O)+('Mitigation drivers'!AA79*ManwithbedN2O)+('Mitigation drivers'!AA80*PMwithoutlitterN2O)+('Mitigation drivers'!AA81*PMwithlitterN2O)+('Mitigation drivers'!AA83*DigesterN2OEF))/100</f>
        <v>1.7500000000000002E-2</v>
      </c>
      <c r="AG59" s="25">
        <f>(('Mitigation drivers'!AB73*LagoonN2O)+('Mitigation drivers'!AB74*LiquidN2O)+('Mitigation drivers'!AB75*DrylotN2O)+('Mitigation drivers'!AB76*SolidStorageN2O)+('Mitigation drivers'!AB77*DailyspreadN2O)+('Mitigation drivers'!AB78*CompostN2O)+('Mitigation drivers'!AB79*ManwithbedN2O)+('Mitigation drivers'!AB80*PMwithoutlitterN2O)+('Mitigation drivers'!AB81*PMwithlitterN2O)+('Mitigation drivers'!AB83*DigesterN2OEF))/100</f>
        <v>1.7500000000000002E-2</v>
      </c>
      <c r="AH59" s="25">
        <f>(('Mitigation drivers'!AC73*LagoonN2O)+('Mitigation drivers'!AC74*LiquidN2O)+('Mitigation drivers'!AC75*DrylotN2O)+('Mitigation drivers'!AC76*SolidStorageN2O)+('Mitigation drivers'!AC77*DailyspreadN2O)+('Mitigation drivers'!AC78*CompostN2O)+('Mitigation drivers'!AC79*ManwithbedN2O)+('Mitigation drivers'!AC80*PMwithoutlitterN2O)+('Mitigation drivers'!AC81*PMwithlitterN2O)+('Mitigation drivers'!AC83*DigesterN2OEF))/100</f>
        <v>1.7500000000000002E-2</v>
      </c>
      <c r="AI59" s="25">
        <f>(('Mitigation drivers'!AD73*LagoonN2O)+('Mitigation drivers'!AD74*LiquidN2O)+('Mitigation drivers'!AD75*DrylotN2O)+('Mitigation drivers'!AD76*SolidStorageN2O)+('Mitigation drivers'!AD77*DailyspreadN2O)+('Mitigation drivers'!AD78*CompostN2O)+('Mitigation drivers'!AD79*ManwithbedN2O)+('Mitigation drivers'!AD80*PMwithoutlitterN2O)+('Mitigation drivers'!AD81*PMwithlitterN2O)+('Mitigation drivers'!AD83*DigesterN2OEF))/100</f>
        <v>1.7500000000000002E-2</v>
      </c>
      <c r="AJ59" s="25">
        <f>(('Mitigation drivers'!AE73*LagoonN2O)+('Mitigation drivers'!AE74*LiquidN2O)+('Mitigation drivers'!AE75*DrylotN2O)+('Mitigation drivers'!AE76*SolidStorageN2O)+('Mitigation drivers'!AE77*DailyspreadN2O)+('Mitigation drivers'!AE78*CompostN2O)+('Mitigation drivers'!AE79*ManwithbedN2O)+('Mitigation drivers'!AE80*PMwithoutlitterN2O)+('Mitigation drivers'!AE81*PMwithlitterN2O)+('Mitigation drivers'!AE83*DigesterN2OEF))/100</f>
        <v>1.7500000000000002E-2</v>
      </c>
      <c r="AK59" s="25">
        <f>(('Mitigation drivers'!AF73*LagoonN2O)+('Mitigation drivers'!AF74*LiquidN2O)+('Mitigation drivers'!AF75*DrylotN2O)+('Mitigation drivers'!AF76*SolidStorageN2O)+('Mitigation drivers'!AF77*DailyspreadN2O)+('Mitigation drivers'!AF78*CompostN2O)+('Mitigation drivers'!AF79*ManwithbedN2O)+('Mitigation drivers'!AF80*PMwithoutlitterN2O)+('Mitigation drivers'!AF81*PMwithlitterN2O)+('Mitigation drivers'!AF83*DigesterN2OEF))/100</f>
        <v>1.7500000000000002E-2</v>
      </c>
      <c r="AL59" s="25">
        <f>(('Mitigation drivers'!AG73*LagoonN2O)+('Mitigation drivers'!AG74*LiquidN2O)+('Mitigation drivers'!AG75*DrylotN2O)+('Mitigation drivers'!AG76*SolidStorageN2O)+('Mitigation drivers'!AG77*DailyspreadN2O)+('Mitigation drivers'!AG78*CompostN2O)+('Mitigation drivers'!AG79*ManwithbedN2O)+('Mitigation drivers'!AG80*PMwithoutlitterN2O)+('Mitigation drivers'!AG81*PMwithlitterN2O)+('Mitigation drivers'!AG83*DigesterN2OEF))/100</f>
        <v>1.7500000000000002E-2</v>
      </c>
      <c r="AM59" s="25">
        <f>(('Mitigation drivers'!AH73*LagoonN2O)+('Mitigation drivers'!AH74*LiquidN2O)+('Mitigation drivers'!AH75*DrylotN2O)+('Mitigation drivers'!AH76*SolidStorageN2O)+('Mitigation drivers'!AH77*DailyspreadN2O)+('Mitigation drivers'!AH78*CompostN2O)+('Mitigation drivers'!AH79*ManwithbedN2O)+('Mitigation drivers'!AH80*PMwithoutlitterN2O)+('Mitigation drivers'!AH81*PMwithlitterN2O)+('Mitigation drivers'!AH83*DigesterN2OEF))/100</f>
        <v>1.7500000000000002E-2</v>
      </c>
      <c r="AN59" s="25">
        <f>(('Mitigation drivers'!AI73*LagoonN2O)+('Mitigation drivers'!AI74*LiquidN2O)+('Mitigation drivers'!AI75*DrylotN2O)+('Mitigation drivers'!AI76*SolidStorageN2O)+('Mitigation drivers'!AI77*DailyspreadN2O)+('Mitigation drivers'!AI78*CompostN2O)+('Mitigation drivers'!AI79*ManwithbedN2O)+('Mitigation drivers'!AI80*PMwithoutlitterN2O)+('Mitigation drivers'!AI81*PMwithlitterN2O)+('Mitigation drivers'!AI83*DigesterN2OEF))/100</f>
        <v>1.7500000000000002E-2</v>
      </c>
      <c r="AO59" s="25">
        <f>(('Mitigation drivers'!AJ73*LagoonN2O)+('Mitigation drivers'!AJ74*LiquidN2O)+('Mitigation drivers'!AJ75*DrylotN2O)+('Mitigation drivers'!AJ76*SolidStorageN2O)+('Mitigation drivers'!AJ77*DailyspreadN2O)+('Mitigation drivers'!AJ78*CompostN2O)+('Mitigation drivers'!AJ79*ManwithbedN2O)+('Mitigation drivers'!AJ80*PMwithoutlitterN2O)+('Mitigation drivers'!AJ81*PMwithlitterN2O)+('Mitigation drivers'!AJ83*DigesterN2OEF))/100</f>
        <v>1.7500000000000002E-2</v>
      </c>
    </row>
    <row r="60" spans="1:41" x14ac:dyDescent="0.3">
      <c r="A60" t="str">
        <f t="shared" si="5"/>
        <v>3A Livestock</v>
      </c>
      <c r="B60" t="str">
        <f t="shared" si="13"/>
        <v>3A2 Manure management (N2O)</v>
      </c>
      <c r="C60" t="str">
        <f>'Activity data'!C11</f>
        <v>3A1c Sheep</v>
      </c>
      <c r="D60" t="str">
        <f>'Activity data'!D11</f>
        <v>Commercial</v>
      </c>
      <c r="E60" t="str">
        <f t="shared" si="32"/>
        <v>Manure management EF</v>
      </c>
      <c r="F60" t="str">
        <f t="shared" si="33"/>
        <v>N2O</v>
      </c>
      <c r="G60" t="str">
        <f t="shared" si="34"/>
        <v>kg N2O-N/kg Nex</v>
      </c>
      <c r="H60" s="25">
        <f>(('Mitigation drivers'!C86*LagoonN2O)+('Mitigation drivers'!C87*LiquidN2O)+('Mitigation drivers'!C88*DrylotN2O)+('Mitigation drivers'!C89*SolidStorageN2O)+('Mitigation drivers'!C90*DailyspreadN2O)+('Mitigation drivers'!C91*CompostN2O)+('Mitigation drivers'!C92*ManwithbedN2O)+('Mitigation drivers'!C93*PMwithoutlitterN2O)+('Mitigation drivers'!C94*PMwithlitterN2O)+('Mitigation drivers'!C96*DigesterN2OEF))/100</f>
        <v>2.0000000000000001E-4</v>
      </c>
      <c r="I60" s="25">
        <f>(('Mitigation drivers'!D86*LagoonN2O)+('Mitigation drivers'!D87*LiquidN2O)+('Mitigation drivers'!D88*DrylotN2O)+('Mitigation drivers'!D89*SolidStorageN2O)+('Mitigation drivers'!D90*DailyspreadN2O)+('Mitigation drivers'!D91*CompostN2O)+('Mitigation drivers'!D92*ManwithbedN2O)+('Mitigation drivers'!D93*PMwithoutlitterN2O)+('Mitigation drivers'!D94*PMwithlitterN2O)+('Mitigation drivers'!D96*DigesterN2OEF))/100</f>
        <v>2.0000000000000001E-4</v>
      </c>
      <c r="J60" s="25">
        <f>(('Mitigation drivers'!E86*LagoonN2O)+('Mitigation drivers'!E87*LiquidN2O)+('Mitigation drivers'!E88*DrylotN2O)+('Mitigation drivers'!E89*SolidStorageN2O)+('Mitigation drivers'!E90*DailyspreadN2O)+('Mitigation drivers'!E91*CompostN2O)+('Mitigation drivers'!E92*ManwithbedN2O)+('Mitigation drivers'!E93*PMwithoutlitterN2O)+('Mitigation drivers'!E94*PMwithlitterN2O)+('Mitigation drivers'!E96*DigesterN2OEF))/100</f>
        <v>2.0000000000000001E-4</v>
      </c>
      <c r="K60" s="25">
        <f>(('Mitigation drivers'!F86*LagoonN2O)+('Mitigation drivers'!F87*LiquidN2O)+('Mitigation drivers'!F88*DrylotN2O)+('Mitigation drivers'!F89*SolidStorageN2O)+('Mitigation drivers'!F90*DailyspreadN2O)+('Mitigation drivers'!F91*CompostN2O)+('Mitigation drivers'!F92*ManwithbedN2O)+('Mitigation drivers'!F93*PMwithoutlitterN2O)+('Mitigation drivers'!F94*PMwithlitterN2O)+('Mitigation drivers'!F96*DigesterN2OEF))/100</f>
        <v>2.0000000000000001E-4</v>
      </c>
      <c r="L60" s="25">
        <f>(('Mitigation drivers'!G86*LagoonN2O)+('Mitigation drivers'!G87*LiquidN2O)+('Mitigation drivers'!G88*DrylotN2O)+('Mitigation drivers'!G89*SolidStorageN2O)+('Mitigation drivers'!G90*DailyspreadN2O)+('Mitigation drivers'!G91*CompostN2O)+('Mitigation drivers'!G92*ManwithbedN2O)+('Mitigation drivers'!G93*PMwithoutlitterN2O)+('Mitigation drivers'!G94*PMwithlitterN2O)+('Mitigation drivers'!G96*DigesterN2OEF))/100</f>
        <v>2.0000000000000001E-4</v>
      </c>
      <c r="M60" s="25">
        <f>(('Mitigation drivers'!H86*LagoonN2O)+('Mitigation drivers'!H87*LiquidN2O)+('Mitigation drivers'!H88*DrylotN2O)+('Mitigation drivers'!H89*SolidStorageN2O)+('Mitigation drivers'!H90*DailyspreadN2O)+('Mitigation drivers'!H91*CompostN2O)+('Mitigation drivers'!H92*ManwithbedN2O)+('Mitigation drivers'!H93*PMwithoutlitterN2O)+('Mitigation drivers'!H94*PMwithlitterN2O)+('Mitigation drivers'!H96*DigesterN2OEF))/100</f>
        <v>2.0000000000000001E-4</v>
      </c>
      <c r="N60" s="25">
        <f>(('Mitigation drivers'!I86*LagoonN2O)+('Mitigation drivers'!I87*LiquidN2O)+('Mitigation drivers'!I88*DrylotN2O)+('Mitigation drivers'!I89*SolidStorageN2O)+('Mitigation drivers'!I90*DailyspreadN2O)+('Mitigation drivers'!I91*CompostN2O)+('Mitigation drivers'!I92*ManwithbedN2O)+('Mitigation drivers'!I93*PMwithoutlitterN2O)+('Mitigation drivers'!I94*PMwithlitterN2O)+('Mitigation drivers'!I96*DigesterN2OEF))/100</f>
        <v>2.0000000000000001E-4</v>
      </c>
      <c r="O60" s="25">
        <f>(('Mitigation drivers'!J86*LagoonN2O)+('Mitigation drivers'!J87*LiquidN2O)+('Mitigation drivers'!J88*DrylotN2O)+('Mitigation drivers'!J89*SolidStorageN2O)+('Mitigation drivers'!J90*DailyspreadN2O)+('Mitigation drivers'!J91*CompostN2O)+('Mitigation drivers'!J92*ManwithbedN2O)+('Mitigation drivers'!J93*PMwithoutlitterN2O)+('Mitigation drivers'!J94*PMwithlitterN2O)+('Mitigation drivers'!J96*DigesterN2OEF))/100</f>
        <v>2.0000000000000001E-4</v>
      </c>
      <c r="P60" s="25">
        <f>(('Mitigation drivers'!K86*LagoonN2O)+('Mitigation drivers'!K87*LiquidN2O)+('Mitigation drivers'!K88*DrylotN2O)+('Mitigation drivers'!K89*SolidStorageN2O)+('Mitigation drivers'!K90*DailyspreadN2O)+('Mitigation drivers'!K91*CompostN2O)+('Mitigation drivers'!K92*ManwithbedN2O)+('Mitigation drivers'!K93*PMwithoutlitterN2O)+('Mitigation drivers'!K94*PMwithlitterN2O)+('Mitigation drivers'!K96*DigesterN2OEF))/100</f>
        <v>2.0000000000000001E-4</v>
      </c>
      <c r="Q60" s="25">
        <f>(('Mitigation drivers'!L86*LagoonN2O)+('Mitigation drivers'!L87*LiquidN2O)+('Mitigation drivers'!L88*DrylotN2O)+('Mitigation drivers'!L89*SolidStorageN2O)+('Mitigation drivers'!L90*DailyspreadN2O)+('Mitigation drivers'!L91*CompostN2O)+('Mitigation drivers'!L92*ManwithbedN2O)+('Mitigation drivers'!L93*PMwithoutlitterN2O)+('Mitigation drivers'!L94*PMwithlitterN2O)+('Mitigation drivers'!L96*DigesterN2OEF))/100</f>
        <v>2.0000000000000001E-4</v>
      </c>
      <c r="R60" s="25">
        <f>(('Mitigation drivers'!M86*LagoonN2O)+('Mitigation drivers'!M87*LiquidN2O)+('Mitigation drivers'!M88*DrylotN2O)+('Mitigation drivers'!M89*SolidStorageN2O)+('Mitigation drivers'!M90*DailyspreadN2O)+('Mitigation drivers'!M91*CompostN2O)+('Mitigation drivers'!M92*ManwithbedN2O)+('Mitigation drivers'!M93*PMwithoutlitterN2O)+('Mitigation drivers'!M94*PMwithlitterN2O)+('Mitigation drivers'!M96*DigesterN2OEF))/100</f>
        <v>2.0000000000000001E-4</v>
      </c>
      <c r="S60" s="25">
        <f>(('Mitigation drivers'!N86*LagoonN2O)+('Mitigation drivers'!N87*LiquidN2O)+('Mitigation drivers'!N88*DrylotN2O)+('Mitigation drivers'!N89*SolidStorageN2O)+('Mitigation drivers'!N90*DailyspreadN2O)+('Mitigation drivers'!N91*CompostN2O)+('Mitigation drivers'!N92*ManwithbedN2O)+('Mitigation drivers'!N93*PMwithoutlitterN2O)+('Mitigation drivers'!N94*PMwithlitterN2O)+('Mitigation drivers'!N96*DigesterN2OEF))/100</f>
        <v>2.0000000000000001E-4</v>
      </c>
      <c r="T60" s="25">
        <f>(('Mitigation drivers'!O86*LagoonN2O)+('Mitigation drivers'!O87*LiquidN2O)+('Mitigation drivers'!O88*DrylotN2O)+('Mitigation drivers'!O89*SolidStorageN2O)+('Mitigation drivers'!O90*DailyspreadN2O)+('Mitigation drivers'!O91*CompostN2O)+('Mitigation drivers'!O92*ManwithbedN2O)+('Mitigation drivers'!O93*PMwithoutlitterN2O)+('Mitigation drivers'!O94*PMwithlitterN2O)+('Mitigation drivers'!O96*DigesterN2OEF))/100</f>
        <v>2.0000000000000001E-4</v>
      </c>
      <c r="U60" s="25">
        <f>(('Mitigation drivers'!P86*LagoonN2O)+('Mitigation drivers'!P87*LiquidN2O)+('Mitigation drivers'!P88*DrylotN2O)+('Mitigation drivers'!P89*SolidStorageN2O)+('Mitigation drivers'!P90*DailyspreadN2O)+('Mitigation drivers'!P91*CompostN2O)+('Mitigation drivers'!P92*ManwithbedN2O)+('Mitigation drivers'!P93*PMwithoutlitterN2O)+('Mitigation drivers'!P94*PMwithlitterN2O)+('Mitigation drivers'!P96*DigesterN2OEF))/100</f>
        <v>2.0000000000000001E-4</v>
      </c>
      <c r="V60" s="25">
        <f>(('Mitigation drivers'!Q86*LagoonN2O)+('Mitigation drivers'!Q87*LiquidN2O)+('Mitigation drivers'!Q88*DrylotN2O)+('Mitigation drivers'!Q89*SolidStorageN2O)+('Mitigation drivers'!Q90*DailyspreadN2O)+('Mitigation drivers'!Q91*CompostN2O)+('Mitigation drivers'!Q92*ManwithbedN2O)+('Mitigation drivers'!Q93*PMwithoutlitterN2O)+('Mitigation drivers'!Q94*PMwithlitterN2O)+('Mitigation drivers'!Q96*DigesterN2OEF))/100</f>
        <v>2.0000000000000001E-4</v>
      </c>
      <c r="W60" s="25">
        <f>(('Mitigation drivers'!R86*LagoonN2O)+('Mitigation drivers'!R87*LiquidN2O)+('Mitigation drivers'!R88*DrylotN2O)+('Mitigation drivers'!R89*SolidStorageN2O)+('Mitigation drivers'!R90*DailyspreadN2O)+('Mitigation drivers'!R91*CompostN2O)+('Mitigation drivers'!R92*ManwithbedN2O)+('Mitigation drivers'!R93*PMwithoutlitterN2O)+('Mitigation drivers'!R94*PMwithlitterN2O)+('Mitigation drivers'!R96*DigesterN2OEF))/100</f>
        <v>2.0000000000000001E-4</v>
      </c>
      <c r="X60" s="25">
        <f>(('Mitigation drivers'!S86*LagoonN2O)+('Mitigation drivers'!S87*LiquidN2O)+('Mitigation drivers'!S88*DrylotN2O)+('Mitigation drivers'!S89*SolidStorageN2O)+('Mitigation drivers'!S90*DailyspreadN2O)+('Mitigation drivers'!S91*CompostN2O)+('Mitigation drivers'!S92*ManwithbedN2O)+('Mitigation drivers'!S93*PMwithoutlitterN2O)+('Mitigation drivers'!S94*PMwithlitterN2O)+('Mitigation drivers'!S96*DigesterN2OEF))/100</f>
        <v>2.0000000000000001E-4</v>
      </c>
      <c r="Y60" s="25">
        <f>(('Mitigation drivers'!T86*LagoonN2O)+('Mitigation drivers'!T87*LiquidN2O)+('Mitigation drivers'!T88*DrylotN2O)+('Mitigation drivers'!T89*SolidStorageN2O)+('Mitigation drivers'!T90*DailyspreadN2O)+('Mitigation drivers'!T91*CompostN2O)+('Mitigation drivers'!T92*ManwithbedN2O)+('Mitigation drivers'!T93*PMwithoutlitterN2O)+('Mitigation drivers'!T94*PMwithlitterN2O)+('Mitigation drivers'!T96*DigesterN2OEF))/100</f>
        <v>2.0000000000000001E-4</v>
      </c>
      <c r="Z60" s="25">
        <f>(('Mitigation drivers'!U86*LagoonN2O)+('Mitigation drivers'!U87*LiquidN2O)+('Mitigation drivers'!U88*DrylotN2O)+('Mitigation drivers'!U89*SolidStorageN2O)+('Mitigation drivers'!U90*DailyspreadN2O)+('Mitigation drivers'!U91*CompostN2O)+('Mitigation drivers'!U92*ManwithbedN2O)+('Mitigation drivers'!U93*PMwithoutlitterN2O)+('Mitigation drivers'!U94*PMwithlitterN2O)+('Mitigation drivers'!U96*DigesterN2OEF))/100</f>
        <v>2.0000000000000001E-4</v>
      </c>
      <c r="AA60" s="25">
        <f>(('Mitigation drivers'!V86*LagoonN2O)+('Mitigation drivers'!V87*LiquidN2O)+('Mitigation drivers'!V88*DrylotN2O)+('Mitigation drivers'!V89*SolidStorageN2O)+('Mitigation drivers'!V90*DailyspreadN2O)+('Mitigation drivers'!V91*CompostN2O)+('Mitigation drivers'!V92*ManwithbedN2O)+('Mitigation drivers'!V93*PMwithoutlitterN2O)+('Mitigation drivers'!V94*PMwithlitterN2O)+('Mitigation drivers'!V96*DigesterN2OEF))/100</f>
        <v>2.0000000000000001E-4</v>
      </c>
      <c r="AB60" s="25">
        <f>(('Mitigation drivers'!W86*LagoonN2O)+('Mitigation drivers'!W87*LiquidN2O)+('Mitigation drivers'!W88*DrylotN2O)+('Mitigation drivers'!W89*SolidStorageN2O)+('Mitigation drivers'!W90*DailyspreadN2O)+('Mitigation drivers'!W91*CompostN2O)+('Mitigation drivers'!W92*ManwithbedN2O)+('Mitigation drivers'!W93*PMwithoutlitterN2O)+('Mitigation drivers'!W94*PMwithlitterN2O)+('Mitigation drivers'!W96*DigesterN2OEF))/100</f>
        <v>2.0000000000000001E-4</v>
      </c>
      <c r="AC60" s="25">
        <f>(('Mitigation drivers'!X86*LagoonN2O)+('Mitigation drivers'!X87*LiquidN2O)+('Mitigation drivers'!X88*DrylotN2O)+('Mitigation drivers'!X89*SolidStorageN2O)+('Mitigation drivers'!X90*DailyspreadN2O)+('Mitigation drivers'!X91*CompostN2O)+('Mitigation drivers'!X92*ManwithbedN2O)+('Mitigation drivers'!X93*PMwithoutlitterN2O)+('Mitigation drivers'!X94*PMwithlitterN2O)+('Mitigation drivers'!X96*DigesterN2OEF))/100</f>
        <v>2.0000000000000001E-4</v>
      </c>
      <c r="AD60" s="25">
        <f>(('Mitigation drivers'!Y86*LagoonN2O)+('Mitigation drivers'!Y87*LiquidN2O)+('Mitigation drivers'!Y88*DrylotN2O)+('Mitigation drivers'!Y89*SolidStorageN2O)+('Mitigation drivers'!Y90*DailyspreadN2O)+('Mitigation drivers'!Y91*CompostN2O)+('Mitigation drivers'!Y92*ManwithbedN2O)+('Mitigation drivers'!Y93*PMwithoutlitterN2O)+('Mitigation drivers'!Y94*PMwithlitterN2O)+('Mitigation drivers'!Y96*DigesterN2OEF))/100</f>
        <v>2.0000000000000001E-4</v>
      </c>
      <c r="AE60" s="25">
        <f>(('Mitigation drivers'!Z86*LagoonN2O)+('Mitigation drivers'!Z87*LiquidN2O)+('Mitigation drivers'!Z88*DrylotN2O)+('Mitigation drivers'!Z89*SolidStorageN2O)+('Mitigation drivers'!Z90*DailyspreadN2O)+('Mitigation drivers'!Z91*CompostN2O)+('Mitigation drivers'!Z92*ManwithbedN2O)+('Mitigation drivers'!Z93*PMwithoutlitterN2O)+('Mitigation drivers'!Z94*PMwithlitterN2O)+('Mitigation drivers'!Z96*DigesterN2OEF))/100</f>
        <v>2.0000000000000001E-4</v>
      </c>
      <c r="AF60" s="25">
        <f>(('Mitigation drivers'!AA86*LagoonN2O)+('Mitigation drivers'!AA87*LiquidN2O)+('Mitigation drivers'!AA88*DrylotN2O)+('Mitigation drivers'!AA89*SolidStorageN2O)+('Mitigation drivers'!AA90*DailyspreadN2O)+('Mitigation drivers'!AA91*CompostN2O)+('Mitigation drivers'!AA92*ManwithbedN2O)+('Mitigation drivers'!AA93*PMwithoutlitterN2O)+('Mitigation drivers'!AA94*PMwithlitterN2O)+('Mitigation drivers'!AA96*DigesterN2OEF))/100</f>
        <v>2.0000000000000001E-4</v>
      </c>
      <c r="AG60" s="25">
        <f>(('Mitigation drivers'!AB86*LagoonN2O)+('Mitigation drivers'!AB87*LiquidN2O)+('Mitigation drivers'!AB88*DrylotN2O)+('Mitigation drivers'!AB89*SolidStorageN2O)+('Mitigation drivers'!AB90*DailyspreadN2O)+('Mitigation drivers'!AB91*CompostN2O)+('Mitigation drivers'!AB92*ManwithbedN2O)+('Mitigation drivers'!AB93*PMwithoutlitterN2O)+('Mitigation drivers'!AB94*PMwithlitterN2O)+('Mitigation drivers'!AB96*DigesterN2OEF))/100</f>
        <v>2.0000000000000001E-4</v>
      </c>
      <c r="AH60" s="25">
        <f>(('Mitigation drivers'!AC86*LagoonN2O)+('Mitigation drivers'!AC87*LiquidN2O)+('Mitigation drivers'!AC88*DrylotN2O)+('Mitigation drivers'!AC89*SolidStorageN2O)+('Mitigation drivers'!AC90*DailyspreadN2O)+('Mitigation drivers'!AC91*CompostN2O)+('Mitigation drivers'!AC92*ManwithbedN2O)+('Mitigation drivers'!AC93*PMwithoutlitterN2O)+('Mitigation drivers'!AC94*PMwithlitterN2O)+('Mitigation drivers'!AC96*DigesterN2OEF))/100</f>
        <v>2.0000000000000001E-4</v>
      </c>
      <c r="AI60" s="25">
        <f>(('Mitigation drivers'!AD86*LagoonN2O)+('Mitigation drivers'!AD87*LiquidN2O)+('Mitigation drivers'!AD88*DrylotN2O)+('Mitigation drivers'!AD89*SolidStorageN2O)+('Mitigation drivers'!AD90*DailyspreadN2O)+('Mitigation drivers'!AD91*CompostN2O)+('Mitigation drivers'!AD92*ManwithbedN2O)+('Mitigation drivers'!AD93*PMwithoutlitterN2O)+('Mitigation drivers'!AD94*PMwithlitterN2O)+('Mitigation drivers'!AD96*DigesterN2OEF))/100</f>
        <v>2.0000000000000001E-4</v>
      </c>
      <c r="AJ60" s="25">
        <f>(('Mitigation drivers'!AE86*LagoonN2O)+('Mitigation drivers'!AE87*LiquidN2O)+('Mitigation drivers'!AE88*DrylotN2O)+('Mitigation drivers'!AE89*SolidStorageN2O)+('Mitigation drivers'!AE90*DailyspreadN2O)+('Mitigation drivers'!AE91*CompostN2O)+('Mitigation drivers'!AE92*ManwithbedN2O)+('Mitigation drivers'!AE93*PMwithoutlitterN2O)+('Mitigation drivers'!AE94*PMwithlitterN2O)+('Mitigation drivers'!AE96*DigesterN2OEF))/100</f>
        <v>2.0000000000000001E-4</v>
      </c>
      <c r="AK60" s="25">
        <f>(('Mitigation drivers'!AF86*LagoonN2O)+('Mitigation drivers'!AF87*LiquidN2O)+('Mitigation drivers'!AF88*DrylotN2O)+('Mitigation drivers'!AF89*SolidStorageN2O)+('Mitigation drivers'!AF90*DailyspreadN2O)+('Mitigation drivers'!AF91*CompostN2O)+('Mitigation drivers'!AF92*ManwithbedN2O)+('Mitigation drivers'!AF93*PMwithoutlitterN2O)+('Mitigation drivers'!AF94*PMwithlitterN2O)+('Mitigation drivers'!AF96*DigesterN2OEF))/100</f>
        <v>2.0000000000000001E-4</v>
      </c>
      <c r="AL60" s="25">
        <f>(('Mitigation drivers'!AG86*LagoonN2O)+('Mitigation drivers'!AG87*LiquidN2O)+('Mitigation drivers'!AG88*DrylotN2O)+('Mitigation drivers'!AG89*SolidStorageN2O)+('Mitigation drivers'!AG90*DailyspreadN2O)+('Mitigation drivers'!AG91*CompostN2O)+('Mitigation drivers'!AG92*ManwithbedN2O)+('Mitigation drivers'!AG93*PMwithoutlitterN2O)+('Mitigation drivers'!AG94*PMwithlitterN2O)+('Mitigation drivers'!AG96*DigesterN2OEF))/100</f>
        <v>2.0000000000000001E-4</v>
      </c>
      <c r="AM60" s="25">
        <f>(('Mitigation drivers'!AH86*LagoonN2O)+('Mitigation drivers'!AH87*LiquidN2O)+('Mitigation drivers'!AH88*DrylotN2O)+('Mitigation drivers'!AH89*SolidStorageN2O)+('Mitigation drivers'!AH90*DailyspreadN2O)+('Mitigation drivers'!AH91*CompostN2O)+('Mitigation drivers'!AH92*ManwithbedN2O)+('Mitigation drivers'!AH93*PMwithoutlitterN2O)+('Mitigation drivers'!AH94*PMwithlitterN2O)+('Mitigation drivers'!AH96*DigesterN2OEF))/100</f>
        <v>2.0000000000000001E-4</v>
      </c>
      <c r="AN60" s="25">
        <f>(('Mitigation drivers'!AI86*LagoonN2O)+('Mitigation drivers'!AI87*LiquidN2O)+('Mitigation drivers'!AI88*DrylotN2O)+('Mitigation drivers'!AI89*SolidStorageN2O)+('Mitigation drivers'!AI90*DailyspreadN2O)+('Mitigation drivers'!AI91*CompostN2O)+('Mitigation drivers'!AI92*ManwithbedN2O)+('Mitigation drivers'!AI93*PMwithoutlitterN2O)+('Mitigation drivers'!AI94*PMwithlitterN2O)+('Mitigation drivers'!AI96*DigesterN2OEF))/100</f>
        <v>2.0000000000000001E-4</v>
      </c>
      <c r="AO60" s="25">
        <f>(('Mitigation drivers'!AJ86*LagoonN2O)+('Mitigation drivers'!AJ87*LiquidN2O)+('Mitigation drivers'!AJ88*DrylotN2O)+('Mitigation drivers'!AJ89*SolidStorageN2O)+('Mitigation drivers'!AJ90*DailyspreadN2O)+('Mitigation drivers'!AJ91*CompostN2O)+('Mitigation drivers'!AJ92*ManwithbedN2O)+('Mitigation drivers'!AJ93*PMwithoutlitterN2O)+('Mitigation drivers'!AJ94*PMwithlitterN2O)+('Mitigation drivers'!AJ96*DigesterN2OEF))/100</f>
        <v>2.0000000000000001E-4</v>
      </c>
    </row>
    <row r="61" spans="1:41" x14ac:dyDescent="0.3">
      <c r="A61" t="str">
        <f t="shared" si="5"/>
        <v>3A Livestock</v>
      </c>
      <c r="B61" t="str">
        <f t="shared" si="13"/>
        <v>3A2 Manure management (N2O)</v>
      </c>
      <c r="C61" t="str">
        <f>'Activity data'!C12</f>
        <v>3A1c Sheep</v>
      </c>
      <c r="D61" t="str">
        <f>'Activity data'!D12</f>
        <v>Subsistence</v>
      </c>
      <c r="E61" t="str">
        <f t="shared" si="32"/>
        <v>Manure management EF</v>
      </c>
      <c r="F61" t="str">
        <f t="shared" si="33"/>
        <v>N2O</v>
      </c>
      <c r="G61" t="str">
        <f t="shared" si="34"/>
        <v>kg N2O-N/kg Nex</v>
      </c>
      <c r="H61" s="25">
        <f>(('Mitigation drivers'!C97*LagoonN2O)+('Mitigation drivers'!C98*LiquidN2O)+('Mitigation drivers'!C99*DrylotN2O)+('Mitigation drivers'!C100*SolidStorageN2O)+('Mitigation drivers'!C101*DailyspreadN2O)+('Mitigation drivers'!C102*CompostN2O)+('Mitigation drivers'!C103*ManwithbedN2O)+('Mitigation drivers'!C104*PMwithoutlitterN2O)+('Mitigation drivers'!C105*PMwithlitterN2O)+('Mitigation drivers'!C107*DigesterN2OEF))/100</f>
        <v>8.9999999999999998E-4</v>
      </c>
      <c r="I61" s="25">
        <f>(('Mitigation drivers'!D97*LagoonN2O)+('Mitigation drivers'!D98*LiquidN2O)+('Mitigation drivers'!D99*DrylotN2O)+('Mitigation drivers'!D100*SolidStorageN2O)+('Mitigation drivers'!D101*DailyspreadN2O)+('Mitigation drivers'!D102*CompostN2O)+('Mitigation drivers'!D103*ManwithbedN2O)+('Mitigation drivers'!D104*PMwithoutlitterN2O)+('Mitigation drivers'!D105*PMwithlitterN2O)+('Mitigation drivers'!D107*DigesterN2OEF))/100</f>
        <v>8.9999999999999998E-4</v>
      </c>
      <c r="J61" s="25">
        <f>(('Mitigation drivers'!E97*LagoonN2O)+('Mitigation drivers'!E98*LiquidN2O)+('Mitigation drivers'!E99*DrylotN2O)+('Mitigation drivers'!E100*SolidStorageN2O)+('Mitigation drivers'!E101*DailyspreadN2O)+('Mitigation drivers'!E102*CompostN2O)+('Mitigation drivers'!E103*ManwithbedN2O)+('Mitigation drivers'!E104*PMwithoutlitterN2O)+('Mitigation drivers'!E105*PMwithlitterN2O)+('Mitigation drivers'!E107*DigesterN2OEF))/100</f>
        <v>8.9999999999999998E-4</v>
      </c>
      <c r="K61" s="25">
        <f>(('Mitigation drivers'!F97*LagoonN2O)+('Mitigation drivers'!F98*LiquidN2O)+('Mitigation drivers'!F99*DrylotN2O)+('Mitigation drivers'!F100*SolidStorageN2O)+('Mitigation drivers'!F101*DailyspreadN2O)+('Mitigation drivers'!F102*CompostN2O)+('Mitigation drivers'!F103*ManwithbedN2O)+('Mitigation drivers'!F104*PMwithoutlitterN2O)+('Mitigation drivers'!F105*PMwithlitterN2O)+('Mitigation drivers'!F107*DigesterN2OEF))/100</f>
        <v>8.9999999999999998E-4</v>
      </c>
      <c r="L61" s="25">
        <f>(('Mitigation drivers'!G97*LagoonN2O)+('Mitigation drivers'!G98*LiquidN2O)+('Mitigation drivers'!G99*DrylotN2O)+('Mitigation drivers'!G100*SolidStorageN2O)+('Mitigation drivers'!G101*DailyspreadN2O)+('Mitigation drivers'!G102*CompostN2O)+('Mitigation drivers'!G103*ManwithbedN2O)+('Mitigation drivers'!G104*PMwithoutlitterN2O)+('Mitigation drivers'!G105*PMwithlitterN2O)+('Mitigation drivers'!G107*DigesterN2OEF))/100</f>
        <v>8.9999999999999998E-4</v>
      </c>
      <c r="M61" s="25">
        <f>(('Mitigation drivers'!H97*LagoonN2O)+('Mitigation drivers'!H98*LiquidN2O)+('Mitigation drivers'!H99*DrylotN2O)+('Mitigation drivers'!H100*SolidStorageN2O)+('Mitigation drivers'!H101*DailyspreadN2O)+('Mitigation drivers'!H102*CompostN2O)+('Mitigation drivers'!H103*ManwithbedN2O)+('Mitigation drivers'!H104*PMwithoutlitterN2O)+('Mitigation drivers'!H105*PMwithlitterN2O)+('Mitigation drivers'!H107*DigesterN2OEF))/100</f>
        <v>8.9999999999999998E-4</v>
      </c>
      <c r="N61" s="25">
        <f>(('Mitigation drivers'!I97*LagoonN2O)+('Mitigation drivers'!I98*LiquidN2O)+('Mitigation drivers'!I99*DrylotN2O)+('Mitigation drivers'!I100*SolidStorageN2O)+('Mitigation drivers'!I101*DailyspreadN2O)+('Mitigation drivers'!I102*CompostN2O)+('Mitigation drivers'!I103*ManwithbedN2O)+('Mitigation drivers'!I104*PMwithoutlitterN2O)+('Mitigation drivers'!I105*PMwithlitterN2O)+('Mitigation drivers'!I107*DigesterN2OEF))/100</f>
        <v>8.9999999999999998E-4</v>
      </c>
      <c r="O61" s="25">
        <f>(('Mitigation drivers'!J97*LagoonN2O)+('Mitigation drivers'!J98*LiquidN2O)+('Mitigation drivers'!J99*DrylotN2O)+('Mitigation drivers'!J100*SolidStorageN2O)+('Mitigation drivers'!J101*DailyspreadN2O)+('Mitigation drivers'!J102*CompostN2O)+('Mitigation drivers'!J103*ManwithbedN2O)+('Mitigation drivers'!J104*PMwithoutlitterN2O)+('Mitigation drivers'!J105*PMwithlitterN2O)+('Mitigation drivers'!J107*DigesterN2OEF))/100</f>
        <v>8.9999999999999998E-4</v>
      </c>
      <c r="P61" s="25">
        <f>(('Mitigation drivers'!K97*LagoonN2O)+('Mitigation drivers'!K98*LiquidN2O)+('Mitigation drivers'!K99*DrylotN2O)+('Mitigation drivers'!K100*SolidStorageN2O)+('Mitigation drivers'!K101*DailyspreadN2O)+('Mitigation drivers'!K102*CompostN2O)+('Mitigation drivers'!K103*ManwithbedN2O)+('Mitigation drivers'!K104*PMwithoutlitterN2O)+('Mitigation drivers'!K105*PMwithlitterN2O)+('Mitigation drivers'!K107*DigesterN2OEF))/100</f>
        <v>8.9999999999999998E-4</v>
      </c>
      <c r="Q61" s="25">
        <f>(('Mitigation drivers'!L97*LagoonN2O)+('Mitigation drivers'!L98*LiquidN2O)+('Mitigation drivers'!L99*DrylotN2O)+('Mitigation drivers'!L100*SolidStorageN2O)+('Mitigation drivers'!L101*DailyspreadN2O)+('Mitigation drivers'!L102*CompostN2O)+('Mitigation drivers'!L103*ManwithbedN2O)+('Mitigation drivers'!L104*PMwithoutlitterN2O)+('Mitigation drivers'!L105*PMwithlitterN2O)+('Mitigation drivers'!L107*DigesterN2OEF))/100</f>
        <v>8.9999999999999998E-4</v>
      </c>
      <c r="R61" s="25">
        <f>(('Mitigation drivers'!M97*LagoonN2O)+('Mitigation drivers'!M98*LiquidN2O)+('Mitigation drivers'!M99*DrylotN2O)+('Mitigation drivers'!M100*SolidStorageN2O)+('Mitigation drivers'!M101*DailyspreadN2O)+('Mitigation drivers'!M102*CompostN2O)+('Mitigation drivers'!M103*ManwithbedN2O)+('Mitigation drivers'!M104*PMwithoutlitterN2O)+('Mitigation drivers'!M105*PMwithlitterN2O)+('Mitigation drivers'!M107*DigesterN2OEF))/100</f>
        <v>8.9999999999999998E-4</v>
      </c>
      <c r="S61" s="25">
        <f>(('Mitigation drivers'!N97*LagoonN2O)+('Mitigation drivers'!N98*LiquidN2O)+('Mitigation drivers'!N99*DrylotN2O)+('Mitigation drivers'!N100*SolidStorageN2O)+('Mitigation drivers'!N101*DailyspreadN2O)+('Mitigation drivers'!N102*CompostN2O)+('Mitigation drivers'!N103*ManwithbedN2O)+('Mitigation drivers'!N104*PMwithoutlitterN2O)+('Mitigation drivers'!N105*PMwithlitterN2O)+('Mitigation drivers'!N107*DigesterN2OEF))/100</f>
        <v>8.9999999999999998E-4</v>
      </c>
      <c r="T61" s="25">
        <f>(('Mitigation drivers'!O97*LagoonN2O)+('Mitigation drivers'!O98*LiquidN2O)+('Mitigation drivers'!O99*DrylotN2O)+('Mitigation drivers'!O100*SolidStorageN2O)+('Mitigation drivers'!O101*DailyspreadN2O)+('Mitigation drivers'!O102*CompostN2O)+('Mitigation drivers'!O103*ManwithbedN2O)+('Mitigation drivers'!O104*PMwithoutlitterN2O)+('Mitigation drivers'!O105*PMwithlitterN2O)+('Mitigation drivers'!O107*DigesterN2OEF))/100</f>
        <v>8.9999999999999998E-4</v>
      </c>
      <c r="U61" s="25">
        <f>(('Mitigation drivers'!P97*LagoonN2O)+('Mitigation drivers'!P98*LiquidN2O)+('Mitigation drivers'!P99*DrylotN2O)+('Mitigation drivers'!P100*SolidStorageN2O)+('Mitigation drivers'!P101*DailyspreadN2O)+('Mitigation drivers'!P102*CompostN2O)+('Mitigation drivers'!P103*ManwithbedN2O)+('Mitigation drivers'!P104*PMwithoutlitterN2O)+('Mitigation drivers'!P105*PMwithlitterN2O)+('Mitigation drivers'!P107*DigesterN2OEF))/100</f>
        <v>8.9999999999999998E-4</v>
      </c>
      <c r="V61" s="25">
        <f>(('Mitigation drivers'!Q97*LagoonN2O)+('Mitigation drivers'!Q98*LiquidN2O)+('Mitigation drivers'!Q99*DrylotN2O)+('Mitigation drivers'!Q100*SolidStorageN2O)+('Mitigation drivers'!Q101*DailyspreadN2O)+('Mitigation drivers'!Q102*CompostN2O)+('Mitigation drivers'!Q103*ManwithbedN2O)+('Mitigation drivers'!Q104*PMwithoutlitterN2O)+('Mitigation drivers'!Q105*PMwithlitterN2O)+('Mitigation drivers'!Q107*DigesterN2OEF))/100</f>
        <v>8.9999999999999998E-4</v>
      </c>
      <c r="W61" s="25">
        <f>(('Mitigation drivers'!R97*LagoonN2O)+('Mitigation drivers'!R98*LiquidN2O)+('Mitigation drivers'!R99*DrylotN2O)+('Mitigation drivers'!R100*SolidStorageN2O)+('Mitigation drivers'!R101*DailyspreadN2O)+('Mitigation drivers'!R102*CompostN2O)+('Mitigation drivers'!R103*ManwithbedN2O)+('Mitigation drivers'!R104*PMwithoutlitterN2O)+('Mitigation drivers'!R105*PMwithlitterN2O)+('Mitigation drivers'!R107*DigesterN2OEF))/100</f>
        <v>8.9999999999999998E-4</v>
      </c>
      <c r="X61" s="25">
        <f>(('Mitigation drivers'!S97*LagoonN2O)+('Mitigation drivers'!S98*LiquidN2O)+('Mitigation drivers'!S99*DrylotN2O)+('Mitigation drivers'!S100*SolidStorageN2O)+('Mitigation drivers'!S101*DailyspreadN2O)+('Mitigation drivers'!S102*CompostN2O)+('Mitigation drivers'!S103*ManwithbedN2O)+('Mitigation drivers'!S104*PMwithoutlitterN2O)+('Mitigation drivers'!S105*PMwithlitterN2O)+('Mitigation drivers'!S107*DigesterN2OEF))/100</f>
        <v>8.9999999999999998E-4</v>
      </c>
      <c r="Y61" s="25">
        <f>(('Mitigation drivers'!T97*LagoonN2O)+('Mitigation drivers'!T98*LiquidN2O)+('Mitigation drivers'!T99*DrylotN2O)+('Mitigation drivers'!T100*SolidStorageN2O)+('Mitigation drivers'!T101*DailyspreadN2O)+('Mitigation drivers'!T102*CompostN2O)+('Mitigation drivers'!T103*ManwithbedN2O)+('Mitigation drivers'!T104*PMwithoutlitterN2O)+('Mitigation drivers'!T105*PMwithlitterN2O)+('Mitigation drivers'!T107*DigesterN2OEF))/100</f>
        <v>8.9999999999999998E-4</v>
      </c>
      <c r="Z61" s="25">
        <f>(('Mitigation drivers'!U97*LagoonN2O)+('Mitigation drivers'!U98*LiquidN2O)+('Mitigation drivers'!U99*DrylotN2O)+('Mitigation drivers'!U100*SolidStorageN2O)+('Mitigation drivers'!U101*DailyspreadN2O)+('Mitigation drivers'!U102*CompostN2O)+('Mitigation drivers'!U103*ManwithbedN2O)+('Mitigation drivers'!U104*PMwithoutlitterN2O)+('Mitigation drivers'!U105*PMwithlitterN2O)+('Mitigation drivers'!U107*DigesterN2OEF))/100</f>
        <v>8.9999999999999998E-4</v>
      </c>
      <c r="AA61" s="25">
        <f>(('Mitigation drivers'!V97*LagoonN2O)+('Mitigation drivers'!V98*LiquidN2O)+('Mitigation drivers'!V99*DrylotN2O)+('Mitigation drivers'!V100*SolidStorageN2O)+('Mitigation drivers'!V101*DailyspreadN2O)+('Mitigation drivers'!V102*CompostN2O)+('Mitigation drivers'!V103*ManwithbedN2O)+('Mitigation drivers'!V104*PMwithoutlitterN2O)+('Mitigation drivers'!V105*PMwithlitterN2O)+('Mitigation drivers'!V107*DigesterN2OEF))/100</f>
        <v>8.9999999999999998E-4</v>
      </c>
      <c r="AB61" s="25">
        <f>(('Mitigation drivers'!W97*LagoonN2O)+('Mitigation drivers'!W98*LiquidN2O)+('Mitigation drivers'!W99*DrylotN2O)+('Mitigation drivers'!W100*SolidStorageN2O)+('Mitigation drivers'!W101*DailyspreadN2O)+('Mitigation drivers'!W102*CompostN2O)+('Mitigation drivers'!W103*ManwithbedN2O)+('Mitigation drivers'!W104*PMwithoutlitterN2O)+('Mitigation drivers'!W105*PMwithlitterN2O)+('Mitigation drivers'!W107*DigesterN2OEF))/100</f>
        <v>8.9999999999999998E-4</v>
      </c>
      <c r="AC61" s="25">
        <f>(('Mitigation drivers'!X97*LagoonN2O)+('Mitigation drivers'!X98*LiquidN2O)+('Mitigation drivers'!X99*DrylotN2O)+('Mitigation drivers'!X100*SolidStorageN2O)+('Mitigation drivers'!X101*DailyspreadN2O)+('Mitigation drivers'!X102*CompostN2O)+('Mitigation drivers'!X103*ManwithbedN2O)+('Mitigation drivers'!X104*PMwithoutlitterN2O)+('Mitigation drivers'!X105*PMwithlitterN2O)+('Mitigation drivers'!X107*DigesterN2OEF))/100</f>
        <v>8.9999999999999998E-4</v>
      </c>
      <c r="AD61" s="25">
        <f>(('Mitigation drivers'!Y97*LagoonN2O)+('Mitigation drivers'!Y98*LiquidN2O)+('Mitigation drivers'!Y99*DrylotN2O)+('Mitigation drivers'!Y100*SolidStorageN2O)+('Mitigation drivers'!Y101*DailyspreadN2O)+('Mitigation drivers'!Y102*CompostN2O)+('Mitigation drivers'!Y103*ManwithbedN2O)+('Mitigation drivers'!Y104*PMwithoutlitterN2O)+('Mitigation drivers'!Y105*PMwithlitterN2O)+('Mitigation drivers'!Y107*DigesterN2OEF))/100</f>
        <v>8.9999999999999998E-4</v>
      </c>
      <c r="AE61" s="25">
        <f>(('Mitigation drivers'!Z97*LagoonN2O)+('Mitigation drivers'!Z98*LiquidN2O)+('Mitigation drivers'!Z99*DrylotN2O)+('Mitigation drivers'!Z100*SolidStorageN2O)+('Mitigation drivers'!Z101*DailyspreadN2O)+('Mitigation drivers'!Z102*CompostN2O)+('Mitigation drivers'!Z103*ManwithbedN2O)+('Mitigation drivers'!Z104*PMwithoutlitterN2O)+('Mitigation drivers'!Z105*PMwithlitterN2O)+('Mitigation drivers'!Z107*DigesterN2OEF))/100</f>
        <v>8.9999999999999998E-4</v>
      </c>
      <c r="AF61" s="25">
        <f>(('Mitigation drivers'!AA97*LagoonN2O)+('Mitigation drivers'!AA98*LiquidN2O)+('Mitigation drivers'!AA99*DrylotN2O)+('Mitigation drivers'!AA100*SolidStorageN2O)+('Mitigation drivers'!AA101*DailyspreadN2O)+('Mitigation drivers'!AA102*CompostN2O)+('Mitigation drivers'!AA103*ManwithbedN2O)+('Mitigation drivers'!AA104*PMwithoutlitterN2O)+('Mitigation drivers'!AA105*PMwithlitterN2O)+('Mitigation drivers'!AA107*DigesterN2OEF))/100</f>
        <v>8.9999999999999998E-4</v>
      </c>
      <c r="AG61" s="25">
        <f>(('Mitigation drivers'!AB97*LagoonN2O)+('Mitigation drivers'!AB98*LiquidN2O)+('Mitigation drivers'!AB99*DrylotN2O)+('Mitigation drivers'!AB100*SolidStorageN2O)+('Mitigation drivers'!AB101*DailyspreadN2O)+('Mitigation drivers'!AB102*CompostN2O)+('Mitigation drivers'!AB103*ManwithbedN2O)+('Mitigation drivers'!AB104*PMwithoutlitterN2O)+('Mitigation drivers'!AB105*PMwithlitterN2O)+('Mitigation drivers'!AB107*DigesterN2OEF))/100</f>
        <v>8.9999999999999998E-4</v>
      </c>
      <c r="AH61" s="25">
        <f>(('Mitigation drivers'!AC97*LagoonN2O)+('Mitigation drivers'!AC98*LiquidN2O)+('Mitigation drivers'!AC99*DrylotN2O)+('Mitigation drivers'!AC100*SolidStorageN2O)+('Mitigation drivers'!AC101*DailyspreadN2O)+('Mitigation drivers'!AC102*CompostN2O)+('Mitigation drivers'!AC103*ManwithbedN2O)+('Mitigation drivers'!AC104*PMwithoutlitterN2O)+('Mitigation drivers'!AC105*PMwithlitterN2O)+('Mitigation drivers'!AC107*DigesterN2OEF))/100</f>
        <v>8.9999999999999998E-4</v>
      </c>
      <c r="AI61" s="25">
        <f>(('Mitigation drivers'!AD97*LagoonN2O)+('Mitigation drivers'!AD98*LiquidN2O)+('Mitigation drivers'!AD99*DrylotN2O)+('Mitigation drivers'!AD100*SolidStorageN2O)+('Mitigation drivers'!AD101*DailyspreadN2O)+('Mitigation drivers'!AD102*CompostN2O)+('Mitigation drivers'!AD103*ManwithbedN2O)+('Mitigation drivers'!AD104*PMwithoutlitterN2O)+('Mitigation drivers'!AD105*PMwithlitterN2O)+('Mitigation drivers'!AD107*DigesterN2OEF))/100</f>
        <v>8.9999999999999998E-4</v>
      </c>
      <c r="AJ61" s="25">
        <f>(('Mitigation drivers'!AE97*LagoonN2O)+('Mitigation drivers'!AE98*LiquidN2O)+('Mitigation drivers'!AE99*DrylotN2O)+('Mitigation drivers'!AE100*SolidStorageN2O)+('Mitigation drivers'!AE101*DailyspreadN2O)+('Mitigation drivers'!AE102*CompostN2O)+('Mitigation drivers'!AE103*ManwithbedN2O)+('Mitigation drivers'!AE104*PMwithoutlitterN2O)+('Mitigation drivers'!AE105*PMwithlitterN2O)+('Mitigation drivers'!AE107*DigesterN2OEF))/100</f>
        <v>8.9999999999999998E-4</v>
      </c>
      <c r="AK61" s="25">
        <f>(('Mitigation drivers'!AF97*LagoonN2O)+('Mitigation drivers'!AF98*LiquidN2O)+('Mitigation drivers'!AF99*DrylotN2O)+('Mitigation drivers'!AF100*SolidStorageN2O)+('Mitigation drivers'!AF101*DailyspreadN2O)+('Mitigation drivers'!AF102*CompostN2O)+('Mitigation drivers'!AF103*ManwithbedN2O)+('Mitigation drivers'!AF104*PMwithoutlitterN2O)+('Mitigation drivers'!AF105*PMwithlitterN2O)+('Mitigation drivers'!AF107*DigesterN2OEF))/100</f>
        <v>8.9999999999999998E-4</v>
      </c>
      <c r="AL61" s="25">
        <f>(('Mitigation drivers'!AG97*LagoonN2O)+('Mitigation drivers'!AG98*LiquidN2O)+('Mitigation drivers'!AG99*DrylotN2O)+('Mitigation drivers'!AG100*SolidStorageN2O)+('Mitigation drivers'!AG101*DailyspreadN2O)+('Mitigation drivers'!AG102*CompostN2O)+('Mitigation drivers'!AG103*ManwithbedN2O)+('Mitigation drivers'!AG104*PMwithoutlitterN2O)+('Mitigation drivers'!AG105*PMwithlitterN2O)+('Mitigation drivers'!AG107*DigesterN2OEF))/100</f>
        <v>8.9999999999999998E-4</v>
      </c>
      <c r="AM61" s="25">
        <f>(('Mitigation drivers'!AH97*LagoonN2O)+('Mitigation drivers'!AH98*LiquidN2O)+('Mitigation drivers'!AH99*DrylotN2O)+('Mitigation drivers'!AH100*SolidStorageN2O)+('Mitigation drivers'!AH101*DailyspreadN2O)+('Mitigation drivers'!AH102*CompostN2O)+('Mitigation drivers'!AH103*ManwithbedN2O)+('Mitigation drivers'!AH104*PMwithoutlitterN2O)+('Mitigation drivers'!AH105*PMwithlitterN2O)+('Mitigation drivers'!AH107*DigesterN2OEF))/100</f>
        <v>8.9999999999999998E-4</v>
      </c>
      <c r="AN61" s="25">
        <f>(('Mitigation drivers'!AI97*LagoonN2O)+('Mitigation drivers'!AI98*LiquidN2O)+('Mitigation drivers'!AI99*DrylotN2O)+('Mitigation drivers'!AI100*SolidStorageN2O)+('Mitigation drivers'!AI101*DailyspreadN2O)+('Mitigation drivers'!AI102*CompostN2O)+('Mitigation drivers'!AI103*ManwithbedN2O)+('Mitigation drivers'!AI104*PMwithoutlitterN2O)+('Mitigation drivers'!AI105*PMwithlitterN2O)+('Mitigation drivers'!AI107*DigesterN2OEF))/100</f>
        <v>8.9999999999999998E-4</v>
      </c>
      <c r="AO61" s="25">
        <f>(('Mitigation drivers'!AJ97*LagoonN2O)+('Mitigation drivers'!AJ98*LiquidN2O)+('Mitigation drivers'!AJ99*DrylotN2O)+('Mitigation drivers'!AJ100*SolidStorageN2O)+('Mitigation drivers'!AJ101*DailyspreadN2O)+('Mitigation drivers'!AJ102*CompostN2O)+('Mitigation drivers'!AJ103*ManwithbedN2O)+('Mitigation drivers'!AJ104*PMwithoutlitterN2O)+('Mitigation drivers'!AJ105*PMwithlitterN2O)+('Mitigation drivers'!AJ107*DigesterN2OEF))/100</f>
        <v>8.9999999999999998E-4</v>
      </c>
    </row>
    <row r="62" spans="1:41" x14ac:dyDescent="0.3">
      <c r="A62" t="str">
        <f t="shared" si="5"/>
        <v>3A Livestock</v>
      </c>
      <c r="B62" t="str">
        <f t="shared" si="13"/>
        <v>3A2 Manure management (N2O)</v>
      </c>
      <c r="C62" t="str">
        <f>'Activity data'!C13</f>
        <v>3A1d Goats</v>
      </c>
      <c r="D62" t="str">
        <f>'Activity data'!D13</f>
        <v>Commercial</v>
      </c>
      <c r="E62" t="str">
        <f t="shared" si="32"/>
        <v>Manure management EF</v>
      </c>
      <c r="F62" t="str">
        <f t="shared" si="33"/>
        <v>N2O</v>
      </c>
      <c r="G62" t="str">
        <f t="shared" si="34"/>
        <v>kg N2O-N/kg Nex</v>
      </c>
      <c r="H62" s="25">
        <f>(('Mitigation drivers'!C110*LagoonN2O)+('Mitigation drivers'!C111*LiquidN2O)+('Mitigation drivers'!C112*DrylotN2O)+('Mitigation drivers'!C113*SolidStorageN2O)+('Mitigation drivers'!C114*DailyspreadN2O)+('Mitigation drivers'!C115*CompostN2O)+('Mitigation drivers'!C116*ManwithbedN2O)+('Mitigation drivers'!C117*PMwithoutlitterN2O)+('Mitigation drivers'!C118*PMwithlitterN2O)+('Mitigation drivers'!C120*DigesterN2OEF))/100</f>
        <v>2.0000000000000001E-4</v>
      </c>
      <c r="I62" s="25">
        <f>(('Mitigation drivers'!D110*LagoonN2O)+('Mitigation drivers'!D111*LiquidN2O)+('Mitigation drivers'!D112*DrylotN2O)+('Mitigation drivers'!D113*SolidStorageN2O)+('Mitigation drivers'!D114*DailyspreadN2O)+('Mitigation drivers'!D115*CompostN2O)+('Mitigation drivers'!D116*ManwithbedN2O)+('Mitigation drivers'!D117*PMwithoutlitterN2O)+('Mitigation drivers'!D118*PMwithlitterN2O)+('Mitigation drivers'!D120*DigesterN2OEF))/100</f>
        <v>2.0000000000000001E-4</v>
      </c>
      <c r="J62" s="25">
        <f>(('Mitigation drivers'!E110*LagoonN2O)+('Mitigation drivers'!E111*LiquidN2O)+('Mitigation drivers'!E112*DrylotN2O)+('Mitigation drivers'!E113*SolidStorageN2O)+('Mitigation drivers'!E114*DailyspreadN2O)+('Mitigation drivers'!E115*CompostN2O)+('Mitigation drivers'!E116*ManwithbedN2O)+('Mitigation drivers'!E117*PMwithoutlitterN2O)+('Mitigation drivers'!E118*PMwithlitterN2O)+('Mitigation drivers'!E120*DigesterN2OEF))/100</f>
        <v>2.0000000000000001E-4</v>
      </c>
      <c r="K62" s="25">
        <f>(('Mitigation drivers'!F110*LagoonN2O)+('Mitigation drivers'!F111*LiquidN2O)+('Mitigation drivers'!F112*DrylotN2O)+('Mitigation drivers'!F113*SolidStorageN2O)+('Mitigation drivers'!F114*DailyspreadN2O)+('Mitigation drivers'!F115*CompostN2O)+('Mitigation drivers'!F116*ManwithbedN2O)+('Mitigation drivers'!F117*PMwithoutlitterN2O)+('Mitigation drivers'!F118*PMwithlitterN2O)+('Mitigation drivers'!F120*DigesterN2OEF))/100</f>
        <v>2.0000000000000001E-4</v>
      </c>
      <c r="L62" s="25">
        <f>(('Mitigation drivers'!G110*LagoonN2O)+('Mitigation drivers'!G111*LiquidN2O)+('Mitigation drivers'!G112*DrylotN2O)+('Mitigation drivers'!G113*SolidStorageN2O)+('Mitigation drivers'!G114*DailyspreadN2O)+('Mitigation drivers'!G115*CompostN2O)+('Mitigation drivers'!G116*ManwithbedN2O)+('Mitigation drivers'!G117*PMwithoutlitterN2O)+('Mitigation drivers'!G118*PMwithlitterN2O)+('Mitigation drivers'!G120*DigesterN2OEF))/100</f>
        <v>2.0000000000000001E-4</v>
      </c>
      <c r="M62" s="25">
        <f>(('Mitigation drivers'!H110*LagoonN2O)+('Mitigation drivers'!H111*LiquidN2O)+('Mitigation drivers'!H112*DrylotN2O)+('Mitigation drivers'!H113*SolidStorageN2O)+('Mitigation drivers'!H114*DailyspreadN2O)+('Mitigation drivers'!H115*CompostN2O)+('Mitigation drivers'!H116*ManwithbedN2O)+('Mitigation drivers'!H117*PMwithoutlitterN2O)+('Mitigation drivers'!H118*PMwithlitterN2O)+('Mitigation drivers'!H120*DigesterN2OEF))/100</f>
        <v>2.0000000000000001E-4</v>
      </c>
      <c r="N62" s="25">
        <f>(('Mitigation drivers'!I110*LagoonN2O)+('Mitigation drivers'!I111*LiquidN2O)+('Mitigation drivers'!I112*DrylotN2O)+('Mitigation drivers'!I113*SolidStorageN2O)+('Mitigation drivers'!I114*DailyspreadN2O)+('Mitigation drivers'!I115*CompostN2O)+('Mitigation drivers'!I116*ManwithbedN2O)+('Mitigation drivers'!I117*PMwithoutlitterN2O)+('Mitigation drivers'!I118*PMwithlitterN2O)+('Mitigation drivers'!I120*DigesterN2OEF))/100</f>
        <v>2.0000000000000001E-4</v>
      </c>
      <c r="O62" s="25">
        <f>(('Mitigation drivers'!J110*LagoonN2O)+('Mitigation drivers'!J111*LiquidN2O)+('Mitigation drivers'!J112*DrylotN2O)+('Mitigation drivers'!J113*SolidStorageN2O)+('Mitigation drivers'!J114*DailyspreadN2O)+('Mitigation drivers'!J115*CompostN2O)+('Mitigation drivers'!J116*ManwithbedN2O)+('Mitigation drivers'!J117*PMwithoutlitterN2O)+('Mitigation drivers'!J118*PMwithlitterN2O)+('Mitigation drivers'!J120*DigesterN2OEF))/100</f>
        <v>2.0000000000000001E-4</v>
      </c>
      <c r="P62" s="25">
        <f>(('Mitigation drivers'!K110*LagoonN2O)+('Mitigation drivers'!K111*LiquidN2O)+('Mitigation drivers'!K112*DrylotN2O)+('Mitigation drivers'!K113*SolidStorageN2O)+('Mitigation drivers'!K114*DailyspreadN2O)+('Mitigation drivers'!K115*CompostN2O)+('Mitigation drivers'!K116*ManwithbedN2O)+('Mitigation drivers'!K117*PMwithoutlitterN2O)+('Mitigation drivers'!K118*PMwithlitterN2O)+('Mitigation drivers'!K120*DigesterN2OEF))/100</f>
        <v>2.0000000000000001E-4</v>
      </c>
      <c r="Q62" s="25">
        <f>(('Mitigation drivers'!L110*LagoonN2O)+('Mitigation drivers'!L111*LiquidN2O)+('Mitigation drivers'!L112*DrylotN2O)+('Mitigation drivers'!L113*SolidStorageN2O)+('Mitigation drivers'!L114*DailyspreadN2O)+('Mitigation drivers'!L115*CompostN2O)+('Mitigation drivers'!L116*ManwithbedN2O)+('Mitigation drivers'!L117*PMwithoutlitterN2O)+('Mitigation drivers'!L118*PMwithlitterN2O)+('Mitigation drivers'!L120*DigesterN2OEF))/100</f>
        <v>2.0000000000000001E-4</v>
      </c>
      <c r="R62" s="25">
        <f>(('Mitigation drivers'!M110*LagoonN2O)+('Mitigation drivers'!M111*LiquidN2O)+('Mitigation drivers'!M112*DrylotN2O)+('Mitigation drivers'!M113*SolidStorageN2O)+('Mitigation drivers'!M114*DailyspreadN2O)+('Mitigation drivers'!M115*CompostN2O)+('Mitigation drivers'!M116*ManwithbedN2O)+('Mitigation drivers'!M117*PMwithoutlitterN2O)+('Mitigation drivers'!M118*PMwithlitterN2O)+('Mitigation drivers'!M120*DigesterN2OEF))/100</f>
        <v>2.0000000000000001E-4</v>
      </c>
      <c r="S62" s="25">
        <f>(('Mitigation drivers'!N110*LagoonN2O)+('Mitigation drivers'!N111*LiquidN2O)+('Mitigation drivers'!N112*DrylotN2O)+('Mitigation drivers'!N113*SolidStorageN2O)+('Mitigation drivers'!N114*DailyspreadN2O)+('Mitigation drivers'!N115*CompostN2O)+('Mitigation drivers'!N116*ManwithbedN2O)+('Mitigation drivers'!N117*PMwithoutlitterN2O)+('Mitigation drivers'!N118*PMwithlitterN2O)+('Mitigation drivers'!N120*DigesterN2OEF))/100</f>
        <v>2.0000000000000001E-4</v>
      </c>
      <c r="T62" s="25">
        <f>(('Mitigation drivers'!O110*LagoonN2O)+('Mitigation drivers'!O111*LiquidN2O)+('Mitigation drivers'!O112*DrylotN2O)+('Mitigation drivers'!O113*SolidStorageN2O)+('Mitigation drivers'!O114*DailyspreadN2O)+('Mitigation drivers'!O115*CompostN2O)+('Mitigation drivers'!O116*ManwithbedN2O)+('Mitigation drivers'!O117*PMwithoutlitterN2O)+('Mitigation drivers'!O118*PMwithlitterN2O)+('Mitigation drivers'!O120*DigesterN2OEF))/100</f>
        <v>2.0000000000000001E-4</v>
      </c>
      <c r="U62" s="25">
        <f>(('Mitigation drivers'!P110*LagoonN2O)+('Mitigation drivers'!P111*LiquidN2O)+('Mitigation drivers'!P112*DrylotN2O)+('Mitigation drivers'!P113*SolidStorageN2O)+('Mitigation drivers'!P114*DailyspreadN2O)+('Mitigation drivers'!P115*CompostN2O)+('Mitigation drivers'!P116*ManwithbedN2O)+('Mitigation drivers'!P117*PMwithoutlitterN2O)+('Mitigation drivers'!P118*PMwithlitterN2O)+('Mitigation drivers'!P120*DigesterN2OEF))/100</f>
        <v>2.0000000000000001E-4</v>
      </c>
      <c r="V62" s="25">
        <f>(('Mitigation drivers'!Q110*LagoonN2O)+('Mitigation drivers'!Q111*LiquidN2O)+('Mitigation drivers'!Q112*DrylotN2O)+('Mitigation drivers'!Q113*SolidStorageN2O)+('Mitigation drivers'!Q114*DailyspreadN2O)+('Mitigation drivers'!Q115*CompostN2O)+('Mitigation drivers'!Q116*ManwithbedN2O)+('Mitigation drivers'!Q117*PMwithoutlitterN2O)+('Mitigation drivers'!Q118*PMwithlitterN2O)+('Mitigation drivers'!Q120*DigesterN2OEF))/100</f>
        <v>2.0000000000000001E-4</v>
      </c>
      <c r="W62" s="25">
        <f>(('Mitigation drivers'!R110*LagoonN2O)+('Mitigation drivers'!R111*LiquidN2O)+('Mitigation drivers'!R112*DrylotN2O)+('Mitigation drivers'!R113*SolidStorageN2O)+('Mitigation drivers'!R114*DailyspreadN2O)+('Mitigation drivers'!R115*CompostN2O)+('Mitigation drivers'!R116*ManwithbedN2O)+('Mitigation drivers'!R117*PMwithoutlitterN2O)+('Mitigation drivers'!R118*PMwithlitterN2O)+('Mitigation drivers'!R120*DigesterN2OEF))/100</f>
        <v>2.0000000000000001E-4</v>
      </c>
      <c r="X62" s="25">
        <f>(('Mitigation drivers'!S110*LagoonN2O)+('Mitigation drivers'!S111*LiquidN2O)+('Mitigation drivers'!S112*DrylotN2O)+('Mitigation drivers'!S113*SolidStorageN2O)+('Mitigation drivers'!S114*DailyspreadN2O)+('Mitigation drivers'!S115*CompostN2O)+('Mitigation drivers'!S116*ManwithbedN2O)+('Mitigation drivers'!S117*PMwithoutlitterN2O)+('Mitigation drivers'!S118*PMwithlitterN2O)+('Mitigation drivers'!S120*DigesterN2OEF))/100</f>
        <v>2.0000000000000001E-4</v>
      </c>
      <c r="Y62" s="25">
        <f>(('Mitigation drivers'!T110*LagoonN2O)+('Mitigation drivers'!T111*LiquidN2O)+('Mitigation drivers'!T112*DrylotN2O)+('Mitigation drivers'!T113*SolidStorageN2O)+('Mitigation drivers'!T114*DailyspreadN2O)+('Mitigation drivers'!T115*CompostN2O)+('Mitigation drivers'!T116*ManwithbedN2O)+('Mitigation drivers'!T117*PMwithoutlitterN2O)+('Mitigation drivers'!T118*PMwithlitterN2O)+('Mitigation drivers'!T120*DigesterN2OEF))/100</f>
        <v>2.0000000000000001E-4</v>
      </c>
      <c r="Z62" s="25">
        <f>(('Mitigation drivers'!U110*LagoonN2O)+('Mitigation drivers'!U111*LiquidN2O)+('Mitigation drivers'!U112*DrylotN2O)+('Mitigation drivers'!U113*SolidStorageN2O)+('Mitigation drivers'!U114*DailyspreadN2O)+('Mitigation drivers'!U115*CompostN2O)+('Mitigation drivers'!U116*ManwithbedN2O)+('Mitigation drivers'!U117*PMwithoutlitterN2O)+('Mitigation drivers'!U118*PMwithlitterN2O)+('Mitigation drivers'!U120*DigesterN2OEF))/100</f>
        <v>2.0000000000000001E-4</v>
      </c>
      <c r="AA62" s="25">
        <f>(('Mitigation drivers'!V110*LagoonN2O)+('Mitigation drivers'!V111*LiquidN2O)+('Mitigation drivers'!V112*DrylotN2O)+('Mitigation drivers'!V113*SolidStorageN2O)+('Mitigation drivers'!V114*DailyspreadN2O)+('Mitigation drivers'!V115*CompostN2O)+('Mitigation drivers'!V116*ManwithbedN2O)+('Mitigation drivers'!V117*PMwithoutlitterN2O)+('Mitigation drivers'!V118*PMwithlitterN2O)+('Mitigation drivers'!V120*DigesterN2OEF))/100</f>
        <v>2.0000000000000001E-4</v>
      </c>
      <c r="AB62" s="25">
        <f>(('Mitigation drivers'!W110*LagoonN2O)+('Mitigation drivers'!W111*LiquidN2O)+('Mitigation drivers'!W112*DrylotN2O)+('Mitigation drivers'!W113*SolidStorageN2O)+('Mitigation drivers'!W114*DailyspreadN2O)+('Mitigation drivers'!W115*CompostN2O)+('Mitigation drivers'!W116*ManwithbedN2O)+('Mitigation drivers'!W117*PMwithoutlitterN2O)+('Mitigation drivers'!W118*PMwithlitterN2O)+('Mitigation drivers'!W120*DigesterN2OEF))/100</f>
        <v>2.0000000000000001E-4</v>
      </c>
      <c r="AC62" s="25">
        <f>(('Mitigation drivers'!X110*LagoonN2O)+('Mitigation drivers'!X111*LiquidN2O)+('Mitigation drivers'!X112*DrylotN2O)+('Mitigation drivers'!X113*SolidStorageN2O)+('Mitigation drivers'!X114*DailyspreadN2O)+('Mitigation drivers'!X115*CompostN2O)+('Mitigation drivers'!X116*ManwithbedN2O)+('Mitigation drivers'!X117*PMwithoutlitterN2O)+('Mitigation drivers'!X118*PMwithlitterN2O)+('Mitigation drivers'!X120*DigesterN2OEF))/100</f>
        <v>2.0000000000000001E-4</v>
      </c>
      <c r="AD62" s="25">
        <f>(('Mitigation drivers'!Y110*LagoonN2O)+('Mitigation drivers'!Y111*LiquidN2O)+('Mitigation drivers'!Y112*DrylotN2O)+('Mitigation drivers'!Y113*SolidStorageN2O)+('Mitigation drivers'!Y114*DailyspreadN2O)+('Mitigation drivers'!Y115*CompostN2O)+('Mitigation drivers'!Y116*ManwithbedN2O)+('Mitigation drivers'!Y117*PMwithoutlitterN2O)+('Mitigation drivers'!Y118*PMwithlitterN2O)+('Mitigation drivers'!Y120*DigesterN2OEF))/100</f>
        <v>2.0000000000000001E-4</v>
      </c>
      <c r="AE62" s="25">
        <f>(('Mitigation drivers'!Z110*LagoonN2O)+('Mitigation drivers'!Z111*LiquidN2O)+('Mitigation drivers'!Z112*DrylotN2O)+('Mitigation drivers'!Z113*SolidStorageN2O)+('Mitigation drivers'!Z114*DailyspreadN2O)+('Mitigation drivers'!Z115*CompostN2O)+('Mitigation drivers'!Z116*ManwithbedN2O)+('Mitigation drivers'!Z117*PMwithoutlitterN2O)+('Mitigation drivers'!Z118*PMwithlitterN2O)+('Mitigation drivers'!Z120*DigesterN2OEF))/100</f>
        <v>2.0000000000000001E-4</v>
      </c>
      <c r="AF62" s="25">
        <f>(('Mitigation drivers'!AA110*LagoonN2O)+('Mitigation drivers'!AA111*LiquidN2O)+('Mitigation drivers'!AA112*DrylotN2O)+('Mitigation drivers'!AA113*SolidStorageN2O)+('Mitigation drivers'!AA114*DailyspreadN2O)+('Mitigation drivers'!AA115*CompostN2O)+('Mitigation drivers'!AA116*ManwithbedN2O)+('Mitigation drivers'!AA117*PMwithoutlitterN2O)+('Mitigation drivers'!AA118*PMwithlitterN2O)+('Mitigation drivers'!AA120*DigesterN2OEF))/100</f>
        <v>2.0000000000000001E-4</v>
      </c>
      <c r="AG62" s="25">
        <f>(('Mitigation drivers'!AB110*LagoonN2O)+('Mitigation drivers'!AB111*LiquidN2O)+('Mitigation drivers'!AB112*DrylotN2O)+('Mitigation drivers'!AB113*SolidStorageN2O)+('Mitigation drivers'!AB114*DailyspreadN2O)+('Mitigation drivers'!AB115*CompostN2O)+('Mitigation drivers'!AB116*ManwithbedN2O)+('Mitigation drivers'!AB117*PMwithoutlitterN2O)+('Mitigation drivers'!AB118*PMwithlitterN2O)+('Mitigation drivers'!AB120*DigesterN2OEF))/100</f>
        <v>2.0000000000000001E-4</v>
      </c>
      <c r="AH62" s="25">
        <f>(('Mitigation drivers'!AC110*LagoonN2O)+('Mitigation drivers'!AC111*LiquidN2O)+('Mitigation drivers'!AC112*DrylotN2O)+('Mitigation drivers'!AC113*SolidStorageN2O)+('Mitigation drivers'!AC114*DailyspreadN2O)+('Mitigation drivers'!AC115*CompostN2O)+('Mitigation drivers'!AC116*ManwithbedN2O)+('Mitigation drivers'!AC117*PMwithoutlitterN2O)+('Mitigation drivers'!AC118*PMwithlitterN2O)+('Mitigation drivers'!AC120*DigesterN2OEF))/100</f>
        <v>2.0000000000000001E-4</v>
      </c>
      <c r="AI62" s="25">
        <f>(('Mitigation drivers'!AD110*LagoonN2O)+('Mitigation drivers'!AD111*LiquidN2O)+('Mitigation drivers'!AD112*DrylotN2O)+('Mitigation drivers'!AD113*SolidStorageN2O)+('Mitigation drivers'!AD114*DailyspreadN2O)+('Mitigation drivers'!AD115*CompostN2O)+('Mitigation drivers'!AD116*ManwithbedN2O)+('Mitigation drivers'!AD117*PMwithoutlitterN2O)+('Mitigation drivers'!AD118*PMwithlitterN2O)+('Mitigation drivers'!AD120*DigesterN2OEF))/100</f>
        <v>2.0000000000000001E-4</v>
      </c>
      <c r="AJ62" s="25">
        <f>(('Mitigation drivers'!AE110*LagoonN2O)+('Mitigation drivers'!AE111*LiquidN2O)+('Mitigation drivers'!AE112*DrylotN2O)+('Mitigation drivers'!AE113*SolidStorageN2O)+('Mitigation drivers'!AE114*DailyspreadN2O)+('Mitigation drivers'!AE115*CompostN2O)+('Mitigation drivers'!AE116*ManwithbedN2O)+('Mitigation drivers'!AE117*PMwithoutlitterN2O)+('Mitigation drivers'!AE118*PMwithlitterN2O)+('Mitigation drivers'!AE120*DigesterN2OEF))/100</f>
        <v>2.0000000000000001E-4</v>
      </c>
      <c r="AK62" s="25">
        <f>(('Mitigation drivers'!AF110*LagoonN2O)+('Mitigation drivers'!AF111*LiquidN2O)+('Mitigation drivers'!AF112*DrylotN2O)+('Mitigation drivers'!AF113*SolidStorageN2O)+('Mitigation drivers'!AF114*DailyspreadN2O)+('Mitigation drivers'!AF115*CompostN2O)+('Mitigation drivers'!AF116*ManwithbedN2O)+('Mitigation drivers'!AF117*PMwithoutlitterN2O)+('Mitigation drivers'!AF118*PMwithlitterN2O)+('Mitigation drivers'!AF120*DigesterN2OEF))/100</f>
        <v>2.0000000000000001E-4</v>
      </c>
      <c r="AL62" s="25">
        <f>(('Mitigation drivers'!AG110*LagoonN2O)+('Mitigation drivers'!AG111*LiquidN2O)+('Mitigation drivers'!AG112*DrylotN2O)+('Mitigation drivers'!AG113*SolidStorageN2O)+('Mitigation drivers'!AG114*DailyspreadN2O)+('Mitigation drivers'!AG115*CompostN2O)+('Mitigation drivers'!AG116*ManwithbedN2O)+('Mitigation drivers'!AG117*PMwithoutlitterN2O)+('Mitigation drivers'!AG118*PMwithlitterN2O)+('Mitigation drivers'!AG120*DigesterN2OEF))/100</f>
        <v>2.0000000000000001E-4</v>
      </c>
      <c r="AM62" s="25">
        <f>(('Mitigation drivers'!AH110*LagoonN2O)+('Mitigation drivers'!AH111*LiquidN2O)+('Mitigation drivers'!AH112*DrylotN2O)+('Mitigation drivers'!AH113*SolidStorageN2O)+('Mitigation drivers'!AH114*DailyspreadN2O)+('Mitigation drivers'!AH115*CompostN2O)+('Mitigation drivers'!AH116*ManwithbedN2O)+('Mitigation drivers'!AH117*PMwithoutlitterN2O)+('Mitigation drivers'!AH118*PMwithlitterN2O)+('Mitigation drivers'!AH120*DigesterN2OEF))/100</f>
        <v>2.0000000000000001E-4</v>
      </c>
      <c r="AN62" s="25">
        <f>(('Mitigation drivers'!AI110*LagoonN2O)+('Mitigation drivers'!AI111*LiquidN2O)+('Mitigation drivers'!AI112*DrylotN2O)+('Mitigation drivers'!AI113*SolidStorageN2O)+('Mitigation drivers'!AI114*DailyspreadN2O)+('Mitigation drivers'!AI115*CompostN2O)+('Mitigation drivers'!AI116*ManwithbedN2O)+('Mitigation drivers'!AI117*PMwithoutlitterN2O)+('Mitigation drivers'!AI118*PMwithlitterN2O)+('Mitigation drivers'!AI120*DigesterN2OEF))/100</f>
        <v>2.0000000000000001E-4</v>
      </c>
      <c r="AO62" s="25">
        <f>(('Mitigation drivers'!AJ110*LagoonN2O)+('Mitigation drivers'!AJ111*LiquidN2O)+('Mitigation drivers'!AJ112*DrylotN2O)+('Mitigation drivers'!AJ113*SolidStorageN2O)+('Mitigation drivers'!AJ114*DailyspreadN2O)+('Mitigation drivers'!AJ115*CompostN2O)+('Mitigation drivers'!AJ116*ManwithbedN2O)+('Mitigation drivers'!AJ117*PMwithoutlitterN2O)+('Mitigation drivers'!AJ118*PMwithlitterN2O)+('Mitigation drivers'!AJ120*DigesterN2OEF))/100</f>
        <v>2.0000000000000001E-4</v>
      </c>
    </row>
    <row r="63" spans="1:41" x14ac:dyDescent="0.3">
      <c r="A63" t="str">
        <f t="shared" si="5"/>
        <v>3A Livestock</v>
      </c>
      <c r="B63" t="str">
        <f t="shared" si="13"/>
        <v>3A2 Manure management (N2O)</v>
      </c>
      <c r="C63" t="str">
        <f>'Activity data'!C14</f>
        <v>3A1d Goats</v>
      </c>
      <c r="D63" t="str">
        <f>'Activity data'!D14</f>
        <v>Subsistence</v>
      </c>
      <c r="E63" t="str">
        <f t="shared" si="32"/>
        <v>Manure management EF</v>
      </c>
      <c r="F63" t="str">
        <f t="shared" si="33"/>
        <v>N2O</v>
      </c>
      <c r="G63" t="str">
        <f t="shared" si="34"/>
        <v>kg N2O-N/kg Nex</v>
      </c>
      <c r="H63" s="25">
        <f>(('Mitigation drivers'!C122*LagoonN2O)+('Mitigation drivers'!C123*LiquidN2O)+('Mitigation drivers'!C124*DrylotN2O)+('Mitigation drivers'!C125*SolidStorageN2O)+('Mitigation drivers'!C126*DailyspreadN2O)+('Mitigation drivers'!C127*CompostN2O)+('Mitigation drivers'!C128*ManwithbedN2O)+('Mitigation drivers'!C129*PMwithoutlitterN2O)+('Mitigation drivers'!C130*PMwithlitterN2O)+('Mitigation drivers'!C132*DigesterN2OEF))/100</f>
        <v>8.9999999999999998E-4</v>
      </c>
      <c r="I63" s="25">
        <f>(('Mitigation drivers'!D122*LagoonN2O)+('Mitigation drivers'!D123*LiquidN2O)+('Mitigation drivers'!D124*DrylotN2O)+('Mitigation drivers'!D125*SolidStorageN2O)+('Mitigation drivers'!D126*DailyspreadN2O)+('Mitigation drivers'!D127*CompostN2O)+('Mitigation drivers'!D128*ManwithbedN2O)+('Mitigation drivers'!D129*PMwithoutlitterN2O)+('Mitigation drivers'!D130*PMwithlitterN2O)+('Mitigation drivers'!D132*DigesterN2OEF))/100</f>
        <v>8.9999999999999998E-4</v>
      </c>
      <c r="J63" s="25">
        <f>(('Mitigation drivers'!E122*LagoonN2O)+('Mitigation drivers'!E123*LiquidN2O)+('Mitigation drivers'!E124*DrylotN2O)+('Mitigation drivers'!E125*SolidStorageN2O)+('Mitigation drivers'!E126*DailyspreadN2O)+('Mitigation drivers'!E127*CompostN2O)+('Mitigation drivers'!E128*ManwithbedN2O)+('Mitigation drivers'!E129*PMwithoutlitterN2O)+('Mitigation drivers'!E130*PMwithlitterN2O)+('Mitigation drivers'!E132*DigesterN2OEF))/100</f>
        <v>8.9999999999999998E-4</v>
      </c>
      <c r="K63" s="25">
        <f>(('Mitigation drivers'!F122*LagoonN2O)+('Mitigation drivers'!F123*LiquidN2O)+('Mitigation drivers'!F124*DrylotN2O)+('Mitigation drivers'!F125*SolidStorageN2O)+('Mitigation drivers'!F126*DailyspreadN2O)+('Mitigation drivers'!F127*CompostN2O)+('Mitigation drivers'!F128*ManwithbedN2O)+('Mitigation drivers'!F129*PMwithoutlitterN2O)+('Mitigation drivers'!F130*PMwithlitterN2O)+('Mitigation drivers'!F132*DigesterN2OEF))/100</f>
        <v>8.9999999999999998E-4</v>
      </c>
      <c r="L63" s="25">
        <f>(('Mitigation drivers'!G122*LagoonN2O)+('Mitigation drivers'!G123*LiquidN2O)+('Mitigation drivers'!G124*DrylotN2O)+('Mitigation drivers'!G125*SolidStorageN2O)+('Mitigation drivers'!G126*DailyspreadN2O)+('Mitigation drivers'!G127*CompostN2O)+('Mitigation drivers'!G128*ManwithbedN2O)+('Mitigation drivers'!G129*PMwithoutlitterN2O)+('Mitigation drivers'!G130*PMwithlitterN2O)+('Mitigation drivers'!G132*DigesterN2OEF))/100</f>
        <v>8.9999999999999998E-4</v>
      </c>
      <c r="M63" s="25">
        <f>(('Mitigation drivers'!H122*LagoonN2O)+('Mitigation drivers'!H123*LiquidN2O)+('Mitigation drivers'!H124*DrylotN2O)+('Mitigation drivers'!H125*SolidStorageN2O)+('Mitigation drivers'!H126*DailyspreadN2O)+('Mitigation drivers'!H127*CompostN2O)+('Mitigation drivers'!H128*ManwithbedN2O)+('Mitigation drivers'!H129*PMwithoutlitterN2O)+('Mitigation drivers'!H130*PMwithlitterN2O)+('Mitigation drivers'!H132*DigesterN2OEF))/100</f>
        <v>8.9999999999999998E-4</v>
      </c>
      <c r="N63" s="25">
        <f>(('Mitigation drivers'!I122*LagoonN2O)+('Mitigation drivers'!I123*LiquidN2O)+('Mitigation drivers'!I124*DrylotN2O)+('Mitigation drivers'!I125*SolidStorageN2O)+('Mitigation drivers'!I126*DailyspreadN2O)+('Mitigation drivers'!I127*CompostN2O)+('Mitigation drivers'!I128*ManwithbedN2O)+('Mitigation drivers'!I129*PMwithoutlitterN2O)+('Mitigation drivers'!I130*PMwithlitterN2O)+('Mitigation drivers'!I132*DigesterN2OEF))/100</f>
        <v>8.9999999999999998E-4</v>
      </c>
      <c r="O63" s="25">
        <f>(('Mitigation drivers'!J122*LagoonN2O)+('Mitigation drivers'!J123*LiquidN2O)+('Mitigation drivers'!J124*DrylotN2O)+('Mitigation drivers'!J125*SolidStorageN2O)+('Mitigation drivers'!J126*DailyspreadN2O)+('Mitigation drivers'!J127*CompostN2O)+('Mitigation drivers'!J128*ManwithbedN2O)+('Mitigation drivers'!J129*PMwithoutlitterN2O)+('Mitigation drivers'!J130*PMwithlitterN2O)+('Mitigation drivers'!J132*DigesterN2OEF))/100</f>
        <v>8.9999999999999998E-4</v>
      </c>
      <c r="P63" s="25">
        <f>(('Mitigation drivers'!K122*LagoonN2O)+('Mitigation drivers'!K123*LiquidN2O)+('Mitigation drivers'!K124*DrylotN2O)+('Mitigation drivers'!K125*SolidStorageN2O)+('Mitigation drivers'!K126*DailyspreadN2O)+('Mitigation drivers'!K127*CompostN2O)+('Mitigation drivers'!K128*ManwithbedN2O)+('Mitigation drivers'!K129*PMwithoutlitterN2O)+('Mitigation drivers'!K130*PMwithlitterN2O)+('Mitigation drivers'!K132*DigesterN2OEF))/100</f>
        <v>8.9999999999999998E-4</v>
      </c>
      <c r="Q63" s="25">
        <f>(('Mitigation drivers'!L122*LagoonN2O)+('Mitigation drivers'!L123*LiquidN2O)+('Mitigation drivers'!L124*DrylotN2O)+('Mitigation drivers'!L125*SolidStorageN2O)+('Mitigation drivers'!L126*DailyspreadN2O)+('Mitigation drivers'!L127*CompostN2O)+('Mitigation drivers'!L128*ManwithbedN2O)+('Mitigation drivers'!L129*PMwithoutlitterN2O)+('Mitigation drivers'!L130*PMwithlitterN2O)+('Mitigation drivers'!L132*DigesterN2OEF))/100</f>
        <v>8.9999999999999998E-4</v>
      </c>
      <c r="R63" s="25">
        <f>(('Mitigation drivers'!M122*LagoonN2O)+('Mitigation drivers'!M123*LiquidN2O)+('Mitigation drivers'!M124*DrylotN2O)+('Mitigation drivers'!M125*SolidStorageN2O)+('Mitigation drivers'!M126*DailyspreadN2O)+('Mitigation drivers'!M127*CompostN2O)+('Mitigation drivers'!M128*ManwithbedN2O)+('Mitigation drivers'!M129*PMwithoutlitterN2O)+('Mitigation drivers'!M130*PMwithlitterN2O)+('Mitigation drivers'!M132*DigesterN2OEF))/100</f>
        <v>8.9999999999999998E-4</v>
      </c>
      <c r="S63" s="25">
        <f>(('Mitigation drivers'!N122*LagoonN2O)+('Mitigation drivers'!N123*LiquidN2O)+('Mitigation drivers'!N124*DrylotN2O)+('Mitigation drivers'!N125*SolidStorageN2O)+('Mitigation drivers'!N126*DailyspreadN2O)+('Mitigation drivers'!N127*CompostN2O)+('Mitigation drivers'!N128*ManwithbedN2O)+('Mitigation drivers'!N129*PMwithoutlitterN2O)+('Mitigation drivers'!N130*PMwithlitterN2O)+('Mitigation drivers'!N132*DigesterN2OEF))/100</f>
        <v>8.9999999999999998E-4</v>
      </c>
      <c r="T63" s="25">
        <f>(('Mitigation drivers'!O122*LagoonN2O)+('Mitigation drivers'!O123*LiquidN2O)+('Mitigation drivers'!O124*DrylotN2O)+('Mitigation drivers'!O125*SolidStorageN2O)+('Mitigation drivers'!O126*DailyspreadN2O)+('Mitigation drivers'!O127*CompostN2O)+('Mitigation drivers'!O128*ManwithbedN2O)+('Mitigation drivers'!O129*PMwithoutlitterN2O)+('Mitigation drivers'!O130*PMwithlitterN2O)+('Mitigation drivers'!O132*DigesterN2OEF))/100</f>
        <v>8.9999999999999998E-4</v>
      </c>
      <c r="U63" s="25">
        <f>(('Mitigation drivers'!P122*LagoonN2O)+('Mitigation drivers'!P123*LiquidN2O)+('Mitigation drivers'!P124*DrylotN2O)+('Mitigation drivers'!P125*SolidStorageN2O)+('Mitigation drivers'!P126*DailyspreadN2O)+('Mitigation drivers'!P127*CompostN2O)+('Mitigation drivers'!P128*ManwithbedN2O)+('Mitigation drivers'!P129*PMwithoutlitterN2O)+('Mitigation drivers'!P130*PMwithlitterN2O)+('Mitigation drivers'!P132*DigesterN2OEF))/100</f>
        <v>8.9999999999999998E-4</v>
      </c>
      <c r="V63" s="25">
        <f>(('Mitigation drivers'!Q122*LagoonN2O)+('Mitigation drivers'!Q123*LiquidN2O)+('Mitigation drivers'!Q124*DrylotN2O)+('Mitigation drivers'!Q125*SolidStorageN2O)+('Mitigation drivers'!Q126*DailyspreadN2O)+('Mitigation drivers'!Q127*CompostN2O)+('Mitigation drivers'!Q128*ManwithbedN2O)+('Mitigation drivers'!Q129*PMwithoutlitterN2O)+('Mitigation drivers'!Q130*PMwithlitterN2O)+('Mitigation drivers'!Q132*DigesterN2OEF))/100</f>
        <v>8.9999999999999998E-4</v>
      </c>
      <c r="W63" s="25">
        <f>(('Mitigation drivers'!R122*LagoonN2O)+('Mitigation drivers'!R123*LiquidN2O)+('Mitigation drivers'!R124*DrylotN2O)+('Mitigation drivers'!R125*SolidStorageN2O)+('Mitigation drivers'!R126*DailyspreadN2O)+('Mitigation drivers'!R127*CompostN2O)+('Mitigation drivers'!R128*ManwithbedN2O)+('Mitigation drivers'!R129*PMwithoutlitterN2O)+('Mitigation drivers'!R130*PMwithlitterN2O)+('Mitigation drivers'!R132*DigesterN2OEF))/100</f>
        <v>8.9999999999999998E-4</v>
      </c>
      <c r="X63" s="25">
        <f>(('Mitigation drivers'!S122*LagoonN2O)+('Mitigation drivers'!S123*LiquidN2O)+('Mitigation drivers'!S124*DrylotN2O)+('Mitigation drivers'!S125*SolidStorageN2O)+('Mitigation drivers'!S126*DailyspreadN2O)+('Mitigation drivers'!S127*CompostN2O)+('Mitigation drivers'!S128*ManwithbedN2O)+('Mitigation drivers'!S129*PMwithoutlitterN2O)+('Mitigation drivers'!S130*PMwithlitterN2O)+('Mitigation drivers'!S132*DigesterN2OEF))/100</f>
        <v>8.9999999999999998E-4</v>
      </c>
      <c r="Y63" s="25">
        <f>(('Mitigation drivers'!T122*LagoonN2O)+('Mitigation drivers'!T123*LiquidN2O)+('Mitigation drivers'!T124*DrylotN2O)+('Mitigation drivers'!T125*SolidStorageN2O)+('Mitigation drivers'!T126*DailyspreadN2O)+('Mitigation drivers'!T127*CompostN2O)+('Mitigation drivers'!T128*ManwithbedN2O)+('Mitigation drivers'!T129*PMwithoutlitterN2O)+('Mitigation drivers'!T130*PMwithlitterN2O)+('Mitigation drivers'!T132*DigesterN2OEF))/100</f>
        <v>8.9999999999999998E-4</v>
      </c>
      <c r="Z63" s="25">
        <f>(('Mitigation drivers'!U122*LagoonN2O)+('Mitigation drivers'!U123*LiquidN2O)+('Mitigation drivers'!U124*DrylotN2O)+('Mitigation drivers'!U125*SolidStorageN2O)+('Mitigation drivers'!U126*DailyspreadN2O)+('Mitigation drivers'!U127*CompostN2O)+('Mitigation drivers'!U128*ManwithbedN2O)+('Mitigation drivers'!U129*PMwithoutlitterN2O)+('Mitigation drivers'!U130*PMwithlitterN2O)+('Mitigation drivers'!U132*DigesterN2OEF))/100</f>
        <v>8.9999999999999998E-4</v>
      </c>
      <c r="AA63" s="25">
        <f>(('Mitigation drivers'!V122*LagoonN2O)+('Mitigation drivers'!V123*LiquidN2O)+('Mitigation drivers'!V124*DrylotN2O)+('Mitigation drivers'!V125*SolidStorageN2O)+('Mitigation drivers'!V126*DailyspreadN2O)+('Mitigation drivers'!V127*CompostN2O)+('Mitigation drivers'!V128*ManwithbedN2O)+('Mitigation drivers'!V129*PMwithoutlitterN2O)+('Mitigation drivers'!V130*PMwithlitterN2O)+('Mitigation drivers'!V132*DigesterN2OEF))/100</f>
        <v>8.9999999999999998E-4</v>
      </c>
      <c r="AB63" s="25">
        <f>(('Mitigation drivers'!W122*LagoonN2O)+('Mitigation drivers'!W123*LiquidN2O)+('Mitigation drivers'!W124*DrylotN2O)+('Mitigation drivers'!W125*SolidStorageN2O)+('Mitigation drivers'!W126*DailyspreadN2O)+('Mitigation drivers'!W127*CompostN2O)+('Mitigation drivers'!W128*ManwithbedN2O)+('Mitigation drivers'!W129*PMwithoutlitterN2O)+('Mitigation drivers'!W130*PMwithlitterN2O)+('Mitigation drivers'!W132*DigesterN2OEF))/100</f>
        <v>8.9999999999999998E-4</v>
      </c>
      <c r="AC63" s="25">
        <f>(('Mitigation drivers'!X122*LagoonN2O)+('Mitigation drivers'!X123*LiquidN2O)+('Mitigation drivers'!X124*DrylotN2O)+('Mitigation drivers'!X125*SolidStorageN2O)+('Mitigation drivers'!X126*DailyspreadN2O)+('Mitigation drivers'!X127*CompostN2O)+('Mitigation drivers'!X128*ManwithbedN2O)+('Mitigation drivers'!X129*PMwithoutlitterN2O)+('Mitigation drivers'!X130*PMwithlitterN2O)+('Mitigation drivers'!X132*DigesterN2OEF))/100</f>
        <v>8.9999999999999998E-4</v>
      </c>
      <c r="AD63" s="25">
        <f>(('Mitigation drivers'!Y122*LagoonN2O)+('Mitigation drivers'!Y123*LiquidN2O)+('Mitigation drivers'!Y124*DrylotN2O)+('Mitigation drivers'!Y125*SolidStorageN2O)+('Mitigation drivers'!Y126*DailyspreadN2O)+('Mitigation drivers'!Y127*CompostN2O)+('Mitigation drivers'!Y128*ManwithbedN2O)+('Mitigation drivers'!Y129*PMwithoutlitterN2O)+('Mitigation drivers'!Y130*PMwithlitterN2O)+('Mitigation drivers'!Y132*DigesterN2OEF))/100</f>
        <v>8.9999999999999998E-4</v>
      </c>
      <c r="AE63" s="25">
        <f>(('Mitigation drivers'!Z122*LagoonN2O)+('Mitigation drivers'!Z123*LiquidN2O)+('Mitigation drivers'!Z124*DrylotN2O)+('Mitigation drivers'!Z125*SolidStorageN2O)+('Mitigation drivers'!Z126*DailyspreadN2O)+('Mitigation drivers'!Z127*CompostN2O)+('Mitigation drivers'!Z128*ManwithbedN2O)+('Mitigation drivers'!Z129*PMwithoutlitterN2O)+('Mitigation drivers'!Z130*PMwithlitterN2O)+('Mitigation drivers'!Z132*DigesterN2OEF))/100</f>
        <v>8.9999999999999998E-4</v>
      </c>
      <c r="AF63" s="25">
        <f>(('Mitigation drivers'!AA122*LagoonN2O)+('Mitigation drivers'!AA123*LiquidN2O)+('Mitigation drivers'!AA124*DrylotN2O)+('Mitigation drivers'!AA125*SolidStorageN2O)+('Mitigation drivers'!AA126*DailyspreadN2O)+('Mitigation drivers'!AA127*CompostN2O)+('Mitigation drivers'!AA128*ManwithbedN2O)+('Mitigation drivers'!AA129*PMwithoutlitterN2O)+('Mitigation drivers'!AA130*PMwithlitterN2O)+('Mitigation drivers'!AA132*DigesterN2OEF))/100</f>
        <v>8.9999999999999998E-4</v>
      </c>
      <c r="AG63" s="25">
        <f>(('Mitigation drivers'!AB122*LagoonN2O)+('Mitigation drivers'!AB123*LiquidN2O)+('Mitigation drivers'!AB124*DrylotN2O)+('Mitigation drivers'!AB125*SolidStorageN2O)+('Mitigation drivers'!AB126*DailyspreadN2O)+('Mitigation drivers'!AB127*CompostN2O)+('Mitigation drivers'!AB128*ManwithbedN2O)+('Mitigation drivers'!AB129*PMwithoutlitterN2O)+('Mitigation drivers'!AB130*PMwithlitterN2O)+('Mitigation drivers'!AB132*DigesterN2OEF))/100</f>
        <v>8.9999999999999998E-4</v>
      </c>
      <c r="AH63" s="25">
        <f>(('Mitigation drivers'!AC122*LagoonN2O)+('Mitigation drivers'!AC123*LiquidN2O)+('Mitigation drivers'!AC124*DrylotN2O)+('Mitigation drivers'!AC125*SolidStorageN2O)+('Mitigation drivers'!AC126*DailyspreadN2O)+('Mitigation drivers'!AC127*CompostN2O)+('Mitigation drivers'!AC128*ManwithbedN2O)+('Mitigation drivers'!AC129*PMwithoutlitterN2O)+('Mitigation drivers'!AC130*PMwithlitterN2O)+('Mitigation drivers'!AC132*DigesterN2OEF))/100</f>
        <v>8.9999999999999998E-4</v>
      </c>
      <c r="AI63" s="25">
        <f>(('Mitigation drivers'!AD122*LagoonN2O)+('Mitigation drivers'!AD123*LiquidN2O)+('Mitigation drivers'!AD124*DrylotN2O)+('Mitigation drivers'!AD125*SolidStorageN2O)+('Mitigation drivers'!AD126*DailyspreadN2O)+('Mitigation drivers'!AD127*CompostN2O)+('Mitigation drivers'!AD128*ManwithbedN2O)+('Mitigation drivers'!AD129*PMwithoutlitterN2O)+('Mitigation drivers'!AD130*PMwithlitterN2O)+('Mitigation drivers'!AD132*DigesterN2OEF))/100</f>
        <v>8.9999999999999998E-4</v>
      </c>
      <c r="AJ63" s="25">
        <f>(('Mitigation drivers'!AE122*LagoonN2O)+('Mitigation drivers'!AE123*LiquidN2O)+('Mitigation drivers'!AE124*DrylotN2O)+('Mitigation drivers'!AE125*SolidStorageN2O)+('Mitigation drivers'!AE126*DailyspreadN2O)+('Mitigation drivers'!AE127*CompostN2O)+('Mitigation drivers'!AE128*ManwithbedN2O)+('Mitigation drivers'!AE129*PMwithoutlitterN2O)+('Mitigation drivers'!AE130*PMwithlitterN2O)+('Mitigation drivers'!AE132*DigesterN2OEF))/100</f>
        <v>8.9999999999999998E-4</v>
      </c>
      <c r="AK63" s="25">
        <f>(('Mitigation drivers'!AF122*LagoonN2O)+('Mitigation drivers'!AF123*LiquidN2O)+('Mitigation drivers'!AF124*DrylotN2O)+('Mitigation drivers'!AF125*SolidStorageN2O)+('Mitigation drivers'!AF126*DailyspreadN2O)+('Mitigation drivers'!AF127*CompostN2O)+('Mitigation drivers'!AF128*ManwithbedN2O)+('Mitigation drivers'!AF129*PMwithoutlitterN2O)+('Mitigation drivers'!AF130*PMwithlitterN2O)+('Mitigation drivers'!AF132*DigesterN2OEF))/100</f>
        <v>8.9999999999999998E-4</v>
      </c>
      <c r="AL63" s="25">
        <f>(('Mitigation drivers'!AG122*LagoonN2O)+('Mitigation drivers'!AG123*LiquidN2O)+('Mitigation drivers'!AG124*DrylotN2O)+('Mitigation drivers'!AG125*SolidStorageN2O)+('Mitigation drivers'!AG126*DailyspreadN2O)+('Mitigation drivers'!AG127*CompostN2O)+('Mitigation drivers'!AG128*ManwithbedN2O)+('Mitigation drivers'!AG129*PMwithoutlitterN2O)+('Mitigation drivers'!AG130*PMwithlitterN2O)+('Mitigation drivers'!AG132*DigesterN2OEF))/100</f>
        <v>8.9999999999999998E-4</v>
      </c>
      <c r="AM63" s="25">
        <f>(('Mitigation drivers'!AH122*LagoonN2O)+('Mitigation drivers'!AH123*LiquidN2O)+('Mitigation drivers'!AH124*DrylotN2O)+('Mitigation drivers'!AH125*SolidStorageN2O)+('Mitigation drivers'!AH126*DailyspreadN2O)+('Mitigation drivers'!AH127*CompostN2O)+('Mitigation drivers'!AH128*ManwithbedN2O)+('Mitigation drivers'!AH129*PMwithoutlitterN2O)+('Mitigation drivers'!AH130*PMwithlitterN2O)+('Mitigation drivers'!AH132*DigesterN2OEF))/100</f>
        <v>8.9999999999999998E-4</v>
      </c>
      <c r="AN63" s="25">
        <f>(('Mitigation drivers'!AI122*LagoonN2O)+('Mitigation drivers'!AI123*LiquidN2O)+('Mitigation drivers'!AI124*DrylotN2O)+('Mitigation drivers'!AI125*SolidStorageN2O)+('Mitigation drivers'!AI126*DailyspreadN2O)+('Mitigation drivers'!AI127*CompostN2O)+('Mitigation drivers'!AI128*ManwithbedN2O)+('Mitigation drivers'!AI129*PMwithoutlitterN2O)+('Mitigation drivers'!AI130*PMwithlitterN2O)+('Mitigation drivers'!AI132*DigesterN2OEF))/100</f>
        <v>8.9999999999999998E-4</v>
      </c>
      <c r="AO63" s="25">
        <f>(('Mitigation drivers'!AJ122*LagoonN2O)+('Mitigation drivers'!AJ123*LiquidN2O)+('Mitigation drivers'!AJ124*DrylotN2O)+('Mitigation drivers'!AJ125*SolidStorageN2O)+('Mitigation drivers'!AJ126*DailyspreadN2O)+('Mitigation drivers'!AJ127*CompostN2O)+('Mitigation drivers'!AJ128*ManwithbedN2O)+('Mitigation drivers'!AJ129*PMwithoutlitterN2O)+('Mitigation drivers'!AJ130*PMwithlitterN2O)+('Mitigation drivers'!AJ132*DigesterN2OEF))/100</f>
        <v>8.9999999999999998E-4</v>
      </c>
    </row>
    <row r="64" spans="1:41" x14ac:dyDescent="0.3">
      <c r="A64" t="str">
        <f t="shared" si="5"/>
        <v>3A Livestock</v>
      </c>
      <c r="B64" t="str">
        <f t="shared" si="13"/>
        <v>3A2 Manure management (N2O)</v>
      </c>
      <c r="C64" t="str">
        <f>'Activity data'!C15</f>
        <v>3A1f Horses</v>
      </c>
      <c r="D64" t="str">
        <f>'Activity data'!D15</f>
        <v>Horses</v>
      </c>
      <c r="E64" t="str">
        <f t="shared" si="32"/>
        <v>Manure management EF</v>
      </c>
      <c r="F64" t="str">
        <f t="shared" si="33"/>
        <v>N2O</v>
      </c>
      <c r="G64" t="str">
        <f t="shared" si="34"/>
        <v>kg N2O-N/kg Nex</v>
      </c>
      <c r="H64" s="25">
        <f>IFERROR((('Mitigation drivers'!C135*LagoonN2O)+('Mitigation drivers'!C136*LiquidN2O)+('Mitigation drivers'!C137*DrylotN2O)+('Mitigation drivers'!C138*SolidStorageN2O)+('Mitigation drivers'!C139*DailyspreadN2O)+('Mitigation drivers'!C140*CompostN2O)+('Mitigation drivers'!C141*ManwithbedN2O)+('Mitigation drivers'!C142*PMwithoutlitterN2O)+('Mitigation drivers'!C143*PMwithlitterN2O+('Mitigation drivers'!C145*DigesterN2OEF)))/100,0)</f>
        <v>0</v>
      </c>
      <c r="I64" s="25">
        <f>IFERROR((('Mitigation drivers'!D135*LagoonN2O)+('Mitigation drivers'!D136*LiquidN2O)+('Mitigation drivers'!D137*DrylotN2O)+('Mitigation drivers'!D138*SolidStorageN2O)+('Mitigation drivers'!D139*DailyspreadN2O)+('Mitigation drivers'!D140*CompostN2O)+('Mitigation drivers'!D141*ManwithbedN2O)+('Mitigation drivers'!D142*PMwithoutlitterN2O)+('Mitigation drivers'!D143*PMwithlitterN2O+('Mitigation drivers'!D145*DigesterN2OEF)))/100,0)</f>
        <v>0</v>
      </c>
      <c r="J64" s="25">
        <f>IFERROR((('Mitigation drivers'!E135*LagoonN2O)+('Mitigation drivers'!E136*LiquidN2O)+('Mitigation drivers'!E137*DrylotN2O)+('Mitigation drivers'!E138*SolidStorageN2O)+('Mitigation drivers'!E139*DailyspreadN2O)+('Mitigation drivers'!E140*CompostN2O)+('Mitigation drivers'!E141*ManwithbedN2O)+('Mitigation drivers'!E142*PMwithoutlitterN2O)+('Mitigation drivers'!E143*PMwithlitterN2O+('Mitigation drivers'!E145*DigesterN2OEF)))/100,0)</f>
        <v>0</v>
      </c>
      <c r="K64" s="25">
        <f>IFERROR((('Mitigation drivers'!F135*LagoonN2O)+('Mitigation drivers'!F136*LiquidN2O)+('Mitigation drivers'!F137*DrylotN2O)+('Mitigation drivers'!F138*SolidStorageN2O)+('Mitigation drivers'!F139*DailyspreadN2O)+('Mitigation drivers'!F140*CompostN2O)+('Mitigation drivers'!F141*ManwithbedN2O)+('Mitigation drivers'!F142*PMwithoutlitterN2O)+('Mitigation drivers'!F143*PMwithlitterN2O+('Mitigation drivers'!F145*DigesterN2OEF)))/100,0)</f>
        <v>0</v>
      </c>
      <c r="L64" s="25">
        <f>IFERROR((('Mitigation drivers'!G135*LagoonN2O)+('Mitigation drivers'!G136*LiquidN2O)+('Mitigation drivers'!G137*DrylotN2O)+('Mitigation drivers'!G138*SolidStorageN2O)+('Mitigation drivers'!G139*DailyspreadN2O)+('Mitigation drivers'!G140*CompostN2O)+('Mitigation drivers'!G141*ManwithbedN2O)+('Mitigation drivers'!G142*PMwithoutlitterN2O)+('Mitigation drivers'!G143*PMwithlitterN2O+('Mitigation drivers'!G145*DigesterN2OEF)))/100,0)</f>
        <v>0</v>
      </c>
      <c r="M64" s="25">
        <f>IFERROR((('Mitigation drivers'!H135*LagoonN2O)+('Mitigation drivers'!H136*LiquidN2O)+('Mitigation drivers'!H137*DrylotN2O)+('Mitigation drivers'!H138*SolidStorageN2O)+('Mitigation drivers'!H139*DailyspreadN2O)+('Mitigation drivers'!H140*CompostN2O)+('Mitigation drivers'!H141*ManwithbedN2O)+('Mitigation drivers'!H142*PMwithoutlitterN2O)+('Mitigation drivers'!H143*PMwithlitterN2O+('Mitigation drivers'!H145*DigesterN2OEF)))/100,0)</f>
        <v>0</v>
      </c>
      <c r="N64" s="25">
        <f>IFERROR((('Mitigation drivers'!I135*LagoonN2O)+('Mitigation drivers'!I136*LiquidN2O)+('Mitigation drivers'!I137*DrylotN2O)+('Mitigation drivers'!I138*SolidStorageN2O)+('Mitigation drivers'!I139*DailyspreadN2O)+('Mitigation drivers'!I140*CompostN2O)+('Mitigation drivers'!I141*ManwithbedN2O)+('Mitigation drivers'!I142*PMwithoutlitterN2O)+('Mitigation drivers'!I143*PMwithlitterN2O+('Mitigation drivers'!I145*DigesterN2OEF)))/100,0)</f>
        <v>0</v>
      </c>
      <c r="O64" s="25">
        <f>IFERROR((('Mitigation drivers'!J135*LagoonN2O)+('Mitigation drivers'!J136*LiquidN2O)+('Mitigation drivers'!J137*DrylotN2O)+('Mitigation drivers'!J138*SolidStorageN2O)+('Mitigation drivers'!J139*DailyspreadN2O)+('Mitigation drivers'!J140*CompostN2O)+('Mitigation drivers'!J141*ManwithbedN2O)+('Mitigation drivers'!J142*PMwithoutlitterN2O)+('Mitigation drivers'!J143*PMwithlitterN2O+('Mitigation drivers'!J145*DigesterN2OEF)))/100,0)</f>
        <v>0</v>
      </c>
      <c r="P64" s="25">
        <f>IFERROR((('Mitigation drivers'!K135*LagoonN2O)+('Mitigation drivers'!K136*LiquidN2O)+('Mitigation drivers'!K137*DrylotN2O)+('Mitigation drivers'!K138*SolidStorageN2O)+('Mitigation drivers'!K139*DailyspreadN2O)+('Mitigation drivers'!K140*CompostN2O)+('Mitigation drivers'!K141*ManwithbedN2O)+('Mitigation drivers'!K142*PMwithoutlitterN2O)+('Mitigation drivers'!K143*PMwithlitterN2O+('Mitigation drivers'!K145*DigesterN2OEF)))/100,0)</f>
        <v>0</v>
      </c>
      <c r="Q64" s="25">
        <f>IFERROR((('Mitigation drivers'!L135*LagoonN2O)+('Mitigation drivers'!L136*LiquidN2O)+('Mitigation drivers'!L137*DrylotN2O)+('Mitigation drivers'!L138*SolidStorageN2O)+('Mitigation drivers'!L139*DailyspreadN2O)+('Mitigation drivers'!L140*CompostN2O)+('Mitigation drivers'!L141*ManwithbedN2O)+('Mitigation drivers'!L142*PMwithoutlitterN2O)+('Mitigation drivers'!L143*PMwithlitterN2O+('Mitigation drivers'!L145*DigesterN2OEF)))/100,0)</f>
        <v>0</v>
      </c>
      <c r="R64" s="25">
        <f>IFERROR((('Mitigation drivers'!M135*LagoonN2O)+('Mitigation drivers'!M136*LiquidN2O)+('Mitigation drivers'!M137*DrylotN2O)+('Mitigation drivers'!M138*SolidStorageN2O)+('Mitigation drivers'!M139*DailyspreadN2O)+('Mitigation drivers'!M140*CompostN2O)+('Mitigation drivers'!M141*ManwithbedN2O)+('Mitigation drivers'!M142*PMwithoutlitterN2O)+('Mitigation drivers'!M143*PMwithlitterN2O+('Mitigation drivers'!M145*DigesterN2OEF)))/100,0)</f>
        <v>0</v>
      </c>
      <c r="S64" s="25">
        <f>IFERROR((('Mitigation drivers'!N135*LagoonN2O)+('Mitigation drivers'!N136*LiquidN2O)+('Mitigation drivers'!N137*DrylotN2O)+('Mitigation drivers'!N138*SolidStorageN2O)+('Mitigation drivers'!N139*DailyspreadN2O)+('Mitigation drivers'!N140*CompostN2O)+('Mitigation drivers'!N141*ManwithbedN2O)+('Mitigation drivers'!N142*PMwithoutlitterN2O)+('Mitigation drivers'!N143*PMwithlitterN2O+('Mitigation drivers'!N145*DigesterN2OEF)))/100,0)</f>
        <v>0</v>
      </c>
      <c r="T64" s="25">
        <f>IFERROR((('Mitigation drivers'!O135*LagoonN2O)+('Mitigation drivers'!O136*LiquidN2O)+('Mitigation drivers'!O137*DrylotN2O)+('Mitigation drivers'!O138*SolidStorageN2O)+('Mitigation drivers'!O139*DailyspreadN2O)+('Mitigation drivers'!O140*CompostN2O)+('Mitigation drivers'!O141*ManwithbedN2O)+('Mitigation drivers'!O142*PMwithoutlitterN2O)+('Mitigation drivers'!O143*PMwithlitterN2O+('Mitigation drivers'!O145*DigesterN2OEF)))/100,0)</f>
        <v>0</v>
      </c>
      <c r="U64" s="25">
        <f>IFERROR((('Mitigation drivers'!P135*LagoonN2O)+('Mitigation drivers'!P136*LiquidN2O)+('Mitigation drivers'!P137*DrylotN2O)+('Mitigation drivers'!P138*SolidStorageN2O)+('Mitigation drivers'!P139*DailyspreadN2O)+('Mitigation drivers'!P140*CompostN2O)+('Mitigation drivers'!P141*ManwithbedN2O)+('Mitigation drivers'!P142*PMwithoutlitterN2O)+('Mitigation drivers'!P143*PMwithlitterN2O+('Mitigation drivers'!P145*DigesterN2OEF)))/100,0)</f>
        <v>0</v>
      </c>
      <c r="V64" s="25">
        <f>IFERROR((('Mitigation drivers'!Q135*LagoonN2O)+('Mitigation drivers'!Q136*LiquidN2O)+('Mitigation drivers'!Q137*DrylotN2O)+('Mitigation drivers'!Q138*SolidStorageN2O)+('Mitigation drivers'!Q139*DailyspreadN2O)+('Mitigation drivers'!Q140*CompostN2O)+('Mitigation drivers'!Q141*ManwithbedN2O)+('Mitigation drivers'!Q142*PMwithoutlitterN2O)+('Mitigation drivers'!Q143*PMwithlitterN2O+('Mitigation drivers'!Q145*DigesterN2OEF)))/100,0)</f>
        <v>0</v>
      </c>
      <c r="W64" s="25">
        <f>IFERROR((('Mitigation drivers'!R135*LagoonN2O)+('Mitigation drivers'!R136*LiquidN2O)+('Mitigation drivers'!R137*DrylotN2O)+('Mitigation drivers'!R138*SolidStorageN2O)+('Mitigation drivers'!R139*DailyspreadN2O)+('Mitigation drivers'!R140*CompostN2O)+('Mitigation drivers'!R141*ManwithbedN2O)+('Mitigation drivers'!R142*PMwithoutlitterN2O)+('Mitigation drivers'!R143*PMwithlitterN2O+('Mitigation drivers'!R145*DigesterN2OEF)))/100,0)</f>
        <v>0</v>
      </c>
      <c r="X64" s="25">
        <f>IFERROR((('Mitigation drivers'!S135*LagoonN2O)+('Mitigation drivers'!S136*LiquidN2O)+('Mitigation drivers'!S137*DrylotN2O)+('Mitigation drivers'!S138*SolidStorageN2O)+('Mitigation drivers'!S139*DailyspreadN2O)+('Mitigation drivers'!S140*CompostN2O)+('Mitigation drivers'!S141*ManwithbedN2O)+('Mitigation drivers'!S142*PMwithoutlitterN2O)+('Mitigation drivers'!S143*PMwithlitterN2O+('Mitigation drivers'!S145*DigesterN2OEF)))/100,0)</f>
        <v>0</v>
      </c>
      <c r="Y64" s="25">
        <f>IFERROR((('Mitigation drivers'!T135*LagoonN2O)+('Mitigation drivers'!T136*LiquidN2O)+('Mitigation drivers'!T137*DrylotN2O)+('Mitigation drivers'!T138*SolidStorageN2O)+('Mitigation drivers'!T139*DailyspreadN2O)+('Mitigation drivers'!T140*CompostN2O)+('Mitigation drivers'!T141*ManwithbedN2O)+('Mitigation drivers'!T142*PMwithoutlitterN2O)+('Mitigation drivers'!T143*PMwithlitterN2O+('Mitigation drivers'!T145*DigesterN2OEF)))/100,0)</f>
        <v>0</v>
      </c>
      <c r="Z64" s="25">
        <f>IFERROR((('Mitigation drivers'!U135*LagoonN2O)+('Mitigation drivers'!U136*LiquidN2O)+('Mitigation drivers'!U137*DrylotN2O)+('Mitigation drivers'!U138*SolidStorageN2O)+('Mitigation drivers'!U139*DailyspreadN2O)+('Mitigation drivers'!U140*CompostN2O)+('Mitigation drivers'!U141*ManwithbedN2O)+('Mitigation drivers'!U142*PMwithoutlitterN2O)+('Mitigation drivers'!U143*PMwithlitterN2O+('Mitigation drivers'!U145*DigesterN2OEF)))/100,0)</f>
        <v>0</v>
      </c>
      <c r="AA64" s="25">
        <f>IFERROR((('Mitigation drivers'!V135*LagoonN2O)+('Mitigation drivers'!V136*LiquidN2O)+('Mitigation drivers'!V137*DrylotN2O)+('Mitigation drivers'!V138*SolidStorageN2O)+('Mitigation drivers'!V139*DailyspreadN2O)+('Mitigation drivers'!V140*CompostN2O)+('Mitigation drivers'!V141*ManwithbedN2O)+('Mitigation drivers'!V142*PMwithoutlitterN2O)+('Mitigation drivers'!V143*PMwithlitterN2O+('Mitigation drivers'!V145*DigesterN2OEF)))/100,0)</f>
        <v>0</v>
      </c>
      <c r="AB64" s="25">
        <f>IFERROR((('Mitigation drivers'!W135*LagoonN2O)+('Mitigation drivers'!W136*LiquidN2O)+('Mitigation drivers'!W137*DrylotN2O)+('Mitigation drivers'!W138*SolidStorageN2O)+('Mitigation drivers'!W139*DailyspreadN2O)+('Mitigation drivers'!W140*CompostN2O)+('Mitigation drivers'!W141*ManwithbedN2O)+('Mitigation drivers'!W142*PMwithoutlitterN2O)+('Mitigation drivers'!W143*PMwithlitterN2O+('Mitigation drivers'!W145*DigesterN2OEF)))/100,0)</f>
        <v>0</v>
      </c>
      <c r="AC64" s="25">
        <f>IFERROR((('Mitigation drivers'!X135*LagoonN2O)+('Mitigation drivers'!X136*LiquidN2O)+('Mitigation drivers'!X137*DrylotN2O)+('Mitigation drivers'!X138*SolidStorageN2O)+('Mitigation drivers'!X139*DailyspreadN2O)+('Mitigation drivers'!X140*CompostN2O)+('Mitigation drivers'!X141*ManwithbedN2O)+('Mitigation drivers'!X142*PMwithoutlitterN2O)+('Mitigation drivers'!X143*PMwithlitterN2O+('Mitigation drivers'!X145*DigesterN2OEF)))/100,0)</f>
        <v>0</v>
      </c>
      <c r="AD64" s="25">
        <f>IFERROR((('Mitigation drivers'!Y135*LagoonN2O)+('Mitigation drivers'!Y136*LiquidN2O)+('Mitigation drivers'!Y137*DrylotN2O)+('Mitigation drivers'!Y138*SolidStorageN2O)+('Mitigation drivers'!Y139*DailyspreadN2O)+('Mitigation drivers'!Y140*CompostN2O)+('Mitigation drivers'!Y141*ManwithbedN2O)+('Mitigation drivers'!Y142*PMwithoutlitterN2O)+('Mitigation drivers'!Y143*PMwithlitterN2O+('Mitigation drivers'!Y145*DigesterN2OEF)))/100,0)</f>
        <v>0</v>
      </c>
      <c r="AE64" s="25">
        <f>IFERROR((('Mitigation drivers'!Z135*LagoonN2O)+('Mitigation drivers'!Z136*LiquidN2O)+('Mitigation drivers'!Z137*DrylotN2O)+('Mitigation drivers'!Z138*SolidStorageN2O)+('Mitigation drivers'!Z139*DailyspreadN2O)+('Mitigation drivers'!Z140*CompostN2O)+('Mitigation drivers'!Z141*ManwithbedN2O)+('Mitigation drivers'!Z142*PMwithoutlitterN2O)+('Mitigation drivers'!Z143*PMwithlitterN2O+('Mitigation drivers'!Z145*DigesterN2OEF)))/100,0)</f>
        <v>0</v>
      </c>
      <c r="AF64" s="25">
        <f>IFERROR((('Mitigation drivers'!AA135*LagoonN2O)+('Mitigation drivers'!AA136*LiquidN2O)+('Mitigation drivers'!AA137*DrylotN2O)+('Mitigation drivers'!AA138*SolidStorageN2O)+('Mitigation drivers'!AA139*DailyspreadN2O)+('Mitigation drivers'!AA140*CompostN2O)+('Mitigation drivers'!AA141*ManwithbedN2O)+('Mitigation drivers'!AA142*PMwithoutlitterN2O)+('Mitigation drivers'!AA143*PMwithlitterN2O+('Mitigation drivers'!AA145*DigesterN2OEF)))/100,0)</f>
        <v>0</v>
      </c>
      <c r="AG64" s="25">
        <f>IFERROR((('Mitigation drivers'!AB135*LagoonN2O)+('Mitigation drivers'!AB136*LiquidN2O)+('Mitigation drivers'!AB137*DrylotN2O)+('Mitigation drivers'!AB138*SolidStorageN2O)+('Mitigation drivers'!AB139*DailyspreadN2O)+('Mitigation drivers'!AB140*CompostN2O)+('Mitigation drivers'!AB141*ManwithbedN2O)+('Mitigation drivers'!AB142*PMwithoutlitterN2O)+('Mitigation drivers'!AB143*PMwithlitterN2O+('Mitigation drivers'!AB145*DigesterN2OEF)))/100,0)</f>
        <v>0</v>
      </c>
      <c r="AH64" s="25">
        <f>IFERROR((('Mitigation drivers'!AC135*LagoonN2O)+('Mitigation drivers'!AC136*LiquidN2O)+('Mitigation drivers'!AC137*DrylotN2O)+('Mitigation drivers'!AC138*SolidStorageN2O)+('Mitigation drivers'!AC139*DailyspreadN2O)+('Mitigation drivers'!AC140*CompostN2O)+('Mitigation drivers'!AC141*ManwithbedN2O)+('Mitigation drivers'!AC142*PMwithoutlitterN2O)+('Mitigation drivers'!AC143*PMwithlitterN2O+('Mitigation drivers'!AC145*DigesterN2OEF)))/100,0)</f>
        <v>0</v>
      </c>
      <c r="AI64" s="25">
        <f>IFERROR((('Mitigation drivers'!AD135*LagoonN2O)+('Mitigation drivers'!AD136*LiquidN2O)+('Mitigation drivers'!AD137*DrylotN2O)+('Mitigation drivers'!AD138*SolidStorageN2O)+('Mitigation drivers'!AD139*DailyspreadN2O)+('Mitigation drivers'!AD140*CompostN2O)+('Mitigation drivers'!AD141*ManwithbedN2O)+('Mitigation drivers'!AD142*PMwithoutlitterN2O)+('Mitigation drivers'!AD143*PMwithlitterN2O+('Mitigation drivers'!AD145*DigesterN2OEF)))/100,0)</f>
        <v>0</v>
      </c>
      <c r="AJ64" s="25">
        <f>IFERROR((('Mitigation drivers'!AE135*LagoonN2O)+('Mitigation drivers'!AE136*LiquidN2O)+('Mitigation drivers'!AE137*DrylotN2O)+('Mitigation drivers'!AE138*SolidStorageN2O)+('Mitigation drivers'!AE139*DailyspreadN2O)+('Mitigation drivers'!AE140*CompostN2O)+('Mitigation drivers'!AE141*ManwithbedN2O)+('Mitigation drivers'!AE142*PMwithoutlitterN2O)+('Mitigation drivers'!AE143*PMwithlitterN2O+('Mitigation drivers'!AE145*DigesterN2OEF)))/100,0)</f>
        <v>0</v>
      </c>
      <c r="AK64" s="25">
        <f>IFERROR((('Mitigation drivers'!AF135*LagoonN2O)+('Mitigation drivers'!AF136*LiquidN2O)+('Mitigation drivers'!AF137*DrylotN2O)+('Mitigation drivers'!AF138*SolidStorageN2O)+('Mitigation drivers'!AF139*DailyspreadN2O)+('Mitigation drivers'!AF140*CompostN2O)+('Mitigation drivers'!AF141*ManwithbedN2O)+('Mitigation drivers'!AF142*PMwithoutlitterN2O)+('Mitigation drivers'!AF143*PMwithlitterN2O+('Mitigation drivers'!AF145*DigesterN2OEF)))/100,0)</f>
        <v>0</v>
      </c>
      <c r="AL64" s="25">
        <f>IFERROR((('Mitigation drivers'!AG135*LagoonN2O)+('Mitigation drivers'!AG136*LiquidN2O)+('Mitigation drivers'!AG137*DrylotN2O)+('Mitigation drivers'!AG138*SolidStorageN2O)+('Mitigation drivers'!AG139*DailyspreadN2O)+('Mitigation drivers'!AG140*CompostN2O)+('Mitigation drivers'!AG141*ManwithbedN2O)+('Mitigation drivers'!AG142*PMwithoutlitterN2O)+('Mitigation drivers'!AG143*PMwithlitterN2O+('Mitigation drivers'!AG145*DigesterN2OEF)))/100,0)</f>
        <v>0</v>
      </c>
      <c r="AM64" s="25">
        <f>IFERROR((('Mitigation drivers'!AH135*LagoonN2O)+('Mitigation drivers'!AH136*LiquidN2O)+('Mitigation drivers'!AH137*DrylotN2O)+('Mitigation drivers'!AH138*SolidStorageN2O)+('Mitigation drivers'!AH139*DailyspreadN2O)+('Mitigation drivers'!AH140*CompostN2O)+('Mitigation drivers'!AH141*ManwithbedN2O)+('Mitigation drivers'!AH142*PMwithoutlitterN2O)+('Mitigation drivers'!AH143*PMwithlitterN2O+('Mitigation drivers'!AH145*DigesterN2OEF)))/100,0)</f>
        <v>0</v>
      </c>
      <c r="AN64" s="25">
        <f>IFERROR((('Mitigation drivers'!AI135*LagoonN2O)+('Mitigation drivers'!AI136*LiquidN2O)+('Mitigation drivers'!AI137*DrylotN2O)+('Mitigation drivers'!AI138*SolidStorageN2O)+('Mitigation drivers'!AI139*DailyspreadN2O)+('Mitigation drivers'!AI140*CompostN2O)+('Mitigation drivers'!AI141*ManwithbedN2O)+('Mitigation drivers'!AI142*PMwithoutlitterN2O)+('Mitigation drivers'!AI143*PMwithlitterN2O+('Mitigation drivers'!AI145*DigesterN2OEF)))/100,0)</f>
        <v>0</v>
      </c>
      <c r="AO64" s="25">
        <f>IFERROR((('Mitigation drivers'!AJ135*LagoonN2O)+('Mitigation drivers'!AJ136*LiquidN2O)+('Mitigation drivers'!AJ137*DrylotN2O)+('Mitigation drivers'!AJ138*SolidStorageN2O)+('Mitigation drivers'!AJ139*DailyspreadN2O)+('Mitigation drivers'!AJ140*CompostN2O)+('Mitigation drivers'!AJ141*ManwithbedN2O)+('Mitigation drivers'!AJ142*PMwithoutlitterN2O)+('Mitigation drivers'!AJ143*PMwithlitterN2O+('Mitigation drivers'!AJ145*DigesterN2OEF)))/100,0)</f>
        <v>0</v>
      </c>
    </row>
    <row r="65" spans="1:41" x14ac:dyDescent="0.3">
      <c r="A65" t="str">
        <f t="shared" si="5"/>
        <v>3A Livestock</v>
      </c>
      <c r="B65" t="str">
        <f t="shared" si="13"/>
        <v>3A2 Manure management (N2O)</v>
      </c>
      <c r="C65" t="str">
        <f>'Activity data'!C16</f>
        <v>3A1g Mules &amp; asses</v>
      </c>
      <c r="D65" t="str">
        <f>'Activity data'!D16</f>
        <v>Mules &amp; Asses</v>
      </c>
      <c r="E65" t="str">
        <f t="shared" si="32"/>
        <v>Manure management EF</v>
      </c>
      <c r="F65" t="str">
        <f t="shared" si="33"/>
        <v>N2O</v>
      </c>
      <c r="G65" t="str">
        <f t="shared" si="34"/>
        <v>kg N2O-N/kg Nex</v>
      </c>
      <c r="H65" s="25">
        <f>IFERROR((('Mitigation drivers'!C147*LagoonN2O)+('Mitigation drivers'!C148*LiquidN2O)+('Mitigation drivers'!C149*DrylotN2O)+('Mitigation drivers'!C150*SolidStorageN2O)+('Mitigation drivers'!C151*DailyspreadN2O)+('Mitigation drivers'!C152*CompostN2O)+('Mitigation drivers'!C153*ManwithbedN2O)+('Mitigation drivers'!C154*PMwithoutlitterN2O)+('Mitigation drivers'!C155*PMwithlitterN2O)+('Mitigation drivers'!C157*DigesterN2OEF))/100,0)</f>
        <v>0</v>
      </c>
      <c r="I65" s="25">
        <f>IFERROR((('Mitigation drivers'!D147*LagoonN2O)+('Mitigation drivers'!D148*LiquidN2O)+('Mitigation drivers'!D149*DrylotN2O)+('Mitigation drivers'!D150*SolidStorageN2O)+('Mitigation drivers'!D151*DailyspreadN2O)+('Mitigation drivers'!D152*CompostN2O)+('Mitigation drivers'!D153*ManwithbedN2O)+('Mitigation drivers'!D154*PMwithoutlitterN2O)+('Mitigation drivers'!D155*PMwithlitterN2O)+('Mitigation drivers'!D157*DigesterN2OEF))/100,0)</f>
        <v>0</v>
      </c>
      <c r="J65" s="25">
        <f>IFERROR((('Mitigation drivers'!E147*LagoonN2O)+('Mitigation drivers'!E148*LiquidN2O)+('Mitigation drivers'!E149*DrylotN2O)+('Mitigation drivers'!E150*SolidStorageN2O)+('Mitigation drivers'!E151*DailyspreadN2O)+('Mitigation drivers'!E152*CompostN2O)+('Mitigation drivers'!E153*ManwithbedN2O)+('Mitigation drivers'!E154*PMwithoutlitterN2O)+('Mitigation drivers'!E155*PMwithlitterN2O)+('Mitigation drivers'!E157*DigesterN2OEF))/100,0)</f>
        <v>0</v>
      </c>
      <c r="K65" s="25">
        <f>IFERROR((('Mitigation drivers'!F147*LagoonN2O)+('Mitigation drivers'!F148*LiquidN2O)+('Mitigation drivers'!F149*DrylotN2O)+('Mitigation drivers'!F150*SolidStorageN2O)+('Mitigation drivers'!F151*DailyspreadN2O)+('Mitigation drivers'!F152*CompostN2O)+('Mitigation drivers'!F153*ManwithbedN2O)+('Mitigation drivers'!F154*PMwithoutlitterN2O)+('Mitigation drivers'!F155*PMwithlitterN2O)+('Mitigation drivers'!F157*DigesterN2OEF))/100,0)</f>
        <v>0</v>
      </c>
      <c r="L65" s="25">
        <f>IFERROR((('Mitigation drivers'!G147*LagoonN2O)+('Mitigation drivers'!G148*LiquidN2O)+('Mitigation drivers'!G149*DrylotN2O)+('Mitigation drivers'!G150*SolidStorageN2O)+('Mitigation drivers'!G151*DailyspreadN2O)+('Mitigation drivers'!G152*CompostN2O)+('Mitigation drivers'!G153*ManwithbedN2O)+('Mitigation drivers'!G154*PMwithoutlitterN2O)+('Mitigation drivers'!G155*PMwithlitterN2O)+('Mitigation drivers'!G157*DigesterN2OEF))/100,0)</f>
        <v>0</v>
      </c>
      <c r="M65" s="25">
        <f>IFERROR((('Mitigation drivers'!H147*LagoonN2O)+('Mitigation drivers'!H148*LiquidN2O)+('Mitigation drivers'!H149*DrylotN2O)+('Mitigation drivers'!H150*SolidStorageN2O)+('Mitigation drivers'!H151*DailyspreadN2O)+('Mitigation drivers'!H152*CompostN2O)+('Mitigation drivers'!H153*ManwithbedN2O)+('Mitigation drivers'!H154*PMwithoutlitterN2O)+('Mitigation drivers'!H155*PMwithlitterN2O)+('Mitigation drivers'!H157*DigesterN2OEF))/100,0)</f>
        <v>0</v>
      </c>
      <c r="N65" s="25">
        <f>IFERROR((('Mitigation drivers'!I147*LagoonN2O)+('Mitigation drivers'!I148*LiquidN2O)+('Mitigation drivers'!I149*DrylotN2O)+('Mitigation drivers'!I150*SolidStorageN2O)+('Mitigation drivers'!I151*DailyspreadN2O)+('Mitigation drivers'!I152*CompostN2O)+('Mitigation drivers'!I153*ManwithbedN2O)+('Mitigation drivers'!I154*PMwithoutlitterN2O)+('Mitigation drivers'!I155*PMwithlitterN2O)+('Mitigation drivers'!I157*DigesterN2OEF))/100,0)</f>
        <v>0</v>
      </c>
      <c r="O65" s="25">
        <f>IFERROR((('Mitigation drivers'!J147*LagoonN2O)+('Mitigation drivers'!J148*LiquidN2O)+('Mitigation drivers'!J149*DrylotN2O)+('Mitigation drivers'!J150*SolidStorageN2O)+('Mitigation drivers'!J151*DailyspreadN2O)+('Mitigation drivers'!J152*CompostN2O)+('Mitigation drivers'!J153*ManwithbedN2O)+('Mitigation drivers'!J154*PMwithoutlitterN2O)+('Mitigation drivers'!J155*PMwithlitterN2O)+('Mitigation drivers'!J157*DigesterN2OEF))/100,0)</f>
        <v>0</v>
      </c>
      <c r="P65" s="25">
        <f>IFERROR((('Mitigation drivers'!K147*LagoonN2O)+('Mitigation drivers'!K148*LiquidN2O)+('Mitigation drivers'!K149*DrylotN2O)+('Mitigation drivers'!K150*SolidStorageN2O)+('Mitigation drivers'!K151*DailyspreadN2O)+('Mitigation drivers'!K152*CompostN2O)+('Mitigation drivers'!K153*ManwithbedN2O)+('Mitigation drivers'!K154*PMwithoutlitterN2O)+('Mitigation drivers'!K155*PMwithlitterN2O)+('Mitigation drivers'!K157*DigesterN2OEF))/100,0)</f>
        <v>0</v>
      </c>
      <c r="Q65" s="25">
        <f>IFERROR((('Mitigation drivers'!L147*LagoonN2O)+('Mitigation drivers'!L148*LiquidN2O)+('Mitigation drivers'!L149*DrylotN2O)+('Mitigation drivers'!L150*SolidStorageN2O)+('Mitigation drivers'!L151*DailyspreadN2O)+('Mitigation drivers'!L152*CompostN2O)+('Mitigation drivers'!L153*ManwithbedN2O)+('Mitigation drivers'!L154*PMwithoutlitterN2O)+('Mitigation drivers'!L155*PMwithlitterN2O)+('Mitigation drivers'!L157*DigesterN2OEF))/100,0)</f>
        <v>0</v>
      </c>
      <c r="R65" s="25">
        <f>IFERROR((('Mitigation drivers'!M147*LagoonN2O)+('Mitigation drivers'!M148*LiquidN2O)+('Mitigation drivers'!M149*DrylotN2O)+('Mitigation drivers'!M150*SolidStorageN2O)+('Mitigation drivers'!M151*DailyspreadN2O)+('Mitigation drivers'!M152*CompostN2O)+('Mitigation drivers'!M153*ManwithbedN2O)+('Mitigation drivers'!M154*PMwithoutlitterN2O)+('Mitigation drivers'!M155*PMwithlitterN2O)+('Mitigation drivers'!M157*DigesterN2OEF))/100,0)</f>
        <v>0</v>
      </c>
      <c r="S65" s="25">
        <f>IFERROR((('Mitigation drivers'!N147*LagoonN2O)+('Mitigation drivers'!N148*LiquidN2O)+('Mitigation drivers'!N149*DrylotN2O)+('Mitigation drivers'!N150*SolidStorageN2O)+('Mitigation drivers'!N151*DailyspreadN2O)+('Mitigation drivers'!N152*CompostN2O)+('Mitigation drivers'!N153*ManwithbedN2O)+('Mitigation drivers'!N154*PMwithoutlitterN2O)+('Mitigation drivers'!N155*PMwithlitterN2O)+('Mitigation drivers'!N157*DigesterN2OEF))/100,0)</f>
        <v>0</v>
      </c>
      <c r="T65" s="25">
        <f>IFERROR((('Mitigation drivers'!O147*LagoonN2O)+('Mitigation drivers'!O148*LiquidN2O)+('Mitigation drivers'!O149*DrylotN2O)+('Mitigation drivers'!O150*SolidStorageN2O)+('Mitigation drivers'!O151*DailyspreadN2O)+('Mitigation drivers'!O152*CompostN2O)+('Mitigation drivers'!O153*ManwithbedN2O)+('Mitigation drivers'!O154*PMwithoutlitterN2O)+('Mitigation drivers'!O155*PMwithlitterN2O)+('Mitigation drivers'!O157*DigesterN2OEF))/100,0)</f>
        <v>0</v>
      </c>
      <c r="U65" s="25">
        <f>IFERROR((('Mitigation drivers'!P147*LagoonN2O)+('Mitigation drivers'!P148*LiquidN2O)+('Mitigation drivers'!P149*DrylotN2O)+('Mitigation drivers'!P150*SolidStorageN2O)+('Mitigation drivers'!P151*DailyspreadN2O)+('Mitigation drivers'!P152*CompostN2O)+('Mitigation drivers'!P153*ManwithbedN2O)+('Mitigation drivers'!P154*PMwithoutlitterN2O)+('Mitigation drivers'!P155*PMwithlitterN2O)+('Mitigation drivers'!P157*DigesterN2OEF))/100,0)</f>
        <v>0</v>
      </c>
      <c r="V65" s="25">
        <f>IFERROR((('Mitigation drivers'!Q147*LagoonN2O)+('Mitigation drivers'!Q148*LiquidN2O)+('Mitigation drivers'!Q149*DrylotN2O)+('Mitigation drivers'!Q150*SolidStorageN2O)+('Mitigation drivers'!Q151*DailyspreadN2O)+('Mitigation drivers'!Q152*CompostN2O)+('Mitigation drivers'!Q153*ManwithbedN2O)+('Mitigation drivers'!Q154*PMwithoutlitterN2O)+('Mitigation drivers'!Q155*PMwithlitterN2O)+('Mitigation drivers'!Q157*DigesterN2OEF))/100,0)</f>
        <v>0</v>
      </c>
      <c r="W65" s="25">
        <f>IFERROR((('Mitigation drivers'!R147*LagoonN2O)+('Mitigation drivers'!R148*LiquidN2O)+('Mitigation drivers'!R149*DrylotN2O)+('Mitigation drivers'!R150*SolidStorageN2O)+('Mitigation drivers'!R151*DailyspreadN2O)+('Mitigation drivers'!R152*CompostN2O)+('Mitigation drivers'!R153*ManwithbedN2O)+('Mitigation drivers'!R154*PMwithoutlitterN2O)+('Mitigation drivers'!R155*PMwithlitterN2O)+('Mitigation drivers'!R157*DigesterN2OEF))/100,0)</f>
        <v>0</v>
      </c>
      <c r="X65" s="25">
        <f>IFERROR((('Mitigation drivers'!S147*LagoonN2O)+('Mitigation drivers'!S148*LiquidN2O)+('Mitigation drivers'!S149*DrylotN2O)+('Mitigation drivers'!S150*SolidStorageN2O)+('Mitigation drivers'!S151*DailyspreadN2O)+('Mitigation drivers'!S152*CompostN2O)+('Mitigation drivers'!S153*ManwithbedN2O)+('Mitigation drivers'!S154*PMwithoutlitterN2O)+('Mitigation drivers'!S155*PMwithlitterN2O)+('Mitigation drivers'!S157*DigesterN2OEF))/100,0)</f>
        <v>0</v>
      </c>
      <c r="Y65" s="25">
        <f>IFERROR((('Mitigation drivers'!T147*LagoonN2O)+('Mitigation drivers'!T148*LiquidN2O)+('Mitigation drivers'!T149*DrylotN2O)+('Mitigation drivers'!T150*SolidStorageN2O)+('Mitigation drivers'!T151*DailyspreadN2O)+('Mitigation drivers'!T152*CompostN2O)+('Mitigation drivers'!T153*ManwithbedN2O)+('Mitigation drivers'!T154*PMwithoutlitterN2O)+('Mitigation drivers'!T155*PMwithlitterN2O)+('Mitigation drivers'!T157*DigesterN2OEF))/100,0)</f>
        <v>0</v>
      </c>
      <c r="Z65" s="25">
        <f>IFERROR((('Mitigation drivers'!U147*LagoonN2O)+('Mitigation drivers'!U148*LiquidN2O)+('Mitigation drivers'!U149*DrylotN2O)+('Mitigation drivers'!U150*SolidStorageN2O)+('Mitigation drivers'!U151*DailyspreadN2O)+('Mitigation drivers'!U152*CompostN2O)+('Mitigation drivers'!U153*ManwithbedN2O)+('Mitigation drivers'!U154*PMwithoutlitterN2O)+('Mitigation drivers'!U155*PMwithlitterN2O)+('Mitigation drivers'!U157*DigesterN2OEF))/100,0)</f>
        <v>0</v>
      </c>
      <c r="AA65" s="25">
        <f>IFERROR((('Mitigation drivers'!V147*LagoonN2O)+('Mitigation drivers'!V148*LiquidN2O)+('Mitigation drivers'!V149*DrylotN2O)+('Mitigation drivers'!V150*SolidStorageN2O)+('Mitigation drivers'!V151*DailyspreadN2O)+('Mitigation drivers'!V152*CompostN2O)+('Mitigation drivers'!V153*ManwithbedN2O)+('Mitigation drivers'!V154*PMwithoutlitterN2O)+('Mitigation drivers'!V155*PMwithlitterN2O)+('Mitigation drivers'!V157*DigesterN2OEF))/100,0)</f>
        <v>0</v>
      </c>
      <c r="AB65" s="25">
        <f>IFERROR((('Mitigation drivers'!W147*LagoonN2O)+('Mitigation drivers'!W148*LiquidN2O)+('Mitigation drivers'!W149*DrylotN2O)+('Mitigation drivers'!W150*SolidStorageN2O)+('Mitigation drivers'!W151*DailyspreadN2O)+('Mitigation drivers'!W152*CompostN2O)+('Mitigation drivers'!W153*ManwithbedN2O)+('Mitigation drivers'!W154*PMwithoutlitterN2O)+('Mitigation drivers'!W155*PMwithlitterN2O)+('Mitigation drivers'!W157*DigesterN2OEF))/100,0)</f>
        <v>0</v>
      </c>
      <c r="AC65" s="25">
        <f>IFERROR((('Mitigation drivers'!X147*LagoonN2O)+('Mitigation drivers'!X148*LiquidN2O)+('Mitigation drivers'!X149*DrylotN2O)+('Mitigation drivers'!X150*SolidStorageN2O)+('Mitigation drivers'!X151*DailyspreadN2O)+('Mitigation drivers'!X152*CompostN2O)+('Mitigation drivers'!X153*ManwithbedN2O)+('Mitigation drivers'!X154*PMwithoutlitterN2O)+('Mitigation drivers'!X155*PMwithlitterN2O)+('Mitigation drivers'!X157*DigesterN2OEF))/100,0)</f>
        <v>0</v>
      </c>
      <c r="AD65" s="25">
        <f>IFERROR((('Mitigation drivers'!Y147*LagoonN2O)+('Mitigation drivers'!Y148*LiquidN2O)+('Mitigation drivers'!Y149*DrylotN2O)+('Mitigation drivers'!Y150*SolidStorageN2O)+('Mitigation drivers'!Y151*DailyspreadN2O)+('Mitigation drivers'!Y152*CompostN2O)+('Mitigation drivers'!Y153*ManwithbedN2O)+('Mitigation drivers'!Y154*PMwithoutlitterN2O)+('Mitigation drivers'!Y155*PMwithlitterN2O)+('Mitigation drivers'!Y157*DigesterN2OEF))/100,0)</f>
        <v>0</v>
      </c>
      <c r="AE65" s="25">
        <f>IFERROR((('Mitigation drivers'!Z147*LagoonN2O)+('Mitigation drivers'!Z148*LiquidN2O)+('Mitigation drivers'!Z149*DrylotN2O)+('Mitigation drivers'!Z150*SolidStorageN2O)+('Mitigation drivers'!Z151*DailyspreadN2O)+('Mitigation drivers'!Z152*CompostN2O)+('Mitigation drivers'!Z153*ManwithbedN2O)+('Mitigation drivers'!Z154*PMwithoutlitterN2O)+('Mitigation drivers'!Z155*PMwithlitterN2O)+('Mitigation drivers'!Z157*DigesterN2OEF))/100,0)</f>
        <v>0</v>
      </c>
      <c r="AF65" s="25">
        <f>IFERROR((('Mitigation drivers'!AA147*LagoonN2O)+('Mitigation drivers'!AA148*LiquidN2O)+('Mitigation drivers'!AA149*DrylotN2O)+('Mitigation drivers'!AA150*SolidStorageN2O)+('Mitigation drivers'!AA151*DailyspreadN2O)+('Mitigation drivers'!AA152*CompostN2O)+('Mitigation drivers'!AA153*ManwithbedN2O)+('Mitigation drivers'!AA154*PMwithoutlitterN2O)+('Mitigation drivers'!AA155*PMwithlitterN2O)+('Mitigation drivers'!AA157*DigesterN2OEF))/100,0)</f>
        <v>0</v>
      </c>
      <c r="AG65" s="25">
        <f>IFERROR((('Mitigation drivers'!AB147*LagoonN2O)+('Mitigation drivers'!AB148*LiquidN2O)+('Mitigation drivers'!AB149*DrylotN2O)+('Mitigation drivers'!AB150*SolidStorageN2O)+('Mitigation drivers'!AB151*DailyspreadN2O)+('Mitigation drivers'!AB152*CompostN2O)+('Mitigation drivers'!AB153*ManwithbedN2O)+('Mitigation drivers'!AB154*PMwithoutlitterN2O)+('Mitigation drivers'!AB155*PMwithlitterN2O)+('Mitigation drivers'!AB157*DigesterN2OEF))/100,0)</f>
        <v>0</v>
      </c>
      <c r="AH65" s="25">
        <f>IFERROR((('Mitigation drivers'!AC147*LagoonN2O)+('Mitigation drivers'!AC148*LiquidN2O)+('Mitigation drivers'!AC149*DrylotN2O)+('Mitigation drivers'!AC150*SolidStorageN2O)+('Mitigation drivers'!AC151*DailyspreadN2O)+('Mitigation drivers'!AC152*CompostN2O)+('Mitigation drivers'!AC153*ManwithbedN2O)+('Mitigation drivers'!AC154*PMwithoutlitterN2O)+('Mitigation drivers'!AC155*PMwithlitterN2O)+('Mitigation drivers'!AC157*DigesterN2OEF))/100,0)</f>
        <v>0</v>
      </c>
      <c r="AI65" s="25">
        <f>IFERROR((('Mitigation drivers'!AD147*LagoonN2O)+('Mitigation drivers'!AD148*LiquidN2O)+('Mitigation drivers'!AD149*DrylotN2O)+('Mitigation drivers'!AD150*SolidStorageN2O)+('Mitigation drivers'!AD151*DailyspreadN2O)+('Mitigation drivers'!AD152*CompostN2O)+('Mitigation drivers'!AD153*ManwithbedN2O)+('Mitigation drivers'!AD154*PMwithoutlitterN2O)+('Mitigation drivers'!AD155*PMwithlitterN2O)+('Mitigation drivers'!AD157*DigesterN2OEF))/100,0)</f>
        <v>0</v>
      </c>
      <c r="AJ65" s="25">
        <f>IFERROR((('Mitigation drivers'!AE147*LagoonN2O)+('Mitigation drivers'!AE148*LiquidN2O)+('Mitigation drivers'!AE149*DrylotN2O)+('Mitigation drivers'!AE150*SolidStorageN2O)+('Mitigation drivers'!AE151*DailyspreadN2O)+('Mitigation drivers'!AE152*CompostN2O)+('Mitigation drivers'!AE153*ManwithbedN2O)+('Mitigation drivers'!AE154*PMwithoutlitterN2O)+('Mitigation drivers'!AE155*PMwithlitterN2O)+('Mitigation drivers'!AE157*DigesterN2OEF))/100,0)</f>
        <v>0</v>
      </c>
      <c r="AK65" s="25">
        <f>IFERROR((('Mitigation drivers'!AF147*LagoonN2O)+('Mitigation drivers'!AF148*LiquidN2O)+('Mitigation drivers'!AF149*DrylotN2O)+('Mitigation drivers'!AF150*SolidStorageN2O)+('Mitigation drivers'!AF151*DailyspreadN2O)+('Mitigation drivers'!AF152*CompostN2O)+('Mitigation drivers'!AF153*ManwithbedN2O)+('Mitigation drivers'!AF154*PMwithoutlitterN2O)+('Mitigation drivers'!AF155*PMwithlitterN2O)+('Mitigation drivers'!AF157*DigesterN2OEF))/100,0)</f>
        <v>0</v>
      </c>
      <c r="AL65" s="25">
        <f>IFERROR((('Mitigation drivers'!AG147*LagoonN2O)+('Mitigation drivers'!AG148*LiquidN2O)+('Mitigation drivers'!AG149*DrylotN2O)+('Mitigation drivers'!AG150*SolidStorageN2O)+('Mitigation drivers'!AG151*DailyspreadN2O)+('Mitigation drivers'!AG152*CompostN2O)+('Mitigation drivers'!AG153*ManwithbedN2O)+('Mitigation drivers'!AG154*PMwithoutlitterN2O)+('Mitigation drivers'!AG155*PMwithlitterN2O)+('Mitigation drivers'!AG157*DigesterN2OEF))/100,0)</f>
        <v>0</v>
      </c>
      <c r="AM65" s="25">
        <f>IFERROR((('Mitigation drivers'!AH147*LagoonN2O)+('Mitigation drivers'!AH148*LiquidN2O)+('Mitigation drivers'!AH149*DrylotN2O)+('Mitigation drivers'!AH150*SolidStorageN2O)+('Mitigation drivers'!AH151*DailyspreadN2O)+('Mitigation drivers'!AH152*CompostN2O)+('Mitigation drivers'!AH153*ManwithbedN2O)+('Mitigation drivers'!AH154*PMwithoutlitterN2O)+('Mitigation drivers'!AH155*PMwithlitterN2O)+('Mitigation drivers'!AH157*DigesterN2OEF))/100,0)</f>
        <v>0</v>
      </c>
      <c r="AN65" s="25">
        <f>IFERROR((('Mitigation drivers'!AI147*LagoonN2O)+('Mitigation drivers'!AI148*LiquidN2O)+('Mitigation drivers'!AI149*DrylotN2O)+('Mitigation drivers'!AI150*SolidStorageN2O)+('Mitigation drivers'!AI151*DailyspreadN2O)+('Mitigation drivers'!AI152*CompostN2O)+('Mitigation drivers'!AI153*ManwithbedN2O)+('Mitigation drivers'!AI154*PMwithoutlitterN2O)+('Mitigation drivers'!AI155*PMwithlitterN2O)+('Mitigation drivers'!AI157*DigesterN2OEF))/100,0)</f>
        <v>0</v>
      </c>
      <c r="AO65" s="25">
        <f>IFERROR((('Mitigation drivers'!AJ147*LagoonN2O)+('Mitigation drivers'!AJ148*LiquidN2O)+('Mitigation drivers'!AJ149*DrylotN2O)+('Mitigation drivers'!AJ150*SolidStorageN2O)+('Mitigation drivers'!AJ151*DailyspreadN2O)+('Mitigation drivers'!AJ152*CompostN2O)+('Mitigation drivers'!AJ153*ManwithbedN2O)+('Mitigation drivers'!AJ154*PMwithoutlitterN2O)+('Mitigation drivers'!AJ155*PMwithlitterN2O)+('Mitigation drivers'!AJ157*DigesterN2OEF))/100,0)</f>
        <v>0</v>
      </c>
    </row>
    <row r="66" spans="1:41" x14ac:dyDescent="0.3">
      <c r="A66" t="str">
        <f t="shared" si="5"/>
        <v>3A Livestock</v>
      </c>
      <c r="B66" t="str">
        <f t="shared" si="13"/>
        <v>3A2 Manure management (N2O)</v>
      </c>
      <c r="C66" t="str">
        <f>'Activity data'!C17</f>
        <v>3A1h Swine</v>
      </c>
      <c r="D66" t="str">
        <f>'Activity data'!D17</f>
        <v>Commercial</v>
      </c>
      <c r="E66" t="str">
        <f t="shared" si="32"/>
        <v>Manure management EF</v>
      </c>
      <c r="F66" t="str">
        <f t="shared" si="33"/>
        <v>N2O</v>
      </c>
      <c r="G66" t="str">
        <f t="shared" si="34"/>
        <v>kg N2O-N/kg Nex</v>
      </c>
      <c r="H66" s="25">
        <f>(('Mitigation drivers'!C160*LagoonN2O)+('Mitigation drivers'!C161*LiquidN2O)+('Mitigation drivers'!C162*DrylotN2O)+('Mitigation drivers'!C163*SolidStorageN2O)+('Mitigation drivers'!C164*DailyspreadN2O)+('Mitigation drivers'!C165*CompostN2O)+('Mitigation drivers'!C166*ManwithbedN2O)+('Mitigation drivers'!C167*PMwithoutlitterN2O)+('Mitigation drivers'!C168*PMwithlitterN2O)+('Mitigation drivers'!C170*DigesterN2OEF))/100</f>
        <v>2.7200000000000002E-3</v>
      </c>
      <c r="I66" s="25">
        <f>(('Mitigation drivers'!D160*LagoonN2O)+('Mitigation drivers'!D161*LiquidN2O)+('Mitigation drivers'!D162*DrylotN2O)+('Mitigation drivers'!D163*SolidStorageN2O)+('Mitigation drivers'!D164*DailyspreadN2O)+('Mitigation drivers'!D165*CompostN2O)+('Mitigation drivers'!D166*ManwithbedN2O)+('Mitigation drivers'!D167*PMwithoutlitterN2O)+('Mitigation drivers'!D168*PMwithlitterN2O)+('Mitigation drivers'!D170*DigesterN2OEF))/100</f>
        <v>2.7200000000000002E-3</v>
      </c>
      <c r="J66" s="25">
        <f>(('Mitigation drivers'!E160*LagoonN2O)+('Mitigation drivers'!E161*LiquidN2O)+('Mitigation drivers'!E162*DrylotN2O)+('Mitigation drivers'!E163*SolidStorageN2O)+('Mitigation drivers'!E164*DailyspreadN2O)+('Mitigation drivers'!E165*CompostN2O)+('Mitigation drivers'!E166*ManwithbedN2O)+('Mitigation drivers'!E167*PMwithoutlitterN2O)+('Mitigation drivers'!E168*PMwithlitterN2O)+('Mitigation drivers'!E170*DigesterN2OEF))/100</f>
        <v>2.7200000000000002E-3</v>
      </c>
      <c r="K66" s="25">
        <f>(('Mitigation drivers'!F160*LagoonN2O)+('Mitigation drivers'!F161*LiquidN2O)+('Mitigation drivers'!F162*DrylotN2O)+('Mitigation drivers'!F163*SolidStorageN2O)+('Mitigation drivers'!F164*DailyspreadN2O)+('Mitigation drivers'!F165*CompostN2O)+('Mitigation drivers'!F166*ManwithbedN2O)+('Mitigation drivers'!F167*PMwithoutlitterN2O)+('Mitigation drivers'!F168*PMwithlitterN2O)+('Mitigation drivers'!F170*DigesterN2OEF))/100</f>
        <v>2.7200000000000002E-3</v>
      </c>
      <c r="L66" s="25">
        <f>(('Mitigation drivers'!G160*LagoonN2O)+('Mitigation drivers'!G161*LiquidN2O)+('Mitigation drivers'!G162*DrylotN2O)+('Mitigation drivers'!G163*SolidStorageN2O)+('Mitigation drivers'!G164*DailyspreadN2O)+('Mitigation drivers'!G165*CompostN2O)+('Mitigation drivers'!G166*ManwithbedN2O)+('Mitigation drivers'!G167*PMwithoutlitterN2O)+('Mitigation drivers'!G168*PMwithlitterN2O)+('Mitigation drivers'!G170*DigesterN2OEF))/100</f>
        <v>2.7200000000000002E-3</v>
      </c>
      <c r="M66" s="25">
        <f>(('Mitigation drivers'!H160*LagoonN2O)+('Mitigation drivers'!H161*LiquidN2O)+('Mitigation drivers'!H162*DrylotN2O)+('Mitigation drivers'!H163*SolidStorageN2O)+('Mitigation drivers'!H164*DailyspreadN2O)+('Mitigation drivers'!H165*CompostN2O)+('Mitigation drivers'!H166*ManwithbedN2O)+('Mitigation drivers'!H167*PMwithoutlitterN2O)+('Mitigation drivers'!H168*PMwithlitterN2O)+('Mitigation drivers'!H170*DigesterN2OEF))/100</f>
        <v>2.7200000000000002E-3</v>
      </c>
      <c r="N66" s="25">
        <f>(('Mitigation drivers'!I160*LagoonN2O)+('Mitigation drivers'!I161*LiquidN2O)+('Mitigation drivers'!I162*DrylotN2O)+('Mitigation drivers'!I163*SolidStorageN2O)+('Mitigation drivers'!I164*DailyspreadN2O)+('Mitigation drivers'!I165*CompostN2O)+('Mitigation drivers'!I166*ManwithbedN2O)+('Mitigation drivers'!I167*PMwithoutlitterN2O)+('Mitigation drivers'!I168*PMwithlitterN2O)+('Mitigation drivers'!I170*DigesterN2OEF))/100</f>
        <v>2.7200000000000002E-3</v>
      </c>
      <c r="O66" s="25">
        <f>(('Mitigation drivers'!J160*LagoonN2O)+('Mitigation drivers'!J161*LiquidN2O)+('Mitigation drivers'!J162*DrylotN2O)+('Mitigation drivers'!J163*SolidStorageN2O)+('Mitigation drivers'!J164*DailyspreadN2O)+('Mitigation drivers'!J165*CompostN2O)+('Mitigation drivers'!J166*ManwithbedN2O)+('Mitigation drivers'!J167*PMwithoutlitterN2O)+('Mitigation drivers'!J168*PMwithlitterN2O)+('Mitigation drivers'!J170*DigesterN2OEF))/100</f>
        <v>2.7200000000000002E-3</v>
      </c>
      <c r="P66" s="25">
        <f>(('Mitigation drivers'!K160*LagoonN2O)+('Mitigation drivers'!K161*LiquidN2O)+('Mitigation drivers'!K162*DrylotN2O)+('Mitigation drivers'!K163*SolidStorageN2O)+('Mitigation drivers'!K164*DailyspreadN2O)+('Mitigation drivers'!K165*CompostN2O)+('Mitigation drivers'!K166*ManwithbedN2O)+('Mitigation drivers'!K167*PMwithoutlitterN2O)+('Mitigation drivers'!K168*PMwithlitterN2O)+('Mitigation drivers'!K170*DigesterN2OEF))/100</f>
        <v>2.7200000000000002E-3</v>
      </c>
      <c r="Q66" s="25">
        <f>(('Mitigation drivers'!L160*LagoonN2O)+('Mitigation drivers'!L161*LiquidN2O)+('Mitigation drivers'!L162*DrylotN2O)+('Mitigation drivers'!L163*SolidStorageN2O)+('Mitigation drivers'!L164*DailyspreadN2O)+('Mitigation drivers'!L165*CompostN2O)+('Mitigation drivers'!L166*ManwithbedN2O)+('Mitigation drivers'!L167*PMwithoutlitterN2O)+('Mitigation drivers'!L168*PMwithlitterN2O)+('Mitigation drivers'!L170*DigesterN2OEF))/100</f>
        <v>2.7200000000000002E-3</v>
      </c>
      <c r="R66" s="25">
        <f>(('Mitigation drivers'!M160*LagoonN2O)+('Mitigation drivers'!M161*LiquidN2O)+('Mitigation drivers'!M162*DrylotN2O)+('Mitigation drivers'!M163*SolidStorageN2O)+('Mitigation drivers'!M164*DailyspreadN2O)+('Mitigation drivers'!M165*CompostN2O)+('Mitigation drivers'!M166*ManwithbedN2O)+('Mitigation drivers'!M167*PMwithoutlitterN2O)+('Mitigation drivers'!M168*PMwithlitterN2O)+('Mitigation drivers'!M170*DigesterN2OEF))/100</f>
        <v>2.7200000000000002E-3</v>
      </c>
      <c r="S66" s="25">
        <f>(('Mitigation drivers'!N160*LagoonN2O)+('Mitigation drivers'!N161*LiquidN2O)+('Mitigation drivers'!N162*DrylotN2O)+('Mitigation drivers'!N163*SolidStorageN2O)+('Mitigation drivers'!N164*DailyspreadN2O)+('Mitigation drivers'!N165*CompostN2O)+('Mitigation drivers'!N166*ManwithbedN2O)+('Mitigation drivers'!N167*PMwithoutlitterN2O)+('Mitigation drivers'!N168*PMwithlitterN2O)+('Mitigation drivers'!N170*DigesterN2OEF))/100</f>
        <v>2.7200000000000002E-3</v>
      </c>
      <c r="T66" s="25">
        <f>(('Mitigation drivers'!O160*LagoonN2O)+('Mitigation drivers'!O161*LiquidN2O)+('Mitigation drivers'!O162*DrylotN2O)+('Mitigation drivers'!O163*SolidStorageN2O)+('Mitigation drivers'!O164*DailyspreadN2O)+('Mitigation drivers'!O165*CompostN2O)+('Mitigation drivers'!O166*ManwithbedN2O)+('Mitigation drivers'!O167*PMwithoutlitterN2O)+('Mitigation drivers'!O168*PMwithlitterN2O)+('Mitigation drivers'!O170*DigesterN2OEF))/100</f>
        <v>2.7200000000000002E-3</v>
      </c>
      <c r="U66" s="25">
        <f>(('Mitigation drivers'!P160*LagoonN2O)+('Mitigation drivers'!P161*LiquidN2O)+('Mitigation drivers'!P162*DrylotN2O)+('Mitigation drivers'!P163*SolidStorageN2O)+('Mitigation drivers'!P164*DailyspreadN2O)+('Mitigation drivers'!P165*CompostN2O)+('Mitigation drivers'!P166*ManwithbedN2O)+('Mitigation drivers'!P167*PMwithoutlitterN2O)+('Mitigation drivers'!P168*PMwithlitterN2O)+('Mitigation drivers'!P170*DigesterN2OEF))/100</f>
        <v>2.7200000000000002E-3</v>
      </c>
      <c r="V66" s="25">
        <f>(('Mitigation drivers'!Q160*LagoonN2O)+('Mitigation drivers'!Q161*LiquidN2O)+('Mitigation drivers'!Q162*DrylotN2O)+('Mitigation drivers'!Q163*SolidStorageN2O)+('Mitigation drivers'!Q164*DailyspreadN2O)+('Mitigation drivers'!Q165*CompostN2O)+('Mitigation drivers'!Q166*ManwithbedN2O)+('Mitigation drivers'!Q167*PMwithoutlitterN2O)+('Mitigation drivers'!Q168*PMwithlitterN2O)+('Mitigation drivers'!Q170*DigesterN2OEF))/100</f>
        <v>2.7200000000000002E-3</v>
      </c>
      <c r="W66" s="25">
        <f>(('Mitigation drivers'!R160*LagoonN2O)+('Mitigation drivers'!R161*LiquidN2O)+('Mitigation drivers'!R162*DrylotN2O)+('Mitigation drivers'!R163*SolidStorageN2O)+('Mitigation drivers'!R164*DailyspreadN2O)+('Mitigation drivers'!R165*CompostN2O)+('Mitigation drivers'!R166*ManwithbedN2O)+('Mitigation drivers'!R167*PMwithoutlitterN2O)+('Mitigation drivers'!R168*PMwithlitterN2O)+('Mitigation drivers'!R170*DigesterN2OEF))/100</f>
        <v>2.7200000000000002E-3</v>
      </c>
      <c r="X66" s="25">
        <f>(('Mitigation drivers'!S160*LagoonN2O)+('Mitigation drivers'!S161*LiquidN2O)+('Mitigation drivers'!S162*DrylotN2O)+('Mitigation drivers'!S163*SolidStorageN2O)+('Mitigation drivers'!S164*DailyspreadN2O)+('Mitigation drivers'!S165*CompostN2O)+('Mitigation drivers'!S166*ManwithbedN2O)+('Mitigation drivers'!S167*PMwithoutlitterN2O)+('Mitigation drivers'!S168*PMwithlitterN2O)+('Mitigation drivers'!S170*DigesterN2OEF))/100</f>
        <v>2.7200000000000002E-3</v>
      </c>
      <c r="Y66" s="25">
        <f>(('Mitigation drivers'!T160*LagoonN2O)+('Mitigation drivers'!T161*LiquidN2O)+('Mitigation drivers'!T162*DrylotN2O)+('Mitigation drivers'!T163*SolidStorageN2O)+('Mitigation drivers'!T164*DailyspreadN2O)+('Mitigation drivers'!T165*CompostN2O)+('Mitigation drivers'!T166*ManwithbedN2O)+('Mitigation drivers'!T167*PMwithoutlitterN2O)+('Mitigation drivers'!T168*PMwithlitterN2O)+('Mitigation drivers'!T170*DigesterN2OEF))/100</f>
        <v>2.7200000000000002E-3</v>
      </c>
      <c r="Z66" s="25">
        <f>(('Mitigation drivers'!U160*LagoonN2O)+('Mitigation drivers'!U161*LiquidN2O)+('Mitigation drivers'!U162*DrylotN2O)+('Mitigation drivers'!U163*SolidStorageN2O)+('Mitigation drivers'!U164*DailyspreadN2O)+('Mitigation drivers'!U165*CompostN2O)+('Mitigation drivers'!U166*ManwithbedN2O)+('Mitigation drivers'!U167*PMwithoutlitterN2O)+('Mitigation drivers'!U168*PMwithlitterN2O)+('Mitigation drivers'!U170*DigesterN2OEF))/100</f>
        <v>2.7200000000000002E-3</v>
      </c>
      <c r="AA66" s="25">
        <f>(('Mitigation drivers'!V160*LagoonN2O)+('Mitigation drivers'!V161*LiquidN2O)+('Mitigation drivers'!V162*DrylotN2O)+('Mitigation drivers'!V163*SolidStorageN2O)+('Mitigation drivers'!V164*DailyspreadN2O)+('Mitigation drivers'!V165*CompostN2O)+('Mitigation drivers'!V166*ManwithbedN2O)+('Mitigation drivers'!V167*PMwithoutlitterN2O)+('Mitigation drivers'!V168*PMwithlitterN2O)+('Mitigation drivers'!V170*DigesterN2OEF))/100</f>
        <v>2.7200000000000002E-3</v>
      </c>
      <c r="AB66" s="25">
        <f>(('Mitigation drivers'!W160*LagoonN2O)+('Mitigation drivers'!W161*LiquidN2O)+('Mitigation drivers'!W162*DrylotN2O)+('Mitigation drivers'!W163*SolidStorageN2O)+('Mitigation drivers'!W164*DailyspreadN2O)+('Mitigation drivers'!W165*CompostN2O)+('Mitigation drivers'!W166*ManwithbedN2O)+('Mitigation drivers'!W167*PMwithoutlitterN2O)+('Mitigation drivers'!W168*PMwithlitterN2O)+('Mitigation drivers'!W170*DigesterN2OEF))/100</f>
        <v>2.7200000000000002E-3</v>
      </c>
      <c r="AC66" s="25">
        <f>(('Mitigation drivers'!X160*LagoonN2O)+('Mitigation drivers'!X161*LiquidN2O)+('Mitigation drivers'!X162*DrylotN2O)+('Mitigation drivers'!X163*SolidStorageN2O)+('Mitigation drivers'!X164*DailyspreadN2O)+('Mitigation drivers'!X165*CompostN2O)+('Mitigation drivers'!X166*ManwithbedN2O)+('Mitigation drivers'!X167*PMwithoutlitterN2O)+('Mitigation drivers'!X168*PMwithlitterN2O)+('Mitigation drivers'!X170*DigesterN2OEF))/100</f>
        <v>2.7200000000000002E-3</v>
      </c>
      <c r="AD66" s="25">
        <f>(('Mitigation drivers'!Y160*LagoonN2O)+('Mitigation drivers'!Y161*LiquidN2O)+('Mitigation drivers'!Y162*DrylotN2O)+('Mitigation drivers'!Y163*SolidStorageN2O)+('Mitigation drivers'!Y164*DailyspreadN2O)+('Mitigation drivers'!Y165*CompostN2O)+('Mitigation drivers'!Y166*ManwithbedN2O)+('Mitigation drivers'!Y167*PMwithoutlitterN2O)+('Mitigation drivers'!Y168*PMwithlitterN2O)+('Mitigation drivers'!Y170*DigesterN2OEF))/100</f>
        <v>2.7200000000000002E-3</v>
      </c>
      <c r="AE66" s="25">
        <f>(('Mitigation drivers'!Z160*LagoonN2O)+('Mitigation drivers'!Z161*LiquidN2O)+('Mitigation drivers'!Z162*DrylotN2O)+('Mitigation drivers'!Z163*SolidStorageN2O)+('Mitigation drivers'!Z164*DailyspreadN2O)+('Mitigation drivers'!Z165*CompostN2O)+('Mitigation drivers'!Z166*ManwithbedN2O)+('Mitigation drivers'!Z167*PMwithoutlitterN2O)+('Mitigation drivers'!Z168*PMwithlitterN2O)+('Mitigation drivers'!Z170*DigesterN2OEF))/100</f>
        <v>2.7200000000000002E-3</v>
      </c>
      <c r="AF66" s="25">
        <f>(('Mitigation drivers'!AA160*LagoonN2O)+('Mitigation drivers'!AA161*LiquidN2O)+('Mitigation drivers'!AA162*DrylotN2O)+('Mitigation drivers'!AA163*SolidStorageN2O)+('Mitigation drivers'!AA164*DailyspreadN2O)+('Mitigation drivers'!AA165*CompostN2O)+('Mitigation drivers'!AA166*ManwithbedN2O)+('Mitigation drivers'!AA167*PMwithoutlitterN2O)+('Mitigation drivers'!AA168*PMwithlitterN2O)+('Mitigation drivers'!AA170*DigesterN2OEF))/100</f>
        <v>2.7200000000000002E-3</v>
      </c>
      <c r="AG66" s="25">
        <f>(('Mitigation drivers'!AB160*LagoonN2O)+('Mitigation drivers'!AB161*LiquidN2O)+('Mitigation drivers'!AB162*DrylotN2O)+('Mitigation drivers'!AB163*SolidStorageN2O)+('Mitigation drivers'!AB164*DailyspreadN2O)+('Mitigation drivers'!AB165*CompostN2O)+('Mitigation drivers'!AB166*ManwithbedN2O)+('Mitigation drivers'!AB167*PMwithoutlitterN2O)+('Mitigation drivers'!AB168*PMwithlitterN2O)+('Mitigation drivers'!AB170*DigesterN2OEF))/100</f>
        <v>2.7200000000000002E-3</v>
      </c>
      <c r="AH66" s="25">
        <f>(('Mitigation drivers'!AC160*LagoonN2O)+('Mitigation drivers'!AC161*LiquidN2O)+('Mitigation drivers'!AC162*DrylotN2O)+('Mitigation drivers'!AC163*SolidStorageN2O)+('Mitigation drivers'!AC164*DailyspreadN2O)+('Mitigation drivers'!AC165*CompostN2O)+('Mitigation drivers'!AC166*ManwithbedN2O)+('Mitigation drivers'!AC167*PMwithoutlitterN2O)+('Mitigation drivers'!AC168*PMwithlitterN2O)+('Mitigation drivers'!AC170*DigesterN2OEF))/100</f>
        <v>2.7200000000000002E-3</v>
      </c>
      <c r="AI66" s="25">
        <f>(('Mitigation drivers'!AD160*LagoonN2O)+('Mitigation drivers'!AD161*LiquidN2O)+('Mitigation drivers'!AD162*DrylotN2O)+('Mitigation drivers'!AD163*SolidStorageN2O)+('Mitigation drivers'!AD164*DailyspreadN2O)+('Mitigation drivers'!AD165*CompostN2O)+('Mitigation drivers'!AD166*ManwithbedN2O)+('Mitigation drivers'!AD167*PMwithoutlitterN2O)+('Mitigation drivers'!AD168*PMwithlitterN2O)+('Mitigation drivers'!AD170*DigesterN2OEF))/100</f>
        <v>2.7200000000000002E-3</v>
      </c>
      <c r="AJ66" s="25">
        <f>(('Mitigation drivers'!AE160*LagoonN2O)+('Mitigation drivers'!AE161*LiquidN2O)+('Mitigation drivers'!AE162*DrylotN2O)+('Mitigation drivers'!AE163*SolidStorageN2O)+('Mitigation drivers'!AE164*DailyspreadN2O)+('Mitigation drivers'!AE165*CompostN2O)+('Mitigation drivers'!AE166*ManwithbedN2O)+('Mitigation drivers'!AE167*PMwithoutlitterN2O)+('Mitigation drivers'!AE168*PMwithlitterN2O)+('Mitigation drivers'!AE170*DigesterN2OEF))/100</f>
        <v>2.7200000000000002E-3</v>
      </c>
      <c r="AK66" s="25">
        <f>(('Mitigation drivers'!AF160*LagoonN2O)+('Mitigation drivers'!AF161*LiquidN2O)+('Mitigation drivers'!AF162*DrylotN2O)+('Mitigation drivers'!AF163*SolidStorageN2O)+('Mitigation drivers'!AF164*DailyspreadN2O)+('Mitigation drivers'!AF165*CompostN2O)+('Mitigation drivers'!AF166*ManwithbedN2O)+('Mitigation drivers'!AF167*PMwithoutlitterN2O)+('Mitigation drivers'!AF168*PMwithlitterN2O)+('Mitigation drivers'!AF170*DigesterN2OEF))/100</f>
        <v>2.7200000000000002E-3</v>
      </c>
      <c r="AL66" s="25">
        <f>(('Mitigation drivers'!AG160*LagoonN2O)+('Mitigation drivers'!AG161*LiquidN2O)+('Mitigation drivers'!AG162*DrylotN2O)+('Mitigation drivers'!AG163*SolidStorageN2O)+('Mitigation drivers'!AG164*DailyspreadN2O)+('Mitigation drivers'!AG165*CompostN2O)+('Mitigation drivers'!AG166*ManwithbedN2O)+('Mitigation drivers'!AG167*PMwithoutlitterN2O)+('Mitigation drivers'!AG168*PMwithlitterN2O)+('Mitigation drivers'!AG170*DigesterN2OEF))/100</f>
        <v>2.7200000000000002E-3</v>
      </c>
      <c r="AM66" s="25">
        <f>(('Mitigation drivers'!AH160*LagoonN2O)+('Mitigation drivers'!AH161*LiquidN2O)+('Mitigation drivers'!AH162*DrylotN2O)+('Mitigation drivers'!AH163*SolidStorageN2O)+('Mitigation drivers'!AH164*DailyspreadN2O)+('Mitigation drivers'!AH165*CompostN2O)+('Mitigation drivers'!AH166*ManwithbedN2O)+('Mitigation drivers'!AH167*PMwithoutlitterN2O)+('Mitigation drivers'!AH168*PMwithlitterN2O)+('Mitigation drivers'!AH170*DigesterN2OEF))/100</f>
        <v>2.7200000000000002E-3</v>
      </c>
      <c r="AN66" s="25">
        <f>(('Mitigation drivers'!AI160*LagoonN2O)+('Mitigation drivers'!AI161*LiquidN2O)+('Mitigation drivers'!AI162*DrylotN2O)+('Mitigation drivers'!AI163*SolidStorageN2O)+('Mitigation drivers'!AI164*DailyspreadN2O)+('Mitigation drivers'!AI165*CompostN2O)+('Mitigation drivers'!AI166*ManwithbedN2O)+('Mitigation drivers'!AI167*PMwithoutlitterN2O)+('Mitigation drivers'!AI168*PMwithlitterN2O)+('Mitigation drivers'!AI170*DigesterN2OEF))/100</f>
        <v>2.7200000000000002E-3</v>
      </c>
      <c r="AO66" s="25">
        <f>(('Mitigation drivers'!AJ160*LagoonN2O)+('Mitigation drivers'!AJ161*LiquidN2O)+('Mitigation drivers'!AJ162*DrylotN2O)+('Mitigation drivers'!AJ163*SolidStorageN2O)+('Mitigation drivers'!AJ164*DailyspreadN2O)+('Mitigation drivers'!AJ165*CompostN2O)+('Mitigation drivers'!AJ166*ManwithbedN2O)+('Mitigation drivers'!AJ167*PMwithoutlitterN2O)+('Mitigation drivers'!AJ168*PMwithlitterN2O)+('Mitigation drivers'!AJ170*DigesterN2OEF))/100</f>
        <v>2.7200000000000002E-3</v>
      </c>
    </row>
    <row r="67" spans="1:41" x14ac:dyDescent="0.3">
      <c r="A67" t="str">
        <f t="shared" si="5"/>
        <v>3A Livestock</v>
      </c>
      <c r="B67" t="str">
        <f t="shared" si="13"/>
        <v>3A2 Manure management (N2O)</v>
      </c>
      <c r="C67" t="str">
        <f>'Activity data'!C18</f>
        <v>3A1h Swine</v>
      </c>
      <c r="D67" t="str">
        <f>'Activity data'!D18</f>
        <v>Subsistence</v>
      </c>
      <c r="E67" t="str">
        <f t="shared" si="32"/>
        <v>Manure management EF</v>
      </c>
      <c r="F67" t="str">
        <f t="shared" si="33"/>
        <v>N2O</v>
      </c>
      <c r="G67" t="str">
        <f t="shared" si="34"/>
        <v>kg N2O-N/kg Nex</v>
      </c>
      <c r="H67" s="25">
        <f>(('Mitigation drivers'!C172*LagoonN2O)+('Mitigation drivers'!C173*LiquidN2O)+('Mitigation drivers'!C174*DrylotN2O)+('Mitigation drivers'!C175*SolidStorageN2O)+('Mitigation drivers'!C176*DailyspreadN2O)+('Mitigation drivers'!C177*CompostN2O)+('Mitigation drivers'!C178*ManwithbedN2O)+('Mitigation drivers'!C179*PMwithoutlitterN2O)+('Mitigation drivers'!C180*PMwithlitterN2O)+('Mitigation drivers'!C182*DigesterN2OEF))/100</f>
        <v>7.1200000000000005E-3</v>
      </c>
      <c r="I67" s="25">
        <f>(('Mitigation drivers'!D172*LagoonN2O)+('Mitigation drivers'!D173*LiquidN2O)+('Mitigation drivers'!D174*DrylotN2O)+('Mitigation drivers'!D175*SolidStorageN2O)+('Mitigation drivers'!D176*DailyspreadN2O)+('Mitigation drivers'!D177*CompostN2O)+('Mitigation drivers'!D178*ManwithbedN2O)+('Mitigation drivers'!D179*PMwithoutlitterN2O)+('Mitigation drivers'!D180*PMwithlitterN2O)+('Mitigation drivers'!D182*DigesterN2OEF))/100</f>
        <v>7.1200000000000005E-3</v>
      </c>
      <c r="J67" s="25">
        <f>(('Mitigation drivers'!E172*LagoonN2O)+('Mitigation drivers'!E173*LiquidN2O)+('Mitigation drivers'!E174*DrylotN2O)+('Mitigation drivers'!E175*SolidStorageN2O)+('Mitigation drivers'!E176*DailyspreadN2O)+('Mitigation drivers'!E177*CompostN2O)+('Mitigation drivers'!E178*ManwithbedN2O)+('Mitigation drivers'!E179*PMwithoutlitterN2O)+('Mitigation drivers'!E180*PMwithlitterN2O)+('Mitigation drivers'!E182*DigesterN2OEF))/100</f>
        <v>7.1200000000000005E-3</v>
      </c>
      <c r="K67" s="25">
        <f>(('Mitigation drivers'!F172*LagoonN2O)+('Mitigation drivers'!F173*LiquidN2O)+('Mitigation drivers'!F174*DrylotN2O)+('Mitigation drivers'!F175*SolidStorageN2O)+('Mitigation drivers'!F176*DailyspreadN2O)+('Mitigation drivers'!F177*CompostN2O)+('Mitigation drivers'!F178*ManwithbedN2O)+('Mitigation drivers'!F179*PMwithoutlitterN2O)+('Mitigation drivers'!F180*PMwithlitterN2O)+('Mitigation drivers'!F182*DigesterN2OEF))/100</f>
        <v>7.1200000000000005E-3</v>
      </c>
      <c r="L67" s="25">
        <f>(('Mitigation drivers'!G172*LagoonN2O)+('Mitigation drivers'!G173*LiquidN2O)+('Mitigation drivers'!G174*DrylotN2O)+('Mitigation drivers'!G175*SolidStorageN2O)+('Mitigation drivers'!G176*DailyspreadN2O)+('Mitigation drivers'!G177*CompostN2O)+('Mitigation drivers'!G178*ManwithbedN2O)+('Mitigation drivers'!G179*PMwithoutlitterN2O)+('Mitigation drivers'!G180*PMwithlitterN2O)+('Mitigation drivers'!G182*DigesterN2OEF))/100</f>
        <v>7.1200000000000005E-3</v>
      </c>
      <c r="M67" s="25">
        <f>(('Mitigation drivers'!H172*LagoonN2O)+('Mitigation drivers'!H173*LiquidN2O)+('Mitigation drivers'!H174*DrylotN2O)+('Mitigation drivers'!H175*SolidStorageN2O)+('Mitigation drivers'!H176*DailyspreadN2O)+('Mitigation drivers'!H177*CompostN2O)+('Mitigation drivers'!H178*ManwithbedN2O)+('Mitigation drivers'!H179*PMwithoutlitterN2O)+('Mitigation drivers'!H180*PMwithlitterN2O)+('Mitigation drivers'!H182*DigesterN2OEF))/100</f>
        <v>7.1200000000000005E-3</v>
      </c>
      <c r="N67" s="25">
        <f>(('Mitigation drivers'!I172*LagoonN2O)+('Mitigation drivers'!I173*LiquidN2O)+('Mitigation drivers'!I174*DrylotN2O)+('Mitigation drivers'!I175*SolidStorageN2O)+('Mitigation drivers'!I176*DailyspreadN2O)+('Mitigation drivers'!I177*CompostN2O)+('Mitigation drivers'!I178*ManwithbedN2O)+('Mitigation drivers'!I179*PMwithoutlitterN2O)+('Mitigation drivers'!I180*PMwithlitterN2O)+('Mitigation drivers'!I182*DigesterN2OEF))/100</f>
        <v>7.1200000000000005E-3</v>
      </c>
      <c r="O67" s="25">
        <f>(('Mitigation drivers'!J172*LagoonN2O)+('Mitigation drivers'!J173*LiquidN2O)+('Mitigation drivers'!J174*DrylotN2O)+('Mitigation drivers'!J175*SolidStorageN2O)+('Mitigation drivers'!J176*DailyspreadN2O)+('Mitigation drivers'!J177*CompostN2O)+('Mitigation drivers'!J178*ManwithbedN2O)+('Mitigation drivers'!J179*PMwithoutlitterN2O)+('Mitigation drivers'!J180*PMwithlitterN2O)+('Mitigation drivers'!J182*DigesterN2OEF))/100</f>
        <v>7.1200000000000005E-3</v>
      </c>
      <c r="P67" s="25">
        <f>(('Mitigation drivers'!K172*LagoonN2O)+('Mitigation drivers'!K173*LiquidN2O)+('Mitigation drivers'!K174*DrylotN2O)+('Mitigation drivers'!K175*SolidStorageN2O)+('Mitigation drivers'!K176*DailyspreadN2O)+('Mitigation drivers'!K177*CompostN2O)+('Mitigation drivers'!K178*ManwithbedN2O)+('Mitigation drivers'!K179*PMwithoutlitterN2O)+('Mitigation drivers'!K180*PMwithlitterN2O)+('Mitigation drivers'!K182*DigesterN2OEF))/100</f>
        <v>7.1200000000000005E-3</v>
      </c>
      <c r="Q67" s="25">
        <f>(('Mitigation drivers'!L172*LagoonN2O)+('Mitigation drivers'!L173*LiquidN2O)+('Mitigation drivers'!L174*DrylotN2O)+('Mitigation drivers'!L175*SolidStorageN2O)+('Mitigation drivers'!L176*DailyspreadN2O)+('Mitigation drivers'!L177*CompostN2O)+('Mitigation drivers'!L178*ManwithbedN2O)+('Mitigation drivers'!L179*PMwithoutlitterN2O)+('Mitigation drivers'!L180*PMwithlitterN2O)+('Mitigation drivers'!L182*DigesterN2OEF))/100</f>
        <v>7.1200000000000005E-3</v>
      </c>
      <c r="R67" s="25">
        <f>(('Mitigation drivers'!M172*LagoonN2O)+('Mitigation drivers'!M173*LiquidN2O)+('Mitigation drivers'!M174*DrylotN2O)+('Mitigation drivers'!M175*SolidStorageN2O)+('Mitigation drivers'!M176*DailyspreadN2O)+('Mitigation drivers'!M177*CompostN2O)+('Mitigation drivers'!M178*ManwithbedN2O)+('Mitigation drivers'!M179*PMwithoutlitterN2O)+('Mitigation drivers'!M180*PMwithlitterN2O)+('Mitigation drivers'!M182*DigesterN2OEF))/100</f>
        <v>7.1200000000000005E-3</v>
      </c>
      <c r="S67" s="25">
        <f>(('Mitigation drivers'!N172*LagoonN2O)+('Mitigation drivers'!N173*LiquidN2O)+('Mitigation drivers'!N174*DrylotN2O)+('Mitigation drivers'!N175*SolidStorageN2O)+('Mitigation drivers'!N176*DailyspreadN2O)+('Mitigation drivers'!N177*CompostN2O)+('Mitigation drivers'!N178*ManwithbedN2O)+('Mitigation drivers'!N179*PMwithoutlitterN2O)+('Mitigation drivers'!N180*PMwithlitterN2O)+('Mitigation drivers'!N182*DigesterN2OEF))/100</f>
        <v>7.1200000000000005E-3</v>
      </c>
      <c r="T67" s="25">
        <f>(('Mitigation drivers'!O172*LagoonN2O)+('Mitigation drivers'!O173*LiquidN2O)+('Mitigation drivers'!O174*DrylotN2O)+('Mitigation drivers'!O175*SolidStorageN2O)+('Mitigation drivers'!O176*DailyspreadN2O)+('Mitigation drivers'!O177*CompostN2O)+('Mitigation drivers'!O178*ManwithbedN2O)+('Mitigation drivers'!O179*PMwithoutlitterN2O)+('Mitigation drivers'!O180*PMwithlitterN2O)+('Mitigation drivers'!O182*DigesterN2OEF))/100</f>
        <v>7.1200000000000005E-3</v>
      </c>
      <c r="U67" s="25">
        <f>(('Mitigation drivers'!P172*LagoonN2O)+('Mitigation drivers'!P173*LiquidN2O)+('Mitigation drivers'!P174*DrylotN2O)+('Mitigation drivers'!P175*SolidStorageN2O)+('Mitigation drivers'!P176*DailyspreadN2O)+('Mitigation drivers'!P177*CompostN2O)+('Mitigation drivers'!P178*ManwithbedN2O)+('Mitigation drivers'!P179*PMwithoutlitterN2O)+('Mitigation drivers'!P180*PMwithlitterN2O)+('Mitigation drivers'!P182*DigesterN2OEF))/100</f>
        <v>7.1200000000000005E-3</v>
      </c>
      <c r="V67" s="25">
        <f>(('Mitigation drivers'!Q172*LagoonN2O)+('Mitigation drivers'!Q173*LiquidN2O)+('Mitigation drivers'!Q174*DrylotN2O)+('Mitigation drivers'!Q175*SolidStorageN2O)+('Mitigation drivers'!Q176*DailyspreadN2O)+('Mitigation drivers'!Q177*CompostN2O)+('Mitigation drivers'!Q178*ManwithbedN2O)+('Mitigation drivers'!Q179*PMwithoutlitterN2O)+('Mitigation drivers'!Q180*PMwithlitterN2O)+('Mitigation drivers'!Q182*DigesterN2OEF))/100</f>
        <v>7.1200000000000005E-3</v>
      </c>
      <c r="W67" s="25">
        <f>(('Mitigation drivers'!R172*LagoonN2O)+('Mitigation drivers'!R173*LiquidN2O)+('Mitigation drivers'!R174*DrylotN2O)+('Mitigation drivers'!R175*SolidStorageN2O)+('Mitigation drivers'!R176*DailyspreadN2O)+('Mitigation drivers'!R177*CompostN2O)+('Mitigation drivers'!R178*ManwithbedN2O)+('Mitigation drivers'!R179*PMwithoutlitterN2O)+('Mitigation drivers'!R180*PMwithlitterN2O)+('Mitigation drivers'!R182*DigesterN2OEF))/100</f>
        <v>7.1200000000000005E-3</v>
      </c>
      <c r="X67" s="25">
        <f>(('Mitigation drivers'!S172*LagoonN2O)+('Mitigation drivers'!S173*LiquidN2O)+('Mitigation drivers'!S174*DrylotN2O)+('Mitigation drivers'!S175*SolidStorageN2O)+('Mitigation drivers'!S176*DailyspreadN2O)+('Mitigation drivers'!S177*CompostN2O)+('Mitigation drivers'!S178*ManwithbedN2O)+('Mitigation drivers'!S179*PMwithoutlitterN2O)+('Mitigation drivers'!S180*PMwithlitterN2O)+('Mitigation drivers'!S182*DigesterN2OEF))/100</f>
        <v>7.1200000000000005E-3</v>
      </c>
      <c r="Y67" s="25">
        <f>(('Mitigation drivers'!T172*LagoonN2O)+('Mitigation drivers'!T173*LiquidN2O)+('Mitigation drivers'!T174*DrylotN2O)+('Mitigation drivers'!T175*SolidStorageN2O)+('Mitigation drivers'!T176*DailyspreadN2O)+('Mitigation drivers'!T177*CompostN2O)+('Mitigation drivers'!T178*ManwithbedN2O)+('Mitigation drivers'!T179*PMwithoutlitterN2O)+('Mitigation drivers'!T180*PMwithlitterN2O)+('Mitigation drivers'!T182*DigesterN2OEF))/100</f>
        <v>7.1200000000000005E-3</v>
      </c>
      <c r="Z67" s="25">
        <f>(('Mitigation drivers'!U172*LagoonN2O)+('Mitigation drivers'!U173*LiquidN2O)+('Mitigation drivers'!U174*DrylotN2O)+('Mitigation drivers'!U175*SolidStorageN2O)+('Mitigation drivers'!U176*DailyspreadN2O)+('Mitigation drivers'!U177*CompostN2O)+('Mitigation drivers'!U178*ManwithbedN2O)+('Mitigation drivers'!U179*PMwithoutlitterN2O)+('Mitigation drivers'!U180*PMwithlitterN2O)+('Mitigation drivers'!U182*DigesterN2OEF))/100</f>
        <v>7.1200000000000005E-3</v>
      </c>
      <c r="AA67" s="25">
        <f>(('Mitigation drivers'!V172*LagoonN2O)+('Mitigation drivers'!V173*LiquidN2O)+('Mitigation drivers'!V174*DrylotN2O)+('Mitigation drivers'!V175*SolidStorageN2O)+('Mitigation drivers'!V176*DailyspreadN2O)+('Mitigation drivers'!V177*CompostN2O)+('Mitigation drivers'!V178*ManwithbedN2O)+('Mitigation drivers'!V179*PMwithoutlitterN2O)+('Mitigation drivers'!V180*PMwithlitterN2O)+('Mitigation drivers'!V182*DigesterN2OEF))/100</f>
        <v>7.1200000000000005E-3</v>
      </c>
      <c r="AB67" s="25">
        <f>(('Mitigation drivers'!W172*LagoonN2O)+('Mitigation drivers'!W173*LiquidN2O)+('Mitigation drivers'!W174*DrylotN2O)+('Mitigation drivers'!W175*SolidStorageN2O)+('Mitigation drivers'!W176*DailyspreadN2O)+('Mitigation drivers'!W177*CompostN2O)+('Mitigation drivers'!W178*ManwithbedN2O)+('Mitigation drivers'!W179*PMwithoutlitterN2O)+('Mitigation drivers'!W180*PMwithlitterN2O)+('Mitigation drivers'!W182*DigesterN2OEF))/100</f>
        <v>7.1200000000000005E-3</v>
      </c>
      <c r="AC67" s="25">
        <f>(('Mitigation drivers'!X172*LagoonN2O)+('Mitigation drivers'!X173*LiquidN2O)+('Mitigation drivers'!X174*DrylotN2O)+('Mitigation drivers'!X175*SolidStorageN2O)+('Mitigation drivers'!X176*DailyspreadN2O)+('Mitigation drivers'!X177*CompostN2O)+('Mitigation drivers'!X178*ManwithbedN2O)+('Mitigation drivers'!X179*PMwithoutlitterN2O)+('Mitigation drivers'!X180*PMwithlitterN2O)+('Mitigation drivers'!X182*DigesterN2OEF))/100</f>
        <v>7.1200000000000005E-3</v>
      </c>
      <c r="AD67" s="25">
        <f>(('Mitigation drivers'!Y172*LagoonN2O)+('Mitigation drivers'!Y173*LiquidN2O)+('Mitigation drivers'!Y174*DrylotN2O)+('Mitigation drivers'!Y175*SolidStorageN2O)+('Mitigation drivers'!Y176*DailyspreadN2O)+('Mitigation drivers'!Y177*CompostN2O)+('Mitigation drivers'!Y178*ManwithbedN2O)+('Mitigation drivers'!Y179*PMwithoutlitterN2O)+('Mitigation drivers'!Y180*PMwithlitterN2O)+('Mitigation drivers'!Y182*DigesterN2OEF))/100</f>
        <v>7.1200000000000005E-3</v>
      </c>
      <c r="AE67" s="25">
        <f>(('Mitigation drivers'!Z172*LagoonN2O)+('Mitigation drivers'!Z173*LiquidN2O)+('Mitigation drivers'!Z174*DrylotN2O)+('Mitigation drivers'!Z175*SolidStorageN2O)+('Mitigation drivers'!Z176*DailyspreadN2O)+('Mitigation drivers'!Z177*CompostN2O)+('Mitigation drivers'!Z178*ManwithbedN2O)+('Mitigation drivers'!Z179*PMwithoutlitterN2O)+('Mitigation drivers'!Z180*PMwithlitterN2O)+('Mitigation drivers'!Z182*DigesterN2OEF))/100</f>
        <v>7.1200000000000005E-3</v>
      </c>
      <c r="AF67" s="25">
        <f>(('Mitigation drivers'!AA172*LagoonN2O)+('Mitigation drivers'!AA173*LiquidN2O)+('Mitigation drivers'!AA174*DrylotN2O)+('Mitigation drivers'!AA175*SolidStorageN2O)+('Mitigation drivers'!AA176*DailyspreadN2O)+('Mitigation drivers'!AA177*CompostN2O)+('Mitigation drivers'!AA178*ManwithbedN2O)+('Mitigation drivers'!AA179*PMwithoutlitterN2O)+('Mitigation drivers'!AA180*PMwithlitterN2O)+('Mitigation drivers'!AA182*DigesterN2OEF))/100</f>
        <v>7.1200000000000005E-3</v>
      </c>
      <c r="AG67" s="25">
        <f>(('Mitigation drivers'!AB172*LagoonN2O)+('Mitigation drivers'!AB173*LiquidN2O)+('Mitigation drivers'!AB174*DrylotN2O)+('Mitigation drivers'!AB175*SolidStorageN2O)+('Mitigation drivers'!AB176*DailyspreadN2O)+('Mitigation drivers'!AB177*CompostN2O)+('Mitigation drivers'!AB178*ManwithbedN2O)+('Mitigation drivers'!AB179*PMwithoutlitterN2O)+('Mitigation drivers'!AB180*PMwithlitterN2O)+('Mitigation drivers'!AB182*DigesterN2OEF))/100</f>
        <v>7.1200000000000005E-3</v>
      </c>
      <c r="AH67" s="25">
        <f>(('Mitigation drivers'!AC172*LagoonN2O)+('Mitigation drivers'!AC173*LiquidN2O)+('Mitigation drivers'!AC174*DrylotN2O)+('Mitigation drivers'!AC175*SolidStorageN2O)+('Mitigation drivers'!AC176*DailyspreadN2O)+('Mitigation drivers'!AC177*CompostN2O)+('Mitigation drivers'!AC178*ManwithbedN2O)+('Mitigation drivers'!AC179*PMwithoutlitterN2O)+('Mitigation drivers'!AC180*PMwithlitterN2O)+('Mitigation drivers'!AC182*DigesterN2OEF))/100</f>
        <v>7.1200000000000005E-3</v>
      </c>
      <c r="AI67" s="25">
        <f>(('Mitigation drivers'!AD172*LagoonN2O)+('Mitigation drivers'!AD173*LiquidN2O)+('Mitigation drivers'!AD174*DrylotN2O)+('Mitigation drivers'!AD175*SolidStorageN2O)+('Mitigation drivers'!AD176*DailyspreadN2O)+('Mitigation drivers'!AD177*CompostN2O)+('Mitigation drivers'!AD178*ManwithbedN2O)+('Mitigation drivers'!AD179*PMwithoutlitterN2O)+('Mitigation drivers'!AD180*PMwithlitterN2O)+('Mitigation drivers'!AD182*DigesterN2OEF))/100</f>
        <v>7.1200000000000005E-3</v>
      </c>
      <c r="AJ67" s="25">
        <f>(('Mitigation drivers'!AE172*LagoonN2O)+('Mitigation drivers'!AE173*LiquidN2O)+('Mitigation drivers'!AE174*DrylotN2O)+('Mitigation drivers'!AE175*SolidStorageN2O)+('Mitigation drivers'!AE176*DailyspreadN2O)+('Mitigation drivers'!AE177*CompostN2O)+('Mitigation drivers'!AE178*ManwithbedN2O)+('Mitigation drivers'!AE179*PMwithoutlitterN2O)+('Mitigation drivers'!AE180*PMwithlitterN2O)+('Mitigation drivers'!AE182*DigesterN2OEF))/100</f>
        <v>7.1200000000000005E-3</v>
      </c>
      <c r="AK67" s="25">
        <f>(('Mitigation drivers'!AF172*LagoonN2O)+('Mitigation drivers'!AF173*LiquidN2O)+('Mitigation drivers'!AF174*DrylotN2O)+('Mitigation drivers'!AF175*SolidStorageN2O)+('Mitigation drivers'!AF176*DailyspreadN2O)+('Mitigation drivers'!AF177*CompostN2O)+('Mitigation drivers'!AF178*ManwithbedN2O)+('Mitigation drivers'!AF179*PMwithoutlitterN2O)+('Mitigation drivers'!AF180*PMwithlitterN2O)+('Mitigation drivers'!AF182*DigesterN2OEF))/100</f>
        <v>7.1200000000000005E-3</v>
      </c>
      <c r="AL67" s="25">
        <f>(('Mitigation drivers'!AG172*LagoonN2O)+('Mitigation drivers'!AG173*LiquidN2O)+('Mitigation drivers'!AG174*DrylotN2O)+('Mitigation drivers'!AG175*SolidStorageN2O)+('Mitigation drivers'!AG176*DailyspreadN2O)+('Mitigation drivers'!AG177*CompostN2O)+('Mitigation drivers'!AG178*ManwithbedN2O)+('Mitigation drivers'!AG179*PMwithoutlitterN2O)+('Mitigation drivers'!AG180*PMwithlitterN2O)+('Mitigation drivers'!AG182*DigesterN2OEF))/100</f>
        <v>7.1200000000000005E-3</v>
      </c>
      <c r="AM67" s="25">
        <f>(('Mitigation drivers'!AH172*LagoonN2O)+('Mitigation drivers'!AH173*LiquidN2O)+('Mitigation drivers'!AH174*DrylotN2O)+('Mitigation drivers'!AH175*SolidStorageN2O)+('Mitigation drivers'!AH176*DailyspreadN2O)+('Mitigation drivers'!AH177*CompostN2O)+('Mitigation drivers'!AH178*ManwithbedN2O)+('Mitigation drivers'!AH179*PMwithoutlitterN2O)+('Mitigation drivers'!AH180*PMwithlitterN2O)+('Mitigation drivers'!AH182*DigesterN2OEF))/100</f>
        <v>7.1200000000000005E-3</v>
      </c>
      <c r="AN67" s="25">
        <f>(('Mitigation drivers'!AI172*LagoonN2O)+('Mitigation drivers'!AI173*LiquidN2O)+('Mitigation drivers'!AI174*DrylotN2O)+('Mitigation drivers'!AI175*SolidStorageN2O)+('Mitigation drivers'!AI176*DailyspreadN2O)+('Mitigation drivers'!AI177*CompostN2O)+('Mitigation drivers'!AI178*ManwithbedN2O)+('Mitigation drivers'!AI179*PMwithoutlitterN2O)+('Mitigation drivers'!AI180*PMwithlitterN2O)+('Mitigation drivers'!AI182*DigesterN2OEF))/100</f>
        <v>7.1200000000000005E-3</v>
      </c>
      <c r="AO67" s="25">
        <f>(('Mitigation drivers'!AJ172*LagoonN2O)+('Mitigation drivers'!AJ173*LiquidN2O)+('Mitigation drivers'!AJ174*DrylotN2O)+('Mitigation drivers'!AJ175*SolidStorageN2O)+('Mitigation drivers'!AJ176*DailyspreadN2O)+('Mitigation drivers'!AJ177*CompostN2O)+('Mitigation drivers'!AJ178*ManwithbedN2O)+('Mitigation drivers'!AJ179*PMwithoutlitterN2O)+('Mitigation drivers'!AJ180*PMwithlitterN2O)+('Mitigation drivers'!AJ182*DigesterN2OEF))/100</f>
        <v>7.1200000000000005E-3</v>
      </c>
    </row>
    <row r="68" spans="1:41" x14ac:dyDescent="0.3">
      <c r="A68" t="str">
        <f t="shared" si="5"/>
        <v>3A Livestock</v>
      </c>
      <c r="B68" t="str">
        <f t="shared" si="13"/>
        <v>3A2 Manure management (N2O)</v>
      </c>
      <c r="C68" t="str">
        <f>'Activity data'!C19</f>
        <v>3A2i Poultry</v>
      </c>
      <c r="D68" t="str">
        <f>'Activity data'!D19</f>
        <v>Commercial layers</v>
      </c>
      <c r="E68" t="str">
        <f t="shared" si="32"/>
        <v>Manure management EF</v>
      </c>
      <c r="F68" t="str">
        <f t="shared" si="33"/>
        <v>N2O</v>
      </c>
      <c r="G68" t="str">
        <f t="shared" si="34"/>
        <v>kg N2O-N/kg Nex</v>
      </c>
      <c r="H68" s="25">
        <f>(('Mitigation drivers'!C185*LagoonN2O)+('Mitigation drivers'!C186*LiquidN2O)+('Mitigation drivers'!C187*DrylotN2O)+('Mitigation drivers'!C188*SolidStorageN2O)+('Mitigation drivers'!C189*DailyspreadN2O)+('Mitigation drivers'!C190*CompostN2O)+('Mitigation drivers'!C191*ManwithbedN2O)+('Mitigation drivers'!C192*PMwithoutlitterN2O)+('Mitigation drivers'!C193*PMwithlitterN2O)+('Mitigation drivers'!C195*DigesterN2OEF))/100</f>
        <v>1.4700000000000001E-2</v>
      </c>
      <c r="I68" s="25">
        <f>(('Mitigation drivers'!D185*LagoonN2O)+('Mitigation drivers'!D186*LiquidN2O)+('Mitigation drivers'!D187*DrylotN2O)+('Mitigation drivers'!D188*SolidStorageN2O)+('Mitigation drivers'!D189*DailyspreadN2O)+('Mitigation drivers'!D190*CompostN2O)+('Mitigation drivers'!D191*ManwithbedN2O)+('Mitigation drivers'!D192*PMwithoutlitterN2O)+('Mitigation drivers'!D193*PMwithlitterN2O)+('Mitigation drivers'!D195*DigesterN2OEF))/100</f>
        <v>1.4700000000000001E-2</v>
      </c>
      <c r="J68" s="25">
        <f>(('Mitigation drivers'!E185*LagoonN2O)+('Mitigation drivers'!E186*LiquidN2O)+('Mitigation drivers'!E187*DrylotN2O)+('Mitigation drivers'!E188*SolidStorageN2O)+('Mitigation drivers'!E189*DailyspreadN2O)+('Mitigation drivers'!E190*CompostN2O)+('Mitigation drivers'!E191*ManwithbedN2O)+('Mitigation drivers'!E192*PMwithoutlitterN2O)+('Mitigation drivers'!E193*PMwithlitterN2O)+('Mitigation drivers'!E195*DigesterN2OEF))/100</f>
        <v>1.4700000000000001E-2</v>
      </c>
      <c r="K68" s="25">
        <f>(('Mitigation drivers'!F185*LagoonN2O)+('Mitigation drivers'!F186*LiquidN2O)+('Mitigation drivers'!F187*DrylotN2O)+('Mitigation drivers'!F188*SolidStorageN2O)+('Mitigation drivers'!F189*DailyspreadN2O)+('Mitigation drivers'!F190*CompostN2O)+('Mitigation drivers'!F191*ManwithbedN2O)+('Mitigation drivers'!F192*PMwithoutlitterN2O)+('Mitigation drivers'!F193*PMwithlitterN2O)+('Mitigation drivers'!F195*DigesterN2OEF))/100</f>
        <v>1.4700000000000001E-2</v>
      </c>
      <c r="L68" s="25">
        <f>(('Mitigation drivers'!G185*LagoonN2O)+('Mitigation drivers'!G186*LiquidN2O)+('Mitigation drivers'!G187*DrylotN2O)+('Mitigation drivers'!G188*SolidStorageN2O)+('Mitigation drivers'!G189*DailyspreadN2O)+('Mitigation drivers'!G190*CompostN2O)+('Mitigation drivers'!G191*ManwithbedN2O)+('Mitigation drivers'!G192*PMwithoutlitterN2O)+('Mitigation drivers'!G193*PMwithlitterN2O)+('Mitigation drivers'!G195*DigesterN2OEF))/100</f>
        <v>1.4700000000000001E-2</v>
      </c>
      <c r="M68" s="25">
        <f>(('Mitigation drivers'!H185*LagoonN2O)+('Mitigation drivers'!H186*LiquidN2O)+('Mitigation drivers'!H187*DrylotN2O)+('Mitigation drivers'!H188*SolidStorageN2O)+('Mitigation drivers'!H189*DailyspreadN2O)+('Mitigation drivers'!H190*CompostN2O)+('Mitigation drivers'!H191*ManwithbedN2O)+('Mitigation drivers'!H192*PMwithoutlitterN2O)+('Mitigation drivers'!H193*PMwithlitterN2O)+('Mitigation drivers'!H195*DigesterN2OEF))/100</f>
        <v>1.4700000000000001E-2</v>
      </c>
      <c r="N68" s="25">
        <f>(('Mitigation drivers'!I185*LagoonN2O)+('Mitigation drivers'!I186*LiquidN2O)+('Mitigation drivers'!I187*DrylotN2O)+('Mitigation drivers'!I188*SolidStorageN2O)+('Mitigation drivers'!I189*DailyspreadN2O)+('Mitigation drivers'!I190*CompostN2O)+('Mitigation drivers'!I191*ManwithbedN2O)+('Mitigation drivers'!I192*PMwithoutlitterN2O)+('Mitigation drivers'!I193*PMwithlitterN2O)+('Mitigation drivers'!I195*DigesterN2OEF))/100</f>
        <v>1.4700000000000001E-2</v>
      </c>
      <c r="O68" s="25">
        <f>(('Mitigation drivers'!J185*LagoonN2O)+('Mitigation drivers'!J186*LiquidN2O)+('Mitigation drivers'!J187*DrylotN2O)+('Mitigation drivers'!J188*SolidStorageN2O)+('Mitigation drivers'!J189*DailyspreadN2O)+('Mitigation drivers'!J190*CompostN2O)+('Mitigation drivers'!J191*ManwithbedN2O)+('Mitigation drivers'!J192*PMwithoutlitterN2O)+('Mitigation drivers'!J193*PMwithlitterN2O)+('Mitigation drivers'!J195*DigesterN2OEF))/100</f>
        <v>1.4700000000000001E-2</v>
      </c>
      <c r="P68" s="25">
        <f>(('Mitigation drivers'!K185*LagoonN2O)+('Mitigation drivers'!K186*LiquidN2O)+('Mitigation drivers'!K187*DrylotN2O)+('Mitigation drivers'!K188*SolidStorageN2O)+('Mitigation drivers'!K189*DailyspreadN2O)+('Mitigation drivers'!K190*CompostN2O)+('Mitigation drivers'!K191*ManwithbedN2O)+('Mitigation drivers'!K192*PMwithoutlitterN2O)+('Mitigation drivers'!K193*PMwithlitterN2O)+('Mitigation drivers'!K195*DigesterN2OEF))/100</f>
        <v>1.4700000000000001E-2</v>
      </c>
      <c r="Q68" s="25">
        <f>(('Mitigation drivers'!L185*LagoonN2O)+('Mitigation drivers'!L186*LiquidN2O)+('Mitigation drivers'!L187*DrylotN2O)+('Mitigation drivers'!L188*SolidStorageN2O)+('Mitigation drivers'!L189*DailyspreadN2O)+('Mitigation drivers'!L190*CompostN2O)+('Mitigation drivers'!L191*ManwithbedN2O)+('Mitigation drivers'!L192*PMwithoutlitterN2O)+('Mitigation drivers'!L193*PMwithlitterN2O)+('Mitigation drivers'!L195*DigesterN2OEF))/100</f>
        <v>1.4700000000000001E-2</v>
      </c>
      <c r="R68" s="25">
        <f>(('Mitigation drivers'!M185*LagoonN2O)+('Mitigation drivers'!M186*LiquidN2O)+('Mitigation drivers'!M187*DrylotN2O)+('Mitigation drivers'!M188*SolidStorageN2O)+('Mitigation drivers'!M189*DailyspreadN2O)+('Mitigation drivers'!M190*CompostN2O)+('Mitigation drivers'!M191*ManwithbedN2O)+('Mitigation drivers'!M192*PMwithoutlitterN2O)+('Mitigation drivers'!M193*PMwithlitterN2O)+('Mitigation drivers'!M195*DigesterN2OEF))/100</f>
        <v>1.4700000000000001E-2</v>
      </c>
      <c r="S68" s="25">
        <f>(('Mitigation drivers'!N185*LagoonN2O)+('Mitigation drivers'!N186*LiquidN2O)+('Mitigation drivers'!N187*DrylotN2O)+('Mitigation drivers'!N188*SolidStorageN2O)+('Mitigation drivers'!N189*DailyspreadN2O)+('Mitigation drivers'!N190*CompostN2O)+('Mitigation drivers'!N191*ManwithbedN2O)+('Mitigation drivers'!N192*PMwithoutlitterN2O)+('Mitigation drivers'!N193*PMwithlitterN2O)+('Mitigation drivers'!N195*DigesterN2OEF))/100</f>
        <v>1.4700000000000001E-2</v>
      </c>
      <c r="T68" s="25">
        <f>(('Mitigation drivers'!O185*LagoonN2O)+('Mitigation drivers'!O186*LiquidN2O)+('Mitigation drivers'!O187*DrylotN2O)+('Mitigation drivers'!O188*SolidStorageN2O)+('Mitigation drivers'!O189*DailyspreadN2O)+('Mitigation drivers'!O190*CompostN2O)+('Mitigation drivers'!O191*ManwithbedN2O)+('Mitigation drivers'!O192*PMwithoutlitterN2O)+('Mitigation drivers'!O193*PMwithlitterN2O)+('Mitigation drivers'!O195*DigesterN2OEF))/100</f>
        <v>1.4700000000000001E-2</v>
      </c>
      <c r="U68" s="25">
        <f>(('Mitigation drivers'!P185*LagoonN2O)+('Mitigation drivers'!P186*LiquidN2O)+('Mitigation drivers'!P187*DrylotN2O)+('Mitigation drivers'!P188*SolidStorageN2O)+('Mitigation drivers'!P189*DailyspreadN2O)+('Mitigation drivers'!P190*CompostN2O)+('Mitigation drivers'!P191*ManwithbedN2O)+('Mitigation drivers'!P192*PMwithoutlitterN2O)+('Mitigation drivers'!P193*PMwithlitterN2O)+('Mitigation drivers'!P195*DigesterN2OEF))/100</f>
        <v>1.4700000000000001E-2</v>
      </c>
      <c r="V68" s="25">
        <f>(('Mitigation drivers'!Q185*LagoonN2O)+('Mitigation drivers'!Q186*LiquidN2O)+('Mitigation drivers'!Q187*DrylotN2O)+('Mitigation drivers'!Q188*SolidStorageN2O)+('Mitigation drivers'!Q189*DailyspreadN2O)+('Mitigation drivers'!Q190*CompostN2O)+('Mitigation drivers'!Q191*ManwithbedN2O)+('Mitigation drivers'!Q192*PMwithoutlitterN2O)+('Mitigation drivers'!Q193*PMwithlitterN2O)+('Mitigation drivers'!Q195*DigesterN2OEF))/100</f>
        <v>1.4700000000000001E-2</v>
      </c>
      <c r="W68" s="25">
        <f>(('Mitigation drivers'!R185*LagoonN2O)+('Mitigation drivers'!R186*LiquidN2O)+('Mitigation drivers'!R187*DrylotN2O)+('Mitigation drivers'!R188*SolidStorageN2O)+('Mitigation drivers'!R189*DailyspreadN2O)+('Mitigation drivers'!R190*CompostN2O)+('Mitigation drivers'!R191*ManwithbedN2O)+('Mitigation drivers'!R192*PMwithoutlitterN2O)+('Mitigation drivers'!R193*PMwithlitterN2O)+('Mitigation drivers'!R195*DigesterN2OEF))/100</f>
        <v>1.4700000000000001E-2</v>
      </c>
      <c r="X68" s="25">
        <f>(('Mitigation drivers'!S185*LagoonN2O)+('Mitigation drivers'!S186*LiquidN2O)+('Mitigation drivers'!S187*DrylotN2O)+('Mitigation drivers'!S188*SolidStorageN2O)+('Mitigation drivers'!S189*DailyspreadN2O)+('Mitigation drivers'!S190*CompostN2O)+('Mitigation drivers'!S191*ManwithbedN2O)+('Mitigation drivers'!S192*PMwithoutlitterN2O)+('Mitigation drivers'!S193*PMwithlitterN2O)+('Mitigation drivers'!S195*DigesterN2OEF))/100</f>
        <v>1.4700000000000001E-2</v>
      </c>
      <c r="Y68" s="25">
        <f>(('Mitigation drivers'!T185*LagoonN2O)+('Mitigation drivers'!T186*LiquidN2O)+('Mitigation drivers'!T187*DrylotN2O)+('Mitigation drivers'!T188*SolidStorageN2O)+('Mitigation drivers'!T189*DailyspreadN2O)+('Mitigation drivers'!T190*CompostN2O)+('Mitigation drivers'!T191*ManwithbedN2O)+('Mitigation drivers'!T192*PMwithoutlitterN2O)+('Mitigation drivers'!T193*PMwithlitterN2O)+('Mitigation drivers'!T195*DigesterN2OEF))/100</f>
        <v>1.4700000000000001E-2</v>
      </c>
      <c r="Z68" s="25">
        <f>(('Mitigation drivers'!U185*LagoonN2O)+('Mitigation drivers'!U186*LiquidN2O)+('Mitigation drivers'!U187*DrylotN2O)+('Mitigation drivers'!U188*SolidStorageN2O)+('Mitigation drivers'!U189*DailyspreadN2O)+('Mitigation drivers'!U190*CompostN2O)+('Mitigation drivers'!U191*ManwithbedN2O)+('Mitigation drivers'!U192*PMwithoutlitterN2O)+('Mitigation drivers'!U193*PMwithlitterN2O)+('Mitigation drivers'!U195*DigesterN2OEF))/100</f>
        <v>1.4700000000000001E-2</v>
      </c>
      <c r="AA68" s="25">
        <f>(('Mitigation drivers'!V185*LagoonN2O)+('Mitigation drivers'!V186*LiquidN2O)+('Mitigation drivers'!V187*DrylotN2O)+('Mitigation drivers'!V188*SolidStorageN2O)+('Mitigation drivers'!V189*DailyspreadN2O)+('Mitigation drivers'!V190*CompostN2O)+('Mitigation drivers'!V191*ManwithbedN2O)+('Mitigation drivers'!V192*PMwithoutlitterN2O)+('Mitigation drivers'!V193*PMwithlitterN2O)+('Mitigation drivers'!V195*DigesterN2OEF))/100</f>
        <v>1.4700000000000001E-2</v>
      </c>
      <c r="AB68" s="25">
        <f>(('Mitigation drivers'!W185*LagoonN2O)+('Mitigation drivers'!W186*LiquidN2O)+('Mitigation drivers'!W187*DrylotN2O)+('Mitigation drivers'!W188*SolidStorageN2O)+('Mitigation drivers'!W189*DailyspreadN2O)+('Mitigation drivers'!W190*CompostN2O)+('Mitigation drivers'!W191*ManwithbedN2O)+('Mitigation drivers'!W192*PMwithoutlitterN2O)+('Mitigation drivers'!W193*PMwithlitterN2O)+('Mitigation drivers'!W195*DigesterN2OEF))/100</f>
        <v>1.4700000000000001E-2</v>
      </c>
      <c r="AC68" s="25">
        <f>(('Mitigation drivers'!X185*LagoonN2O)+('Mitigation drivers'!X186*LiquidN2O)+('Mitigation drivers'!X187*DrylotN2O)+('Mitigation drivers'!X188*SolidStorageN2O)+('Mitigation drivers'!X189*DailyspreadN2O)+('Mitigation drivers'!X190*CompostN2O)+('Mitigation drivers'!X191*ManwithbedN2O)+('Mitigation drivers'!X192*PMwithoutlitterN2O)+('Mitigation drivers'!X193*PMwithlitterN2O)+('Mitigation drivers'!X195*DigesterN2OEF))/100</f>
        <v>1.4700000000000001E-2</v>
      </c>
      <c r="AD68" s="25">
        <f>(('Mitigation drivers'!Y185*LagoonN2O)+('Mitigation drivers'!Y186*LiquidN2O)+('Mitigation drivers'!Y187*DrylotN2O)+('Mitigation drivers'!Y188*SolidStorageN2O)+('Mitigation drivers'!Y189*DailyspreadN2O)+('Mitigation drivers'!Y190*CompostN2O)+('Mitigation drivers'!Y191*ManwithbedN2O)+('Mitigation drivers'!Y192*PMwithoutlitterN2O)+('Mitigation drivers'!Y193*PMwithlitterN2O)+('Mitigation drivers'!Y195*DigesterN2OEF))/100</f>
        <v>1.4700000000000001E-2</v>
      </c>
      <c r="AE68" s="25">
        <f>(('Mitigation drivers'!Z185*LagoonN2O)+('Mitigation drivers'!Z186*LiquidN2O)+('Mitigation drivers'!Z187*DrylotN2O)+('Mitigation drivers'!Z188*SolidStorageN2O)+('Mitigation drivers'!Z189*DailyspreadN2O)+('Mitigation drivers'!Z190*CompostN2O)+('Mitigation drivers'!Z191*ManwithbedN2O)+('Mitigation drivers'!Z192*PMwithoutlitterN2O)+('Mitigation drivers'!Z193*PMwithlitterN2O)+('Mitigation drivers'!Z195*DigesterN2OEF))/100</f>
        <v>1.4700000000000001E-2</v>
      </c>
      <c r="AF68" s="25">
        <f>(('Mitigation drivers'!AA185*LagoonN2O)+('Mitigation drivers'!AA186*LiquidN2O)+('Mitigation drivers'!AA187*DrylotN2O)+('Mitigation drivers'!AA188*SolidStorageN2O)+('Mitigation drivers'!AA189*DailyspreadN2O)+('Mitigation drivers'!AA190*CompostN2O)+('Mitigation drivers'!AA191*ManwithbedN2O)+('Mitigation drivers'!AA192*PMwithoutlitterN2O)+('Mitigation drivers'!AA193*PMwithlitterN2O)+('Mitigation drivers'!AA195*DigesterN2OEF))/100</f>
        <v>1.4700000000000001E-2</v>
      </c>
      <c r="AG68" s="25">
        <f>(('Mitigation drivers'!AB185*LagoonN2O)+('Mitigation drivers'!AB186*LiquidN2O)+('Mitigation drivers'!AB187*DrylotN2O)+('Mitigation drivers'!AB188*SolidStorageN2O)+('Mitigation drivers'!AB189*DailyspreadN2O)+('Mitigation drivers'!AB190*CompostN2O)+('Mitigation drivers'!AB191*ManwithbedN2O)+('Mitigation drivers'!AB192*PMwithoutlitterN2O)+('Mitigation drivers'!AB193*PMwithlitterN2O)+('Mitigation drivers'!AB195*DigesterN2OEF))/100</f>
        <v>1.4700000000000001E-2</v>
      </c>
      <c r="AH68" s="25">
        <f>(('Mitigation drivers'!AC185*LagoonN2O)+('Mitigation drivers'!AC186*LiquidN2O)+('Mitigation drivers'!AC187*DrylotN2O)+('Mitigation drivers'!AC188*SolidStorageN2O)+('Mitigation drivers'!AC189*DailyspreadN2O)+('Mitigation drivers'!AC190*CompostN2O)+('Mitigation drivers'!AC191*ManwithbedN2O)+('Mitigation drivers'!AC192*PMwithoutlitterN2O)+('Mitigation drivers'!AC193*PMwithlitterN2O)+('Mitigation drivers'!AC195*DigesterN2OEF))/100</f>
        <v>1.4700000000000001E-2</v>
      </c>
      <c r="AI68" s="25">
        <f>(('Mitigation drivers'!AD185*LagoonN2O)+('Mitigation drivers'!AD186*LiquidN2O)+('Mitigation drivers'!AD187*DrylotN2O)+('Mitigation drivers'!AD188*SolidStorageN2O)+('Mitigation drivers'!AD189*DailyspreadN2O)+('Mitigation drivers'!AD190*CompostN2O)+('Mitigation drivers'!AD191*ManwithbedN2O)+('Mitigation drivers'!AD192*PMwithoutlitterN2O)+('Mitigation drivers'!AD193*PMwithlitterN2O)+('Mitigation drivers'!AD195*DigesterN2OEF))/100</f>
        <v>1.4700000000000001E-2</v>
      </c>
      <c r="AJ68" s="25">
        <f>(('Mitigation drivers'!AE185*LagoonN2O)+('Mitigation drivers'!AE186*LiquidN2O)+('Mitigation drivers'!AE187*DrylotN2O)+('Mitigation drivers'!AE188*SolidStorageN2O)+('Mitigation drivers'!AE189*DailyspreadN2O)+('Mitigation drivers'!AE190*CompostN2O)+('Mitigation drivers'!AE191*ManwithbedN2O)+('Mitigation drivers'!AE192*PMwithoutlitterN2O)+('Mitigation drivers'!AE193*PMwithlitterN2O)+('Mitigation drivers'!AE195*DigesterN2OEF))/100</f>
        <v>1.4700000000000001E-2</v>
      </c>
      <c r="AK68" s="25">
        <f>(('Mitigation drivers'!AF185*LagoonN2O)+('Mitigation drivers'!AF186*LiquidN2O)+('Mitigation drivers'!AF187*DrylotN2O)+('Mitigation drivers'!AF188*SolidStorageN2O)+('Mitigation drivers'!AF189*DailyspreadN2O)+('Mitigation drivers'!AF190*CompostN2O)+('Mitigation drivers'!AF191*ManwithbedN2O)+('Mitigation drivers'!AF192*PMwithoutlitterN2O)+('Mitigation drivers'!AF193*PMwithlitterN2O)+('Mitigation drivers'!AF195*DigesterN2OEF))/100</f>
        <v>1.4700000000000001E-2</v>
      </c>
      <c r="AL68" s="25">
        <f>(('Mitigation drivers'!AG185*LagoonN2O)+('Mitigation drivers'!AG186*LiquidN2O)+('Mitigation drivers'!AG187*DrylotN2O)+('Mitigation drivers'!AG188*SolidStorageN2O)+('Mitigation drivers'!AG189*DailyspreadN2O)+('Mitigation drivers'!AG190*CompostN2O)+('Mitigation drivers'!AG191*ManwithbedN2O)+('Mitigation drivers'!AG192*PMwithoutlitterN2O)+('Mitigation drivers'!AG193*PMwithlitterN2O)+('Mitigation drivers'!AG195*DigesterN2OEF))/100</f>
        <v>1.4700000000000001E-2</v>
      </c>
      <c r="AM68" s="25">
        <f>(('Mitigation drivers'!AH185*LagoonN2O)+('Mitigation drivers'!AH186*LiquidN2O)+('Mitigation drivers'!AH187*DrylotN2O)+('Mitigation drivers'!AH188*SolidStorageN2O)+('Mitigation drivers'!AH189*DailyspreadN2O)+('Mitigation drivers'!AH190*CompostN2O)+('Mitigation drivers'!AH191*ManwithbedN2O)+('Mitigation drivers'!AH192*PMwithoutlitterN2O)+('Mitigation drivers'!AH193*PMwithlitterN2O)+('Mitigation drivers'!AH195*DigesterN2OEF))/100</f>
        <v>1.4700000000000001E-2</v>
      </c>
      <c r="AN68" s="25">
        <f>(('Mitigation drivers'!AI185*LagoonN2O)+('Mitigation drivers'!AI186*LiquidN2O)+('Mitigation drivers'!AI187*DrylotN2O)+('Mitigation drivers'!AI188*SolidStorageN2O)+('Mitigation drivers'!AI189*DailyspreadN2O)+('Mitigation drivers'!AI190*CompostN2O)+('Mitigation drivers'!AI191*ManwithbedN2O)+('Mitigation drivers'!AI192*PMwithoutlitterN2O)+('Mitigation drivers'!AI193*PMwithlitterN2O)+('Mitigation drivers'!AI195*DigesterN2OEF))/100</f>
        <v>1.4700000000000001E-2</v>
      </c>
      <c r="AO68" s="25">
        <f>(('Mitigation drivers'!AJ185*LagoonN2O)+('Mitigation drivers'!AJ186*LiquidN2O)+('Mitigation drivers'!AJ187*DrylotN2O)+('Mitigation drivers'!AJ188*SolidStorageN2O)+('Mitigation drivers'!AJ189*DailyspreadN2O)+('Mitigation drivers'!AJ190*CompostN2O)+('Mitigation drivers'!AJ191*ManwithbedN2O)+('Mitigation drivers'!AJ192*PMwithoutlitterN2O)+('Mitigation drivers'!AJ193*PMwithlitterN2O)+('Mitigation drivers'!AJ195*DigesterN2OEF))/100</f>
        <v>1.4700000000000001E-2</v>
      </c>
    </row>
    <row r="69" spans="1:41" x14ac:dyDescent="0.3">
      <c r="A69" t="str">
        <f t="shared" si="5"/>
        <v>3A Livestock</v>
      </c>
      <c r="B69" t="str">
        <f t="shared" si="13"/>
        <v>3A2 Manure management (N2O)</v>
      </c>
      <c r="C69" t="str">
        <f>'Activity data'!C20</f>
        <v>3A2i Poultry</v>
      </c>
      <c r="D69" t="str">
        <f>'Activity data'!D20</f>
        <v>Commercial broilers</v>
      </c>
      <c r="E69" t="str">
        <f t="shared" si="32"/>
        <v>Manure management EF</v>
      </c>
      <c r="F69" t="str">
        <f t="shared" si="33"/>
        <v>N2O</v>
      </c>
      <c r="G69" t="str">
        <f t="shared" si="34"/>
        <v>kg N2O-N/kg Nex</v>
      </c>
      <c r="H69" s="25">
        <f>(('Mitigation drivers'!C197*LagoonN2O)+('Mitigation drivers'!C198*LiquidN2O)+('Mitigation drivers'!C199*DrylotN2O)+('Mitigation drivers'!C200*SolidStorageN2O)+('Mitigation drivers'!C201*DailyspreadN2O)+('Mitigation drivers'!C202*CompostN2O)+('Mitigation drivers'!C203*ManwithbedN2O)+('Mitigation drivers'!C204*PMwithoutlitterN2O)+('Mitigation drivers'!C205*PMwithlitterN2O)+('Mitigation drivers'!C207*DigesterN2OEF))/100</f>
        <v>1.6449999999999999E-2</v>
      </c>
      <c r="I69" s="25">
        <f>(('Mitigation drivers'!D197*LagoonN2O)+('Mitigation drivers'!D198*LiquidN2O)+('Mitigation drivers'!D199*DrylotN2O)+('Mitigation drivers'!D200*SolidStorageN2O)+('Mitigation drivers'!D201*DailyspreadN2O)+('Mitigation drivers'!D202*CompostN2O)+('Mitigation drivers'!D203*ManwithbedN2O)+('Mitigation drivers'!D204*PMwithoutlitterN2O)+('Mitigation drivers'!D205*PMwithlitterN2O)+('Mitigation drivers'!D207*DigesterN2OEF))/100</f>
        <v>1.6449999999999999E-2</v>
      </c>
      <c r="J69" s="25">
        <f>(('Mitigation drivers'!E197*LagoonN2O)+('Mitigation drivers'!E198*LiquidN2O)+('Mitigation drivers'!E199*DrylotN2O)+('Mitigation drivers'!E200*SolidStorageN2O)+('Mitigation drivers'!E201*DailyspreadN2O)+('Mitigation drivers'!E202*CompostN2O)+('Mitigation drivers'!E203*ManwithbedN2O)+('Mitigation drivers'!E204*PMwithoutlitterN2O)+('Mitigation drivers'!E205*PMwithlitterN2O)+('Mitigation drivers'!E207*DigesterN2OEF))/100</f>
        <v>1.6449999999999999E-2</v>
      </c>
      <c r="K69" s="25">
        <f>(('Mitigation drivers'!F197*LagoonN2O)+('Mitigation drivers'!F198*LiquidN2O)+('Mitigation drivers'!F199*DrylotN2O)+('Mitigation drivers'!F200*SolidStorageN2O)+('Mitigation drivers'!F201*DailyspreadN2O)+('Mitigation drivers'!F202*CompostN2O)+('Mitigation drivers'!F203*ManwithbedN2O)+('Mitigation drivers'!F204*PMwithoutlitterN2O)+('Mitigation drivers'!F205*PMwithlitterN2O)+('Mitigation drivers'!F207*DigesterN2OEF))/100</f>
        <v>1.6449999999999999E-2</v>
      </c>
      <c r="L69" s="25">
        <f>(('Mitigation drivers'!G197*LagoonN2O)+('Mitigation drivers'!G198*LiquidN2O)+('Mitigation drivers'!G199*DrylotN2O)+('Mitigation drivers'!G200*SolidStorageN2O)+('Mitigation drivers'!G201*DailyspreadN2O)+('Mitigation drivers'!G202*CompostN2O)+('Mitigation drivers'!G203*ManwithbedN2O)+('Mitigation drivers'!G204*PMwithoutlitterN2O)+('Mitigation drivers'!G205*PMwithlitterN2O)+('Mitigation drivers'!G207*DigesterN2OEF))/100</f>
        <v>1.6449999999999999E-2</v>
      </c>
      <c r="M69" s="25">
        <f>(('Mitigation drivers'!H197*LagoonN2O)+('Mitigation drivers'!H198*LiquidN2O)+('Mitigation drivers'!H199*DrylotN2O)+('Mitigation drivers'!H200*SolidStorageN2O)+('Mitigation drivers'!H201*DailyspreadN2O)+('Mitigation drivers'!H202*CompostN2O)+('Mitigation drivers'!H203*ManwithbedN2O)+('Mitigation drivers'!H204*PMwithoutlitterN2O)+('Mitigation drivers'!H205*PMwithlitterN2O)+('Mitigation drivers'!H207*DigesterN2OEF))/100</f>
        <v>1.6449999999999999E-2</v>
      </c>
      <c r="N69" s="25">
        <f>(('Mitigation drivers'!I197*LagoonN2O)+('Mitigation drivers'!I198*LiquidN2O)+('Mitigation drivers'!I199*DrylotN2O)+('Mitigation drivers'!I200*SolidStorageN2O)+('Mitigation drivers'!I201*DailyspreadN2O)+('Mitigation drivers'!I202*CompostN2O)+('Mitigation drivers'!I203*ManwithbedN2O)+('Mitigation drivers'!I204*PMwithoutlitterN2O)+('Mitigation drivers'!I205*PMwithlitterN2O)+('Mitigation drivers'!I207*DigesterN2OEF))/100</f>
        <v>1.6449999999999999E-2</v>
      </c>
      <c r="O69" s="25">
        <f>(('Mitigation drivers'!J197*LagoonN2O)+('Mitigation drivers'!J198*LiquidN2O)+('Mitigation drivers'!J199*DrylotN2O)+('Mitigation drivers'!J200*SolidStorageN2O)+('Mitigation drivers'!J201*DailyspreadN2O)+('Mitigation drivers'!J202*CompostN2O)+('Mitigation drivers'!J203*ManwithbedN2O)+('Mitigation drivers'!J204*PMwithoutlitterN2O)+('Mitigation drivers'!J205*PMwithlitterN2O)+('Mitigation drivers'!J207*DigesterN2OEF))/100</f>
        <v>1.6449999999999999E-2</v>
      </c>
      <c r="P69" s="25">
        <f>(('Mitigation drivers'!K197*LagoonN2O)+('Mitigation drivers'!K198*LiquidN2O)+('Mitigation drivers'!K199*DrylotN2O)+('Mitigation drivers'!K200*SolidStorageN2O)+('Mitigation drivers'!K201*DailyspreadN2O)+('Mitigation drivers'!K202*CompostN2O)+('Mitigation drivers'!K203*ManwithbedN2O)+('Mitigation drivers'!K204*PMwithoutlitterN2O)+('Mitigation drivers'!K205*PMwithlitterN2O)+('Mitigation drivers'!K207*DigesterN2OEF))/100</f>
        <v>1.6449999999999999E-2</v>
      </c>
      <c r="Q69" s="25">
        <f>(('Mitigation drivers'!L197*LagoonN2O)+('Mitigation drivers'!L198*LiquidN2O)+('Mitigation drivers'!L199*DrylotN2O)+('Mitigation drivers'!L200*SolidStorageN2O)+('Mitigation drivers'!L201*DailyspreadN2O)+('Mitigation drivers'!L202*CompostN2O)+('Mitigation drivers'!L203*ManwithbedN2O)+('Mitigation drivers'!L204*PMwithoutlitterN2O)+('Mitigation drivers'!L205*PMwithlitterN2O)+('Mitigation drivers'!L207*DigesterN2OEF))/100</f>
        <v>1.6449999999999999E-2</v>
      </c>
      <c r="R69" s="25">
        <f>(('Mitigation drivers'!M197*LagoonN2O)+('Mitigation drivers'!M198*LiquidN2O)+('Mitigation drivers'!M199*DrylotN2O)+('Mitigation drivers'!M200*SolidStorageN2O)+('Mitigation drivers'!M201*DailyspreadN2O)+('Mitigation drivers'!M202*CompostN2O)+('Mitigation drivers'!M203*ManwithbedN2O)+('Mitigation drivers'!M204*PMwithoutlitterN2O)+('Mitigation drivers'!M205*PMwithlitterN2O)+('Mitigation drivers'!M207*DigesterN2OEF))/100</f>
        <v>1.6449999999999999E-2</v>
      </c>
      <c r="S69" s="25">
        <f>(('Mitigation drivers'!N197*LagoonN2O)+('Mitigation drivers'!N198*LiquidN2O)+('Mitigation drivers'!N199*DrylotN2O)+('Mitigation drivers'!N200*SolidStorageN2O)+('Mitigation drivers'!N201*DailyspreadN2O)+('Mitigation drivers'!N202*CompostN2O)+('Mitigation drivers'!N203*ManwithbedN2O)+('Mitigation drivers'!N204*PMwithoutlitterN2O)+('Mitigation drivers'!N205*PMwithlitterN2O)+('Mitigation drivers'!N207*DigesterN2OEF))/100</f>
        <v>1.6449999999999999E-2</v>
      </c>
      <c r="T69" s="25">
        <f>(('Mitigation drivers'!O197*LagoonN2O)+('Mitigation drivers'!O198*LiquidN2O)+('Mitigation drivers'!O199*DrylotN2O)+('Mitigation drivers'!O200*SolidStorageN2O)+('Mitigation drivers'!O201*DailyspreadN2O)+('Mitigation drivers'!O202*CompostN2O)+('Mitigation drivers'!O203*ManwithbedN2O)+('Mitigation drivers'!O204*PMwithoutlitterN2O)+('Mitigation drivers'!O205*PMwithlitterN2O)+('Mitigation drivers'!O207*DigesterN2OEF))/100</f>
        <v>1.6449999999999999E-2</v>
      </c>
      <c r="U69" s="25">
        <f>(('Mitigation drivers'!P197*LagoonN2O)+('Mitigation drivers'!P198*LiquidN2O)+('Mitigation drivers'!P199*DrylotN2O)+('Mitigation drivers'!P200*SolidStorageN2O)+('Mitigation drivers'!P201*DailyspreadN2O)+('Mitigation drivers'!P202*CompostN2O)+('Mitigation drivers'!P203*ManwithbedN2O)+('Mitigation drivers'!P204*PMwithoutlitterN2O)+('Mitigation drivers'!P205*PMwithlitterN2O)+('Mitigation drivers'!P207*DigesterN2OEF))/100</f>
        <v>1.6449999999999999E-2</v>
      </c>
      <c r="V69" s="25">
        <f>(('Mitigation drivers'!Q197*LagoonN2O)+('Mitigation drivers'!Q198*LiquidN2O)+('Mitigation drivers'!Q199*DrylotN2O)+('Mitigation drivers'!Q200*SolidStorageN2O)+('Mitigation drivers'!Q201*DailyspreadN2O)+('Mitigation drivers'!Q202*CompostN2O)+('Mitigation drivers'!Q203*ManwithbedN2O)+('Mitigation drivers'!Q204*PMwithoutlitterN2O)+('Mitigation drivers'!Q205*PMwithlitterN2O)+('Mitigation drivers'!Q207*DigesterN2OEF))/100</f>
        <v>1.6449999999999999E-2</v>
      </c>
      <c r="W69" s="25">
        <f>(('Mitigation drivers'!R197*LagoonN2O)+('Mitigation drivers'!R198*LiquidN2O)+('Mitigation drivers'!R199*DrylotN2O)+('Mitigation drivers'!R200*SolidStorageN2O)+('Mitigation drivers'!R201*DailyspreadN2O)+('Mitigation drivers'!R202*CompostN2O)+('Mitigation drivers'!R203*ManwithbedN2O)+('Mitigation drivers'!R204*PMwithoutlitterN2O)+('Mitigation drivers'!R205*PMwithlitterN2O)+('Mitigation drivers'!R207*DigesterN2OEF))/100</f>
        <v>1.6449999999999999E-2</v>
      </c>
      <c r="X69" s="25">
        <f>(('Mitigation drivers'!S197*LagoonN2O)+('Mitigation drivers'!S198*LiquidN2O)+('Mitigation drivers'!S199*DrylotN2O)+('Mitigation drivers'!S200*SolidStorageN2O)+('Mitigation drivers'!S201*DailyspreadN2O)+('Mitigation drivers'!S202*CompostN2O)+('Mitigation drivers'!S203*ManwithbedN2O)+('Mitigation drivers'!S204*PMwithoutlitterN2O)+('Mitigation drivers'!S205*PMwithlitterN2O)+('Mitigation drivers'!S207*DigesterN2OEF))/100</f>
        <v>1.6449999999999999E-2</v>
      </c>
      <c r="Y69" s="25">
        <f>(('Mitigation drivers'!T197*LagoonN2O)+('Mitigation drivers'!T198*LiquidN2O)+('Mitigation drivers'!T199*DrylotN2O)+('Mitigation drivers'!T200*SolidStorageN2O)+('Mitigation drivers'!T201*DailyspreadN2O)+('Mitigation drivers'!T202*CompostN2O)+('Mitigation drivers'!T203*ManwithbedN2O)+('Mitigation drivers'!T204*PMwithoutlitterN2O)+('Mitigation drivers'!T205*PMwithlitterN2O)+('Mitigation drivers'!T207*DigesterN2OEF))/100</f>
        <v>1.6449999999999999E-2</v>
      </c>
      <c r="Z69" s="25">
        <f>(('Mitigation drivers'!U197*LagoonN2O)+('Mitigation drivers'!U198*LiquidN2O)+('Mitigation drivers'!U199*DrylotN2O)+('Mitigation drivers'!U200*SolidStorageN2O)+('Mitigation drivers'!U201*DailyspreadN2O)+('Mitigation drivers'!U202*CompostN2O)+('Mitigation drivers'!U203*ManwithbedN2O)+('Mitigation drivers'!U204*PMwithoutlitterN2O)+('Mitigation drivers'!U205*PMwithlitterN2O)+('Mitigation drivers'!U207*DigesterN2OEF))/100</f>
        <v>1.6449999999999999E-2</v>
      </c>
      <c r="AA69" s="25">
        <f>(('Mitigation drivers'!V197*LagoonN2O)+('Mitigation drivers'!V198*LiquidN2O)+('Mitigation drivers'!V199*DrylotN2O)+('Mitigation drivers'!V200*SolidStorageN2O)+('Mitigation drivers'!V201*DailyspreadN2O)+('Mitigation drivers'!V202*CompostN2O)+('Mitigation drivers'!V203*ManwithbedN2O)+('Mitigation drivers'!V204*PMwithoutlitterN2O)+('Mitigation drivers'!V205*PMwithlitterN2O)+('Mitigation drivers'!V207*DigesterN2OEF))/100</f>
        <v>1.6449999999999999E-2</v>
      </c>
      <c r="AB69" s="25">
        <f>(('Mitigation drivers'!W197*LagoonN2O)+('Mitigation drivers'!W198*LiquidN2O)+('Mitigation drivers'!W199*DrylotN2O)+('Mitigation drivers'!W200*SolidStorageN2O)+('Mitigation drivers'!W201*DailyspreadN2O)+('Mitigation drivers'!W202*CompostN2O)+('Mitigation drivers'!W203*ManwithbedN2O)+('Mitigation drivers'!W204*PMwithoutlitterN2O)+('Mitigation drivers'!W205*PMwithlitterN2O)+('Mitigation drivers'!W207*DigesterN2OEF))/100</f>
        <v>1.6449999999999999E-2</v>
      </c>
      <c r="AC69" s="25">
        <f>(('Mitigation drivers'!X197*LagoonN2O)+('Mitigation drivers'!X198*LiquidN2O)+('Mitigation drivers'!X199*DrylotN2O)+('Mitigation drivers'!X200*SolidStorageN2O)+('Mitigation drivers'!X201*DailyspreadN2O)+('Mitigation drivers'!X202*CompostN2O)+('Mitigation drivers'!X203*ManwithbedN2O)+('Mitigation drivers'!X204*PMwithoutlitterN2O)+('Mitigation drivers'!X205*PMwithlitterN2O)+('Mitigation drivers'!X207*DigesterN2OEF))/100</f>
        <v>1.6449999999999999E-2</v>
      </c>
      <c r="AD69" s="25">
        <f>(('Mitigation drivers'!Y197*LagoonN2O)+('Mitigation drivers'!Y198*LiquidN2O)+('Mitigation drivers'!Y199*DrylotN2O)+('Mitigation drivers'!Y200*SolidStorageN2O)+('Mitigation drivers'!Y201*DailyspreadN2O)+('Mitigation drivers'!Y202*CompostN2O)+('Mitigation drivers'!Y203*ManwithbedN2O)+('Mitigation drivers'!Y204*PMwithoutlitterN2O)+('Mitigation drivers'!Y205*PMwithlitterN2O)+('Mitigation drivers'!Y207*DigesterN2OEF))/100</f>
        <v>1.6449999999999999E-2</v>
      </c>
      <c r="AE69" s="25">
        <f>(('Mitigation drivers'!Z197*LagoonN2O)+('Mitigation drivers'!Z198*LiquidN2O)+('Mitigation drivers'!Z199*DrylotN2O)+('Mitigation drivers'!Z200*SolidStorageN2O)+('Mitigation drivers'!Z201*DailyspreadN2O)+('Mitigation drivers'!Z202*CompostN2O)+('Mitigation drivers'!Z203*ManwithbedN2O)+('Mitigation drivers'!Z204*PMwithoutlitterN2O)+('Mitigation drivers'!Z205*PMwithlitterN2O)+('Mitigation drivers'!Z207*DigesterN2OEF))/100</f>
        <v>1.6449999999999999E-2</v>
      </c>
      <c r="AF69" s="25">
        <f>(('Mitigation drivers'!AA197*LagoonN2O)+('Mitigation drivers'!AA198*LiquidN2O)+('Mitigation drivers'!AA199*DrylotN2O)+('Mitigation drivers'!AA200*SolidStorageN2O)+('Mitigation drivers'!AA201*DailyspreadN2O)+('Mitigation drivers'!AA202*CompostN2O)+('Mitigation drivers'!AA203*ManwithbedN2O)+('Mitigation drivers'!AA204*PMwithoutlitterN2O)+('Mitigation drivers'!AA205*PMwithlitterN2O)+('Mitigation drivers'!AA207*DigesterN2OEF))/100</f>
        <v>1.6449999999999999E-2</v>
      </c>
      <c r="AG69" s="25">
        <f>(('Mitigation drivers'!AB197*LagoonN2O)+('Mitigation drivers'!AB198*LiquidN2O)+('Mitigation drivers'!AB199*DrylotN2O)+('Mitigation drivers'!AB200*SolidStorageN2O)+('Mitigation drivers'!AB201*DailyspreadN2O)+('Mitigation drivers'!AB202*CompostN2O)+('Mitigation drivers'!AB203*ManwithbedN2O)+('Mitigation drivers'!AB204*PMwithoutlitterN2O)+('Mitigation drivers'!AB205*PMwithlitterN2O)+('Mitigation drivers'!AB207*DigesterN2OEF))/100</f>
        <v>1.6449999999999999E-2</v>
      </c>
      <c r="AH69" s="25">
        <f>(('Mitigation drivers'!AC197*LagoonN2O)+('Mitigation drivers'!AC198*LiquidN2O)+('Mitigation drivers'!AC199*DrylotN2O)+('Mitigation drivers'!AC200*SolidStorageN2O)+('Mitigation drivers'!AC201*DailyspreadN2O)+('Mitigation drivers'!AC202*CompostN2O)+('Mitigation drivers'!AC203*ManwithbedN2O)+('Mitigation drivers'!AC204*PMwithoutlitterN2O)+('Mitigation drivers'!AC205*PMwithlitterN2O)+('Mitigation drivers'!AC207*DigesterN2OEF))/100</f>
        <v>1.6449999999999999E-2</v>
      </c>
      <c r="AI69" s="25">
        <f>(('Mitigation drivers'!AD197*LagoonN2O)+('Mitigation drivers'!AD198*LiquidN2O)+('Mitigation drivers'!AD199*DrylotN2O)+('Mitigation drivers'!AD200*SolidStorageN2O)+('Mitigation drivers'!AD201*DailyspreadN2O)+('Mitigation drivers'!AD202*CompostN2O)+('Mitigation drivers'!AD203*ManwithbedN2O)+('Mitigation drivers'!AD204*PMwithoutlitterN2O)+('Mitigation drivers'!AD205*PMwithlitterN2O)+('Mitigation drivers'!AD207*DigesterN2OEF))/100</f>
        <v>1.6449999999999999E-2</v>
      </c>
      <c r="AJ69" s="25">
        <f>(('Mitigation drivers'!AE197*LagoonN2O)+('Mitigation drivers'!AE198*LiquidN2O)+('Mitigation drivers'!AE199*DrylotN2O)+('Mitigation drivers'!AE200*SolidStorageN2O)+('Mitigation drivers'!AE201*DailyspreadN2O)+('Mitigation drivers'!AE202*CompostN2O)+('Mitigation drivers'!AE203*ManwithbedN2O)+('Mitigation drivers'!AE204*PMwithoutlitterN2O)+('Mitigation drivers'!AE205*PMwithlitterN2O)+('Mitigation drivers'!AE207*DigesterN2OEF))/100</f>
        <v>1.6449999999999999E-2</v>
      </c>
      <c r="AK69" s="25">
        <f>(('Mitigation drivers'!AF197*LagoonN2O)+('Mitigation drivers'!AF198*LiquidN2O)+('Mitigation drivers'!AF199*DrylotN2O)+('Mitigation drivers'!AF200*SolidStorageN2O)+('Mitigation drivers'!AF201*DailyspreadN2O)+('Mitigation drivers'!AF202*CompostN2O)+('Mitigation drivers'!AF203*ManwithbedN2O)+('Mitigation drivers'!AF204*PMwithoutlitterN2O)+('Mitigation drivers'!AF205*PMwithlitterN2O)+('Mitigation drivers'!AF207*DigesterN2OEF))/100</f>
        <v>1.6449999999999999E-2</v>
      </c>
      <c r="AL69" s="25">
        <f>(('Mitigation drivers'!AG197*LagoonN2O)+('Mitigation drivers'!AG198*LiquidN2O)+('Mitigation drivers'!AG199*DrylotN2O)+('Mitigation drivers'!AG200*SolidStorageN2O)+('Mitigation drivers'!AG201*DailyspreadN2O)+('Mitigation drivers'!AG202*CompostN2O)+('Mitigation drivers'!AG203*ManwithbedN2O)+('Mitigation drivers'!AG204*PMwithoutlitterN2O)+('Mitigation drivers'!AG205*PMwithlitterN2O)+('Mitigation drivers'!AG207*DigesterN2OEF))/100</f>
        <v>1.6449999999999999E-2</v>
      </c>
      <c r="AM69" s="25">
        <f>(('Mitigation drivers'!AH197*LagoonN2O)+('Mitigation drivers'!AH198*LiquidN2O)+('Mitigation drivers'!AH199*DrylotN2O)+('Mitigation drivers'!AH200*SolidStorageN2O)+('Mitigation drivers'!AH201*DailyspreadN2O)+('Mitigation drivers'!AH202*CompostN2O)+('Mitigation drivers'!AH203*ManwithbedN2O)+('Mitigation drivers'!AH204*PMwithoutlitterN2O)+('Mitigation drivers'!AH205*PMwithlitterN2O)+('Mitigation drivers'!AH207*DigesterN2OEF))/100</f>
        <v>1.6449999999999999E-2</v>
      </c>
      <c r="AN69" s="25">
        <f>(('Mitigation drivers'!AI197*LagoonN2O)+('Mitigation drivers'!AI198*LiquidN2O)+('Mitigation drivers'!AI199*DrylotN2O)+('Mitigation drivers'!AI200*SolidStorageN2O)+('Mitigation drivers'!AI201*DailyspreadN2O)+('Mitigation drivers'!AI202*CompostN2O)+('Mitigation drivers'!AI203*ManwithbedN2O)+('Mitigation drivers'!AI204*PMwithoutlitterN2O)+('Mitigation drivers'!AI205*PMwithlitterN2O)+('Mitigation drivers'!AI207*DigesterN2OEF))/100</f>
        <v>1.6449999999999999E-2</v>
      </c>
      <c r="AO69" s="25">
        <f>(('Mitigation drivers'!AJ197*LagoonN2O)+('Mitigation drivers'!AJ198*LiquidN2O)+('Mitigation drivers'!AJ199*DrylotN2O)+('Mitigation drivers'!AJ200*SolidStorageN2O)+('Mitigation drivers'!AJ201*DailyspreadN2O)+('Mitigation drivers'!AJ202*CompostN2O)+('Mitigation drivers'!AJ203*ManwithbedN2O)+('Mitigation drivers'!AJ204*PMwithoutlitterN2O)+('Mitigation drivers'!AJ205*PMwithlitterN2O)+('Mitigation drivers'!AJ207*DigesterN2OEF))/100</f>
        <v>1.6449999999999999E-2</v>
      </c>
    </row>
    <row r="70" spans="1:41" x14ac:dyDescent="0.3">
      <c r="A70" t="str">
        <f t="shared" ref="A70:A71" si="35">A69</f>
        <v>3A Livestock</v>
      </c>
      <c r="B70" t="str">
        <f t="shared" si="13"/>
        <v>3A2 Manure management (N2O)</v>
      </c>
      <c r="C70" t="str">
        <f>'Activity data'!C21</f>
        <v>3A2i Poultry</v>
      </c>
      <c r="D70" t="str">
        <f>'Activity data'!D21</f>
        <v>Subsistence layers</v>
      </c>
      <c r="E70" t="str">
        <f t="shared" si="32"/>
        <v>Manure management EF</v>
      </c>
      <c r="F70" t="str">
        <f t="shared" si="33"/>
        <v>N2O</v>
      </c>
      <c r="G70" t="str">
        <f t="shared" si="34"/>
        <v>kg N2O-N/kg Nex</v>
      </c>
      <c r="H70" s="25">
        <f>(('Mitigation drivers'!C209*LagoonN2O)+('Mitigation drivers'!C210*LiquidN2O)+('Mitigation drivers'!C211*DrylotN2O)+('Mitigation drivers'!C212*SolidStorageN2O)+('Mitigation drivers'!C213*DailyspreadN2O)+('Mitigation drivers'!C214*CompostN2O)+('Mitigation drivers'!C215*ManwithbedN2O)+('Mitigation drivers'!C216*PMwithoutlitterN2O)+('Mitigation drivers'!C217*PMwithlitterN2O)+('Mitigation drivers'!C219*DigesterN2OEF))/100</f>
        <v>1.4700000000000001E-2</v>
      </c>
      <c r="I70" s="25">
        <f>(('Mitigation drivers'!D209*LagoonN2O)+('Mitigation drivers'!D210*LiquidN2O)+('Mitigation drivers'!D211*DrylotN2O)+('Mitigation drivers'!D212*SolidStorageN2O)+('Mitigation drivers'!D213*DailyspreadN2O)+('Mitigation drivers'!D214*CompostN2O)+('Mitigation drivers'!D215*ManwithbedN2O)+('Mitigation drivers'!D216*PMwithoutlitterN2O)+('Mitigation drivers'!D217*PMwithlitterN2O)+('Mitigation drivers'!D219*DigesterN2OEF))/100</f>
        <v>1.4700000000000001E-2</v>
      </c>
      <c r="J70" s="25">
        <f>(('Mitigation drivers'!E209*LagoonN2O)+('Mitigation drivers'!E210*LiquidN2O)+('Mitigation drivers'!E211*DrylotN2O)+('Mitigation drivers'!E212*SolidStorageN2O)+('Mitigation drivers'!E213*DailyspreadN2O)+('Mitigation drivers'!E214*CompostN2O)+('Mitigation drivers'!E215*ManwithbedN2O)+('Mitigation drivers'!E216*PMwithoutlitterN2O)+('Mitigation drivers'!E217*PMwithlitterN2O)+('Mitigation drivers'!E219*DigesterN2OEF))/100</f>
        <v>1.4700000000000001E-2</v>
      </c>
      <c r="K70" s="25">
        <f>(('Mitigation drivers'!F209*LagoonN2O)+('Mitigation drivers'!F210*LiquidN2O)+('Mitigation drivers'!F211*DrylotN2O)+('Mitigation drivers'!F212*SolidStorageN2O)+('Mitigation drivers'!F213*DailyspreadN2O)+('Mitigation drivers'!F214*CompostN2O)+('Mitigation drivers'!F215*ManwithbedN2O)+('Mitigation drivers'!F216*PMwithoutlitterN2O)+('Mitigation drivers'!F217*PMwithlitterN2O)+('Mitigation drivers'!F219*DigesterN2OEF))/100</f>
        <v>1.4700000000000001E-2</v>
      </c>
      <c r="L70" s="25">
        <f>(('Mitigation drivers'!G209*LagoonN2O)+('Mitigation drivers'!G210*LiquidN2O)+('Mitigation drivers'!G211*DrylotN2O)+('Mitigation drivers'!G212*SolidStorageN2O)+('Mitigation drivers'!G213*DailyspreadN2O)+('Mitigation drivers'!G214*CompostN2O)+('Mitigation drivers'!G215*ManwithbedN2O)+('Mitigation drivers'!G216*PMwithoutlitterN2O)+('Mitigation drivers'!G217*PMwithlitterN2O)+('Mitigation drivers'!G219*DigesterN2OEF))/100</f>
        <v>1.4700000000000001E-2</v>
      </c>
      <c r="M70" s="25">
        <f>(('Mitigation drivers'!H209*LagoonN2O)+('Mitigation drivers'!H210*LiquidN2O)+('Mitigation drivers'!H211*DrylotN2O)+('Mitigation drivers'!H212*SolidStorageN2O)+('Mitigation drivers'!H213*DailyspreadN2O)+('Mitigation drivers'!H214*CompostN2O)+('Mitigation drivers'!H215*ManwithbedN2O)+('Mitigation drivers'!H216*PMwithoutlitterN2O)+('Mitigation drivers'!H217*PMwithlitterN2O)+('Mitigation drivers'!H219*DigesterN2OEF))/100</f>
        <v>1.4700000000000001E-2</v>
      </c>
      <c r="N70" s="25">
        <f>(('Mitigation drivers'!I209*LagoonN2O)+('Mitigation drivers'!I210*LiquidN2O)+('Mitigation drivers'!I211*DrylotN2O)+('Mitigation drivers'!I212*SolidStorageN2O)+('Mitigation drivers'!I213*DailyspreadN2O)+('Mitigation drivers'!I214*CompostN2O)+('Mitigation drivers'!I215*ManwithbedN2O)+('Mitigation drivers'!I216*PMwithoutlitterN2O)+('Mitigation drivers'!I217*PMwithlitterN2O)+('Mitigation drivers'!I219*DigesterN2OEF))/100</f>
        <v>1.4700000000000001E-2</v>
      </c>
      <c r="O70" s="25">
        <f>(('Mitigation drivers'!J209*LagoonN2O)+('Mitigation drivers'!J210*LiquidN2O)+('Mitigation drivers'!J211*DrylotN2O)+('Mitigation drivers'!J212*SolidStorageN2O)+('Mitigation drivers'!J213*DailyspreadN2O)+('Mitigation drivers'!J214*CompostN2O)+('Mitigation drivers'!J215*ManwithbedN2O)+('Mitigation drivers'!J216*PMwithoutlitterN2O)+('Mitigation drivers'!J217*PMwithlitterN2O)+('Mitigation drivers'!J219*DigesterN2OEF))/100</f>
        <v>1.4700000000000001E-2</v>
      </c>
      <c r="P70" s="25">
        <f>(('Mitigation drivers'!K209*LagoonN2O)+('Mitigation drivers'!K210*LiquidN2O)+('Mitigation drivers'!K211*DrylotN2O)+('Mitigation drivers'!K212*SolidStorageN2O)+('Mitigation drivers'!K213*DailyspreadN2O)+('Mitigation drivers'!K214*CompostN2O)+('Mitigation drivers'!K215*ManwithbedN2O)+('Mitigation drivers'!K216*PMwithoutlitterN2O)+('Mitigation drivers'!K217*PMwithlitterN2O)+('Mitigation drivers'!K219*DigesterN2OEF))/100</f>
        <v>1.4700000000000001E-2</v>
      </c>
      <c r="Q70" s="25">
        <f>(('Mitigation drivers'!L209*LagoonN2O)+('Mitigation drivers'!L210*LiquidN2O)+('Mitigation drivers'!L211*DrylotN2O)+('Mitigation drivers'!L212*SolidStorageN2O)+('Mitigation drivers'!L213*DailyspreadN2O)+('Mitigation drivers'!L214*CompostN2O)+('Mitigation drivers'!L215*ManwithbedN2O)+('Mitigation drivers'!L216*PMwithoutlitterN2O)+('Mitigation drivers'!L217*PMwithlitterN2O)+('Mitigation drivers'!L219*DigesterN2OEF))/100</f>
        <v>1.4700000000000001E-2</v>
      </c>
      <c r="R70" s="25">
        <f>(('Mitigation drivers'!M209*LagoonN2O)+('Mitigation drivers'!M210*LiquidN2O)+('Mitigation drivers'!M211*DrylotN2O)+('Mitigation drivers'!M212*SolidStorageN2O)+('Mitigation drivers'!M213*DailyspreadN2O)+('Mitigation drivers'!M214*CompostN2O)+('Mitigation drivers'!M215*ManwithbedN2O)+('Mitigation drivers'!M216*PMwithoutlitterN2O)+('Mitigation drivers'!M217*PMwithlitterN2O)+('Mitigation drivers'!M219*DigesterN2OEF))/100</f>
        <v>1.4700000000000001E-2</v>
      </c>
      <c r="S70" s="25">
        <f>(('Mitigation drivers'!N209*LagoonN2O)+('Mitigation drivers'!N210*LiquidN2O)+('Mitigation drivers'!N211*DrylotN2O)+('Mitigation drivers'!N212*SolidStorageN2O)+('Mitigation drivers'!N213*DailyspreadN2O)+('Mitigation drivers'!N214*CompostN2O)+('Mitigation drivers'!N215*ManwithbedN2O)+('Mitigation drivers'!N216*PMwithoutlitterN2O)+('Mitigation drivers'!N217*PMwithlitterN2O)+('Mitigation drivers'!N219*DigesterN2OEF))/100</f>
        <v>1.4700000000000001E-2</v>
      </c>
      <c r="T70" s="25">
        <f>(('Mitigation drivers'!O209*LagoonN2O)+('Mitigation drivers'!O210*LiquidN2O)+('Mitigation drivers'!O211*DrylotN2O)+('Mitigation drivers'!O212*SolidStorageN2O)+('Mitigation drivers'!O213*DailyspreadN2O)+('Mitigation drivers'!O214*CompostN2O)+('Mitigation drivers'!O215*ManwithbedN2O)+('Mitigation drivers'!O216*PMwithoutlitterN2O)+('Mitigation drivers'!O217*PMwithlitterN2O)+('Mitigation drivers'!O219*DigesterN2OEF))/100</f>
        <v>1.4700000000000001E-2</v>
      </c>
      <c r="U70" s="25">
        <f>(('Mitigation drivers'!P209*LagoonN2O)+('Mitigation drivers'!P210*LiquidN2O)+('Mitigation drivers'!P211*DrylotN2O)+('Mitigation drivers'!P212*SolidStorageN2O)+('Mitigation drivers'!P213*DailyspreadN2O)+('Mitigation drivers'!P214*CompostN2O)+('Mitigation drivers'!P215*ManwithbedN2O)+('Mitigation drivers'!P216*PMwithoutlitterN2O)+('Mitigation drivers'!P217*PMwithlitterN2O)+('Mitigation drivers'!P219*DigesterN2OEF))/100</f>
        <v>1.4700000000000001E-2</v>
      </c>
      <c r="V70" s="25">
        <f>(('Mitigation drivers'!Q209*LagoonN2O)+('Mitigation drivers'!Q210*LiquidN2O)+('Mitigation drivers'!Q211*DrylotN2O)+('Mitigation drivers'!Q212*SolidStorageN2O)+('Mitigation drivers'!Q213*DailyspreadN2O)+('Mitigation drivers'!Q214*CompostN2O)+('Mitigation drivers'!Q215*ManwithbedN2O)+('Mitigation drivers'!Q216*PMwithoutlitterN2O)+('Mitigation drivers'!Q217*PMwithlitterN2O)+('Mitigation drivers'!Q219*DigesterN2OEF))/100</f>
        <v>1.4700000000000001E-2</v>
      </c>
      <c r="W70" s="25">
        <f>(('Mitigation drivers'!R209*LagoonN2O)+('Mitigation drivers'!R210*LiquidN2O)+('Mitigation drivers'!R211*DrylotN2O)+('Mitigation drivers'!R212*SolidStorageN2O)+('Mitigation drivers'!R213*DailyspreadN2O)+('Mitigation drivers'!R214*CompostN2O)+('Mitigation drivers'!R215*ManwithbedN2O)+('Mitigation drivers'!R216*PMwithoutlitterN2O)+('Mitigation drivers'!R217*PMwithlitterN2O)+('Mitigation drivers'!R219*DigesterN2OEF))/100</f>
        <v>1.4700000000000001E-2</v>
      </c>
      <c r="X70" s="25">
        <f>(('Mitigation drivers'!S209*LagoonN2O)+('Mitigation drivers'!S210*LiquidN2O)+('Mitigation drivers'!S211*DrylotN2O)+('Mitigation drivers'!S212*SolidStorageN2O)+('Mitigation drivers'!S213*DailyspreadN2O)+('Mitigation drivers'!S214*CompostN2O)+('Mitigation drivers'!S215*ManwithbedN2O)+('Mitigation drivers'!S216*PMwithoutlitterN2O)+('Mitigation drivers'!S217*PMwithlitterN2O)+('Mitigation drivers'!S219*DigesterN2OEF))/100</f>
        <v>1.4700000000000001E-2</v>
      </c>
      <c r="Y70" s="25">
        <f>(('Mitigation drivers'!T209*LagoonN2O)+('Mitigation drivers'!T210*LiquidN2O)+('Mitigation drivers'!T211*DrylotN2O)+('Mitigation drivers'!T212*SolidStorageN2O)+('Mitigation drivers'!T213*DailyspreadN2O)+('Mitigation drivers'!T214*CompostN2O)+('Mitigation drivers'!T215*ManwithbedN2O)+('Mitigation drivers'!T216*PMwithoutlitterN2O)+('Mitigation drivers'!T217*PMwithlitterN2O)+('Mitigation drivers'!T219*DigesterN2OEF))/100</f>
        <v>1.4700000000000001E-2</v>
      </c>
      <c r="Z70" s="25">
        <f>(('Mitigation drivers'!U209*LagoonN2O)+('Mitigation drivers'!U210*LiquidN2O)+('Mitigation drivers'!U211*DrylotN2O)+('Mitigation drivers'!U212*SolidStorageN2O)+('Mitigation drivers'!U213*DailyspreadN2O)+('Mitigation drivers'!U214*CompostN2O)+('Mitigation drivers'!U215*ManwithbedN2O)+('Mitigation drivers'!U216*PMwithoutlitterN2O)+('Mitigation drivers'!U217*PMwithlitterN2O)+('Mitigation drivers'!U219*DigesterN2OEF))/100</f>
        <v>1.4700000000000001E-2</v>
      </c>
      <c r="AA70" s="25">
        <f>(('Mitigation drivers'!V209*LagoonN2O)+('Mitigation drivers'!V210*LiquidN2O)+('Mitigation drivers'!V211*DrylotN2O)+('Mitigation drivers'!V212*SolidStorageN2O)+('Mitigation drivers'!V213*DailyspreadN2O)+('Mitigation drivers'!V214*CompostN2O)+('Mitigation drivers'!V215*ManwithbedN2O)+('Mitigation drivers'!V216*PMwithoutlitterN2O)+('Mitigation drivers'!V217*PMwithlitterN2O)+('Mitigation drivers'!V219*DigesterN2OEF))/100</f>
        <v>1.4700000000000001E-2</v>
      </c>
      <c r="AB70" s="25">
        <f>(('Mitigation drivers'!W209*LagoonN2O)+('Mitigation drivers'!W210*LiquidN2O)+('Mitigation drivers'!W211*DrylotN2O)+('Mitigation drivers'!W212*SolidStorageN2O)+('Mitigation drivers'!W213*DailyspreadN2O)+('Mitigation drivers'!W214*CompostN2O)+('Mitigation drivers'!W215*ManwithbedN2O)+('Mitigation drivers'!W216*PMwithoutlitterN2O)+('Mitigation drivers'!W217*PMwithlitterN2O)+('Mitigation drivers'!W219*DigesterN2OEF))/100</f>
        <v>1.4700000000000001E-2</v>
      </c>
      <c r="AC70" s="25">
        <f>(('Mitigation drivers'!X209*LagoonN2O)+('Mitigation drivers'!X210*LiquidN2O)+('Mitigation drivers'!X211*DrylotN2O)+('Mitigation drivers'!X212*SolidStorageN2O)+('Mitigation drivers'!X213*DailyspreadN2O)+('Mitigation drivers'!X214*CompostN2O)+('Mitigation drivers'!X215*ManwithbedN2O)+('Mitigation drivers'!X216*PMwithoutlitterN2O)+('Mitigation drivers'!X217*PMwithlitterN2O)+('Mitigation drivers'!X219*DigesterN2OEF))/100</f>
        <v>1.4700000000000001E-2</v>
      </c>
      <c r="AD70" s="25">
        <f>(('Mitigation drivers'!Y209*LagoonN2O)+('Mitigation drivers'!Y210*LiquidN2O)+('Mitigation drivers'!Y211*DrylotN2O)+('Mitigation drivers'!Y212*SolidStorageN2O)+('Mitigation drivers'!Y213*DailyspreadN2O)+('Mitigation drivers'!Y214*CompostN2O)+('Mitigation drivers'!Y215*ManwithbedN2O)+('Mitigation drivers'!Y216*PMwithoutlitterN2O)+('Mitigation drivers'!Y217*PMwithlitterN2O)+('Mitigation drivers'!Y219*DigesterN2OEF))/100</f>
        <v>1.4700000000000001E-2</v>
      </c>
      <c r="AE70" s="25">
        <f>(('Mitigation drivers'!Z209*LagoonN2O)+('Mitigation drivers'!Z210*LiquidN2O)+('Mitigation drivers'!Z211*DrylotN2O)+('Mitigation drivers'!Z212*SolidStorageN2O)+('Mitigation drivers'!Z213*DailyspreadN2O)+('Mitigation drivers'!Z214*CompostN2O)+('Mitigation drivers'!Z215*ManwithbedN2O)+('Mitigation drivers'!Z216*PMwithoutlitterN2O)+('Mitigation drivers'!Z217*PMwithlitterN2O)+('Mitigation drivers'!Z219*DigesterN2OEF))/100</f>
        <v>1.4700000000000001E-2</v>
      </c>
      <c r="AF70" s="25">
        <f>(('Mitigation drivers'!AA209*LagoonN2O)+('Mitigation drivers'!AA210*LiquidN2O)+('Mitigation drivers'!AA211*DrylotN2O)+('Mitigation drivers'!AA212*SolidStorageN2O)+('Mitigation drivers'!AA213*DailyspreadN2O)+('Mitigation drivers'!AA214*CompostN2O)+('Mitigation drivers'!AA215*ManwithbedN2O)+('Mitigation drivers'!AA216*PMwithoutlitterN2O)+('Mitigation drivers'!AA217*PMwithlitterN2O)+('Mitigation drivers'!AA219*DigesterN2OEF))/100</f>
        <v>1.4700000000000001E-2</v>
      </c>
      <c r="AG70" s="25">
        <f>(('Mitigation drivers'!AB209*LagoonN2O)+('Mitigation drivers'!AB210*LiquidN2O)+('Mitigation drivers'!AB211*DrylotN2O)+('Mitigation drivers'!AB212*SolidStorageN2O)+('Mitigation drivers'!AB213*DailyspreadN2O)+('Mitigation drivers'!AB214*CompostN2O)+('Mitigation drivers'!AB215*ManwithbedN2O)+('Mitigation drivers'!AB216*PMwithoutlitterN2O)+('Mitigation drivers'!AB217*PMwithlitterN2O)+('Mitigation drivers'!AB219*DigesterN2OEF))/100</f>
        <v>1.4700000000000001E-2</v>
      </c>
      <c r="AH70" s="25">
        <f>(('Mitigation drivers'!AC209*LagoonN2O)+('Mitigation drivers'!AC210*LiquidN2O)+('Mitigation drivers'!AC211*DrylotN2O)+('Mitigation drivers'!AC212*SolidStorageN2O)+('Mitigation drivers'!AC213*DailyspreadN2O)+('Mitigation drivers'!AC214*CompostN2O)+('Mitigation drivers'!AC215*ManwithbedN2O)+('Mitigation drivers'!AC216*PMwithoutlitterN2O)+('Mitigation drivers'!AC217*PMwithlitterN2O)+('Mitigation drivers'!AC219*DigesterN2OEF))/100</f>
        <v>1.4700000000000001E-2</v>
      </c>
      <c r="AI70" s="25">
        <f>(('Mitigation drivers'!AD209*LagoonN2O)+('Mitigation drivers'!AD210*LiquidN2O)+('Mitigation drivers'!AD211*DrylotN2O)+('Mitigation drivers'!AD212*SolidStorageN2O)+('Mitigation drivers'!AD213*DailyspreadN2O)+('Mitigation drivers'!AD214*CompostN2O)+('Mitigation drivers'!AD215*ManwithbedN2O)+('Mitigation drivers'!AD216*PMwithoutlitterN2O)+('Mitigation drivers'!AD217*PMwithlitterN2O)+('Mitigation drivers'!AD219*DigesterN2OEF))/100</f>
        <v>1.4700000000000001E-2</v>
      </c>
      <c r="AJ70" s="25">
        <f>(('Mitigation drivers'!AE209*LagoonN2O)+('Mitigation drivers'!AE210*LiquidN2O)+('Mitigation drivers'!AE211*DrylotN2O)+('Mitigation drivers'!AE212*SolidStorageN2O)+('Mitigation drivers'!AE213*DailyspreadN2O)+('Mitigation drivers'!AE214*CompostN2O)+('Mitigation drivers'!AE215*ManwithbedN2O)+('Mitigation drivers'!AE216*PMwithoutlitterN2O)+('Mitigation drivers'!AE217*PMwithlitterN2O)+('Mitigation drivers'!AE219*DigesterN2OEF))/100</f>
        <v>1.4700000000000001E-2</v>
      </c>
      <c r="AK70" s="25">
        <f>(('Mitigation drivers'!AF209*LagoonN2O)+('Mitigation drivers'!AF210*LiquidN2O)+('Mitigation drivers'!AF211*DrylotN2O)+('Mitigation drivers'!AF212*SolidStorageN2O)+('Mitigation drivers'!AF213*DailyspreadN2O)+('Mitigation drivers'!AF214*CompostN2O)+('Mitigation drivers'!AF215*ManwithbedN2O)+('Mitigation drivers'!AF216*PMwithoutlitterN2O)+('Mitigation drivers'!AF217*PMwithlitterN2O)+('Mitigation drivers'!AF219*DigesterN2OEF))/100</f>
        <v>1.4700000000000001E-2</v>
      </c>
      <c r="AL70" s="25">
        <f>(('Mitigation drivers'!AG209*LagoonN2O)+('Mitigation drivers'!AG210*LiquidN2O)+('Mitigation drivers'!AG211*DrylotN2O)+('Mitigation drivers'!AG212*SolidStorageN2O)+('Mitigation drivers'!AG213*DailyspreadN2O)+('Mitigation drivers'!AG214*CompostN2O)+('Mitigation drivers'!AG215*ManwithbedN2O)+('Mitigation drivers'!AG216*PMwithoutlitterN2O)+('Mitigation drivers'!AG217*PMwithlitterN2O)+('Mitigation drivers'!AG219*DigesterN2OEF))/100</f>
        <v>1.4700000000000001E-2</v>
      </c>
      <c r="AM70" s="25">
        <f>(('Mitigation drivers'!AH209*LagoonN2O)+('Mitigation drivers'!AH210*LiquidN2O)+('Mitigation drivers'!AH211*DrylotN2O)+('Mitigation drivers'!AH212*SolidStorageN2O)+('Mitigation drivers'!AH213*DailyspreadN2O)+('Mitigation drivers'!AH214*CompostN2O)+('Mitigation drivers'!AH215*ManwithbedN2O)+('Mitigation drivers'!AH216*PMwithoutlitterN2O)+('Mitigation drivers'!AH217*PMwithlitterN2O)+('Mitigation drivers'!AH219*DigesterN2OEF))/100</f>
        <v>1.4700000000000001E-2</v>
      </c>
      <c r="AN70" s="25">
        <f>(('Mitigation drivers'!AI209*LagoonN2O)+('Mitigation drivers'!AI210*LiquidN2O)+('Mitigation drivers'!AI211*DrylotN2O)+('Mitigation drivers'!AI212*SolidStorageN2O)+('Mitigation drivers'!AI213*DailyspreadN2O)+('Mitigation drivers'!AI214*CompostN2O)+('Mitigation drivers'!AI215*ManwithbedN2O)+('Mitigation drivers'!AI216*PMwithoutlitterN2O)+('Mitigation drivers'!AI217*PMwithlitterN2O)+('Mitigation drivers'!AI219*DigesterN2OEF))/100</f>
        <v>1.4700000000000001E-2</v>
      </c>
      <c r="AO70" s="25">
        <f>(('Mitigation drivers'!AJ209*LagoonN2O)+('Mitigation drivers'!AJ210*LiquidN2O)+('Mitigation drivers'!AJ211*DrylotN2O)+('Mitigation drivers'!AJ212*SolidStorageN2O)+('Mitigation drivers'!AJ213*DailyspreadN2O)+('Mitigation drivers'!AJ214*CompostN2O)+('Mitigation drivers'!AJ215*ManwithbedN2O)+('Mitigation drivers'!AJ216*PMwithoutlitterN2O)+('Mitigation drivers'!AJ217*PMwithlitterN2O)+('Mitigation drivers'!AJ219*DigesterN2OEF))/100</f>
        <v>1.4700000000000001E-2</v>
      </c>
    </row>
    <row r="71" spans="1:41" x14ac:dyDescent="0.3">
      <c r="A71" t="str">
        <f t="shared" si="35"/>
        <v>3A Livestock</v>
      </c>
      <c r="B71" t="str">
        <f t="shared" si="13"/>
        <v>3A2 Manure management (N2O)</v>
      </c>
      <c r="C71" t="str">
        <f>'Activity data'!C22</f>
        <v>3A2i Poultry</v>
      </c>
      <c r="D71" t="str">
        <f>'Activity data'!D22</f>
        <v>Subsistence broilers</v>
      </c>
      <c r="E71" t="str">
        <f t="shared" si="32"/>
        <v>Manure management EF</v>
      </c>
      <c r="F71" t="str">
        <f t="shared" si="33"/>
        <v>N2O</v>
      </c>
      <c r="G71" t="str">
        <f t="shared" si="34"/>
        <v>kg N2O-N/kg Nex</v>
      </c>
      <c r="H71" s="25">
        <f>(('Mitigation drivers'!C221*LagoonN2O)+('Mitigation drivers'!C222*LiquidN2O)+('Mitigation drivers'!C223*DrylotN2O)+('Mitigation drivers'!C224*SolidStorageN2O)+('Mitigation drivers'!C225*DailyspreadN2O)+('Mitigation drivers'!C226*CompostN2O)+('Mitigation drivers'!C227*ManwithbedN2O)+('Mitigation drivers'!C228*PMwithoutlitterN2O)+('Mitigation drivers'!C229*PMwithlitterN2O)+('Mitigation drivers'!C231*DigesterN2OEF))/100</f>
        <v>1.6449999999999999E-2</v>
      </c>
      <c r="I71" s="25">
        <f>(('Mitigation drivers'!D221*LagoonN2O)+('Mitigation drivers'!D222*LiquidN2O)+('Mitigation drivers'!D223*DrylotN2O)+('Mitigation drivers'!D224*SolidStorageN2O)+('Mitigation drivers'!D225*DailyspreadN2O)+('Mitigation drivers'!D226*CompostN2O)+('Mitigation drivers'!D227*ManwithbedN2O)+('Mitigation drivers'!D228*PMwithoutlitterN2O)+('Mitigation drivers'!D229*PMwithlitterN2O)+('Mitigation drivers'!D231*DigesterN2OEF))/100</f>
        <v>1.6449999999999999E-2</v>
      </c>
      <c r="J71" s="25">
        <f>(('Mitigation drivers'!E221*LagoonN2O)+('Mitigation drivers'!E222*LiquidN2O)+('Mitigation drivers'!E223*DrylotN2O)+('Mitigation drivers'!E224*SolidStorageN2O)+('Mitigation drivers'!E225*DailyspreadN2O)+('Mitigation drivers'!E226*CompostN2O)+('Mitigation drivers'!E227*ManwithbedN2O)+('Mitigation drivers'!E228*PMwithoutlitterN2O)+('Mitigation drivers'!E229*PMwithlitterN2O)+('Mitigation drivers'!E231*DigesterN2OEF))/100</f>
        <v>1.6449999999999999E-2</v>
      </c>
      <c r="K71" s="25">
        <f>(('Mitigation drivers'!F221*LagoonN2O)+('Mitigation drivers'!F222*LiquidN2O)+('Mitigation drivers'!F223*DrylotN2O)+('Mitigation drivers'!F224*SolidStorageN2O)+('Mitigation drivers'!F225*DailyspreadN2O)+('Mitigation drivers'!F226*CompostN2O)+('Mitigation drivers'!F227*ManwithbedN2O)+('Mitigation drivers'!F228*PMwithoutlitterN2O)+('Mitigation drivers'!F229*PMwithlitterN2O)+('Mitigation drivers'!F231*DigesterN2OEF))/100</f>
        <v>1.6449999999999999E-2</v>
      </c>
      <c r="L71" s="25">
        <f>(('Mitigation drivers'!G221*LagoonN2O)+('Mitigation drivers'!G222*LiquidN2O)+('Mitigation drivers'!G223*DrylotN2O)+('Mitigation drivers'!G224*SolidStorageN2O)+('Mitigation drivers'!G225*DailyspreadN2O)+('Mitigation drivers'!G226*CompostN2O)+('Mitigation drivers'!G227*ManwithbedN2O)+('Mitigation drivers'!G228*PMwithoutlitterN2O)+('Mitigation drivers'!G229*PMwithlitterN2O)+('Mitigation drivers'!G231*DigesterN2OEF))/100</f>
        <v>1.6449999999999999E-2</v>
      </c>
      <c r="M71" s="25">
        <f>(('Mitigation drivers'!H221*LagoonN2O)+('Mitigation drivers'!H222*LiquidN2O)+('Mitigation drivers'!H223*DrylotN2O)+('Mitigation drivers'!H224*SolidStorageN2O)+('Mitigation drivers'!H225*DailyspreadN2O)+('Mitigation drivers'!H226*CompostN2O)+('Mitigation drivers'!H227*ManwithbedN2O)+('Mitigation drivers'!H228*PMwithoutlitterN2O)+('Mitigation drivers'!H229*PMwithlitterN2O)+('Mitigation drivers'!H231*DigesterN2OEF))/100</f>
        <v>1.6449999999999999E-2</v>
      </c>
      <c r="N71" s="25">
        <f>(('Mitigation drivers'!I221*LagoonN2O)+('Mitigation drivers'!I222*LiquidN2O)+('Mitigation drivers'!I223*DrylotN2O)+('Mitigation drivers'!I224*SolidStorageN2O)+('Mitigation drivers'!I225*DailyspreadN2O)+('Mitigation drivers'!I226*CompostN2O)+('Mitigation drivers'!I227*ManwithbedN2O)+('Mitigation drivers'!I228*PMwithoutlitterN2O)+('Mitigation drivers'!I229*PMwithlitterN2O)+('Mitigation drivers'!I231*DigesterN2OEF))/100</f>
        <v>1.6449999999999999E-2</v>
      </c>
      <c r="O71" s="25">
        <f>(('Mitigation drivers'!J221*LagoonN2O)+('Mitigation drivers'!J222*LiquidN2O)+('Mitigation drivers'!J223*DrylotN2O)+('Mitigation drivers'!J224*SolidStorageN2O)+('Mitigation drivers'!J225*DailyspreadN2O)+('Mitigation drivers'!J226*CompostN2O)+('Mitigation drivers'!J227*ManwithbedN2O)+('Mitigation drivers'!J228*PMwithoutlitterN2O)+('Mitigation drivers'!J229*PMwithlitterN2O)+('Mitigation drivers'!J231*DigesterN2OEF))/100</f>
        <v>1.6449999999999999E-2</v>
      </c>
      <c r="P71" s="25">
        <f>(('Mitigation drivers'!K221*LagoonN2O)+('Mitigation drivers'!K222*LiquidN2O)+('Mitigation drivers'!K223*DrylotN2O)+('Mitigation drivers'!K224*SolidStorageN2O)+('Mitigation drivers'!K225*DailyspreadN2O)+('Mitigation drivers'!K226*CompostN2O)+('Mitigation drivers'!K227*ManwithbedN2O)+('Mitigation drivers'!K228*PMwithoutlitterN2O)+('Mitigation drivers'!K229*PMwithlitterN2O)+('Mitigation drivers'!K231*DigesterN2OEF))/100</f>
        <v>1.6449999999999999E-2</v>
      </c>
      <c r="Q71" s="25">
        <f>(('Mitigation drivers'!L221*LagoonN2O)+('Mitigation drivers'!L222*LiquidN2O)+('Mitigation drivers'!L223*DrylotN2O)+('Mitigation drivers'!L224*SolidStorageN2O)+('Mitigation drivers'!L225*DailyspreadN2O)+('Mitigation drivers'!L226*CompostN2O)+('Mitigation drivers'!L227*ManwithbedN2O)+('Mitigation drivers'!L228*PMwithoutlitterN2O)+('Mitigation drivers'!L229*PMwithlitterN2O)+('Mitigation drivers'!L231*DigesterN2OEF))/100</f>
        <v>1.6449999999999999E-2</v>
      </c>
      <c r="R71" s="25">
        <f>(('Mitigation drivers'!M221*LagoonN2O)+('Mitigation drivers'!M222*LiquidN2O)+('Mitigation drivers'!M223*DrylotN2O)+('Mitigation drivers'!M224*SolidStorageN2O)+('Mitigation drivers'!M225*DailyspreadN2O)+('Mitigation drivers'!M226*CompostN2O)+('Mitigation drivers'!M227*ManwithbedN2O)+('Mitigation drivers'!M228*PMwithoutlitterN2O)+('Mitigation drivers'!M229*PMwithlitterN2O)+('Mitigation drivers'!M231*DigesterN2OEF))/100</f>
        <v>1.6449999999999999E-2</v>
      </c>
      <c r="S71" s="25">
        <f>(('Mitigation drivers'!N221*LagoonN2O)+('Mitigation drivers'!N222*LiquidN2O)+('Mitigation drivers'!N223*DrylotN2O)+('Mitigation drivers'!N224*SolidStorageN2O)+('Mitigation drivers'!N225*DailyspreadN2O)+('Mitigation drivers'!N226*CompostN2O)+('Mitigation drivers'!N227*ManwithbedN2O)+('Mitigation drivers'!N228*PMwithoutlitterN2O)+('Mitigation drivers'!N229*PMwithlitterN2O)+('Mitigation drivers'!N231*DigesterN2OEF))/100</f>
        <v>1.6449999999999999E-2</v>
      </c>
      <c r="T71" s="25">
        <f>(('Mitigation drivers'!O221*LagoonN2O)+('Mitigation drivers'!O222*LiquidN2O)+('Mitigation drivers'!O223*DrylotN2O)+('Mitigation drivers'!O224*SolidStorageN2O)+('Mitigation drivers'!O225*DailyspreadN2O)+('Mitigation drivers'!O226*CompostN2O)+('Mitigation drivers'!O227*ManwithbedN2O)+('Mitigation drivers'!O228*PMwithoutlitterN2O)+('Mitigation drivers'!O229*PMwithlitterN2O)+('Mitigation drivers'!O231*DigesterN2OEF))/100</f>
        <v>1.6449999999999999E-2</v>
      </c>
      <c r="U71" s="25">
        <f>(('Mitigation drivers'!P221*LagoonN2O)+('Mitigation drivers'!P222*LiquidN2O)+('Mitigation drivers'!P223*DrylotN2O)+('Mitigation drivers'!P224*SolidStorageN2O)+('Mitigation drivers'!P225*DailyspreadN2O)+('Mitigation drivers'!P226*CompostN2O)+('Mitigation drivers'!P227*ManwithbedN2O)+('Mitigation drivers'!P228*PMwithoutlitterN2O)+('Mitigation drivers'!P229*PMwithlitterN2O)+('Mitigation drivers'!P231*DigesterN2OEF))/100</f>
        <v>1.6449999999999999E-2</v>
      </c>
      <c r="V71" s="25">
        <f>(('Mitigation drivers'!Q221*LagoonN2O)+('Mitigation drivers'!Q222*LiquidN2O)+('Mitigation drivers'!Q223*DrylotN2O)+('Mitigation drivers'!Q224*SolidStorageN2O)+('Mitigation drivers'!Q225*DailyspreadN2O)+('Mitigation drivers'!Q226*CompostN2O)+('Mitigation drivers'!Q227*ManwithbedN2O)+('Mitigation drivers'!Q228*PMwithoutlitterN2O)+('Mitigation drivers'!Q229*PMwithlitterN2O)+('Mitigation drivers'!Q231*DigesterN2OEF))/100</f>
        <v>1.6449999999999999E-2</v>
      </c>
      <c r="W71" s="25">
        <f>(('Mitigation drivers'!R221*LagoonN2O)+('Mitigation drivers'!R222*LiquidN2O)+('Mitigation drivers'!R223*DrylotN2O)+('Mitigation drivers'!R224*SolidStorageN2O)+('Mitigation drivers'!R225*DailyspreadN2O)+('Mitigation drivers'!R226*CompostN2O)+('Mitigation drivers'!R227*ManwithbedN2O)+('Mitigation drivers'!R228*PMwithoutlitterN2O)+('Mitigation drivers'!R229*PMwithlitterN2O)+('Mitigation drivers'!R231*DigesterN2OEF))/100</f>
        <v>1.6449999999999999E-2</v>
      </c>
      <c r="X71" s="25">
        <f>(('Mitigation drivers'!S221*LagoonN2O)+('Mitigation drivers'!S222*LiquidN2O)+('Mitigation drivers'!S223*DrylotN2O)+('Mitigation drivers'!S224*SolidStorageN2O)+('Mitigation drivers'!S225*DailyspreadN2O)+('Mitigation drivers'!S226*CompostN2O)+('Mitigation drivers'!S227*ManwithbedN2O)+('Mitigation drivers'!S228*PMwithoutlitterN2O)+('Mitigation drivers'!S229*PMwithlitterN2O)+('Mitigation drivers'!S231*DigesterN2OEF))/100</f>
        <v>1.6449999999999999E-2</v>
      </c>
      <c r="Y71" s="25">
        <f>(('Mitigation drivers'!T221*LagoonN2O)+('Mitigation drivers'!T222*LiquidN2O)+('Mitigation drivers'!T223*DrylotN2O)+('Mitigation drivers'!T224*SolidStorageN2O)+('Mitigation drivers'!T225*DailyspreadN2O)+('Mitigation drivers'!T226*CompostN2O)+('Mitigation drivers'!T227*ManwithbedN2O)+('Mitigation drivers'!T228*PMwithoutlitterN2O)+('Mitigation drivers'!T229*PMwithlitterN2O)+('Mitigation drivers'!T231*DigesterN2OEF))/100</f>
        <v>1.6449999999999999E-2</v>
      </c>
      <c r="Z71" s="25">
        <f>(('Mitigation drivers'!U221*LagoonN2O)+('Mitigation drivers'!U222*LiquidN2O)+('Mitigation drivers'!U223*DrylotN2O)+('Mitigation drivers'!U224*SolidStorageN2O)+('Mitigation drivers'!U225*DailyspreadN2O)+('Mitigation drivers'!U226*CompostN2O)+('Mitigation drivers'!U227*ManwithbedN2O)+('Mitigation drivers'!U228*PMwithoutlitterN2O)+('Mitigation drivers'!U229*PMwithlitterN2O)+('Mitigation drivers'!U231*DigesterN2OEF))/100</f>
        <v>1.6449999999999999E-2</v>
      </c>
      <c r="AA71" s="25">
        <f>(('Mitigation drivers'!V221*LagoonN2O)+('Mitigation drivers'!V222*LiquidN2O)+('Mitigation drivers'!V223*DrylotN2O)+('Mitigation drivers'!V224*SolidStorageN2O)+('Mitigation drivers'!V225*DailyspreadN2O)+('Mitigation drivers'!V226*CompostN2O)+('Mitigation drivers'!V227*ManwithbedN2O)+('Mitigation drivers'!V228*PMwithoutlitterN2O)+('Mitigation drivers'!V229*PMwithlitterN2O)+('Mitigation drivers'!V231*DigesterN2OEF))/100</f>
        <v>1.6449999999999999E-2</v>
      </c>
      <c r="AB71" s="25">
        <f>(('Mitigation drivers'!W221*LagoonN2O)+('Mitigation drivers'!W222*LiquidN2O)+('Mitigation drivers'!W223*DrylotN2O)+('Mitigation drivers'!W224*SolidStorageN2O)+('Mitigation drivers'!W225*DailyspreadN2O)+('Mitigation drivers'!W226*CompostN2O)+('Mitigation drivers'!W227*ManwithbedN2O)+('Mitigation drivers'!W228*PMwithoutlitterN2O)+('Mitigation drivers'!W229*PMwithlitterN2O)+('Mitigation drivers'!W231*DigesterN2OEF))/100</f>
        <v>1.6449999999999999E-2</v>
      </c>
      <c r="AC71" s="25">
        <f>(('Mitigation drivers'!X221*LagoonN2O)+('Mitigation drivers'!X222*LiquidN2O)+('Mitigation drivers'!X223*DrylotN2O)+('Mitigation drivers'!X224*SolidStorageN2O)+('Mitigation drivers'!X225*DailyspreadN2O)+('Mitigation drivers'!X226*CompostN2O)+('Mitigation drivers'!X227*ManwithbedN2O)+('Mitigation drivers'!X228*PMwithoutlitterN2O)+('Mitigation drivers'!X229*PMwithlitterN2O)+('Mitigation drivers'!X231*DigesterN2OEF))/100</f>
        <v>1.6449999999999999E-2</v>
      </c>
      <c r="AD71" s="25">
        <f>(('Mitigation drivers'!Y221*LagoonN2O)+('Mitigation drivers'!Y222*LiquidN2O)+('Mitigation drivers'!Y223*DrylotN2O)+('Mitigation drivers'!Y224*SolidStorageN2O)+('Mitigation drivers'!Y225*DailyspreadN2O)+('Mitigation drivers'!Y226*CompostN2O)+('Mitigation drivers'!Y227*ManwithbedN2O)+('Mitigation drivers'!Y228*PMwithoutlitterN2O)+('Mitigation drivers'!Y229*PMwithlitterN2O)+('Mitigation drivers'!Y231*DigesterN2OEF))/100</f>
        <v>1.6449999999999999E-2</v>
      </c>
      <c r="AE71" s="25">
        <f>(('Mitigation drivers'!Z221*LagoonN2O)+('Mitigation drivers'!Z222*LiquidN2O)+('Mitigation drivers'!Z223*DrylotN2O)+('Mitigation drivers'!Z224*SolidStorageN2O)+('Mitigation drivers'!Z225*DailyspreadN2O)+('Mitigation drivers'!Z226*CompostN2O)+('Mitigation drivers'!Z227*ManwithbedN2O)+('Mitigation drivers'!Z228*PMwithoutlitterN2O)+('Mitigation drivers'!Z229*PMwithlitterN2O)+('Mitigation drivers'!Z231*DigesterN2OEF))/100</f>
        <v>1.6449999999999999E-2</v>
      </c>
      <c r="AF71" s="25">
        <f>(('Mitigation drivers'!AA221*LagoonN2O)+('Mitigation drivers'!AA222*LiquidN2O)+('Mitigation drivers'!AA223*DrylotN2O)+('Mitigation drivers'!AA224*SolidStorageN2O)+('Mitigation drivers'!AA225*DailyspreadN2O)+('Mitigation drivers'!AA226*CompostN2O)+('Mitigation drivers'!AA227*ManwithbedN2O)+('Mitigation drivers'!AA228*PMwithoutlitterN2O)+('Mitigation drivers'!AA229*PMwithlitterN2O)+('Mitigation drivers'!AA231*DigesterN2OEF))/100</f>
        <v>1.6449999999999999E-2</v>
      </c>
      <c r="AG71" s="25">
        <f>(('Mitigation drivers'!AB221*LagoonN2O)+('Mitigation drivers'!AB222*LiquidN2O)+('Mitigation drivers'!AB223*DrylotN2O)+('Mitigation drivers'!AB224*SolidStorageN2O)+('Mitigation drivers'!AB225*DailyspreadN2O)+('Mitigation drivers'!AB226*CompostN2O)+('Mitigation drivers'!AB227*ManwithbedN2O)+('Mitigation drivers'!AB228*PMwithoutlitterN2O)+('Mitigation drivers'!AB229*PMwithlitterN2O)+('Mitigation drivers'!AB231*DigesterN2OEF))/100</f>
        <v>1.6449999999999999E-2</v>
      </c>
      <c r="AH71" s="25">
        <f>(('Mitigation drivers'!AC221*LagoonN2O)+('Mitigation drivers'!AC222*LiquidN2O)+('Mitigation drivers'!AC223*DrylotN2O)+('Mitigation drivers'!AC224*SolidStorageN2O)+('Mitigation drivers'!AC225*DailyspreadN2O)+('Mitigation drivers'!AC226*CompostN2O)+('Mitigation drivers'!AC227*ManwithbedN2O)+('Mitigation drivers'!AC228*PMwithoutlitterN2O)+('Mitigation drivers'!AC229*PMwithlitterN2O)+('Mitigation drivers'!AC231*DigesterN2OEF))/100</f>
        <v>1.6449999999999999E-2</v>
      </c>
      <c r="AI71" s="25">
        <f>(('Mitigation drivers'!AD221*LagoonN2O)+('Mitigation drivers'!AD222*LiquidN2O)+('Mitigation drivers'!AD223*DrylotN2O)+('Mitigation drivers'!AD224*SolidStorageN2O)+('Mitigation drivers'!AD225*DailyspreadN2O)+('Mitigation drivers'!AD226*CompostN2O)+('Mitigation drivers'!AD227*ManwithbedN2O)+('Mitigation drivers'!AD228*PMwithoutlitterN2O)+('Mitigation drivers'!AD229*PMwithlitterN2O)+('Mitigation drivers'!AD231*DigesterN2OEF))/100</f>
        <v>1.6449999999999999E-2</v>
      </c>
      <c r="AJ71" s="25">
        <f>(('Mitigation drivers'!AE221*LagoonN2O)+('Mitigation drivers'!AE222*LiquidN2O)+('Mitigation drivers'!AE223*DrylotN2O)+('Mitigation drivers'!AE224*SolidStorageN2O)+('Mitigation drivers'!AE225*DailyspreadN2O)+('Mitigation drivers'!AE226*CompostN2O)+('Mitigation drivers'!AE227*ManwithbedN2O)+('Mitigation drivers'!AE228*PMwithoutlitterN2O)+('Mitigation drivers'!AE229*PMwithlitterN2O)+('Mitigation drivers'!AE231*DigesterN2OEF))/100</f>
        <v>1.6449999999999999E-2</v>
      </c>
      <c r="AK71" s="25">
        <f>(('Mitigation drivers'!AF221*LagoonN2O)+('Mitigation drivers'!AF222*LiquidN2O)+('Mitigation drivers'!AF223*DrylotN2O)+('Mitigation drivers'!AF224*SolidStorageN2O)+('Mitigation drivers'!AF225*DailyspreadN2O)+('Mitigation drivers'!AF226*CompostN2O)+('Mitigation drivers'!AF227*ManwithbedN2O)+('Mitigation drivers'!AF228*PMwithoutlitterN2O)+('Mitigation drivers'!AF229*PMwithlitterN2O)+('Mitigation drivers'!AF231*DigesterN2OEF))/100</f>
        <v>1.6449999999999999E-2</v>
      </c>
      <c r="AL71" s="25">
        <f>(('Mitigation drivers'!AG221*LagoonN2O)+('Mitigation drivers'!AG222*LiquidN2O)+('Mitigation drivers'!AG223*DrylotN2O)+('Mitigation drivers'!AG224*SolidStorageN2O)+('Mitigation drivers'!AG225*DailyspreadN2O)+('Mitigation drivers'!AG226*CompostN2O)+('Mitigation drivers'!AG227*ManwithbedN2O)+('Mitigation drivers'!AG228*PMwithoutlitterN2O)+('Mitigation drivers'!AG229*PMwithlitterN2O)+('Mitigation drivers'!AG231*DigesterN2OEF))/100</f>
        <v>1.6449999999999999E-2</v>
      </c>
      <c r="AM71" s="25">
        <f>(('Mitigation drivers'!AH221*LagoonN2O)+('Mitigation drivers'!AH222*LiquidN2O)+('Mitigation drivers'!AH223*DrylotN2O)+('Mitigation drivers'!AH224*SolidStorageN2O)+('Mitigation drivers'!AH225*DailyspreadN2O)+('Mitigation drivers'!AH226*CompostN2O)+('Mitigation drivers'!AH227*ManwithbedN2O)+('Mitigation drivers'!AH228*PMwithoutlitterN2O)+('Mitigation drivers'!AH229*PMwithlitterN2O)+('Mitigation drivers'!AH231*DigesterN2OEF))/100</f>
        <v>1.6449999999999999E-2</v>
      </c>
      <c r="AN71" s="25">
        <f>(('Mitigation drivers'!AI221*LagoonN2O)+('Mitigation drivers'!AI222*LiquidN2O)+('Mitigation drivers'!AI223*DrylotN2O)+('Mitigation drivers'!AI224*SolidStorageN2O)+('Mitigation drivers'!AI225*DailyspreadN2O)+('Mitigation drivers'!AI226*CompostN2O)+('Mitigation drivers'!AI227*ManwithbedN2O)+('Mitigation drivers'!AI228*PMwithoutlitterN2O)+('Mitigation drivers'!AI229*PMwithlitterN2O)+('Mitigation drivers'!AI231*DigesterN2OEF))/100</f>
        <v>1.6449999999999999E-2</v>
      </c>
      <c r="AO71" s="25">
        <f>(('Mitigation drivers'!AJ221*LagoonN2O)+('Mitigation drivers'!AJ222*LiquidN2O)+('Mitigation drivers'!AJ223*DrylotN2O)+('Mitigation drivers'!AJ224*SolidStorageN2O)+('Mitigation drivers'!AJ225*DailyspreadN2O)+('Mitigation drivers'!AJ226*CompostN2O)+('Mitigation drivers'!AJ227*ManwithbedN2O)+('Mitigation drivers'!AJ228*PMwithoutlitterN2O)+('Mitigation drivers'!AJ229*PMwithlitterN2O)+('Mitigation drivers'!AJ231*DigesterN2OEF))/100</f>
        <v>1.6449999999999999E-2</v>
      </c>
    </row>
    <row r="73" spans="1:41" x14ac:dyDescent="0.3">
      <c r="A73" t="str">
        <f>'IPCC Categories'!A5</f>
        <v>3A Livestock</v>
      </c>
      <c r="B73" t="str">
        <f>'IPCC Categories'!B20</f>
        <v>3A2 Manure management (N2O)</v>
      </c>
      <c r="C73" t="str">
        <f>'IPCC Categories'!B20</f>
        <v>3A2 Manure management (N2O)</v>
      </c>
      <c r="D73" t="s">
        <v>294</v>
      </c>
      <c r="E73" t="s">
        <v>293</v>
      </c>
      <c r="F73" t="s">
        <v>139</v>
      </c>
      <c r="G73" t="s">
        <v>145</v>
      </c>
      <c r="H73" s="26">
        <v>0</v>
      </c>
    </row>
    <row r="74" spans="1:41" x14ac:dyDescent="0.3">
      <c r="A74" t="str">
        <f>A73</f>
        <v>3A Livestock</v>
      </c>
      <c r="B74" t="str">
        <f>B73</f>
        <v>3A2 Manure management (N2O)</v>
      </c>
      <c r="C74" t="str">
        <f>C73</f>
        <v>3A2 Manure management (N2O)</v>
      </c>
      <c r="D74" t="s">
        <v>295</v>
      </c>
      <c r="E74" t="str">
        <f>E73</f>
        <v>Manure EF</v>
      </c>
      <c r="F74" t="str">
        <f>F73</f>
        <v>N2O</v>
      </c>
      <c r="G74" t="str">
        <f>G73</f>
        <v>kg N2O-N/kg Nex</v>
      </c>
      <c r="H74" s="26">
        <v>0</v>
      </c>
    </row>
    <row r="75" spans="1:41" x14ac:dyDescent="0.3">
      <c r="A75" t="str">
        <f t="shared" ref="A75:A82" si="36">A74</f>
        <v>3A Livestock</v>
      </c>
      <c r="B75" t="str">
        <f t="shared" ref="B75:B82" si="37">B74</f>
        <v>3A2 Manure management (N2O)</v>
      </c>
      <c r="C75" t="str">
        <f t="shared" ref="C75:C82" si="38">C74</f>
        <v>3A2 Manure management (N2O)</v>
      </c>
      <c r="D75" t="s">
        <v>296</v>
      </c>
      <c r="E75" t="str">
        <f t="shared" ref="E75:E82" si="39">E74</f>
        <v>Manure EF</v>
      </c>
      <c r="F75" t="str">
        <f t="shared" ref="F75:F82" si="40">F74</f>
        <v>N2O</v>
      </c>
      <c r="G75" t="str">
        <f t="shared" ref="G75:G82" si="41">G74</f>
        <v>kg N2O-N/kg Nex</v>
      </c>
      <c r="H75" s="26">
        <v>0.02</v>
      </c>
    </row>
    <row r="76" spans="1:41" x14ac:dyDescent="0.3">
      <c r="A76" t="str">
        <f t="shared" si="36"/>
        <v>3A Livestock</v>
      </c>
      <c r="B76" t="str">
        <f t="shared" si="37"/>
        <v>3A2 Manure management (N2O)</v>
      </c>
      <c r="C76" t="str">
        <f t="shared" si="38"/>
        <v>3A2 Manure management (N2O)</v>
      </c>
      <c r="D76" t="s">
        <v>297</v>
      </c>
      <c r="E76" t="str">
        <f t="shared" si="39"/>
        <v>Manure EF</v>
      </c>
      <c r="F76" t="str">
        <f t="shared" si="40"/>
        <v>N2O</v>
      </c>
      <c r="G76" t="str">
        <f t="shared" si="41"/>
        <v>kg N2O-N/kg Nex</v>
      </c>
      <c r="H76" s="26">
        <v>5.0000000000000001E-3</v>
      </c>
    </row>
    <row r="77" spans="1:41" x14ac:dyDescent="0.3">
      <c r="A77" t="str">
        <f t="shared" si="36"/>
        <v>3A Livestock</v>
      </c>
      <c r="B77" t="str">
        <f t="shared" si="37"/>
        <v>3A2 Manure management (N2O)</v>
      </c>
      <c r="C77" t="str">
        <f t="shared" si="38"/>
        <v>3A2 Manure management (N2O)</v>
      </c>
      <c r="D77" t="s">
        <v>298</v>
      </c>
      <c r="E77" t="str">
        <f t="shared" si="39"/>
        <v>Manure EF</v>
      </c>
      <c r="F77" t="str">
        <f t="shared" si="40"/>
        <v>N2O</v>
      </c>
      <c r="G77" t="str">
        <f t="shared" si="41"/>
        <v>kg N2O-N/kg Nex</v>
      </c>
      <c r="H77" s="26">
        <v>0</v>
      </c>
    </row>
    <row r="78" spans="1:41" x14ac:dyDescent="0.3">
      <c r="A78" t="str">
        <f t="shared" si="36"/>
        <v>3A Livestock</v>
      </c>
      <c r="B78" t="str">
        <f t="shared" si="37"/>
        <v>3A2 Manure management (N2O)</v>
      </c>
      <c r="C78" t="str">
        <f t="shared" si="38"/>
        <v>3A2 Manure management (N2O)</v>
      </c>
      <c r="D78" t="s">
        <v>299</v>
      </c>
      <c r="E78" t="str">
        <f t="shared" si="39"/>
        <v>Manure EF</v>
      </c>
      <c r="F78" t="str">
        <f t="shared" si="40"/>
        <v>N2O</v>
      </c>
      <c r="G78" t="str">
        <f t="shared" si="41"/>
        <v>kg N2O-N/kg Nex</v>
      </c>
      <c r="H78" s="26">
        <v>6.0000000000000001E-3</v>
      </c>
    </row>
    <row r="79" spans="1:41" x14ac:dyDescent="0.3">
      <c r="A79" t="str">
        <f t="shared" si="36"/>
        <v>3A Livestock</v>
      </c>
      <c r="B79" t="str">
        <f t="shared" si="37"/>
        <v>3A2 Manure management (N2O)</v>
      </c>
      <c r="C79" t="str">
        <f t="shared" si="38"/>
        <v>3A2 Manure management (N2O)</v>
      </c>
      <c r="D79" t="s">
        <v>300</v>
      </c>
      <c r="E79" t="str">
        <f t="shared" si="39"/>
        <v>Manure EF</v>
      </c>
      <c r="F79" t="str">
        <f t="shared" si="40"/>
        <v>N2O</v>
      </c>
      <c r="G79" t="str">
        <f t="shared" si="41"/>
        <v>kg N2O-N/kg Nex</v>
      </c>
      <c r="H79" s="26">
        <v>0.01</v>
      </c>
    </row>
    <row r="80" spans="1:41" x14ac:dyDescent="0.3">
      <c r="A80" t="str">
        <f t="shared" si="36"/>
        <v>3A Livestock</v>
      </c>
      <c r="B80" t="str">
        <f t="shared" si="37"/>
        <v>3A2 Manure management (N2O)</v>
      </c>
      <c r="C80" t="str">
        <f t="shared" si="38"/>
        <v>3A2 Manure management (N2O)</v>
      </c>
      <c r="D80" t="s">
        <v>301</v>
      </c>
      <c r="E80" t="str">
        <f t="shared" si="39"/>
        <v>Manure EF</v>
      </c>
      <c r="F80" t="str">
        <f t="shared" si="40"/>
        <v>N2O</v>
      </c>
      <c r="G80" t="str">
        <f t="shared" si="41"/>
        <v>kg N2O-N/kg Nex</v>
      </c>
      <c r="H80" s="26">
        <v>1E-3</v>
      </c>
    </row>
    <row r="81" spans="1:8" x14ac:dyDescent="0.3">
      <c r="A81" t="str">
        <f t="shared" si="36"/>
        <v>3A Livestock</v>
      </c>
      <c r="B81" t="str">
        <f t="shared" si="37"/>
        <v>3A2 Manure management (N2O)</v>
      </c>
      <c r="C81" t="str">
        <f t="shared" si="38"/>
        <v>3A2 Manure management (N2O)</v>
      </c>
      <c r="D81" t="s">
        <v>302</v>
      </c>
      <c r="E81" t="str">
        <f t="shared" si="39"/>
        <v>Manure EF</v>
      </c>
      <c r="F81" t="str">
        <f t="shared" si="40"/>
        <v>N2O</v>
      </c>
      <c r="G81" t="str">
        <f t="shared" si="41"/>
        <v>kg N2O-N/kg Nex</v>
      </c>
      <c r="H81" s="26">
        <v>1E-3</v>
      </c>
    </row>
    <row r="82" spans="1:8" x14ac:dyDescent="0.3">
      <c r="A82" t="str">
        <f t="shared" si="36"/>
        <v>3A Livestock</v>
      </c>
      <c r="B82" t="str">
        <f t="shared" si="37"/>
        <v>3A2 Manure management (N2O)</v>
      </c>
      <c r="C82" t="str">
        <f t="shared" si="38"/>
        <v>3A2 Manure management (N2O)</v>
      </c>
      <c r="D82" t="s">
        <v>769</v>
      </c>
      <c r="E82" t="str">
        <f t="shared" si="39"/>
        <v>Manure EF</v>
      </c>
      <c r="F82" t="str">
        <f t="shared" si="40"/>
        <v>N2O</v>
      </c>
      <c r="G82" t="str">
        <f t="shared" si="41"/>
        <v>kg N2O-N/kg Nex</v>
      </c>
      <c r="H82" s="26">
        <v>0</v>
      </c>
    </row>
    <row r="84" spans="1:8" x14ac:dyDescent="0.3">
      <c r="A84" t="str">
        <f>'IPCC Categories'!A59</f>
        <v>3C Aggregated and non-CO2 emissions on land</v>
      </c>
      <c r="B84" t="str">
        <f>'IPCC Categories'!B59</f>
        <v>3C1 Biomass burning (CH4)</v>
      </c>
      <c r="C84" t="str">
        <f>'Activity data'!C24</f>
        <v>3C1a Biomass burning in forest land</v>
      </c>
      <c r="D84" t="str">
        <f>'Activity data'!D24</f>
        <v>Indigenous forests</v>
      </c>
      <c r="E84" t="s">
        <v>364</v>
      </c>
      <c r="G84" t="s">
        <v>365</v>
      </c>
      <c r="H84" s="48">
        <v>19.8</v>
      </c>
    </row>
    <row r="85" spans="1:8" x14ac:dyDescent="0.3">
      <c r="A85" t="str">
        <f>A84</f>
        <v>3C Aggregated and non-CO2 emissions on land</v>
      </c>
      <c r="B85" t="str">
        <f>B84</f>
        <v>3C1 Biomass burning (CH4)</v>
      </c>
      <c r="C85" t="str">
        <f>'Activity data'!C25</f>
        <v>3C1a Biomass burning in forest land</v>
      </c>
      <c r="D85" t="str">
        <f>'Activity data'!D25</f>
        <v>Thickets</v>
      </c>
      <c r="E85" t="str">
        <f>E84</f>
        <v>Biomass burning Mb</v>
      </c>
      <c r="G85" t="s">
        <v>365</v>
      </c>
      <c r="H85" s="48">
        <v>1.4</v>
      </c>
    </row>
    <row r="86" spans="1:8" x14ac:dyDescent="0.3">
      <c r="A86" t="str">
        <f t="shared" ref="A86:A147" si="42">A85</f>
        <v>3C Aggregated and non-CO2 emissions on land</v>
      </c>
      <c r="B86" t="str">
        <f t="shared" ref="B86:B99" si="43">B85</f>
        <v>3C1 Biomass burning (CH4)</v>
      </c>
      <c r="C86" t="str">
        <f>'Activity data'!C26</f>
        <v>3C1a Biomass burning in forest land</v>
      </c>
      <c r="D86" t="str">
        <f>'Activity data'!D26</f>
        <v>Woodlands</v>
      </c>
      <c r="E86" t="str">
        <f t="shared" ref="E86:E115" si="44">E85</f>
        <v>Biomass burning Mb</v>
      </c>
      <c r="G86" t="s">
        <v>365</v>
      </c>
      <c r="H86" s="48">
        <v>4.4000000000000004</v>
      </c>
    </row>
    <row r="87" spans="1:8" x14ac:dyDescent="0.3">
      <c r="A87" t="str">
        <f t="shared" si="42"/>
        <v>3C Aggregated and non-CO2 emissions on land</v>
      </c>
      <c r="B87" t="str">
        <f t="shared" si="43"/>
        <v>3C1 Biomass burning (CH4)</v>
      </c>
      <c r="C87" t="str">
        <f>'Activity data'!C27</f>
        <v>3C1a Biomass burning in forest land</v>
      </c>
      <c r="D87" t="str">
        <f>'Activity data'!D27</f>
        <v>Plantations</v>
      </c>
      <c r="E87" t="str">
        <f t="shared" si="44"/>
        <v>Biomass burning Mb</v>
      </c>
      <c r="G87" t="s">
        <v>365</v>
      </c>
      <c r="H87" s="48">
        <v>33.6</v>
      </c>
    </row>
    <row r="88" spans="1:8" x14ac:dyDescent="0.3">
      <c r="A88" t="str">
        <f t="shared" si="42"/>
        <v>3C Aggregated and non-CO2 emissions on land</v>
      </c>
      <c r="B88" t="str">
        <f t="shared" si="43"/>
        <v>3C1 Biomass burning (CH4)</v>
      </c>
      <c r="C88" t="str">
        <f>'Activity data'!C28</f>
        <v>3C1b Biomass burning in Croplands</v>
      </c>
      <c r="D88" t="str">
        <f>'Activity data'!D28</f>
        <v>Annual non-pivot</v>
      </c>
      <c r="E88" t="str">
        <f t="shared" si="44"/>
        <v>Biomass burning Mb</v>
      </c>
      <c r="G88" t="s">
        <v>365</v>
      </c>
      <c r="H88" s="48">
        <v>7</v>
      </c>
    </row>
    <row r="89" spans="1:8" x14ac:dyDescent="0.3">
      <c r="A89" t="str">
        <f t="shared" si="42"/>
        <v>3C Aggregated and non-CO2 emissions on land</v>
      </c>
      <c r="B89" t="str">
        <f t="shared" si="43"/>
        <v>3C1 Biomass burning (CH4)</v>
      </c>
      <c r="C89" t="str">
        <f>'Activity data'!C29</f>
        <v>3C1b Biomass burning in Croplands</v>
      </c>
      <c r="D89" t="str">
        <f>'Activity data'!D29</f>
        <v>Annual pivot</v>
      </c>
      <c r="E89" t="str">
        <f t="shared" si="44"/>
        <v>Biomass burning Mb</v>
      </c>
      <c r="G89" t="s">
        <v>365</v>
      </c>
      <c r="H89" s="48">
        <v>7</v>
      </c>
    </row>
    <row r="90" spans="1:8" x14ac:dyDescent="0.3">
      <c r="A90" t="str">
        <f t="shared" si="42"/>
        <v>3C Aggregated and non-CO2 emissions on land</v>
      </c>
      <c r="B90" t="str">
        <f t="shared" si="43"/>
        <v>3C1 Biomass burning (CH4)</v>
      </c>
      <c r="C90" t="str">
        <f>'Activity data'!C30</f>
        <v>3C1b Biomass burning in Croplands</v>
      </c>
      <c r="D90" t="str">
        <f>'Activity data'!D30</f>
        <v>Perennial orchards</v>
      </c>
      <c r="E90" t="str">
        <f t="shared" si="44"/>
        <v>Biomass burning Mb</v>
      </c>
      <c r="G90" t="s">
        <v>365</v>
      </c>
      <c r="H90" s="48">
        <v>7</v>
      </c>
    </row>
    <row r="91" spans="1:8" x14ac:dyDescent="0.3">
      <c r="A91" t="str">
        <f t="shared" si="42"/>
        <v>3C Aggregated and non-CO2 emissions on land</v>
      </c>
      <c r="B91" t="str">
        <f t="shared" si="43"/>
        <v>3C1 Biomass burning (CH4)</v>
      </c>
      <c r="C91" t="str">
        <f>'Activity data'!C31</f>
        <v>3C1b Biomass burning in Croplands</v>
      </c>
      <c r="D91" t="str">
        <f>'Activity data'!D31</f>
        <v>Perennial vineyards</v>
      </c>
      <c r="E91" t="str">
        <f t="shared" si="44"/>
        <v>Biomass burning Mb</v>
      </c>
      <c r="G91" t="s">
        <v>365</v>
      </c>
      <c r="H91" s="48">
        <v>7</v>
      </c>
    </row>
    <row r="92" spans="1:8" x14ac:dyDescent="0.3">
      <c r="A92" t="str">
        <f t="shared" si="42"/>
        <v>3C Aggregated and non-CO2 emissions on land</v>
      </c>
      <c r="B92" t="str">
        <f t="shared" si="43"/>
        <v>3C1 Biomass burning (CH4)</v>
      </c>
      <c r="C92" t="str">
        <f>'Activity data'!C32</f>
        <v>3C1b Biomass burning in Croplands</v>
      </c>
      <c r="D92" t="str">
        <f>'Activity data'!D32</f>
        <v>Cropland subsistence</v>
      </c>
      <c r="E92" t="str">
        <f t="shared" si="44"/>
        <v>Biomass burning Mb</v>
      </c>
      <c r="G92" t="s">
        <v>365</v>
      </c>
      <c r="H92" s="48">
        <v>7</v>
      </c>
    </row>
    <row r="93" spans="1:8" x14ac:dyDescent="0.3">
      <c r="A93" t="str">
        <f t="shared" si="42"/>
        <v>3C Aggregated and non-CO2 emissions on land</v>
      </c>
      <c r="B93" t="str">
        <f t="shared" si="43"/>
        <v>3C1 Biomass burning (CH4)</v>
      </c>
      <c r="C93" t="str">
        <f>'Activity data'!C33</f>
        <v>3C1c Biomass burning in Grasslands</v>
      </c>
      <c r="D93" t="str">
        <f>'Activity data'!D33</f>
        <v>Grasslands</v>
      </c>
      <c r="E93" t="str">
        <f t="shared" si="44"/>
        <v>Biomass burning Mb</v>
      </c>
      <c r="G93" t="s">
        <v>365</v>
      </c>
      <c r="H93" s="48">
        <v>4.0999999999999996</v>
      </c>
    </row>
    <row r="94" spans="1:8" x14ac:dyDescent="0.3">
      <c r="A94" t="str">
        <f t="shared" si="42"/>
        <v>3C Aggregated and non-CO2 emissions on land</v>
      </c>
      <c r="B94" t="str">
        <f t="shared" si="43"/>
        <v>3C1 Biomass burning (CH4)</v>
      </c>
      <c r="C94" t="str">
        <f>'Activity data'!C34</f>
        <v>3C1c Biomass burning in Grasslands</v>
      </c>
      <c r="D94" t="str">
        <f>'Activity data'!D34</f>
        <v>Low shrublands</v>
      </c>
      <c r="E94" t="str">
        <f t="shared" si="44"/>
        <v>Biomass burning Mb</v>
      </c>
      <c r="G94" t="s">
        <v>365</v>
      </c>
      <c r="H94" s="48">
        <v>2.4</v>
      </c>
    </row>
    <row r="95" spans="1:8" x14ac:dyDescent="0.3">
      <c r="A95" t="str">
        <f>A99</f>
        <v>3C Aggregated and non-CO2 emissions on land</v>
      </c>
      <c r="B95" t="str">
        <f>B99</f>
        <v>3C1 Biomass burning (CH4)</v>
      </c>
      <c r="C95" t="str">
        <f>'Activity data'!C35</f>
        <v>3C1f Biomass burning in Other lands</v>
      </c>
      <c r="D95" t="str">
        <f>'Activity data'!D35</f>
        <v>Degraded land</v>
      </c>
      <c r="E95" t="str">
        <f>E99</f>
        <v>Biomass burning Mb</v>
      </c>
      <c r="G95" t="s">
        <v>365</v>
      </c>
      <c r="H95" s="48">
        <v>2</v>
      </c>
    </row>
    <row r="96" spans="1:8" x14ac:dyDescent="0.3">
      <c r="A96" t="str">
        <f>A94</f>
        <v>3C Aggregated and non-CO2 emissions on land</v>
      </c>
      <c r="B96" t="str">
        <f>B94</f>
        <v>3C1 Biomass burning (CH4)</v>
      </c>
      <c r="C96" t="str">
        <f>'Activity data'!C36</f>
        <v>3C1d Biomass burning in Wetlands</v>
      </c>
      <c r="D96" t="str">
        <f>'Activity data'!D36</f>
        <v>Wetlands</v>
      </c>
      <c r="E96" t="str">
        <f>E94</f>
        <v>Biomass burning Mb</v>
      </c>
      <c r="G96" t="s">
        <v>365</v>
      </c>
      <c r="H96" s="48">
        <v>4.0999999999999996</v>
      </c>
    </row>
    <row r="97" spans="1:8" x14ac:dyDescent="0.3">
      <c r="A97" t="str">
        <f t="shared" si="42"/>
        <v>3C Aggregated and non-CO2 emissions on land</v>
      </c>
      <c r="B97" t="str">
        <f t="shared" si="43"/>
        <v>3C1 Biomass burning (CH4)</v>
      </c>
      <c r="C97" t="str">
        <f>'Activity data'!C37</f>
        <v>3C1e Biomass burning in Settlements</v>
      </c>
      <c r="D97" t="str">
        <f>'Activity data'!D37</f>
        <v>Settlements</v>
      </c>
      <c r="E97" t="str">
        <f t="shared" si="44"/>
        <v>Biomass burning Mb</v>
      </c>
      <c r="G97" t="s">
        <v>365</v>
      </c>
      <c r="H97" s="48">
        <v>4.0999999999999996</v>
      </c>
    </row>
    <row r="98" spans="1:8" x14ac:dyDescent="0.3">
      <c r="A98" t="str">
        <f t="shared" si="42"/>
        <v>3C Aggregated and non-CO2 emissions on land</v>
      </c>
      <c r="B98" t="str">
        <f t="shared" si="43"/>
        <v>3C1 Biomass burning (CH4)</v>
      </c>
      <c r="C98" t="str">
        <f>'Activity data'!C38</f>
        <v>3C1e Biomass burning in Settlements</v>
      </c>
      <c r="D98" t="str">
        <f>'Activity data'!D38</f>
        <v>Mines</v>
      </c>
      <c r="E98" t="str">
        <f t="shared" si="44"/>
        <v>Biomass burning Mb</v>
      </c>
      <c r="G98" t="s">
        <v>365</v>
      </c>
      <c r="H98" s="48">
        <v>4.0999999999999996</v>
      </c>
    </row>
    <row r="99" spans="1:8" x14ac:dyDescent="0.3">
      <c r="A99" t="str">
        <f t="shared" si="42"/>
        <v>3C Aggregated and non-CO2 emissions on land</v>
      </c>
      <c r="B99" t="str">
        <f t="shared" si="43"/>
        <v>3C1 Biomass burning (CH4)</v>
      </c>
      <c r="C99" t="str">
        <f>'Activity data'!C39</f>
        <v>3C1f Biomass burning in Other lands</v>
      </c>
      <c r="D99" t="str">
        <f>'Activity data'!D39</f>
        <v>Bare ground</v>
      </c>
      <c r="E99" t="str">
        <f t="shared" si="44"/>
        <v>Biomass burning Mb</v>
      </c>
      <c r="G99" t="s">
        <v>365</v>
      </c>
      <c r="H99" s="48">
        <v>0</v>
      </c>
    </row>
    <row r="100" spans="1:8" x14ac:dyDescent="0.3">
      <c r="A100" t="str">
        <f>A95</f>
        <v>3C Aggregated and non-CO2 emissions on land</v>
      </c>
      <c r="B100" t="str">
        <f>'IPCC Categories'!B65</f>
        <v>3C1 Biomass burning (N2O)</v>
      </c>
      <c r="C100" t="str">
        <f t="shared" ref="C100:D119" si="45">C84</f>
        <v>3C1a Biomass burning in forest land</v>
      </c>
      <c r="D100" t="str">
        <f t="shared" si="45"/>
        <v>Indigenous forests</v>
      </c>
      <c r="E100" t="s">
        <v>363</v>
      </c>
      <c r="G100" t="s">
        <v>705</v>
      </c>
      <c r="H100" s="26">
        <v>1</v>
      </c>
    </row>
    <row r="101" spans="1:8" x14ac:dyDescent="0.3">
      <c r="A101" t="str">
        <f t="shared" si="42"/>
        <v>3C Aggregated and non-CO2 emissions on land</v>
      </c>
      <c r="B101" t="str">
        <f>B100</f>
        <v>3C1 Biomass burning (N2O)</v>
      </c>
      <c r="C101" t="str">
        <f t="shared" si="45"/>
        <v>3C1a Biomass burning in forest land</v>
      </c>
      <c r="D101" t="str">
        <f t="shared" si="45"/>
        <v>Thickets</v>
      </c>
      <c r="E101" t="str">
        <f t="shared" si="44"/>
        <v>Biomass burning Cf</v>
      </c>
      <c r="G101" t="s">
        <v>705</v>
      </c>
      <c r="H101" s="48">
        <v>0.95</v>
      </c>
    </row>
    <row r="102" spans="1:8" x14ac:dyDescent="0.3">
      <c r="A102" t="str">
        <f t="shared" si="42"/>
        <v>3C Aggregated and non-CO2 emissions on land</v>
      </c>
      <c r="B102" t="str">
        <f t="shared" ref="B102:B147" si="46">B101</f>
        <v>3C1 Biomass burning (N2O)</v>
      </c>
      <c r="C102" t="str">
        <f t="shared" si="45"/>
        <v>3C1a Biomass burning in forest land</v>
      </c>
      <c r="D102" t="str">
        <f t="shared" si="45"/>
        <v>Woodlands</v>
      </c>
      <c r="E102" t="str">
        <f t="shared" si="44"/>
        <v>Biomass burning Cf</v>
      </c>
      <c r="G102" t="s">
        <v>705</v>
      </c>
      <c r="H102" s="48">
        <v>0.8</v>
      </c>
    </row>
    <row r="103" spans="1:8" x14ac:dyDescent="0.3">
      <c r="A103" t="str">
        <f t="shared" si="42"/>
        <v>3C Aggregated and non-CO2 emissions on land</v>
      </c>
      <c r="B103" t="str">
        <f t="shared" si="46"/>
        <v>3C1 Biomass burning (N2O)</v>
      </c>
      <c r="C103" t="str">
        <f t="shared" si="45"/>
        <v>3C1a Biomass burning in forest land</v>
      </c>
      <c r="D103" t="str">
        <f t="shared" si="45"/>
        <v>Plantations</v>
      </c>
      <c r="E103" t="str">
        <f t="shared" si="44"/>
        <v>Biomass burning Cf</v>
      </c>
      <c r="G103" t="s">
        <v>705</v>
      </c>
      <c r="H103" s="26">
        <v>1</v>
      </c>
    </row>
    <row r="104" spans="1:8" x14ac:dyDescent="0.3">
      <c r="A104" t="str">
        <f t="shared" si="42"/>
        <v>3C Aggregated and non-CO2 emissions on land</v>
      </c>
      <c r="B104" t="str">
        <f t="shared" si="46"/>
        <v>3C1 Biomass burning (N2O)</v>
      </c>
      <c r="C104" t="str">
        <f t="shared" si="45"/>
        <v>3C1b Biomass burning in Croplands</v>
      </c>
      <c r="D104" t="str">
        <f t="shared" si="45"/>
        <v>Annual non-pivot</v>
      </c>
      <c r="E104" t="str">
        <f t="shared" si="44"/>
        <v>Biomass burning Cf</v>
      </c>
      <c r="G104" t="s">
        <v>705</v>
      </c>
      <c r="H104" s="26">
        <v>1</v>
      </c>
    </row>
    <row r="105" spans="1:8" x14ac:dyDescent="0.3">
      <c r="A105" t="str">
        <f t="shared" si="42"/>
        <v>3C Aggregated and non-CO2 emissions on land</v>
      </c>
      <c r="B105" t="str">
        <f t="shared" si="46"/>
        <v>3C1 Biomass burning (N2O)</v>
      </c>
      <c r="C105" t="str">
        <f t="shared" si="45"/>
        <v>3C1b Biomass burning in Croplands</v>
      </c>
      <c r="D105" t="str">
        <f t="shared" si="45"/>
        <v>Annual pivot</v>
      </c>
      <c r="E105" t="str">
        <f t="shared" si="44"/>
        <v>Biomass burning Cf</v>
      </c>
      <c r="G105" t="s">
        <v>705</v>
      </c>
      <c r="H105" s="26">
        <v>1</v>
      </c>
    </row>
    <row r="106" spans="1:8" x14ac:dyDescent="0.3">
      <c r="A106" t="str">
        <f t="shared" si="42"/>
        <v>3C Aggregated and non-CO2 emissions on land</v>
      </c>
      <c r="B106" t="str">
        <f t="shared" si="46"/>
        <v>3C1 Biomass burning (N2O)</v>
      </c>
      <c r="C106" t="str">
        <f t="shared" si="45"/>
        <v>3C1b Biomass burning in Croplands</v>
      </c>
      <c r="D106" t="str">
        <f t="shared" si="45"/>
        <v>Perennial orchards</v>
      </c>
      <c r="E106" t="str">
        <f t="shared" si="44"/>
        <v>Biomass burning Cf</v>
      </c>
      <c r="G106" t="s">
        <v>705</v>
      </c>
      <c r="H106" s="26">
        <v>1</v>
      </c>
    </row>
    <row r="107" spans="1:8" x14ac:dyDescent="0.3">
      <c r="A107" t="str">
        <f t="shared" si="42"/>
        <v>3C Aggregated and non-CO2 emissions on land</v>
      </c>
      <c r="B107" t="str">
        <f t="shared" si="46"/>
        <v>3C1 Biomass burning (N2O)</v>
      </c>
      <c r="C107" t="str">
        <f t="shared" si="45"/>
        <v>3C1b Biomass burning in Croplands</v>
      </c>
      <c r="D107" t="str">
        <f t="shared" si="45"/>
        <v>Perennial vineyards</v>
      </c>
      <c r="E107" t="str">
        <f t="shared" si="44"/>
        <v>Biomass burning Cf</v>
      </c>
      <c r="G107" t="s">
        <v>705</v>
      </c>
      <c r="H107" s="26">
        <v>1</v>
      </c>
    </row>
    <row r="108" spans="1:8" x14ac:dyDescent="0.3">
      <c r="A108" t="str">
        <f t="shared" si="42"/>
        <v>3C Aggregated and non-CO2 emissions on land</v>
      </c>
      <c r="B108" t="str">
        <f t="shared" si="46"/>
        <v>3C1 Biomass burning (N2O)</v>
      </c>
      <c r="C108" t="str">
        <f t="shared" si="45"/>
        <v>3C1b Biomass burning in Croplands</v>
      </c>
      <c r="D108" t="str">
        <f t="shared" si="45"/>
        <v>Cropland subsistence</v>
      </c>
      <c r="E108" t="str">
        <f t="shared" si="44"/>
        <v>Biomass burning Cf</v>
      </c>
      <c r="G108" t="s">
        <v>705</v>
      </c>
      <c r="H108" s="26">
        <v>1</v>
      </c>
    </row>
    <row r="109" spans="1:8" x14ac:dyDescent="0.3">
      <c r="A109" t="str">
        <f t="shared" si="42"/>
        <v>3C Aggregated and non-CO2 emissions on land</v>
      </c>
      <c r="B109" t="str">
        <f t="shared" si="46"/>
        <v>3C1 Biomass burning (N2O)</v>
      </c>
      <c r="C109" t="str">
        <f t="shared" si="45"/>
        <v>3C1c Biomass burning in Grasslands</v>
      </c>
      <c r="D109" t="str">
        <f t="shared" si="45"/>
        <v>Grasslands</v>
      </c>
      <c r="E109" t="str">
        <f t="shared" si="44"/>
        <v>Biomass burning Cf</v>
      </c>
      <c r="G109" t="s">
        <v>705</v>
      </c>
      <c r="H109" s="26">
        <v>1</v>
      </c>
    </row>
    <row r="110" spans="1:8" x14ac:dyDescent="0.3">
      <c r="A110" t="str">
        <f t="shared" si="42"/>
        <v>3C Aggregated and non-CO2 emissions on land</v>
      </c>
      <c r="B110" t="str">
        <f t="shared" si="46"/>
        <v>3C1 Biomass burning (N2O)</v>
      </c>
      <c r="C110" t="str">
        <f t="shared" si="45"/>
        <v>3C1c Biomass burning in Grasslands</v>
      </c>
      <c r="D110" t="str">
        <f t="shared" si="45"/>
        <v>Low shrublands</v>
      </c>
      <c r="E110" t="str">
        <f t="shared" si="44"/>
        <v>Biomass burning Cf</v>
      </c>
      <c r="G110" t="s">
        <v>705</v>
      </c>
      <c r="H110" s="48">
        <v>0.91</v>
      </c>
    </row>
    <row r="111" spans="1:8" x14ac:dyDescent="0.3">
      <c r="A111" t="str">
        <f>A115</f>
        <v>3C Aggregated and non-CO2 emissions on land</v>
      </c>
      <c r="B111" t="str">
        <f>B115</f>
        <v>3C1 Biomass burning (N2O)</v>
      </c>
      <c r="C111" t="str">
        <f t="shared" si="45"/>
        <v>3C1f Biomass burning in Other lands</v>
      </c>
      <c r="D111" t="str">
        <f t="shared" si="45"/>
        <v>Degraded land</v>
      </c>
      <c r="E111" t="str">
        <f>E115</f>
        <v>Biomass burning Cf</v>
      </c>
      <c r="G111" t="s">
        <v>705</v>
      </c>
      <c r="H111" s="26">
        <v>1</v>
      </c>
    </row>
    <row r="112" spans="1:8" x14ac:dyDescent="0.3">
      <c r="A112" t="str">
        <f>A110</f>
        <v>3C Aggregated and non-CO2 emissions on land</v>
      </c>
      <c r="B112" t="str">
        <f>B110</f>
        <v>3C1 Biomass burning (N2O)</v>
      </c>
      <c r="C112" t="str">
        <f t="shared" si="45"/>
        <v>3C1d Biomass burning in Wetlands</v>
      </c>
      <c r="D112" t="str">
        <f t="shared" si="45"/>
        <v>Wetlands</v>
      </c>
      <c r="E112" t="str">
        <f>E110</f>
        <v>Biomass burning Cf</v>
      </c>
      <c r="G112" t="s">
        <v>705</v>
      </c>
      <c r="H112" s="26">
        <v>1</v>
      </c>
    </row>
    <row r="113" spans="1:8" x14ac:dyDescent="0.3">
      <c r="A113" t="str">
        <f t="shared" si="42"/>
        <v>3C Aggregated and non-CO2 emissions on land</v>
      </c>
      <c r="B113" t="str">
        <f t="shared" si="46"/>
        <v>3C1 Biomass burning (N2O)</v>
      </c>
      <c r="C113" t="str">
        <f t="shared" si="45"/>
        <v>3C1e Biomass burning in Settlements</v>
      </c>
      <c r="D113" t="str">
        <f t="shared" si="45"/>
        <v>Settlements</v>
      </c>
      <c r="E113" t="str">
        <f t="shared" si="44"/>
        <v>Biomass burning Cf</v>
      </c>
      <c r="G113" t="s">
        <v>705</v>
      </c>
      <c r="H113" s="26">
        <v>1</v>
      </c>
    </row>
    <row r="114" spans="1:8" x14ac:dyDescent="0.3">
      <c r="A114" t="str">
        <f t="shared" si="42"/>
        <v>3C Aggregated and non-CO2 emissions on land</v>
      </c>
      <c r="B114" t="str">
        <f t="shared" si="46"/>
        <v>3C1 Biomass burning (N2O)</v>
      </c>
      <c r="C114" t="str">
        <f t="shared" si="45"/>
        <v>3C1e Biomass burning in Settlements</v>
      </c>
      <c r="D114" t="str">
        <f t="shared" si="45"/>
        <v>Mines</v>
      </c>
      <c r="E114" t="str">
        <f t="shared" si="44"/>
        <v>Biomass burning Cf</v>
      </c>
      <c r="G114" t="s">
        <v>705</v>
      </c>
      <c r="H114" s="26">
        <v>1</v>
      </c>
    </row>
    <row r="115" spans="1:8" x14ac:dyDescent="0.3">
      <c r="A115" t="str">
        <f t="shared" si="42"/>
        <v>3C Aggregated and non-CO2 emissions on land</v>
      </c>
      <c r="B115" t="str">
        <f t="shared" si="46"/>
        <v>3C1 Biomass burning (N2O)</v>
      </c>
      <c r="C115" t="str">
        <f t="shared" si="45"/>
        <v>3C1f Biomass burning in Other lands</v>
      </c>
      <c r="D115" t="str">
        <f t="shared" si="45"/>
        <v>Bare ground</v>
      </c>
      <c r="E115" t="str">
        <f t="shared" si="44"/>
        <v>Biomass burning Cf</v>
      </c>
      <c r="G115" t="s">
        <v>705</v>
      </c>
      <c r="H115" s="48">
        <v>0</v>
      </c>
    </row>
    <row r="116" spans="1:8" x14ac:dyDescent="0.3">
      <c r="A116" t="str">
        <f t="shared" si="42"/>
        <v>3C Aggregated and non-CO2 emissions on land</v>
      </c>
      <c r="B116" t="str">
        <f t="shared" si="46"/>
        <v>3C1 Biomass burning (N2O)</v>
      </c>
      <c r="C116" t="str">
        <f t="shared" si="45"/>
        <v>3C1a Biomass burning in forest land</v>
      </c>
      <c r="D116" t="str">
        <f t="shared" si="45"/>
        <v>Indigenous forests</v>
      </c>
      <c r="E116" t="s">
        <v>362</v>
      </c>
      <c r="F116" t="s">
        <v>121</v>
      </c>
      <c r="G116" t="s">
        <v>366</v>
      </c>
      <c r="H116" s="26">
        <v>4.7</v>
      </c>
    </row>
    <row r="117" spans="1:8" x14ac:dyDescent="0.3">
      <c r="A117" t="str">
        <f t="shared" si="42"/>
        <v>3C Aggregated and non-CO2 emissions on land</v>
      </c>
      <c r="B117" t="str">
        <f t="shared" si="46"/>
        <v>3C1 Biomass burning (N2O)</v>
      </c>
      <c r="C117" t="str">
        <f t="shared" si="45"/>
        <v>3C1a Biomass burning in forest land</v>
      </c>
      <c r="D117" t="str">
        <f t="shared" si="45"/>
        <v>Thickets</v>
      </c>
      <c r="E117" t="str">
        <f>E116</f>
        <v>Biomass burning EF</v>
      </c>
      <c r="F117" t="str">
        <f>F116</f>
        <v>CH4</v>
      </c>
      <c r="G117" t="s">
        <v>366</v>
      </c>
      <c r="H117" s="26">
        <v>4.7</v>
      </c>
    </row>
    <row r="118" spans="1:8" x14ac:dyDescent="0.3">
      <c r="A118" t="str">
        <f t="shared" si="42"/>
        <v>3C Aggregated and non-CO2 emissions on land</v>
      </c>
      <c r="B118" t="str">
        <f t="shared" si="46"/>
        <v>3C1 Biomass burning (N2O)</v>
      </c>
      <c r="C118" t="str">
        <f t="shared" si="45"/>
        <v>3C1a Biomass burning in forest land</v>
      </c>
      <c r="D118" t="str">
        <f t="shared" si="45"/>
        <v>Woodlands</v>
      </c>
      <c r="E118" t="str">
        <f t="shared" ref="E118:E131" si="47">E117</f>
        <v>Biomass burning EF</v>
      </c>
      <c r="F118" t="str">
        <f t="shared" ref="F118:F131" si="48">F117</f>
        <v>CH4</v>
      </c>
      <c r="G118" t="s">
        <v>366</v>
      </c>
      <c r="H118" s="26">
        <v>2.2999999999999998</v>
      </c>
    </row>
    <row r="119" spans="1:8" x14ac:dyDescent="0.3">
      <c r="A119" t="str">
        <f t="shared" si="42"/>
        <v>3C Aggregated and non-CO2 emissions on land</v>
      </c>
      <c r="B119" t="str">
        <f t="shared" si="46"/>
        <v>3C1 Biomass burning (N2O)</v>
      </c>
      <c r="C119" t="str">
        <f t="shared" si="45"/>
        <v>3C1a Biomass burning in forest land</v>
      </c>
      <c r="D119" t="str">
        <f t="shared" si="45"/>
        <v>Plantations</v>
      </c>
      <c r="E119" t="str">
        <f t="shared" si="47"/>
        <v>Biomass burning EF</v>
      </c>
      <c r="F119" t="str">
        <f t="shared" si="48"/>
        <v>CH4</v>
      </c>
      <c r="G119" t="s">
        <v>366</v>
      </c>
      <c r="H119" s="26">
        <v>4.7</v>
      </c>
    </row>
    <row r="120" spans="1:8" x14ac:dyDescent="0.3">
      <c r="A120" t="str">
        <f t="shared" si="42"/>
        <v>3C Aggregated and non-CO2 emissions on land</v>
      </c>
      <c r="B120" t="str">
        <f t="shared" si="46"/>
        <v>3C1 Biomass burning (N2O)</v>
      </c>
      <c r="C120" t="str">
        <f t="shared" ref="C120:D139" si="49">C104</f>
        <v>3C1b Biomass burning in Croplands</v>
      </c>
      <c r="D120" t="str">
        <f t="shared" si="49"/>
        <v>Annual non-pivot</v>
      </c>
      <c r="E120" t="str">
        <f t="shared" si="47"/>
        <v>Biomass burning EF</v>
      </c>
      <c r="F120" t="str">
        <f t="shared" si="48"/>
        <v>CH4</v>
      </c>
      <c r="G120" t="s">
        <v>366</v>
      </c>
      <c r="H120" s="26">
        <v>2.7</v>
      </c>
    </row>
    <row r="121" spans="1:8" x14ac:dyDescent="0.3">
      <c r="A121" t="str">
        <f t="shared" si="42"/>
        <v>3C Aggregated and non-CO2 emissions on land</v>
      </c>
      <c r="B121" t="str">
        <f t="shared" si="46"/>
        <v>3C1 Biomass burning (N2O)</v>
      </c>
      <c r="C121" t="str">
        <f t="shared" si="49"/>
        <v>3C1b Biomass burning in Croplands</v>
      </c>
      <c r="D121" t="str">
        <f t="shared" si="49"/>
        <v>Annual pivot</v>
      </c>
      <c r="E121" t="str">
        <f t="shared" si="47"/>
        <v>Biomass burning EF</v>
      </c>
      <c r="F121" t="str">
        <f t="shared" si="48"/>
        <v>CH4</v>
      </c>
      <c r="G121" t="s">
        <v>366</v>
      </c>
      <c r="H121" s="26">
        <v>2.7</v>
      </c>
    </row>
    <row r="122" spans="1:8" x14ac:dyDescent="0.3">
      <c r="A122" t="str">
        <f t="shared" si="42"/>
        <v>3C Aggregated and non-CO2 emissions on land</v>
      </c>
      <c r="B122" t="str">
        <f t="shared" si="46"/>
        <v>3C1 Biomass burning (N2O)</v>
      </c>
      <c r="C122" t="str">
        <f t="shared" si="49"/>
        <v>3C1b Biomass burning in Croplands</v>
      </c>
      <c r="D122" t="str">
        <f t="shared" si="49"/>
        <v>Perennial orchards</v>
      </c>
      <c r="E122" t="str">
        <f t="shared" si="47"/>
        <v>Biomass burning EF</v>
      </c>
      <c r="F122" t="str">
        <f t="shared" si="48"/>
        <v>CH4</v>
      </c>
      <c r="G122" t="s">
        <v>366</v>
      </c>
      <c r="H122" s="26">
        <v>2.7</v>
      </c>
    </row>
    <row r="123" spans="1:8" x14ac:dyDescent="0.3">
      <c r="A123" t="str">
        <f t="shared" si="42"/>
        <v>3C Aggregated and non-CO2 emissions on land</v>
      </c>
      <c r="B123" t="str">
        <f t="shared" si="46"/>
        <v>3C1 Biomass burning (N2O)</v>
      </c>
      <c r="C123" t="str">
        <f t="shared" si="49"/>
        <v>3C1b Biomass burning in Croplands</v>
      </c>
      <c r="D123" t="str">
        <f t="shared" si="49"/>
        <v>Perennial vineyards</v>
      </c>
      <c r="E123" t="str">
        <f t="shared" si="47"/>
        <v>Biomass burning EF</v>
      </c>
      <c r="F123" t="str">
        <f t="shared" si="48"/>
        <v>CH4</v>
      </c>
      <c r="G123" t="s">
        <v>366</v>
      </c>
      <c r="H123" s="26">
        <v>2.7</v>
      </c>
    </row>
    <row r="124" spans="1:8" x14ac:dyDescent="0.3">
      <c r="A124" t="str">
        <f t="shared" si="42"/>
        <v>3C Aggregated and non-CO2 emissions on land</v>
      </c>
      <c r="B124" t="str">
        <f t="shared" si="46"/>
        <v>3C1 Biomass burning (N2O)</v>
      </c>
      <c r="C124" t="str">
        <f t="shared" si="49"/>
        <v>3C1b Biomass burning in Croplands</v>
      </c>
      <c r="D124" t="str">
        <f t="shared" si="49"/>
        <v>Cropland subsistence</v>
      </c>
      <c r="E124" t="str">
        <f t="shared" si="47"/>
        <v>Biomass burning EF</v>
      </c>
      <c r="F124" t="str">
        <f t="shared" si="48"/>
        <v>CH4</v>
      </c>
      <c r="G124" t="s">
        <v>366</v>
      </c>
      <c r="H124" s="26">
        <v>2.7</v>
      </c>
    </row>
    <row r="125" spans="1:8" x14ac:dyDescent="0.3">
      <c r="A125" t="str">
        <f t="shared" si="42"/>
        <v>3C Aggregated and non-CO2 emissions on land</v>
      </c>
      <c r="B125" t="str">
        <f t="shared" si="46"/>
        <v>3C1 Biomass burning (N2O)</v>
      </c>
      <c r="C125" t="str">
        <f t="shared" si="49"/>
        <v>3C1c Biomass burning in Grasslands</v>
      </c>
      <c r="D125" t="str">
        <f t="shared" si="49"/>
        <v>Grasslands</v>
      </c>
      <c r="E125" t="str">
        <f t="shared" si="47"/>
        <v>Biomass burning EF</v>
      </c>
      <c r="F125" t="str">
        <f t="shared" si="48"/>
        <v>CH4</v>
      </c>
      <c r="G125" t="s">
        <v>366</v>
      </c>
      <c r="H125" s="26">
        <v>2.2999999999999998</v>
      </c>
    </row>
    <row r="126" spans="1:8" x14ac:dyDescent="0.3">
      <c r="A126" t="str">
        <f t="shared" si="42"/>
        <v>3C Aggregated and non-CO2 emissions on land</v>
      </c>
      <c r="B126" t="str">
        <f t="shared" si="46"/>
        <v>3C1 Biomass burning (N2O)</v>
      </c>
      <c r="C126" t="str">
        <f t="shared" si="49"/>
        <v>3C1c Biomass burning in Grasslands</v>
      </c>
      <c r="D126" t="str">
        <f t="shared" si="49"/>
        <v>Low shrublands</v>
      </c>
      <c r="E126" t="str">
        <f t="shared" si="47"/>
        <v>Biomass burning EF</v>
      </c>
      <c r="F126" t="str">
        <f t="shared" si="48"/>
        <v>CH4</v>
      </c>
      <c r="G126" t="s">
        <v>366</v>
      </c>
      <c r="H126" s="26">
        <v>4.7</v>
      </c>
    </row>
    <row r="127" spans="1:8" x14ac:dyDescent="0.3">
      <c r="A127" t="str">
        <f t="shared" si="42"/>
        <v>3C Aggregated and non-CO2 emissions on land</v>
      </c>
      <c r="B127" t="str">
        <f t="shared" si="46"/>
        <v>3C1 Biomass burning (N2O)</v>
      </c>
      <c r="C127" t="str">
        <f t="shared" si="49"/>
        <v>3C1f Biomass burning in Other lands</v>
      </c>
      <c r="D127" t="str">
        <f t="shared" si="49"/>
        <v>Degraded land</v>
      </c>
      <c r="E127" t="str">
        <f>E131</f>
        <v>Biomass burning EF</v>
      </c>
      <c r="F127" t="str">
        <f>F131</f>
        <v>CH4</v>
      </c>
      <c r="G127" t="s">
        <v>366</v>
      </c>
      <c r="H127" s="26">
        <v>2.2999999999999998</v>
      </c>
    </row>
    <row r="128" spans="1:8" x14ac:dyDescent="0.3">
      <c r="A128" t="str">
        <f t="shared" si="42"/>
        <v>3C Aggregated and non-CO2 emissions on land</v>
      </c>
      <c r="B128" t="str">
        <f t="shared" si="46"/>
        <v>3C1 Biomass burning (N2O)</v>
      </c>
      <c r="C128" t="str">
        <f t="shared" si="49"/>
        <v>3C1d Biomass burning in Wetlands</v>
      </c>
      <c r="D128" t="str">
        <f t="shared" si="49"/>
        <v>Wetlands</v>
      </c>
      <c r="E128" t="str">
        <f>E126</f>
        <v>Biomass burning EF</v>
      </c>
      <c r="F128" t="str">
        <f>F126</f>
        <v>CH4</v>
      </c>
      <c r="G128" t="s">
        <v>366</v>
      </c>
      <c r="H128" s="26">
        <v>2.2999999999999998</v>
      </c>
    </row>
    <row r="129" spans="1:8" x14ac:dyDescent="0.3">
      <c r="A129" t="str">
        <f t="shared" si="42"/>
        <v>3C Aggregated and non-CO2 emissions on land</v>
      </c>
      <c r="B129" t="str">
        <f t="shared" si="46"/>
        <v>3C1 Biomass burning (N2O)</v>
      </c>
      <c r="C129" t="str">
        <f t="shared" si="49"/>
        <v>3C1e Biomass burning in Settlements</v>
      </c>
      <c r="D129" t="str">
        <f t="shared" si="49"/>
        <v>Settlements</v>
      </c>
      <c r="E129" t="str">
        <f t="shared" si="47"/>
        <v>Biomass burning EF</v>
      </c>
      <c r="F129" t="str">
        <f t="shared" si="48"/>
        <v>CH4</v>
      </c>
      <c r="G129" t="s">
        <v>366</v>
      </c>
      <c r="H129" s="26">
        <v>2.2999999999999998</v>
      </c>
    </row>
    <row r="130" spans="1:8" x14ac:dyDescent="0.3">
      <c r="A130" t="str">
        <f t="shared" si="42"/>
        <v>3C Aggregated and non-CO2 emissions on land</v>
      </c>
      <c r="B130" t="str">
        <f t="shared" si="46"/>
        <v>3C1 Biomass burning (N2O)</v>
      </c>
      <c r="C130" t="str">
        <f t="shared" si="49"/>
        <v>3C1e Biomass burning in Settlements</v>
      </c>
      <c r="D130" t="str">
        <f t="shared" si="49"/>
        <v>Mines</v>
      </c>
      <c r="E130" t="str">
        <f t="shared" si="47"/>
        <v>Biomass burning EF</v>
      </c>
      <c r="F130" t="str">
        <f t="shared" si="48"/>
        <v>CH4</v>
      </c>
      <c r="G130" t="s">
        <v>366</v>
      </c>
      <c r="H130" s="26">
        <v>2.2999999999999998</v>
      </c>
    </row>
    <row r="131" spans="1:8" x14ac:dyDescent="0.3">
      <c r="A131" t="str">
        <f t="shared" si="42"/>
        <v>3C Aggregated and non-CO2 emissions on land</v>
      </c>
      <c r="B131" t="str">
        <f t="shared" si="46"/>
        <v>3C1 Biomass burning (N2O)</v>
      </c>
      <c r="C131" t="str">
        <f t="shared" si="49"/>
        <v>3C1f Biomass burning in Other lands</v>
      </c>
      <c r="D131" t="str">
        <f t="shared" si="49"/>
        <v>Bare ground</v>
      </c>
      <c r="E131" t="str">
        <f t="shared" si="47"/>
        <v>Biomass burning EF</v>
      </c>
      <c r="F131" t="str">
        <f t="shared" si="48"/>
        <v>CH4</v>
      </c>
      <c r="G131" t="s">
        <v>366</v>
      </c>
      <c r="H131" s="26">
        <v>0</v>
      </c>
    </row>
    <row r="132" spans="1:8" x14ac:dyDescent="0.3">
      <c r="A132" t="str">
        <f t="shared" si="42"/>
        <v>3C Aggregated and non-CO2 emissions on land</v>
      </c>
      <c r="B132" t="str">
        <f t="shared" si="46"/>
        <v>3C1 Biomass burning (N2O)</v>
      </c>
      <c r="C132" t="str">
        <f t="shared" si="49"/>
        <v>3C1a Biomass burning in forest land</v>
      </c>
      <c r="D132" t="str">
        <f t="shared" si="49"/>
        <v>Indigenous forests</v>
      </c>
      <c r="E132" t="str">
        <f>E127</f>
        <v>Biomass burning EF</v>
      </c>
      <c r="F132" t="s">
        <v>139</v>
      </c>
      <c r="G132" t="s">
        <v>366</v>
      </c>
      <c r="H132" s="26">
        <v>0.26</v>
      </c>
    </row>
    <row r="133" spans="1:8" x14ac:dyDescent="0.3">
      <c r="A133" t="str">
        <f t="shared" si="42"/>
        <v>3C Aggregated and non-CO2 emissions on land</v>
      </c>
      <c r="B133" t="str">
        <f t="shared" si="46"/>
        <v>3C1 Biomass burning (N2O)</v>
      </c>
      <c r="C133" t="str">
        <f t="shared" si="49"/>
        <v>3C1a Biomass burning in forest land</v>
      </c>
      <c r="D133" t="str">
        <f t="shared" si="49"/>
        <v>Thickets</v>
      </c>
      <c r="E133" t="str">
        <f t="shared" ref="E133:E147" si="50">E132</f>
        <v>Biomass burning EF</v>
      </c>
      <c r="F133" t="str">
        <f t="shared" ref="F133:F147" si="51">F132</f>
        <v>N2O</v>
      </c>
      <c r="G133" t="s">
        <v>366</v>
      </c>
      <c r="H133" s="26">
        <v>0.26</v>
      </c>
    </row>
    <row r="134" spans="1:8" x14ac:dyDescent="0.3">
      <c r="A134" t="str">
        <f t="shared" si="42"/>
        <v>3C Aggregated and non-CO2 emissions on land</v>
      </c>
      <c r="B134" t="str">
        <f t="shared" si="46"/>
        <v>3C1 Biomass burning (N2O)</v>
      </c>
      <c r="C134" t="str">
        <f t="shared" si="49"/>
        <v>3C1a Biomass burning in forest land</v>
      </c>
      <c r="D134" t="str">
        <f t="shared" si="49"/>
        <v>Woodlands</v>
      </c>
      <c r="E134" t="str">
        <f t="shared" si="50"/>
        <v>Biomass burning EF</v>
      </c>
      <c r="F134" t="str">
        <f t="shared" si="51"/>
        <v>N2O</v>
      </c>
      <c r="G134" t="s">
        <v>366</v>
      </c>
      <c r="H134" s="26">
        <v>0.21</v>
      </c>
    </row>
    <row r="135" spans="1:8" x14ac:dyDescent="0.3">
      <c r="A135" t="str">
        <f t="shared" si="42"/>
        <v>3C Aggregated and non-CO2 emissions on land</v>
      </c>
      <c r="B135" t="str">
        <f t="shared" si="46"/>
        <v>3C1 Biomass burning (N2O)</v>
      </c>
      <c r="C135" t="str">
        <f t="shared" si="49"/>
        <v>3C1a Biomass burning in forest land</v>
      </c>
      <c r="D135" t="str">
        <f t="shared" si="49"/>
        <v>Plantations</v>
      </c>
      <c r="E135" t="str">
        <f t="shared" si="50"/>
        <v>Biomass burning EF</v>
      </c>
      <c r="F135" t="str">
        <f t="shared" si="51"/>
        <v>N2O</v>
      </c>
      <c r="G135" t="s">
        <v>366</v>
      </c>
      <c r="H135" s="26">
        <v>0.26</v>
      </c>
    </row>
    <row r="136" spans="1:8" x14ac:dyDescent="0.3">
      <c r="A136" t="str">
        <f t="shared" si="42"/>
        <v>3C Aggregated and non-CO2 emissions on land</v>
      </c>
      <c r="B136" t="str">
        <f t="shared" si="46"/>
        <v>3C1 Biomass burning (N2O)</v>
      </c>
      <c r="C136" t="str">
        <f t="shared" si="49"/>
        <v>3C1b Biomass burning in Croplands</v>
      </c>
      <c r="D136" t="str">
        <f t="shared" si="49"/>
        <v>Annual non-pivot</v>
      </c>
      <c r="E136" t="str">
        <f t="shared" si="50"/>
        <v>Biomass burning EF</v>
      </c>
      <c r="F136" t="str">
        <f t="shared" si="51"/>
        <v>N2O</v>
      </c>
      <c r="G136" t="s">
        <v>366</v>
      </c>
      <c r="H136" s="26">
        <v>7.0000000000000007E-2</v>
      </c>
    </row>
    <row r="137" spans="1:8" x14ac:dyDescent="0.3">
      <c r="A137" t="str">
        <f t="shared" si="42"/>
        <v>3C Aggregated and non-CO2 emissions on land</v>
      </c>
      <c r="B137" t="str">
        <f t="shared" si="46"/>
        <v>3C1 Biomass burning (N2O)</v>
      </c>
      <c r="C137" t="str">
        <f t="shared" si="49"/>
        <v>3C1b Biomass burning in Croplands</v>
      </c>
      <c r="D137" t="str">
        <f t="shared" si="49"/>
        <v>Annual pivot</v>
      </c>
      <c r="E137" t="str">
        <f t="shared" si="50"/>
        <v>Biomass burning EF</v>
      </c>
      <c r="F137" t="str">
        <f t="shared" si="51"/>
        <v>N2O</v>
      </c>
      <c r="G137" t="s">
        <v>366</v>
      </c>
      <c r="H137" s="26">
        <v>7.0000000000000007E-2</v>
      </c>
    </row>
    <row r="138" spans="1:8" x14ac:dyDescent="0.3">
      <c r="A138" t="str">
        <f t="shared" si="42"/>
        <v>3C Aggregated and non-CO2 emissions on land</v>
      </c>
      <c r="B138" t="str">
        <f t="shared" si="46"/>
        <v>3C1 Biomass burning (N2O)</v>
      </c>
      <c r="C138" t="str">
        <f t="shared" si="49"/>
        <v>3C1b Biomass burning in Croplands</v>
      </c>
      <c r="D138" t="str">
        <f t="shared" si="49"/>
        <v>Perennial orchards</v>
      </c>
      <c r="E138" t="str">
        <f t="shared" si="50"/>
        <v>Biomass burning EF</v>
      </c>
      <c r="F138" t="str">
        <f t="shared" si="51"/>
        <v>N2O</v>
      </c>
      <c r="G138" t="s">
        <v>366</v>
      </c>
      <c r="H138" s="26">
        <v>7.0000000000000007E-2</v>
      </c>
    </row>
    <row r="139" spans="1:8" x14ac:dyDescent="0.3">
      <c r="A139" t="str">
        <f t="shared" si="42"/>
        <v>3C Aggregated and non-CO2 emissions on land</v>
      </c>
      <c r="B139" t="str">
        <f t="shared" si="46"/>
        <v>3C1 Biomass burning (N2O)</v>
      </c>
      <c r="C139" t="str">
        <f t="shared" si="49"/>
        <v>3C1b Biomass burning in Croplands</v>
      </c>
      <c r="D139" t="str">
        <f t="shared" si="49"/>
        <v>Perennial vineyards</v>
      </c>
      <c r="E139" t="str">
        <f t="shared" si="50"/>
        <v>Biomass burning EF</v>
      </c>
      <c r="F139" t="str">
        <f t="shared" si="51"/>
        <v>N2O</v>
      </c>
      <c r="G139" t="s">
        <v>366</v>
      </c>
      <c r="H139" s="26">
        <v>7.0000000000000007E-2</v>
      </c>
    </row>
    <row r="140" spans="1:8" x14ac:dyDescent="0.3">
      <c r="A140" t="str">
        <f t="shared" si="42"/>
        <v>3C Aggregated and non-CO2 emissions on land</v>
      </c>
      <c r="B140" t="str">
        <f t="shared" si="46"/>
        <v>3C1 Biomass burning (N2O)</v>
      </c>
      <c r="C140" t="str">
        <f t="shared" ref="C140:D147" si="52">C124</f>
        <v>3C1b Biomass burning in Croplands</v>
      </c>
      <c r="D140" t="str">
        <f t="shared" si="52"/>
        <v>Cropland subsistence</v>
      </c>
      <c r="E140" t="str">
        <f t="shared" si="50"/>
        <v>Biomass burning EF</v>
      </c>
      <c r="F140" t="str">
        <f t="shared" si="51"/>
        <v>N2O</v>
      </c>
      <c r="G140" t="s">
        <v>366</v>
      </c>
      <c r="H140" s="26">
        <v>7.0000000000000007E-2</v>
      </c>
    </row>
    <row r="141" spans="1:8" x14ac:dyDescent="0.3">
      <c r="A141" t="str">
        <f t="shared" si="42"/>
        <v>3C Aggregated and non-CO2 emissions on land</v>
      </c>
      <c r="B141" t="str">
        <f t="shared" si="46"/>
        <v>3C1 Biomass burning (N2O)</v>
      </c>
      <c r="C141" t="str">
        <f t="shared" si="52"/>
        <v>3C1c Biomass burning in Grasslands</v>
      </c>
      <c r="D141" t="str">
        <f t="shared" si="52"/>
        <v>Grasslands</v>
      </c>
      <c r="E141" t="str">
        <f t="shared" si="50"/>
        <v>Biomass burning EF</v>
      </c>
      <c r="F141" t="str">
        <f t="shared" si="51"/>
        <v>N2O</v>
      </c>
      <c r="G141" t="s">
        <v>366</v>
      </c>
      <c r="H141" s="26">
        <v>0.21</v>
      </c>
    </row>
    <row r="142" spans="1:8" x14ac:dyDescent="0.3">
      <c r="A142" t="str">
        <f t="shared" si="42"/>
        <v>3C Aggregated and non-CO2 emissions on land</v>
      </c>
      <c r="B142" t="str">
        <f t="shared" si="46"/>
        <v>3C1 Biomass burning (N2O)</v>
      </c>
      <c r="C142" t="str">
        <f t="shared" si="52"/>
        <v>3C1c Biomass burning in Grasslands</v>
      </c>
      <c r="D142" t="str">
        <f t="shared" si="52"/>
        <v>Low shrublands</v>
      </c>
      <c r="E142" t="str">
        <f t="shared" si="50"/>
        <v>Biomass burning EF</v>
      </c>
      <c r="F142" t="str">
        <f t="shared" si="51"/>
        <v>N2O</v>
      </c>
      <c r="G142" t="s">
        <v>366</v>
      </c>
      <c r="H142" s="26">
        <v>0.26</v>
      </c>
    </row>
    <row r="143" spans="1:8" x14ac:dyDescent="0.3">
      <c r="A143" t="str">
        <f t="shared" si="42"/>
        <v>3C Aggregated and non-CO2 emissions on land</v>
      </c>
      <c r="B143" t="str">
        <f t="shared" si="46"/>
        <v>3C1 Biomass burning (N2O)</v>
      </c>
      <c r="C143" t="str">
        <f t="shared" si="52"/>
        <v>3C1f Biomass burning in Other lands</v>
      </c>
      <c r="D143" t="str">
        <f t="shared" si="52"/>
        <v>Degraded land</v>
      </c>
      <c r="E143" t="str">
        <f>E147</f>
        <v>Biomass burning EF</v>
      </c>
      <c r="F143" t="str">
        <f>F147</f>
        <v>N2O</v>
      </c>
      <c r="G143" t="s">
        <v>366</v>
      </c>
      <c r="H143" s="26">
        <v>0.21</v>
      </c>
    </row>
    <row r="144" spans="1:8" x14ac:dyDescent="0.3">
      <c r="A144" t="str">
        <f t="shared" si="42"/>
        <v>3C Aggregated and non-CO2 emissions on land</v>
      </c>
      <c r="B144" t="str">
        <f t="shared" si="46"/>
        <v>3C1 Biomass burning (N2O)</v>
      </c>
      <c r="C144" t="str">
        <f t="shared" si="52"/>
        <v>3C1d Biomass burning in Wetlands</v>
      </c>
      <c r="D144" t="str">
        <f t="shared" si="52"/>
        <v>Wetlands</v>
      </c>
      <c r="E144" t="str">
        <f>E142</f>
        <v>Biomass burning EF</v>
      </c>
      <c r="F144" t="str">
        <f>F142</f>
        <v>N2O</v>
      </c>
      <c r="G144" t="s">
        <v>366</v>
      </c>
      <c r="H144" s="26">
        <v>0.21</v>
      </c>
    </row>
    <row r="145" spans="1:8" x14ac:dyDescent="0.3">
      <c r="A145" t="str">
        <f t="shared" si="42"/>
        <v>3C Aggregated and non-CO2 emissions on land</v>
      </c>
      <c r="B145" t="str">
        <f t="shared" si="46"/>
        <v>3C1 Biomass burning (N2O)</v>
      </c>
      <c r="C145" t="str">
        <f t="shared" si="52"/>
        <v>3C1e Biomass burning in Settlements</v>
      </c>
      <c r="D145" t="str">
        <f t="shared" si="52"/>
        <v>Settlements</v>
      </c>
      <c r="E145" t="str">
        <f t="shared" si="50"/>
        <v>Biomass burning EF</v>
      </c>
      <c r="F145" t="str">
        <f t="shared" si="51"/>
        <v>N2O</v>
      </c>
      <c r="G145" t="s">
        <v>366</v>
      </c>
      <c r="H145" s="26">
        <v>0.21</v>
      </c>
    </row>
    <row r="146" spans="1:8" x14ac:dyDescent="0.3">
      <c r="A146" t="str">
        <f t="shared" si="42"/>
        <v>3C Aggregated and non-CO2 emissions on land</v>
      </c>
      <c r="B146" t="str">
        <f t="shared" si="46"/>
        <v>3C1 Biomass burning (N2O)</v>
      </c>
      <c r="C146" t="str">
        <f t="shared" si="52"/>
        <v>3C1e Biomass burning in Settlements</v>
      </c>
      <c r="D146" t="str">
        <f t="shared" si="52"/>
        <v>Mines</v>
      </c>
      <c r="E146" t="str">
        <f t="shared" si="50"/>
        <v>Biomass burning EF</v>
      </c>
      <c r="F146" t="str">
        <f t="shared" si="51"/>
        <v>N2O</v>
      </c>
      <c r="G146" t="s">
        <v>366</v>
      </c>
      <c r="H146" s="26">
        <v>0.21</v>
      </c>
    </row>
    <row r="147" spans="1:8" x14ac:dyDescent="0.3">
      <c r="A147" t="str">
        <f t="shared" si="42"/>
        <v>3C Aggregated and non-CO2 emissions on land</v>
      </c>
      <c r="B147" t="str">
        <f t="shared" si="46"/>
        <v>3C1 Biomass burning (N2O)</v>
      </c>
      <c r="C147" t="str">
        <f t="shared" si="52"/>
        <v>3C1f Biomass burning in Other lands</v>
      </c>
      <c r="D147" t="str">
        <f t="shared" si="52"/>
        <v>Bare ground</v>
      </c>
      <c r="E147" t="str">
        <f t="shared" si="50"/>
        <v>Biomass burning EF</v>
      </c>
      <c r="F147" t="str">
        <f t="shared" si="51"/>
        <v>N2O</v>
      </c>
      <c r="G147" t="s">
        <v>366</v>
      </c>
      <c r="H147" s="26">
        <v>0</v>
      </c>
    </row>
    <row r="149" spans="1:8" x14ac:dyDescent="0.3">
      <c r="A149" t="str">
        <f>'IPCC Categories'!A59</f>
        <v>3C Aggregated and non-CO2 emissions on land</v>
      </c>
      <c r="B149" t="str">
        <f>'IPCC Categories'!B71</f>
        <v>3C2 Liming (CO2)</v>
      </c>
      <c r="E149" t="s">
        <v>378</v>
      </c>
      <c r="F149" t="s">
        <v>380</v>
      </c>
      <c r="G149" t="s">
        <v>379</v>
      </c>
      <c r="H149" s="26">
        <v>0.125</v>
      </c>
    </row>
    <row r="150" spans="1:8" x14ac:dyDescent="0.3">
      <c r="A150" t="str">
        <f>A149</f>
        <v>3C Aggregated and non-CO2 emissions on land</v>
      </c>
      <c r="B150" t="str">
        <f>'IPCC Categories'!B72</f>
        <v>3C3 Urea application (CO2)</v>
      </c>
      <c r="E150" t="s">
        <v>385</v>
      </c>
      <c r="F150" t="s">
        <v>380</v>
      </c>
      <c r="G150" t="s">
        <v>386</v>
      </c>
      <c r="H150" s="26">
        <v>0.2</v>
      </c>
    </row>
    <row r="152" spans="1:8" x14ac:dyDescent="0.3">
      <c r="A152" t="str">
        <f>A150</f>
        <v>3C Aggregated and non-CO2 emissions on land</v>
      </c>
      <c r="B152" t="str">
        <f>'IPCC Categories'!B73</f>
        <v>3C4 Direct N2O from managed soils (N2O)</v>
      </c>
      <c r="C152" t="s">
        <v>391</v>
      </c>
      <c r="D152" t="s">
        <v>392</v>
      </c>
      <c r="E152" t="str">
        <f>C152&amp;D152</f>
        <v>FracMM - Diary cattle</v>
      </c>
      <c r="F152" t="s">
        <v>139</v>
      </c>
      <c r="G152" t="s">
        <v>377</v>
      </c>
      <c r="H152" s="22">
        <f>(SUM('Mitigation drivers'!C12:C20,'Mitigation drivers'!C24:C32)/2)/100</f>
        <v>0.7</v>
      </c>
    </row>
    <row r="153" spans="1:8" x14ac:dyDescent="0.3">
      <c r="A153" t="str">
        <f>A152</f>
        <v>3C Aggregated and non-CO2 emissions on land</v>
      </c>
      <c r="B153" t="str">
        <f>B152</f>
        <v>3C4 Direct N2O from managed soils (N2O)</v>
      </c>
      <c r="C153" t="str">
        <f>C152</f>
        <v>FracMM</v>
      </c>
      <c r="D153" t="s">
        <v>393</v>
      </c>
      <c r="E153" t="str">
        <f t="shared" ref="E153:E176" si="53">C153&amp;D153</f>
        <v>FracMM - commercial other cattle</v>
      </c>
      <c r="F153" t="str">
        <f>F152</f>
        <v>N2O</v>
      </c>
      <c r="G153" t="str">
        <f>G152</f>
        <v>fraction</v>
      </c>
      <c r="H153" s="22">
        <f>(SUM('Mitigation drivers'!C36:C44,'Mitigation drivers'!C49:C57)/2)/100</f>
        <v>0.05</v>
      </c>
    </row>
    <row r="154" spans="1:8" x14ac:dyDescent="0.3">
      <c r="A154" t="str">
        <f t="shared" ref="A154:A163" si="54">A153</f>
        <v>3C Aggregated and non-CO2 emissions on land</v>
      </c>
      <c r="B154" t="str">
        <f t="shared" ref="B154:B163" si="55">B153</f>
        <v>3C4 Direct N2O from managed soils (N2O)</v>
      </c>
      <c r="C154" t="str">
        <f t="shared" ref="C154:C163" si="56">C153</f>
        <v>FracMM</v>
      </c>
      <c r="D154" t="s">
        <v>394</v>
      </c>
      <c r="E154" t="str">
        <f t="shared" si="53"/>
        <v>FracMM - feedlot other cattle</v>
      </c>
      <c r="F154" t="str">
        <f t="shared" ref="F154:F163" si="57">F153</f>
        <v>N2O</v>
      </c>
      <c r="G154" t="str">
        <f t="shared" ref="G154:G163" si="58">G153</f>
        <v>fraction</v>
      </c>
      <c r="H154" s="22">
        <f>(SUM('Mitigation drivers'!C73:C81))/100</f>
        <v>1</v>
      </c>
    </row>
    <row r="155" spans="1:8" x14ac:dyDescent="0.3">
      <c r="A155" t="str">
        <f t="shared" si="54"/>
        <v>3C Aggregated and non-CO2 emissions on land</v>
      </c>
      <c r="B155" t="str">
        <f t="shared" si="55"/>
        <v>3C4 Direct N2O from managed soils (N2O)</v>
      </c>
      <c r="C155" t="str">
        <f t="shared" si="56"/>
        <v>FracMM</v>
      </c>
      <c r="D155" t="s">
        <v>395</v>
      </c>
      <c r="E155" t="str">
        <f t="shared" si="53"/>
        <v>FracMM - subsistence other cattle</v>
      </c>
      <c r="F155" t="str">
        <f t="shared" si="57"/>
        <v>N2O</v>
      </c>
      <c r="G155" t="str">
        <f t="shared" si="58"/>
        <v>fraction</v>
      </c>
      <c r="H155" s="22">
        <f>(SUM('Mitigation drivers'!C61:C69))/100</f>
        <v>0.1</v>
      </c>
    </row>
    <row r="156" spans="1:8" x14ac:dyDescent="0.3">
      <c r="A156" t="str">
        <f t="shared" si="54"/>
        <v>3C Aggregated and non-CO2 emissions on land</v>
      </c>
      <c r="B156" t="str">
        <f t="shared" si="55"/>
        <v>3C4 Direct N2O from managed soils (N2O)</v>
      </c>
      <c r="C156" t="str">
        <f t="shared" si="56"/>
        <v>FracMM</v>
      </c>
      <c r="D156" t="s">
        <v>396</v>
      </c>
      <c r="E156" t="str">
        <f t="shared" si="53"/>
        <v>FracMM - commercial sheep</v>
      </c>
      <c r="F156" t="str">
        <f t="shared" si="57"/>
        <v>N2O</v>
      </c>
      <c r="G156" t="str">
        <f t="shared" si="58"/>
        <v>fraction</v>
      </c>
      <c r="H156" s="22">
        <f>(SUM('Mitigation drivers'!C86:C94))/100</f>
        <v>0.01</v>
      </c>
    </row>
    <row r="157" spans="1:8" x14ac:dyDescent="0.3">
      <c r="A157" t="str">
        <f t="shared" si="54"/>
        <v>3C Aggregated and non-CO2 emissions on land</v>
      </c>
      <c r="B157" t="str">
        <f t="shared" si="55"/>
        <v>3C4 Direct N2O from managed soils (N2O)</v>
      </c>
      <c r="C157" t="str">
        <f t="shared" si="56"/>
        <v>FracMM</v>
      </c>
      <c r="D157" t="s">
        <v>397</v>
      </c>
      <c r="E157" t="str">
        <f t="shared" si="53"/>
        <v>FracMM - subsistence sheep</v>
      </c>
      <c r="F157" t="str">
        <f t="shared" si="57"/>
        <v>N2O</v>
      </c>
      <c r="G157" t="str">
        <f t="shared" si="58"/>
        <v>fraction</v>
      </c>
      <c r="H157" s="22">
        <f>(SUM('Mitigation drivers'!C97:C105))/100</f>
        <v>7.0000000000000007E-2</v>
      </c>
    </row>
    <row r="158" spans="1:8" x14ac:dyDescent="0.3">
      <c r="A158" t="str">
        <f t="shared" si="54"/>
        <v>3C Aggregated and non-CO2 emissions on land</v>
      </c>
      <c r="B158" t="str">
        <f t="shared" si="55"/>
        <v>3C4 Direct N2O from managed soils (N2O)</v>
      </c>
      <c r="C158" t="str">
        <f t="shared" si="56"/>
        <v>FracMM</v>
      </c>
      <c r="D158" t="s">
        <v>398</v>
      </c>
      <c r="E158" t="str">
        <f t="shared" si="53"/>
        <v>FracMM - commercial goats</v>
      </c>
      <c r="F158" t="str">
        <f t="shared" si="57"/>
        <v>N2O</v>
      </c>
      <c r="G158" t="str">
        <f t="shared" si="58"/>
        <v>fraction</v>
      </c>
      <c r="H158" s="22">
        <f>(SUM('Mitigation drivers'!C110:C118))/100</f>
        <v>0.01</v>
      </c>
    </row>
    <row r="159" spans="1:8" x14ac:dyDescent="0.3">
      <c r="A159" t="str">
        <f t="shared" si="54"/>
        <v>3C Aggregated and non-CO2 emissions on land</v>
      </c>
      <c r="B159" t="str">
        <f t="shared" si="55"/>
        <v>3C4 Direct N2O from managed soils (N2O)</v>
      </c>
      <c r="C159" t="str">
        <f t="shared" si="56"/>
        <v>FracMM</v>
      </c>
      <c r="D159" t="s">
        <v>399</v>
      </c>
      <c r="E159" t="str">
        <f t="shared" si="53"/>
        <v>FracMM - subsistence goats</v>
      </c>
      <c r="F159" t="str">
        <f t="shared" si="57"/>
        <v>N2O</v>
      </c>
      <c r="G159" t="str">
        <f t="shared" si="58"/>
        <v>fraction</v>
      </c>
      <c r="H159" s="22">
        <f>(SUM('Mitigation drivers'!C122:C130))/100</f>
        <v>7.0000000000000007E-2</v>
      </c>
    </row>
    <row r="160" spans="1:8" x14ac:dyDescent="0.3">
      <c r="A160" t="str">
        <f t="shared" si="54"/>
        <v>3C Aggregated and non-CO2 emissions on land</v>
      </c>
      <c r="B160" t="str">
        <f t="shared" si="55"/>
        <v>3C4 Direct N2O from managed soils (N2O)</v>
      </c>
      <c r="C160" t="str">
        <f t="shared" si="56"/>
        <v>FracMM</v>
      </c>
      <c r="D160" t="s">
        <v>400</v>
      </c>
      <c r="E160" t="str">
        <f t="shared" si="53"/>
        <v>FracMM - commercial swine</v>
      </c>
      <c r="F160" t="str">
        <f t="shared" si="57"/>
        <v>N2O</v>
      </c>
      <c r="G160" t="str">
        <f t="shared" si="58"/>
        <v>fraction</v>
      </c>
      <c r="H160" s="22">
        <f>(SUM('Mitigation drivers'!C160:C168))/100</f>
        <v>1</v>
      </c>
    </row>
    <row r="161" spans="1:8" x14ac:dyDescent="0.3">
      <c r="A161" t="str">
        <f t="shared" si="54"/>
        <v>3C Aggregated and non-CO2 emissions on land</v>
      </c>
      <c r="B161" t="str">
        <f t="shared" si="55"/>
        <v>3C4 Direct N2O from managed soils (N2O)</v>
      </c>
      <c r="C161" t="str">
        <f t="shared" si="56"/>
        <v>FracMM</v>
      </c>
      <c r="D161" t="s">
        <v>401</v>
      </c>
      <c r="E161" t="str">
        <f t="shared" si="53"/>
        <v>FracMM - subsistence swine</v>
      </c>
      <c r="F161" t="str">
        <f t="shared" si="57"/>
        <v>N2O</v>
      </c>
      <c r="G161" t="str">
        <f t="shared" si="58"/>
        <v>fraction</v>
      </c>
      <c r="H161" s="22">
        <f>(SUM('Mitigation drivers'!C172:C180))/100</f>
        <v>1</v>
      </c>
    </row>
    <row r="162" spans="1:8" x14ac:dyDescent="0.3">
      <c r="A162" t="str">
        <f t="shared" si="54"/>
        <v>3C Aggregated and non-CO2 emissions on land</v>
      </c>
      <c r="B162" t="str">
        <f t="shared" si="55"/>
        <v>3C4 Direct N2O from managed soils (N2O)</v>
      </c>
      <c r="C162" t="str">
        <f t="shared" si="56"/>
        <v>FracMM</v>
      </c>
      <c r="D162" t="s">
        <v>402</v>
      </c>
      <c r="E162" t="str">
        <f t="shared" si="53"/>
        <v>FracMM - broilers</v>
      </c>
      <c r="F162" t="str">
        <f t="shared" si="57"/>
        <v>N2O</v>
      </c>
      <c r="G162" t="str">
        <f t="shared" si="58"/>
        <v>fraction</v>
      </c>
      <c r="H162" s="22">
        <f>(SUM('Mitigation drivers'!C197:C205,'Mitigation drivers'!C221:C229)/2)/100</f>
        <v>1</v>
      </c>
    </row>
    <row r="163" spans="1:8" x14ac:dyDescent="0.3">
      <c r="A163" t="str">
        <f t="shared" si="54"/>
        <v>3C Aggregated and non-CO2 emissions on land</v>
      </c>
      <c r="B163" t="str">
        <f t="shared" si="55"/>
        <v>3C4 Direct N2O from managed soils (N2O)</v>
      </c>
      <c r="C163" t="str">
        <f t="shared" si="56"/>
        <v>FracMM</v>
      </c>
      <c r="D163" t="s">
        <v>403</v>
      </c>
      <c r="E163" t="str">
        <f t="shared" si="53"/>
        <v>FracMM - layers</v>
      </c>
      <c r="F163" t="str">
        <f t="shared" si="57"/>
        <v>N2O</v>
      </c>
      <c r="G163" t="str">
        <f t="shared" si="58"/>
        <v>fraction</v>
      </c>
      <c r="H163" s="22">
        <f>(SUM('Mitigation drivers'!C185:C193,'Mitigation drivers'!C209:C217)/2)/100</f>
        <v>1</v>
      </c>
    </row>
    <row r="164" spans="1:8" x14ac:dyDescent="0.3">
      <c r="A164" t="str">
        <f t="shared" ref="A164" si="59">A163</f>
        <v>3C Aggregated and non-CO2 emissions on land</v>
      </c>
      <c r="B164" t="str">
        <f t="shared" ref="B164" si="60">B163</f>
        <v>3C4 Direct N2O from managed soils (N2O)</v>
      </c>
      <c r="C164" t="s">
        <v>404</v>
      </c>
      <c r="D164" t="str">
        <f>D152</f>
        <v xml:space="preserve"> - Diary cattle</v>
      </c>
      <c r="E164" t="str">
        <f t="shared" si="53"/>
        <v>FracLoss - Diary cattle</v>
      </c>
      <c r="F164" t="str">
        <f>F152</f>
        <v>N2O</v>
      </c>
      <c r="G164" t="str">
        <f>G152</f>
        <v>fraction</v>
      </c>
      <c r="H164" s="48">
        <v>0.44350000000000001</v>
      </c>
    </row>
    <row r="165" spans="1:8" x14ac:dyDescent="0.3">
      <c r="A165" t="str">
        <f t="shared" ref="A165:A192" si="61">A164</f>
        <v>3C Aggregated and non-CO2 emissions on land</v>
      </c>
      <c r="B165" t="str">
        <f t="shared" ref="B165:B192" si="62">B164</f>
        <v>3C4 Direct N2O from managed soils (N2O)</v>
      </c>
      <c r="C165" t="str">
        <f>C164</f>
        <v>FracLoss</v>
      </c>
      <c r="D165" t="str">
        <f t="shared" ref="D165:G165" si="63">D153</f>
        <v xml:space="preserve"> - commercial other cattle</v>
      </c>
      <c r="E165" t="str">
        <f t="shared" si="53"/>
        <v>FracLoss - commercial other cattle</v>
      </c>
      <c r="F165" t="str">
        <f t="shared" si="63"/>
        <v>N2O</v>
      </c>
      <c r="G165" t="str">
        <f t="shared" si="63"/>
        <v>fraction</v>
      </c>
      <c r="H165" s="48">
        <v>1.4E-2</v>
      </c>
    </row>
    <row r="166" spans="1:8" x14ac:dyDescent="0.3">
      <c r="A166" t="str">
        <f t="shared" si="61"/>
        <v>3C Aggregated and non-CO2 emissions on land</v>
      </c>
      <c r="B166" t="str">
        <f t="shared" si="62"/>
        <v>3C4 Direct N2O from managed soils (N2O)</v>
      </c>
      <c r="C166" t="str">
        <f>C165</f>
        <v>FracLoss</v>
      </c>
      <c r="D166" t="str">
        <f t="shared" ref="D166:G166" si="64">D154</f>
        <v xml:space="preserve"> - feedlot other cattle</v>
      </c>
      <c r="E166" t="str">
        <f t="shared" si="53"/>
        <v>FracLoss - feedlot other cattle</v>
      </c>
      <c r="F166" t="str">
        <f t="shared" si="64"/>
        <v>N2O</v>
      </c>
      <c r="G166" t="str">
        <f t="shared" si="64"/>
        <v>fraction</v>
      </c>
      <c r="H166" s="48">
        <v>0.38600000000000001</v>
      </c>
    </row>
    <row r="167" spans="1:8" x14ac:dyDescent="0.3">
      <c r="A167" t="str">
        <f t="shared" si="61"/>
        <v>3C Aggregated and non-CO2 emissions on land</v>
      </c>
      <c r="B167" t="str">
        <f t="shared" si="62"/>
        <v>3C4 Direct N2O from managed soils (N2O)</v>
      </c>
      <c r="C167" t="str">
        <f t="shared" ref="C167:C175" si="65">C166</f>
        <v>FracLoss</v>
      </c>
      <c r="D167" t="str">
        <f t="shared" ref="D167:G167" si="66">D155</f>
        <v xml:space="preserve"> - subsistence other cattle</v>
      </c>
      <c r="E167" t="str">
        <f t="shared" si="53"/>
        <v>FracLoss - subsistence other cattle</v>
      </c>
      <c r="F167" t="str">
        <f t="shared" si="66"/>
        <v>N2O</v>
      </c>
      <c r="G167" t="str">
        <f t="shared" si="66"/>
        <v>fraction</v>
      </c>
      <c r="H167" s="48">
        <v>0.04</v>
      </c>
    </row>
    <row r="168" spans="1:8" x14ac:dyDescent="0.3">
      <c r="A168" t="str">
        <f t="shared" si="61"/>
        <v>3C Aggregated and non-CO2 emissions on land</v>
      </c>
      <c r="B168" t="str">
        <f t="shared" si="62"/>
        <v>3C4 Direct N2O from managed soils (N2O)</v>
      </c>
      <c r="C168" t="str">
        <f t="shared" si="65"/>
        <v>FracLoss</v>
      </c>
      <c r="D168" t="str">
        <f t="shared" ref="D168:G168" si="67">D156</f>
        <v xml:space="preserve"> - commercial sheep</v>
      </c>
      <c r="E168" t="str">
        <f t="shared" si="53"/>
        <v>FracLoss - commercial sheep</v>
      </c>
      <c r="F168" t="str">
        <f t="shared" si="67"/>
        <v>N2O</v>
      </c>
      <c r="G168" t="str">
        <f t="shared" si="67"/>
        <v>fraction</v>
      </c>
      <c r="H168" s="48">
        <v>4.0000000000000001E-3</v>
      </c>
    </row>
    <row r="169" spans="1:8" x14ac:dyDescent="0.3">
      <c r="A169" t="str">
        <f t="shared" si="61"/>
        <v>3C Aggregated and non-CO2 emissions on land</v>
      </c>
      <c r="B169" t="str">
        <f t="shared" si="62"/>
        <v>3C4 Direct N2O from managed soils (N2O)</v>
      </c>
      <c r="C169" t="str">
        <f t="shared" si="65"/>
        <v>FracLoss</v>
      </c>
      <c r="D169" t="str">
        <f t="shared" ref="D169:G169" si="68">D157</f>
        <v xml:space="preserve"> - subsistence sheep</v>
      </c>
      <c r="E169" t="str">
        <f t="shared" si="53"/>
        <v>FracLoss - subsistence sheep</v>
      </c>
      <c r="F169" t="str">
        <f t="shared" si="68"/>
        <v>N2O</v>
      </c>
      <c r="G169" t="str">
        <f t="shared" si="68"/>
        <v>fraction</v>
      </c>
      <c r="H169" s="48">
        <v>2.5499999999999998E-2</v>
      </c>
    </row>
    <row r="170" spans="1:8" x14ac:dyDescent="0.3">
      <c r="A170" t="str">
        <f t="shared" si="61"/>
        <v>3C Aggregated and non-CO2 emissions on land</v>
      </c>
      <c r="B170" t="str">
        <f t="shared" si="62"/>
        <v>3C4 Direct N2O from managed soils (N2O)</v>
      </c>
      <c r="C170" t="str">
        <f t="shared" si="65"/>
        <v>FracLoss</v>
      </c>
      <c r="D170" t="str">
        <f t="shared" ref="D170:G170" si="69">D158</f>
        <v xml:space="preserve"> - commercial goats</v>
      </c>
      <c r="E170" t="str">
        <f t="shared" si="53"/>
        <v>FracLoss - commercial goats</v>
      </c>
      <c r="F170" t="str">
        <f t="shared" si="69"/>
        <v>N2O</v>
      </c>
      <c r="G170" t="str">
        <f t="shared" si="69"/>
        <v>fraction</v>
      </c>
      <c r="H170" s="48">
        <v>4.0000000000000001E-3</v>
      </c>
    </row>
    <row r="171" spans="1:8" x14ac:dyDescent="0.3">
      <c r="A171" t="str">
        <f t="shared" si="61"/>
        <v>3C Aggregated and non-CO2 emissions on land</v>
      </c>
      <c r="B171" t="str">
        <f t="shared" si="62"/>
        <v>3C4 Direct N2O from managed soils (N2O)</v>
      </c>
      <c r="C171" t="str">
        <f t="shared" si="65"/>
        <v>FracLoss</v>
      </c>
      <c r="D171" t="str">
        <f t="shared" ref="D171:G171" si="70">D159</f>
        <v xml:space="preserve"> - subsistence goats</v>
      </c>
      <c r="E171" t="str">
        <f t="shared" si="53"/>
        <v>FracLoss - subsistence goats</v>
      </c>
      <c r="F171" t="str">
        <f t="shared" si="70"/>
        <v>N2O</v>
      </c>
      <c r="G171" t="str">
        <f t="shared" si="70"/>
        <v>fraction</v>
      </c>
      <c r="H171" s="48">
        <v>2.5499999999999998E-2</v>
      </c>
    </row>
    <row r="172" spans="1:8" x14ac:dyDescent="0.3">
      <c r="A172" t="str">
        <f t="shared" si="61"/>
        <v>3C Aggregated and non-CO2 emissions on land</v>
      </c>
      <c r="B172" t="str">
        <f t="shared" si="62"/>
        <v>3C4 Direct N2O from managed soils (N2O)</v>
      </c>
      <c r="C172" t="str">
        <f t="shared" si="65"/>
        <v>FracLoss</v>
      </c>
      <c r="D172" t="str">
        <f t="shared" ref="D172:G172" si="71">D160</f>
        <v xml:space="preserve"> - commercial swine</v>
      </c>
      <c r="E172" t="str">
        <f t="shared" si="53"/>
        <v>FracLoss - commercial swine</v>
      </c>
      <c r="F172" t="str">
        <f t="shared" si="71"/>
        <v>N2O</v>
      </c>
      <c r="G172" t="str">
        <f t="shared" si="71"/>
        <v>fraction</v>
      </c>
      <c r="H172" s="48">
        <v>0.6522</v>
      </c>
    </row>
    <row r="173" spans="1:8" x14ac:dyDescent="0.3">
      <c r="A173" t="str">
        <f t="shared" si="61"/>
        <v>3C Aggregated and non-CO2 emissions on land</v>
      </c>
      <c r="B173" t="str">
        <f t="shared" si="62"/>
        <v>3C4 Direct N2O from managed soils (N2O)</v>
      </c>
      <c r="C173" t="str">
        <f t="shared" si="65"/>
        <v>FracLoss</v>
      </c>
      <c r="D173" t="str">
        <f t="shared" ref="D173:G173" si="72">D161</f>
        <v xml:space="preserve"> - subsistence swine</v>
      </c>
      <c r="E173" t="str">
        <f t="shared" si="53"/>
        <v>FracLoss - subsistence swine</v>
      </c>
      <c r="F173" t="str">
        <f t="shared" si="72"/>
        <v>N2O</v>
      </c>
      <c r="G173" t="str">
        <f t="shared" si="72"/>
        <v>fraction</v>
      </c>
      <c r="H173" s="48">
        <v>0.40959999999999996</v>
      </c>
    </row>
    <row r="174" spans="1:8" x14ac:dyDescent="0.3">
      <c r="A174" t="str">
        <f t="shared" si="61"/>
        <v>3C Aggregated and non-CO2 emissions on land</v>
      </c>
      <c r="B174" t="str">
        <f t="shared" si="62"/>
        <v>3C4 Direct N2O from managed soils (N2O)</v>
      </c>
      <c r="C174" t="str">
        <f t="shared" si="65"/>
        <v>FracLoss</v>
      </c>
      <c r="D174" t="str">
        <f t="shared" ref="D174:G174" si="73">D162</f>
        <v xml:space="preserve"> - broilers</v>
      </c>
      <c r="E174" t="str">
        <f t="shared" si="53"/>
        <v>FracLoss - broilers</v>
      </c>
      <c r="F174" t="str">
        <f t="shared" si="73"/>
        <v>N2O</v>
      </c>
      <c r="G174" t="str">
        <f t="shared" si="73"/>
        <v>fraction</v>
      </c>
      <c r="H174" s="48">
        <v>0.24</v>
      </c>
    </row>
    <row r="175" spans="1:8" x14ac:dyDescent="0.3">
      <c r="A175" t="str">
        <f t="shared" si="61"/>
        <v>3C Aggregated and non-CO2 emissions on land</v>
      </c>
      <c r="B175" t="str">
        <f t="shared" si="62"/>
        <v>3C4 Direct N2O from managed soils (N2O)</v>
      </c>
      <c r="C175" t="str">
        <f t="shared" si="65"/>
        <v>FracLoss</v>
      </c>
      <c r="D175" t="str">
        <f t="shared" ref="D175:G176" si="74">D163</f>
        <v xml:space="preserve"> - layers</v>
      </c>
      <c r="E175" t="str">
        <f t="shared" si="53"/>
        <v>FracLoss - layers</v>
      </c>
      <c r="F175" t="str">
        <f t="shared" si="74"/>
        <v>N2O</v>
      </c>
      <c r="G175" t="str">
        <f t="shared" si="74"/>
        <v>fraction</v>
      </c>
      <c r="H175" s="48">
        <v>0.29600000000000004</v>
      </c>
    </row>
    <row r="176" spans="1:8" x14ac:dyDescent="0.3">
      <c r="A176" t="str">
        <f t="shared" si="61"/>
        <v>3C Aggregated and non-CO2 emissions on land</v>
      </c>
      <c r="B176" t="str">
        <f t="shared" si="62"/>
        <v>3C4 Direct N2O from managed soils (N2O)</v>
      </c>
      <c r="C176" t="s">
        <v>405</v>
      </c>
      <c r="D176" t="str">
        <f>D164</f>
        <v xml:space="preserve"> - Diary cattle</v>
      </c>
      <c r="E176" t="str">
        <f t="shared" si="53"/>
        <v>N for bedding - Diary cattle</v>
      </c>
      <c r="F176" t="str">
        <f t="shared" si="74"/>
        <v>N2O</v>
      </c>
      <c r="G176" t="str">
        <f t="shared" si="74"/>
        <v>fraction</v>
      </c>
      <c r="H176" s="48">
        <v>0.35</v>
      </c>
    </row>
    <row r="177" spans="1:8" x14ac:dyDescent="0.3">
      <c r="A177" t="str">
        <f t="shared" si="61"/>
        <v>3C Aggregated and non-CO2 emissions on land</v>
      </c>
      <c r="B177" t="str">
        <f t="shared" si="62"/>
        <v>3C4 Direct N2O from managed soils (N2O)</v>
      </c>
      <c r="C177" t="s">
        <v>405</v>
      </c>
      <c r="D177" t="str">
        <f t="shared" ref="D177:D187" si="75">D165</f>
        <v xml:space="preserve"> - commercial other cattle</v>
      </c>
      <c r="E177" t="str">
        <f t="shared" ref="E177:E187" si="76">C177&amp;D177</f>
        <v>N for bedding - commercial other cattle</v>
      </c>
      <c r="F177" t="str">
        <f t="shared" ref="F177:G177" si="77">F165</f>
        <v>N2O</v>
      </c>
      <c r="G177" t="str">
        <f t="shared" si="77"/>
        <v>fraction</v>
      </c>
      <c r="H177" s="48">
        <v>0.04</v>
      </c>
    </row>
    <row r="178" spans="1:8" x14ac:dyDescent="0.3">
      <c r="A178" t="str">
        <f t="shared" si="61"/>
        <v>3C Aggregated and non-CO2 emissions on land</v>
      </c>
      <c r="B178" t="str">
        <f t="shared" si="62"/>
        <v>3C4 Direct N2O from managed soils (N2O)</v>
      </c>
      <c r="C178" t="s">
        <v>405</v>
      </c>
      <c r="D178" t="str">
        <f t="shared" si="75"/>
        <v xml:space="preserve"> - feedlot other cattle</v>
      </c>
      <c r="E178" t="str">
        <f t="shared" si="76"/>
        <v>N for bedding - feedlot other cattle</v>
      </c>
      <c r="F178" t="str">
        <f t="shared" ref="F178:G178" si="78">F166</f>
        <v>N2O</v>
      </c>
      <c r="G178" t="str">
        <f t="shared" si="78"/>
        <v>fraction</v>
      </c>
      <c r="H178" s="48">
        <v>0</v>
      </c>
    </row>
    <row r="179" spans="1:8" x14ac:dyDescent="0.3">
      <c r="A179" t="str">
        <f t="shared" si="61"/>
        <v>3C Aggregated and non-CO2 emissions on land</v>
      </c>
      <c r="B179" t="str">
        <f t="shared" si="62"/>
        <v>3C4 Direct N2O from managed soils (N2O)</v>
      </c>
      <c r="C179" t="s">
        <v>405</v>
      </c>
      <c r="D179" t="str">
        <f t="shared" si="75"/>
        <v xml:space="preserve"> - subsistence other cattle</v>
      </c>
      <c r="E179" t="str">
        <f t="shared" si="76"/>
        <v>N for bedding - subsistence other cattle</v>
      </c>
      <c r="F179" t="str">
        <f t="shared" ref="F179:G179" si="79">F167</f>
        <v>N2O</v>
      </c>
      <c r="G179" t="str">
        <f t="shared" si="79"/>
        <v>fraction</v>
      </c>
      <c r="H179" s="48">
        <v>0.4</v>
      </c>
    </row>
    <row r="180" spans="1:8" x14ac:dyDescent="0.3">
      <c r="A180" t="str">
        <f t="shared" si="61"/>
        <v>3C Aggregated and non-CO2 emissions on land</v>
      </c>
      <c r="B180" t="str">
        <f t="shared" si="62"/>
        <v>3C4 Direct N2O from managed soils (N2O)</v>
      </c>
      <c r="C180" t="s">
        <v>405</v>
      </c>
      <c r="D180" t="str">
        <f t="shared" si="75"/>
        <v xml:space="preserve"> - commercial sheep</v>
      </c>
      <c r="E180" t="str">
        <f t="shared" si="76"/>
        <v>N for bedding - commercial sheep</v>
      </c>
      <c r="F180" t="str">
        <f t="shared" ref="F180:G180" si="80">F168</f>
        <v>N2O</v>
      </c>
      <c r="G180" t="str">
        <f t="shared" si="80"/>
        <v>fraction</v>
      </c>
      <c r="H180" s="48">
        <v>0</v>
      </c>
    </row>
    <row r="181" spans="1:8" x14ac:dyDescent="0.3">
      <c r="A181" t="str">
        <f t="shared" si="61"/>
        <v>3C Aggregated and non-CO2 emissions on land</v>
      </c>
      <c r="B181" t="str">
        <f t="shared" si="62"/>
        <v>3C4 Direct N2O from managed soils (N2O)</v>
      </c>
      <c r="C181" t="s">
        <v>405</v>
      </c>
      <c r="D181" t="str">
        <f t="shared" si="75"/>
        <v xml:space="preserve"> - subsistence sheep</v>
      </c>
      <c r="E181" t="str">
        <f t="shared" si="76"/>
        <v>N for bedding - subsistence sheep</v>
      </c>
      <c r="F181" t="str">
        <f t="shared" ref="F181:G181" si="81">F169</f>
        <v>N2O</v>
      </c>
      <c r="G181" t="str">
        <f t="shared" si="81"/>
        <v>fraction</v>
      </c>
      <c r="H181" s="48">
        <v>0</v>
      </c>
    </row>
    <row r="182" spans="1:8" x14ac:dyDescent="0.3">
      <c r="A182" t="str">
        <f t="shared" si="61"/>
        <v>3C Aggregated and non-CO2 emissions on land</v>
      </c>
      <c r="B182" t="str">
        <f t="shared" si="62"/>
        <v>3C4 Direct N2O from managed soils (N2O)</v>
      </c>
      <c r="C182" t="s">
        <v>405</v>
      </c>
      <c r="D182" t="str">
        <f t="shared" si="75"/>
        <v xml:space="preserve"> - commercial goats</v>
      </c>
      <c r="E182" t="str">
        <f t="shared" si="76"/>
        <v>N for bedding - commercial goats</v>
      </c>
      <c r="F182" t="str">
        <f t="shared" ref="F182:G182" si="82">F170</f>
        <v>N2O</v>
      </c>
      <c r="G182" t="str">
        <f t="shared" si="82"/>
        <v>fraction</v>
      </c>
      <c r="H182" s="48">
        <v>0</v>
      </c>
    </row>
    <row r="183" spans="1:8" x14ac:dyDescent="0.3">
      <c r="A183" t="str">
        <f t="shared" si="61"/>
        <v>3C Aggregated and non-CO2 emissions on land</v>
      </c>
      <c r="B183" t="str">
        <f t="shared" si="62"/>
        <v>3C4 Direct N2O from managed soils (N2O)</v>
      </c>
      <c r="C183" t="s">
        <v>405</v>
      </c>
      <c r="D183" t="str">
        <f t="shared" si="75"/>
        <v xml:space="preserve"> - subsistence goats</v>
      </c>
      <c r="E183" t="str">
        <f t="shared" si="76"/>
        <v>N for bedding - subsistence goats</v>
      </c>
      <c r="F183" t="str">
        <f t="shared" ref="F183:G183" si="83">F171</f>
        <v>N2O</v>
      </c>
      <c r="G183" t="str">
        <f t="shared" si="83"/>
        <v>fraction</v>
      </c>
      <c r="H183" s="48">
        <v>0</v>
      </c>
    </row>
    <row r="184" spans="1:8" x14ac:dyDescent="0.3">
      <c r="A184" t="str">
        <f t="shared" si="61"/>
        <v>3C Aggregated and non-CO2 emissions on land</v>
      </c>
      <c r="B184" t="str">
        <f t="shared" si="62"/>
        <v>3C4 Direct N2O from managed soils (N2O)</v>
      </c>
      <c r="C184" t="s">
        <v>405</v>
      </c>
      <c r="D184" t="str">
        <f t="shared" si="75"/>
        <v xml:space="preserve"> - commercial swine</v>
      </c>
      <c r="E184" t="str">
        <f t="shared" si="76"/>
        <v>N for bedding - commercial swine</v>
      </c>
      <c r="F184" t="str">
        <f t="shared" ref="F184:G184" si="84">F172</f>
        <v>N2O</v>
      </c>
      <c r="G184" t="str">
        <f t="shared" si="84"/>
        <v>fraction</v>
      </c>
      <c r="H184" s="48">
        <v>0</v>
      </c>
    </row>
    <row r="185" spans="1:8" x14ac:dyDescent="0.3">
      <c r="A185" t="str">
        <f t="shared" si="61"/>
        <v>3C Aggregated and non-CO2 emissions on land</v>
      </c>
      <c r="B185" t="str">
        <f t="shared" si="62"/>
        <v>3C4 Direct N2O from managed soils (N2O)</v>
      </c>
      <c r="C185" t="s">
        <v>405</v>
      </c>
      <c r="D185" t="str">
        <f t="shared" si="75"/>
        <v xml:space="preserve"> - subsistence swine</v>
      </c>
      <c r="E185" t="str">
        <f t="shared" si="76"/>
        <v>N for bedding - subsistence swine</v>
      </c>
      <c r="F185" t="str">
        <f t="shared" ref="F185:G185" si="85">F173</f>
        <v>N2O</v>
      </c>
      <c r="G185" t="str">
        <f t="shared" si="85"/>
        <v>fraction</v>
      </c>
      <c r="H185" s="48">
        <v>0</v>
      </c>
    </row>
    <row r="186" spans="1:8" x14ac:dyDescent="0.3">
      <c r="A186" t="str">
        <f t="shared" si="61"/>
        <v>3C Aggregated and non-CO2 emissions on land</v>
      </c>
      <c r="B186" t="str">
        <f t="shared" si="62"/>
        <v>3C4 Direct N2O from managed soils (N2O)</v>
      </c>
      <c r="C186" t="s">
        <v>405</v>
      </c>
      <c r="D186" t="str">
        <f t="shared" si="75"/>
        <v xml:space="preserve"> - broilers</v>
      </c>
      <c r="E186" t="str">
        <f t="shared" si="76"/>
        <v>N for bedding - broilers</v>
      </c>
      <c r="F186" t="str">
        <f t="shared" ref="F186:G186" si="86">F174</f>
        <v>N2O</v>
      </c>
      <c r="G186" t="str">
        <f t="shared" si="86"/>
        <v>fraction</v>
      </c>
      <c r="H186" s="48">
        <v>0</v>
      </c>
    </row>
    <row r="187" spans="1:8" x14ac:dyDescent="0.3">
      <c r="A187" t="str">
        <f t="shared" si="61"/>
        <v>3C Aggregated and non-CO2 emissions on land</v>
      </c>
      <c r="B187" t="str">
        <f t="shared" si="62"/>
        <v>3C4 Direct N2O from managed soils (N2O)</v>
      </c>
      <c r="C187" t="s">
        <v>405</v>
      </c>
      <c r="D187" t="str">
        <f t="shared" si="75"/>
        <v xml:space="preserve"> - layers</v>
      </c>
      <c r="E187" t="str">
        <f t="shared" si="76"/>
        <v>N for bedding - layers</v>
      </c>
      <c r="F187" t="str">
        <f t="shared" ref="F187:G187" si="87">F175</f>
        <v>N2O</v>
      </c>
      <c r="G187" t="str">
        <f t="shared" si="87"/>
        <v>fraction</v>
      </c>
      <c r="H187" s="48">
        <v>0</v>
      </c>
    </row>
    <row r="188" spans="1:8" x14ac:dyDescent="0.3">
      <c r="A188" t="str">
        <f t="shared" si="61"/>
        <v>3C Aggregated and non-CO2 emissions on land</v>
      </c>
      <c r="B188" t="str">
        <f t="shared" si="62"/>
        <v>3C4 Direct N2O from managed soils (N2O)</v>
      </c>
      <c r="C188" t="s">
        <v>411</v>
      </c>
      <c r="D188" t="s">
        <v>417</v>
      </c>
      <c r="E188" t="str">
        <f t="shared" ref="E188:E206" si="88">C188&amp;D188</f>
        <v>Synthetic N - EF</v>
      </c>
      <c r="F188" t="str">
        <f t="shared" ref="F188" si="89">F176</f>
        <v>N2O</v>
      </c>
      <c r="G188" t="s">
        <v>416</v>
      </c>
      <c r="H188" s="26">
        <v>0.01</v>
      </c>
    </row>
    <row r="189" spans="1:8" x14ac:dyDescent="0.3">
      <c r="A189" t="str">
        <f t="shared" si="61"/>
        <v>3C Aggregated and non-CO2 emissions on land</v>
      </c>
      <c r="B189" t="str">
        <f t="shared" si="62"/>
        <v>3C4 Direct N2O from managed soils (N2O)</v>
      </c>
      <c r="C189" t="s">
        <v>412</v>
      </c>
      <c r="D189" t="str">
        <f>D188</f>
        <v xml:space="preserve"> - EF</v>
      </c>
      <c r="E189" t="str">
        <f t="shared" si="88"/>
        <v>Organic N - EF</v>
      </c>
      <c r="F189" t="str">
        <f t="shared" ref="F189" si="90">F177</f>
        <v>N2O</v>
      </c>
      <c r="G189" t="s">
        <v>416</v>
      </c>
      <c r="H189" s="26">
        <v>0.01</v>
      </c>
    </row>
    <row r="190" spans="1:8" x14ac:dyDescent="0.3">
      <c r="A190" t="str">
        <f t="shared" si="61"/>
        <v>3C Aggregated and non-CO2 emissions on land</v>
      </c>
      <c r="B190" t="str">
        <f t="shared" si="62"/>
        <v>3C4 Direct N2O from managed soils (N2O)</v>
      </c>
      <c r="C190" t="s">
        <v>406</v>
      </c>
      <c r="D190" t="str">
        <f t="shared" ref="D190:D193" si="91">D189</f>
        <v xml:space="preserve"> - EF</v>
      </c>
      <c r="E190" t="str">
        <f t="shared" si="88"/>
        <v>Manure N - EF</v>
      </c>
      <c r="F190" t="str">
        <f t="shared" ref="F190" si="92">F178</f>
        <v>N2O</v>
      </c>
      <c r="G190" t="s">
        <v>416</v>
      </c>
      <c r="H190" s="26">
        <v>0.01</v>
      </c>
    </row>
    <row r="191" spans="1:8" x14ac:dyDescent="0.3">
      <c r="A191" t="str">
        <f t="shared" si="61"/>
        <v>3C Aggregated and non-CO2 emissions on land</v>
      </c>
      <c r="B191" t="str">
        <f t="shared" si="62"/>
        <v>3C4 Direct N2O from managed soils (N2O)</v>
      </c>
      <c r="C191" t="s">
        <v>414</v>
      </c>
      <c r="D191" t="str">
        <f t="shared" si="91"/>
        <v xml:space="preserve"> - EF</v>
      </c>
      <c r="E191" t="str">
        <f t="shared" si="88"/>
        <v>Urine and dung N (CPP) - EF</v>
      </c>
      <c r="F191" t="str">
        <f t="shared" ref="F191" si="93">F179</f>
        <v>N2O</v>
      </c>
      <c r="G191" t="s">
        <v>416</v>
      </c>
      <c r="H191" s="26">
        <v>0.02</v>
      </c>
    </row>
    <row r="192" spans="1:8" x14ac:dyDescent="0.3">
      <c r="A192" t="str">
        <f t="shared" si="61"/>
        <v>3C Aggregated and non-CO2 emissions on land</v>
      </c>
      <c r="B192" t="str">
        <f t="shared" si="62"/>
        <v>3C4 Direct N2O from managed soils (N2O)</v>
      </c>
      <c r="C192" t="s">
        <v>415</v>
      </c>
      <c r="D192" t="str">
        <f t="shared" si="91"/>
        <v xml:space="preserve"> - EF</v>
      </c>
      <c r="E192" t="str">
        <f t="shared" si="88"/>
        <v>Urine and dung N (SO) - EF</v>
      </c>
      <c r="F192" t="str">
        <f t="shared" ref="F192" si="94">F180</f>
        <v>N2O</v>
      </c>
      <c r="G192" t="s">
        <v>416</v>
      </c>
      <c r="H192" s="26">
        <v>0.01</v>
      </c>
    </row>
    <row r="193" spans="1:8" x14ac:dyDescent="0.3">
      <c r="A193" t="str">
        <f t="shared" ref="A193" si="95">A192</f>
        <v>3C Aggregated and non-CO2 emissions on land</v>
      </c>
      <c r="B193" t="str">
        <f t="shared" ref="B193" si="96">B192</f>
        <v>3C4 Direct N2O from managed soils (N2O)</v>
      </c>
      <c r="C193" t="s">
        <v>413</v>
      </c>
      <c r="D193" t="str">
        <f t="shared" si="91"/>
        <v xml:space="preserve"> - EF</v>
      </c>
      <c r="E193" t="str">
        <f t="shared" si="88"/>
        <v>SOM N - EF</v>
      </c>
      <c r="F193" t="str">
        <f t="shared" ref="F193:F194" si="97">F181</f>
        <v>N2O</v>
      </c>
      <c r="G193" t="s">
        <v>416</v>
      </c>
      <c r="H193" s="26">
        <v>0.01</v>
      </c>
    </row>
    <row r="194" spans="1:8" x14ac:dyDescent="0.3">
      <c r="A194" t="str">
        <f t="shared" ref="A194" si="98">A193</f>
        <v>3C Aggregated and non-CO2 emissions on land</v>
      </c>
      <c r="B194" t="str">
        <f t="shared" ref="B194" si="99">B193</f>
        <v>3C4 Direct N2O from managed soils (N2O)</v>
      </c>
      <c r="C194" t="s">
        <v>446</v>
      </c>
      <c r="D194" t="s">
        <v>417</v>
      </c>
      <c r="E194" t="str">
        <f t="shared" ref="E194" si="100">C194&amp;D194</f>
        <v>Crop residue - EF</v>
      </c>
      <c r="F194" t="str">
        <f t="shared" si="97"/>
        <v>N2O</v>
      </c>
      <c r="G194" t="s">
        <v>416</v>
      </c>
      <c r="H194" s="26">
        <v>0.01</v>
      </c>
    </row>
    <row r="196" spans="1:8" x14ac:dyDescent="0.3">
      <c r="A196" t="str">
        <f>'IPCC Categories'!A59</f>
        <v>3C Aggregated and non-CO2 emissions on land</v>
      </c>
      <c r="B196" t="str">
        <f>'IPCC Categories'!B78</f>
        <v>3C5 Indirect N2O from managed soils (N2O)</v>
      </c>
      <c r="C196" t="s">
        <v>423</v>
      </c>
      <c r="D196" t="s">
        <v>426</v>
      </c>
      <c r="E196" t="str">
        <f t="shared" si="88"/>
        <v>FracGASF - synthetic N</v>
      </c>
      <c r="F196" t="s">
        <v>139</v>
      </c>
      <c r="G196" t="s">
        <v>377</v>
      </c>
      <c r="H196" s="26">
        <v>0.1</v>
      </c>
    </row>
    <row r="197" spans="1:8" x14ac:dyDescent="0.3">
      <c r="A197" t="str">
        <f>A196</f>
        <v>3C Aggregated and non-CO2 emissions on land</v>
      </c>
      <c r="B197" t="str">
        <f>B196</f>
        <v>3C5 Indirect N2O from managed soils (N2O)</v>
      </c>
      <c r="C197" t="s">
        <v>424</v>
      </c>
      <c r="D197" t="s">
        <v>427</v>
      </c>
      <c r="E197" t="str">
        <f t="shared" si="88"/>
        <v>FracGASM - Organic N</v>
      </c>
      <c r="F197" t="str">
        <f>F196</f>
        <v>N2O</v>
      </c>
      <c r="G197" t="str">
        <f>G196</f>
        <v>fraction</v>
      </c>
      <c r="H197" s="26">
        <v>0.2</v>
      </c>
    </row>
    <row r="198" spans="1:8" x14ac:dyDescent="0.3">
      <c r="A198" t="str">
        <f t="shared" ref="A198:A201" si="101">A197</f>
        <v>3C Aggregated and non-CO2 emissions on land</v>
      </c>
      <c r="B198" t="str">
        <f t="shared" ref="B198:B201" si="102">B197</f>
        <v>3C5 Indirect N2O from managed soils (N2O)</v>
      </c>
      <c r="C198" t="s">
        <v>425</v>
      </c>
      <c r="D198" t="s">
        <v>428</v>
      </c>
      <c r="E198" t="str">
        <f t="shared" si="88"/>
        <v>FracLEACH - N application</v>
      </c>
      <c r="F198" t="str">
        <f t="shared" ref="F198:F201" si="103">F197</f>
        <v>N2O</v>
      </c>
      <c r="G198" t="str">
        <f t="shared" ref="G198:G199" si="104">G197</f>
        <v>fraction</v>
      </c>
      <c r="H198" s="26">
        <v>4.5999999999999999E-2</v>
      </c>
    </row>
    <row r="199" spans="1:8" x14ac:dyDescent="0.3">
      <c r="A199" t="str">
        <f t="shared" si="101"/>
        <v>3C Aggregated and non-CO2 emissions on land</v>
      </c>
      <c r="B199" t="str">
        <f t="shared" si="102"/>
        <v>3C5 Indirect N2O from managed soils (N2O)</v>
      </c>
      <c r="C199" t="s">
        <v>425</v>
      </c>
      <c r="D199" t="s">
        <v>429</v>
      </c>
      <c r="E199" t="str">
        <f t="shared" si="88"/>
        <v>FracLEACH - U&amp;D</v>
      </c>
      <c r="F199" t="str">
        <f t="shared" si="103"/>
        <v>N2O</v>
      </c>
      <c r="G199" t="str">
        <f t="shared" si="104"/>
        <v>fraction</v>
      </c>
      <c r="H199" s="26">
        <v>0</v>
      </c>
    </row>
    <row r="200" spans="1:8" x14ac:dyDescent="0.3">
      <c r="A200" t="str">
        <f t="shared" si="101"/>
        <v>3C Aggregated and non-CO2 emissions on land</v>
      </c>
      <c r="B200" t="str">
        <f t="shared" si="102"/>
        <v>3C5 Indirect N2O from managed soils (N2O)</v>
      </c>
      <c r="C200" t="s">
        <v>432</v>
      </c>
      <c r="D200" t="s">
        <v>430</v>
      </c>
      <c r="E200" t="str">
        <f t="shared" si="88"/>
        <v>Indirect MS - volatilisation EF</v>
      </c>
      <c r="F200" t="str">
        <f t="shared" si="103"/>
        <v>N2O</v>
      </c>
      <c r="G200" t="s">
        <v>433</v>
      </c>
      <c r="H200" s="26">
        <v>0.01</v>
      </c>
    </row>
    <row r="201" spans="1:8" x14ac:dyDescent="0.3">
      <c r="A201" t="str">
        <f t="shared" si="101"/>
        <v>3C Aggregated and non-CO2 emissions on land</v>
      </c>
      <c r="B201" t="str">
        <f t="shared" si="102"/>
        <v>3C5 Indirect N2O from managed soils (N2O)</v>
      </c>
      <c r="C201" t="str">
        <f>C200</f>
        <v>Indirect MS</v>
      </c>
      <c r="D201" t="s">
        <v>431</v>
      </c>
      <c r="E201" t="str">
        <f t="shared" si="88"/>
        <v>Indirect MS - leaching EF</v>
      </c>
      <c r="F201" t="str">
        <f t="shared" si="103"/>
        <v>N2O</v>
      </c>
      <c r="G201" t="s">
        <v>434</v>
      </c>
      <c r="H201" s="26">
        <v>7.4999999999999997E-3</v>
      </c>
    </row>
    <row r="203" spans="1:8" x14ac:dyDescent="0.3">
      <c r="A203" t="str">
        <f>'IPCC Categories'!A59</f>
        <v>3C Aggregated and non-CO2 emissions on land</v>
      </c>
      <c r="B203" t="str">
        <f>'IPCC Categories'!B80</f>
        <v>3C6 Indirect N2O from manure management (N2O)</v>
      </c>
      <c r="C203" t="s">
        <v>440</v>
      </c>
      <c r="D203" t="s">
        <v>441</v>
      </c>
      <c r="E203" t="str">
        <f t="shared" si="88"/>
        <v>FracLEACHMM - manure management</v>
      </c>
      <c r="F203" t="s">
        <v>139</v>
      </c>
      <c r="G203" t="s">
        <v>377</v>
      </c>
      <c r="H203" s="26">
        <v>0.1</v>
      </c>
    </row>
    <row r="204" spans="1:8" x14ac:dyDescent="0.3">
      <c r="A204" t="str">
        <f t="shared" ref="A204:B206" si="105">A203</f>
        <v>3C Aggregated and non-CO2 emissions on land</v>
      </c>
      <c r="B204" t="str">
        <f t="shared" si="105"/>
        <v>3C6 Indirect N2O from manure management (N2O)</v>
      </c>
      <c r="C204" t="s">
        <v>442</v>
      </c>
      <c r="D204" t="s">
        <v>430</v>
      </c>
      <c r="E204" t="str">
        <f t="shared" si="88"/>
        <v>Indirect MM - volatilisation EF</v>
      </c>
      <c r="F204" t="str">
        <f>F203</f>
        <v>N2O</v>
      </c>
      <c r="G204" t="s">
        <v>433</v>
      </c>
      <c r="H204" s="26">
        <v>0.01</v>
      </c>
    </row>
    <row r="205" spans="1:8" x14ac:dyDescent="0.3">
      <c r="A205" t="str">
        <f t="shared" si="105"/>
        <v>3C Aggregated and non-CO2 emissions on land</v>
      </c>
      <c r="B205" t="str">
        <f t="shared" si="105"/>
        <v>3C6 Indirect N2O from manure management (N2O)</v>
      </c>
      <c r="C205" t="str">
        <f>C204</f>
        <v>Indirect MM</v>
      </c>
      <c r="D205" t="s">
        <v>431</v>
      </c>
      <c r="E205" t="str">
        <f t="shared" si="88"/>
        <v>Indirect MM - leaching EF</v>
      </c>
      <c r="F205" t="str">
        <f>F204</f>
        <v>N2O</v>
      </c>
      <c r="G205" t="s">
        <v>434</v>
      </c>
      <c r="H205" s="26">
        <v>7.4999999999999997E-3</v>
      </c>
    </row>
    <row r="206" spans="1:8" x14ac:dyDescent="0.3">
      <c r="A206" t="str">
        <f t="shared" si="105"/>
        <v>3C Aggregated and non-CO2 emissions on land</v>
      </c>
      <c r="B206" t="str">
        <f t="shared" si="105"/>
        <v>3C6 Indirect N2O from manure management (N2O)</v>
      </c>
      <c r="C206" t="s">
        <v>443</v>
      </c>
      <c r="D206" t="str">
        <f>'Activity data'!D66</f>
        <v xml:space="preserve"> - TMR</v>
      </c>
      <c r="E206" t="str">
        <f t="shared" si="88"/>
        <v>FracGasMS - TMR</v>
      </c>
      <c r="F206" t="str">
        <f t="shared" ref="F206:F221" si="106">F205</f>
        <v>N2O</v>
      </c>
      <c r="G206" t="s">
        <v>377</v>
      </c>
      <c r="H206" s="26">
        <v>0.33300000000000002</v>
      </c>
    </row>
    <row r="207" spans="1:8" x14ac:dyDescent="0.3">
      <c r="A207" t="str">
        <f t="shared" ref="A207:A221" si="107">A206</f>
        <v>3C Aggregated and non-CO2 emissions on land</v>
      </c>
      <c r="B207" t="str">
        <f t="shared" ref="B207:B221" si="108">B206</f>
        <v>3C6 Indirect N2O from manure management (N2O)</v>
      </c>
      <c r="C207" t="s">
        <v>443</v>
      </c>
      <c r="D207" t="str">
        <f>'Activity data'!D67</f>
        <v xml:space="preserve"> - Pasture</v>
      </c>
      <c r="E207" t="str">
        <f t="shared" ref="E207:E221" si="109">C207&amp;D207</f>
        <v>FracGasMS - Pasture</v>
      </c>
      <c r="F207" t="str">
        <f t="shared" si="106"/>
        <v>N2O</v>
      </c>
      <c r="G207" t="s">
        <v>377</v>
      </c>
      <c r="H207" s="26">
        <v>8.6999999999999994E-2</v>
      </c>
    </row>
    <row r="208" spans="1:8" x14ac:dyDescent="0.3">
      <c r="A208" t="str">
        <f t="shared" si="107"/>
        <v>3C Aggregated and non-CO2 emissions on land</v>
      </c>
      <c r="B208" t="str">
        <f t="shared" si="108"/>
        <v>3C6 Indirect N2O from manure management (N2O)</v>
      </c>
      <c r="C208" t="s">
        <v>443</v>
      </c>
      <c r="D208" t="str">
        <f>'Activity data'!D68</f>
        <v xml:space="preserve"> - Non-lactating</v>
      </c>
      <c r="E208" t="str">
        <f t="shared" si="109"/>
        <v>FracGasMS - Non-lactating</v>
      </c>
      <c r="F208" t="str">
        <f t="shared" si="106"/>
        <v>N2O</v>
      </c>
      <c r="G208" t="s">
        <v>377</v>
      </c>
      <c r="H208" s="26">
        <v>1.4999999999999999E-2</v>
      </c>
    </row>
    <row r="209" spans="1:8" x14ac:dyDescent="0.3">
      <c r="A209" t="str">
        <f t="shared" si="107"/>
        <v>3C Aggregated and non-CO2 emissions on land</v>
      </c>
      <c r="B209" t="str">
        <f t="shared" si="108"/>
        <v>3C6 Indirect N2O from manure management (N2O)</v>
      </c>
      <c r="C209" t="s">
        <v>443</v>
      </c>
      <c r="D209" t="str">
        <f>'Activity data'!D69</f>
        <v xml:space="preserve"> - Commercial cattle</v>
      </c>
      <c r="E209" t="str">
        <f t="shared" si="109"/>
        <v>FracGasMS - Commercial cattle</v>
      </c>
      <c r="F209" t="str">
        <f t="shared" si="106"/>
        <v>N2O</v>
      </c>
      <c r="G209" t="s">
        <v>377</v>
      </c>
      <c r="H209" s="26">
        <v>8.0000000000000002E-3</v>
      </c>
    </row>
    <row r="210" spans="1:8" x14ac:dyDescent="0.3">
      <c r="A210" t="str">
        <f t="shared" si="107"/>
        <v>3C Aggregated and non-CO2 emissions on land</v>
      </c>
      <c r="B210" t="str">
        <f t="shared" si="108"/>
        <v>3C6 Indirect N2O from manure management (N2O)</v>
      </c>
      <c r="C210" t="s">
        <v>443</v>
      </c>
      <c r="D210" t="str">
        <f>'Activity data'!D70</f>
        <v xml:space="preserve"> - Subsistence cattle</v>
      </c>
      <c r="E210" t="str">
        <f t="shared" si="109"/>
        <v>FracGasMS - Subsistence cattle</v>
      </c>
      <c r="F210" t="str">
        <f t="shared" si="106"/>
        <v>N2O</v>
      </c>
      <c r="G210" t="s">
        <v>377</v>
      </c>
      <c r="H210" s="26">
        <v>0.03</v>
      </c>
    </row>
    <row r="211" spans="1:8" x14ac:dyDescent="0.3">
      <c r="A211" t="str">
        <f t="shared" si="107"/>
        <v>3C Aggregated and non-CO2 emissions on land</v>
      </c>
      <c r="B211" t="str">
        <f t="shared" si="108"/>
        <v>3C6 Indirect N2O from manure management (N2O)</v>
      </c>
      <c r="C211" t="s">
        <v>443</v>
      </c>
      <c r="D211" t="str">
        <f>'Activity data'!D71</f>
        <v xml:space="preserve"> - Feedlot</v>
      </c>
      <c r="E211" t="str">
        <f t="shared" si="109"/>
        <v>FracGasMS - Feedlot</v>
      </c>
      <c r="F211" t="str">
        <f t="shared" si="106"/>
        <v>N2O</v>
      </c>
      <c r="G211" t="s">
        <v>377</v>
      </c>
      <c r="H211" s="26">
        <v>0.28299999999999997</v>
      </c>
    </row>
    <row r="212" spans="1:8" x14ac:dyDescent="0.3">
      <c r="A212" t="str">
        <f t="shared" si="107"/>
        <v>3C Aggregated and non-CO2 emissions on land</v>
      </c>
      <c r="B212" t="str">
        <f t="shared" si="108"/>
        <v>3C6 Indirect N2O from manure management (N2O)</v>
      </c>
      <c r="C212" t="s">
        <v>443</v>
      </c>
      <c r="D212" t="str">
        <f>'Activity data'!D72</f>
        <v xml:space="preserve"> - Commercial sheep</v>
      </c>
      <c r="E212" t="str">
        <f t="shared" si="109"/>
        <v>FracGasMS - Commercial sheep</v>
      </c>
      <c r="F212" t="str">
        <f t="shared" si="106"/>
        <v>N2O</v>
      </c>
      <c r="G212" t="s">
        <v>377</v>
      </c>
      <c r="H212" s="26">
        <v>2E-3</v>
      </c>
    </row>
    <row r="213" spans="1:8" x14ac:dyDescent="0.3">
      <c r="A213" t="str">
        <f t="shared" si="107"/>
        <v>3C Aggregated and non-CO2 emissions on land</v>
      </c>
      <c r="B213" t="str">
        <f t="shared" si="108"/>
        <v>3C6 Indirect N2O from manure management (N2O)</v>
      </c>
      <c r="C213" t="s">
        <v>443</v>
      </c>
      <c r="D213" t="str">
        <f>'Activity data'!D73</f>
        <v xml:space="preserve"> - Subsistence sheep</v>
      </c>
      <c r="E213" t="str">
        <f t="shared" si="109"/>
        <v>FracGasMS - Subsistence sheep</v>
      </c>
      <c r="F213" t="str">
        <f t="shared" si="106"/>
        <v>N2O</v>
      </c>
      <c r="G213" t="s">
        <v>377</v>
      </c>
      <c r="H213" s="26">
        <v>1.6500000000000001E-2</v>
      </c>
    </row>
    <row r="214" spans="1:8" x14ac:dyDescent="0.3">
      <c r="A214" t="str">
        <f t="shared" si="107"/>
        <v>3C Aggregated and non-CO2 emissions on land</v>
      </c>
      <c r="B214" t="str">
        <f t="shared" si="108"/>
        <v>3C6 Indirect N2O from manure management (N2O)</v>
      </c>
      <c r="C214" t="s">
        <v>443</v>
      </c>
      <c r="D214" t="str">
        <f>'Activity data'!D74</f>
        <v xml:space="preserve"> - Commercial goats</v>
      </c>
      <c r="E214" t="str">
        <f t="shared" si="109"/>
        <v>FracGasMS - Commercial goats</v>
      </c>
      <c r="F214" t="str">
        <f t="shared" si="106"/>
        <v>N2O</v>
      </c>
      <c r="G214" t="s">
        <v>377</v>
      </c>
      <c r="H214" s="26">
        <v>2E-3</v>
      </c>
    </row>
    <row r="215" spans="1:8" x14ac:dyDescent="0.3">
      <c r="A215" t="str">
        <f t="shared" si="107"/>
        <v>3C Aggregated and non-CO2 emissions on land</v>
      </c>
      <c r="B215" t="str">
        <f t="shared" si="108"/>
        <v>3C6 Indirect N2O from manure management (N2O)</v>
      </c>
      <c r="C215" t="s">
        <v>443</v>
      </c>
      <c r="D215" t="str">
        <f>'Activity data'!D75</f>
        <v xml:space="preserve"> - Subsistence goats</v>
      </c>
      <c r="E215" t="str">
        <f t="shared" si="109"/>
        <v>FracGasMS - Subsistence goats</v>
      </c>
      <c r="F215" t="str">
        <f t="shared" si="106"/>
        <v>N2O</v>
      </c>
      <c r="G215" t="s">
        <v>377</v>
      </c>
      <c r="H215" s="26">
        <v>1.6500000000000001E-2</v>
      </c>
    </row>
    <row r="216" spans="1:8" x14ac:dyDescent="0.3">
      <c r="A216" t="str">
        <f t="shared" si="107"/>
        <v>3C Aggregated and non-CO2 emissions on land</v>
      </c>
      <c r="B216" t="str">
        <f t="shared" si="108"/>
        <v>3C6 Indirect N2O from manure management (N2O)</v>
      </c>
      <c r="C216" t="s">
        <v>443</v>
      </c>
      <c r="D216" t="str">
        <f>'Activity data'!D76</f>
        <v xml:space="preserve"> - Horses</v>
      </c>
      <c r="E216" t="str">
        <f t="shared" si="109"/>
        <v>FracGasMS - Horses</v>
      </c>
      <c r="F216" t="str">
        <f t="shared" si="106"/>
        <v>N2O</v>
      </c>
      <c r="G216" t="s">
        <v>377</v>
      </c>
      <c r="H216" s="26">
        <v>0</v>
      </c>
    </row>
    <row r="217" spans="1:8" x14ac:dyDescent="0.3">
      <c r="A217" t="str">
        <f t="shared" si="107"/>
        <v>3C Aggregated and non-CO2 emissions on land</v>
      </c>
      <c r="B217" t="str">
        <f t="shared" si="108"/>
        <v>3C6 Indirect N2O from manure management (N2O)</v>
      </c>
      <c r="C217" t="s">
        <v>443</v>
      </c>
      <c r="D217" t="str">
        <f>'Activity data'!D77</f>
        <v xml:space="preserve"> - Mules &amp; Asses</v>
      </c>
      <c r="E217" t="str">
        <f t="shared" si="109"/>
        <v>FracGasMS - Mules &amp; Asses</v>
      </c>
      <c r="F217" t="str">
        <f t="shared" si="106"/>
        <v>N2O</v>
      </c>
      <c r="G217" t="s">
        <v>377</v>
      </c>
      <c r="H217" s="26">
        <v>0</v>
      </c>
    </row>
    <row r="218" spans="1:8" x14ac:dyDescent="0.3">
      <c r="A218" t="str">
        <f t="shared" si="107"/>
        <v>3C Aggregated and non-CO2 emissions on land</v>
      </c>
      <c r="B218" t="str">
        <f t="shared" si="108"/>
        <v>3C6 Indirect N2O from manure management (N2O)</v>
      </c>
      <c r="C218" t="s">
        <v>443</v>
      </c>
      <c r="D218" t="str">
        <f>'Activity data'!D78</f>
        <v xml:space="preserve"> - Commercial swine</v>
      </c>
      <c r="E218" t="str">
        <f t="shared" si="109"/>
        <v>FracGasMS - Commercial swine</v>
      </c>
      <c r="F218" t="str">
        <f t="shared" si="106"/>
        <v>N2O</v>
      </c>
      <c r="G218" t="s">
        <v>377</v>
      </c>
      <c r="H218" s="26">
        <v>0.3649</v>
      </c>
    </row>
    <row r="219" spans="1:8" x14ac:dyDescent="0.3">
      <c r="A219" t="str">
        <f t="shared" si="107"/>
        <v>3C Aggregated and non-CO2 emissions on land</v>
      </c>
      <c r="B219" t="str">
        <f t="shared" si="108"/>
        <v>3C6 Indirect N2O from manure management (N2O)</v>
      </c>
      <c r="C219" t="s">
        <v>443</v>
      </c>
      <c r="D219" t="str">
        <f>'Activity data'!D79</f>
        <v xml:space="preserve"> - Subsistence swine</v>
      </c>
      <c r="E219" t="str">
        <f t="shared" si="109"/>
        <v>FracGasMS - Subsistence swine</v>
      </c>
      <c r="F219" t="str">
        <f t="shared" si="106"/>
        <v>N2O</v>
      </c>
      <c r="G219" t="s">
        <v>377</v>
      </c>
      <c r="H219" s="26">
        <v>0.23760000000000001</v>
      </c>
    </row>
    <row r="220" spans="1:8" x14ac:dyDescent="0.3">
      <c r="A220" t="str">
        <f t="shared" si="107"/>
        <v>3C Aggregated and non-CO2 emissions on land</v>
      </c>
      <c r="B220" t="str">
        <f t="shared" si="108"/>
        <v>3C6 Indirect N2O from manure management (N2O)</v>
      </c>
      <c r="C220" t="s">
        <v>443</v>
      </c>
      <c r="D220" t="str">
        <f>'Activity data'!D80</f>
        <v xml:space="preserve"> - Commercial layers</v>
      </c>
      <c r="E220" t="str">
        <f t="shared" si="109"/>
        <v>FracGasMS - Commercial layers</v>
      </c>
      <c r="F220" t="str">
        <f t="shared" si="106"/>
        <v>N2O</v>
      </c>
      <c r="G220" t="s">
        <v>377</v>
      </c>
      <c r="H220" s="26">
        <v>0.28899999999999998</v>
      </c>
    </row>
    <row r="221" spans="1:8" x14ac:dyDescent="0.3">
      <c r="A221" t="str">
        <f t="shared" si="107"/>
        <v>3C Aggregated and non-CO2 emissions on land</v>
      </c>
      <c r="B221" t="str">
        <f t="shared" si="108"/>
        <v>3C6 Indirect N2O from manure management (N2O)</v>
      </c>
      <c r="C221" t="s">
        <v>443</v>
      </c>
      <c r="D221" t="str">
        <f>'Activity data'!D81</f>
        <v xml:space="preserve"> - Commercial broilers</v>
      </c>
      <c r="E221" t="str">
        <f t="shared" si="109"/>
        <v>FracGasMS - Commercial broilers</v>
      </c>
      <c r="F221" t="str">
        <f t="shared" si="106"/>
        <v>N2O</v>
      </c>
      <c r="G221" t="s">
        <v>377</v>
      </c>
      <c r="H221" s="26">
        <v>0.3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T138"/>
  <sheetViews>
    <sheetView workbookViewId="0">
      <pane xSplit="1" topLeftCell="B1" activePane="topRight" state="frozen"/>
      <selection pane="topRight" activeCell="L5" sqref="L5"/>
    </sheetView>
  </sheetViews>
  <sheetFormatPr defaultColWidth="8.77734375" defaultRowHeight="14.4" x14ac:dyDescent="0.3"/>
  <cols>
    <col min="1" max="1" width="62.77734375" customWidth="1"/>
    <col min="2" max="2" width="20.44140625" customWidth="1"/>
    <col min="3" max="3" width="8.44140625" customWidth="1"/>
    <col min="5" max="5" width="15.33203125" customWidth="1"/>
    <col min="6" max="6" width="19.109375" customWidth="1"/>
    <col min="8" max="8" width="10.44140625" customWidth="1"/>
    <col min="10" max="10" width="23.33203125" customWidth="1"/>
    <col min="13" max="13" width="15.44140625" customWidth="1"/>
    <col min="14" max="14" width="10.6640625" customWidth="1"/>
    <col min="16" max="16" width="21.6640625" customWidth="1"/>
    <col min="19" max="19" width="13.33203125" customWidth="1"/>
    <col min="20" max="20" width="10.44140625" customWidth="1"/>
  </cols>
  <sheetData>
    <row r="1" spans="1:20" ht="18" x14ac:dyDescent="0.35">
      <c r="A1" s="1" t="s">
        <v>277</v>
      </c>
    </row>
    <row r="3" spans="1:20" ht="15.6" x14ac:dyDescent="0.3">
      <c r="A3" s="17" t="s">
        <v>278</v>
      </c>
      <c r="B3" s="17" t="s">
        <v>280</v>
      </c>
      <c r="C3" s="17" t="s">
        <v>5</v>
      </c>
      <c r="D3" s="17" t="s">
        <v>279</v>
      </c>
      <c r="E3" s="17" t="s">
        <v>0</v>
      </c>
      <c r="F3" s="17" t="s">
        <v>281</v>
      </c>
      <c r="G3" s="17" t="s">
        <v>284</v>
      </c>
      <c r="H3" s="17" t="s">
        <v>285</v>
      </c>
      <c r="J3" s="17" t="s">
        <v>280</v>
      </c>
      <c r="K3" s="17" t="s">
        <v>5</v>
      </c>
      <c r="L3" s="17" t="s">
        <v>279</v>
      </c>
      <c r="M3" s="17" t="s">
        <v>0</v>
      </c>
      <c r="N3" s="17" t="s">
        <v>285</v>
      </c>
      <c r="P3" s="17" t="s">
        <v>280</v>
      </c>
      <c r="Q3" s="17" t="s">
        <v>5</v>
      </c>
      <c r="R3" s="17" t="s">
        <v>310</v>
      </c>
      <c r="S3" s="17" t="s">
        <v>0</v>
      </c>
      <c r="T3" s="17" t="s">
        <v>285</v>
      </c>
    </row>
    <row r="4" spans="1:20" x14ac:dyDescent="0.3">
      <c r="A4" s="13" t="s">
        <v>2</v>
      </c>
    </row>
    <row r="5" spans="1:20" x14ac:dyDescent="0.3">
      <c r="A5" s="14" t="s">
        <v>156</v>
      </c>
      <c r="B5" t="s">
        <v>97</v>
      </c>
      <c r="C5" t="s">
        <v>121</v>
      </c>
      <c r="D5" s="21">
        <v>127</v>
      </c>
      <c r="E5" t="s">
        <v>144</v>
      </c>
      <c r="F5" s="21">
        <v>362133.25145839731</v>
      </c>
      <c r="G5" s="22">
        <f>F5/SUM($F$5:$F$7)</f>
        <v>0.71719117961892542</v>
      </c>
      <c r="H5" s="22">
        <f>D5*G5</f>
        <v>91.083279811603532</v>
      </c>
      <c r="J5" t="s">
        <v>98</v>
      </c>
      <c r="K5" t="s">
        <v>121</v>
      </c>
      <c r="L5" s="21">
        <v>4.9800000000000004</v>
      </c>
      <c r="M5" t="s">
        <v>144</v>
      </c>
      <c r="N5" s="22">
        <f>L5*G5</f>
        <v>3.5716120745022488</v>
      </c>
      <c r="P5" t="s">
        <v>98</v>
      </c>
      <c r="Q5" t="s">
        <v>139</v>
      </c>
      <c r="R5" s="21">
        <v>118.26</v>
      </c>
      <c r="S5" t="s">
        <v>311</v>
      </c>
      <c r="T5" s="22">
        <f>R5*G5</f>
        <v>84.815028901734124</v>
      </c>
    </row>
    <row r="6" spans="1:20" x14ac:dyDescent="0.3">
      <c r="A6" s="14" t="s">
        <v>157</v>
      </c>
      <c r="B6" t="str">
        <f>$B$5</f>
        <v>Enteric fermentation</v>
      </c>
      <c r="C6" t="str">
        <f>$C$5</f>
        <v>CH4</v>
      </c>
      <c r="D6" s="21">
        <v>83.4</v>
      </c>
      <c r="E6" t="s">
        <v>144</v>
      </c>
      <c r="F6" s="21">
        <v>88281.240405280929</v>
      </c>
      <c r="G6" s="22">
        <f t="shared" ref="G6:G7" si="0">F6/SUM($F$5:$F$7)</f>
        <v>0.17483765075287233</v>
      </c>
      <c r="H6" s="22">
        <f t="shared" ref="H6:H10" si="1">D6*G6</f>
        <v>14.581460072789554</v>
      </c>
      <c r="J6" t="str">
        <f>$J$5</f>
        <v>Manure management</v>
      </c>
      <c r="K6" t="str">
        <f>$K$5</f>
        <v>CH4</v>
      </c>
      <c r="L6" s="21">
        <v>1.1100000000000001</v>
      </c>
      <c r="M6" t="s">
        <v>144</v>
      </c>
      <c r="N6" s="22">
        <f t="shared" ref="N6:N69" si="2">L6*G6</f>
        <v>0.1940697923356883</v>
      </c>
      <c r="P6" t="str">
        <f>$P$5</f>
        <v>Manure management</v>
      </c>
      <c r="Q6" t="str">
        <f>$Q$5</f>
        <v>N2O</v>
      </c>
      <c r="R6" s="21">
        <v>124.173</v>
      </c>
      <c r="S6" t="s">
        <v>311</v>
      </c>
      <c r="T6" s="22">
        <f t="shared" ref="T6:T69" si="3">R6*G6</f>
        <v>21.710115606936416</v>
      </c>
    </row>
    <row r="7" spans="1:20" x14ac:dyDescent="0.3">
      <c r="A7" s="14" t="s">
        <v>158</v>
      </c>
      <c r="B7" t="str">
        <f t="shared" ref="B7:B10" si="4">$B$5</f>
        <v>Enteric fermentation</v>
      </c>
      <c r="C7" t="str">
        <f t="shared" ref="C7:C10" si="5">$C$5</f>
        <v>CH4</v>
      </c>
      <c r="D7" s="21">
        <v>116</v>
      </c>
      <c r="E7" t="s">
        <v>144</v>
      </c>
      <c r="F7" s="21">
        <v>54518.170095179601</v>
      </c>
      <c r="G7" s="22">
        <f t="shared" si="0"/>
        <v>0.10797116962820237</v>
      </c>
      <c r="H7" s="22">
        <f t="shared" si="1"/>
        <v>12.524655676871475</v>
      </c>
      <c r="J7" t="str">
        <f t="shared" ref="J7:J10" si="6">$J$5</f>
        <v>Manure management</v>
      </c>
      <c r="K7" t="str">
        <f t="shared" ref="K7:K10" si="7">$K$5</f>
        <v>CH4</v>
      </c>
      <c r="L7" s="21">
        <v>4.8</v>
      </c>
      <c r="M7" t="s">
        <v>144</v>
      </c>
      <c r="N7" s="22">
        <f t="shared" si="2"/>
        <v>0.51826161421537131</v>
      </c>
      <c r="P7" t="str">
        <f t="shared" ref="P7:P10" si="8">$P$5</f>
        <v>Manure management</v>
      </c>
      <c r="Q7" t="str">
        <f t="shared" ref="Q7:Q10" si="9">$Q$5</f>
        <v>N2O</v>
      </c>
      <c r="R7" s="21">
        <v>95.921999999999997</v>
      </c>
      <c r="S7" t="s">
        <v>311</v>
      </c>
      <c r="T7" s="22">
        <f t="shared" si="3"/>
        <v>10.356810533076427</v>
      </c>
    </row>
    <row r="8" spans="1:20" x14ac:dyDescent="0.3">
      <c r="A8" s="14" t="s">
        <v>159</v>
      </c>
      <c r="B8" t="str">
        <f t="shared" si="4"/>
        <v>Enteric fermentation</v>
      </c>
      <c r="C8" t="str">
        <f t="shared" si="5"/>
        <v>CH4</v>
      </c>
      <c r="D8" s="21">
        <v>132</v>
      </c>
      <c r="E8" t="s">
        <v>144</v>
      </c>
      <c r="F8" s="21">
        <v>441866.74854160275</v>
      </c>
      <c r="G8" s="22">
        <f>F8/SUM($F$8:$F$10)</f>
        <v>0.71719117961892531</v>
      </c>
      <c r="H8" s="22">
        <f t="shared" si="1"/>
        <v>94.669235709698143</v>
      </c>
      <c r="J8" t="str">
        <f t="shared" si="6"/>
        <v>Manure management</v>
      </c>
      <c r="K8" t="str">
        <f t="shared" si="7"/>
        <v>CH4</v>
      </c>
      <c r="L8" s="21">
        <v>14.8</v>
      </c>
      <c r="M8" t="s">
        <v>144</v>
      </c>
      <c r="N8" s="22">
        <f t="shared" si="2"/>
        <v>10.614429458360096</v>
      </c>
      <c r="P8" t="str">
        <f t="shared" si="8"/>
        <v>Manure management</v>
      </c>
      <c r="Q8" t="str">
        <f t="shared" si="9"/>
        <v>N2O</v>
      </c>
      <c r="R8" s="21">
        <v>129.20999999999998</v>
      </c>
      <c r="S8" t="s">
        <v>311</v>
      </c>
      <c r="T8" s="22">
        <f t="shared" si="3"/>
        <v>92.668272318561321</v>
      </c>
    </row>
    <row r="9" spans="1:20" x14ac:dyDescent="0.3">
      <c r="A9" s="14" t="s">
        <v>160</v>
      </c>
      <c r="B9" t="str">
        <f t="shared" si="4"/>
        <v>Enteric fermentation</v>
      </c>
      <c r="C9" t="str">
        <f t="shared" si="5"/>
        <v>CH4</v>
      </c>
      <c r="D9" s="21">
        <v>80.400000000000006</v>
      </c>
      <c r="E9" t="s">
        <v>144</v>
      </c>
      <c r="F9" s="21">
        <v>107718.75959471907</v>
      </c>
      <c r="G9" s="22">
        <f t="shared" ref="G9:G10" si="10">F9/SUM($F$8:$F$10)</f>
        <v>0.17483765075287233</v>
      </c>
      <c r="H9" s="22">
        <f t="shared" si="1"/>
        <v>14.056947120530936</v>
      </c>
      <c r="J9" t="str">
        <f t="shared" si="6"/>
        <v>Manure management</v>
      </c>
      <c r="K9" t="str">
        <f t="shared" si="7"/>
        <v>CH4</v>
      </c>
      <c r="L9" s="21">
        <v>1.47</v>
      </c>
      <c r="M9" t="s">
        <v>144</v>
      </c>
      <c r="N9" s="22">
        <f t="shared" si="2"/>
        <v>0.25701134660672231</v>
      </c>
      <c r="P9" t="str">
        <f t="shared" si="8"/>
        <v>Manure management</v>
      </c>
      <c r="Q9" t="str">
        <f t="shared" si="9"/>
        <v>N2O</v>
      </c>
      <c r="R9" s="21">
        <v>135.6705</v>
      </c>
      <c r="S9" t="s">
        <v>311</v>
      </c>
      <c r="T9" s="22">
        <f t="shared" si="3"/>
        <v>23.720311496467566</v>
      </c>
    </row>
    <row r="10" spans="1:20" x14ac:dyDescent="0.3">
      <c r="A10" s="14" t="s">
        <v>161</v>
      </c>
      <c r="B10" t="str">
        <f t="shared" si="4"/>
        <v>Enteric fermentation</v>
      </c>
      <c r="C10" t="str">
        <f t="shared" si="5"/>
        <v>CH4</v>
      </c>
      <c r="D10" s="21">
        <v>127</v>
      </c>
      <c r="E10" t="s">
        <v>144</v>
      </c>
      <c r="F10" s="21">
        <v>66521.829904820392</v>
      </c>
      <c r="G10" s="22">
        <f t="shared" si="10"/>
        <v>0.10797116962820238</v>
      </c>
      <c r="H10" s="22">
        <f t="shared" si="1"/>
        <v>13.712338542781703</v>
      </c>
      <c r="J10" t="str">
        <f t="shared" si="6"/>
        <v>Manure management</v>
      </c>
      <c r="K10" t="str">
        <f t="shared" si="7"/>
        <v>CH4</v>
      </c>
      <c r="L10" s="21">
        <v>14.7</v>
      </c>
      <c r="M10" t="s">
        <v>144</v>
      </c>
      <c r="N10" s="22">
        <f t="shared" si="2"/>
        <v>1.587176193534575</v>
      </c>
      <c r="P10" t="str">
        <f t="shared" si="8"/>
        <v>Manure management</v>
      </c>
      <c r="Q10" t="str">
        <f t="shared" si="9"/>
        <v>N2O</v>
      </c>
      <c r="R10" s="21">
        <v>110.15700000000001</v>
      </c>
      <c r="S10" t="s">
        <v>311</v>
      </c>
      <c r="T10" s="22">
        <f t="shared" si="3"/>
        <v>11.893780132733891</v>
      </c>
    </row>
    <row r="11" spans="1:20" x14ac:dyDescent="0.3">
      <c r="A11" s="13" t="s">
        <v>151</v>
      </c>
      <c r="M11" s="13"/>
    </row>
    <row r="12" spans="1:20" x14ac:dyDescent="0.3">
      <c r="A12" s="14" t="s">
        <v>162</v>
      </c>
      <c r="B12" t="str">
        <f t="shared" ref="B12:B34" si="11">$B$5</f>
        <v>Enteric fermentation</v>
      </c>
      <c r="C12" t="str">
        <f t="shared" ref="C12:C34" si="12">$C$5</f>
        <v>CH4</v>
      </c>
      <c r="D12" s="21">
        <v>20</v>
      </c>
      <c r="E12" t="s">
        <v>144</v>
      </c>
      <c r="F12" s="21">
        <v>58517.112103162421</v>
      </c>
      <c r="G12" s="22">
        <f>F12/SUM($F$12:$F$21)</f>
        <v>8.6862621266192389E-2</v>
      </c>
      <c r="H12" s="22">
        <f>D12*G12</f>
        <v>1.7372524253238477</v>
      </c>
      <c r="J12" t="str">
        <f t="shared" ref="J12:J34" si="13">$J$5</f>
        <v>Manure management</v>
      </c>
      <c r="K12" t="str">
        <f t="shared" ref="K12:K34" si="14">$K$5</f>
        <v>CH4</v>
      </c>
      <c r="L12" s="21">
        <v>0.32</v>
      </c>
      <c r="M12" t="s">
        <v>144</v>
      </c>
      <c r="N12" s="22">
        <f t="shared" si="2"/>
        <v>2.7796038805181566E-2</v>
      </c>
      <c r="P12" t="str">
        <f t="shared" ref="P12:P34" si="15">$P$5</f>
        <v>Manure management</v>
      </c>
      <c r="Q12" t="str">
        <f t="shared" ref="Q12:Q34" si="16">$Q$5</f>
        <v>N2O</v>
      </c>
      <c r="R12" s="21">
        <v>8.2782</v>
      </c>
      <c r="S12" t="s">
        <v>311</v>
      </c>
      <c r="T12" s="22">
        <f t="shared" si="3"/>
        <v>0.71906615136579388</v>
      </c>
    </row>
    <row r="13" spans="1:20" x14ac:dyDescent="0.3">
      <c r="A13" s="14" t="s">
        <v>163</v>
      </c>
      <c r="B13" t="str">
        <f t="shared" si="11"/>
        <v>Enteric fermentation</v>
      </c>
      <c r="C13" t="str">
        <f t="shared" si="12"/>
        <v>CH4</v>
      </c>
      <c r="D13" s="21">
        <v>24.5</v>
      </c>
      <c r="E13" t="s">
        <v>144</v>
      </c>
      <c r="F13" s="21">
        <v>58517.112103162421</v>
      </c>
      <c r="G13" s="22">
        <f t="shared" ref="G13:G21" si="17">F13/SUM($F$12:$F$21)</f>
        <v>8.6862621266192389E-2</v>
      </c>
      <c r="H13" s="22">
        <f t="shared" ref="H13:H76" si="18">D13*G13</f>
        <v>2.1281342210217136</v>
      </c>
      <c r="J13" t="str">
        <f t="shared" si="13"/>
        <v>Manure management</v>
      </c>
      <c r="K13" t="str">
        <f t="shared" si="14"/>
        <v>CH4</v>
      </c>
      <c r="L13" s="21">
        <v>0.4</v>
      </c>
      <c r="M13" t="s">
        <v>144</v>
      </c>
      <c r="N13" s="22">
        <f t="shared" si="2"/>
        <v>3.4745048506476958E-2</v>
      </c>
      <c r="P13" t="str">
        <f t="shared" si="15"/>
        <v>Manure management</v>
      </c>
      <c r="Q13" t="str">
        <f t="shared" si="16"/>
        <v>N2O</v>
      </c>
      <c r="R13" s="21">
        <v>12.417300000000001</v>
      </c>
      <c r="S13" t="s">
        <v>311</v>
      </c>
      <c r="T13" s="22">
        <f t="shared" si="3"/>
        <v>1.0785992270486908</v>
      </c>
    </row>
    <row r="14" spans="1:20" x14ac:dyDescent="0.3">
      <c r="A14" s="14" t="s">
        <v>164</v>
      </c>
      <c r="B14" t="str">
        <f t="shared" si="11"/>
        <v>Enteric fermentation</v>
      </c>
      <c r="C14" t="str">
        <f t="shared" si="12"/>
        <v>CH4</v>
      </c>
      <c r="D14" s="21">
        <v>37.1</v>
      </c>
      <c r="E14" t="s">
        <v>144</v>
      </c>
      <c r="F14" s="21">
        <v>87775.668154743631</v>
      </c>
      <c r="G14" s="22">
        <f t="shared" si="17"/>
        <v>0.13029393189928859</v>
      </c>
      <c r="H14" s="22">
        <f t="shared" si="18"/>
        <v>4.8339048734636068</v>
      </c>
      <c r="J14" t="str">
        <f t="shared" si="13"/>
        <v>Manure management</v>
      </c>
      <c r="K14" t="str">
        <f t="shared" si="14"/>
        <v>CH4</v>
      </c>
      <c r="L14" s="21">
        <v>0.57999999999999996</v>
      </c>
      <c r="M14" t="s">
        <v>144</v>
      </c>
      <c r="N14" s="22">
        <f t="shared" si="2"/>
        <v>7.5570480501587378E-2</v>
      </c>
      <c r="P14" t="str">
        <f t="shared" si="15"/>
        <v>Manure management</v>
      </c>
      <c r="Q14" t="str">
        <f t="shared" si="16"/>
        <v>N2O</v>
      </c>
      <c r="R14" s="21">
        <v>32.652900000000002</v>
      </c>
      <c r="S14" t="s">
        <v>311</v>
      </c>
      <c r="T14" s="22">
        <f t="shared" si="3"/>
        <v>4.254474728914281</v>
      </c>
    </row>
    <row r="15" spans="1:20" x14ac:dyDescent="0.3">
      <c r="A15" s="14" t="s">
        <v>165</v>
      </c>
      <c r="B15" t="str">
        <f t="shared" si="11"/>
        <v>Enteric fermentation</v>
      </c>
      <c r="C15" t="str">
        <f t="shared" si="12"/>
        <v>CH4</v>
      </c>
      <c r="D15" s="21">
        <v>52.6</v>
      </c>
      <c r="E15" t="s">
        <v>144</v>
      </c>
      <c r="F15" s="21">
        <v>25115.112066318696</v>
      </c>
      <c r="G15" s="22">
        <f t="shared" si="17"/>
        <v>3.7280795122436018E-2</v>
      </c>
      <c r="H15" s="22">
        <f t="shared" si="18"/>
        <v>1.9609698234401347</v>
      </c>
      <c r="J15" t="str">
        <f t="shared" si="13"/>
        <v>Manure management</v>
      </c>
      <c r="K15" t="str">
        <f t="shared" si="14"/>
        <v>CH4</v>
      </c>
      <c r="L15" s="21">
        <v>0.78</v>
      </c>
      <c r="M15" t="s">
        <v>144</v>
      </c>
      <c r="N15" s="22">
        <f t="shared" si="2"/>
        <v>2.9079020195500096E-2</v>
      </c>
      <c r="P15" t="str">
        <f t="shared" si="15"/>
        <v>Manure management</v>
      </c>
      <c r="Q15" t="str">
        <f t="shared" si="16"/>
        <v>N2O</v>
      </c>
      <c r="R15" s="21">
        <v>58.407299999999999</v>
      </c>
      <c r="S15" t="s">
        <v>311</v>
      </c>
      <c r="T15" s="22">
        <f t="shared" si="3"/>
        <v>2.1774705849546572</v>
      </c>
    </row>
    <row r="16" spans="1:20" x14ac:dyDescent="0.3">
      <c r="A16" s="14" t="s">
        <v>166</v>
      </c>
      <c r="B16" t="str">
        <f t="shared" si="11"/>
        <v>Enteric fermentation</v>
      </c>
      <c r="C16" t="str">
        <f t="shared" si="12"/>
        <v>CH4</v>
      </c>
      <c r="D16" s="21">
        <v>61.8</v>
      </c>
      <c r="E16" t="s">
        <v>144</v>
      </c>
      <c r="F16" s="21">
        <v>73507.645072152271</v>
      </c>
      <c r="G16" s="22">
        <f t="shared" si="17"/>
        <v>0.10911452230956882</v>
      </c>
      <c r="H16" s="22">
        <f t="shared" si="18"/>
        <v>6.7432774787313532</v>
      </c>
      <c r="J16" t="str">
        <f t="shared" si="13"/>
        <v>Manure management</v>
      </c>
      <c r="K16" t="str">
        <f t="shared" si="14"/>
        <v>CH4</v>
      </c>
      <c r="L16" s="21">
        <v>0.88</v>
      </c>
      <c r="M16" t="s">
        <v>144</v>
      </c>
      <c r="N16" s="22">
        <f t="shared" si="2"/>
        <v>9.6020779632420561E-2</v>
      </c>
      <c r="P16" t="str">
        <f t="shared" si="15"/>
        <v>Manure management</v>
      </c>
      <c r="Q16" t="str">
        <f t="shared" si="16"/>
        <v>N2O</v>
      </c>
      <c r="R16" s="21">
        <v>76.573350000000005</v>
      </c>
      <c r="S16" t="s">
        <v>311</v>
      </c>
      <c r="T16" s="22">
        <f t="shared" si="3"/>
        <v>8.3552645068934215</v>
      </c>
    </row>
    <row r="17" spans="1:20" x14ac:dyDescent="0.3">
      <c r="A17" s="14" t="s">
        <v>167</v>
      </c>
      <c r="B17" t="str">
        <f t="shared" si="11"/>
        <v>Enteric fermentation</v>
      </c>
      <c r="C17" t="str">
        <f t="shared" si="12"/>
        <v>CH4</v>
      </c>
      <c r="D17" s="21">
        <v>21.5</v>
      </c>
      <c r="E17" t="s">
        <v>144</v>
      </c>
      <c r="F17" s="21">
        <v>71401.24789683758</v>
      </c>
      <c r="G17" s="22">
        <f t="shared" si="17"/>
        <v>0.10598779281968941</v>
      </c>
      <c r="H17" s="22">
        <f t="shared" si="18"/>
        <v>2.2787375456233225</v>
      </c>
      <c r="J17" t="str">
        <f t="shared" si="13"/>
        <v>Manure management</v>
      </c>
      <c r="K17" t="str">
        <f t="shared" si="14"/>
        <v>CH4</v>
      </c>
      <c r="L17" s="21">
        <v>0.21</v>
      </c>
      <c r="M17" t="s">
        <v>144</v>
      </c>
      <c r="N17" s="22">
        <f t="shared" si="2"/>
        <v>2.2257436492134776E-2</v>
      </c>
      <c r="P17" t="str">
        <f t="shared" si="15"/>
        <v>Manure management</v>
      </c>
      <c r="Q17" t="str">
        <f t="shared" si="16"/>
        <v>N2O</v>
      </c>
      <c r="R17" s="21">
        <v>8.0482500000000012</v>
      </c>
      <c r="S17" t="s">
        <v>311</v>
      </c>
      <c r="T17" s="22">
        <f t="shared" si="3"/>
        <v>0.85301625356106547</v>
      </c>
    </row>
    <row r="18" spans="1:20" x14ac:dyDescent="0.3">
      <c r="A18" s="14" t="s">
        <v>168</v>
      </c>
      <c r="B18" t="str">
        <f t="shared" si="11"/>
        <v>Enteric fermentation</v>
      </c>
      <c r="C18" t="str">
        <f t="shared" si="12"/>
        <v>CH4</v>
      </c>
      <c r="D18" s="21">
        <v>62.6</v>
      </c>
      <c r="E18" t="s">
        <v>144</v>
      </c>
      <c r="F18" s="21">
        <v>71401.24789683758</v>
      </c>
      <c r="G18" s="22">
        <f t="shared" si="17"/>
        <v>0.10598779281968941</v>
      </c>
      <c r="H18" s="22">
        <f t="shared" si="18"/>
        <v>6.6348358305125572</v>
      </c>
      <c r="J18" t="str">
        <f t="shared" si="13"/>
        <v>Manure management</v>
      </c>
      <c r="K18" t="str">
        <f t="shared" si="14"/>
        <v>CH4</v>
      </c>
      <c r="L18" s="21">
        <v>1.19</v>
      </c>
      <c r="M18" t="s">
        <v>144</v>
      </c>
      <c r="N18" s="22">
        <f t="shared" si="2"/>
        <v>0.1261254734554304</v>
      </c>
      <c r="P18" t="str">
        <f t="shared" si="15"/>
        <v>Manure management</v>
      </c>
      <c r="Q18" t="str">
        <f t="shared" si="16"/>
        <v>N2O</v>
      </c>
      <c r="R18" s="21">
        <v>12.64725</v>
      </c>
      <c r="S18" t="s">
        <v>311</v>
      </c>
      <c r="T18" s="22">
        <f t="shared" si="3"/>
        <v>1.3404541127388168</v>
      </c>
    </row>
    <row r="19" spans="1:20" x14ac:dyDescent="0.3">
      <c r="A19" s="14" t="s">
        <v>169</v>
      </c>
      <c r="B19" t="str">
        <f t="shared" si="11"/>
        <v>Enteric fermentation</v>
      </c>
      <c r="C19" t="str">
        <f t="shared" si="12"/>
        <v>CH4</v>
      </c>
      <c r="D19" s="21">
        <v>42.1</v>
      </c>
      <c r="E19" t="s">
        <v>144</v>
      </c>
      <c r="F19" s="21">
        <v>107101.87184525639</v>
      </c>
      <c r="G19" s="22">
        <f t="shared" si="17"/>
        <v>0.15898168922953415</v>
      </c>
      <c r="H19" s="22">
        <f t="shared" si="18"/>
        <v>6.6931291165633882</v>
      </c>
      <c r="J19" t="str">
        <f t="shared" si="13"/>
        <v>Manure management</v>
      </c>
      <c r="K19" t="str">
        <f t="shared" si="14"/>
        <v>CH4</v>
      </c>
      <c r="L19" s="21">
        <v>0.75</v>
      </c>
      <c r="M19" t="s">
        <v>144</v>
      </c>
      <c r="N19" s="22">
        <f t="shared" si="2"/>
        <v>0.11923626692215061</v>
      </c>
      <c r="P19" t="str">
        <f t="shared" si="15"/>
        <v>Manure management</v>
      </c>
      <c r="Q19" t="str">
        <f t="shared" si="16"/>
        <v>N2O</v>
      </c>
      <c r="R19" s="21">
        <v>39.551400000000001</v>
      </c>
      <c r="S19" t="s">
        <v>311</v>
      </c>
      <c r="T19" s="22">
        <f t="shared" si="3"/>
        <v>6.2879483833929974</v>
      </c>
    </row>
    <row r="20" spans="1:20" x14ac:dyDescent="0.3">
      <c r="A20" s="14" t="s">
        <v>170</v>
      </c>
      <c r="B20" t="str">
        <f t="shared" si="11"/>
        <v>Enteric fermentation</v>
      </c>
      <c r="C20" t="str">
        <f t="shared" si="12"/>
        <v>CH4</v>
      </c>
      <c r="D20" s="21">
        <v>22.5</v>
      </c>
      <c r="E20" t="s">
        <v>144</v>
      </c>
      <c r="F20" s="21">
        <v>30644.887933681304</v>
      </c>
      <c r="G20" s="22">
        <f t="shared" si="17"/>
        <v>4.5489177415923988E-2</v>
      </c>
      <c r="H20" s="22">
        <f t="shared" si="18"/>
        <v>1.0235064918582897</v>
      </c>
      <c r="J20" t="str">
        <f t="shared" si="13"/>
        <v>Manure management</v>
      </c>
      <c r="K20" t="str">
        <f t="shared" si="14"/>
        <v>CH4</v>
      </c>
      <c r="L20" s="21">
        <v>0.37</v>
      </c>
      <c r="M20" t="s">
        <v>144</v>
      </c>
      <c r="N20" s="22">
        <f t="shared" si="2"/>
        <v>1.6830995643891875E-2</v>
      </c>
      <c r="P20" t="str">
        <f t="shared" si="15"/>
        <v>Manure management</v>
      </c>
      <c r="Q20" t="str">
        <f t="shared" si="16"/>
        <v>N2O</v>
      </c>
      <c r="R20" s="21">
        <v>74.043900000000008</v>
      </c>
      <c r="S20" t="s">
        <v>311</v>
      </c>
      <c r="T20" s="22">
        <f t="shared" si="3"/>
        <v>3.3681961036669343</v>
      </c>
    </row>
    <row r="21" spans="1:20" x14ac:dyDescent="0.3">
      <c r="A21" s="14" t="s">
        <v>171</v>
      </c>
      <c r="B21" t="str">
        <f t="shared" si="11"/>
        <v>Enteric fermentation</v>
      </c>
      <c r="C21" t="str">
        <f t="shared" si="12"/>
        <v>CH4</v>
      </c>
      <c r="D21" s="21">
        <v>67.7</v>
      </c>
      <c r="E21" t="s">
        <v>144</v>
      </c>
      <c r="F21" s="21">
        <v>89692.354927847715</v>
      </c>
      <c r="G21" s="22">
        <f t="shared" si="17"/>
        <v>0.13313905585148483</v>
      </c>
      <c r="H21" s="22">
        <f t="shared" si="18"/>
        <v>9.013514081145523</v>
      </c>
      <c r="J21" t="str">
        <f t="shared" si="13"/>
        <v>Manure management</v>
      </c>
      <c r="K21" t="str">
        <f t="shared" si="14"/>
        <v>CH4</v>
      </c>
      <c r="L21" s="21">
        <v>1.24</v>
      </c>
      <c r="M21" t="s">
        <v>144</v>
      </c>
      <c r="N21" s="22">
        <f t="shared" si="2"/>
        <v>0.16509242925584119</v>
      </c>
      <c r="P21" t="str">
        <f t="shared" si="15"/>
        <v>Manure management</v>
      </c>
      <c r="Q21" t="str">
        <f t="shared" si="16"/>
        <v>N2O</v>
      </c>
      <c r="R21" s="21">
        <v>90.600300000000004</v>
      </c>
      <c r="S21" t="s">
        <v>311</v>
      </c>
      <c r="T21" s="22">
        <f t="shared" si="3"/>
        <v>12.062438401861282</v>
      </c>
    </row>
    <row r="22" spans="1:20" x14ac:dyDescent="0.3">
      <c r="A22" s="14" t="s">
        <v>172</v>
      </c>
      <c r="B22" t="str">
        <f t="shared" si="11"/>
        <v>Enteric fermentation</v>
      </c>
      <c r="C22" t="str">
        <f t="shared" si="12"/>
        <v>CH4</v>
      </c>
      <c r="D22" s="21">
        <v>113</v>
      </c>
      <c r="E22" t="s">
        <v>144</v>
      </c>
      <c r="F22" s="21">
        <v>160017.76666666666</v>
      </c>
      <c r="G22" s="22">
        <f>F22/SUM($F$22:$F$24,$F$26:$F$28)</f>
        <v>2.6554920846633981E-2</v>
      </c>
      <c r="H22" s="22">
        <f>D22*G22</f>
        <v>3.0007060556696397</v>
      </c>
      <c r="J22" t="str">
        <f t="shared" si="13"/>
        <v>Manure management</v>
      </c>
      <c r="K22" t="str">
        <f t="shared" si="14"/>
        <v>CH4</v>
      </c>
      <c r="L22" s="21">
        <v>2.1999999999999999E-2</v>
      </c>
      <c r="M22" t="s">
        <v>144</v>
      </c>
      <c r="N22" s="22">
        <f t="shared" si="2"/>
        <v>5.842082586259475E-4</v>
      </c>
      <c r="P22" t="str">
        <f t="shared" si="15"/>
        <v>Manure management</v>
      </c>
      <c r="Q22" t="str">
        <f t="shared" si="16"/>
        <v>N2O</v>
      </c>
      <c r="R22" s="21">
        <v>168.55334999999999</v>
      </c>
      <c r="S22" t="s">
        <v>311</v>
      </c>
      <c r="T22" s="22">
        <f t="shared" si="3"/>
        <v>4.4759208676849935</v>
      </c>
    </row>
    <row r="23" spans="1:20" x14ac:dyDescent="0.3">
      <c r="A23" s="14" t="s">
        <v>173</v>
      </c>
      <c r="B23" t="str">
        <f t="shared" si="11"/>
        <v>Enteric fermentation</v>
      </c>
      <c r="C23" t="str">
        <f t="shared" si="12"/>
        <v>CH4</v>
      </c>
      <c r="D23" s="21">
        <v>51.6</v>
      </c>
      <c r="E23" t="s">
        <v>144</v>
      </c>
      <c r="F23" s="21">
        <v>1455775.5333333332</v>
      </c>
      <c r="G23" s="22">
        <f t="shared" ref="G23:G28" si="19">F23/SUM($F$22:$F$24,$F$26:$F$28)</f>
        <v>0.24158569928464005</v>
      </c>
      <c r="H23" s="22">
        <f t="shared" si="18"/>
        <v>12.465822083087426</v>
      </c>
      <c r="J23" t="str">
        <f t="shared" si="13"/>
        <v>Manure management</v>
      </c>
      <c r="K23" t="str">
        <f t="shared" si="14"/>
        <v>CH4</v>
      </c>
      <c r="L23" s="21">
        <v>1.2E-2</v>
      </c>
      <c r="M23" t="s">
        <v>144</v>
      </c>
      <c r="N23" s="22">
        <f t="shared" si="2"/>
        <v>2.8990283914156808E-3</v>
      </c>
      <c r="P23" t="str">
        <f t="shared" si="15"/>
        <v>Manure management</v>
      </c>
      <c r="Q23" t="str">
        <f t="shared" si="16"/>
        <v>N2O</v>
      </c>
      <c r="R23" s="21">
        <v>43.6905</v>
      </c>
      <c r="S23" t="s">
        <v>311</v>
      </c>
      <c r="T23" s="22">
        <f t="shared" si="3"/>
        <v>10.554999994595565</v>
      </c>
    </row>
    <row r="24" spans="1:20" x14ac:dyDescent="0.3">
      <c r="A24" s="14" t="s">
        <v>174</v>
      </c>
      <c r="B24" t="str">
        <f t="shared" si="11"/>
        <v>Enteric fermentation</v>
      </c>
      <c r="C24" t="str">
        <f t="shared" si="12"/>
        <v>CH4</v>
      </c>
      <c r="D24" s="21">
        <v>92.6</v>
      </c>
      <c r="E24" t="s">
        <v>144</v>
      </c>
      <c r="F24" s="21">
        <v>2980000</v>
      </c>
      <c r="G24" s="22">
        <f t="shared" si="19"/>
        <v>0.49453048727903293</v>
      </c>
      <c r="H24" s="22">
        <f t="shared" si="18"/>
        <v>45.793523122038444</v>
      </c>
      <c r="J24" t="str">
        <f t="shared" si="13"/>
        <v>Manure management</v>
      </c>
      <c r="K24" t="str">
        <f t="shared" si="14"/>
        <v>CH4</v>
      </c>
      <c r="L24" s="21">
        <v>1.7999999999999999E-2</v>
      </c>
      <c r="M24" t="s">
        <v>144</v>
      </c>
      <c r="N24" s="22">
        <f t="shared" si="2"/>
        <v>8.9015487710225917E-3</v>
      </c>
      <c r="P24" t="str">
        <f t="shared" si="15"/>
        <v>Manure management</v>
      </c>
      <c r="Q24" t="str">
        <f t="shared" si="16"/>
        <v>N2O</v>
      </c>
      <c r="R24" s="21">
        <v>109.22624999999998</v>
      </c>
      <c r="S24" t="s">
        <v>311</v>
      </c>
      <c r="T24" s="22">
        <f t="shared" si="3"/>
        <v>54.015710636161458</v>
      </c>
    </row>
    <row r="25" spans="1:20" x14ac:dyDescent="0.3">
      <c r="A25" s="14" t="s">
        <v>175</v>
      </c>
      <c r="B25" t="str">
        <f t="shared" si="11"/>
        <v>Enteric fermentation</v>
      </c>
      <c r="C25" t="str">
        <f t="shared" si="12"/>
        <v>CH4</v>
      </c>
      <c r="D25" s="21">
        <v>58.9</v>
      </c>
      <c r="E25" t="s">
        <v>144</v>
      </c>
      <c r="F25" s="21">
        <v>399822.33333333331</v>
      </c>
      <c r="G25" s="22">
        <v>1</v>
      </c>
      <c r="H25" s="22">
        <f>D25*G25</f>
        <v>58.9</v>
      </c>
      <c r="J25" t="str">
        <f t="shared" si="13"/>
        <v>Manure management</v>
      </c>
      <c r="K25" t="str">
        <f t="shared" si="14"/>
        <v>CH4</v>
      </c>
      <c r="L25" s="21">
        <v>0.87</v>
      </c>
      <c r="M25" t="s">
        <v>144</v>
      </c>
      <c r="N25" s="22">
        <f t="shared" si="2"/>
        <v>0.87</v>
      </c>
      <c r="P25" t="str">
        <f t="shared" si="15"/>
        <v>Manure management</v>
      </c>
      <c r="Q25" t="str">
        <f t="shared" si="16"/>
        <v>N2O</v>
      </c>
      <c r="R25" s="21">
        <v>65.765699999999995</v>
      </c>
      <c r="S25" t="s">
        <v>311</v>
      </c>
      <c r="T25" s="22">
        <f t="shared" si="3"/>
        <v>65.765699999999995</v>
      </c>
    </row>
    <row r="26" spans="1:20" x14ac:dyDescent="0.3">
      <c r="A26" s="14" t="s">
        <v>176</v>
      </c>
      <c r="B26" t="str">
        <f t="shared" si="11"/>
        <v>Enteric fermentation</v>
      </c>
      <c r="C26" t="str">
        <f t="shared" si="12"/>
        <v>CH4</v>
      </c>
      <c r="D26" s="21">
        <v>75.900000000000006</v>
      </c>
      <c r="E26" t="s">
        <v>144</v>
      </c>
      <c r="F26" s="21">
        <v>798049.7466666667</v>
      </c>
      <c r="G26" s="22">
        <f t="shared" si="19"/>
        <v>0.13243621815166962</v>
      </c>
      <c r="H26" s="22">
        <f t="shared" si="18"/>
        <v>10.051908957711724</v>
      </c>
      <c r="J26" t="str">
        <f t="shared" si="13"/>
        <v>Manure management</v>
      </c>
      <c r="K26" t="str">
        <f t="shared" si="14"/>
        <v>CH4</v>
      </c>
      <c r="L26" s="21">
        <v>1.6E-2</v>
      </c>
      <c r="M26" t="s">
        <v>144</v>
      </c>
      <c r="N26" s="22">
        <f t="shared" si="2"/>
        <v>2.118979490426714E-3</v>
      </c>
      <c r="P26" t="str">
        <f t="shared" si="15"/>
        <v>Manure management</v>
      </c>
      <c r="Q26" t="str">
        <f t="shared" si="16"/>
        <v>N2O</v>
      </c>
      <c r="R26" s="21">
        <v>83.931749999999994</v>
      </c>
      <c r="S26" t="s">
        <v>311</v>
      </c>
      <c r="T26" s="22">
        <f t="shared" si="3"/>
        <v>11.115603552851395</v>
      </c>
    </row>
    <row r="27" spans="1:20" x14ac:dyDescent="0.3">
      <c r="A27" s="14" t="s">
        <v>177</v>
      </c>
      <c r="B27" t="str">
        <f t="shared" si="11"/>
        <v>Enteric fermentation</v>
      </c>
      <c r="C27" t="str">
        <f t="shared" si="12"/>
        <v>CH4</v>
      </c>
      <c r="D27" s="21">
        <v>89.4</v>
      </c>
      <c r="E27" t="s">
        <v>144</v>
      </c>
      <c r="F27" s="21">
        <v>170000</v>
      </c>
      <c r="G27" s="22">
        <f t="shared" si="19"/>
        <v>2.8211470750817317E-2</v>
      </c>
      <c r="H27" s="22">
        <f t="shared" si="18"/>
        <v>2.5221054851230682</v>
      </c>
      <c r="J27" t="str">
        <f t="shared" si="13"/>
        <v>Manure management</v>
      </c>
      <c r="K27" t="str">
        <f t="shared" si="14"/>
        <v>CH4</v>
      </c>
      <c r="L27" s="21">
        <v>1.7999999999999999E-2</v>
      </c>
      <c r="M27" t="s">
        <v>144</v>
      </c>
      <c r="N27" s="22">
        <f t="shared" si="2"/>
        <v>5.0780647351471168E-4</v>
      </c>
      <c r="P27" t="str">
        <f t="shared" si="15"/>
        <v>Manure management</v>
      </c>
      <c r="Q27" t="str">
        <f t="shared" si="16"/>
        <v>N2O</v>
      </c>
      <c r="R27" s="21">
        <v>98.878499999999988</v>
      </c>
      <c r="S27" t="s">
        <v>311</v>
      </c>
      <c r="T27" s="22">
        <f t="shared" si="3"/>
        <v>2.7895079106346898</v>
      </c>
    </row>
    <row r="28" spans="1:20" x14ac:dyDescent="0.3">
      <c r="A28" s="14" t="s">
        <v>178</v>
      </c>
      <c r="B28" t="str">
        <f t="shared" si="11"/>
        <v>Enteric fermentation</v>
      </c>
      <c r="C28" t="str">
        <f t="shared" si="12"/>
        <v>CH4</v>
      </c>
      <c r="D28" s="21">
        <v>51.6</v>
      </c>
      <c r="E28" t="s">
        <v>144</v>
      </c>
      <c r="F28" s="21">
        <v>462074.62</v>
      </c>
      <c r="G28" s="22">
        <f t="shared" si="19"/>
        <v>7.6681203687206032E-2</v>
      </c>
      <c r="H28" s="22">
        <f>D28*G28</f>
        <v>3.9567501102598315</v>
      </c>
      <c r="J28" t="str">
        <f t="shared" si="13"/>
        <v>Manure management</v>
      </c>
      <c r="K28" t="str">
        <f t="shared" si="14"/>
        <v>CH4</v>
      </c>
      <c r="L28" s="21">
        <v>1.2E-2</v>
      </c>
      <c r="M28" t="s">
        <v>144</v>
      </c>
      <c r="N28" s="22">
        <f t="shared" si="2"/>
        <v>9.2017444424647235E-4</v>
      </c>
      <c r="P28" t="str">
        <f t="shared" si="15"/>
        <v>Manure management</v>
      </c>
      <c r="Q28" t="str">
        <f t="shared" si="16"/>
        <v>N2O</v>
      </c>
      <c r="R28" s="21">
        <v>44.38035</v>
      </c>
      <c r="S28" t="s">
        <v>311</v>
      </c>
      <c r="T28" s="22">
        <f t="shared" si="3"/>
        <v>3.4031386580594942</v>
      </c>
    </row>
    <row r="29" spans="1:20" x14ac:dyDescent="0.3">
      <c r="A29" s="14" t="s">
        <v>179</v>
      </c>
      <c r="B29" t="str">
        <f t="shared" si="11"/>
        <v>Enteric fermentation</v>
      </c>
      <c r="C29" t="str">
        <f t="shared" si="12"/>
        <v>CH4</v>
      </c>
      <c r="D29" s="21">
        <v>83.8</v>
      </c>
      <c r="E29" t="s">
        <v>144</v>
      </c>
      <c r="F29" s="21">
        <v>145520.9662395542</v>
      </c>
      <c r="G29" s="22">
        <f>F29/SUM($F$29:$F$34)</f>
        <v>2.6554920846633981E-2</v>
      </c>
      <c r="H29" s="22">
        <f t="shared" si="18"/>
        <v>2.2253023669479277</v>
      </c>
      <c r="J29" t="str">
        <f t="shared" si="13"/>
        <v>Manure management</v>
      </c>
      <c r="K29" t="str">
        <f t="shared" si="14"/>
        <v>CH4</v>
      </c>
      <c r="L29" s="21">
        <v>1.7000000000000001E-2</v>
      </c>
      <c r="M29" t="s">
        <v>144</v>
      </c>
      <c r="N29" s="22">
        <f t="shared" si="2"/>
        <v>4.514336543927777E-4</v>
      </c>
      <c r="P29" t="str">
        <f t="shared" si="15"/>
        <v>Manure management</v>
      </c>
      <c r="Q29" t="str">
        <f t="shared" si="16"/>
        <v>N2O</v>
      </c>
      <c r="R29" s="21">
        <v>134.52074999999999</v>
      </c>
      <c r="S29" t="s">
        <v>311</v>
      </c>
      <c r="T29" s="22">
        <f t="shared" si="3"/>
        <v>3.5721878684798378</v>
      </c>
    </row>
    <row r="30" spans="1:20" x14ac:dyDescent="0.3">
      <c r="A30" s="14" t="s">
        <v>180</v>
      </c>
      <c r="B30" t="str">
        <f t="shared" si="11"/>
        <v>Enteric fermentation</v>
      </c>
      <c r="C30" t="str">
        <f t="shared" si="12"/>
        <v>CH4</v>
      </c>
      <c r="D30" s="21">
        <v>40.9</v>
      </c>
      <c r="E30" t="s">
        <v>144</v>
      </c>
      <c r="F30" s="21">
        <v>1323889.6320798274</v>
      </c>
      <c r="G30" s="22">
        <f t="shared" ref="G30:G34" si="20">F30/SUM($F$29:$F$34)</f>
        <v>0.24158569928464008</v>
      </c>
      <c r="H30" s="22">
        <f t="shared" si="18"/>
        <v>9.880855100741778</v>
      </c>
      <c r="J30" t="str">
        <f t="shared" si="13"/>
        <v>Manure management</v>
      </c>
      <c r="K30" t="str">
        <f t="shared" si="14"/>
        <v>CH4</v>
      </c>
      <c r="L30" s="21">
        <v>0.01</v>
      </c>
      <c r="M30" t="s">
        <v>144</v>
      </c>
      <c r="N30" s="22">
        <f t="shared" si="2"/>
        <v>2.4158569928464007E-3</v>
      </c>
      <c r="P30" t="str">
        <f t="shared" si="15"/>
        <v>Manure management</v>
      </c>
      <c r="Q30" t="str">
        <f t="shared" si="16"/>
        <v>N2O</v>
      </c>
      <c r="R30" s="21">
        <v>19.545750000000002</v>
      </c>
      <c r="S30" t="s">
        <v>311</v>
      </c>
      <c r="T30" s="22">
        <f t="shared" si="3"/>
        <v>4.721973681792754</v>
      </c>
    </row>
    <row r="31" spans="1:20" x14ac:dyDescent="0.3">
      <c r="A31" s="14" t="s">
        <v>181</v>
      </c>
      <c r="B31" t="str">
        <f t="shared" si="11"/>
        <v>Enteric fermentation</v>
      </c>
      <c r="C31" t="str">
        <f t="shared" si="12"/>
        <v>CH4</v>
      </c>
      <c r="D31" s="21">
        <v>73.099999999999994</v>
      </c>
      <c r="E31" t="s">
        <v>144</v>
      </c>
      <c r="F31" s="21">
        <v>2710027.0702891005</v>
      </c>
      <c r="G31" s="22">
        <f t="shared" si="20"/>
        <v>0.49453048727903304</v>
      </c>
      <c r="H31" s="22">
        <f t="shared" si="18"/>
        <v>36.150178620097314</v>
      </c>
      <c r="J31" t="str">
        <f t="shared" si="13"/>
        <v>Manure management</v>
      </c>
      <c r="K31" t="str">
        <f t="shared" si="14"/>
        <v>CH4</v>
      </c>
      <c r="L31" s="21">
        <v>1.4999999999999999E-2</v>
      </c>
      <c r="M31" t="s">
        <v>144</v>
      </c>
      <c r="N31" s="22">
        <f t="shared" si="2"/>
        <v>7.4179573091854951E-3</v>
      </c>
      <c r="P31" t="str">
        <f t="shared" si="15"/>
        <v>Manure management</v>
      </c>
      <c r="Q31" t="str">
        <f t="shared" si="16"/>
        <v>N2O</v>
      </c>
      <c r="R31" s="21">
        <v>84.851550000000003</v>
      </c>
      <c r="S31" t="s">
        <v>311</v>
      </c>
      <c r="T31" s="22">
        <f t="shared" si="3"/>
        <v>41.961678367881234</v>
      </c>
    </row>
    <row r="32" spans="1:20" x14ac:dyDescent="0.3">
      <c r="A32" s="14" t="s">
        <v>182</v>
      </c>
      <c r="B32" t="str">
        <f t="shared" si="11"/>
        <v>Enteric fermentation</v>
      </c>
      <c r="C32" t="str">
        <f t="shared" si="12"/>
        <v>CH4</v>
      </c>
      <c r="D32" s="21">
        <v>62.5</v>
      </c>
      <c r="E32" t="s">
        <v>144</v>
      </c>
      <c r="F32" s="21">
        <v>725750.47547114955</v>
      </c>
      <c r="G32" s="22">
        <f t="shared" si="20"/>
        <v>0.13243621815166964</v>
      </c>
      <c r="H32" s="22">
        <f t="shared" si="18"/>
        <v>8.2772636344793522</v>
      </c>
      <c r="J32" t="str">
        <f t="shared" si="13"/>
        <v>Manure management</v>
      </c>
      <c r="K32" t="str">
        <f t="shared" si="14"/>
        <v>CH4</v>
      </c>
      <c r="L32" s="21">
        <v>1.2999999999999999E-2</v>
      </c>
      <c r="M32" t="s">
        <v>144</v>
      </c>
      <c r="N32" s="22">
        <f t="shared" si="2"/>
        <v>1.7216708359717053E-3</v>
      </c>
      <c r="P32" t="str">
        <f t="shared" si="15"/>
        <v>Manure management</v>
      </c>
      <c r="Q32" t="str">
        <f t="shared" si="16"/>
        <v>N2O</v>
      </c>
      <c r="R32" s="21">
        <v>48.979350000000004</v>
      </c>
      <c r="S32" t="s">
        <v>311</v>
      </c>
      <c r="T32" s="22">
        <f t="shared" si="3"/>
        <v>6.4866398815269815</v>
      </c>
    </row>
    <row r="33" spans="1:20" x14ac:dyDescent="0.3">
      <c r="A33" s="14" t="s">
        <v>183</v>
      </c>
      <c r="B33" t="str">
        <f t="shared" si="11"/>
        <v>Enteric fermentation</v>
      </c>
      <c r="C33" t="str">
        <f t="shared" si="12"/>
        <v>CH4</v>
      </c>
      <c r="D33" s="21">
        <v>72.599999999999994</v>
      </c>
      <c r="E33" t="s">
        <v>144</v>
      </c>
      <c r="F33" s="21">
        <v>154598.85971447889</v>
      </c>
      <c r="G33" s="22">
        <f t="shared" si="20"/>
        <v>2.821147075081732E-2</v>
      </c>
      <c r="H33" s="22">
        <f t="shared" si="18"/>
        <v>2.0481527765093372</v>
      </c>
      <c r="J33" t="str">
        <f t="shared" si="13"/>
        <v>Manure management</v>
      </c>
      <c r="K33" t="str">
        <f t="shared" si="14"/>
        <v>CH4</v>
      </c>
      <c r="L33" s="21">
        <v>1.4999999999999999E-2</v>
      </c>
      <c r="M33" t="s">
        <v>144</v>
      </c>
      <c r="N33" s="22">
        <f t="shared" si="2"/>
        <v>4.2317206126225978E-4</v>
      </c>
      <c r="P33" t="str">
        <f t="shared" si="15"/>
        <v>Manure management</v>
      </c>
      <c r="Q33" t="str">
        <f t="shared" si="16"/>
        <v>N2O</v>
      </c>
      <c r="R33" s="21">
        <v>92.209950000000006</v>
      </c>
      <c r="S33" t="s">
        <v>311</v>
      </c>
      <c r="T33" s="22">
        <f t="shared" si="3"/>
        <v>2.6013783073593277</v>
      </c>
    </row>
    <row r="34" spans="1:20" x14ac:dyDescent="0.3">
      <c r="A34" s="14" t="s">
        <v>184</v>
      </c>
      <c r="B34" t="str">
        <f t="shared" si="11"/>
        <v>Enteric fermentation</v>
      </c>
      <c r="C34" t="str">
        <f t="shared" si="12"/>
        <v>CH4</v>
      </c>
      <c r="D34" s="21">
        <v>41.6</v>
      </c>
      <c r="E34" t="s">
        <v>144</v>
      </c>
      <c r="F34" s="21">
        <v>420212.99620588904</v>
      </c>
      <c r="G34" s="22">
        <f t="shared" si="20"/>
        <v>7.6681203687206045E-2</v>
      </c>
      <c r="H34" s="22">
        <f t="shared" si="18"/>
        <v>3.1899380733877716</v>
      </c>
      <c r="J34" t="str">
        <f t="shared" si="13"/>
        <v>Manure management</v>
      </c>
      <c r="K34" t="str">
        <f t="shared" si="14"/>
        <v>CH4</v>
      </c>
      <c r="L34" s="21">
        <v>0.01</v>
      </c>
      <c r="M34" t="s">
        <v>144</v>
      </c>
      <c r="N34" s="22">
        <f t="shared" si="2"/>
        <v>7.6681203687206049E-4</v>
      </c>
      <c r="P34" t="str">
        <f t="shared" si="15"/>
        <v>Manure management</v>
      </c>
      <c r="Q34" t="str">
        <f t="shared" si="16"/>
        <v>N2O</v>
      </c>
      <c r="R34" s="21">
        <v>68.984999999999999</v>
      </c>
      <c r="S34" t="s">
        <v>311</v>
      </c>
      <c r="T34" s="22">
        <f t="shared" si="3"/>
        <v>5.2898528363619093</v>
      </c>
    </row>
    <row r="35" spans="1:20" x14ac:dyDescent="0.3">
      <c r="A35" s="13" t="s">
        <v>152</v>
      </c>
      <c r="M35" s="13"/>
    </row>
    <row r="36" spans="1:20" x14ac:dyDescent="0.3">
      <c r="A36" s="14" t="s">
        <v>185</v>
      </c>
      <c r="B36" t="str">
        <f t="shared" ref="B36:B83" si="21">$B$5</f>
        <v>Enteric fermentation</v>
      </c>
      <c r="C36" t="str">
        <f t="shared" ref="C36:C83" si="22">$C$5</f>
        <v>CH4</v>
      </c>
      <c r="D36" s="21">
        <v>7.28</v>
      </c>
      <c r="E36" t="s">
        <v>144</v>
      </c>
      <c r="F36" s="21">
        <v>11250</v>
      </c>
      <c r="G36" s="22">
        <f>F36/SUM($F$36:$F$59)</f>
        <v>5.2342623179639882E-4</v>
      </c>
      <c r="H36" s="22">
        <f t="shared" si="18"/>
        <v>3.8105429674777837E-3</v>
      </c>
      <c r="J36" t="str">
        <f t="shared" ref="J36:J83" si="23">$J$5</f>
        <v>Manure management</v>
      </c>
      <c r="K36" t="str">
        <f t="shared" ref="K36:K83" si="24">$K$5</f>
        <v>CH4</v>
      </c>
      <c r="L36" s="21">
        <v>2E-3</v>
      </c>
      <c r="M36" t="s">
        <v>144</v>
      </c>
      <c r="N36" s="22">
        <f t="shared" si="2"/>
        <v>1.0468524635927976E-6</v>
      </c>
      <c r="P36" t="str">
        <f t="shared" ref="P36:P83" si="25">$P$5</f>
        <v>Manure management</v>
      </c>
      <c r="Q36" t="str">
        <f t="shared" ref="Q36:Q83" si="26">$Q$5</f>
        <v>N2O</v>
      </c>
      <c r="R36" s="21">
        <v>20.498399999999997</v>
      </c>
      <c r="S36" t="s">
        <v>311</v>
      </c>
      <c r="T36" s="22">
        <f t="shared" si="3"/>
        <v>1.07294002698553E-2</v>
      </c>
    </row>
    <row r="37" spans="1:20" x14ac:dyDescent="0.3">
      <c r="A37" s="14" t="s">
        <v>186</v>
      </c>
      <c r="B37" t="str">
        <f t="shared" si="21"/>
        <v>Enteric fermentation</v>
      </c>
      <c r="C37" t="str">
        <f t="shared" si="22"/>
        <v>CH4</v>
      </c>
      <c r="D37" s="21">
        <v>10.5</v>
      </c>
      <c r="E37" t="s">
        <v>144</v>
      </c>
      <c r="F37" s="21">
        <v>250</v>
      </c>
      <c r="G37" s="22">
        <f t="shared" ref="G37:G59" si="27">F37/SUM($F$36:$F$59)</f>
        <v>1.1631694039919974E-5</v>
      </c>
      <c r="H37" s="22">
        <f t="shared" si="18"/>
        <v>1.2213278741915972E-4</v>
      </c>
      <c r="J37" t="str">
        <f t="shared" si="23"/>
        <v>Manure management</v>
      </c>
      <c r="K37" t="str">
        <f t="shared" si="24"/>
        <v>CH4</v>
      </c>
      <c r="L37" s="21">
        <v>3.0000000000000001E-3</v>
      </c>
      <c r="M37" t="s">
        <v>144</v>
      </c>
      <c r="N37" s="22">
        <f t="shared" si="2"/>
        <v>3.4895082119759926E-8</v>
      </c>
      <c r="P37" t="str">
        <f t="shared" si="25"/>
        <v>Manure management</v>
      </c>
      <c r="Q37" t="str">
        <f t="shared" si="26"/>
        <v>N2O</v>
      </c>
      <c r="R37" s="21">
        <v>30.961124999999996</v>
      </c>
      <c r="S37" t="s">
        <v>311</v>
      </c>
      <c r="T37" s="22">
        <f t="shared" si="3"/>
        <v>3.6013033313171726E-4</v>
      </c>
    </row>
    <row r="38" spans="1:20" x14ac:dyDescent="0.3">
      <c r="A38" s="14" t="s">
        <v>187</v>
      </c>
      <c r="B38" t="str">
        <f t="shared" si="21"/>
        <v>Enteric fermentation</v>
      </c>
      <c r="C38" t="str">
        <f t="shared" si="22"/>
        <v>CH4</v>
      </c>
      <c r="D38" s="21">
        <v>3.62</v>
      </c>
      <c r="E38" t="s">
        <v>144</v>
      </c>
      <c r="F38" s="21">
        <v>6000</v>
      </c>
      <c r="G38" s="22">
        <f t="shared" si="27"/>
        <v>2.7916065695807939E-4</v>
      </c>
      <c r="H38" s="22">
        <f t="shared" si="18"/>
        <v>1.0105615781882474E-3</v>
      </c>
      <c r="J38" t="str">
        <f t="shared" si="23"/>
        <v>Manure management</v>
      </c>
      <c r="K38" t="str">
        <f t="shared" si="24"/>
        <v>CH4</v>
      </c>
      <c r="L38" s="21">
        <v>1E-3</v>
      </c>
      <c r="M38" t="s">
        <v>144</v>
      </c>
      <c r="N38" s="22">
        <f t="shared" si="2"/>
        <v>2.7916065695807941E-7</v>
      </c>
      <c r="P38" t="str">
        <f t="shared" si="25"/>
        <v>Manure management</v>
      </c>
      <c r="Q38" t="str">
        <f t="shared" si="26"/>
        <v>N2O</v>
      </c>
      <c r="R38" s="21">
        <v>9.608625</v>
      </c>
      <c r="S38" t="s">
        <v>311</v>
      </c>
      <c r="T38" s="22">
        <f t="shared" si="3"/>
        <v>2.6823500674638253E-3</v>
      </c>
    </row>
    <row r="39" spans="1:20" x14ac:dyDescent="0.3">
      <c r="A39" s="14" t="s">
        <v>188</v>
      </c>
      <c r="B39" t="str">
        <f t="shared" si="21"/>
        <v>Enteric fermentation</v>
      </c>
      <c r="C39" t="str">
        <f t="shared" si="22"/>
        <v>CH4</v>
      </c>
      <c r="D39" s="21">
        <v>5.0199999999999996</v>
      </c>
      <c r="E39" t="s">
        <v>144</v>
      </c>
      <c r="F39" s="21">
        <v>4000</v>
      </c>
      <c r="G39" s="22">
        <f t="shared" si="27"/>
        <v>1.8610710463871959E-4</v>
      </c>
      <c r="H39" s="22">
        <f t="shared" si="18"/>
        <v>9.3425766528637229E-4</v>
      </c>
      <c r="J39" t="str">
        <f t="shared" si="23"/>
        <v>Manure management</v>
      </c>
      <c r="K39" t="str">
        <f t="shared" si="24"/>
        <v>CH4</v>
      </c>
      <c r="L39" s="21">
        <v>1.2999999999999999E-3</v>
      </c>
      <c r="M39" t="s">
        <v>144</v>
      </c>
      <c r="N39" s="22">
        <f t="shared" si="2"/>
        <v>2.4193923603033547E-7</v>
      </c>
      <c r="P39" t="str">
        <f t="shared" si="25"/>
        <v>Manure management</v>
      </c>
      <c r="Q39" t="str">
        <f t="shared" si="26"/>
        <v>N2O</v>
      </c>
      <c r="R39" s="21">
        <v>14.306175</v>
      </c>
      <c r="S39" t="s">
        <v>311</v>
      </c>
      <c r="T39" s="22">
        <f t="shared" si="3"/>
        <v>2.6624808077048341E-3</v>
      </c>
    </row>
    <row r="40" spans="1:20" x14ac:dyDescent="0.3">
      <c r="A40" s="14" t="s">
        <v>189</v>
      </c>
      <c r="B40" t="str">
        <f t="shared" si="21"/>
        <v>Enteric fermentation</v>
      </c>
      <c r="C40" t="str">
        <f t="shared" si="22"/>
        <v>CH4</v>
      </c>
      <c r="D40" s="21">
        <v>5.94</v>
      </c>
      <c r="E40" t="s">
        <v>144</v>
      </c>
      <c r="F40" s="21">
        <v>3000</v>
      </c>
      <c r="G40" s="22">
        <f t="shared" si="27"/>
        <v>1.3958032847903969E-4</v>
      </c>
      <c r="H40" s="22">
        <f t="shared" si="18"/>
        <v>8.2910715116549585E-4</v>
      </c>
      <c r="J40" t="str">
        <f t="shared" si="23"/>
        <v>Manure management</v>
      </c>
      <c r="K40" t="str">
        <f t="shared" si="24"/>
        <v>CH4</v>
      </c>
      <c r="L40" s="21">
        <v>1.6000000000000001E-3</v>
      </c>
      <c r="M40" t="s">
        <v>144</v>
      </c>
      <c r="N40" s="22">
        <f t="shared" si="2"/>
        <v>2.2332852556646353E-7</v>
      </c>
      <c r="P40" t="str">
        <f t="shared" si="25"/>
        <v>Manure management</v>
      </c>
      <c r="Q40" t="str">
        <f t="shared" si="26"/>
        <v>N2O</v>
      </c>
      <c r="R40" s="21">
        <v>17.295524999999998</v>
      </c>
      <c r="S40" t="s">
        <v>311</v>
      </c>
      <c r="T40" s="22">
        <f t="shared" si="3"/>
        <v>2.4141150607174425E-3</v>
      </c>
    </row>
    <row r="41" spans="1:20" x14ac:dyDescent="0.3">
      <c r="A41" s="14" t="s">
        <v>190</v>
      </c>
      <c r="B41" t="str">
        <f t="shared" si="21"/>
        <v>Enteric fermentation</v>
      </c>
      <c r="C41" t="str">
        <f t="shared" si="22"/>
        <v>CH4</v>
      </c>
      <c r="D41" s="21">
        <v>7.64</v>
      </c>
      <c r="E41" t="s">
        <v>144</v>
      </c>
      <c r="F41" s="21">
        <v>500</v>
      </c>
      <c r="G41" s="22">
        <f t="shared" si="27"/>
        <v>2.3263388079839949E-5</v>
      </c>
      <c r="H41" s="22">
        <f t="shared" si="18"/>
        <v>1.7773228492997721E-4</v>
      </c>
      <c r="J41" t="str">
        <f t="shared" si="23"/>
        <v>Manure management</v>
      </c>
      <c r="K41" t="str">
        <f t="shared" si="24"/>
        <v>CH4</v>
      </c>
      <c r="L41" s="21">
        <v>2E-3</v>
      </c>
      <c r="M41" t="s">
        <v>144</v>
      </c>
      <c r="N41" s="22">
        <f t="shared" si="2"/>
        <v>4.6526776159679897E-8</v>
      </c>
      <c r="P41" t="str">
        <f t="shared" si="25"/>
        <v>Manure management</v>
      </c>
      <c r="Q41" t="str">
        <f t="shared" si="26"/>
        <v>N2O</v>
      </c>
      <c r="R41" s="21">
        <v>22.633649999999999</v>
      </c>
      <c r="S41" t="s">
        <v>311</v>
      </c>
      <c r="T41" s="22">
        <f t="shared" si="3"/>
        <v>5.2653538361326947E-4</v>
      </c>
    </row>
    <row r="42" spans="1:20" x14ac:dyDescent="0.3">
      <c r="A42" s="14" t="s">
        <v>191</v>
      </c>
      <c r="B42" t="str">
        <f t="shared" si="21"/>
        <v>Enteric fermentation</v>
      </c>
      <c r="C42" t="str">
        <f t="shared" si="22"/>
        <v>CH4</v>
      </c>
      <c r="D42" s="21">
        <v>8.07</v>
      </c>
      <c r="E42" t="s">
        <v>144</v>
      </c>
      <c r="F42" s="21">
        <v>5062950</v>
      </c>
      <c r="G42" s="22">
        <f t="shared" si="27"/>
        <v>0.23556274135765132</v>
      </c>
      <c r="H42" s="22">
        <f t="shared" si="18"/>
        <v>1.9009913227562463</v>
      </c>
      <c r="J42" t="str">
        <f t="shared" si="23"/>
        <v>Manure management</v>
      </c>
      <c r="K42" t="str">
        <f t="shared" si="24"/>
        <v>CH4</v>
      </c>
      <c r="L42" s="21">
        <v>2.2000000000000001E-3</v>
      </c>
      <c r="M42" t="s">
        <v>144</v>
      </c>
      <c r="N42" s="22">
        <f t="shared" si="2"/>
        <v>5.1823803098683297E-4</v>
      </c>
      <c r="P42" t="str">
        <f t="shared" si="25"/>
        <v>Manure management</v>
      </c>
      <c r="Q42" t="str">
        <f t="shared" si="26"/>
        <v>N2O</v>
      </c>
      <c r="R42" s="21">
        <v>22.633649999999999</v>
      </c>
      <c r="S42" t="s">
        <v>311</v>
      </c>
      <c r="T42" s="22">
        <f t="shared" si="3"/>
        <v>5.3316446409296043</v>
      </c>
    </row>
    <row r="43" spans="1:20" x14ac:dyDescent="0.3">
      <c r="A43" s="14" t="s">
        <v>192</v>
      </c>
      <c r="B43" t="str">
        <f t="shared" si="21"/>
        <v>Enteric fermentation</v>
      </c>
      <c r="C43" t="str">
        <f t="shared" si="22"/>
        <v>CH4</v>
      </c>
      <c r="D43" s="21">
        <v>14.7</v>
      </c>
      <c r="E43" t="s">
        <v>144</v>
      </c>
      <c r="F43" s="21">
        <v>112510</v>
      </c>
      <c r="G43" s="22">
        <f t="shared" si="27"/>
        <v>5.234727585725585E-3</v>
      </c>
      <c r="H43" s="22">
        <f t="shared" si="18"/>
        <v>7.6950495510166098E-2</v>
      </c>
      <c r="J43" t="str">
        <f t="shared" si="23"/>
        <v>Manure management</v>
      </c>
      <c r="K43" t="str">
        <f t="shared" si="24"/>
        <v>CH4</v>
      </c>
      <c r="L43" s="21">
        <v>4.1999999999999997E-3</v>
      </c>
      <c r="M43" t="s">
        <v>144</v>
      </c>
      <c r="N43" s="22">
        <f t="shared" si="2"/>
        <v>2.1985855860047455E-5</v>
      </c>
      <c r="P43" t="str">
        <f t="shared" si="25"/>
        <v>Manure management</v>
      </c>
      <c r="Q43" t="str">
        <f t="shared" si="26"/>
        <v>N2O</v>
      </c>
      <c r="R43" s="21">
        <v>41.637374999999999</v>
      </c>
      <c r="S43" t="s">
        <v>311</v>
      </c>
      <c r="T43" s="22">
        <f t="shared" si="3"/>
        <v>0.21796031550970082</v>
      </c>
    </row>
    <row r="44" spans="1:20" x14ac:dyDescent="0.3">
      <c r="A44" s="14" t="s">
        <v>193</v>
      </c>
      <c r="B44" t="str">
        <f t="shared" si="21"/>
        <v>Enteric fermentation</v>
      </c>
      <c r="C44" t="str">
        <f t="shared" si="22"/>
        <v>CH4</v>
      </c>
      <c r="D44" s="21">
        <v>3.62</v>
      </c>
      <c r="E44" t="s">
        <v>144</v>
      </c>
      <c r="F44" s="21">
        <v>2700240</v>
      </c>
      <c r="G44" s="22">
        <f t="shared" si="27"/>
        <v>0.12563346205741405</v>
      </c>
      <c r="H44" s="22">
        <f t="shared" si="18"/>
        <v>0.45479313264783888</v>
      </c>
      <c r="J44" t="str">
        <f t="shared" si="23"/>
        <v>Manure management</v>
      </c>
      <c r="K44" t="str">
        <f t="shared" si="24"/>
        <v>CH4</v>
      </c>
      <c r="L44" s="21">
        <v>1E-3</v>
      </c>
      <c r="M44" t="s">
        <v>144</v>
      </c>
      <c r="N44" s="22">
        <f t="shared" si="2"/>
        <v>1.2563346205741405E-4</v>
      </c>
      <c r="P44" t="str">
        <f t="shared" si="25"/>
        <v>Manure management</v>
      </c>
      <c r="Q44" t="str">
        <f t="shared" si="26"/>
        <v>N2O</v>
      </c>
      <c r="R44" s="21">
        <v>9.608625</v>
      </c>
      <c r="S44" t="s">
        <v>311</v>
      </c>
      <c r="T44" s="22">
        <f t="shared" si="3"/>
        <v>1.2071648243614201</v>
      </c>
    </row>
    <row r="45" spans="1:20" x14ac:dyDescent="0.3">
      <c r="A45" s="14" t="s">
        <v>194</v>
      </c>
      <c r="B45" t="str">
        <f t="shared" si="21"/>
        <v>Enteric fermentation</v>
      </c>
      <c r="C45" t="str">
        <f t="shared" si="22"/>
        <v>CH4</v>
      </c>
      <c r="D45" s="21">
        <v>5.54</v>
      </c>
      <c r="E45" t="s">
        <v>144</v>
      </c>
      <c r="F45" s="21">
        <v>1800160</v>
      </c>
      <c r="G45" s="22">
        <f t="shared" si="27"/>
        <v>8.375564137160936E-2</v>
      </c>
      <c r="H45" s="22">
        <f t="shared" si="18"/>
        <v>0.46400625319871586</v>
      </c>
      <c r="J45" t="str">
        <f t="shared" si="23"/>
        <v>Manure management</v>
      </c>
      <c r="K45" t="str">
        <f t="shared" si="24"/>
        <v>CH4</v>
      </c>
      <c r="L45" s="21">
        <v>1.4E-3</v>
      </c>
      <c r="M45" t="s">
        <v>144</v>
      </c>
      <c r="N45" s="22">
        <f t="shared" si="2"/>
        <v>1.172578979202531E-4</v>
      </c>
      <c r="P45" t="str">
        <f t="shared" si="25"/>
        <v>Manure management</v>
      </c>
      <c r="Q45" t="str">
        <f t="shared" si="26"/>
        <v>N2O</v>
      </c>
      <c r="R45" s="21">
        <v>16.014374999999998</v>
      </c>
      <c r="S45" t="s">
        <v>311</v>
      </c>
      <c r="T45" s="22">
        <f t="shared" si="3"/>
        <v>1.3412942492904665</v>
      </c>
    </row>
    <row r="46" spans="1:20" x14ac:dyDescent="0.3">
      <c r="A46" s="14" t="s">
        <v>195</v>
      </c>
      <c r="B46" t="str">
        <f t="shared" si="21"/>
        <v>Enteric fermentation</v>
      </c>
      <c r="C46" t="str">
        <f t="shared" si="22"/>
        <v>CH4</v>
      </c>
      <c r="D46" s="21">
        <v>6.21</v>
      </c>
      <c r="E46" t="s">
        <v>144</v>
      </c>
      <c r="F46" s="21">
        <v>1350120</v>
      </c>
      <c r="G46" s="22">
        <f t="shared" si="27"/>
        <v>6.2816731028707024E-2</v>
      </c>
      <c r="H46" s="22">
        <f t="shared" si="18"/>
        <v>0.39009189968827063</v>
      </c>
      <c r="J46" t="str">
        <f t="shared" si="23"/>
        <v>Manure management</v>
      </c>
      <c r="K46" t="str">
        <f t="shared" si="24"/>
        <v>CH4</v>
      </c>
      <c r="L46" s="21">
        <v>1.6000000000000001E-3</v>
      </c>
      <c r="M46" t="s">
        <v>144</v>
      </c>
      <c r="N46" s="22">
        <f t="shared" si="2"/>
        <v>1.0050676964593125E-4</v>
      </c>
      <c r="P46" t="str">
        <f t="shared" si="25"/>
        <v>Manure management</v>
      </c>
      <c r="Q46" t="str">
        <f t="shared" si="26"/>
        <v>N2O</v>
      </c>
      <c r="R46" s="21">
        <v>18.149625</v>
      </c>
      <c r="S46" t="s">
        <v>311</v>
      </c>
      <c r="T46" s="22">
        <f t="shared" si="3"/>
        <v>1.1401001118968968</v>
      </c>
    </row>
    <row r="47" spans="1:20" x14ac:dyDescent="0.3">
      <c r="A47" s="14" t="s">
        <v>196</v>
      </c>
      <c r="B47" t="str">
        <f t="shared" si="21"/>
        <v>Enteric fermentation</v>
      </c>
      <c r="C47" t="str">
        <f t="shared" si="22"/>
        <v>CH4</v>
      </c>
      <c r="D47" s="21">
        <v>11.5</v>
      </c>
      <c r="E47" t="s">
        <v>144</v>
      </c>
      <c r="F47" s="21">
        <v>225020</v>
      </c>
      <c r="G47" s="22">
        <f t="shared" si="27"/>
        <v>1.046945517145117E-2</v>
      </c>
      <c r="H47" s="22">
        <f t="shared" si="18"/>
        <v>0.12039873447168846</v>
      </c>
      <c r="J47" t="str">
        <f t="shared" si="23"/>
        <v>Manure management</v>
      </c>
      <c r="K47" t="str">
        <f t="shared" si="24"/>
        <v>CH4</v>
      </c>
      <c r="L47" s="21">
        <v>3.2000000000000002E-3</v>
      </c>
      <c r="M47" t="s">
        <v>144</v>
      </c>
      <c r="N47" s="22">
        <f t="shared" si="2"/>
        <v>3.3502256548643744E-5</v>
      </c>
      <c r="P47" t="str">
        <f t="shared" si="25"/>
        <v>Manure management</v>
      </c>
      <c r="Q47" t="str">
        <f t="shared" si="26"/>
        <v>N2O</v>
      </c>
      <c r="R47" s="21">
        <v>33.438014999999993</v>
      </c>
      <c r="S47" t="s">
        <v>311</v>
      </c>
      <c r="T47" s="22">
        <f t="shared" si="3"/>
        <v>0.35007779906481173</v>
      </c>
    </row>
    <row r="48" spans="1:20" x14ac:dyDescent="0.3">
      <c r="A48" s="14" t="s">
        <v>197</v>
      </c>
      <c r="B48" t="str">
        <f t="shared" si="21"/>
        <v>Enteric fermentation</v>
      </c>
      <c r="C48" t="str">
        <f t="shared" si="22"/>
        <v>CH4</v>
      </c>
      <c r="D48" s="21">
        <v>9.66</v>
      </c>
      <c r="E48" t="s">
        <v>144</v>
      </c>
      <c r="F48" s="21">
        <v>2725650</v>
      </c>
      <c r="G48" s="22">
        <f t="shared" si="27"/>
        <v>0.1268157074396315</v>
      </c>
      <c r="H48" s="22">
        <f t="shared" si="18"/>
        <v>1.2250397338668402</v>
      </c>
      <c r="J48" t="str">
        <f t="shared" si="23"/>
        <v>Manure management</v>
      </c>
      <c r="K48" t="str">
        <f t="shared" si="24"/>
        <v>CH4</v>
      </c>
      <c r="L48" s="21">
        <v>2.7000000000000001E-3</v>
      </c>
      <c r="M48" t="s">
        <v>144</v>
      </c>
      <c r="N48" s="22">
        <f t="shared" si="2"/>
        <v>3.4240241008700505E-4</v>
      </c>
      <c r="P48" t="str">
        <f t="shared" si="25"/>
        <v>Manure management</v>
      </c>
      <c r="Q48" t="str">
        <f t="shared" si="26"/>
        <v>N2O</v>
      </c>
      <c r="R48" s="21">
        <v>27.117674999999998</v>
      </c>
      <c r="S48" t="s">
        <v>311</v>
      </c>
      <c r="T48" s="22">
        <f t="shared" si="3"/>
        <v>3.4389471392430089</v>
      </c>
    </row>
    <row r="49" spans="1:20" x14ac:dyDescent="0.3">
      <c r="A49" s="14" t="s">
        <v>198</v>
      </c>
      <c r="B49" t="str">
        <f t="shared" si="21"/>
        <v>Enteric fermentation</v>
      </c>
      <c r="C49" t="str">
        <f t="shared" si="22"/>
        <v>CH4</v>
      </c>
      <c r="D49" s="21">
        <v>14.7</v>
      </c>
      <c r="E49" t="s">
        <v>144</v>
      </c>
      <c r="F49" s="21">
        <v>60570</v>
      </c>
      <c r="G49" s="22">
        <f t="shared" si="27"/>
        <v>2.8181268319918112E-3</v>
      </c>
      <c r="H49" s="22">
        <f t="shared" si="18"/>
        <v>4.1426464430279621E-2</v>
      </c>
      <c r="J49" t="str">
        <f t="shared" si="23"/>
        <v>Manure management</v>
      </c>
      <c r="K49" t="str">
        <f t="shared" si="24"/>
        <v>CH4</v>
      </c>
      <c r="L49" s="21">
        <v>4.1000000000000003E-3</v>
      </c>
      <c r="M49" t="s">
        <v>144</v>
      </c>
      <c r="N49" s="22">
        <f t="shared" si="2"/>
        <v>1.1554320011166427E-5</v>
      </c>
      <c r="P49" t="str">
        <f t="shared" si="25"/>
        <v>Manure management</v>
      </c>
      <c r="Q49" t="str">
        <f t="shared" si="26"/>
        <v>N2O</v>
      </c>
      <c r="R49" s="21">
        <v>41.637374999999999</v>
      </c>
      <c r="S49" t="s">
        <v>311</v>
      </c>
      <c r="T49" s="22">
        <f t="shared" si="3"/>
        <v>0.11733940370120503</v>
      </c>
    </row>
    <row r="50" spans="1:20" x14ac:dyDescent="0.3">
      <c r="A50" s="14" t="s">
        <v>199</v>
      </c>
      <c r="B50" t="str">
        <f t="shared" si="21"/>
        <v>Enteric fermentation</v>
      </c>
      <c r="C50" t="str">
        <f t="shared" si="22"/>
        <v>CH4</v>
      </c>
      <c r="D50" s="21">
        <v>3.62</v>
      </c>
      <c r="E50" t="s">
        <v>144</v>
      </c>
      <c r="F50" s="21">
        <v>1453680</v>
      </c>
      <c r="G50" s="22">
        <f t="shared" si="27"/>
        <v>6.7635043967803468E-2</v>
      </c>
      <c r="H50" s="22">
        <f t="shared" si="18"/>
        <v>0.24483885916344855</v>
      </c>
      <c r="J50" t="str">
        <f t="shared" si="23"/>
        <v>Manure management</v>
      </c>
      <c r="K50" t="str">
        <f t="shared" si="24"/>
        <v>CH4</v>
      </c>
      <c r="L50" s="21">
        <v>1E-3</v>
      </c>
      <c r="M50" t="s">
        <v>144</v>
      </c>
      <c r="N50" s="22">
        <f t="shared" si="2"/>
        <v>6.7635043967803464E-5</v>
      </c>
      <c r="P50" t="str">
        <f t="shared" si="25"/>
        <v>Manure management</v>
      </c>
      <c r="Q50" t="str">
        <f t="shared" si="26"/>
        <v>N2O</v>
      </c>
      <c r="R50" s="21">
        <v>9.608625</v>
      </c>
      <c r="S50" t="s">
        <v>311</v>
      </c>
      <c r="T50" s="22">
        <f t="shared" si="3"/>
        <v>0.64987977434513555</v>
      </c>
    </row>
    <row r="51" spans="1:20" x14ac:dyDescent="0.3">
      <c r="A51" s="14" t="s">
        <v>200</v>
      </c>
      <c r="B51" t="str">
        <f t="shared" si="21"/>
        <v>Enteric fermentation</v>
      </c>
      <c r="C51" t="str">
        <f t="shared" si="22"/>
        <v>CH4</v>
      </c>
      <c r="D51" s="21">
        <v>5.54</v>
      </c>
      <c r="E51" t="s">
        <v>144</v>
      </c>
      <c r="F51" s="21">
        <v>969120</v>
      </c>
      <c r="G51" s="22">
        <f t="shared" si="27"/>
        <v>4.5090029311868979E-2</v>
      </c>
      <c r="H51" s="22">
        <f t="shared" si="18"/>
        <v>0.24979876238775414</v>
      </c>
      <c r="J51" t="str">
        <f t="shared" si="23"/>
        <v>Manure management</v>
      </c>
      <c r="K51" t="str">
        <f t="shared" si="24"/>
        <v>CH4</v>
      </c>
      <c r="L51" s="21">
        <v>1.4E-3</v>
      </c>
      <c r="M51" t="s">
        <v>144</v>
      </c>
      <c r="N51" s="22">
        <f t="shared" si="2"/>
        <v>6.3126041036616574E-5</v>
      </c>
      <c r="P51" t="str">
        <f t="shared" si="25"/>
        <v>Manure management</v>
      </c>
      <c r="Q51" t="str">
        <f t="shared" si="26"/>
        <v>N2O</v>
      </c>
      <c r="R51" s="21">
        <v>16.014374999999998</v>
      </c>
      <c r="S51" t="s">
        <v>311</v>
      </c>
      <c r="T51" s="22">
        <f t="shared" si="3"/>
        <v>0.72208863816126168</v>
      </c>
    </row>
    <row r="52" spans="1:20" x14ac:dyDescent="0.3">
      <c r="A52" s="14" t="s">
        <v>201</v>
      </c>
      <c r="B52" t="str">
        <f t="shared" si="21"/>
        <v>Enteric fermentation</v>
      </c>
      <c r="C52" t="str">
        <f t="shared" si="22"/>
        <v>CH4</v>
      </c>
      <c r="D52" s="21">
        <v>6.88</v>
      </c>
      <c r="E52" t="s">
        <v>144</v>
      </c>
      <c r="F52" s="21">
        <v>726840</v>
      </c>
      <c r="G52" s="22">
        <f t="shared" si="27"/>
        <v>3.3817521983901734E-2</v>
      </c>
      <c r="H52" s="22">
        <f t="shared" si="18"/>
        <v>0.23266455124924393</v>
      </c>
      <c r="J52" t="str">
        <f t="shared" si="23"/>
        <v>Manure management</v>
      </c>
      <c r="K52" t="str">
        <f t="shared" si="24"/>
        <v>CH4</v>
      </c>
      <c r="L52" s="21">
        <v>1.8E-3</v>
      </c>
      <c r="M52" t="s">
        <v>144</v>
      </c>
      <c r="N52" s="22">
        <f t="shared" si="2"/>
        <v>6.0871539571023123E-5</v>
      </c>
      <c r="P52" t="str">
        <f t="shared" si="25"/>
        <v>Manure management</v>
      </c>
      <c r="Q52" t="str">
        <f t="shared" si="26"/>
        <v>N2O</v>
      </c>
      <c r="R52" s="21">
        <v>20.284875</v>
      </c>
      <c r="S52" t="s">
        <v>311</v>
      </c>
      <c r="T52" s="22">
        <f t="shared" si="3"/>
        <v>0.68598420625319867</v>
      </c>
    </row>
    <row r="53" spans="1:20" x14ac:dyDescent="0.3">
      <c r="A53" s="14" t="s">
        <v>202</v>
      </c>
      <c r="B53" t="str">
        <f t="shared" si="21"/>
        <v>Enteric fermentation</v>
      </c>
      <c r="C53" t="str">
        <f t="shared" si="22"/>
        <v>CH4</v>
      </c>
      <c r="D53" s="21">
        <v>9.8800000000000008</v>
      </c>
      <c r="E53" t="s">
        <v>144</v>
      </c>
      <c r="F53" s="21">
        <v>121140</v>
      </c>
      <c r="G53" s="22">
        <f t="shared" si="27"/>
        <v>5.6362536639836223E-3</v>
      </c>
      <c r="H53" s="22">
        <f t="shared" si="18"/>
        <v>5.5686186200158194E-2</v>
      </c>
      <c r="J53" t="str">
        <f t="shared" si="23"/>
        <v>Manure management</v>
      </c>
      <c r="K53" t="str">
        <f t="shared" si="24"/>
        <v>CH4</v>
      </c>
      <c r="L53" s="21">
        <v>2.7000000000000001E-3</v>
      </c>
      <c r="M53" t="s">
        <v>144</v>
      </c>
      <c r="N53" s="22">
        <f t="shared" si="2"/>
        <v>1.5217884892755781E-5</v>
      </c>
      <c r="P53" t="str">
        <f t="shared" si="25"/>
        <v>Manure management</v>
      </c>
      <c r="Q53" t="str">
        <f t="shared" si="26"/>
        <v>N2O</v>
      </c>
      <c r="R53" s="21">
        <v>29.167514999999998</v>
      </c>
      <c r="S53" t="s">
        <v>311</v>
      </c>
      <c r="T53" s="22">
        <f t="shared" si="3"/>
        <v>0.16439551328804725</v>
      </c>
    </row>
    <row r="54" spans="1:20" x14ac:dyDescent="0.3">
      <c r="A54" s="14" t="s">
        <v>203</v>
      </c>
      <c r="B54" t="str">
        <f t="shared" si="21"/>
        <v>Enteric fermentation</v>
      </c>
      <c r="C54" t="str">
        <f t="shared" si="22"/>
        <v>CH4</v>
      </c>
      <c r="D54" s="21">
        <v>10.4</v>
      </c>
      <c r="E54" t="s">
        <v>144</v>
      </c>
      <c r="F54" s="21">
        <v>1872000</v>
      </c>
      <c r="G54" s="22">
        <f t="shared" si="27"/>
        <v>8.7098124970920759E-2</v>
      </c>
      <c r="H54" s="22">
        <f t="shared" si="18"/>
        <v>0.90582049969757594</v>
      </c>
      <c r="J54" t="str">
        <f t="shared" si="23"/>
        <v>Manure management</v>
      </c>
      <c r="K54" t="str">
        <f t="shared" si="24"/>
        <v>CH4</v>
      </c>
      <c r="L54" s="21">
        <v>2.8999999999999998E-3</v>
      </c>
      <c r="M54" t="s">
        <v>144</v>
      </c>
      <c r="N54" s="22">
        <f t="shared" si="2"/>
        <v>2.5258456241567017E-4</v>
      </c>
      <c r="P54" t="str">
        <f t="shared" si="25"/>
        <v>Manure management</v>
      </c>
      <c r="Q54" t="str">
        <f t="shared" si="26"/>
        <v>N2O</v>
      </c>
      <c r="R54" s="21">
        <v>29.039400000000001</v>
      </c>
      <c r="S54" t="s">
        <v>311</v>
      </c>
      <c r="T54" s="22">
        <f t="shared" si="3"/>
        <v>2.5292772902805565</v>
      </c>
    </row>
    <row r="55" spans="1:20" x14ac:dyDescent="0.3">
      <c r="A55" s="14" t="s">
        <v>204</v>
      </c>
      <c r="B55" t="str">
        <f t="shared" si="21"/>
        <v>Enteric fermentation</v>
      </c>
      <c r="C55" t="str">
        <f t="shared" si="22"/>
        <v>CH4</v>
      </c>
      <c r="D55" s="21">
        <v>22.2</v>
      </c>
      <c r="E55" t="s">
        <v>144</v>
      </c>
      <c r="F55" s="21">
        <v>41600</v>
      </c>
      <c r="G55" s="22">
        <f t="shared" si="27"/>
        <v>1.9355138882426836E-3</v>
      </c>
      <c r="H55" s="22">
        <f t="shared" si="18"/>
        <v>4.2968408318987579E-2</v>
      </c>
      <c r="J55" t="str">
        <f t="shared" si="23"/>
        <v>Manure management</v>
      </c>
      <c r="K55" t="str">
        <f t="shared" si="24"/>
        <v>CH4</v>
      </c>
      <c r="L55" s="21">
        <v>6.4000000000000003E-3</v>
      </c>
      <c r="M55" t="s">
        <v>144</v>
      </c>
      <c r="N55" s="22">
        <f t="shared" si="2"/>
        <v>1.2387288884753176E-5</v>
      </c>
      <c r="P55" t="str">
        <f t="shared" si="25"/>
        <v>Manure management</v>
      </c>
      <c r="Q55" t="str">
        <f t="shared" si="26"/>
        <v>N2O</v>
      </c>
      <c r="R55" s="21">
        <v>58.932899999999997</v>
      </c>
      <c r="S55" t="s">
        <v>311</v>
      </c>
      <c r="T55" s="22">
        <f t="shared" si="3"/>
        <v>0.11406544642441724</v>
      </c>
    </row>
    <row r="56" spans="1:20" x14ac:dyDescent="0.3">
      <c r="A56" s="14" t="s">
        <v>205</v>
      </c>
      <c r="B56" t="str">
        <f t="shared" si="21"/>
        <v>Enteric fermentation</v>
      </c>
      <c r="C56" t="str">
        <f t="shared" si="22"/>
        <v>CH4</v>
      </c>
      <c r="D56" s="21">
        <v>3.62</v>
      </c>
      <c r="E56" t="s">
        <v>144</v>
      </c>
      <c r="F56" s="21">
        <v>998400</v>
      </c>
      <c r="G56" s="22">
        <f t="shared" si="27"/>
        <v>4.6452333317824411E-2</v>
      </c>
      <c r="H56" s="22">
        <f t="shared" si="18"/>
        <v>0.16815744661052437</v>
      </c>
      <c r="J56" t="str">
        <f t="shared" si="23"/>
        <v>Manure management</v>
      </c>
      <c r="K56" t="str">
        <f t="shared" si="24"/>
        <v>CH4</v>
      </c>
      <c r="L56" s="21">
        <v>1E-3</v>
      </c>
      <c r="M56" t="s">
        <v>144</v>
      </c>
      <c r="N56" s="22">
        <f t="shared" si="2"/>
        <v>4.6452333317824413E-5</v>
      </c>
      <c r="P56" t="str">
        <f t="shared" si="25"/>
        <v>Manure management</v>
      </c>
      <c r="Q56" t="str">
        <f t="shared" si="26"/>
        <v>N2O</v>
      </c>
      <c r="R56" s="21">
        <v>9.608625</v>
      </c>
      <c r="S56" t="s">
        <v>311</v>
      </c>
      <c r="T56" s="22">
        <f t="shared" si="3"/>
        <v>0.44634305122598056</v>
      </c>
    </row>
    <row r="57" spans="1:20" x14ac:dyDescent="0.3">
      <c r="A57" s="14" t="s">
        <v>206</v>
      </c>
      <c r="B57" t="str">
        <f t="shared" si="21"/>
        <v>Enteric fermentation</v>
      </c>
      <c r="C57" t="str">
        <f t="shared" si="22"/>
        <v>CH4</v>
      </c>
      <c r="D57" s="21">
        <v>4.7699999999999996</v>
      </c>
      <c r="E57" t="s">
        <v>144</v>
      </c>
      <c r="F57" s="21">
        <v>665600</v>
      </c>
      <c r="G57" s="22">
        <f t="shared" si="27"/>
        <v>3.0968222211882938E-2</v>
      </c>
      <c r="H57" s="22">
        <f t="shared" si="18"/>
        <v>0.14771841995068161</v>
      </c>
      <c r="J57" t="str">
        <f t="shared" si="23"/>
        <v>Manure management</v>
      </c>
      <c r="K57" t="str">
        <f t="shared" si="24"/>
        <v>CH4</v>
      </c>
      <c r="L57" s="21">
        <v>1.1999999999999999E-3</v>
      </c>
      <c r="M57" t="s">
        <v>144</v>
      </c>
      <c r="N57" s="22">
        <f t="shared" si="2"/>
        <v>3.7161866654259525E-5</v>
      </c>
      <c r="P57" t="str">
        <f t="shared" si="25"/>
        <v>Manure management</v>
      </c>
      <c r="Q57" t="str">
        <f t="shared" si="26"/>
        <v>N2O</v>
      </c>
      <c r="R57" s="21">
        <v>13.452074999999999</v>
      </c>
      <c r="S57" t="s">
        <v>311</v>
      </c>
      <c r="T57" s="22">
        <f t="shared" si="3"/>
        <v>0.41658684781091515</v>
      </c>
    </row>
    <row r="58" spans="1:20" x14ac:dyDescent="0.3">
      <c r="A58" s="14" t="s">
        <v>207</v>
      </c>
      <c r="B58" t="str">
        <f t="shared" si="21"/>
        <v>Enteric fermentation</v>
      </c>
      <c r="C58" t="str">
        <f t="shared" si="22"/>
        <v>CH4</v>
      </c>
      <c r="D58" s="21">
        <v>8.01</v>
      </c>
      <c r="E58" t="s">
        <v>144</v>
      </c>
      <c r="F58" s="21">
        <v>499200</v>
      </c>
      <c r="G58" s="22">
        <f t="shared" si="27"/>
        <v>2.3226166658912206E-2</v>
      </c>
      <c r="H58" s="22">
        <f t="shared" si="18"/>
        <v>0.18604159493788677</v>
      </c>
      <c r="J58" t="str">
        <f t="shared" si="23"/>
        <v>Manure management</v>
      </c>
      <c r="K58" t="str">
        <f t="shared" si="24"/>
        <v>CH4</v>
      </c>
      <c r="L58" s="21">
        <v>2.2000000000000001E-3</v>
      </c>
      <c r="M58" t="s">
        <v>144</v>
      </c>
      <c r="N58" s="22">
        <f t="shared" si="2"/>
        <v>5.1097566649606857E-5</v>
      </c>
      <c r="P58" t="str">
        <f t="shared" si="25"/>
        <v>Manure management</v>
      </c>
      <c r="Q58" t="str">
        <f t="shared" si="26"/>
        <v>N2O</v>
      </c>
      <c r="R58" s="21">
        <v>23.701274999999999</v>
      </c>
      <c r="S58" t="s">
        <v>311</v>
      </c>
      <c r="T58" s="22">
        <f t="shared" si="3"/>
        <v>0.55048976317870935</v>
      </c>
    </row>
    <row r="59" spans="1:20" x14ac:dyDescent="0.3">
      <c r="A59" s="14" t="s">
        <v>208</v>
      </c>
      <c r="B59" t="str">
        <f t="shared" si="21"/>
        <v>Enteric fermentation</v>
      </c>
      <c r="C59" t="str">
        <f t="shared" si="22"/>
        <v>CH4</v>
      </c>
      <c r="D59" s="21">
        <v>14.8</v>
      </c>
      <c r="E59" t="s">
        <v>144</v>
      </c>
      <c r="F59" s="21">
        <v>83200</v>
      </c>
      <c r="G59" s="22">
        <f t="shared" si="27"/>
        <v>3.8710277764853673E-3</v>
      </c>
      <c r="H59" s="22">
        <f t="shared" si="18"/>
        <v>5.7291211091983436E-2</v>
      </c>
      <c r="J59" t="str">
        <f t="shared" si="23"/>
        <v>Manure management</v>
      </c>
      <c r="K59" t="str">
        <f t="shared" si="24"/>
        <v>CH4</v>
      </c>
      <c r="L59" s="21">
        <v>4.1999999999999997E-3</v>
      </c>
      <c r="M59" t="s">
        <v>144</v>
      </c>
      <c r="N59" s="22">
        <f t="shared" si="2"/>
        <v>1.6258316661238541E-5</v>
      </c>
      <c r="P59" t="str">
        <f t="shared" si="25"/>
        <v>Manure management</v>
      </c>
      <c r="Q59" t="str">
        <f t="shared" si="26"/>
        <v>N2O</v>
      </c>
      <c r="R59" s="21">
        <v>41.979014999999997</v>
      </c>
      <c r="S59" t="s">
        <v>311</v>
      </c>
      <c r="T59" s="22">
        <f t="shared" si="3"/>
        <v>0.16250193309449587</v>
      </c>
    </row>
    <row r="60" spans="1:20" x14ac:dyDescent="0.3">
      <c r="A60" s="14" t="s">
        <v>209</v>
      </c>
      <c r="B60" t="str">
        <f t="shared" si="21"/>
        <v>Enteric fermentation</v>
      </c>
      <c r="C60" t="str">
        <f t="shared" si="22"/>
        <v>CH4</v>
      </c>
      <c r="D60" s="21">
        <v>5.27</v>
      </c>
      <c r="E60" t="s">
        <v>144</v>
      </c>
      <c r="F60" s="21">
        <v>1570.0475704490825</v>
      </c>
      <c r="G60" s="22">
        <f>F60/SUM($F$60:$F$83)</f>
        <v>5.2342623179639871E-4</v>
      </c>
      <c r="H60" s="22">
        <f t="shared" si="18"/>
        <v>2.758456241567021E-3</v>
      </c>
      <c r="J60" t="str">
        <f t="shared" si="23"/>
        <v>Manure management</v>
      </c>
      <c r="K60" t="str">
        <f t="shared" si="24"/>
        <v>CH4</v>
      </c>
      <c r="L60" s="21">
        <v>1.5E-3</v>
      </c>
      <c r="M60" t="s">
        <v>144</v>
      </c>
      <c r="N60" s="22">
        <f t="shared" si="2"/>
        <v>7.8513934769459805E-7</v>
      </c>
      <c r="P60" t="str">
        <f t="shared" si="25"/>
        <v>Manure management</v>
      </c>
      <c r="Q60" t="str">
        <f t="shared" si="26"/>
        <v>N2O</v>
      </c>
      <c r="R60" s="21">
        <v>16.398719999999997</v>
      </c>
      <c r="S60" t="s">
        <v>311</v>
      </c>
      <c r="T60" s="22">
        <f t="shared" si="3"/>
        <v>8.5835202158842383E-3</v>
      </c>
    </row>
    <row r="61" spans="1:20" x14ac:dyDescent="0.3">
      <c r="A61" s="14" t="s">
        <v>210</v>
      </c>
      <c r="B61" t="str">
        <f t="shared" si="21"/>
        <v>Enteric fermentation</v>
      </c>
      <c r="C61" t="str">
        <f t="shared" si="22"/>
        <v>CH4</v>
      </c>
      <c r="D61" s="21">
        <v>7.62</v>
      </c>
      <c r="E61" t="s">
        <v>144</v>
      </c>
      <c r="F61" s="21">
        <v>34.88994600997961</v>
      </c>
      <c r="G61" s="22">
        <f t="shared" ref="G61:G83" si="28">F61/SUM($F$60:$F$83)</f>
        <v>1.1631694039919973E-5</v>
      </c>
      <c r="H61" s="22">
        <f t="shared" si="18"/>
        <v>8.8633508584190187E-5</v>
      </c>
      <c r="J61" t="str">
        <f t="shared" si="23"/>
        <v>Manure management</v>
      </c>
      <c r="K61" t="str">
        <f t="shared" si="24"/>
        <v>CH4</v>
      </c>
      <c r="L61" s="21">
        <v>2.2000000000000001E-3</v>
      </c>
      <c r="M61" t="s">
        <v>144</v>
      </c>
      <c r="N61" s="22">
        <f t="shared" si="2"/>
        <v>2.5589726887823941E-8</v>
      </c>
      <c r="P61" t="str">
        <f t="shared" si="25"/>
        <v>Manure management</v>
      </c>
      <c r="Q61" t="str">
        <f t="shared" si="26"/>
        <v>N2O</v>
      </c>
      <c r="R61" s="21">
        <v>24.768900000000002</v>
      </c>
      <c r="S61" t="s">
        <v>311</v>
      </c>
      <c r="T61" s="22">
        <f t="shared" si="3"/>
        <v>2.8810426650537383E-4</v>
      </c>
    </row>
    <row r="62" spans="1:20" x14ac:dyDescent="0.3">
      <c r="A62" s="14" t="s">
        <v>211</v>
      </c>
      <c r="B62" t="str">
        <f t="shared" si="21"/>
        <v>Enteric fermentation</v>
      </c>
      <c r="C62" t="str">
        <f t="shared" si="22"/>
        <v>CH4</v>
      </c>
      <c r="D62" s="21">
        <v>2.76</v>
      </c>
      <c r="E62" t="s">
        <v>144</v>
      </c>
      <c r="F62" s="21">
        <v>837.35870423951064</v>
      </c>
      <c r="G62" s="22">
        <f t="shared" si="28"/>
        <v>2.7916065695807933E-4</v>
      </c>
      <c r="H62" s="22">
        <f t="shared" si="18"/>
        <v>7.7048341320429888E-4</v>
      </c>
      <c r="J62" t="str">
        <f t="shared" si="23"/>
        <v>Manure management</v>
      </c>
      <c r="K62" t="str">
        <f t="shared" si="24"/>
        <v>CH4</v>
      </c>
      <c r="L62" s="21">
        <v>6.9999999999999999E-4</v>
      </c>
      <c r="M62" t="s">
        <v>144</v>
      </c>
      <c r="N62" s="22">
        <f t="shared" si="2"/>
        <v>1.9541245987065553E-7</v>
      </c>
      <c r="P62" t="str">
        <f t="shared" si="25"/>
        <v>Manure management</v>
      </c>
      <c r="Q62" t="str">
        <f t="shared" si="26"/>
        <v>N2O</v>
      </c>
      <c r="R62" s="21">
        <v>7.6868999999999996</v>
      </c>
      <c r="S62" t="s">
        <v>311</v>
      </c>
      <c r="T62" s="22">
        <f t="shared" si="3"/>
        <v>2.14588005397106E-3</v>
      </c>
    </row>
    <row r="63" spans="1:20" x14ac:dyDescent="0.3">
      <c r="A63" s="14" t="s">
        <v>212</v>
      </c>
      <c r="B63" t="str">
        <f t="shared" si="21"/>
        <v>Enteric fermentation</v>
      </c>
      <c r="C63" t="str">
        <f t="shared" si="22"/>
        <v>CH4</v>
      </c>
      <c r="D63" s="21">
        <v>3.76</v>
      </c>
      <c r="E63" t="s">
        <v>144</v>
      </c>
      <c r="F63" s="21">
        <v>558.23913615967376</v>
      </c>
      <c r="G63" s="22">
        <f t="shared" si="28"/>
        <v>1.8610710463871956E-4</v>
      </c>
      <c r="H63" s="22">
        <f t="shared" si="18"/>
        <v>6.9976271344158547E-4</v>
      </c>
      <c r="J63" t="str">
        <f t="shared" si="23"/>
        <v>Manure management</v>
      </c>
      <c r="K63" t="str">
        <f t="shared" si="24"/>
        <v>CH4</v>
      </c>
      <c r="L63" s="21">
        <v>1E-3</v>
      </c>
      <c r="M63" t="s">
        <v>144</v>
      </c>
      <c r="N63" s="22">
        <f t="shared" si="2"/>
        <v>1.8610710463871956E-7</v>
      </c>
      <c r="P63" t="str">
        <f t="shared" si="25"/>
        <v>Manure management</v>
      </c>
      <c r="Q63" t="str">
        <f t="shared" si="26"/>
        <v>N2O</v>
      </c>
      <c r="R63" s="21">
        <v>11.444940000000001</v>
      </c>
      <c r="S63" t="s">
        <v>311</v>
      </c>
      <c r="T63" s="22">
        <f t="shared" si="3"/>
        <v>2.1299846461638673E-3</v>
      </c>
    </row>
    <row r="64" spans="1:20" x14ac:dyDescent="0.3">
      <c r="A64" s="14" t="s">
        <v>213</v>
      </c>
      <c r="B64" t="str">
        <f t="shared" si="21"/>
        <v>Enteric fermentation</v>
      </c>
      <c r="C64" t="str">
        <f t="shared" si="22"/>
        <v>CH4</v>
      </c>
      <c r="D64" s="21">
        <v>4.4000000000000004</v>
      </c>
      <c r="E64" t="s">
        <v>144</v>
      </c>
      <c r="F64" s="21">
        <v>418.67935211975532</v>
      </c>
      <c r="G64" s="22">
        <f t="shared" si="28"/>
        <v>1.3958032847903967E-4</v>
      </c>
      <c r="H64" s="22">
        <f t="shared" si="18"/>
        <v>6.1415344530777458E-4</v>
      </c>
      <c r="J64" t="str">
        <f t="shared" si="23"/>
        <v>Manure management</v>
      </c>
      <c r="K64" t="str">
        <f t="shared" si="24"/>
        <v>CH4</v>
      </c>
      <c r="L64" s="21">
        <v>1.1999999999999999E-3</v>
      </c>
      <c r="M64" t="s">
        <v>144</v>
      </c>
      <c r="N64" s="22">
        <f t="shared" si="2"/>
        <v>1.6749639417484759E-7</v>
      </c>
      <c r="P64" t="str">
        <f t="shared" si="25"/>
        <v>Manure management</v>
      </c>
      <c r="Q64" t="str">
        <f t="shared" si="26"/>
        <v>N2O</v>
      </c>
      <c r="R64" s="21">
        <v>13.836419999999999</v>
      </c>
      <c r="S64" t="s">
        <v>311</v>
      </c>
      <c r="T64" s="22">
        <f t="shared" si="3"/>
        <v>1.9312920485739537E-3</v>
      </c>
    </row>
    <row r="65" spans="1:20" x14ac:dyDescent="0.3">
      <c r="A65" s="14" t="s">
        <v>214</v>
      </c>
      <c r="B65" t="str">
        <f t="shared" si="21"/>
        <v>Enteric fermentation</v>
      </c>
      <c r="C65" t="str">
        <f t="shared" si="22"/>
        <v>CH4</v>
      </c>
      <c r="D65" s="21">
        <v>5.6</v>
      </c>
      <c r="E65" t="s">
        <v>144</v>
      </c>
      <c r="F65" s="21">
        <v>69.77989201995922</v>
      </c>
      <c r="G65" s="22">
        <f t="shared" si="28"/>
        <v>2.3263388079839945E-5</v>
      </c>
      <c r="H65" s="22">
        <f t="shared" si="18"/>
        <v>1.302749732471037E-4</v>
      </c>
      <c r="J65" t="str">
        <f t="shared" si="23"/>
        <v>Manure management</v>
      </c>
      <c r="K65" t="str">
        <f t="shared" si="24"/>
        <v>CH4</v>
      </c>
      <c r="L65" s="21">
        <v>1.6000000000000001E-3</v>
      </c>
      <c r="M65" t="s">
        <v>144</v>
      </c>
      <c r="N65" s="22">
        <f t="shared" si="2"/>
        <v>3.7221420927743912E-8</v>
      </c>
      <c r="P65" t="str">
        <f t="shared" si="25"/>
        <v>Manure management</v>
      </c>
      <c r="Q65" t="str">
        <f t="shared" si="26"/>
        <v>N2O</v>
      </c>
      <c r="R65" s="21">
        <v>18.106919999999999</v>
      </c>
      <c r="S65" t="s">
        <v>311</v>
      </c>
      <c r="T65" s="22">
        <f t="shared" si="3"/>
        <v>4.2122830689061546E-4</v>
      </c>
    </row>
    <row r="66" spans="1:20" x14ac:dyDescent="0.3">
      <c r="A66" s="14" t="s">
        <v>215</v>
      </c>
      <c r="B66" t="str">
        <f t="shared" si="21"/>
        <v>Enteric fermentation</v>
      </c>
      <c r="C66" t="str">
        <f t="shared" si="22"/>
        <v>CH4</v>
      </c>
      <c r="D66" s="21">
        <v>5.79</v>
      </c>
      <c r="E66" t="s">
        <v>144</v>
      </c>
      <c r="F66" s="21">
        <v>706584.20860490517</v>
      </c>
      <c r="G66" s="22">
        <f t="shared" si="28"/>
        <v>0.23556274135765132</v>
      </c>
      <c r="H66" s="22">
        <f t="shared" si="18"/>
        <v>1.3639082724608012</v>
      </c>
      <c r="J66" t="str">
        <f t="shared" si="23"/>
        <v>Manure management</v>
      </c>
      <c r="K66" t="str">
        <f t="shared" si="24"/>
        <v>CH4</v>
      </c>
      <c r="L66" s="21">
        <v>1.6999999999999999E-3</v>
      </c>
      <c r="M66" t="s">
        <v>144</v>
      </c>
      <c r="N66" s="22">
        <f t="shared" si="2"/>
        <v>4.0045666030800721E-4</v>
      </c>
      <c r="P66" t="str">
        <f t="shared" si="25"/>
        <v>Manure management</v>
      </c>
      <c r="Q66" t="str">
        <f t="shared" si="26"/>
        <v>N2O</v>
      </c>
      <c r="R66" s="21">
        <v>17.978804999999998</v>
      </c>
      <c r="S66" t="s">
        <v>311</v>
      </c>
      <c r="T66" s="22">
        <f t="shared" si="3"/>
        <v>4.2351365921346478</v>
      </c>
    </row>
    <row r="67" spans="1:20" x14ac:dyDescent="0.3">
      <c r="A67" s="14" t="s">
        <v>216</v>
      </c>
      <c r="B67" t="str">
        <f t="shared" si="21"/>
        <v>Enteric fermentation</v>
      </c>
      <c r="C67" t="str">
        <f t="shared" si="22"/>
        <v>CH4</v>
      </c>
      <c r="D67" s="21">
        <v>10.5</v>
      </c>
      <c r="E67" t="s">
        <v>144</v>
      </c>
      <c r="F67" s="21">
        <v>15701.871302331225</v>
      </c>
      <c r="G67" s="22">
        <f t="shared" si="28"/>
        <v>5.234727585725585E-3</v>
      </c>
      <c r="H67" s="22">
        <f t="shared" si="18"/>
        <v>5.4964639650118642E-2</v>
      </c>
      <c r="J67" t="str">
        <f t="shared" si="23"/>
        <v>Manure management</v>
      </c>
      <c r="K67" t="str">
        <f t="shared" si="24"/>
        <v>CH4</v>
      </c>
      <c r="L67" s="21">
        <v>3.2000000000000002E-3</v>
      </c>
      <c r="M67" t="s">
        <v>144</v>
      </c>
      <c r="N67" s="22">
        <f t="shared" si="2"/>
        <v>1.6751128274321872E-5</v>
      </c>
      <c r="P67" t="str">
        <f t="shared" si="25"/>
        <v>Manure management</v>
      </c>
      <c r="Q67" t="str">
        <f t="shared" si="26"/>
        <v>N2O</v>
      </c>
      <c r="R67" s="21">
        <v>33.309899999999999</v>
      </c>
      <c r="S67" t="s">
        <v>311</v>
      </c>
      <c r="T67" s="22">
        <f t="shared" si="3"/>
        <v>0.17436825240776066</v>
      </c>
    </row>
    <row r="68" spans="1:20" x14ac:dyDescent="0.3">
      <c r="A68" s="14" t="s">
        <v>217</v>
      </c>
      <c r="B68" t="str">
        <f t="shared" si="21"/>
        <v>Enteric fermentation</v>
      </c>
      <c r="C68" t="str">
        <f t="shared" si="22"/>
        <v>CH4</v>
      </c>
      <c r="D68" s="21">
        <v>2.76</v>
      </c>
      <c r="E68" t="s">
        <v>144</v>
      </c>
      <c r="F68" s="21">
        <v>376844.91125594941</v>
      </c>
      <c r="G68" s="22">
        <f t="shared" si="28"/>
        <v>0.12563346205741405</v>
      </c>
      <c r="H68" s="22">
        <f t="shared" si="18"/>
        <v>0.34674835527846276</v>
      </c>
      <c r="J68" t="str">
        <f t="shared" si="23"/>
        <v>Manure management</v>
      </c>
      <c r="K68" t="str">
        <f t="shared" si="24"/>
        <v>CH4</v>
      </c>
      <c r="L68" s="21">
        <v>6.9999999999999999E-4</v>
      </c>
      <c r="M68" t="s">
        <v>144</v>
      </c>
      <c r="N68" s="22">
        <f t="shared" si="2"/>
        <v>8.7943423440189835E-5</v>
      </c>
      <c r="P68" t="str">
        <f t="shared" si="25"/>
        <v>Manure management</v>
      </c>
      <c r="Q68" t="str">
        <f t="shared" si="26"/>
        <v>N2O</v>
      </c>
      <c r="R68" s="21">
        <v>7.6868999999999996</v>
      </c>
      <c r="S68" t="s">
        <v>311</v>
      </c>
      <c r="T68" s="22">
        <f t="shared" si="3"/>
        <v>0.96573185948913598</v>
      </c>
    </row>
    <row r="69" spans="1:20" x14ac:dyDescent="0.3">
      <c r="A69" s="14" t="s">
        <v>218</v>
      </c>
      <c r="B69" t="str">
        <f t="shared" si="21"/>
        <v>Enteric fermentation</v>
      </c>
      <c r="C69" t="str">
        <f t="shared" si="22"/>
        <v>CH4</v>
      </c>
      <c r="D69" s="21">
        <v>4.12</v>
      </c>
      <c r="E69" t="s">
        <v>144</v>
      </c>
      <c r="F69" s="21">
        <v>251229.9408372996</v>
      </c>
      <c r="G69" s="22">
        <f t="shared" si="28"/>
        <v>8.375564137160936E-2</v>
      </c>
      <c r="H69" s="22">
        <f t="shared" si="18"/>
        <v>0.34507324245103055</v>
      </c>
      <c r="J69" t="str">
        <f t="shared" si="23"/>
        <v>Manure management</v>
      </c>
      <c r="K69" t="str">
        <f t="shared" si="24"/>
        <v>CH4</v>
      </c>
      <c r="L69" s="21">
        <v>1.1000000000000001E-3</v>
      </c>
      <c r="M69" t="s">
        <v>144</v>
      </c>
      <c r="N69" s="22">
        <f t="shared" si="2"/>
        <v>9.2131205508770296E-5</v>
      </c>
      <c r="P69" t="str">
        <f t="shared" si="25"/>
        <v>Manure management</v>
      </c>
      <c r="Q69" t="str">
        <f t="shared" si="26"/>
        <v>N2O</v>
      </c>
      <c r="R69" s="21">
        <v>12.811500000000001</v>
      </c>
      <c r="S69" t="s">
        <v>311</v>
      </c>
      <c r="T69" s="22">
        <f t="shared" si="3"/>
        <v>1.0730353994323734</v>
      </c>
    </row>
    <row r="70" spans="1:20" x14ac:dyDescent="0.3">
      <c r="A70" s="14" t="s">
        <v>219</v>
      </c>
      <c r="B70" t="str">
        <f t="shared" si="21"/>
        <v>Enteric fermentation</v>
      </c>
      <c r="C70" t="str">
        <f t="shared" si="22"/>
        <v>CH4</v>
      </c>
      <c r="D70" s="21">
        <v>4.59</v>
      </c>
      <c r="E70" t="s">
        <v>144</v>
      </c>
      <c r="F70" s="21">
        <v>188422.4556279747</v>
      </c>
      <c r="G70" s="22">
        <f t="shared" si="28"/>
        <v>6.2816731028707024E-2</v>
      </c>
      <c r="H70" s="22">
        <f t="shared" si="18"/>
        <v>0.2883287954217652</v>
      </c>
      <c r="J70" t="str">
        <f t="shared" si="23"/>
        <v>Manure management</v>
      </c>
      <c r="K70" t="str">
        <f t="shared" si="24"/>
        <v>CH4</v>
      </c>
      <c r="L70" s="21">
        <v>1.2999999999999999E-3</v>
      </c>
      <c r="M70" t="s">
        <v>144</v>
      </c>
      <c r="N70" s="22">
        <f t="shared" ref="N70:N108" si="29">L70*G70</f>
        <v>8.1661750337319122E-5</v>
      </c>
      <c r="P70" t="str">
        <f t="shared" si="25"/>
        <v>Manure management</v>
      </c>
      <c r="Q70" t="str">
        <f t="shared" si="26"/>
        <v>N2O</v>
      </c>
      <c r="R70" s="21">
        <v>14.5197</v>
      </c>
      <c r="S70" t="s">
        <v>311</v>
      </c>
      <c r="T70" s="22">
        <f t="shared" ref="T70:T83" si="30">R70*G70</f>
        <v>0.9120800895175174</v>
      </c>
    </row>
    <row r="71" spans="1:20" x14ac:dyDescent="0.3">
      <c r="A71" s="14" t="s">
        <v>220</v>
      </c>
      <c r="B71" t="str">
        <f t="shared" si="21"/>
        <v>Enteric fermentation</v>
      </c>
      <c r="C71" t="str">
        <f t="shared" si="22"/>
        <v>CH4</v>
      </c>
      <c r="D71" s="21">
        <v>8.25</v>
      </c>
      <c r="E71" t="s">
        <v>144</v>
      </c>
      <c r="F71" s="21">
        <v>31403.74260466245</v>
      </c>
      <c r="G71" s="22">
        <f t="shared" si="28"/>
        <v>1.046945517145117E-2</v>
      </c>
      <c r="H71" s="22">
        <f t="shared" si="18"/>
        <v>8.6373005164472147E-2</v>
      </c>
      <c r="J71" t="str">
        <f t="shared" si="23"/>
        <v>Manure management</v>
      </c>
      <c r="K71" t="str">
        <f t="shared" si="24"/>
        <v>CH4</v>
      </c>
      <c r="L71" s="21">
        <v>2.5000000000000001E-3</v>
      </c>
      <c r="M71" t="s">
        <v>144</v>
      </c>
      <c r="N71" s="22">
        <f t="shared" si="29"/>
        <v>2.6173637928627927E-5</v>
      </c>
      <c r="P71" t="str">
        <f t="shared" si="25"/>
        <v>Manure management</v>
      </c>
      <c r="Q71" t="str">
        <f t="shared" si="26"/>
        <v>N2O</v>
      </c>
      <c r="R71" s="21">
        <v>26.733330000000002</v>
      </c>
      <c r="S71" t="s">
        <v>311</v>
      </c>
      <c r="T71" s="22">
        <f t="shared" si="30"/>
        <v>0.27988340001861073</v>
      </c>
    </row>
    <row r="72" spans="1:20" x14ac:dyDescent="0.3">
      <c r="A72" s="14" t="s">
        <v>221</v>
      </c>
      <c r="B72" t="str">
        <f t="shared" si="21"/>
        <v>Enteric fermentation</v>
      </c>
      <c r="C72" t="str">
        <f t="shared" si="22"/>
        <v>CH4</v>
      </c>
      <c r="D72" s="21">
        <v>6.83</v>
      </c>
      <c r="E72" t="s">
        <v>144</v>
      </c>
      <c r="F72" s="21">
        <v>380391.12536840374</v>
      </c>
      <c r="G72" s="22">
        <f t="shared" si="28"/>
        <v>0.1268157074396315</v>
      </c>
      <c r="H72" s="22">
        <f t="shared" si="18"/>
        <v>0.86615128181268308</v>
      </c>
      <c r="J72" t="str">
        <f t="shared" si="23"/>
        <v>Manure management</v>
      </c>
      <c r="K72" t="str">
        <f t="shared" si="24"/>
        <v>CH4</v>
      </c>
      <c r="L72" s="21">
        <v>2E-3</v>
      </c>
      <c r="M72" t="s">
        <v>144</v>
      </c>
      <c r="N72" s="22">
        <f t="shared" si="29"/>
        <v>2.5363141487926298E-4</v>
      </c>
      <c r="P72" t="str">
        <f t="shared" si="25"/>
        <v>Manure management</v>
      </c>
      <c r="Q72" t="str">
        <f t="shared" si="26"/>
        <v>N2O</v>
      </c>
      <c r="R72" s="21">
        <v>21.480614999999997</v>
      </c>
      <c r="S72" t="s">
        <v>311</v>
      </c>
      <c r="T72" s="22">
        <f t="shared" si="30"/>
        <v>2.7240793874633593</v>
      </c>
    </row>
    <row r="73" spans="1:20" x14ac:dyDescent="0.3">
      <c r="A73" s="14" t="s">
        <v>222</v>
      </c>
      <c r="B73" t="str">
        <f t="shared" si="21"/>
        <v>Enteric fermentation</v>
      </c>
      <c r="C73" t="str">
        <f t="shared" si="22"/>
        <v>CH4</v>
      </c>
      <c r="D73" s="21">
        <v>10.5</v>
      </c>
      <c r="E73" t="s">
        <v>144</v>
      </c>
      <c r="F73" s="21">
        <v>8453.1361192978602</v>
      </c>
      <c r="G73" s="22">
        <f t="shared" si="28"/>
        <v>2.8181268319918107E-3</v>
      </c>
      <c r="H73" s="22">
        <f t="shared" si="18"/>
        <v>2.9590331735914011E-2</v>
      </c>
      <c r="J73" t="str">
        <f t="shared" si="23"/>
        <v>Manure management</v>
      </c>
      <c r="K73" t="str">
        <f t="shared" si="24"/>
        <v>CH4</v>
      </c>
      <c r="L73" s="21">
        <v>3.2000000000000002E-3</v>
      </c>
      <c r="M73" t="s">
        <v>144</v>
      </c>
      <c r="N73" s="22">
        <f t="shared" si="29"/>
        <v>9.0180058623737941E-6</v>
      </c>
      <c r="P73" t="str">
        <f t="shared" si="25"/>
        <v>Manure management</v>
      </c>
      <c r="Q73" t="str">
        <f t="shared" si="26"/>
        <v>N2O</v>
      </c>
      <c r="R73" s="21">
        <v>33.352604999999997</v>
      </c>
      <c r="S73" t="s">
        <v>311</v>
      </c>
      <c r="T73" s="22">
        <f t="shared" si="30"/>
        <v>9.399187106732422E-2</v>
      </c>
    </row>
    <row r="74" spans="1:20" x14ac:dyDescent="0.3">
      <c r="A74" s="14" t="s">
        <v>223</v>
      </c>
      <c r="B74" t="str">
        <f t="shared" si="21"/>
        <v>Enteric fermentation</v>
      </c>
      <c r="C74" t="str">
        <f t="shared" si="22"/>
        <v>CH4</v>
      </c>
      <c r="D74" s="21">
        <v>2.76</v>
      </c>
      <c r="E74" t="s">
        <v>144</v>
      </c>
      <c r="F74" s="21">
        <v>202875.26686314863</v>
      </c>
      <c r="G74" s="22">
        <f t="shared" si="28"/>
        <v>6.7635043967803454E-2</v>
      </c>
      <c r="H74" s="22">
        <f t="shared" si="18"/>
        <v>0.18667272135113752</v>
      </c>
      <c r="J74" t="str">
        <f t="shared" si="23"/>
        <v>Manure management</v>
      </c>
      <c r="K74" t="str">
        <f t="shared" si="24"/>
        <v>CH4</v>
      </c>
      <c r="L74" s="21">
        <v>6.9999999999999999E-4</v>
      </c>
      <c r="M74" t="s">
        <v>144</v>
      </c>
      <c r="N74" s="22">
        <f t="shared" si="29"/>
        <v>4.734453077746242E-5</v>
      </c>
      <c r="P74" t="str">
        <f t="shared" si="25"/>
        <v>Manure management</v>
      </c>
      <c r="Q74" t="str">
        <f t="shared" si="26"/>
        <v>N2O</v>
      </c>
      <c r="R74" s="21">
        <v>7.6868999999999996</v>
      </c>
      <c r="S74" t="s">
        <v>311</v>
      </c>
      <c r="T74" s="22">
        <f t="shared" si="30"/>
        <v>0.51990381947610831</v>
      </c>
    </row>
    <row r="75" spans="1:20" x14ac:dyDescent="0.3">
      <c r="A75" s="14" t="s">
        <v>224</v>
      </c>
      <c r="B75" t="str">
        <f t="shared" si="21"/>
        <v>Enteric fermentation</v>
      </c>
      <c r="C75" t="str">
        <f t="shared" si="22"/>
        <v>CH4</v>
      </c>
      <c r="D75" s="21">
        <v>4.12</v>
      </c>
      <c r="E75" t="s">
        <v>144</v>
      </c>
      <c r="F75" s="21">
        <v>135250.17790876576</v>
      </c>
      <c r="G75" s="22">
        <f t="shared" si="28"/>
        <v>4.5090029311868972E-2</v>
      </c>
      <c r="H75" s="22">
        <f t="shared" si="18"/>
        <v>0.18577092076490018</v>
      </c>
      <c r="J75" t="str">
        <f t="shared" si="23"/>
        <v>Manure management</v>
      </c>
      <c r="K75" t="str">
        <f t="shared" si="24"/>
        <v>CH4</v>
      </c>
      <c r="L75" s="21">
        <v>1.1000000000000001E-3</v>
      </c>
      <c r="M75" t="s">
        <v>144</v>
      </c>
      <c r="N75" s="22">
        <f t="shared" si="29"/>
        <v>4.9599032243055872E-5</v>
      </c>
      <c r="P75" t="str">
        <f t="shared" si="25"/>
        <v>Manure management</v>
      </c>
      <c r="Q75" t="str">
        <f t="shared" si="26"/>
        <v>N2O</v>
      </c>
      <c r="R75" s="21">
        <v>12.811500000000001</v>
      </c>
      <c r="S75" t="s">
        <v>311</v>
      </c>
      <c r="T75" s="22">
        <f t="shared" si="30"/>
        <v>0.57767091052900932</v>
      </c>
    </row>
    <row r="76" spans="1:20" x14ac:dyDescent="0.3">
      <c r="A76" s="14" t="s">
        <v>225</v>
      </c>
      <c r="B76" t="str">
        <f t="shared" si="21"/>
        <v>Enteric fermentation</v>
      </c>
      <c r="C76" t="str">
        <f t="shared" si="22"/>
        <v>CH4</v>
      </c>
      <c r="D76" s="21">
        <v>5.07</v>
      </c>
      <c r="E76" t="s">
        <v>144</v>
      </c>
      <c r="F76" s="21">
        <v>101437.63343157432</v>
      </c>
      <c r="G76" s="22">
        <f t="shared" si="28"/>
        <v>3.3817521983901727E-2</v>
      </c>
      <c r="H76" s="22">
        <f t="shared" si="18"/>
        <v>0.17145483645838178</v>
      </c>
      <c r="J76" t="str">
        <f t="shared" si="23"/>
        <v>Manure management</v>
      </c>
      <c r="K76" t="str">
        <f t="shared" si="24"/>
        <v>CH4</v>
      </c>
      <c r="L76" s="21">
        <v>1.4E-3</v>
      </c>
      <c r="M76" t="s">
        <v>144</v>
      </c>
      <c r="N76" s="22">
        <f t="shared" si="29"/>
        <v>4.734453077746242E-5</v>
      </c>
      <c r="P76" t="str">
        <f t="shared" si="25"/>
        <v>Manure management</v>
      </c>
      <c r="Q76" t="str">
        <f t="shared" si="26"/>
        <v>N2O</v>
      </c>
      <c r="R76" s="21">
        <v>16.227899999999998</v>
      </c>
      <c r="S76" t="s">
        <v>311</v>
      </c>
      <c r="T76" s="22">
        <f t="shared" si="30"/>
        <v>0.54878736500255876</v>
      </c>
    </row>
    <row r="77" spans="1:20" x14ac:dyDescent="0.3">
      <c r="A77" s="14" t="s">
        <v>226</v>
      </c>
      <c r="B77" t="str">
        <f t="shared" si="21"/>
        <v>Enteric fermentation</v>
      </c>
      <c r="C77" t="str">
        <f t="shared" si="22"/>
        <v>CH4</v>
      </c>
      <c r="D77" s="21">
        <v>6.94</v>
      </c>
      <c r="E77" t="s">
        <v>144</v>
      </c>
      <c r="F77" s="21">
        <v>16906.27223859572</v>
      </c>
      <c r="G77" s="22">
        <f t="shared" si="28"/>
        <v>5.6362536639836215E-3</v>
      </c>
      <c r="H77" s="22">
        <f t="shared" ref="H77:H108" si="31">D77*G77</f>
        <v>3.9115600428046335E-2</v>
      </c>
      <c r="J77" t="str">
        <f t="shared" si="23"/>
        <v>Manure management</v>
      </c>
      <c r="K77" t="str">
        <f t="shared" si="24"/>
        <v>CH4</v>
      </c>
      <c r="L77" s="21">
        <v>2.0999999999999999E-3</v>
      </c>
      <c r="M77" t="s">
        <v>144</v>
      </c>
      <c r="N77" s="22">
        <f t="shared" si="29"/>
        <v>1.1836132694365605E-5</v>
      </c>
      <c r="P77" t="str">
        <f t="shared" si="25"/>
        <v>Manure management</v>
      </c>
      <c r="Q77" t="str">
        <f t="shared" si="26"/>
        <v>N2O</v>
      </c>
      <c r="R77" s="21">
        <v>23.188814999999998</v>
      </c>
      <c r="S77" t="s">
        <v>311</v>
      </c>
      <c r="T77" s="22">
        <f t="shared" si="30"/>
        <v>0.13069804350718836</v>
      </c>
    </row>
    <row r="78" spans="1:20" x14ac:dyDescent="0.3">
      <c r="A78" s="14" t="s">
        <v>227</v>
      </c>
      <c r="B78" t="str">
        <f t="shared" si="21"/>
        <v>Enteric fermentation</v>
      </c>
      <c r="C78" t="str">
        <f t="shared" si="22"/>
        <v>CH4</v>
      </c>
      <c r="D78" s="21">
        <v>7.4</v>
      </c>
      <c r="E78" t="s">
        <v>144</v>
      </c>
      <c r="F78" s="21">
        <v>261255.91572272734</v>
      </c>
      <c r="G78" s="22">
        <f t="shared" si="28"/>
        <v>8.7098124970920759E-2</v>
      </c>
      <c r="H78" s="22">
        <f t="shared" si="31"/>
        <v>0.64452612478481364</v>
      </c>
      <c r="J78" t="str">
        <f t="shared" si="23"/>
        <v>Manure management</v>
      </c>
      <c r="K78" t="str">
        <f t="shared" si="24"/>
        <v>CH4</v>
      </c>
      <c r="L78" s="21">
        <v>2.2000000000000001E-3</v>
      </c>
      <c r="M78" t="s">
        <v>144</v>
      </c>
      <c r="N78" s="22">
        <f t="shared" si="29"/>
        <v>1.9161587493602569E-4</v>
      </c>
      <c r="P78" t="str">
        <f t="shared" si="25"/>
        <v>Manure management</v>
      </c>
      <c r="Q78" t="str">
        <f t="shared" si="26"/>
        <v>N2O</v>
      </c>
      <c r="R78" s="21">
        <v>23.274225000000001</v>
      </c>
      <c r="S78" t="s">
        <v>311</v>
      </c>
      <c r="T78" s="22">
        <f t="shared" si="30"/>
        <v>2.0271413576513284</v>
      </c>
    </row>
    <row r="79" spans="1:20" x14ac:dyDescent="0.3">
      <c r="A79" s="14" t="s">
        <v>228</v>
      </c>
      <c r="B79" t="str">
        <f t="shared" si="21"/>
        <v>Enteric fermentation</v>
      </c>
      <c r="C79" t="str">
        <f t="shared" si="22"/>
        <v>CH4</v>
      </c>
      <c r="D79" s="21">
        <v>15</v>
      </c>
      <c r="E79" t="s">
        <v>144</v>
      </c>
      <c r="F79" s="21">
        <v>5805.6870160606077</v>
      </c>
      <c r="G79" s="22">
        <f t="shared" si="28"/>
        <v>1.9355138882426836E-3</v>
      </c>
      <c r="H79" s="22">
        <f t="shared" si="31"/>
        <v>2.9032708323640254E-2</v>
      </c>
      <c r="J79" t="str">
        <f t="shared" si="23"/>
        <v>Manure management</v>
      </c>
      <c r="K79" t="str">
        <f t="shared" si="24"/>
        <v>CH4</v>
      </c>
      <c r="L79" s="21">
        <v>5.0000000000000001E-3</v>
      </c>
      <c r="M79" t="s">
        <v>144</v>
      </c>
      <c r="N79" s="22">
        <f t="shared" si="29"/>
        <v>9.6775694412134183E-6</v>
      </c>
      <c r="P79" t="str">
        <f t="shared" si="25"/>
        <v>Manure management</v>
      </c>
      <c r="Q79" t="str">
        <f t="shared" si="26"/>
        <v>N2O</v>
      </c>
      <c r="R79" s="21">
        <v>46.97549999999999</v>
      </c>
      <c r="S79" t="s">
        <v>311</v>
      </c>
      <c r="T79" s="22">
        <f t="shared" si="30"/>
        <v>9.0921732657144164E-2</v>
      </c>
    </row>
    <row r="80" spans="1:20" x14ac:dyDescent="0.3">
      <c r="A80" s="14" t="s">
        <v>229</v>
      </c>
      <c r="B80" t="str">
        <f t="shared" si="21"/>
        <v>Enteric fermentation</v>
      </c>
      <c r="C80" t="str">
        <f t="shared" si="22"/>
        <v>CH4</v>
      </c>
      <c r="D80" s="21">
        <v>2.76</v>
      </c>
      <c r="E80" t="s">
        <v>144</v>
      </c>
      <c r="F80" s="21">
        <v>139336.48838545458</v>
      </c>
      <c r="G80" s="22">
        <f t="shared" si="28"/>
        <v>4.6452333317824404E-2</v>
      </c>
      <c r="H80" s="22">
        <f t="shared" si="31"/>
        <v>0.12820843995719536</v>
      </c>
      <c r="J80" t="str">
        <f t="shared" si="23"/>
        <v>Manure management</v>
      </c>
      <c r="K80" t="str">
        <f t="shared" si="24"/>
        <v>CH4</v>
      </c>
      <c r="L80" s="21">
        <v>6.9999999999999999E-4</v>
      </c>
      <c r="M80" t="s">
        <v>144</v>
      </c>
      <c r="N80" s="22">
        <f t="shared" si="29"/>
        <v>3.2516633322477081E-5</v>
      </c>
      <c r="P80" t="str">
        <f t="shared" si="25"/>
        <v>Manure management</v>
      </c>
      <c r="Q80" t="str">
        <f t="shared" si="26"/>
        <v>N2O</v>
      </c>
      <c r="R80" s="21">
        <v>7.6868999999999996</v>
      </c>
      <c r="S80" t="s">
        <v>311</v>
      </c>
      <c r="T80" s="22">
        <f t="shared" si="30"/>
        <v>0.35707444098078439</v>
      </c>
    </row>
    <row r="81" spans="1:20" x14ac:dyDescent="0.3">
      <c r="A81" s="14" t="s">
        <v>230</v>
      </c>
      <c r="B81" t="str">
        <f t="shared" si="21"/>
        <v>Enteric fermentation</v>
      </c>
      <c r="C81" t="str">
        <f t="shared" si="22"/>
        <v>CH4</v>
      </c>
      <c r="D81" s="21">
        <v>3.55</v>
      </c>
      <c r="E81" t="s">
        <v>144</v>
      </c>
      <c r="F81" s="21">
        <v>92890.992256969723</v>
      </c>
      <c r="G81" s="22">
        <f t="shared" si="28"/>
        <v>3.0968222211882938E-2</v>
      </c>
      <c r="H81" s="22">
        <f t="shared" si="31"/>
        <v>0.10993718885218443</v>
      </c>
      <c r="J81" t="str">
        <f t="shared" si="23"/>
        <v>Manure management</v>
      </c>
      <c r="K81" t="str">
        <f t="shared" si="24"/>
        <v>CH4</v>
      </c>
      <c r="L81" s="21">
        <v>1E-3</v>
      </c>
      <c r="M81" t="s">
        <v>144</v>
      </c>
      <c r="N81" s="22">
        <f t="shared" si="29"/>
        <v>3.096822221188294E-5</v>
      </c>
      <c r="P81" t="str">
        <f t="shared" si="25"/>
        <v>Manure management</v>
      </c>
      <c r="Q81" t="str">
        <f t="shared" si="26"/>
        <v>N2O</v>
      </c>
      <c r="R81" s="21">
        <v>10.67625</v>
      </c>
      <c r="S81" t="s">
        <v>311</v>
      </c>
      <c r="T81" s="22">
        <f t="shared" si="30"/>
        <v>0.33062448238961523</v>
      </c>
    </row>
    <row r="82" spans="1:20" x14ac:dyDescent="0.3">
      <c r="A82" s="14" t="s">
        <v>231</v>
      </c>
      <c r="B82" t="str">
        <f t="shared" si="21"/>
        <v>Enteric fermentation</v>
      </c>
      <c r="C82" t="str">
        <f t="shared" si="22"/>
        <v>CH4</v>
      </c>
      <c r="D82" s="21">
        <v>5.8</v>
      </c>
      <c r="E82" t="s">
        <v>144</v>
      </c>
      <c r="F82" s="21">
        <v>69668.244192727288</v>
      </c>
      <c r="G82" s="22">
        <f t="shared" si="28"/>
        <v>2.3226166658912202E-2</v>
      </c>
      <c r="H82" s="22">
        <f t="shared" si="31"/>
        <v>0.13471176662169076</v>
      </c>
      <c r="J82" t="str">
        <f t="shared" si="23"/>
        <v>Manure management</v>
      </c>
      <c r="K82" t="str">
        <f t="shared" si="24"/>
        <v>CH4</v>
      </c>
      <c r="L82" s="21">
        <v>2E-3</v>
      </c>
      <c r="M82" t="s">
        <v>144</v>
      </c>
      <c r="N82" s="22">
        <f t="shared" si="29"/>
        <v>4.6452333317824407E-5</v>
      </c>
      <c r="P82" t="str">
        <f t="shared" si="25"/>
        <v>Manure management</v>
      </c>
      <c r="Q82" t="str">
        <f t="shared" si="26"/>
        <v>N2O</v>
      </c>
      <c r="R82" s="21">
        <v>18.790199999999995</v>
      </c>
      <c r="S82" t="s">
        <v>311</v>
      </c>
      <c r="T82" s="22">
        <f t="shared" si="30"/>
        <v>0.43642431675429194</v>
      </c>
    </row>
    <row r="83" spans="1:20" x14ac:dyDescent="0.3">
      <c r="A83" s="14" t="s">
        <v>232</v>
      </c>
      <c r="B83" t="str">
        <f t="shared" si="21"/>
        <v>Enteric fermentation</v>
      </c>
      <c r="C83" t="str">
        <f t="shared" si="22"/>
        <v>CH4</v>
      </c>
      <c r="D83" s="21">
        <v>10.5</v>
      </c>
      <c r="E83" t="s">
        <v>144</v>
      </c>
      <c r="F83" s="21">
        <v>11611.374032121215</v>
      </c>
      <c r="G83" s="22">
        <f t="shared" si="28"/>
        <v>3.8710277764853673E-3</v>
      </c>
      <c r="H83" s="22">
        <f t="shared" si="31"/>
        <v>4.0645791653096355E-2</v>
      </c>
      <c r="J83" t="str">
        <f t="shared" si="23"/>
        <v>Manure management</v>
      </c>
      <c r="K83" t="str">
        <f t="shared" si="24"/>
        <v>CH4</v>
      </c>
      <c r="L83" s="21">
        <v>3.2000000000000002E-3</v>
      </c>
      <c r="M83" t="s">
        <v>144</v>
      </c>
      <c r="N83" s="22">
        <f t="shared" si="29"/>
        <v>1.2387288884753176E-5</v>
      </c>
      <c r="P83" t="str">
        <f t="shared" si="25"/>
        <v>Manure management</v>
      </c>
      <c r="Q83" t="str">
        <f t="shared" si="26"/>
        <v>N2O</v>
      </c>
      <c r="R83" s="21">
        <v>25.409474999999997</v>
      </c>
      <c r="S83" t="s">
        <v>311</v>
      </c>
      <c r="T83" s="22">
        <f t="shared" si="30"/>
        <v>9.8360783510910516E-2</v>
      </c>
    </row>
    <row r="84" spans="1:20" x14ac:dyDescent="0.3">
      <c r="A84" s="13" t="s">
        <v>153</v>
      </c>
      <c r="M84" s="13"/>
    </row>
    <row r="85" spans="1:20" x14ac:dyDescent="0.3">
      <c r="A85" s="14" t="s">
        <v>233</v>
      </c>
      <c r="B85" t="str">
        <f t="shared" ref="B85:B108" si="32">$B$5</f>
        <v>Enteric fermentation</v>
      </c>
      <c r="C85" t="str">
        <f t="shared" ref="C85:C108" si="33">$C$5</f>
        <v>CH4</v>
      </c>
      <c r="D85" s="21">
        <v>6.01</v>
      </c>
      <c r="E85" t="s">
        <v>144</v>
      </c>
      <c r="F85" s="21">
        <v>7463.5068944892591</v>
      </c>
      <c r="G85" s="22">
        <f>F85/SUM($F$85:$F$102)</f>
        <v>3.6371865957549993E-3</v>
      </c>
      <c r="H85" s="22">
        <f t="shared" si="31"/>
        <v>2.1859491440487544E-2</v>
      </c>
      <c r="J85" t="str">
        <f t="shared" ref="J85:J108" si="34">$J$5</f>
        <v>Manure management</v>
      </c>
      <c r="K85" t="str">
        <f t="shared" ref="K85:K108" si="35">$K$5</f>
        <v>CH4</v>
      </c>
      <c r="L85" s="21">
        <v>6.1999999999999998E-3</v>
      </c>
      <c r="M85" t="s">
        <v>144</v>
      </c>
      <c r="N85" s="22">
        <f t="shared" si="29"/>
        <v>2.2550556893680993E-5</v>
      </c>
      <c r="P85" t="str">
        <f t="shared" ref="P85:P108" si="36">$P$5</f>
        <v>Manure management</v>
      </c>
      <c r="Q85" t="str">
        <f t="shared" ref="Q85:Q108" si="37">$Q$5</f>
        <v>N2O</v>
      </c>
      <c r="R85" s="21">
        <v>20.752075000000005</v>
      </c>
      <c r="S85" t="s">
        <v>311</v>
      </c>
      <c r="T85" s="22">
        <f t="shared" ref="T85:T108" si="38">R85*G85</f>
        <v>7.5479169024102441E-2</v>
      </c>
    </row>
    <row r="86" spans="1:20" x14ac:dyDescent="0.3">
      <c r="A86" s="14" t="s">
        <v>234</v>
      </c>
      <c r="B86" t="str">
        <f t="shared" si="32"/>
        <v>Enteric fermentation</v>
      </c>
      <c r="C86" t="str">
        <f t="shared" si="33"/>
        <v>CH4</v>
      </c>
      <c r="D86" s="21">
        <v>4.76</v>
      </c>
      <c r="E86" t="s">
        <v>144</v>
      </c>
      <c r="F86" s="21">
        <v>339589.56369926129</v>
      </c>
      <c r="G86" s="22">
        <f t="shared" ref="G86:G102" si="39">F86/SUM($F$85:$F$102)</f>
        <v>0.16549199010685245</v>
      </c>
      <c r="H86" s="22">
        <f t="shared" si="31"/>
        <v>0.78774187290861764</v>
      </c>
      <c r="J86" t="str">
        <f t="shared" si="34"/>
        <v>Manure management</v>
      </c>
      <c r="K86" t="str">
        <f t="shared" si="35"/>
        <v>CH4</v>
      </c>
      <c r="L86" s="21">
        <v>5.0000000000000001E-3</v>
      </c>
      <c r="M86" t="s">
        <v>144</v>
      </c>
      <c r="N86" s="22">
        <f t="shared" si="29"/>
        <v>8.2745995053426231E-4</v>
      </c>
      <c r="P86" t="str">
        <f t="shared" si="36"/>
        <v>Manure management</v>
      </c>
      <c r="Q86" t="str">
        <f t="shared" si="37"/>
        <v>N2O</v>
      </c>
      <c r="R86" s="21">
        <v>15.001500000000002</v>
      </c>
      <c r="S86" t="s">
        <v>311</v>
      </c>
      <c r="T86" s="22">
        <f t="shared" si="38"/>
        <v>2.4826280895879473</v>
      </c>
    </row>
    <row r="87" spans="1:20" x14ac:dyDescent="0.3">
      <c r="A87" s="14" t="s">
        <v>235</v>
      </c>
      <c r="B87" t="str">
        <f t="shared" si="32"/>
        <v>Enteric fermentation</v>
      </c>
      <c r="C87" t="str">
        <f t="shared" si="33"/>
        <v>CH4</v>
      </c>
      <c r="D87" s="21">
        <v>2.63</v>
      </c>
      <c r="E87" t="s">
        <v>144</v>
      </c>
      <c r="F87" s="21">
        <v>173153.35995215081</v>
      </c>
      <c r="G87" s="22">
        <f t="shared" si="39"/>
        <v>8.4382729021515987E-2</v>
      </c>
      <c r="H87" s="22">
        <f t="shared" si="31"/>
        <v>0.22192657732658705</v>
      </c>
      <c r="J87" t="str">
        <f t="shared" si="34"/>
        <v>Manure management</v>
      </c>
      <c r="K87" t="str">
        <f t="shared" si="35"/>
        <v>CH4</v>
      </c>
      <c r="L87" s="21">
        <v>2E-3</v>
      </c>
      <c r="M87" t="s">
        <v>144</v>
      </c>
      <c r="N87" s="22">
        <f t="shared" si="29"/>
        <v>1.6876545804303197E-4</v>
      </c>
      <c r="P87" t="str">
        <f t="shared" si="36"/>
        <v>Manure management</v>
      </c>
      <c r="Q87" t="str">
        <f t="shared" si="37"/>
        <v>N2O</v>
      </c>
      <c r="R87" s="21">
        <v>7.2507250000000019</v>
      </c>
      <c r="S87" t="s">
        <v>311</v>
      </c>
      <c r="T87" s="22">
        <f t="shared" si="38"/>
        <v>0.61183596288453168</v>
      </c>
    </row>
    <row r="88" spans="1:20" x14ac:dyDescent="0.3">
      <c r="A88" s="14" t="s">
        <v>236</v>
      </c>
      <c r="B88" t="str">
        <f t="shared" si="32"/>
        <v>Enteric fermentation</v>
      </c>
      <c r="C88" t="str">
        <f t="shared" si="33"/>
        <v>CH4</v>
      </c>
      <c r="D88" s="21">
        <v>3.39</v>
      </c>
      <c r="E88" t="s">
        <v>144</v>
      </c>
      <c r="F88" s="21">
        <v>120908.811690726</v>
      </c>
      <c r="G88" s="22">
        <f t="shared" si="39"/>
        <v>5.8922422851230984E-2</v>
      </c>
      <c r="H88" s="22">
        <f t="shared" si="31"/>
        <v>0.19974701346567303</v>
      </c>
      <c r="J88" t="str">
        <f t="shared" si="34"/>
        <v>Manure management</v>
      </c>
      <c r="K88" t="str">
        <f t="shared" si="35"/>
        <v>CH4</v>
      </c>
      <c r="L88" s="21">
        <v>3.0000000000000001E-3</v>
      </c>
      <c r="M88" t="s">
        <v>144</v>
      </c>
      <c r="N88" s="22">
        <f t="shared" si="29"/>
        <v>1.7676726855369297E-4</v>
      </c>
      <c r="P88" t="str">
        <f t="shared" si="36"/>
        <v>Manure management</v>
      </c>
      <c r="Q88" t="str">
        <f t="shared" si="37"/>
        <v>N2O</v>
      </c>
      <c r="R88" s="21">
        <v>10.251025</v>
      </c>
      <c r="S88" t="s">
        <v>311</v>
      </c>
      <c r="T88" s="22">
        <f t="shared" si="38"/>
        <v>0.60401522970854016</v>
      </c>
    </row>
    <row r="89" spans="1:20" x14ac:dyDescent="0.3">
      <c r="A89" s="14" t="s">
        <v>237</v>
      </c>
      <c r="B89" t="str">
        <f t="shared" si="32"/>
        <v>Enteric fermentation</v>
      </c>
      <c r="C89" t="str">
        <f t="shared" si="33"/>
        <v>CH4</v>
      </c>
      <c r="D89" s="21">
        <v>4.51</v>
      </c>
      <c r="E89" t="s">
        <v>144</v>
      </c>
      <c r="F89" s="21">
        <v>14927.013788978518</v>
      </c>
      <c r="G89" s="22">
        <f t="shared" si="39"/>
        <v>7.2743731915099986E-3</v>
      </c>
      <c r="H89" s="22">
        <f t="shared" si="31"/>
        <v>3.2807423093710091E-2</v>
      </c>
      <c r="J89" t="str">
        <f t="shared" si="34"/>
        <v>Manure management</v>
      </c>
      <c r="K89" t="str">
        <f t="shared" si="35"/>
        <v>CH4</v>
      </c>
      <c r="L89" s="21">
        <v>4.0000000000000001E-3</v>
      </c>
      <c r="M89" t="s">
        <v>144</v>
      </c>
      <c r="N89" s="22">
        <f t="shared" si="29"/>
        <v>2.9097492766039994E-5</v>
      </c>
      <c r="P89" t="str">
        <f t="shared" si="36"/>
        <v>Manure management</v>
      </c>
      <c r="Q89" t="str">
        <f t="shared" si="37"/>
        <v>N2O</v>
      </c>
      <c r="R89" s="21">
        <v>14.751474999999999</v>
      </c>
      <c r="S89" t="s">
        <v>311</v>
      </c>
      <c r="T89" s="22">
        <f t="shared" si="38"/>
        <v>0.10730773427522995</v>
      </c>
    </row>
    <row r="90" spans="1:20" x14ac:dyDescent="0.3">
      <c r="A90" s="14" t="s">
        <v>238</v>
      </c>
      <c r="B90" t="str">
        <f t="shared" si="32"/>
        <v>Enteric fermentation</v>
      </c>
      <c r="C90" t="str">
        <f t="shared" si="33"/>
        <v>CH4</v>
      </c>
      <c r="D90" s="21">
        <v>3.64</v>
      </c>
      <c r="E90" t="s">
        <v>144</v>
      </c>
      <c r="F90" s="21">
        <v>90308.433423320035</v>
      </c>
      <c r="G90" s="22">
        <f t="shared" si="39"/>
        <v>4.4009957808635487E-2</v>
      </c>
      <c r="H90" s="22">
        <f t="shared" si="31"/>
        <v>0.16019624642343319</v>
      </c>
      <c r="J90" t="str">
        <f t="shared" si="34"/>
        <v>Manure management</v>
      </c>
      <c r="K90" t="str">
        <f t="shared" si="35"/>
        <v>CH4</v>
      </c>
      <c r="L90" s="21">
        <v>3.0000000000000001E-3</v>
      </c>
      <c r="M90" t="s">
        <v>144</v>
      </c>
      <c r="N90" s="22">
        <f t="shared" si="29"/>
        <v>1.3202987342590648E-4</v>
      </c>
      <c r="P90" t="str">
        <f t="shared" si="36"/>
        <v>Manure management</v>
      </c>
      <c r="Q90" t="str">
        <f t="shared" si="37"/>
        <v>N2O</v>
      </c>
      <c r="R90" s="21">
        <v>11.251125</v>
      </c>
      <c r="S90" t="s">
        <v>311</v>
      </c>
      <c r="T90" s="22">
        <f t="shared" si="38"/>
        <v>0.49516153654968392</v>
      </c>
    </row>
    <row r="91" spans="1:20" x14ac:dyDescent="0.3">
      <c r="A91" s="14" t="s">
        <v>239</v>
      </c>
      <c r="B91" t="str">
        <f t="shared" si="32"/>
        <v>Enteric fermentation</v>
      </c>
      <c r="C91" t="str">
        <f t="shared" si="33"/>
        <v>CH4</v>
      </c>
      <c r="D91" s="21">
        <v>18.3</v>
      </c>
      <c r="E91" t="s">
        <v>144</v>
      </c>
      <c r="F91" s="21">
        <v>110948.49938645436</v>
      </c>
      <c r="G91" s="22">
        <f t="shared" si="39"/>
        <v>5.4068469486576197E-2</v>
      </c>
      <c r="H91" s="22">
        <f t="shared" si="31"/>
        <v>0.98945299160434441</v>
      </c>
      <c r="J91" t="str">
        <f t="shared" si="34"/>
        <v>Manure management</v>
      </c>
      <c r="K91" t="str">
        <f t="shared" si="35"/>
        <v>CH4</v>
      </c>
      <c r="L91" s="21">
        <v>0.02</v>
      </c>
      <c r="M91" t="s">
        <v>144</v>
      </c>
      <c r="N91" s="22">
        <f t="shared" si="29"/>
        <v>1.081369389731524E-3</v>
      </c>
      <c r="P91" t="str">
        <f t="shared" si="36"/>
        <v>Manure management</v>
      </c>
      <c r="Q91" t="str">
        <f t="shared" si="37"/>
        <v>N2O</v>
      </c>
      <c r="R91" s="21">
        <v>59.005899999999997</v>
      </c>
      <c r="S91" t="s">
        <v>311</v>
      </c>
      <c r="T91" s="22">
        <f t="shared" si="38"/>
        <v>3.1903587036779664</v>
      </c>
    </row>
    <row r="92" spans="1:20" x14ac:dyDescent="0.3">
      <c r="A92" s="14" t="s">
        <v>240</v>
      </c>
      <c r="B92" t="str">
        <f t="shared" si="32"/>
        <v>Enteric fermentation</v>
      </c>
      <c r="C92" t="str">
        <f t="shared" si="33"/>
        <v>CH4</v>
      </c>
      <c r="D92" s="21">
        <v>12.1</v>
      </c>
      <c r="E92" t="s">
        <v>144</v>
      </c>
      <c r="F92" s="21">
        <v>457985.08467664308</v>
      </c>
      <c r="G92" s="22">
        <f t="shared" si="39"/>
        <v>0.22318961241551805</v>
      </c>
      <c r="H92" s="22">
        <f t="shared" si="31"/>
        <v>2.7005943102277681</v>
      </c>
      <c r="J92" t="str">
        <f t="shared" si="34"/>
        <v>Manure management</v>
      </c>
      <c r="K92" t="str">
        <f t="shared" si="35"/>
        <v>CH4</v>
      </c>
      <c r="L92" s="21">
        <v>1.2999999999999999E-2</v>
      </c>
      <c r="M92" t="s">
        <v>144</v>
      </c>
      <c r="N92" s="22">
        <f t="shared" si="29"/>
        <v>2.9014649614017346E-3</v>
      </c>
      <c r="P92" t="str">
        <f t="shared" si="36"/>
        <v>Manure management</v>
      </c>
      <c r="Q92" t="str">
        <f t="shared" si="37"/>
        <v>N2O</v>
      </c>
      <c r="R92" s="21">
        <v>39.003900000000002</v>
      </c>
      <c r="S92" t="s">
        <v>311</v>
      </c>
      <c r="T92" s="22">
        <f t="shared" si="38"/>
        <v>8.7052653236936255</v>
      </c>
    </row>
    <row r="93" spans="1:20" x14ac:dyDescent="0.3">
      <c r="A93" s="14" t="s">
        <v>241</v>
      </c>
      <c r="B93" t="str">
        <f t="shared" si="32"/>
        <v>Enteric fermentation</v>
      </c>
      <c r="C93" t="str">
        <f t="shared" si="33"/>
        <v>CH4</v>
      </c>
      <c r="D93" s="21">
        <v>3.62</v>
      </c>
      <c r="E93" t="s">
        <v>144</v>
      </c>
      <c r="F93" s="21">
        <v>202545.51632178301</v>
      </c>
      <c r="G93" s="22">
        <f t="shared" si="39"/>
        <v>9.8706391969679813E-2</v>
      </c>
      <c r="H93" s="22">
        <f t="shared" si="31"/>
        <v>0.35731713893024092</v>
      </c>
      <c r="J93" t="str">
        <f t="shared" si="34"/>
        <v>Manure management</v>
      </c>
      <c r="K93" t="str">
        <f t="shared" si="35"/>
        <v>CH4</v>
      </c>
      <c r="L93" s="21">
        <v>3.3999999999999998E-3</v>
      </c>
      <c r="M93" t="s">
        <v>144</v>
      </c>
      <c r="N93" s="22">
        <f t="shared" si="29"/>
        <v>3.3560173269691132E-4</v>
      </c>
      <c r="P93" t="str">
        <f t="shared" si="36"/>
        <v>Manure management</v>
      </c>
      <c r="Q93" t="str">
        <f t="shared" si="37"/>
        <v>N2O</v>
      </c>
      <c r="R93" s="21">
        <v>11.251125</v>
      </c>
      <c r="S93" t="s">
        <v>311</v>
      </c>
      <c r="T93" s="22">
        <f t="shared" si="38"/>
        <v>1.1105579543498638</v>
      </c>
    </row>
    <row r="94" spans="1:20" x14ac:dyDescent="0.3">
      <c r="A94" s="14" t="s">
        <v>242</v>
      </c>
      <c r="B94" t="str">
        <f t="shared" si="32"/>
        <v>Enteric fermentation</v>
      </c>
      <c r="C94" t="str">
        <f t="shared" si="33"/>
        <v>CH4</v>
      </c>
      <c r="D94" s="21">
        <v>5.54</v>
      </c>
      <c r="E94" t="s">
        <v>144</v>
      </c>
      <c r="F94" s="21">
        <v>336715.79464958829</v>
      </c>
      <c r="G94" s="22">
        <f t="shared" si="39"/>
        <v>0.16409151786042311</v>
      </c>
      <c r="H94" s="22">
        <f t="shared" si="31"/>
        <v>0.90906700894674408</v>
      </c>
      <c r="J94" t="str">
        <f t="shared" si="34"/>
        <v>Manure management</v>
      </c>
      <c r="K94" t="str">
        <f t="shared" si="35"/>
        <v>CH4</v>
      </c>
      <c r="L94" s="21">
        <v>6.0000000000000001E-3</v>
      </c>
      <c r="M94" t="s">
        <v>144</v>
      </c>
      <c r="N94" s="22">
        <f t="shared" si="29"/>
        <v>9.8454910716253875E-4</v>
      </c>
      <c r="P94" t="str">
        <f t="shared" si="36"/>
        <v>Manure management</v>
      </c>
      <c r="Q94" t="str">
        <f t="shared" si="37"/>
        <v>N2O</v>
      </c>
      <c r="R94" s="21">
        <v>16.751675000000002</v>
      </c>
      <c r="S94" t="s">
        <v>311</v>
      </c>
      <c r="T94" s="22">
        <f t="shared" si="38"/>
        <v>2.7488077774545037</v>
      </c>
    </row>
    <row r="95" spans="1:20" x14ac:dyDescent="0.3">
      <c r="A95" s="14" t="s">
        <v>243</v>
      </c>
      <c r="B95" t="str">
        <f t="shared" si="32"/>
        <v>Enteric fermentation</v>
      </c>
      <c r="C95" t="str">
        <f t="shared" si="33"/>
        <v>CH4</v>
      </c>
      <c r="D95" s="21">
        <v>13.1</v>
      </c>
      <c r="E95" t="s">
        <v>144</v>
      </c>
      <c r="F95" s="21">
        <v>69665.336824052749</v>
      </c>
      <c r="G95" s="22">
        <f t="shared" si="39"/>
        <v>3.3949969212501332E-2</v>
      </c>
      <c r="H95" s="22">
        <f t="shared" si="31"/>
        <v>0.44474459668376742</v>
      </c>
      <c r="J95" t="str">
        <f t="shared" si="34"/>
        <v>Manure management</v>
      </c>
      <c r="K95" t="str">
        <f t="shared" si="35"/>
        <v>CH4</v>
      </c>
      <c r="L95" s="21">
        <v>1.4E-2</v>
      </c>
      <c r="M95" t="s">
        <v>144</v>
      </c>
      <c r="N95" s="22">
        <f t="shared" si="29"/>
        <v>4.7529956897501867E-4</v>
      </c>
      <c r="P95" t="str">
        <f t="shared" si="36"/>
        <v>Manure management</v>
      </c>
      <c r="Q95" t="str">
        <f t="shared" si="37"/>
        <v>N2O</v>
      </c>
      <c r="R95" s="21">
        <v>26.502650000000003</v>
      </c>
      <c r="S95" t="s">
        <v>311</v>
      </c>
      <c r="T95" s="22">
        <f t="shared" si="38"/>
        <v>0.89976415154969858</v>
      </c>
    </row>
    <row r="96" spans="1:20" x14ac:dyDescent="0.3">
      <c r="A96" s="14" t="s">
        <v>244</v>
      </c>
      <c r="B96" t="str">
        <f t="shared" si="32"/>
        <v>Enteric fermentation</v>
      </c>
      <c r="C96" t="str">
        <f t="shared" si="33"/>
        <v>CH4</v>
      </c>
      <c r="D96" s="21">
        <v>8.01</v>
      </c>
      <c r="E96" t="s">
        <v>144</v>
      </c>
      <c r="F96" s="21">
        <v>112238.59821652943</v>
      </c>
      <c r="G96" s="22">
        <f t="shared" si="39"/>
        <v>5.4697172620141038E-2</v>
      </c>
      <c r="H96" s="22">
        <f t="shared" si="31"/>
        <v>0.43812435268732969</v>
      </c>
      <c r="J96" t="str">
        <f t="shared" si="34"/>
        <v>Manure management</v>
      </c>
      <c r="K96" t="str">
        <f t="shared" si="35"/>
        <v>CH4</v>
      </c>
      <c r="L96" s="21">
        <v>8.3999999999999995E-3</v>
      </c>
      <c r="M96" t="s">
        <v>144</v>
      </c>
      <c r="N96" s="22">
        <f t="shared" si="29"/>
        <v>4.594562500091847E-4</v>
      </c>
      <c r="P96" t="str">
        <f t="shared" si="36"/>
        <v>Manure management</v>
      </c>
      <c r="Q96" t="str">
        <f t="shared" si="37"/>
        <v>N2O</v>
      </c>
      <c r="R96" s="21">
        <v>20.252025000000003</v>
      </c>
      <c r="S96" t="s">
        <v>311</v>
      </c>
      <c r="T96" s="22">
        <f t="shared" si="38"/>
        <v>1.1077285073324119</v>
      </c>
    </row>
    <row r="97" spans="1:20" x14ac:dyDescent="0.3">
      <c r="A97" s="14" t="s">
        <v>245</v>
      </c>
      <c r="B97" t="str">
        <f t="shared" si="32"/>
        <v>Enteric fermentation</v>
      </c>
      <c r="C97" t="str">
        <f t="shared" si="33"/>
        <v>CH4</v>
      </c>
      <c r="D97" s="21">
        <v>10.5</v>
      </c>
      <c r="E97" t="s">
        <v>144</v>
      </c>
      <c r="F97" s="21">
        <v>155.50480476023225</v>
      </c>
      <c r="G97" s="22">
        <f t="shared" si="39"/>
        <v>7.5782068596604404E-5</v>
      </c>
      <c r="H97" s="22">
        <f t="shared" si="31"/>
        <v>7.9571172026434627E-4</v>
      </c>
      <c r="J97" t="str">
        <f t="shared" si="34"/>
        <v>Manure management</v>
      </c>
      <c r="K97" t="str">
        <f t="shared" si="35"/>
        <v>CH4</v>
      </c>
      <c r="L97" s="21">
        <v>8.9999999999999993E-3</v>
      </c>
      <c r="M97" t="s">
        <v>144</v>
      </c>
      <c r="N97" s="22">
        <f t="shared" si="29"/>
        <v>6.8203861736943956E-7</v>
      </c>
      <c r="P97" t="str">
        <f t="shared" si="36"/>
        <v>Manure management</v>
      </c>
      <c r="Q97" t="str">
        <f t="shared" si="37"/>
        <v>N2O</v>
      </c>
      <c r="R97" s="21">
        <v>36.253625</v>
      </c>
      <c r="S97" t="s">
        <v>311</v>
      </c>
      <c r="T97" s="22">
        <f t="shared" si="38"/>
        <v>2.7473746966255722E-3</v>
      </c>
    </row>
    <row r="98" spans="1:20" x14ac:dyDescent="0.3">
      <c r="A98" s="14" t="s">
        <v>246</v>
      </c>
      <c r="B98" t="str">
        <f t="shared" si="32"/>
        <v>Enteric fermentation</v>
      </c>
      <c r="C98" t="str">
        <f t="shared" si="33"/>
        <v>CH4</v>
      </c>
      <c r="D98" s="21">
        <v>8.48</v>
      </c>
      <c r="E98" t="s">
        <v>144</v>
      </c>
      <c r="F98" s="21">
        <v>7075.4686165905678</v>
      </c>
      <c r="G98" s="22">
        <f t="shared" si="39"/>
        <v>3.4480841211455004E-3</v>
      </c>
      <c r="H98" s="22">
        <f t="shared" si="31"/>
        <v>2.9239753347313845E-2</v>
      </c>
      <c r="J98" t="str">
        <f t="shared" si="34"/>
        <v>Manure management</v>
      </c>
      <c r="K98" t="str">
        <f t="shared" si="35"/>
        <v>CH4</v>
      </c>
      <c r="L98" s="21">
        <v>7.0000000000000001E-3</v>
      </c>
      <c r="M98" t="s">
        <v>144</v>
      </c>
      <c r="N98" s="22">
        <f t="shared" si="29"/>
        <v>2.4136588848018503E-5</v>
      </c>
      <c r="P98" t="str">
        <f t="shared" si="36"/>
        <v>Manure management</v>
      </c>
      <c r="Q98" t="str">
        <f t="shared" si="37"/>
        <v>N2O</v>
      </c>
      <c r="R98" s="21">
        <v>24.002400000000005</v>
      </c>
      <c r="S98" t="s">
        <v>311</v>
      </c>
      <c r="T98" s="22">
        <f t="shared" si="38"/>
        <v>8.2762294309382783E-2</v>
      </c>
    </row>
    <row r="99" spans="1:20" x14ac:dyDescent="0.3">
      <c r="A99" s="14" t="s">
        <v>247</v>
      </c>
      <c r="B99" t="str">
        <f t="shared" si="32"/>
        <v>Enteric fermentation</v>
      </c>
      <c r="C99" t="str">
        <f t="shared" si="33"/>
        <v>CH4</v>
      </c>
      <c r="D99" s="21">
        <v>3.62</v>
      </c>
      <c r="E99" t="s">
        <v>144</v>
      </c>
      <c r="F99" s="21">
        <v>3607.7114704373885</v>
      </c>
      <c r="G99" s="22">
        <f t="shared" si="39"/>
        <v>1.7581439914412223E-3</v>
      </c>
      <c r="H99" s="22">
        <f t="shared" si="31"/>
        <v>6.3644812490172252E-3</v>
      </c>
      <c r="J99" t="str">
        <f t="shared" si="34"/>
        <v>Manure management</v>
      </c>
      <c r="K99" t="str">
        <f t="shared" si="35"/>
        <v>CH4</v>
      </c>
      <c r="L99" s="21">
        <v>3.0000000000000001E-3</v>
      </c>
      <c r="M99" t="s">
        <v>144</v>
      </c>
      <c r="N99" s="22">
        <f t="shared" si="29"/>
        <v>5.2744319743236674E-6</v>
      </c>
      <c r="P99" t="str">
        <f t="shared" si="36"/>
        <v>Manure management</v>
      </c>
      <c r="Q99" t="str">
        <f t="shared" si="37"/>
        <v>N2O</v>
      </c>
      <c r="R99" s="21">
        <v>11.251125</v>
      </c>
      <c r="S99" t="s">
        <v>311</v>
      </c>
      <c r="T99" s="22">
        <f t="shared" si="38"/>
        <v>1.9781097815704123E-2</v>
      </c>
    </row>
    <row r="100" spans="1:20" x14ac:dyDescent="0.3">
      <c r="A100" s="14" t="s">
        <v>248</v>
      </c>
      <c r="B100" t="str">
        <f t="shared" si="32"/>
        <v>Enteric fermentation</v>
      </c>
      <c r="C100" t="str">
        <f t="shared" si="33"/>
        <v>CH4</v>
      </c>
      <c r="D100" s="21">
        <v>5.0199999999999996</v>
      </c>
      <c r="E100" t="s">
        <v>144</v>
      </c>
      <c r="F100" s="21">
        <v>2519.1778371157625</v>
      </c>
      <c r="G100" s="22">
        <f t="shared" si="39"/>
        <v>1.2276695112649913E-3</v>
      </c>
      <c r="H100" s="22">
        <f t="shared" si="31"/>
        <v>6.1629009465502555E-3</v>
      </c>
      <c r="J100" t="str">
        <f t="shared" si="34"/>
        <v>Manure management</v>
      </c>
      <c r="K100" t="str">
        <f t="shared" si="35"/>
        <v>CH4</v>
      </c>
      <c r="L100" s="21">
        <v>4.0000000000000001E-3</v>
      </c>
      <c r="M100" t="s">
        <v>144</v>
      </c>
      <c r="N100" s="22">
        <f t="shared" si="29"/>
        <v>4.910678045059965E-6</v>
      </c>
      <c r="P100" t="str">
        <f t="shared" si="36"/>
        <v>Manure management</v>
      </c>
      <c r="Q100" t="str">
        <f t="shared" si="37"/>
        <v>N2O</v>
      </c>
      <c r="R100" s="21">
        <v>16.751675000000002</v>
      </c>
      <c r="S100" t="s">
        <v>311</v>
      </c>
      <c r="T100" s="22">
        <f t="shared" si="38"/>
        <v>2.0565520660119976E-2</v>
      </c>
    </row>
    <row r="101" spans="1:20" x14ac:dyDescent="0.3">
      <c r="A101" s="14" t="s">
        <v>249</v>
      </c>
      <c r="B101" t="str">
        <f t="shared" si="32"/>
        <v>Enteric fermentation</v>
      </c>
      <c r="C101" t="str">
        <f t="shared" si="33"/>
        <v>CH4</v>
      </c>
      <c r="D101" s="21">
        <v>7.65</v>
      </c>
      <c r="E101" t="s">
        <v>144</v>
      </c>
      <c r="F101" s="21">
        <v>311.00960952046449</v>
      </c>
      <c r="G101" s="22">
        <f t="shared" si="39"/>
        <v>1.5156413719320881E-4</v>
      </c>
      <c r="H101" s="22">
        <f t="shared" si="31"/>
        <v>1.1594656495280474E-3</v>
      </c>
      <c r="J101" t="str">
        <f t="shared" si="34"/>
        <v>Manure management</v>
      </c>
      <c r="K101" t="str">
        <f t="shared" si="35"/>
        <v>CH4</v>
      </c>
      <c r="L101" s="21">
        <v>6.0000000000000001E-3</v>
      </c>
      <c r="M101" t="s">
        <v>144</v>
      </c>
      <c r="N101" s="22">
        <f t="shared" si="29"/>
        <v>9.0938482315925281E-7</v>
      </c>
      <c r="P101" t="str">
        <f t="shared" si="36"/>
        <v>Manure management</v>
      </c>
      <c r="Q101" t="str">
        <f t="shared" si="37"/>
        <v>N2O</v>
      </c>
      <c r="R101" s="21">
        <v>26.502650000000003</v>
      </c>
      <c r="S101" t="s">
        <v>311</v>
      </c>
      <c r="T101" s="22">
        <f t="shared" si="38"/>
        <v>4.0168512805835955E-3</v>
      </c>
    </row>
    <row r="102" spans="1:20" x14ac:dyDescent="0.3">
      <c r="A102" s="14" t="s">
        <v>250</v>
      </c>
      <c r="B102" t="str">
        <f t="shared" si="32"/>
        <v>Enteric fermentation</v>
      </c>
      <c r="C102" t="str">
        <f t="shared" si="33"/>
        <v>CH4</v>
      </c>
      <c r="D102" s="21">
        <v>5.94</v>
      </c>
      <c r="E102" t="s">
        <v>144</v>
      </c>
      <c r="F102" s="21">
        <v>1881.6081375988101</v>
      </c>
      <c r="G102" s="22">
        <f t="shared" si="39"/>
        <v>9.1696303001891316E-4</v>
      </c>
      <c r="H102" s="22">
        <f t="shared" si="31"/>
        <v>5.4467603983123442E-3</v>
      </c>
      <c r="J102" t="str">
        <f t="shared" si="34"/>
        <v>Manure management</v>
      </c>
      <c r="K102" t="str">
        <f t="shared" si="35"/>
        <v>CH4</v>
      </c>
      <c r="L102" s="21">
        <v>5.0000000000000001E-3</v>
      </c>
      <c r="M102" t="s">
        <v>144</v>
      </c>
      <c r="N102" s="22">
        <f t="shared" si="29"/>
        <v>4.584815150094566E-6</v>
      </c>
      <c r="P102" t="str">
        <f t="shared" si="36"/>
        <v>Manure management</v>
      </c>
      <c r="Q102" t="str">
        <f t="shared" si="37"/>
        <v>N2O</v>
      </c>
      <c r="R102" s="21">
        <v>20.252025000000003</v>
      </c>
      <c r="S102" t="s">
        <v>311</v>
      </c>
      <c r="T102" s="22">
        <f t="shared" si="38"/>
        <v>1.8570358208018781E-2</v>
      </c>
    </row>
    <row r="103" spans="1:20" x14ac:dyDescent="0.3">
      <c r="A103" s="14" t="s">
        <v>251</v>
      </c>
      <c r="B103" t="str">
        <f t="shared" si="32"/>
        <v>Enteric fermentation</v>
      </c>
      <c r="C103" t="str">
        <f t="shared" si="33"/>
        <v>CH4</v>
      </c>
      <c r="D103" s="21">
        <v>11.1</v>
      </c>
      <c r="E103" t="s">
        <v>144</v>
      </c>
      <c r="F103" s="21">
        <v>44584.86627064857</v>
      </c>
      <c r="G103" s="22">
        <f>F103/SUM($F$103:$F$108)</f>
        <v>1.0999999999999998E-2</v>
      </c>
      <c r="H103" s="22">
        <f t="shared" si="31"/>
        <v>0.12209999999999997</v>
      </c>
      <c r="J103" t="str">
        <f t="shared" si="34"/>
        <v>Manure management</v>
      </c>
      <c r="K103" t="str">
        <f t="shared" si="35"/>
        <v>CH4</v>
      </c>
      <c r="L103" s="21">
        <v>1.2999999999999999E-2</v>
      </c>
      <c r="M103" t="s">
        <v>144</v>
      </c>
      <c r="N103" s="22">
        <f t="shared" si="29"/>
        <v>1.4299999999999995E-4</v>
      </c>
      <c r="P103" t="str">
        <f t="shared" si="36"/>
        <v>Manure management</v>
      </c>
      <c r="Q103" t="str">
        <f t="shared" si="37"/>
        <v>N2O</v>
      </c>
      <c r="R103" s="21">
        <v>41.004100000000001</v>
      </c>
      <c r="S103" t="s">
        <v>311</v>
      </c>
      <c r="T103" s="22">
        <f t="shared" si="38"/>
        <v>0.45104509999999992</v>
      </c>
    </row>
    <row r="104" spans="1:20" x14ac:dyDescent="0.3">
      <c r="A104" s="14" t="s">
        <v>252</v>
      </c>
      <c r="B104" t="str">
        <f t="shared" si="32"/>
        <v>Enteric fermentation</v>
      </c>
      <c r="C104" t="str">
        <f t="shared" si="33"/>
        <v>CH4</v>
      </c>
      <c r="D104" s="21">
        <v>7.4</v>
      </c>
      <c r="E104" t="s">
        <v>144</v>
      </c>
      <c r="F104" s="21">
        <v>1921202.4192988568</v>
      </c>
      <c r="G104" s="22">
        <f t="shared" ref="G104:G108" si="40">F104/SUM($F$103:$F$108)</f>
        <v>0.47399999999999992</v>
      </c>
      <c r="H104" s="22">
        <f t="shared" si="31"/>
        <v>3.5075999999999996</v>
      </c>
      <c r="J104" t="str">
        <f t="shared" si="34"/>
        <v>Manure management</v>
      </c>
      <c r="K104" t="str">
        <f t="shared" si="35"/>
        <v>CH4</v>
      </c>
      <c r="L104" s="21">
        <v>8.9999999999999993E-3</v>
      </c>
      <c r="M104" t="s">
        <v>144</v>
      </c>
      <c r="N104" s="22">
        <f t="shared" si="29"/>
        <v>4.265999999999999E-3</v>
      </c>
      <c r="P104" t="str">
        <f t="shared" si="36"/>
        <v>Manure management</v>
      </c>
      <c r="Q104" t="str">
        <f t="shared" si="37"/>
        <v>N2O</v>
      </c>
      <c r="R104" s="21">
        <v>27.202719999999999</v>
      </c>
      <c r="S104" t="s">
        <v>311</v>
      </c>
      <c r="T104" s="22">
        <f t="shared" si="38"/>
        <v>12.894089279999998</v>
      </c>
    </row>
    <row r="105" spans="1:20" x14ac:dyDescent="0.3">
      <c r="A105" s="14" t="s">
        <v>253</v>
      </c>
      <c r="B105" t="str">
        <f t="shared" si="32"/>
        <v>Enteric fermentation</v>
      </c>
      <c r="C105" t="str">
        <f t="shared" si="33"/>
        <v>CH4</v>
      </c>
      <c r="D105" s="21">
        <v>2.54</v>
      </c>
      <c r="E105" t="s">
        <v>144</v>
      </c>
      <c r="F105" s="21">
        <v>806580.76253264246</v>
      </c>
      <c r="G105" s="22">
        <f t="shared" si="40"/>
        <v>0.19899999999999998</v>
      </c>
      <c r="H105" s="22">
        <f t="shared" si="31"/>
        <v>0.50545999999999991</v>
      </c>
      <c r="J105" t="str">
        <f t="shared" si="34"/>
        <v>Manure management</v>
      </c>
      <c r="K105" t="str">
        <f t="shared" si="35"/>
        <v>CH4</v>
      </c>
      <c r="L105" s="21">
        <v>3.0000000000000001E-3</v>
      </c>
      <c r="M105" t="s">
        <v>144</v>
      </c>
      <c r="N105" s="22">
        <f t="shared" si="29"/>
        <v>5.9699999999999998E-4</v>
      </c>
      <c r="P105" t="str">
        <f t="shared" si="36"/>
        <v>Manure management</v>
      </c>
      <c r="Q105" t="str">
        <f t="shared" si="37"/>
        <v>N2O</v>
      </c>
      <c r="R105" s="21">
        <v>8.0007999999999999</v>
      </c>
      <c r="S105" t="s">
        <v>311</v>
      </c>
      <c r="T105" s="22">
        <f t="shared" si="38"/>
        <v>1.5921591999999998</v>
      </c>
    </row>
    <row r="106" spans="1:20" x14ac:dyDescent="0.3">
      <c r="A106" s="14" t="s">
        <v>254</v>
      </c>
      <c r="B106" t="str">
        <f t="shared" si="32"/>
        <v>Enteric fermentation</v>
      </c>
      <c r="C106" t="str">
        <f t="shared" si="33"/>
        <v>CH4</v>
      </c>
      <c r="D106" s="21">
        <v>3.66</v>
      </c>
      <c r="E106" t="s">
        <v>144</v>
      </c>
      <c r="F106" s="21">
        <v>684985.67270360084</v>
      </c>
      <c r="G106" s="22">
        <f t="shared" si="40"/>
        <v>0.16899999999999998</v>
      </c>
      <c r="H106" s="22">
        <f t="shared" si="31"/>
        <v>0.61853999999999998</v>
      </c>
      <c r="J106" t="str">
        <f t="shared" si="34"/>
        <v>Manure management</v>
      </c>
      <c r="K106" t="str">
        <f t="shared" si="35"/>
        <v>CH4</v>
      </c>
      <c r="L106" s="21">
        <v>4.0000000000000001E-3</v>
      </c>
      <c r="M106" t="s">
        <v>144</v>
      </c>
      <c r="N106" s="22">
        <f t="shared" si="29"/>
        <v>6.7599999999999995E-4</v>
      </c>
      <c r="P106" t="str">
        <f t="shared" si="36"/>
        <v>Manure management</v>
      </c>
      <c r="Q106" t="str">
        <f t="shared" si="37"/>
        <v>N2O</v>
      </c>
      <c r="R106" s="21">
        <v>13.001299999999999</v>
      </c>
      <c r="S106" t="s">
        <v>311</v>
      </c>
      <c r="T106" s="22">
        <f t="shared" si="38"/>
        <v>2.1972196999999998</v>
      </c>
    </row>
    <row r="107" spans="1:20" x14ac:dyDescent="0.3">
      <c r="A107" s="14" t="s">
        <v>255</v>
      </c>
      <c r="B107" t="str">
        <f t="shared" si="32"/>
        <v>Enteric fermentation</v>
      </c>
      <c r="C107" t="str">
        <f t="shared" si="33"/>
        <v>CH4</v>
      </c>
      <c r="D107" s="21">
        <v>8.11</v>
      </c>
      <c r="E107" t="s">
        <v>144</v>
      </c>
      <c r="F107" s="21">
        <v>81063.393219361053</v>
      </c>
      <c r="G107" s="22">
        <f t="shared" si="40"/>
        <v>0.02</v>
      </c>
      <c r="H107" s="22">
        <f t="shared" si="31"/>
        <v>0.16219999999999998</v>
      </c>
      <c r="J107" t="str">
        <f t="shared" si="34"/>
        <v>Manure management</v>
      </c>
      <c r="K107" t="str">
        <f t="shared" si="35"/>
        <v>CH4</v>
      </c>
      <c r="L107" s="21">
        <v>8.9999999999999993E-3</v>
      </c>
      <c r="M107" t="s">
        <v>144</v>
      </c>
      <c r="N107" s="22">
        <f t="shared" si="29"/>
        <v>1.7999999999999998E-4</v>
      </c>
      <c r="P107" t="str">
        <f t="shared" si="36"/>
        <v>Manure management</v>
      </c>
      <c r="Q107" t="str">
        <f t="shared" si="37"/>
        <v>N2O</v>
      </c>
      <c r="R107" s="21">
        <v>30.803080000000005</v>
      </c>
      <c r="S107" t="s">
        <v>311</v>
      </c>
      <c r="T107" s="22">
        <f t="shared" si="38"/>
        <v>0.6160616000000001</v>
      </c>
    </row>
    <row r="108" spans="1:20" x14ac:dyDescent="0.3">
      <c r="A108" s="14" t="s">
        <v>256</v>
      </c>
      <c r="B108" t="str">
        <f t="shared" si="32"/>
        <v>Enteric fermentation</v>
      </c>
      <c r="C108" t="str">
        <f t="shared" si="33"/>
        <v>CH4</v>
      </c>
      <c r="D108" s="21">
        <v>5.19</v>
      </c>
      <c r="E108" t="s">
        <v>144</v>
      </c>
      <c r="F108" s="21">
        <v>514752.54694294266</v>
      </c>
      <c r="G108" s="22">
        <f t="shared" si="40"/>
        <v>0.127</v>
      </c>
      <c r="H108" s="22">
        <f t="shared" si="31"/>
        <v>0.6591300000000001</v>
      </c>
      <c r="J108" t="str">
        <f t="shared" si="34"/>
        <v>Manure management</v>
      </c>
      <c r="K108" t="str">
        <f t="shared" si="35"/>
        <v>CH4</v>
      </c>
      <c r="L108" s="21">
        <v>6.0000000000000001E-3</v>
      </c>
      <c r="M108" t="s">
        <v>144</v>
      </c>
      <c r="N108" s="22">
        <f t="shared" si="29"/>
        <v>7.6199999999999998E-4</v>
      </c>
      <c r="P108" t="str">
        <f t="shared" si="36"/>
        <v>Manure management</v>
      </c>
      <c r="Q108" t="str">
        <f t="shared" si="37"/>
        <v>N2O</v>
      </c>
      <c r="R108" s="21">
        <v>19.501950000000001</v>
      </c>
      <c r="S108" t="s">
        <v>311</v>
      </c>
      <c r="T108" s="22">
        <f t="shared" si="38"/>
        <v>2.4767476500000001</v>
      </c>
    </row>
    <row r="109" spans="1:20" x14ac:dyDescent="0.3">
      <c r="A109" s="13" t="s">
        <v>3</v>
      </c>
      <c r="M109" s="13"/>
    </row>
    <row r="110" spans="1:20" x14ac:dyDescent="0.3">
      <c r="A110" s="14" t="s">
        <v>3</v>
      </c>
      <c r="B110" t="str">
        <f>$B$5</f>
        <v>Enteric fermentation</v>
      </c>
      <c r="C110" t="str">
        <f>$C$5</f>
        <v>CH4</v>
      </c>
      <c r="D110" s="21">
        <v>18</v>
      </c>
      <c r="E110" t="s">
        <v>144</v>
      </c>
      <c r="H110" s="22">
        <f>D110</f>
        <v>18</v>
      </c>
      <c r="J110" t="str">
        <f>$J$5</f>
        <v>Manure management</v>
      </c>
      <c r="K110" t="str">
        <f>$K$5</f>
        <v>CH4</v>
      </c>
      <c r="L110" s="21">
        <v>1.34E-2</v>
      </c>
      <c r="M110" t="s">
        <v>144</v>
      </c>
      <c r="N110" s="22">
        <f>L110</f>
        <v>1.34E-2</v>
      </c>
      <c r="P110" t="str">
        <f>$P$5</f>
        <v>Manure management</v>
      </c>
      <c r="Q110" t="str">
        <f>$Q$5</f>
        <v>N2O</v>
      </c>
      <c r="R110" s="21">
        <v>39.5</v>
      </c>
      <c r="S110" t="s">
        <v>311</v>
      </c>
      <c r="T110" s="22">
        <f>R110</f>
        <v>39.5</v>
      </c>
    </row>
    <row r="111" spans="1:20" x14ac:dyDescent="0.3">
      <c r="A111" s="13" t="s">
        <v>154</v>
      </c>
      <c r="M111" s="13"/>
    </row>
    <row r="112" spans="1:20" x14ac:dyDescent="0.3">
      <c r="A112" s="14" t="s">
        <v>154</v>
      </c>
      <c r="B112" t="str">
        <f>$B$5</f>
        <v>Enteric fermentation</v>
      </c>
      <c r="C112" t="str">
        <f>$C$5</f>
        <v>CH4</v>
      </c>
      <c r="D112" s="21">
        <v>10</v>
      </c>
      <c r="E112" t="s">
        <v>144</v>
      </c>
      <c r="H112" s="22">
        <f>D112</f>
        <v>10</v>
      </c>
      <c r="J112" t="str">
        <f>$J$5</f>
        <v>Manure management</v>
      </c>
      <c r="K112" t="str">
        <f>$K$5</f>
        <v>CH4</v>
      </c>
      <c r="L112" s="21">
        <v>4.4999999999999997E-3</v>
      </c>
      <c r="M112" t="s">
        <v>144</v>
      </c>
      <c r="N112" s="22">
        <f>L112</f>
        <v>4.4999999999999997E-3</v>
      </c>
      <c r="P112" t="str">
        <f>$P$5</f>
        <v>Manure management</v>
      </c>
      <c r="Q112" t="str">
        <f>$Q$5</f>
        <v>N2O</v>
      </c>
      <c r="R112" s="21">
        <v>13.2</v>
      </c>
      <c r="S112" t="s">
        <v>311</v>
      </c>
      <c r="T112" s="22">
        <f>R112</f>
        <v>13.2</v>
      </c>
    </row>
    <row r="113" spans="1:20" x14ac:dyDescent="0.3">
      <c r="A113" s="13" t="s">
        <v>155</v>
      </c>
      <c r="M113" s="13"/>
    </row>
    <row r="114" spans="1:20" x14ac:dyDescent="0.3">
      <c r="A114" s="14" t="s">
        <v>257</v>
      </c>
      <c r="B114" t="str">
        <f t="shared" ref="B114:B133" si="41">$B$5</f>
        <v>Enteric fermentation</v>
      </c>
      <c r="C114" t="str">
        <f t="shared" ref="C114:C133" si="42">$C$5</f>
        <v>CH4</v>
      </c>
      <c r="D114" s="21">
        <v>0.99</v>
      </c>
      <c r="E114" t="s">
        <v>144</v>
      </c>
      <c r="F114" s="21">
        <v>78106</v>
      </c>
      <c r="G114">
        <f>F114/SUM($F$114:$F$123)</f>
        <v>4.9000000000000002E-2</v>
      </c>
      <c r="H114" s="22">
        <f t="shared" ref="H114:H133" si="43">D114*G114</f>
        <v>4.8510000000000005E-2</v>
      </c>
      <c r="J114" t="str">
        <f t="shared" ref="J114:J133" si="44">$J$5</f>
        <v>Manure management</v>
      </c>
      <c r="K114" t="str">
        <f t="shared" ref="K114:K133" si="45">$K$5</f>
        <v>CH4</v>
      </c>
      <c r="L114" s="21">
        <v>20.96</v>
      </c>
      <c r="M114" t="s">
        <v>144</v>
      </c>
      <c r="N114" s="22">
        <f t="shared" ref="N114:N133" si="46">L114*G114</f>
        <v>1.0270400000000002</v>
      </c>
      <c r="P114" t="str">
        <f t="shared" ref="P114:P133" si="47">$P$5</f>
        <v>Manure management</v>
      </c>
      <c r="Q114" t="str">
        <f t="shared" ref="Q114:Q133" si="48">$Q$5</f>
        <v>N2O</v>
      </c>
      <c r="R114" s="21">
        <v>11.04</v>
      </c>
      <c r="S114" t="s">
        <v>311</v>
      </c>
      <c r="T114" s="22">
        <f t="shared" ref="T114:T133" si="49">R114*G114</f>
        <v>0.54096</v>
      </c>
    </row>
    <row r="115" spans="1:20" x14ac:dyDescent="0.3">
      <c r="A115" s="14" t="s">
        <v>258</v>
      </c>
      <c r="B115" t="str">
        <f t="shared" si="41"/>
        <v>Enteric fermentation</v>
      </c>
      <c r="C115" t="str">
        <f t="shared" si="42"/>
        <v>CH4</v>
      </c>
      <c r="D115" s="21">
        <v>1.89</v>
      </c>
      <c r="E115" t="s">
        <v>144</v>
      </c>
      <c r="F115" s="21">
        <v>9564</v>
      </c>
      <c r="G115">
        <f t="shared" ref="G115:G123" si="50">F115/SUM($F$114:$F$123)</f>
        <v>6.0000000000000001E-3</v>
      </c>
      <c r="H115" s="22">
        <f t="shared" si="43"/>
        <v>1.1339999999999999E-2</v>
      </c>
      <c r="J115" t="str">
        <f t="shared" si="44"/>
        <v>Manure management</v>
      </c>
      <c r="K115" t="str">
        <f t="shared" si="45"/>
        <v>CH4</v>
      </c>
      <c r="L115" s="21">
        <v>16.47</v>
      </c>
      <c r="M115" t="s">
        <v>144</v>
      </c>
      <c r="N115" s="22">
        <f t="shared" si="46"/>
        <v>9.8819999999999991E-2</v>
      </c>
      <c r="P115" t="str">
        <f t="shared" si="47"/>
        <v>Manure management</v>
      </c>
      <c r="Q115" t="str">
        <f t="shared" si="48"/>
        <v>N2O</v>
      </c>
      <c r="R115" s="21">
        <v>14.59</v>
      </c>
      <c r="S115" t="s">
        <v>311</v>
      </c>
      <c r="T115" s="22">
        <f t="shared" si="49"/>
        <v>8.7540000000000007E-2</v>
      </c>
    </row>
    <row r="116" spans="1:20" x14ac:dyDescent="0.3">
      <c r="A116" s="14" t="s">
        <v>259</v>
      </c>
      <c r="B116" t="str">
        <f t="shared" si="41"/>
        <v>Enteric fermentation</v>
      </c>
      <c r="C116" t="str">
        <f t="shared" si="42"/>
        <v>CH4</v>
      </c>
      <c r="D116" s="21">
        <v>1.89</v>
      </c>
      <c r="E116" t="s">
        <v>144</v>
      </c>
      <c r="F116" s="21">
        <v>9564</v>
      </c>
      <c r="G116">
        <f t="shared" si="50"/>
        <v>6.0000000000000001E-3</v>
      </c>
      <c r="H116" s="22">
        <f t="shared" si="43"/>
        <v>1.1339999999999999E-2</v>
      </c>
      <c r="J116" t="str">
        <f t="shared" si="44"/>
        <v>Manure management</v>
      </c>
      <c r="K116" t="str">
        <f t="shared" si="45"/>
        <v>CH4</v>
      </c>
      <c r="L116" s="21">
        <v>16.47</v>
      </c>
      <c r="M116" t="s">
        <v>144</v>
      </c>
      <c r="N116" s="22">
        <f t="shared" si="46"/>
        <v>9.8819999999999991E-2</v>
      </c>
      <c r="P116" t="str">
        <f t="shared" si="47"/>
        <v>Manure management</v>
      </c>
      <c r="Q116" t="str">
        <f t="shared" si="48"/>
        <v>N2O</v>
      </c>
      <c r="R116" s="21">
        <v>14.59</v>
      </c>
      <c r="S116" t="s">
        <v>311</v>
      </c>
      <c r="T116" s="22">
        <f t="shared" si="49"/>
        <v>8.7540000000000007E-2</v>
      </c>
    </row>
    <row r="117" spans="1:20" x14ac:dyDescent="0.3">
      <c r="A117" s="14" t="s">
        <v>260</v>
      </c>
      <c r="B117" t="str">
        <f t="shared" si="41"/>
        <v>Enteric fermentation</v>
      </c>
      <c r="C117" t="str">
        <f t="shared" si="42"/>
        <v>CH4</v>
      </c>
      <c r="D117" s="21">
        <v>1.55</v>
      </c>
      <c r="E117" t="s">
        <v>144</v>
      </c>
      <c r="F117" s="21">
        <v>82888</v>
      </c>
      <c r="G117">
        <f t="shared" si="50"/>
        <v>5.1999999999999998E-2</v>
      </c>
      <c r="H117" s="22">
        <f t="shared" si="43"/>
        <v>8.0600000000000005E-2</v>
      </c>
      <c r="J117" t="str">
        <f t="shared" si="44"/>
        <v>Manure management</v>
      </c>
      <c r="K117" t="str">
        <f t="shared" si="45"/>
        <v>CH4</v>
      </c>
      <c r="L117" s="21">
        <v>13.47</v>
      </c>
      <c r="M117" t="s">
        <v>144</v>
      </c>
      <c r="N117" s="22">
        <f t="shared" si="46"/>
        <v>0.70043999999999995</v>
      </c>
      <c r="P117" t="str">
        <f t="shared" si="47"/>
        <v>Manure management</v>
      </c>
      <c r="Q117" t="str">
        <f t="shared" si="48"/>
        <v>N2O</v>
      </c>
      <c r="R117" s="21">
        <v>20.7</v>
      </c>
      <c r="S117" t="s">
        <v>311</v>
      </c>
      <c r="T117" s="22">
        <f t="shared" si="49"/>
        <v>1.0764</v>
      </c>
    </row>
    <row r="118" spans="1:20" x14ac:dyDescent="0.3">
      <c r="A118" s="14" t="s">
        <v>261</v>
      </c>
      <c r="B118" t="str">
        <f t="shared" si="41"/>
        <v>Enteric fermentation</v>
      </c>
      <c r="C118" t="str">
        <f t="shared" si="42"/>
        <v>CH4</v>
      </c>
      <c r="D118" s="21">
        <v>2.15</v>
      </c>
      <c r="E118" t="s">
        <v>144</v>
      </c>
      <c r="F118" s="21">
        <v>296484</v>
      </c>
      <c r="G118">
        <f t="shared" si="50"/>
        <v>0.186</v>
      </c>
      <c r="H118" s="22">
        <f t="shared" si="43"/>
        <v>0.39989999999999998</v>
      </c>
      <c r="J118" t="str">
        <f t="shared" si="44"/>
        <v>Manure management</v>
      </c>
      <c r="K118" t="str">
        <f t="shared" si="45"/>
        <v>CH4</v>
      </c>
      <c r="L118" s="21">
        <v>18.71</v>
      </c>
      <c r="M118" t="s">
        <v>144</v>
      </c>
      <c r="N118" s="22">
        <f t="shared" si="46"/>
        <v>3.4800599999999999</v>
      </c>
      <c r="P118" t="str">
        <f t="shared" si="47"/>
        <v>Manure management</v>
      </c>
      <c r="Q118" t="str">
        <f t="shared" si="48"/>
        <v>N2O</v>
      </c>
      <c r="R118" s="21">
        <v>20.7</v>
      </c>
      <c r="S118" t="s">
        <v>311</v>
      </c>
      <c r="T118" s="22">
        <f t="shared" si="49"/>
        <v>3.8501999999999996</v>
      </c>
    </row>
    <row r="119" spans="1:20" x14ac:dyDescent="0.3">
      <c r="A119" s="14" t="s">
        <v>262</v>
      </c>
      <c r="B119" t="str">
        <f t="shared" si="41"/>
        <v>Enteric fermentation</v>
      </c>
      <c r="C119" t="str">
        <f t="shared" si="42"/>
        <v>CH4</v>
      </c>
      <c r="D119" s="21">
        <v>4.09</v>
      </c>
      <c r="E119" t="s">
        <v>144</v>
      </c>
      <c r="F119" s="21">
        <v>52602</v>
      </c>
      <c r="G119">
        <f t="shared" si="50"/>
        <v>3.3000000000000002E-2</v>
      </c>
      <c r="H119" s="22">
        <f t="shared" si="43"/>
        <v>0.13497000000000001</v>
      </c>
      <c r="J119" t="str">
        <f t="shared" si="44"/>
        <v>Manure management</v>
      </c>
      <c r="K119" t="str">
        <f t="shared" si="45"/>
        <v>CH4</v>
      </c>
      <c r="L119" s="21">
        <v>35.549999999999997</v>
      </c>
      <c r="M119" t="s">
        <v>144</v>
      </c>
      <c r="N119" s="22">
        <f t="shared" si="46"/>
        <v>1.1731499999999999</v>
      </c>
      <c r="P119" t="str">
        <f t="shared" si="47"/>
        <v>Manure management</v>
      </c>
      <c r="Q119" t="str">
        <f t="shared" si="48"/>
        <v>N2O</v>
      </c>
      <c r="R119" s="21">
        <v>20.7</v>
      </c>
      <c r="S119" t="s">
        <v>311</v>
      </c>
      <c r="T119" s="22">
        <f t="shared" si="49"/>
        <v>0.68310000000000004</v>
      </c>
    </row>
    <row r="120" spans="1:20" x14ac:dyDescent="0.3">
      <c r="A120" s="14" t="s">
        <v>263</v>
      </c>
      <c r="B120" t="str">
        <f t="shared" si="41"/>
        <v>Enteric fermentation</v>
      </c>
      <c r="C120" t="str">
        <f t="shared" si="42"/>
        <v>CH4</v>
      </c>
      <c r="D120" s="21">
        <v>0.51</v>
      </c>
      <c r="E120" t="s">
        <v>144</v>
      </c>
      <c r="F120" s="21">
        <v>446320.00000000006</v>
      </c>
      <c r="G120">
        <f t="shared" si="50"/>
        <v>0.28000000000000003</v>
      </c>
      <c r="H120" s="22">
        <f t="shared" si="43"/>
        <v>0.14280000000000001</v>
      </c>
      <c r="J120" t="str">
        <f t="shared" si="44"/>
        <v>Manure management</v>
      </c>
      <c r="K120" t="str">
        <f t="shared" si="45"/>
        <v>CH4</v>
      </c>
      <c r="L120" s="21">
        <v>17.96</v>
      </c>
      <c r="M120" t="s">
        <v>144</v>
      </c>
      <c r="N120" s="22">
        <f t="shared" si="46"/>
        <v>5.0288000000000004</v>
      </c>
      <c r="P120" t="str">
        <f t="shared" si="47"/>
        <v>Manure management</v>
      </c>
      <c r="Q120" t="str">
        <f t="shared" si="48"/>
        <v>N2O</v>
      </c>
      <c r="R120" s="21">
        <v>11.04</v>
      </c>
      <c r="S120" t="s">
        <v>311</v>
      </c>
      <c r="T120" s="22">
        <f t="shared" si="49"/>
        <v>3.0912000000000002</v>
      </c>
    </row>
    <row r="121" spans="1:20" x14ac:dyDescent="0.3">
      <c r="A121" s="14" t="s">
        <v>264</v>
      </c>
      <c r="B121" t="str">
        <f t="shared" si="41"/>
        <v>Enteric fermentation</v>
      </c>
      <c r="C121" t="str">
        <f t="shared" si="42"/>
        <v>CH4</v>
      </c>
      <c r="D121" s="21">
        <v>0.43</v>
      </c>
      <c r="E121" t="s">
        <v>144</v>
      </c>
      <c r="F121" s="21">
        <v>526020</v>
      </c>
      <c r="G121">
        <f t="shared" si="50"/>
        <v>0.33</v>
      </c>
      <c r="H121" s="22">
        <f t="shared" si="43"/>
        <v>0.1419</v>
      </c>
      <c r="J121" t="str">
        <f t="shared" si="44"/>
        <v>Manure management</v>
      </c>
      <c r="K121" t="str">
        <f t="shared" si="45"/>
        <v>CH4</v>
      </c>
      <c r="L121" s="21">
        <v>3.74</v>
      </c>
      <c r="M121" t="s">
        <v>144</v>
      </c>
      <c r="N121" s="22">
        <f t="shared" si="46"/>
        <v>1.2342000000000002</v>
      </c>
      <c r="P121" t="str">
        <f t="shared" si="47"/>
        <v>Manure management</v>
      </c>
      <c r="Q121" t="str">
        <f t="shared" si="48"/>
        <v>N2O</v>
      </c>
      <c r="R121" s="21">
        <v>11.04</v>
      </c>
      <c r="S121" t="s">
        <v>311</v>
      </c>
      <c r="T121" s="22">
        <f t="shared" si="49"/>
        <v>3.6431999999999998</v>
      </c>
    </row>
    <row r="122" spans="1:20" x14ac:dyDescent="0.3">
      <c r="A122" s="14" t="s">
        <v>265</v>
      </c>
      <c r="B122" t="str">
        <f t="shared" si="41"/>
        <v>Enteric fermentation</v>
      </c>
      <c r="C122" t="str">
        <f t="shared" si="42"/>
        <v>CH4</v>
      </c>
      <c r="D122" s="21">
        <v>2.41</v>
      </c>
      <c r="E122" t="s">
        <v>144</v>
      </c>
      <c r="F122" s="21">
        <v>9564</v>
      </c>
      <c r="G122">
        <f t="shared" si="50"/>
        <v>6.0000000000000001E-3</v>
      </c>
      <c r="H122" s="22">
        <f t="shared" si="43"/>
        <v>1.4460000000000001E-2</v>
      </c>
      <c r="J122" t="str">
        <f t="shared" si="44"/>
        <v>Manure management</v>
      </c>
      <c r="K122" t="str">
        <f t="shared" si="45"/>
        <v>CH4</v>
      </c>
      <c r="L122" s="21">
        <v>20.96</v>
      </c>
      <c r="M122" t="s">
        <v>144</v>
      </c>
      <c r="N122" s="22">
        <f t="shared" si="46"/>
        <v>0.12576000000000001</v>
      </c>
      <c r="P122" t="str">
        <f t="shared" si="47"/>
        <v>Manure management</v>
      </c>
      <c r="Q122" t="str">
        <f t="shared" si="48"/>
        <v>N2O</v>
      </c>
      <c r="R122" s="21">
        <v>12.25</v>
      </c>
      <c r="S122" t="s">
        <v>311</v>
      </c>
      <c r="T122" s="22">
        <f t="shared" si="49"/>
        <v>7.3499999999999996E-2</v>
      </c>
    </row>
    <row r="123" spans="1:20" x14ac:dyDescent="0.3">
      <c r="A123" s="14" t="s">
        <v>266</v>
      </c>
      <c r="B123" t="str">
        <f t="shared" si="41"/>
        <v>Enteric fermentation</v>
      </c>
      <c r="C123" t="str">
        <f t="shared" si="42"/>
        <v>CH4</v>
      </c>
      <c r="D123" s="21">
        <v>2.41</v>
      </c>
      <c r="E123" t="s">
        <v>144</v>
      </c>
      <c r="F123" s="21">
        <v>82888</v>
      </c>
      <c r="G123">
        <f t="shared" si="50"/>
        <v>5.1999999999999998E-2</v>
      </c>
      <c r="H123" s="22">
        <f t="shared" si="43"/>
        <v>0.12532000000000001</v>
      </c>
      <c r="J123" t="str">
        <f t="shared" si="44"/>
        <v>Manure management</v>
      </c>
      <c r="K123" t="str">
        <f t="shared" si="45"/>
        <v>CH4</v>
      </c>
      <c r="L123" s="21">
        <v>20.96</v>
      </c>
      <c r="M123" t="s">
        <v>144</v>
      </c>
      <c r="N123" s="22">
        <f t="shared" si="46"/>
        <v>1.08992</v>
      </c>
      <c r="P123" t="str">
        <f t="shared" si="47"/>
        <v>Manure management</v>
      </c>
      <c r="Q123" t="str">
        <f t="shared" si="48"/>
        <v>N2O</v>
      </c>
      <c r="R123" s="21">
        <v>12.23</v>
      </c>
      <c r="S123" t="s">
        <v>311</v>
      </c>
      <c r="T123" s="22">
        <f t="shared" si="49"/>
        <v>0.63595999999999997</v>
      </c>
    </row>
    <row r="124" spans="1:20" x14ac:dyDescent="0.3">
      <c r="A124" s="14" t="s">
        <v>267</v>
      </c>
      <c r="B124" t="str">
        <f t="shared" si="41"/>
        <v>Enteric fermentation</v>
      </c>
      <c r="C124" t="str">
        <f t="shared" si="42"/>
        <v>CH4</v>
      </c>
      <c r="D124" s="21">
        <v>0.79</v>
      </c>
      <c r="E124" t="s">
        <v>144</v>
      </c>
      <c r="F124" s="21">
        <v>7701.5822103987002</v>
      </c>
      <c r="G124">
        <f>F124/SUM($F$124:$F$133)</f>
        <v>3.6999999999999998E-2</v>
      </c>
      <c r="H124" s="22">
        <f t="shared" si="43"/>
        <v>2.9229999999999999E-2</v>
      </c>
      <c r="J124" t="str">
        <f t="shared" si="44"/>
        <v>Manure management</v>
      </c>
      <c r="K124" t="str">
        <f t="shared" si="45"/>
        <v>CH4</v>
      </c>
      <c r="L124" s="21">
        <v>0.46</v>
      </c>
      <c r="M124" t="s">
        <v>144</v>
      </c>
      <c r="N124" s="22">
        <f t="shared" si="46"/>
        <v>1.702E-2</v>
      </c>
      <c r="P124" t="str">
        <f t="shared" si="47"/>
        <v>Manure management</v>
      </c>
      <c r="Q124" t="str">
        <f t="shared" si="48"/>
        <v>N2O</v>
      </c>
      <c r="R124" s="21">
        <v>11.04</v>
      </c>
      <c r="S124" t="s">
        <v>311</v>
      </c>
      <c r="T124" s="22">
        <f t="shared" si="49"/>
        <v>0.40847999999999995</v>
      </c>
    </row>
    <row r="125" spans="1:20" x14ac:dyDescent="0.3">
      <c r="A125" s="14" t="s">
        <v>268</v>
      </c>
      <c r="B125" t="str">
        <f t="shared" si="41"/>
        <v>Enteric fermentation</v>
      </c>
      <c r="C125" t="str">
        <f t="shared" si="42"/>
        <v>CH4</v>
      </c>
      <c r="D125" s="21">
        <v>1.55</v>
      </c>
      <c r="E125" t="s">
        <v>144</v>
      </c>
      <c r="F125" s="21">
        <v>3746.7156699236921</v>
      </c>
      <c r="G125">
        <f t="shared" ref="G125:G133" si="51">F125/SUM($F$124:$F$133)</f>
        <v>1.7999999999999999E-2</v>
      </c>
      <c r="H125" s="22">
        <f t="shared" si="43"/>
        <v>2.7899999999999998E-2</v>
      </c>
      <c r="J125" t="str">
        <f t="shared" si="44"/>
        <v>Manure management</v>
      </c>
      <c r="K125" t="str">
        <f t="shared" si="45"/>
        <v>CH4</v>
      </c>
      <c r="L125" s="21">
        <v>0.37</v>
      </c>
      <c r="M125" t="s">
        <v>144</v>
      </c>
      <c r="N125" s="22">
        <f t="shared" si="46"/>
        <v>6.6599999999999993E-3</v>
      </c>
      <c r="P125" t="str">
        <f t="shared" si="47"/>
        <v>Manure management</v>
      </c>
      <c r="Q125" t="str">
        <f t="shared" si="48"/>
        <v>N2O</v>
      </c>
      <c r="R125" s="21">
        <v>14.59</v>
      </c>
      <c r="S125" t="s">
        <v>311</v>
      </c>
      <c r="T125" s="22">
        <f t="shared" si="49"/>
        <v>0.26261999999999996</v>
      </c>
    </row>
    <row r="126" spans="1:20" x14ac:dyDescent="0.3">
      <c r="A126" s="14" t="s">
        <v>269</v>
      </c>
      <c r="B126" t="str">
        <f t="shared" si="41"/>
        <v>Enteric fermentation</v>
      </c>
      <c r="C126" t="str">
        <f t="shared" si="42"/>
        <v>CH4</v>
      </c>
      <c r="D126" s="21">
        <v>1.55</v>
      </c>
      <c r="E126" t="s">
        <v>144</v>
      </c>
      <c r="F126" s="21">
        <v>1873.357834961846</v>
      </c>
      <c r="G126">
        <f t="shared" si="51"/>
        <v>8.9999999999999993E-3</v>
      </c>
      <c r="H126" s="22">
        <f t="shared" si="43"/>
        <v>1.3949999999999999E-2</v>
      </c>
      <c r="J126" t="str">
        <f t="shared" si="44"/>
        <v>Manure management</v>
      </c>
      <c r="K126" t="str">
        <f t="shared" si="45"/>
        <v>CH4</v>
      </c>
      <c r="L126" s="21">
        <v>0.37</v>
      </c>
      <c r="M126" t="s">
        <v>144</v>
      </c>
      <c r="N126" s="22">
        <f t="shared" si="46"/>
        <v>3.3299999999999996E-3</v>
      </c>
      <c r="P126" t="str">
        <f t="shared" si="47"/>
        <v>Manure management</v>
      </c>
      <c r="Q126" t="str">
        <f t="shared" si="48"/>
        <v>N2O</v>
      </c>
      <c r="R126" s="21">
        <v>14.59</v>
      </c>
      <c r="S126" t="s">
        <v>311</v>
      </c>
      <c r="T126" s="22">
        <f t="shared" si="49"/>
        <v>0.13130999999999998</v>
      </c>
    </row>
    <row r="127" spans="1:20" x14ac:dyDescent="0.3">
      <c r="A127" s="14" t="s">
        <v>270</v>
      </c>
      <c r="B127" t="str">
        <f t="shared" si="41"/>
        <v>Enteric fermentation</v>
      </c>
      <c r="C127" t="str">
        <f t="shared" si="42"/>
        <v>CH4</v>
      </c>
      <c r="D127" s="21">
        <v>1.24</v>
      </c>
      <c r="E127" t="s">
        <v>144</v>
      </c>
      <c r="F127" s="21">
        <v>15819.466161900034</v>
      </c>
      <c r="G127">
        <f t="shared" si="51"/>
        <v>7.5999999999999998E-2</v>
      </c>
      <c r="H127" s="22">
        <f t="shared" si="43"/>
        <v>9.423999999999999E-2</v>
      </c>
      <c r="J127" t="str">
        <f t="shared" si="44"/>
        <v>Manure management</v>
      </c>
      <c r="K127" t="str">
        <f t="shared" si="45"/>
        <v>CH4</v>
      </c>
      <c r="L127" s="21">
        <v>0.3</v>
      </c>
      <c r="M127" t="s">
        <v>144</v>
      </c>
      <c r="N127" s="22">
        <f t="shared" si="46"/>
        <v>2.2799999999999997E-2</v>
      </c>
      <c r="P127" t="str">
        <f t="shared" si="47"/>
        <v>Manure management</v>
      </c>
      <c r="Q127" t="str">
        <f t="shared" si="48"/>
        <v>N2O</v>
      </c>
      <c r="R127" s="21">
        <v>20.7</v>
      </c>
      <c r="S127" t="s">
        <v>311</v>
      </c>
      <c r="T127" s="22">
        <f t="shared" si="49"/>
        <v>1.5731999999999999</v>
      </c>
    </row>
    <row r="128" spans="1:20" x14ac:dyDescent="0.3">
      <c r="A128" s="14" t="s">
        <v>271</v>
      </c>
      <c r="B128" t="str">
        <f t="shared" si="41"/>
        <v>Enteric fermentation</v>
      </c>
      <c r="C128" t="str">
        <f t="shared" si="42"/>
        <v>CH4</v>
      </c>
      <c r="D128" s="21">
        <v>1.72</v>
      </c>
      <c r="E128" t="s">
        <v>144</v>
      </c>
      <c r="F128" s="21">
        <v>57033.338531060654</v>
      </c>
      <c r="G128">
        <f t="shared" si="51"/>
        <v>0.27400000000000002</v>
      </c>
      <c r="H128" s="22">
        <f t="shared" si="43"/>
        <v>0.47128000000000003</v>
      </c>
      <c r="J128" t="str">
        <f t="shared" si="44"/>
        <v>Manure management</v>
      </c>
      <c r="K128" t="str">
        <f t="shared" si="45"/>
        <v>CH4</v>
      </c>
      <c r="L128" s="21">
        <v>0.42</v>
      </c>
      <c r="M128" t="s">
        <v>144</v>
      </c>
      <c r="N128" s="22">
        <f t="shared" si="46"/>
        <v>0.11508</v>
      </c>
      <c r="P128" t="str">
        <f t="shared" si="47"/>
        <v>Manure management</v>
      </c>
      <c r="Q128" t="str">
        <f t="shared" si="48"/>
        <v>N2O</v>
      </c>
      <c r="R128" s="21">
        <v>20.7</v>
      </c>
      <c r="S128" t="s">
        <v>311</v>
      </c>
      <c r="T128" s="22">
        <f t="shared" si="49"/>
        <v>5.6718000000000002</v>
      </c>
    </row>
    <row r="129" spans="1:20" x14ac:dyDescent="0.3">
      <c r="A129" s="14" t="s">
        <v>272</v>
      </c>
      <c r="B129" t="str">
        <f t="shared" si="41"/>
        <v>Enteric fermentation</v>
      </c>
      <c r="C129" t="str">
        <f t="shared" si="42"/>
        <v>CH4</v>
      </c>
      <c r="D129" s="21">
        <v>3.27</v>
      </c>
      <c r="E129" t="s">
        <v>144</v>
      </c>
      <c r="F129" s="21">
        <v>10199.392657014496</v>
      </c>
      <c r="G129">
        <f t="shared" si="51"/>
        <v>4.9000000000000002E-2</v>
      </c>
      <c r="H129" s="22">
        <f t="shared" si="43"/>
        <v>0.16023000000000001</v>
      </c>
      <c r="J129" t="str">
        <f t="shared" si="44"/>
        <v>Manure management</v>
      </c>
      <c r="K129" t="str">
        <f t="shared" si="45"/>
        <v>CH4</v>
      </c>
      <c r="L129" s="21">
        <v>0.79</v>
      </c>
      <c r="M129" t="s">
        <v>144</v>
      </c>
      <c r="N129" s="22">
        <f t="shared" si="46"/>
        <v>3.8710000000000001E-2</v>
      </c>
      <c r="P129" t="str">
        <f t="shared" si="47"/>
        <v>Manure management</v>
      </c>
      <c r="Q129" t="str">
        <f t="shared" si="48"/>
        <v>N2O</v>
      </c>
      <c r="R129" s="21">
        <v>20.7</v>
      </c>
      <c r="S129" t="s">
        <v>311</v>
      </c>
      <c r="T129" s="22">
        <f t="shared" si="49"/>
        <v>1.0143</v>
      </c>
    </row>
    <row r="130" spans="1:20" x14ac:dyDescent="0.3">
      <c r="A130" s="14" t="s">
        <v>273</v>
      </c>
      <c r="B130" t="str">
        <f t="shared" si="41"/>
        <v>Enteric fermentation</v>
      </c>
      <c r="C130" t="str">
        <f t="shared" si="42"/>
        <v>CH4</v>
      </c>
      <c r="D130" s="21">
        <v>0.41</v>
      </c>
      <c r="E130" t="s">
        <v>144</v>
      </c>
      <c r="F130" s="21">
        <v>43087.230204122461</v>
      </c>
      <c r="G130">
        <f t="shared" si="51"/>
        <v>0.20699999999999999</v>
      </c>
      <c r="H130" s="22">
        <f t="shared" si="43"/>
        <v>8.4869999999999987E-2</v>
      </c>
      <c r="J130" t="str">
        <f t="shared" si="44"/>
        <v>Manure management</v>
      </c>
      <c r="K130" t="str">
        <f t="shared" si="45"/>
        <v>CH4</v>
      </c>
      <c r="L130" s="21">
        <v>0.4</v>
      </c>
      <c r="M130" t="s">
        <v>144</v>
      </c>
      <c r="N130" s="22">
        <f t="shared" si="46"/>
        <v>8.2799999999999999E-2</v>
      </c>
      <c r="P130" t="str">
        <f t="shared" si="47"/>
        <v>Manure management</v>
      </c>
      <c r="Q130" t="str">
        <f t="shared" si="48"/>
        <v>N2O</v>
      </c>
      <c r="R130" s="21">
        <v>11.04</v>
      </c>
      <c r="S130" t="s">
        <v>311</v>
      </c>
      <c r="T130" s="22">
        <f t="shared" si="49"/>
        <v>2.2852799999999998</v>
      </c>
    </row>
    <row r="131" spans="1:20" x14ac:dyDescent="0.3">
      <c r="A131" s="14" t="s">
        <v>274</v>
      </c>
      <c r="B131" t="str">
        <f t="shared" si="41"/>
        <v>Enteric fermentation</v>
      </c>
      <c r="C131" t="str">
        <f t="shared" si="42"/>
        <v>CH4</v>
      </c>
      <c r="D131" s="21">
        <v>0.34</v>
      </c>
      <c r="E131" t="s">
        <v>144</v>
      </c>
      <c r="F131" s="21">
        <v>50996.963285072481</v>
      </c>
      <c r="G131">
        <f t="shared" si="51"/>
        <v>0.245</v>
      </c>
      <c r="H131" s="22">
        <f t="shared" si="43"/>
        <v>8.3299999999999999E-2</v>
      </c>
      <c r="J131" t="str">
        <f t="shared" si="44"/>
        <v>Manure management</v>
      </c>
      <c r="K131" t="str">
        <f t="shared" si="45"/>
        <v>CH4</v>
      </c>
      <c r="L131" s="21">
        <v>0.08</v>
      </c>
      <c r="M131" t="s">
        <v>144</v>
      </c>
      <c r="N131" s="22">
        <f t="shared" si="46"/>
        <v>1.9599999999999999E-2</v>
      </c>
      <c r="P131" t="str">
        <f t="shared" si="47"/>
        <v>Manure management</v>
      </c>
      <c r="Q131" t="str">
        <f t="shared" si="48"/>
        <v>N2O</v>
      </c>
      <c r="R131" s="21">
        <v>11.04</v>
      </c>
      <c r="S131" t="s">
        <v>311</v>
      </c>
      <c r="T131" s="22">
        <f t="shared" si="49"/>
        <v>2.7047999999999996</v>
      </c>
    </row>
    <row r="132" spans="1:20" x14ac:dyDescent="0.3">
      <c r="A132" s="14" t="s">
        <v>275</v>
      </c>
      <c r="B132" t="str">
        <f t="shared" si="41"/>
        <v>Enteric fermentation</v>
      </c>
      <c r="C132" t="str">
        <f t="shared" si="42"/>
        <v>CH4</v>
      </c>
      <c r="D132" s="21">
        <v>1.93</v>
      </c>
      <c r="E132" t="s">
        <v>144</v>
      </c>
      <c r="F132" s="21">
        <v>1873.357834961846</v>
      </c>
      <c r="G132">
        <f t="shared" si="51"/>
        <v>8.9999999999999993E-3</v>
      </c>
      <c r="H132" s="22">
        <f t="shared" si="43"/>
        <v>1.7369999999999997E-2</v>
      </c>
      <c r="J132" t="str">
        <f t="shared" si="44"/>
        <v>Manure management</v>
      </c>
      <c r="K132" t="str">
        <f t="shared" si="45"/>
        <v>CH4</v>
      </c>
      <c r="L132" s="21">
        <v>0.46</v>
      </c>
      <c r="M132" t="s">
        <v>144</v>
      </c>
      <c r="N132" s="22">
        <f t="shared" si="46"/>
        <v>4.1399999999999996E-3</v>
      </c>
      <c r="P132" t="str">
        <f t="shared" si="47"/>
        <v>Manure management</v>
      </c>
      <c r="Q132" t="str">
        <f t="shared" si="48"/>
        <v>N2O</v>
      </c>
      <c r="R132" s="21">
        <v>12.25</v>
      </c>
      <c r="S132" t="s">
        <v>311</v>
      </c>
      <c r="T132" s="22">
        <f t="shared" si="49"/>
        <v>0.11024999999999999</v>
      </c>
    </row>
    <row r="133" spans="1:20" x14ac:dyDescent="0.3">
      <c r="A133" s="14" t="s">
        <v>276</v>
      </c>
      <c r="B133" t="str">
        <f t="shared" si="41"/>
        <v>Enteric fermentation</v>
      </c>
      <c r="C133" t="str">
        <f t="shared" si="42"/>
        <v>CH4</v>
      </c>
      <c r="D133" s="21">
        <v>1.93</v>
      </c>
      <c r="E133" t="s">
        <v>144</v>
      </c>
      <c r="F133" s="21">
        <v>15819.466161900034</v>
      </c>
      <c r="G133">
        <f t="shared" si="51"/>
        <v>7.5999999999999998E-2</v>
      </c>
      <c r="H133" s="22">
        <f t="shared" si="43"/>
        <v>0.14668</v>
      </c>
      <c r="J133" t="str">
        <f t="shared" si="44"/>
        <v>Manure management</v>
      </c>
      <c r="K133" t="str">
        <f t="shared" si="45"/>
        <v>CH4</v>
      </c>
      <c r="L133" s="21">
        <v>0.46</v>
      </c>
      <c r="M133" t="s">
        <v>144</v>
      </c>
      <c r="N133" s="22">
        <f t="shared" si="46"/>
        <v>3.4959999999999998E-2</v>
      </c>
      <c r="P133" t="str">
        <f t="shared" si="47"/>
        <v>Manure management</v>
      </c>
      <c r="Q133" t="str">
        <f t="shared" si="48"/>
        <v>N2O</v>
      </c>
      <c r="R133" s="21">
        <v>12.23</v>
      </c>
      <c r="S133" t="s">
        <v>311</v>
      </c>
      <c r="T133" s="22">
        <f t="shared" si="49"/>
        <v>0.92947999999999997</v>
      </c>
    </row>
    <row r="134" spans="1:20" x14ac:dyDescent="0.3">
      <c r="A134" s="13" t="s">
        <v>288</v>
      </c>
      <c r="M134" s="13"/>
    </row>
    <row r="135" spans="1:20" x14ac:dyDescent="0.3">
      <c r="A135" s="14" t="s">
        <v>289</v>
      </c>
      <c r="F135" s="21">
        <v>88431266.728296682</v>
      </c>
      <c r="J135" t="str">
        <f t="shared" ref="J135:J138" si="52">$J$5</f>
        <v>Manure management</v>
      </c>
      <c r="K135" t="str">
        <f t="shared" ref="K135:K138" si="53">$K$5</f>
        <v>CH4</v>
      </c>
      <c r="L135" s="21">
        <v>2.35E-2</v>
      </c>
      <c r="M135" t="s">
        <v>144</v>
      </c>
      <c r="N135" s="22">
        <f>L135</f>
        <v>2.35E-2</v>
      </c>
      <c r="P135" t="str">
        <f t="shared" ref="P135:P138" si="54">$P$5</f>
        <v>Manure management</v>
      </c>
      <c r="Q135" t="str">
        <f t="shared" ref="Q135:Q138" si="55">$Q$5</f>
        <v>N2O</v>
      </c>
      <c r="R135" s="21">
        <v>0.7</v>
      </c>
      <c r="S135" t="s">
        <v>311</v>
      </c>
      <c r="T135" s="22">
        <f>R135</f>
        <v>0.7</v>
      </c>
    </row>
    <row r="136" spans="1:20" x14ac:dyDescent="0.3">
      <c r="A136" s="14" t="s">
        <v>290</v>
      </c>
      <c r="F136" s="21">
        <v>23091061.215630483</v>
      </c>
      <c r="J136" t="str">
        <f t="shared" si="52"/>
        <v>Manure management</v>
      </c>
      <c r="K136" t="str">
        <f t="shared" si="53"/>
        <v>CH4</v>
      </c>
      <c r="L136" s="21">
        <v>2.35E-2</v>
      </c>
      <c r="M136" t="s">
        <v>144</v>
      </c>
      <c r="N136" s="22">
        <f t="shared" ref="N136:N138" si="56">L136</f>
        <v>2.35E-2</v>
      </c>
      <c r="P136" t="str">
        <f t="shared" si="54"/>
        <v>Manure management</v>
      </c>
      <c r="Q136" t="str">
        <f t="shared" si="55"/>
        <v>N2O</v>
      </c>
      <c r="R136" s="21">
        <v>0.6</v>
      </c>
      <c r="S136" t="s">
        <v>311</v>
      </c>
      <c r="T136" s="22">
        <f t="shared" ref="T136:T138" si="57">R136</f>
        <v>0.6</v>
      </c>
    </row>
    <row r="137" spans="1:20" x14ac:dyDescent="0.3">
      <c r="A137" s="14" t="s">
        <v>291</v>
      </c>
      <c r="F137" s="21">
        <v>3714113.2025884609</v>
      </c>
      <c r="J137" t="str">
        <f t="shared" si="52"/>
        <v>Manure management</v>
      </c>
      <c r="K137" t="str">
        <f t="shared" si="53"/>
        <v>CH4</v>
      </c>
      <c r="L137" s="21">
        <v>2.35E-2</v>
      </c>
      <c r="M137" t="s">
        <v>144</v>
      </c>
      <c r="N137" s="22">
        <f t="shared" si="56"/>
        <v>2.35E-2</v>
      </c>
      <c r="P137" t="str">
        <f t="shared" si="54"/>
        <v>Manure management</v>
      </c>
      <c r="Q137" t="str">
        <f t="shared" si="55"/>
        <v>N2O</v>
      </c>
      <c r="R137" s="21">
        <v>0.7</v>
      </c>
      <c r="S137" t="s">
        <v>311</v>
      </c>
      <c r="T137" s="22">
        <f t="shared" si="57"/>
        <v>0.7</v>
      </c>
    </row>
    <row r="138" spans="1:20" x14ac:dyDescent="0.3">
      <c r="A138" s="14" t="s">
        <v>292</v>
      </c>
      <c r="F138" s="21">
        <v>969824.57105648029</v>
      </c>
      <c r="J138" t="str">
        <f t="shared" si="52"/>
        <v>Manure management</v>
      </c>
      <c r="K138" t="str">
        <f t="shared" si="53"/>
        <v>CH4</v>
      </c>
      <c r="L138" s="21">
        <v>2.35E-2</v>
      </c>
      <c r="M138" t="s">
        <v>144</v>
      </c>
      <c r="N138" s="22">
        <f t="shared" si="56"/>
        <v>2.35E-2</v>
      </c>
      <c r="P138" t="str">
        <f t="shared" si="54"/>
        <v>Manure management</v>
      </c>
      <c r="Q138" t="str">
        <f t="shared" si="55"/>
        <v>N2O</v>
      </c>
      <c r="R138" s="21">
        <v>0.6</v>
      </c>
      <c r="S138" t="s">
        <v>311</v>
      </c>
      <c r="T138" s="22">
        <f t="shared" si="57"/>
        <v>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V187"/>
  <sheetViews>
    <sheetView workbookViewId="0">
      <pane xSplit="7" ySplit="3" topLeftCell="AD92" activePane="bottomRight" state="frozen"/>
      <selection pane="topRight" activeCell="H1" sqref="H1"/>
      <selection pane="bottomLeft" activeCell="A4" sqref="A4"/>
      <selection pane="bottomRight" activeCell="AD155" sqref="AD155"/>
    </sheetView>
  </sheetViews>
  <sheetFormatPr defaultColWidth="8.77734375" defaultRowHeight="14.4" x14ac:dyDescent="0.3"/>
  <cols>
    <col min="1" max="1" width="15.44140625" customWidth="1"/>
    <col min="2" max="2" width="31" customWidth="1"/>
    <col min="3" max="3" width="27.6640625" customWidth="1"/>
    <col min="4" max="4" width="48.44140625" customWidth="1"/>
    <col min="5" max="5" width="33.33203125" customWidth="1"/>
    <col min="6" max="6" width="7.44140625" customWidth="1"/>
    <col min="7" max="7" width="14" customWidth="1"/>
    <col min="8" max="35" width="9.6640625" customWidth="1"/>
    <col min="36" max="36" width="9.44140625" customWidth="1"/>
    <col min="51" max="52" width="9.44140625" customWidth="1"/>
    <col min="53" max="53" width="9.6640625" customWidth="1"/>
  </cols>
  <sheetData>
    <row r="1" spans="1:74" ht="18" x14ac:dyDescent="0.35">
      <c r="A1" s="1" t="s">
        <v>658</v>
      </c>
    </row>
    <row r="3" spans="1:74" s="19" customFormat="1" ht="15.6" x14ac:dyDescent="0.3">
      <c r="A3" s="17" t="s">
        <v>4</v>
      </c>
      <c r="B3" s="17" t="s">
        <v>313</v>
      </c>
      <c r="C3" s="17" t="s">
        <v>315</v>
      </c>
      <c r="D3" s="17" t="s">
        <v>149</v>
      </c>
      <c r="E3" s="17" t="s">
        <v>150</v>
      </c>
      <c r="F3" s="17" t="s">
        <v>5</v>
      </c>
      <c r="G3" s="17" t="s">
        <v>0</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Q3" s="17"/>
      <c r="BR3" s="17"/>
      <c r="BS3" s="17"/>
      <c r="BT3" s="17"/>
      <c r="BU3" s="17"/>
      <c r="BV3" s="17"/>
    </row>
    <row r="4" spans="1:74" x14ac:dyDescent="0.3">
      <c r="A4" t="str">
        <f>'IPCC Categories'!A5</f>
        <v>3A Livestock</v>
      </c>
      <c r="B4" t="str">
        <f>'IPCC Categories'!B5</f>
        <v>3A1 Enteric fermentation (CH4)</v>
      </c>
      <c r="C4" t="str">
        <f>EF!C4</f>
        <v>3A1ai Dairy cattle</v>
      </c>
      <c r="D4" t="str">
        <f>EF!D4</f>
        <v>TMR</v>
      </c>
      <c r="E4" t="str">
        <f>'IPCC Categories'!F5&amp;" Emissions"</f>
        <v>Enteric fermentation Emissions</v>
      </c>
      <c r="F4" t="s">
        <v>121</v>
      </c>
      <c r="G4" t="s">
        <v>286</v>
      </c>
      <c r="H4" s="27">
        <f>IF(('Activity data'!H5*EF!$H4)*kgtoGg=0,"NO",('Activity data'!H5*EF!$H4)*kgtoGg)</f>
        <v>59.718917014778661</v>
      </c>
      <c r="I4" s="27">
        <f>IF(('Activity data'!I5*EF!$H4)*kgtoGg=0,"NO",('Activity data'!I5*EF!$H4)*kgtoGg)</f>
        <v>68.751985275543859</v>
      </c>
      <c r="J4" s="27">
        <f>IF(('Activity data'!J5*EF!$H4)*kgtoGg=0,"NO",('Activity data'!J5*EF!$H4)*kgtoGg)</f>
        <v>59.479363059114746</v>
      </c>
      <c r="K4" s="27">
        <f>IF(('Activity data'!K5*EF!$H4)*kgtoGg=0,"NO",('Activity data'!K5*EF!$H4)*kgtoGg)</f>
        <v>63.083438863990956</v>
      </c>
      <c r="L4" s="27">
        <f>IF(('Activity data'!L5*EF!$H4)*kgtoGg=0,"NO",('Activity data'!L5*EF!$H4)*kgtoGg)</f>
        <v>58.521147236459079</v>
      </c>
      <c r="M4" s="27">
        <f>IF(('Activity data'!M5*EF!$H4)*kgtoGg=0,"NO",('Activity data'!M5*EF!$H4)*kgtoGg)</f>
        <v>62.604330952663126</v>
      </c>
      <c r="N4" s="27">
        <f>IF(('Activity data'!N5*EF!$H4)*kgtoGg=0,"NO",('Activity data'!N5*EF!$H4)*kgtoGg)</f>
        <v>62.843884908327048</v>
      </c>
      <c r="O4" s="27">
        <f>IF(('Activity data'!O5*EF!$H4)*kgtoGg=0,"NO",('Activity data'!O5*EF!$H4)*kgtoGg)</f>
        <v>60.585617843135758</v>
      </c>
      <c r="P4" s="27">
        <f>IF(('Activity data'!P5*EF!$H4)*kgtoGg=0,"NO",('Activity data'!P5*EF!$H4)*kgtoGg)</f>
        <v>59.866955976144006</v>
      </c>
      <c r="Q4" s="27">
        <f>IF(('Activity data'!Q5*EF!$H4)*kgtoGg=0,"NO",('Activity data'!Q5*EF!$H4)*kgtoGg)</f>
        <v>58.80645868927229</v>
      </c>
      <c r="R4" s="27">
        <f>IF(('Activity data'!R5*EF!$H4)*kgtoGg=0,"NO",('Activity data'!R5*EF!$H4)*kgtoGg)</f>
        <v>75.720582929632371</v>
      </c>
      <c r="S4" s="27">
        <f>IF(('Activity data'!S5*EF!$H4)*kgtoGg=0,"NO",('Activity data'!S5*EF!$H4)*kgtoGg)</f>
        <v>75.481028973968449</v>
      </c>
      <c r="T4" s="27">
        <f>IF(('Activity data'!T5*EF!$H4)*kgtoGg=0,"NO",('Activity data'!T5*EF!$H4)*kgtoGg)</f>
        <v>65.820813840510098</v>
      </c>
      <c r="U4" s="27">
        <f>IF(('Activity data'!U5*EF!$H4)*kgtoGg=0,"NO",('Activity data'!U5*EF!$H4)*kgtoGg)</f>
        <v>59.866955976144006</v>
      </c>
      <c r="V4" s="27">
        <f>IF(('Activity data'!V5*EF!$H4)*kgtoGg=0,"NO",('Activity data'!V5*EF!$H4)*kgtoGg)</f>
        <v>57.802485369467341</v>
      </c>
      <c r="W4" s="27">
        <f>IF(('Activity data'!W5*EF!$H4)*kgtoGg=0,"NO",('Activity data'!W5*EF!$H4)*kgtoGg)</f>
        <v>61.885669085671374</v>
      </c>
      <c r="X4" s="27">
        <f>IF(('Activity data'!X5*EF!$H4)*kgtoGg=0,"NO",('Activity data'!X5*EF!$H4)*kgtoGg)</f>
        <v>60.539860345986469</v>
      </c>
      <c r="Y4" s="27">
        <f>IF(('Activity data'!Y5*EF!$H4)*kgtoGg=0,"NO",('Activity data'!Y5*EF!$H4)*kgtoGg)</f>
        <v>60.106509931807928</v>
      </c>
      <c r="Z4" s="27">
        <f>IF(('Activity data'!Z5*EF!$H4)*kgtoGg=0,"NO",('Activity data'!Z5*EF!$H4)*kgtoGg)</f>
        <v>73.610354825806411</v>
      </c>
      <c r="AA4" s="27">
        <f>IF(('Activity data'!AA5*EF!$H4)*kgtoGg=0,"NO",('Activity data'!AA5*EF!$H4)*kgtoGg)</f>
        <v>75.435271476819167</v>
      </c>
      <c r="AB4" s="27">
        <f>IF(('Activity data'!AB5*EF!$H4)*kgtoGg=0,"NO",('Activity data'!AB5*EF!$H4)*kgtoGg)</f>
        <v>75.435271476819167</v>
      </c>
      <c r="AC4" s="27">
        <f>IF(('Activity data'!AC5*EF!$H4)*kgtoGg=0,"NO",('Activity data'!AC5*EF!$H4)*kgtoGg)</f>
        <v>72.697896500300033</v>
      </c>
      <c r="AD4" s="27">
        <f>IF(('Activity data'!AD5*EF!$H4)*kgtoGg=0,"NO",('Activity data'!AD5*EF!$H4)*kgtoGg)</f>
        <v>72.246065125367707</v>
      </c>
      <c r="AE4" s="27">
        <f>IF(('Activity data'!AE5*EF!$H4)*kgtoGg=0,"NO",('Activity data'!AE5*EF!$H4)*kgtoGg)</f>
        <v>72.649957574793376</v>
      </c>
      <c r="AF4" s="27">
        <f>IF(('Activity data'!AF5*EF!$H4)*kgtoGg=0,"NO",('Activity data'!AF5*EF!$H4)*kgtoGg)</f>
        <v>73.223011790998029</v>
      </c>
      <c r="AG4" s="27">
        <f>IF(('Activity data'!AG5*EF!$H4)*kgtoGg=0,"NO",('Activity data'!AG5*EF!$H4)*kgtoGg)</f>
        <v>73.591260167761035</v>
      </c>
      <c r="AH4" s="27">
        <f>IF(('Activity data'!AH5*EF!$H4)*kgtoGg=0,"NO",('Activity data'!AH5*EF!$H4)*kgtoGg)</f>
        <v>73.835962898346551</v>
      </c>
      <c r="AI4" s="27">
        <f>IF(('Activity data'!AI5*EF!$H4)*kgtoGg=0,"NO",('Activity data'!AI5*EF!$H4)*kgtoGg)</f>
        <v>73.954711561483904</v>
      </c>
      <c r="AJ4" s="27">
        <f>IF(('Activity data'!AJ5*EF!$H4)*kgtoGg=0,"NO",('Activity data'!AJ5*EF!$H4)*kgtoGg)</f>
        <v>74.217071552078707</v>
      </c>
      <c r="AK4" s="27">
        <f>IF(('Activity data'!AK5*EF!$H4)*kgtoGg=0,"NO",('Activity data'!AK5*EF!$H4)*kgtoGg)</f>
        <v>74.518042528471312</v>
      </c>
      <c r="AL4" s="27">
        <f>IF(('Activity data'!AL5*EF!$H4)*kgtoGg=0,"NO",('Activity data'!AL5*EF!$H4)*kgtoGg)</f>
        <v>72.278060008832611</v>
      </c>
      <c r="AM4" s="27">
        <f>IF(('Activity data'!AM5*EF!$H4)*kgtoGg=0,"NO",('Activity data'!AM5*EF!$H4)*kgtoGg)</f>
        <v>73.038072409871731</v>
      </c>
      <c r="AN4" s="27">
        <f>IF(('Activity data'!AN5*EF!$H4)*kgtoGg=0,"NO",('Activity data'!AN5*EF!$H4)*kgtoGg)</f>
        <v>74.1505294629453</v>
      </c>
      <c r="AO4" s="27">
        <f>IF(('Activity data'!AO5*EF!$H4)*kgtoGg=0,"NO",('Activity data'!AO5*EF!$H4)*kgtoGg)</f>
        <v>74.727142714641815</v>
      </c>
      <c r="AP4" s="27">
        <f>IF(('Activity data'!AP5*EF!$H4)*kgtoGg=0,"NO",('Activity data'!AP5*EF!$H4)*kgtoGg)</f>
        <v>75.386134904907664</v>
      </c>
      <c r="AQ4" s="27">
        <f>IF(('Activity data'!AQ5*EF!$H4)*kgtoGg=0,"NO",('Activity data'!AQ5*EF!$H4)*kgtoGg)</f>
        <v>76.148849321322899</v>
      </c>
      <c r="AR4" s="27">
        <f>IF(('Activity data'!AR5*EF!$H4)*kgtoGg=0,"NO",('Activity data'!AR5*EF!$H4)*kgtoGg)</f>
        <v>76.927724649348932</v>
      </c>
      <c r="AS4" s="27">
        <f>IF(('Activity data'!AS5*EF!$H4)*kgtoGg=0,"NO",('Activity data'!AS5*EF!$H4)*kgtoGg)</f>
        <v>77.789839188812167</v>
      </c>
      <c r="AT4" s="27">
        <f>IF(('Activity data'!AT5*EF!$H4)*kgtoGg=0,"NO",('Activity data'!AT5*EF!$H4)*kgtoGg)</f>
        <v>78.678659679683463</v>
      </c>
      <c r="AU4" s="27">
        <f>IF(('Activity data'!AU5*EF!$H4)*kgtoGg=0,"NO",('Activity data'!AU5*EF!$H4)*kgtoGg)</f>
        <v>79.645214708438644</v>
      </c>
      <c r="AV4" s="27">
        <f>IF(('Activity data'!AV5*EF!$H4)*kgtoGg=0,"NO",('Activity data'!AV5*EF!$H4)*kgtoGg)</f>
        <v>80.63357341135027</v>
      </c>
      <c r="AW4" s="27">
        <f>IF(('Activity data'!AW5*EF!$H4)*kgtoGg=0,"NO",('Activity data'!AW5*EF!$H4)*kgtoGg)</f>
        <v>81.701326888312266</v>
      </c>
      <c r="AX4" s="27">
        <f>IF(('Activity data'!AX5*EF!$H4)*kgtoGg=0,"NO",('Activity data'!AX5*EF!$H4)*kgtoGg)</f>
        <v>82.754629010299467</v>
      </c>
      <c r="AY4" s="27">
        <f>IF(('Activity data'!AY5*EF!$H4)*kgtoGg=0,"NO",('Activity data'!AY5*EF!$H4)*kgtoGg)</f>
        <v>83.866381546619579</v>
      </c>
      <c r="AZ4" s="27">
        <f>IF(('Activity data'!AZ5*EF!$H4)*kgtoGg=0,"NO",('Activity data'!AZ5*EF!$H4)*kgtoGg)</f>
        <v>85.123957452137844</v>
      </c>
      <c r="BA4" s="27">
        <f>IF(('Activity data'!BA5*EF!$H4)*kgtoGg=0,"NO",('Activity data'!BA5*EF!$H4)*kgtoGg)</f>
        <v>86.31962290876946</v>
      </c>
      <c r="BB4" s="27">
        <f>IF(('Activity data'!BB5*EF!$H4)*kgtoGg=0,"NO",('Activity data'!BB5*EF!$H4)*kgtoGg)</f>
        <v>87.545771501366829</v>
      </c>
      <c r="BC4" s="27">
        <f>IF(('Activity data'!BC5*EF!$H4)*kgtoGg=0,"NO",('Activity data'!BC5*EF!$H4)*kgtoGg)</f>
        <v>88.857081922014302</v>
      </c>
      <c r="BD4" s="27">
        <f>IF(('Activity data'!BD5*EF!$H4)*kgtoGg=0,"NO",('Activity data'!BD5*EF!$H4)*kgtoGg)</f>
        <v>90.085621753712104</v>
      </c>
      <c r="BE4" s="27">
        <f>IF(('Activity data'!BE5*EF!$H4)*kgtoGg=0,"NO",('Activity data'!BE5*EF!$H4)*kgtoGg)</f>
        <v>91.307494637553916</v>
      </c>
      <c r="BF4" s="27">
        <f>IF(('Activity data'!BF5*EF!$H4)*kgtoGg=0,"NO",('Activity data'!BF5*EF!$H4)*kgtoGg)</f>
        <v>92.526099205531537</v>
      </c>
      <c r="BG4" s="27">
        <f>IF(('Activity data'!BG5*EF!$H4)*kgtoGg=0,"NO",('Activity data'!BG5*EF!$H4)*kgtoGg)</f>
        <v>93.815346302798517</v>
      </c>
      <c r="BH4" s="27">
        <f>IF(('Activity data'!BH5*EF!$H4)*kgtoGg=0,"NO",('Activity data'!BH5*EF!$H4)*kgtoGg)</f>
        <v>95.052737285389242</v>
      </c>
      <c r="BI4" s="27">
        <f>IF(('Activity data'!BI5*EF!$H4)*kgtoGg=0,"NO",('Activity data'!BI5*EF!$H4)*kgtoGg)</f>
        <v>96.338177882566526</v>
      </c>
      <c r="BJ4" s="27">
        <f>IF(('Activity data'!BJ5*EF!$H4)*kgtoGg=0,"NO",('Activity data'!BJ5*EF!$H4)*kgtoGg)</f>
        <v>97.677530754509618</v>
      </c>
      <c r="BK4" s="27">
        <f>IF(('Activity data'!BK5*EF!$H4)*kgtoGg=0,"NO",('Activity data'!BK5*EF!$H4)*kgtoGg)</f>
        <v>99.08022368038182</v>
      </c>
      <c r="BL4" s="27">
        <f>IF(('Activity data'!BL5*EF!$H4)*kgtoGg=0,"NO",('Activity data'!BL5*EF!$H4)*kgtoGg)</f>
        <v>100.50772839666152</v>
      </c>
      <c r="BM4" s="27">
        <f>IF(('Activity data'!BM5*EF!$H4)*kgtoGg=0,"NO",('Activity data'!BM5*EF!$H4)*kgtoGg)</f>
        <v>100.84617835677685</v>
      </c>
      <c r="BN4" s="27">
        <f>IF(('Activity data'!BN5*EF!$H4)*kgtoGg=0,"NO",('Activity data'!BN5*EF!$H4)*kgtoGg)</f>
        <v>101.08705215806816</v>
      </c>
      <c r="BO4" s="27">
        <f>IF(('Activity data'!BO5*EF!$H4)*kgtoGg=0,"NO",('Activity data'!BO5*EF!$H4)*kgtoGg)</f>
        <v>101.18574255533849</v>
      </c>
      <c r="BP4" s="27">
        <f>IF(('Activity data'!BP5*EF!$H4)*kgtoGg=0,"NO",('Activity data'!BP5*EF!$H4)*kgtoGg)</f>
        <v>101.24533448141288</v>
      </c>
    </row>
    <row r="5" spans="1:74" x14ac:dyDescent="0.3">
      <c r="A5" t="str">
        <f>A4</f>
        <v>3A Livestock</v>
      </c>
      <c r="B5" t="str">
        <f>B4</f>
        <v>3A1 Enteric fermentation (CH4)</v>
      </c>
      <c r="C5" t="str">
        <f>EF!C5</f>
        <v>3A1ai Dairy cattle</v>
      </c>
      <c r="D5" t="str">
        <f>EF!D5</f>
        <v>Pasture</v>
      </c>
      <c r="E5" t="str">
        <f t="shared" ref="E5:G6" si="0">E4</f>
        <v>Enteric fermentation Emissions</v>
      </c>
      <c r="F5" t="str">
        <f t="shared" si="0"/>
        <v>CH4</v>
      </c>
      <c r="G5" t="str">
        <f t="shared" si="0"/>
        <v>Gg CH4</v>
      </c>
      <c r="H5" s="27">
        <f>IF(('Activity data'!H6*EF!$H5)*kgtoGg=0,"NO",('Activity data'!H6*EF!$H5)*kgtoGg)</f>
        <v>47.244302499713584</v>
      </c>
      <c r="I5" s="27">
        <f>IF(('Activity data'!I6*EF!$H5)*kgtoGg=0,"NO",('Activity data'!I6*EF!$H5)*kgtoGg)</f>
        <v>54.390463728768381</v>
      </c>
      <c r="J5" s="27">
        <f>IF(('Activity data'!J6*EF!$H5)*kgtoGg=0,"NO",('Activity data'!J6*EF!$H5)*kgtoGg)</f>
        <v>47.054788688811946</v>
      </c>
      <c r="K5" s="27">
        <f>IF(('Activity data'!K6*EF!$H5)*kgtoGg=0,"NO",('Activity data'!K6*EF!$H5)*kgtoGg)</f>
        <v>49.90601332698369</v>
      </c>
      <c r="L5" s="27">
        <f>IF(('Activity data'!L6*EF!$H5)*kgtoGg=0,"NO",('Activity data'!L6*EF!$H5)*kgtoGg)</f>
        <v>46.296733445205426</v>
      </c>
      <c r="M5" s="27">
        <f>IF(('Activity data'!M6*EF!$H5)*kgtoGg=0,"NO",('Activity data'!M6*EF!$H5)*kgtoGg)</f>
        <v>49.526985705180429</v>
      </c>
      <c r="N5" s="27">
        <f>IF(('Activity data'!N6*EF!$H5)*kgtoGg=0,"NO",('Activity data'!N6*EF!$H5)*kgtoGg)</f>
        <v>49.71649951608206</v>
      </c>
      <c r="O5" s="27">
        <f>IF(('Activity data'!O6*EF!$H5)*kgtoGg=0,"NO",('Activity data'!O6*EF!$H5)*kgtoGg)</f>
        <v>47.929959208818367</v>
      </c>
      <c r="P5" s="27">
        <f>IF(('Activity data'!P6*EF!$H5)*kgtoGg=0,"NO",('Activity data'!P6*EF!$H5)*kgtoGg)</f>
        <v>47.36141777611347</v>
      </c>
      <c r="Q5" s="27">
        <f>IF(('Activity data'!Q6*EF!$H5)*kgtoGg=0,"NO",('Activity data'!Q6*EF!$H5)*kgtoGg)</f>
        <v>46.522446523357921</v>
      </c>
      <c r="R5" s="27">
        <f>IF(('Activity data'!R6*EF!$H5)*kgtoGg=0,"NO",('Activity data'!R6*EF!$H5)*kgtoGg)</f>
        <v>59.903399194210245</v>
      </c>
      <c r="S5" s="27">
        <f>IF(('Activity data'!S6*EF!$H5)*kgtoGg=0,"NO",('Activity data'!S6*EF!$H5)*kgtoGg)</f>
        <v>59.713885383308607</v>
      </c>
      <c r="T5" s="27">
        <f>IF(('Activity data'!T6*EF!$H5)*kgtoGg=0,"NO",('Activity data'!T6*EF!$H5)*kgtoGg)</f>
        <v>52.071581256050649</v>
      </c>
      <c r="U5" s="27">
        <f>IF(('Activity data'!U6*EF!$H5)*kgtoGg=0,"NO",('Activity data'!U6*EF!$H5)*kgtoGg)</f>
        <v>47.36141777611347</v>
      </c>
      <c r="V5" s="27">
        <f>IF(('Activity data'!V6*EF!$H5)*kgtoGg=0,"NO",('Activity data'!V6*EF!$H5)*kgtoGg)</f>
        <v>45.728192012500521</v>
      </c>
      <c r="W5" s="27">
        <f>IF(('Activity data'!W6*EF!$H5)*kgtoGg=0,"NO",('Activity data'!W6*EF!$H5)*kgtoGg)</f>
        <v>48.958444272475539</v>
      </c>
      <c r="X5" s="27">
        <f>IF(('Activity data'!X6*EF!$H5)*kgtoGg=0,"NO",('Activity data'!X6*EF!$H5)*kgtoGg)</f>
        <v>47.893759941567488</v>
      </c>
      <c r="Y5" s="27">
        <f>IF(('Activity data'!Y6*EF!$H5)*kgtoGg=0,"NO",('Activity data'!Y6*EF!$H5)*kgtoGg)</f>
        <v>47.550931587015107</v>
      </c>
      <c r="Z5" s="27">
        <f>IF(('Activity data'!Z6*EF!$H5)*kgtoGg=0,"NO",('Activity data'!Z6*EF!$H5)*kgtoGg)</f>
        <v>58.233974163346424</v>
      </c>
      <c r="AA5" s="27">
        <f>IF(('Activity data'!AA6*EF!$H5)*kgtoGg=0,"NO",('Activity data'!AA6*EF!$H5)*kgtoGg)</f>
        <v>59.677686116057721</v>
      </c>
      <c r="AB5" s="27">
        <f>IF(('Activity data'!AB6*EF!$H5)*kgtoGg=0,"NO",('Activity data'!AB6*EF!$H5)*kgtoGg)</f>
        <v>59.677686116057721</v>
      </c>
      <c r="AC5" s="27">
        <f>IF(('Activity data'!AC6*EF!$H5)*kgtoGg=0,"NO",('Activity data'!AC6*EF!$H5)*kgtoGg)</f>
        <v>57.512118186990755</v>
      </c>
      <c r="AD5" s="27">
        <f>IF(('Activity data'!AD6*EF!$H5)*kgtoGg=0,"NO",('Activity data'!AD6*EF!$H5)*kgtoGg)</f>
        <v>57.783598896292567</v>
      </c>
      <c r="AE5" s="27">
        <f>IF(('Activity data'!AE6*EF!$H5)*kgtoGg=0,"NO",('Activity data'!AE6*EF!$H5)*kgtoGg)</f>
        <v>58.106638763645272</v>
      </c>
      <c r="AF5" s="27">
        <f>IF(('Activity data'!AF6*EF!$H5)*kgtoGg=0,"NO",('Activity data'!AF6*EF!$H5)*kgtoGg)</f>
        <v>58.564977012483297</v>
      </c>
      <c r="AG5" s="27">
        <f>IF(('Activity data'!AG6*EF!$H5)*kgtoGg=0,"NO",('Activity data'!AG6*EF!$H5)*kgtoGg)</f>
        <v>58.859508160444918</v>
      </c>
      <c r="AH5" s="27">
        <f>IF(('Activity data'!AH6*EF!$H5)*kgtoGg=0,"NO",('Activity data'!AH6*EF!$H5)*kgtoGg)</f>
        <v>59.055225455337649</v>
      </c>
      <c r="AI5" s="27">
        <f>IF(('Activity data'!AI6*EF!$H5)*kgtoGg=0,"NO",('Activity data'!AI6*EF!$H5)*kgtoGg)</f>
        <v>59.150202601958597</v>
      </c>
      <c r="AJ5" s="27">
        <f>IF(('Activity data'!AJ6*EF!$H5)*kgtoGg=0,"NO",('Activity data'!AJ6*EF!$H5)*kgtoGg)</f>
        <v>59.360042465716688</v>
      </c>
      <c r="AK5" s="27">
        <f>IF(('Activity data'!AK6*EF!$H5)*kgtoGg=0,"NO",('Activity data'!AK6*EF!$H5)*kgtoGg)</f>
        <v>59.600764035107602</v>
      </c>
      <c r="AL5" s="27">
        <f>IF(('Activity data'!AL6*EF!$H5)*kgtoGg=0,"NO",('Activity data'!AL6*EF!$H5)*kgtoGg)</f>
        <v>57.809188933752196</v>
      </c>
      <c r="AM5" s="27">
        <f>IF(('Activity data'!AM6*EF!$H5)*kgtoGg=0,"NO",('Activity data'!AM6*EF!$H5)*kgtoGg)</f>
        <v>58.417059433849957</v>
      </c>
      <c r="AN5" s="27">
        <f>IF(('Activity data'!AN6*EF!$H5)*kgtoGg=0,"NO",('Activity data'!AN6*EF!$H5)*kgtoGg)</f>
        <v>59.306821001246142</v>
      </c>
      <c r="AO5" s="27">
        <f>IF(('Activity data'!AO6*EF!$H5)*kgtoGg=0,"NO",('Activity data'!AO6*EF!$H5)*kgtoGg)</f>
        <v>59.768005825589199</v>
      </c>
      <c r="AP5" s="27">
        <f>IF(('Activity data'!AP6*EF!$H5)*kgtoGg=0,"NO",('Activity data'!AP6*EF!$H5)*kgtoGg)</f>
        <v>60.295078688755297</v>
      </c>
      <c r="AQ5" s="27">
        <f>IF(('Activity data'!AQ6*EF!$H5)*kgtoGg=0,"NO",('Activity data'!AQ6*EF!$H5)*kgtoGg)</f>
        <v>60.905110305481806</v>
      </c>
      <c r="AR5" s="27">
        <f>IF(('Activity data'!AR6*EF!$H5)*kgtoGg=0,"NO",('Activity data'!AR6*EF!$H5)*kgtoGg)</f>
        <v>61.528067686853028</v>
      </c>
      <c r="AS5" s="27">
        <f>IF(('Activity data'!AS6*EF!$H5)*kgtoGg=0,"NO",('Activity data'!AS6*EF!$H5)*kgtoGg)</f>
        <v>62.217601167528549</v>
      </c>
      <c r="AT5" s="27">
        <f>IF(('Activity data'!AT6*EF!$H5)*kgtoGg=0,"NO",('Activity data'!AT6*EF!$H5)*kgtoGg)</f>
        <v>62.928494510248186</v>
      </c>
      <c r="AU5" s="27">
        <f>IF(('Activity data'!AU6*EF!$H5)*kgtoGg=0,"NO",('Activity data'!AU6*EF!$H5)*kgtoGg)</f>
        <v>63.701561223236183</v>
      </c>
      <c r="AV5" s="27">
        <f>IF(('Activity data'!AV6*EF!$H5)*kgtoGg=0,"NO",('Activity data'!AV6*EF!$H5)*kgtoGg)</f>
        <v>64.492066875766909</v>
      </c>
      <c r="AW5" s="27">
        <f>IF(('Activity data'!AW6*EF!$H5)*kgtoGg=0,"NO",('Activity data'!AW6*EF!$H5)*kgtoGg)</f>
        <v>65.346073782936557</v>
      </c>
      <c r="AX5" s="27">
        <f>IF(('Activity data'!AX6*EF!$H5)*kgtoGg=0,"NO",('Activity data'!AX6*EF!$H5)*kgtoGg)</f>
        <v>66.18852225716013</v>
      </c>
      <c r="AY5" s="27">
        <f>IF(('Activity data'!AY6*EF!$H5)*kgtoGg=0,"NO",('Activity data'!AY6*EF!$H5)*kgtoGg)</f>
        <v>67.077720340393881</v>
      </c>
      <c r="AZ5" s="27">
        <f>IF(('Activity data'!AZ6*EF!$H5)*kgtoGg=0,"NO",('Activity data'!AZ6*EF!$H5)*kgtoGg)</f>
        <v>68.083550368368549</v>
      </c>
      <c r="BA5" s="27">
        <f>IF(('Activity data'!BA6*EF!$H5)*kgtoGg=0,"NO",('Activity data'!BA6*EF!$H5)*kgtoGg)</f>
        <v>69.039863394417281</v>
      </c>
      <c r="BB5" s="27">
        <f>IF(('Activity data'!BB6*EF!$H5)*kgtoGg=0,"NO",('Activity data'!BB6*EF!$H5)*kgtoGg)</f>
        <v>70.020557337249372</v>
      </c>
      <c r="BC5" s="27">
        <f>IF(('Activity data'!BC6*EF!$H5)*kgtoGg=0,"NO",('Activity data'!BC6*EF!$H5)*kgtoGg)</f>
        <v>71.069365119981001</v>
      </c>
      <c r="BD5" s="27">
        <f>IF(('Activity data'!BD6*EF!$H5)*kgtoGg=0,"NO",('Activity data'!BD6*EF!$H5)*kgtoGg)</f>
        <v>72.051971615431754</v>
      </c>
      <c r="BE5" s="27">
        <f>IF(('Activity data'!BE6*EF!$H5)*kgtoGg=0,"NO",('Activity data'!BE6*EF!$H5)*kgtoGg)</f>
        <v>73.029245775618222</v>
      </c>
      <c r="BF5" s="27">
        <f>IF(('Activity data'!BF6*EF!$H5)*kgtoGg=0,"NO",('Activity data'!BF6*EF!$H5)*kgtoGg)</f>
        <v>74.003905882670679</v>
      </c>
      <c r="BG5" s="27">
        <f>IF(('Activity data'!BG6*EF!$H5)*kgtoGg=0,"NO",('Activity data'!BG6*EF!$H5)*kgtoGg)</f>
        <v>75.035067054111778</v>
      </c>
      <c r="BH5" s="27">
        <f>IF(('Activity data'!BH6*EF!$H5)*kgtoGg=0,"NO",('Activity data'!BH6*EF!$H5)*kgtoGg)</f>
        <v>76.024752846574486</v>
      </c>
      <c r="BI5" s="27">
        <f>IF(('Activity data'!BI6*EF!$H5)*kgtoGg=0,"NO",('Activity data'!BI6*EF!$H5)*kgtoGg)</f>
        <v>77.05286951622854</v>
      </c>
      <c r="BJ5" s="27">
        <f>IF(('Activity data'!BJ6*EF!$H5)*kgtoGg=0,"NO",('Activity data'!BJ6*EF!$H5)*kgtoGg)</f>
        <v>78.12410611573965</v>
      </c>
      <c r="BK5" s="27">
        <f>IF(('Activity data'!BK6*EF!$H5)*kgtoGg=0,"NO",('Activity data'!BK6*EF!$H5)*kgtoGg)</f>
        <v>79.246003138956311</v>
      </c>
      <c r="BL5" s="27">
        <f>IF(('Activity data'!BL6*EF!$H5)*kgtoGg=0,"NO",('Activity data'!BL6*EF!$H5)*kgtoGg)</f>
        <v>80.387745042891623</v>
      </c>
      <c r="BM5" s="27">
        <f>IF(('Activity data'!BM6*EF!$H5)*kgtoGg=0,"NO",('Activity data'!BM6*EF!$H5)*kgtoGg)</f>
        <v>80.658442923915771</v>
      </c>
      <c r="BN5" s="27">
        <f>IF(('Activity data'!BN6*EF!$H5)*kgtoGg=0,"NO",('Activity data'!BN6*EF!$H5)*kgtoGg)</f>
        <v>80.851097777772381</v>
      </c>
      <c r="BO5" s="27">
        <f>IF(('Activity data'!BO6*EF!$H5)*kgtoGg=0,"NO",('Activity data'!BO6*EF!$H5)*kgtoGg)</f>
        <v>80.930031991295138</v>
      </c>
      <c r="BP5" s="27">
        <f>IF(('Activity data'!BP6*EF!$H5)*kgtoGg=0,"NO",('Activity data'!BP6*EF!$H5)*kgtoGg)</f>
        <v>80.977694600293489</v>
      </c>
    </row>
    <row r="6" spans="1:74" x14ac:dyDescent="0.3">
      <c r="A6" t="str">
        <f t="shared" ref="A6:A53" si="1">A5</f>
        <v>3A Livestock</v>
      </c>
      <c r="B6" t="str">
        <f t="shared" ref="B6:B17" si="2">B5</f>
        <v>3A1 Enteric fermentation (CH4)</v>
      </c>
      <c r="C6" t="str">
        <f>EF!C6</f>
        <v>3A1aii Other cattle</v>
      </c>
      <c r="D6" t="str">
        <f>EF!D6</f>
        <v>Non-lactating</v>
      </c>
      <c r="E6" t="str">
        <f t="shared" si="0"/>
        <v>Enteric fermentation Emissions</v>
      </c>
      <c r="F6" t="str">
        <f t="shared" si="0"/>
        <v>CH4</v>
      </c>
      <c r="G6" t="str">
        <f t="shared" si="0"/>
        <v>Gg CH4</v>
      </c>
      <c r="H6" s="27">
        <f>IF(('Activity data'!H7*EF!$H6)*kgtoGg=0,"NO",('Activity data'!H7*EF!$H6)*kgtoGg)</f>
        <v>25.216780378245733</v>
      </c>
      <c r="I6" s="27">
        <f>IF(('Activity data'!I7*EF!$H6)*kgtoGg=0,"NO",('Activity data'!I7*EF!$H6)*kgtoGg)</f>
        <v>28.66289621274522</v>
      </c>
      <c r="J6" s="27">
        <f>IF(('Activity data'!J7*EF!$H6)*kgtoGg=0,"NO",('Activity data'!J7*EF!$H6)*kgtoGg)</f>
        <v>24.793479863671994</v>
      </c>
      <c r="K6" s="27">
        <f>IF(('Activity data'!K7*EF!$H6)*kgtoGg=0,"NO",('Activity data'!K7*EF!$H6)*kgtoGg)</f>
        <v>25.947161118330968</v>
      </c>
      <c r="L6" s="27">
        <f>IF(('Activity data'!L7*EF!$H6)*kgtoGg=0,"NO",('Activity data'!L7*EF!$H6)*kgtoGg)</f>
        <v>23.100277805377079</v>
      </c>
      <c r="M6" s="27">
        <f>IF(('Activity data'!M7*EF!$H6)*kgtoGg=0,"NO",('Activity data'!M7*EF!$H6)*kgtoGg)</f>
        <v>25.100560089183503</v>
      </c>
      <c r="N6" s="27">
        <f>IF(('Activity data'!N7*EF!$H6)*kgtoGg=0,"NO",('Activity data'!N7*EF!$H6)*kgtoGg)</f>
        <v>25.523860603757235</v>
      </c>
      <c r="O6" s="27">
        <f>IF(('Activity data'!O7*EF!$H6)*kgtoGg=0,"NO",('Activity data'!O7*EF!$H6)*kgtoGg)</f>
        <v>24.662331645132362</v>
      </c>
      <c r="P6" s="27">
        <f>IF(('Activity data'!P7*EF!$H6)*kgtoGg=0,"NO",('Activity data'!P7*EF!$H6)*kgtoGg)</f>
        <v>23.392430101411172</v>
      </c>
      <c r="Q6" s="27">
        <f>IF(('Activity data'!Q7*EF!$H6)*kgtoGg=0,"NO",('Activity data'!Q7*EF!$H6)*kgtoGg)</f>
        <v>24.647403715654953</v>
      </c>
      <c r="R6" s="27">
        <f>IF(('Activity data'!R7*EF!$H6)*kgtoGg=0,"NO",('Activity data'!R7*EF!$H6)*kgtoGg)</f>
        <v>30.546958207489421</v>
      </c>
      <c r="S6" s="27">
        <f>IF(('Activity data'!S7*EF!$H6)*kgtoGg=0,"NO",('Activity data'!S7*EF!$H6)*kgtoGg)</f>
        <v>30.123657692915693</v>
      </c>
      <c r="T6" s="27">
        <f>IF(('Activity data'!T7*EF!$H6)*kgtoGg=0,"NO",('Activity data'!T7*EF!$H6)*kgtoGg)</f>
        <v>27.655291106103299</v>
      </c>
      <c r="U6" s="27">
        <f>IF(('Activity data'!U7*EF!$H6)*kgtoGg=0,"NO",('Activity data'!U7*EF!$H6)*kgtoGg)</f>
        <v>23.392430101411172</v>
      </c>
      <c r="V6" s="27">
        <f>IF(('Activity data'!V7*EF!$H6)*kgtoGg=0,"NO",('Activity data'!V7*EF!$H6)*kgtoGg)</f>
        <v>21.830376261655886</v>
      </c>
      <c r="W6" s="27">
        <f>IF(('Activity data'!W7*EF!$H6)*kgtoGg=0,"NO",('Activity data'!W7*EF!$H6)*kgtoGg)</f>
        <v>23.830658545462317</v>
      </c>
      <c r="X6" s="27">
        <f>IF(('Activity data'!X7*EF!$H6)*kgtoGg=0,"NO",('Activity data'!X7*EF!$H6)*kgtoGg)</f>
        <v>23.53850624942822</v>
      </c>
      <c r="Y6" s="27">
        <f>IF(('Activity data'!Y7*EF!$H6)*kgtoGg=0,"NO",('Activity data'!Y7*EF!$H6)*kgtoGg)</f>
        <v>23.815730615984904</v>
      </c>
      <c r="Z6" s="27">
        <f>IF(('Activity data'!Z7*EF!$H6)*kgtoGg=0,"NO",('Activity data'!Z7*EF!$H6)*kgtoGg)</f>
        <v>27.861078972029997</v>
      </c>
      <c r="AA6" s="27">
        <f>IF(('Activity data'!AA7*EF!$H6)*kgtoGg=0,"NO",('Activity data'!AA7*EF!$H6)*kgtoGg)</f>
        <v>28.999832297211544</v>
      </c>
      <c r="AB6" s="27">
        <f>IF(('Activity data'!AB7*EF!$H6)*kgtoGg=0,"NO",('Activity data'!AB7*EF!$H6)*kgtoGg)</f>
        <v>28.999832297211544</v>
      </c>
      <c r="AC6" s="27">
        <f>IF(('Activity data'!AC7*EF!$H6)*kgtoGg=0,"NO",('Activity data'!AC7*EF!$H6)*kgtoGg)</f>
        <v>27.29170230943922</v>
      </c>
      <c r="AD6" s="27">
        <f>IF(('Activity data'!AD7*EF!$H6)*kgtoGg=0,"NO",('Activity data'!AD7*EF!$H6)*kgtoGg)</f>
        <v>26.126191807126649</v>
      </c>
      <c r="AE6" s="27">
        <f>IF(('Activity data'!AE7*EF!$H6)*kgtoGg=0,"NO",('Activity data'!AE7*EF!$H6)*kgtoGg)</f>
        <v>26.272250579806297</v>
      </c>
      <c r="AF6" s="27">
        <f>IF(('Activity data'!AF7*EF!$H6)*kgtoGg=0,"NO",('Activity data'!AF7*EF!$H6)*kgtoGg)</f>
        <v>26.479482964607669</v>
      </c>
      <c r="AG6" s="27">
        <f>IF(('Activity data'!AG7*EF!$H6)*kgtoGg=0,"NO",('Activity data'!AG7*EF!$H6)*kgtoGg)</f>
        <v>26.61265184663991</v>
      </c>
      <c r="AH6" s="27">
        <f>IF(('Activity data'!AH7*EF!$H6)*kgtoGg=0,"NO",('Activity data'!AH7*EF!$H6)*kgtoGg)</f>
        <v>26.701143177813595</v>
      </c>
      <c r="AI6" s="27">
        <f>IF(('Activity data'!AI7*EF!$H6)*kgtoGg=0,"NO",('Activity data'!AI7*EF!$H6)*kgtoGg)</f>
        <v>26.744086005835889</v>
      </c>
      <c r="AJ6" s="27">
        <f>IF(('Activity data'!AJ7*EF!$H6)*kgtoGg=0,"NO",('Activity data'!AJ7*EF!$H6)*kgtoGg)</f>
        <v>26.838962694620271</v>
      </c>
      <c r="AK6" s="27">
        <f>IF(('Activity data'!AK7*EF!$H6)*kgtoGg=0,"NO",('Activity data'!AK7*EF!$H6)*kgtoGg)</f>
        <v>26.947802192577246</v>
      </c>
      <c r="AL6" s="27">
        <f>IF(('Activity data'!AL7*EF!$H6)*kgtoGg=0,"NO",('Activity data'!AL7*EF!$H6)*kgtoGg)</f>
        <v>26.137762049198656</v>
      </c>
      <c r="AM6" s="27">
        <f>IF(('Activity data'!AM7*EF!$H6)*kgtoGg=0,"NO",('Activity data'!AM7*EF!$H6)*kgtoGg)</f>
        <v>26.412603727162519</v>
      </c>
      <c r="AN6" s="27">
        <f>IF(('Activity data'!AN7*EF!$H6)*kgtoGg=0,"NO",('Activity data'!AN7*EF!$H6)*kgtoGg)</f>
        <v>26.814899219593229</v>
      </c>
      <c r="AO6" s="27">
        <f>IF(('Activity data'!AO7*EF!$H6)*kgtoGg=0,"NO",('Activity data'!AO7*EF!$H6)*kgtoGg)</f>
        <v>27.023418650875932</v>
      </c>
      <c r="AP6" s="27">
        <f>IF(('Activity data'!AP7*EF!$H6)*kgtoGg=0,"NO",('Activity data'!AP7*EF!$H6)*kgtoGg)</f>
        <v>27.261728603568962</v>
      </c>
      <c r="AQ6" s="27">
        <f>IF(('Activity data'!AQ7*EF!$H6)*kgtoGg=0,"NO",('Activity data'!AQ7*EF!$H6)*kgtoGg)</f>
        <v>27.53754740564138</v>
      </c>
      <c r="AR6" s="27">
        <f>IF(('Activity data'!AR7*EF!$H6)*kgtoGg=0,"NO",('Activity data'!AR7*EF!$H6)*kgtoGg)</f>
        <v>27.819210444016349</v>
      </c>
      <c r="AS6" s="27">
        <f>IF(('Activity data'!AS7*EF!$H6)*kgtoGg=0,"NO",('Activity data'!AS7*EF!$H6)*kgtoGg)</f>
        <v>28.13097510246029</v>
      </c>
      <c r="AT6" s="27">
        <f>IF(('Activity data'!AT7*EF!$H6)*kgtoGg=0,"NO",('Activity data'!AT7*EF!$H6)*kgtoGg)</f>
        <v>28.452397377657032</v>
      </c>
      <c r="AU6" s="27">
        <f>IF(('Activity data'!AU7*EF!$H6)*kgtoGg=0,"NO",('Activity data'!AU7*EF!$H6)*kgtoGg)</f>
        <v>28.801930629462248</v>
      </c>
      <c r="AV6" s="27">
        <f>IF(('Activity data'!AV7*EF!$H6)*kgtoGg=0,"NO",('Activity data'!AV7*EF!$H6)*kgtoGg)</f>
        <v>29.159348697860899</v>
      </c>
      <c r="AW6" s="27">
        <f>IF(('Activity data'!AW7*EF!$H6)*kgtoGg=0,"NO",('Activity data'!AW7*EF!$H6)*kgtoGg)</f>
        <v>29.545478130563247</v>
      </c>
      <c r="AX6" s="27">
        <f>IF(('Activity data'!AX7*EF!$H6)*kgtoGg=0,"NO",('Activity data'!AX7*EF!$H6)*kgtoGg)</f>
        <v>29.92638155031543</v>
      </c>
      <c r="AY6" s="27">
        <f>IF(('Activity data'!AY7*EF!$H6)*kgtoGg=0,"NO",('Activity data'!AY7*EF!$H6)*kgtoGg)</f>
        <v>30.328422269841898</v>
      </c>
      <c r="AZ6" s="27">
        <f>IF(('Activity data'!AZ7*EF!$H6)*kgtoGg=0,"NO",('Activity data'!AZ7*EF!$H6)*kgtoGg)</f>
        <v>30.783196786108999</v>
      </c>
      <c r="BA6" s="27">
        <f>IF(('Activity data'!BA7*EF!$H6)*kgtoGg=0,"NO",('Activity data'!BA7*EF!$H6)*kgtoGg)</f>
        <v>31.215582757620478</v>
      </c>
      <c r="BB6" s="27">
        <f>IF(('Activity data'!BB7*EF!$H6)*kgtoGg=0,"NO",('Activity data'!BB7*EF!$H6)*kgtoGg)</f>
        <v>31.658992281151598</v>
      </c>
      <c r="BC6" s="27">
        <f>IF(('Activity data'!BC7*EF!$H6)*kgtoGg=0,"NO",('Activity data'!BC7*EF!$H6)*kgtoGg)</f>
        <v>32.133198696533107</v>
      </c>
      <c r="BD6" s="27">
        <f>IF(('Activity data'!BD7*EF!$H6)*kgtoGg=0,"NO",('Activity data'!BD7*EF!$H6)*kgtoGg)</f>
        <v>32.57747295880516</v>
      </c>
      <c r="BE6" s="27">
        <f>IF(('Activity data'!BE7*EF!$H6)*kgtoGg=0,"NO",('Activity data'!BE7*EF!$H6)*kgtoGg)</f>
        <v>33.019336266817611</v>
      </c>
      <c r="BF6" s="27">
        <f>IF(('Activity data'!BF7*EF!$H6)*kgtoGg=0,"NO",('Activity data'!BF7*EF!$H6)*kgtoGg)</f>
        <v>33.460017660673138</v>
      </c>
      <c r="BG6" s="27">
        <f>IF(('Activity data'!BG7*EF!$H6)*kgtoGg=0,"NO",('Activity data'!BG7*EF!$H6)*kgtoGg)</f>
        <v>33.926245363061206</v>
      </c>
      <c r="BH6" s="27">
        <f>IF(('Activity data'!BH7*EF!$H6)*kgtoGg=0,"NO",('Activity data'!BH7*EF!$H6)*kgtoGg)</f>
        <v>34.37372044831983</v>
      </c>
      <c r="BI6" s="27">
        <f>IF(('Activity data'!BI7*EF!$H6)*kgtoGg=0,"NO",('Activity data'!BI7*EF!$H6)*kgtoGg)</f>
        <v>34.838571614127183</v>
      </c>
      <c r="BJ6" s="27">
        <f>IF(('Activity data'!BJ7*EF!$H6)*kgtoGg=0,"NO",('Activity data'!BJ7*EF!$H6)*kgtoGg)</f>
        <v>35.322918961890544</v>
      </c>
      <c r="BK6" s="27">
        <f>IF(('Activity data'!BK7*EF!$H6)*kgtoGg=0,"NO",('Activity data'!BK7*EF!$H6)*kgtoGg)</f>
        <v>35.830171839458941</v>
      </c>
      <c r="BL6" s="27">
        <f>IF(('Activity data'!BL7*EF!$H6)*kgtoGg=0,"NO",('Activity data'!BL7*EF!$H6)*kgtoGg)</f>
        <v>36.346397352341668</v>
      </c>
      <c r="BM6" s="27">
        <f>IF(('Activity data'!BM7*EF!$H6)*kgtoGg=0,"NO",('Activity data'!BM7*EF!$H6)*kgtoGg)</f>
        <v>36.468790295953795</v>
      </c>
      <c r="BN6" s="27">
        <f>IF(('Activity data'!BN7*EF!$H6)*kgtoGg=0,"NO",('Activity data'!BN7*EF!$H6)*kgtoGg)</f>
        <v>36.555896979520966</v>
      </c>
      <c r="BO6" s="27">
        <f>IF(('Activity data'!BO7*EF!$H6)*kgtoGg=0,"NO",('Activity data'!BO7*EF!$H6)*kgtoGg)</f>
        <v>36.591586179259828</v>
      </c>
      <c r="BP6" s="27">
        <f>IF(('Activity data'!BP7*EF!$H6)*kgtoGg=0,"NO",('Activity data'!BP7*EF!$H6)*kgtoGg)</f>
        <v>36.613136281512098</v>
      </c>
    </row>
    <row r="7" spans="1:74" x14ac:dyDescent="0.3">
      <c r="A7" t="str">
        <f t="shared" si="1"/>
        <v>3A Livestock</v>
      </c>
      <c r="B7" t="str">
        <f t="shared" si="2"/>
        <v>3A1 Enteric fermentation (CH4)</v>
      </c>
      <c r="C7" t="str">
        <f>EF!C7</f>
        <v>3A1aii Other cattle</v>
      </c>
      <c r="D7" t="str">
        <f>EF!D7</f>
        <v>Commercial</v>
      </c>
      <c r="E7" t="str">
        <f>E5</f>
        <v>Enteric fermentation Emissions</v>
      </c>
      <c r="F7" t="str">
        <f>F5</f>
        <v>CH4</v>
      </c>
      <c r="G7" t="str">
        <f>G5</f>
        <v>Gg CH4</v>
      </c>
      <c r="H7" s="27">
        <f>IF(('Activity data'!H8*EF!$H7)*kgtoGg=0,"NO",('Activity data'!H8*EF!$H7)*kgtoGg)</f>
        <v>530.30777048487039</v>
      </c>
      <c r="I7" s="27">
        <f>IF(('Activity data'!I8*EF!$H7)*kgtoGg=0,"NO",('Activity data'!I8*EF!$H7)*kgtoGg)</f>
        <v>507.4186008397914</v>
      </c>
      <c r="J7" s="27">
        <f>IF(('Activity data'!J8*EF!$H7)*kgtoGg=0,"NO",('Activity data'!J8*EF!$H7)*kgtoGg)</f>
        <v>507.23423660631244</v>
      </c>
      <c r="K7" s="27">
        <f>IF(('Activity data'!K8*EF!$H7)*kgtoGg=0,"NO",('Activity data'!K8*EF!$H7)*kgtoGg)</f>
        <v>474.53564508710184</v>
      </c>
      <c r="L7" s="27">
        <f>IF(('Activity data'!L8*EF!$H7)*kgtoGg=0,"NO",('Activity data'!L8*EF!$H7)*kgtoGg)</f>
        <v>488.84137611527626</v>
      </c>
      <c r="M7" s="27">
        <f>IF(('Activity data'!M8*EF!$H7)*kgtoGg=0,"NO",('Activity data'!M8*EF!$H7)*kgtoGg)</f>
        <v>499.9561278787649</v>
      </c>
      <c r="N7" s="27">
        <f>IF(('Activity data'!N8*EF!$H7)*kgtoGg=0,"NO",('Activity data'!N8*EF!$H7)*kgtoGg)</f>
        <v>520.69593728290613</v>
      </c>
      <c r="O7" s="27">
        <f>IF(('Activity data'!O8*EF!$H7)*kgtoGg=0,"NO",('Activity data'!O8*EF!$H7)*kgtoGg)</f>
        <v>540.42057654067605</v>
      </c>
      <c r="P7" s="27">
        <f>IF(('Activity data'!P8*EF!$H7)*kgtoGg=0,"NO",('Activity data'!P8*EF!$H7)*kgtoGg)</f>
        <v>545.10124992819794</v>
      </c>
      <c r="Q7" s="27">
        <f>IF(('Activity data'!Q8*EF!$H7)*kgtoGg=0,"NO",('Activity data'!Q8*EF!$H7)*kgtoGg)</f>
        <v>536.28054932306088</v>
      </c>
      <c r="R7" s="27">
        <f>IF(('Activity data'!R8*EF!$H7)*kgtoGg=0,"NO",('Activity data'!R8*EF!$H7)*kgtoGg)</f>
        <v>499.85033236925801</v>
      </c>
      <c r="S7" s="27">
        <f>IF(('Activity data'!S8*EF!$H7)*kgtoGg=0,"NO",('Activity data'!S8*EF!$H7)*kgtoGg)</f>
        <v>502.44776770928382</v>
      </c>
      <c r="T7" s="27">
        <f>IF(('Activity data'!T8*EF!$H7)*kgtoGg=0,"NO",('Activity data'!T8*EF!$H7)*kgtoGg)</f>
        <v>468.28593094461399</v>
      </c>
      <c r="U7" s="27">
        <f>IF(('Activity data'!U8*EF!$H7)*kgtoGg=0,"NO",('Activity data'!U8*EF!$H7)*kgtoGg)</f>
        <v>480.5348728026691</v>
      </c>
      <c r="V7" s="27">
        <f>IF(('Activity data'!V8*EF!$H7)*kgtoGg=0,"NO",('Activity data'!V8*EF!$H7)*kgtoGg)</f>
        <v>484.96505976327012</v>
      </c>
      <c r="W7" s="27">
        <f>IF(('Activity data'!W8*EF!$H7)*kgtoGg=0,"NO",('Activity data'!W8*EF!$H7)*kgtoGg)</f>
        <v>489.07863810350864</v>
      </c>
      <c r="X7" s="27">
        <f>IF(('Activity data'!X8*EF!$H7)*kgtoGg=0,"NO",('Activity data'!X8*EF!$H7)*kgtoGg)</f>
        <v>477.93743746264329</v>
      </c>
      <c r="Y7" s="27">
        <f>IF(('Activity data'!Y8*EF!$H7)*kgtoGg=0,"NO",('Activity data'!Y8*EF!$H7)*kgtoGg)</f>
        <v>491.93978430914353</v>
      </c>
      <c r="Z7" s="27">
        <f>IF(('Activity data'!Z8*EF!$H7)*kgtoGg=0,"NO",('Activity data'!Z8*EF!$H7)*kgtoGg)</f>
        <v>478.26977927550422</v>
      </c>
      <c r="AA7" s="27">
        <f>IF(('Activity data'!AA8*EF!$H7)*kgtoGg=0,"NO",('Activity data'!AA8*EF!$H7)*kgtoGg)</f>
        <v>470.23930370767658</v>
      </c>
      <c r="AB7" s="27">
        <f>IF(('Activity data'!AB8*EF!$H7)*kgtoGg=0,"NO",('Activity data'!AB8*EF!$H7)*kgtoGg)</f>
        <v>468.76105131733328</v>
      </c>
      <c r="AC7" s="27">
        <f>IF(('Activity data'!AC8*EF!$H7)*kgtoGg=0,"NO",('Activity data'!AC8*EF!$H7)*kgtoGg)</f>
        <v>467.07782660988823</v>
      </c>
      <c r="AD7" s="27">
        <f>IF(('Activity data'!AD8*EF!$H7)*kgtoGg=0,"NO",('Activity data'!AD8*EF!$H7)*kgtoGg)</f>
        <v>463.23498593143194</v>
      </c>
      <c r="AE7" s="27">
        <f>IF(('Activity data'!AE8*EF!$H7)*kgtoGg=0,"NO",('Activity data'!AE8*EF!$H7)*kgtoGg)</f>
        <v>459.2174968362159</v>
      </c>
      <c r="AF7" s="27">
        <f>IF(('Activity data'!AF8*EF!$H7)*kgtoGg=0,"NO",('Activity data'!AF8*EF!$H7)*kgtoGg)</f>
        <v>457.68816035731248</v>
      </c>
      <c r="AG7" s="27">
        <f>IF(('Activity data'!AG8*EF!$H7)*kgtoGg=0,"NO",('Activity data'!AG8*EF!$H7)*kgtoGg)</f>
        <v>451.57633407663525</v>
      </c>
      <c r="AH7" s="27">
        <f>IF(('Activity data'!AH8*EF!$H7)*kgtoGg=0,"NO",('Activity data'!AH8*EF!$H7)*kgtoGg)</f>
        <v>442.70486896910717</v>
      </c>
      <c r="AI7" s="27">
        <f>IF(('Activity data'!AI8*EF!$H7)*kgtoGg=0,"NO",('Activity data'!AI8*EF!$H7)*kgtoGg)</f>
        <v>431.25721304480408</v>
      </c>
      <c r="AJ7" s="27">
        <f>IF(('Activity data'!AJ8*EF!$H7)*kgtoGg=0,"NO",('Activity data'!AJ8*EF!$H7)*kgtoGg)</f>
        <v>422.22811200839215</v>
      </c>
      <c r="AK7" s="27">
        <f>IF(('Activity data'!AK8*EF!$H7)*kgtoGg=0,"NO",('Activity data'!AK8*EF!$H7)*kgtoGg)</f>
        <v>413.68555596285586</v>
      </c>
      <c r="AL7" s="27">
        <f>IF(('Activity data'!AL8*EF!$H7)*kgtoGg=0,"NO",('Activity data'!AL8*EF!$H7)*kgtoGg)</f>
        <v>363.92269119895411</v>
      </c>
      <c r="AM7" s="27">
        <f>IF(('Activity data'!AM8*EF!$H7)*kgtoGg=0,"NO",('Activity data'!AM8*EF!$H7)*kgtoGg)</f>
        <v>369.83389237357579</v>
      </c>
      <c r="AN7" s="27">
        <f>IF(('Activity data'!AN8*EF!$H7)*kgtoGg=0,"NO",('Activity data'!AN8*EF!$H7)*kgtoGg)</f>
        <v>380.86142464434585</v>
      </c>
      <c r="AO7" s="27">
        <f>IF(('Activity data'!AO8*EF!$H7)*kgtoGg=0,"NO",('Activity data'!AO8*EF!$H7)*kgtoGg)</f>
        <v>383.06375021143805</v>
      </c>
      <c r="AP7" s="27">
        <f>IF(('Activity data'!AP8*EF!$H7)*kgtoGg=0,"NO",('Activity data'!AP8*EF!$H7)*kgtoGg)</f>
        <v>386.24013707294779</v>
      </c>
      <c r="AQ7" s="27">
        <f>IF(('Activity data'!AQ8*EF!$H7)*kgtoGg=0,"NO",('Activity data'!AQ8*EF!$H7)*kgtoGg)</f>
        <v>390.6712668095617</v>
      </c>
      <c r="AR7" s="27">
        <f>IF(('Activity data'!AR8*EF!$H7)*kgtoGg=0,"NO",('Activity data'!AR8*EF!$H7)*kgtoGg)</f>
        <v>395.75397479595648</v>
      </c>
      <c r="AS7" s="27">
        <f>IF(('Activity data'!AS8*EF!$H7)*kgtoGg=0,"NO",('Activity data'!AS8*EF!$H7)*kgtoGg)</f>
        <v>401.71318303321101</v>
      </c>
      <c r="AT7" s="27">
        <f>IF(('Activity data'!AT8*EF!$H7)*kgtoGg=0,"NO",('Activity data'!AT8*EF!$H7)*kgtoGg)</f>
        <v>407.69987647206653</v>
      </c>
      <c r="AU7" s="27">
        <f>IF(('Activity data'!AU8*EF!$H7)*kgtoGg=0,"NO",('Activity data'!AU8*EF!$H7)*kgtoGg)</f>
        <v>414.43305929383774</v>
      </c>
      <c r="AV7" s="27">
        <f>IF(('Activity data'!AV8*EF!$H7)*kgtoGg=0,"NO",('Activity data'!AV8*EF!$H7)*kgtoGg)</f>
        <v>421.09942264585908</v>
      </c>
      <c r="AW7" s="27">
        <f>IF(('Activity data'!AW8*EF!$H7)*kgtoGg=0,"NO",('Activity data'!AW8*EF!$H7)*kgtoGg)</f>
        <v>425.44191060723506</v>
      </c>
      <c r="AX7" s="27">
        <f>IF(('Activity data'!AX8*EF!$H7)*kgtoGg=0,"NO",('Activity data'!AX8*EF!$H7)*kgtoGg)</f>
        <v>429.00739584475377</v>
      </c>
      <c r="AY7" s="27">
        <f>IF(('Activity data'!AY8*EF!$H7)*kgtoGg=0,"NO",('Activity data'!AY8*EF!$H7)*kgtoGg)</f>
        <v>432.77412897631666</v>
      </c>
      <c r="AZ7" s="27">
        <f>IF(('Activity data'!AZ8*EF!$H7)*kgtoGg=0,"NO",('Activity data'!AZ8*EF!$H7)*kgtoGg)</f>
        <v>437.81397558556199</v>
      </c>
      <c r="BA7" s="27">
        <f>IF(('Activity data'!BA8*EF!$H7)*kgtoGg=0,"NO",('Activity data'!BA8*EF!$H7)*kgtoGg)</f>
        <v>441.43846379327863</v>
      </c>
      <c r="BB7" s="27">
        <f>IF(('Activity data'!BB8*EF!$H7)*kgtoGg=0,"NO",('Activity data'!BB8*EF!$H7)*kgtoGg)</f>
        <v>445.30127510523226</v>
      </c>
      <c r="BC7" s="27">
        <f>IF(('Activity data'!BC8*EF!$H7)*kgtoGg=0,"NO",('Activity data'!BC8*EF!$H7)*kgtoGg)</f>
        <v>449.5534309991009</v>
      </c>
      <c r="BD7" s="27">
        <f>IF(('Activity data'!BD8*EF!$H7)*kgtoGg=0,"NO",('Activity data'!BD8*EF!$H7)*kgtoGg)</f>
        <v>452.20309019469192</v>
      </c>
      <c r="BE7" s="27">
        <f>IF(('Activity data'!BE8*EF!$H7)*kgtoGg=0,"NO",('Activity data'!BE8*EF!$H7)*kgtoGg)</f>
        <v>454.19091289569144</v>
      </c>
      <c r="BF7" s="27">
        <f>IF(('Activity data'!BF8*EF!$H7)*kgtoGg=0,"NO",('Activity data'!BF8*EF!$H7)*kgtoGg)</f>
        <v>455.5735708938164</v>
      </c>
      <c r="BG7" s="27">
        <f>IF(('Activity data'!BG8*EF!$H7)*kgtoGg=0,"NO",('Activity data'!BG8*EF!$H7)*kgtoGg)</f>
        <v>459.87188917365768</v>
      </c>
      <c r="BH7" s="27">
        <f>IF(('Activity data'!BH8*EF!$H7)*kgtoGg=0,"NO",('Activity data'!BH8*EF!$H7)*kgtoGg)</f>
        <v>463.13915520973467</v>
      </c>
      <c r="BI7" s="27">
        <f>IF(('Activity data'!BI8*EF!$H7)*kgtoGg=0,"NO",('Activity data'!BI8*EF!$H7)*kgtoGg)</f>
        <v>466.44766361257473</v>
      </c>
      <c r="BJ7" s="27">
        <f>IF(('Activity data'!BJ8*EF!$H7)*kgtoGg=0,"NO",('Activity data'!BJ8*EF!$H7)*kgtoGg)</f>
        <v>469.83526222266636</v>
      </c>
      <c r="BK7" s="27">
        <f>IF(('Activity data'!BK8*EF!$H7)*kgtoGg=0,"NO",('Activity data'!BK8*EF!$H7)*kgtoGg)</f>
        <v>473.37026305322627</v>
      </c>
      <c r="BL7" s="27">
        <f>IF(('Activity data'!BL8*EF!$H7)*kgtoGg=0,"NO",('Activity data'!BL8*EF!$H7)*kgtoGg)</f>
        <v>476.99976993126808</v>
      </c>
      <c r="BM7" s="27">
        <f>IF(('Activity data'!BM8*EF!$H7)*kgtoGg=0,"NO",('Activity data'!BM8*EF!$H7)*kgtoGg)</f>
        <v>469.84014483659178</v>
      </c>
      <c r="BN7" s="27">
        <f>IF(('Activity data'!BN8*EF!$H7)*kgtoGg=0,"NO",('Activity data'!BN8*EF!$H7)*kgtoGg)</f>
        <v>461.72949370511395</v>
      </c>
      <c r="BO7" s="27">
        <f>IF(('Activity data'!BO8*EF!$H7)*kgtoGg=0,"NO",('Activity data'!BO8*EF!$H7)*kgtoGg)</f>
        <v>452.32664742475527</v>
      </c>
      <c r="BP7" s="27">
        <f>IF(('Activity data'!BP8*EF!$H7)*kgtoGg=0,"NO",('Activity data'!BP8*EF!$H7)*kgtoGg)</f>
        <v>442.62912277964222</v>
      </c>
    </row>
    <row r="8" spans="1:74" x14ac:dyDescent="0.3">
      <c r="A8" t="str">
        <f t="shared" si="1"/>
        <v>3A Livestock</v>
      </c>
      <c r="B8" t="str">
        <f t="shared" si="2"/>
        <v>3A1 Enteric fermentation (CH4)</v>
      </c>
      <c r="C8" t="str">
        <f>EF!C8</f>
        <v>3A1aii Other cattle</v>
      </c>
      <c r="D8" t="str">
        <f>EF!D8</f>
        <v>Subsistence</v>
      </c>
      <c r="E8" t="str">
        <f t="shared" ref="E8:E17" si="3">E7</f>
        <v>Enteric fermentation Emissions</v>
      </c>
      <c r="F8" t="str">
        <f t="shared" ref="F8:F18" si="4">F7</f>
        <v>CH4</v>
      </c>
      <c r="G8" t="str">
        <f t="shared" ref="G8:G18" si="5">G7</f>
        <v>Gg CH4</v>
      </c>
      <c r="H8" s="27">
        <f>IF(('Activity data'!H9*EF!$H8)*kgtoGg=0,"NO",('Activity data'!H9*EF!$H8)*kgtoGg)</f>
        <v>283.53205972623039</v>
      </c>
      <c r="I8" s="27">
        <f>IF(('Activity data'!I9*EF!$H8)*kgtoGg=0,"NO",('Activity data'!I9*EF!$H8)*kgtoGg)</f>
        <v>300.82813308643614</v>
      </c>
      <c r="J8" s="27">
        <f>IF(('Activity data'!J9*EF!$H8)*kgtoGg=0,"NO",('Activity data'!J9*EF!$H8)*kgtoGg)</f>
        <v>315.03562191803377</v>
      </c>
      <c r="K8" s="27">
        <f>IF(('Activity data'!K9*EF!$H8)*kgtoGg=0,"NO",('Activity data'!K9*EF!$H8)*kgtoGg)</f>
        <v>311.32932048370395</v>
      </c>
      <c r="L8" s="27">
        <f>IF(('Activity data'!L9*EF!$H8)*kgtoGg=0,"NO",('Activity data'!L9*EF!$H8)*kgtoGg)</f>
        <v>271.17772161179766</v>
      </c>
      <c r="M8" s="27">
        <f>IF(('Activity data'!M9*EF!$H8)*kgtoGg=0,"NO",('Activity data'!M9*EF!$H8)*kgtoGg)</f>
        <v>261.91196802597318</v>
      </c>
      <c r="N8" s="27">
        <f>IF(('Activity data'!N9*EF!$H8)*kgtoGg=0,"NO",('Activity data'!N9*EF!$H8)*kgtoGg)</f>
        <v>269.32457089463281</v>
      </c>
      <c r="O8" s="27">
        <f>IF(('Activity data'!O9*EF!$H8)*kgtoGg=0,"NO",('Activity data'!O9*EF!$H8)*kgtoGg)</f>
        <v>281.67890900906548</v>
      </c>
      <c r="P8" s="27">
        <f>IF(('Activity data'!P9*EF!$H8)*kgtoGg=0,"NO",('Activity data'!P9*EF!$H8)*kgtoGg)</f>
        <v>298.97498236927129</v>
      </c>
      <c r="Q8" s="27">
        <f>IF(('Activity data'!Q9*EF!$H8)*kgtoGg=0,"NO",('Activity data'!Q9*EF!$H8)*kgtoGg)</f>
        <v>311.32932048370395</v>
      </c>
      <c r="R8" s="27">
        <f>IF(('Activity data'!R9*EF!$H8)*kgtoGg=0,"NO",('Activity data'!R9*EF!$H8)*kgtoGg)</f>
        <v>303.91671761504432</v>
      </c>
      <c r="S8" s="27">
        <f>IF(('Activity data'!S9*EF!$H8)*kgtoGg=0,"NO",('Activity data'!S9*EF!$H8)*kgtoGg)</f>
        <v>296.50411474638474</v>
      </c>
      <c r="T8" s="27">
        <f>IF(('Activity data'!T9*EF!$H8)*kgtoGg=0,"NO",('Activity data'!T9*EF!$H8)*kgtoGg)</f>
        <v>336.03799671256934</v>
      </c>
      <c r="U8" s="27">
        <f>IF(('Activity data'!U9*EF!$H8)*kgtoGg=0,"NO",('Activity data'!U9*EF!$H8)*kgtoGg)</f>
        <v>344.06831648695061</v>
      </c>
      <c r="V8" s="27">
        <f>IF(('Activity data'!V9*EF!$H8)*kgtoGg=0,"NO",('Activity data'!V9*EF!$H8)*kgtoGg)</f>
        <v>338.50886433545588</v>
      </c>
      <c r="W8" s="27">
        <f>IF(('Activity data'!W9*EF!$H8)*kgtoGg=0,"NO",('Activity data'!W9*EF!$H8)*kgtoGg)</f>
        <v>328.62539384390971</v>
      </c>
      <c r="X8" s="27">
        <f>IF(('Activity data'!X9*EF!$H8)*kgtoGg=0,"NO",('Activity data'!X9*EF!$H8)*kgtoGg)</f>
        <v>339.12658124117752</v>
      </c>
      <c r="Y8" s="27">
        <f>IF(('Activity data'!Y9*EF!$H8)*kgtoGg=0,"NO",('Activity data'!Y9*EF!$H8)*kgtoGg)</f>
        <v>352.71635316705351</v>
      </c>
      <c r="Z8" s="27">
        <f>IF(('Activity data'!Z9*EF!$H8)*kgtoGg=0,"NO",('Activity data'!Z9*EF!$H8)*kgtoGg)</f>
        <v>347.15690101555879</v>
      </c>
      <c r="AA8" s="27">
        <f>IF(('Activity data'!AA9*EF!$H8)*kgtoGg=0,"NO",('Activity data'!AA9*EF!$H8)*kgtoGg)</f>
        <v>343.45059958122897</v>
      </c>
      <c r="AB8" s="27">
        <f>IF(('Activity data'!AB9*EF!$H8)*kgtoGg=0,"NO",('Activity data'!AB9*EF!$H8)*kgtoGg)</f>
        <v>338.50886433545588</v>
      </c>
      <c r="AC8" s="27">
        <f>IF(('Activity data'!AC9*EF!$H8)*kgtoGg=0,"NO",('Activity data'!AC9*EF!$H8)*kgtoGg)</f>
        <v>340.97973195834243</v>
      </c>
      <c r="AD8" s="27">
        <f>IF(('Activity data'!AD9*EF!$H8)*kgtoGg=0,"NO",('Activity data'!AD9*EF!$H8)*kgtoGg)</f>
        <v>326.20040935577742</v>
      </c>
      <c r="AE8" s="27">
        <f>IF(('Activity data'!AE9*EF!$H8)*kgtoGg=0,"NO",('Activity data'!AE9*EF!$H8)*kgtoGg)</f>
        <v>323.37137738012308</v>
      </c>
      <c r="AF8" s="27">
        <f>IF(('Activity data'!AF9*EF!$H8)*kgtoGg=0,"NO",('Activity data'!AF9*EF!$H8)*kgtoGg)</f>
        <v>322.29445054900748</v>
      </c>
      <c r="AG8" s="27">
        <f>IF(('Activity data'!AG9*EF!$H8)*kgtoGg=0,"NO",('Activity data'!AG9*EF!$H8)*kgtoGg)</f>
        <v>317.99063003627219</v>
      </c>
      <c r="AH8" s="27">
        <f>IF(('Activity data'!AH9*EF!$H8)*kgtoGg=0,"NO",('Activity data'!AH9*EF!$H8)*kgtoGg)</f>
        <v>311.74352945546792</v>
      </c>
      <c r="AI8" s="27">
        <f>IF(('Activity data'!AI9*EF!$H8)*kgtoGg=0,"NO",('Activity data'!AI9*EF!$H8)*kgtoGg)</f>
        <v>303.68232906672063</v>
      </c>
      <c r="AJ8" s="27">
        <f>IF(('Activity data'!AJ9*EF!$H8)*kgtoGg=0,"NO",('Activity data'!AJ9*EF!$H8)*kgtoGg)</f>
        <v>297.32422455466599</v>
      </c>
      <c r="AK8" s="27">
        <f>IF(('Activity data'!AK9*EF!$H8)*kgtoGg=0,"NO",('Activity data'!AK9*EF!$H8)*kgtoGg)</f>
        <v>291.30873487096773</v>
      </c>
      <c r="AL8" s="27">
        <f>IF(('Activity data'!AL9*EF!$H8)*kgtoGg=0,"NO",('Activity data'!AL9*EF!$H8)*kgtoGg)</f>
        <v>256.26676405768438</v>
      </c>
      <c r="AM8" s="27">
        <f>IF(('Activity data'!AM9*EF!$H8)*kgtoGg=0,"NO",('Activity data'!AM9*EF!$H8)*kgtoGg)</f>
        <v>260.42930855779127</v>
      </c>
      <c r="AN8" s="27">
        <f>IF(('Activity data'!AN9*EF!$H8)*kgtoGg=0,"NO",('Activity data'!AN9*EF!$H8)*kgtoGg)</f>
        <v>268.19466663772192</v>
      </c>
      <c r="AO8" s="27">
        <f>IF(('Activity data'!AO9*EF!$H8)*kgtoGg=0,"NO",('Activity data'!AO9*EF!$H8)*kgtoGg)</f>
        <v>269.7454983394245</v>
      </c>
      <c r="AP8" s="27">
        <f>IF(('Activity data'!AP9*EF!$H8)*kgtoGg=0,"NO",('Activity data'!AP9*EF!$H8)*kgtoGg)</f>
        <v>271.98224367594827</v>
      </c>
      <c r="AQ8" s="27">
        <f>IF(('Activity data'!AQ9*EF!$H8)*kgtoGg=0,"NO",('Activity data'!AQ9*EF!$H8)*kgtoGg)</f>
        <v>275.10255275857435</v>
      </c>
      <c r="AR8" s="27">
        <f>IF(('Activity data'!AR9*EF!$H8)*kgtoGg=0,"NO",('Activity data'!AR9*EF!$H8)*kgtoGg)</f>
        <v>278.68168964622578</v>
      </c>
      <c r="AS8" s="27">
        <f>IF(('Activity data'!AS9*EF!$H8)*kgtoGg=0,"NO",('Activity data'!AS9*EF!$H8)*kgtoGg)</f>
        <v>282.87803971792886</v>
      </c>
      <c r="AT8" s="27">
        <f>IF(('Activity data'!AT9*EF!$H8)*kgtoGg=0,"NO",('Activity data'!AT9*EF!$H8)*kgtoGg)</f>
        <v>287.09374429498189</v>
      </c>
      <c r="AU8" s="27">
        <f>IF(('Activity data'!AU9*EF!$H8)*kgtoGg=0,"NO",('Activity data'!AU9*EF!$H8)*kgtoGg)</f>
        <v>291.83511111621357</v>
      </c>
      <c r="AV8" s="27">
        <f>IF(('Activity data'!AV9*EF!$H8)*kgtoGg=0,"NO",('Activity data'!AV9*EF!$H8)*kgtoGg)</f>
        <v>296.52942506137316</v>
      </c>
      <c r="AW8" s="27">
        <f>IF(('Activity data'!AW9*EF!$H8)*kgtoGg=0,"NO",('Activity data'!AW9*EF!$H8)*kgtoGg)</f>
        <v>299.58731445583493</v>
      </c>
      <c r="AX8" s="27">
        <f>IF(('Activity data'!AX9*EF!$H8)*kgtoGg=0,"NO",('Activity data'!AX9*EF!$H8)*kgtoGg)</f>
        <v>302.09805474824185</v>
      </c>
      <c r="AY8" s="27">
        <f>IF(('Activity data'!AY9*EF!$H8)*kgtoGg=0,"NO",('Activity data'!AY9*EF!$H8)*kgtoGg)</f>
        <v>304.75050960758114</v>
      </c>
      <c r="AZ8" s="27">
        <f>IF(('Activity data'!AZ9*EF!$H8)*kgtoGg=0,"NO",('Activity data'!AZ9*EF!$H8)*kgtoGg)</f>
        <v>308.29946440796289</v>
      </c>
      <c r="BA8" s="27">
        <f>IF(('Activity data'!BA9*EF!$H8)*kgtoGg=0,"NO",('Activity data'!BA9*EF!$H8)*kgtoGg)</f>
        <v>310.85175336058825</v>
      </c>
      <c r="BB8" s="27">
        <f>IF(('Activity data'!BB9*EF!$H8)*kgtoGg=0,"NO",('Activity data'!BB9*EF!$H8)*kgtoGg)</f>
        <v>313.57186446940221</v>
      </c>
      <c r="BC8" s="27">
        <f>IF(('Activity data'!BC9*EF!$H8)*kgtoGg=0,"NO",('Activity data'!BC9*EF!$H8)*kgtoGg)</f>
        <v>316.5661439071601</v>
      </c>
      <c r="BD8" s="27">
        <f>IF(('Activity data'!BD9*EF!$H8)*kgtoGg=0,"NO",('Activity data'!BD9*EF!$H8)*kgtoGg)</f>
        <v>318.43197861417656</v>
      </c>
      <c r="BE8" s="27">
        <f>IF(('Activity data'!BE9*EF!$H8)*kgtoGg=0,"NO",('Activity data'!BE9*EF!$H8)*kgtoGg)</f>
        <v>319.83176187426193</v>
      </c>
      <c r="BF8" s="27">
        <f>IF(('Activity data'!BF9*EF!$H8)*kgtoGg=0,"NO",('Activity data'!BF9*EF!$H8)*kgtoGg)</f>
        <v>320.80540078040053</v>
      </c>
      <c r="BG8" s="27">
        <f>IF(('Activity data'!BG9*EF!$H8)*kgtoGg=0,"NO",('Activity data'!BG9*EF!$H8)*kgtoGg)</f>
        <v>323.83218680694904</v>
      </c>
      <c r="BH8" s="27">
        <f>IF(('Activity data'!BH9*EF!$H8)*kgtoGg=0,"NO",('Activity data'!BH9*EF!$H8)*kgtoGg)</f>
        <v>326.13292736155017</v>
      </c>
      <c r="BI8" s="27">
        <f>IF(('Activity data'!BI9*EF!$H8)*kgtoGg=0,"NO",('Activity data'!BI9*EF!$H8)*kgtoGg)</f>
        <v>328.46270993009568</v>
      </c>
      <c r="BJ8" s="27">
        <f>IF(('Activity data'!BJ9*EF!$H8)*kgtoGg=0,"NO",('Activity data'!BJ9*EF!$H8)*kgtoGg)</f>
        <v>330.84818617197112</v>
      </c>
      <c r="BK8" s="27">
        <f>IF(('Activity data'!BK9*EF!$H8)*kgtoGg=0,"NO",('Activity data'!BK9*EF!$H8)*kgtoGg)</f>
        <v>333.33745998120867</v>
      </c>
      <c r="BL8" s="27">
        <f>IF(('Activity data'!BL9*EF!$H8)*kgtoGg=0,"NO",('Activity data'!BL9*EF!$H8)*kgtoGg)</f>
        <v>335.89328297673717</v>
      </c>
      <c r="BM8" s="27">
        <f>IF(('Activity data'!BM9*EF!$H8)*kgtoGg=0,"NO",('Activity data'!BM9*EF!$H8)*kgtoGg)</f>
        <v>330.85162440679704</v>
      </c>
      <c r="BN8" s="27">
        <f>IF(('Activity data'!BN9*EF!$H8)*kgtoGg=0,"NO",('Activity data'!BN9*EF!$H8)*kgtoGg)</f>
        <v>325.14027314970184</v>
      </c>
      <c r="BO8" s="27">
        <f>IF(('Activity data'!BO9*EF!$H8)*kgtoGg=0,"NO",('Activity data'!BO9*EF!$H8)*kgtoGg)</f>
        <v>318.5189850369415</v>
      </c>
      <c r="BP8" s="27">
        <f>IF(('Activity data'!BP9*EF!$H8)*kgtoGg=0,"NO",('Activity data'!BP9*EF!$H8)*kgtoGg)</f>
        <v>311.6901905696734</v>
      </c>
    </row>
    <row r="9" spans="1:74" x14ac:dyDescent="0.3">
      <c r="A9" t="str">
        <f t="shared" si="1"/>
        <v>3A Livestock</v>
      </c>
      <c r="B9" t="str">
        <f t="shared" si="2"/>
        <v>3A1 Enteric fermentation (CH4)</v>
      </c>
      <c r="C9" t="str">
        <f>EF!C9</f>
        <v>3A1aii Other cattle</v>
      </c>
      <c r="D9" t="str">
        <f>EF!D9</f>
        <v>Feedlot</v>
      </c>
      <c r="E9" t="str">
        <f t="shared" si="3"/>
        <v>Enteric fermentation Emissions</v>
      </c>
      <c r="F9" t="str">
        <f t="shared" si="4"/>
        <v>CH4</v>
      </c>
      <c r="G9" t="str">
        <f t="shared" si="5"/>
        <v>Gg CH4</v>
      </c>
      <c r="H9" s="27">
        <f>IF(('Activity data'!H10*EF!$H9)*kgtoGg=0,"NO",('Activity data'!H10*EF!$H9)*kgtoGg)</f>
        <v>24.738</v>
      </c>
      <c r="I9" s="27">
        <f>IF(('Activity data'!I10*EF!$H9)*kgtoGg=0,"NO",('Activity data'!I10*EF!$H9)*kgtoGg)</f>
        <v>24.738</v>
      </c>
      <c r="J9" s="27">
        <f>IF(('Activity data'!J10*EF!$H9)*kgtoGg=0,"NO",('Activity data'!J10*EF!$H9)*kgtoGg)</f>
        <v>24.738</v>
      </c>
      <c r="K9" s="27">
        <f>IF(('Activity data'!K10*EF!$H9)*kgtoGg=0,"NO",('Activity data'!K10*EF!$H9)*kgtoGg)</f>
        <v>24.738</v>
      </c>
      <c r="L9" s="27">
        <f>IF(('Activity data'!L10*EF!$H9)*kgtoGg=0,"NO",('Activity data'!L10*EF!$H9)*kgtoGg)</f>
        <v>24.738</v>
      </c>
      <c r="M9" s="27">
        <f>IF(('Activity data'!M10*EF!$H9)*kgtoGg=0,"NO",('Activity data'!M10*EF!$H9)*kgtoGg)</f>
        <v>24.738</v>
      </c>
      <c r="N9" s="27">
        <f>IF(('Activity data'!N10*EF!$H9)*kgtoGg=0,"NO",('Activity data'!N10*EF!$H9)*kgtoGg)</f>
        <v>24.738</v>
      </c>
      <c r="O9" s="27">
        <f>IF(('Activity data'!O10*EF!$H9)*kgtoGg=0,"NO",('Activity data'!O10*EF!$H9)*kgtoGg)</f>
        <v>24.738</v>
      </c>
      <c r="P9" s="27">
        <f>IF(('Activity data'!P10*EF!$H9)*kgtoGg=0,"NO",('Activity data'!P10*EF!$H9)*kgtoGg)</f>
        <v>24.738</v>
      </c>
      <c r="Q9" s="27">
        <f>IF(('Activity data'!Q10*EF!$H9)*kgtoGg=0,"NO",('Activity data'!Q10*EF!$H9)*kgtoGg)</f>
        <v>24.738</v>
      </c>
      <c r="R9" s="27">
        <f>IF(('Activity data'!R10*EF!$H9)*kgtoGg=0,"NO",('Activity data'!R10*EF!$H9)*kgtoGg)</f>
        <v>24.738</v>
      </c>
      <c r="S9" s="27">
        <f>IF(('Activity data'!S10*EF!$H9)*kgtoGg=0,"NO",('Activity data'!S10*EF!$H9)*kgtoGg)</f>
        <v>24.738</v>
      </c>
      <c r="T9" s="27">
        <f>IF(('Activity data'!T10*EF!$H9)*kgtoGg=0,"NO",('Activity data'!T10*EF!$H9)*kgtoGg)</f>
        <v>24.738</v>
      </c>
      <c r="U9" s="27">
        <f>IF(('Activity data'!U10*EF!$H9)*kgtoGg=0,"NO",('Activity data'!U10*EF!$H9)*kgtoGg)</f>
        <v>24.738</v>
      </c>
      <c r="V9" s="27">
        <f>IF(('Activity data'!V10*EF!$H9)*kgtoGg=0,"NO",('Activity data'!V10*EF!$H9)*kgtoGg)</f>
        <v>24.738</v>
      </c>
      <c r="W9" s="27">
        <f>IF(('Activity data'!W10*EF!$H9)*kgtoGg=0,"NO",('Activity data'!W10*EF!$H9)*kgtoGg)</f>
        <v>24.738</v>
      </c>
      <c r="X9" s="27">
        <f>IF(('Activity data'!X10*EF!$H9)*kgtoGg=0,"NO",('Activity data'!X10*EF!$H9)*kgtoGg)</f>
        <v>24.738</v>
      </c>
      <c r="Y9" s="27">
        <f>IF(('Activity data'!Y10*EF!$H9)*kgtoGg=0,"NO",('Activity data'!Y10*EF!$H9)*kgtoGg)</f>
        <v>24.738</v>
      </c>
      <c r="Z9" s="27">
        <f>IF(('Activity data'!Z10*EF!$H9)*kgtoGg=0,"NO",('Activity data'!Z10*EF!$H9)*kgtoGg)</f>
        <v>23.038602474999998</v>
      </c>
      <c r="AA9" s="27">
        <f>IF(('Activity data'!AA10*EF!$H9)*kgtoGg=0,"NO",('Activity data'!AA10*EF!$H9)*kgtoGg)</f>
        <v>23.608263641666664</v>
      </c>
      <c r="AB9" s="27">
        <f>IF(('Activity data'!AB10*EF!$H9)*kgtoGg=0,"NO",('Activity data'!AB10*EF!$H9)*kgtoGg)</f>
        <v>23.549535433333329</v>
      </c>
      <c r="AC9" s="27">
        <f>IF(('Activity data'!AC10*EF!$H9)*kgtoGg=0,"NO",('Activity data'!AC10*EF!$H9)*kgtoGg)</f>
        <v>27.200029816666664</v>
      </c>
      <c r="AD9" s="27">
        <f>IF(('Activity data'!AD10*EF!$H9)*kgtoGg=0,"NO",('Activity data'!AD10*EF!$H9)*kgtoGg)</f>
        <v>31.891995988947272</v>
      </c>
      <c r="AE9" s="27">
        <f>IF(('Activity data'!AE10*EF!$H9)*kgtoGg=0,"NO",('Activity data'!AE10*EF!$H9)*kgtoGg)</f>
        <v>32.967337371253535</v>
      </c>
      <c r="AF9" s="27">
        <f>IF(('Activity data'!AF10*EF!$H9)*kgtoGg=0,"NO",('Activity data'!AF10*EF!$H9)*kgtoGg)</f>
        <v>34.243655078433662</v>
      </c>
      <c r="AG9" s="27">
        <f>IF(('Activity data'!AG10*EF!$H9)*kgtoGg=0,"NO",('Activity data'!AG10*EF!$H9)*kgtoGg)</f>
        <v>35.19550479761466</v>
      </c>
      <c r="AH9" s="27">
        <f>IF(('Activity data'!AH10*EF!$H9)*kgtoGg=0,"NO",('Activity data'!AH10*EF!$H9)*kgtoGg)</f>
        <v>35.929559405213332</v>
      </c>
      <c r="AI9" s="27">
        <f>IF(('Activity data'!AI10*EF!$H9)*kgtoGg=0,"NO",('Activity data'!AI10*EF!$H9)*kgtoGg)</f>
        <v>36.435327957872907</v>
      </c>
      <c r="AJ9" s="27">
        <f>IF(('Activity data'!AJ10*EF!$H9)*kgtoGg=0,"NO",('Activity data'!AJ10*EF!$H9)*kgtoGg)</f>
        <v>37.125912791560339</v>
      </c>
      <c r="AK9" s="27">
        <f>IF(('Activity data'!AK10*EF!$H9)*kgtoGg=0,"NO",('Activity data'!AK10*EF!$H9)*kgtoGg)</f>
        <v>37.849847328761314</v>
      </c>
      <c r="AL9" s="27">
        <f>IF(('Activity data'!AL10*EF!$H9)*kgtoGg=0,"NO",('Activity data'!AL10*EF!$H9)*kgtoGg)</f>
        <v>34.642542509776739</v>
      </c>
      <c r="AM9" s="27">
        <f>IF(('Activity data'!AM10*EF!$H9)*kgtoGg=0,"NO",('Activity data'!AM10*EF!$H9)*kgtoGg)</f>
        <v>36.053430902114805</v>
      </c>
      <c r="AN9" s="27">
        <f>IF(('Activity data'!AN10*EF!$H9)*kgtoGg=0,"NO",('Activity data'!AN10*EF!$H9)*kgtoGg)</f>
        <v>38.010696022356719</v>
      </c>
      <c r="AO9" s="27">
        <f>IF(('Activity data'!AO10*EF!$H9)*kgtoGg=0,"NO",('Activity data'!AO10*EF!$H9)*kgtoGg)</f>
        <v>39.127373882680487</v>
      </c>
      <c r="AP9" s="27">
        <f>IF(('Activity data'!AP10*EF!$H9)*kgtoGg=0,"NO",('Activity data'!AP10*EF!$H9)*kgtoGg)</f>
        <v>40.366459949035139</v>
      </c>
      <c r="AQ9" s="27">
        <f>IF(('Activity data'!AQ10*EF!$H9)*kgtoGg=0,"NO",('Activity data'!AQ10*EF!$H9)*kgtoGg)</f>
        <v>41.765821576969046</v>
      </c>
      <c r="AR9" s="27">
        <f>IF(('Activity data'!AR10*EF!$H9)*kgtoGg=0,"NO",('Activity data'!AR10*EF!$H9)*kgtoGg)</f>
        <v>43.269588309323517</v>
      </c>
      <c r="AS9" s="27">
        <f>IF(('Activity data'!AS10*EF!$H9)*kgtoGg=0,"NO",('Activity data'!AS10*EF!$H9)*kgtoGg)</f>
        <v>44.908778901884347</v>
      </c>
      <c r="AT9" s="27">
        <f>IF(('Activity data'!AT10*EF!$H9)*kgtoGg=0,"NO",('Activity data'!AT10*EF!$H9)*kgtoGg)</f>
        <v>46.594068388350003</v>
      </c>
      <c r="AU9" s="27">
        <f>IF(('Activity data'!AU10*EF!$H9)*kgtoGg=0,"NO",('Activity data'!AU10*EF!$H9)*kgtoGg)</f>
        <v>48.410923677012072</v>
      </c>
      <c r="AV9" s="27">
        <f>IF(('Activity data'!AV10*EF!$H9)*kgtoGg=0,"NO",('Activity data'!AV10*EF!$H9)*kgtoGg)</f>
        <v>50.269303700477998</v>
      </c>
      <c r="AW9" s="27">
        <f>IF(('Activity data'!AW10*EF!$H9)*kgtoGg=0,"NO",('Activity data'!AW10*EF!$H9)*kgtoGg)</f>
        <v>52.471951507677524</v>
      </c>
      <c r="AX9" s="27">
        <f>IF(('Activity data'!AX10*EF!$H9)*kgtoGg=0,"NO",('Activity data'!AX10*EF!$H9)*kgtoGg)</f>
        <v>54.669760459111487</v>
      </c>
      <c r="AY9" s="27">
        <f>IF(('Activity data'!AY10*EF!$H9)*kgtoGg=0,"NO",('Activity data'!AY10*EF!$H9)*kgtoGg)</f>
        <v>56.986868883720433</v>
      </c>
      <c r="AZ9" s="27">
        <f>IF(('Activity data'!AZ10*EF!$H9)*kgtoGg=0,"NO",('Activity data'!AZ10*EF!$H9)*kgtoGg)</f>
        <v>59.577013910557568</v>
      </c>
      <c r="BA9" s="27">
        <f>IF(('Activity data'!BA10*EF!$H9)*kgtoGg=0,"NO",('Activity data'!BA10*EF!$H9)*kgtoGg)</f>
        <v>62.085208612074666</v>
      </c>
      <c r="BB9" s="27">
        <f>IF(('Activity data'!BB10*EF!$H9)*kgtoGg=0,"NO",('Activity data'!BB10*EF!$H9)*kgtoGg)</f>
        <v>64.738520962902328</v>
      </c>
      <c r="BC9" s="27">
        <f>IF(('Activity data'!BC10*EF!$H9)*kgtoGg=0,"NO",('Activity data'!BC10*EF!$H9)*kgtoGg)</f>
        <v>67.569668411383148</v>
      </c>
      <c r="BD9" s="27">
        <f>IF(('Activity data'!BD10*EF!$H9)*kgtoGg=0,"NO",('Activity data'!BD10*EF!$H9)*kgtoGg)</f>
        <v>70.282185941463524</v>
      </c>
      <c r="BE9" s="27">
        <f>IF(('Activity data'!BE10*EF!$H9)*kgtoGg=0,"NO",('Activity data'!BE10*EF!$H9)*kgtoGg)</f>
        <v>73.009611809365794</v>
      </c>
      <c r="BF9" s="27">
        <f>IF(('Activity data'!BF10*EF!$H9)*kgtoGg=0,"NO",('Activity data'!BF10*EF!$H9)*kgtoGg)</f>
        <v>75.757864250149765</v>
      </c>
      <c r="BG9" s="27">
        <f>IF(('Activity data'!BG10*EF!$H9)*kgtoGg=0,"NO",('Activity data'!BG10*EF!$H9)*kgtoGg)</f>
        <v>78.63033008147255</v>
      </c>
      <c r="BH9" s="27">
        <f>IF(('Activity data'!BH10*EF!$H9)*kgtoGg=0,"NO",('Activity data'!BH10*EF!$H9)*kgtoGg)</f>
        <v>81.431036976471376</v>
      </c>
      <c r="BI9" s="27">
        <f>IF(('Activity data'!BI10*EF!$H9)*kgtoGg=0,"NO",('Activity data'!BI10*EF!$H9)*kgtoGg)</f>
        <v>84.343805269420216</v>
      </c>
      <c r="BJ9" s="27">
        <f>IF(('Activity data'!BJ10*EF!$H9)*kgtoGg=0,"NO",('Activity data'!BJ10*EF!$H9)*kgtoGg)</f>
        <v>87.381529968917789</v>
      </c>
      <c r="BK9" s="27">
        <f>IF(('Activity data'!BK10*EF!$H9)*kgtoGg=0,"NO",('Activity data'!BK10*EF!$H9)*kgtoGg)</f>
        <v>90.56411958911923</v>
      </c>
      <c r="BL9" s="27">
        <f>IF(('Activity data'!BL10*EF!$H9)*kgtoGg=0,"NO",('Activity data'!BL10*EF!$H9)*kgtoGg)</f>
        <v>93.889582462340528</v>
      </c>
      <c r="BM9" s="27">
        <f>IF(('Activity data'!BM10*EF!$H9)*kgtoGg=0,"NO",('Activity data'!BM10*EF!$H9)*kgtoGg)</f>
        <v>95.161623451693828</v>
      </c>
      <c r="BN9" s="27">
        <f>IF(('Activity data'!BN10*EF!$H9)*kgtoGg=0,"NO",('Activity data'!BN10*EF!$H9)*kgtoGg)</f>
        <v>96.246716097882043</v>
      </c>
      <c r="BO9" s="27">
        <f>IF(('Activity data'!BO10*EF!$H9)*kgtoGg=0,"NO",('Activity data'!BO10*EF!$H9)*kgtoGg)</f>
        <v>97.054781525387583</v>
      </c>
      <c r="BP9" s="27">
        <f>IF(('Activity data'!BP10*EF!$H9)*kgtoGg=0,"NO",('Activity data'!BP10*EF!$H9)*kgtoGg)</f>
        <v>97.781567637634097</v>
      </c>
    </row>
    <row r="10" spans="1:74" x14ac:dyDescent="0.3">
      <c r="A10" t="str">
        <f t="shared" si="1"/>
        <v>3A Livestock</v>
      </c>
      <c r="B10" t="str">
        <f t="shared" si="2"/>
        <v>3A1 Enteric fermentation (CH4)</v>
      </c>
      <c r="C10" t="str">
        <f>EF!C10</f>
        <v>3A1c Sheep</v>
      </c>
      <c r="D10" t="str">
        <f>EF!D10</f>
        <v>Commercial</v>
      </c>
      <c r="E10" t="str">
        <f t="shared" si="3"/>
        <v>Enteric fermentation Emissions</v>
      </c>
      <c r="F10" t="str">
        <f t="shared" si="4"/>
        <v>CH4</v>
      </c>
      <c r="G10" t="str">
        <f t="shared" si="5"/>
        <v>Gg CH4</v>
      </c>
      <c r="H10" s="27">
        <f>IF(('Activity data'!H11*EF!$H10)*kgtoGg=0,"NO",('Activity data'!H11*EF!$H10)*kgtoGg)</f>
        <v>209.00064638385984</v>
      </c>
      <c r="I10" s="27">
        <f>IF(('Activity data'!I11*EF!$H10)*kgtoGg=0,"NO",('Activity data'!I11*EF!$H10)*kgtoGg)</f>
        <v>199.60297230115387</v>
      </c>
      <c r="J10" s="27">
        <f>IF(('Activity data'!J11*EF!$H10)*kgtoGg=0,"NO",('Activity data'!J11*EF!$H10)*kgtoGg)</f>
        <v>191.35560698969897</v>
      </c>
      <c r="K10" s="27">
        <f>IF(('Activity data'!K11*EF!$H10)*kgtoGg=0,"NO",('Activity data'!K11*EF!$H10)*kgtoGg)</f>
        <v>178.96015853342948</v>
      </c>
      <c r="L10" s="27">
        <f>IF(('Activity data'!L11*EF!$H10)*kgtoGg=0,"NO",('Activity data'!L11*EF!$H10)*kgtoGg)</f>
        <v>180.22201239765039</v>
      </c>
      <c r="M10" s="27">
        <f>IF(('Activity data'!M11*EF!$H10)*kgtoGg=0,"NO",('Activity data'!M11*EF!$H10)*kgtoGg)</f>
        <v>177.64253212272365</v>
      </c>
      <c r="N10" s="27">
        <f>IF(('Activity data'!N11*EF!$H10)*kgtoGg=0,"NO",('Activity data'!N11*EF!$H10)*kgtoGg)</f>
        <v>178.23511542912576</v>
      </c>
      <c r="O10" s="27">
        <f>IF(('Activity data'!O11*EF!$H10)*kgtoGg=0,"NO",('Activity data'!O11*EF!$H10)*kgtoGg)</f>
        <v>174.35892344842506</v>
      </c>
      <c r="P10" s="27">
        <f>IF(('Activity data'!P11*EF!$H10)*kgtoGg=0,"NO",('Activity data'!P11*EF!$H10)*kgtoGg)</f>
        <v>174.83996166185733</v>
      </c>
      <c r="Q10" s="27">
        <f>IF(('Activity data'!Q11*EF!$H10)*kgtoGg=0,"NO",('Activity data'!Q11*EF!$H10)*kgtoGg)</f>
        <v>170.54547558251988</v>
      </c>
      <c r="R10" s="27">
        <f>IF(('Activity data'!R11*EF!$H10)*kgtoGg=0,"NO",('Activity data'!R11*EF!$H10)*kgtoGg)</f>
        <v>164.4314101741125</v>
      </c>
      <c r="S10" s="27">
        <f>IF(('Activity data'!S11*EF!$H10)*kgtoGg=0,"NO",('Activity data'!S11*EF!$H10)*kgtoGg)</f>
        <v>160.33212800747219</v>
      </c>
      <c r="T10" s="27">
        <f>IF(('Activity data'!T11*EF!$H10)*kgtoGg=0,"NO",('Activity data'!T11*EF!$H10)*kgtoGg)</f>
        <v>157.65504577619689</v>
      </c>
      <c r="U10" s="27">
        <f>IF(('Activity data'!U11*EF!$H10)*kgtoGg=0,"NO",('Activity data'!U11*EF!$H10)*kgtoGg)</f>
        <v>158.20579967273531</v>
      </c>
      <c r="V10" s="27">
        <f>IF(('Activity data'!V11*EF!$H10)*kgtoGg=0,"NO",('Activity data'!V11*EF!$H10)*kgtoGg)</f>
        <v>155.38928607524772</v>
      </c>
      <c r="W10" s="27">
        <f>IF(('Activity data'!W11*EF!$H10)*kgtoGg=0,"NO",('Activity data'!W11*EF!$H10)*kgtoGg)</f>
        <v>155.01979295478526</v>
      </c>
      <c r="X10" s="27">
        <f>IF(('Activity data'!X11*EF!$H10)*kgtoGg=0,"NO",('Activity data'!X11*EF!$H10)*kgtoGg)</f>
        <v>152.99106657639697</v>
      </c>
      <c r="Y10" s="27">
        <f>IF(('Activity data'!Y11*EF!$H10)*kgtoGg=0,"NO",('Activity data'!Y11*EF!$H10)*kgtoGg)</f>
        <v>152.84466364187409</v>
      </c>
      <c r="Z10" s="27">
        <f>IF(('Activity data'!Z11*EF!$H10)*kgtoGg=0,"NO",('Activity data'!Z11*EF!$H10)*kgtoGg)</f>
        <v>153.3396449919276</v>
      </c>
      <c r="AA10" s="27">
        <f>IF(('Activity data'!AA11*EF!$H10)*kgtoGg=0,"NO",('Activity data'!AA11*EF!$H10)*kgtoGg)</f>
        <v>152.79586266369981</v>
      </c>
      <c r="AB10" s="27">
        <f>IF(('Activity data'!AB11*EF!$H10)*kgtoGg=0,"NO",('Activity data'!AB11*EF!$H10)*kgtoGg)</f>
        <v>149.83991769999997</v>
      </c>
      <c r="AC10" s="27">
        <f>IF(('Activity data'!AC11*EF!$H10)*kgtoGg=0,"NO",('Activity data'!AC11*EF!$H10)*kgtoGg)</f>
        <v>148.66869422381706</v>
      </c>
      <c r="AD10" s="27">
        <f>IF(('Activity data'!AD11*EF!$H10)*kgtoGg=0,"NO",('Activity data'!AD11*EF!$H10)*kgtoGg)</f>
        <v>132.59034293279757</v>
      </c>
      <c r="AE10" s="27">
        <f>IF(('Activity data'!AE11*EF!$H10)*kgtoGg=0,"NO",('Activity data'!AE11*EF!$H10)*kgtoGg)</f>
        <v>132.66203410931632</v>
      </c>
      <c r="AF10" s="27">
        <f>IF(('Activity data'!AF11*EF!$H10)*kgtoGg=0,"NO",('Activity data'!AF11*EF!$H10)*kgtoGg)</f>
        <v>132.83344502276296</v>
      </c>
      <c r="AG10" s="27">
        <f>IF(('Activity data'!AG11*EF!$H10)*kgtoGg=0,"NO",('Activity data'!AG11*EF!$H10)*kgtoGg)</f>
        <v>133.08619178866664</v>
      </c>
      <c r="AH10" s="27">
        <f>IF(('Activity data'!AH11*EF!$H10)*kgtoGg=0,"NO",('Activity data'!AH11*EF!$H10)*kgtoGg)</f>
        <v>133.41866827856941</v>
      </c>
      <c r="AI10" s="27">
        <f>IF(('Activity data'!AI11*EF!$H10)*kgtoGg=0,"NO",('Activity data'!AI11*EF!$H10)*kgtoGg)</f>
        <v>133.8273636783253</v>
      </c>
      <c r="AJ10" s="27">
        <f>IF(('Activity data'!AJ11*EF!$H10)*kgtoGg=0,"NO",('Activity data'!AJ11*EF!$H10)*kgtoGg)</f>
        <v>134.2863843975903</v>
      </c>
      <c r="AK10" s="27">
        <f>IF(('Activity data'!AK11*EF!$H10)*kgtoGg=0,"NO",('Activity data'!AK11*EF!$H10)*kgtoGg)</f>
        <v>134.79283247693314</v>
      </c>
      <c r="AL10" s="27">
        <f>IF(('Activity data'!AL11*EF!$H10)*kgtoGg=0,"NO",('Activity data'!AL11*EF!$H10)*kgtoGg)</f>
        <v>135.25595136269689</v>
      </c>
      <c r="AM10" s="27">
        <f>IF(('Activity data'!AM11*EF!$H10)*kgtoGg=0,"NO",('Activity data'!AM11*EF!$H10)*kgtoGg)</f>
        <v>135.45945701303151</v>
      </c>
      <c r="AN10" s="27">
        <f>IF(('Activity data'!AN11*EF!$H10)*kgtoGg=0,"NO",('Activity data'!AN11*EF!$H10)*kgtoGg)</f>
        <v>135.70798113166347</v>
      </c>
      <c r="AO10" s="27">
        <f>IF(('Activity data'!AO11*EF!$H10)*kgtoGg=0,"NO",('Activity data'!AO11*EF!$H10)*kgtoGg)</f>
        <v>135.96919937925796</v>
      </c>
      <c r="AP10" s="27">
        <f>IF(('Activity data'!AP11*EF!$H10)*kgtoGg=0,"NO",('Activity data'!AP11*EF!$H10)*kgtoGg)</f>
        <v>136.26247262957938</v>
      </c>
      <c r="AQ10" s="27">
        <f>IF(('Activity data'!AQ11*EF!$H10)*kgtoGg=0,"NO",('Activity data'!AQ11*EF!$H10)*kgtoGg)</f>
        <v>136.58698029827343</v>
      </c>
      <c r="AR10" s="27">
        <f>IF(('Activity data'!AR11*EF!$H10)*kgtoGg=0,"NO",('Activity data'!AR11*EF!$H10)*kgtoGg)</f>
        <v>136.78964350738272</v>
      </c>
      <c r="AS10" s="27">
        <f>IF(('Activity data'!AS11*EF!$H10)*kgtoGg=0,"NO",('Activity data'!AS11*EF!$H10)*kgtoGg)</f>
        <v>137.0186015592445</v>
      </c>
      <c r="AT10" s="27">
        <f>IF(('Activity data'!AT11*EF!$H10)*kgtoGg=0,"NO",('Activity data'!AT11*EF!$H10)*kgtoGg)</f>
        <v>137.27076072273411</v>
      </c>
      <c r="AU10" s="27">
        <f>IF(('Activity data'!AU11*EF!$H10)*kgtoGg=0,"NO",('Activity data'!AU11*EF!$H10)*kgtoGg)</f>
        <v>137.54681434679034</v>
      </c>
      <c r="AV10" s="27">
        <f>IF(('Activity data'!AV11*EF!$H10)*kgtoGg=0,"NO",('Activity data'!AV11*EF!$H10)*kgtoGg)</f>
        <v>137.84391314305282</v>
      </c>
      <c r="AW10" s="27">
        <f>IF(('Activity data'!AW11*EF!$H10)*kgtoGg=0,"NO",('Activity data'!AW11*EF!$H10)*kgtoGg)</f>
        <v>138.04321155337277</v>
      </c>
      <c r="AX10" s="27">
        <f>IF(('Activity data'!AX11*EF!$H10)*kgtoGg=0,"NO",('Activity data'!AX11*EF!$H10)*kgtoGg)</f>
        <v>138.25957262105894</v>
      </c>
      <c r="AY10" s="27">
        <f>IF(('Activity data'!AY11*EF!$H10)*kgtoGg=0,"NO",('Activity data'!AY11*EF!$H10)*kgtoGg)</f>
        <v>138.49473553474263</v>
      </c>
      <c r="AZ10" s="27">
        <f>IF(('Activity data'!AZ11*EF!$H10)*kgtoGg=0,"NO",('Activity data'!AZ11*EF!$H10)*kgtoGg)</f>
        <v>138.75099586378536</v>
      </c>
      <c r="BA10" s="27">
        <f>IF(('Activity data'!BA11*EF!$H10)*kgtoGg=0,"NO",('Activity data'!BA11*EF!$H10)*kgtoGg)</f>
        <v>139.02065863419776</v>
      </c>
      <c r="BB10" s="27">
        <f>IF(('Activity data'!BB11*EF!$H10)*kgtoGg=0,"NO",('Activity data'!BB11*EF!$H10)*kgtoGg)</f>
        <v>139.193026219692</v>
      </c>
      <c r="BC10" s="27">
        <f>IF(('Activity data'!BC11*EF!$H10)*kgtoGg=0,"NO",('Activity data'!BC11*EF!$H10)*kgtoGg)</f>
        <v>139.38182622697491</v>
      </c>
      <c r="BD10" s="27">
        <f>IF(('Activity data'!BD11*EF!$H10)*kgtoGg=0,"NO",('Activity data'!BD11*EF!$H10)*kgtoGg)</f>
        <v>139.58083163749211</v>
      </c>
      <c r="BE10" s="27">
        <f>IF(('Activity data'!BE11*EF!$H10)*kgtoGg=0,"NO",('Activity data'!BE11*EF!$H10)*kgtoGg)</f>
        <v>139.79216106672223</v>
      </c>
      <c r="BF10" s="27">
        <f>IF(('Activity data'!BF11*EF!$H10)*kgtoGg=0,"NO",('Activity data'!BF11*EF!$H10)*kgtoGg)</f>
        <v>140.01549409297075</v>
      </c>
      <c r="BG10" s="27">
        <f>IF(('Activity data'!BG11*EF!$H10)*kgtoGg=0,"NO",('Activity data'!BG11*EF!$H10)*kgtoGg)</f>
        <v>140.14745576644822</v>
      </c>
      <c r="BH10" s="27">
        <f>IF(('Activity data'!BH11*EF!$H10)*kgtoGg=0,"NO",('Activity data'!BH11*EF!$H10)*kgtoGg)</f>
        <v>140.28832645422361</v>
      </c>
      <c r="BI10" s="27">
        <f>IF(('Activity data'!BI11*EF!$H10)*kgtoGg=0,"NO",('Activity data'!BI11*EF!$H10)*kgtoGg)</f>
        <v>140.44113174726405</v>
      </c>
      <c r="BJ10" s="27">
        <f>IF(('Activity data'!BJ11*EF!$H10)*kgtoGg=0,"NO",('Activity data'!BJ11*EF!$H10)*kgtoGg)</f>
        <v>140.60572391526784</v>
      </c>
      <c r="BK10" s="27">
        <f>IF(('Activity data'!BK11*EF!$H10)*kgtoGg=0,"NO",('Activity data'!BK11*EF!$H10)*kgtoGg)</f>
        <v>140.78209954735451</v>
      </c>
      <c r="BL10" s="27">
        <f>IF(('Activity data'!BL11*EF!$H10)*kgtoGg=0,"NO",('Activity data'!BL11*EF!$H10)*kgtoGg)</f>
        <v>140.86211694361444</v>
      </c>
      <c r="BM10" s="27">
        <f>IF(('Activity data'!BM11*EF!$H10)*kgtoGg=0,"NO",('Activity data'!BM11*EF!$H10)*kgtoGg)</f>
        <v>140.91368286545006</v>
      </c>
      <c r="BN10" s="27">
        <f>IF(('Activity data'!BN11*EF!$H10)*kgtoGg=0,"NO",('Activity data'!BN11*EF!$H10)*kgtoGg)</f>
        <v>140.97020886145611</v>
      </c>
      <c r="BO10" s="27">
        <f>IF(('Activity data'!BO11*EF!$H10)*kgtoGg=0,"NO",('Activity data'!BO11*EF!$H10)*kgtoGg)</f>
        <v>141.02991546858686</v>
      </c>
      <c r="BP10" s="27">
        <f>IF(('Activity data'!BP11*EF!$H10)*kgtoGg=0,"NO",('Activity data'!BP11*EF!$H10)*kgtoGg)</f>
        <v>141.09605506808808</v>
      </c>
    </row>
    <row r="11" spans="1:74" x14ac:dyDescent="0.3">
      <c r="A11" t="str">
        <f t="shared" si="1"/>
        <v>3A Livestock</v>
      </c>
      <c r="B11" t="str">
        <f t="shared" si="2"/>
        <v>3A1 Enteric fermentation (CH4)</v>
      </c>
      <c r="C11" t="str">
        <f>EF!C11</f>
        <v>3A1c Sheep</v>
      </c>
      <c r="D11" t="str">
        <f>EF!D11</f>
        <v>Subsistence</v>
      </c>
      <c r="E11" t="str">
        <f t="shared" si="3"/>
        <v>Enteric fermentation Emissions</v>
      </c>
      <c r="F11" t="str">
        <f t="shared" si="4"/>
        <v>CH4</v>
      </c>
      <c r="G11" t="str">
        <f t="shared" si="5"/>
        <v>Gg CH4</v>
      </c>
      <c r="H11" s="27">
        <f>IF(('Activity data'!H12*EF!$H11)*kgtoGg=0,"NO",('Activity data'!H12*EF!$H11)*kgtoGg)</f>
        <v>21.154764000453479</v>
      </c>
      <c r="I11" s="27">
        <f>IF(('Activity data'!I12*EF!$H11)*kgtoGg=0,"NO",('Activity data'!I12*EF!$H11)*kgtoGg)</f>
        <v>20.20354408409165</v>
      </c>
      <c r="J11" s="27">
        <f>IF(('Activity data'!J12*EF!$H11)*kgtoGg=0,"NO",('Activity data'!J12*EF!$H11)*kgtoGg)</f>
        <v>19.368756872625738</v>
      </c>
      <c r="K11" s="27">
        <f>IF(('Activity data'!K12*EF!$H11)*kgtoGg=0,"NO",('Activity data'!K12*EF!$H11)*kgtoGg)</f>
        <v>18.114106270777572</v>
      </c>
      <c r="L11" s="27">
        <f>IF(('Activity data'!L12*EF!$H11)*kgtoGg=0,"NO",('Activity data'!L12*EF!$H11)*kgtoGg)</f>
        <v>18.241829419784612</v>
      </c>
      <c r="M11" s="27">
        <f>IF(('Activity data'!M12*EF!$H11)*kgtoGg=0,"NO",('Activity data'!M12*EF!$H11)*kgtoGg)</f>
        <v>17.98073789971497</v>
      </c>
      <c r="N11" s="27">
        <f>IF(('Activity data'!N12*EF!$H11)*kgtoGg=0,"NO",('Activity data'!N12*EF!$H11)*kgtoGg)</f>
        <v>18.040718384055292</v>
      </c>
      <c r="O11" s="27">
        <f>IF(('Activity data'!O12*EF!$H11)*kgtoGg=0,"NO",('Activity data'!O12*EF!$H11)*kgtoGg)</f>
        <v>17.648375451193886</v>
      </c>
      <c r="P11" s="27">
        <f>IF(('Activity data'!P12*EF!$H11)*kgtoGg=0,"NO",('Activity data'!P12*EF!$H11)*kgtoGg)</f>
        <v>17.697065491423142</v>
      </c>
      <c r="Q11" s="27">
        <f>IF(('Activity data'!Q12*EF!$H11)*kgtoGg=0,"NO",('Activity data'!Q12*EF!$H11)*kgtoGg)</f>
        <v>17.26238339314504</v>
      </c>
      <c r="R11" s="27">
        <f>IF(('Activity data'!R12*EF!$H11)*kgtoGg=0,"NO",('Activity data'!R12*EF!$H11)*kgtoGg)</f>
        <v>16.643525925304292</v>
      </c>
      <c r="S11" s="27">
        <f>IF(('Activity data'!S12*EF!$H11)*kgtoGg=0,"NO",('Activity data'!S12*EF!$H11)*kgtoGg)</f>
        <v>16.228602104220641</v>
      </c>
      <c r="T11" s="27">
        <f>IF(('Activity data'!T12*EF!$H11)*kgtoGg=0,"NO",('Activity data'!T12*EF!$H11)*kgtoGg)</f>
        <v>15.957631445553769</v>
      </c>
      <c r="U11" s="27">
        <f>IF(('Activity data'!U12*EF!$H11)*kgtoGg=0,"NO",('Activity data'!U12*EF!$H11)*kgtoGg)</f>
        <v>16.013378013352426</v>
      </c>
      <c r="V11" s="27">
        <f>IF(('Activity data'!V12*EF!$H11)*kgtoGg=0,"NO",('Activity data'!V12*EF!$H11)*kgtoGg)</f>
        <v>15.728294299546651</v>
      </c>
      <c r="W11" s="27">
        <f>IF(('Activity data'!W12*EF!$H11)*kgtoGg=0,"NO",('Activity data'!W12*EF!$H11)*kgtoGg)</f>
        <v>15.690894703428569</v>
      </c>
      <c r="X11" s="27">
        <f>IF(('Activity data'!X12*EF!$H11)*kgtoGg=0,"NO",('Activity data'!X12*EF!$H11)*kgtoGg)</f>
        <v>15.485549751157579</v>
      </c>
      <c r="Y11" s="27">
        <f>IF(('Activity data'!Y12*EF!$H11)*kgtoGg=0,"NO",('Activity data'!Y12*EF!$H11)*kgtoGg)</f>
        <v>15.470731043261734</v>
      </c>
      <c r="Z11" s="27">
        <f>IF(('Activity data'!Z12*EF!$H11)*kgtoGg=0,"NO",('Activity data'!Z12*EF!$H11)*kgtoGg)</f>
        <v>15.520832389004827</v>
      </c>
      <c r="AA11" s="27">
        <f>IF(('Activity data'!AA12*EF!$H11)*kgtoGg=0,"NO",('Activity data'!AA12*EF!$H11)*kgtoGg)</f>
        <v>15.465791473963119</v>
      </c>
      <c r="AB11" s="27">
        <f>IF(('Activity data'!AB12*EF!$H11)*kgtoGg=0,"NO",('Activity data'!AB12*EF!$H11)*kgtoGg)</f>
        <v>15.166594705018449</v>
      </c>
      <c r="AC11" s="27">
        <f>IF(('Activity data'!AC12*EF!$H11)*kgtoGg=0,"NO",('Activity data'!AC12*EF!$H11)*kgtoGg)</f>
        <v>15.048045041851694</v>
      </c>
      <c r="AD11" s="27">
        <f>IF(('Activity data'!AD12*EF!$H11)*kgtoGg=0,"NO",('Activity data'!AD12*EF!$H11)*kgtoGg)</f>
        <v>14.369321450610597</v>
      </c>
      <c r="AE11" s="27">
        <f>IF(('Activity data'!AE12*EF!$H11)*kgtoGg=0,"NO",('Activity data'!AE12*EF!$H11)*kgtoGg)</f>
        <v>14.377090896995487</v>
      </c>
      <c r="AF11" s="27">
        <f>IF(('Activity data'!AF12*EF!$H11)*kgtoGg=0,"NO",('Activity data'!AF12*EF!$H11)*kgtoGg)</f>
        <v>14.395667351818489</v>
      </c>
      <c r="AG11" s="27">
        <f>IF(('Activity data'!AG12*EF!$H11)*kgtoGg=0,"NO",('Activity data'!AG12*EF!$H11)*kgtoGg)</f>
        <v>14.423058483363512</v>
      </c>
      <c r="AH11" s="27">
        <f>IF(('Activity data'!AH12*EF!$H11)*kgtoGg=0,"NO",('Activity data'!AH12*EF!$H11)*kgtoGg)</f>
        <v>14.459090229360317</v>
      </c>
      <c r="AI11" s="27">
        <f>IF(('Activity data'!AI12*EF!$H11)*kgtoGg=0,"NO",('Activity data'!AI12*EF!$H11)*kgtoGg)</f>
        <v>14.503382109482045</v>
      </c>
      <c r="AJ11" s="27">
        <f>IF(('Activity data'!AJ12*EF!$H11)*kgtoGg=0,"NO",('Activity data'!AJ12*EF!$H11)*kgtoGg)</f>
        <v>14.553127936528831</v>
      </c>
      <c r="AK11" s="27">
        <f>IF(('Activity data'!AK12*EF!$H11)*kgtoGg=0,"NO",('Activity data'!AK12*EF!$H11)*kgtoGg)</f>
        <v>14.608013647578019</v>
      </c>
      <c r="AL11" s="27">
        <f>IF(('Activity data'!AL12*EF!$H11)*kgtoGg=0,"NO",('Activity data'!AL12*EF!$H11)*kgtoGg)</f>
        <v>14.658203608567563</v>
      </c>
      <c r="AM11" s="27">
        <f>IF(('Activity data'!AM12*EF!$H11)*kgtoGg=0,"NO",('Activity data'!AM12*EF!$H11)*kgtoGg)</f>
        <v>14.680258292506014</v>
      </c>
      <c r="AN11" s="27">
        <f>IF(('Activity data'!AN12*EF!$H11)*kgtoGg=0,"NO",('Activity data'!AN12*EF!$H11)*kgtoGg)</f>
        <v>14.707191799651872</v>
      </c>
      <c r="AO11" s="27">
        <f>IF(('Activity data'!AO12*EF!$H11)*kgtoGg=0,"NO",('Activity data'!AO12*EF!$H11)*kgtoGg)</f>
        <v>14.735501017996329</v>
      </c>
      <c r="AP11" s="27">
        <f>IF(('Activity data'!AP12*EF!$H11)*kgtoGg=0,"NO",('Activity data'!AP12*EF!$H11)*kgtoGg)</f>
        <v>14.767284159313563</v>
      </c>
      <c r="AQ11" s="27">
        <f>IF(('Activity data'!AQ12*EF!$H11)*kgtoGg=0,"NO",('Activity data'!AQ12*EF!$H11)*kgtoGg)</f>
        <v>14.802452293745619</v>
      </c>
      <c r="AR11" s="27">
        <f>IF(('Activity data'!AR12*EF!$H11)*kgtoGg=0,"NO",('Activity data'!AR12*EF!$H11)*kgtoGg)</f>
        <v>14.824415679113581</v>
      </c>
      <c r="AS11" s="27">
        <f>IF(('Activity data'!AS12*EF!$H11)*kgtoGg=0,"NO",('Activity data'!AS12*EF!$H11)*kgtoGg)</f>
        <v>14.849228736936167</v>
      </c>
      <c r="AT11" s="27">
        <f>IF(('Activity data'!AT12*EF!$H11)*kgtoGg=0,"NO",('Activity data'!AT12*EF!$H11)*kgtoGg)</f>
        <v>14.876556187765189</v>
      </c>
      <c r="AU11" s="27">
        <f>IF(('Activity data'!AU12*EF!$H11)*kgtoGg=0,"NO",('Activity data'!AU12*EF!$H11)*kgtoGg)</f>
        <v>14.906473172471083</v>
      </c>
      <c r="AV11" s="27">
        <f>IF(('Activity data'!AV12*EF!$H11)*kgtoGg=0,"NO",('Activity data'!AV12*EF!$H11)*kgtoGg)</f>
        <v>14.938670902800874</v>
      </c>
      <c r="AW11" s="27">
        <f>IF(('Activity data'!AW12*EF!$H11)*kgtoGg=0,"NO",('Activity data'!AW12*EF!$H11)*kgtoGg)</f>
        <v>14.960269632083405</v>
      </c>
      <c r="AX11" s="27">
        <f>IF(('Activity data'!AX12*EF!$H11)*kgtoGg=0,"NO",('Activity data'!AX12*EF!$H11)*kgtoGg)</f>
        <v>14.983717506658669</v>
      </c>
      <c r="AY11" s="27">
        <f>IF(('Activity data'!AY12*EF!$H11)*kgtoGg=0,"NO",('Activity data'!AY12*EF!$H11)*kgtoGg)</f>
        <v>15.009203009035685</v>
      </c>
      <c r="AZ11" s="27">
        <f>IF(('Activity data'!AZ12*EF!$H11)*kgtoGg=0,"NO",('Activity data'!AZ12*EF!$H11)*kgtoGg)</f>
        <v>15.036974918826434</v>
      </c>
      <c r="BA11" s="27">
        <f>IF(('Activity data'!BA12*EF!$H11)*kgtoGg=0,"NO",('Activity data'!BA12*EF!$H11)*kgtoGg)</f>
        <v>15.066199302334384</v>
      </c>
      <c r="BB11" s="27">
        <f>IF(('Activity data'!BB12*EF!$H11)*kgtoGg=0,"NO",('Activity data'!BB12*EF!$H11)*kgtoGg)</f>
        <v>15.084879435358006</v>
      </c>
      <c r="BC11" s="27">
        <f>IF(('Activity data'!BC12*EF!$H11)*kgtoGg=0,"NO",('Activity data'!BC12*EF!$H11)*kgtoGg)</f>
        <v>15.105340412639743</v>
      </c>
      <c r="BD11" s="27">
        <f>IF(('Activity data'!BD12*EF!$H11)*kgtoGg=0,"NO",('Activity data'!BD12*EF!$H11)*kgtoGg)</f>
        <v>15.126907388415511</v>
      </c>
      <c r="BE11" s="27">
        <f>IF(('Activity data'!BE12*EF!$H11)*kgtoGg=0,"NO",('Activity data'!BE12*EF!$H11)*kgtoGg)</f>
        <v>15.14980996512972</v>
      </c>
      <c r="BF11" s="27">
        <f>IF(('Activity data'!BF12*EF!$H11)*kgtoGg=0,"NO",('Activity data'!BF12*EF!$H11)*kgtoGg)</f>
        <v>15.174013417460552</v>
      </c>
      <c r="BG11" s="27">
        <f>IF(('Activity data'!BG12*EF!$H11)*kgtoGg=0,"NO",('Activity data'!BG12*EF!$H11)*kgtoGg)</f>
        <v>15.188314607603177</v>
      </c>
      <c r="BH11" s="27">
        <f>IF(('Activity data'!BH12*EF!$H11)*kgtoGg=0,"NO",('Activity data'!BH12*EF!$H11)*kgtoGg)</f>
        <v>15.203581301623565</v>
      </c>
      <c r="BI11" s="27">
        <f>IF(('Activity data'!BI12*EF!$H11)*kgtoGg=0,"NO",('Activity data'!BI12*EF!$H11)*kgtoGg)</f>
        <v>15.220141394360979</v>
      </c>
      <c r="BJ11" s="27">
        <f>IF(('Activity data'!BJ12*EF!$H11)*kgtoGg=0,"NO",('Activity data'!BJ12*EF!$H11)*kgtoGg)</f>
        <v>15.237978875718865</v>
      </c>
      <c r="BK11" s="27">
        <f>IF(('Activity data'!BK12*EF!$H11)*kgtoGg=0,"NO",('Activity data'!BK12*EF!$H11)*kgtoGg)</f>
        <v>15.25709337604709</v>
      </c>
      <c r="BL11" s="27">
        <f>IF(('Activity data'!BL12*EF!$H11)*kgtoGg=0,"NO",('Activity data'!BL12*EF!$H11)*kgtoGg)</f>
        <v>15.265765166639579</v>
      </c>
      <c r="BM11" s="27">
        <f>IF(('Activity data'!BM12*EF!$H11)*kgtoGg=0,"NO",('Activity data'!BM12*EF!$H11)*kgtoGg)</f>
        <v>15.271353562373108</v>
      </c>
      <c r="BN11" s="27">
        <f>IF(('Activity data'!BN12*EF!$H11)*kgtoGg=0,"NO",('Activity data'!BN12*EF!$H11)*kgtoGg)</f>
        <v>15.277479500272968</v>
      </c>
      <c r="BO11" s="27">
        <f>IF(('Activity data'!BO12*EF!$H11)*kgtoGg=0,"NO",('Activity data'!BO12*EF!$H11)*kgtoGg)</f>
        <v>15.283950133138154</v>
      </c>
      <c r="BP11" s="27">
        <f>IF(('Activity data'!BP12*EF!$H11)*kgtoGg=0,"NO",('Activity data'!BP12*EF!$H11)*kgtoGg)</f>
        <v>15.291117933935899</v>
      </c>
    </row>
    <row r="12" spans="1:74" x14ac:dyDescent="0.3">
      <c r="A12" t="str">
        <f t="shared" si="1"/>
        <v>3A Livestock</v>
      </c>
      <c r="B12" t="str">
        <f t="shared" si="2"/>
        <v>3A1 Enteric fermentation (CH4)</v>
      </c>
      <c r="C12" t="str">
        <f>EF!C12</f>
        <v>3A1d Goats</v>
      </c>
      <c r="D12" t="str">
        <f>EF!D12</f>
        <v>Commercial</v>
      </c>
      <c r="E12" t="str">
        <f t="shared" si="3"/>
        <v>Enteric fermentation Emissions</v>
      </c>
      <c r="F12" t="str">
        <f t="shared" si="4"/>
        <v>CH4</v>
      </c>
      <c r="G12" t="str">
        <f t="shared" si="5"/>
        <v>Gg CH4</v>
      </c>
      <c r="H12" s="27">
        <f>IF(('Activity data'!H13*EF!$H12)*kgtoGg=0,"NO",('Activity data'!H13*EF!$H12)*kgtoGg)</f>
        <v>20.285563221215835</v>
      </c>
      <c r="I12" s="27">
        <f>IF(('Activity data'!I13*EF!$H12)*kgtoGg=0,"NO",('Activity data'!I13*EF!$H12)*kgtoGg)</f>
        <v>17.938171082062887</v>
      </c>
      <c r="J12" s="27">
        <f>IF(('Activity data'!J13*EF!$H12)*kgtoGg=0,"NO",('Activity data'!J13*EF!$H12)*kgtoGg)</f>
        <v>16.709629401758534</v>
      </c>
      <c r="K12" s="27">
        <f>IF(('Activity data'!K13*EF!$H12)*kgtoGg=0,"NO",('Activity data'!K13*EF!$H12)*kgtoGg)</f>
        <v>15.788223141530271</v>
      </c>
      <c r="L12" s="27">
        <f>IF(('Activity data'!L13*EF!$H12)*kgtoGg=0,"NO",('Activity data'!L13*EF!$H12)*kgtoGg)</f>
        <v>17.089892302805115</v>
      </c>
      <c r="M12" s="27">
        <f>IF(('Activity data'!M13*EF!$H12)*kgtoGg=0,"NO",('Activity data'!M13*EF!$H12)*kgtoGg)</f>
        <v>17.32390024191071</v>
      </c>
      <c r="N12" s="27">
        <f>IF(('Activity data'!N13*EF!$H12)*kgtoGg=0,"NO",('Activity data'!N13*EF!$H12)*kgtoGg)</f>
        <v>17.594471921501544</v>
      </c>
      <c r="O12" s="27">
        <f>IF(('Activity data'!O13*EF!$H12)*kgtoGg=0,"NO",('Activity data'!O13*EF!$H12)*kgtoGg)</f>
        <v>17.506718944336949</v>
      </c>
      <c r="P12" s="27">
        <f>IF(('Activity data'!P13*EF!$H12)*kgtoGg=0,"NO",('Activity data'!P13*EF!$H12)*kgtoGg)</f>
        <v>17.258085509037262</v>
      </c>
      <c r="Q12" s="27">
        <f>IF(('Activity data'!Q13*EF!$H12)*kgtoGg=0,"NO",('Activity data'!Q13*EF!$H12)*kgtoGg)</f>
        <v>17.002139325640524</v>
      </c>
      <c r="R12" s="27">
        <f>IF(('Activity data'!R13*EF!$H12)*kgtoGg=0,"NO",('Activity data'!R13*EF!$H12)*kgtoGg)</f>
        <v>17.221521768552012</v>
      </c>
      <c r="S12" s="27">
        <f>IF(('Activity data'!S13*EF!$H12)*kgtoGg=0,"NO",('Activity data'!S13*EF!$H12)*kgtoGg)</f>
        <v>17.748039631539594</v>
      </c>
      <c r="T12" s="27">
        <f>IF(('Activity data'!T13*EF!$H12)*kgtoGg=0,"NO",('Activity data'!T13*EF!$H12)*kgtoGg)</f>
        <v>16.205049783062112</v>
      </c>
      <c r="U12" s="27">
        <f>IF(('Activity data'!U13*EF!$H12)*kgtoGg=0,"NO",('Activity data'!U13*EF!$H12)*kgtoGg)</f>
        <v>15.795535889627324</v>
      </c>
      <c r="V12" s="27">
        <f>IF(('Activity data'!V13*EF!$H12)*kgtoGg=0,"NO",('Activity data'!V13*EF!$H12)*kgtoGg)</f>
        <v>15.824786882015525</v>
      </c>
      <c r="W12" s="27">
        <f>IF(('Activity data'!W13*EF!$H12)*kgtoGg=0,"NO",('Activity data'!W13*EF!$H12)*kgtoGg)</f>
        <v>15.620029935298131</v>
      </c>
      <c r="X12" s="27">
        <f>IF(('Activity data'!X13*EF!$H12)*kgtoGg=0,"NO",('Activity data'!X13*EF!$H12)*kgtoGg)</f>
        <v>15.949103599665367</v>
      </c>
      <c r="Y12" s="27">
        <f>IF(('Activity data'!Y13*EF!$H12)*kgtoGg=0,"NO",('Activity data'!Y13*EF!$H12)*kgtoGg)</f>
        <v>15.473774973357138</v>
      </c>
      <c r="Z12" s="27">
        <f>IF(('Activity data'!Z13*EF!$H12)*kgtoGg=0,"NO",('Activity data'!Z13*EF!$H12)*kgtoGg)</f>
        <v>15.459149477163042</v>
      </c>
      <c r="AA12" s="27">
        <f>IF(('Activity data'!AA13*EF!$H12)*kgtoGg=0,"NO",('Activity data'!AA13*EF!$H12)*kgtoGg)</f>
        <v>15.188577797572201</v>
      </c>
      <c r="AB12" s="27">
        <f>IF(('Activity data'!AB13*EF!$H12)*kgtoGg=0,"NO",('Activity data'!AB13*EF!$H12)*kgtoGg)</f>
        <v>15.005759095145958</v>
      </c>
      <c r="AC12" s="27">
        <f>IF(('Activity data'!AC13*EF!$H12)*kgtoGg=0,"NO",('Activity data'!AC13*EF!$H12)*kgtoGg)</f>
        <v>14.866816881302015</v>
      </c>
      <c r="AD12" s="27">
        <f>IF(('Activity data'!AD13*EF!$H12)*kgtoGg=0,"NO",('Activity data'!AD13*EF!$H12)*kgtoGg)</f>
        <v>15.123414197798359</v>
      </c>
      <c r="AE12" s="27">
        <f>IF(('Activity data'!AE13*EF!$H12)*kgtoGg=0,"NO",('Activity data'!AE13*EF!$H12)*kgtoGg)</f>
        <v>15.162727774721576</v>
      </c>
      <c r="AF12" s="27">
        <f>IF(('Activity data'!AF13*EF!$H12)*kgtoGg=0,"NO",('Activity data'!AF13*EF!$H12)*kgtoGg)</f>
        <v>15.216959464794312</v>
      </c>
      <c r="AG12" s="27">
        <f>IF(('Activity data'!AG13*EF!$H12)*kgtoGg=0,"NO",('Activity data'!AG13*EF!$H12)*kgtoGg)</f>
        <v>15.283027985940228</v>
      </c>
      <c r="AH12" s="27">
        <f>IF(('Activity data'!AH13*EF!$H12)*kgtoGg=0,"NO",('Activity data'!AH13*EF!$H12)*kgtoGg)</f>
        <v>15.360839106953575</v>
      </c>
      <c r="AI12" s="27">
        <f>IF(('Activity data'!AI13*EF!$H12)*kgtoGg=0,"NO",('Activity data'!AI13*EF!$H12)*kgtoGg)</f>
        <v>15.449919228540612</v>
      </c>
      <c r="AJ12" s="27">
        <f>IF(('Activity data'!AJ13*EF!$H12)*kgtoGg=0,"NO",('Activity data'!AJ13*EF!$H12)*kgtoGg)</f>
        <v>15.545788610572222</v>
      </c>
      <c r="AK12" s="27">
        <f>IF(('Activity data'!AK13*EF!$H12)*kgtoGg=0,"NO",('Activity data'!AK13*EF!$H12)*kgtoGg)</f>
        <v>15.648067752449878</v>
      </c>
      <c r="AL12" s="27">
        <f>IF(('Activity data'!AL13*EF!$H12)*kgtoGg=0,"NO",('Activity data'!AL13*EF!$H12)*kgtoGg)</f>
        <v>15.740823350999253</v>
      </c>
      <c r="AM12" s="27">
        <f>IF(('Activity data'!AM13*EF!$H12)*kgtoGg=0,"NO",('Activity data'!AM13*EF!$H12)*kgtoGg)</f>
        <v>15.786130826260475</v>
      </c>
      <c r="AN12" s="27">
        <f>IF(('Activity data'!AN13*EF!$H12)*kgtoGg=0,"NO",('Activity data'!AN13*EF!$H12)*kgtoGg)</f>
        <v>15.838063303157622</v>
      </c>
      <c r="AO12" s="27">
        <f>IF(('Activity data'!AO13*EF!$H12)*kgtoGg=0,"NO",('Activity data'!AO13*EF!$H12)*kgtoGg)</f>
        <v>15.891000771686212</v>
      </c>
      <c r="AP12" s="27">
        <f>IF(('Activity data'!AP13*EF!$H12)*kgtoGg=0,"NO",('Activity data'!AP13*EF!$H12)*kgtoGg)</f>
        <v>15.94841543311963</v>
      </c>
      <c r="AQ12" s="27">
        <f>IF(('Activity data'!AQ13*EF!$H12)*kgtoGg=0,"NO",('Activity data'!AQ13*EF!$H12)*kgtoGg)</f>
        <v>16.010212398342233</v>
      </c>
      <c r="AR12" s="27">
        <f>IF(('Activity data'!AR13*EF!$H12)*kgtoGg=0,"NO",('Activity data'!AR13*EF!$H12)*kgtoGg)</f>
        <v>16.04975975411061</v>
      </c>
      <c r="AS12" s="27">
        <f>IF(('Activity data'!AS13*EF!$H12)*kgtoGg=0,"NO",('Activity data'!AS13*EF!$H12)*kgtoGg)</f>
        <v>16.093026754767141</v>
      </c>
      <c r="AT12" s="27">
        <f>IF(('Activity data'!AT13*EF!$H12)*kgtoGg=0,"NO",('Activity data'!AT13*EF!$H12)*kgtoGg)</f>
        <v>16.139507339626743</v>
      </c>
      <c r="AU12" s="27">
        <f>IF(('Activity data'!AU13*EF!$H12)*kgtoGg=0,"NO",('Activity data'!AU13*EF!$H12)*kgtoGg)</f>
        <v>16.189350761403606</v>
      </c>
      <c r="AV12" s="27">
        <f>IF(('Activity data'!AV13*EF!$H12)*kgtoGg=0,"NO",('Activity data'!AV13*EF!$H12)*kgtoGg)</f>
        <v>16.242088999774211</v>
      </c>
      <c r="AW12" s="27">
        <f>IF(('Activity data'!AW13*EF!$H12)*kgtoGg=0,"NO",('Activity data'!AW13*EF!$H12)*kgtoGg)</f>
        <v>16.277259419124743</v>
      </c>
      <c r="AX12" s="27">
        <f>IF(('Activity data'!AX13*EF!$H12)*kgtoGg=0,"NO",('Activity data'!AX13*EF!$H12)*kgtoGg)</f>
        <v>16.31476657866423</v>
      </c>
      <c r="AY12" s="27">
        <f>IF(('Activity data'!AY13*EF!$H12)*kgtoGg=0,"NO",('Activity data'!AY13*EF!$H12)*kgtoGg)</f>
        <v>16.354927956284293</v>
      </c>
      <c r="AZ12" s="27">
        <f>IF(('Activity data'!AZ13*EF!$H12)*kgtoGg=0,"NO",('Activity data'!AZ13*EF!$H12)*kgtoGg)</f>
        <v>16.39815145947275</v>
      </c>
      <c r="BA12" s="27">
        <f>IF(('Activity data'!BA13*EF!$H12)*kgtoGg=0,"NO",('Activity data'!BA13*EF!$H12)*kgtoGg)</f>
        <v>16.443131260504089</v>
      </c>
      <c r="BB12" s="27">
        <f>IF(('Activity data'!BB13*EF!$H12)*kgtoGg=0,"NO",('Activity data'!BB13*EF!$H12)*kgtoGg)</f>
        <v>16.470988408557865</v>
      </c>
      <c r="BC12" s="27">
        <f>IF(('Activity data'!BC13*EF!$H12)*kgtoGg=0,"NO",('Activity data'!BC13*EF!$H12)*kgtoGg)</f>
        <v>16.501218486314869</v>
      </c>
      <c r="BD12" s="27">
        <f>IF(('Activity data'!BD13*EF!$H12)*kgtoGg=0,"NO",('Activity data'!BD13*EF!$H12)*kgtoGg)</f>
        <v>16.532770131598127</v>
      </c>
      <c r="BE12" s="27">
        <f>IF(('Activity data'!BE13*EF!$H12)*kgtoGg=0,"NO",('Activity data'!BE13*EF!$H12)*kgtoGg)</f>
        <v>16.566015013383382</v>
      </c>
      <c r="BF12" s="27">
        <f>IF(('Activity data'!BF13*EF!$H12)*kgtoGg=0,"NO",('Activity data'!BF13*EF!$H12)*kgtoGg)</f>
        <v>16.600907614824543</v>
      </c>
      <c r="BG12" s="27">
        <f>IF(('Activity data'!BG13*EF!$H12)*kgtoGg=0,"NO",('Activity data'!BG13*EF!$H12)*kgtoGg)</f>
        <v>16.619970797900123</v>
      </c>
      <c r="BH12" s="27">
        <f>IF(('Activity data'!BH13*EF!$H12)*kgtoGg=0,"NO",('Activity data'!BH13*EF!$H12)*kgtoGg)</f>
        <v>16.64023491177819</v>
      </c>
      <c r="BI12" s="27">
        <f>IF(('Activity data'!BI13*EF!$H12)*kgtoGg=0,"NO",('Activity data'!BI13*EF!$H12)*kgtoGg)</f>
        <v>16.662217242949243</v>
      </c>
      <c r="BJ12" s="27">
        <f>IF(('Activity data'!BJ13*EF!$H12)*kgtoGg=0,"NO",('Activity data'!BJ13*EF!$H12)*kgtoGg)</f>
        <v>16.685896797291566</v>
      </c>
      <c r="BK12" s="27">
        <f>IF(('Activity data'!BK13*EF!$H12)*kgtoGg=0,"NO",('Activity data'!BK13*EF!$H12)*kgtoGg)</f>
        <v>16.711276306511749</v>
      </c>
      <c r="BL12" s="27">
        <f>IF(('Activity data'!BL13*EF!$H12)*kgtoGg=0,"NO",('Activity data'!BL13*EF!$H12)*kgtoGg)</f>
        <v>16.720221808869553</v>
      </c>
      <c r="BM12" s="27">
        <f>IF(('Activity data'!BM13*EF!$H12)*kgtoGg=0,"NO",('Activity data'!BM13*EF!$H12)*kgtoGg)</f>
        <v>16.72419450850062</v>
      </c>
      <c r="BN12" s="27">
        <f>IF(('Activity data'!BN13*EF!$H12)*kgtoGg=0,"NO",('Activity data'!BN13*EF!$H12)*kgtoGg)</f>
        <v>16.728812799261537</v>
      </c>
      <c r="BO12" s="27">
        <f>IF(('Activity data'!BO13*EF!$H12)*kgtoGg=0,"NO",('Activity data'!BO13*EF!$H12)*kgtoGg)</f>
        <v>16.733784752247175</v>
      </c>
      <c r="BP12" s="27">
        <f>IF(('Activity data'!BP13*EF!$H12)*kgtoGg=0,"NO",('Activity data'!BP13*EF!$H12)*kgtoGg)</f>
        <v>16.739658320998576</v>
      </c>
    </row>
    <row r="13" spans="1:74" x14ac:dyDescent="0.3">
      <c r="A13" t="str">
        <f t="shared" si="1"/>
        <v>3A Livestock</v>
      </c>
      <c r="B13" t="str">
        <f t="shared" si="2"/>
        <v>3A1 Enteric fermentation (CH4)</v>
      </c>
      <c r="C13" t="str">
        <f>EF!C13</f>
        <v>3A1d Goats</v>
      </c>
      <c r="D13" t="str">
        <f>EF!D13</f>
        <v>Subsistence</v>
      </c>
      <c r="E13" t="str">
        <f t="shared" si="3"/>
        <v>Enteric fermentation Emissions</v>
      </c>
      <c r="F13" t="str">
        <f t="shared" si="4"/>
        <v>CH4</v>
      </c>
      <c r="G13" t="str">
        <f t="shared" si="5"/>
        <v>Gg CH4</v>
      </c>
      <c r="H13" s="27">
        <f>IF(('Activity data'!H14*EF!$H13)*kgtoGg=0,"NO",('Activity data'!H14*EF!$H13)*kgtoGg)</f>
        <v>30.547177763222784</v>
      </c>
      <c r="I13" s="27">
        <f>IF(('Activity data'!I14*EF!$H13)*kgtoGg=0,"NO",('Activity data'!I14*EF!$H13)*kgtoGg)</f>
        <v>27.012338519533348</v>
      </c>
      <c r="J13" s="27">
        <f>IF(('Activity data'!J14*EF!$H13)*kgtoGg=0,"NO",('Activity data'!J14*EF!$H13)*kgtoGg)</f>
        <v>25.162329195733268</v>
      </c>
      <c r="K13" s="27">
        <f>IF(('Activity data'!K14*EF!$H13)*kgtoGg=0,"NO",('Activity data'!K14*EF!$H13)*kgtoGg)</f>
        <v>23.774822202883204</v>
      </c>
      <c r="L13" s="27">
        <f>IF(('Activity data'!L14*EF!$H13)*kgtoGg=0,"NO",('Activity data'!L14*EF!$H13)*kgtoGg)</f>
        <v>25.734951129290433</v>
      </c>
      <c r="M13" s="27">
        <f>IF(('Activity data'!M14*EF!$H13)*kgtoGg=0,"NO",('Activity data'!M14*EF!$H13)*kgtoGg)</f>
        <v>26.087333857633308</v>
      </c>
      <c r="N13" s="27">
        <f>IF(('Activity data'!N14*EF!$H13)*kgtoGg=0,"NO",('Activity data'!N14*EF!$H13)*kgtoGg)</f>
        <v>26.494776387279753</v>
      </c>
      <c r="O13" s="27">
        <f>IF(('Activity data'!O14*EF!$H13)*kgtoGg=0,"NO",('Activity data'!O14*EF!$H13)*kgtoGg)</f>
        <v>26.362632864151173</v>
      </c>
      <c r="P13" s="27">
        <f>IF(('Activity data'!P14*EF!$H13)*kgtoGg=0,"NO",('Activity data'!P14*EF!$H13)*kgtoGg)</f>
        <v>25.988226215286872</v>
      </c>
      <c r="Q13" s="27">
        <f>IF(('Activity data'!Q14*EF!$H13)*kgtoGg=0,"NO",('Activity data'!Q14*EF!$H13)*kgtoGg)</f>
        <v>25.602807606161857</v>
      </c>
      <c r="R13" s="27">
        <f>IF(('Activity data'!R14*EF!$H13)*kgtoGg=0,"NO",('Activity data'!R14*EF!$H13)*kgtoGg)</f>
        <v>25.933166413983301</v>
      </c>
      <c r="S13" s="27">
        <f>IF(('Activity data'!S14*EF!$H13)*kgtoGg=0,"NO",('Activity data'!S14*EF!$H13)*kgtoGg)</f>
        <v>26.726027552754761</v>
      </c>
      <c r="T13" s="27">
        <f>IF(('Activity data'!T14*EF!$H13)*kgtoGg=0,"NO",('Activity data'!T14*EF!$H13)*kgtoGg)</f>
        <v>24.402503937743941</v>
      </c>
      <c r="U13" s="27">
        <f>IF(('Activity data'!U14*EF!$H13)*kgtoGg=0,"NO",('Activity data'!U14*EF!$H13)*kgtoGg)</f>
        <v>23.785834163143917</v>
      </c>
      <c r="V13" s="27">
        <f>IF(('Activity data'!V14*EF!$H13)*kgtoGg=0,"NO",('Activity data'!V14*EF!$H13)*kgtoGg)</f>
        <v>23.829882004186778</v>
      </c>
      <c r="W13" s="27">
        <f>IF(('Activity data'!W14*EF!$H13)*kgtoGg=0,"NO",('Activity data'!W14*EF!$H13)*kgtoGg)</f>
        <v>23.521547116886765</v>
      </c>
      <c r="X13" s="27">
        <f>IF(('Activity data'!X14*EF!$H13)*kgtoGg=0,"NO",('Activity data'!X14*EF!$H13)*kgtoGg)</f>
        <v>24.017085328618933</v>
      </c>
      <c r="Y13" s="27">
        <f>IF(('Activity data'!Y14*EF!$H13)*kgtoGg=0,"NO",('Activity data'!Y14*EF!$H13)*kgtoGg)</f>
        <v>23.301307911672467</v>
      </c>
      <c r="Z13" s="27">
        <f>IF(('Activity data'!Z14*EF!$H13)*kgtoGg=0,"NO",('Activity data'!Z14*EF!$H13)*kgtoGg)</f>
        <v>23.279283991151036</v>
      </c>
      <c r="AA13" s="27">
        <f>IF(('Activity data'!AA14*EF!$H13)*kgtoGg=0,"NO",('Activity data'!AA14*EF!$H13)*kgtoGg)</f>
        <v>22.871841461504591</v>
      </c>
      <c r="AB13" s="27">
        <f>IF(('Activity data'!AB14*EF!$H13)*kgtoGg=0,"NO",('Activity data'!AB14*EF!$H13)*kgtoGg)</f>
        <v>22.596542454986725</v>
      </c>
      <c r="AC13" s="27">
        <f>IF(('Activity data'!AC14*EF!$H13)*kgtoGg=0,"NO",('Activity data'!AC14*EF!$H13)*kgtoGg)</f>
        <v>22.38731521003314</v>
      </c>
      <c r="AD13" s="27">
        <f>IF(('Activity data'!AD14*EF!$H13)*kgtoGg=0,"NO",('Activity data'!AD14*EF!$H13)*kgtoGg)</f>
        <v>22.381101687842744</v>
      </c>
      <c r="AE13" s="27">
        <f>IF(('Activity data'!AE14*EF!$H13)*kgtoGg=0,"NO",('Activity data'!AE14*EF!$H13)*kgtoGg)</f>
        <v>22.439281748993185</v>
      </c>
      <c r="AF13" s="27">
        <f>IF(('Activity data'!AF14*EF!$H13)*kgtoGg=0,"NO",('Activity data'!AF14*EF!$H13)*kgtoGg)</f>
        <v>22.519539087339325</v>
      </c>
      <c r="AG13" s="27">
        <f>IF(('Activity data'!AG14*EF!$H13)*kgtoGg=0,"NO",('Activity data'!AG14*EF!$H13)*kgtoGg)</f>
        <v>22.617313721478975</v>
      </c>
      <c r="AH13" s="27">
        <f>IF(('Activity data'!AH14*EF!$H13)*kgtoGg=0,"NO",('Activity data'!AH14*EF!$H13)*kgtoGg)</f>
        <v>22.73246619889365</v>
      </c>
      <c r="AI13" s="27">
        <f>IF(('Activity data'!AI14*EF!$H13)*kgtoGg=0,"NO",('Activity data'!AI14*EF!$H13)*kgtoGg)</f>
        <v>22.864295641209328</v>
      </c>
      <c r="AJ13" s="27">
        <f>IF(('Activity data'!AJ14*EF!$H13)*kgtoGg=0,"NO",('Activity data'!AJ14*EF!$H13)*kgtoGg)</f>
        <v>23.006172492556328</v>
      </c>
      <c r="AK13" s="27">
        <f>IF(('Activity data'!AK14*EF!$H13)*kgtoGg=0,"NO",('Activity data'!AK14*EF!$H13)*kgtoGg)</f>
        <v>23.157535130977113</v>
      </c>
      <c r="AL13" s="27">
        <f>IF(('Activity data'!AL14*EF!$H13)*kgtoGg=0,"NO",('Activity data'!AL14*EF!$H13)*kgtoGg)</f>
        <v>23.294803902175122</v>
      </c>
      <c r="AM13" s="27">
        <f>IF(('Activity data'!AM14*EF!$H13)*kgtoGg=0,"NO",('Activity data'!AM14*EF!$H13)*kgtoGg)</f>
        <v>23.361854318025564</v>
      </c>
      <c r="AN13" s="27">
        <f>IF(('Activity data'!AN14*EF!$H13)*kgtoGg=0,"NO",('Activity data'!AN14*EF!$H13)*kgtoGg)</f>
        <v>23.438709056719805</v>
      </c>
      <c r="AO13" s="27">
        <f>IF(('Activity data'!AO14*EF!$H13)*kgtoGg=0,"NO",('Activity data'!AO14*EF!$H13)*kgtoGg)</f>
        <v>23.517051079938867</v>
      </c>
      <c r="AP13" s="27">
        <f>IF(('Activity data'!AP14*EF!$H13)*kgtoGg=0,"NO",('Activity data'!AP14*EF!$H13)*kgtoGg)</f>
        <v>23.602018889396962</v>
      </c>
      <c r="AQ13" s="27">
        <f>IF(('Activity data'!AQ14*EF!$H13)*kgtoGg=0,"NO",('Activity data'!AQ14*EF!$H13)*kgtoGg)</f>
        <v>23.693472058936443</v>
      </c>
      <c r="AR13" s="27">
        <f>IF(('Activity data'!AR14*EF!$H13)*kgtoGg=0,"NO",('Activity data'!AR14*EF!$H13)*kgtoGg)</f>
        <v>23.75199808879723</v>
      </c>
      <c r="AS13" s="27">
        <f>IF(('Activity data'!AS14*EF!$H13)*kgtoGg=0,"NO",('Activity data'!AS14*EF!$H13)*kgtoGg)</f>
        <v>23.816028811539901</v>
      </c>
      <c r="AT13" s="27">
        <f>IF(('Activity data'!AT14*EF!$H13)*kgtoGg=0,"NO",('Activity data'!AT14*EF!$H13)*kgtoGg)</f>
        <v>23.884815309261068</v>
      </c>
      <c r="AU13" s="27">
        <f>IF(('Activity data'!AU14*EF!$H13)*kgtoGg=0,"NO",('Activity data'!AU14*EF!$H13)*kgtoGg)</f>
        <v>23.958578460667738</v>
      </c>
      <c r="AV13" s="27">
        <f>IF(('Activity data'!AV14*EF!$H13)*kgtoGg=0,"NO",('Activity data'!AV14*EF!$H13)*kgtoGg)</f>
        <v>24.036625643689554</v>
      </c>
      <c r="AW13" s="27">
        <f>IF(('Activity data'!AW14*EF!$H13)*kgtoGg=0,"NO",('Activity data'!AW14*EF!$H13)*kgtoGg)</f>
        <v>24.088674256627954</v>
      </c>
      <c r="AX13" s="27">
        <f>IF(('Activity data'!AX14*EF!$H13)*kgtoGg=0,"NO",('Activity data'!AX14*EF!$H13)*kgtoGg)</f>
        <v>24.144181005348596</v>
      </c>
      <c r="AY13" s="27">
        <f>IF(('Activity data'!AY14*EF!$H13)*kgtoGg=0,"NO",('Activity data'!AY14*EF!$H13)*kgtoGg)</f>
        <v>24.20361572456493</v>
      </c>
      <c r="AZ13" s="27">
        <f>IF(('Activity data'!AZ14*EF!$H13)*kgtoGg=0,"NO",('Activity data'!AZ14*EF!$H13)*kgtoGg)</f>
        <v>24.267582075516717</v>
      </c>
      <c r="BA13" s="27">
        <f>IF(('Activity data'!BA14*EF!$H13)*kgtoGg=0,"NO",('Activity data'!BA14*EF!$H13)*kgtoGg)</f>
        <v>24.334147567119</v>
      </c>
      <c r="BB13" s="27">
        <f>IF(('Activity data'!BB14*EF!$H13)*kgtoGg=0,"NO",('Activity data'!BB14*EF!$H13)*kgtoGg)</f>
        <v>24.375373288716684</v>
      </c>
      <c r="BC13" s="27">
        <f>IF(('Activity data'!BC14*EF!$H13)*kgtoGg=0,"NO",('Activity data'!BC14*EF!$H13)*kgtoGg)</f>
        <v>24.420110702865486</v>
      </c>
      <c r="BD13" s="27">
        <f>IF(('Activity data'!BD14*EF!$H13)*kgtoGg=0,"NO",('Activity data'!BD14*EF!$H13)*kgtoGg)</f>
        <v>24.466803901389813</v>
      </c>
      <c r="BE13" s="27">
        <f>IF(('Activity data'!BE14*EF!$H13)*kgtoGg=0,"NO",('Activity data'!BE14*EF!$H13)*kgtoGg)</f>
        <v>24.516002916248802</v>
      </c>
      <c r="BF13" s="27">
        <f>IF(('Activity data'!BF14*EF!$H13)*kgtoGg=0,"NO",('Activity data'!BF14*EF!$H13)*kgtoGg)</f>
        <v>24.567640387179249</v>
      </c>
      <c r="BG13" s="27">
        <f>IF(('Activity data'!BG14*EF!$H13)*kgtoGg=0,"NO",('Activity data'!BG14*EF!$H13)*kgtoGg)</f>
        <v>24.595851942673818</v>
      </c>
      <c r="BH13" s="27">
        <f>IF(('Activity data'!BH14*EF!$H13)*kgtoGg=0,"NO",('Activity data'!BH14*EF!$H13)*kgtoGg)</f>
        <v>24.625840752567356</v>
      </c>
      <c r="BI13" s="27">
        <f>IF(('Activity data'!BI14*EF!$H13)*kgtoGg=0,"NO",('Activity data'!BI14*EF!$H13)*kgtoGg)</f>
        <v>24.658372347803756</v>
      </c>
      <c r="BJ13" s="27">
        <f>IF(('Activity data'!BJ14*EF!$H13)*kgtoGg=0,"NO",('Activity data'!BJ14*EF!$H13)*kgtoGg)</f>
        <v>24.693415659236397</v>
      </c>
      <c r="BK13" s="27">
        <f>IF(('Activity data'!BK14*EF!$H13)*kgtoGg=0,"NO",('Activity data'!BK14*EF!$H13)*kgtoGg)</f>
        <v>24.730974729510827</v>
      </c>
      <c r="BL13" s="27">
        <f>IF(('Activity data'!BL14*EF!$H13)*kgtoGg=0,"NO",('Activity data'!BL14*EF!$H13)*kgtoGg)</f>
        <v>24.744213155391417</v>
      </c>
      <c r="BM13" s="27">
        <f>IF(('Activity data'!BM14*EF!$H13)*kgtoGg=0,"NO",('Activity data'!BM14*EF!$H13)*kgtoGg)</f>
        <v>24.750092343335041</v>
      </c>
      <c r="BN13" s="27">
        <f>IF(('Activity data'!BN14*EF!$H13)*kgtoGg=0,"NO",('Activity data'!BN14*EF!$H13)*kgtoGg)</f>
        <v>24.756926939927592</v>
      </c>
      <c r="BO13" s="27">
        <f>IF(('Activity data'!BO14*EF!$H13)*kgtoGg=0,"NO",('Activity data'!BO14*EF!$H13)*kgtoGg)</f>
        <v>24.764284920334894</v>
      </c>
      <c r="BP13" s="27">
        <f>IF(('Activity data'!BP14*EF!$H13)*kgtoGg=0,"NO",('Activity data'!BP14*EF!$H13)*kgtoGg)</f>
        <v>24.772977199589842</v>
      </c>
    </row>
    <row r="14" spans="1:74" x14ac:dyDescent="0.3">
      <c r="A14" t="str">
        <f t="shared" si="1"/>
        <v>3A Livestock</v>
      </c>
      <c r="B14" t="str">
        <f t="shared" si="2"/>
        <v>3A1 Enteric fermentation (CH4)</v>
      </c>
      <c r="C14" t="str">
        <f>EF!C14</f>
        <v>3A1f Horses</v>
      </c>
      <c r="D14" t="str">
        <f>EF!D14</f>
        <v>Horses</v>
      </c>
      <c r="E14" t="str">
        <f t="shared" si="3"/>
        <v>Enteric fermentation Emissions</v>
      </c>
      <c r="F14" t="str">
        <f t="shared" si="4"/>
        <v>CH4</v>
      </c>
      <c r="G14" t="str">
        <f t="shared" si="5"/>
        <v>Gg CH4</v>
      </c>
      <c r="H14" s="27">
        <f>IF(('Activity data'!H15*EF!$H14)*kgtoGg=0,"NO",('Activity data'!H15*EF!$H14)*kgtoGg)</f>
        <v>4.1399999999999997</v>
      </c>
      <c r="I14" s="27">
        <f>IF(('Activity data'!I15*EF!$H14)*kgtoGg=0,"NO",('Activity data'!I15*EF!$H14)*kgtoGg)</f>
        <v>4.1399999999999997</v>
      </c>
      <c r="J14" s="27">
        <f>IF(('Activity data'!J15*EF!$H14)*kgtoGg=0,"NO",('Activity data'!J15*EF!$H14)*kgtoGg)</f>
        <v>4.1399999999999997</v>
      </c>
      <c r="K14" s="27">
        <f>IF(('Activity data'!K15*EF!$H14)*kgtoGg=0,"NO",('Activity data'!K15*EF!$H14)*kgtoGg)</f>
        <v>4.2299999999999995</v>
      </c>
      <c r="L14" s="27">
        <f>IF(('Activity data'!L15*EF!$H14)*kgtoGg=0,"NO",('Activity data'!L15*EF!$H14)*kgtoGg)</f>
        <v>4.3199999999999994</v>
      </c>
      <c r="M14" s="27">
        <f>IF(('Activity data'!M15*EF!$H14)*kgtoGg=0,"NO",('Activity data'!M15*EF!$H14)*kgtoGg)</f>
        <v>4.41</v>
      </c>
      <c r="N14" s="27">
        <f>IF(('Activity data'!N15*EF!$H14)*kgtoGg=0,"NO",('Activity data'!N15*EF!$H14)*kgtoGg)</f>
        <v>4.5</v>
      </c>
      <c r="O14" s="27">
        <f>IF(('Activity data'!O15*EF!$H14)*kgtoGg=0,"NO",('Activity data'!O15*EF!$H14)*kgtoGg)</f>
        <v>4.59</v>
      </c>
      <c r="P14" s="27">
        <f>IF(('Activity data'!P15*EF!$H14)*kgtoGg=0,"NO",('Activity data'!P15*EF!$H14)*kgtoGg)</f>
        <v>4.68</v>
      </c>
      <c r="Q14" s="27">
        <f>IF(('Activity data'!Q15*EF!$H14)*kgtoGg=0,"NO",('Activity data'!Q15*EF!$H14)*kgtoGg)</f>
        <v>4.6440000000000001</v>
      </c>
      <c r="R14" s="27">
        <f>IF(('Activity data'!R15*EF!$H14)*kgtoGg=0,"NO",('Activity data'!R15*EF!$H14)*kgtoGg)</f>
        <v>4.8599999999999994</v>
      </c>
      <c r="S14" s="27">
        <f>IF(('Activity data'!S15*EF!$H14)*kgtoGg=0,"NO",('Activity data'!S15*EF!$H14)*kgtoGg)</f>
        <v>4.8599999999999994</v>
      </c>
      <c r="T14" s="27">
        <f>IF(('Activity data'!T15*EF!$H14)*kgtoGg=0,"NO",('Activity data'!T15*EF!$H14)*kgtoGg)</f>
        <v>4.8599999999999994</v>
      </c>
      <c r="U14" s="27">
        <f>IF(('Activity data'!U15*EF!$H14)*kgtoGg=0,"NO",('Activity data'!U15*EF!$H14)*kgtoGg)</f>
        <v>4.8599999999999994</v>
      </c>
      <c r="V14" s="27">
        <f>IF(('Activity data'!V15*EF!$H14)*kgtoGg=0,"NO",('Activity data'!V15*EF!$H14)*kgtoGg)</f>
        <v>4.8599999999999994</v>
      </c>
      <c r="W14" s="27">
        <f>IF(('Activity data'!W15*EF!$H14)*kgtoGg=0,"NO",('Activity data'!W15*EF!$H14)*kgtoGg)</f>
        <v>4.8599999999999994</v>
      </c>
      <c r="X14" s="27">
        <f>IF(('Activity data'!X15*EF!$H14)*kgtoGg=0,"NO",('Activity data'!X15*EF!$H14)*kgtoGg)</f>
        <v>5.04</v>
      </c>
      <c r="Y14" s="27">
        <f>IF(('Activity data'!Y15*EF!$H14)*kgtoGg=0,"NO",('Activity data'!Y15*EF!$H14)*kgtoGg)</f>
        <v>5.22</v>
      </c>
      <c r="Z14" s="27">
        <f>IF(('Activity data'!Z15*EF!$H14)*kgtoGg=0,"NO",('Activity data'!Z15*EF!$H14)*kgtoGg)</f>
        <v>5.3639999999999999</v>
      </c>
      <c r="AA14" s="27">
        <f>IF(('Activity data'!AA15*EF!$H14)*kgtoGg=0,"NO",('Activity data'!AA15*EF!$H14)*kgtoGg)</f>
        <v>5.3999999999999995</v>
      </c>
      <c r="AB14" s="27">
        <f>IF(('Activity data'!AB15*EF!$H14)*kgtoGg=0,"NO",('Activity data'!AB15*EF!$H14)*kgtoGg)</f>
        <v>5.3999999999999995</v>
      </c>
      <c r="AC14" s="27">
        <f>IF(('Activity data'!AC15*EF!$H14)*kgtoGg=0,"NO",('Activity data'!AC15*EF!$H14)*kgtoGg)</f>
        <v>5.4899999999999993</v>
      </c>
      <c r="AD14" s="27">
        <f>IF(('Activity data'!AD15*EF!$H14)*kgtoGg=0,"NO",('Activity data'!AD15*EF!$H14)*kgtoGg)</f>
        <v>5.5526214800767901</v>
      </c>
      <c r="AE14" s="27">
        <f>IF(('Activity data'!AE15*EF!$H14)*kgtoGg=0,"NO",('Activity data'!AE15*EF!$H14)*kgtoGg)</f>
        <v>5.5795235710196511</v>
      </c>
      <c r="AF14" s="27">
        <f>IF(('Activity data'!AF15*EF!$H14)*kgtoGg=0,"NO",('Activity data'!AF15*EF!$H14)*kgtoGg)</f>
        <v>5.6203482259438022</v>
      </c>
      <c r="AG14" s="27">
        <f>IF(('Activity data'!AG15*EF!$H14)*kgtoGg=0,"NO",('Activity data'!AG15*EF!$H14)*kgtoGg)</f>
        <v>5.629075655008374</v>
      </c>
      <c r="AH14" s="27">
        <f>IF(('Activity data'!AH15*EF!$H14)*kgtoGg=0,"NO",('Activity data'!AH15*EF!$H14)*kgtoGg)</f>
        <v>5.6165815405282276</v>
      </c>
      <c r="AI14" s="27">
        <f>IF(('Activity data'!AI15*EF!$H14)*kgtoGg=0,"NO",('Activity data'!AI15*EF!$H14)*kgtoGg)</f>
        <v>5.5833231296706103</v>
      </c>
      <c r="AJ14" s="27">
        <f>IF(('Activity data'!AJ15*EF!$H14)*kgtoGg=0,"NO",('Activity data'!AJ15*EF!$H14)*kgtoGg)</f>
        <v>5.5648827699457346</v>
      </c>
      <c r="AK14" s="27">
        <f>IF(('Activity data'!AK15*EF!$H14)*kgtoGg=0,"NO",('Activity data'!AK15*EF!$H14)*kgtoGg)</f>
        <v>5.5483103177944013</v>
      </c>
      <c r="AL14" s="27">
        <f>IF(('Activity data'!AL15*EF!$H14)*kgtoGg=0,"NO",('Activity data'!AL15*EF!$H14)*kgtoGg)</f>
        <v>5.2311192904529218</v>
      </c>
      <c r="AM14" s="27">
        <f>IF(('Activity data'!AM15*EF!$H14)*kgtoGg=0,"NO",('Activity data'!AM15*EF!$H14)*kgtoGg)</f>
        <v>5.2959023096135693</v>
      </c>
      <c r="AN14" s="27">
        <f>IF(('Activity data'!AN15*EF!$H14)*kgtoGg=0,"NO",('Activity data'!AN15*EF!$H14)*kgtoGg)</f>
        <v>5.3988006154965325</v>
      </c>
      <c r="AO14" s="27">
        <f>IF(('Activity data'!AO15*EF!$H14)*kgtoGg=0,"NO",('Activity data'!AO15*EF!$H14)*kgtoGg)</f>
        <v>5.4367829372956962</v>
      </c>
      <c r="AP14" s="27">
        <f>IF(('Activity data'!AP15*EF!$H14)*kgtoGg=0,"NO",('Activity data'!AP15*EF!$H14)*kgtoGg)</f>
        <v>5.4819188324690939</v>
      </c>
      <c r="AQ14" s="27">
        <f>IF(('Activity data'!AQ15*EF!$H14)*kgtoGg=0,"NO",('Activity data'!AQ15*EF!$H14)*kgtoGg)</f>
        <v>5.5365687700280883</v>
      </c>
      <c r="AR14" s="27">
        <f>IF(('Activity data'!AR15*EF!$H14)*kgtoGg=0,"NO",('Activity data'!AR15*EF!$H14)*kgtoGg)</f>
        <v>5.601958980764981</v>
      </c>
      <c r="AS14" s="27">
        <f>IF(('Activity data'!AS15*EF!$H14)*kgtoGg=0,"NO",('Activity data'!AS15*EF!$H14)*kgtoGg)</f>
        <v>5.6746319691397513</v>
      </c>
      <c r="AT14" s="27">
        <f>IF(('Activity data'!AT15*EF!$H14)*kgtoGg=0,"NO",('Activity data'!AT15*EF!$H14)*kgtoGg)</f>
        <v>5.7481685306176677</v>
      </c>
      <c r="AU14" s="27">
        <f>IF(('Activity data'!AU15*EF!$H14)*kgtoGg=0,"NO",('Activity data'!AU15*EF!$H14)*kgtoGg)</f>
        <v>5.8282774259733703</v>
      </c>
      <c r="AV14" s="27">
        <f>IF(('Activity data'!AV15*EF!$H14)*kgtoGg=0,"NO",('Activity data'!AV15*EF!$H14)*kgtoGg)</f>
        <v>5.9086647601730373</v>
      </c>
      <c r="AW14" s="27">
        <f>IF(('Activity data'!AW15*EF!$H14)*kgtoGg=0,"NO",('Activity data'!AW15*EF!$H14)*kgtoGg)</f>
        <v>6.0051030471917946</v>
      </c>
      <c r="AX14" s="27">
        <f>IF(('Activity data'!AX15*EF!$H14)*kgtoGg=0,"NO",('Activity data'!AX15*EF!$H14)*kgtoGg)</f>
        <v>6.0980124130473197</v>
      </c>
      <c r="AY14" s="27">
        <f>IF(('Activity data'!AY15*EF!$H14)*kgtoGg=0,"NO",('Activity data'!AY15*EF!$H14)*kgtoGg)</f>
        <v>6.195439489414623</v>
      </c>
      <c r="AZ14" s="27">
        <f>IF(('Activity data'!AZ15*EF!$H14)*kgtoGg=0,"NO",('Activity data'!AZ15*EF!$H14)*kgtoGg)</f>
        <v>6.3068676222722697</v>
      </c>
      <c r="BA14" s="27">
        <f>IF(('Activity data'!BA15*EF!$H14)*kgtoGg=0,"NO",('Activity data'!BA15*EF!$H14)*kgtoGg)</f>
        <v>6.4095401663804648</v>
      </c>
      <c r="BB14" s="27">
        <f>IF(('Activity data'!BB15*EF!$H14)*kgtoGg=0,"NO",('Activity data'!BB15*EF!$H14)*kgtoGg)</f>
        <v>6.5228948238532292</v>
      </c>
      <c r="BC14" s="27">
        <f>IF(('Activity data'!BC15*EF!$H14)*kgtoGg=0,"NO",('Activity data'!BC15*EF!$H14)*kgtoGg)</f>
        <v>6.6437484965413081</v>
      </c>
      <c r="BD14" s="27">
        <f>IF(('Activity data'!BD15*EF!$H14)*kgtoGg=0,"NO",('Activity data'!BD15*EF!$H14)*kgtoGg)</f>
        <v>6.7539654911689828</v>
      </c>
      <c r="BE14" s="27">
        <f>IF(('Activity data'!BE15*EF!$H14)*kgtoGg=0,"NO",('Activity data'!BE15*EF!$H14)*kgtoGg)</f>
        <v>6.8618111039503944</v>
      </c>
      <c r="BF14" s="27">
        <f>IF(('Activity data'!BF15*EF!$H14)*kgtoGg=0,"NO",('Activity data'!BF15*EF!$H14)*kgtoGg)</f>
        <v>6.9676727679478478</v>
      </c>
      <c r="BG14" s="27">
        <f>IF(('Activity data'!BG15*EF!$H14)*kgtoGg=0,"NO",('Activity data'!BG15*EF!$H14)*kgtoGg)</f>
        <v>7.0885986695240639</v>
      </c>
      <c r="BH14" s="27">
        <f>IF(('Activity data'!BH15*EF!$H14)*kgtoGg=0,"NO",('Activity data'!BH15*EF!$H14)*kgtoGg)</f>
        <v>7.202615789032512</v>
      </c>
      <c r="BI14" s="27">
        <f>IF(('Activity data'!BI15*EF!$H14)*kgtoGg=0,"NO",('Activity data'!BI15*EF!$H14)*kgtoGg)</f>
        <v>7.3203542233012309</v>
      </c>
      <c r="BJ14" s="27">
        <f>IF(('Activity data'!BJ15*EF!$H14)*kgtoGg=0,"NO",('Activity data'!BJ15*EF!$H14)*kgtoGg)</f>
        <v>7.4423988374450394</v>
      </c>
      <c r="BK14" s="27">
        <f>IF(('Activity data'!BK15*EF!$H14)*kgtoGg=0,"NO",('Activity data'!BK15*EF!$H14)*kgtoGg)</f>
        <v>7.5697005662835739</v>
      </c>
      <c r="BL14" s="27">
        <f>IF(('Activity data'!BL15*EF!$H14)*kgtoGg=0,"NO",('Activity data'!BL15*EF!$H14)*kgtoGg)</f>
        <v>7.7079925213190776</v>
      </c>
      <c r="BM14" s="27">
        <f>IF(('Activity data'!BM15*EF!$H14)*kgtoGg=0,"NO",('Activity data'!BM15*EF!$H14)*kgtoGg)</f>
        <v>7.7309775584942866</v>
      </c>
      <c r="BN14" s="27">
        <f>IF(('Activity data'!BN15*EF!$H14)*kgtoGg=0,"NO",('Activity data'!BN15*EF!$H14)*kgtoGg)</f>
        <v>7.7430605044202654</v>
      </c>
      <c r="BO14" s="27">
        <f>IF(('Activity data'!BO15*EF!$H14)*kgtoGg=0,"NO",('Activity data'!BO15*EF!$H14)*kgtoGg)</f>
        <v>7.7396666487885506</v>
      </c>
      <c r="BP14" s="27">
        <f>IF(('Activity data'!BP15*EF!$H14)*kgtoGg=0,"NO",('Activity data'!BP15*EF!$H14)*kgtoGg)</f>
        <v>7.7316472006042485</v>
      </c>
    </row>
    <row r="15" spans="1:74" x14ac:dyDescent="0.3">
      <c r="A15" t="str">
        <f t="shared" si="1"/>
        <v>3A Livestock</v>
      </c>
      <c r="B15" t="str">
        <f t="shared" si="2"/>
        <v>3A1 Enteric fermentation (CH4)</v>
      </c>
      <c r="C15" t="str">
        <f>EF!C15</f>
        <v>3A1g Mules &amp; asses</v>
      </c>
      <c r="D15" t="str">
        <f>EF!D15</f>
        <v>Mules &amp; Asses</v>
      </c>
      <c r="E15" t="str">
        <f t="shared" si="3"/>
        <v>Enteric fermentation Emissions</v>
      </c>
      <c r="F15" t="str">
        <f t="shared" si="4"/>
        <v>CH4</v>
      </c>
      <c r="G15" t="str">
        <f t="shared" si="5"/>
        <v>Gg CH4</v>
      </c>
      <c r="H15" s="27">
        <f>IF(('Activity data'!H16*EF!$H15)*kgtoGg=0,"NO",('Activity data'!H16*EF!$H15)*kgtoGg)</f>
        <v>2.2399999999999998</v>
      </c>
      <c r="I15" s="27">
        <f>IF(('Activity data'!I16*EF!$H15)*kgtoGg=0,"NO",('Activity data'!I16*EF!$H15)*kgtoGg)</f>
        <v>2.2399999999999998</v>
      </c>
      <c r="J15" s="27">
        <f>IF(('Activity data'!J16*EF!$H15)*kgtoGg=0,"NO",('Activity data'!J16*EF!$H15)*kgtoGg)</f>
        <v>2.2399999999999998</v>
      </c>
      <c r="K15" s="27">
        <f>IF(('Activity data'!K16*EF!$H15)*kgtoGg=0,"NO",('Activity data'!K16*EF!$H15)*kgtoGg)</f>
        <v>2.2399999999999998</v>
      </c>
      <c r="L15" s="27">
        <f>IF(('Activity data'!L16*EF!$H15)*kgtoGg=0,"NO",('Activity data'!L16*EF!$H15)*kgtoGg)</f>
        <v>2.2399999999999998</v>
      </c>
      <c r="M15" s="27">
        <f>IF(('Activity data'!M16*EF!$H15)*kgtoGg=0,"NO",('Activity data'!M16*EF!$H15)*kgtoGg)</f>
        <v>2.2399999999999998</v>
      </c>
      <c r="N15" s="27">
        <f>IF(('Activity data'!N16*EF!$H15)*kgtoGg=0,"NO",('Activity data'!N16*EF!$H15)*kgtoGg)</f>
        <v>2.2399999999999998</v>
      </c>
      <c r="O15" s="27">
        <f>IF(('Activity data'!O16*EF!$H15)*kgtoGg=0,"NO",('Activity data'!O16*EF!$H15)*kgtoGg)</f>
        <v>2.2399999999999998</v>
      </c>
      <c r="P15" s="27">
        <f>IF(('Activity data'!P16*EF!$H15)*kgtoGg=0,"NO",('Activity data'!P16*EF!$H15)*kgtoGg)</f>
        <v>2.2399999999999998</v>
      </c>
      <c r="Q15" s="27">
        <f>IF(('Activity data'!Q16*EF!$H15)*kgtoGg=0,"NO",('Activity data'!Q16*EF!$H15)*kgtoGg)</f>
        <v>2.2399999999999998</v>
      </c>
      <c r="R15" s="27">
        <f>IF(('Activity data'!R16*EF!$H15)*kgtoGg=0,"NO",('Activity data'!R16*EF!$H15)*kgtoGg)</f>
        <v>1.64</v>
      </c>
      <c r="S15" s="27">
        <f>IF(('Activity data'!S16*EF!$H15)*kgtoGg=0,"NO",('Activity data'!S16*EF!$H15)*kgtoGg)</f>
        <v>1.64</v>
      </c>
      <c r="T15" s="27">
        <f>IF(('Activity data'!T16*EF!$H15)*kgtoGg=0,"NO",('Activity data'!T16*EF!$H15)*kgtoGg)</f>
        <v>1.64</v>
      </c>
      <c r="U15" s="27">
        <f>IF(('Activity data'!U16*EF!$H15)*kgtoGg=0,"NO",('Activity data'!U16*EF!$H15)*kgtoGg)</f>
        <v>1.64</v>
      </c>
      <c r="V15" s="27">
        <f>IF(('Activity data'!V16*EF!$H15)*kgtoGg=0,"NO",('Activity data'!V16*EF!$H15)*kgtoGg)</f>
        <v>1.64</v>
      </c>
      <c r="W15" s="27">
        <f>IF(('Activity data'!W16*EF!$H15)*kgtoGg=0,"NO",('Activity data'!W16*EF!$H15)*kgtoGg)</f>
        <v>1.64</v>
      </c>
      <c r="X15" s="27">
        <f>IF(('Activity data'!X16*EF!$H15)*kgtoGg=0,"NO",('Activity data'!X16*EF!$H15)*kgtoGg)</f>
        <v>1.6404999999999998</v>
      </c>
      <c r="Y15" s="27">
        <f>IF(('Activity data'!Y16*EF!$H15)*kgtoGg=0,"NO",('Activity data'!Y16*EF!$H15)*kgtoGg)</f>
        <v>1.6459999999999999</v>
      </c>
      <c r="Z15" s="27">
        <f>IF(('Activity data'!Z16*EF!$H15)*kgtoGg=0,"NO",('Activity data'!Z16*EF!$H15)*kgtoGg)</f>
        <v>1.647</v>
      </c>
      <c r="AA15" s="27">
        <f>IF(('Activity data'!AA16*EF!$H15)*kgtoGg=0,"NO",('Activity data'!AA16*EF!$H15)*kgtoGg)</f>
        <v>1.6479999999999999</v>
      </c>
      <c r="AB15" s="27">
        <f>IF(('Activity data'!AB16*EF!$H15)*kgtoGg=0,"NO",('Activity data'!AB16*EF!$H15)*kgtoGg)</f>
        <v>1.663</v>
      </c>
      <c r="AC15" s="27">
        <f>IF(('Activity data'!AC16*EF!$H15)*kgtoGg=0,"NO",('Activity data'!AC16*EF!$H15)*kgtoGg)</f>
        <v>1.67</v>
      </c>
      <c r="AD15" s="27">
        <f>IF(('Activity data'!AD16*EF!$H15)*kgtoGg=0,"NO",('Activity data'!AD16*EF!$H15)*kgtoGg)</f>
        <v>1.67</v>
      </c>
      <c r="AE15" s="27">
        <f>IF(('Activity data'!AE16*EF!$H15)*kgtoGg=0,"NO",('Activity data'!AE16*EF!$H15)*kgtoGg)</f>
        <v>1.67</v>
      </c>
      <c r="AF15" s="27">
        <f>IF(('Activity data'!AF16*EF!$H15)*kgtoGg=0,"NO",('Activity data'!AF16*EF!$H15)*kgtoGg)</f>
        <v>1.67</v>
      </c>
      <c r="AG15" s="27">
        <f>IF(('Activity data'!AG16*EF!$H15)*kgtoGg=0,"NO",('Activity data'!AG16*EF!$H15)*kgtoGg)</f>
        <v>1.67</v>
      </c>
      <c r="AH15" s="27">
        <f>IF(('Activity data'!AH16*EF!$H15)*kgtoGg=0,"NO",('Activity data'!AH16*EF!$H15)*kgtoGg)</f>
        <v>1.67</v>
      </c>
      <c r="AI15" s="27">
        <f>IF(('Activity data'!AI16*EF!$H15)*kgtoGg=0,"NO",('Activity data'!AI16*EF!$H15)*kgtoGg)</f>
        <v>1.67</v>
      </c>
      <c r="AJ15" s="27">
        <f>IF(('Activity data'!AJ16*EF!$H15)*kgtoGg=0,"NO",('Activity data'!AJ16*EF!$H15)*kgtoGg)</f>
        <v>1.67</v>
      </c>
      <c r="AK15" s="27">
        <f>IF(('Activity data'!AK16*EF!$H15)*kgtoGg=0,"NO",('Activity data'!AK16*EF!$H15)*kgtoGg)</f>
        <v>1.67</v>
      </c>
      <c r="AL15" s="27">
        <f>IF(('Activity data'!AL16*EF!$H15)*kgtoGg=0,"NO",('Activity data'!AL16*EF!$H15)*kgtoGg)</f>
        <v>1.67</v>
      </c>
      <c r="AM15" s="27">
        <f>IF(('Activity data'!AM16*EF!$H15)*kgtoGg=0,"NO",('Activity data'!AM16*EF!$H15)*kgtoGg)</f>
        <v>1.67</v>
      </c>
      <c r="AN15" s="27">
        <f>IF(('Activity data'!AN16*EF!$H15)*kgtoGg=0,"NO",('Activity data'!AN16*EF!$H15)*kgtoGg)</f>
        <v>1.67</v>
      </c>
      <c r="AO15" s="27">
        <f>IF(('Activity data'!AO16*EF!$H15)*kgtoGg=0,"NO",('Activity data'!AO16*EF!$H15)*kgtoGg)</f>
        <v>1.67</v>
      </c>
      <c r="AP15" s="27">
        <f>IF(('Activity data'!AP16*EF!$H15)*kgtoGg=0,"NO",('Activity data'!AP16*EF!$H15)*kgtoGg)</f>
        <v>1.67</v>
      </c>
      <c r="AQ15" s="27">
        <f>IF(('Activity data'!AQ16*EF!$H15)*kgtoGg=0,"NO",('Activity data'!AQ16*EF!$H15)*kgtoGg)</f>
        <v>1.67</v>
      </c>
      <c r="AR15" s="27">
        <f>IF(('Activity data'!AR16*EF!$H15)*kgtoGg=0,"NO",('Activity data'!AR16*EF!$H15)*kgtoGg)</f>
        <v>1.67</v>
      </c>
      <c r="AS15" s="27">
        <f>IF(('Activity data'!AS16*EF!$H15)*kgtoGg=0,"NO",('Activity data'!AS16*EF!$H15)*kgtoGg)</f>
        <v>1.67</v>
      </c>
      <c r="AT15" s="27">
        <f>IF(('Activity data'!AT16*EF!$H15)*kgtoGg=0,"NO",('Activity data'!AT16*EF!$H15)*kgtoGg)</f>
        <v>1.67</v>
      </c>
      <c r="AU15" s="27">
        <f>IF(('Activity data'!AU16*EF!$H15)*kgtoGg=0,"NO",('Activity data'!AU16*EF!$H15)*kgtoGg)</f>
        <v>1.67</v>
      </c>
      <c r="AV15" s="27">
        <f>IF(('Activity data'!AV16*EF!$H15)*kgtoGg=0,"NO",('Activity data'!AV16*EF!$H15)*kgtoGg)</f>
        <v>1.67</v>
      </c>
      <c r="AW15" s="27">
        <f>IF(('Activity data'!AW16*EF!$H15)*kgtoGg=0,"NO",('Activity data'!AW16*EF!$H15)*kgtoGg)</f>
        <v>1.67</v>
      </c>
      <c r="AX15" s="27">
        <f>IF(('Activity data'!AX16*EF!$H15)*kgtoGg=0,"NO",('Activity data'!AX16*EF!$H15)*kgtoGg)</f>
        <v>1.67</v>
      </c>
      <c r="AY15" s="27">
        <f>IF(('Activity data'!AY16*EF!$H15)*kgtoGg=0,"NO",('Activity data'!AY16*EF!$H15)*kgtoGg)</f>
        <v>1.67</v>
      </c>
      <c r="AZ15" s="27">
        <f>IF(('Activity data'!AZ16*EF!$H15)*kgtoGg=0,"NO",('Activity data'!AZ16*EF!$H15)*kgtoGg)</f>
        <v>1.67</v>
      </c>
      <c r="BA15" s="27">
        <f>IF(('Activity data'!BA16*EF!$H15)*kgtoGg=0,"NO",('Activity data'!BA16*EF!$H15)*kgtoGg)</f>
        <v>1.67</v>
      </c>
      <c r="BB15" s="27">
        <f>IF(('Activity data'!BB16*EF!$H15)*kgtoGg=0,"NO",('Activity data'!BB16*EF!$H15)*kgtoGg)</f>
        <v>1.67</v>
      </c>
      <c r="BC15" s="27">
        <f>IF(('Activity data'!BC16*EF!$H15)*kgtoGg=0,"NO",('Activity data'!BC16*EF!$H15)*kgtoGg)</f>
        <v>1.67</v>
      </c>
      <c r="BD15" s="27">
        <f>IF(('Activity data'!BD16*EF!$H15)*kgtoGg=0,"NO",('Activity data'!BD16*EF!$H15)*kgtoGg)</f>
        <v>1.67</v>
      </c>
      <c r="BE15" s="27">
        <f>IF(('Activity data'!BE16*EF!$H15)*kgtoGg=0,"NO",('Activity data'!BE16*EF!$H15)*kgtoGg)</f>
        <v>1.67</v>
      </c>
      <c r="BF15" s="27">
        <f>IF(('Activity data'!BF16*EF!$H15)*kgtoGg=0,"NO",('Activity data'!BF16*EF!$H15)*kgtoGg)</f>
        <v>1.67</v>
      </c>
      <c r="BG15" s="27">
        <f>IF(('Activity data'!BG16*EF!$H15)*kgtoGg=0,"NO",('Activity data'!BG16*EF!$H15)*kgtoGg)</f>
        <v>1.67</v>
      </c>
      <c r="BH15" s="27">
        <f>IF(('Activity data'!BH16*EF!$H15)*kgtoGg=0,"NO",('Activity data'!BH16*EF!$H15)*kgtoGg)</f>
        <v>1.67</v>
      </c>
      <c r="BI15" s="27">
        <f>IF(('Activity data'!BI16*EF!$H15)*kgtoGg=0,"NO",('Activity data'!BI16*EF!$H15)*kgtoGg)</f>
        <v>1.67</v>
      </c>
      <c r="BJ15" s="27">
        <f>IF(('Activity data'!BJ16*EF!$H15)*kgtoGg=0,"NO",('Activity data'!BJ16*EF!$H15)*kgtoGg)</f>
        <v>1.67</v>
      </c>
      <c r="BK15" s="27">
        <f>IF(('Activity data'!BK16*EF!$H15)*kgtoGg=0,"NO",('Activity data'!BK16*EF!$H15)*kgtoGg)</f>
        <v>1.67</v>
      </c>
      <c r="BL15" s="27">
        <f>IF(('Activity data'!BL16*EF!$H15)*kgtoGg=0,"NO",('Activity data'!BL16*EF!$H15)*kgtoGg)</f>
        <v>1.67</v>
      </c>
      <c r="BM15" s="27">
        <f>IF(('Activity data'!BM16*EF!$H15)*kgtoGg=0,"NO",('Activity data'!BM16*EF!$H15)*kgtoGg)</f>
        <v>1.67</v>
      </c>
      <c r="BN15" s="27">
        <f>IF(('Activity data'!BN16*EF!$H15)*kgtoGg=0,"NO",('Activity data'!BN16*EF!$H15)*kgtoGg)</f>
        <v>1.67</v>
      </c>
      <c r="BO15" s="27">
        <f>IF(('Activity data'!BO16*EF!$H15)*kgtoGg=0,"NO",('Activity data'!BO16*EF!$H15)*kgtoGg)</f>
        <v>1.67</v>
      </c>
      <c r="BP15" s="27">
        <f>IF(('Activity data'!BP16*EF!$H15)*kgtoGg=0,"NO",('Activity data'!BP16*EF!$H15)*kgtoGg)</f>
        <v>1.67</v>
      </c>
    </row>
    <row r="16" spans="1:74" x14ac:dyDescent="0.3">
      <c r="A16" t="str">
        <f t="shared" si="1"/>
        <v>3A Livestock</v>
      </c>
      <c r="B16" t="str">
        <f t="shared" si="2"/>
        <v>3A1 Enteric fermentation (CH4)</v>
      </c>
      <c r="C16" t="str">
        <f>EF!C16</f>
        <v>3A1h Swine</v>
      </c>
      <c r="D16" t="str">
        <f>EF!D16</f>
        <v>Commercial</v>
      </c>
      <c r="E16" t="str">
        <f t="shared" si="3"/>
        <v>Enteric fermentation Emissions</v>
      </c>
      <c r="F16" t="str">
        <f t="shared" si="4"/>
        <v>CH4</v>
      </c>
      <c r="G16" t="str">
        <f t="shared" si="5"/>
        <v>Gg CH4</v>
      </c>
      <c r="H16" s="27">
        <f>IF(('Activity data'!H17*EF!$H16)*kgtoGg=0,"NO",('Activity data'!H17*EF!$H16)*kgtoGg)</f>
        <v>1.6933773600000002</v>
      </c>
      <c r="I16" s="27">
        <f>IF(('Activity data'!I17*EF!$H16)*kgtoGg=0,"NO",('Activity data'!I17*EF!$H16)*kgtoGg)</f>
        <v>1.8500481000000002</v>
      </c>
      <c r="J16" s="27">
        <f>IF(('Activity data'!J17*EF!$H16)*kgtoGg=0,"NO",('Activity data'!J17*EF!$H16)*kgtoGg)</f>
        <v>1.8378255600000002</v>
      </c>
      <c r="K16" s="27">
        <f>IF(('Activity data'!K17*EF!$H16)*kgtoGg=0,"NO",('Activity data'!K17*EF!$H16)*kgtoGg)</f>
        <v>1.8367144200000003</v>
      </c>
      <c r="L16" s="27">
        <f>IF(('Activity data'!L17*EF!$H16)*kgtoGg=0,"NO",('Activity data'!L17*EF!$H16)*kgtoGg)</f>
        <v>1.7444898000000002</v>
      </c>
      <c r="M16" s="27">
        <f>IF(('Activity data'!M17*EF!$H16)*kgtoGg=0,"NO",('Activity data'!M17*EF!$H16)*kgtoGg)</f>
        <v>1.7611569000000002</v>
      </c>
      <c r="N16" s="27">
        <f>IF(('Activity data'!N17*EF!$H16)*kgtoGg=0,"NO",('Activity data'!N17*EF!$H16)*kgtoGg)</f>
        <v>1.8967159800000004</v>
      </c>
      <c r="O16" s="27">
        <f>IF(('Activity data'!O17*EF!$H16)*kgtoGg=0,"NO",('Activity data'!O17*EF!$H16)*kgtoGg)</f>
        <v>1.8878268600000003</v>
      </c>
      <c r="P16" s="27">
        <f>IF(('Activity data'!P17*EF!$H16)*kgtoGg=0,"NO",('Activity data'!P17*EF!$H16)*kgtoGg)</f>
        <v>1.9289390400000004</v>
      </c>
      <c r="Q16" s="27">
        <f>IF(('Activity data'!Q17*EF!$H16)*kgtoGg=0,"NO",('Activity data'!Q17*EF!$H16)*kgtoGg)</f>
        <v>1.9778292000000004</v>
      </c>
      <c r="R16" s="27">
        <f>IF(('Activity data'!R17*EF!$H16)*kgtoGg=0,"NO",('Activity data'!R17*EF!$H16)*kgtoGg)</f>
        <v>1.8300475800000002</v>
      </c>
      <c r="S16" s="27">
        <f>IF(('Activity data'!S17*EF!$H16)*kgtoGg=0,"NO",('Activity data'!S17*EF!$H16)*kgtoGg)</f>
        <v>1.8644929200000002</v>
      </c>
      <c r="T16" s="27">
        <f>IF(('Activity data'!T17*EF!$H16)*kgtoGg=0,"NO",('Activity data'!T17*EF!$H16)*kgtoGg)</f>
        <v>1.9000494000000003</v>
      </c>
      <c r="U16" s="27">
        <f>IF(('Activity data'!U17*EF!$H16)*kgtoGg=0,"NO",('Activity data'!U17*EF!$H16)*kgtoGg)</f>
        <v>1.8478258200000002</v>
      </c>
      <c r="V16" s="27">
        <f>IF(('Activity data'!V17*EF!$H16)*kgtoGg=0,"NO",('Activity data'!V17*EF!$H16)*kgtoGg)</f>
        <v>1.8478258200000002</v>
      </c>
      <c r="W16" s="27">
        <f>IF(('Activity data'!W17*EF!$H16)*kgtoGg=0,"NO",('Activity data'!W17*EF!$H16)*kgtoGg)</f>
        <v>1.8344921400000003</v>
      </c>
      <c r="X16" s="27">
        <f>IF(('Activity data'!X17*EF!$H16)*kgtoGg=0,"NO",('Activity data'!X17*EF!$H16)*kgtoGg)</f>
        <v>1.8022690800000003</v>
      </c>
      <c r="Y16" s="27">
        <f>IF(('Activity data'!Y17*EF!$H16)*kgtoGg=0,"NO",('Activity data'!Y17*EF!$H16)*kgtoGg)</f>
        <v>1.8344921400000003</v>
      </c>
      <c r="Z16" s="27">
        <f>IF(('Activity data'!Z17*EF!$H16)*kgtoGg=0,"NO",('Activity data'!Z17*EF!$H16)*kgtoGg)</f>
        <v>1.7944911000000003</v>
      </c>
      <c r="AA16" s="27">
        <f>IF(('Activity data'!AA17*EF!$H16)*kgtoGg=0,"NO",('Activity data'!AA17*EF!$H16)*kgtoGg)</f>
        <v>1.7922688200000003</v>
      </c>
      <c r="AB16" s="27">
        <f>IF(('Activity data'!AB17*EF!$H16)*kgtoGg=0,"NO",('Activity data'!AB17*EF!$H16)*kgtoGg)</f>
        <v>1.7711571600000002</v>
      </c>
      <c r="AC16" s="27">
        <f>IF(('Activity data'!AC17*EF!$H16)*kgtoGg=0,"NO",('Activity data'!AC17*EF!$H16)*kgtoGg)</f>
        <v>1.7600457600000003</v>
      </c>
      <c r="AD16" s="27">
        <f>IF(('Activity data'!AD17*EF!$H16)*kgtoGg=0,"NO",('Activity data'!AD17*EF!$H16)*kgtoGg)</f>
        <v>1.8400999552016302</v>
      </c>
      <c r="AE16" s="27">
        <f>IF(('Activity data'!AE17*EF!$H16)*kgtoGg=0,"NO",('Activity data'!AE17*EF!$H16)*kgtoGg)</f>
        <v>1.8300977880312246</v>
      </c>
      <c r="AF16" s="27">
        <f>IF(('Activity data'!AF17*EF!$H16)*kgtoGg=0,"NO",('Activity data'!AF17*EF!$H16)*kgtoGg)</f>
        <v>1.8309187348828151</v>
      </c>
      <c r="AG16" s="27">
        <f>IF(('Activity data'!AG17*EF!$H16)*kgtoGg=0,"NO",('Activity data'!AG17*EF!$H16)*kgtoGg)</f>
        <v>1.8141094978660448</v>
      </c>
      <c r="AH16" s="27">
        <f>IF(('Activity data'!AH17*EF!$H16)*kgtoGg=0,"NO",('Activity data'!AH17*EF!$H16)*kgtoGg)</f>
        <v>1.7866561368117295</v>
      </c>
      <c r="AI16" s="27">
        <f>IF(('Activity data'!AI17*EF!$H16)*kgtoGg=0,"NO",('Activity data'!AI17*EF!$H16)*kgtoGg)</f>
        <v>1.7489975228040078</v>
      </c>
      <c r="AJ16" s="27">
        <f>IF(('Activity data'!AJ17*EF!$H16)*kgtoGg=0,"NO",('Activity data'!AJ17*EF!$H16)*kgtoGg)</f>
        <v>1.721653192801009</v>
      </c>
      <c r="AK16" s="27">
        <f>IF(('Activity data'!AK17*EF!$H16)*kgtoGg=0,"NO",('Activity data'!AK17*EF!$H16)*kgtoGg)</f>
        <v>1.6967284692901872</v>
      </c>
      <c r="AL16" s="27">
        <f>IF(('Activity data'!AL17*EF!$H16)*kgtoGg=0,"NO",('Activity data'!AL17*EF!$H16)*kgtoGg)</f>
        <v>1.4981262376638635</v>
      </c>
      <c r="AM16" s="27">
        <f>IF(('Activity data'!AM17*EF!$H16)*kgtoGg=0,"NO",('Activity data'!AM17*EF!$H16)*kgtoGg)</f>
        <v>1.5170710584409277</v>
      </c>
      <c r="AN16" s="27">
        <f>IF(('Activity data'!AN17*EF!$H16)*kgtoGg=0,"NO",('Activity data'!AN17*EF!$H16)*kgtoGg)</f>
        <v>1.5577229248664515</v>
      </c>
      <c r="AO16" s="27">
        <f>IF(('Activity data'!AO17*EF!$H16)*kgtoGg=0,"NO",('Activity data'!AO17*EF!$H16)*kgtoGg)</f>
        <v>1.561413903145964</v>
      </c>
      <c r="AP16" s="27">
        <f>IF(('Activity data'!AP17*EF!$H16)*kgtoGg=0,"NO",('Activity data'!AP17*EF!$H16)*kgtoGg)</f>
        <v>1.5694069216965754</v>
      </c>
      <c r="AQ16" s="27">
        <f>IF(('Activity data'!AQ17*EF!$H16)*kgtoGg=0,"NO",('Activity data'!AQ17*EF!$H16)*kgtoGg)</f>
        <v>1.5828459974443794</v>
      </c>
      <c r="AR16" s="27">
        <f>IF(('Activity data'!AR17*EF!$H16)*kgtoGg=0,"NO",('Activity data'!AR17*EF!$H16)*kgtoGg)</f>
        <v>1.5997093513071265</v>
      </c>
      <c r="AS16" s="27">
        <f>IF(('Activity data'!AS17*EF!$H16)*kgtoGg=0,"NO",('Activity data'!AS17*EF!$H16)*kgtoGg)</f>
        <v>1.6203739618637112</v>
      </c>
      <c r="AT16" s="27">
        <f>IF(('Activity data'!AT17*EF!$H16)*kgtoGg=0,"NO",('Activity data'!AT17*EF!$H16)*kgtoGg)</f>
        <v>1.6412802243411935</v>
      </c>
      <c r="AU16" s="27">
        <f>IF(('Activity data'!AU17*EF!$H16)*kgtoGg=0,"NO",('Activity data'!AU17*EF!$H16)*kgtoGg)</f>
        <v>1.6654174874794287</v>
      </c>
      <c r="AV16" s="27">
        <f>IF(('Activity data'!AV17*EF!$H16)*kgtoGg=0,"NO",('Activity data'!AV17*EF!$H16)*kgtoGg)</f>
        <v>1.6893881557889758</v>
      </c>
      <c r="AW16" s="27">
        <f>IF(('Activity data'!AW17*EF!$H16)*kgtoGg=0,"NO",('Activity data'!AW17*EF!$H16)*kgtoGg)</f>
        <v>1.7191899551215701</v>
      </c>
      <c r="AX16" s="27">
        <f>IF(('Activity data'!AX17*EF!$H16)*kgtoGg=0,"NO",('Activity data'!AX17*EF!$H16)*kgtoGg)</f>
        <v>1.7466246880722003</v>
      </c>
      <c r="AY16" s="27">
        <f>IF(('Activity data'!AY17*EF!$H16)*kgtoGg=0,"NO",('Activity data'!AY17*EF!$H16)*kgtoGg)</f>
        <v>1.7758174373307805</v>
      </c>
      <c r="AZ16" s="27">
        <f>IF(('Activity data'!AZ17*EF!$H16)*kgtoGg=0,"NO",('Activity data'!AZ17*EF!$H16)*kgtoGg)</f>
        <v>1.8114287830343814</v>
      </c>
      <c r="BA16" s="27">
        <f>IF(('Activity data'!BA17*EF!$H16)*kgtoGg=0,"NO",('Activity data'!BA17*EF!$H16)*kgtoGg)</f>
        <v>1.8420072235043694</v>
      </c>
      <c r="BB16" s="27">
        <f>IF(('Activity data'!BB17*EF!$H16)*kgtoGg=0,"NO",('Activity data'!BB17*EF!$H16)*kgtoGg)</f>
        <v>1.8750119445784728</v>
      </c>
      <c r="BC16" s="27">
        <f>IF(('Activity data'!BC17*EF!$H16)*kgtoGg=0,"NO",('Activity data'!BC17*EF!$H16)*kgtoGg)</f>
        <v>1.9108329767517882</v>
      </c>
      <c r="BD16" s="27">
        <f>IF(('Activity data'!BD17*EF!$H16)*kgtoGg=0,"NO",('Activity data'!BD17*EF!$H16)*kgtoGg)</f>
        <v>1.940715836653381</v>
      </c>
      <c r="BE16" s="27">
        <f>IF(('Activity data'!BE17*EF!$H16)*kgtoGg=0,"NO",('Activity data'!BE17*EF!$H16)*kgtoGg)</f>
        <v>1.9687395447209077</v>
      </c>
      <c r="BF16" s="27">
        <f>IF(('Activity data'!BF17*EF!$H16)*kgtoGg=0,"NO",('Activity data'!BF17*EF!$H16)*kgtoGg)</f>
        <v>1.9951301179393999</v>
      </c>
      <c r="BG16" s="27">
        <f>IF(('Activity data'!BG17*EF!$H16)*kgtoGg=0,"NO",('Activity data'!BG17*EF!$H16)*kgtoGg)</f>
        <v>2.0256022791934827</v>
      </c>
      <c r="BH16" s="27">
        <f>IF(('Activity data'!BH17*EF!$H16)*kgtoGg=0,"NO",('Activity data'!BH17*EF!$H16)*kgtoGg)</f>
        <v>2.0520329509348483</v>
      </c>
      <c r="BI16" s="27">
        <f>IF(('Activity data'!BI17*EF!$H16)*kgtoGg=0,"NO",('Activity data'!BI17*EF!$H16)*kgtoGg)</f>
        <v>2.0793161183803317</v>
      </c>
      <c r="BJ16" s="27">
        <f>IF(('Activity data'!BJ17*EF!$H16)*kgtoGg=0,"NO",('Activity data'!BJ17*EF!$H16)*kgtoGg)</f>
        <v>2.1076575721978217</v>
      </c>
      <c r="BK16" s="27">
        <f>IF(('Activity data'!BK17*EF!$H16)*kgtoGg=0,"NO",('Activity data'!BK17*EF!$H16)*kgtoGg)</f>
        <v>2.1374119347182106</v>
      </c>
      <c r="BL16" s="27">
        <f>IF(('Activity data'!BL17*EF!$H16)*kgtoGg=0,"NO",('Activity data'!BL17*EF!$H16)*kgtoGg)</f>
        <v>2.1686559884141765</v>
      </c>
      <c r="BM16" s="27">
        <f>IF(('Activity data'!BM17*EF!$H16)*kgtoGg=0,"NO",('Activity data'!BM17*EF!$H16)*kgtoGg)</f>
        <v>2.149643552660391</v>
      </c>
      <c r="BN16" s="27">
        <f>IF(('Activity data'!BN17*EF!$H16)*kgtoGg=0,"NO",('Activity data'!BN17*EF!$H16)*kgtoGg)</f>
        <v>2.1262374260968961</v>
      </c>
      <c r="BO16" s="27">
        <f>IF(('Activity data'!BO17*EF!$H16)*kgtoGg=0,"NO",('Activity data'!BO17*EF!$H16)*kgtoGg)</f>
        <v>2.0967029621040374</v>
      </c>
      <c r="BP16" s="27">
        <f>IF(('Activity data'!BP17*EF!$H16)*kgtoGg=0,"NO",('Activity data'!BP17*EF!$H16)*kgtoGg)</f>
        <v>2.0657200323386067</v>
      </c>
    </row>
    <row r="17" spans="1:68" x14ac:dyDescent="0.3">
      <c r="A17" t="str">
        <f t="shared" si="1"/>
        <v>3A Livestock</v>
      </c>
      <c r="B17" t="str">
        <f t="shared" si="2"/>
        <v>3A1 Enteric fermentation (CH4)</v>
      </c>
      <c r="C17" t="str">
        <f>EF!C17</f>
        <v>3A1h Swine</v>
      </c>
      <c r="D17" t="str">
        <f>EF!D17</f>
        <v>Subsistence</v>
      </c>
      <c r="E17" t="str">
        <f t="shared" si="3"/>
        <v>Enteric fermentation Emissions</v>
      </c>
      <c r="F17" t="str">
        <f t="shared" si="4"/>
        <v>CH4</v>
      </c>
      <c r="G17" t="str">
        <f t="shared" si="5"/>
        <v>Gg CH4</v>
      </c>
      <c r="H17" s="27">
        <f>IF(('Activity data'!H18*EF!$H17)*kgtoGg=0,"NO",('Activity data'!H18*EF!$H17)*kgtoGg)</f>
        <v>0.22469223109375691</v>
      </c>
      <c r="I17" s="27">
        <f>IF(('Activity data'!I18*EF!$H17)*kgtoGg=0,"NO",('Activity data'!I18*EF!$H17)*kgtoGg)</f>
        <v>0.24548068554534469</v>
      </c>
      <c r="J17" s="27">
        <f>IF(('Activity data'!J18*EF!$H17)*kgtoGg=0,"NO",('Activity data'!J18*EF!$H17)*kgtoGg)</f>
        <v>0.24385889122642646</v>
      </c>
      <c r="K17" s="27">
        <f>IF(('Activity data'!K18*EF!$H17)*kgtoGg=0,"NO",('Activity data'!K18*EF!$H17)*kgtoGg)</f>
        <v>0.2437114553792521</v>
      </c>
      <c r="L17" s="27">
        <f>IF(('Activity data'!L18*EF!$H17)*kgtoGg=0,"NO",('Activity data'!L18*EF!$H17)*kgtoGg)</f>
        <v>0.23147428006377843</v>
      </c>
      <c r="M17" s="27">
        <f>IF(('Activity data'!M18*EF!$H17)*kgtoGg=0,"NO",('Activity data'!M18*EF!$H17)*kgtoGg)</f>
        <v>0.23368581777139416</v>
      </c>
      <c r="N17" s="27">
        <f>IF(('Activity data'!N18*EF!$H17)*kgtoGg=0,"NO",('Activity data'!N18*EF!$H17)*kgtoGg)</f>
        <v>0.25167299112666869</v>
      </c>
      <c r="O17" s="27">
        <f>IF(('Activity data'!O18*EF!$H17)*kgtoGg=0,"NO",('Activity data'!O18*EF!$H17)*kgtoGg)</f>
        <v>0.25049350434927364</v>
      </c>
      <c r="P17" s="27">
        <f>IF(('Activity data'!P18*EF!$H17)*kgtoGg=0,"NO",('Activity data'!P18*EF!$H17)*kgtoGg)</f>
        <v>0.25594863069472573</v>
      </c>
      <c r="Q17" s="27">
        <f>IF(('Activity data'!Q18*EF!$H17)*kgtoGg=0,"NO",('Activity data'!Q18*EF!$H17)*kgtoGg)</f>
        <v>0.2624358079703985</v>
      </c>
      <c r="R17" s="27">
        <f>IF(('Activity data'!R18*EF!$H17)*kgtoGg=0,"NO",('Activity data'!R18*EF!$H17)*kgtoGg)</f>
        <v>0.24282684029620583</v>
      </c>
      <c r="S17" s="27">
        <f>IF(('Activity data'!S18*EF!$H17)*kgtoGg=0,"NO",('Activity data'!S18*EF!$H17)*kgtoGg)</f>
        <v>0.24739735155861162</v>
      </c>
      <c r="T17" s="27">
        <f>IF(('Activity data'!T18*EF!$H17)*kgtoGg=0,"NO",('Activity data'!T18*EF!$H17)*kgtoGg)</f>
        <v>0.25211529866819182</v>
      </c>
      <c r="U17" s="27">
        <f>IF(('Activity data'!U18*EF!$H17)*kgtoGg=0,"NO",('Activity data'!U18*EF!$H17)*kgtoGg)</f>
        <v>0.24518581385099592</v>
      </c>
      <c r="V17" s="27">
        <f>IF(('Activity data'!V18*EF!$H17)*kgtoGg=0,"NO",('Activity data'!V18*EF!$H17)*kgtoGg)</f>
        <v>0.24518581385099592</v>
      </c>
      <c r="W17" s="27">
        <f>IF(('Activity data'!W18*EF!$H17)*kgtoGg=0,"NO",('Activity data'!W18*EF!$H17)*kgtoGg)</f>
        <v>0.24341658368490332</v>
      </c>
      <c r="X17" s="27">
        <f>IF(('Activity data'!X18*EF!$H17)*kgtoGg=0,"NO",('Activity data'!X18*EF!$H17)*kgtoGg)</f>
        <v>0.23914094411684628</v>
      </c>
      <c r="Y17" s="27">
        <f>IF(('Activity data'!Y18*EF!$H17)*kgtoGg=0,"NO",('Activity data'!Y18*EF!$H17)*kgtoGg)</f>
        <v>0.24341658368490332</v>
      </c>
      <c r="Z17" s="27">
        <f>IF(('Activity data'!Z18*EF!$H17)*kgtoGg=0,"NO",('Activity data'!Z18*EF!$H17)*kgtoGg)</f>
        <v>0.23810889318662562</v>
      </c>
      <c r="AA17" s="27">
        <f>IF(('Activity data'!AA18*EF!$H17)*kgtoGg=0,"NO",('Activity data'!AA18*EF!$H17)*kgtoGg)</f>
        <v>0.23781402149227684</v>
      </c>
      <c r="AB17" s="27">
        <f>IF(('Activity data'!AB18*EF!$H17)*kgtoGg=0,"NO",('Activity data'!AB18*EF!$H17)*kgtoGg)</f>
        <v>0.23501274039596362</v>
      </c>
      <c r="AC17" s="27">
        <f>IF(('Activity data'!AC18*EF!$H17)*kgtoGg=0,"NO",('Activity data'!AC18*EF!$H17)*kgtoGg)</f>
        <v>0.2335383819242198</v>
      </c>
      <c r="AD17" s="27">
        <f>IF(('Activity data'!AD18*EF!$H17)*kgtoGg=0,"NO",('Activity data'!AD18*EF!$H17)*kgtoGg)</f>
        <v>0.25496723934882604</v>
      </c>
      <c r="AE17" s="27">
        <f>IF(('Activity data'!AE18*EF!$H17)*kgtoGg=0,"NO",('Activity data'!AE18*EF!$H17)*kgtoGg)</f>
        <v>0.25358132281546886</v>
      </c>
      <c r="AF17" s="27">
        <f>IF(('Activity data'!AF18*EF!$H17)*kgtoGg=0,"NO",('Activity data'!AF18*EF!$H17)*kgtoGg)</f>
        <v>0.25369507454499335</v>
      </c>
      <c r="AG17" s="27">
        <f>IF(('Activity data'!AG18*EF!$H17)*kgtoGg=0,"NO",('Activity data'!AG18*EF!$H17)*kgtoGg)</f>
        <v>0.25136595935447842</v>
      </c>
      <c r="AH17" s="27">
        <f>IF(('Activity data'!AH18*EF!$H17)*kgtoGg=0,"NO",('Activity data'!AH18*EF!$H17)*kgtoGg)</f>
        <v>0.247561977044127</v>
      </c>
      <c r="AI17" s="27">
        <f>IF(('Activity data'!AI18*EF!$H17)*kgtoGg=0,"NO",('Activity data'!AI18*EF!$H17)*kgtoGg)</f>
        <v>0.24234393830437836</v>
      </c>
      <c r="AJ17" s="27">
        <f>IF(('Activity data'!AJ18*EF!$H17)*kgtoGg=0,"NO",('Activity data'!AJ18*EF!$H17)*kgtoGg)</f>
        <v>0.23855506351363695</v>
      </c>
      <c r="AK17" s="27">
        <f>IF(('Activity data'!AK18*EF!$H17)*kgtoGg=0,"NO",('Activity data'!AK18*EF!$H17)*kgtoGg)</f>
        <v>0.23510145332951485</v>
      </c>
      <c r="AL17" s="27">
        <f>IF(('Activity data'!AL18*EF!$H17)*kgtoGg=0,"NO",('Activity data'!AL18*EF!$H17)*kgtoGg)</f>
        <v>0.2075828054521873</v>
      </c>
      <c r="AM17" s="27">
        <f>IF(('Activity data'!AM18*EF!$H17)*kgtoGg=0,"NO",('Activity data'!AM18*EF!$H17)*kgtoGg)</f>
        <v>0.21020783059814849</v>
      </c>
      <c r="AN17" s="27">
        <f>IF(('Activity data'!AN18*EF!$H17)*kgtoGg=0,"NO",('Activity data'!AN18*EF!$H17)*kgtoGg)</f>
        <v>0.21584061925595663</v>
      </c>
      <c r="AO17" s="27">
        <f>IF(('Activity data'!AO18*EF!$H17)*kgtoGg=0,"NO",('Activity data'!AO18*EF!$H17)*kgtoGg)</f>
        <v>0.21635204720298934</v>
      </c>
      <c r="AP17" s="27">
        <f>IF(('Activity data'!AP18*EF!$H17)*kgtoGg=0,"NO",('Activity data'!AP18*EF!$H17)*kgtoGg)</f>
        <v>0.21745957283938341</v>
      </c>
      <c r="AQ17" s="27">
        <f>IF(('Activity data'!AQ18*EF!$H17)*kgtoGg=0,"NO",('Activity data'!AQ18*EF!$H17)*kgtoGg)</f>
        <v>0.21932171300906883</v>
      </c>
      <c r="AR17" s="27">
        <f>IF(('Activity data'!AR18*EF!$H17)*kgtoGg=0,"NO",('Activity data'!AR18*EF!$H17)*kgtoGg)</f>
        <v>0.22165832671768446</v>
      </c>
      <c r="AS17" s="27">
        <f>IF(('Activity data'!AS18*EF!$H17)*kgtoGg=0,"NO",('Activity data'!AS18*EF!$H17)*kgtoGg)</f>
        <v>0.22452164872958766</v>
      </c>
      <c r="AT17" s="27">
        <f>IF(('Activity data'!AT18*EF!$H17)*kgtoGg=0,"NO",('Activity data'!AT18*EF!$H17)*kgtoGg)</f>
        <v>0.22741845442425518</v>
      </c>
      <c r="AU17" s="27">
        <f>IF(('Activity data'!AU18*EF!$H17)*kgtoGg=0,"NO",('Activity data'!AU18*EF!$H17)*kgtoGg)</f>
        <v>0.23076295281978809</v>
      </c>
      <c r="AV17" s="27">
        <f>IF(('Activity data'!AV18*EF!$H17)*kgtoGg=0,"NO",('Activity data'!AV18*EF!$H17)*kgtoGg)</f>
        <v>0.23408436756519632</v>
      </c>
      <c r="AW17" s="27">
        <f>IF(('Activity data'!AW18*EF!$H17)*kgtoGg=0,"NO",('Activity data'!AW18*EF!$H17)*kgtoGg)</f>
        <v>0.23821375329882435</v>
      </c>
      <c r="AX17" s="27">
        <f>IF(('Activity data'!AX18*EF!$H17)*kgtoGg=0,"NO",('Activity data'!AX18*EF!$H17)*kgtoGg)</f>
        <v>0.24201515446886457</v>
      </c>
      <c r="AY17" s="27">
        <f>IF(('Activity data'!AY18*EF!$H17)*kgtoGg=0,"NO",('Activity data'!AY18*EF!$H17)*kgtoGg)</f>
        <v>0.24606014923473155</v>
      </c>
      <c r="AZ17" s="27">
        <f>IF(('Activity data'!AZ18*EF!$H17)*kgtoGg=0,"NO",('Activity data'!AZ18*EF!$H17)*kgtoGg)</f>
        <v>0.2509945151521249</v>
      </c>
      <c r="BA17" s="27">
        <f>IF(('Activity data'!BA18*EF!$H17)*kgtoGg=0,"NO",('Activity data'!BA18*EF!$H17)*kgtoGg)</f>
        <v>0.25523151354353607</v>
      </c>
      <c r="BB17" s="27">
        <f>IF(('Activity data'!BB18*EF!$H17)*kgtoGg=0,"NO",('Activity data'!BB18*EF!$H17)*kgtoGg)</f>
        <v>0.25980470131736011</v>
      </c>
      <c r="BC17" s="27">
        <f>IF(('Activity data'!BC18*EF!$H17)*kgtoGg=0,"NO",('Activity data'!BC18*EF!$H17)*kgtoGg)</f>
        <v>0.26476812173266839</v>
      </c>
      <c r="BD17" s="27">
        <f>IF(('Activity data'!BD18*EF!$H17)*kgtoGg=0,"NO",('Activity data'!BD18*EF!$H17)*kgtoGg)</f>
        <v>0.26890873935043363</v>
      </c>
      <c r="BE17" s="27">
        <f>IF(('Activity data'!BE18*EF!$H17)*kgtoGg=0,"NO",('Activity data'!BE18*EF!$H17)*kgtoGg)</f>
        <v>0.27279174986956156</v>
      </c>
      <c r="BF17" s="27">
        <f>IF(('Activity data'!BF18*EF!$H17)*kgtoGg=0,"NO",('Activity data'!BF18*EF!$H17)*kgtoGg)</f>
        <v>0.27644847057070121</v>
      </c>
      <c r="BG17" s="27">
        <f>IF(('Activity data'!BG18*EF!$H17)*kgtoGg=0,"NO",('Activity data'!BG18*EF!$H17)*kgtoGg)</f>
        <v>0.28067074274128789</v>
      </c>
      <c r="BH17" s="27">
        <f>IF(('Activity data'!BH18*EF!$H17)*kgtoGg=0,"NO",('Activity data'!BH18*EF!$H17)*kgtoGg)</f>
        <v>0.28433301955890389</v>
      </c>
      <c r="BI17" s="27">
        <f>IF(('Activity data'!BI18*EF!$H17)*kgtoGg=0,"NO",('Activity data'!BI18*EF!$H17)*kgtoGg)</f>
        <v>0.28811341956630698</v>
      </c>
      <c r="BJ17" s="27">
        <f>IF(('Activity data'!BJ18*EF!$H17)*kgtoGg=0,"NO",('Activity data'!BJ18*EF!$H17)*kgtoGg)</f>
        <v>0.29204045745278195</v>
      </c>
      <c r="BK17" s="27">
        <f>IF(('Activity data'!BK18*EF!$H17)*kgtoGg=0,"NO",('Activity data'!BK18*EF!$H17)*kgtoGg)</f>
        <v>0.29616327026464162</v>
      </c>
      <c r="BL17" s="27">
        <f>IF(('Activity data'!BL18*EF!$H17)*kgtoGg=0,"NO",('Activity data'!BL18*EF!$H17)*kgtoGg)</f>
        <v>0.30049249710604664</v>
      </c>
      <c r="BM17" s="27">
        <f>IF(('Activity data'!BM18*EF!$H17)*kgtoGg=0,"NO",('Activity data'!BM18*EF!$H17)*kgtoGg)</f>
        <v>0.2978581031190588</v>
      </c>
      <c r="BN17" s="27">
        <f>IF(('Activity data'!BN18*EF!$H17)*kgtoGg=0,"NO",('Activity data'!BN18*EF!$H17)*kgtoGg)</f>
        <v>0.29461491219517799</v>
      </c>
      <c r="BO17" s="27">
        <f>IF(('Activity data'!BO18*EF!$H17)*kgtoGg=0,"NO",('Activity data'!BO18*EF!$H17)*kgtoGg)</f>
        <v>0.2905225688805555</v>
      </c>
      <c r="BP17" s="27">
        <f>IF(('Activity data'!BP18*EF!$H17)*kgtoGg=0,"NO",('Activity data'!BP18*EF!$H17)*kgtoGg)</f>
        <v>0.28622952379520583</v>
      </c>
    </row>
    <row r="18" spans="1:68" x14ac:dyDescent="0.3">
      <c r="A18" t="str">
        <f t="shared" si="1"/>
        <v>3A Livestock</v>
      </c>
      <c r="B18" t="str">
        <f>'IPCC Categories'!B12</f>
        <v>3A2 Manure management (CH4)</v>
      </c>
      <c r="C18" t="str">
        <f>EF!C18</f>
        <v>3A1ai Dairy cattle</v>
      </c>
      <c r="D18" t="str">
        <f>EF!D18</f>
        <v>TMR</v>
      </c>
      <c r="E18" t="str">
        <f>'IPCC Categories'!F6&amp;" Emissions"</f>
        <v>Manure management Emissions</v>
      </c>
      <c r="F18" t="str">
        <f t="shared" si="4"/>
        <v>CH4</v>
      </c>
      <c r="G18" t="str">
        <f t="shared" si="5"/>
        <v>Gg CH4</v>
      </c>
      <c r="H18" s="27">
        <f>IF(('Activity data'!H5*EF!$H18)*kgtoGg=0,"NO",('Activity data'!H5*EF!$H18)*kgtoGg)</f>
        <v>6.0766424349879422</v>
      </c>
      <c r="I18" s="27">
        <f>IF(('Activity data'!I5*EF!$H18)*kgtoGg=0,"NO",('Activity data'!I5*EF!$H18)*kgtoGg)</f>
        <v>6.9957938304816798</v>
      </c>
      <c r="J18" s="27">
        <f>IF(('Activity data'!J5*EF!$H18)*kgtoGg=0,"NO",('Activity data'!J5*EF!$H18)*kgtoGg)</f>
        <v>6.0522668467284246</v>
      </c>
      <c r="K18" s="27">
        <f>IF(('Activity data'!K5*EF!$H18)*kgtoGg=0,"NO",('Activity data'!K5*EF!$H18)*kgtoGg)</f>
        <v>6.4189962026778016</v>
      </c>
      <c r="L18" s="27">
        <f>IF(('Activity data'!L5*EF!$H18)*kgtoGg=0,"NO",('Activity data'!L5*EF!$H18)*kgtoGg)</f>
        <v>5.9547644936903517</v>
      </c>
      <c r="M18" s="27">
        <f>IF(('Activity data'!M5*EF!$H18)*kgtoGg=0,"NO",('Activity data'!M5*EF!$H18)*kgtoGg)</f>
        <v>6.3702450261587664</v>
      </c>
      <c r="N18" s="27">
        <f>IF(('Activity data'!N5*EF!$H18)*kgtoGg=0,"NO",('Activity data'!N5*EF!$H18)*kgtoGg)</f>
        <v>6.3946206144182849</v>
      </c>
      <c r="O18" s="27">
        <f>IF(('Activity data'!O5*EF!$H18)*kgtoGg=0,"NO",('Activity data'!O5*EF!$H18)*kgtoGg)</f>
        <v>6.1648327655448512</v>
      </c>
      <c r="P18" s="27">
        <f>IF(('Activity data'!P5*EF!$H18)*kgtoGg=0,"NO",('Activity data'!P5*EF!$H18)*kgtoGg)</f>
        <v>6.0917060007662966</v>
      </c>
      <c r="Q18" s="27">
        <f>IF(('Activity data'!Q5*EF!$H18)*kgtoGg=0,"NO",('Activity data'!Q5*EF!$H18)*kgtoGg)</f>
        <v>5.9837960931904526</v>
      </c>
      <c r="R18" s="27">
        <f>IF(('Activity data'!R5*EF!$H18)*kgtoGg=0,"NO",('Activity data'!R5*EF!$H18)*kgtoGg)</f>
        <v>7.7048769541209179</v>
      </c>
      <c r="S18" s="27">
        <f>IF(('Activity data'!S5*EF!$H18)*kgtoGg=0,"NO",('Activity data'!S5*EF!$H18)*kgtoGg)</f>
        <v>7.6805013658613994</v>
      </c>
      <c r="T18" s="27">
        <f>IF(('Activity data'!T5*EF!$H18)*kgtoGg=0,"NO",('Activity data'!T5*EF!$H18)*kgtoGg)</f>
        <v>6.697535228070274</v>
      </c>
      <c r="U18" s="27">
        <f>IF(('Activity data'!U5*EF!$H18)*kgtoGg=0,"NO",('Activity data'!U5*EF!$H18)*kgtoGg)</f>
        <v>6.0917060007662966</v>
      </c>
      <c r="V18" s="27">
        <f>IF(('Activity data'!V5*EF!$H18)*kgtoGg=0,"NO",('Activity data'!V5*EF!$H18)*kgtoGg)</f>
        <v>5.881637728911798</v>
      </c>
      <c r="W18" s="27">
        <f>IF(('Activity data'!W5*EF!$H18)*kgtoGg=0,"NO",('Activity data'!W5*EF!$H18)*kgtoGg)</f>
        <v>6.2971182613802119</v>
      </c>
      <c r="X18" s="27">
        <f>IF(('Activity data'!X5*EF!$H18)*kgtoGg=0,"NO",('Activity data'!X5*EF!$H18)*kgtoGg)</f>
        <v>6.1601767543042687</v>
      </c>
      <c r="Y18" s="27">
        <f>IF(('Activity data'!Y5*EF!$H18)*kgtoGg=0,"NO",('Activity data'!Y5*EF!$H18)*kgtoGg)</f>
        <v>6.1160815890258151</v>
      </c>
      <c r="Z18" s="27">
        <f>IF(('Activity data'!Z5*EF!$H18)*kgtoGg=0,"NO",('Activity data'!Z5*EF!$H18)*kgtoGg)</f>
        <v>7.4901526710258377</v>
      </c>
      <c r="AA18" s="27">
        <f>IF(('Activity data'!AA5*EF!$H18)*kgtoGg=0,"NO",('Activity data'!AA5*EF!$H18)*kgtoGg)</f>
        <v>7.6758453546208179</v>
      </c>
      <c r="AB18" s="27">
        <f>IF(('Activity data'!AB5*EF!$H18)*kgtoGg=0,"NO",('Activity data'!AB5*EF!$H18)*kgtoGg)</f>
        <v>7.6758453546208179</v>
      </c>
      <c r="AC18" s="27">
        <f>IF(('Activity data'!AC5*EF!$H18)*kgtoGg=0,"NO",('Activity data'!AC5*EF!$H18)*kgtoGg)</f>
        <v>7.3973063292283463</v>
      </c>
      <c r="AD18" s="27">
        <f>IF(('Activity data'!AD5*EF!$H18)*kgtoGg=0,"NO",('Activity data'!AD5*EF!$H18)*kgtoGg)</f>
        <v>7.351330651107908</v>
      </c>
      <c r="AE18" s="27">
        <f>IF(('Activity data'!AE5*EF!$H18)*kgtoGg=0,"NO",('Activity data'!AE5*EF!$H18)*kgtoGg)</f>
        <v>7.392428348789597</v>
      </c>
      <c r="AF18" s="27">
        <f>IF(('Activity data'!AF5*EF!$H18)*kgtoGg=0,"NO",('Activity data'!AF5*EF!$H18)*kgtoGg)</f>
        <v>7.4507389435191715</v>
      </c>
      <c r="AG18" s="27">
        <f>IF(('Activity data'!AG5*EF!$H18)*kgtoGg=0,"NO",('Activity data'!AG5*EF!$H18)*kgtoGg)</f>
        <v>7.4882097119910753</v>
      </c>
      <c r="AH18" s="27">
        <f>IF(('Activity data'!AH5*EF!$H18)*kgtoGg=0,"NO",('Activity data'!AH5*EF!$H18)*kgtoGg)</f>
        <v>7.5131092090175429</v>
      </c>
      <c r="AI18" s="27">
        <f>IF(('Activity data'!AI5*EF!$H18)*kgtoGg=0,"NO",('Activity data'!AI5*EF!$H18)*kgtoGg)</f>
        <v>7.5251923679492405</v>
      </c>
      <c r="AJ18" s="27">
        <f>IF(('Activity data'!AJ5*EF!$H18)*kgtoGg=0,"NO",('Activity data'!AJ5*EF!$H18)*kgtoGg)</f>
        <v>7.5518885629203734</v>
      </c>
      <c r="AK18" s="27">
        <f>IF(('Activity data'!AK5*EF!$H18)*kgtoGg=0,"NO",('Activity data'!AK5*EF!$H18)*kgtoGg)</f>
        <v>7.5825135825669046</v>
      </c>
      <c r="AL18" s="27">
        <f>IF(('Activity data'!AL5*EF!$H18)*kgtoGg=0,"NO",('Activity data'!AL5*EF!$H18)*kgtoGg)</f>
        <v>7.3545862604907306</v>
      </c>
      <c r="AM18" s="27">
        <f>IF(('Activity data'!AM5*EF!$H18)*kgtoGg=0,"NO",('Activity data'!AM5*EF!$H18)*kgtoGg)</f>
        <v>7.4319206101094348</v>
      </c>
      <c r="AN18" s="27">
        <f>IF(('Activity data'!AN5*EF!$H18)*kgtoGg=0,"NO",('Activity data'!AN5*EF!$H18)*kgtoGg)</f>
        <v>7.5451176350008202</v>
      </c>
      <c r="AO18" s="27">
        <f>IF(('Activity data'!AO5*EF!$H18)*kgtoGg=0,"NO",('Activity data'!AO5*EF!$H18)*kgtoGg)</f>
        <v>7.6037903760515064</v>
      </c>
      <c r="AP18" s="27">
        <f>IF(('Activity data'!AP5*EF!$H18)*kgtoGg=0,"NO",('Activity data'!AP5*EF!$H18)*kgtoGg)</f>
        <v>7.6708455087945229</v>
      </c>
      <c r="AQ18" s="27">
        <f>IF(('Activity data'!AQ5*EF!$H18)*kgtoGg=0,"NO",('Activity data'!AQ5*EF!$H18)*kgtoGg)</f>
        <v>7.748454799455617</v>
      </c>
      <c r="AR18" s="27">
        <f>IF(('Activity data'!AR5*EF!$H18)*kgtoGg=0,"NO",('Activity data'!AR5*EF!$H18)*kgtoGg)</f>
        <v>7.8277085285324004</v>
      </c>
      <c r="AS18" s="27">
        <f>IF(('Activity data'!AS5*EF!$H18)*kgtoGg=0,"NO",('Activity data'!AS5*EF!$H18)*kgtoGg)</f>
        <v>7.9154321855609755</v>
      </c>
      <c r="AT18" s="27">
        <f>IF(('Activity data'!AT5*EF!$H18)*kgtoGg=0,"NO",('Activity data'!AT5*EF!$H18)*kgtoGg)</f>
        <v>8.0058732816474745</v>
      </c>
      <c r="AU18" s="27">
        <f>IF(('Activity data'!AU5*EF!$H18)*kgtoGg=0,"NO",('Activity data'!AU5*EF!$H18)*kgtoGg)</f>
        <v>8.10422418278708</v>
      </c>
      <c r="AV18" s="27">
        <f>IF(('Activity data'!AV5*EF!$H18)*kgtoGg=0,"NO",('Activity data'!AV5*EF!$H18)*kgtoGg)</f>
        <v>8.2047936963570631</v>
      </c>
      <c r="AW18" s="27">
        <f>IF(('Activity data'!AW5*EF!$H18)*kgtoGg=0,"NO",('Activity data'!AW5*EF!$H18)*kgtoGg)</f>
        <v>8.3134419507553705</v>
      </c>
      <c r="AX18" s="27">
        <f>IF(('Activity data'!AX5*EF!$H18)*kgtoGg=0,"NO",('Activity data'!AX5*EF!$H18)*kgtoGg)</f>
        <v>8.4206197210713736</v>
      </c>
      <c r="AY18" s="27">
        <f>IF(('Activity data'!AY5*EF!$H18)*kgtoGg=0,"NO",('Activity data'!AY5*EF!$H18)*kgtoGg)</f>
        <v>8.5337450585207524</v>
      </c>
      <c r="AZ18" s="27">
        <f>IF(('Activity data'!AZ5*EF!$H18)*kgtoGg=0,"NO",('Activity data'!AZ5*EF!$H18)*kgtoGg)</f>
        <v>8.6617085162438627</v>
      </c>
      <c r="BA18" s="27">
        <f>IF(('Activity data'!BA5*EF!$H18)*kgtoGg=0,"NO",('Activity data'!BA5*EF!$H18)*kgtoGg)</f>
        <v>8.7833723342601697</v>
      </c>
      <c r="BB18" s="27">
        <f>IF(('Activity data'!BB5*EF!$H18)*kgtoGg=0,"NO",('Activity data'!BB5*EF!$H18)*kgtoGg)</f>
        <v>8.9081379352092647</v>
      </c>
      <c r="BC18" s="27">
        <f>IF(('Activity data'!BC5*EF!$H18)*kgtoGg=0,"NO",('Activity data'!BC5*EF!$H18)*kgtoGg)</f>
        <v>9.0415690981618067</v>
      </c>
      <c r="BD18" s="27">
        <f>IF(('Activity data'!BD5*EF!$H18)*kgtoGg=0,"NO",('Activity data'!BD5*EF!$H18)*kgtoGg)</f>
        <v>9.1665780174046034</v>
      </c>
      <c r="BE18" s="27">
        <f>IF(('Activity data'!BE5*EF!$H18)*kgtoGg=0,"NO",('Activity data'!BE5*EF!$H18)*kgtoGg)</f>
        <v>9.290908547616274</v>
      </c>
      <c r="BF18" s="27">
        <f>IF(('Activity data'!BF5*EF!$H18)*kgtoGg=0,"NO",('Activity data'!BF5*EF!$H18)*kgtoGg)</f>
        <v>9.414906513410104</v>
      </c>
      <c r="BG18" s="27">
        <f>IF(('Activity data'!BG5*EF!$H18)*kgtoGg=0,"NO",('Activity data'!BG5*EF!$H18)*kgtoGg)</f>
        <v>9.5460926435688069</v>
      </c>
      <c r="BH18" s="27">
        <f>IF(('Activity data'!BH5*EF!$H18)*kgtoGg=0,"NO",('Activity data'!BH5*EF!$H18)*kgtoGg)</f>
        <v>9.6720022033758184</v>
      </c>
      <c r="BI18" s="27">
        <f>IF(('Activity data'!BI5*EF!$H18)*kgtoGg=0,"NO",('Activity data'!BI5*EF!$H18)*kgtoGg)</f>
        <v>9.8028010066851721</v>
      </c>
      <c r="BJ18" s="27">
        <f>IF(('Activity data'!BJ5*EF!$H18)*kgtoGg=0,"NO",('Activity data'!BJ5*EF!$H18)*kgtoGg)</f>
        <v>9.939085602989195</v>
      </c>
      <c r="BK18" s="27">
        <f>IF(('Activity data'!BK5*EF!$H18)*kgtoGg=0,"NO",('Activity data'!BK5*EF!$H18)*kgtoGg)</f>
        <v>10.081815307121353</v>
      </c>
      <c r="BL18" s="27">
        <f>IF(('Activity data'!BL5*EF!$H18)*kgtoGg=0,"NO",('Activity data'!BL5*EF!$H18)*kgtoGg)</f>
        <v>10.227069711733948</v>
      </c>
      <c r="BM18" s="27">
        <f>IF(('Activity data'!BM5*EF!$H18)*kgtoGg=0,"NO",('Activity data'!BM5*EF!$H18)*kgtoGg)</f>
        <v>10.261508370245586</v>
      </c>
      <c r="BN18" s="27">
        <f>IF(('Activity data'!BN5*EF!$H18)*kgtoGg=0,"NO",('Activity data'!BN5*EF!$H18)*kgtoGg)</f>
        <v>10.28601825816002</v>
      </c>
      <c r="BO18" s="27">
        <f>IF(('Activity data'!BO5*EF!$H18)*kgtoGg=0,"NO",('Activity data'!BO5*EF!$H18)*kgtoGg)</f>
        <v>10.296060407046117</v>
      </c>
      <c r="BP18" s="27">
        <f>IF(('Activity data'!BP5*EF!$H18)*kgtoGg=0,"NO",('Activity data'!BP5*EF!$H18)*kgtoGg)</f>
        <v>10.302124127636974</v>
      </c>
    </row>
    <row r="19" spans="1:68" x14ac:dyDescent="0.3">
      <c r="A19" t="str">
        <f t="shared" si="1"/>
        <v>3A Livestock</v>
      </c>
      <c r="B19" t="str">
        <f>B18</f>
        <v>3A2 Manure management (CH4)</v>
      </c>
      <c r="C19" t="str">
        <f>EF!C19</f>
        <v>3A1ai Dairy cattle</v>
      </c>
      <c r="D19" t="str">
        <f>EF!D19</f>
        <v>Pasture</v>
      </c>
      <c r="E19" t="str">
        <f>E18</f>
        <v>Manure management Emissions</v>
      </c>
      <c r="F19" t="str">
        <f t="shared" ref="F19:F35" si="6">F18</f>
        <v>CH4</v>
      </c>
      <c r="G19" t="str">
        <f t="shared" ref="G19:G35" si="7">G18</f>
        <v>Gg CH4</v>
      </c>
      <c r="H19" s="27">
        <f>IF(('Activity data'!H6*EF!$H19)*kgtoGg=0,"NO",('Activity data'!H6*EF!$H19)*kgtoGg)</f>
        <v>1.7124372347402925</v>
      </c>
      <c r="I19" s="27">
        <f>IF(('Activity data'!I6*EF!$H19)*kgtoGg=0,"NO",('Activity data'!I6*EF!$H19)*kgtoGg)</f>
        <v>1.9714600571042187</v>
      </c>
      <c r="J19" s="27">
        <f>IF(('Activity data'!J6*EF!$H19)*kgtoGg=0,"NO",('Activity data'!J6*EF!$H19)*kgtoGg)</f>
        <v>1.7055680359350514</v>
      </c>
      <c r="K19" s="27">
        <f>IF(('Activity data'!K6*EF!$H19)*kgtoGg=0,"NO",('Activity data'!K6*EF!$H19)*kgtoGg)</f>
        <v>1.8089147460498598</v>
      </c>
      <c r="L19" s="27">
        <f>IF(('Activity data'!L6*EF!$H19)*kgtoGg=0,"NO",('Activity data'!L6*EF!$H19)*kgtoGg)</f>
        <v>1.6780912407140869</v>
      </c>
      <c r="M19" s="27">
        <f>IF(('Activity data'!M6*EF!$H19)*kgtoGg=0,"NO",('Activity data'!M6*EF!$H19)*kgtoGg)</f>
        <v>1.7951763484393775</v>
      </c>
      <c r="N19" s="27">
        <f>IF(('Activity data'!N6*EF!$H19)*kgtoGg=0,"NO",('Activity data'!N6*EF!$H19)*kgtoGg)</f>
        <v>1.8020455472446186</v>
      </c>
      <c r="O19" s="27">
        <f>IF(('Activity data'!O6*EF!$H19)*kgtoGg=0,"NO",('Activity data'!O6*EF!$H19)*kgtoGg)</f>
        <v>1.7372898416536373</v>
      </c>
      <c r="P19" s="27">
        <f>IF(('Activity data'!P6*EF!$H19)*kgtoGg=0,"NO",('Activity data'!P6*EF!$H19)*kgtoGg)</f>
        <v>1.7166822452379138</v>
      </c>
      <c r="Q19" s="27">
        <f>IF(('Activity data'!Q6*EF!$H19)*kgtoGg=0,"NO",('Activity data'!Q6*EF!$H19)*kgtoGg)</f>
        <v>1.6862725336731379</v>
      </c>
      <c r="R19" s="27">
        <f>IF(('Activity data'!R6*EF!$H19)*kgtoGg=0,"NO",('Activity data'!R6*EF!$H19)*kgtoGg)</f>
        <v>2.1712842785285944</v>
      </c>
      <c r="S19" s="27">
        <f>IF(('Activity data'!S6*EF!$H19)*kgtoGg=0,"NO",('Activity data'!S6*EF!$H19)*kgtoGg)</f>
        <v>2.1644150797233528</v>
      </c>
      <c r="T19" s="27">
        <f>IF(('Activity data'!T6*EF!$H19)*kgtoGg=0,"NO",('Activity data'!T6*EF!$H19)*kgtoGg)</f>
        <v>1.8874088492513235</v>
      </c>
      <c r="U19" s="27">
        <f>IF(('Activity data'!U6*EF!$H19)*kgtoGg=0,"NO",('Activity data'!U6*EF!$H19)*kgtoGg)</f>
        <v>1.7166822452379138</v>
      </c>
      <c r="V19" s="27">
        <f>IF(('Activity data'!V6*EF!$H19)*kgtoGg=0,"NO",('Activity data'!V6*EF!$H19)*kgtoGg)</f>
        <v>1.6574836442983631</v>
      </c>
      <c r="W19" s="27">
        <f>IF(('Activity data'!W6*EF!$H19)*kgtoGg=0,"NO",('Activity data'!W6*EF!$H19)*kgtoGg)</f>
        <v>1.7745687520236539</v>
      </c>
      <c r="X19" s="27">
        <f>IF(('Activity data'!X6*EF!$H19)*kgtoGg=0,"NO",('Activity data'!X6*EF!$H19)*kgtoGg)</f>
        <v>1.735977747499827</v>
      </c>
      <c r="Y19" s="27">
        <f>IF(('Activity data'!Y6*EF!$H19)*kgtoGg=0,"NO",('Activity data'!Y6*EF!$H19)*kgtoGg)</f>
        <v>1.723551444043155</v>
      </c>
      <c r="Z19" s="27">
        <f>IF(('Activity data'!Z6*EF!$H19)*kgtoGg=0,"NO",('Activity data'!Z6*EF!$H19)*kgtoGg)</f>
        <v>2.1107735834352335</v>
      </c>
      <c r="AA19" s="27">
        <f>IF(('Activity data'!AA6*EF!$H19)*kgtoGg=0,"NO",('Activity data'!AA6*EF!$H19)*kgtoGg)</f>
        <v>2.1631029855695427</v>
      </c>
      <c r="AB19" s="27">
        <f>IF(('Activity data'!AB6*EF!$H19)*kgtoGg=0,"NO",('Activity data'!AB6*EF!$H19)*kgtoGg)</f>
        <v>2.1631029855695427</v>
      </c>
      <c r="AC19" s="27">
        <f>IF(('Activity data'!AC6*EF!$H19)*kgtoGg=0,"NO",('Activity data'!AC6*EF!$H19)*kgtoGg)</f>
        <v>2.0846088823680784</v>
      </c>
      <c r="AD19" s="27">
        <f>IF(('Activity data'!AD6*EF!$H19)*kgtoGg=0,"NO",('Activity data'!AD6*EF!$H19)*kgtoGg)</f>
        <v>2.0944490884992821</v>
      </c>
      <c r="AE19" s="27">
        <f>IF(('Activity data'!AE6*EF!$H19)*kgtoGg=0,"NO",('Activity data'!AE6*EF!$H19)*kgtoGg)</f>
        <v>2.1061581299686467</v>
      </c>
      <c r="AF19" s="27">
        <f>IF(('Activity data'!AF6*EF!$H19)*kgtoGg=0,"NO",('Activity data'!AF6*EF!$H19)*kgtoGg)</f>
        <v>2.1227712545548472</v>
      </c>
      <c r="AG19" s="27">
        <f>IF(('Activity data'!AG6*EF!$H19)*kgtoGg=0,"NO",('Activity data'!AG6*EF!$H19)*kgtoGg)</f>
        <v>2.1334469567638776</v>
      </c>
      <c r="AH19" s="27">
        <f>IF(('Activity data'!AH6*EF!$H19)*kgtoGg=0,"NO",('Activity data'!AH6*EF!$H19)*kgtoGg)</f>
        <v>2.1405410097083357</v>
      </c>
      <c r="AI19" s="27">
        <f>IF(('Activity data'!AI6*EF!$H19)*kgtoGg=0,"NO",('Activity data'!AI6*EF!$H19)*kgtoGg)</f>
        <v>2.143983592066792</v>
      </c>
      <c r="AJ19" s="27">
        <f>IF(('Activity data'!AJ6*EF!$H19)*kgtoGg=0,"NO",('Activity data'!AJ6*EF!$H19)*kgtoGg)</f>
        <v>2.151589537694508</v>
      </c>
      <c r="AK19" s="27">
        <f>IF(('Activity data'!AK6*EF!$H19)*kgtoGg=0,"NO",('Activity data'!AK6*EF!$H19)*kgtoGg)</f>
        <v>2.1603148348588084</v>
      </c>
      <c r="AL19" s="27">
        <f>IF(('Activity data'!AL6*EF!$H19)*kgtoGg=0,"NO",('Activity data'!AL6*EF!$H19)*kgtoGg)</f>
        <v>2.0953766359635408</v>
      </c>
      <c r="AM19" s="27">
        <f>IF(('Activity data'!AM6*EF!$H19)*kgtoGg=0,"NO",('Activity data'!AM6*EF!$H19)*kgtoGg)</f>
        <v>2.117409770610283</v>
      </c>
      <c r="AN19" s="27">
        <f>IF(('Activity data'!AN6*EF!$H19)*kgtoGg=0,"NO",('Activity data'!AN6*EF!$H19)*kgtoGg)</f>
        <v>2.149660449685487</v>
      </c>
      <c r="AO19" s="27">
        <f>IF(('Activity data'!AO6*EF!$H19)*kgtoGg=0,"NO",('Activity data'!AO6*EF!$H19)*kgtoGg)</f>
        <v>2.1663767524673299</v>
      </c>
      <c r="AP19" s="27">
        <f>IF(('Activity data'!AP6*EF!$H19)*kgtoGg=0,"NO",('Activity data'!AP6*EF!$H19)*kgtoGg)</f>
        <v>2.1854812613403793</v>
      </c>
      <c r="AQ19" s="27">
        <f>IF(('Activity data'!AQ6*EF!$H19)*kgtoGg=0,"NO",('Activity data'!AQ6*EF!$H19)*kgtoGg)</f>
        <v>2.207592728746584</v>
      </c>
      <c r="AR19" s="27">
        <f>IF(('Activity data'!AR6*EF!$H19)*kgtoGg=0,"NO",('Activity data'!AR6*EF!$H19)*kgtoGg)</f>
        <v>2.23017270895738</v>
      </c>
      <c r="AS19" s="27">
        <f>IF(('Activity data'!AS6*EF!$H19)*kgtoGg=0,"NO",('Activity data'!AS6*EF!$H19)*kgtoGg)</f>
        <v>2.2551658349944512</v>
      </c>
      <c r="AT19" s="27">
        <f>IF(('Activity data'!AT6*EF!$H19)*kgtoGg=0,"NO",('Activity data'!AT6*EF!$H19)*kgtoGg)</f>
        <v>2.2809331797448467</v>
      </c>
      <c r="AU19" s="27">
        <f>IF(('Activity data'!AU6*EF!$H19)*kgtoGg=0,"NO",('Activity data'!AU6*EF!$H19)*kgtoGg)</f>
        <v>2.3089540871181105</v>
      </c>
      <c r="AV19" s="27">
        <f>IF(('Activity data'!AV6*EF!$H19)*kgtoGg=0,"NO",('Activity data'!AV6*EF!$H19)*kgtoGg)</f>
        <v>2.3376070937674198</v>
      </c>
      <c r="AW19" s="27">
        <f>IF(('Activity data'!AW6*EF!$H19)*kgtoGg=0,"NO",('Activity data'!AW6*EF!$H19)*kgtoGg)</f>
        <v>2.3685617941055517</v>
      </c>
      <c r="AX19" s="27">
        <f>IF(('Activity data'!AX6*EF!$H19)*kgtoGg=0,"NO",('Activity data'!AX6*EF!$H19)*kgtoGg)</f>
        <v>2.3990975425298058</v>
      </c>
      <c r="AY19" s="27">
        <f>IF(('Activity data'!AY6*EF!$H19)*kgtoGg=0,"NO",('Activity data'!AY6*EF!$H19)*kgtoGg)</f>
        <v>2.4313277973165794</v>
      </c>
      <c r="AZ19" s="27">
        <f>IF(('Activity data'!AZ6*EF!$H19)*kgtoGg=0,"NO",('Activity data'!AZ6*EF!$H19)*kgtoGg)</f>
        <v>2.4677855435545331</v>
      </c>
      <c r="BA19" s="27">
        <f>IF(('Activity data'!BA6*EF!$H19)*kgtoGg=0,"NO",('Activity data'!BA6*EF!$H19)*kgtoGg)</f>
        <v>2.5024484753203891</v>
      </c>
      <c r="BB19" s="27">
        <f>IF(('Activity data'!BB6*EF!$H19)*kgtoGg=0,"NO",('Activity data'!BB6*EF!$H19)*kgtoGg)</f>
        <v>2.5379951282443072</v>
      </c>
      <c r="BC19" s="27">
        <f>IF(('Activity data'!BC6*EF!$H19)*kgtoGg=0,"NO",('Activity data'!BC6*EF!$H19)*kgtoGg)</f>
        <v>2.5760106645991079</v>
      </c>
      <c r="BD19" s="27">
        <f>IF(('Activity data'!BD6*EF!$H19)*kgtoGg=0,"NO",('Activity data'!BD6*EF!$H19)*kgtoGg)</f>
        <v>2.6116266407248583</v>
      </c>
      <c r="BE19" s="27">
        <f>IF(('Activity data'!BE6*EF!$H19)*kgtoGg=0,"NO",('Activity data'!BE6*EF!$H19)*kgtoGg)</f>
        <v>2.6470493387414713</v>
      </c>
      <c r="BF19" s="27">
        <f>IF(('Activity data'!BF6*EF!$H19)*kgtoGg=0,"NO",('Activity data'!BF6*EF!$H19)*kgtoGg)</f>
        <v>2.6823772866679478</v>
      </c>
      <c r="BG19" s="27">
        <f>IF(('Activity data'!BG6*EF!$H19)*kgtoGg=0,"NO",('Activity data'!BG6*EF!$H19)*kgtoGg)</f>
        <v>2.719753196387535</v>
      </c>
      <c r="BH19" s="27">
        <f>IF(('Activity data'!BH6*EF!$H19)*kgtoGg=0,"NO",('Activity data'!BH6*EF!$H19)*kgtoGg)</f>
        <v>2.755625771746582</v>
      </c>
      <c r="BI19" s="27">
        <f>IF(('Activity data'!BI6*EF!$H19)*kgtoGg=0,"NO",('Activity data'!BI6*EF!$H19)*kgtoGg)</f>
        <v>2.792891329149688</v>
      </c>
      <c r="BJ19" s="27">
        <f>IF(('Activity data'!BJ6*EF!$H19)*kgtoGg=0,"NO",('Activity data'!BJ6*EF!$H19)*kgtoGg)</f>
        <v>2.8317198300092477</v>
      </c>
      <c r="BK19" s="27">
        <f>IF(('Activity data'!BK6*EF!$H19)*kgtoGg=0,"NO",('Activity data'!BK6*EF!$H19)*kgtoGg)</f>
        <v>2.8723845902967362</v>
      </c>
      <c r="BL19" s="27">
        <f>IF(('Activity data'!BL6*EF!$H19)*kgtoGg=0,"NO",('Activity data'!BL6*EF!$H19)*kgtoGg)</f>
        <v>2.9137686566351899</v>
      </c>
      <c r="BM19" s="27">
        <f>IF(('Activity data'!BM6*EF!$H19)*kgtoGg=0,"NO",('Activity data'!BM6*EF!$H19)*kgtoGg)</f>
        <v>2.9235804880371647</v>
      </c>
      <c r="BN19" s="27">
        <f>IF(('Activity data'!BN6*EF!$H19)*kgtoGg=0,"NO",('Activity data'!BN6*EF!$H19)*kgtoGg)</f>
        <v>2.9305635384314317</v>
      </c>
      <c r="BO19" s="27">
        <f>IF(('Activity data'!BO6*EF!$H19)*kgtoGg=0,"NO",('Activity data'!BO6*EF!$H19)*kgtoGg)</f>
        <v>2.9334246217616835</v>
      </c>
      <c r="BP19" s="27">
        <f>IF(('Activity data'!BP6*EF!$H19)*kgtoGg=0,"NO",('Activity data'!BP6*EF!$H19)*kgtoGg)</f>
        <v>2.9351522211130368</v>
      </c>
    </row>
    <row r="20" spans="1:68" x14ac:dyDescent="0.3">
      <c r="A20" t="str">
        <f t="shared" si="1"/>
        <v>3A Livestock</v>
      </c>
      <c r="B20" t="str">
        <f t="shared" ref="B20:B35" si="8">B19</f>
        <v>3A2 Manure management (CH4)</v>
      </c>
      <c r="C20" t="str">
        <f>EF!C20</f>
        <v>3A1aii Other cattle</v>
      </c>
      <c r="D20" t="str">
        <f>EF!D20</f>
        <v>Non-lactating</v>
      </c>
      <c r="E20" t="str">
        <f>E19</f>
        <v>Manure management Emissions</v>
      </c>
      <c r="F20" t="str">
        <f t="shared" si="6"/>
        <v>CH4</v>
      </c>
      <c r="G20" t="str">
        <f t="shared" si="7"/>
        <v>Gg CH4</v>
      </c>
      <c r="H20" s="27">
        <f>IF(('Activity data'!H7*EF!$H20)*kgtoGg=0,"NO",('Activity data'!H7*EF!$H20)*kgtoGg)</f>
        <v>0.41752621472755574</v>
      </c>
      <c r="I20" s="27">
        <f>IF(('Activity data'!I7*EF!$H20)*kgtoGg=0,"NO",('Activity data'!I7*EF!$H20)*kgtoGg)</f>
        <v>0.47458519205570593</v>
      </c>
      <c r="J20" s="27">
        <f>IF(('Activity data'!J7*EF!$H20)*kgtoGg=0,"NO",('Activity data'!J7*EF!$H20)*kgtoGg)</f>
        <v>0.41051742697229299</v>
      </c>
      <c r="K20" s="27">
        <f>IF(('Activity data'!K7*EF!$H20)*kgtoGg=0,"NO",('Activity data'!K7*EF!$H20)*kgtoGg)</f>
        <v>0.42961947568884723</v>
      </c>
      <c r="L20" s="27">
        <f>IF(('Activity data'!L7*EF!$H20)*kgtoGg=0,"NO",('Activity data'!L7*EF!$H20)*kgtoGg)</f>
        <v>0.38248227595124251</v>
      </c>
      <c r="M20" s="27">
        <f>IF(('Activity data'!M7*EF!$H20)*kgtoGg=0,"NO",('Activity data'!M7*EF!$H20)*kgtoGg)</f>
        <v>0.41560190017832183</v>
      </c>
      <c r="N20" s="27">
        <f>IF(('Activity data'!N7*EF!$H20)*kgtoGg=0,"NO",('Activity data'!N7*EF!$H20)*kgtoGg)</f>
        <v>0.42261068793358447</v>
      </c>
      <c r="O20" s="27">
        <f>IF(('Activity data'!O7*EF!$H20)*kgtoGg=0,"NO",('Activity data'!O7*EF!$H20)*kgtoGg)</f>
        <v>0.40834594360154697</v>
      </c>
      <c r="P20" s="27">
        <f>IF(('Activity data'!P7*EF!$H20)*kgtoGg=0,"NO",('Activity data'!P7*EF!$H20)*kgtoGg)</f>
        <v>0.38731958033575903</v>
      </c>
      <c r="Q20" s="27">
        <f>IF(('Activity data'!Q7*EF!$H20)*kgtoGg=0,"NO",('Activity data'!Q7*EF!$H20)*kgtoGg)</f>
        <v>0.40809877478003481</v>
      </c>
      <c r="R20" s="27">
        <f>IF(('Activity data'!R7*EF!$H20)*kgtoGg=0,"NO",('Activity data'!R7*EF!$H20)*kgtoGg)</f>
        <v>0.50578050173355138</v>
      </c>
      <c r="S20" s="27">
        <f>IF(('Activity data'!S7*EF!$H20)*kgtoGg=0,"NO",('Activity data'!S7*EF!$H20)*kgtoGg)</f>
        <v>0.49877171397828873</v>
      </c>
      <c r="T20" s="27">
        <f>IF(('Activity data'!T7*EF!$H20)*kgtoGg=0,"NO",('Activity data'!T7*EF!$H20)*kgtoGg)</f>
        <v>0.45790179553141008</v>
      </c>
      <c r="U20" s="27">
        <f>IF(('Activity data'!U7*EF!$H20)*kgtoGg=0,"NO",('Activity data'!U7*EF!$H20)*kgtoGg)</f>
        <v>0.38731958033575903</v>
      </c>
      <c r="V20" s="27">
        <f>IF(('Activity data'!V7*EF!$H20)*kgtoGg=0,"NO",('Activity data'!V7*EF!$H20)*kgtoGg)</f>
        <v>0.36145591268545452</v>
      </c>
      <c r="W20" s="27">
        <f>IF(('Activity data'!W7*EF!$H20)*kgtoGg=0,"NO",('Activity data'!W7*EF!$H20)*kgtoGg)</f>
        <v>0.39457553691253394</v>
      </c>
      <c r="X20" s="27">
        <f>IF(('Activity data'!X7*EF!$H20)*kgtoGg=0,"NO",('Activity data'!X7*EF!$H20)*kgtoGg)</f>
        <v>0.38973823252801737</v>
      </c>
      <c r="Y20" s="27">
        <f>IF(('Activity data'!Y7*EF!$H20)*kgtoGg=0,"NO",('Activity data'!Y7*EF!$H20)*kgtoGg)</f>
        <v>0.39432836809102173</v>
      </c>
      <c r="Z20" s="27">
        <f>IF(('Activity data'!Z7*EF!$H20)*kgtoGg=0,"NO",('Activity data'!Z7*EF!$H20)*kgtoGg)</f>
        <v>0.46130912300971733</v>
      </c>
      <c r="AA20" s="27">
        <f>IF(('Activity data'!AA7*EF!$H20)*kgtoGg=0,"NO",('Activity data'!AA7*EF!$H20)*kgtoGg)</f>
        <v>0.48016400290475908</v>
      </c>
      <c r="AB20" s="27">
        <f>IF(('Activity data'!AB7*EF!$H20)*kgtoGg=0,"NO",('Activity data'!AB7*EF!$H20)*kgtoGg)</f>
        <v>0.48016400290475908</v>
      </c>
      <c r="AC20" s="27">
        <f>IF(('Activity data'!AC7*EF!$H20)*kgtoGg=0,"NO",('Activity data'!AC7*EF!$H20)*kgtoGg)</f>
        <v>0.45188168306219634</v>
      </c>
      <c r="AD20" s="27">
        <f>IF(('Activity data'!AD7*EF!$H20)*kgtoGg=0,"NO",('Activity data'!AD7*EF!$H20)*kgtoGg)</f>
        <v>0.43258377187145641</v>
      </c>
      <c r="AE20" s="27">
        <f>IF(('Activity data'!AE7*EF!$H20)*kgtoGg=0,"NO",('Activity data'!AE7*EF!$H20)*kgtoGg)</f>
        <v>0.43500213637199736</v>
      </c>
      <c r="AF20" s="27">
        <f>IF(('Activity data'!AF7*EF!$H20)*kgtoGg=0,"NO",('Activity data'!AF7*EF!$H20)*kgtoGg)</f>
        <v>0.43843338143569016</v>
      </c>
      <c r="AG20" s="27">
        <f>IF(('Activity data'!AG7*EF!$H20)*kgtoGg=0,"NO",('Activity data'!AG7*EF!$H20)*kgtoGg)</f>
        <v>0.44063832189202168</v>
      </c>
      <c r="AH20" s="27">
        <f>IF(('Activity data'!AH7*EF!$H20)*kgtoGg=0,"NO",('Activity data'!AH7*EF!$H20)*kgtoGg)</f>
        <v>0.44210351490980387</v>
      </c>
      <c r="AI20" s="27">
        <f>IF(('Activity data'!AI7*EF!$H20)*kgtoGg=0,"NO",('Activity data'!AI7*EF!$H20)*kgtoGg)</f>
        <v>0.44281453971808232</v>
      </c>
      <c r="AJ20" s="27">
        <f>IF(('Activity data'!AJ7*EF!$H20)*kgtoGg=0,"NO",('Activity data'!AJ7*EF!$H20)*kgtoGg)</f>
        <v>0.44438545813589125</v>
      </c>
      <c r="AK20" s="27">
        <f>IF(('Activity data'!AK7*EF!$H20)*kgtoGg=0,"NO",('Activity data'!AK7*EF!$H20)*kgtoGg)</f>
        <v>0.44618756541973886</v>
      </c>
      <c r="AL20" s="27">
        <f>IF(('Activity data'!AL7*EF!$H20)*kgtoGg=0,"NO",('Activity data'!AL7*EF!$H20)*kgtoGg)</f>
        <v>0.43277534586715866</v>
      </c>
      <c r="AM20" s="27">
        <f>IF(('Activity data'!AM7*EF!$H20)*kgtoGg=0,"NO",('Activity data'!AM7*EF!$H20)*kgtoGg)</f>
        <v>0.4373260301229735</v>
      </c>
      <c r="AN20" s="27">
        <f>IF(('Activity data'!AN7*EF!$H20)*kgtoGg=0,"NO",('Activity data'!AN7*EF!$H20)*kgtoGg)</f>
        <v>0.44398702774586812</v>
      </c>
      <c r="AO20" s="27">
        <f>IF(('Activity data'!AO7*EF!$H20)*kgtoGg=0,"NO",('Activity data'!AO7*EF!$H20)*kgtoGg)</f>
        <v>0.44743958304970527</v>
      </c>
      <c r="AP20" s="27">
        <f>IF(('Activity data'!AP7*EF!$H20)*kgtoGg=0,"NO",('Activity data'!AP7*EF!$H20)*kgtoGg)</f>
        <v>0.45138539417179691</v>
      </c>
      <c r="AQ20" s="27">
        <f>IF(('Activity data'!AQ7*EF!$H20)*kgtoGg=0,"NO",('Activity data'!AQ7*EF!$H20)*kgtoGg)</f>
        <v>0.45595225713576731</v>
      </c>
      <c r="AR20" s="27">
        <f>IF(('Activity data'!AR7*EF!$H20)*kgtoGg=0,"NO",('Activity data'!AR7*EF!$H20)*kgtoGg)</f>
        <v>0.46061588589714619</v>
      </c>
      <c r="AS20" s="27">
        <f>IF(('Activity data'!AS7*EF!$H20)*kgtoGg=0,"NO",('Activity data'!AS7*EF!$H20)*kgtoGg)</f>
        <v>0.46577792148509239</v>
      </c>
      <c r="AT20" s="27">
        <f>IF(('Activity data'!AT7*EF!$H20)*kgtoGg=0,"NO",('Activity data'!AT7*EF!$H20)*kgtoGg)</f>
        <v>0.47109986282252775</v>
      </c>
      <c r="AU20" s="27">
        <f>IF(('Activity data'!AU7*EF!$H20)*kgtoGg=0,"NO",('Activity data'!AU7*EF!$H20)*kgtoGg)</f>
        <v>0.47688725095688084</v>
      </c>
      <c r="AV20" s="27">
        <f>IF(('Activity data'!AV7*EF!$H20)*kgtoGg=0,"NO",('Activity data'!AV7*EF!$H20)*kgtoGg)</f>
        <v>0.48280519174612069</v>
      </c>
      <c r="AW20" s="27">
        <f>IF(('Activity data'!AW7*EF!$H20)*kgtoGg=0,"NO",('Activity data'!AW7*EF!$H20)*kgtoGg)</f>
        <v>0.48919852023662819</v>
      </c>
      <c r="AX20" s="27">
        <f>IF(('Activity data'!AX7*EF!$H20)*kgtoGg=0,"NO",('Activity data'!AX7*EF!$H20)*kgtoGg)</f>
        <v>0.4955053191475276</v>
      </c>
      <c r="AY20" s="27">
        <f>IF(('Activity data'!AY7*EF!$H20)*kgtoGg=0,"NO",('Activity data'!AY7*EF!$H20)*kgtoGg)</f>
        <v>0.50216209837438885</v>
      </c>
      <c r="AZ20" s="27">
        <f>IF(('Activity data'!AZ7*EF!$H20)*kgtoGg=0,"NO",('Activity data'!AZ7*EF!$H20)*kgtoGg)</f>
        <v>0.50969201613087478</v>
      </c>
      <c r="BA20" s="27">
        <f>IF(('Activity data'!BA7*EF!$H20)*kgtoGg=0,"NO",('Activity data'!BA7*EF!$H20)*kgtoGg)</f>
        <v>0.51685123611370132</v>
      </c>
      <c r="BB20" s="27">
        <f>IF(('Activity data'!BB7*EF!$H20)*kgtoGg=0,"NO",('Activity data'!BB7*EF!$H20)*kgtoGg)</f>
        <v>0.52419297828526779</v>
      </c>
      <c r="BC20" s="27">
        <f>IF(('Activity data'!BC7*EF!$H20)*kgtoGg=0,"NO",('Activity data'!BC7*EF!$H20)*kgtoGg)</f>
        <v>0.53204463922865186</v>
      </c>
      <c r="BD20" s="27">
        <f>IF(('Activity data'!BD7*EF!$H20)*kgtoGg=0,"NO",('Activity data'!BD7*EF!$H20)*kgtoGg)</f>
        <v>0.53940069929044132</v>
      </c>
      <c r="BE20" s="27">
        <f>IF(('Activity data'!BE7*EF!$H20)*kgtoGg=0,"NO",('Activity data'!BE7*EF!$H20)*kgtoGg)</f>
        <v>0.54671684003696541</v>
      </c>
      <c r="BF20" s="27">
        <f>IF(('Activity data'!BF7*EF!$H20)*kgtoGg=0,"NO",('Activity data'!BF7*EF!$H20)*kgtoGg)</f>
        <v>0.55401341126919512</v>
      </c>
      <c r="BG20" s="27">
        <f>IF(('Activity data'!BG7*EF!$H20)*kgtoGg=0,"NO",('Activity data'!BG7*EF!$H20)*kgtoGg)</f>
        <v>0.56173296487038149</v>
      </c>
      <c r="BH20" s="27">
        <f>IF(('Activity data'!BH7*EF!$H20)*kgtoGg=0,"NO",('Activity data'!BH7*EF!$H20)*kgtoGg)</f>
        <v>0.56914202247926249</v>
      </c>
      <c r="BI20" s="27">
        <f>IF(('Activity data'!BI7*EF!$H20)*kgtoGg=0,"NO",('Activity data'!BI7*EF!$H20)*kgtoGg)</f>
        <v>0.57683878411020695</v>
      </c>
      <c r="BJ20" s="27">
        <f>IF(('Activity data'!BJ7*EF!$H20)*kgtoGg=0,"NO",('Activity data'!BJ7*EF!$H20)*kgtoGg)</f>
        <v>0.58485835328960278</v>
      </c>
      <c r="BK20" s="27">
        <f>IF(('Activity data'!BK7*EF!$H20)*kgtoGg=0,"NO",('Activity data'!BK7*EF!$H20)*kgtoGg)</f>
        <v>0.59325718020977147</v>
      </c>
      <c r="BL20" s="27">
        <f>IF(('Activity data'!BL7*EF!$H20)*kgtoGg=0,"NO",('Activity data'!BL7*EF!$H20)*kgtoGg)</f>
        <v>0.60180457131627674</v>
      </c>
      <c r="BM20" s="27">
        <f>IF(('Activity data'!BM7*EF!$H20)*kgtoGg=0,"NO",('Activity data'!BM7*EF!$H20)*kgtoGg)</f>
        <v>0.60383108943989172</v>
      </c>
      <c r="BN20" s="27">
        <f>IF(('Activity data'!BN7*EF!$H20)*kgtoGg=0,"NO",('Activity data'!BN7*EF!$H20)*kgtoGg)</f>
        <v>0.60527335618932376</v>
      </c>
      <c r="BO20" s="27">
        <f>IF(('Activity data'!BO7*EF!$H20)*kgtoGg=0,"NO",('Activity data'!BO7*EF!$H20)*kgtoGg)</f>
        <v>0.60586427922747954</v>
      </c>
      <c r="BP20" s="27">
        <f>IF(('Activity data'!BP7*EF!$H20)*kgtoGg=0,"NO",('Activity data'!BP7*EF!$H20)*kgtoGg)</f>
        <v>0.60622109451021655</v>
      </c>
    </row>
    <row r="21" spans="1:68" x14ac:dyDescent="0.3">
      <c r="A21" t="str">
        <f t="shared" si="1"/>
        <v>3A Livestock</v>
      </c>
      <c r="B21" t="str">
        <f t="shared" si="8"/>
        <v>3A2 Manure management (CH4)</v>
      </c>
      <c r="C21" t="str">
        <f>EF!C21</f>
        <v>3A1aii Other cattle</v>
      </c>
      <c r="D21" t="str">
        <f>EF!D21</f>
        <v>Commercial</v>
      </c>
      <c r="E21" t="str">
        <f>E19</f>
        <v>Manure management Emissions</v>
      </c>
      <c r="F21" t="str">
        <f>F19</f>
        <v>CH4</v>
      </c>
      <c r="G21" t="str">
        <f>G19</f>
        <v>Gg CH4</v>
      </c>
      <c r="H21" s="27">
        <f>IF(('Activity data'!H8*EF!$H21)*kgtoGg=0,"NO",('Activity data'!H8*EF!$H21)*kgtoGg)</f>
        <v>0.10860830449259461</v>
      </c>
      <c r="I21" s="27">
        <f>IF(('Activity data'!I8*EF!$H21)*kgtoGg=0,"NO",('Activity data'!I8*EF!$H21)*kgtoGg)</f>
        <v>0.10392054759979548</v>
      </c>
      <c r="J21" s="27">
        <f>IF(('Activity data'!J8*EF!$H21)*kgtoGg=0,"NO",('Activity data'!J8*EF!$H21)*kgtoGg)</f>
        <v>0.10388278936218015</v>
      </c>
      <c r="K21" s="27">
        <f>IF(('Activity data'!K8*EF!$H21)*kgtoGg=0,"NO",('Activity data'!K8*EF!$H21)*kgtoGg)</f>
        <v>9.7186039320312306E-2</v>
      </c>
      <c r="L21" s="27">
        <f>IF(('Activity data'!L8*EF!$H21)*kgtoGg=0,"NO",('Activity data'!L8*EF!$H21)*kgtoGg)</f>
        <v>0.10011588737831177</v>
      </c>
      <c r="M21" s="27">
        <f>IF(('Activity data'!M8*EF!$H21)*kgtoGg=0,"NO",('Activity data'!M8*EF!$H21)*kgtoGg)</f>
        <v>0.10239221522239531</v>
      </c>
      <c r="N21" s="27">
        <f>IF(('Activity data'!N8*EF!$H21)*kgtoGg=0,"NO",('Activity data'!N8*EF!$H21)*kgtoGg)</f>
        <v>0.10663977797793223</v>
      </c>
      <c r="O21" s="27">
        <f>IF(('Activity data'!O8*EF!$H21)*kgtoGg=0,"NO",('Activity data'!O8*EF!$H21)*kgtoGg)</f>
        <v>0.11067943145039739</v>
      </c>
      <c r="P21" s="27">
        <f>IF(('Activity data'!P8*EF!$H21)*kgtoGg=0,"NO",('Activity data'!P8*EF!$H21)*kgtoGg)</f>
        <v>0.11163804459694349</v>
      </c>
      <c r="Q21" s="27">
        <f>IF(('Activity data'!Q8*EF!$H21)*kgtoGg=0,"NO",('Activity data'!Q8*EF!$H21)*kgtoGg)</f>
        <v>0.10983154393736459</v>
      </c>
      <c r="R21" s="27">
        <f>IF(('Activity data'!R8*EF!$H21)*kgtoGg=0,"NO",('Activity data'!R8*EF!$H21)*kgtoGg)</f>
        <v>0.10237054804806753</v>
      </c>
      <c r="S21" s="27">
        <f>IF(('Activity data'!S8*EF!$H21)*kgtoGg=0,"NO",('Activity data'!S8*EF!$H21)*kgtoGg)</f>
        <v>0.10290250904130627</v>
      </c>
      <c r="T21" s="27">
        <f>IF(('Activity data'!T8*EF!$H21)*kgtoGg=0,"NO",('Activity data'!T8*EF!$H21)*kgtoGg)</f>
        <v>9.5906082860390207E-2</v>
      </c>
      <c r="U21" s="27">
        <f>IF(('Activity data'!U8*EF!$H21)*kgtoGg=0,"NO",('Activity data'!U8*EF!$H21)*kgtoGg)</f>
        <v>9.8414695558664236E-2</v>
      </c>
      <c r="V21" s="27">
        <f>IF(('Activity data'!V8*EF!$H21)*kgtoGg=0,"NO",('Activity data'!V8*EF!$H21)*kgtoGg)</f>
        <v>9.9322008483640145E-2</v>
      </c>
      <c r="W21" s="27">
        <f>IF(('Activity data'!W8*EF!$H21)*kgtoGg=0,"NO",('Activity data'!W8*EF!$H21)*kgtoGg)</f>
        <v>0.100164479203091</v>
      </c>
      <c r="X21" s="27">
        <f>IF(('Activity data'!X8*EF!$H21)*kgtoGg=0,"NO",('Activity data'!X8*EF!$H21)*kgtoGg)</f>
        <v>9.7882734565425497E-2</v>
      </c>
      <c r="Y21" s="27">
        <f>IF(('Activity data'!Y8*EF!$H21)*kgtoGg=0,"NO",('Activity data'!Y8*EF!$H21)*kgtoGg)</f>
        <v>0.10075044881469088</v>
      </c>
      <c r="Z21" s="27">
        <f>IF(('Activity data'!Z8*EF!$H21)*kgtoGg=0,"NO",('Activity data'!Z8*EF!$H21)*kgtoGg)</f>
        <v>9.7950798966544531E-2</v>
      </c>
      <c r="AA21" s="27">
        <f>IF(('Activity data'!AA8*EF!$H21)*kgtoGg=0,"NO",('Activity data'!AA8*EF!$H21)*kgtoGg)</f>
        <v>9.6306138291681109E-2</v>
      </c>
      <c r="AB21" s="27">
        <f>IF(('Activity data'!AB8*EF!$H21)*kgtoGg=0,"NO",('Activity data'!AB8*EF!$H21)*kgtoGg)</f>
        <v>9.6003388653333327E-2</v>
      </c>
      <c r="AC21" s="27">
        <f>IF(('Activity data'!AC8*EF!$H21)*kgtoGg=0,"NO",('Activity data'!AC8*EF!$H21)*kgtoGg)</f>
        <v>9.5658660192370931E-2</v>
      </c>
      <c r="AD21" s="27">
        <f>IF(('Activity data'!AD8*EF!$H21)*kgtoGg=0,"NO",('Activity data'!AD8*EF!$H21)*kgtoGg)</f>
        <v>9.4871637196006553E-2</v>
      </c>
      <c r="AE21" s="27">
        <f>IF(('Activity data'!AE8*EF!$H21)*kgtoGg=0,"NO",('Activity data'!AE8*EF!$H21)*kgtoGg)</f>
        <v>9.404884578461549E-2</v>
      </c>
      <c r="AF21" s="27">
        <f>IF(('Activity data'!AF8*EF!$H21)*kgtoGg=0,"NO",('Activity data'!AF8*EF!$H21)*kgtoGg)</f>
        <v>9.3735634002294246E-2</v>
      </c>
      <c r="AG21" s="27">
        <f>IF(('Activity data'!AG8*EF!$H21)*kgtoGg=0,"NO",('Activity data'!AG8*EF!$H21)*kgtoGg)</f>
        <v>9.2483917307495084E-2</v>
      </c>
      <c r="AH21" s="27">
        <f>IF(('Activity data'!AH8*EF!$H21)*kgtoGg=0,"NO",('Activity data'!AH8*EF!$H21)*kgtoGg)</f>
        <v>9.0667019955957343E-2</v>
      </c>
      <c r="AI21" s="27">
        <f>IF(('Activity data'!AI8*EF!$H21)*kgtoGg=0,"NO",('Activity data'!AI8*EF!$H21)*kgtoGg)</f>
        <v>8.8322512540543865E-2</v>
      </c>
      <c r="AJ21" s="27">
        <f>IF(('Activity data'!AJ8*EF!$H21)*kgtoGg=0,"NO",('Activity data'!AJ8*EF!$H21)*kgtoGg)</f>
        <v>8.6473330972337892E-2</v>
      </c>
      <c r="AK21" s="27">
        <f>IF(('Activity data'!AK8*EF!$H21)*kgtoGg=0,"NO",('Activity data'!AK8*EF!$H21)*kgtoGg)</f>
        <v>8.4723794986300283E-2</v>
      </c>
      <c r="AL21" s="27">
        <f>IF(('Activity data'!AL8*EF!$H21)*kgtoGg=0,"NO",('Activity data'!AL8*EF!$H21)*kgtoGg)</f>
        <v>7.4532240818123416E-2</v>
      </c>
      <c r="AM21" s="27">
        <f>IF(('Activity data'!AM8*EF!$H21)*kgtoGg=0,"NO",('Activity data'!AM8*EF!$H21)*kgtoGg)</f>
        <v>7.5742869009566477E-2</v>
      </c>
      <c r="AN21" s="27">
        <f>IF(('Activity data'!AN8*EF!$H21)*kgtoGg=0,"NO",('Activity data'!AN8*EF!$H21)*kgtoGg)</f>
        <v>7.8001334092155483E-2</v>
      </c>
      <c r="AO21" s="27">
        <f>IF(('Activity data'!AO8*EF!$H21)*kgtoGg=0,"NO",('Activity data'!AO8*EF!$H21)*kgtoGg)</f>
        <v>7.8452375655366738E-2</v>
      </c>
      <c r="AP21" s="27">
        <f>IF(('Activity data'!AP8*EF!$H21)*kgtoGg=0,"NO",('Activity data'!AP8*EF!$H21)*kgtoGg)</f>
        <v>7.9102907310080586E-2</v>
      </c>
      <c r="AQ21" s="27">
        <f>IF(('Activity data'!AQ8*EF!$H21)*kgtoGg=0,"NO",('Activity data'!AQ8*EF!$H21)*kgtoGg)</f>
        <v>8.0010413317847237E-2</v>
      </c>
      <c r="AR21" s="27">
        <f>IF(('Activity data'!AR8*EF!$H21)*kgtoGg=0,"NO",('Activity data'!AR8*EF!$H21)*kgtoGg)</f>
        <v>8.1051364115397456E-2</v>
      </c>
      <c r="AS21" s="27">
        <f>IF(('Activity data'!AS8*EF!$H21)*kgtoGg=0,"NO",('Activity data'!AS8*EF!$H21)*kgtoGg)</f>
        <v>8.2271824268517132E-2</v>
      </c>
      <c r="AT21" s="27">
        <f>IF(('Activity data'!AT8*EF!$H21)*kgtoGg=0,"NO",('Activity data'!AT8*EF!$H21)*kgtoGg)</f>
        <v>8.3497913456907769E-2</v>
      </c>
      <c r="AU21" s="27">
        <f>IF(('Activity data'!AU8*EF!$H21)*kgtoGg=0,"NO",('Activity data'!AU8*EF!$H21)*kgtoGg)</f>
        <v>8.4876885462998888E-2</v>
      </c>
      <c r="AV21" s="27">
        <f>IF(('Activity data'!AV8*EF!$H21)*kgtoGg=0,"NO",('Activity data'!AV8*EF!$H21)*kgtoGg)</f>
        <v>8.6242172681273321E-2</v>
      </c>
      <c r="AW21" s="27">
        <f>IF(('Activity data'!AW8*EF!$H21)*kgtoGg=0,"NO",('Activity data'!AW8*EF!$H21)*kgtoGg)</f>
        <v>8.7131524640671032E-2</v>
      </c>
      <c r="AX21" s="27">
        <f>IF(('Activity data'!AX8*EF!$H21)*kgtoGg=0,"NO",('Activity data'!AX8*EF!$H21)*kgtoGg)</f>
        <v>8.7861744576890749E-2</v>
      </c>
      <c r="AY21" s="27">
        <f>IF(('Activity data'!AY8*EF!$H21)*kgtoGg=0,"NO",('Activity data'!AY8*EF!$H21)*kgtoGg)</f>
        <v>8.863318056494178E-2</v>
      </c>
      <c r="AZ21" s="27">
        <f>IF(('Activity data'!AZ8*EF!$H21)*kgtoGg=0,"NO",('Activity data'!AZ8*EF!$H21)*kgtoGg)</f>
        <v>8.9665353249555477E-2</v>
      </c>
      <c r="BA21" s="27">
        <f>IF(('Activity data'!BA8*EF!$H21)*kgtoGg=0,"NO",('Activity data'!BA8*EF!$H21)*kgtoGg)</f>
        <v>9.0407657135718758E-2</v>
      </c>
      <c r="BB21" s="27">
        <f>IF(('Activity data'!BB8*EF!$H21)*kgtoGg=0,"NO",('Activity data'!BB8*EF!$H21)*kgtoGg)</f>
        <v>9.1198770165766427E-2</v>
      </c>
      <c r="BC21" s="27">
        <f>IF(('Activity data'!BC8*EF!$H21)*kgtoGg=0,"NO",('Activity data'!BC8*EF!$H21)*kgtoGg)</f>
        <v>9.2069621900880569E-2</v>
      </c>
      <c r="BD21" s="27">
        <f>IF(('Activity data'!BD8*EF!$H21)*kgtoGg=0,"NO",('Activity data'!BD8*EF!$H21)*kgtoGg)</f>
        <v>9.2612278465111636E-2</v>
      </c>
      <c r="BE21" s="27">
        <f>IF(('Activity data'!BE8*EF!$H21)*kgtoGg=0,"NO",('Activity data'!BE8*EF!$H21)*kgtoGg)</f>
        <v>9.3019389326395155E-2</v>
      </c>
      <c r="BF21" s="27">
        <f>IF(('Activity data'!BF8*EF!$H21)*kgtoGg=0,"NO",('Activity data'!BF8*EF!$H21)*kgtoGg)</f>
        <v>9.3302561003725443E-2</v>
      </c>
      <c r="BG21" s="27">
        <f>IF(('Activity data'!BG8*EF!$H21)*kgtoGg=0,"NO",('Activity data'!BG8*EF!$H21)*kgtoGg)</f>
        <v>9.4182866906307741E-2</v>
      </c>
      <c r="BH21" s="27">
        <f>IF(('Activity data'!BH8*EF!$H21)*kgtoGg=0,"NO",('Activity data'!BH8*EF!$H21)*kgtoGg)</f>
        <v>9.4852010834144421E-2</v>
      </c>
      <c r="BI21" s="27">
        <f>IF(('Activity data'!BI8*EF!$H21)*kgtoGg=0,"NO",('Activity data'!BI8*EF!$H21)*kgtoGg)</f>
        <v>9.5529601297703756E-2</v>
      </c>
      <c r="BJ21" s="27">
        <f>IF(('Activity data'!BJ8*EF!$H21)*kgtoGg=0,"NO",('Activity data'!BJ8*EF!$H21)*kgtoGg)</f>
        <v>9.6223389625578193E-2</v>
      </c>
      <c r="BK21" s="27">
        <f>IF(('Activity data'!BK8*EF!$H21)*kgtoGg=0,"NO",('Activity data'!BK8*EF!$H21)*kgtoGg)</f>
        <v>9.6947366282069555E-2</v>
      </c>
      <c r="BL21" s="27">
        <f>IF(('Activity data'!BL8*EF!$H21)*kgtoGg=0,"NO",('Activity data'!BL8*EF!$H21)*kgtoGg)</f>
        <v>9.7690698003963641E-2</v>
      </c>
      <c r="BM21" s="27">
        <f>IF(('Activity data'!BM8*EF!$H21)*kgtoGg=0,"NO",('Activity data'!BM8*EF!$H21)*kgtoGg)</f>
        <v>9.6224389596631696E-2</v>
      </c>
      <c r="BN21" s="27">
        <f>IF(('Activity data'!BN8*EF!$H21)*kgtoGg=0,"NO",('Activity data'!BN8*EF!$H21)*kgtoGg)</f>
        <v>9.4563308773857144E-2</v>
      </c>
      <c r="BO21" s="27">
        <f>IF(('Activity data'!BO8*EF!$H21)*kgtoGg=0,"NO",('Activity data'!BO8*EF!$H21)*kgtoGg)</f>
        <v>9.2637583282449518E-2</v>
      </c>
      <c r="BP21" s="27">
        <f>IF(('Activity data'!BP8*EF!$H21)*kgtoGg=0,"NO",('Activity data'!BP8*EF!$H21)*kgtoGg)</f>
        <v>9.065150695451285E-2</v>
      </c>
    </row>
    <row r="22" spans="1:68" x14ac:dyDescent="0.3">
      <c r="A22" t="str">
        <f t="shared" si="1"/>
        <v>3A Livestock</v>
      </c>
      <c r="B22" t="str">
        <f t="shared" si="8"/>
        <v>3A2 Manure management (CH4)</v>
      </c>
      <c r="C22" t="str">
        <f>EF!C22</f>
        <v>3A1aii Other cattle</v>
      </c>
      <c r="D22" t="str">
        <f>EF!D22</f>
        <v>Subsistence</v>
      </c>
      <c r="E22" t="str">
        <f t="shared" ref="E22:E53" si="9">E21</f>
        <v>Manure management Emissions</v>
      </c>
      <c r="F22" t="str">
        <f t="shared" si="6"/>
        <v>CH4</v>
      </c>
      <c r="G22" t="str">
        <f t="shared" si="7"/>
        <v>Gg CH4</v>
      </c>
      <c r="H22" s="27">
        <f>IF(('Activity data'!H9*EF!$H22)*kgtoGg=0,"NO",('Activity data'!H9*EF!$H22)*kgtoGg)</f>
        <v>6.0573784267535902E-2</v>
      </c>
      <c r="I22" s="27">
        <f>IF(('Activity data'!I9*EF!$H22)*kgtoGg=0,"NO",('Activity data'!I9*EF!$H22)*kgtoGg)</f>
        <v>6.4268917076884494E-2</v>
      </c>
      <c r="J22" s="27">
        <f>IF(('Activity data'!J9*EF!$H22)*kgtoGg=0,"NO",('Activity data'!J9*EF!$H22)*kgtoGg)</f>
        <v>6.7304204741706564E-2</v>
      </c>
      <c r="K22" s="27">
        <f>IF(('Activity data'!K9*EF!$H22)*kgtoGg=0,"NO",('Activity data'!K9*EF!$H22)*kgtoGg)</f>
        <v>6.651239056827471E-2</v>
      </c>
      <c r="L22" s="27">
        <f>IF(('Activity data'!L9*EF!$H22)*kgtoGg=0,"NO",('Activity data'!L9*EF!$H22)*kgtoGg)</f>
        <v>5.7934403689429759E-2</v>
      </c>
      <c r="M22" s="27">
        <f>IF(('Activity data'!M9*EF!$H22)*kgtoGg=0,"NO",('Activity data'!M9*EF!$H22)*kgtoGg)</f>
        <v>5.5954868255850158E-2</v>
      </c>
      <c r="N22" s="27">
        <f>IF(('Activity data'!N9*EF!$H22)*kgtoGg=0,"NO",('Activity data'!N9*EF!$H22)*kgtoGg)</f>
        <v>5.7538496602713839E-2</v>
      </c>
      <c r="O22" s="27">
        <f>IF(('Activity data'!O9*EF!$H22)*kgtoGg=0,"NO",('Activity data'!O9*EF!$H22)*kgtoGg)</f>
        <v>6.0177877180819982E-2</v>
      </c>
      <c r="P22" s="27">
        <f>IF(('Activity data'!P9*EF!$H22)*kgtoGg=0,"NO",('Activity data'!P9*EF!$H22)*kgtoGg)</f>
        <v>6.3873009990168567E-2</v>
      </c>
      <c r="Q22" s="27">
        <f>IF(('Activity data'!Q9*EF!$H22)*kgtoGg=0,"NO",('Activity data'!Q9*EF!$H22)*kgtoGg)</f>
        <v>6.651239056827471E-2</v>
      </c>
      <c r="R22" s="27">
        <f>IF(('Activity data'!R9*EF!$H22)*kgtoGg=0,"NO",('Activity data'!R9*EF!$H22)*kgtoGg)</f>
        <v>6.4928762221411029E-2</v>
      </c>
      <c r="S22" s="27">
        <f>IF(('Activity data'!S9*EF!$H22)*kgtoGg=0,"NO",('Activity data'!S9*EF!$H22)*kgtoGg)</f>
        <v>6.3345133874547349E-2</v>
      </c>
      <c r="T22" s="27">
        <f>IF(('Activity data'!T9*EF!$H22)*kgtoGg=0,"NO",('Activity data'!T9*EF!$H22)*kgtoGg)</f>
        <v>7.1791151724486982E-2</v>
      </c>
      <c r="U22" s="27">
        <f>IF(('Activity data'!U9*EF!$H22)*kgtoGg=0,"NO",('Activity data'!U9*EF!$H22)*kgtoGg)</f>
        <v>7.350674910025598E-2</v>
      </c>
      <c r="V22" s="27">
        <f>IF(('Activity data'!V9*EF!$H22)*kgtoGg=0,"NO",('Activity data'!V9*EF!$H22)*kgtoGg)</f>
        <v>7.2319027840108213E-2</v>
      </c>
      <c r="W22" s="27">
        <f>IF(('Activity data'!W9*EF!$H22)*kgtoGg=0,"NO",('Activity data'!W9*EF!$H22)*kgtoGg)</f>
        <v>7.0207523377623302E-2</v>
      </c>
      <c r="X22" s="27">
        <f>IF(('Activity data'!X9*EF!$H22)*kgtoGg=0,"NO",('Activity data'!X9*EF!$H22)*kgtoGg)</f>
        <v>7.2450996869013531E-2</v>
      </c>
      <c r="Y22" s="27">
        <f>IF(('Activity data'!Y9*EF!$H22)*kgtoGg=0,"NO",('Activity data'!Y9*EF!$H22)*kgtoGg)</f>
        <v>7.5354315504930283E-2</v>
      </c>
      <c r="Z22" s="27">
        <f>IF(('Activity data'!Z9*EF!$H22)*kgtoGg=0,"NO",('Activity data'!Z9*EF!$H22)*kgtoGg)</f>
        <v>7.4166594244782516E-2</v>
      </c>
      <c r="AA22" s="27">
        <f>IF(('Activity data'!AA9*EF!$H22)*kgtoGg=0,"NO",('Activity data'!AA9*EF!$H22)*kgtoGg)</f>
        <v>7.3374780071350676E-2</v>
      </c>
      <c r="AB22" s="27">
        <f>IF(('Activity data'!AB9*EF!$H22)*kgtoGg=0,"NO",('Activity data'!AB9*EF!$H22)*kgtoGg)</f>
        <v>7.2319027840108213E-2</v>
      </c>
      <c r="AC22" s="27">
        <f>IF(('Activity data'!AC9*EF!$H22)*kgtoGg=0,"NO",('Activity data'!AC9*EF!$H22)*kgtoGg)</f>
        <v>7.2846903955729445E-2</v>
      </c>
      <c r="AD22" s="27">
        <f>IF(('Activity data'!AD9*EF!$H22)*kgtoGg=0,"NO",('Activity data'!AD9*EF!$H22)*kgtoGg)</f>
        <v>6.9689449734106304E-2</v>
      </c>
      <c r="AE22" s="27">
        <f>IF(('Activity data'!AE9*EF!$H22)*kgtoGg=0,"NO",('Activity data'!AE9*EF!$H22)*kgtoGg)</f>
        <v>6.9085055392440989E-2</v>
      </c>
      <c r="AF22" s="27">
        <f>IF(('Activity data'!AF9*EF!$H22)*kgtoGg=0,"NO",('Activity data'!AF9*EF!$H22)*kgtoGg)</f>
        <v>6.8854980763127793E-2</v>
      </c>
      <c r="AG22" s="27">
        <f>IF(('Activity data'!AG9*EF!$H22)*kgtoGg=0,"NO",('Activity data'!AG9*EF!$H22)*kgtoGg)</f>
        <v>6.7935512624264269E-2</v>
      </c>
      <c r="AH22" s="27">
        <f>IF(('Activity data'!AH9*EF!$H22)*kgtoGg=0,"NO",('Activity data'!AH9*EF!$H22)*kgtoGg)</f>
        <v>6.660088216573827E-2</v>
      </c>
      <c r="AI22" s="27">
        <f>IF(('Activity data'!AI9*EF!$H22)*kgtoGg=0,"NO",('Activity data'!AI9*EF!$H22)*kgtoGg)</f>
        <v>6.4878687456057696E-2</v>
      </c>
      <c r="AJ22" s="27">
        <f>IF(('Activity data'!AJ9*EF!$H22)*kgtoGg=0,"NO",('Activity data'!AJ9*EF!$H22)*kgtoGg)</f>
        <v>6.3520342119606069E-2</v>
      </c>
      <c r="AK22" s="27">
        <f>IF(('Activity data'!AK9*EF!$H22)*kgtoGg=0,"NO",('Activity data'!AK9*EF!$H22)*kgtoGg)</f>
        <v>6.2235193009075998E-2</v>
      </c>
      <c r="AL22" s="27">
        <f>IF(('Activity data'!AL9*EF!$H22)*kgtoGg=0,"NO",('Activity data'!AL9*EF!$H22)*kgtoGg)</f>
        <v>5.4748826979066356E-2</v>
      </c>
      <c r="AM22" s="27">
        <f>IF(('Activity data'!AM9*EF!$H22)*kgtoGg=0,"NO",('Activity data'!AM9*EF!$H22)*kgtoGg)</f>
        <v>5.5638112913069561E-2</v>
      </c>
      <c r="AN22" s="27">
        <f>IF(('Activity data'!AN9*EF!$H22)*kgtoGg=0,"NO",('Activity data'!AN9*EF!$H22)*kgtoGg)</f>
        <v>5.7297103877082825E-2</v>
      </c>
      <c r="AO22" s="27">
        <f>IF(('Activity data'!AO9*EF!$H22)*kgtoGg=0,"NO",('Activity data'!AO9*EF!$H22)*kgtoGg)</f>
        <v>5.7628423534637221E-2</v>
      </c>
      <c r="AP22" s="27">
        <f>IF(('Activity data'!AP9*EF!$H22)*kgtoGg=0,"NO",('Activity data'!AP9*EF!$H22)*kgtoGg)</f>
        <v>5.8106281769105768E-2</v>
      </c>
      <c r="AQ22" s="27">
        <f>IF(('Activity data'!AQ9*EF!$H22)*kgtoGg=0,"NO",('Activity data'!AQ9*EF!$H22)*kgtoGg)</f>
        <v>5.8772904546796331E-2</v>
      </c>
      <c r="AR22" s="27">
        <f>IF(('Activity data'!AR9*EF!$H22)*kgtoGg=0,"NO",('Activity data'!AR9*EF!$H22)*kgtoGg)</f>
        <v>5.9537551288705921E-2</v>
      </c>
      <c r="AS22" s="27">
        <f>IF(('Activity data'!AS9*EF!$H22)*kgtoGg=0,"NO",('Activity data'!AS9*EF!$H22)*kgtoGg)</f>
        <v>6.0434059444432087E-2</v>
      </c>
      <c r="AT22" s="27">
        <f>IF(('Activity data'!AT9*EF!$H22)*kgtoGg=0,"NO",('Activity data'!AT9*EF!$H22)*kgtoGg)</f>
        <v>6.1334702496341778E-2</v>
      </c>
      <c r="AU22" s="27">
        <f>IF(('Activity data'!AU9*EF!$H22)*kgtoGg=0,"NO",('Activity data'!AU9*EF!$H22)*kgtoGg)</f>
        <v>6.2347648020879123E-2</v>
      </c>
      <c r="AV22" s="27">
        <f>IF(('Activity data'!AV9*EF!$H22)*kgtoGg=0,"NO",('Activity data'!AV9*EF!$H22)*kgtoGg)</f>
        <v>6.3350541169797603E-2</v>
      </c>
      <c r="AW22" s="27">
        <f>IF(('Activity data'!AW9*EF!$H22)*kgtoGg=0,"NO",('Activity data'!AW9*EF!$H22)*kgtoGg)</f>
        <v>6.4003828606403412E-2</v>
      </c>
      <c r="AX22" s="27">
        <f>IF(('Activity data'!AX9*EF!$H22)*kgtoGg=0,"NO",('Activity data'!AX9*EF!$H22)*kgtoGg)</f>
        <v>6.4540223118441709E-2</v>
      </c>
      <c r="AY22" s="27">
        <f>IF(('Activity data'!AY9*EF!$H22)*kgtoGg=0,"NO",('Activity data'!AY9*EF!$H22)*kgtoGg)</f>
        <v>6.5106893528074167E-2</v>
      </c>
      <c r="AZ22" s="27">
        <f>IF(('Activity data'!AZ9*EF!$H22)*kgtoGg=0,"NO",('Activity data'!AZ9*EF!$H22)*kgtoGg)</f>
        <v>6.5865092169388781E-2</v>
      </c>
      <c r="BA22" s="27">
        <f>IF(('Activity data'!BA9*EF!$H22)*kgtoGg=0,"NO",('Activity data'!BA9*EF!$H22)*kgtoGg)</f>
        <v>6.641036313646749E-2</v>
      </c>
      <c r="BB22" s="27">
        <f>IF(('Activity data'!BB9*EF!$H22)*kgtoGg=0,"NO",('Activity data'!BB9*EF!$H22)*kgtoGg)</f>
        <v>6.6991487626051227E-2</v>
      </c>
      <c r="BC22" s="27">
        <f>IF(('Activity data'!BC9*EF!$H22)*kgtoGg=0,"NO",('Activity data'!BC9*EF!$H22)*kgtoGg)</f>
        <v>6.7631185432622337E-2</v>
      </c>
      <c r="BD22" s="27">
        <f>IF(('Activity data'!BD9*EF!$H22)*kgtoGg=0,"NO",('Activity data'!BD9*EF!$H22)*kgtoGg)</f>
        <v>6.8029802326707703E-2</v>
      </c>
      <c r="BE22" s="27">
        <f>IF(('Activity data'!BE9*EF!$H22)*kgtoGg=0,"NO",('Activity data'!BE9*EF!$H22)*kgtoGg)</f>
        <v>6.832885199784397E-2</v>
      </c>
      <c r="BF22" s="27">
        <f>IF(('Activity data'!BF9*EF!$H22)*kgtoGg=0,"NO",('Activity data'!BF9*EF!$H22)*kgtoGg)</f>
        <v>6.8536860196676486E-2</v>
      </c>
      <c r="BG22" s="27">
        <f>IF(('Activity data'!BG9*EF!$H22)*kgtoGg=0,"NO",('Activity data'!BG9*EF!$H22)*kgtoGg)</f>
        <v>6.9183502710306752E-2</v>
      </c>
      <c r="BH22" s="27">
        <f>IF(('Activity data'!BH9*EF!$H22)*kgtoGg=0,"NO",('Activity data'!BH9*EF!$H22)*kgtoGg)</f>
        <v>6.9675032882043061E-2</v>
      </c>
      <c r="BI22" s="27">
        <f>IF(('Activity data'!BI9*EF!$H22)*kgtoGg=0,"NO",('Activity data'!BI9*EF!$H22)*kgtoGg)</f>
        <v>7.0172767589129104E-2</v>
      </c>
      <c r="BJ22" s="27">
        <f>IF(('Activity data'!BJ9*EF!$H22)*kgtoGg=0,"NO",('Activity data'!BJ9*EF!$H22)*kgtoGg)</f>
        <v>7.0682400691608652E-2</v>
      </c>
      <c r="BK22" s="27">
        <f>IF(('Activity data'!BK9*EF!$H22)*kgtoGg=0,"NO",('Activity data'!BK9*EF!$H22)*kgtoGg)</f>
        <v>7.1214209104559126E-2</v>
      </c>
      <c r="BL22" s="27">
        <f>IF(('Activity data'!BL9*EF!$H22)*kgtoGg=0,"NO",('Activity data'!BL9*EF!$H22)*kgtoGg)</f>
        <v>7.1760235084501689E-2</v>
      </c>
      <c r="BM22" s="27">
        <f>IF(('Activity data'!BM9*EF!$H22)*kgtoGg=0,"NO",('Activity data'!BM9*EF!$H22)*kgtoGg)</f>
        <v>7.0683135236036573E-2</v>
      </c>
      <c r="BN22" s="27">
        <f>IF(('Activity data'!BN9*EF!$H22)*kgtoGg=0,"NO",('Activity data'!BN9*EF!$H22)*kgtoGg)</f>
        <v>6.9462962253632216E-2</v>
      </c>
      <c r="BO22" s="27">
        <f>IF(('Activity data'!BO9*EF!$H22)*kgtoGg=0,"NO",('Activity data'!BO9*EF!$H22)*kgtoGg)</f>
        <v>6.8048390377341353E-2</v>
      </c>
      <c r="BP22" s="27">
        <f>IF(('Activity data'!BP9*EF!$H22)*kgtoGg=0,"NO",('Activity data'!BP9*EF!$H22)*kgtoGg)</f>
        <v>6.658948684711255E-2</v>
      </c>
    </row>
    <row r="23" spans="1:68" x14ac:dyDescent="0.3">
      <c r="A23" t="str">
        <f t="shared" si="1"/>
        <v>3A Livestock</v>
      </c>
      <c r="B23" t="str">
        <f t="shared" si="8"/>
        <v>3A2 Manure management (CH4)</v>
      </c>
      <c r="C23" t="str">
        <f>EF!C23</f>
        <v>3A1aii Other cattle</v>
      </c>
      <c r="D23" t="str">
        <f>EF!D23</f>
        <v>Feedlot</v>
      </c>
      <c r="E23" t="str">
        <f t="shared" si="9"/>
        <v>Manure management Emissions</v>
      </c>
      <c r="F23" t="str">
        <f t="shared" si="6"/>
        <v>CH4</v>
      </c>
      <c r="G23" t="str">
        <f t="shared" si="7"/>
        <v>Gg CH4</v>
      </c>
      <c r="H23" s="27">
        <f>IF(('Activity data'!H10*EF!$H23)*kgtoGg=0,"NO",('Activity data'!H10*EF!$H23)*kgtoGg)</f>
        <v>0.3654</v>
      </c>
      <c r="I23" s="27">
        <f>IF(('Activity data'!I10*EF!$H23)*kgtoGg=0,"NO",('Activity data'!I10*EF!$H23)*kgtoGg)</f>
        <v>0.3654</v>
      </c>
      <c r="J23" s="27">
        <f>IF(('Activity data'!J10*EF!$H23)*kgtoGg=0,"NO",('Activity data'!J10*EF!$H23)*kgtoGg)</f>
        <v>0.3654</v>
      </c>
      <c r="K23" s="27">
        <f>IF(('Activity data'!K10*EF!$H23)*kgtoGg=0,"NO",('Activity data'!K10*EF!$H23)*kgtoGg)</f>
        <v>0.3654</v>
      </c>
      <c r="L23" s="27">
        <f>IF(('Activity data'!L10*EF!$H23)*kgtoGg=0,"NO",('Activity data'!L10*EF!$H23)*kgtoGg)</f>
        <v>0.3654</v>
      </c>
      <c r="M23" s="27">
        <f>IF(('Activity data'!M10*EF!$H23)*kgtoGg=0,"NO",('Activity data'!M10*EF!$H23)*kgtoGg)</f>
        <v>0.3654</v>
      </c>
      <c r="N23" s="27">
        <f>IF(('Activity data'!N10*EF!$H23)*kgtoGg=0,"NO",('Activity data'!N10*EF!$H23)*kgtoGg)</f>
        <v>0.3654</v>
      </c>
      <c r="O23" s="27">
        <f>IF(('Activity data'!O10*EF!$H23)*kgtoGg=0,"NO",('Activity data'!O10*EF!$H23)*kgtoGg)</f>
        <v>0.3654</v>
      </c>
      <c r="P23" s="27">
        <f>IF(('Activity data'!P10*EF!$H23)*kgtoGg=0,"NO",('Activity data'!P10*EF!$H23)*kgtoGg)</f>
        <v>0.3654</v>
      </c>
      <c r="Q23" s="27">
        <f>IF(('Activity data'!Q10*EF!$H23)*kgtoGg=0,"NO",('Activity data'!Q10*EF!$H23)*kgtoGg)</f>
        <v>0.3654</v>
      </c>
      <c r="R23" s="27">
        <f>IF(('Activity data'!R10*EF!$H23)*kgtoGg=0,"NO",('Activity data'!R10*EF!$H23)*kgtoGg)</f>
        <v>0.3654</v>
      </c>
      <c r="S23" s="27">
        <f>IF(('Activity data'!S10*EF!$H23)*kgtoGg=0,"NO",('Activity data'!S10*EF!$H23)*kgtoGg)</f>
        <v>0.3654</v>
      </c>
      <c r="T23" s="27">
        <f>IF(('Activity data'!T10*EF!$H23)*kgtoGg=0,"NO",('Activity data'!T10*EF!$H23)*kgtoGg)</f>
        <v>0.3654</v>
      </c>
      <c r="U23" s="27">
        <f>IF(('Activity data'!U10*EF!$H23)*kgtoGg=0,"NO",('Activity data'!U10*EF!$H23)*kgtoGg)</f>
        <v>0.3654</v>
      </c>
      <c r="V23" s="27">
        <f>IF(('Activity data'!V10*EF!$H23)*kgtoGg=0,"NO",('Activity data'!V10*EF!$H23)*kgtoGg)</f>
        <v>0.3654</v>
      </c>
      <c r="W23" s="27">
        <f>IF(('Activity data'!W10*EF!$H23)*kgtoGg=0,"NO",('Activity data'!W10*EF!$H23)*kgtoGg)</f>
        <v>0.3654</v>
      </c>
      <c r="X23" s="27">
        <f>IF(('Activity data'!X10*EF!$H23)*kgtoGg=0,"NO",('Activity data'!X10*EF!$H23)*kgtoGg)</f>
        <v>0.3654</v>
      </c>
      <c r="Y23" s="27">
        <f>IF(('Activity data'!Y10*EF!$H23)*kgtoGg=0,"NO",('Activity data'!Y10*EF!$H23)*kgtoGg)</f>
        <v>0.3654</v>
      </c>
      <c r="Z23" s="27">
        <f>IF(('Activity data'!Z10*EF!$H23)*kgtoGg=0,"NO",('Activity data'!Z10*EF!$H23)*kgtoGg)</f>
        <v>0.34029854249999997</v>
      </c>
      <c r="AA23" s="27">
        <f>IF(('Activity data'!AA10*EF!$H23)*kgtoGg=0,"NO",('Activity data'!AA10*EF!$H23)*kgtoGg)</f>
        <v>0.34871289249999998</v>
      </c>
      <c r="AB23" s="27">
        <f>IF(('Activity data'!AB10*EF!$H23)*kgtoGg=0,"NO",('Activity data'!AB10*EF!$H23)*kgtoGg)</f>
        <v>0.34784542999999996</v>
      </c>
      <c r="AC23" s="27">
        <f>IF(('Activity data'!AC10*EF!$H23)*kgtoGg=0,"NO",('Activity data'!AC10*EF!$H23)*kgtoGg)</f>
        <v>0.40176614500000002</v>
      </c>
      <c r="AD23" s="27">
        <f>IF(('Activity data'!AD10*EF!$H23)*kgtoGg=0,"NO",('Activity data'!AD10*EF!$H23)*kgtoGg)</f>
        <v>0.47107022937833831</v>
      </c>
      <c r="AE23" s="27">
        <f>IF(('Activity data'!AE10*EF!$H23)*kgtoGg=0,"NO",('Activity data'!AE10*EF!$H23)*kgtoGg)</f>
        <v>0.48695387967725939</v>
      </c>
      <c r="AF23" s="27">
        <f>IF(('Activity data'!AF10*EF!$H23)*kgtoGg=0,"NO",('Activity data'!AF10*EF!$H23)*kgtoGg)</f>
        <v>0.50580611066616787</v>
      </c>
      <c r="AG23" s="27">
        <f>IF(('Activity data'!AG10*EF!$H23)*kgtoGg=0,"NO",('Activity data'!AG10*EF!$H23)*kgtoGg)</f>
        <v>0.51986569055899412</v>
      </c>
      <c r="AH23" s="27">
        <f>IF(('Activity data'!AH10*EF!$H23)*kgtoGg=0,"NO",('Activity data'!AH10*EF!$H23)*kgtoGg)</f>
        <v>0.5307082628613855</v>
      </c>
      <c r="AI23" s="27">
        <f>IF(('Activity data'!AI10*EF!$H23)*kgtoGg=0,"NO",('Activity data'!AI10*EF!$H23)*kgtoGg)</f>
        <v>0.53817886796858128</v>
      </c>
      <c r="AJ23" s="27">
        <f>IF(('Activity data'!AJ10*EF!$H23)*kgtoGg=0,"NO",('Activity data'!AJ10*EF!$H23)*kgtoGg)</f>
        <v>0.54837935702304741</v>
      </c>
      <c r="AK23" s="27">
        <f>IF(('Activity data'!AK10*EF!$H23)*kgtoGg=0,"NO",('Activity data'!AK10*EF!$H23)*kgtoGg)</f>
        <v>0.55907244781022658</v>
      </c>
      <c r="AL23" s="27">
        <f>IF(('Activity data'!AL10*EF!$H23)*kgtoGg=0,"NO",('Activity data'!AL10*EF!$H23)*kgtoGg)</f>
        <v>0.5116979963243764</v>
      </c>
      <c r="AM23" s="27">
        <f>IF(('Activity data'!AM10*EF!$H23)*kgtoGg=0,"NO",('Activity data'!AM10*EF!$H23)*kgtoGg)</f>
        <v>0.53253794371544794</v>
      </c>
      <c r="AN23" s="27">
        <f>IF(('Activity data'!AN10*EF!$H23)*kgtoGg=0,"NO",('Activity data'!AN10*EF!$H23)*kgtoGg)</f>
        <v>0.56144831136588025</v>
      </c>
      <c r="AO23" s="27">
        <f>IF(('Activity data'!AO10*EF!$H23)*kgtoGg=0,"NO",('Activity data'!AO10*EF!$H23)*kgtoGg)</f>
        <v>0.57794253443008525</v>
      </c>
      <c r="AP23" s="27">
        <f>IF(('Activity data'!AP10*EF!$H23)*kgtoGg=0,"NO",('Activity data'!AP10*EF!$H23)*kgtoGg)</f>
        <v>0.59624482437454274</v>
      </c>
      <c r="AQ23" s="27">
        <f>IF(('Activity data'!AQ10*EF!$H23)*kgtoGg=0,"NO",('Activity data'!AQ10*EF!$H23)*kgtoGg)</f>
        <v>0.61691451225743765</v>
      </c>
      <c r="AR23" s="27">
        <f>IF(('Activity data'!AR10*EF!$H23)*kgtoGg=0,"NO",('Activity data'!AR10*EF!$H23)*kgtoGg)</f>
        <v>0.63912634684399761</v>
      </c>
      <c r="AS23" s="27">
        <f>IF(('Activity data'!AS10*EF!$H23)*kgtoGg=0,"NO",('Activity data'!AS10*EF!$H23)*kgtoGg)</f>
        <v>0.66333849990898774</v>
      </c>
      <c r="AT23" s="27">
        <f>IF(('Activity data'!AT10*EF!$H23)*kgtoGg=0,"NO",('Activity data'!AT10*EF!$H23)*kgtoGg)</f>
        <v>0.68823157042214766</v>
      </c>
      <c r="AU23" s="27">
        <f>IF(('Activity data'!AU10*EF!$H23)*kgtoGg=0,"NO",('Activity data'!AU10*EF!$H23)*kgtoGg)</f>
        <v>0.71506797281834467</v>
      </c>
      <c r="AV23" s="27">
        <f>IF(('Activity data'!AV10*EF!$H23)*kgtoGg=0,"NO",('Activity data'!AV10*EF!$H23)*kgtoGg)</f>
        <v>0.74251772868278199</v>
      </c>
      <c r="AW23" s="27">
        <f>IF(('Activity data'!AW10*EF!$H23)*kgtoGg=0,"NO",('Activity data'!AW10*EF!$H23)*kgtoGg)</f>
        <v>0.7750525944257971</v>
      </c>
      <c r="AX23" s="27">
        <f>IF(('Activity data'!AX10*EF!$H23)*kgtoGg=0,"NO",('Activity data'!AX10*EF!$H23)*kgtoGg)</f>
        <v>0.80751598640792854</v>
      </c>
      <c r="AY23" s="27">
        <f>IF(('Activity data'!AY10*EF!$H23)*kgtoGg=0,"NO",('Activity data'!AY10*EF!$H23)*kgtoGg)</f>
        <v>0.84174152680537817</v>
      </c>
      <c r="AZ23" s="27">
        <f>IF(('Activity data'!AZ10*EF!$H23)*kgtoGg=0,"NO",('Activity data'!AZ10*EF!$H23)*kgtoGg)</f>
        <v>0.88000003569074847</v>
      </c>
      <c r="BA23" s="27">
        <f>IF(('Activity data'!BA10*EF!$H23)*kgtoGg=0,"NO",('Activity data'!BA10*EF!$H23)*kgtoGg)</f>
        <v>0.91704807287784318</v>
      </c>
      <c r="BB23" s="27">
        <f>IF(('Activity data'!BB10*EF!$H23)*kgtoGg=0,"NO",('Activity data'!BB10*EF!$H23)*kgtoGg)</f>
        <v>0.95623961354371867</v>
      </c>
      <c r="BC23" s="27">
        <f>IF(('Activity data'!BC10*EF!$H23)*kgtoGg=0,"NO",('Activity data'!BC10*EF!$H23)*kgtoGg)</f>
        <v>0.99805792050769693</v>
      </c>
      <c r="BD23" s="27">
        <f>IF(('Activity data'!BD10*EF!$H23)*kgtoGg=0,"NO",('Activity data'!BD10*EF!$H23)*kgtoGg)</f>
        <v>1.0381239689146564</v>
      </c>
      <c r="BE23" s="27">
        <f>IF(('Activity data'!BE10*EF!$H23)*kgtoGg=0,"NO",('Activity data'!BE10*EF!$H23)*kgtoGg)</f>
        <v>1.0784102253675423</v>
      </c>
      <c r="BF23" s="27">
        <f>IF(('Activity data'!BF10*EF!$H23)*kgtoGg=0,"NO",('Activity data'!BF10*EF!$H23)*kgtoGg)</f>
        <v>1.1190041069207182</v>
      </c>
      <c r="BG23" s="27">
        <f>IF(('Activity data'!BG10*EF!$H23)*kgtoGg=0,"NO",('Activity data'!BG10*EF!$H23)*kgtoGg)</f>
        <v>1.1614327193697984</v>
      </c>
      <c r="BH23" s="27">
        <f>IF(('Activity data'!BH10*EF!$H23)*kgtoGg=0,"NO",('Activity data'!BH10*EF!$H23)*kgtoGg)</f>
        <v>1.2028013950684227</v>
      </c>
      <c r="BI23" s="27">
        <f>IF(('Activity data'!BI10*EF!$H23)*kgtoGg=0,"NO",('Activity data'!BI10*EF!$H23)*kgtoGg)</f>
        <v>1.2458253070355789</v>
      </c>
      <c r="BJ23" s="27">
        <f>IF(('Activity data'!BJ10*EF!$H23)*kgtoGg=0,"NO",('Activity data'!BJ10*EF!$H23)*kgtoGg)</f>
        <v>1.2906949248380046</v>
      </c>
      <c r="BK23" s="27">
        <f>IF(('Activity data'!BK10*EF!$H23)*kgtoGg=0,"NO",('Activity data'!BK10*EF!$H23)*kgtoGg)</f>
        <v>1.3377043131160224</v>
      </c>
      <c r="BL23" s="27">
        <f>IF(('Activity data'!BL10*EF!$H23)*kgtoGg=0,"NO",('Activity data'!BL10*EF!$H23)*kgtoGg)</f>
        <v>1.3868240533486631</v>
      </c>
      <c r="BM23" s="27">
        <f>IF(('Activity data'!BM10*EF!$H23)*kgtoGg=0,"NO",('Activity data'!BM10*EF!$H23)*kgtoGg)</f>
        <v>1.4056131138026084</v>
      </c>
      <c r="BN23" s="27">
        <f>IF(('Activity data'!BN10*EF!$H23)*kgtoGg=0,"NO",('Activity data'!BN10*EF!$H23)*kgtoGg)</f>
        <v>1.4216407980502102</v>
      </c>
      <c r="BO23" s="27">
        <f>IF(('Activity data'!BO10*EF!$H23)*kgtoGg=0,"NO",('Activity data'!BO10*EF!$H23)*kgtoGg)</f>
        <v>1.4335765692204958</v>
      </c>
      <c r="BP23" s="27">
        <f>IF(('Activity data'!BP10*EF!$H23)*kgtoGg=0,"NO",('Activity data'!BP10*EF!$H23)*kgtoGg)</f>
        <v>1.4443117800465477</v>
      </c>
    </row>
    <row r="24" spans="1:68" x14ac:dyDescent="0.3">
      <c r="A24" t="str">
        <f t="shared" si="1"/>
        <v>3A Livestock</v>
      </c>
      <c r="B24" t="str">
        <f t="shared" si="8"/>
        <v>3A2 Manure management (CH4)</v>
      </c>
      <c r="C24" t="str">
        <f>EF!C24</f>
        <v>3A1c Sheep</v>
      </c>
      <c r="D24" t="str">
        <f>EF!D24</f>
        <v>Commercial</v>
      </c>
      <c r="E24" t="str">
        <f t="shared" si="9"/>
        <v>Manure management Emissions</v>
      </c>
      <c r="F24" t="str">
        <f t="shared" si="6"/>
        <v>CH4</v>
      </c>
      <c r="G24" t="str">
        <f t="shared" si="7"/>
        <v>Gg CH4</v>
      </c>
      <c r="H24" s="27">
        <f>IF(('Activity data'!H11*EF!$H24)*kgtoGg=0,"NO",('Activity data'!H11*EF!$H24)*kgtoGg)</f>
        <v>5.683257382813009E-2</v>
      </c>
      <c r="I24" s="27">
        <f>IF(('Activity data'!I11*EF!$H24)*kgtoGg=0,"NO",('Activity data'!I11*EF!$H24)*kgtoGg)</f>
        <v>5.427710801805239E-2</v>
      </c>
      <c r="J24" s="27">
        <f>IF(('Activity data'!J11*EF!$H24)*kgtoGg=0,"NO",('Activity data'!J11*EF!$H24)*kgtoGg)</f>
        <v>5.2034440322709721E-2</v>
      </c>
      <c r="K24" s="27">
        <f>IF(('Activity data'!K11*EF!$H24)*kgtoGg=0,"NO",('Activity data'!K11*EF!$H24)*kgtoGg)</f>
        <v>4.8663803668171031E-2</v>
      </c>
      <c r="L24" s="27">
        <f>IF(('Activity data'!L11*EF!$H24)*kgtoGg=0,"NO",('Activity data'!L11*EF!$H24)*kgtoGg)</f>
        <v>4.9006933721304616E-2</v>
      </c>
      <c r="M24" s="27">
        <f>IF(('Activity data'!M11*EF!$H24)*kgtoGg=0,"NO",('Activity data'!M11*EF!$H24)*kgtoGg)</f>
        <v>4.8305507645838179E-2</v>
      </c>
      <c r="N24" s="27">
        <f>IF(('Activity data'!N11*EF!$H24)*kgtoGg=0,"NO",('Activity data'!N11*EF!$H24)*kgtoGg)</f>
        <v>4.846664606858047E-2</v>
      </c>
      <c r="O24" s="27">
        <f>IF(('Activity data'!O11*EF!$H24)*kgtoGg=0,"NO",('Activity data'!O11*EF!$H24)*kgtoGg)</f>
        <v>4.7412611209230918E-2</v>
      </c>
      <c r="P24" s="27">
        <f>IF(('Activity data'!P11*EF!$H24)*kgtoGg=0,"NO",('Activity data'!P11*EF!$H24)*kgtoGg)</f>
        <v>4.7543417693574654E-2</v>
      </c>
      <c r="Q24" s="27">
        <f>IF(('Activity data'!Q11*EF!$H24)*kgtoGg=0,"NO",('Activity data'!Q11*EF!$H24)*kgtoGg)</f>
        <v>4.637563806523054E-2</v>
      </c>
      <c r="R24" s="27">
        <f>IF(('Activity data'!R11*EF!$H24)*kgtoGg=0,"NO",('Activity data'!R11*EF!$H24)*kgtoGg)</f>
        <v>4.4713068691760109E-2</v>
      </c>
      <c r="S24" s="27">
        <f>IF(('Activity data'!S11*EF!$H24)*kgtoGg=0,"NO",('Activity data'!S11*EF!$H24)*kgtoGg)</f>
        <v>4.3598369955613454E-2</v>
      </c>
      <c r="T24" s="27">
        <f>IF(('Activity data'!T11*EF!$H24)*kgtoGg=0,"NO",('Activity data'!T11*EF!$H24)*kgtoGg)</f>
        <v>4.2870403434048299E-2</v>
      </c>
      <c r="U24" s="27">
        <f>IF(('Activity data'!U11*EF!$H24)*kgtoGg=0,"NO",('Activity data'!U11*EF!$H24)*kgtoGg)</f>
        <v>4.3020167379891124E-2</v>
      </c>
      <c r="V24" s="27">
        <f>IF(('Activity data'!V11*EF!$H24)*kgtoGg=0,"NO",('Activity data'!V11*EF!$H24)*kgtoGg)</f>
        <v>4.2254285935327783E-2</v>
      </c>
      <c r="W24" s="27">
        <f>IF(('Activity data'!W11*EF!$H24)*kgtoGg=0,"NO",('Activity data'!W11*EF!$H24)*kgtoGg)</f>
        <v>4.2153811389382595E-2</v>
      </c>
      <c r="X24" s="27">
        <f>IF(('Activity data'!X11*EF!$H24)*kgtoGg=0,"NO",('Activity data'!X11*EF!$H24)*kgtoGg)</f>
        <v>4.1602149259758997E-2</v>
      </c>
      <c r="Y24" s="27">
        <f>IF(('Activity data'!Y11*EF!$H24)*kgtoGg=0,"NO",('Activity data'!Y11*EF!$H24)*kgtoGg)</f>
        <v>4.1562338590610905E-2</v>
      </c>
      <c r="Z24" s="27">
        <f>IF(('Activity data'!Z11*EF!$H24)*kgtoGg=0,"NO",('Activity data'!Z11*EF!$H24)*kgtoGg)</f>
        <v>4.1696936567254456E-2</v>
      </c>
      <c r="AA24" s="27">
        <f>IF(('Activity data'!AA11*EF!$H24)*kgtoGg=0,"NO",('Activity data'!AA11*EF!$H24)*kgtoGg)</f>
        <v>4.1549068367561531E-2</v>
      </c>
      <c r="AB24" s="27">
        <f>IF(('Activity data'!AB11*EF!$H24)*kgtoGg=0,"NO",('Activity data'!AB11*EF!$H24)*kgtoGg)</f>
        <v>4.0745272000000006E-2</v>
      </c>
      <c r="AC24" s="27">
        <f>IF(('Activity data'!AC11*EF!$H24)*kgtoGg=0,"NO",('Activity data'!AC11*EF!$H24)*kgtoGg)</f>
        <v>4.042678664681524E-2</v>
      </c>
      <c r="AD24" s="27">
        <f>IF(('Activity data'!AD11*EF!$H24)*kgtoGg=0,"NO",('Activity data'!AD11*EF!$H24)*kgtoGg)</f>
        <v>3.6054675351507588E-2</v>
      </c>
      <c r="AE24" s="27">
        <f>IF(('Activity data'!AE11*EF!$H24)*kgtoGg=0,"NO",('Activity data'!AE11*EF!$H24)*kgtoGg)</f>
        <v>3.6074169999743479E-2</v>
      </c>
      <c r="AF24" s="27">
        <f>IF(('Activity data'!AF11*EF!$H24)*kgtoGg=0,"NO",('Activity data'!AF11*EF!$H24)*kgtoGg)</f>
        <v>3.6120780972302438E-2</v>
      </c>
      <c r="AG24" s="27">
        <f>IF(('Activity data'!AG11*EF!$H24)*kgtoGg=0,"NO",('Activity data'!AG11*EF!$H24)*kgtoGg)</f>
        <v>3.6189509224973292E-2</v>
      </c>
      <c r="AH24" s="27">
        <f>IF(('Activity data'!AH11*EF!$H24)*kgtoGg=0,"NO",('Activity data'!AH11*EF!$H24)*kgtoGg)</f>
        <v>3.6279918010713667E-2</v>
      </c>
      <c r="AI24" s="27">
        <f>IF(('Activity data'!AI11*EF!$H24)*kgtoGg=0,"NO",('Activity data'!AI11*EF!$H24)*kgtoGg)</f>
        <v>3.6391052650159628E-2</v>
      </c>
      <c r="AJ24" s="27">
        <f>IF(('Activity data'!AJ11*EF!$H24)*kgtoGg=0,"NO",('Activity data'!AJ11*EF!$H24)*kgtoGg)</f>
        <v>3.6515872019705298E-2</v>
      </c>
      <c r="AK24" s="27">
        <f>IF(('Activity data'!AK11*EF!$H24)*kgtoGg=0,"NO",('Activity data'!AK11*EF!$H24)*kgtoGg)</f>
        <v>3.6653588090719266E-2</v>
      </c>
      <c r="AL24" s="27">
        <f>IF(('Activity data'!AL11*EF!$H24)*kgtoGg=0,"NO",('Activity data'!AL11*EF!$H24)*kgtoGg)</f>
        <v>3.6779521855622693E-2</v>
      </c>
      <c r="AM24" s="27">
        <f>IF(('Activity data'!AM11*EF!$H24)*kgtoGg=0,"NO",('Activity data'!AM11*EF!$H24)*kgtoGg)</f>
        <v>3.6834860200729257E-2</v>
      </c>
      <c r="AN24" s="27">
        <f>IF(('Activity data'!AN11*EF!$H24)*kgtoGg=0,"NO",('Activity data'!AN11*EF!$H24)*kgtoGg)</f>
        <v>3.6902440208564632E-2</v>
      </c>
      <c r="AO24" s="27">
        <f>IF(('Activity data'!AO11*EF!$H24)*kgtoGg=0,"NO",('Activity data'!AO11*EF!$H24)*kgtoGg)</f>
        <v>3.697347207185564E-2</v>
      </c>
      <c r="AP24" s="27">
        <f>IF(('Activity data'!AP11*EF!$H24)*kgtoGg=0,"NO",('Activity data'!AP11*EF!$H24)*kgtoGg)</f>
        <v>3.7053220502968609E-2</v>
      </c>
      <c r="AQ24" s="27">
        <f>IF(('Activity data'!AQ11*EF!$H24)*kgtoGg=0,"NO",('Activity data'!AQ11*EF!$H24)*kgtoGg)</f>
        <v>3.714146236421613E-2</v>
      </c>
      <c r="AR24" s="27">
        <f>IF(('Activity data'!AR11*EF!$H24)*kgtoGg=0,"NO",('Activity data'!AR11*EF!$H24)*kgtoGg)</f>
        <v>3.7196571628197998E-2</v>
      </c>
      <c r="AS24" s="27">
        <f>IF(('Activity data'!AS11*EF!$H24)*kgtoGg=0,"NO",('Activity data'!AS11*EF!$H24)*kgtoGg)</f>
        <v>3.7258831126487216E-2</v>
      </c>
      <c r="AT24" s="27">
        <f>IF(('Activity data'!AT11*EF!$H24)*kgtoGg=0,"NO",('Activity data'!AT11*EF!$H24)*kgtoGg)</f>
        <v>3.7327399595166219E-2</v>
      </c>
      <c r="AU24" s="27">
        <f>IF(('Activity data'!AU11*EF!$H24)*kgtoGg=0,"NO",('Activity data'!AU11*EF!$H24)*kgtoGg)</f>
        <v>3.7402465573387562E-2</v>
      </c>
      <c r="AV24" s="27">
        <f>IF(('Activity data'!AV11*EF!$H24)*kgtoGg=0,"NO",('Activity data'!AV11*EF!$H24)*kgtoGg)</f>
        <v>3.7483254267417832E-2</v>
      </c>
      <c r="AW24" s="27">
        <f>IF(('Activity data'!AW11*EF!$H24)*kgtoGg=0,"NO",('Activity data'!AW11*EF!$H24)*kgtoGg)</f>
        <v>3.7537448557312683E-2</v>
      </c>
      <c r="AX24" s="27">
        <f>IF(('Activity data'!AX11*EF!$H24)*kgtoGg=0,"NO",('Activity data'!AX11*EF!$H24)*kgtoGg)</f>
        <v>3.759628261627642E-2</v>
      </c>
      <c r="AY24" s="27">
        <f>IF(('Activity data'!AY11*EF!$H24)*kgtoGg=0,"NO",('Activity data'!AY11*EF!$H24)*kgtoGg)</f>
        <v>3.7660229373785575E-2</v>
      </c>
      <c r="AZ24" s="27">
        <f>IF(('Activity data'!AZ11*EF!$H24)*kgtoGg=0,"NO",('Activity data'!AZ11*EF!$H24)*kgtoGg)</f>
        <v>3.7729913053341259E-2</v>
      </c>
      <c r="BA24" s="27">
        <f>IF(('Activity data'!BA11*EF!$H24)*kgtoGg=0,"NO",('Activity data'!BA11*EF!$H24)*kgtoGg)</f>
        <v>3.7803241196451468E-2</v>
      </c>
      <c r="BB24" s="27">
        <f>IF(('Activity data'!BB11*EF!$H24)*kgtoGg=0,"NO",('Activity data'!BB11*EF!$H24)*kgtoGg)</f>
        <v>3.7850112312391396E-2</v>
      </c>
      <c r="BC24" s="27">
        <f>IF(('Activity data'!BC11*EF!$H24)*kgtoGg=0,"NO",('Activity data'!BC11*EF!$H24)*kgtoGg)</f>
        <v>3.7901451820370476E-2</v>
      </c>
      <c r="BD24" s="27">
        <f>IF(('Activity data'!BD11*EF!$H24)*kgtoGg=0,"NO",('Activity data'!BD11*EF!$H24)*kgtoGg)</f>
        <v>3.7955566436191537E-2</v>
      </c>
      <c r="BE24" s="27">
        <f>IF(('Activity data'!BE11*EF!$H24)*kgtoGg=0,"NO",('Activity data'!BE11*EF!$H24)*kgtoGg)</f>
        <v>3.8013032265109208E-2</v>
      </c>
      <c r="BF24" s="27">
        <f>IF(('Activity data'!BF11*EF!$H24)*kgtoGg=0,"NO",('Activity data'!BF11*EF!$H24)*kgtoGg)</f>
        <v>3.8073762176342195E-2</v>
      </c>
      <c r="BG24" s="27">
        <f>IF(('Activity data'!BG11*EF!$H24)*kgtoGg=0,"NO",('Activity data'!BG11*EF!$H24)*kgtoGg)</f>
        <v>3.8109645900532299E-2</v>
      </c>
      <c r="BH24" s="27">
        <f>IF(('Activity data'!BH11*EF!$H24)*kgtoGg=0,"NO",('Activity data'!BH11*EF!$H24)*kgtoGg)</f>
        <v>3.8147952211549679E-2</v>
      </c>
      <c r="BI24" s="27">
        <f>IF(('Activity data'!BI11*EF!$H24)*kgtoGg=0,"NO",('Activity data'!BI11*EF!$H24)*kgtoGg)</f>
        <v>3.8189503844275732E-2</v>
      </c>
      <c r="BJ24" s="27">
        <f>IF(('Activity data'!BJ11*EF!$H24)*kgtoGg=0,"NO",('Activity data'!BJ11*EF!$H24)*kgtoGg)</f>
        <v>3.8234260627096527E-2</v>
      </c>
      <c r="BK24" s="27">
        <f>IF(('Activity data'!BK11*EF!$H24)*kgtoGg=0,"NO",('Activity data'!BK11*EF!$H24)*kgtoGg)</f>
        <v>3.8282221632507191E-2</v>
      </c>
      <c r="BL24" s="27">
        <f>IF(('Activity data'!BL11*EF!$H24)*kgtoGg=0,"NO",('Activity data'!BL11*EF!$H24)*kgtoGg)</f>
        <v>3.8303980390956796E-2</v>
      </c>
      <c r="BM24" s="27">
        <f>IF(('Activity data'!BM11*EF!$H24)*kgtoGg=0,"NO",('Activity data'!BM11*EF!$H24)*kgtoGg)</f>
        <v>3.8318002472277804E-2</v>
      </c>
      <c r="BN24" s="27">
        <f>IF(('Activity data'!BN11*EF!$H24)*kgtoGg=0,"NO",('Activity data'!BN11*EF!$H24)*kgtoGg)</f>
        <v>3.8333373323501507E-2</v>
      </c>
      <c r="BO24" s="27">
        <f>IF(('Activity data'!BO11*EF!$H24)*kgtoGg=0,"NO",('Activity data'!BO11*EF!$H24)*kgtoGg)</f>
        <v>3.8349609063517129E-2</v>
      </c>
      <c r="BP24" s="27">
        <f>IF(('Activity data'!BP11*EF!$H24)*kgtoGg=0,"NO",('Activity data'!BP11*EF!$H24)*kgtoGg)</f>
        <v>3.8367594097231859E-2</v>
      </c>
    </row>
    <row r="25" spans="1:68" x14ac:dyDescent="0.3">
      <c r="A25" t="str">
        <f t="shared" si="1"/>
        <v>3A Livestock</v>
      </c>
      <c r="B25" t="str">
        <f t="shared" si="8"/>
        <v>3A2 Manure management (CH4)</v>
      </c>
      <c r="C25" t="str">
        <f>EF!C25</f>
        <v>3A1c Sheep</v>
      </c>
      <c r="D25" t="str">
        <f>EF!D25</f>
        <v>Subsistence</v>
      </c>
      <c r="E25" t="str">
        <f t="shared" si="9"/>
        <v>Manure management Emissions</v>
      </c>
      <c r="F25" t="str">
        <f t="shared" si="6"/>
        <v>CH4</v>
      </c>
      <c r="G25" t="str">
        <f t="shared" si="7"/>
        <v>Gg CH4</v>
      </c>
      <c r="H25" s="27">
        <f>IF(('Activity data'!H12*EF!$H25)*kgtoGg=0,"NO",('Activity data'!H12*EF!$H25)*kgtoGg)</f>
        <v>6.0620252936525133E-3</v>
      </c>
      <c r="I25" s="27">
        <f>IF(('Activity data'!I12*EF!$H25)*kgtoGg=0,"NO",('Activity data'!I12*EF!$H25)*kgtoGg)</f>
        <v>5.7894474859923658E-3</v>
      </c>
      <c r="J25" s="27">
        <f>IF(('Activity data'!J12*EF!$H25)*kgtoGg=0,"NO",('Activity data'!J12*EF!$H25)*kgtoGg)</f>
        <v>5.550234172593288E-3</v>
      </c>
      <c r="K25" s="27">
        <f>IF(('Activity data'!K12*EF!$H25)*kgtoGg=0,"NO",('Activity data'!K12*EF!$H25)*kgtoGg)</f>
        <v>5.1907064707982266E-3</v>
      </c>
      <c r="L25" s="27">
        <f>IF(('Activity data'!L12*EF!$H25)*kgtoGg=0,"NO",('Activity data'!L12*EF!$H25)*kgtoGg)</f>
        <v>5.2273063099573412E-3</v>
      </c>
      <c r="M25" s="27">
        <f>IF(('Activity data'!M12*EF!$H25)*kgtoGg=0,"NO",('Activity data'!M12*EF!$H25)*kgtoGg)</f>
        <v>5.1524889591900904E-3</v>
      </c>
      <c r="N25" s="27">
        <f>IF(('Activity data'!N12*EF!$H25)*kgtoGg=0,"NO",('Activity data'!N12*EF!$H25)*kgtoGg)</f>
        <v>5.1696767289609452E-3</v>
      </c>
      <c r="O25" s="27">
        <f>IF(('Activity data'!O12*EF!$H25)*kgtoGg=0,"NO",('Activity data'!O12*EF!$H25)*kgtoGg)</f>
        <v>5.0572484937539399E-3</v>
      </c>
      <c r="P25" s="27">
        <f>IF(('Activity data'!P12*EF!$H25)*kgtoGg=0,"NO",('Activity data'!P12*EF!$H25)*kgtoGg)</f>
        <v>5.0712009186267681E-3</v>
      </c>
      <c r="Q25" s="27">
        <f>IF(('Activity data'!Q12*EF!$H25)*kgtoGg=0,"NO",('Activity data'!Q12*EF!$H25)*kgtoGg)</f>
        <v>4.9466401400521005E-3</v>
      </c>
      <c r="R25" s="27">
        <f>IF(('Activity data'!R12*EF!$H25)*kgtoGg=0,"NO",('Activity data'!R12*EF!$H25)*kgtoGg)</f>
        <v>4.7693027978281018E-3</v>
      </c>
      <c r="S25" s="27">
        <f>IF(('Activity data'!S12*EF!$H25)*kgtoGg=0,"NO",('Activity data'!S12*EF!$H25)*kgtoGg)</f>
        <v>4.6504038728250093E-3</v>
      </c>
      <c r="T25" s="27">
        <f>IF(('Activity data'!T12*EF!$H25)*kgtoGg=0,"NO",('Activity data'!T12*EF!$H25)*kgtoGg)</f>
        <v>4.5727555952719701E-3</v>
      </c>
      <c r="U25" s="27">
        <f>IF(('Activity data'!U12*EF!$H25)*kgtoGg=0,"NO",('Activity data'!U12*EF!$H25)*kgtoGg)</f>
        <v>4.588730110706059E-3</v>
      </c>
      <c r="V25" s="27">
        <f>IF(('Activity data'!V12*EF!$H25)*kgtoGg=0,"NO",('Activity data'!V12*EF!$H25)*kgtoGg)</f>
        <v>4.5070376520304645E-3</v>
      </c>
      <c r="W25" s="27">
        <f>IF(('Activity data'!W12*EF!$H25)*kgtoGg=0,"NO",('Activity data'!W12*EF!$H25)*kgtoGg)</f>
        <v>4.4963205720556969E-3</v>
      </c>
      <c r="X25" s="27">
        <f>IF(('Activity data'!X12*EF!$H25)*kgtoGg=0,"NO",('Activity data'!X12*EF!$H25)*kgtoGg)</f>
        <v>4.4374777367225341E-3</v>
      </c>
      <c r="Y25" s="27">
        <f>IF(('Activity data'!Y12*EF!$H25)*kgtoGg=0,"NO",('Activity data'!Y12*EF!$H25)*kgtoGg)</f>
        <v>4.4332313465438519E-3</v>
      </c>
      <c r="Z25" s="27">
        <f>IF(('Activity data'!Z12*EF!$H25)*kgtoGg=0,"NO",('Activity data'!Z12*EF!$H25)*kgtoGg)</f>
        <v>4.4475881895289192E-3</v>
      </c>
      <c r="AA25" s="27">
        <f>IF(('Activity data'!AA12*EF!$H25)*kgtoGg=0,"NO",('Activity data'!AA12*EF!$H25)*kgtoGg)</f>
        <v>4.4318158831509582E-3</v>
      </c>
      <c r="AB25" s="27">
        <f>IF(('Activity data'!AB12*EF!$H25)*kgtoGg=0,"NO",('Activity data'!AB12*EF!$H25)*kgtoGg)</f>
        <v>4.3460792433528102E-3</v>
      </c>
      <c r="AC25" s="27">
        <f>IF(('Activity data'!AC12*EF!$H25)*kgtoGg=0,"NO",('Activity data'!AC12*EF!$H25)*kgtoGg)</f>
        <v>4.3121081219233554E-3</v>
      </c>
      <c r="AD25" s="27">
        <f>IF(('Activity data'!AD12*EF!$H25)*kgtoGg=0,"NO",('Activity data'!AD12*EF!$H25)*kgtoGg)</f>
        <v>4.1176157807460215E-3</v>
      </c>
      <c r="AE25" s="27">
        <f>IF(('Activity data'!AE12*EF!$H25)*kgtoGg=0,"NO",('Activity data'!AE12*EF!$H25)*kgtoGg)</f>
        <v>4.1198421624963379E-3</v>
      </c>
      <c r="AF25" s="27">
        <f>IF(('Activity data'!AF12*EF!$H25)*kgtoGg=0,"NO",('Activity data'!AF12*EF!$H25)*kgtoGg)</f>
        <v>4.1251653577350569E-3</v>
      </c>
      <c r="AG25" s="27">
        <f>IF(('Activity data'!AG12*EF!$H25)*kgtoGg=0,"NO",('Activity data'!AG12*EF!$H25)*kgtoGg)</f>
        <v>4.1330144517851795E-3</v>
      </c>
      <c r="AH25" s="27">
        <f>IF(('Activity data'!AH12*EF!$H25)*kgtoGg=0,"NO",('Activity data'!AH12*EF!$H25)*kgtoGg)</f>
        <v>4.1433395660526989E-3</v>
      </c>
      <c r="AI25" s="27">
        <f>IF(('Activity data'!AI12*EF!$H25)*kgtoGg=0,"NO",('Activity data'!AI12*EF!$H25)*kgtoGg)</f>
        <v>4.1560316716037502E-3</v>
      </c>
      <c r="AJ25" s="27">
        <f>IF(('Activity data'!AJ12*EF!$H25)*kgtoGg=0,"NO",('Activity data'!AJ12*EF!$H25)*kgtoGg)</f>
        <v>4.1702866385608306E-3</v>
      </c>
      <c r="AK25" s="27">
        <f>IF(('Activity data'!AK12*EF!$H25)*kgtoGg=0,"NO",('Activity data'!AK12*EF!$H25)*kgtoGg)</f>
        <v>4.1860144702980757E-3</v>
      </c>
      <c r="AL25" s="27">
        <f>IF(('Activity data'!AL12*EF!$H25)*kgtoGg=0,"NO",('Activity data'!AL12*EF!$H25)*kgtoGg)</f>
        <v>4.2003967065168081E-3</v>
      </c>
      <c r="AM25" s="27">
        <f>IF(('Activity data'!AM12*EF!$H25)*kgtoGg=0,"NO",('Activity data'!AM12*EF!$H25)*kgtoGg)</f>
        <v>4.2067166092997236E-3</v>
      </c>
      <c r="AN25" s="27">
        <f>IF(('Activity data'!AN12*EF!$H25)*kgtoGg=0,"NO",('Activity data'!AN12*EF!$H25)*kgtoGg)</f>
        <v>4.2144345683164958E-3</v>
      </c>
      <c r="AO25" s="27">
        <f>IF(('Activity data'!AO12*EF!$H25)*kgtoGg=0,"NO",('Activity data'!AO12*EF!$H25)*kgtoGg)</f>
        <v>4.2225467456796619E-3</v>
      </c>
      <c r="AP25" s="27">
        <f>IF(('Activity data'!AP12*EF!$H25)*kgtoGg=0,"NO",('Activity data'!AP12*EF!$H25)*kgtoGg)</f>
        <v>4.2316543966358575E-3</v>
      </c>
      <c r="AQ25" s="27">
        <f>IF(('Activity data'!AQ12*EF!$H25)*kgtoGg=0,"NO",('Activity data'!AQ12*EF!$H25)*kgtoGg)</f>
        <v>4.2417320377975895E-3</v>
      </c>
      <c r="AR25" s="27">
        <f>IF(('Activity data'!AR12*EF!$H25)*kgtoGg=0,"NO",('Activity data'!AR12*EF!$H25)*kgtoGg)</f>
        <v>4.2480257784241436E-3</v>
      </c>
      <c r="AS25" s="27">
        <f>IF(('Activity data'!AS12*EF!$H25)*kgtoGg=0,"NO",('Activity data'!AS12*EF!$H25)*kgtoGg)</f>
        <v>4.2551361098903872E-3</v>
      </c>
      <c r="AT25" s="27">
        <f>IF(('Activity data'!AT12*EF!$H25)*kgtoGg=0,"NO",('Activity data'!AT12*EF!$H25)*kgtoGg)</f>
        <v>4.2629669558470248E-3</v>
      </c>
      <c r="AU25" s="27">
        <f>IF(('Activity data'!AU12*EF!$H25)*kgtoGg=0,"NO",('Activity data'!AU12*EF!$H25)*kgtoGg)</f>
        <v>4.2715398483639559E-3</v>
      </c>
      <c r="AV25" s="27">
        <f>IF(('Activity data'!AV12*EF!$H25)*kgtoGg=0,"NO",('Activity data'!AV12*EF!$H25)*kgtoGg)</f>
        <v>4.2807663023037507E-3</v>
      </c>
      <c r="AW25" s="27">
        <f>IF(('Activity data'!AW12*EF!$H25)*kgtoGg=0,"NO",('Activity data'!AW12*EF!$H25)*kgtoGg)</f>
        <v>4.2869555485283185E-3</v>
      </c>
      <c r="AX25" s="27">
        <f>IF(('Activity data'!AX12*EF!$H25)*kgtoGg=0,"NO",('Activity data'!AX12*EF!$H25)*kgtoGg)</f>
        <v>4.2936746784961411E-3</v>
      </c>
      <c r="AY25" s="27">
        <f>IF(('Activity data'!AY12*EF!$H25)*kgtoGg=0,"NO",('Activity data'!AY12*EF!$H25)*kgtoGg)</f>
        <v>4.3009777030076704E-3</v>
      </c>
      <c r="AZ25" s="27">
        <f>IF(('Activity data'!AZ12*EF!$H25)*kgtoGg=0,"NO",('Activity data'!AZ12*EF!$H25)*kgtoGg)</f>
        <v>4.3089359113621063E-3</v>
      </c>
      <c r="BA25" s="27">
        <f>IF(('Activity data'!BA12*EF!$H25)*kgtoGg=0,"NO",('Activity data'!BA12*EF!$H25)*kgtoGg)</f>
        <v>4.3173103348259087E-3</v>
      </c>
      <c r="BB25" s="27">
        <f>IF(('Activity data'!BB12*EF!$H25)*kgtoGg=0,"NO",('Activity data'!BB12*EF!$H25)*kgtoGg)</f>
        <v>4.3226632396787153E-3</v>
      </c>
      <c r="BC25" s="27">
        <f>IF(('Activity data'!BC12*EF!$H25)*kgtoGg=0,"NO",('Activity data'!BC12*EF!$H25)*kgtoGg)</f>
        <v>4.3285264562011056E-3</v>
      </c>
      <c r="BD25" s="27">
        <f>IF(('Activity data'!BD12*EF!$H25)*kgtoGg=0,"NO",('Activity data'!BD12*EF!$H25)*kgtoGg)</f>
        <v>4.3347066032666795E-3</v>
      </c>
      <c r="BE25" s="27">
        <f>IF(('Activity data'!BE12*EF!$H25)*kgtoGg=0,"NO",('Activity data'!BE12*EF!$H25)*kgtoGg)</f>
        <v>4.3412694748415342E-3</v>
      </c>
      <c r="BF25" s="27">
        <f>IF(('Activity data'!BF12*EF!$H25)*kgtoGg=0,"NO",('Activity data'!BF12*EF!$H25)*kgtoGg)</f>
        <v>4.3482051201751372E-3</v>
      </c>
      <c r="BG25" s="27">
        <f>IF(('Activity data'!BG12*EF!$H25)*kgtoGg=0,"NO",('Activity data'!BG12*EF!$H25)*kgtoGg)</f>
        <v>4.3523032125184075E-3</v>
      </c>
      <c r="BH25" s="27">
        <f>IF(('Activity data'!BH12*EF!$H25)*kgtoGg=0,"NO",('Activity data'!BH12*EF!$H25)*kgtoGg)</f>
        <v>4.3566779758246795E-3</v>
      </c>
      <c r="BI25" s="27">
        <f>IF(('Activity data'!BI12*EF!$H25)*kgtoGg=0,"NO",('Activity data'!BI12*EF!$H25)*kgtoGg)</f>
        <v>4.361423370338997E-3</v>
      </c>
      <c r="BJ25" s="27">
        <f>IF(('Activity data'!BJ12*EF!$H25)*kgtoGg=0,"NO",('Activity data'!BJ12*EF!$H25)*kgtoGg)</f>
        <v>4.3665348082715704E-3</v>
      </c>
      <c r="BK25" s="27">
        <f>IF(('Activity data'!BK12*EF!$H25)*kgtoGg=0,"NO",('Activity data'!BK12*EF!$H25)*kgtoGg)</f>
        <v>4.3720121836969238E-3</v>
      </c>
      <c r="BL25" s="27">
        <f>IF(('Activity data'!BL12*EF!$H25)*kgtoGg=0,"NO",('Activity data'!BL12*EF!$H25)*kgtoGg)</f>
        <v>4.3744971376255895E-3</v>
      </c>
      <c r="BM25" s="27">
        <f>IF(('Activity data'!BM12*EF!$H25)*kgtoGg=0,"NO",('Activity data'!BM12*EF!$H25)*kgtoGg)</f>
        <v>4.3760985261490854E-3</v>
      </c>
      <c r="BN25" s="27">
        <f>IF(('Activity data'!BN12*EF!$H25)*kgtoGg=0,"NO",('Activity data'!BN12*EF!$H25)*kgtoGg)</f>
        <v>4.3778539506244196E-3</v>
      </c>
      <c r="BO25" s="27">
        <f>IF(('Activity data'!BO12*EF!$H25)*kgtoGg=0,"NO",('Activity data'!BO12*EF!$H25)*kgtoGg)</f>
        <v>4.3797081495223055E-3</v>
      </c>
      <c r="BP25" s="27">
        <f>IF(('Activity data'!BP12*EF!$H25)*kgtoGg=0,"NO",('Activity data'!BP12*EF!$H25)*kgtoGg)</f>
        <v>4.381762126098687E-3</v>
      </c>
    </row>
    <row r="26" spans="1:68" x14ac:dyDescent="0.3">
      <c r="A26" t="str">
        <f t="shared" si="1"/>
        <v>3A Livestock</v>
      </c>
      <c r="B26" t="str">
        <f t="shared" si="8"/>
        <v>3A2 Manure management (CH4)</v>
      </c>
      <c r="C26" t="str">
        <f>EF!C26</f>
        <v>3A1d Goats</v>
      </c>
      <c r="D26" t="str">
        <f>EF!D26</f>
        <v>Commercial</v>
      </c>
      <c r="E26" t="str">
        <f t="shared" si="9"/>
        <v>Manure management Emissions</v>
      </c>
      <c r="F26" t="str">
        <f t="shared" si="6"/>
        <v>CH4</v>
      </c>
      <c r="G26" t="str">
        <f t="shared" si="7"/>
        <v>Gg CH4</v>
      </c>
      <c r="H26" s="27">
        <f>IF(('Activity data'!H13*EF!$H26)*kgtoGg=0,"NO",('Activity data'!H13*EF!$H26)*kgtoGg)</f>
        <v>2.1179239085185406E-2</v>
      </c>
      <c r="I26" s="27">
        <f>IF(('Activity data'!I13*EF!$H26)*kgtoGg=0,"NO",('Activity data'!I13*EF!$H26)*kgtoGg)</f>
        <v>1.872843312038926E-2</v>
      </c>
      <c r="J26" s="27">
        <f>IF(('Activity data'!J13*EF!$H26)*kgtoGg=0,"NO",('Activity data'!J13*EF!$H26)*kgtoGg)</f>
        <v>1.7445768316383788E-2</v>
      </c>
      <c r="K26" s="27">
        <f>IF(('Activity data'!K13*EF!$H26)*kgtoGg=0,"NO",('Activity data'!K13*EF!$H26)*kgtoGg)</f>
        <v>1.6483769713379698E-2</v>
      </c>
      <c r="L26" s="27">
        <f>IF(('Activity data'!L13*EF!$H26)*kgtoGg=0,"NO",('Activity data'!L13*EF!$H26)*kgtoGg)</f>
        <v>1.7842783612861672E-2</v>
      </c>
      <c r="M26" s="27">
        <f>IF(('Activity data'!M13*EF!$H26)*kgtoGg=0,"NO",('Activity data'!M13*EF!$H26)*kgtoGg)</f>
        <v>1.8087100718386526E-2</v>
      </c>
      <c r="N26" s="27">
        <f>IF(('Activity data'!N13*EF!$H26)*kgtoGg=0,"NO",('Activity data'!N13*EF!$H26)*kgtoGg)</f>
        <v>1.8369592371649628E-2</v>
      </c>
      <c r="O26" s="27">
        <f>IF(('Activity data'!O13*EF!$H26)*kgtoGg=0,"NO",('Activity data'!O13*EF!$H26)*kgtoGg)</f>
        <v>1.8277973457077813E-2</v>
      </c>
      <c r="P26" s="27">
        <f>IF(('Activity data'!P13*EF!$H26)*kgtoGg=0,"NO",('Activity data'!P13*EF!$H26)*kgtoGg)</f>
        <v>1.8018386532457662E-2</v>
      </c>
      <c r="Q26" s="27">
        <f>IF(('Activity data'!Q13*EF!$H26)*kgtoGg=0,"NO",('Activity data'!Q13*EF!$H26)*kgtoGg)</f>
        <v>1.775116469828986E-2</v>
      </c>
      <c r="R26" s="27">
        <f>IF(('Activity data'!R13*EF!$H26)*kgtoGg=0,"NO",('Activity data'!R13*EF!$H26)*kgtoGg)</f>
        <v>1.7980211984719403E-2</v>
      </c>
      <c r="S26" s="27">
        <f>IF(('Activity data'!S13*EF!$H26)*kgtoGg=0,"NO",('Activity data'!S13*EF!$H26)*kgtoGg)</f>
        <v>1.8529925472150318E-2</v>
      </c>
      <c r="T26" s="27">
        <f>IF(('Activity data'!T13*EF!$H26)*kgtoGg=0,"NO",('Activity data'!T13*EF!$H26)*kgtoGg)</f>
        <v>1.6918959557595842E-2</v>
      </c>
      <c r="U26" s="27">
        <f>IF(('Activity data'!U13*EF!$H26)*kgtoGg=0,"NO",('Activity data'!U13*EF!$H26)*kgtoGg)</f>
        <v>1.649140462292735E-2</v>
      </c>
      <c r="V26" s="27">
        <f>IF(('Activity data'!V13*EF!$H26)*kgtoGg=0,"NO",('Activity data'!V13*EF!$H26)*kgtoGg)</f>
        <v>1.6521944261117961E-2</v>
      </c>
      <c r="W26" s="27">
        <f>IF(('Activity data'!W13*EF!$H26)*kgtoGg=0,"NO",('Activity data'!W13*EF!$H26)*kgtoGg)</f>
        <v>1.6308166793783711E-2</v>
      </c>
      <c r="X26" s="27">
        <f>IF(('Activity data'!X13*EF!$H26)*kgtoGg=0,"NO",('Activity data'!X13*EF!$H26)*kgtoGg)</f>
        <v>1.6651737723428033E-2</v>
      </c>
      <c r="Y26" s="27">
        <f>IF(('Activity data'!Y13*EF!$H26)*kgtoGg=0,"NO",('Activity data'!Y13*EF!$H26)*kgtoGg)</f>
        <v>1.615546860283068E-2</v>
      </c>
      <c r="Z26" s="27">
        <f>IF(('Activity data'!Z13*EF!$H26)*kgtoGg=0,"NO",('Activity data'!Z13*EF!$H26)*kgtoGg)</f>
        <v>1.6140198783735384E-2</v>
      </c>
      <c r="AA26" s="27">
        <f>IF(('Activity data'!AA13*EF!$H26)*kgtoGg=0,"NO",('Activity data'!AA13*EF!$H26)*kgtoGg)</f>
        <v>1.5857707130472271E-2</v>
      </c>
      <c r="AB26" s="27">
        <f>IF(('Activity data'!AB13*EF!$H26)*kgtoGg=0,"NO",('Activity data'!AB13*EF!$H26)*kgtoGg)</f>
        <v>1.5666834391780984E-2</v>
      </c>
      <c r="AC26" s="27">
        <f>IF(('Activity data'!AC13*EF!$H26)*kgtoGg=0,"NO",('Activity data'!AC13*EF!$H26)*kgtoGg)</f>
        <v>1.5521771110375606E-2</v>
      </c>
      <c r="AD26" s="27">
        <f>IF(('Activity data'!AD13*EF!$H26)*kgtoGg=0,"NO",('Activity data'!AD13*EF!$H26)*kgtoGg)</f>
        <v>1.5789672763163301E-2</v>
      </c>
      <c r="AE26" s="27">
        <f>IF(('Activity data'!AE13*EF!$H26)*kgtoGg=0,"NO",('Activity data'!AE13*EF!$H26)*kgtoGg)</f>
        <v>1.5830718290757027E-2</v>
      </c>
      <c r="AF26" s="27">
        <f>IF(('Activity data'!AF13*EF!$H26)*kgtoGg=0,"NO",('Activity data'!AF13*EF!$H26)*kgtoGg)</f>
        <v>1.588733914557475E-2</v>
      </c>
      <c r="AG26" s="27">
        <f>IF(('Activity data'!AG13*EF!$H26)*kgtoGg=0,"NO",('Activity data'!AG13*EF!$H26)*kgtoGg)</f>
        <v>1.5956318300360577E-2</v>
      </c>
      <c r="AH26" s="27">
        <f>IF(('Activity data'!AH13*EF!$H26)*kgtoGg=0,"NO",('Activity data'!AH13*EF!$H26)*kgtoGg)</f>
        <v>1.6037557372574476E-2</v>
      </c>
      <c r="AI26" s="27">
        <f>IF(('Activity data'!AI13*EF!$H26)*kgtoGg=0,"NO",('Activity data'!AI13*EF!$H26)*kgtoGg)</f>
        <v>1.6130561898613765E-2</v>
      </c>
      <c r="AJ26" s="27">
        <f>IF(('Activity data'!AJ13*EF!$H26)*kgtoGg=0,"NO",('Activity data'!AJ13*EF!$H26)*kgtoGg)</f>
        <v>1.6230654784419023E-2</v>
      </c>
      <c r="AK26" s="27">
        <f>IF(('Activity data'!AK13*EF!$H26)*kgtoGg=0,"NO",('Activity data'!AK13*EF!$H26)*kgtoGg)</f>
        <v>1.6337439810579345E-2</v>
      </c>
      <c r="AL26" s="27">
        <f>IF(('Activity data'!AL13*EF!$H26)*kgtoGg=0,"NO",('Activity data'!AL13*EF!$H26)*kgtoGg)</f>
        <v>1.6434281735880792E-2</v>
      </c>
      <c r="AM26" s="27">
        <f>IF(('Activity data'!AM13*EF!$H26)*kgtoGg=0,"NO",('Activity data'!AM13*EF!$H26)*kgtoGg)</f>
        <v>1.6481585221637597E-2</v>
      </c>
      <c r="AN26" s="27">
        <f>IF(('Activity data'!AN13*EF!$H26)*kgtoGg=0,"NO",('Activity data'!AN13*EF!$H26)*kgtoGg)</f>
        <v>1.6535805571967339E-2</v>
      </c>
      <c r="AO26" s="27">
        <f>IF(('Activity data'!AO13*EF!$H26)*kgtoGg=0,"NO",('Activity data'!AO13*EF!$H26)*kgtoGg)</f>
        <v>1.6591075188605784E-2</v>
      </c>
      <c r="AP26" s="27">
        <f>IF(('Activity data'!AP13*EF!$H26)*kgtoGg=0,"NO",('Activity data'!AP13*EF!$H26)*kgtoGg)</f>
        <v>1.6651019239861981E-2</v>
      </c>
      <c r="AQ26" s="27">
        <f>IF(('Activity data'!AQ13*EF!$H26)*kgtoGg=0,"NO",('Activity data'!AQ13*EF!$H26)*kgtoGg)</f>
        <v>1.6715538656301921E-2</v>
      </c>
      <c r="AR26" s="27">
        <f>IF(('Activity data'!AR13*EF!$H26)*kgtoGg=0,"NO",('Activity data'!AR13*EF!$H26)*kgtoGg)</f>
        <v>1.675682826181454E-2</v>
      </c>
      <c r="AS26" s="27">
        <f>IF(('Activity data'!AS13*EF!$H26)*kgtoGg=0,"NO",('Activity data'!AS13*EF!$H26)*kgtoGg)</f>
        <v>1.6802001380323034E-2</v>
      </c>
      <c r="AT26" s="27">
        <f>IF(('Activity data'!AT13*EF!$H26)*kgtoGg=0,"NO",('Activity data'!AT13*EF!$H26)*kgtoGg)</f>
        <v>1.6850529656754189E-2</v>
      </c>
      <c r="AU26" s="27">
        <f>IF(('Activity data'!AU13*EF!$H26)*kgtoGg=0,"NO",('Activity data'!AU13*EF!$H26)*kgtoGg)</f>
        <v>1.6902568919116488E-2</v>
      </c>
      <c r="AV26" s="27">
        <f>IF(('Activity data'!AV13*EF!$H26)*kgtoGg=0,"NO",('Activity data'!AV13*EF!$H26)*kgtoGg)</f>
        <v>1.6957630528557751E-2</v>
      </c>
      <c r="AW26" s="27">
        <f>IF(('Activity data'!AW13*EF!$H26)*kgtoGg=0,"NO",('Activity data'!AW13*EF!$H26)*kgtoGg)</f>
        <v>1.6994350372716287E-2</v>
      </c>
      <c r="AX26" s="27">
        <f>IF(('Activity data'!AX13*EF!$H26)*kgtoGg=0,"NO",('Activity data'!AX13*EF!$H26)*kgtoGg)</f>
        <v>1.7033509901620177E-2</v>
      </c>
      <c r="AY26" s="27">
        <f>IF(('Activity data'!AY13*EF!$H26)*kgtoGg=0,"NO",('Activity data'!AY13*EF!$H26)*kgtoGg)</f>
        <v>1.7075440579577206E-2</v>
      </c>
      <c r="AZ26" s="27">
        <f>IF(('Activity data'!AZ13*EF!$H26)*kgtoGg=0,"NO",('Activity data'!AZ13*EF!$H26)*kgtoGg)</f>
        <v>1.7120568284346587E-2</v>
      </c>
      <c r="BA26" s="27">
        <f>IF(('Activity data'!BA13*EF!$H26)*kgtoGg=0,"NO",('Activity data'!BA13*EF!$H26)*kgtoGg)</f>
        <v>1.7167529660259997E-2</v>
      </c>
      <c r="BB26" s="27">
        <f>IF(('Activity data'!BB13*EF!$H26)*kgtoGg=0,"NO",('Activity data'!BB13*EF!$H26)*kgtoGg)</f>
        <v>1.7196614048621731E-2</v>
      </c>
      <c r="BC26" s="27">
        <f>IF(('Activity data'!BC13*EF!$H26)*kgtoGg=0,"NO",('Activity data'!BC13*EF!$H26)*kgtoGg)</f>
        <v>1.7228175905563897E-2</v>
      </c>
      <c r="BD26" s="27">
        <f>IF(('Activity data'!BD13*EF!$H26)*kgtoGg=0,"NO",('Activity data'!BD13*EF!$H26)*kgtoGg)</f>
        <v>1.7261117551388462E-2</v>
      </c>
      <c r="BE26" s="27">
        <f>IF(('Activity data'!BE13*EF!$H26)*kgtoGg=0,"NO",('Activity data'!BE13*EF!$H26)*kgtoGg)</f>
        <v>1.7295827028863175E-2</v>
      </c>
      <c r="BF26" s="27">
        <f>IF(('Activity data'!BF13*EF!$H26)*kgtoGg=0,"NO",('Activity data'!BF13*EF!$H26)*kgtoGg)</f>
        <v>1.7332256815907665E-2</v>
      </c>
      <c r="BG26" s="27">
        <f>IF(('Activity data'!BG13*EF!$H26)*kgtoGg=0,"NO",('Activity data'!BG13*EF!$H26)*kgtoGg)</f>
        <v>1.7352159823168515E-2</v>
      </c>
      <c r="BH26" s="27">
        <f>IF(('Activity data'!BH13*EF!$H26)*kgtoGg=0,"NO",('Activity data'!BH13*EF!$H26)*kgtoGg)</f>
        <v>1.7373316667964631E-2</v>
      </c>
      <c r="BI26" s="27">
        <f>IF(('Activity data'!BI13*EF!$H26)*kgtoGg=0,"NO",('Activity data'!BI13*EF!$H26)*kgtoGg)</f>
        <v>1.7396267425724934E-2</v>
      </c>
      <c r="BJ26" s="27">
        <f>IF(('Activity data'!BJ13*EF!$H26)*kgtoGg=0,"NO",('Activity data'!BJ13*EF!$H26)*kgtoGg)</f>
        <v>1.7420990177436466E-2</v>
      </c>
      <c r="BK26" s="27">
        <f>IF(('Activity data'!BK13*EF!$H26)*kgtoGg=0,"NO",('Activity data'!BK13*EF!$H26)*kgtoGg)</f>
        <v>1.7447487775150525E-2</v>
      </c>
      <c r="BL26" s="27">
        <f>IF(('Activity data'!BL13*EF!$H26)*kgtoGg=0,"NO",('Activity data'!BL13*EF!$H26)*kgtoGg)</f>
        <v>1.7456827369575736E-2</v>
      </c>
      <c r="BM26" s="27">
        <f>IF(('Activity data'!BM13*EF!$H26)*kgtoGg=0,"NO",('Activity data'!BM13*EF!$H26)*kgtoGg)</f>
        <v>1.746097508558354E-2</v>
      </c>
      <c r="BN26" s="27">
        <f>IF(('Activity data'!BN13*EF!$H26)*kgtoGg=0,"NO",('Activity data'!BN13*EF!$H26)*kgtoGg)</f>
        <v>1.746579683409127E-2</v>
      </c>
      <c r="BO26" s="27">
        <f>IF(('Activity data'!BO13*EF!$H26)*kgtoGg=0,"NO",('Activity data'!BO13*EF!$H26)*kgtoGg)</f>
        <v>1.7470987825332424E-2</v>
      </c>
      <c r="BP26" s="27">
        <f>IF(('Activity data'!BP13*EF!$H26)*kgtoGg=0,"NO",('Activity data'!BP13*EF!$H26)*kgtoGg)</f>
        <v>1.7477120152816387E-2</v>
      </c>
    </row>
    <row r="27" spans="1:68" x14ac:dyDescent="0.3">
      <c r="A27" t="str">
        <f t="shared" si="1"/>
        <v>3A Livestock</v>
      </c>
      <c r="B27" t="str">
        <f t="shared" si="8"/>
        <v>3A2 Manure management (CH4)</v>
      </c>
      <c r="C27" t="str">
        <f>EF!C27</f>
        <v>3A1d Goats</v>
      </c>
      <c r="D27" t="str">
        <f>EF!D27</f>
        <v>Subsistence</v>
      </c>
      <c r="E27" t="str">
        <f t="shared" si="9"/>
        <v>Manure management Emissions</v>
      </c>
      <c r="F27" t="str">
        <f t="shared" si="6"/>
        <v>CH4</v>
      </c>
      <c r="G27" t="str">
        <f t="shared" si="7"/>
        <v>Gg CH4</v>
      </c>
      <c r="H27" s="27">
        <f>IF(('Activity data'!H14*EF!$H27)*kgtoGg=0,"NO",('Activity data'!H14*EF!$H27)*kgtoGg)</f>
        <v>3.6294783257415232E-2</v>
      </c>
      <c r="I27" s="27">
        <f>IF(('Activity data'!I14*EF!$H27)*kgtoGg=0,"NO",('Activity data'!I14*EF!$H27)*kgtoGg)</f>
        <v>3.2094846189776344E-2</v>
      </c>
      <c r="J27" s="27">
        <f>IF(('Activity data'!J14*EF!$H27)*kgtoGg=0,"NO",('Activity data'!J14*EF!$H27)*kgtoGg)</f>
        <v>2.989674828521768E-2</v>
      </c>
      <c r="K27" s="27">
        <f>IF(('Activity data'!K14*EF!$H27)*kgtoGg=0,"NO",('Activity data'!K14*EF!$H27)*kgtoGg)</f>
        <v>2.8248174856798671E-2</v>
      </c>
      <c r="L27" s="27">
        <f>IF(('Activity data'!L14*EF!$H27)*kgtoGg=0,"NO",('Activity data'!L14*EF!$H27)*kgtoGg)</f>
        <v>3.0577111922342977E-2</v>
      </c>
      <c r="M27" s="27">
        <f>IF(('Activity data'!M14*EF!$H27)*kgtoGg=0,"NO",('Activity data'!M14*EF!$H27)*kgtoGg)</f>
        <v>3.099579723749701E-2</v>
      </c>
      <c r="N27" s="27">
        <f>IF(('Activity data'!N14*EF!$H27)*kgtoGg=0,"NO",('Activity data'!N14*EF!$H27)*kgtoGg)</f>
        <v>3.1479902133143861E-2</v>
      </c>
      <c r="O27" s="27">
        <f>IF(('Activity data'!O14*EF!$H27)*kgtoGg=0,"NO",('Activity data'!O14*EF!$H27)*kgtoGg)</f>
        <v>3.1322895139961102E-2</v>
      </c>
      <c r="P27" s="27">
        <f>IF(('Activity data'!P14*EF!$H27)*kgtoGg=0,"NO",('Activity data'!P14*EF!$H27)*kgtoGg)</f>
        <v>3.0878041992609937E-2</v>
      </c>
      <c r="Q27" s="27">
        <f>IF(('Activity data'!Q14*EF!$H27)*kgtoGg=0,"NO",('Activity data'!Q14*EF!$H27)*kgtoGg)</f>
        <v>3.0420104929160217E-2</v>
      </c>
      <c r="R27" s="27">
        <f>IF(('Activity data'!R14*EF!$H27)*kgtoGg=0,"NO",('Activity data'!R14*EF!$H27)*kgtoGg)</f>
        <v>3.081262241211712E-2</v>
      </c>
      <c r="S27" s="27">
        <f>IF(('Activity data'!S14*EF!$H27)*kgtoGg=0,"NO",('Activity data'!S14*EF!$H27)*kgtoGg)</f>
        <v>3.1754664371213694E-2</v>
      </c>
      <c r="T27" s="27">
        <f>IF(('Activity data'!T14*EF!$H27)*kgtoGg=0,"NO",('Activity data'!T14*EF!$H27)*kgtoGg)</f>
        <v>2.8993958074416789E-2</v>
      </c>
      <c r="U27" s="27">
        <f>IF(('Activity data'!U14*EF!$H27)*kgtoGg=0,"NO",('Activity data'!U14*EF!$H27)*kgtoGg)</f>
        <v>2.8261258772897233E-2</v>
      </c>
      <c r="V27" s="27">
        <f>IF(('Activity data'!V14*EF!$H27)*kgtoGg=0,"NO",('Activity data'!V14*EF!$H27)*kgtoGg)</f>
        <v>2.8313594437291489E-2</v>
      </c>
      <c r="W27" s="27">
        <f>IF(('Activity data'!W14*EF!$H27)*kgtoGg=0,"NO",('Activity data'!W14*EF!$H27)*kgtoGg)</f>
        <v>2.7947244786531707E-2</v>
      </c>
      <c r="X27" s="27">
        <f>IF(('Activity data'!X14*EF!$H27)*kgtoGg=0,"NO",('Activity data'!X14*EF!$H27)*kgtoGg)</f>
        <v>2.8536021010967069E-2</v>
      </c>
      <c r="Y27" s="27">
        <f>IF(('Activity data'!Y14*EF!$H27)*kgtoGg=0,"NO",('Activity data'!Y14*EF!$H27)*kgtoGg)</f>
        <v>2.7685566464560437E-2</v>
      </c>
      <c r="Z27" s="27">
        <f>IF(('Activity data'!Z14*EF!$H27)*kgtoGg=0,"NO",('Activity data'!Z14*EF!$H27)*kgtoGg)</f>
        <v>2.7659398632363309E-2</v>
      </c>
      <c r="AA27" s="27">
        <f>IF(('Activity data'!AA14*EF!$H27)*kgtoGg=0,"NO",('Activity data'!AA14*EF!$H27)*kgtoGg)</f>
        <v>2.7175293736716462E-2</v>
      </c>
      <c r="AB27" s="27">
        <f>IF(('Activity data'!AB14*EF!$H27)*kgtoGg=0,"NO",('Activity data'!AB14*EF!$H27)*kgtoGg)</f>
        <v>2.684819583425237E-2</v>
      </c>
      <c r="AC27" s="27">
        <f>IF(('Activity data'!AC14*EF!$H27)*kgtoGg=0,"NO",('Activity data'!AC14*EF!$H27)*kgtoGg)</f>
        <v>2.6599601428379662E-2</v>
      </c>
      <c r="AD27" s="27">
        <f>IF(('Activity data'!AD14*EF!$H27)*kgtoGg=0,"NO",('Activity data'!AD14*EF!$H27)*kgtoGg)</f>
        <v>2.6592218800664803E-2</v>
      </c>
      <c r="AE27" s="27">
        <f>IF(('Activity data'!AE14*EF!$H27)*kgtoGg=0,"NO",('Activity data'!AE14*EF!$H27)*kgtoGg)</f>
        <v>2.6661345733624896E-2</v>
      </c>
      <c r="AF27" s="27">
        <f>IF(('Activity data'!AF14*EF!$H27)*kgtoGg=0,"NO",('Activity data'!AF14*EF!$H27)*kgtoGg)</f>
        <v>2.6756703894783639E-2</v>
      </c>
      <c r="AG27" s="27">
        <f>IF(('Activity data'!AG14*EF!$H27)*kgtoGg=0,"NO",('Activity data'!AG14*EF!$H27)*kgtoGg)</f>
        <v>2.6872875319249704E-2</v>
      </c>
      <c r="AH27" s="27">
        <f>IF(('Activity data'!AH14*EF!$H27)*kgtoGg=0,"NO",('Activity data'!AH14*EF!$H27)*kgtoGg)</f>
        <v>2.7009694315810229E-2</v>
      </c>
      <c r="AI27" s="27">
        <f>IF(('Activity data'!AI14*EF!$H27)*kgtoGg=0,"NO",('Activity data'!AI14*EF!$H27)*kgtoGg)</f>
        <v>2.7166328132291764E-2</v>
      </c>
      <c r="AJ27" s="27">
        <f>IF(('Activity data'!AJ14*EF!$H27)*kgtoGg=0,"NO",('Activity data'!AJ14*EF!$H27)*kgtoGg)</f>
        <v>2.7334899828466052E-2</v>
      </c>
      <c r="AK27" s="27">
        <f>IF(('Activity data'!AK14*EF!$H27)*kgtoGg=0,"NO",('Activity data'!AK14*EF!$H27)*kgtoGg)</f>
        <v>2.7514742110372921E-2</v>
      </c>
      <c r="AL27" s="27">
        <f>IF(('Activity data'!AL14*EF!$H27)*kgtoGg=0,"NO",('Activity data'!AL14*EF!$H27)*kgtoGg)</f>
        <v>2.7677838692887386E-2</v>
      </c>
      <c r="AM27" s="27">
        <f>IF(('Activity data'!AM14*EF!$H27)*kgtoGg=0,"NO",('Activity data'!AM14*EF!$H27)*kgtoGg)</f>
        <v>2.7757504982502564E-2</v>
      </c>
      <c r="AN27" s="27">
        <f>IF(('Activity data'!AN14*EF!$H27)*kgtoGg=0,"NO",('Activity data'!AN14*EF!$H27)*kgtoGg)</f>
        <v>2.7848820327731318E-2</v>
      </c>
      <c r="AO27" s="27">
        <f>IF(('Activity data'!AO14*EF!$H27)*kgtoGg=0,"NO",('Activity data'!AO14*EF!$H27)*kgtoGg)</f>
        <v>2.7941902797566111E-2</v>
      </c>
      <c r="AP27" s="27">
        <f>IF(('Activity data'!AP14*EF!$H27)*kgtoGg=0,"NO",('Activity data'!AP14*EF!$H27)*kgtoGg)</f>
        <v>2.804285772872351E-2</v>
      </c>
      <c r="AQ27" s="27">
        <f>IF(('Activity data'!AQ14*EF!$H27)*kgtoGg=0,"NO",('Activity data'!AQ14*EF!$H27)*kgtoGg)</f>
        <v>2.8151518273156369E-2</v>
      </c>
      <c r="AR27" s="27">
        <f>IF(('Activity data'!AR14*EF!$H27)*kgtoGg=0,"NO",('Activity data'!AR14*EF!$H27)*kgtoGg)</f>
        <v>2.82210562705838E-2</v>
      </c>
      <c r="AS27" s="27">
        <f>IF(('Activity data'!AS14*EF!$H27)*kgtoGg=0,"NO",('Activity data'!AS14*EF!$H27)*kgtoGg)</f>
        <v>2.8297134696609751E-2</v>
      </c>
      <c r="AT27" s="27">
        <f>IF(('Activity data'!AT14*EF!$H27)*kgtoGg=0,"NO",('Activity data'!AT14*EF!$H27)*kgtoGg)</f>
        <v>2.8378863720651775E-2</v>
      </c>
      <c r="AU27" s="27">
        <f>IF(('Activity data'!AU14*EF!$H27)*kgtoGg=0,"NO",('Activity data'!AU14*EF!$H27)*kgtoGg)</f>
        <v>2.8466505780859123E-2</v>
      </c>
      <c r="AV27" s="27">
        <f>IF(('Activity data'!AV14*EF!$H27)*kgtoGg=0,"NO",('Activity data'!AV14*EF!$H27)*kgtoGg)</f>
        <v>2.8559237934827175E-2</v>
      </c>
      <c r="AW27" s="27">
        <f>IF(('Activity data'!AW14*EF!$H27)*kgtoGg=0,"NO",('Activity data'!AW14*EF!$H27)*kgtoGg)</f>
        <v>2.8621079756683557E-2</v>
      </c>
      <c r="AX27" s="27">
        <f>IF(('Activity data'!AX14*EF!$H27)*kgtoGg=0,"NO",('Activity data'!AX14*EF!$H27)*kgtoGg)</f>
        <v>2.8687030380003167E-2</v>
      </c>
      <c r="AY27" s="27">
        <f>IF(('Activity data'!AY14*EF!$H27)*kgtoGg=0,"NO",('Activity data'!AY14*EF!$H27)*kgtoGg)</f>
        <v>2.8757648041269384E-2</v>
      </c>
      <c r="AZ27" s="27">
        <f>IF(('Activity data'!AZ14*EF!$H27)*kgtoGg=0,"NO",('Activity data'!AZ14*EF!$H27)*kgtoGg)</f>
        <v>2.8833649983627477E-2</v>
      </c>
      <c r="BA27" s="27">
        <f>IF(('Activity data'!BA14*EF!$H27)*kgtoGg=0,"NO",('Activity data'!BA14*EF!$H27)*kgtoGg)</f>
        <v>2.8912740108052549E-2</v>
      </c>
      <c r="BB27" s="27">
        <f>IF(('Activity data'!BB14*EF!$H27)*kgtoGg=0,"NO",('Activity data'!BB14*EF!$H27)*kgtoGg)</f>
        <v>2.8961722657000817E-2</v>
      </c>
      <c r="BC27" s="27">
        <f>IF(('Activity data'!BC14*EF!$H27)*kgtoGg=0,"NO",('Activity data'!BC14*EF!$H27)*kgtoGg)</f>
        <v>2.9014877641157257E-2</v>
      </c>
      <c r="BD27" s="27">
        <f>IF(('Activity data'!BD14*EF!$H27)*kgtoGg=0,"NO",('Activity data'!BD14*EF!$H27)*kgtoGg)</f>
        <v>2.9070356400379201E-2</v>
      </c>
      <c r="BE27" s="27">
        <f>IF(('Activity data'!BE14*EF!$H27)*kgtoGg=0,"NO",('Activity data'!BE14*EF!$H27)*kgtoGg)</f>
        <v>2.9128812457911796E-2</v>
      </c>
      <c r="BF27" s="27">
        <f>IF(('Activity data'!BF14*EF!$H27)*kgtoGg=0,"NO",('Activity data'!BF14*EF!$H27)*kgtoGg)</f>
        <v>2.9190165779318728E-2</v>
      </c>
      <c r="BG27" s="27">
        <f>IF(('Activity data'!BG14*EF!$H27)*kgtoGg=0,"NO",('Activity data'!BG14*EF!$H27)*kgtoGg)</f>
        <v>2.9223685481203028E-2</v>
      </c>
      <c r="BH27" s="27">
        <f>IF(('Activity data'!BH14*EF!$H27)*kgtoGg=0,"NO",('Activity data'!BH14*EF!$H27)*kgtoGg)</f>
        <v>2.9259316836861168E-2</v>
      </c>
      <c r="BI27" s="27">
        <f>IF(('Activity data'!BI14*EF!$H27)*kgtoGg=0,"NO",('Activity data'!BI14*EF!$H27)*kgtoGg)</f>
        <v>2.9297969415743415E-2</v>
      </c>
      <c r="BJ27" s="27">
        <f>IF(('Activity data'!BJ14*EF!$H27)*kgtoGg=0,"NO",('Activity data'!BJ14*EF!$H27)*kgtoGg)</f>
        <v>2.9339606302886588E-2</v>
      </c>
      <c r="BK27" s="27">
        <f>IF(('Activity data'!BK14*EF!$H27)*kgtoGg=0,"NO",('Activity data'!BK14*EF!$H27)*kgtoGg)</f>
        <v>2.9384232301580378E-2</v>
      </c>
      <c r="BL27" s="27">
        <f>IF(('Activity data'!BL14*EF!$H27)*kgtoGg=0,"NO",('Activity data'!BL14*EF!$H27)*kgtoGg)</f>
        <v>2.939996160402952E-2</v>
      </c>
      <c r="BM27" s="27">
        <f>IF(('Activity data'!BM14*EF!$H27)*kgtoGg=0,"NO",('Activity data'!BM14*EF!$H27)*kgtoGg)</f>
        <v>2.9406946990823593E-2</v>
      </c>
      <c r="BN27" s="27">
        <f>IF(('Activity data'!BN14*EF!$H27)*kgtoGg=0,"NO",('Activity data'!BN14*EF!$H27)*kgtoGg)</f>
        <v>2.9415067551220409E-2</v>
      </c>
      <c r="BO27" s="27">
        <f>IF(('Activity data'!BO14*EF!$H27)*kgtoGg=0,"NO",('Activity data'!BO14*EF!$H27)*kgtoGg)</f>
        <v>2.9423809972735263E-2</v>
      </c>
      <c r="BP27" s="27">
        <f>IF(('Activity data'!BP14*EF!$H27)*kgtoGg=0,"NO",('Activity data'!BP14*EF!$H27)*kgtoGg)</f>
        <v>2.9434137748152581E-2</v>
      </c>
    </row>
    <row r="28" spans="1:68" x14ac:dyDescent="0.3">
      <c r="A28" t="str">
        <f t="shared" si="1"/>
        <v>3A Livestock</v>
      </c>
      <c r="B28" t="str">
        <f t="shared" si="8"/>
        <v>3A2 Manure management (CH4)</v>
      </c>
      <c r="C28" t="str">
        <f>EF!C28</f>
        <v>3A1f Horses</v>
      </c>
      <c r="D28" t="str">
        <f>EF!D28</f>
        <v>Horses</v>
      </c>
      <c r="E28" t="str">
        <f t="shared" si="9"/>
        <v>Manure management Emissions</v>
      </c>
      <c r="F28" t="str">
        <f t="shared" si="6"/>
        <v>CH4</v>
      </c>
      <c r="G28" t="str">
        <f t="shared" si="7"/>
        <v>Gg CH4</v>
      </c>
      <c r="H28" s="27">
        <f>IF(('Activity data'!H15*EF!$H28)*kgtoGg=0,"NO",('Activity data'!H15*EF!$H28)*kgtoGg)</f>
        <v>3.0819999999999997E-3</v>
      </c>
      <c r="I28" s="27">
        <f>IF(('Activity data'!I15*EF!$H28)*kgtoGg=0,"NO",('Activity data'!I15*EF!$H28)*kgtoGg)</f>
        <v>3.0819999999999997E-3</v>
      </c>
      <c r="J28" s="27">
        <f>IF(('Activity data'!J15*EF!$H28)*kgtoGg=0,"NO",('Activity data'!J15*EF!$H28)*kgtoGg)</f>
        <v>3.0819999999999997E-3</v>
      </c>
      <c r="K28" s="27">
        <f>IF(('Activity data'!K15*EF!$H28)*kgtoGg=0,"NO",('Activity data'!K15*EF!$H28)*kgtoGg)</f>
        <v>3.1489999999999999E-3</v>
      </c>
      <c r="L28" s="27">
        <f>IF(('Activity data'!L15*EF!$H28)*kgtoGg=0,"NO",('Activity data'!L15*EF!$H28)*kgtoGg)</f>
        <v>3.2159999999999997E-3</v>
      </c>
      <c r="M28" s="27">
        <f>IF(('Activity data'!M15*EF!$H28)*kgtoGg=0,"NO",('Activity data'!M15*EF!$H28)*kgtoGg)</f>
        <v>3.2829999999999999E-3</v>
      </c>
      <c r="N28" s="27">
        <f>IF(('Activity data'!N15*EF!$H28)*kgtoGg=0,"NO",('Activity data'!N15*EF!$H28)*kgtoGg)</f>
        <v>3.3499999999999997E-3</v>
      </c>
      <c r="O28" s="27">
        <f>IF(('Activity data'!O15*EF!$H28)*kgtoGg=0,"NO",('Activity data'!O15*EF!$H28)*kgtoGg)</f>
        <v>3.4169999999999999E-3</v>
      </c>
      <c r="P28" s="27">
        <f>IF(('Activity data'!P15*EF!$H28)*kgtoGg=0,"NO",('Activity data'!P15*EF!$H28)*kgtoGg)</f>
        <v>3.4839999999999997E-3</v>
      </c>
      <c r="Q28" s="27">
        <f>IF(('Activity data'!Q15*EF!$H28)*kgtoGg=0,"NO",('Activity data'!Q15*EF!$H28)*kgtoGg)</f>
        <v>3.4572000000000001E-3</v>
      </c>
      <c r="R28" s="27">
        <f>IF(('Activity data'!R15*EF!$H28)*kgtoGg=0,"NO",('Activity data'!R15*EF!$H28)*kgtoGg)</f>
        <v>3.6179999999999997E-3</v>
      </c>
      <c r="S28" s="27">
        <f>IF(('Activity data'!S15*EF!$H28)*kgtoGg=0,"NO",('Activity data'!S15*EF!$H28)*kgtoGg)</f>
        <v>3.6179999999999997E-3</v>
      </c>
      <c r="T28" s="27">
        <f>IF(('Activity data'!T15*EF!$H28)*kgtoGg=0,"NO",('Activity data'!T15*EF!$H28)*kgtoGg)</f>
        <v>3.6179999999999997E-3</v>
      </c>
      <c r="U28" s="27">
        <f>IF(('Activity data'!U15*EF!$H28)*kgtoGg=0,"NO",('Activity data'!U15*EF!$H28)*kgtoGg)</f>
        <v>3.6179999999999997E-3</v>
      </c>
      <c r="V28" s="27">
        <f>IF(('Activity data'!V15*EF!$H28)*kgtoGg=0,"NO",('Activity data'!V15*EF!$H28)*kgtoGg)</f>
        <v>3.6179999999999997E-3</v>
      </c>
      <c r="W28" s="27">
        <f>IF(('Activity data'!W15*EF!$H28)*kgtoGg=0,"NO",('Activity data'!W15*EF!$H28)*kgtoGg)</f>
        <v>3.6179999999999997E-3</v>
      </c>
      <c r="X28" s="27">
        <f>IF(('Activity data'!X15*EF!$H28)*kgtoGg=0,"NO",('Activity data'!X15*EF!$H28)*kgtoGg)</f>
        <v>3.7519999999999997E-3</v>
      </c>
      <c r="Y28" s="27">
        <f>IF(('Activity data'!Y15*EF!$H28)*kgtoGg=0,"NO",('Activity data'!Y15*EF!$H28)*kgtoGg)</f>
        <v>3.8859999999999997E-3</v>
      </c>
      <c r="Z28" s="27">
        <f>IF(('Activity data'!Z15*EF!$H28)*kgtoGg=0,"NO",('Activity data'!Z15*EF!$H28)*kgtoGg)</f>
        <v>3.9931999999999997E-3</v>
      </c>
      <c r="AA28" s="27">
        <f>IF(('Activity data'!AA15*EF!$H28)*kgtoGg=0,"NO",('Activity data'!AA15*EF!$H28)*kgtoGg)</f>
        <v>4.0200000000000001E-3</v>
      </c>
      <c r="AB28" s="27">
        <f>IF(('Activity data'!AB15*EF!$H28)*kgtoGg=0,"NO",('Activity data'!AB15*EF!$H28)*kgtoGg)</f>
        <v>4.0200000000000001E-3</v>
      </c>
      <c r="AC28" s="27">
        <f>IF(('Activity data'!AC15*EF!$H28)*kgtoGg=0,"NO",('Activity data'!AC15*EF!$H28)*kgtoGg)</f>
        <v>4.0869999999999995E-3</v>
      </c>
      <c r="AD28" s="27">
        <f>IF(('Activity data'!AD15*EF!$H28)*kgtoGg=0,"NO",('Activity data'!AD15*EF!$H28)*kgtoGg)</f>
        <v>4.1336182129460552E-3</v>
      </c>
      <c r="AE28" s="27">
        <f>IF(('Activity data'!AE15*EF!$H28)*kgtoGg=0,"NO",('Activity data'!AE15*EF!$H28)*kgtoGg)</f>
        <v>4.1536453250924071E-3</v>
      </c>
      <c r="AF28" s="27">
        <f>IF(('Activity data'!AF15*EF!$H28)*kgtoGg=0,"NO",('Activity data'!AF15*EF!$H28)*kgtoGg)</f>
        <v>4.1840370126470534E-3</v>
      </c>
      <c r="AG28" s="27">
        <f>IF(('Activity data'!AG15*EF!$H28)*kgtoGg=0,"NO",('Activity data'!AG15*EF!$H28)*kgtoGg)</f>
        <v>4.1905340987284569E-3</v>
      </c>
      <c r="AH28" s="27">
        <f>IF(('Activity data'!AH15*EF!$H28)*kgtoGg=0,"NO",('Activity data'!AH15*EF!$H28)*kgtoGg)</f>
        <v>4.1812329246154589E-3</v>
      </c>
      <c r="AI28" s="27">
        <f>IF(('Activity data'!AI15*EF!$H28)*kgtoGg=0,"NO",('Activity data'!AI15*EF!$H28)*kgtoGg)</f>
        <v>4.1564738854214548E-3</v>
      </c>
      <c r="AJ28" s="27">
        <f>IF(('Activity data'!AJ15*EF!$H28)*kgtoGg=0,"NO",('Activity data'!AJ15*EF!$H28)*kgtoGg)</f>
        <v>4.1427460620707141E-3</v>
      </c>
      <c r="AK28" s="27">
        <f>IF(('Activity data'!AK15*EF!$H28)*kgtoGg=0,"NO",('Activity data'!AK15*EF!$H28)*kgtoGg)</f>
        <v>4.1304087921358321E-3</v>
      </c>
      <c r="AL28" s="27">
        <f>IF(('Activity data'!AL15*EF!$H28)*kgtoGg=0,"NO",('Activity data'!AL15*EF!$H28)*kgtoGg)</f>
        <v>3.8942776940038416E-3</v>
      </c>
      <c r="AM28" s="27">
        <f>IF(('Activity data'!AM15*EF!$H28)*kgtoGg=0,"NO",('Activity data'!AM15*EF!$H28)*kgtoGg)</f>
        <v>3.9425050527123239E-3</v>
      </c>
      <c r="AN28" s="27">
        <f>IF(('Activity data'!AN15*EF!$H28)*kgtoGg=0,"NO",('Activity data'!AN15*EF!$H28)*kgtoGg)</f>
        <v>4.0191071248696416E-3</v>
      </c>
      <c r="AO28" s="27">
        <f>IF(('Activity data'!AO15*EF!$H28)*kgtoGg=0,"NO",('Activity data'!AO15*EF!$H28)*kgtoGg)</f>
        <v>4.0473828533201294E-3</v>
      </c>
      <c r="AP28" s="27">
        <f>IF(('Activity data'!AP15*EF!$H28)*kgtoGg=0,"NO",('Activity data'!AP15*EF!$H28)*kgtoGg)</f>
        <v>4.0809840197269919E-3</v>
      </c>
      <c r="AQ28" s="27">
        <f>IF(('Activity data'!AQ15*EF!$H28)*kgtoGg=0,"NO",('Activity data'!AQ15*EF!$H28)*kgtoGg)</f>
        <v>4.1216678621320202E-3</v>
      </c>
      <c r="AR28" s="27">
        <f>IF(('Activity data'!AR15*EF!$H28)*kgtoGg=0,"NO",('Activity data'!AR15*EF!$H28)*kgtoGg)</f>
        <v>4.1703472412361522E-3</v>
      </c>
      <c r="AS28" s="27">
        <f>IF(('Activity data'!AS15*EF!$H28)*kgtoGg=0,"NO",('Activity data'!AS15*EF!$H28)*kgtoGg)</f>
        <v>4.2244482436929265E-3</v>
      </c>
      <c r="AT28" s="27">
        <f>IF(('Activity data'!AT15*EF!$H28)*kgtoGg=0,"NO",('Activity data'!AT15*EF!$H28)*kgtoGg)</f>
        <v>4.2791921283487086E-3</v>
      </c>
      <c r="AU28" s="27">
        <f>IF(('Activity data'!AU15*EF!$H28)*kgtoGg=0,"NO",('Activity data'!AU15*EF!$H28)*kgtoGg)</f>
        <v>4.3388287504468421E-3</v>
      </c>
      <c r="AV28" s="27">
        <f>IF(('Activity data'!AV15*EF!$H28)*kgtoGg=0,"NO",('Activity data'!AV15*EF!$H28)*kgtoGg)</f>
        <v>4.3986726547954836E-3</v>
      </c>
      <c r="AW28" s="27">
        <f>IF(('Activity data'!AW15*EF!$H28)*kgtoGg=0,"NO",('Activity data'!AW15*EF!$H28)*kgtoGg)</f>
        <v>4.4704656017983358E-3</v>
      </c>
      <c r="AX28" s="27">
        <f>IF(('Activity data'!AX15*EF!$H28)*kgtoGg=0,"NO",('Activity data'!AX15*EF!$H28)*kgtoGg)</f>
        <v>4.539631463046338E-3</v>
      </c>
      <c r="AY28" s="27">
        <f>IF(('Activity data'!AY15*EF!$H28)*kgtoGg=0,"NO",('Activity data'!AY15*EF!$H28)*kgtoGg)</f>
        <v>4.6121605087864415E-3</v>
      </c>
      <c r="AZ28" s="27">
        <f>IF(('Activity data'!AZ15*EF!$H28)*kgtoGg=0,"NO",('Activity data'!AZ15*EF!$H28)*kgtoGg)</f>
        <v>4.6951125632471334E-3</v>
      </c>
      <c r="BA28" s="27">
        <f>IF(('Activity data'!BA15*EF!$H28)*kgtoGg=0,"NO",('Activity data'!BA15*EF!$H28)*kgtoGg)</f>
        <v>4.7715465683054572E-3</v>
      </c>
      <c r="BB28" s="27">
        <f>IF(('Activity data'!BB15*EF!$H28)*kgtoGg=0,"NO",('Activity data'!BB15*EF!$H28)*kgtoGg)</f>
        <v>4.855932813312959E-3</v>
      </c>
      <c r="BC28" s="27">
        <f>IF(('Activity data'!BC15*EF!$H28)*kgtoGg=0,"NO",('Activity data'!BC15*EF!$H28)*kgtoGg)</f>
        <v>4.945901658536307E-3</v>
      </c>
      <c r="BD28" s="27">
        <f>IF(('Activity data'!BD15*EF!$H28)*kgtoGg=0,"NO",('Activity data'!BD15*EF!$H28)*kgtoGg)</f>
        <v>5.0279520878702428E-3</v>
      </c>
      <c r="BE28" s="27">
        <f>IF(('Activity data'!BE15*EF!$H28)*kgtoGg=0,"NO",('Activity data'!BE15*EF!$H28)*kgtoGg)</f>
        <v>5.1082371551630715E-3</v>
      </c>
      <c r="BF28" s="27">
        <f>IF(('Activity data'!BF15*EF!$H28)*kgtoGg=0,"NO",('Activity data'!BF15*EF!$H28)*kgtoGg)</f>
        <v>5.1870452828056204E-3</v>
      </c>
      <c r="BG28" s="27">
        <f>IF(('Activity data'!BG15*EF!$H28)*kgtoGg=0,"NO",('Activity data'!BG15*EF!$H28)*kgtoGg)</f>
        <v>5.27706789842347E-3</v>
      </c>
      <c r="BH28" s="27">
        <f>IF(('Activity data'!BH15*EF!$H28)*kgtoGg=0,"NO",('Activity data'!BH15*EF!$H28)*kgtoGg)</f>
        <v>5.3619473096130918E-3</v>
      </c>
      <c r="BI28" s="27">
        <f>IF(('Activity data'!BI15*EF!$H28)*kgtoGg=0,"NO",('Activity data'!BI15*EF!$H28)*kgtoGg)</f>
        <v>5.4495970329020271E-3</v>
      </c>
      <c r="BJ28" s="27">
        <f>IF(('Activity data'!BJ15*EF!$H28)*kgtoGg=0,"NO",('Activity data'!BJ15*EF!$H28)*kgtoGg)</f>
        <v>5.5404524678757516E-3</v>
      </c>
      <c r="BK28" s="27">
        <f>IF(('Activity data'!BK15*EF!$H28)*kgtoGg=0,"NO",('Activity data'!BK15*EF!$H28)*kgtoGg)</f>
        <v>5.6352215326777718E-3</v>
      </c>
      <c r="BL28" s="27">
        <f>IF(('Activity data'!BL15*EF!$H28)*kgtoGg=0,"NO",('Activity data'!BL15*EF!$H28)*kgtoGg)</f>
        <v>5.7381722103153144E-3</v>
      </c>
      <c r="BM28" s="27">
        <f>IF(('Activity data'!BM15*EF!$H28)*kgtoGg=0,"NO",('Activity data'!BM15*EF!$H28)*kgtoGg)</f>
        <v>5.7552832935457467E-3</v>
      </c>
      <c r="BN28" s="27">
        <f>IF(('Activity data'!BN15*EF!$H28)*kgtoGg=0,"NO",('Activity data'!BN15*EF!$H28)*kgtoGg)</f>
        <v>5.7642783755128633E-3</v>
      </c>
      <c r="BO28" s="27">
        <f>IF(('Activity data'!BO15*EF!$H28)*kgtoGg=0,"NO",('Activity data'!BO15*EF!$H28)*kgtoGg)</f>
        <v>5.7617518385425876E-3</v>
      </c>
      <c r="BP28" s="27">
        <f>IF(('Activity data'!BP15*EF!$H28)*kgtoGg=0,"NO",('Activity data'!BP15*EF!$H28)*kgtoGg)</f>
        <v>5.7557818048942742E-3</v>
      </c>
    </row>
    <row r="29" spans="1:68" x14ac:dyDescent="0.3">
      <c r="A29" t="str">
        <f t="shared" si="1"/>
        <v>3A Livestock</v>
      </c>
      <c r="B29" t="str">
        <f t="shared" si="8"/>
        <v>3A2 Manure management (CH4)</v>
      </c>
      <c r="C29" t="str">
        <f>EF!C29</f>
        <v>3A1g Mules &amp; asses</v>
      </c>
      <c r="D29" t="str">
        <f>EF!D29</f>
        <v>Mules &amp; Asses</v>
      </c>
      <c r="E29" t="str">
        <f t="shared" si="9"/>
        <v>Manure management Emissions</v>
      </c>
      <c r="F29" t="str">
        <f t="shared" si="6"/>
        <v>CH4</v>
      </c>
      <c r="G29" t="str">
        <f t="shared" si="7"/>
        <v>Gg CH4</v>
      </c>
      <c r="H29" s="27">
        <f>IF(('Activity data'!H16*EF!$H29)*kgtoGg=0,"NO",('Activity data'!H16*EF!$H29)*kgtoGg)</f>
        <v>1.0079999999999998E-3</v>
      </c>
      <c r="I29" s="27">
        <f>IF(('Activity data'!I16*EF!$H29)*kgtoGg=0,"NO",('Activity data'!I16*EF!$H29)*kgtoGg)</f>
        <v>1.0079999999999998E-3</v>
      </c>
      <c r="J29" s="27">
        <f>IF(('Activity data'!J16*EF!$H29)*kgtoGg=0,"NO",('Activity data'!J16*EF!$H29)*kgtoGg)</f>
        <v>1.0079999999999998E-3</v>
      </c>
      <c r="K29" s="27">
        <f>IF(('Activity data'!K16*EF!$H29)*kgtoGg=0,"NO",('Activity data'!K16*EF!$H29)*kgtoGg)</f>
        <v>1.0079999999999998E-3</v>
      </c>
      <c r="L29" s="27">
        <f>IF(('Activity data'!L16*EF!$H29)*kgtoGg=0,"NO",('Activity data'!L16*EF!$H29)*kgtoGg)</f>
        <v>1.0079999999999998E-3</v>
      </c>
      <c r="M29" s="27">
        <f>IF(('Activity data'!M16*EF!$H29)*kgtoGg=0,"NO",('Activity data'!M16*EF!$H29)*kgtoGg)</f>
        <v>1.0079999999999998E-3</v>
      </c>
      <c r="N29" s="27">
        <f>IF(('Activity data'!N16*EF!$H29)*kgtoGg=0,"NO",('Activity data'!N16*EF!$H29)*kgtoGg)</f>
        <v>1.0079999999999998E-3</v>
      </c>
      <c r="O29" s="27">
        <f>IF(('Activity data'!O16*EF!$H29)*kgtoGg=0,"NO",('Activity data'!O16*EF!$H29)*kgtoGg)</f>
        <v>1.0079999999999998E-3</v>
      </c>
      <c r="P29" s="27">
        <f>IF(('Activity data'!P16*EF!$H29)*kgtoGg=0,"NO",('Activity data'!P16*EF!$H29)*kgtoGg)</f>
        <v>1.0079999999999998E-3</v>
      </c>
      <c r="Q29" s="27">
        <f>IF(('Activity data'!Q16*EF!$H29)*kgtoGg=0,"NO",('Activity data'!Q16*EF!$H29)*kgtoGg)</f>
        <v>1.0079999999999998E-3</v>
      </c>
      <c r="R29" s="27">
        <f>IF(('Activity data'!R16*EF!$H29)*kgtoGg=0,"NO",('Activity data'!R16*EF!$H29)*kgtoGg)</f>
        <v>7.3799999999999994E-4</v>
      </c>
      <c r="S29" s="27">
        <f>IF(('Activity data'!S16*EF!$H29)*kgtoGg=0,"NO",('Activity data'!S16*EF!$H29)*kgtoGg)</f>
        <v>7.3799999999999994E-4</v>
      </c>
      <c r="T29" s="27">
        <f>IF(('Activity data'!T16*EF!$H29)*kgtoGg=0,"NO",('Activity data'!T16*EF!$H29)*kgtoGg)</f>
        <v>7.3799999999999994E-4</v>
      </c>
      <c r="U29" s="27">
        <f>IF(('Activity data'!U16*EF!$H29)*kgtoGg=0,"NO",('Activity data'!U16*EF!$H29)*kgtoGg)</f>
        <v>7.3799999999999994E-4</v>
      </c>
      <c r="V29" s="27">
        <f>IF(('Activity data'!V16*EF!$H29)*kgtoGg=0,"NO",('Activity data'!V16*EF!$H29)*kgtoGg)</f>
        <v>7.3799999999999994E-4</v>
      </c>
      <c r="W29" s="27">
        <f>IF(('Activity data'!W16*EF!$H29)*kgtoGg=0,"NO",('Activity data'!W16*EF!$H29)*kgtoGg)</f>
        <v>7.3799999999999994E-4</v>
      </c>
      <c r="X29" s="27">
        <f>IF(('Activity data'!X16*EF!$H29)*kgtoGg=0,"NO",('Activity data'!X16*EF!$H29)*kgtoGg)</f>
        <v>7.3822499999999991E-4</v>
      </c>
      <c r="Y29" s="27">
        <f>IF(('Activity data'!Y16*EF!$H29)*kgtoGg=0,"NO",('Activity data'!Y16*EF!$H29)*kgtoGg)</f>
        <v>7.4069999999999995E-4</v>
      </c>
      <c r="Z29" s="27">
        <f>IF(('Activity data'!Z16*EF!$H29)*kgtoGg=0,"NO",('Activity data'!Z16*EF!$H29)*kgtoGg)</f>
        <v>7.4114999999999999E-4</v>
      </c>
      <c r="AA29" s="27">
        <f>IF(('Activity data'!AA16*EF!$H29)*kgtoGg=0,"NO",('Activity data'!AA16*EF!$H29)*kgtoGg)</f>
        <v>7.4159999999999992E-4</v>
      </c>
      <c r="AB29" s="27">
        <f>IF(('Activity data'!AB16*EF!$H29)*kgtoGg=0,"NO",('Activity data'!AB16*EF!$H29)*kgtoGg)</f>
        <v>7.4834999999999984E-4</v>
      </c>
      <c r="AC29" s="27">
        <f>IF(('Activity data'!AC16*EF!$H29)*kgtoGg=0,"NO",('Activity data'!AC16*EF!$H29)*kgtoGg)</f>
        <v>7.515E-4</v>
      </c>
      <c r="AD29" s="27">
        <f>IF(('Activity data'!AD16*EF!$H29)*kgtoGg=0,"NO",('Activity data'!AD16*EF!$H29)*kgtoGg)</f>
        <v>7.515E-4</v>
      </c>
      <c r="AE29" s="27">
        <f>IF(('Activity data'!AE16*EF!$H29)*kgtoGg=0,"NO",('Activity data'!AE16*EF!$H29)*kgtoGg)</f>
        <v>7.515E-4</v>
      </c>
      <c r="AF29" s="27">
        <f>IF(('Activity data'!AF16*EF!$H29)*kgtoGg=0,"NO",('Activity data'!AF16*EF!$H29)*kgtoGg)</f>
        <v>7.515E-4</v>
      </c>
      <c r="AG29" s="27">
        <f>IF(('Activity data'!AG16*EF!$H29)*kgtoGg=0,"NO",('Activity data'!AG16*EF!$H29)*kgtoGg)</f>
        <v>7.515E-4</v>
      </c>
      <c r="AH29" s="27">
        <f>IF(('Activity data'!AH16*EF!$H29)*kgtoGg=0,"NO",('Activity data'!AH16*EF!$H29)*kgtoGg)</f>
        <v>7.515E-4</v>
      </c>
      <c r="AI29" s="27">
        <f>IF(('Activity data'!AI16*EF!$H29)*kgtoGg=0,"NO",('Activity data'!AI16*EF!$H29)*kgtoGg)</f>
        <v>7.515E-4</v>
      </c>
      <c r="AJ29" s="27">
        <f>IF(('Activity data'!AJ16*EF!$H29)*kgtoGg=0,"NO",('Activity data'!AJ16*EF!$H29)*kgtoGg)</f>
        <v>7.515E-4</v>
      </c>
      <c r="AK29" s="27">
        <f>IF(('Activity data'!AK16*EF!$H29)*kgtoGg=0,"NO",('Activity data'!AK16*EF!$H29)*kgtoGg)</f>
        <v>7.515E-4</v>
      </c>
      <c r="AL29" s="27">
        <f>IF(('Activity data'!AL16*EF!$H29)*kgtoGg=0,"NO",('Activity data'!AL16*EF!$H29)*kgtoGg)</f>
        <v>7.515E-4</v>
      </c>
      <c r="AM29" s="27">
        <f>IF(('Activity data'!AM16*EF!$H29)*kgtoGg=0,"NO",('Activity data'!AM16*EF!$H29)*kgtoGg)</f>
        <v>7.515E-4</v>
      </c>
      <c r="AN29" s="27">
        <f>IF(('Activity data'!AN16*EF!$H29)*kgtoGg=0,"NO",('Activity data'!AN16*EF!$H29)*kgtoGg)</f>
        <v>7.515E-4</v>
      </c>
      <c r="AO29" s="27">
        <f>IF(('Activity data'!AO16*EF!$H29)*kgtoGg=0,"NO",('Activity data'!AO16*EF!$H29)*kgtoGg)</f>
        <v>7.515E-4</v>
      </c>
      <c r="AP29" s="27">
        <f>IF(('Activity data'!AP16*EF!$H29)*kgtoGg=0,"NO",('Activity data'!AP16*EF!$H29)*kgtoGg)</f>
        <v>7.515E-4</v>
      </c>
      <c r="AQ29" s="27">
        <f>IF(('Activity data'!AQ16*EF!$H29)*kgtoGg=0,"NO",('Activity data'!AQ16*EF!$H29)*kgtoGg)</f>
        <v>7.515E-4</v>
      </c>
      <c r="AR29" s="27">
        <f>IF(('Activity data'!AR16*EF!$H29)*kgtoGg=0,"NO",('Activity data'!AR16*EF!$H29)*kgtoGg)</f>
        <v>7.515E-4</v>
      </c>
      <c r="AS29" s="27">
        <f>IF(('Activity data'!AS16*EF!$H29)*kgtoGg=0,"NO",('Activity data'!AS16*EF!$H29)*kgtoGg)</f>
        <v>7.515E-4</v>
      </c>
      <c r="AT29" s="27">
        <f>IF(('Activity data'!AT16*EF!$H29)*kgtoGg=0,"NO",('Activity data'!AT16*EF!$H29)*kgtoGg)</f>
        <v>7.515E-4</v>
      </c>
      <c r="AU29" s="27">
        <f>IF(('Activity data'!AU16*EF!$H29)*kgtoGg=0,"NO",('Activity data'!AU16*EF!$H29)*kgtoGg)</f>
        <v>7.515E-4</v>
      </c>
      <c r="AV29" s="27">
        <f>IF(('Activity data'!AV16*EF!$H29)*kgtoGg=0,"NO",('Activity data'!AV16*EF!$H29)*kgtoGg)</f>
        <v>7.515E-4</v>
      </c>
      <c r="AW29" s="27">
        <f>IF(('Activity data'!AW16*EF!$H29)*kgtoGg=0,"NO",('Activity data'!AW16*EF!$H29)*kgtoGg)</f>
        <v>7.515E-4</v>
      </c>
      <c r="AX29" s="27">
        <f>IF(('Activity data'!AX16*EF!$H29)*kgtoGg=0,"NO",('Activity data'!AX16*EF!$H29)*kgtoGg)</f>
        <v>7.515E-4</v>
      </c>
      <c r="AY29" s="27">
        <f>IF(('Activity data'!AY16*EF!$H29)*kgtoGg=0,"NO",('Activity data'!AY16*EF!$H29)*kgtoGg)</f>
        <v>7.515E-4</v>
      </c>
      <c r="AZ29" s="27">
        <f>IF(('Activity data'!AZ16*EF!$H29)*kgtoGg=0,"NO",('Activity data'!AZ16*EF!$H29)*kgtoGg)</f>
        <v>7.515E-4</v>
      </c>
      <c r="BA29" s="27">
        <f>IF(('Activity data'!BA16*EF!$H29)*kgtoGg=0,"NO",('Activity data'!BA16*EF!$H29)*kgtoGg)</f>
        <v>7.515E-4</v>
      </c>
      <c r="BB29" s="27">
        <f>IF(('Activity data'!BB16*EF!$H29)*kgtoGg=0,"NO",('Activity data'!BB16*EF!$H29)*kgtoGg)</f>
        <v>7.515E-4</v>
      </c>
      <c r="BC29" s="27">
        <f>IF(('Activity data'!BC16*EF!$H29)*kgtoGg=0,"NO",('Activity data'!BC16*EF!$H29)*kgtoGg)</f>
        <v>7.515E-4</v>
      </c>
      <c r="BD29" s="27">
        <f>IF(('Activity data'!BD16*EF!$H29)*kgtoGg=0,"NO",('Activity data'!BD16*EF!$H29)*kgtoGg)</f>
        <v>7.515E-4</v>
      </c>
      <c r="BE29" s="27">
        <f>IF(('Activity data'!BE16*EF!$H29)*kgtoGg=0,"NO",('Activity data'!BE16*EF!$H29)*kgtoGg)</f>
        <v>7.515E-4</v>
      </c>
      <c r="BF29" s="27">
        <f>IF(('Activity data'!BF16*EF!$H29)*kgtoGg=0,"NO",('Activity data'!BF16*EF!$H29)*kgtoGg)</f>
        <v>7.515E-4</v>
      </c>
      <c r="BG29" s="27">
        <f>IF(('Activity data'!BG16*EF!$H29)*kgtoGg=0,"NO",('Activity data'!BG16*EF!$H29)*kgtoGg)</f>
        <v>7.515E-4</v>
      </c>
      <c r="BH29" s="27">
        <f>IF(('Activity data'!BH16*EF!$H29)*kgtoGg=0,"NO",('Activity data'!BH16*EF!$H29)*kgtoGg)</f>
        <v>7.515E-4</v>
      </c>
      <c r="BI29" s="27">
        <f>IF(('Activity data'!BI16*EF!$H29)*kgtoGg=0,"NO",('Activity data'!BI16*EF!$H29)*kgtoGg)</f>
        <v>7.515E-4</v>
      </c>
      <c r="BJ29" s="27">
        <f>IF(('Activity data'!BJ16*EF!$H29)*kgtoGg=0,"NO",('Activity data'!BJ16*EF!$H29)*kgtoGg)</f>
        <v>7.515E-4</v>
      </c>
      <c r="BK29" s="27">
        <f>IF(('Activity data'!BK16*EF!$H29)*kgtoGg=0,"NO",('Activity data'!BK16*EF!$H29)*kgtoGg)</f>
        <v>7.515E-4</v>
      </c>
      <c r="BL29" s="27">
        <f>IF(('Activity data'!BL16*EF!$H29)*kgtoGg=0,"NO",('Activity data'!BL16*EF!$H29)*kgtoGg)</f>
        <v>7.515E-4</v>
      </c>
      <c r="BM29" s="27">
        <f>IF(('Activity data'!BM16*EF!$H29)*kgtoGg=0,"NO",('Activity data'!BM16*EF!$H29)*kgtoGg)</f>
        <v>7.515E-4</v>
      </c>
      <c r="BN29" s="27">
        <f>IF(('Activity data'!BN16*EF!$H29)*kgtoGg=0,"NO",('Activity data'!BN16*EF!$H29)*kgtoGg)</f>
        <v>7.515E-4</v>
      </c>
      <c r="BO29" s="27">
        <f>IF(('Activity data'!BO16*EF!$H29)*kgtoGg=0,"NO",('Activity data'!BO16*EF!$H29)*kgtoGg)</f>
        <v>7.515E-4</v>
      </c>
      <c r="BP29" s="27">
        <f>IF(('Activity data'!BP16*EF!$H29)*kgtoGg=0,"NO",('Activity data'!BP16*EF!$H29)*kgtoGg)</f>
        <v>7.515E-4</v>
      </c>
    </row>
    <row r="30" spans="1:68" x14ac:dyDescent="0.3">
      <c r="A30" t="str">
        <f t="shared" si="1"/>
        <v>3A Livestock</v>
      </c>
      <c r="B30" t="str">
        <f t="shared" si="8"/>
        <v>3A2 Manure management (CH4)</v>
      </c>
      <c r="C30" t="str">
        <f>EF!C30</f>
        <v>3A1h Swine</v>
      </c>
      <c r="D30" t="str">
        <f>EF!D30</f>
        <v>Commercial</v>
      </c>
      <c r="E30" t="str">
        <f t="shared" si="9"/>
        <v>Manure management Emissions</v>
      </c>
      <c r="F30" t="str">
        <f t="shared" si="6"/>
        <v>CH4</v>
      </c>
      <c r="G30" t="str">
        <f t="shared" si="7"/>
        <v>Gg CH4</v>
      </c>
      <c r="H30" s="27">
        <f>IF(('Activity data'!H17*EF!$H30)*kgtoGg=0,"NO",('Activity data'!H17*EF!$H30)*kgtoGg)</f>
        <v>21.422883239999997</v>
      </c>
      <c r="I30" s="27">
        <f>IF(('Activity data'!I17*EF!$H30)*kgtoGg=0,"NO",('Activity data'!I17*EF!$H30)*kgtoGg)</f>
        <v>23.404921649999999</v>
      </c>
      <c r="J30" s="27">
        <f>IF(('Activity data'!J17*EF!$H30)*kgtoGg=0,"NO",('Activity data'!J17*EF!$H30)*kgtoGg)</f>
        <v>23.250294539999995</v>
      </c>
      <c r="K30" s="27">
        <f>IF(('Activity data'!K17*EF!$H30)*kgtoGg=0,"NO",('Activity data'!K17*EF!$H30)*kgtoGg)</f>
        <v>23.236237529999997</v>
      </c>
      <c r="L30" s="27">
        <f>IF(('Activity data'!L17*EF!$H30)*kgtoGg=0,"NO",('Activity data'!L17*EF!$H30)*kgtoGg)</f>
        <v>22.069505699999993</v>
      </c>
      <c r="M30" s="27">
        <f>IF(('Activity data'!M17*EF!$H30)*kgtoGg=0,"NO",('Activity data'!M17*EF!$H30)*kgtoGg)</f>
        <v>22.280360849999997</v>
      </c>
      <c r="N30" s="27">
        <f>IF(('Activity data'!N17*EF!$H30)*kgtoGg=0,"NO",('Activity data'!N17*EF!$H30)*kgtoGg)</f>
        <v>23.995316069999994</v>
      </c>
      <c r="O30" s="27">
        <f>IF(('Activity data'!O17*EF!$H30)*kgtoGg=0,"NO",('Activity data'!O17*EF!$H30)*kgtoGg)</f>
        <v>23.882859989999996</v>
      </c>
      <c r="P30" s="27">
        <f>IF(('Activity data'!P17*EF!$H30)*kgtoGg=0,"NO",('Activity data'!P17*EF!$H30)*kgtoGg)</f>
        <v>24.402969359999993</v>
      </c>
      <c r="Q30" s="27">
        <f>IF(('Activity data'!Q17*EF!$H30)*kgtoGg=0,"NO",('Activity data'!Q17*EF!$H30)*kgtoGg)</f>
        <v>25.021477799999996</v>
      </c>
      <c r="R30" s="27">
        <f>IF(('Activity data'!R17*EF!$H30)*kgtoGg=0,"NO",('Activity data'!R17*EF!$H30)*kgtoGg)</f>
        <v>23.151895469999999</v>
      </c>
      <c r="S30" s="27">
        <f>IF(('Activity data'!S17*EF!$H30)*kgtoGg=0,"NO",('Activity data'!S17*EF!$H30)*kgtoGg)</f>
        <v>23.587662779999995</v>
      </c>
      <c r="T30" s="27">
        <f>IF(('Activity data'!T17*EF!$H30)*kgtoGg=0,"NO",('Activity data'!T17*EF!$H30)*kgtoGg)</f>
        <v>24.037487099999996</v>
      </c>
      <c r="U30" s="27">
        <f>IF(('Activity data'!U17*EF!$H30)*kgtoGg=0,"NO",('Activity data'!U17*EF!$H30)*kgtoGg)</f>
        <v>23.376807629999995</v>
      </c>
      <c r="V30" s="27">
        <f>IF(('Activity data'!V17*EF!$H30)*kgtoGg=0,"NO",('Activity data'!V17*EF!$H30)*kgtoGg)</f>
        <v>23.376807629999995</v>
      </c>
      <c r="W30" s="27">
        <f>IF(('Activity data'!W17*EF!$H30)*kgtoGg=0,"NO",('Activity data'!W17*EF!$H30)*kgtoGg)</f>
        <v>23.208123509999997</v>
      </c>
      <c r="X30" s="27">
        <f>IF(('Activity data'!X17*EF!$H30)*kgtoGg=0,"NO",('Activity data'!X17*EF!$H30)*kgtoGg)</f>
        <v>22.800470219999998</v>
      </c>
      <c r="Y30" s="27">
        <f>IF(('Activity data'!Y17*EF!$H30)*kgtoGg=0,"NO",('Activity data'!Y17*EF!$H30)*kgtoGg)</f>
        <v>23.208123509999997</v>
      </c>
      <c r="Z30" s="27">
        <f>IF(('Activity data'!Z17*EF!$H30)*kgtoGg=0,"NO",('Activity data'!Z17*EF!$H30)*kgtoGg)</f>
        <v>22.702071149999998</v>
      </c>
      <c r="AA30" s="27">
        <f>IF(('Activity data'!AA17*EF!$H30)*kgtoGg=0,"NO",('Activity data'!AA17*EF!$H30)*kgtoGg)</f>
        <v>22.673957129999998</v>
      </c>
      <c r="AB30" s="27">
        <f>IF(('Activity data'!AB17*EF!$H30)*kgtoGg=0,"NO",('Activity data'!AB17*EF!$H30)*kgtoGg)</f>
        <v>22.406873939999997</v>
      </c>
      <c r="AC30" s="27">
        <f>IF(('Activity data'!AC17*EF!$H30)*kgtoGg=0,"NO",('Activity data'!AC17*EF!$H30)*kgtoGg)</f>
        <v>22.266303839999996</v>
      </c>
      <c r="AD30" s="27">
        <f>IF(('Activity data'!AD17*EF!$H30)*kgtoGg=0,"NO",('Activity data'!AD17*EF!$H30)*kgtoGg)</f>
        <v>23.279067868377393</v>
      </c>
      <c r="AE30" s="27">
        <f>IF(('Activity data'!AE17*EF!$H30)*kgtoGg=0,"NO",('Activity data'!AE17*EF!$H30)*kgtoGg)</f>
        <v>23.152530650802596</v>
      </c>
      <c r="AF30" s="27">
        <f>IF(('Activity data'!AF17*EF!$H30)*kgtoGg=0,"NO",('Activity data'!AF17*EF!$H30)*kgtoGg)</f>
        <v>23.162916433064304</v>
      </c>
      <c r="AG30" s="27">
        <f>IF(('Activity data'!AG17*EF!$H30)*kgtoGg=0,"NO",('Activity data'!AG17*EF!$H30)*kgtoGg)</f>
        <v>22.950263110497293</v>
      </c>
      <c r="AH30" s="27">
        <f>IF(('Activity data'!AH17*EF!$H30)*kgtoGg=0,"NO",('Activity data'!AH17*EF!$H30)*kgtoGg)</f>
        <v>22.602951186820601</v>
      </c>
      <c r="AI30" s="27">
        <f>IF(('Activity data'!AI17*EF!$H30)*kgtoGg=0,"NO",('Activity data'!AI17*EF!$H30)*kgtoGg)</f>
        <v>22.126532811374943</v>
      </c>
      <c r="AJ30" s="27">
        <f>IF(('Activity data'!AJ17*EF!$H30)*kgtoGg=0,"NO",('Activity data'!AJ17*EF!$H30)*kgtoGg)</f>
        <v>21.780600237355962</v>
      </c>
      <c r="AK30" s="27">
        <f>IF(('Activity data'!AK17*EF!$H30)*kgtoGg=0,"NO",('Activity data'!AK17*EF!$H30)*kgtoGg)</f>
        <v>21.465278056857681</v>
      </c>
      <c r="AL30" s="27">
        <f>IF(('Activity data'!AL17*EF!$H30)*kgtoGg=0,"NO",('Activity data'!AL17*EF!$H30)*kgtoGg)</f>
        <v>18.952765181798245</v>
      </c>
      <c r="AM30" s="27">
        <f>IF(('Activity data'!AM17*EF!$H30)*kgtoGg=0,"NO",('Activity data'!AM17*EF!$H30)*kgtoGg)</f>
        <v>19.192435731964196</v>
      </c>
      <c r="AN30" s="27">
        <f>IF(('Activity data'!AN17*EF!$H30)*kgtoGg=0,"NO",('Activity data'!AN17*EF!$H30)*kgtoGg)</f>
        <v>19.706721684105471</v>
      </c>
      <c r="AO30" s="27">
        <f>IF(('Activity data'!AO17*EF!$H30)*kgtoGg=0,"NO",('Activity data'!AO17*EF!$H30)*kgtoGg)</f>
        <v>19.753416176775058</v>
      </c>
      <c r="AP30" s="27">
        <f>IF(('Activity data'!AP17*EF!$H30)*kgtoGg=0,"NO",('Activity data'!AP17*EF!$H30)*kgtoGg)</f>
        <v>19.854535695194098</v>
      </c>
      <c r="AQ30" s="27">
        <f>IF(('Activity data'!AQ17*EF!$H30)*kgtoGg=0,"NO",('Activity data'!AQ17*EF!$H30)*kgtoGg)</f>
        <v>20.024553174699502</v>
      </c>
      <c r="AR30" s="27">
        <f>IF(('Activity data'!AR17*EF!$H30)*kgtoGg=0,"NO",('Activity data'!AR17*EF!$H30)*kgtoGg)</f>
        <v>20.23789112840667</v>
      </c>
      <c r="AS30" s="27">
        <f>IF(('Activity data'!AS17*EF!$H30)*kgtoGg=0,"NO",('Activity data'!AS17*EF!$H30)*kgtoGg)</f>
        <v>20.499318704805695</v>
      </c>
      <c r="AT30" s="27">
        <f>IF(('Activity data'!AT17*EF!$H30)*kgtoGg=0,"NO",('Activity data'!AT17*EF!$H30)*kgtoGg)</f>
        <v>20.763803414840964</v>
      </c>
      <c r="AU30" s="27">
        <f>IF(('Activity data'!AU17*EF!$H30)*kgtoGg=0,"NO",('Activity data'!AU17*EF!$H30)*kgtoGg)</f>
        <v>21.06916344985618</v>
      </c>
      <c r="AV30" s="27">
        <f>IF(('Activity data'!AV17*EF!$H30)*kgtoGg=0,"NO",('Activity data'!AV17*EF!$H30)*kgtoGg)</f>
        <v>21.372415897013145</v>
      </c>
      <c r="AW30" s="27">
        <f>IF(('Activity data'!AW17*EF!$H30)*kgtoGg=0,"NO",('Activity data'!AW17*EF!$H30)*kgtoGg)</f>
        <v>21.74943786655458</v>
      </c>
      <c r="AX30" s="27">
        <f>IF(('Activity data'!AX17*EF!$H30)*kgtoGg=0,"NO",('Activity data'!AX17*EF!$H30)*kgtoGg)</f>
        <v>22.096514126462726</v>
      </c>
      <c r="AY30" s="27">
        <f>IF(('Activity data'!AY17*EF!$H30)*kgtoGg=0,"NO",('Activity data'!AY17*EF!$H30)*kgtoGg)</f>
        <v>22.465831015653421</v>
      </c>
      <c r="AZ30" s="27">
        <f>IF(('Activity data'!AZ17*EF!$H30)*kgtoGg=0,"NO",('Activity data'!AZ17*EF!$H30)*kgtoGg)</f>
        <v>22.916349440576454</v>
      </c>
      <c r="BA30" s="27">
        <f>IF(('Activity data'!BA17*EF!$H30)*kgtoGg=0,"NO",('Activity data'!BA17*EF!$H30)*kgtoGg)</f>
        <v>23.303196681672105</v>
      </c>
      <c r="BB30" s="27">
        <f>IF(('Activity data'!BB17*EF!$H30)*kgtoGg=0,"NO",('Activity data'!BB17*EF!$H30)*kgtoGg)</f>
        <v>23.720738750345618</v>
      </c>
      <c r="BC30" s="27">
        <f>IF(('Activity data'!BC17*EF!$H30)*kgtoGg=0,"NO",('Activity data'!BC17*EF!$H30)*kgtoGg)</f>
        <v>24.1739099146189</v>
      </c>
      <c r="BD30" s="27">
        <f>IF(('Activity data'!BD17*EF!$H30)*kgtoGg=0,"NO",('Activity data'!BD17*EF!$H30)*kgtoGg)</f>
        <v>24.551957379803568</v>
      </c>
      <c r="BE30" s="27">
        <f>IF(('Activity data'!BE17*EF!$H30)*kgtoGg=0,"NO",('Activity data'!BE17*EF!$H30)*kgtoGg)</f>
        <v>24.90648475217996</v>
      </c>
      <c r="BF30" s="27">
        <f>IF(('Activity data'!BF17*EF!$H30)*kgtoGg=0,"NO",('Activity data'!BF17*EF!$H30)*kgtoGg)</f>
        <v>25.240351368122212</v>
      </c>
      <c r="BG30" s="27">
        <f>IF(('Activity data'!BG17*EF!$H30)*kgtoGg=0,"NO",('Activity data'!BG17*EF!$H30)*kgtoGg)</f>
        <v>25.625854072975109</v>
      </c>
      <c r="BH30" s="27">
        <f>IF(('Activity data'!BH17*EF!$H30)*kgtoGg=0,"NO",('Activity data'!BH17*EF!$H30)*kgtoGg)</f>
        <v>25.960227974531257</v>
      </c>
      <c r="BI30" s="27">
        <f>IF(('Activity data'!BI17*EF!$H30)*kgtoGg=0,"NO",('Activity data'!BI17*EF!$H30)*kgtoGg)</f>
        <v>26.305386782253809</v>
      </c>
      <c r="BJ30" s="27">
        <f>IF(('Activity data'!BJ17*EF!$H30)*kgtoGg=0,"NO",('Activity data'!BJ17*EF!$H30)*kgtoGg)</f>
        <v>26.663933949781747</v>
      </c>
      <c r="BK30" s="27">
        <f>IF(('Activity data'!BK17*EF!$H30)*kgtoGg=0,"NO",('Activity data'!BK17*EF!$H30)*kgtoGg)</f>
        <v>27.040355797157176</v>
      </c>
      <c r="BL30" s="27">
        <f>IF(('Activity data'!BL17*EF!$H30)*kgtoGg=0,"NO",('Activity data'!BL17*EF!$H30)*kgtoGg)</f>
        <v>27.435623697912018</v>
      </c>
      <c r="BM30" s="27">
        <f>IF(('Activity data'!BM17*EF!$H30)*kgtoGg=0,"NO",('Activity data'!BM17*EF!$H30)*kgtoGg)</f>
        <v>27.195097752022821</v>
      </c>
      <c r="BN30" s="27">
        <f>IF(('Activity data'!BN17*EF!$H30)*kgtoGg=0,"NO",('Activity data'!BN17*EF!$H30)*kgtoGg)</f>
        <v>26.898987311246398</v>
      </c>
      <c r="BO30" s="27">
        <f>IF(('Activity data'!BO17*EF!$H30)*kgtoGg=0,"NO",('Activity data'!BO17*EF!$H30)*kgtoGg)</f>
        <v>26.52534739576117</v>
      </c>
      <c r="BP30" s="27">
        <f>IF(('Activity data'!BP17*EF!$H30)*kgtoGg=0,"NO",('Activity data'!BP17*EF!$H30)*kgtoGg)</f>
        <v>26.133382968648512</v>
      </c>
    </row>
    <row r="31" spans="1:68" x14ac:dyDescent="0.3">
      <c r="A31" t="str">
        <f t="shared" si="1"/>
        <v>3A Livestock</v>
      </c>
      <c r="B31" t="str">
        <f t="shared" si="8"/>
        <v>3A2 Manure management (CH4)</v>
      </c>
      <c r="C31" t="str">
        <f>EF!C31</f>
        <v>3A1h Swine</v>
      </c>
      <c r="D31" t="str">
        <f>EF!D31</f>
        <v>Subsistence</v>
      </c>
      <c r="E31" t="str">
        <f t="shared" si="9"/>
        <v>Manure management Emissions</v>
      </c>
      <c r="F31" t="str">
        <f t="shared" si="6"/>
        <v>CH4</v>
      </c>
      <c r="G31" t="str">
        <f t="shared" si="7"/>
        <v>Gg CH4</v>
      </c>
      <c r="H31" s="27">
        <f>IF(('Activity data'!H18*EF!$H31)*kgtoGg=0,"NO",('Activity data'!H18*EF!$H31)*kgtoGg)</f>
        <v>6.8678348124932898E-2</v>
      </c>
      <c r="I31" s="27">
        <f>IF(('Activity data'!I18*EF!$H31)*kgtoGg=0,"NO",('Activity data'!I18*EF!$H31)*kgtoGg)</f>
        <v>7.5032447262475918E-2</v>
      </c>
      <c r="J31" s="27">
        <f>IF(('Activity data'!J18*EF!$H31)*kgtoGg=0,"NO",('Activity data'!J18*EF!$H31)*kgtoGg)</f>
        <v>7.4536737400681771E-2</v>
      </c>
      <c r="K31" s="27">
        <f>IF(('Activity data'!K18*EF!$H31)*kgtoGg=0,"NO",('Activity data'!K18*EF!$H31)*kgtoGg)</f>
        <v>7.4491672867791403E-2</v>
      </c>
      <c r="L31" s="27">
        <f>IF(('Activity data'!L18*EF!$H31)*kgtoGg=0,"NO",('Activity data'!L18*EF!$H31)*kgtoGg)</f>
        <v>7.0751316637890194E-2</v>
      </c>
      <c r="M31" s="27">
        <f>IF(('Activity data'!M18*EF!$H31)*kgtoGg=0,"NO",('Activity data'!M18*EF!$H31)*kgtoGg)</f>
        <v>7.1427284631245841E-2</v>
      </c>
      <c r="N31" s="27">
        <f>IF(('Activity data'!N18*EF!$H31)*kgtoGg=0,"NO",('Activity data'!N18*EF!$H31)*kgtoGg)</f>
        <v>7.69251576438717E-2</v>
      </c>
      <c r="O31" s="27">
        <f>IF(('Activity data'!O18*EF!$H31)*kgtoGg=0,"NO",('Activity data'!O18*EF!$H31)*kgtoGg)</f>
        <v>7.6564641380748699E-2</v>
      </c>
      <c r="P31" s="27">
        <f>IF(('Activity data'!P18*EF!$H31)*kgtoGg=0,"NO",('Activity data'!P18*EF!$H31)*kgtoGg)</f>
        <v>7.8232029097692599E-2</v>
      </c>
      <c r="Q31" s="27">
        <f>IF(('Activity data'!Q18*EF!$H31)*kgtoGg=0,"NO",('Activity data'!Q18*EF!$H31)*kgtoGg)</f>
        <v>8.0214868544869131E-2</v>
      </c>
      <c r="R31" s="27">
        <f>IF(('Activity data'!R18*EF!$H31)*kgtoGg=0,"NO",('Activity data'!R18*EF!$H31)*kgtoGg)</f>
        <v>7.4221285670449139E-2</v>
      </c>
      <c r="S31" s="27">
        <f>IF(('Activity data'!S18*EF!$H31)*kgtoGg=0,"NO",('Activity data'!S18*EF!$H31)*kgtoGg)</f>
        <v>7.5618286190050801E-2</v>
      </c>
      <c r="T31" s="27">
        <f>IF(('Activity data'!T18*EF!$H31)*kgtoGg=0,"NO",('Activity data'!T18*EF!$H31)*kgtoGg)</f>
        <v>7.7060351242542832E-2</v>
      </c>
      <c r="U31" s="27">
        <f>IF(('Activity data'!U18*EF!$H31)*kgtoGg=0,"NO",('Activity data'!U18*EF!$H31)*kgtoGg)</f>
        <v>7.4942318196695168E-2</v>
      </c>
      <c r="V31" s="27">
        <f>IF(('Activity data'!V18*EF!$H31)*kgtoGg=0,"NO",('Activity data'!V18*EF!$H31)*kgtoGg)</f>
        <v>7.4942318196695168E-2</v>
      </c>
      <c r="W31" s="27">
        <f>IF(('Activity data'!W18*EF!$H31)*kgtoGg=0,"NO",('Activity data'!W18*EF!$H31)*kgtoGg)</f>
        <v>7.4401543802010653E-2</v>
      </c>
      <c r="X31" s="27">
        <f>IF(('Activity data'!X18*EF!$H31)*kgtoGg=0,"NO",('Activity data'!X18*EF!$H31)*kgtoGg)</f>
        <v>7.309467234818974E-2</v>
      </c>
      <c r="Y31" s="27">
        <f>IF(('Activity data'!Y18*EF!$H31)*kgtoGg=0,"NO",('Activity data'!Y18*EF!$H31)*kgtoGg)</f>
        <v>7.4401543802010653E-2</v>
      </c>
      <c r="Z31" s="27">
        <f>IF(('Activity data'!Z18*EF!$H31)*kgtoGg=0,"NO",('Activity data'!Z18*EF!$H31)*kgtoGg)</f>
        <v>7.2779220617957122E-2</v>
      </c>
      <c r="AA31" s="27">
        <f>IF(('Activity data'!AA18*EF!$H31)*kgtoGg=0,"NO",('Activity data'!AA18*EF!$H31)*kgtoGg)</f>
        <v>7.2689091552176358E-2</v>
      </c>
      <c r="AB31" s="27">
        <f>IF(('Activity data'!AB18*EF!$H31)*kgtoGg=0,"NO",('Activity data'!AB18*EF!$H31)*kgtoGg)</f>
        <v>7.1832865427259224E-2</v>
      </c>
      <c r="AC31" s="27">
        <f>IF(('Activity data'!AC18*EF!$H31)*kgtoGg=0,"NO",('Activity data'!AC18*EF!$H31)*kgtoGg)</f>
        <v>7.1382220098355459E-2</v>
      </c>
      <c r="AD31" s="27">
        <f>IF(('Activity data'!AD18*EF!$H31)*kgtoGg=0,"NO",('Activity data'!AD18*EF!$H31)*kgtoGg)</f>
        <v>7.7932061732677776E-2</v>
      </c>
      <c r="AE31" s="27">
        <f>IF(('Activity data'!AE18*EF!$H31)*kgtoGg=0,"NO",('Activity data'!AE18*EF!$H31)*kgtoGg)</f>
        <v>7.7508449141861113E-2</v>
      </c>
      <c r="AF31" s="27">
        <f>IF(('Activity data'!AF18*EF!$H31)*kgtoGg=0,"NO",('Activity data'!AF18*EF!$H31)*kgtoGg)</f>
        <v>7.7543217949140597E-2</v>
      </c>
      <c r="AG31" s="27">
        <f>IF(('Activity data'!AG18*EF!$H31)*kgtoGg=0,"NO",('Activity data'!AG18*EF!$H31)*kgtoGg)</f>
        <v>7.6831311787104617E-2</v>
      </c>
      <c r="AH31" s="27">
        <f>IF(('Activity data'!AH18*EF!$H31)*kgtoGg=0,"NO",('Activity data'!AH18*EF!$H31)*kgtoGg)</f>
        <v>7.5668604825232008E-2</v>
      </c>
      <c r="AI31" s="27">
        <f>IF(('Activity data'!AI18*EF!$H31)*kgtoGg=0,"NO",('Activity data'!AI18*EF!$H31)*kgtoGg)</f>
        <v>7.4073684167079379E-2</v>
      </c>
      <c r="AJ31" s="27">
        <f>IF(('Activity data'!AJ18*EF!$H31)*kgtoGg=0,"NO",('Activity data'!AJ18*EF!$H31)*kgtoGg)</f>
        <v>7.2915594897087016E-2</v>
      </c>
      <c r="AK31" s="27">
        <f>IF(('Activity data'!AK18*EF!$H31)*kgtoGg=0,"NO",('Activity data'!AK18*EF!$H31)*kgtoGg)</f>
        <v>7.1859980996426681E-2</v>
      </c>
      <c r="AL31" s="27">
        <f>IF(('Activity data'!AL18*EF!$H31)*kgtoGg=0,"NO",('Activity data'!AL18*EF!$H31)*kgtoGg)</f>
        <v>6.344876326252144E-2</v>
      </c>
      <c r="AM31" s="27">
        <f>IF(('Activity data'!AM18*EF!$H31)*kgtoGg=0,"NO",('Activity data'!AM18*EF!$H31)*kgtoGg)</f>
        <v>6.4251115840238279E-2</v>
      </c>
      <c r="AN31" s="27">
        <f>IF(('Activity data'!AN18*EF!$H31)*kgtoGg=0,"NO",('Activity data'!AN18*EF!$H31)*kgtoGg)</f>
        <v>6.5972806966237654E-2</v>
      </c>
      <c r="AO31" s="27">
        <f>IF(('Activity data'!AO18*EF!$H31)*kgtoGg=0,"NO",('Activity data'!AO18*EF!$H31)*kgtoGg)</f>
        <v>6.6129127576060945E-2</v>
      </c>
      <c r="AP31" s="27">
        <f>IF(('Activity data'!AP18*EF!$H31)*kgtoGg=0,"NO",('Activity data'!AP18*EF!$H31)*kgtoGg)</f>
        <v>6.6467648542465979E-2</v>
      </c>
      <c r="AQ31" s="27">
        <f>IF(('Activity data'!AQ18*EF!$H31)*kgtoGg=0,"NO",('Activity data'!AQ18*EF!$H31)*kgtoGg)</f>
        <v>6.7036821362587692E-2</v>
      </c>
      <c r="AR31" s="27">
        <f>IF(('Activity data'!AR18*EF!$H31)*kgtoGg=0,"NO",('Activity data'!AR18*EF!$H31)*kgtoGg)</f>
        <v>6.775101948564978E-2</v>
      </c>
      <c r="AS31" s="27">
        <f>IF(('Activity data'!AS18*EF!$H31)*kgtoGg=0,"NO",('Activity data'!AS18*EF!$H31)*kgtoGg)</f>
        <v>6.8626208738834141E-2</v>
      </c>
      <c r="AT31" s="27">
        <f>IF(('Activity data'!AT18*EF!$H31)*kgtoGg=0,"NO",('Activity data'!AT18*EF!$H31)*kgtoGg)</f>
        <v>6.951163245366497E-2</v>
      </c>
      <c r="AU31" s="27">
        <f>IF(('Activity data'!AU18*EF!$H31)*kgtoGg=0,"NO",('Activity data'!AU18*EF!$H31)*kgtoGg)</f>
        <v>7.0533895769105751E-2</v>
      </c>
      <c r="AV31" s="27">
        <f>IF(('Activity data'!AV18*EF!$H31)*kgtoGg=0,"NO",('Activity data'!AV18*EF!$H31)*kgtoGg)</f>
        <v>7.1549103446923737E-2</v>
      </c>
      <c r="AW31" s="27">
        <f>IF(('Activity data'!AW18*EF!$H31)*kgtoGg=0,"NO",('Activity data'!AW18*EF!$H31)*kgtoGg)</f>
        <v>7.2811271656192611E-2</v>
      </c>
      <c r="AX31" s="27">
        <f>IF(('Activity data'!AX18*EF!$H31)*kgtoGg=0,"NO",('Activity data'!AX18*EF!$H31)*kgtoGg)</f>
        <v>7.3973189679115328E-2</v>
      </c>
      <c r="AY31" s="27">
        <f>IF(('Activity data'!AY18*EF!$H31)*kgtoGg=0,"NO",('Activity data'!AY18*EF!$H31)*kgtoGg)</f>
        <v>7.5209563350521091E-2</v>
      </c>
      <c r="AZ31" s="27">
        <f>IF(('Activity data'!AZ18*EF!$H31)*kgtoGg=0,"NO",('Activity data'!AZ18*EF!$H31)*kgtoGg)</f>
        <v>7.6717777936316622E-2</v>
      </c>
      <c r="BA31" s="27">
        <f>IF(('Activity data'!BA18*EF!$H31)*kgtoGg=0,"NO",('Activity data'!BA18*EF!$H31)*kgtoGg)</f>
        <v>7.801283851368343E-2</v>
      </c>
      <c r="BB31" s="27">
        <f>IF(('Activity data'!BB18*EF!$H31)*kgtoGg=0,"NO",('Activity data'!BB18*EF!$H31)*kgtoGg)</f>
        <v>7.9410657122909484E-2</v>
      </c>
      <c r="BC31" s="27">
        <f>IF(('Activity data'!BC18*EF!$H31)*kgtoGg=0,"NO",('Activity data'!BC18*EF!$H31)*kgtoGg)</f>
        <v>8.0927752366984504E-2</v>
      </c>
      <c r="BD31" s="27">
        <f>IF(('Activity data'!BD18*EF!$H31)*kgtoGg=0,"NO",('Activity data'!BD18*EF!$H31)*kgtoGg)</f>
        <v>8.2193353660010307E-2</v>
      </c>
      <c r="BE31" s="27">
        <f>IF(('Activity data'!BE18*EF!$H31)*kgtoGg=0,"NO",('Activity data'!BE18*EF!$H31)*kgtoGg)</f>
        <v>8.3380216004592958E-2</v>
      </c>
      <c r="BF31" s="27">
        <f>IF(('Activity data'!BF18*EF!$H31)*kgtoGg=0,"NO",('Activity data'!BF18*EF!$H31)*kgtoGg)</f>
        <v>8.4497911690313968E-2</v>
      </c>
      <c r="BG31" s="27">
        <f>IF(('Activity data'!BG18*EF!$H31)*kgtoGg=0,"NO",('Activity data'!BG18*EF!$H31)*kgtoGg)</f>
        <v>8.5788471121755847E-2</v>
      </c>
      <c r="BH31" s="27">
        <f>IF(('Activity data'!BH18*EF!$H31)*kgtoGg=0,"NO",('Activity data'!BH18*EF!$H31)*kgtoGg)</f>
        <v>8.6907865063352116E-2</v>
      </c>
      <c r="BI31" s="27">
        <f>IF(('Activity data'!BI18*EF!$H31)*kgtoGg=0,"NO",('Activity data'!BI18*EF!$H31)*kgtoGg)</f>
        <v>8.8063363971774958E-2</v>
      </c>
      <c r="BJ31" s="27">
        <f>IF(('Activity data'!BJ18*EF!$H31)*kgtoGg=0,"NO",('Activity data'!BJ18*EF!$H31)*kgtoGg)</f>
        <v>8.9263683509990727E-2</v>
      </c>
      <c r="BK31" s="27">
        <f>IF(('Activity data'!BK18*EF!$H31)*kgtoGg=0,"NO",('Activity data'!BK18*EF!$H31)*kgtoGg)</f>
        <v>9.0523842671562632E-2</v>
      </c>
      <c r="BL31" s="27">
        <f>IF(('Activity data'!BL18*EF!$H31)*kgtoGg=0,"NO",('Activity data'!BL18*EF!$H31)*kgtoGg)</f>
        <v>9.1847093353967207E-2</v>
      </c>
      <c r="BM31" s="27">
        <f>IF(('Activity data'!BM18*EF!$H31)*kgtoGg=0,"NO",('Activity data'!BM18*EF!$H31)*kgtoGg)</f>
        <v>9.1041877141302144E-2</v>
      </c>
      <c r="BN31" s="27">
        <f>IF(('Activity data'!BN18*EF!$H31)*kgtoGg=0,"NO",('Activity data'!BN18*EF!$H31)*kgtoGg)</f>
        <v>9.0050578981051232E-2</v>
      </c>
      <c r="BO31" s="27">
        <f>IF(('Activity data'!BO18*EF!$H31)*kgtoGg=0,"NO",('Activity data'!BO18*EF!$H31)*kgtoGg)</f>
        <v>8.8799732979655169E-2</v>
      </c>
      <c r="BP31" s="27">
        <f>IF(('Activity data'!BP18*EF!$H31)*kgtoGg=0,"NO",('Activity data'!BP18*EF!$H31)*kgtoGg)</f>
        <v>8.7487541439019989E-2</v>
      </c>
    </row>
    <row r="32" spans="1:68" x14ac:dyDescent="0.3">
      <c r="A32" t="str">
        <f t="shared" si="1"/>
        <v>3A Livestock</v>
      </c>
      <c r="B32" t="str">
        <f t="shared" si="8"/>
        <v>3A2 Manure management (CH4)</v>
      </c>
      <c r="C32" t="str">
        <f>EF!C32</f>
        <v>3A2i Poultry</v>
      </c>
      <c r="D32" t="str">
        <f>EF!D32</f>
        <v>Commercial layers</v>
      </c>
      <c r="E32" t="str">
        <f t="shared" si="9"/>
        <v>Manure management Emissions</v>
      </c>
      <c r="F32" t="str">
        <f t="shared" si="6"/>
        <v>CH4</v>
      </c>
      <c r="G32" t="str">
        <f t="shared" si="7"/>
        <v>Gg CH4</v>
      </c>
      <c r="H32" s="27">
        <f>IF(('Activity data'!H19*EF!$H32)*kgtoGg=0,"NO",('Activity data'!H19*EF!$H32)*kgtoGg)</f>
        <v>0.34412636088479531</v>
      </c>
      <c r="I32" s="27">
        <f>IF(('Activity data'!I19*EF!$H32)*kgtoGg=0,"NO",('Activity data'!I19*EF!$H32)*kgtoGg)</f>
        <v>0.33431360408971139</v>
      </c>
      <c r="J32" s="27">
        <f>IF(('Activity data'!J19*EF!$H32)*kgtoGg=0,"NO",('Activity data'!J19*EF!$H32)*kgtoGg)</f>
        <v>0.31707319838740716</v>
      </c>
      <c r="K32" s="27">
        <f>IF(('Activity data'!K19*EF!$H32)*kgtoGg=0,"NO",('Activity data'!K19*EF!$H32)*kgtoGg)</f>
        <v>0.31208778044270324</v>
      </c>
      <c r="L32" s="27">
        <f>IF(('Activity data'!L19*EF!$H32)*kgtoGg=0,"NO",('Activity data'!L19*EF!$H32)*kgtoGg)</f>
        <v>0.29851308566472284</v>
      </c>
      <c r="M32" s="27">
        <f>IF(('Activity data'!M19*EF!$H32)*kgtoGg=0,"NO",('Activity data'!M19*EF!$H32)*kgtoGg)</f>
        <v>0.32571493051505118</v>
      </c>
      <c r="N32" s="27">
        <f>IF(('Activity data'!N19*EF!$H32)*kgtoGg=0,"NO",('Activity data'!N19*EF!$H32)*kgtoGg)</f>
        <v>0.34405437172586711</v>
      </c>
      <c r="O32" s="27">
        <f>IF(('Activity data'!O19*EF!$H32)*kgtoGg=0,"NO",('Activity data'!O19*EF!$H32)*kgtoGg)</f>
        <v>0.34518574950517145</v>
      </c>
      <c r="P32" s="27">
        <f>IF(('Activity data'!P19*EF!$H32)*kgtoGg=0,"NO",('Activity data'!P19*EF!$H32)*kgtoGg)</f>
        <v>0.38865002667416459</v>
      </c>
      <c r="Q32" s="27">
        <f>IF(('Activity data'!Q19*EF!$H32)*kgtoGg=0,"NO",('Activity data'!Q19*EF!$H32)*kgtoGg)</f>
        <v>0.41667182927837593</v>
      </c>
      <c r="R32" s="27">
        <f>IF(('Activity data'!R19*EF!$H32)*kgtoGg=0,"NO",('Activity data'!R19*EF!$H32)*kgtoGg)</f>
        <v>0.40784322178977589</v>
      </c>
      <c r="S32" s="27">
        <f>IF(('Activity data'!S19*EF!$H32)*kgtoGg=0,"NO",('Activity data'!S19*EF!$H32)*kgtoGg)</f>
        <v>0.41872302408484074</v>
      </c>
      <c r="T32" s="27">
        <f>IF(('Activity data'!T19*EF!$H32)*kgtoGg=0,"NO",('Activity data'!T19*EF!$H32)*kgtoGg)</f>
        <v>0.41543664927468582</v>
      </c>
      <c r="U32" s="27">
        <f>IF(('Activity data'!U19*EF!$H32)*kgtoGg=0,"NO",('Activity data'!U19*EF!$H32)*kgtoGg)</f>
        <v>0.39885137894995365</v>
      </c>
      <c r="V32" s="27">
        <f>IF(('Activity data'!V19*EF!$H32)*kgtoGg=0,"NO",('Activity data'!V19*EF!$H32)*kgtoGg)</f>
        <v>0.41331414342789019</v>
      </c>
      <c r="W32" s="27">
        <f>IF(('Activity data'!W19*EF!$H32)*kgtoGg=0,"NO",('Activity data'!W19*EF!$H32)*kgtoGg)</f>
        <v>0.43823720309168573</v>
      </c>
      <c r="X32" s="27">
        <f>IF(('Activity data'!X19*EF!$H32)*kgtoGg=0,"NO",('Activity data'!X19*EF!$H32)*kgtoGg)</f>
        <v>0.48364625743591194</v>
      </c>
      <c r="Y32" s="27">
        <f>IF(('Activity data'!Y19*EF!$H32)*kgtoGg=0,"NO",('Activity data'!Y19*EF!$H32)*kgtoGg)</f>
        <v>0.53523791894516948</v>
      </c>
      <c r="Z32" s="27">
        <f>IF(('Activity data'!Z19*EF!$H32)*kgtoGg=0,"NO",('Activity data'!Z19*EF!$H32)*kgtoGg)</f>
        <v>0.54228693678826778</v>
      </c>
      <c r="AA32" s="27">
        <f>IF(('Activity data'!AA19*EF!$H32)*kgtoGg=0,"NO",('Activity data'!AA19*EF!$H32)*kgtoGg)</f>
        <v>0.52229475326298369</v>
      </c>
      <c r="AB32" s="27">
        <f>IF(('Activity data'!AB19*EF!$H32)*kgtoGg=0,"NO",('Activity data'!AB19*EF!$H32)*kgtoGg)</f>
        <v>0.5426399385673164</v>
      </c>
      <c r="AC32" s="27">
        <f>IF(('Activity data'!AC19*EF!$H32)*kgtoGg=0,"NO",('Activity data'!AC19*EF!$H32)*kgtoGg)</f>
        <v>0.56768674314562217</v>
      </c>
      <c r="AD32" s="27">
        <f>IF(('Activity data'!AD19*EF!$H32)*kgtoGg=0,"NO",('Activity data'!AD19*EF!$H32)*kgtoGg)</f>
        <v>0.55586528215230246</v>
      </c>
      <c r="AE32" s="27">
        <f>IF(('Activity data'!AE19*EF!$H32)*kgtoGg=0,"NO",('Activity data'!AE19*EF!$H32)*kgtoGg)</f>
        <v>0.56716712532642333</v>
      </c>
      <c r="AF32" s="27">
        <f>IF(('Activity data'!AF19*EF!$H32)*kgtoGg=0,"NO",('Activity data'!AF19*EF!$H32)*kgtoGg)</f>
        <v>0.58037790885594753</v>
      </c>
      <c r="AG32" s="27">
        <f>IF(('Activity data'!AG19*EF!$H32)*kgtoGg=0,"NO",('Activity data'!AG19*EF!$H32)*kgtoGg)</f>
        <v>0.5905201523722613</v>
      </c>
      <c r="AH32" s="27">
        <f>IF(('Activity data'!AH19*EF!$H32)*kgtoGg=0,"NO",('Activity data'!AH19*EF!$H32)*kgtoGg)</f>
        <v>0.5986618277459016</v>
      </c>
      <c r="AI32" s="27">
        <f>IF(('Activity data'!AI19*EF!$H32)*kgtoGg=0,"NO",('Activity data'!AI19*EF!$H32)*kgtoGg)</f>
        <v>0.60475451589519691</v>
      </c>
      <c r="AJ32" s="27">
        <f>IF(('Activity data'!AJ19*EF!$H32)*kgtoGg=0,"NO",('Activity data'!AJ19*EF!$H32)*kgtoGg)</f>
        <v>0.61256702388185857</v>
      </c>
      <c r="AK32" s="27">
        <f>IF(('Activity data'!AK19*EF!$H32)*kgtoGg=0,"NO",('Activity data'!AK19*EF!$H32)*kgtoGg)</f>
        <v>0.6206898695388976</v>
      </c>
      <c r="AL32" s="27">
        <f>IF(('Activity data'!AL19*EF!$H32)*kgtoGg=0,"NO",('Activity data'!AL19*EF!$H32)*kgtoGg)</f>
        <v>0.59306384026239212</v>
      </c>
      <c r="AM32" s="27">
        <f>IF(('Activity data'!AM19*EF!$H32)*kgtoGg=0,"NO",('Activity data'!AM19*EF!$H32)*kgtoGg)</f>
        <v>0.60782510553672808</v>
      </c>
      <c r="AN32" s="27">
        <f>IF(('Activity data'!AN19*EF!$H32)*kgtoGg=0,"NO",('Activity data'!AN19*EF!$H32)*kgtoGg)</f>
        <v>0.62749693593989653</v>
      </c>
      <c r="AO32" s="27">
        <f>IF(('Activity data'!AO19*EF!$H32)*kgtoGg=0,"NO",('Activity data'!AO19*EF!$H32)*kgtoGg)</f>
        <v>0.63952779473480192</v>
      </c>
      <c r="AP32" s="27">
        <f>IF(('Activity data'!AP19*EF!$H32)*kgtoGg=0,"NO",('Activity data'!AP19*EF!$H32)*kgtoGg)</f>
        <v>0.65264407206550135</v>
      </c>
      <c r="AQ32" s="27">
        <f>IF(('Activity data'!AQ19*EF!$H32)*kgtoGg=0,"NO",('Activity data'!AQ19*EF!$H32)*kgtoGg)</f>
        <v>0.66717765079794833</v>
      </c>
      <c r="AR32" s="27">
        <f>IF(('Activity data'!AR19*EF!$H32)*kgtoGg=0,"NO",('Activity data'!AR19*EF!$H32)*kgtoGg)</f>
        <v>0.68218893777565714</v>
      </c>
      <c r="AS32" s="27">
        <f>IF(('Activity data'!AS19*EF!$H32)*kgtoGg=0,"NO",('Activity data'!AS19*EF!$H32)*kgtoGg)</f>
        <v>0.6983681341066772</v>
      </c>
      <c r="AT32" s="27">
        <f>IF(('Activity data'!AT19*EF!$H32)*kgtoGg=0,"NO",('Activity data'!AT19*EF!$H32)*kgtoGg)</f>
        <v>0.71491117725499365</v>
      </c>
      <c r="AU32" s="27">
        <f>IF(('Activity data'!AU19*EF!$H32)*kgtoGg=0,"NO",('Activity data'!AU19*EF!$H32)*kgtoGg)</f>
        <v>0.73257463286693114</v>
      </c>
      <c r="AV32" s="27">
        <f>IF(('Activity data'!AV19*EF!$H32)*kgtoGg=0,"NO",('Activity data'!AV19*EF!$H32)*kgtoGg)</f>
        <v>0.7505526685248175</v>
      </c>
      <c r="AW32" s="27">
        <f>IF(('Activity data'!AW19*EF!$H32)*kgtoGg=0,"NO",('Activity data'!AW19*EF!$H32)*kgtoGg)</f>
        <v>0.76994977468450398</v>
      </c>
      <c r="AX32" s="27">
        <f>IF(('Activity data'!AX19*EF!$H32)*kgtoGg=0,"NO",('Activity data'!AX19*EF!$H32)*kgtoGg)</f>
        <v>0.78914658446111008</v>
      </c>
      <c r="AY32" s="27">
        <f>IF(('Activity data'!AY19*EF!$H32)*kgtoGg=0,"NO",('Activity data'!AY19*EF!$H32)*kgtoGg)</f>
        <v>0.80922915626502845</v>
      </c>
      <c r="AZ32" s="27">
        <f>IF(('Activity data'!AZ19*EF!$H32)*kgtoGg=0,"NO",('Activity data'!AZ19*EF!$H32)*kgtoGg)</f>
        <v>0.83151801683952153</v>
      </c>
      <c r="BA32" s="27">
        <f>IF(('Activity data'!BA19*EF!$H32)*kgtoGg=0,"NO",('Activity data'!BA19*EF!$H32)*kgtoGg)</f>
        <v>0.85291597213422199</v>
      </c>
      <c r="BB32" s="27">
        <f>IF(('Activity data'!BB19*EF!$H32)*kgtoGg=0,"NO",('Activity data'!BB19*EF!$H32)*kgtoGg)</f>
        <v>0.87504492147223956</v>
      </c>
      <c r="BC32" s="27">
        <f>IF(('Activity data'!BC19*EF!$H32)*kgtoGg=0,"NO",('Activity data'!BC19*EF!$H32)*kgtoGg)</f>
        <v>0.89850514567918238</v>
      </c>
      <c r="BD32" s="27">
        <f>IF(('Activity data'!BD19*EF!$H32)*kgtoGg=0,"NO",('Activity data'!BD19*EF!$H32)*kgtoGg)</f>
        <v>0.92075676441275556</v>
      </c>
      <c r="BE32" s="27">
        <f>IF(('Activity data'!BE19*EF!$H32)*kgtoGg=0,"NO",('Activity data'!BE19*EF!$H32)*kgtoGg)</f>
        <v>0.94294773672658772</v>
      </c>
      <c r="BF32" s="27">
        <f>IF(('Activity data'!BF19*EF!$H32)*kgtoGg=0,"NO",('Activity data'!BF19*EF!$H32)*kgtoGg)</f>
        <v>0.96512911525862388</v>
      </c>
      <c r="BG32" s="27">
        <f>IF(('Activity data'!BG19*EF!$H32)*kgtoGg=0,"NO",('Activity data'!BG19*EF!$H32)*kgtoGg)</f>
        <v>0.98866250207381989</v>
      </c>
      <c r="BH32" s="27">
        <f>IF(('Activity data'!BH19*EF!$H32)*kgtoGg=0,"NO",('Activity data'!BH19*EF!$H32)*kgtoGg)</f>
        <v>1.0114465581050009</v>
      </c>
      <c r="BI32" s="27">
        <f>IF(('Activity data'!BI19*EF!$H32)*kgtoGg=0,"NO",('Activity data'!BI19*EF!$H32)*kgtoGg)</f>
        <v>1.0350196328361636</v>
      </c>
      <c r="BJ32" s="27">
        <f>IF(('Activity data'!BJ19*EF!$H32)*kgtoGg=0,"NO",('Activity data'!BJ19*EF!$H32)*kgtoGg)</f>
        <v>1.0594801323783987</v>
      </c>
      <c r="BK32" s="27">
        <f>IF(('Activity data'!BK19*EF!$H32)*kgtoGg=0,"NO",('Activity data'!BK19*EF!$H32)*kgtoGg)</f>
        <v>1.0849829625275211</v>
      </c>
      <c r="BL32" s="27">
        <f>IF(('Activity data'!BL19*EF!$H32)*kgtoGg=0,"NO",('Activity data'!BL19*EF!$H32)*kgtoGg)</f>
        <v>1.1111668702046387</v>
      </c>
      <c r="BM32" s="27">
        <f>IF(('Activity data'!BM19*EF!$H32)*kgtoGg=0,"NO",('Activity data'!BM19*EF!$H32)*kgtoGg)</f>
        <v>1.1203381651267506</v>
      </c>
      <c r="BN32" s="27">
        <f>IF(('Activity data'!BN19*EF!$H32)*kgtoGg=0,"NO",('Activity data'!BN19*EF!$H32)*kgtoGg)</f>
        <v>1.1279342308342708</v>
      </c>
      <c r="BO32" s="27">
        <f>IF(('Activity data'!BO19*EF!$H32)*kgtoGg=0,"NO",('Activity data'!BO19*EF!$H32)*kgtoGg)</f>
        <v>1.13323884791937</v>
      </c>
      <c r="BP32" s="27">
        <f>IF(('Activity data'!BP19*EF!$H32)*kgtoGg=0,"NO",('Activity data'!BP19*EF!$H32)*kgtoGg)</f>
        <v>1.137864963271239</v>
      </c>
    </row>
    <row r="33" spans="1:68" x14ac:dyDescent="0.3">
      <c r="A33" t="str">
        <f t="shared" si="1"/>
        <v>3A Livestock</v>
      </c>
      <c r="B33" t="str">
        <f t="shared" si="8"/>
        <v>3A2 Manure management (CH4)</v>
      </c>
      <c r="C33" t="str">
        <f>EF!C33</f>
        <v>3A2i Poultry</v>
      </c>
      <c r="D33" t="str">
        <f>EF!D33</f>
        <v>Commercial broilers</v>
      </c>
      <c r="E33" t="str">
        <f t="shared" si="9"/>
        <v>Manure management Emissions</v>
      </c>
      <c r="F33" t="str">
        <f t="shared" si="6"/>
        <v>CH4</v>
      </c>
      <c r="G33" t="str">
        <f t="shared" si="7"/>
        <v>Gg CH4</v>
      </c>
      <c r="H33" s="27">
        <f>IF(('Activity data'!H20*EF!$H33)*kgtoGg=0,"NO",('Activity data'!H20*EF!$H33)*kgtoGg)</f>
        <v>0.94715547095572861</v>
      </c>
      <c r="I33" s="27">
        <f>IF(('Activity data'!I20*EF!$H33)*kgtoGg=0,"NO",('Activity data'!I20*EF!$H33)*kgtoGg)</f>
        <v>0.89032614384752706</v>
      </c>
      <c r="J33" s="27">
        <f>IF(('Activity data'!J20*EF!$H33)*kgtoGg=0,"NO",('Activity data'!J20*EF!$H33)*kgtoGg)</f>
        <v>0.84142189535323741</v>
      </c>
      <c r="K33" s="27">
        <f>IF(('Activity data'!K20*EF!$H33)*kgtoGg=0,"NO",('Activity data'!K20*EF!$H33)*kgtoGg)</f>
        <v>0.94630052317004854</v>
      </c>
      <c r="L33" s="27">
        <f>IF(('Activity data'!L20*EF!$H33)*kgtoGg=0,"NO",('Activity data'!L20*EF!$H33)*kgtoGg)</f>
        <v>0.93742541753662223</v>
      </c>
      <c r="M33" s="27">
        <f>IF(('Activity data'!M20*EF!$H33)*kgtoGg=0,"NO",('Activity data'!M20*EF!$H33)*kgtoGg)</f>
        <v>1.0730204292114462</v>
      </c>
      <c r="N33" s="27">
        <f>IF(('Activity data'!N20*EF!$H33)*kgtoGg=0,"NO",('Activity data'!N20*EF!$H33)*kgtoGg)</f>
        <v>1.247646180709717</v>
      </c>
      <c r="O33" s="27">
        <f>IF(('Activity data'!O20*EF!$H33)*kgtoGg=0,"NO",('Activity data'!O20*EF!$H33)*kgtoGg)</f>
        <v>1.2699611966563922</v>
      </c>
      <c r="P33" s="27">
        <f>IF(('Activity data'!P20*EF!$H33)*kgtoGg=0,"NO",('Activity data'!P20*EF!$H33)*kgtoGg)</f>
        <v>1.3915382753930494</v>
      </c>
      <c r="Q33" s="27">
        <f>IF(('Activity data'!Q20*EF!$H33)*kgtoGg=0,"NO",('Activity data'!Q20*EF!$H33)*kgtoGg)</f>
        <v>1.452750350288103</v>
      </c>
      <c r="R33" s="27">
        <f>IF(('Activity data'!R20*EF!$H33)*kgtoGg=0,"NO",('Activity data'!R20*EF!$H33)*kgtoGg)</f>
        <v>1.5630523253351984</v>
      </c>
      <c r="S33" s="27">
        <f>IF(('Activity data'!S20*EF!$H33)*kgtoGg=0,"NO",('Activity data'!S20*EF!$H33)*kgtoGg)</f>
        <v>1.5092912592701446</v>
      </c>
      <c r="T33" s="27">
        <f>IF(('Activity data'!T20*EF!$H33)*kgtoGg=0,"NO",('Activity data'!T20*EF!$H33)*kgtoGg)</f>
        <v>1.6727842751343183</v>
      </c>
      <c r="U33" s="27">
        <f>IF(('Activity data'!U20*EF!$H33)*kgtoGg=0,"NO",('Activity data'!U20*EF!$H33)*kgtoGg)</f>
        <v>1.5910703727417843</v>
      </c>
      <c r="V33" s="27">
        <f>IF(('Activity data'!V20*EF!$H33)*kgtoGg=0,"NO",('Activity data'!V20*EF!$H33)*kgtoGg)</f>
        <v>1.6294801995139723</v>
      </c>
      <c r="W33" s="27">
        <f>IF(('Activity data'!W20*EF!$H33)*kgtoGg=0,"NO",('Activity data'!W20*EF!$H33)*kgtoGg)</f>
        <v>1.8029786139907802</v>
      </c>
      <c r="X33" s="27">
        <f>IF(('Activity data'!X20*EF!$H33)*kgtoGg=0,"NO",('Activity data'!X20*EF!$H33)*kgtoGg)</f>
        <v>1.9284541402191151</v>
      </c>
      <c r="Y33" s="27">
        <f>IF(('Activity data'!Y20*EF!$H33)*kgtoGg=0,"NO",('Activity data'!Y20*EF!$H33)*kgtoGg)</f>
        <v>2.0176916356111869</v>
      </c>
      <c r="Z33" s="27">
        <f>IF(('Activity data'!Z20*EF!$H33)*kgtoGg=0,"NO",('Activity data'!Z20*EF!$H33)*kgtoGg)</f>
        <v>2.1482937300650229</v>
      </c>
      <c r="AA33" s="27">
        <f>IF(('Activity data'!AA20*EF!$H33)*kgtoGg=0,"NO",('Activity data'!AA20*EF!$H33)*kgtoGg)</f>
        <v>2.0271503211350299</v>
      </c>
      <c r="AB33" s="27">
        <f>IF(('Activity data'!AB20*EF!$H33)*kgtoGg=0,"NO",('Activity data'!AB20*EF!$H33)*kgtoGg)</f>
        <v>2.078134768114972</v>
      </c>
      <c r="AC33" s="27">
        <f>IF(('Activity data'!AC20*EF!$H33)*kgtoGg=0,"NO",('Activity data'!AC20*EF!$H33)*kgtoGg)</f>
        <v>2.1493361757027292</v>
      </c>
      <c r="AD33" s="27">
        <f>IF(('Activity data'!AD20*EF!$H33)*kgtoGg=0,"NO",('Activity data'!AD20*EF!$H33)*kgtoGg)</f>
        <v>2.2100196981344111</v>
      </c>
      <c r="AE33" s="27">
        <f>IF(('Activity data'!AE20*EF!$H33)*kgtoGg=0,"NO",('Activity data'!AE20*EF!$H33)*kgtoGg)</f>
        <v>2.2391217074451477</v>
      </c>
      <c r="AF33" s="27">
        <f>IF(('Activity data'!AF20*EF!$H33)*kgtoGg=0,"NO",('Activity data'!AF20*EF!$H33)*kgtoGg)</f>
        <v>2.2858678822724823</v>
      </c>
      <c r="AG33" s="27">
        <f>IF(('Activity data'!AG20*EF!$H33)*kgtoGg=0,"NO",('Activity data'!AG20*EF!$H33)*kgtoGg)</f>
        <v>2.2992900748078591</v>
      </c>
      <c r="AH33" s="27">
        <f>IF(('Activity data'!AH20*EF!$H33)*kgtoGg=0,"NO",('Activity data'!AH20*EF!$H33)*kgtoGg)</f>
        <v>2.2910596881616572</v>
      </c>
      <c r="AI33" s="27">
        <f>IF(('Activity data'!AI20*EF!$H33)*kgtoGg=0,"NO",('Activity data'!AI20*EF!$H33)*kgtoGg)</f>
        <v>2.2612642885898917</v>
      </c>
      <c r="AJ33" s="27">
        <f>IF(('Activity data'!AJ20*EF!$H33)*kgtoGg=0,"NO",('Activity data'!AJ20*EF!$H33)*kgtoGg)</f>
        <v>2.2487211059946204</v>
      </c>
      <c r="AK33" s="27">
        <f>IF(('Activity data'!AK20*EF!$H33)*kgtoGg=0,"NO",('Activity data'!AK20*EF!$H33)*kgtoGg)</f>
        <v>2.2390235702415184</v>
      </c>
      <c r="AL33" s="27">
        <f>IF(('Activity data'!AL20*EF!$H33)*kgtoGg=0,"NO",('Activity data'!AL20*EF!$H33)*kgtoGg)</f>
        <v>1.8873806466050964</v>
      </c>
      <c r="AM33" s="27">
        <f>IF(('Activity data'!AM20*EF!$H33)*kgtoGg=0,"NO",('Activity data'!AM20*EF!$H33)*kgtoGg)</f>
        <v>1.9621300984115682</v>
      </c>
      <c r="AN33" s="27">
        <f>IF(('Activity data'!AN20*EF!$H33)*kgtoGg=0,"NO",('Activity data'!AN20*EF!$H33)*kgtoGg)</f>
        <v>2.0814254172868796</v>
      </c>
      <c r="AO33" s="27">
        <f>IF(('Activity data'!AO20*EF!$H33)*kgtoGg=0,"NO",('Activity data'!AO20*EF!$H33)*kgtoGg)</f>
        <v>2.1274151344864149</v>
      </c>
      <c r="AP33" s="27">
        <f>IF(('Activity data'!AP20*EF!$H33)*kgtoGg=0,"NO",('Activity data'!AP20*EF!$H33)*kgtoGg)</f>
        <v>2.1824506881567056</v>
      </c>
      <c r="AQ33" s="27">
        <f>IF(('Activity data'!AQ20*EF!$H33)*kgtoGg=0,"NO",('Activity data'!AQ20*EF!$H33)*kgtoGg)</f>
        <v>2.2493281606911828</v>
      </c>
      <c r="AR33" s="27">
        <f>IF(('Activity data'!AR20*EF!$H33)*kgtoGg=0,"NO",('Activity data'!AR20*EF!$H33)*kgtoGg)</f>
        <v>2.3261233859270511</v>
      </c>
      <c r="AS33" s="27">
        <f>IF(('Activity data'!AS20*EF!$H33)*kgtoGg=0,"NO",('Activity data'!AS20*EF!$H33)*kgtoGg)</f>
        <v>2.4121225146398793</v>
      </c>
      <c r="AT33" s="27">
        <f>IF(('Activity data'!AT20*EF!$H33)*kgtoGg=0,"NO",('Activity data'!AT20*EF!$H33)*kgtoGg)</f>
        <v>2.4999478814416944</v>
      </c>
      <c r="AU33" s="27">
        <f>IF(('Activity data'!AU20*EF!$H33)*kgtoGg=0,"NO",('Activity data'!AU20*EF!$H33)*kgtoGg)</f>
        <v>2.5962654285530302</v>
      </c>
      <c r="AV33" s="27">
        <f>IF(('Activity data'!AV20*EF!$H33)*kgtoGg=0,"NO",('Activity data'!AV20*EF!$H33)*kgtoGg)</f>
        <v>2.6938179504840183</v>
      </c>
      <c r="AW33" s="27">
        <f>IF(('Activity data'!AW20*EF!$H33)*kgtoGg=0,"NO",('Activity data'!AW20*EF!$H33)*kgtoGg)</f>
        <v>2.8076989520027458</v>
      </c>
      <c r="AX33" s="27">
        <f>IF(('Activity data'!AX20*EF!$H33)*kgtoGg=0,"NO",('Activity data'!AX20*EF!$H33)*kgtoGg)</f>
        <v>2.9182147779075716</v>
      </c>
      <c r="AY33" s="27">
        <f>IF(('Activity data'!AY20*EF!$H33)*kgtoGg=0,"NO",('Activity data'!AY20*EF!$H33)*kgtoGg)</f>
        <v>3.0347920342807941</v>
      </c>
      <c r="AZ33" s="27">
        <f>IF(('Activity data'!AZ20*EF!$H33)*kgtoGg=0,"NO",('Activity data'!AZ20*EF!$H33)*kgtoGg)</f>
        <v>3.1685994721864104</v>
      </c>
      <c r="BA33" s="27">
        <f>IF(('Activity data'!BA20*EF!$H33)*kgtoGg=0,"NO",('Activity data'!BA20*EF!$H33)*kgtoGg)</f>
        <v>3.2930349508119656</v>
      </c>
      <c r="BB33" s="27">
        <f>IF(('Activity data'!BB20*EF!$H33)*kgtoGg=0,"NO",('Activity data'!BB20*EF!$H33)*kgtoGg)</f>
        <v>3.427074485424797</v>
      </c>
      <c r="BC33" s="27">
        <f>IF(('Activity data'!BC20*EF!$H33)*kgtoGg=0,"NO",('Activity data'!BC20*EF!$H33)*kgtoGg)</f>
        <v>3.5705841120118782</v>
      </c>
      <c r="BD33" s="27">
        <f>IF(('Activity data'!BD20*EF!$H33)*kgtoGg=0,"NO",('Activity data'!BD20*EF!$H33)*kgtoGg)</f>
        <v>3.702270113838861</v>
      </c>
      <c r="BE33" s="27">
        <f>IF(('Activity data'!BE20*EF!$H33)*kgtoGg=0,"NO",('Activity data'!BE20*EF!$H33)*kgtoGg)</f>
        <v>3.8318633402397859</v>
      </c>
      <c r="BF33" s="27">
        <f>IF(('Activity data'!BF20*EF!$H33)*kgtoGg=0,"NO",('Activity data'!BF20*EF!$H33)*kgtoGg)</f>
        <v>3.9598368656050509</v>
      </c>
      <c r="BG33" s="27">
        <f>IF(('Activity data'!BG20*EF!$H33)*kgtoGg=0,"NO",('Activity data'!BG20*EF!$H33)*kgtoGg)</f>
        <v>4.1020537482739581</v>
      </c>
      <c r="BH33" s="27">
        <f>IF(('Activity data'!BH20*EF!$H33)*kgtoGg=0,"NO",('Activity data'!BH20*EF!$H33)*kgtoGg)</f>
        <v>4.2366042379514601</v>
      </c>
      <c r="BI33" s="27">
        <f>IF(('Activity data'!BI20*EF!$H33)*kgtoGg=0,"NO",('Activity data'!BI20*EF!$H33)*kgtoGg)</f>
        <v>4.376057584996432</v>
      </c>
      <c r="BJ33" s="27">
        <f>IF(('Activity data'!BJ20*EF!$H33)*kgtoGg=0,"NO",('Activity data'!BJ20*EF!$H33)*kgtoGg)</f>
        <v>4.5211331273416295</v>
      </c>
      <c r="BK33" s="27">
        <f>IF(('Activity data'!BK20*EF!$H33)*kgtoGg=0,"NO",('Activity data'!BK20*EF!$H33)*kgtoGg)</f>
        <v>4.67298612402322</v>
      </c>
      <c r="BL33" s="27">
        <f>IF(('Activity data'!BL20*EF!$H33)*kgtoGg=0,"NO",('Activity data'!BL20*EF!$H33)*kgtoGg)</f>
        <v>4.8333405314076359</v>
      </c>
      <c r="BM33" s="27">
        <f>IF(('Activity data'!BM20*EF!$H33)*kgtoGg=0,"NO",('Activity data'!BM20*EF!$H33)*kgtoGg)</f>
        <v>4.8577536687430269</v>
      </c>
      <c r="BN33" s="27">
        <f>IF(('Activity data'!BN20*EF!$H33)*kgtoGg=0,"NO",('Activity data'!BN20*EF!$H33)*kgtoGg)</f>
        <v>4.8696640260341857</v>
      </c>
      <c r="BO33" s="27">
        <f>IF(('Activity data'!BO20*EF!$H33)*kgtoGg=0,"NO",('Activity data'!BO20*EF!$H33)*kgtoGg)</f>
        <v>4.8636695672494161</v>
      </c>
      <c r="BP33" s="27">
        <f>IF(('Activity data'!BP20*EF!$H33)*kgtoGg=0,"NO",('Activity data'!BP20*EF!$H33)*kgtoGg)</f>
        <v>4.8525780818062749</v>
      </c>
    </row>
    <row r="34" spans="1:68" x14ac:dyDescent="0.3">
      <c r="A34" t="str">
        <f t="shared" si="1"/>
        <v>3A Livestock</v>
      </c>
      <c r="B34" t="str">
        <f t="shared" si="8"/>
        <v>3A2 Manure management (CH4)</v>
      </c>
      <c r="C34" t="str">
        <f>EF!C34</f>
        <v>3A2i Poultry</v>
      </c>
      <c r="D34" t="str">
        <f>EF!D34</f>
        <v>Subsistence layers</v>
      </c>
      <c r="E34" t="str">
        <f t="shared" si="9"/>
        <v>Manure management Emissions</v>
      </c>
      <c r="F34" t="str">
        <f t="shared" si="6"/>
        <v>CH4</v>
      </c>
      <c r="G34" t="str">
        <f t="shared" si="7"/>
        <v>Gg CH4</v>
      </c>
      <c r="H34" s="27">
        <f>IF(('Activity data'!H21*EF!$H34)*kgtoGg=0,"NO",('Activity data'!H21*EF!$H34)*kgtoGg)</f>
        <v>1.4453307157161402E-2</v>
      </c>
      <c r="I34" s="27">
        <f>IF(('Activity data'!I21*EF!$H34)*kgtoGg=0,"NO",('Activity data'!I21*EF!$H34)*kgtoGg)</f>
        <v>1.4041171371767878E-2</v>
      </c>
      <c r="J34" s="27">
        <f>IF(('Activity data'!J21*EF!$H34)*kgtoGg=0,"NO",('Activity data'!J21*EF!$H34)*kgtoGg)</f>
        <v>1.3317074332271103E-2</v>
      </c>
      <c r="K34" s="27">
        <f>IF(('Activity data'!K21*EF!$H34)*kgtoGg=0,"NO",('Activity data'!K21*EF!$H34)*kgtoGg)</f>
        <v>1.3107686778593537E-2</v>
      </c>
      <c r="L34" s="27">
        <f>IF(('Activity data'!L21*EF!$H34)*kgtoGg=0,"NO",('Activity data'!L21*EF!$H34)*kgtoGg)</f>
        <v>1.2537549597918361E-2</v>
      </c>
      <c r="M34" s="27">
        <f>IF(('Activity data'!M21*EF!$H34)*kgtoGg=0,"NO",('Activity data'!M21*EF!$H34)*kgtoGg)</f>
        <v>1.368002708163215E-2</v>
      </c>
      <c r="N34" s="27">
        <f>IF(('Activity data'!N21*EF!$H34)*kgtoGg=0,"NO",('Activity data'!N21*EF!$H34)*kgtoGg)</f>
        <v>1.445028361248642E-2</v>
      </c>
      <c r="O34" s="27">
        <f>IF(('Activity data'!O21*EF!$H34)*kgtoGg=0,"NO",('Activity data'!O21*EF!$H34)*kgtoGg)</f>
        <v>1.4497801479217198E-2</v>
      </c>
      <c r="P34" s="27">
        <f>IF(('Activity data'!P21*EF!$H34)*kgtoGg=0,"NO",('Activity data'!P21*EF!$H34)*kgtoGg)</f>
        <v>1.6323301120314916E-2</v>
      </c>
      <c r="Q34" s="27">
        <f>IF(('Activity data'!Q21*EF!$H34)*kgtoGg=0,"NO",('Activity data'!Q21*EF!$H34)*kgtoGg)</f>
        <v>1.750021682969179E-2</v>
      </c>
      <c r="R34" s="27">
        <f>IF(('Activity data'!R21*EF!$H34)*kgtoGg=0,"NO",('Activity data'!R21*EF!$H34)*kgtoGg)</f>
        <v>1.7129415315170586E-2</v>
      </c>
      <c r="S34" s="27">
        <f>IF(('Activity data'!S21*EF!$H34)*kgtoGg=0,"NO",('Activity data'!S21*EF!$H34)*kgtoGg)</f>
        <v>1.7586367011563315E-2</v>
      </c>
      <c r="T34" s="27">
        <f>IF(('Activity data'!T21*EF!$H34)*kgtoGg=0,"NO",('Activity data'!T21*EF!$H34)*kgtoGg)</f>
        <v>1.7448339269536806E-2</v>
      </c>
      <c r="U34" s="27">
        <f>IF(('Activity data'!U21*EF!$H34)*kgtoGg=0,"NO",('Activity data'!U21*EF!$H34)*kgtoGg)</f>
        <v>1.6751757915898054E-2</v>
      </c>
      <c r="V34" s="27">
        <f>IF(('Activity data'!V21*EF!$H34)*kgtoGg=0,"NO",('Activity data'!V21*EF!$H34)*kgtoGg)</f>
        <v>1.7359194023971385E-2</v>
      </c>
      <c r="W34" s="27">
        <f>IF(('Activity data'!W21*EF!$H34)*kgtoGg=0,"NO",('Activity data'!W21*EF!$H34)*kgtoGg)</f>
        <v>1.8405962529850804E-2</v>
      </c>
      <c r="X34" s="27">
        <f>IF(('Activity data'!X21*EF!$H34)*kgtoGg=0,"NO",('Activity data'!X21*EF!$H34)*kgtoGg)</f>
        <v>2.0313142812308307E-2</v>
      </c>
      <c r="Y34" s="27">
        <f>IF(('Activity data'!Y21*EF!$H34)*kgtoGg=0,"NO",('Activity data'!Y21*EF!$H34)*kgtoGg)</f>
        <v>2.2479992595697124E-2</v>
      </c>
      <c r="Z34" s="27">
        <f>IF(('Activity data'!Z21*EF!$H34)*kgtoGg=0,"NO",('Activity data'!Z21*EF!$H34)*kgtoGg)</f>
        <v>2.277605134510725E-2</v>
      </c>
      <c r="AA34" s="27">
        <f>IF(('Activity data'!AA21*EF!$H34)*kgtoGg=0,"NO",('Activity data'!AA21*EF!$H34)*kgtoGg)</f>
        <v>2.1936379637045315E-2</v>
      </c>
      <c r="AB34" s="27">
        <f>IF(('Activity data'!AB21*EF!$H34)*kgtoGg=0,"NO",('Activity data'!AB21*EF!$H34)*kgtoGg)</f>
        <v>2.2790877419827285E-2</v>
      </c>
      <c r="AC34" s="27">
        <f>IF(('Activity data'!AC21*EF!$H34)*kgtoGg=0,"NO",('Activity data'!AC21*EF!$H34)*kgtoGg)</f>
        <v>2.3842843212116133E-2</v>
      </c>
      <c r="AD34" s="27">
        <f>IF(('Activity data'!AD21*EF!$H34)*kgtoGg=0,"NO",('Activity data'!AD21*EF!$H34)*kgtoGg)</f>
        <v>2.3161053423012622E-2</v>
      </c>
      <c r="AE34" s="27">
        <f>IF(('Activity data'!AE21*EF!$H34)*kgtoGg=0,"NO",('Activity data'!AE21*EF!$H34)*kgtoGg)</f>
        <v>2.3631963555267657E-2</v>
      </c>
      <c r="AF34" s="27">
        <f>IF(('Activity data'!AF21*EF!$H34)*kgtoGg=0,"NO",('Activity data'!AF21*EF!$H34)*kgtoGg)</f>
        <v>2.4182412868997839E-2</v>
      </c>
      <c r="AG34" s="27">
        <f>IF(('Activity data'!AG21*EF!$H34)*kgtoGg=0,"NO",('Activity data'!AG21*EF!$H34)*kgtoGg)</f>
        <v>2.460500634884424E-2</v>
      </c>
      <c r="AH34" s="27">
        <f>IF(('Activity data'!AH21*EF!$H34)*kgtoGg=0,"NO",('Activity data'!AH21*EF!$H34)*kgtoGg)</f>
        <v>2.4944242822745925E-2</v>
      </c>
      <c r="AI34" s="27">
        <f>IF(('Activity data'!AI21*EF!$H34)*kgtoGg=0,"NO",('Activity data'!AI21*EF!$H34)*kgtoGg)</f>
        <v>2.5198104828966561E-2</v>
      </c>
      <c r="AJ34" s="27">
        <f>IF(('Activity data'!AJ21*EF!$H34)*kgtoGg=0,"NO",('Activity data'!AJ21*EF!$H34)*kgtoGg)</f>
        <v>2.5523625995077459E-2</v>
      </c>
      <c r="AK34" s="27">
        <f>IF(('Activity data'!AK21*EF!$H34)*kgtoGg=0,"NO",('Activity data'!AK21*EF!$H34)*kgtoGg)</f>
        <v>2.5862077897454098E-2</v>
      </c>
      <c r="AL34" s="27">
        <f>IF(('Activity data'!AL21*EF!$H34)*kgtoGg=0,"NO",('Activity data'!AL21*EF!$H34)*kgtoGg)</f>
        <v>2.4710993344266366E-2</v>
      </c>
      <c r="AM34" s="27">
        <f>IF(('Activity data'!AM21*EF!$H34)*kgtoGg=0,"NO",('Activity data'!AM21*EF!$H34)*kgtoGg)</f>
        <v>2.5326046064030362E-2</v>
      </c>
      <c r="AN34" s="27">
        <f>IF(('Activity data'!AN21*EF!$H34)*kgtoGg=0,"NO",('Activity data'!AN21*EF!$H34)*kgtoGg)</f>
        <v>2.6145705664162376E-2</v>
      </c>
      <c r="AO34" s="27">
        <f>IF(('Activity data'!AO21*EF!$H34)*kgtoGg=0,"NO",('Activity data'!AO21*EF!$H34)*kgtoGg)</f>
        <v>2.6646991447283438E-2</v>
      </c>
      <c r="AP34" s="27">
        <f>IF(('Activity data'!AP21*EF!$H34)*kgtoGg=0,"NO",('Activity data'!AP21*EF!$H34)*kgtoGg)</f>
        <v>2.7193503002729248E-2</v>
      </c>
      <c r="AQ34" s="27">
        <f>IF(('Activity data'!AQ21*EF!$H34)*kgtoGg=0,"NO",('Activity data'!AQ21*EF!$H34)*kgtoGg)</f>
        <v>2.7799068783247873E-2</v>
      </c>
      <c r="AR34" s="27">
        <f>IF(('Activity data'!AR21*EF!$H34)*kgtoGg=0,"NO",('Activity data'!AR21*EF!$H34)*kgtoGg)</f>
        <v>2.842453907398574E-2</v>
      </c>
      <c r="AS34" s="27">
        <f>IF(('Activity data'!AS21*EF!$H34)*kgtoGg=0,"NO",('Activity data'!AS21*EF!$H34)*kgtoGg)</f>
        <v>2.9098672254444909E-2</v>
      </c>
      <c r="AT34" s="27">
        <f>IF(('Activity data'!AT21*EF!$H34)*kgtoGg=0,"NO",('Activity data'!AT21*EF!$H34)*kgtoGg)</f>
        <v>2.9787965718958094E-2</v>
      </c>
      <c r="AU34" s="27">
        <f>IF(('Activity data'!AU21*EF!$H34)*kgtoGg=0,"NO",('Activity data'!AU21*EF!$H34)*kgtoGg)</f>
        <v>3.0523943036122159E-2</v>
      </c>
      <c r="AV34" s="27">
        <f>IF(('Activity data'!AV21*EF!$H34)*kgtoGg=0,"NO",('Activity data'!AV21*EF!$H34)*kgtoGg)</f>
        <v>3.1273027855200759E-2</v>
      </c>
      <c r="AW34" s="27">
        <f>IF(('Activity data'!AW21*EF!$H34)*kgtoGg=0,"NO",('Activity data'!AW21*EF!$H34)*kgtoGg)</f>
        <v>3.2081240611854363E-2</v>
      </c>
      <c r="AX34" s="27">
        <f>IF(('Activity data'!AX21*EF!$H34)*kgtoGg=0,"NO",('Activity data'!AX21*EF!$H34)*kgtoGg)</f>
        <v>3.2881107685879617E-2</v>
      </c>
      <c r="AY34" s="27">
        <f>IF(('Activity data'!AY21*EF!$H34)*kgtoGg=0,"NO",('Activity data'!AY21*EF!$H34)*kgtoGg)</f>
        <v>3.3717881511042887E-2</v>
      </c>
      <c r="AZ34" s="27">
        <f>IF(('Activity data'!AZ21*EF!$H34)*kgtoGg=0,"NO",('Activity data'!AZ21*EF!$H34)*kgtoGg)</f>
        <v>3.4646584034980096E-2</v>
      </c>
      <c r="BA34" s="27">
        <f>IF(('Activity data'!BA21*EF!$H34)*kgtoGg=0,"NO",('Activity data'!BA21*EF!$H34)*kgtoGg)</f>
        <v>3.5538165505592613E-2</v>
      </c>
      <c r="BB34" s="27">
        <f>IF(('Activity data'!BB21*EF!$H34)*kgtoGg=0,"NO",('Activity data'!BB21*EF!$H34)*kgtoGg)</f>
        <v>3.6460205061343343E-2</v>
      </c>
      <c r="BC34" s="27">
        <f>IF(('Activity data'!BC21*EF!$H34)*kgtoGg=0,"NO",('Activity data'!BC21*EF!$H34)*kgtoGg)</f>
        <v>3.7437714403299294E-2</v>
      </c>
      <c r="BD34" s="27">
        <f>IF(('Activity data'!BD21*EF!$H34)*kgtoGg=0,"NO",('Activity data'!BD21*EF!$H34)*kgtoGg)</f>
        <v>3.8364865183864859E-2</v>
      </c>
      <c r="BE34" s="27">
        <f>IF(('Activity data'!BE21*EF!$H34)*kgtoGg=0,"NO",('Activity data'!BE21*EF!$H34)*kgtoGg)</f>
        <v>3.9289489030274523E-2</v>
      </c>
      <c r="BF34" s="27">
        <f>IF(('Activity data'!BF21*EF!$H34)*kgtoGg=0,"NO",('Activity data'!BF21*EF!$H34)*kgtoGg)</f>
        <v>4.0213713135776041E-2</v>
      </c>
      <c r="BG34" s="27">
        <f>IF(('Activity data'!BG21*EF!$H34)*kgtoGg=0,"NO",('Activity data'!BG21*EF!$H34)*kgtoGg)</f>
        <v>4.1194270919742537E-2</v>
      </c>
      <c r="BH34" s="27">
        <f>IF(('Activity data'!BH21*EF!$H34)*kgtoGg=0,"NO",('Activity data'!BH21*EF!$H34)*kgtoGg)</f>
        <v>4.2143606587708417E-2</v>
      </c>
      <c r="BI34" s="27">
        <f>IF(('Activity data'!BI21*EF!$H34)*kgtoGg=0,"NO",('Activity data'!BI21*EF!$H34)*kgtoGg)</f>
        <v>4.312581803484019E-2</v>
      </c>
      <c r="BJ34" s="27">
        <f>IF(('Activity data'!BJ21*EF!$H34)*kgtoGg=0,"NO",('Activity data'!BJ21*EF!$H34)*kgtoGg)</f>
        <v>4.4145005515766646E-2</v>
      </c>
      <c r="BK34" s="27">
        <f>IF(('Activity data'!BK21*EF!$H34)*kgtoGg=0,"NO",('Activity data'!BK21*EF!$H34)*kgtoGg)</f>
        <v>4.5207623438646753E-2</v>
      </c>
      <c r="BL34" s="27">
        <f>IF(('Activity data'!BL21*EF!$H34)*kgtoGg=0,"NO",('Activity data'!BL21*EF!$H34)*kgtoGg)</f>
        <v>4.6298619591859998E-2</v>
      </c>
      <c r="BM34" s="27">
        <f>IF(('Activity data'!BM21*EF!$H34)*kgtoGg=0,"NO",('Activity data'!BM21*EF!$H34)*kgtoGg)</f>
        <v>4.6680756880281324E-2</v>
      </c>
      <c r="BN34" s="27">
        <f>IF(('Activity data'!BN21*EF!$H34)*kgtoGg=0,"NO",('Activity data'!BN21*EF!$H34)*kgtoGg)</f>
        <v>4.6997259618094658E-2</v>
      </c>
      <c r="BO34" s="27">
        <f>IF(('Activity data'!BO21*EF!$H34)*kgtoGg=0,"NO",('Activity data'!BO21*EF!$H34)*kgtoGg)</f>
        <v>4.721828532997379E-2</v>
      </c>
      <c r="BP34" s="27">
        <f>IF(('Activity data'!BP21*EF!$H34)*kgtoGg=0,"NO",('Activity data'!BP21*EF!$H34)*kgtoGg)</f>
        <v>4.7411040136301673E-2</v>
      </c>
    </row>
    <row r="35" spans="1:68" x14ac:dyDescent="0.3">
      <c r="A35" t="str">
        <f t="shared" si="1"/>
        <v>3A Livestock</v>
      </c>
      <c r="B35" t="str">
        <f t="shared" si="8"/>
        <v>3A2 Manure management (CH4)</v>
      </c>
      <c r="C35" t="str">
        <f>EF!C35</f>
        <v>3A2i Poultry</v>
      </c>
      <c r="D35" t="str">
        <f>EF!D35</f>
        <v>Subsistence broilers</v>
      </c>
      <c r="E35" t="str">
        <f t="shared" si="9"/>
        <v>Manure management Emissions</v>
      </c>
      <c r="F35" t="str">
        <f t="shared" si="6"/>
        <v>CH4</v>
      </c>
      <c r="G35" t="str">
        <f t="shared" si="7"/>
        <v>Gg CH4</v>
      </c>
      <c r="H35" s="27">
        <f>IF(('Activity data'!H22*EF!$H35)*kgtoGg=0,"NO",('Activity data'!H22*EF!$H35)*kgtoGg)</f>
        <v>3.97805297801406E-2</v>
      </c>
      <c r="I35" s="27">
        <f>IF(('Activity data'!I22*EF!$H35)*kgtoGg=0,"NO",('Activity data'!I22*EF!$H35)*kgtoGg)</f>
        <v>3.7393698041596139E-2</v>
      </c>
      <c r="J35" s="27">
        <f>IF(('Activity data'!J22*EF!$H35)*kgtoGg=0,"NO",('Activity data'!J22*EF!$H35)*kgtoGg)</f>
        <v>3.5339719604835972E-2</v>
      </c>
      <c r="K35" s="27">
        <f>IF(('Activity data'!K22*EF!$H35)*kgtoGg=0,"NO",('Activity data'!K22*EF!$H35)*kgtoGg)</f>
        <v>3.974462197314204E-2</v>
      </c>
      <c r="L35" s="27">
        <f>IF(('Activity data'!L22*EF!$H35)*kgtoGg=0,"NO",('Activity data'!L22*EF!$H35)*kgtoGg)</f>
        <v>3.9371867536538138E-2</v>
      </c>
      <c r="M35" s="27">
        <f>IF(('Activity data'!M22*EF!$H35)*kgtoGg=0,"NO",('Activity data'!M22*EF!$H35)*kgtoGg)</f>
        <v>4.5066858026880756E-2</v>
      </c>
      <c r="N35" s="27">
        <f>IF(('Activity data'!N22*EF!$H35)*kgtoGg=0,"NO",('Activity data'!N22*EF!$H35)*kgtoGg)</f>
        <v>5.2401139589808118E-2</v>
      </c>
      <c r="O35" s="27">
        <f>IF(('Activity data'!O22*EF!$H35)*kgtoGg=0,"NO",('Activity data'!O22*EF!$H35)*kgtoGg)</f>
        <v>5.3338370259568474E-2</v>
      </c>
      <c r="P35" s="27">
        <f>IF(('Activity data'!P22*EF!$H35)*kgtoGg=0,"NO",('Activity data'!P22*EF!$H35)*kgtoGg)</f>
        <v>5.8444607566508086E-2</v>
      </c>
      <c r="Q35" s="27">
        <f>IF(('Activity data'!Q22*EF!$H35)*kgtoGg=0,"NO",('Activity data'!Q22*EF!$H35)*kgtoGg)</f>
        <v>6.101551471210033E-2</v>
      </c>
      <c r="R35" s="27">
        <f>IF(('Activity data'!R22*EF!$H35)*kgtoGg=0,"NO",('Activity data'!R22*EF!$H35)*kgtoGg)</f>
        <v>6.5648197664078339E-2</v>
      </c>
      <c r="S35" s="27">
        <f>IF(('Activity data'!S22*EF!$H35)*kgtoGg=0,"NO",('Activity data'!S22*EF!$H35)*kgtoGg)</f>
        <v>6.3390232889346088E-2</v>
      </c>
      <c r="T35" s="27">
        <f>IF(('Activity data'!T22*EF!$H35)*kgtoGg=0,"NO",('Activity data'!T22*EF!$H35)*kgtoGg)</f>
        <v>7.0256939555641371E-2</v>
      </c>
      <c r="U35" s="27">
        <f>IF(('Activity data'!U22*EF!$H35)*kgtoGg=0,"NO",('Activity data'!U22*EF!$H35)*kgtoGg)</f>
        <v>6.6824955655154963E-2</v>
      </c>
      <c r="V35" s="27">
        <f>IF(('Activity data'!V22*EF!$H35)*kgtoGg=0,"NO",('Activity data'!V22*EF!$H35)*kgtoGg)</f>
        <v>6.8438168379586828E-2</v>
      </c>
      <c r="W35" s="27">
        <f>IF(('Activity data'!W22*EF!$H35)*kgtoGg=0,"NO",('Activity data'!W22*EF!$H35)*kgtoGg)</f>
        <v>7.572510178761277E-2</v>
      </c>
      <c r="X35" s="27">
        <f>IF(('Activity data'!X22*EF!$H35)*kgtoGg=0,"NO",('Activity data'!X22*EF!$H35)*kgtoGg)</f>
        <v>8.0995073889202837E-2</v>
      </c>
      <c r="Y35" s="27">
        <f>IF(('Activity data'!Y22*EF!$H35)*kgtoGg=0,"NO",('Activity data'!Y22*EF!$H35)*kgtoGg)</f>
        <v>8.474304869566987E-2</v>
      </c>
      <c r="Z35" s="27">
        <f>IF(('Activity data'!Z22*EF!$H35)*kgtoGg=0,"NO",('Activity data'!Z22*EF!$H35)*kgtoGg)</f>
        <v>9.0228336662730974E-2</v>
      </c>
      <c r="AA35" s="27">
        <f>IF(('Activity data'!AA22*EF!$H35)*kgtoGg=0,"NO",('Activity data'!AA22*EF!$H35)*kgtoGg)</f>
        <v>8.514031348767126E-2</v>
      </c>
      <c r="AB35" s="27">
        <f>IF(('Activity data'!AB22*EF!$H35)*kgtoGg=0,"NO",('Activity data'!AB22*EF!$H35)*kgtoGg)</f>
        <v>8.7281660260828828E-2</v>
      </c>
      <c r="AC35" s="27">
        <f>IF(('Activity data'!AC22*EF!$H35)*kgtoGg=0,"NO",('Activity data'!AC22*EF!$H35)*kgtoGg)</f>
        <v>9.027211937951464E-2</v>
      </c>
      <c r="AD35" s="27">
        <f>IF(('Activity data'!AD22*EF!$H35)*kgtoGg=0,"NO",('Activity data'!AD22*EF!$H35)*kgtoGg)</f>
        <v>9.2084154088933862E-2</v>
      </c>
      <c r="AE35" s="27">
        <f>IF(('Activity data'!AE22*EF!$H35)*kgtoGg=0,"NO",('Activity data'!AE22*EF!$H35)*kgtoGg)</f>
        <v>9.3296737810214581E-2</v>
      </c>
      <c r="AF35" s="27">
        <f>IF(('Activity data'!AF22*EF!$H35)*kgtoGg=0,"NO",('Activity data'!AF22*EF!$H35)*kgtoGg)</f>
        <v>9.5244495094686854E-2</v>
      </c>
      <c r="AG35" s="27">
        <f>IF(('Activity data'!AG22*EF!$H35)*kgtoGg=0,"NO",('Activity data'!AG22*EF!$H35)*kgtoGg)</f>
        <v>9.5803753116994225E-2</v>
      </c>
      <c r="AH35" s="27">
        <f>IF(('Activity data'!AH22*EF!$H35)*kgtoGg=0,"NO",('Activity data'!AH22*EF!$H35)*kgtoGg)</f>
        <v>9.5460820340069155E-2</v>
      </c>
      <c r="AI35" s="27">
        <f>IF(('Activity data'!AI22*EF!$H35)*kgtoGg=0,"NO",('Activity data'!AI22*EF!$H35)*kgtoGg)</f>
        <v>9.4219345357912251E-2</v>
      </c>
      <c r="AJ35" s="27">
        <f>IF(('Activity data'!AJ22*EF!$H35)*kgtoGg=0,"NO",('Activity data'!AJ22*EF!$H35)*kgtoGg)</f>
        <v>9.3696712749775937E-2</v>
      </c>
      <c r="AK35" s="27">
        <f>IF(('Activity data'!AK22*EF!$H35)*kgtoGg=0,"NO",('Activity data'!AK22*EF!$H35)*kgtoGg)</f>
        <v>9.3292648760063338E-2</v>
      </c>
      <c r="AL35" s="27">
        <f>IF(('Activity data'!AL22*EF!$H35)*kgtoGg=0,"NO",('Activity data'!AL22*EF!$H35)*kgtoGg)</f>
        <v>7.8640860275212429E-2</v>
      </c>
      <c r="AM35" s="27">
        <f>IF(('Activity data'!AM22*EF!$H35)*kgtoGg=0,"NO",('Activity data'!AM22*EF!$H35)*kgtoGg)</f>
        <v>8.1755420767148743E-2</v>
      </c>
      <c r="AN35" s="27">
        <f>IF(('Activity data'!AN22*EF!$H35)*kgtoGg=0,"NO",('Activity data'!AN22*EF!$H35)*kgtoGg)</f>
        <v>8.6726059053620061E-2</v>
      </c>
      <c r="AO35" s="27">
        <f>IF(('Activity data'!AO22*EF!$H35)*kgtoGg=0,"NO",('Activity data'!AO22*EF!$H35)*kgtoGg)</f>
        <v>8.8642297270267373E-2</v>
      </c>
      <c r="AP35" s="27">
        <f>IF(('Activity data'!AP22*EF!$H35)*kgtoGg=0,"NO",('Activity data'!AP22*EF!$H35)*kgtoGg)</f>
        <v>9.0935445339862836E-2</v>
      </c>
      <c r="AQ35" s="27">
        <f>IF(('Activity data'!AQ22*EF!$H35)*kgtoGg=0,"NO",('Activity data'!AQ22*EF!$H35)*kgtoGg)</f>
        <v>9.3722006695466042E-2</v>
      </c>
      <c r="AR35" s="27">
        <f>IF(('Activity data'!AR22*EF!$H35)*kgtoGg=0,"NO",('Activity data'!AR22*EF!$H35)*kgtoGg)</f>
        <v>9.6921807746960562E-2</v>
      </c>
      <c r="AS35" s="27">
        <f>IF(('Activity data'!AS22*EF!$H35)*kgtoGg=0,"NO",('Activity data'!AS22*EF!$H35)*kgtoGg)</f>
        <v>0.10050510477666173</v>
      </c>
      <c r="AT35" s="27">
        <f>IF(('Activity data'!AT22*EF!$H35)*kgtoGg=0,"NO",('Activity data'!AT22*EF!$H35)*kgtoGg)</f>
        <v>0.10416449506007071</v>
      </c>
      <c r="AU35" s="27">
        <f>IF(('Activity data'!AU22*EF!$H35)*kgtoGg=0,"NO",('Activity data'!AU22*EF!$H35)*kgtoGg)</f>
        <v>0.10817772618970968</v>
      </c>
      <c r="AV35" s="27">
        <f>IF(('Activity data'!AV22*EF!$H35)*kgtoGg=0,"NO",('Activity data'!AV22*EF!$H35)*kgtoGg)</f>
        <v>0.11224241460350089</v>
      </c>
      <c r="AW35" s="27">
        <f>IF(('Activity data'!AW22*EF!$H35)*kgtoGg=0,"NO",('Activity data'!AW22*EF!$H35)*kgtoGg)</f>
        <v>0.11698745633344786</v>
      </c>
      <c r="AX35" s="27">
        <f>IF(('Activity data'!AX22*EF!$H35)*kgtoGg=0,"NO",('Activity data'!AX22*EF!$H35)*kgtoGg)</f>
        <v>0.12159228241281558</v>
      </c>
      <c r="AY35" s="27">
        <f>IF(('Activity data'!AY22*EF!$H35)*kgtoGg=0,"NO",('Activity data'!AY22*EF!$H35)*kgtoGg)</f>
        <v>0.12644966809503322</v>
      </c>
      <c r="AZ35" s="27">
        <f>IF(('Activity data'!AZ22*EF!$H35)*kgtoGg=0,"NO",('Activity data'!AZ22*EF!$H35)*kgtoGg)</f>
        <v>0.13202497800776722</v>
      </c>
      <c r="BA35" s="27">
        <f>IF(('Activity data'!BA22*EF!$H35)*kgtoGg=0,"NO",('Activity data'!BA22*EF!$H35)*kgtoGg)</f>
        <v>0.13720978961716535</v>
      </c>
      <c r="BB35" s="27">
        <f>IF(('Activity data'!BB22*EF!$H35)*kgtoGg=0,"NO",('Activity data'!BB22*EF!$H35)*kgtoGg)</f>
        <v>0.14279477022603335</v>
      </c>
      <c r="BC35" s="27">
        <f>IF(('Activity data'!BC22*EF!$H35)*kgtoGg=0,"NO",('Activity data'!BC22*EF!$H35)*kgtoGg)</f>
        <v>0.14877433800049503</v>
      </c>
      <c r="BD35" s="27">
        <f>IF(('Activity data'!BD22*EF!$H35)*kgtoGg=0,"NO",('Activity data'!BD22*EF!$H35)*kgtoGg)</f>
        <v>0.15426125474328603</v>
      </c>
      <c r="BE35" s="27">
        <f>IF(('Activity data'!BE22*EF!$H35)*kgtoGg=0,"NO",('Activity data'!BE22*EF!$H35)*kgtoGg)</f>
        <v>0.15966097250999123</v>
      </c>
      <c r="BF35" s="27">
        <f>IF(('Activity data'!BF22*EF!$H35)*kgtoGg=0,"NO",('Activity data'!BF22*EF!$H35)*kgtoGg)</f>
        <v>0.16499320273354395</v>
      </c>
      <c r="BG35" s="27">
        <f>IF(('Activity data'!BG22*EF!$H35)*kgtoGg=0,"NO",('Activity data'!BG22*EF!$H35)*kgtoGg)</f>
        <v>0.17091890617808173</v>
      </c>
      <c r="BH35" s="27">
        <f>IF(('Activity data'!BH22*EF!$H35)*kgtoGg=0,"NO",('Activity data'!BH22*EF!$H35)*kgtoGg)</f>
        <v>0.17652517658131101</v>
      </c>
      <c r="BI35" s="27">
        <f>IF(('Activity data'!BI22*EF!$H35)*kgtoGg=0,"NO",('Activity data'!BI22*EF!$H35)*kgtoGg)</f>
        <v>0.18233573270818484</v>
      </c>
      <c r="BJ35" s="27">
        <f>IF(('Activity data'!BJ22*EF!$H35)*kgtoGg=0,"NO",('Activity data'!BJ22*EF!$H35)*kgtoGg)</f>
        <v>0.18838054697256806</v>
      </c>
      <c r="BK35" s="27">
        <f>IF(('Activity data'!BK22*EF!$H35)*kgtoGg=0,"NO",('Activity data'!BK22*EF!$H35)*kgtoGg)</f>
        <v>0.19470775516763436</v>
      </c>
      <c r="BL35" s="27">
        <f>IF(('Activity data'!BL22*EF!$H35)*kgtoGg=0,"NO",('Activity data'!BL22*EF!$H35)*kgtoGg)</f>
        <v>0.2013891888086517</v>
      </c>
      <c r="BM35" s="27">
        <f>IF(('Activity data'!BM22*EF!$H35)*kgtoGg=0,"NO",('Activity data'!BM22*EF!$H35)*kgtoGg)</f>
        <v>0.20240640286429301</v>
      </c>
      <c r="BN35" s="27">
        <f>IF(('Activity data'!BN22*EF!$H35)*kgtoGg=0,"NO",('Activity data'!BN22*EF!$H35)*kgtoGg)</f>
        <v>0.20290266775142457</v>
      </c>
      <c r="BO35" s="27">
        <f>IF(('Activity data'!BO22*EF!$H35)*kgtoGg=0,"NO",('Activity data'!BO22*EF!$H35)*kgtoGg)</f>
        <v>0.20265289863539254</v>
      </c>
      <c r="BP35" s="27">
        <f>IF(('Activity data'!BP22*EF!$H35)*kgtoGg=0,"NO",('Activity data'!BP22*EF!$H35)*kgtoGg)</f>
        <v>0.20219075340859499</v>
      </c>
    </row>
    <row r="36" spans="1:68" x14ac:dyDescent="0.3">
      <c r="A36" t="str">
        <f t="shared" si="1"/>
        <v>3A Livestock</v>
      </c>
      <c r="B36" t="str">
        <f>'IPCC Categories'!B20</f>
        <v>3A2 Manure management (N2O)</v>
      </c>
      <c r="C36" t="str">
        <f>EF!C54</f>
        <v>3A1ai Dairy cattle</v>
      </c>
      <c r="D36" t="str">
        <f>EF!D54</f>
        <v>TMR</v>
      </c>
      <c r="E36" t="str">
        <f t="shared" si="9"/>
        <v>Manure management Emissions</v>
      </c>
      <c r="F36" t="s">
        <v>139</v>
      </c>
      <c r="G36" t="s">
        <v>287</v>
      </c>
      <c r="H36" s="27">
        <f>IF(('Activity data'!H5*EF!$H36*EF!$H54)*NtoN2O*kgtoGg=0,"NO",('Activity data'!H5*EF!$H36*EF!$H54)*NtoN2O*kgtoGg)</f>
        <v>4.916153684584277E-2</v>
      </c>
      <c r="I36" s="27">
        <f>IF(('Activity data'!I5*EF!$H36*EF!$H54)*NtoN2O*kgtoGg=0,"NO",('Activity data'!I5*EF!$H36*EF!$H54)*NtoN2O*kgtoGg)</f>
        <v>5.6597698456454765E-2</v>
      </c>
      <c r="J36" s="27">
        <f>IF(('Activity data'!J5*EF!$H36*EF!$H54)*NtoN2O*kgtoGg=0,"NO",('Activity data'!J5*EF!$H36*EF!$H54)*NtoN2O*kgtoGg)</f>
        <v>4.8964332321604243E-2</v>
      </c>
      <c r="K36" s="27">
        <f>IF(('Activity data'!K5*EF!$H36*EF!$H54)*NtoN2O*kgtoGg=0,"NO",('Activity data'!K5*EF!$H36*EF!$H54)*NtoN2O*kgtoGg)</f>
        <v>5.1931263309866894E-2</v>
      </c>
      <c r="L36" s="27">
        <f>IF(('Activity data'!L5*EF!$H36*EF!$H54)*NtoN2O*kgtoGg=0,"NO",('Activity data'!L5*EF!$H36*EF!$H54)*NtoN2O*kgtoGg)</f>
        <v>4.8175514224650169E-2</v>
      </c>
      <c r="M36" s="27">
        <f>IF(('Activity data'!M5*EF!$H36*EF!$H54)*NtoN2O*kgtoGg=0,"NO",('Activity data'!M5*EF!$H36*EF!$H54)*NtoN2O*kgtoGg)</f>
        <v>5.1536854261389861E-2</v>
      </c>
      <c r="N36" s="27">
        <f>IF(('Activity data'!N5*EF!$H36*EF!$H54)*NtoN2O*kgtoGg=0,"NO",('Activity data'!N5*EF!$H36*EF!$H54)*NtoN2O*kgtoGg)</f>
        <v>5.1734058785628381E-2</v>
      </c>
      <c r="O36" s="27">
        <f>IF(('Activity data'!O5*EF!$H36*EF!$H54)*NtoN2O*kgtoGg=0,"NO",('Activity data'!O5*EF!$H36*EF!$H54)*NtoN2O*kgtoGg)</f>
        <v>4.9875018382975388E-2</v>
      </c>
      <c r="P36" s="27">
        <f>IF(('Activity data'!P5*EF!$H36*EF!$H54)*NtoN2O*kgtoGg=0,"NO",('Activity data'!P5*EF!$H36*EF!$H54)*NtoN2O*kgtoGg)</f>
        <v>4.9283404810259827E-2</v>
      </c>
      <c r="Q36" s="27">
        <f>IF(('Activity data'!Q5*EF!$H36*EF!$H54)*NtoN2O*kgtoGg=0,"NO",('Activity data'!Q5*EF!$H36*EF!$H54)*NtoN2O*kgtoGg)</f>
        <v>4.841038702879942E-2</v>
      </c>
      <c r="R36" s="27">
        <f>IF(('Activity data'!R5*EF!$H36*EF!$H54)*NtoN2O*kgtoGg=0,"NO",('Activity data'!R5*EF!$H36*EF!$H54)*NtoN2O*kgtoGg)</f>
        <v>6.2334355908741548E-2</v>
      </c>
      <c r="S36" s="27">
        <f>IF(('Activity data'!S5*EF!$H36*EF!$H54)*NtoN2O*kgtoGg=0,"NO",('Activity data'!S5*EF!$H36*EF!$H54)*NtoN2O*kgtoGg)</f>
        <v>6.2137151384503035E-2</v>
      </c>
      <c r="T36" s="27">
        <f>IF(('Activity data'!T5*EF!$H36*EF!$H54)*NtoN2O*kgtoGg=0,"NO",('Activity data'!T5*EF!$H36*EF!$H54)*NtoN2O*kgtoGg)</f>
        <v>5.4184712760996942E-2</v>
      </c>
      <c r="U36" s="27">
        <f>IF(('Activity data'!U5*EF!$H36*EF!$H54)*NtoN2O*kgtoGg=0,"NO",('Activity data'!U5*EF!$H36*EF!$H54)*NtoN2O*kgtoGg)</f>
        <v>4.9283404810259827E-2</v>
      </c>
      <c r="V36" s="27">
        <f>IF(('Activity data'!V5*EF!$H36*EF!$H54)*NtoN2O*kgtoGg=0,"NO",('Activity data'!V5*EF!$H36*EF!$H54)*NtoN2O*kgtoGg)</f>
        <v>4.7583900651934616E-2</v>
      </c>
      <c r="W36" s="27">
        <f>IF(('Activity data'!W5*EF!$H36*EF!$H54)*NtoN2O*kgtoGg=0,"NO",('Activity data'!W5*EF!$H36*EF!$H54)*NtoN2O*kgtoGg)</f>
        <v>5.0945240688674294E-2</v>
      </c>
      <c r="X36" s="27">
        <f>IF(('Activity data'!X5*EF!$H36*EF!$H54)*NtoN2O*kgtoGg=0,"NO",('Activity data'!X5*EF!$H36*EF!$H54)*NtoN2O*kgtoGg)</f>
        <v>4.9837350103064657E-2</v>
      </c>
      <c r="Y36" s="27">
        <f>IF(('Activity data'!Y5*EF!$H36*EF!$H54)*NtoN2O*kgtoGg=0,"NO",('Activity data'!Y5*EF!$H36*EF!$H54)*NtoN2O*kgtoGg)</f>
        <v>4.9480609334498347E-2</v>
      </c>
      <c r="Z36" s="27">
        <f>IF(('Activity data'!Z5*EF!$H36*EF!$H54)*NtoN2O*kgtoGg=0,"NO",('Activity data'!Z5*EF!$H36*EF!$H54)*NtoN2O*kgtoGg)</f>
        <v>6.0597183470505606E-2</v>
      </c>
      <c r="AA36" s="27">
        <f>IF(('Activity data'!AA5*EF!$H36*EF!$H54)*NtoN2O*kgtoGg=0,"NO",('Activity data'!AA5*EF!$H36*EF!$H54)*NtoN2O*kgtoGg)</f>
        <v>6.2099483104592297E-2</v>
      </c>
      <c r="AB36" s="27">
        <f>IF(('Activity data'!AB5*EF!$H36*EF!$H54)*NtoN2O*kgtoGg=0,"NO",('Activity data'!AB5*EF!$H36*EF!$H54)*NtoN2O*kgtoGg)</f>
        <v>6.2099483104592297E-2</v>
      </c>
      <c r="AC36" s="27">
        <f>IF(('Activity data'!AC5*EF!$H36*EF!$H54)*NtoN2O*kgtoGg=0,"NO",('Activity data'!AC5*EF!$H36*EF!$H54)*NtoN2O*kgtoGg)</f>
        <v>5.9846033653462256E-2</v>
      </c>
      <c r="AD36" s="27">
        <f>IF(('Activity data'!AD5*EF!$H36*EF!$H54)*NtoN2O*kgtoGg=0,"NO",('Activity data'!AD5*EF!$H36*EF!$H54)*NtoN2O*kgtoGg)</f>
        <v>5.9474079071945893E-2</v>
      </c>
      <c r="AE36" s="27">
        <f>IF(('Activity data'!AE5*EF!$H36*EF!$H54)*NtoN2O*kgtoGg=0,"NO",('Activity data'!AE5*EF!$H36*EF!$H54)*NtoN2O*kgtoGg)</f>
        <v>5.9806569587962516E-2</v>
      </c>
      <c r="AF36" s="27">
        <f>IF(('Activity data'!AF5*EF!$H36*EF!$H54)*NtoN2O*kgtoGg=0,"NO",('Activity data'!AF5*EF!$H36*EF!$H54)*NtoN2O*kgtoGg)</f>
        <v>6.0278316688762053E-2</v>
      </c>
      <c r="AG36" s="27">
        <f>IF(('Activity data'!AG5*EF!$H36*EF!$H54)*NtoN2O*kgtoGg=0,"NO",('Activity data'!AG5*EF!$H36*EF!$H54)*NtoN2O*kgtoGg)</f>
        <v>6.0581464452445992E-2</v>
      </c>
      <c r="AH36" s="27">
        <f>IF(('Activity data'!AH5*EF!$H36*EF!$H54)*NtoN2O*kgtoGg=0,"NO",('Activity data'!AH5*EF!$H36*EF!$H54)*NtoN2O*kgtoGg)</f>
        <v>6.078290752789528E-2</v>
      </c>
      <c r="AI36" s="27">
        <f>IF(('Activity data'!AI5*EF!$H36*EF!H54)*NtoN2O*kgtoGg=0,"NO",('Activity data'!AI5*EF!$H36*EF!H54)*NtoN2O*kgtoGg)</f>
        <v>6.0880663265441157E-2</v>
      </c>
      <c r="AJ36" s="27">
        <f>IF(('Activity data'!AJ5*EF!$H36*EF!I54)*NtoN2O*kgtoGg=0,"NO",('Activity data'!AJ5*EF!$H36*EF!I54)*NtoN2O*kgtoGg)</f>
        <v>6.1096642070638009E-2</v>
      </c>
      <c r="AK36" s="27">
        <f>IF(('Activity data'!AK5*EF!$H36*EF!J54)*NtoN2O*kgtoGg=0,"NO",('Activity data'!AK5*EF!$H36*EF!J54)*NtoN2O*kgtoGg)</f>
        <v>6.1344406036983767E-2</v>
      </c>
      <c r="AL36" s="27">
        <f>IF(('Activity data'!AL5*EF!$H36*EF!K54)*NtoN2O*kgtoGg=0,"NO",('Activity data'!AL5*EF!$H36*EF!K54)*NtoN2O*kgtoGg)</f>
        <v>5.9500417755247011E-2</v>
      </c>
      <c r="AM36" s="27">
        <f>IF(('Activity data'!AM5*EF!$H36*EF!L54)*NtoN2O*kgtoGg=0,"NO",('Activity data'!AM5*EF!$H36*EF!L54)*NtoN2O*kgtoGg)</f>
        <v>6.0126071727634615E-2</v>
      </c>
      <c r="AN36" s="27">
        <f>IF(('Activity data'!AN5*EF!$H36*EF!M54)*NtoN2O*kgtoGg=0,"NO",('Activity data'!AN5*EF!$H36*EF!M54)*NtoN2O*kgtoGg)</f>
        <v>6.104186359289164E-2</v>
      </c>
      <c r="AO36" s="27">
        <f>IF(('Activity data'!AO5*EF!$H36*EF!N54)*NtoN2O*kgtoGg=0,"NO",('Activity data'!AO5*EF!$H36*EF!N54)*NtoN2O*kgtoGg)</f>
        <v>6.1516540546796637E-2</v>
      </c>
      <c r="AP36" s="27">
        <f>IF(('Activity data'!AP5*EF!$H36*EF!O54)*NtoN2O*kgtoGg=0,"NO",('Activity data'!AP5*EF!$H36*EF!O54)*NtoN2O*kgtoGg)</f>
        <v>6.2059033118034318E-2</v>
      </c>
      <c r="AQ36" s="27">
        <f>IF(('Activity data'!AQ5*EF!$H36*EF!P54)*NtoN2O*kgtoGg=0,"NO",('Activity data'!AQ5*EF!$H36*EF!P54)*NtoN2O*kgtoGg)</f>
        <v>6.2686911431302672E-2</v>
      </c>
      <c r="AR36" s="27">
        <f>IF(('Activity data'!AR5*EF!$H36*EF!Q54)*NtoN2O*kgtoGg=0,"NO",('Activity data'!AR5*EF!$H36*EF!Q54)*NtoN2O*kgtoGg)</f>
        <v>6.3328093657155735E-2</v>
      </c>
      <c r="AS36" s="27">
        <f>IF(('Activity data'!AS5*EF!$H36*EF!R54)*NtoN2O*kgtoGg=0,"NO",('Activity data'!AS5*EF!$H36*EF!R54)*NtoN2O*kgtoGg)</f>
        <v>6.403779969028206E-2</v>
      </c>
      <c r="AT36" s="27">
        <f>IF(('Activity data'!AT5*EF!$H36*EF!S54)*NtoN2O*kgtoGg=0,"NO",('Activity data'!AT5*EF!$H36*EF!S54)*NtoN2O*kgtoGg)</f>
        <v>6.476949047597555E-2</v>
      </c>
      <c r="AU36" s="27">
        <f>IF(('Activity data'!AU5*EF!$H36*EF!T54)*NtoN2O*kgtoGg=0,"NO",('Activity data'!AU5*EF!$H36*EF!T54)*NtoN2O*kgtoGg)</f>
        <v>6.5565173536469165E-2</v>
      </c>
      <c r="AV36" s="27">
        <f>IF(('Activity data'!AV5*EF!$H36*EF!U54)*NtoN2O*kgtoGg=0,"NO",('Activity data'!AV5*EF!$H36*EF!U54)*NtoN2O*kgtoGg)</f>
        <v>6.637880571901654E-2</v>
      </c>
      <c r="AW36" s="27">
        <f>IF(('Activity data'!AW5*EF!$H36*EF!V54)*NtoN2O*kgtoGg=0,"NO",('Activity data'!AW5*EF!$H36*EF!V54)*NtoN2O*kgtoGg)</f>
        <v>6.7257796908474193E-2</v>
      </c>
      <c r="AX36" s="27">
        <f>IF(('Activity data'!AX5*EF!$H36*EF!W54)*NtoN2O*kgtoGg=0,"NO",('Activity data'!AX5*EF!$H36*EF!W54)*NtoN2O*kgtoGg)</f>
        <v>6.8124891518831304E-2</v>
      </c>
      <c r="AY36" s="27">
        <f>IF(('Activity data'!AY5*EF!$H36*EF!X54)*NtoN2O*kgtoGg=0,"NO",('Activity data'!AY5*EF!$H36*EF!X54)*NtoN2O*kgtoGg)</f>
        <v>6.9040103414992046E-2</v>
      </c>
      <c r="AZ36" s="27">
        <f>IF(('Activity data'!AZ5*EF!$H36*EF!Y54)*NtoN2O*kgtoGg=0,"NO",('Activity data'!AZ5*EF!$H36*EF!Y54)*NtoN2O*kgtoGg)</f>
        <v>7.0075359365803738E-2</v>
      </c>
      <c r="BA36" s="27">
        <f>IF(('Activity data'!BA5*EF!$H36*EF!Z54)*NtoN2O*kgtoGg=0,"NO",('Activity data'!BA5*EF!$H36*EF!Z54)*NtoN2O*kgtoGg)</f>
        <v>7.1059649676811054E-2</v>
      </c>
      <c r="BB36" s="27">
        <f>IF(('Activity data'!BB5*EF!$H36*EF!AA54)*NtoN2O*kgtoGg=0,"NO",('Activity data'!BB5*EF!$H36*EF!AA54)*NtoN2O*kgtoGg)</f>
        <v>7.2069034177178609E-2</v>
      </c>
      <c r="BC36" s="27">
        <f>IF(('Activity data'!BC5*EF!$H36*EF!AB54)*NtoN2O*kgtoGg=0,"NO",('Activity data'!BC5*EF!$H36*EF!AB54)*NtoN2O*kgtoGg)</f>
        <v>7.3148525212574408E-2</v>
      </c>
      <c r="BD36" s="27">
        <f>IF(('Activity data'!BD5*EF!$H36*EF!AC54)*NtoN2O*kgtoGg=0,"NO",('Activity data'!BD5*EF!$H36*EF!AC54)*NtoN2O*kgtoGg)</f>
        <v>7.4159878217982214E-2</v>
      </c>
      <c r="BE36" s="27">
        <f>IF(('Activity data'!BE5*EF!$H36*EF!AD54)*NtoN2O*kgtoGg=0,"NO",('Activity data'!BE5*EF!$H36*EF!AD54)*NtoN2O*kgtoGg)</f>
        <v>7.5165742888720646E-2</v>
      </c>
      <c r="BF36" s="27">
        <f>IF(('Activity data'!BF5*EF!$H36*EF!AE54)*NtoN2O*kgtoGg=0,"NO",('Activity data'!BF5*EF!$H36*EF!AE54)*NtoN2O*kgtoGg)</f>
        <v>7.6168917031251032E-2</v>
      </c>
      <c r="BG36" s="27">
        <f>IF(('Activity data'!BG5*EF!$H36*EF!AF54)*NtoN2O*kgtoGg=0,"NO",('Activity data'!BG5*EF!$H36*EF!AF54)*NtoN2O*kgtoGg)</f>
        <v>7.7230245197332834E-2</v>
      </c>
      <c r="BH36" s="27">
        <f>IF(('Activity data'!BH5*EF!$H36*EF!AG54)*NtoN2O*kgtoGg=0,"NO",('Activity data'!BH5*EF!$H36*EF!AG54)*NtoN2O*kgtoGg)</f>
        <v>7.8248884607158259E-2</v>
      </c>
      <c r="BI36" s="27">
        <f>IF(('Activity data'!BI5*EF!$H36*EF!AH54)*NtoN2O*kgtoGg=0,"NO",('Activity data'!BI5*EF!$H36*EF!AH54)*NtoN2O*kgtoGg)</f>
        <v>7.9307079203447303E-2</v>
      </c>
      <c r="BJ36" s="27">
        <f>IF(('Activity data'!BJ5*EF!$H36*EF!AI54)*NtoN2O*kgtoGg=0,"NO",('Activity data'!BJ5*EF!$H36*EF!AI54)*NtoN2O*kgtoGg)</f>
        <v>8.0409655218804749E-2</v>
      </c>
      <c r="BK36" s="27">
        <f>IF(('Activity data'!BK5*EF!$H36*EF!AJ54)*NtoN2O*kgtoGg=0,"NO",('Activity data'!BK5*EF!$H36*EF!AJ54)*NtoN2O*kgtoGg)</f>
        <v>8.1564373746965665E-2</v>
      </c>
      <c r="BL36" s="27">
        <f>IF(('Activity data'!BL5*EF!$H36*EF!AK54)*NtoN2O*kgtoGg=0,"NO",('Activity data'!BL5*EF!$H36*EF!AK54)*NtoN2O*kgtoGg)</f>
        <v>8.2739517725039347E-2</v>
      </c>
      <c r="BM36" s="27">
        <f>IF(('Activity data'!BM5*EF!$H36*EF!AL54)*NtoN2O*kgtoGg=0,"NO",('Activity data'!BM5*EF!$H36*EF!AL54)*NtoN2O*kgtoGg)</f>
        <v>8.3018134970904087E-2</v>
      </c>
      <c r="BN36" s="27">
        <f>IF(('Activity data'!BN5*EF!$H36*EF!AM54)*NtoN2O*kgtoGg=0,"NO",('Activity data'!BN5*EF!$H36*EF!AM54)*NtoN2O*kgtoGg)</f>
        <v>8.3216426012492323E-2</v>
      </c>
      <c r="BO36" s="27">
        <f>IF(('Activity data'!BO5*EF!$H36*EF!AN54)*NtoN2O*kgtoGg=0,"NO",('Activity data'!BO5*EF!$H36*EF!AN54)*NtoN2O*kgtoGg)</f>
        <v>8.3297669475104599E-2</v>
      </c>
      <c r="BP36" s="27">
        <f>IF(('Activity data'!BP5*EF!$H36*EF!AO54)*NtoN2O*kgtoGg=0,"NO",('Activity data'!BP5*EF!$H36*EF!AO54)*NtoN2O*kgtoGg)</f>
        <v>8.3346726471042673E-2</v>
      </c>
    </row>
    <row r="37" spans="1:68" x14ac:dyDescent="0.3">
      <c r="A37" t="str">
        <f t="shared" si="1"/>
        <v>3A Livestock</v>
      </c>
      <c r="B37" t="str">
        <f>B36</f>
        <v>3A2 Manure management (N2O)</v>
      </c>
      <c r="C37" t="str">
        <f>EF!C55</f>
        <v>3A1ai Dairy cattle</v>
      </c>
      <c r="D37" t="str">
        <f>EF!D55</f>
        <v>Pasture</v>
      </c>
      <c r="E37" t="str">
        <f t="shared" si="9"/>
        <v>Manure management Emissions</v>
      </c>
      <c r="F37" t="s">
        <v>139</v>
      </c>
      <c r="G37" t="str">
        <f t="shared" ref="G37:G53" si="10">G36</f>
        <v>Gg N2O</v>
      </c>
      <c r="H37" s="27">
        <f>IF(('Activity data'!H6*EF!$H37*EF!$H55)*NtoN2O*kgtoGg=0,"NO",('Activity data'!H6*EF!$H37*EF!$H55)*NtoN2O*kgtoGg)</f>
        <v>0.21291734414122981</v>
      </c>
      <c r="I37" s="27">
        <f>IF(('Activity data'!I6*EF!$H37*EF!$H55)*NtoN2O*kgtoGg=0,"NO",('Activity data'!I6*EF!$H37*EF!$H55)*NtoN2O*kgtoGg)</f>
        <v>0.24512316768375322</v>
      </c>
      <c r="J37" s="27">
        <f>IF(('Activity data'!J6*EF!$H37*EF!$H55)*NtoN2O*kgtoGg=0,"NO",('Activity data'!J6*EF!$H37*EF!$H55)*NtoN2O*kgtoGg)</f>
        <v>0.21206325644895188</v>
      </c>
      <c r="K37" s="27">
        <f>IF(('Activity data'!K6*EF!$H37*EF!$H55)*NtoN2O*kgtoGg=0,"NO",('Activity data'!K6*EF!$H37*EF!$H55)*NtoN2O*kgtoGg)</f>
        <v>0.22491295779681808</v>
      </c>
      <c r="L37" s="27">
        <f>IF(('Activity data'!L6*EF!$H37*EF!$H55)*NtoN2O*kgtoGg=0,"NO",('Activity data'!L6*EF!$H37*EF!$H55)*NtoN2O*kgtoGg)</f>
        <v>0.20864690567984037</v>
      </c>
      <c r="M37" s="27">
        <f>IF(('Activity data'!M6*EF!$H37*EF!$H55)*NtoN2O*kgtoGg=0,"NO",('Activity data'!M6*EF!$H37*EF!$H55)*NtoN2O*kgtoGg)</f>
        <v>0.22320478241226227</v>
      </c>
      <c r="N37" s="27">
        <f>IF(('Activity data'!N6*EF!$H37*EF!$H55)*NtoN2O*kgtoGg=0,"NO",('Activity data'!N6*EF!$H37*EF!$H55)*NtoN2O*kgtoGg)</f>
        <v>0.22405887010454018</v>
      </c>
      <c r="O37" s="27">
        <f>IF(('Activity data'!O6*EF!$H37*EF!$H55)*NtoN2O*kgtoGg=0,"NO",('Activity data'!O6*EF!$H37*EF!$H55)*NtoN2O*kgtoGg)</f>
        <v>0.21600741421890937</v>
      </c>
      <c r="P37" s="27">
        <f>IF(('Activity data'!P6*EF!$H37*EF!$H55)*NtoN2O*kgtoGg=0,"NO",('Activity data'!P6*EF!$H37*EF!$H55)*NtoN2O*kgtoGg)</f>
        <v>0.21344515114207568</v>
      </c>
      <c r="Q37" s="27">
        <f>IF(('Activity data'!Q6*EF!$H37*EF!$H55)*NtoN2O*kgtoGg=0,"NO",('Activity data'!Q6*EF!$H37*EF!$H55)*NtoN2O*kgtoGg)</f>
        <v>0.20966413371783418</v>
      </c>
      <c r="R37" s="27">
        <f>IF(('Activity data'!R6*EF!$H37*EF!$H55)*NtoN2O*kgtoGg=0,"NO",('Activity data'!R6*EF!$H37*EF!$H55)*NtoN2O*kgtoGg)</f>
        <v>0.26996848268720769</v>
      </c>
      <c r="S37" s="27">
        <f>IF(('Activity data'!S6*EF!$H37*EF!$H55)*NtoN2O*kgtoGg=0,"NO",('Activity data'!S6*EF!$H37*EF!$H55)*NtoN2O*kgtoGg)</f>
        <v>0.26911439499492978</v>
      </c>
      <c r="T37" s="27">
        <f>IF(('Activity data'!T6*EF!$H37*EF!$H55)*NtoN2O*kgtoGg=0,"NO",('Activity data'!T6*EF!$H37*EF!$H55)*NtoN2O*kgtoGg)</f>
        <v>0.23467258906700467</v>
      </c>
      <c r="U37" s="27">
        <f>IF(('Activity data'!U6*EF!$H37*EF!$H55)*NtoN2O*kgtoGg=0,"NO",('Activity data'!U6*EF!$H37*EF!$H55)*NtoN2O*kgtoGg)</f>
        <v>0.21344515114207568</v>
      </c>
      <c r="V37" s="27">
        <f>IF(('Activity data'!V6*EF!$H37*EF!$H55)*NtoN2O*kgtoGg=0,"NO",('Activity data'!V6*EF!$H37*EF!$H55)*NtoN2O*kgtoGg)</f>
        <v>0.20608464260300666</v>
      </c>
      <c r="W37" s="27">
        <f>IF(('Activity data'!W6*EF!$H37*EF!$H55)*NtoN2O*kgtoGg=0,"NO",('Activity data'!W6*EF!$H37*EF!$H55)*NtoN2O*kgtoGg)</f>
        <v>0.22064251933542864</v>
      </c>
      <c r="X37" s="27">
        <f>IF(('Activity data'!X6*EF!$H37*EF!$H55)*NtoN2O*kgtoGg=0,"NO",('Activity data'!X6*EF!$H37*EF!$H55)*NtoN2O*kgtoGg)</f>
        <v>0.2158442738731933</v>
      </c>
      <c r="Y37" s="27">
        <f>IF(('Activity data'!Y6*EF!$H37*EF!$H55)*NtoN2O*kgtoGg=0,"NO",('Activity data'!Y6*EF!$H37*EF!$H55)*NtoN2O*kgtoGg)</f>
        <v>0.21429923883435359</v>
      </c>
      <c r="Z37" s="27">
        <f>IF(('Activity data'!Z6*EF!$H37*EF!$H55)*NtoN2O*kgtoGg=0,"NO",('Activity data'!Z6*EF!$H37*EF!$H55)*NtoN2O*kgtoGg)</f>
        <v>0.26244483380242267</v>
      </c>
      <c r="AA37" s="27">
        <f>IF(('Activity data'!AA6*EF!$H37*EF!$H55)*NtoN2O*kgtoGg=0,"NO",('Activity data'!AA6*EF!$H37*EF!$H55)*NtoN2O*kgtoGg)</f>
        <v>0.26895125464921371</v>
      </c>
      <c r="AB37" s="27">
        <f>IF(('Activity data'!AB6*EF!$H37*EF!$H55)*NtoN2O*kgtoGg=0,"NO",('Activity data'!AB6*EF!$H37*EF!$H55)*NtoN2O*kgtoGg)</f>
        <v>0.26895125464921371</v>
      </c>
      <c r="AC37" s="27">
        <f>IF(('Activity data'!AC6*EF!$H37*EF!$H55)*NtoN2O*kgtoGg=0,"NO",('Activity data'!AC6*EF!$H37*EF!$H55)*NtoN2O*kgtoGg)</f>
        <v>0.25919162337902713</v>
      </c>
      <c r="AD37" s="27">
        <f>IF(('Activity data'!AD6*EF!$H37*EF!$H55)*NtoN2O*kgtoGg=0,"NO",('Activity data'!AD6*EF!$H37*EF!$H55)*NtoN2O*kgtoGg)</f>
        <v>0.26041511380118898</v>
      </c>
      <c r="AE37" s="27">
        <f>IF(('Activity data'!AE6*EF!$H37*EF!$H55)*NtoN2O*kgtoGg=0,"NO",('Activity data'!AE6*EF!$H37*EF!$H55)*NtoN2O*kgtoGg)</f>
        <v>0.26187096745907484</v>
      </c>
      <c r="AF37" s="27">
        <f>IF(('Activity data'!AF6*EF!$H37*EF!$H55)*NtoN2O*kgtoGg=0,"NO",('Activity data'!AF6*EF!$H37*EF!$H55)*NtoN2O*kgtoGg)</f>
        <v>0.26393657447404822</v>
      </c>
      <c r="AG37" s="27">
        <f>IF(('Activity data'!AG6*EF!$H37*EF!$H55)*NtoN2O*kgtoGg=0,"NO",('Activity data'!AG6*EF!$H37*EF!$H55)*NtoN2O*kgtoGg)</f>
        <v>0.26526394701365208</v>
      </c>
      <c r="AH37" s="27">
        <f>IF(('Activity data'!AH6*EF!$H37*EF!$H55)*NtoN2O*kgtoGg=0,"NO",('Activity data'!AH6*EF!$H37*EF!$H55)*NtoN2O*kgtoGg)</f>
        <v>0.26614599213711043</v>
      </c>
      <c r="AI37" s="27">
        <f>IF(('Activity data'!AI6*EF!$H37*EF!H55)*NtoN2O*kgtoGg=0,"NO",('Activity data'!AI6*EF!$H37*EF!H55)*NtoN2O*kgtoGg)</f>
        <v>0.26657402855087203</v>
      </c>
      <c r="AJ37" s="27">
        <f>IF(('Activity data'!AJ6*EF!$H37*EF!I55)*NtoN2O*kgtoGg=0,"NO",('Activity data'!AJ6*EF!$H37*EF!I55)*NtoN2O*kgtoGg)</f>
        <v>0.26751972028770321</v>
      </c>
      <c r="AK37" s="27">
        <f>IF(('Activity data'!AK6*EF!$H37*EF!J55)*NtoN2O*kgtoGg=0,"NO",('Activity data'!AK6*EF!$H37*EF!J55)*NtoN2O*kgtoGg)</f>
        <v>0.26860458755254496</v>
      </c>
      <c r="AL37" s="27">
        <f>IF(('Activity data'!AL6*EF!$H37*EF!K55)*NtoN2O*kgtoGg=0,"NO",('Activity data'!AL6*EF!$H37*EF!K55)*NtoN2O*kgtoGg)</f>
        <v>0.26053044120627478</v>
      </c>
      <c r="AM37" s="27">
        <f>IF(('Activity data'!AM6*EF!$H37*EF!L55)*NtoN2O*kgtoGg=0,"NO",('Activity data'!AM6*EF!$H37*EF!L55)*NtoN2O*kgtoGg)</f>
        <v>0.26326994979492208</v>
      </c>
      <c r="AN37" s="27">
        <f>IF(('Activity data'!AN6*EF!$H37*EF!M55)*NtoN2O*kgtoGg=0,"NO",('Activity data'!AN6*EF!$H37*EF!M55)*NtoN2O*kgtoGg)</f>
        <v>0.26727986548475752</v>
      </c>
      <c r="AO37" s="27">
        <f>IF(('Activity data'!AO6*EF!$H37*EF!N55)*NtoN2O*kgtoGg=0,"NO",('Activity data'!AO6*EF!$H37*EF!N55)*NtoN2O*kgtoGg)</f>
        <v>0.2693583012486882</v>
      </c>
      <c r="AP37" s="27">
        <f>IF(('Activity data'!AP6*EF!$H37*EF!O55)*NtoN2O*kgtoGg=0,"NO",('Activity data'!AP6*EF!$H37*EF!O55)*NtoN2O*kgtoGg)</f>
        <v>0.27173367665390064</v>
      </c>
      <c r="AQ37" s="27">
        <f>IF(('Activity data'!AQ6*EF!$H37*EF!P55)*NtoN2O*kgtoGg=0,"NO",('Activity data'!AQ6*EF!$H37*EF!P55)*NtoN2O*kgtoGg)</f>
        <v>0.27448292481300673</v>
      </c>
      <c r="AR37" s="27">
        <f>IF(('Activity data'!AR6*EF!$H37*EF!Q55)*NtoN2O*kgtoGg=0,"NO",('Activity data'!AR6*EF!$H37*EF!Q55)*NtoN2O*kgtoGg)</f>
        <v>0.27729042591127234</v>
      </c>
      <c r="AS37" s="27">
        <f>IF(('Activity data'!AS6*EF!$H37*EF!R55)*NtoN2O*kgtoGg=0,"NO",('Activity data'!AS6*EF!$H37*EF!R55)*NtoN2O*kgtoGg)</f>
        <v>0.28039796755405094</v>
      </c>
      <c r="AT37" s="27">
        <f>IF(('Activity data'!AT6*EF!$H37*EF!S55)*NtoN2O*kgtoGg=0,"NO",('Activity data'!AT6*EF!$H37*EF!S55)*NtoN2O*kgtoGg)</f>
        <v>0.28360177234089196</v>
      </c>
      <c r="AU37" s="27">
        <f>IF(('Activity data'!AU6*EF!$H37*EF!T55)*NtoN2O*kgtoGg=0,"NO",('Activity data'!AU6*EF!$H37*EF!T55)*NtoN2O*kgtoGg)</f>
        <v>0.28708577575853983</v>
      </c>
      <c r="AV37" s="27">
        <f>IF(('Activity data'!AV6*EF!$H37*EF!U55)*NtoN2O*kgtoGg=0,"NO",('Activity data'!AV6*EF!$H37*EF!U55)*NtoN2O*kgtoGg)</f>
        <v>0.29064837177880054</v>
      </c>
      <c r="AW37" s="27">
        <f>IF(('Activity data'!AW6*EF!$H37*EF!V55)*NtoN2O*kgtoGg=0,"NO",('Activity data'!AW6*EF!$H37*EF!V55)*NtoN2O*kgtoGg)</f>
        <v>0.29449715084700523</v>
      </c>
      <c r="AX37" s="27">
        <f>IF(('Activity data'!AX6*EF!$H37*EF!W55)*NtoN2O*kgtoGg=0,"NO",('Activity data'!AX6*EF!$H37*EF!W55)*NtoN2O*kgtoGg)</f>
        <v>0.29829383917166835</v>
      </c>
      <c r="AY37" s="27">
        <f>IF(('Activity data'!AY6*EF!$H37*EF!X55)*NtoN2O*kgtoGg=0,"NO",('Activity data'!AY6*EF!$H37*EF!X55)*NtoN2O*kgtoGg)</f>
        <v>0.30230121539018168</v>
      </c>
      <c r="AZ37" s="27">
        <f>IF(('Activity data'!AZ6*EF!$H37*EF!Y55)*NtoN2O*kgtoGg=0,"NO",('Activity data'!AZ6*EF!$H37*EF!Y55)*NtoN2O*kgtoGg)</f>
        <v>0.30683422036395941</v>
      </c>
      <c r="BA37" s="27">
        <f>IF(('Activity data'!BA6*EF!$H37*EF!Z55)*NtoN2O*kgtoGg=0,"NO",('Activity data'!BA6*EF!$H37*EF!Z55)*NtoN2O*kgtoGg)</f>
        <v>0.31114406554952856</v>
      </c>
      <c r="BB37" s="27">
        <f>IF(('Activity data'!BB6*EF!$H37*EF!AA55)*NtoN2O*kgtoGg=0,"NO",('Activity data'!BB6*EF!$H37*EF!AA55)*NtoN2O*kgtoGg)</f>
        <v>0.31556378895902254</v>
      </c>
      <c r="BC37" s="27">
        <f>IF(('Activity data'!BC6*EF!$H37*EF!AB55)*NtoN2O*kgtoGg=0,"NO",('Activity data'!BC6*EF!$H37*EF!AB55)*NtoN2O*kgtoGg)</f>
        <v>0.32029048309563773</v>
      </c>
      <c r="BD37" s="27">
        <f>IF(('Activity data'!BD6*EF!$H37*EF!AC55)*NtoN2O*kgtoGg=0,"NO",('Activity data'!BD6*EF!$H37*EF!AC55)*NtoN2O*kgtoGg)</f>
        <v>0.32471882586455802</v>
      </c>
      <c r="BE37" s="27">
        <f>IF(('Activity data'!BE6*EF!$H37*EF!AD55)*NtoN2O*kgtoGg=0,"NO",('Activity data'!BE6*EF!$H37*EF!AD55)*NtoN2O*kgtoGg)</f>
        <v>0.32912313723492953</v>
      </c>
      <c r="BF37" s="27">
        <f>IF(('Activity data'!BF6*EF!$H37*EF!AE55)*NtoN2O*kgtoGg=0,"NO",('Activity data'!BF6*EF!$H37*EF!AE55)*NtoN2O*kgtoGg)</f>
        <v>0.33351566777203023</v>
      </c>
      <c r="BG37" s="27">
        <f>IF(('Activity data'!BG6*EF!$H37*EF!AF55)*NtoN2O*kgtoGg=0,"NO",('Activity data'!BG6*EF!$H37*EF!AF55)*NtoN2O*kgtoGg)</f>
        <v>0.33816283338541037</v>
      </c>
      <c r="BH37" s="27">
        <f>IF(('Activity data'!BH6*EF!$H37*EF!AG55)*NtoN2O*kgtoGg=0,"NO",('Activity data'!BH6*EF!$H37*EF!AG55)*NtoN2O*kgtoGg)</f>
        <v>0.34262308063885955</v>
      </c>
      <c r="BI37" s="27">
        <f>IF(('Activity data'!BI6*EF!$H37*EF!AH55)*NtoN2O*kgtoGg=0,"NO",('Activity data'!BI6*EF!$H37*EF!AH55)*NtoN2O*kgtoGg)</f>
        <v>0.34725652550284908</v>
      </c>
      <c r="BJ37" s="27">
        <f>IF(('Activity data'!BJ6*EF!$H37*EF!AI55)*NtoN2O*kgtoGg=0,"NO",('Activity data'!BJ6*EF!$H37*EF!AI55)*NtoN2O*kgtoGg)</f>
        <v>0.35208430027455134</v>
      </c>
      <c r="BK37" s="27">
        <f>IF(('Activity data'!BK6*EF!$H37*EF!AJ55)*NtoN2O*kgtoGg=0,"NO",('Activity data'!BK6*EF!$H37*EF!AJ55)*NtoN2O*kgtoGg)</f>
        <v>0.3571403879283947</v>
      </c>
      <c r="BL37" s="27">
        <f>IF(('Activity data'!BL6*EF!$H37*EF!AK55)*NtoN2O*kgtoGg=0,"NO",('Activity data'!BL6*EF!$H37*EF!AK55)*NtoN2O*kgtoGg)</f>
        <v>0.36228591111358999</v>
      </c>
      <c r="BM37" s="27">
        <f>IF(('Activity data'!BM6*EF!$H37*EF!AL55)*NtoN2O*kgtoGg=0,"NO",('Activity data'!BM6*EF!$H37*EF!AL55)*NtoN2O*kgtoGg)</f>
        <v>0.36350587353959202</v>
      </c>
      <c r="BN37" s="27">
        <f>IF(('Activity data'!BN6*EF!$H37*EF!AM55)*NtoN2O*kgtoGg=0,"NO",('Activity data'!BN6*EF!$H37*EF!AM55)*NtoN2O*kgtoGg)</f>
        <v>0.36437411706629697</v>
      </c>
      <c r="BO37" s="27">
        <f>IF(('Activity data'!BO6*EF!$H37*EF!AN55)*NtoN2O*kgtoGg=0,"NO",('Activity data'!BO6*EF!$H37*EF!AN55)*NtoN2O*kgtoGg)</f>
        <v>0.36472985230241872</v>
      </c>
      <c r="BP37" s="27">
        <f>IF(('Activity data'!BP6*EF!$H37*EF!AO55)*NtoN2O*kgtoGg=0,"NO",('Activity data'!BP6*EF!$H37*EF!AO55)*NtoN2O*kgtoGg)</f>
        <v>0.36494465484126087</v>
      </c>
    </row>
    <row r="38" spans="1:68" x14ac:dyDescent="0.3">
      <c r="A38" t="str">
        <f t="shared" si="1"/>
        <v>3A Livestock</v>
      </c>
      <c r="B38" t="str">
        <f t="shared" ref="B38:B53" si="11">B37</f>
        <v>3A2 Manure management (N2O)</v>
      </c>
      <c r="C38" t="str">
        <f>EF!C56</f>
        <v>3A1aii Other cattle</v>
      </c>
      <c r="D38" t="str">
        <f>EF!D56</f>
        <v>Non-lactating</v>
      </c>
      <c r="E38" t="str">
        <f t="shared" si="9"/>
        <v>Manure management Emissions</v>
      </c>
      <c r="F38" t="s">
        <v>139</v>
      </c>
      <c r="G38" t="str">
        <f t="shared" si="10"/>
        <v>Gg N2O</v>
      </c>
      <c r="H38" s="27">
        <f>IF(('Activity data'!H7*EF!$H38*EF!$H56)*NtoN2O*kgtoGg=0,"NO",('Activity data'!H7*EF!$H38*EF!$H56)*NtoN2O*kgtoGg)</f>
        <v>1.1183611918471593E-2</v>
      </c>
      <c r="I38" s="27">
        <f>IF(('Activity data'!I7*EF!$H38*EF!$H56)*NtoN2O*kgtoGg=0,"NO",('Activity data'!I7*EF!$H38*EF!$H56)*NtoN2O*kgtoGg)</f>
        <v>1.2711960166782875E-2</v>
      </c>
      <c r="J38" s="27">
        <f>IF(('Activity data'!J7*EF!$H38*EF!$H56)*NtoN2O*kgtoGg=0,"NO",('Activity data'!J7*EF!$H38*EF!$H56)*NtoN2O*kgtoGg)</f>
        <v>1.0995878646861469E-2</v>
      </c>
      <c r="K38" s="27">
        <f>IF(('Activity data'!K7*EF!$H38*EF!$H56)*NtoN2O*kgtoGg=0,"NO",('Activity data'!K7*EF!$H38*EF!$H56)*NtoN2O*kgtoGg)</f>
        <v>1.1507534902584429E-2</v>
      </c>
      <c r="L38" s="27">
        <f>IF(('Activity data'!L7*EF!$H38*EF!$H56)*NtoN2O*kgtoGg=0,"NO",('Activity data'!L7*EF!$H38*EF!$H56)*NtoN2O*kgtoGg)</f>
        <v>1.0244945560421E-2</v>
      </c>
      <c r="M38" s="27">
        <f>IF(('Activity data'!M7*EF!$H38*EF!$H56)*NtoN2O*kgtoGg=0,"NO",('Activity data'!M7*EF!$H38*EF!$H56)*NtoN2O*kgtoGg)</f>
        <v>1.1132068359364188E-2</v>
      </c>
      <c r="N38" s="27">
        <f>IF(('Activity data'!N7*EF!$H38*EF!$H56)*NtoN2O*kgtoGg=0,"NO",('Activity data'!N7*EF!$H38*EF!$H56)*NtoN2O*kgtoGg)</f>
        <v>1.1319801630974307E-2</v>
      </c>
      <c r="O38" s="27">
        <f>IF(('Activity data'!O7*EF!$H38*EF!$H56)*NtoN2O*kgtoGg=0,"NO",('Activity data'!O7*EF!$H38*EF!$H56)*NtoN2O*kgtoGg)</f>
        <v>1.0937714568896487E-2</v>
      </c>
      <c r="P38" s="27">
        <f>IF(('Activity data'!P7*EF!$H38*EF!$H56)*NtoN2O*kgtoGg=0,"NO",('Activity data'!P7*EF!$H38*EF!$H56)*NtoN2O*kgtoGg)</f>
        <v>1.0374514754066132E-2</v>
      </c>
      <c r="Q38" s="27">
        <f>IF(('Activity data'!Q7*EF!$H38*EF!$H56)*NtoN2O*kgtoGg=0,"NO",('Activity data'!Q7*EF!$H38*EF!$H56)*NtoN2O*kgtoGg)</f>
        <v>1.0931094050038906E-2</v>
      </c>
      <c r="R38" s="27">
        <f>IF(('Activity data'!R7*EF!$H38*EF!$H56)*NtoN2O*kgtoGg=0,"NO",('Activity data'!R7*EF!$H38*EF!$H56)*NtoN2O*kgtoGg)</f>
        <v>1.3547539406618663E-2</v>
      </c>
      <c r="S38" s="27">
        <f>IF(('Activity data'!S7*EF!$H38*EF!$H56)*NtoN2O*kgtoGg=0,"NO",('Activity data'!S7*EF!$H38*EF!$H56)*NtoN2O*kgtoGg)</f>
        <v>1.3359806135008544E-2</v>
      </c>
      <c r="T38" s="27">
        <f>IF(('Activity data'!T7*EF!$H38*EF!$H56)*NtoN2O*kgtoGg=0,"NO",('Activity data'!T7*EF!$H38*EF!$H56)*NtoN2O*kgtoGg)</f>
        <v>1.2265088507882486E-2</v>
      </c>
      <c r="U38" s="27">
        <f>IF(('Activity data'!U7*EF!$H38*EF!$H56)*NtoN2O*kgtoGg=0,"NO",('Activity data'!U7*EF!$H38*EF!$H56)*NtoN2O*kgtoGg)</f>
        <v>1.0374514754066132E-2</v>
      </c>
      <c r="V38" s="27">
        <f>IF(('Activity data'!V7*EF!$H38*EF!$H56)*NtoN2O*kgtoGg=0,"NO",('Activity data'!V7*EF!$H38*EF!$H56)*NtoN2O*kgtoGg)</f>
        <v>9.6817457455906381E-3</v>
      </c>
      <c r="W38" s="27">
        <f>IF(('Activity data'!W7*EF!$H38*EF!$H56)*NtoN2O*kgtoGg=0,"NO",('Activity data'!W7*EF!$H38*EF!$H56)*NtoN2O*kgtoGg)</f>
        <v>1.0568868544533832E-2</v>
      </c>
      <c r="X38" s="27">
        <f>IF(('Activity data'!X7*EF!$H38*EF!$H56)*NtoN2O*kgtoGg=0,"NO",('Activity data'!X7*EF!$H38*EF!$H56)*NtoN2O*kgtoGg)</f>
        <v>1.0439299350888697E-2</v>
      </c>
      <c r="Y38" s="27">
        <f>IF(('Activity data'!Y7*EF!$H38*EF!$H56)*NtoN2O*kgtoGg=0,"NO",('Activity data'!Y7*EF!$H38*EF!$H56)*NtoN2O*kgtoGg)</f>
        <v>1.0562248025676249E-2</v>
      </c>
      <c r="Z38" s="27">
        <f>IF(('Activity data'!Z7*EF!$H38*EF!$H56)*NtoN2O*kgtoGg=0,"NO",('Activity data'!Z7*EF!$H38*EF!$H56)*NtoN2O*kgtoGg)</f>
        <v>1.2356355180135385E-2</v>
      </c>
      <c r="AA38" s="27">
        <f>IF(('Activity data'!AA7*EF!$H38*EF!$H56)*NtoN2O*kgtoGg=0,"NO",('Activity data'!AA7*EF!$H38*EF!$H56)*NtoN2O*kgtoGg)</f>
        <v>1.2861390917000753E-2</v>
      </c>
      <c r="AB38" s="27">
        <f>IF(('Activity data'!AB7*EF!$H38*EF!$H56)*NtoN2O*kgtoGg=0,"NO",('Activity data'!AB7*EF!$H38*EF!$H56)*NtoN2O*kgtoGg)</f>
        <v>1.2861390917000753E-2</v>
      </c>
      <c r="AC38" s="27">
        <f>IF(('Activity data'!AC7*EF!$H38*EF!$H56)*NtoN2O*kgtoGg=0,"NO",('Activity data'!AC7*EF!$H38*EF!$H56)*NtoN2O*kgtoGg)</f>
        <v>1.2103837311702698E-2</v>
      </c>
      <c r="AD38" s="27">
        <f>IF(('Activity data'!AD7*EF!$H38*EF!$H56)*NtoN2O*kgtoGg=0,"NO",('Activity data'!AD7*EF!$H38*EF!$H56)*NtoN2O*kgtoGg)</f>
        <v>1.1586934798802538E-2</v>
      </c>
      <c r="AE38" s="27">
        <f>IF(('Activity data'!AE7*EF!$H38*EF!$H56)*NtoN2O*kgtoGg=0,"NO",('Activity data'!AE7*EF!$H38*EF!$H56)*NtoN2O*kgtoGg)</f>
        <v>1.1651711689683764E-2</v>
      </c>
      <c r="AF38" s="27">
        <f>IF(('Activity data'!AF7*EF!$H38*EF!$H56)*NtoN2O*kgtoGg=0,"NO",('Activity data'!AF7*EF!$H38*EF!$H56)*NtoN2O*kgtoGg)</f>
        <v>1.1743619004328788E-2</v>
      </c>
      <c r="AG38" s="27">
        <f>IF(('Activity data'!AG7*EF!$H38*EF!$H56)*NtoN2O*kgtoGg=0,"NO",('Activity data'!AG7*EF!$H38*EF!$H56)*NtoN2O*kgtoGg)</f>
        <v>1.1802679244134426E-2</v>
      </c>
      <c r="AH38" s="27">
        <f>IF(('Activity data'!AH7*EF!$H38*EF!$H56)*NtoN2O*kgtoGg=0,"NO",('Activity data'!AH7*EF!$H38*EF!$H56)*NtoN2O*kgtoGg)</f>
        <v>1.1841925043604099E-2</v>
      </c>
      <c r="AI38" s="27">
        <f>IF(('Activity data'!AI7*EF!$H38*EF!H56)*NtoN2O*kgtoGg=0,"NO",('Activity data'!AI7*EF!$H38*EF!H56)*NtoN2O*kgtoGg)</f>
        <v>1.1860970136438286E-2</v>
      </c>
      <c r="AJ38" s="27">
        <f>IF(('Activity data'!AJ7*EF!$H38*EF!I56)*NtoN2O*kgtoGg=0,"NO",('Activity data'!AJ7*EF!$H38*EF!I56)*NtoN2O*kgtoGg)</f>
        <v>1.1903047834366352E-2</v>
      </c>
      <c r="AK38" s="27">
        <f>IF(('Activity data'!AK7*EF!$H38*EF!J56)*NtoN2O*kgtoGg=0,"NO",('Activity data'!AK7*EF!$H38*EF!J56)*NtoN2O*kgtoGg)</f>
        <v>1.1951318021451857E-2</v>
      </c>
      <c r="AL38" s="27">
        <f>IF(('Activity data'!AL7*EF!$H38*EF!K56)*NtoN2O*kgtoGg=0,"NO",('Activity data'!AL7*EF!$H38*EF!K56)*NtoN2O*kgtoGg)</f>
        <v>1.1592066187314282E-2</v>
      </c>
      <c r="AM38" s="27">
        <f>IF(('Activity data'!AM7*EF!$H38*EF!L56)*NtoN2O*kgtoGg=0,"NO",('Activity data'!AM7*EF!$H38*EF!L56)*NtoN2O*kgtoGg)</f>
        <v>1.1713958142562505E-2</v>
      </c>
      <c r="AN38" s="27">
        <f>IF(('Activity data'!AN7*EF!$H38*EF!M56)*NtoN2O*kgtoGg=0,"NO",('Activity data'!AN7*EF!$H38*EF!M56)*NtoN2O*kgtoGg)</f>
        <v>1.1892375711990867E-2</v>
      </c>
      <c r="AO38" s="27">
        <f>IF(('Activity data'!AO7*EF!$H38*EF!N56)*NtoN2O*kgtoGg=0,"NO",('Activity data'!AO7*EF!$H38*EF!N56)*NtoN2O*kgtoGg)</f>
        <v>1.1984853830210035E-2</v>
      </c>
      <c r="AP38" s="27">
        <f>IF(('Activity data'!AP7*EF!$H38*EF!O56)*NtoN2O*kgtoGg=0,"NO",('Activity data'!AP7*EF!$H38*EF!O56)*NtoN2O*kgtoGg)</f>
        <v>1.2090544009021577E-2</v>
      </c>
      <c r="AQ38" s="27">
        <f>IF(('Activity data'!AQ7*EF!$H38*EF!P56)*NtoN2O*kgtoGg=0,"NO",('Activity data'!AQ7*EF!$H38*EF!P56)*NtoN2O*kgtoGg)</f>
        <v>1.221286931764253E-2</v>
      </c>
      <c r="AR38" s="27">
        <f>IF(('Activity data'!AR7*EF!$H38*EF!Q56)*NtoN2O*kgtoGg=0,"NO",('Activity data'!AR7*EF!$H38*EF!Q56)*NtoN2O*kgtoGg)</f>
        <v>1.2337786538069315E-2</v>
      </c>
      <c r="AS38" s="27">
        <f>IF(('Activity data'!AS7*EF!$H38*EF!R56)*NtoN2O*kgtoGg=0,"NO",('Activity data'!AS7*EF!$H38*EF!R56)*NtoN2O*kgtoGg)</f>
        <v>1.2476053790971267E-2</v>
      </c>
      <c r="AT38" s="27">
        <f>IF(('Activity data'!AT7*EF!$H38*EF!S56)*NtoN2O*kgtoGg=0,"NO",('Activity data'!AT7*EF!$H38*EF!S56)*NtoN2O*kgtoGg)</f>
        <v>1.2618604185344915E-2</v>
      </c>
      <c r="AU38" s="27">
        <f>IF(('Activity data'!AU7*EF!$H38*EF!T56)*NtoN2O*kgtoGg=0,"NO",('Activity data'!AU7*EF!$H38*EF!T56)*NtoN2O*kgtoGg)</f>
        <v>1.2773621764201382E-2</v>
      </c>
      <c r="AV38" s="27">
        <f>IF(('Activity data'!AV7*EF!$H38*EF!U56)*NtoN2O*kgtoGg=0,"NO",('Activity data'!AV7*EF!$H38*EF!U56)*NtoN2O*kgtoGg)</f>
        <v>1.293213624978054E-2</v>
      </c>
      <c r="AW38" s="27">
        <f>IF(('Activity data'!AW7*EF!$H38*EF!V56)*NtoN2O*kgtoGg=0,"NO",('Activity data'!AW7*EF!$H38*EF!V56)*NtoN2O*kgtoGg)</f>
        <v>1.3103384191066813E-2</v>
      </c>
      <c r="AX38" s="27">
        <f>IF(('Activity data'!AX7*EF!$H38*EF!W56)*NtoN2O*kgtoGg=0,"NO",('Activity data'!AX7*EF!$H38*EF!W56)*NtoN2O*kgtoGg)</f>
        <v>1.3272314401864145E-2</v>
      </c>
      <c r="AY38" s="27">
        <f>IF(('Activity data'!AY7*EF!$H38*EF!X56)*NtoN2O*kgtoGg=0,"NO",('Activity data'!AY7*EF!$H38*EF!X56)*NtoN2O*kgtoGg)</f>
        <v>1.345061897981439E-2</v>
      </c>
      <c r="AZ38" s="27">
        <f>IF(('Activity data'!AZ7*EF!$H38*EF!Y56)*NtoN2O*kgtoGg=0,"NO",('Activity data'!AZ7*EF!$H38*EF!Y56)*NtoN2O*kgtoGg)</f>
        <v>1.3652310933507637E-2</v>
      </c>
      <c r="BA38" s="27">
        <f>IF(('Activity data'!BA7*EF!$H38*EF!Z56)*NtoN2O*kgtoGg=0,"NO",('Activity data'!BA7*EF!$H38*EF!Z56)*NtoN2O*kgtoGg)</f>
        <v>1.3844073594396234E-2</v>
      </c>
      <c r="BB38" s="27">
        <f>IF(('Activity data'!BB7*EF!$H38*EF!AA56)*NtoN2O*kgtoGg=0,"NO",('Activity data'!BB7*EF!$H38*EF!AA56)*NtoN2O*kgtoGg)</f>
        <v>1.4040725187412617E-2</v>
      </c>
      <c r="BC38" s="27">
        <f>IF(('Activity data'!BC7*EF!$H38*EF!AB56)*NtoN2O*kgtoGg=0,"NO",('Activity data'!BC7*EF!$H38*EF!AB56)*NtoN2O*kgtoGg)</f>
        <v>1.4251035165107133E-2</v>
      </c>
      <c r="BD38" s="27">
        <f>IF(('Activity data'!BD7*EF!$H38*EF!AC56)*NtoN2O*kgtoGg=0,"NO",('Activity data'!BD7*EF!$H38*EF!AC56)*NtoN2O*kgtoGg)</f>
        <v>1.4448070268720213E-2</v>
      </c>
      <c r="BE38" s="27">
        <f>IF(('Activity data'!BE7*EF!$H38*EF!AD56)*NtoN2O*kgtoGg=0,"NO",('Activity data'!BE7*EF!$H38*EF!AD56)*NtoN2O*kgtoGg)</f>
        <v>1.4644036117004574E-2</v>
      </c>
      <c r="BF38" s="27">
        <f>IF(('Activity data'!BF7*EF!$H38*EF!AE56)*NtoN2O*kgtoGg=0,"NO",('Activity data'!BF7*EF!$H38*EF!AE56)*NtoN2O*kgtoGg)</f>
        <v>1.4839477787774847E-2</v>
      </c>
      <c r="BG38" s="27">
        <f>IF(('Activity data'!BG7*EF!$H38*EF!AF56)*NtoN2O*kgtoGg=0,"NO",('Activity data'!BG7*EF!$H38*EF!AF56)*NtoN2O*kgtoGg)</f>
        <v>1.5046249215805637E-2</v>
      </c>
      <c r="BH38" s="27">
        <f>IF(('Activity data'!BH7*EF!$H38*EF!AG56)*NtoN2O*kgtoGg=0,"NO",('Activity data'!BH7*EF!$H38*EF!AG56)*NtoN2O*kgtoGg)</f>
        <v>1.5244703880582538E-2</v>
      </c>
      <c r="BI38" s="27">
        <f>IF(('Activity data'!BI7*EF!$H38*EF!AH56)*NtoN2O*kgtoGg=0,"NO",('Activity data'!BI7*EF!$H38*EF!AH56)*NtoN2O*kgtoGg)</f>
        <v>1.5450864816287217E-2</v>
      </c>
      <c r="BJ38" s="27">
        <f>IF(('Activity data'!BJ7*EF!$H38*EF!AI56)*NtoN2O*kgtoGg=0,"NO",('Activity data'!BJ7*EF!$H38*EF!AI56)*NtoN2O*kgtoGg)</f>
        <v>1.5665672285356487E-2</v>
      </c>
      <c r="BK38" s="27">
        <f>IF(('Activity data'!BK7*EF!$H38*EF!AJ56)*NtoN2O*kgtoGg=0,"NO",('Activity data'!BK7*EF!$H38*EF!AJ56)*NtoN2O*kgtoGg)</f>
        <v>1.589063832948109E-2</v>
      </c>
      <c r="BL38" s="27">
        <f>IF(('Activity data'!BL7*EF!$H38*EF!AK56)*NtoN2O*kgtoGg=0,"NO",('Activity data'!BL7*EF!$H38*EF!AK56)*NtoN2O*kgtoGg)</f>
        <v>1.6119583726629205E-2</v>
      </c>
      <c r="BM38" s="27">
        <f>IF(('Activity data'!BM7*EF!$H38*EF!AL56)*NtoN2O*kgtoGg=0,"NO",('Activity data'!BM7*EF!$H38*EF!AL56)*NtoN2O*kgtoGg)</f>
        <v>1.6173864850642101E-2</v>
      </c>
      <c r="BN38" s="27">
        <f>IF(('Activity data'!BN7*EF!$H38*EF!AM56)*NtoN2O*kgtoGg=0,"NO",('Activity data'!BN7*EF!$H38*EF!AM56)*NtoN2O*kgtoGg)</f>
        <v>1.6212496560555425E-2</v>
      </c>
      <c r="BO38" s="27">
        <f>IF(('Activity data'!BO7*EF!$H38*EF!AN56)*NtoN2O*kgtoGg=0,"NO",('Activity data'!BO7*EF!$H38*EF!AN56)*NtoN2O*kgtoGg)</f>
        <v>1.6228324677927005E-2</v>
      </c>
      <c r="BP38" s="27">
        <f>IF(('Activity data'!BP7*EF!$H38*EF!AO56)*NtoN2O*kgtoGg=0,"NO",('Activity data'!BP7*EF!$H38*EF!AO56)*NtoN2O*kgtoGg)</f>
        <v>1.6237882122484858E-2</v>
      </c>
    </row>
    <row r="39" spans="1:68" x14ac:dyDescent="0.3">
      <c r="A39" t="str">
        <f t="shared" si="1"/>
        <v>3A Livestock</v>
      </c>
      <c r="B39" t="str">
        <f t="shared" si="11"/>
        <v>3A2 Manure management (N2O)</v>
      </c>
      <c r="C39" t="str">
        <f>EF!C57</f>
        <v>3A1aii Other cattle</v>
      </c>
      <c r="D39" t="str">
        <f>EF!D57</f>
        <v>Commercial</v>
      </c>
      <c r="E39" t="str">
        <f>E37</f>
        <v>Manure management Emissions</v>
      </c>
      <c r="F39" t="s">
        <v>139</v>
      </c>
      <c r="G39" t="str">
        <f>G37</f>
        <v>Gg N2O</v>
      </c>
      <c r="H39" s="27">
        <f>IF(('Activity data'!H8*EF!$H39*EF!$H57)*NtoN2O*kgtoGg=0,"NO",('Activity data'!H8*EF!$H39*EF!$H57)*NtoN2O*kgtoGg)</f>
        <v>0.60130464628072355</v>
      </c>
      <c r="I39" s="27">
        <f>IF(('Activity data'!I8*EF!$H39*EF!$H57)*NtoN2O*kgtoGg=0,"NO",('Activity data'!I8*EF!$H39*EF!$H57)*NtoN2O*kgtoGg)</f>
        <v>0.57535110604783257</v>
      </c>
      <c r="J39" s="27">
        <f>IF(('Activity data'!J8*EF!$H39*EF!$H57)*NtoN2O*kgtoGg=0,"NO",('Activity data'!J8*EF!$H39*EF!$H57)*NtoN2O*kgtoGg)</f>
        <v>0.57514205938404817</v>
      </c>
      <c r="K39" s="27">
        <f>IF(('Activity data'!K8*EF!$H39*EF!$H57)*NtoN2O*kgtoGg=0,"NO",('Activity data'!K8*EF!$H39*EF!$H57)*NtoN2O*kgtoGg)</f>
        <v>0.53806582535232794</v>
      </c>
      <c r="L39" s="27">
        <f>IF(('Activity data'!L8*EF!$H39*EF!$H57)*NtoN2O*kgtoGg=0,"NO",('Activity data'!L8*EF!$H39*EF!$H57)*NtoN2O*kgtoGg)</f>
        <v>0.55428678799788489</v>
      </c>
      <c r="M39" s="27">
        <f>IF(('Activity data'!M8*EF!$H39*EF!$H57)*NtoN2O*kgtoGg=0,"NO",('Activity data'!M8*EF!$H39*EF!$H57)*NtoN2O*kgtoGg)</f>
        <v>0.56688956745844588</v>
      </c>
      <c r="N39" s="27">
        <f>IF(('Activity data'!N8*EF!$H39*EF!$H57)*NtoN2O*kgtoGg=0,"NO",('Activity data'!N8*EF!$H39*EF!$H57)*NtoN2O*kgtoGg)</f>
        <v>0.59040599405405159</v>
      </c>
      <c r="O39" s="27">
        <f>IF(('Activity data'!O8*EF!$H39*EF!$H57)*NtoN2O*kgtoGg=0,"NO",('Activity data'!O8*EF!$H39*EF!$H57)*NtoN2O*kgtoGg)</f>
        <v>0.61277134091869179</v>
      </c>
      <c r="P39" s="27">
        <f>IF(('Activity data'!P8*EF!$H39*EF!$H57)*NtoN2O*kgtoGg=0,"NO",('Activity data'!P8*EF!$H39*EF!$H57)*NtoN2O*kgtoGg)</f>
        <v>0.6180786564292039</v>
      </c>
      <c r="Q39" s="27">
        <f>IF(('Activity data'!Q8*EF!$H39*EF!$H57)*NtoN2O*kgtoGg=0,"NO",('Activity data'!Q8*EF!$H39*EF!$H57)*NtoN2O*kgtoGg)</f>
        <v>0.60807705254459443</v>
      </c>
      <c r="R39" s="27">
        <f>IF(('Activity data'!R8*EF!$H39*EF!$H57)*NtoN2O*kgtoGg=0,"NO",('Activity data'!R8*EF!$H39*EF!$H57)*NtoN2O*kgtoGg)</f>
        <v>0.56676960819146394</v>
      </c>
      <c r="S39" s="27">
        <f>IF(('Activity data'!S8*EF!$H39*EF!$H57)*NtoN2O*kgtoGg=0,"NO",('Activity data'!S8*EF!$H39*EF!$H57)*NtoN2O*kgtoGg)</f>
        <v>0.56971478460655445</v>
      </c>
      <c r="T39" s="27">
        <f>IF(('Activity data'!T8*EF!$H39*EF!$H57)*NtoN2O*kgtoGg=0,"NO",('Activity data'!T8*EF!$H39*EF!$H57)*NtoN2O*kgtoGg)</f>
        <v>0.53097940806606359</v>
      </c>
      <c r="U39" s="27">
        <f>IF(('Activity data'!U8*EF!$H39*EF!$H57)*NtoN2O*kgtoGg=0,"NO",('Activity data'!U8*EF!$H39*EF!$H57)*NtoN2O*kgtoGg)</f>
        <v>0.54486822143294433</v>
      </c>
      <c r="V39" s="27">
        <f>IF(('Activity data'!V8*EF!$H39*EF!$H57)*NtoN2O*kgtoGg=0,"NO",('Activity data'!V8*EF!$H39*EF!$H57)*NtoN2O*kgtoGg)</f>
        <v>0.54989151573780826</v>
      </c>
      <c r="W39" s="27">
        <f>IF(('Activity data'!W8*EF!$H39*EF!$H57)*NtoN2O*kgtoGg=0,"NO",('Activity data'!W8*EF!$H39*EF!$H57)*NtoN2O*kgtoGg)</f>
        <v>0.55455581429516021</v>
      </c>
      <c r="X39" s="27">
        <f>IF(('Activity data'!X8*EF!$H39*EF!$H57)*NtoN2O*kgtoGg=0,"NO",('Activity data'!X8*EF!$H39*EF!$H57)*NtoN2O*kgtoGg)</f>
        <v>0.54192304501785393</v>
      </c>
      <c r="Y39" s="27">
        <f>IF(('Activity data'!Y8*EF!$H39*EF!$H57)*NtoN2O*kgtoGg=0,"NO",('Activity data'!Y8*EF!$H39*EF!$H57)*NtoN2O*kgtoGg)</f>
        <v>0.55780000682427144</v>
      </c>
      <c r="Z39" s="27">
        <f>IF(('Activity data'!Z8*EF!$H39*EF!$H57)*NtoN2O*kgtoGg=0,"NO",('Activity data'!Z8*EF!$H39*EF!$H57)*NtoN2O*kgtoGg)</f>
        <v>0.54229988029606202</v>
      </c>
      <c r="AA39" s="27">
        <f>IF(('Activity data'!AA8*EF!$H39*EF!$H57)*NtoN2O*kgtoGg=0,"NO",('Activity data'!AA8*EF!$H39*EF!$H57)*NtoN2O*kgtoGg)</f>
        <v>0.53319429569117582</v>
      </c>
      <c r="AB39" s="27">
        <f>IF(('Activity data'!AB8*EF!$H39*EF!$H57)*NtoN2O*kgtoGg=0,"NO",('Activity data'!AB8*EF!$H39*EF!$H57)*NtoN2O*kgtoGg)</f>
        <v>0.53151813690158023</v>
      </c>
      <c r="AC39" s="27">
        <f>IF(('Activity data'!AC8*EF!$H39*EF!$H57)*NtoN2O*kgtoGg=0,"NO",('Activity data'!AC8*EF!$H39*EF!$H57)*NtoN2O*kgtoGg)</f>
        <v>0.52960956438265261</v>
      </c>
      <c r="AD39" s="27">
        <f>IF(('Activity data'!AD8*EF!$H39*EF!$H57)*NtoN2O*kgtoGg=0,"NO",('Activity data'!AD8*EF!$H39*EF!$H57)*NtoN2O*kgtoGg)</f>
        <v>0.52525224947331306</v>
      </c>
      <c r="AE39" s="27">
        <f>IF(('Activity data'!AE8*EF!$H39*EF!$H57)*NtoN2O*kgtoGg=0,"NO",('Activity data'!AE8*EF!$H39*EF!$H57)*NtoN2O*kgtoGg)</f>
        <v>0.52069690445710348</v>
      </c>
      <c r="AF39" s="27">
        <f>IF(('Activity data'!AF8*EF!$H39*EF!$H57)*NtoN2O*kgtoGg=0,"NO",('Activity data'!AF8*EF!$H39*EF!$H57)*NtoN2O*kgtoGg)</f>
        <v>0.51896282251134873</v>
      </c>
      <c r="AG39" s="27">
        <f>IF(('Activity data'!AG8*EF!$H39*EF!$H57)*NtoN2O*kgtoGg=0,"NO",('Activity data'!AG8*EF!$H39*EF!$H57)*NtoN2O*kgtoGg)</f>
        <v>0.51203275332440912</v>
      </c>
      <c r="AH39" s="27">
        <f>IF(('Activity data'!AH8*EF!$H39*EF!$H57)*NtoN2O*kgtoGg=0,"NO",('Activity data'!AH8*EF!$H39*EF!$H57)*NtoN2O*kgtoGg)</f>
        <v>0.50197358865556674</v>
      </c>
      <c r="AI39" s="27">
        <f>IF(('Activity data'!AI8*EF!$H39*EF!$H57)*NtoN2O*kgtoGg=0,"NO",('Activity data'!AI8*EF!$H39*EF!H57)*NtoN2O*kgtoGg)</f>
        <v>0.48899333628247271</v>
      </c>
      <c r="AJ39" s="27">
        <f>IF(('Activity data'!AJ8*EF!$H39*EF!$H57)*NtoN2O*kgtoGg=0,"NO",('Activity data'!AJ8*EF!$H39*EF!I57)*NtoN2O*kgtoGg)</f>
        <v>0.47875543160314177</v>
      </c>
      <c r="AK39" s="27">
        <f>IF(('Activity data'!AK8*EF!$H39*EF!$H57)*NtoN2O*kgtoGg=0,"NO",('Activity data'!AK8*EF!$H39*EF!J57)*NtoN2O*kgtoGg)</f>
        <v>0.46906920988966794</v>
      </c>
      <c r="AL39" s="27">
        <f>IF(('Activity data'!AL8*EF!$H39*EF!$H57)*NtoN2O*kgtoGg=0,"NO",('Activity data'!AL8*EF!$H39*EF!K57)*NtoN2O*kgtoGg)</f>
        <v>0.41264416115350733</v>
      </c>
      <c r="AM39" s="27">
        <f>IF(('Activity data'!AM8*EF!$H39*EF!$H57)*NtoN2O*kgtoGg=0,"NO",('Activity data'!AM8*EF!$H39*EF!L57)*NtoN2O*kgtoGg)</f>
        <v>0.41934674582080395</v>
      </c>
      <c r="AN39" s="27">
        <f>IF(('Activity data'!AN8*EF!$H39*EF!$H57)*NtoN2O*kgtoGg=0,"NO",('Activity data'!AN8*EF!$H39*EF!M57)*NtoN2O*kgtoGg)</f>
        <v>0.43185062896277993</v>
      </c>
      <c r="AO39" s="27">
        <f>IF(('Activity data'!AO8*EF!$H39*EF!$H57)*NtoN2O*kgtoGg=0,"NO",('Activity data'!AO8*EF!$H39*EF!N57)*NtoN2O*kgtoGg)</f>
        <v>0.43434779885132324</v>
      </c>
      <c r="AP39" s="27">
        <f>IF(('Activity data'!AP8*EF!$H39*EF!$H57)*NtoN2O*kgtoGg=0,"NO",('Activity data'!AP8*EF!$H39*EF!O57)*NtoN2O*kgtoGg)</f>
        <v>0.43794943602225234</v>
      </c>
      <c r="AQ39" s="27">
        <f>IF(('Activity data'!AQ8*EF!$H39*EF!$H57)*NtoN2O*kgtoGg=0,"NO",('Activity data'!AQ8*EF!$H39*EF!P57)*NtoN2O*kgtoGg)</f>
        <v>0.44297379932068648</v>
      </c>
      <c r="AR39" s="27">
        <f>IF(('Activity data'!AR8*EF!$H39*EF!$H57)*NtoN2O*kgtoGg=0,"NO",('Activity data'!AR8*EF!$H39*EF!Q57)*NtoN2O*kgtoGg)</f>
        <v>0.44873697326986872</v>
      </c>
      <c r="AS39" s="27">
        <f>IF(('Activity data'!AS8*EF!$H39*EF!$H57)*NtoN2O*kgtoGg=0,"NO",('Activity data'!AS8*EF!$H39*EF!R57)*NtoN2O*kgtoGg)</f>
        <v>0.45549399211939318</v>
      </c>
      <c r="AT39" s="27">
        <f>IF(('Activity data'!AT8*EF!$H39*EF!$H57)*NtoN2O*kgtoGg=0,"NO",('Activity data'!AT8*EF!$H39*EF!S57)*NtoN2O*kgtoGg)</f>
        <v>0.46228217585155068</v>
      </c>
      <c r="AU39" s="27">
        <f>IF(('Activity data'!AU8*EF!$H39*EF!$H57)*NtoN2O*kgtoGg=0,"NO",('Activity data'!AU8*EF!$H39*EF!T57)*NtoN2O*kgtoGg)</f>
        <v>0.46991678793970998</v>
      </c>
      <c r="AV39" s="27">
        <f>IF(('Activity data'!AV8*EF!$H39*EF!$H57)*NtoN2O*kgtoGg=0,"NO",('Activity data'!AV8*EF!$H39*EF!U57)*NtoN2O*kgtoGg)</f>
        <v>0.47747563485930333</v>
      </c>
      <c r="AW39" s="27">
        <f>IF(('Activity data'!AW8*EF!$H39*EF!$H57)*NtoN2O*kgtoGg=0,"NO",('Activity data'!AW8*EF!$H39*EF!V57)*NtoN2O*kgtoGg)</f>
        <v>0.48239948914340336</v>
      </c>
      <c r="AX39" s="27">
        <f>IF(('Activity data'!AX8*EF!$H39*EF!$H57)*NtoN2O*kgtoGg=0,"NO",('Activity data'!AX8*EF!$H39*EF!W57)*NtoN2O*kgtoGg)</f>
        <v>0.48644231664639292</v>
      </c>
      <c r="AY39" s="27">
        <f>IF(('Activity data'!AY8*EF!$H39*EF!$H57)*NtoN2O*kgtoGg=0,"NO",('Activity data'!AY8*EF!$H39*EF!X57)*NtoN2O*kgtoGg)</f>
        <v>0.49071333483501467</v>
      </c>
      <c r="AZ39" s="27">
        <f>IF(('Activity data'!AZ8*EF!$H39*EF!$H57)*NtoN2O*kgtoGg=0,"NO",('Activity data'!AZ8*EF!$H39*EF!Y57)*NtoN2O*kgtoGg)</f>
        <v>0.49642790918475599</v>
      </c>
      <c r="BA39" s="27">
        <f>IF(('Activity data'!BA8*EF!$H39*EF!$H57)*NtoN2O*kgtoGg=0,"NO",('Activity data'!BA8*EF!$H39*EF!Z57)*NtoN2O*kgtoGg)</f>
        <v>0.50053763889453751</v>
      </c>
      <c r="BB39" s="27">
        <f>IF(('Activity data'!BB8*EF!$H39*EF!$H57)*NtoN2O*kgtoGg=0,"NO",('Activity data'!BB8*EF!$H39*EF!AA57)*NtoN2O*kgtoGg)</f>
        <v>0.50491759807835224</v>
      </c>
      <c r="BC39" s="27">
        <f>IF(('Activity data'!BC8*EF!$H39*EF!$H57)*NtoN2O*kgtoGg=0,"NO",('Activity data'!BC8*EF!$H39*EF!AB57)*NtoN2O*kgtoGg)</f>
        <v>0.50973902676184191</v>
      </c>
      <c r="BD39" s="27">
        <f>IF(('Activity data'!BD8*EF!$H39*EF!$H57)*NtoN2O*kgtoGg=0,"NO",('Activity data'!BD8*EF!$H39*EF!AC57)*NtoN2O*kgtoGg)</f>
        <v>0.51274341869053752</v>
      </c>
      <c r="BE39" s="27">
        <f>IF(('Activity data'!BE8*EF!$H39*EF!$H57)*NtoN2O*kgtoGg=0,"NO",('Activity data'!BE8*EF!$H39*EF!AD57)*NtoN2O*kgtoGg)</f>
        <v>0.51499736836395149</v>
      </c>
      <c r="BF39" s="27">
        <f>IF(('Activity data'!BF8*EF!$H39*EF!$H57)*NtoN2O*kgtoGg=0,"NO",('Activity data'!BF8*EF!$H39*EF!AE57)*NtoN2O*kgtoGg)</f>
        <v>0.51656513471542254</v>
      </c>
      <c r="BG39" s="27">
        <f>IF(('Activity data'!BG8*EF!$H39*EF!$H57)*NtoN2O*kgtoGg=0,"NO",('Activity data'!BG8*EF!$H39*EF!AF57)*NtoN2O*kgtoGg)</f>
        <v>0.52143890594170261</v>
      </c>
      <c r="BH39" s="27">
        <f>IF(('Activity data'!BH8*EF!$H39*EF!$H57)*NtoN2O*kgtoGg=0,"NO",('Activity data'!BH8*EF!$H39*EF!AG57)*NtoN2O*kgtoGg)</f>
        <v>0.52514358906624359</v>
      </c>
      <c r="BI39" s="27">
        <f>IF(('Activity data'!BI8*EF!$H39*EF!$H57)*NtoN2O*kgtoGg=0,"NO",('Activity data'!BI8*EF!$H39*EF!AH57)*NtoN2O*kgtoGg)</f>
        <v>0.52889503602895283</v>
      </c>
      <c r="BJ39" s="27">
        <f>IF(('Activity data'!BJ8*EF!$H39*EF!$H57)*NtoN2O*kgtoGg=0,"NO",('Activity data'!BJ8*EF!$H39*EF!AI57)*NtoN2O*kgtoGg)</f>
        <v>0.53273616168720928</v>
      </c>
      <c r="BK39" s="27">
        <f>IF(('Activity data'!BK8*EF!$H39*EF!$H57)*NtoN2O*kgtoGg=0,"NO",('Activity data'!BK8*EF!$H39*EF!AJ57)*NtoN2O*kgtoGg)</f>
        <v>0.53674442357271479</v>
      </c>
      <c r="BL39" s="27">
        <f>IF(('Activity data'!BL8*EF!$H39*EF!$H57)*NtoN2O*kgtoGg=0,"NO",('Activity data'!BL8*EF!$H39*EF!AK57)*NtoN2O*kgtoGg)</f>
        <v>0.54085984384551011</v>
      </c>
      <c r="BM39" s="27">
        <f>IF(('Activity data'!BM8*EF!$H39*EF!$H57)*NtoN2O*kgtoGg=0,"NO",('Activity data'!BM8*EF!$H39*EF!AL57)*NtoN2O*kgtoGg)</f>
        <v>0.53274169797877946</v>
      </c>
      <c r="BN39" s="27">
        <f>IF(('Activity data'!BN8*EF!$H39*EF!$H57)*NtoN2O*kgtoGg=0,"NO",('Activity data'!BN8*EF!$H39*EF!AM57)*NtoN2O*kgtoGg)</f>
        <v>0.52354520401592364</v>
      </c>
      <c r="BO39" s="27">
        <f>IF(('Activity data'!BO8*EF!$H39*EF!$H57)*NtoN2O*kgtoGg=0,"NO",('Activity data'!BO8*EF!$H39*EF!AN57)*NtoN2O*kgtoGg)</f>
        <v>0.51288351759282347</v>
      </c>
      <c r="BP39" s="27">
        <f>IF(('Activity data'!BP8*EF!$H39*EF!$H57)*NtoN2O*kgtoGg=0,"NO",('Activity data'!BP8*EF!$H39*EF!AO57)*NtoN2O*kgtoGg)</f>
        <v>0.50188770167031349</v>
      </c>
    </row>
    <row r="40" spans="1:68" x14ac:dyDescent="0.3">
      <c r="A40" t="str">
        <f t="shared" si="1"/>
        <v>3A Livestock</v>
      </c>
      <c r="B40" t="str">
        <f t="shared" si="11"/>
        <v>3A2 Manure management (N2O)</v>
      </c>
      <c r="C40" t="str">
        <f>EF!C58</f>
        <v>3A1aii Other cattle</v>
      </c>
      <c r="D40" t="str">
        <f>EF!D58</f>
        <v>Subsistence</v>
      </c>
      <c r="E40" t="str">
        <f t="shared" si="9"/>
        <v>Manure management Emissions</v>
      </c>
      <c r="F40" t="s">
        <v>139</v>
      </c>
      <c r="G40" t="str">
        <f t="shared" si="10"/>
        <v>Gg N2O</v>
      </c>
      <c r="H40" s="27">
        <f>IF(('Activity data'!H9*EF!$H40*EF!$H58)*NtoN2O*kgtoGg=0,"NO",('Activity data'!H9*EF!$H40*EF!$H58)*NtoN2O*kgtoGg)</f>
        <v>0.69929058547122203</v>
      </c>
      <c r="I40" s="27">
        <f>IF(('Activity data'!I9*EF!$H40*EF!$H58)*NtoN2O*kgtoGg=0,"NO",('Activity data'!I9*EF!$H40*EF!$H58)*NtoN2O*kgtoGg)</f>
        <v>0.7419488346938673</v>
      </c>
      <c r="J40" s="27">
        <f>IF(('Activity data'!J9*EF!$H40*EF!$H58)*NtoN2O*kgtoGg=0,"NO",('Activity data'!J9*EF!$H40*EF!$H58)*NtoN2O*kgtoGg)</f>
        <v>0.77698953941246884</v>
      </c>
      <c r="K40" s="27">
        <f>IF(('Activity data'!K9*EF!$H40*EF!$H58)*NtoN2O*kgtoGg=0,"NO",('Activity data'!K9*EF!$H40*EF!$H58)*NtoN2O*kgtoGg)</f>
        <v>0.76784848600761624</v>
      </c>
      <c r="L40" s="27">
        <f>IF(('Activity data'!L9*EF!$H40*EF!$H58)*NtoN2O*kgtoGg=0,"NO",('Activity data'!L9*EF!$H40*EF!$H58)*NtoN2O*kgtoGg)</f>
        <v>0.66882040745504678</v>
      </c>
      <c r="M40" s="27">
        <f>IF(('Activity data'!M9*EF!$H40*EF!$H58)*NtoN2O*kgtoGg=0,"NO",('Activity data'!M9*EF!$H40*EF!$H58)*NtoN2O*kgtoGg)</f>
        <v>0.64596777394291538</v>
      </c>
      <c r="N40" s="27">
        <f>IF(('Activity data'!N9*EF!$H40*EF!$H58)*NtoN2O*kgtoGg=0,"NO",('Activity data'!N9*EF!$H40*EF!$H58)*NtoN2O*kgtoGg)</f>
        <v>0.66424988075262037</v>
      </c>
      <c r="O40" s="27">
        <f>IF(('Activity data'!O9*EF!$H40*EF!$H58)*NtoN2O*kgtoGg=0,"NO",('Activity data'!O9*EF!$H40*EF!$H58)*NtoN2O*kgtoGg)</f>
        <v>0.69472005876879561</v>
      </c>
      <c r="P40" s="27">
        <f>IF(('Activity data'!P9*EF!$H40*EF!$H58)*NtoN2O*kgtoGg=0,"NO",('Activity data'!P9*EF!$H40*EF!$H58)*NtoN2O*kgtoGg)</f>
        <v>0.73737830799144111</v>
      </c>
      <c r="Q40" s="27">
        <f>IF(('Activity data'!Q9*EF!$H40*EF!$H58)*NtoN2O*kgtoGg=0,"NO",('Activity data'!Q9*EF!$H40*EF!$H58)*NtoN2O*kgtoGg)</f>
        <v>0.76784848600761624</v>
      </c>
      <c r="R40" s="27">
        <f>IF(('Activity data'!R9*EF!$H40*EF!$H58)*NtoN2O*kgtoGg=0,"NO",('Activity data'!R9*EF!$H40*EF!$H58)*NtoN2O*kgtoGg)</f>
        <v>0.74956637919791114</v>
      </c>
      <c r="S40" s="27">
        <f>IF(('Activity data'!S9*EF!$H40*EF!$H58)*NtoN2O*kgtoGg=0,"NO",('Activity data'!S9*EF!$H40*EF!$H58)*NtoN2O*kgtoGg)</f>
        <v>0.73128427238820592</v>
      </c>
      <c r="T40" s="27">
        <f>IF(('Activity data'!T9*EF!$H40*EF!$H58)*NtoN2O*kgtoGg=0,"NO",('Activity data'!T9*EF!$H40*EF!$H58)*NtoN2O*kgtoGg)</f>
        <v>0.82878884203996683</v>
      </c>
      <c r="U40" s="27">
        <f>IF(('Activity data'!U9*EF!$H40*EF!$H58)*NtoN2O*kgtoGg=0,"NO",('Activity data'!U9*EF!$H40*EF!$H58)*NtoN2O*kgtoGg)</f>
        <v>0.84859445775048059</v>
      </c>
      <c r="V40" s="27">
        <f>IF(('Activity data'!V9*EF!$H40*EF!$H58)*NtoN2O*kgtoGg=0,"NO",('Activity data'!V9*EF!$H40*EF!$H58)*NtoN2O*kgtoGg)</f>
        <v>0.83488287764320168</v>
      </c>
      <c r="W40" s="27">
        <f>IF(('Activity data'!W9*EF!$H40*EF!$H58)*NtoN2O*kgtoGg=0,"NO",('Activity data'!W9*EF!$H40*EF!$H58)*NtoN2O*kgtoGg)</f>
        <v>0.81050673523026162</v>
      </c>
      <c r="X40" s="27">
        <f>IF(('Activity data'!X9*EF!$H40*EF!$H58)*NtoN2O*kgtoGg=0,"NO",('Activity data'!X9*EF!$H40*EF!$H58)*NtoN2O*kgtoGg)</f>
        <v>0.83640638654401056</v>
      </c>
      <c r="Y40" s="27">
        <f>IF(('Activity data'!Y9*EF!$H40*EF!$H58)*NtoN2O*kgtoGg=0,"NO",('Activity data'!Y9*EF!$H40*EF!$H58)*NtoN2O*kgtoGg)</f>
        <v>0.86992358236180345</v>
      </c>
      <c r="Z40" s="27">
        <f>IF(('Activity data'!Z9*EF!$H40*EF!$H58)*NtoN2O*kgtoGg=0,"NO",('Activity data'!Z9*EF!$H40*EF!$H58)*NtoN2O*kgtoGg)</f>
        <v>0.85621200225452454</v>
      </c>
      <c r="AA40" s="27">
        <f>IF(('Activity data'!AA9*EF!$H40*EF!$H58)*NtoN2O*kgtoGg=0,"NO",('Activity data'!AA9*EF!$H40*EF!$H58)*NtoN2O*kgtoGg)</f>
        <v>0.84707094884967205</v>
      </c>
      <c r="AB40" s="27">
        <f>IF(('Activity data'!AB9*EF!$H40*EF!$H58)*NtoN2O*kgtoGg=0,"NO",('Activity data'!AB9*EF!$H40*EF!$H58)*NtoN2O*kgtoGg)</f>
        <v>0.83488287764320168</v>
      </c>
      <c r="AC40" s="27">
        <f>IF(('Activity data'!AC9*EF!$H40*EF!$H58)*NtoN2O*kgtoGg=0,"NO",('Activity data'!AC9*EF!$H40*EF!$H58)*NtoN2O*kgtoGg)</f>
        <v>0.84097691324643697</v>
      </c>
      <c r="AD40" s="27">
        <f>IF(('Activity data'!AD9*EF!$H40*EF!$H58)*NtoN2O*kgtoGg=0,"NO",('Activity data'!AD9*EF!$H40*EF!$H58)*NtoN2O*kgtoGg)</f>
        <v>0.80452586370517887</v>
      </c>
      <c r="AE40" s="27">
        <f>IF(('Activity data'!AE9*EF!$H40*EF!$H58)*NtoN2O*kgtoGg=0,"NO",('Activity data'!AE9*EF!$H40*EF!$H58)*NtoN2O*kgtoGg)</f>
        <v>0.79754846782098032</v>
      </c>
      <c r="AF40" s="27">
        <f>IF(('Activity data'!AF9*EF!$H40*EF!$H58)*NtoN2O*kgtoGg=0,"NO",('Activity data'!AF9*EF!$H40*EF!$H58)*NtoN2O*kgtoGg)</f>
        <v>0.79489238443144172</v>
      </c>
      <c r="AG40" s="27">
        <f>IF(('Activity data'!AG9*EF!$H40*EF!$H58)*NtoN2O*kgtoGg=0,"NO",('Activity data'!AG9*EF!$H40*EF!$H58)*NtoN2O*kgtoGg)</f>
        <v>0.78427763712907439</v>
      </c>
      <c r="AH40" s="27">
        <f>IF(('Activity data'!AH9*EF!$H40*EF!$H58)*NtoN2O*kgtoGg=0,"NO",('Activity data'!AH9*EF!$H40*EF!$H58)*NtoN2O*kgtoGg)</f>
        <v>0.76887007218962322</v>
      </c>
      <c r="AI40" s="27">
        <f>IF(('Activity data'!AI9*EF!$H40*EF!H58)*NtoN2O*kgtoGg=0,"NO",('Activity data'!AI9*EF!$H40*EF!H58)*NtoN2O*kgtoGg)</f>
        <v>0.74898829393537225</v>
      </c>
      <c r="AJ40" s="27">
        <f>IF(('Activity data'!AJ9*EF!$H40*EF!I58)*NtoN2O*kgtoGg=0,"NO",('Activity data'!AJ9*EF!$H40*EF!I58)*NtoN2O*kgtoGg)</f>
        <v>0.73330695394505496</v>
      </c>
      <c r="AK40" s="27">
        <f>IF(('Activity data'!AK9*EF!$H40*EF!J58)*NtoN2O*kgtoGg=0,"NO",('Activity data'!AK9*EF!$H40*EF!J58)*NtoN2O*kgtoGg)</f>
        <v>0.71847062359542491</v>
      </c>
      <c r="AL40" s="27">
        <f>IF(('Activity data'!AL9*EF!$H40*EF!K58)*NtoN2O*kgtoGg=0,"NO",('Activity data'!AL9*EF!$H40*EF!K58)*NtoN2O*kgtoGg)</f>
        <v>0.63204469945214758</v>
      </c>
      <c r="AM40" s="27">
        <f>IF(('Activity data'!AM9*EF!$H40*EF!L58)*NtoN2O*kgtoGg=0,"NO",('Activity data'!AM9*EF!$H40*EF!L58)*NtoN2O*kgtoGg)</f>
        <v>0.6423110100180156</v>
      </c>
      <c r="AN40" s="27">
        <f>IF(('Activity data'!AN9*EF!$H40*EF!M58)*NtoN2O*kgtoGg=0,"NO",('Activity data'!AN9*EF!$H40*EF!M58)*NtoN2O*kgtoGg)</f>
        <v>0.66146313624794417</v>
      </c>
      <c r="AO40" s="27">
        <f>IF(('Activity data'!AO9*EF!$H40*EF!N58)*NtoN2O*kgtoGg=0,"NO",('Activity data'!AO9*EF!$H40*EF!N58)*NtoN2O*kgtoGg)</f>
        <v>0.6652880370711457</v>
      </c>
      <c r="AP40" s="27">
        <f>IF(('Activity data'!AP9*EF!$H40*EF!O58)*NtoN2O*kgtoGg=0,"NO",('Activity data'!AP9*EF!$H40*EF!O58)*NtoN2O*kgtoGg)</f>
        <v>0.6708046441082407</v>
      </c>
      <c r="AQ40" s="27">
        <f>IF(('Activity data'!AQ9*EF!$H40*EF!P58)*NtoN2O*kgtoGg=0,"NO",('Activity data'!AQ9*EF!$H40*EF!P58)*NtoN2O*kgtoGg)</f>
        <v>0.67850043261042148</v>
      </c>
      <c r="AR40" s="27">
        <f>IF(('Activity data'!AR9*EF!$H40*EF!Q58)*NtoN2O*kgtoGg=0,"NO",('Activity data'!AR9*EF!$H40*EF!Q58)*NtoN2O*kgtoGg)</f>
        <v>0.68732785315702249</v>
      </c>
      <c r="AS40" s="27">
        <f>IF(('Activity data'!AS9*EF!$H40*EF!R58)*NtoN2O*kgtoGg=0,"NO",('Activity data'!AS9*EF!$H40*EF!R58)*NtoN2O*kgtoGg)</f>
        <v>0.69767754024819972</v>
      </c>
      <c r="AT40" s="27">
        <f>IF(('Activity data'!AT9*EF!$H40*EF!S58)*NtoN2O*kgtoGg=0,"NO",('Activity data'!AT9*EF!$H40*EF!S58)*NtoN2O*kgtoGg)</f>
        <v>0.70807496241170254</v>
      </c>
      <c r="AU40" s="27">
        <f>IF(('Activity data'!AU9*EF!$H40*EF!T58)*NtoN2O*kgtoGg=0,"NO",('Activity data'!AU9*EF!$H40*EF!T58)*NtoN2O*kgtoGg)</f>
        <v>0.71976885404270319</v>
      </c>
      <c r="AV40" s="27">
        <f>IF(('Activity data'!AV9*EF!$H40*EF!U58)*NtoN2O*kgtoGg=0,"NO",('Activity data'!AV9*EF!$H40*EF!U58)*NtoN2O*kgtoGg)</f>
        <v>0.73134669659873019</v>
      </c>
      <c r="AW40" s="27">
        <f>IF(('Activity data'!AW9*EF!$H40*EF!V58)*NtoN2O*kgtoGg=0,"NO",('Activity data'!AW9*EF!$H40*EF!V58)*NtoN2O*kgtoGg)</f>
        <v>0.73888853601902071</v>
      </c>
      <c r="AX40" s="27">
        <f>IF(('Activity data'!AX9*EF!$H40*EF!W58)*NtoN2O*kgtoGg=0,"NO",('Activity data'!AX9*EF!$H40*EF!W58)*NtoN2O*kgtoGg)</f>
        <v>0.74508091176213287</v>
      </c>
      <c r="AY40" s="27">
        <f>IF(('Activity data'!AY9*EF!$H40*EF!X58)*NtoN2O*kgtoGg=0,"NO",('Activity data'!AY9*EF!$H40*EF!X58)*NtoN2O*kgtoGg)</f>
        <v>0.7516228058721478</v>
      </c>
      <c r="AZ40" s="27">
        <f>IF(('Activity data'!AZ9*EF!$H40*EF!Y58)*NtoN2O*kgtoGg=0,"NO",('Activity data'!AZ9*EF!$H40*EF!Y58)*NtoN2O*kgtoGg)</f>
        <v>0.76037578669049388</v>
      </c>
      <c r="BA40" s="27">
        <f>IF(('Activity data'!BA9*EF!$H40*EF!Z58)*NtoN2O*kgtoGg=0,"NO",('Activity data'!BA9*EF!$H40*EF!Z58)*NtoN2O*kgtoGg)</f>
        <v>0.76667063616076714</v>
      </c>
      <c r="BB40" s="27">
        <f>IF(('Activity data'!BB9*EF!$H40*EF!AA58)*NtoN2O*kgtoGg=0,"NO",('Activity data'!BB9*EF!$H40*EF!AA58)*NtoN2O*kgtoGg)</f>
        <v>0.77337939456948435</v>
      </c>
      <c r="BC40" s="27">
        <f>IF(('Activity data'!BC9*EF!$H40*EF!AB58)*NtoN2O*kgtoGg=0,"NO",('Activity data'!BC9*EF!$H40*EF!AB58)*NtoN2O*kgtoGg)</f>
        <v>0.78076434928365657</v>
      </c>
      <c r="BD40" s="27">
        <f>IF(('Activity data'!BD9*EF!$H40*EF!AC58)*NtoN2O*kgtoGg=0,"NO",('Activity data'!BD9*EF!$H40*EF!AC58)*NtoN2O*kgtoGg)</f>
        <v>0.78536615920216046</v>
      </c>
      <c r="BE40" s="27">
        <f>IF(('Activity data'!BE9*EF!$H40*EF!AD58)*NtoN2O*kgtoGg=0,"NO",('Activity data'!BE9*EF!$H40*EF!AD58)*NtoN2O*kgtoGg)</f>
        <v>0.78881852101416539</v>
      </c>
      <c r="BF40" s="27">
        <f>IF(('Activity data'!BF9*EF!$H40*EF!AE58)*NtoN2O*kgtoGg=0,"NO",('Activity data'!BF9*EF!$H40*EF!AE58)*NtoN2O*kgtoGg)</f>
        <v>0.79121985976001552</v>
      </c>
      <c r="BG40" s="27">
        <f>IF(('Activity data'!BG9*EF!$H40*EF!AF58)*NtoN2O*kgtoGg=0,"NO",('Activity data'!BG9*EF!$H40*EF!AF58)*NtoN2O*kgtoGg)</f>
        <v>0.79868498724734416</v>
      </c>
      <c r="BH40" s="27">
        <f>IF(('Activity data'!BH9*EF!$H40*EF!AG58)*NtoN2O*kgtoGg=0,"NO",('Activity data'!BH9*EF!$H40*EF!AG58)*NtoN2O*kgtoGg)</f>
        <v>0.80435942918169867</v>
      </c>
      <c r="BI40" s="27">
        <f>IF(('Activity data'!BI9*EF!$H40*EF!AH58)*NtoN2O*kgtoGg=0,"NO",('Activity data'!BI9*EF!$H40*EF!AH58)*NtoN2O*kgtoGg)</f>
        <v>0.81010549901927509</v>
      </c>
      <c r="BJ40" s="27">
        <f>IF(('Activity data'!BJ9*EF!$H40*EF!AI58)*NtoN2O*kgtoGg=0,"NO",('Activity data'!BJ9*EF!$H40*EF!AI58)*NtoN2O*kgtoGg)</f>
        <v>0.81598892920145427</v>
      </c>
      <c r="BK40" s="27">
        <f>IF(('Activity data'!BK9*EF!$H40*EF!AJ58)*NtoN2O*kgtoGg=0,"NO",('Activity data'!BK9*EF!$H40*EF!AJ58)*NtoN2O*kgtoGg)</f>
        <v>0.82212836098613751</v>
      </c>
      <c r="BL40" s="27">
        <f>IF(('Activity data'!BL9*EF!$H40*EF!AK58)*NtoN2O*kgtoGg=0,"NO",('Activity data'!BL9*EF!$H40*EF!AK58)*NtoN2O*kgtoGg)</f>
        <v>0.82843192665920329</v>
      </c>
      <c r="BM40" s="27">
        <f>IF(('Activity data'!BM9*EF!$H40*EF!AL58)*NtoN2O*kgtoGg=0,"NO",('Activity data'!BM9*EF!$H40*EF!AL58)*NtoN2O*kgtoGg)</f>
        <v>0.81599740910755991</v>
      </c>
      <c r="BN40" s="27">
        <f>IF(('Activity data'!BN9*EF!$H40*EF!AM58)*NtoN2O*kgtoGg=0,"NO",('Activity data'!BN9*EF!$H40*EF!AM58)*NtoN2O*kgtoGg)</f>
        <v>0.80191119195009897</v>
      </c>
      <c r="BO40" s="27">
        <f>IF(('Activity data'!BO9*EF!$H40*EF!AN58)*NtoN2O*kgtoGg=0,"NO",('Activity data'!BO9*EF!$H40*EF!AN58)*NtoN2O*kgtoGg)</f>
        <v>0.78558074788879373</v>
      </c>
      <c r="BP40" s="27">
        <f>IF(('Activity data'!BP9*EF!$H40*EF!AO58)*NtoN2O*kgtoGg=0,"NO",('Activity data'!BP9*EF!$H40*EF!AO58)*NtoN2O*kgtoGg)</f>
        <v>0.76873851958597172</v>
      </c>
    </row>
    <row r="41" spans="1:68" x14ac:dyDescent="0.3">
      <c r="A41" t="str">
        <f t="shared" si="1"/>
        <v>3A Livestock</v>
      </c>
      <c r="B41" t="str">
        <f t="shared" si="11"/>
        <v>3A2 Manure management (N2O)</v>
      </c>
      <c r="C41" t="str">
        <f>EF!C59</f>
        <v>3A1aii Other cattle</v>
      </c>
      <c r="D41" t="str">
        <f>EF!D59</f>
        <v>Feedlot</v>
      </c>
      <c r="E41" t="str">
        <f t="shared" si="9"/>
        <v>Manure management Emissions</v>
      </c>
      <c r="F41" t="s">
        <v>139</v>
      </c>
      <c r="G41" t="str">
        <f t="shared" si="10"/>
        <v>Gg N2O</v>
      </c>
      <c r="H41" s="27">
        <f>IF(('Activity data'!H10*EF!$H41*EF!$H59)*NtoN2O*kgtoGg=0,"NO",('Activity data'!H10*EF!$H41*EF!$H59)*NtoN2O*kgtoGg)</f>
        <v>0.75959383499999988</v>
      </c>
      <c r="I41" s="27">
        <f>IF(('Activity data'!I10*EF!$H41*EF!$H59)*NtoN2O*kgtoGg=0,"NO",('Activity data'!I10*EF!$H41*EF!$H59)*NtoN2O*kgtoGg)</f>
        <v>0.75959383499999988</v>
      </c>
      <c r="J41" s="27">
        <f>IF(('Activity data'!J10*EF!$H41*EF!$H59)*NtoN2O*kgtoGg=0,"NO",('Activity data'!J10*EF!$H41*EF!$H59)*NtoN2O*kgtoGg)</f>
        <v>0.75959383499999988</v>
      </c>
      <c r="K41" s="27">
        <f>IF(('Activity data'!K10*EF!$H41*EF!$H59)*NtoN2O*kgtoGg=0,"NO",('Activity data'!K10*EF!$H41*EF!$H59)*NtoN2O*kgtoGg)</f>
        <v>0.75959383499999988</v>
      </c>
      <c r="L41" s="27">
        <f>IF(('Activity data'!L10*EF!$H41*EF!$H59)*NtoN2O*kgtoGg=0,"NO",('Activity data'!L10*EF!$H41*EF!$H59)*NtoN2O*kgtoGg)</f>
        <v>0.75959383499999988</v>
      </c>
      <c r="M41" s="27">
        <f>IF(('Activity data'!M10*EF!$H41*EF!$H59)*NtoN2O*kgtoGg=0,"NO",('Activity data'!M10*EF!$H41*EF!$H59)*NtoN2O*kgtoGg)</f>
        <v>0.75959383499999988</v>
      </c>
      <c r="N41" s="27">
        <f>IF(('Activity data'!N10*EF!$H41*EF!$H59)*NtoN2O*kgtoGg=0,"NO",('Activity data'!N10*EF!$H41*EF!$H59)*NtoN2O*kgtoGg)</f>
        <v>0.75959383499999988</v>
      </c>
      <c r="O41" s="27">
        <f>IF(('Activity data'!O10*EF!$H41*EF!$H59)*NtoN2O*kgtoGg=0,"NO",('Activity data'!O10*EF!$H41*EF!$H59)*NtoN2O*kgtoGg)</f>
        <v>0.75959383499999988</v>
      </c>
      <c r="P41" s="27">
        <f>IF(('Activity data'!P10*EF!$H41*EF!$H59)*NtoN2O*kgtoGg=0,"NO",('Activity data'!P10*EF!$H41*EF!$H59)*NtoN2O*kgtoGg)</f>
        <v>0.75959383499999988</v>
      </c>
      <c r="Q41" s="27">
        <f>IF(('Activity data'!Q10*EF!$H41*EF!$H59)*NtoN2O*kgtoGg=0,"NO",('Activity data'!Q10*EF!$H41*EF!$H59)*NtoN2O*kgtoGg)</f>
        <v>0.75959383499999988</v>
      </c>
      <c r="R41" s="27">
        <f>IF(('Activity data'!R10*EF!$H41*EF!$H59)*NtoN2O*kgtoGg=0,"NO",('Activity data'!R10*EF!$H41*EF!$H59)*NtoN2O*kgtoGg)</f>
        <v>0.75959383499999988</v>
      </c>
      <c r="S41" s="27">
        <f>IF(('Activity data'!S10*EF!$H41*EF!$H59)*NtoN2O*kgtoGg=0,"NO",('Activity data'!S10*EF!$H41*EF!$H59)*NtoN2O*kgtoGg)</f>
        <v>0.75959383499999988</v>
      </c>
      <c r="T41" s="27">
        <f>IF(('Activity data'!T10*EF!$H41*EF!$H59)*NtoN2O*kgtoGg=0,"NO",('Activity data'!T10*EF!$H41*EF!$H59)*NtoN2O*kgtoGg)</f>
        <v>0.75959383499999988</v>
      </c>
      <c r="U41" s="27">
        <f>IF(('Activity data'!U10*EF!$H41*EF!$H59)*NtoN2O*kgtoGg=0,"NO",('Activity data'!U10*EF!$H41*EF!$H59)*NtoN2O*kgtoGg)</f>
        <v>0.75959383499999988</v>
      </c>
      <c r="V41" s="27">
        <f>IF(('Activity data'!V10*EF!$H41*EF!$H59)*NtoN2O*kgtoGg=0,"NO",('Activity data'!V10*EF!$H41*EF!$H59)*NtoN2O*kgtoGg)</f>
        <v>0.75959383499999988</v>
      </c>
      <c r="W41" s="27">
        <f>IF(('Activity data'!W10*EF!$H41*EF!$H59)*NtoN2O*kgtoGg=0,"NO",('Activity data'!W10*EF!$H41*EF!$H59)*NtoN2O*kgtoGg)</f>
        <v>0.75959383499999988</v>
      </c>
      <c r="X41" s="27">
        <f>IF(('Activity data'!X10*EF!$H41*EF!$H59)*NtoN2O*kgtoGg=0,"NO",('Activity data'!X10*EF!$H41*EF!$H59)*NtoN2O*kgtoGg)</f>
        <v>0.75959383499999988</v>
      </c>
      <c r="Y41" s="27">
        <f>IF(('Activity data'!Y10*EF!$H41*EF!$H59)*NtoN2O*kgtoGg=0,"NO",('Activity data'!Y10*EF!$H41*EF!$H59)*NtoN2O*kgtoGg)</f>
        <v>0.75959383499999988</v>
      </c>
      <c r="Z41" s="27">
        <f>IF(('Activity data'!Z10*EF!$H41*EF!$H59)*NtoN2O*kgtoGg=0,"NO",('Activity data'!Z10*EF!$H41*EF!$H59)*NtoN2O*kgtoGg)</f>
        <v>0.70741290350981256</v>
      </c>
      <c r="AA41" s="27">
        <f>IF(('Activity data'!AA10*EF!$H41*EF!$H59)*NtoN2O*kgtoGg=0,"NO",('Activity data'!AA10*EF!$H41*EF!$H59)*NtoN2O*kgtoGg)</f>
        <v>0.72490466154356248</v>
      </c>
      <c r="AB41" s="27">
        <f>IF(('Activity data'!AB10*EF!$H41*EF!$H59)*NtoN2O*kgtoGg=0,"NO",('Activity data'!AB10*EF!$H41*EF!$H59)*NtoN2O*kgtoGg)</f>
        <v>0.72310137975074984</v>
      </c>
      <c r="AC41" s="27">
        <f>IF(('Activity data'!AC10*EF!$H41*EF!$H59)*NtoN2O*kgtoGg=0,"NO",('Activity data'!AC10*EF!$H41*EF!$H59)*NtoN2O*kgtoGg)</f>
        <v>0.83519180857612507</v>
      </c>
      <c r="AD41" s="27">
        <f>IF(('Activity data'!AD10*EF!$H41*EF!$H59)*NtoN2O*kgtoGg=0,"NO",('Activity data'!AD10*EF!$H41*EF!$H59)*NtoN2O*kgtoGg)</f>
        <v>0.97926119892671493</v>
      </c>
      <c r="AE41" s="27">
        <f>IF(('Activity data'!AE10*EF!$H41*EF!$H59)*NtoN2O*kgtoGg=0,"NO",('Activity data'!AE10*EF!$H41*EF!$H59)*NtoN2O*kgtoGg)</f>
        <v>1.0122801448609142</v>
      </c>
      <c r="AF41" s="27">
        <f>IF(('Activity data'!AF10*EF!$H41*EF!$H59)*NtoN2O*kgtoGg=0,"NO",('Activity data'!AF10*EF!$H41*EF!$H59)*NtoN2O*kgtoGg)</f>
        <v>1.0514701788925804</v>
      </c>
      <c r="AG41" s="27">
        <f>IF(('Activity data'!AG10*EF!$H41*EF!$H59)*NtoN2O*kgtoGg=0,"NO",('Activity data'!AG10*EF!$H41*EF!$H59)*NtoN2O*kgtoGg)</f>
        <v>1.0806972456941153</v>
      </c>
      <c r="AH41" s="27">
        <f>IF(('Activity data'!AH10*EF!$H41*EF!$H59)*NtoN2O*kgtoGg=0,"NO",('Activity data'!AH10*EF!$H41*EF!$H59)*NtoN2O*kgtoGg)</f>
        <v>1.1032367943433714</v>
      </c>
      <c r="AI41" s="27">
        <f>IF(('Activity data'!AI10*EF!$H41*EF!H59)*NtoN2O*kgtoGg=0,"NO",('Activity data'!AI10*EF!$H41*EF!H59)*NtoN2O*kgtoGg)</f>
        <v>1.1187666946803865</v>
      </c>
      <c r="AJ41" s="27">
        <f>IF(('Activity data'!AJ10*EF!$H41*EF!I59)*NtoN2O*kgtoGg=0,"NO",('Activity data'!AJ10*EF!$H41*EF!I59)*NtoN2O*kgtoGg)</f>
        <v>1.1399714801203362</v>
      </c>
      <c r="AK41" s="27">
        <f>IF(('Activity data'!AK10*EF!$H41*EF!J59)*NtoN2O*kgtoGg=0,"NO",('Activity data'!AK10*EF!$H41*EF!J59)*NtoN2O*kgtoGg)</f>
        <v>1.1622002864669057</v>
      </c>
      <c r="AL41" s="27">
        <f>IF(('Activity data'!AL10*EF!$H41*EF!K59)*NtoN2O*kgtoGg=0,"NO",('Activity data'!AL10*EF!$H41*EF!K59)*NtoN2O*kgtoGg)</f>
        <v>1.0637182358780759</v>
      </c>
      <c r="AM41" s="27">
        <f>IF(('Activity data'!AM10*EF!$H41*EF!L59)*NtoN2O*kgtoGg=0,"NO",('Activity data'!AM10*EF!$H41*EF!L59)*NtoN2O*kgtoGg)</f>
        <v>1.1070403364801074</v>
      </c>
      <c r="AN41" s="27">
        <f>IF(('Activity data'!AN10*EF!$H41*EF!M59)*NtoN2O*kgtoGg=0,"NO",('Activity data'!AN10*EF!$H41*EF!M59)*NtoN2O*kgtoGg)</f>
        <v>1.167139233674557</v>
      </c>
      <c r="AO41" s="27">
        <f>IF(('Activity data'!AO10*EF!$H41*EF!N59)*NtoN2O*kgtoGg=0,"NO",('Activity data'!AO10*EF!$H41*EF!N59)*NtoN2O*kgtoGg)</f>
        <v>1.2014274387995842</v>
      </c>
      <c r="AP41" s="27">
        <f>IF(('Activity data'!AP10*EF!$H41*EF!O59)*NtoN2O*kgtoGg=0,"NO",('Activity data'!AP10*EF!$H41*EF!O59)*NtoN2O*kgtoGg)</f>
        <v>1.2394742549139584</v>
      </c>
      <c r="AQ41" s="27">
        <f>IF(('Activity data'!AQ10*EF!$H41*EF!P59)*NtoN2O*kgtoGg=0,"NO",('Activity data'!AQ10*EF!$H41*EF!P59)*NtoN2O*kgtoGg)</f>
        <v>1.2824424199036168</v>
      </c>
      <c r="AR41" s="27">
        <f>IF(('Activity data'!AR10*EF!$H41*EF!Q59)*NtoN2O*kgtoGg=0,"NO",('Activity data'!AR10*EF!$H41*EF!Q59)*NtoN2O*kgtoGg)</f>
        <v>1.3286164007902908</v>
      </c>
      <c r="AS41" s="27">
        <f>IF(('Activity data'!AS10*EF!$H41*EF!R59)*NtoN2O*kgtoGg=0,"NO",('Activity data'!AS10*EF!$H41*EF!R59)*NtoN2O*kgtoGg)</f>
        <v>1.3789486454543383</v>
      </c>
      <c r="AT41" s="27">
        <f>IF(('Activity data'!AT10*EF!$H41*EF!S59)*NtoN2O*kgtoGg=0,"NO",('Activity data'!AT10*EF!$H41*EF!S59)*NtoN2O*kgtoGg)</f>
        <v>1.4306963818966387</v>
      </c>
      <c r="AU41" s="27">
        <f>IF(('Activity data'!AU10*EF!$H41*EF!T59)*NtoN2O*kgtoGg=0,"NO",('Activity data'!AU10*EF!$H41*EF!T59)*NtoN2O*kgtoGg)</f>
        <v>1.4864839183326823</v>
      </c>
      <c r="AV41" s="27">
        <f>IF(('Activity data'!AV10*EF!$H41*EF!U59)*NtoN2O*kgtoGg=0,"NO",('Activity data'!AV10*EF!$H41*EF!U59)*NtoN2O*kgtoGg)</f>
        <v>1.5435464944872577</v>
      </c>
      <c r="AW41" s="27">
        <f>IF(('Activity data'!AW10*EF!$H41*EF!V59)*NtoN2O*kgtoGg=0,"NO",('Activity data'!AW10*EF!$H41*EF!V59)*NtoN2O*kgtoGg)</f>
        <v>1.6111800014411353</v>
      </c>
      <c r="AX41" s="27">
        <f>IF(('Activity data'!AX10*EF!$H41*EF!W59)*NtoN2O*kgtoGg=0,"NO",('Activity data'!AX10*EF!$H41*EF!W59)*NtoN2O*kgtoGg)</f>
        <v>1.6786649286792732</v>
      </c>
      <c r="AY41" s="27">
        <f>IF(('Activity data'!AY10*EF!$H41*EF!X59)*NtoN2O*kgtoGg=0,"NO",('Activity data'!AY10*EF!$H41*EF!X59)*NtoN2O*kgtoGg)</f>
        <v>1.7498130115622672</v>
      </c>
      <c r="AZ41" s="27">
        <f>IF(('Activity data'!AZ10*EF!$H41*EF!Y59)*NtoN2O*kgtoGg=0,"NO",('Activity data'!AZ10*EF!$H41*EF!Y59)*NtoN2O*kgtoGg)</f>
        <v>1.8293448328146484</v>
      </c>
      <c r="BA41" s="27">
        <f>IF(('Activity data'!BA10*EF!$H41*EF!Z59)*NtoN2O*kgtoGg=0,"NO",('Activity data'!BA10*EF!$H41*EF!Z59)*NtoN2O*kgtoGg)</f>
        <v>1.9063603244571439</v>
      </c>
      <c r="BB41" s="27">
        <f>IF(('Activity data'!BB10*EF!$H41*EF!AA59)*NtoN2O*kgtoGg=0,"NO",('Activity data'!BB10*EF!$H41*EF!AA59)*NtoN2O*kgtoGg)</f>
        <v>1.9878317329791768</v>
      </c>
      <c r="BC41" s="27">
        <f>IF(('Activity data'!BC10*EF!$H41*EF!AB59)*NtoN2O*kgtoGg=0,"NO",('Activity data'!BC10*EF!$H41*EF!AB59)*NtoN2O*kgtoGg)</f>
        <v>2.0747636655461594</v>
      </c>
      <c r="BD41" s="27">
        <f>IF(('Activity data'!BD10*EF!$H41*EF!AC59)*NtoN2O*kgtoGg=0,"NO",('Activity data'!BD10*EF!$H41*EF!AC59)*NtoN2O*kgtoGg)</f>
        <v>2.1580530015142441</v>
      </c>
      <c r="BE41" s="27">
        <f>IF(('Activity data'!BE10*EF!$H41*EF!AD59)*NtoN2O*kgtoGg=0,"NO",('Activity data'!BE10*EF!$H41*EF!AD59)*NtoN2O*kgtoGg)</f>
        <v>2.2418001061580344</v>
      </c>
      <c r="BF41" s="27">
        <f>IF(('Activity data'!BF10*EF!$H41*EF!AE59)*NtoN2O*kgtoGg=0,"NO",('Activity data'!BF10*EF!$H41*EF!AE59)*NtoN2O*kgtoGg)</f>
        <v>2.326186702125502</v>
      </c>
      <c r="BG41" s="27">
        <f>IF(('Activity data'!BG10*EF!$H41*EF!AF59)*NtoN2O*kgtoGg=0,"NO",('Activity data'!BG10*EF!$H41*EF!AF59)*NtoN2O*kgtoGg)</f>
        <v>2.4143873382610392</v>
      </c>
      <c r="BH41" s="27">
        <f>IF(('Activity data'!BH10*EF!$H41*EF!AG59)*NtoN2O*kgtoGg=0,"NO",('Activity data'!BH10*EF!$H41*EF!AG59)*NtoN2O*kgtoGg)</f>
        <v>2.5003845769659914</v>
      </c>
      <c r="BI41" s="27">
        <f>IF(('Activity data'!BI10*EF!$H41*EF!AH59)*NtoN2O*kgtoGg=0,"NO",('Activity data'!BI10*EF!$H41*EF!AH59)*NtoN2O*kgtoGg)</f>
        <v>2.5898227222528956</v>
      </c>
      <c r="BJ41" s="27">
        <f>IF(('Activity data'!BJ10*EF!$H41*EF!AI59)*NtoN2O*kgtoGg=0,"NO",('Activity data'!BJ10*EF!$H41*EF!AI59)*NtoN2O*kgtoGg)</f>
        <v>2.6830977224212833</v>
      </c>
      <c r="BK41" s="27">
        <f>IF(('Activity data'!BK10*EF!$H41*EF!AJ59)*NtoN2O*kgtoGg=0,"NO",('Activity data'!BK10*EF!$H41*EF!AJ59)*NtoN2O*kgtoGg)</f>
        <v>2.7808208792989615</v>
      </c>
      <c r="BL41" s="27">
        <f>IF(('Activity data'!BL10*EF!$H41*EF!AK59)*NtoN2O*kgtoGg=0,"NO",('Activity data'!BL10*EF!$H41*EF!AK59)*NtoN2O*kgtoGg)</f>
        <v>2.8829310376391781</v>
      </c>
      <c r="BM41" s="27">
        <f>IF(('Activity data'!BM10*EF!$H41*EF!AL59)*NtoN2O*kgtoGg=0,"NO",('Activity data'!BM10*EF!$H41*EF!AL59)*NtoN2O*kgtoGg)</f>
        <v>2.9219897527083054</v>
      </c>
      <c r="BN41" s="27">
        <f>IF(('Activity data'!BN10*EF!$H41*EF!AM59)*NtoN2O*kgtoGg=0,"NO",('Activity data'!BN10*EF!$H41*EF!AM59)*NtoN2O*kgtoGg)</f>
        <v>2.955308116539189</v>
      </c>
      <c r="BO41" s="27">
        <f>IF(('Activity data'!BO10*EF!$H41*EF!AN59)*NtoN2O*kgtoGg=0,"NO",('Activity data'!BO10*EF!$H41*EF!AN59)*NtoN2O*kgtoGg)</f>
        <v>2.9801202079374365</v>
      </c>
      <c r="BP41" s="27">
        <f>IF(('Activity data'!BP10*EF!$H41*EF!AO59)*NtoN2O*kgtoGg=0,"NO",('Activity data'!BP10*EF!$H41*EF!AO59)*NtoN2O*kgtoGg)</f>
        <v>3.0024365734571252</v>
      </c>
    </row>
    <row r="42" spans="1:68" x14ac:dyDescent="0.3">
      <c r="A42" t="str">
        <f t="shared" si="1"/>
        <v>3A Livestock</v>
      </c>
      <c r="B42" t="str">
        <f t="shared" si="11"/>
        <v>3A2 Manure management (N2O)</v>
      </c>
      <c r="C42" t="str">
        <f>EF!C60</f>
        <v>3A1c Sheep</v>
      </c>
      <c r="D42" t="str">
        <f>EF!D60</f>
        <v>Commercial</v>
      </c>
      <c r="E42" t="str">
        <f t="shared" si="9"/>
        <v>Manure management Emissions</v>
      </c>
      <c r="F42" t="s">
        <v>139</v>
      </c>
      <c r="G42" t="str">
        <f t="shared" si="10"/>
        <v>Gg N2O</v>
      </c>
      <c r="H42" s="27">
        <f>IF(('Activity data'!H11*EF!$H42*EF!$H60)*NtoN2O*kgtoGg=0,"NO",('Activity data'!H11*EF!$H42*EF!$H60)*NtoN2O*kgtoGg)</f>
        <v>0.18472261121735453</v>
      </c>
      <c r="I42" s="27">
        <f>IF(('Activity data'!I11*EF!$H42*EF!$H60)*NtoN2O*kgtoGg=0,"NO",('Activity data'!I11*EF!$H42*EF!$H60)*NtoN2O*kgtoGg)</f>
        <v>0.17641659434150833</v>
      </c>
      <c r="J42" s="27">
        <f>IF(('Activity data'!J11*EF!$H42*EF!$H60)*NtoN2O*kgtoGg=0,"NO",('Activity data'!J11*EF!$H42*EF!$H60)*NtoN2O*kgtoGg)</f>
        <v>0.16912726350758692</v>
      </c>
      <c r="K42" s="27">
        <f>IF(('Activity data'!K11*EF!$H42*EF!$H60)*NtoN2O*kgtoGg=0,"NO",('Activity data'!K11*EF!$H42*EF!$H60)*NtoN2O*kgtoGg)</f>
        <v>0.15817170118914878</v>
      </c>
      <c r="L42" s="27">
        <f>IF(('Activity data'!L11*EF!$H42*EF!$H60)*NtoN2O*kgtoGg=0,"NO",('Activity data'!L11*EF!$H42*EF!$H60)*NtoN2O*kgtoGg)</f>
        <v>0.15928697496847238</v>
      </c>
      <c r="M42" s="27">
        <f>IF(('Activity data'!M11*EF!$H42*EF!$H60)*NtoN2O*kgtoGg=0,"NO",('Activity data'!M11*EF!$H42*EF!$H60)*NtoN2O*kgtoGg)</f>
        <v>0.15700713354112583</v>
      </c>
      <c r="N42" s="27">
        <f>IF(('Activity data'!N11*EF!$H42*EF!$H60)*NtoN2O*kgtoGg=0,"NO",('Activity data'!N11*EF!$H42*EF!$H60)*NtoN2O*kgtoGg)</f>
        <v>0.1575308808960568</v>
      </c>
      <c r="O42" s="27">
        <f>IF(('Activity data'!O11*EF!$H42*EF!$H60)*NtoN2O*kgtoGg=0,"NO",('Activity data'!O11*EF!$H42*EF!$H60)*NtoN2O*kgtoGg)</f>
        <v>0.15410495702144961</v>
      </c>
      <c r="P42" s="27">
        <f>IF(('Activity data'!P11*EF!$H42*EF!$H60)*NtoN2O*kgtoGg=0,"NO",('Activity data'!P11*EF!$H42*EF!$H60)*NtoN2O*kgtoGg)</f>
        <v>0.15453011663898178</v>
      </c>
      <c r="Q42" s="27">
        <f>IF(('Activity data'!Q11*EF!$H42*EF!$H60)*NtoN2O*kgtoGg=0,"NO",('Activity data'!Q11*EF!$H42*EF!$H60)*NtoN2O*kgtoGg)</f>
        <v>0.1507344887491292</v>
      </c>
      <c r="R42" s="27">
        <f>IF(('Activity data'!R11*EF!$H42*EF!$H60)*NtoN2O*kgtoGg=0,"NO",('Activity data'!R11*EF!$H42*EF!$H60)*NtoN2O*kgtoGg)</f>
        <v>0.14533064839295923</v>
      </c>
      <c r="S42" s="27">
        <f>IF(('Activity data'!S11*EF!$H42*EF!$H60)*NtoN2O*kgtoGg=0,"NO",('Activity data'!S11*EF!$H42*EF!$H60)*NtoN2O*kgtoGg)</f>
        <v>0.14170754904355451</v>
      </c>
      <c r="T42" s="27">
        <f>IF(('Activity data'!T11*EF!$H42*EF!$H60)*NtoN2O*kgtoGg=0,"NO",('Activity data'!T11*EF!$H42*EF!$H60)*NtoN2O*kgtoGg)</f>
        <v>0.13934144334598406</v>
      </c>
      <c r="U42" s="27">
        <f>IF(('Activity data'!U11*EF!$H42*EF!$H60)*NtoN2O*kgtoGg=0,"NO",('Activity data'!U11*EF!$H42*EF!$H60)*NtoN2O*kgtoGg)</f>
        <v>0.13982822029939046</v>
      </c>
      <c r="V42" s="27">
        <f>IF(('Activity data'!V11*EF!$H42*EF!$H60)*NtoN2O*kgtoGg=0,"NO",('Activity data'!V11*EF!$H42*EF!$H60)*NtoN2O*kgtoGg)</f>
        <v>0.13733887993007157</v>
      </c>
      <c r="W42" s="27">
        <f>IF(('Activity data'!W11*EF!$H42*EF!$H60)*NtoN2O*kgtoGg=0,"NO",('Activity data'!W11*EF!$H42*EF!$H60)*NtoN2O*kgtoGg)</f>
        <v>0.13701230804993814</v>
      </c>
      <c r="X42" s="27">
        <f>IF(('Activity data'!X11*EF!$H42*EF!$H60)*NtoN2O*kgtoGg=0,"NO",('Activity data'!X11*EF!$H42*EF!$H60)*NtoN2O*kgtoGg)</f>
        <v>0.13521924357599804</v>
      </c>
      <c r="Y42" s="27">
        <f>IF(('Activity data'!Y11*EF!$H42*EF!$H60)*NtoN2O*kgtoGg=0,"NO",('Activity data'!Y11*EF!$H42*EF!$H60)*NtoN2O*kgtoGg)</f>
        <v>0.13508984717066219</v>
      </c>
      <c r="Z42" s="27">
        <f>IF(('Activity data'!Z11*EF!$H42*EF!$H60)*NtoN2O*kgtoGg=0,"NO",('Activity data'!Z11*EF!$H42*EF!$H60)*NtoN2O*kgtoGg)</f>
        <v>0.1355273302553692</v>
      </c>
      <c r="AA42" s="27">
        <f>IF(('Activity data'!AA11*EF!$H42*EF!$H60)*NtoN2O*kgtoGg=0,"NO",('Activity data'!AA11*EF!$H42*EF!$H60)*NtoN2O*kgtoGg)</f>
        <v>0.13504671503555021</v>
      </c>
      <c r="AB42" s="27">
        <f>IF(('Activity data'!AB11*EF!$H42*EF!$H60)*NtoN2O*kgtoGg=0,"NO",('Activity data'!AB11*EF!$H42*EF!$H60)*NtoN2O*kgtoGg)</f>
        <v>0.13243413999448284</v>
      </c>
      <c r="AC42" s="27">
        <f>IF(('Activity data'!AC11*EF!$H42*EF!$H60)*NtoN2O*kgtoGg=0,"NO",('Activity data'!AC11*EF!$H42*EF!$H60)*NtoN2O*kgtoGg)</f>
        <v>0.1313989687517958</v>
      </c>
      <c r="AD42" s="27">
        <f>IF(('Activity data'!AD11*EF!$H42*EF!$H60)*NtoN2O*kgtoGg=0,"NO",('Activity data'!AD11*EF!$H42*EF!$H60)*NtoN2O*kgtoGg)</f>
        <v>0.1171883187565219</v>
      </c>
      <c r="AE42" s="27">
        <f>IF(('Activity data'!AE11*EF!$H42*EF!$H60)*NtoN2O*kgtoGg=0,"NO",('Activity data'!AE11*EF!$H42*EF!$H60)*NtoN2O*kgtoGg)</f>
        <v>0.11725168210757804</v>
      </c>
      <c r="AF42" s="27">
        <f>IF(('Activity data'!AF11*EF!$H42*EF!$H60)*NtoN2O*kgtoGg=0,"NO",('Activity data'!AF11*EF!$H42*EF!$H60)*NtoN2O*kgtoGg)</f>
        <v>0.11740318150277541</v>
      </c>
      <c r="AG42" s="27">
        <f>IF(('Activity data'!AG11*EF!$H42*EF!$H60)*NtoN2O*kgtoGg=0,"NO",('Activity data'!AG11*EF!$H42*EF!$H60)*NtoN2O*kgtoGg)</f>
        <v>0.11762656857541021</v>
      </c>
      <c r="AH42" s="27">
        <f>IF(('Activity data'!AH11*EF!$H42*EF!$H60)*NtoN2O*kgtoGg=0,"NO",('Activity data'!AH11*EF!$H42*EF!$H60)*NtoN2O*kgtoGg)</f>
        <v>0.1179204237689029</v>
      </c>
      <c r="AI42" s="27">
        <f>IF(('Activity data'!AI11*EF!$H42*EF!H60)*NtoN2O*kgtoGg=0,"NO",('Activity data'!AI11*EF!$H42*EF!H60)*NtoN2O*kgtoGg)</f>
        <v>0.11828164409401502</v>
      </c>
      <c r="AJ42" s="27">
        <f>IF(('Activity data'!AJ11*EF!$H42*EF!I60)*NtoN2O*kgtoGg=0,"NO",('Activity data'!AJ11*EF!$H42*EF!I60)*NtoN2O*kgtoGg)</f>
        <v>0.1186873438242913</v>
      </c>
      <c r="AK42" s="27">
        <f>IF(('Activity data'!AK11*EF!$H42*EF!J60)*NtoN2O*kgtoGg=0,"NO",('Activity data'!AK11*EF!$H42*EF!J60)*NtoN2O*kgtoGg)</f>
        <v>0.11913496163447934</v>
      </c>
      <c r="AL42" s="27">
        <f>IF(('Activity data'!AL11*EF!$H42*EF!K60)*NtoN2O*kgtoGg=0,"NO",('Activity data'!AL11*EF!$H42*EF!K60)*NtoN2O*kgtoGg)</f>
        <v>0.11954428347803586</v>
      </c>
      <c r="AM42" s="27">
        <f>IF(('Activity data'!AM11*EF!$H42*EF!L60)*NtoN2O*kgtoGg=0,"NO",('Activity data'!AM11*EF!$H42*EF!L60)*NtoN2O*kgtoGg)</f>
        <v>0.11972414940561894</v>
      </c>
      <c r="AN42" s="27">
        <f>IF(('Activity data'!AN11*EF!$H42*EF!M60)*NtoN2O*kgtoGg=0,"NO",('Activity data'!AN11*EF!$H42*EF!M60)*NtoN2O*kgtoGg)</f>
        <v>0.11994380434419684</v>
      </c>
      <c r="AO42" s="27">
        <f>IF(('Activity data'!AO11*EF!$H42*EF!N60)*NtoN2O*kgtoGg=0,"NO",('Activity data'!AO11*EF!$H42*EF!N60)*NtoN2O*kgtoGg)</f>
        <v>0.12017467883012861</v>
      </c>
      <c r="AP42" s="27">
        <f>IF(('Activity data'!AP11*EF!$H42*EF!O60)*NtoN2O*kgtoGg=0,"NO",('Activity data'!AP11*EF!$H42*EF!O60)*NtoN2O*kgtoGg)</f>
        <v>0.12043388472990403</v>
      </c>
      <c r="AQ42" s="27">
        <f>IF(('Activity data'!AQ11*EF!$H42*EF!P60)*NtoN2O*kgtoGg=0,"NO",('Activity data'!AQ11*EF!$H42*EF!P60)*NtoN2O*kgtoGg)</f>
        <v>0.12072069678028939</v>
      </c>
      <c r="AR42" s="27">
        <f>IF(('Activity data'!AR11*EF!$H42*EF!Q60)*NtoN2O*kgtoGg=0,"NO",('Activity data'!AR11*EF!$H42*EF!Q60)*NtoN2O*kgtoGg)</f>
        <v>0.12089981812671623</v>
      </c>
      <c r="AS42" s="27">
        <f>IF(('Activity data'!AS11*EF!$H42*EF!R60)*NtoN2O*kgtoGg=0,"NO",('Activity data'!AS11*EF!$H42*EF!R60)*NtoN2O*kgtoGg)</f>
        <v>0.12110217984152867</v>
      </c>
      <c r="AT42" s="27">
        <f>IF(('Activity data'!AT11*EF!$H42*EF!S60)*NtoN2O*kgtoGg=0,"NO",('Activity data'!AT11*EF!$H42*EF!S60)*NtoN2O*kgtoGg)</f>
        <v>0.12132504756910802</v>
      </c>
      <c r="AU42" s="27">
        <f>IF(('Activity data'!AU11*EF!$H42*EF!T60)*NtoN2O*kgtoGg=0,"NO",('Activity data'!AU11*EF!$H42*EF!T60)*NtoN2O*kgtoGg)</f>
        <v>0.12156903411725499</v>
      </c>
      <c r="AV42" s="27">
        <f>IF(('Activity data'!AV11*EF!$H42*EF!U60)*NtoN2O*kgtoGg=0,"NO",('Activity data'!AV11*EF!$H42*EF!U60)*NtoN2O*kgtoGg)</f>
        <v>0.12183162117803532</v>
      </c>
      <c r="AW42" s="27">
        <f>IF(('Activity data'!AW11*EF!$H42*EF!V60)*NtoN2O*kgtoGg=0,"NO",('Activity data'!AW11*EF!$H42*EF!V60)*NtoN2O*kgtoGg)</f>
        <v>0.12200776858907328</v>
      </c>
      <c r="AX42" s="27">
        <f>IF(('Activity data'!AX11*EF!$H42*EF!W60)*NtoN2O*kgtoGg=0,"NO",('Activity data'!AX11*EF!$H42*EF!W60)*NtoN2O*kgtoGg)</f>
        <v>0.12219899661673859</v>
      </c>
      <c r="AY42" s="27">
        <f>IF(('Activity data'!AY11*EF!$H42*EF!X60)*NtoN2O*kgtoGg=0,"NO",('Activity data'!AY11*EF!$H42*EF!X60)*NtoN2O*kgtoGg)</f>
        <v>0.12240684242118335</v>
      </c>
      <c r="AZ42" s="27">
        <f>IF(('Activity data'!AZ11*EF!$H42*EF!Y60)*NtoN2O*kgtoGg=0,"NO",('Activity data'!AZ11*EF!$H42*EF!Y60)*NtoN2O*kgtoGg)</f>
        <v>0.12263333491271973</v>
      </c>
      <c r="BA42" s="27">
        <f>IF(('Activity data'!BA11*EF!$H42*EF!Z60)*NtoN2O*kgtoGg=0,"NO",('Activity data'!BA11*EF!$H42*EF!Z60)*NtoN2O*kgtoGg)</f>
        <v>0.12287167298468532</v>
      </c>
      <c r="BB42" s="27">
        <f>IF(('Activity data'!BB11*EF!$H42*EF!AA60)*NtoN2O*kgtoGg=0,"NO",('Activity data'!BB11*EF!$H42*EF!AA60)*NtoN2O*kgtoGg)</f>
        <v>0.12302401792252464</v>
      </c>
      <c r="BC42" s="27">
        <f>IF(('Activity data'!BC11*EF!$H42*EF!AB60)*NtoN2O*kgtoGg=0,"NO",('Activity data'!BC11*EF!$H42*EF!AB60)*NtoN2O*kgtoGg)</f>
        <v>0.12319088645114676</v>
      </c>
      <c r="BD42" s="27">
        <f>IF(('Activity data'!BD11*EF!$H42*EF!AC60)*NtoN2O*kgtoGg=0,"NO",('Activity data'!BD11*EF!$H42*EF!AC60)*NtoN2O*kgtoGg)</f>
        <v>0.12336677489796816</v>
      </c>
      <c r="BE42" s="27">
        <f>IF(('Activity data'!BE11*EF!$H42*EF!AD60)*NtoN2O*kgtoGg=0,"NO",('Activity data'!BE11*EF!$H42*EF!AD60)*NtoN2O*kgtoGg)</f>
        <v>0.12355355577482134</v>
      </c>
      <c r="BF42" s="27">
        <f>IF(('Activity data'!BF11*EF!$H42*EF!AE60)*NtoN2O*kgtoGg=0,"NO",('Activity data'!BF11*EF!$H42*EF!AE60)*NtoN2O*kgtoGg)</f>
        <v>0.12375094588099321</v>
      </c>
      <c r="BG42" s="27">
        <f>IF(('Activity data'!BG11*EF!$H42*EF!AF60)*NtoN2O*kgtoGg=0,"NO",('Activity data'!BG11*EF!$H42*EF!AF60)*NtoN2O*kgtoGg)</f>
        <v>0.12386757855810271</v>
      </c>
      <c r="BH42" s="27">
        <f>IF(('Activity data'!BH11*EF!$H42*EF!AG60)*NtoN2O*kgtoGg=0,"NO",('Activity data'!BH11*EF!$H42*EF!AG60)*NtoN2O*kgtoGg)</f>
        <v>0.12399208535623993</v>
      </c>
      <c r="BI42" s="27">
        <f>IF(('Activity data'!BI11*EF!$H42*EF!AH60)*NtoN2O*kgtoGg=0,"NO",('Activity data'!BI11*EF!$H42*EF!AH60)*NtoN2O*kgtoGg)</f>
        <v>0.12412714040619617</v>
      </c>
      <c r="BJ42" s="27">
        <f>IF(('Activity data'!BJ11*EF!$H42*EF!AI60)*NtoN2O*kgtoGg=0,"NO",('Activity data'!BJ11*EF!$H42*EF!AI60)*NtoN2O*kgtoGg)</f>
        <v>0.1242726131383893</v>
      </c>
      <c r="BK42" s="27">
        <f>IF(('Activity data'!BK11*EF!$H42*EF!AJ60)*NtoN2O*kgtoGg=0,"NO",('Activity data'!BK11*EF!$H42*EF!AJ60)*NtoN2O*kgtoGg)</f>
        <v>0.12442850053815514</v>
      </c>
      <c r="BL42" s="27">
        <f>IF(('Activity data'!BL11*EF!$H42*EF!AK60)*NtoN2O*kgtoGg=0,"NO",('Activity data'!BL11*EF!$H42*EF!AK60)*NtoN2O*kgtoGg)</f>
        <v>0.12449922291454818</v>
      </c>
      <c r="BM42" s="27">
        <f>IF(('Activity data'!BM11*EF!$H42*EF!AL60)*NtoN2O*kgtoGg=0,"NO",('Activity data'!BM11*EF!$H42*EF!AL60)*NtoN2O*kgtoGg)</f>
        <v>0.12454479881058539</v>
      </c>
      <c r="BN42" s="27">
        <f>IF(('Activity data'!BN11*EF!$H42*EF!AM60)*NtoN2O*kgtoGg=0,"NO",('Activity data'!BN11*EF!$H42*EF!AM60)*NtoN2O*kgtoGg)</f>
        <v>0.12459475860623467</v>
      </c>
      <c r="BO42" s="27">
        <f>IF(('Activity data'!BO11*EF!$H42*EF!AN60)*NtoN2O*kgtoGg=0,"NO",('Activity data'!BO11*EF!$H42*EF!AN60)*NtoN2O*kgtoGg)</f>
        <v>0.12464752954530567</v>
      </c>
      <c r="BP42" s="27">
        <f>IF(('Activity data'!BP11*EF!$H42*EF!AO60)*NtoN2O*kgtoGg=0,"NO",('Activity data'!BP11*EF!$H42*EF!AO60)*NtoN2O*kgtoGg)</f>
        <v>0.12470598620434532</v>
      </c>
    </row>
    <row r="43" spans="1:68" x14ac:dyDescent="0.3">
      <c r="A43" t="str">
        <f t="shared" si="1"/>
        <v>3A Livestock</v>
      </c>
      <c r="B43" t="str">
        <f t="shared" si="11"/>
        <v>3A2 Manure management (N2O)</v>
      </c>
      <c r="C43" t="str">
        <f>EF!C61</f>
        <v>3A1c Sheep</v>
      </c>
      <c r="D43" t="str">
        <f>EF!D61</f>
        <v>Subsistence</v>
      </c>
      <c r="E43" t="str">
        <f t="shared" si="9"/>
        <v>Manure management Emissions</v>
      </c>
      <c r="F43" t="s">
        <v>139</v>
      </c>
      <c r="G43" t="str">
        <f t="shared" si="10"/>
        <v>Gg N2O</v>
      </c>
      <c r="H43" s="27">
        <f>IF(('Activity data'!H12*EF!$H43*EF!$H61)*NtoN2O*kgtoGg=0,"NO",('Activity data'!H12*EF!$H43*EF!$H61)*NtoN2O*kgtoGg)</f>
        <v>9.2257162292800898E-2</v>
      </c>
      <c r="I43" s="27">
        <f>IF(('Activity data'!I12*EF!$H43*EF!$H61)*NtoN2O*kgtoGg=0,"NO",('Activity data'!I12*EF!$H43*EF!$H61)*NtoN2O*kgtoGg)</f>
        <v>8.810883663915349E-2</v>
      </c>
      <c r="J43" s="27">
        <f>IF(('Activity data'!J12*EF!$H43*EF!$H61)*NtoN2O*kgtoGg=0,"NO",('Activity data'!J12*EF!$H43*EF!$H61)*NtoN2O*kgtoGg)</f>
        <v>8.4468280816998517E-2</v>
      </c>
      <c r="K43" s="27">
        <f>IF(('Activity data'!K12*EF!$H43*EF!$H61)*NtoN2O*kgtoGg=0,"NO",('Activity data'!K12*EF!$H43*EF!$H61)*NtoN2O*kgtoGg)</f>
        <v>7.8996676208552608E-2</v>
      </c>
      <c r="L43" s="27">
        <f>IF(('Activity data'!L12*EF!$H43*EF!$H61)*NtoN2O*kgtoGg=0,"NO",('Activity data'!L12*EF!$H43*EF!$H61)*NtoN2O*kgtoGg)</f>
        <v>7.9553684326735249E-2</v>
      </c>
      <c r="M43" s="27">
        <f>IF(('Activity data'!M12*EF!$H43*EF!$H61)*NtoN2O*kgtoGg=0,"NO",('Activity data'!M12*EF!$H43*EF!$H61)*NtoN2O*kgtoGg)</f>
        <v>7.8415048947024904E-2</v>
      </c>
      <c r="N43" s="27">
        <f>IF(('Activity data'!N12*EF!$H43*EF!$H61)*NtoN2O*kgtoGg=0,"NO",('Activity data'!N12*EF!$H43*EF!$H61)*NtoN2O*kgtoGg)</f>
        <v>7.867662734506646E-2</v>
      </c>
      <c r="O43" s="27">
        <f>IF(('Activity data'!O12*EF!$H43*EF!$H61)*NtoN2O*kgtoGg=0,"NO",('Activity data'!O12*EF!$H43*EF!$H61)*NtoN2O*kgtoGg)</f>
        <v>7.6965596882582824E-2</v>
      </c>
      <c r="P43" s="27">
        <f>IF(('Activity data'!P12*EF!$H43*EF!$H61)*NtoN2O*kgtoGg=0,"NO",('Activity data'!P12*EF!$H43*EF!$H61)*NtoN2O*kgtoGg)</f>
        <v>7.7177936993934437E-2</v>
      </c>
      <c r="Q43" s="27">
        <f>IF(('Activity data'!Q12*EF!$H43*EF!$H61)*NtoN2O*kgtoGg=0,"NO",('Activity data'!Q12*EF!$H43*EF!$H61)*NtoN2O*kgtoGg)</f>
        <v>7.5282262956362631E-2</v>
      </c>
      <c r="R43" s="27">
        <f>IF(('Activity data'!R12*EF!$H43*EF!$H61)*NtoN2O*kgtoGg=0,"NO",('Activity data'!R12*EF!$H43*EF!$H61)*NtoN2O*kgtoGg)</f>
        <v>7.2583389367157303E-2</v>
      </c>
      <c r="S43" s="27">
        <f>IF(('Activity data'!S12*EF!$H43*EF!$H61)*NtoN2O*kgtoGg=0,"NO",('Activity data'!S12*EF!$H43*EF!$H61)*NtoN2O*kgtoGg)</f>
        <v>7.0773882331293281E-2</v>
      </c>
      <c r="T43" s="27">
        <f>IF(('Activity data'!T12*EF!$H43*EF!$H61)*NtoN2O*kgtoGg=0,"NO",('Activity data'!T12*EF!$H43*EF!$H61)*NtoN2O*kgtoGg)</f>
        <v>6.9592163450729036E-2</v>
      </c>
      <c r="U43" s="27">
        <f>IF(('Activity data'!U12*EF!$H43*EF!$H61)*NtoN2O*kgtoGg=0,"NO",('Activity data'!U12*EF!$H43*EF!$H61)*NtoN2O*kgtoGg)</f>
        <v>6.9835277491261782E-2</v>
      </c>
      <c r="V43" s="27">
        <f>IF(('Activity data'!V12*EF!$H43*EF!$H61)*NtoN2O*kgtoGg=0,"NO",('Activity data'!V12*EF!$H43*EF!$H61)*NtoN2O*kgtoGg)</f>
        <v>6.8592010752334814E-2</v>
      </c>
      <c r="W43" s="27">
        <f>IF(('Activity data'!W12*EF!$H43*EF!$H61)*NtoN2O*kgtoGg=0,"NO",('Activity data'!W12*EF!$H43*EF!$H61)*NtoN2O*kgtoGg)</f>
        <v>6.8428908927673615E-2</v>
      </c>
      <c r="X43" s="27">
        <f>IF(('Activity data'!X12*EF!$H43*EF!$H61)*NtoN2O*kgtoGg=0,"NO",('Activity data'!X12*EF!$H43*EF!$H61)*NtoN2O*kgtoGg)</f>
        <v>6.7533387588496016E-2</v>
      </c>
      <c r="Y43" s="27">
        <f>IF(('Activity data'!Y12*EF!$H43*EF!$H61)*NtoN2O*kgtoGg=0,"NO",('Activity data'!Y12*EF!$H43*EF!$H61)*NtoN2O*kgtoGg)</f>
        <v>6.746876233721516E-2</v>
      </c>
      <c r="Z43" s="27">
        <f>IF(('Activity data'!Z12*EF!$H43*EF!$H61)*NtoN2O*kgtoGg=0,"NO",('Activity data'!Z12*EF!$H43*EF!$H61)*NtoN2O*kgtoGg)</f>
        <v>6.7687257234402817E-2</v>
      </c>
      <c r="AA43" s="27">
        <f>IF(('Activity data'!AA12*EF!$H43*EF!$H61)*NtoN2O*kgtoGg=0,"NO",('Activity data'!AA12*EF!$H43*EF!$H61)*NtoN2O*kgtoGg)</f>
        <v>6.7447220586788204E-2</v>
      </c>
      <c r="AB43" s="27">
        <f>IF(('Activity data'!AB12*EF!$H43*EF!$H61)*NtoN2O*kgtoGg=0,"NO",('Activity data'!AB12*EF!$H43*EF!$H61)*NtoN2O*kgtoGg)</f>
        <v>6.6142405989498512E-2</v>
      </c>
      <c r="AC43" s="27">
        <f>IF(('Activity data'!AC12*EF!$H43*EF!$H61)*NtoN2O*kgtoGg=0,"NO",('Activity data'!AC12*EF!$H43*EF!$H61)*NtoN2O*kgtoGg)</f>
        <v>6.5625403979251651E-2</v>
      </c>
      <c r="AD43" s="27">
        <f>IF(('Activity data'!AD12*EF!$H43*EF!$H61)*NtoN2O*kgtoGg=0,"NO",('Activity data'!AD12*EF!$H43*EF!$H61)*NtoN2O*kgtoGg)</f>
        <v>6.266545072674834E-2</v>
      </c>
      <c r="AE43" s="27">
        <f>IF(('Activity data'!AE12*EF!$H43*EF!$H61)*NtoN2O*kgtoGg=0,"NO",('Activity data'!AE12*EF!$H43*EF!$H61)*NtoN2O*kgtoGg)</f>
        <v>6.269933373655362E-2</v>
      </c>
      <c r="AF43" s="27">
        <f>IF(('Activity data'!AF12*EF!$H43*EF!$H61)*NtoN2O*kgtoGg=0,"NO",('Activity data'!AF12*EF!$H43*EF!$H61)*NtoN2O*kgtoGg)</f>
        <v>6.2780346741822493E-2</v>
      </c>
      <c r="AG43" s="27">
        <f>IF(('Activity data'!AG12*EF!$H43*EF!$H61)*NtoN2O*kgtoGg=0,"NO",('Activity data'!AG12*EF!$H43*EF!$H61)*NtoN2O*kgtoGg)</f>
        <v>6.2899801067490158E-2</v>
      </c>
      <c r="AH43" s="27">
        <f>IF(('Activity data'!AH12*EF!$H43*EF!$H61)*NtoN2O*kgtoGg=0,"NO",('Activity data'!AH12*EF!$H43*EF!$H61)*NtoN2O*kgtoGg)</f>
        <v>6.3056937617822231E-2</v>
      </c>
      <c r="AI43" s="27">
        <f>IF(('Activity data'!AI12*EF!$H43*EF!H61)*NtoN2O*kgtoGg=0,"NO",('Activity data'!AI12*EF!$H43*EF!H61)*NtoN2O*kgtoGg)</f>
        <v>6.3250097095874355E-2</v>
      </c>
      <c r="AJ43" s="27">
        <f>IF(('Activity data'!AJ12*EF!$H43*EF!I61)*NtoN2O*kgtoGg=0,"NO",('Activity data'!AJ12*EF!$H43*EF!I61)*NtoN2O*kgtoGg)</f>
        <v>6.3467041555247503E-2</v>
      </c>
      <c r="AK43" s="27">
        <f>IF(('Activity data'!AK12*EF!$H43*EF!J61)*NtoN2O*kgtoGg=0,"NO",('Activity data'!AK12*EF!$H43*EF!J61)*NtoN2O*kgtoGg)</f>
        <v>6.3706401349179126E-2</v>
      </c>
      <c r="AL43" s="27">
        <f>IF(('Activity data'!AL12*EF!$H43*EF!K61)*NtoN2O*kgtoGg=0,"NO",('Activity data'!AL12*EF!$H43*EF!K61)*NtoN2O*kgtoGg)</f>
        <v>6.3925282702636074E-2</v>
      </c>
      <c r="AM43" s="27">
        <f>IF(('Activity data'!AM12*EF!$H43*EF!L61)*NtoN2O*kgtoGg=0,"NO",('Activity data'!AM12*EF!$H43*EF!L61)*NtoN2O*kgtoGg)</f>
        <v>6.402146446837842E-2</v>
      </c>
      <c r="AN43" s="27">
        <f>IF(('Activity data'!AN12*EF!$H43*EF!M61)*NtoN2O*kgtoGg=0,"NO",('Activity data'!AN12*EF!$H43*EF!M61)*NtoN2O*kgtoGg)</f>
        <v>6.4138923067293366E-2</v>
      </c>
      <c r="AO43" s="27">
        <f>IF(('Activity data'!AO12*EF!$H43*EF!N61)*NtoN2O*kgtoGg=0,"NO",('Activity data'!AO12*EF!$H43*EF!N61)*NtoN2O*kgtoGg)</f>
        <v>6.4262381223155141E-2</v>
      </c>
      <c r="AP43" s="27">
        <f>IF(('Activity data'!AP12*EF!$H43*EF!O61)*NtoN2O*kgtoGg=0,"NO",('Activity data'!AP12*EF!$H43*EF!O61)*NtoN2O*kgtoGg)</f>
        <v>6.4400989360150498E-2</v>
      </c>
      <c r="AQ43" s="27">
        <f>IF(('Activity data'!AQ12*EF!$H43*EF!P61)*NtoN2O*kgtoGg=0,"NO",('Activity data'!AQ12*EF!$H43*EF!P61)*NtoN2O*kgtoGg)</f>
        <v>6.4554359649970958E-2</v>
      </c>
      <c r="AR43" s="27">
        <f>IF(('Activity data'!AR12*EF!$H43*EF!Q61)*NtoN2O*kgtoGg=0,"NO",('Activity data'!AR12*EF!$H43*EF!Q61)*NtoN2O*kgtoGg)</f>
        <v>6.4650143257311041E-2</v>
      </c>
      <c r="AS43" s="27">
        <f>IF(('Activity data'!AS12*EF!$H43*EF!R61)*NtoN2O*kgtoGg=0,"NO",('Activity data'!AS12*EF!$H43*EF!R61)*NtoN2O*kgtoGg)</f>
        <v>6.4758354452787853E-2</v>
      </c>
      <c r="AT43" s="27">
        <f>IF(('Activity data'!AT12*EF!$H43*EF!S61)*NtoN2O*kgtoGg=0,"NO",('Activity data'!AT12*EF!$H43*EF!S61)*NtoN2O*kgtoGg)</f>
        <v>6.4877531063130933E-2</v>
      </c>
      <c r="AU43" s="27">
        <f>IF(('Activity data'!AU12*EF!$H43*EF!T61)*NtoN2O*kgtoGg=0,"NO",('Activity data'!AU12*EF!$H43*EF!T61)*NtoN2O*kgtoGg)</f>
        <v>6.500800078206817E-2</v>
      </c>
      <c r="AV43" s="27">
        <f>IF(('Activity data'!AV12*EF!$H43*EF!U61)*NtoN2O*kgtoGg=0,"NO",('Activity data'!AV12*EF!$H43*EF!U61)*NtoN2O*kgtoGg)</f>
        <v>6.5148416965979825E-2</v>
      </c>
      <c r="AW43" s="27">
        <f>IF(('Activity data'!AW12*EF!$H43*EF!V61)*NtoN2O*kgtoGg=0,"NO",('Activity data'!AW12*EF!$H43*EF!V61)*NtoN2O*kgtoGg)</f>
        <v>6.5242610286817326E-2</v>
      </c>
      <c r="AX43" s="27">
        <f>IF(('Activity data'!AX12*EF!$H43*EF!W61)*NtoN2O*kgtoGg=0,"NO",('Activity data'!AX12*EF!$H43*EF!W61)*NtoN2O*kgtoGg)</f>
        <v>6.5344867838358231E-2</v>
      </c>
      <c r="AY43" s="27">
        <f>IF(('Activity data'!AY12*EF!$H43*EF!X61)*NtoN2O*kgtoGg=0,"NO",('Activity data'!AY12*EF!$H43*EF!X61)*NtoN2O*kgtoGg)</f>
        <v>6.5456011603840999E-2</v>
      </c>
      <c r="AZ43" s="27">
        <f>IF(('Activity data'!AZ12*EF!$H43*EF!Y61)*NtoN2O*kgtoGg=0,"NO",('Activity data'!AZ12*EF!$H43*EF!Y61)*NtoN2O*kgtoGg)</f>
        <v>6.5577126525694585E-2</v>
      </c>
      <c r="BA43" s="27">
        <f>IF(('Activity data'!BA12*EF!$H43*EF!Z61)*NtoN2O*kgtoGg=0,"NO",('Activity data'!BA12*EF!$H43*EF!Z61)*NtoN2O*kgtoGg)</f>
        <v>6.570457577032536E-2</v>
      </c>
      <c r="BB43" s="27">
        <f>IF(('Activity data'!BB12*EF!$H43*EF!AA61)*NtoN2O*kgtoGg=0,"NO",('Activity data'!BB12*EF!$H43*EF!AA61)*NtoN2O*kgtoGg)</f>
        <v>6.5786040922287098E-2</v>
      </c>
      <c r="BC43" s="27">
        <f>IF(('Activity data'!BC12*EF!$H43*EF!AB61)*NtoN2O*kgtoGg=0,"NO",('Activity data'!BC12*EF!$H43*EF!AB61)*NtoN2O*kgtoGg)</f>
        <v>6.5875272440148028E-2</v>
      </c>
      <c r="BD43" s="27">
        <f>IF(('Activity data'!BD12*EF!$H43*EF!AC61)*NtoN2O*kgtoGg=0,"NO",('Activity data'!BD12*EF!$H43*EF!AC61)*NtoN2O*kgtoGg)</f>
        <v>6.5969327282086584E-2</v>
      </c>
      <c r="BE43" s="27">
        <f>IF(('Activity data'!BE12*EF!$H43*EF!AD61)*NtoN2O*kgtoGg=0,"NO",('Activity data'!BE12*EF!$H43*EF!AD61)*NtoN2O*kgtoGg)</f>
        <v>6.6069206757782967E-2</v>
      </c>
      <c r="BF43" s="27">
        <f>IF(('Activity data'!BF12*EF!$H43*EF!AE61)*NtoN2O*kgtoGg=0,"NO",('Activity data'!BF12*EF!$H43*EF!AE61)*NtoN2O*kgtoGg)</f>
        <v>6.6174759428079058E-2</v>
      </c>
      <c r="BG43" s="27">
        <f>IF(('Activity data'!BG12*EF!$H43*EF!AF61)*NtoN2O*kgtoGg=0,"NO",('Activity data'!BG12*EF!$H43*EF!AF61)*NtoN2O*kgtoGg)</f>
        <v>6.623712775418944E-2</v>
      </c>
      <c r="BH43" s="27">
        <f>IF(('Activity data'!BH12*EF!$H43*EF!AG61)*NtoN2O*kgtoGg=0,"NO",('Activity data'!BH12*EF!$H43*EF!AG61)*NtoN2O*kgtoGg)</f>
        <v>6.6303706699144024E-2</v>
      </c>
      <c r="BI43" s="27">
        <f>IF(('Activity data'!BI12*EF!$H43*EF!AH61)*NtoN2O*kgtoGg=0,"NO",('Activity data'!BI12*EF!$H43*EF!AH61)*NtoN2O*kgtoGg)</f>
        <v>6.6375926231502153E-2</v>
      </c>
      <c r="BJ43" s="27">
        <f>IF(('Activity data'!BJ12*EF!$H43*EF!AI61)*NtoN2O*kgtoGg=0,"NO",('Activity data'!BJ12*EF!$H43*EF!AI61)*NtoN2O*kgtoGg)</f>
        <v>6.6453716530296997E-2</v>
      </c>
      <c r="BK43" s="27">
        <f>IF(('Activity data'!BK12*EF!$H43*EF!AJ61)*NtoN2O*kgtoGg=0,"NO",('Activity data'!BK12*EF!$H43*EF!AJ61)*NtoN2O*kgtoGg)</f>
        <v>6.653707598346266E-2</v>
      </c>
      <c r="BL43" s="27">
        <f>IF(('Activity data'!BL12*EF!$H43*EF!AK61)*NtoN2O*kgtoGg=0,"NO",('Activity data'!BL12*EF!$H43*EF!AK61)*NtoN2O*kgtoGg)</f>
        <v>6.6574894169098925E-2</v>
      </c>
      <c r="BM43" s="27">
        <f>IF(('Activity data'!BM12*EF!$H43*EF!AL61)*NtoN2O*kgtoGg=0,"NO",('Activity data'!BM12*EF!$H43*EF!AL61)*NtoN2O*kgtoGg)</f>
        <v>6.659926548953217E-2</v>
      </c>
      <c r="BN43" s="27">
        <f>IF(('Activity data'!BN12*EF!$H43*EF!AM61)*NtoN2O*kgtoGg=0,"NO",('Activity data'!BN12*EF!$H43*EF!AM61)*NtoN2O*kgtoGg)</f>
        <v>6.66259810627719E-2</v>
      </c>
      <c r="BO43" s="27">
        <f>IF(('Activity data'!BO12*EF!$H43*EF!AN61)*NtoN2O*kgtoGg=0,"NO",('Activity data'!BO12*EF!$H43*EF!AN61)*NtoN2O*kgtoGg)</f>
        <v>6.6654199870902653E-2</v>
      </c>
      <c r="BP43" s="27">
        <f>IF(('Activity data'!BP12*EF!$H43*EF!AO61)*NtoN2O*kgtoGg=0,"NO",('Activity data'!BP12*EF!$H43*EF!AO61)*NtoN2O*kgtoGg)</f>
        <v>6.6685459069136477E-2</v>
      </c>
    </row>
    <row r="44" spans="1:68" x14ac:dyDescent="0.3">
      <c r="A44" t="str">
        <f t="shared" si="1"/>
        <v>3A Livestock</v>
      </c>
      <c r="B44" t="str">
        <f t="shared" si="11"/>
        <v>3A2 Manure management (N2O)</v>
      </c>
      <c r="C44" t="str">
        <f>EF!C62</f>
        <v>3A1d Goats</v>
      </c>
      <c r="D44" t="str">
        <f>EF!D62</f>
        <v>Commercial</v>
      </c>
      <c r="E44" t="str">
        <f t="shared" si="9"/>
        <v>Manure management Emissions</v>
      </c>
      <c r="F44" t="s">
        <v>139</v>
      </c>
      <c r="G44" t="str">
        <f t="shared" si="10"/>
        <v>Gg N2O</v>
      </c>
      <c r="H44" s="27">
        <f>IF(('Activity data'!H13*EF!$H44*EF!$H62)*NtoN2O*kgtoGg=0,"NO",('Activity data'!H13*EF!$H44*EF!$H62)*NtoN2O*kgtoGg)</f>
        <v>1.9430751682320124E-2</v>
      </c>
      <c r="I44" s="27">
        <f>IF(('Activity data'!I13*EF!$H44*EF!$H62)*NtoN2O*kgtoGg=0,"NO",('Activity data'!I13*EF!$H44*EF!$H62)*NtoN2O*kgtoGg)</f>
        <v>1.7182276091107163E-2</v>
      </c>
      <c r="J44" s="27">
        <f>IF(('Activity data'!J13*EF!$H44*EF!$H62)*NtoN2O*kgtoGg=0,"NO",('Activity data'!J13*EF!$H44*EF!$H62)*NtoN2O*kgtoGg)</f>
        <v>1.6005503819070465E-2</v>
      </c>
      <c r="K44" s="27">
        <f>IF(('Activity data'!K13*EF!$H44*EF!$H62)*NtoN2O*kgtoGg=0,"NO",('Activity data'!K13*EF!$H44*EF!$H62)*NtoN2O*kgtoGg)</f>
        <v>1.5122924615042945E-2</v>
      </c>
      <c r="L44" s="27">
        <f>IF(('Activity data'!L13*EF!$H44*EF!$H62)*NtoN2O*kgtoGg=0,"NO",('Activity data'!L13*EF!$H44*EF!$H62)*NtoN2O*kgtoGg)</f>
        <v>1.6369742855653249E-2</v>
      </c>
      <c r="M44" s="27">
        <f>IF(('Activity data'!M13*EF!$H44*EF!$H62)*NtoN2O*kgtoGg=0,"NO",('Activity data'!M13*EF!$H44*EF!$H62)*NtoN2O*kgtoGg)</f>
        <v>1.6593889955088814E-2</v>
      </c>
      <c r="N44" s="27">
        <f>IF(('Activity data'!N13*EF!$H44*EF!$H62)*NtoN2O*kgtoGg=0,"NO",('Activity data'!N13*EF!$H44*EF!$H62)*NtoN2O*kgtoGg)</f>
        <v>1.6853060038811176E-2</v>
      </c>
      <c r="O44" s="27">
        <f>IF(('Activity data'!O13*EF!$H44*EF!$H62)*NtoN2O*kgtoGg=0,"NO",('Activity data'!O13*EF!$H44*EF!$H62)*NtoN2O*kgtoGg)</f>
        <v>1.6769004876522844E-2</v>
      </c>
      <c r="P44" s="27">
        <f>IF(('Activity data'!P13*EF!$H44*EF!$H62)*NtoN2O*kgtoGg=0,"NO",('Activity data'!P13*EF!$H44*EF!$H62)*NtoN2O*kgtoGg)</f>
        <v>1.6530848583372559E-2</v>
      </c>
      <c r="Q44" s="27">
        <f>IF(('Activity data'!Q13*EF!$H44*EF!$H62)*NtoN2O*kgtoGg=0,"NO",('Activity data'!Q13*EF!$H44*EF!$H62)*NtoN2O*kgtoGg)</f>
        <v>1.6285687693364925E-2</v>
      </c>
      <c r="R44" s="27">
        <f>IF(('Activity data'!R13*EF!$H44*EF!$H62)*NtoN2O*kgtoGg=0,"NO",('Activity data'!R13*EF!$H44*EF!$H62)*NtoN2O*kgtoGg)</f>
        <v>1.6495825599085752E-2</v>
      </c>
      <c r="S44" s="27">
        <f>IF(('Activity data'!S13*EF!$H44*EF!$H62)*NtoN2O*kgtoGg=0,"NO",('Activity data'!S13*EF!$H44*EF!$H62)*NtoN2O*kgtoGg)</f>
        <v>1.7000156572815769E-2</v>
      </c>
      <c r="T44" s="27">
        <f>IF(('Activity data'!T13*EF!$H44*EF!$H62)*NtoN2O*kgtoGg=0,"NO",('Activity data'!T13*EF!$H44*EF!$H62)*NtoN2O*kgtoGg)</f>
        <v>1.5522186635912547E-2</v>
      </c>
      <c r="U44" s="27">
        <f>IF(('Activity data'!U13*EF!$H44*EF!$H62)*NtoN2O*kgtoGg=0,"NO",('Activity data'!U13*EF!$H44*EF!$H62)*NtoN2O*kgtoGg)</f>
        <v>1.512992921190031E-2</v>
      </c>
      <c r="V44" s="27">
        <f>IF(('Activity data'!V13*EF!$H44*EF!$H62)*NtoN2O*kgtoGg=0,"NO",('Activity data'!V13*EF!$H44*EF!$H62)*NtoN2O*kgtoGg)</f>
        <v>1.5157947599329761E-2</v>
      </c>
      <c r="W44" s="27">
        <f>IF(('Activity data'!W13*EF!$H44*EF!$H62)*NtoN2O*kgtoGg=0,"NO",('Activity data'!W13*EF!$H44*EF!$H62)*NtoN2O*kgtoGg)</f>
        <v>1.4961818887323638E-2</v>
      </c>
      <c r="X44" s="27">
        <f>IF(('Activity data'!X13*EF!$H44*EF!$H62)*NtoN2O*kgtoGg=0,"NO",('Activity data'!X13*EF!$H44*EF!$H62)*NtoN2O*kgtoGg)</f>
        <v>1.5277025745904898E-2</v>
      </c>
      <c r="Y44" s="27">
        <f>IF(('Activity data'!Y13*EF!$H44*EF!$H62)*NtoN2O*kgtoGg=0,"NO",('Activity data'!Y13*EF!$H44*EF!$H62)*NtoN2O*kgtoGg)</f>
        <v>1.4821726950176417E-2</v>
      </c>
      <c r="Z44" s="27">
        <f>IF(('Activity data'!Z13*EF!$H44*EF!$H62)*NtoN2O*kgtoGg=0,"NO",('Activity data'!Z13*EF!$H44*EF!$H62)*NtoN2O*kgtoGg)</f>
        <v>1.4807717756461695E-2</v>
      </c>
      <c r="AA44" s="27">
        <f>IF(('Activity data'!AA13*EF!$H44*EF!$H62)*NtoN2O*kgtoGg=0,"NO",('Activity data'!AA13*EF!$H44*EF!$H62)*NtoN2O*kgtoGg)</f>
        <v>1.4548547672739326E-2</v>
      </c>
      <c r="AB44" s="27">
        <f>IF(('Activity data'!AB13*EF!$H44*EF!$H62)*NtoN2O*kgtoGg=0,"NO",('Activity data'!AB13*EF!$H44*EF!$H62)*NtoN2O*kgtoGg)</f>
        <v>1.4373432751305298E-2</v>
      </c>
      <c r="AC44" s="27">
        <f>IF(('Activity data'!AC13*EF!$H44*EF!$H62)*NtoN2O*kgtoGg=0,"NO",('Activity data'!AC13*EF!$H44*EF!$H62)*NtoN2O*kgtoGg)</f>
        <v>1.4240345411015433E-2</v>
      </c>
      <c r="AD44" s="27">
        <f>IF(('Activity data'!AD13*EF!$H44*EF!$H62)*NtoN2O*kgtoGg=0,"NO",('Activity data'!AD13*EF!$H44*EF!$H62)*NtoN2O*kgtoGg)</f>
        <v>1.4486129996083084E-2</v>
      </c>
      <c r="AE44" s="27">
        <f>IF(('Activity data'!AE13*EF!$H44*EF!$H62)*NtoN2O*kgtoGg=0,"NO",('Activity data'!AE13*EF!$H44*EF!$H62)*NtoN2O*kgtoGg)</f>
        <v>1.4523786941695514E-2</v>
      </c>
      <c r="AF44" s="27">
        <f>IF(('Activity data'!AF13*EF!$H44*EF!$H62)*NtoN2O*kgtoGg=0,"NO",('Activity data'!AF13*EF!$H44*EF!$H62)*NtoN2O*kgtoGg)</f>
        <v>1.457573336741831E-2</v>
      </c>
      <c r="AG44" s="27">
        <f>IF(('Activity data'!AG13*EF!$H44*EF!$H62)*NtoN2O*kgtoGg=0,"NO",('Activity data'!AG13*EF!$H44*EF!$H62)*NtoN2O*kgtoGg)</f>
        <v>1.4639017833045654E-2</v>
      </c>
      <c r="AH44" s="27">
        <f>IF(('Activity data'!AH13*EF!$H44*EF!$H62)*NtoN2O*kgtoGg=0,"NO",('Activity data'!AH13*EF!$H44*EF!$H62)*NtoN2O*kgtoGg)</f>
        <v>1.4713550078172181E-2</v>
      </c>
      <c r="AI44" s="27">
        <f>IF(('Activity data'!AI13*EF!$H44*EF!H62)*NtoN2O*kgtoGg=0,"NO",('Activity data'!AI13*EF!$H44*EF!H62)*NtoN2O*kgtoGg)</f>
        <v>1.4798876460462532E-2</v>
      </c>
      <c r="AJ44" s="27">
        <f>IF(('Activity data'!AJ13*EF!$H44*EF!I62)*NtoN2O*kgtoGg=0,"NO",('Activity data'!AJ13*EF!$H44*EF!I62)*NtoN2O*kgtoGg)</f>
        <v>1.4890706011157261E-2</v>
      </c>
      <c r="AK44" s="27">
        <f>IF(('Activity data'!AK13*EF!$H44*EF!J62)*NtoN2O*kgtoGg=0,"NO",('Activity data'!AK13*EF!$H44*EF!J62)*NtoN2O*kgtoGg)</f>
        <v>1.4988675221399694E-2</v>
      </c>
      <c r="AL44" s="27">
        <f>IF(('Activity data'!AL13*EF!$H44*EF!K62)*NtoN2O*kgtoGg=0,"NO",('Activity data'!AL13*EF!$H44*EF!K62)*NtoN2O*kgtoGg)</f>
        <v>1.5077522200056563E-2</v>
      </c>
      <c r="AM44" s="27">
        <f>IF(('Activity data'!AM13*EF!$H44*EF!L62)*NtoN2O*kgtoGg=0,"NO",('Activity data'!AM13*EF!$H44*EF!L62)*NtoN2O*kgtoGg)</f>
        <v>1.5120920467659648E-2</v>
      </c>
      <c r="AN44" s="27">
        <f>IF(('Activity data'!AN13*EF!$H44*EF!M62)*NtoN2O*kgtoGg=0,"NO",('Activity data'!AN13*EF!$H44*EF!M62)*NtoN2O*kgtoGg)</f>
        <v>1.5170664566545743E-2</v>
      </c>
      <c r="AO44" s="27">
        <f>IF(('Activity data'!AO13*EF!$H44*EF!N62)*NtoN2O*kgtoGg=0,"NO",('Activity data'!AO13*EF!$H44*EF!N62)*NtoN2O*kgtoGg)</f>
        <v>1.522137130781058E-2</v>
      </c>
      <c r="AP44" s="27">
        <f>IF(('Activity data'!AP13*EF!$H44*EF!O62)*NtoN2O*kgtoGg=0,"NO",('Activity data'!AP13*EF!$H44*EF!O62)*NtoN2O*kgtoGg)</f>
        <v>1.527636657794784E-2</v>
      </c>
      <c r="AQ44" s="27">
        <f>IF(('Activity data'!AQ13*EF!$H44*EF!P62)*NtoN2O*kgtoGg=0,"NO",('Activity data'!AQ13*EF!$H44*EF!P62)*NtoN2O*kgtoGg)</f>
        <v>1.5335559486365858E-2</v>
      </c>
      <c r="AR44" s="27">
        <f>IF(('Activity data'!AR13*EF!$H44*EF!Q62)*NtoN2O*kgtoGg=0,"NO",('Activity data'!AR13*EF!$H44*EF!Q62)*NtoN2O*kgtoGg)</f>
        <v>1.5373440359637548E-2</v>
      </c>
      <c r="AS44" s="27">
        <f>IF(('Activity data'!AS13*EF!$H44*EF!R62)*NtoN2O*kgtoGg=0,"NO",('Activity data'!AS13*EF!$H44*EF!R62)*NtoN2O*kgtoGg)</f>
        <v>1.5414884136013281E-2</v>
      </c>
      <c r="AT44" s="27">
        <f>IF(('Activity data'!AT13*EF!$H44*EF!S62)*NtoN2O*kgtoGg=0,"NO",('Activity data'!AT13*EF!$H44*EF!S62)*NtoN2O*kgtoGg)</f>
        <v>1.5459406079654034E-2</v>
      </c>
      <c r="AU44" s="27">
        <f>IF(('Activity data'!AU13*EF!$H44*EF!T62)*NtoN2O*kgtoGg=0,"NO",('Activity data'!AU13*EF!$H44*EF!T62)*NtoN2O*kgtoGg)</f>
        <v>1.5507149153927192E-2</v>
      </c>
      <c r="AV44" s="27">
        <f>IF(('Activity data'!AV13*EF!$H44*EF!U62)*NtoN2O*kgtoGg=0,"NO",('Activity data'!AV13*EF!$H44*EF!U62)*NtoN2O*kgtoGg)</f>
        <v>1.55576650603759E-2</v>
      </c>
      <c r="AW44" s="27">
        <f>IF(('Activity data'!AW13*EF!$H44*EF!V62)*NtoN2O*kgtoGg=0,"NO",('Activity data'!AW13*EF!$H44*EF!V62)*NtoN2O*kgtoGg)</f>
        <v>1.5591353436562988E-2</v>
      </c>
      <c r="AX44" s="27">
        <f>IF(('Activity data'!AX13*EF!$H44*EF!W62)*NtoN2O*kgtoGg=0,"NO",('Activity data'!AX13*EF!$H44*EF!W62)*NtoN2O*kgtoGg)</f>
        <v>1.5627280085252663E-2</v>
      </c>
      <c r="AY44" s="27">
        <f>IF(('Activity data'!AY13*EF!$H44*EF!X62)*NtoN2O*kgtoGg=0,"NO",('Activity data'!AY13*EF!$H44*EF!X62)*NtoN2O*kgtoGg)</f>
        <v>1.5665749106164011E-2</v>
      </c>
      <c r="AZ44" s="27">
        <f>IF(('Activity data'!AZ13*EF!$H44*EF!Y62)*NtoN2O*kgtoGg=0,"NO",('Activity data'!AZ13*EF!$H44*EF!Y62)*NtoN2O*kgtoGg)</f>
        <v>1.5707151218007597E-2</v>
      </c>
      <c r="BA44" s="27">
        <f>IF(('Activity data'!BA13*EF!$H44*EF!Z62)*NtoN2O*kgtoGg=0,"NO",('Activity data'!BA13*EF!$H44*EF!Z62)*NtoN2O*kgtoGg)</f>
        <v>1.575023561921594E-2</v>
      </c>
      <c r="BB44" s="27">
        <f>IF(('Activity data'!BB13*EF!$H44*EF!AA62)*NtoN2O*kgtoGg=0,"NO",('Activity data'!BB13*EF!$H44*EF!AA62)*NtoN2O*kgtoGg)</f>
        <v>1.5776918897393025E-2</v>
      </c>
      <c r="BC44" s="27">
        <f>IF(('Activity data'!BC13*EF!$H44*EF!AB62)*NtoN2O*kgtoGg=0,"NO",('Activity data'!BC13*EF!$H44*EF!AB62)*NtoN2O*kgtoGg)</f>
        <v>1.5805875112600263E-2</v>
      </c>
      <c r="BD44" s="27">
        <f>IF(('Activity data'!BD13*EF!$H44*EF!AC62)*NtoN2O*kgtoGg=0,"NO",('Activity data'!BD13*EF!$H44*EF!AC62)*NtoN2O*kgtoGg)</f>
        <v>1.5836097205917665E-2</v>
      </c>
      <c r="BE44" s="27">
        <f>IF(('Activity data'!BE13*EF!$H44*EF!AD62)*NtoN2O*kgtoGg=0,"NO",('Activity data'!BE13*EF!$H44*EF!AD62)*NtoN2O*kgtoGg)</f>
        <v>1.5867941184595159E-2</v>
      </c>
      <c r="BF44" s="27">
        <f>IF(('Activity data'!BF13*EF!$H44*EF!AE62)*NtoN2O*kgtoGg=0,"NO",('Activity data'!BF13*EF!$H44*EF!AE62)*NtoN2O*kgtoGg)</f>
        <v>1.5901363449816974E-2</v>
      </c>
      <c r="BG44" s="27">
        <f>IF(('Activity data'!BG13*EF!$H44*EF!AF62)*NtoN2O*kgtoGg=0,"NO",('Activity data'!BG13*EF!$H44*EF!AF62)*NtoN2O*kgtoGg)</f>
        <v>1.5919623331121565E-2</v>
      </c>
      <c r="BH44" s="27">
        <f>IF(('Activity data'!BH13*EF!$H44*EF!AG62)*NtoN2O*kgtoGg=0,"NO",('Activity data'!BH13*EF!$H44*EF!AG62)*NtoN2O*kgtoGg)</f>
        <v>1.5939033537312693E-2</v>
      </c>
      <c r="BI44" s="27">
        <f>IF(('Activity data'!BI13*EF!$H44*EF!AH62)*NtoN2O*kgtoGg=0,"NO",('Activity data'!BI13*EF!$H44*EF!AH62)*NtoN2O*kgtoGg)</f>
        <v>1.5960089556991585E-2</v>
      </c>
      <c r="BJ44" s="27">
        <f>IF(('Activity data'!BJ13*EF!$H44*EF!AI62)*NtoN2O*kgtoGg=0,"NO",('Activity data'!BJ13*EF!$H44*EF!AI62)*NtoN2O*kgtoGg)</f>
        <v>1.5982771280705937E-2</v>
      </c>
      <c r="BK44" s="27">
        <f>IF(('Activity data'!BK13*EF!$H44*EF!AJ62)*NtoN2O*kgtoGg=0,"NO",('Activity data'!BK13*EF!$H44*EF!AJ62)*NtoN2O*kgtoGg)</f>
        <v>1.6007081325051208E-2</v>
      </c>
      <c r="BL44" s="27">
        <f>IF(('Activity data'!BL13*EF!$H44*EF!AK62)*NtoN2O*kgtoGg=0,"NO",('Activity data'!BL13*EF!$H44*EF!AK62)*NtoN2O*kgtoGg)</f>
        <v>1.6015649873683192E-2</v>
      </c>
      <c r="BM44" s="27">
        <f>IF(('Activity data'!BM13*EF!$H44*EF!AL62)*NtoN2O*kgtoGg=0,"NO",('Activity data'!BM13*EF!$H44*EF!AL62)*NtoN2O*kgtoGg)</f>
        <v>1.601945516807891E-2</v>
      </c>
      <c r="BN44" s="27">
        <f>IF(('Activity data'!BN13*EF!$H44*EF!AM62)*NtoN2O*kgtoGg=0,"NO",('Activity data'!BN13*EF!$H44*EF!AM62)*NtoN2O*kgtoGg)</f>
        <v>1.602387884909745E-2</v>
      </c>
      <c r="BO44" s="27">
        <f>IF(('Activity data'!BO13*EF!$H44*EF!AN62)*NtoN2O*kgtoGg=0,"NO",('Activity data'!BO13*EF!$H44*EF!AN62)*NtoN2O*kgtoGg)</f>
        <v>1.6028641289399778E-2</v>
      </c>
      <c r="BP44" s="27">
        <f>IF(('Activity data'!BP13*EF!$H44*EF!AO62)*NtoN2O*kgtoGg=0,"NO",('Activity data'!BP13*EF!$H44*EF!AO62)*NtoN2O*kgtoGg)</f>
        <v>1.6034267352361548E-2</v>
      </c>
    </row>
    <row r="45" spans="1:68" x14ac:dyDescent="0.3">
      <c r="A45" t="str">
        <f t="shared" si="1"/>
        <v>3A Livestock</v>
      </c>
      <c r="B45" t="str">
        <f t="shared" si="11"/>
        <v>3A2 Manure management (N2O)</v>
      </c>
      <c r="C45" t="str">
        <f>EF!C63</f>
        <v>3A1d Goats</v>
      </c>
      <c r="D45" t="str">
        <f>EF!D63</f>
        <v>Subsistence</v>
      </c>
      <c r="E45" t="str">
        <f t="shared" si="9"/>
        <v>Manure management Emissions</v>
      </c>
      <c r="F45" t="s">
        <v>139</v>
      </c>
      <c r="G45" t="str">
        <f t="shared" si="10"/>
        <v>Gg N2O</v>
      </c>
      <c r="H45" s="27">
        <f>IF(('Activity data'!H14*EF!$H45*EF!$H63)*NtoN2O*kgtoGg=0,"NO",('Activity data'!H14*EF!$H45*EF!$H63)*NtoN2O*kgtoGg)</f>
        <v>0.15674707216898293</v>
      </c>
      <c r="I45" s="27">
        <f>IF(('Activity data'!I14*EF!$H45*EF!$H63)*NtoN2O*kgtoGg=0,"NO",('Activity data'!I14*EF!$H45*EF!$H63)*NtoN2O*kgtoGg)</f>
        <v>0.13860871233976757</v>
      </c>
      <c r="J45" s="27">
        <f>IF(('Activity data'!J14*EF!$H45*EF!$H63)*NtoN2O*kgtoGg=0,"NO",('Activity data'!J14*EF!$H45*EF!$H63)*NtoN2O*kgtoGg)</f>
        <v>0.12911573897120623</v>
      </c>
      <c r="K45" s="27">
        <f>IF(('Activity data'!K14*EF!$H45*EF!$H63)*NtoN2O*kgtoGg=0,"NO",('Activity data'!K14*EF!$H45*EF!$H63)*NtoN2O*kgtoGg)</f>
        <v>0.12199600894478523</v>
      </c>
      <c r="L45" s="27">
        <f>IF(('Activity data'!L14*EF!$H45*EF!$H63)*NtoN2O*kgtoGg=0,"NO",('Activity data'!L14*EF!$H45*EF!$H63)*NtoN2O*kgtoGg)</f>
        <v>0.13205404025195139</v>
      </c>
      <c r="M45" s="27">
        <f>IF(('Activity data'!M14*EF!$H45*EF!$H63)*NtoN2O*kgtoGg=0,"NO",('Activity data'!M14*EF!$H45*EF!$H63)*NtoN2O*kgtoGg)</f>
        <v>0.13386222565548689</v>
      </c>
      <c r="N45" s="27">
        <f>IF(('Activity data'!N14*EF!$H45*EF!$H63)*NtoN2O*kgtoGg=0,"NO",('Activity data'!N14*EF!$H45*EF!$H63)*NtoN2O*kgtoGg)</f>
        <v>0.13595294002832481</v>
      </c>
      <c r="O45" s="27">
        <f>IF(('Activity data'!O14*EF!$H45*EF!$H63)*NtoN2O*kgtoGg=0,"NO",('Activity data'!O14*EF!$H45*EF!$H63)*NtoN2O*kgtoGg)</f>
        <v>0.13527487050199902</v>
      </c>
      <c r="P45" s="27">
        <f>IF(('Activity data'!P14*EF!$H45*EF!$H63)*NtoN2O*kgtoGg=0,"NO",('Activity data'!P14*EF!$H45*EF!$H63)*NtoN2O*kgtoGg)</f>
        <v>0.13335367351074254</v>
      </c>
      <c r="Q45" s="27">
        <f>IF(('Activity data'!Q14*EF!$H45*EF!$H63)*NtoN2O*kgtoGg=0,"NO",('Activity data'!Q14*EF!$H45*EF!$H63)*NtoN2O*kgtoGg)</f>
        <v>0.1313759707256256</v>
      </c>
      <c r="R45" s="27">
        <f>IF(('Activity data'!R14*EF!$H45*EF!$H63)*NtoN2O*kgtoGg=0,"NO",('Activity data'!R14*EF!$H45*EF!$H63)*NtoN2O*kgtoGg)</f>
        <v>0.13307114454144012</v>
      </c>
      <c r="S45" s="27">
        <f>IF(('Activity data'!S14*EF!$H45*EF!$H63)*NtoN2O*kgtoGg=0,"NO",('Activity data'!S14*EF!$H45*EF!$H63)*NtoN2O*kgtoGg)</f>
        <v>0.13713956169939495</v>
      </c>
      <c r="T45" s="27">
        <f>IF(('Activity data'!T14*EF!$H45*EF!$H63)*NtoN2O*kgtoGg=0,"NO",('Activity data'!T14*EF!$H45*EF!$H63)*NtoN2O*kgtoGg)</f>
        <v>0.12521683919483284</v>
      </c>
      <c r="U45" s="27">
        <f>IF(('Activity data'!U14*EF!$H45*EF!$H63)*NtoN2O*kgtoGg=0,"NO",('Activity data'!U14*EF!$H45*EF!$H63)*NtoN2O*kgtoGg)</f>
        <v>0.12205251473864571</v>
      </c>
      <c r="V45" s="27">
        <f>IF(('Activity data'!V14*EF!$H45*EF!$H63)*NtoN2O*kgtoGg=0,"NO",('Activity data'!V14*EF!$H45*EF!$H63)*NtoN2O*kgtoGg)</f>
        <v>0.12227853791408765</v>
      </c>
      <c r="W45" s="27">
        <f>IF(('Activity data'!W14*EF!$H45*EF!$H63)*NtoN2O*kgtoGg=0,"NO",('Activity data'!W14*EF!$H45*EF!$H63)*NtoN2O*kgtoGg)</f>
        <v>0.12069637568599409</v>
      </c>
      <c r="X45" s="27">
        <f>IF(('Activity data'!X14*EF!$H45*EF!$H63)*NtoN2O*kgtoGg=0,"NO",('Activity data'!X14*EF!$H45*EF!$H63)*NtoN2O*kgtoGg)</f>
        <v>0.12323913640971589</v>
      </c>
      <c r="Y45" s="27">
        <f>IF(('Activity data'!Y14*EF!$H45*EF!$H63)*NtoN2O*kgtoGg=0,"NO",('Activity data'!Y14*EF!$H45*EF!$H63)*NtoN2O*kgtoGg)</f>
        <v>0.11956625980878442</v>
      </c>
      <c r="Z45" s="27">
        <f>IF(('Activity data'!Z14*EF!$H45*EF!$H63)*NtoN2O*kgtoGg=0,"NO",('Activity data'!Z14*EF!$H45*EF!$H63)*NtoN2O*kgtoGg)</f>
        <v>0.11945324822106343</v>
      </c>
      <c r="AA45" s="27">
        <f>IF(('Activity data'!AA14*EF!$H45*EF!$H63)*NtoN2O*kgtoGg=0,"NO",('Activity data'!AA14*EF!$H45*EF!$H63)*NtoN2O*kgtoGg)</f>
        <v>0.11736253384822554</v>
      </c>
      <c r="AB45" s="27">
        <f>IF(('Activity data'!AB14*EF!$H45*EF!$H63)*NtoN2O*kgtoGg=0,"NO",('Activity data'!AB14*EF!$H45*EF!$H63)*NtoN2O*kgtoGg)</f>
        <v>0.11594988900171342</v>
      </c>
      <c r="AC45" s="27">
        <f>IF(('Activity data'!AC14*EF!$H45*EF!$H63)*NtoN2O*kgtoGg=0,"NO",('Activity data'!AC14*EF!$H45*EF!$H63)*NtoN2O*kgtoGg)</f>
        <v>0.11487627891836423</v>
      </c>
      <c r="AD45" s="27">
        <f>IF(('Activity data'!AD14*EF!$H45*EF!$H63)*NtoN2O*kgtoGg=0,"NO",('Activity data'!AD14*EF!$H45*EF!$H63)*NtoN2O*kgtoGg)</f>
        <v>0.11484439540301131</v>
      </c>
      <c r="AE45" s="27">
        <f>IF(('Activity data'!AE14*EF!$H45*EF!$H63)*NtoN2O*kgtoGg=0,"NO",('Activity data'!AE14*EF!$H45*EF!$H63)*NtoN2O*kgtoGg)</f>
        <v>0.11514293539628438</v>
      </c>
      <c r="AF45" s="27">
        <f>IF(('Activity data'!AF14*EF!$H45*EF!$H63)*NtoN2O*kgtoGg=0,"NO",('Activity data'!AF14*EF!$H45*EF!$H63)*NtoN2O*kgtoGg)</f>
        <v>0.1155547607669731</v>
      </c>
      <c r="AG45" s="27">
        <f>IF(('Activity data'!AG14*EF!$H45*EF!$H63)*NtoN2O*kgtoGg=0,"NO",('Activity data'!AG14*EF!$H45*EF!$H63)*NtoN2O*kgtoGg)</f>
        <v>0.11605647283191664</v>
      </c>
      <c r="AH45" s="27">
        <f>IF(('Activity data'!AH14*EF!$H45*EF!$H63)*NtoN2O*kgtoGg=0,"NO",('Activity data'!AH14*EF!$H45*EF!$H63)*NtoN2O*kgtoGg)</f>
        <v>0.11664735601685972</v>
      </c>
      <c r="AI45" s="27">
        <f>IF(('Activity data'!AI14*EF!$H45*EF!H63)*NtoN2O*kgtoGg=0,"NO",('Activity data'!AI14*EF!$H45*EF!H63)*NtoN2O*kgtoGg)</f>
        <v>0.11732381389682567</v>
      </c>
      <c r="AJ45" s="27">
        <f>IF(('Activity data'!AJ14*EF!$H45*EF!I63)*NtoN2O*kgtoGg=0,"NO",('Activity data'!AJ14*EF!$H45*EF!I63)*NtoN2O*kgtoGg)</f>
        <v>0.11805182815822728</v>
      </c>
      <c r="AK45" s="27">
        <f>IF(('Activity data'!AK14*EF!$H45*EF!J63)*NtoN2O*kgtoGg=0,"NO",('Activity data'!AK14*EF!$H45*EF!J63)*NtoN2O*kgtoGg)</f>
        <v>0.11882851694408277</v>
      </c>
      <c r="AL45" s="27">
        <f>IF(('Activity data'!AL14*EF!$H45*EF!K63)*NtoN2O*kgtoGg=0,"NO",('Activity data'!AL14*EF!$H45*EF!K63)*NtoN2O*kgtoGg)</f>
        <v>0.11953288571269048</v>
      </c>
      <c r="AM45" s="27">
        <f>IF(('Activity data'!AM14*EF!$H45*EF!L63)*NtoN2O*kgtoGg=0,"NO",('Activity data'!AM14*EF!$H45*EF!L63)*NtoN2O*kgtoGg)</f>
        <v>0.11987694225544984</v>
      </c>
      <c r="AN45" s="27">
        <f>IF(('Activity data'!AN14*EF!$H45*EF!M63)*NtoN2O*kgtoGg=0,"NO",('Activity data'!AN14*EF!$H45*EF!M63)*NtoN2O*kgtoGg)</f>
        <v>0.12027130782879383</v>
      </c>
      <c r="AO45" s="27">
        <f>IF(('Activity data'!AO14*EF!$H45*EF!N63)*NtoN2O*kgtoGg=0,"NO",('Activity data'!AO14*EF!$H45*EF!N63)*NtoN2O*kgtoGg)</f>
        <v>0.12067330512172106</v>
      </c>
      <c r="AP45" s="27">
        <f>IF(('Activity data'!AP14*EF!$H45*EF!O63)*NtoN2O*kgtoGg=0,"NO",('Activity data'!AP14*EF!$H45*EF!O63)*NtoN2O*kgtoGg)</f>
        <v>0.12110930138508789</v>
      </c>
      <c r="AQ45" s="27">
        <f>IF(('Activity data'!AQ14*EF!$H45*EF!P63)*NtoN2O*kgtoGg=0,"NO",('Activity data'!AQ14*EF!$H45*EF!P63)*NtoN2O*kgtoGg)</f>
        <v>0.12157857604859369</v>
      </c>
      <c r="AR45" s="27">
        <f>IF(('Activity data'!AR14*EF!$H45*EF!Q63)*NtoN2O*kgtoGg=0,"NO",('Activity data'!AR14*EF!$H45*EF!Q63)*NtoN2O*kgtoGg)</f>
        <v>0.12187889131494858</v>
      </c>
      <c r="AS45" s="27">
        <f>IF(('Activity data'!AS14*EF!$H45*EF!R63)*NtoN2O*kgtoGg=0,"NO",('Activity data'!AS14*EF!$H45*EF!R63)*NtoN2O*kgtoGg)</f>
        <v>0.12220745287296136</v>
      </c>
      <c r="AT45" s="27">
        <f>IF(('Activity data'!AT14*EF!$H45*EF!S63)*NtoN2O*kgtoGg=0,"NO",('Activity data'!AT14*EF!$H45*EF!S63)*NtoN2O*kgtoGg)</f>
        <v>0.1225604177918853</v>
      </c>
      <c r="AU45" s="27">
        <f>IF(('Activity data'!AU14*EF!$H45*EF!T63)*NtoN2O*kgtoGg=0,"NO",('Activity data'!AU14*EF!$H45*EF!T63)*NtoN2O*kgtoGg)</f>
        <v>0.12293891946908028</v>
      </c>
      <c r="AV45" s="27">
        <f>IF(('Activity data'!AV14*EF!$H45*EF!U63)*NtoN2O*kgtoGg=0,"NO",('Activity data'!AV14*EF!$H45*EF!U63)*NtoN2O*kgtoGg)</f>
        <v>0.1233394038452322</v>
      </c>
      <c r="AW45" s="27">
        <f>IF(('Activity data'!AW14*EF!$H45*EF!V63)*NtoN2O*kgtoGg=0,"NO",('Activity data'!AW14*EF!$H45*EF!V63)*NtoN2O*kgtoGg)</f>
        <v>0.12360648147026812</v>
      </c>
      <c r="AX45" s="27">
        <f>IF(('Activity data'!AX14*EF!$H45*EF!W63)*NtoN2O*kgtoGg=0,"NO",('Activity data'!AX14*EF!$H45*EF!W63)*NtoN2O*kgtoGg)</f>
        <v>0.12389130386581051</v>
      </c>
      <c r="AY45" s="27">
        <f>IF(('Activity data'!AY14*EF!$H45*EF!X63)*NtoN2O*kgtoGg=0,"NO",('Activity data'!AY14*EF!$H45*EF!X63)*NtoN2O*kgtoGg)</f>
        <v>0.12419628189993717</v>
      </c>
      <c r="AZ45" s="27">
        <f>IF(('Activity data'!AZ14*EF!$H45*EF!Y63)*NtoN2O*kgtoGg=0,"NO",('Activity data'!AZ14*EF!$H45*EF!Y63)*NtoN2O*kgtoGg)</f>
        <v>0.12452451314626521</v>
      </c>
      <c r="BA45" s="27">
        <f>IF(('Activity data'!BA14*EF!$H45*EF!Z63)*NtoN2O*kgtoGg=0,"NO",('Activity data'!BA14*EF!$H45*EF!Z63)*NtoN2O*kgtoGg)</f>
        <v>0.12486608139184988</v>
      </c>
      <c r="BB45" s="27">
        <f>IF(('Activity data'!BB14*EF!$H45*EF!AA63)*NtoN2O*kgtoGg=0,"NO",('Activity data'!BB14*EF!$H45*EF!AA63)*NtoN2O*kgtoGg)</f>
        <v>0.12507762339447212</v>
      </c>
      <c r="BC45" s="27">
        <f>IF(('Activity data'!BC14*EF!$H45*EF!AB63)*NtoN2O*kgtoGg=0,"NO",('Activity data'!BC14*EF!$H45*EF!AB63)*NtoN2O*kgtoGg)</f>
        <v>0.12530718498404322</v>
      </c>
      <c r="BD45" s="27">
        <f>IF(('Activity data'!BD14*EF!$H45*EF!AC63)*NtoN2O*kgtoGg=0,"NO",('Activity data'!BD14*EF!$H45*EF!AC63)*NtoN2O*kgtoGg)</f>
        <v>0.12554678231167932</v>
      </c>
      <c r="BE45" s="27">
        <f>IF(('Activity data'!BE14*EF!$H45*EF!AD63)*NtoN2O*kgtoGg=0,"NO",('Activity data'!BE14*EF!$H45*EF!AD63)*NtoN2O*kgtoGg)</f>
        <v>0.12579923776247484</v>
      </c>
      <c r="BF45" s="27">
        <f>IF(('Activity data'!BF14*EF!$H45*EF!AE63)*NtoN2O*kgtoGg=0,"NO",('Activity data'!BF14*EF!$H45*EF!AE63)*NtoN2O*kgtoGg)</f>
        <v>0.12606420568996382</v>
      </c>
      <c r="BG45" s="27">
        <f>IF(('Activity data'!BG14*EF!$H45*EF!AF63)*NtoN2O*kgtoGg=0,"NO",('Activity data'!BG14*EF!$H45*EF!AF63)*NtoN2O*kgtoGg)</f>
        <v>0.12620896795767253</v>
      </c>
      <c r="BH45" s="27">
        <f>IF(('Activity data'!BH14*EF!$H45*EF!AG63)*NtoN2O*kgtoGg=0,"NO",('Activity data'!BH14*EF!$H45*EF!AG63)*NtoN2O*kgtoGg)</f>
        <v>0.1263628498705969</v>
      </c>
      <c r="BI45" s="27">
        <f>IF(('Activity data'!BI14*EF!$H45*EF!AH63)*NtoN2O*kgtoGg=0,"NO",('Activity data'!BI14*EF!$H45*EF!AH63)*NtoN2O*kgtoGg)</f>
        <v>0.12652977960616255</v>
      </c>
      <c r="BJ45" s="27">
        <f>IF(('Activity data'!BJ14*EF!$H45*EF!AI63)*NtoN2O*kgtoGg=0,"NO",('Activity data'!BJ14*EF!$H45*EF!AI63)*NtoN2O*kgtoGg)</f>
        <v>0.1267095977389128</v>
      </c>
      <c r="BK45" s="27">
        <f>IF(('Activity data'!BK14*EF!$H45*EF!AJ63)*NtoN2O*kgtoGg=0,"NO",('Activity data'!BK14*EF!$H45*EF!AJ63)*NtoN2O*kgtoGg)</f>
        <v>0.12690232501291954</v>
      </c>
      <c r="BL45" s="27">
        <f>IF(('Activity data'!BL14*EF!$H45*EF!AK63)*NtoN2O*kgtoGg=0,"NO",('Activity data'!BL14*EF!$H45*EF!AK63)*NtoN2O*kgtoGg)</f>
        <v>0.12697025549451732</v>
      </c>
      <c r="BM45" s="27">
        <f>IF(('Activity data'!BM14*EF!$H45*EF!AL63)*NtoN2O*kgtoGg=0,"NO",('Activity data'!BM14*EF!$H45*EF!AL63)*NtoN2O*kgtoGg)</f>
        <v>0.1270004234368404</v>
      </c>
      <c r="BN45" s="27">
        <f>IF(('Activity data'!BN14*EF!$H45*EF!AM63)*NtoN2O*kgtoGg=0,"NO",('Activity data'!BN14*EF!$H45*EF!AM63)*NtoN2O*kgtoGg)</f>
        <v>0.12703549387816376</v>
      </c>
      <c r="BO45" s="27">
        <f>IF(('Activity data'!BO14*EF!$H45*EF!AN63)*NtoN2O*kgtoGg=0,"NO",('Activity data'!BO14*EF!$H45*EF!AN63)*NtoN2O*kgtoGg)</f>
        <v>0.12707324996466249</v>
      </c>
      <c r="BP45" s="27">
        <f>IF(('Activity data'!BP14*EF!$H45*EF!AO63)*NtoN2O*kgtoGg=0,"NO",('Activity data'!BP14*EF!$H45*EF!AO63)*NtoN2O*kgtoGg)</f>
        <v>0.1271178527536419</v>
      </c>
    </row>
    <row r="46" spans="1:68" x14ac:dyDescent="0.3">
      <c r="A46" t="str">
        <f t="shared" si="1"/>
        <v>3A Livestock</v>
      </c>
      <c r="B46" t="str">
        <f t="shared" si="11"/>
        <v>3A2 Manure management (N2O)</v>
      </c>
      <c r="C46" t="str">
        <f>EF!C64</f>
        <v>3A1f Horses</v>
      </c>
      <c r="D46" t="str">
        <f>EF!D64</f>
        <v>Horses</v>
      </c>
      <c r="E46" t="str">
        <f t="shared" si="9"/>
        <v>Manure management Emissions</v>
      </c>
      <c r="F46" t="s">
        <v>139</v>
      </c>
      <c r="G46" t="str">
        <f t="shared" si="10"/>
        <v>Gg N2O</v>
      </c>
      <c r="H46" s="27" t="str">
        <f>IF(('Activity data'!H15*EF!$H46*EF!$H64)*NtoN2O*kgtoGg=0,"NO",('Activity data'!H15*EF!$H46*EF!$H64)*NtoN2O*kgtoGg)</f>
        <v>NO</v>
      </c>
      <c r="I46" s="27" t="str">
        <f>IF(('Activity data'!I15*EF!$H46*EF!$H64)*NtoN2O*kgtoGg=0,"NO",('Activity data'!I15*EF!$H46*EF!$H64)*NtoN2O*kgtoGg)</f>
        <v>NO</v>
      </c>
      <c r="J46" s="27" t="str">
        <f>IF(('Activity data'!J15*EF!$H46*EF!$H64)*NtoN2O*kgtoGg=0,"NO",('Activity data'!J15*EF!$H46*EF!$H64)*NtoN2O*kgtoGg)</f>
        <v>NO</v>
      </c>
      <c r="K46" s="27" t="str">
        <f>IF(('Activity data'!K15*EF!$H46*EF!$H64)*NtoN2O*kgtoGg=0,"NO",('Activity data'!K15*EF!$H46*EF!$H64)*NtoN2O*kgtoGg)</f>
        <v>NO</v>
      </c>
      <c r="L46" s="27" t="str">
        <f>IF(('Activity data'!L15*EF!$H46*EF!$H64)*NtoN2O*kgtoGg=0,"NO",('Activity data'!L15*EF!$H46*EF!$H64)*NtoN2O*kgtoGg)</f>
        <v>NO</v>
      </c>
      <c r="M46" s="27" t="str">
        <f>IF(('Activity data'!M15*EF!$H46*EF!$H64)*NtoN2O*kgtoGg=0,"NO",('Activity data'!M15*EF!$H46*EF!$H64)*NtoN2O*kgtoGg)</f>
        <v>NO</v>
      </c>
      <c r="N46" s="27" t="str">
        <f>IF(('Activity data'!N15*EF!$H46*EF!$H64)*NtoN2O*kgtoGg=0,"NO",('Activity data'!N15*EF!$H46*EF!$H64)*NtoN2O*kgtoGg)</f>
        <v>NO</v>
      </c>
      <c r="O46" s="27" t="str">
        <f>IF(('Activity data'!O15*EF!$H46*EF!$H64)*NtoN2O*kgtoGg=0,"NO",('Activity data'!O15*EF!$H46*EF!$H64)*NtoN2O*kgtoGg)</f>
        <v>NO</v>
      </c>
      <c r="P46" s="27" t="str">
        <f>IF(('Activity data'!P15*EF!$H46*EF!$H64)*NtoN2O*kgtoGg=0,"NO",('Activity data'!P15*EF!$H46*EF!$H64)*NtoN2O*kgtoGg)</f>
        <v>NO</v>
      </c>
      <c r="Q46" s="27" t="str">
        <f>IF(('Activity data'!Q15*EF!$H46*EF!$H64)*NtoN2O*kgtoGg=0,"NO",('Activity data'!Q15*EF!$H46*EF!$H64)*NtoN2O*kgtoGg)</f>
        <v>NO</v>
      </c>
      <c r="R46" s="27" t="str">
        <f>IF(('Activity data'!R15*EF!$H46*EF!$H64)*NtoN2O*kgtoGg=0,"NO",('Activity data'!R15*EF!$H46*EF!$H64)*NtoN2O*kgtoGg)</f>
        <v>NO</v>
      </c>
      <c r="S46" s="27" t="str">
        <f>IF(('Activity data'!S15*EF!$H46*EF!$H64)*NtoN2O*kgtoGg=0,"NO",('Activity data'!S15*EF!$H46*EF!$H64)*NtoN2O*kgtoGg)</f>
        <v>NO</v>
      </c>
      <c r="T46" s="27" t="str">
        <f>IF(('Activity data'!T15*EF!$H46*EF!$H64)*NtoN2O*kgtoGg=0,"NO",('Activity data'!T15*EF!$H46*EF!$H64)*NtoN2O*kgtoGg)</f>
        <v>NO</v>
      </c>
      <c r="U46" s="27" t="str">
        <f>IF(('Activity data'!U15*EF!$H46*EF!$H64)*NtoN2O*kgtoGg=0,"NO",('Activity data'!U15*EF!$H46*EF!$H64)*NtoN2O*kgtoGg)</f>
        <v>NO</v>
      </c>
      <c r="V46" s="27" t="str">
        <f>IF(('Activity data'!V15*EF!$H46*EF!$H64)*NtoN2O*kgtoGg=0,"NO",('Activity data'!V15*EF!$H46*EF!$H64)*NtoN2O*kgtoGg)</f>
        <v>NO</v>
      </c>
      <c r="W46" s="27" t="str">
        <f>IF(('Activity data'!W15*EF!$H46*EF!$H64)*NtoN2O*kgtoGg=0,"NO",('Activity data'!W15*EF!$H46*EF!$H64)*NtoN2O*kgtoGg)</f>
        <v>NO</v>
      </c>
      <c r="X46" s="27" t="str">
        <f>IF(('Activity data'!X15*EF!$H46*EF!$H64)*NtoN2O*kgtoGg=0,"NO",('Activity data'!X15*EF!$H46*EF!$H64)*NtoN2O*kgtoGg)</f>
        <v>NO</v>
      </c>
      <c r="Y46" s="27" t="str">
        <f>IF(('Activity data'!Y15*EF!$H46*EF!$H64)*NtoN2O*kgtoGg=0,"NO",('Activity data'!Y15*EF!$H46*EF!$H64)*NtoN2O*kgtoGg)</f>
        <v>NO</v>
      </c>
      <c r="Z46" s="27" t="str">
        <f>IF(('Activity data'!Z15*EF!$H46*EF!$H64)*NtoN2O*kgtoGg=0,"NO",('Activity data'!Z15*EF!$H46*EF!$H64)*NtoN2O*kgtoGg)</f>
        <v>NO</v>
      </c>
      <c r="AA46" s="27" t="str">
        <f>IF(('Activity data'!AA15*EF!$H46*EF!$H64)*NtoN2O*kgtoGg=0,"NO",('Activity data'!AA15*EF!$H46*EF!$H64)*NtoN2O*kgtoGg)</f>
        <v>NO</v>
      </c>
      <c r="AB46" s="27" t="str">
        <f>IF(('Activity data'!AB15*EF!$H46*EF!$H64)*NtoN2O*kgtoGg=0,"NO",('Activity data'!AB15*EF!$H46*EF!$H64)*NtoN2O*kgtoGg)</f>
        <v>NO</v>
      </c>
      <c r="AC46" s="27" t="str">
        <f>IF(('Activity data'!AC15*EF!$H46*EF!$H64)*NtoN2O*kgtoGg=0,"NO",('Activity data'!AC15*EF!$H46*EF!$H64)*NtoN2O*kgtoGg)</f>
        <v>NO</v>
      </c>
      <c r="AD46" s="27" t="str">
        <f>IF(('Activity data'!AD15*EF!$H46*EF!$H64)*NtoN2O*kgtoGg=0,"NO",('Activity data'!AD15*EF!$H46*EF!$H64)*NtoN2O*kgtoGg)</f>
        <v>NO</v>
      </c>
      <c r="AE46" s="27" t="str">
        <f>IF(('Activity data'!AE15*EF!$H46*EF!$H64)*NtoN2O*kgtoGg=0,"NO",('Activity data'!AE15*EF!$H46*EF!$H64)*NtoN2O*kgtoGg)</f>
        <v>NO</v>
      </c>
      <c r="AF46" s="27" t="str">
        <f>IF(('Activity data'!AF15*EF!$H46*EF!$H64)*NtoN2O*kgtoGg=0,"NO",('Activity data'!AF15*EF!$H46*EF!$H64)*NtoN2O*kgtoGg)</f>
        <v>NO</v>
      </c>
      <c r="AG46" s="27" t="str">
        <f>IF(('Activity data'!AG15*EF!$H46*EF!$H64)*NtoN2O*kgtoGg=0,"NO",('Activity data'!AG15*EF!$H46*EF!$H64)*NtoN2O*kgtoGg)</f>
        <v>NO</v>
      </c>
      <c r="AH46" s="27" t="str">
        <f>IF(('Activity data'!AH15*EF!$H46*EF!$H64)*NtoN2O*kgtoGg=0,"NO",('Activity data'!AH15*EF!$H46*EF!$H64)*NtoN2O*kgtoGg)</f>
        <v>NO</v>
      </c>
      <c r="AI46" s="27" t="str">
        <f>IF(('Activity data'!AI15*EF!$H46*EF!H64)*NtoN2O*kgtoGg=0,"NO",('Activity data'!AI15*EF!$H46*EF!H64)*NtoN2O*kgtoGg)</f>
        <v>NO</v>
      </c>
      <c r="AJ46" s="27" t="str">
        <f>IF(('Activity data'!AJ15*EF!$H46*EF!I64)*NtoN2O*kgtoGg=0,"NO",('Activity data'!AJ15*EF!$H46*EF!I64)*NtoN2O*kgtoGg)</f>
        <v>NO</v>
      </c>
      <c r="AK46" s="27" t="str">
        <f>IF(('Activity data'!AK15*EF!$H46*EF!J64)*NtoN2O*kgtoGg=0,"NO",('Activity data'!AK15*EF!$H46*EF!J64)*NtoN2O*kgtoGg)</f>
        <v>NO</v>
      </c>
      <c r="AL46" s="27" t="str">
        <f>IF(('Activity data'!AL15*EF!$H46*EF!K64)*NtoN2O*kgtoGg=0,"NO",('Activity data'!AL15*EF!$H46*EF!K64)*NtoN2O*kgtoGg)</f>
        <v>NO</v>
      </c>
      <c r="AM46" s="27" t="str">
        <f>IF(('Activity data'!AM15*EF!$H46*EF!L64)*NtoN2O*kgtoGg=0,"NO",('Activity data'!AM15*EF!$H46*EF!L64)*NtoN2O*kgtoGg)</f>
        <v>NO</v>
      </c>
      <c r="AN46" s="27" t="str">
        <f>IF(('Activity data'!AN15*EF!$H46*EF!M64)*NtoN2O*kgtoGg=0,"NO",('Activity data'!AN15*EF!$H46*EF!M64)*NtoN2O*kgtoGg)</f>
        <v>NO</v>
      </c>
      <c r="AO46" s="27" t="str">
        <f>IF(('Activity data'!AO15*EF!$H46*EF!N64)*NtoN2O*kgtoGg=0,"NO",('Activity data'!AO15*EF!$H46*EF!N64)*NtoN2O*kgtoGg)</f>
        <v>NO</v>
      </c>
      <c r="AP46" s="27" t="str">
        <f>IF(('Activity data'!AP15*EF!$H46*EF!O64)*NtoN2O*kgtoGg=0,"NO",('Activity data'!AP15*EF!$H46*EF!O64)*NtoN2O*kgtoGg)</f>
        <v>NO</v>
      </c>
      <c r="AQ46" s="27" t="str">
        <f>IF(('Activity data'!AQ15*EF!$H46*EF!P64)*NtoN2O*kgtoGg=0,"NO",('Activity data'!AQ15*EF!$H46*EF!P64)*NtoN2O*kgtoGg)</f>
        <v>NO</v>
      </c>
      <c r="AR46" s="27" t="str">
        <f>IF(('Activity data'!AR15*EF!$H46*EF!Q64)*NtoN2O*kgtoGg=0,"NO",('Activity data'!AR15*EF!$H46*EF!Q64)*NtoN2O*kgtoGg)</f>
        <v>NO</v>
      </c>
      <c r="AS46" s="27" t="str">
        <f>IF(('Activity data'!AS15*EF!$H46*EF!R64)*NtoN2O*kgtoGg=0,"NO",('Activity data'!AS15*EF!$H46*EF!R64)*NtoN2O*kgtoGg)</f>
        <v>NO</v>
      </c>
      <c r="AT46" s="27" t="str">
        <f>IF(('Activity data'!AT15*EF!$H46*EF!S64)*NtoN2O*kgtoGg=0,"NO",('Activity data'!AT15*EF!$H46*EF!S64)*NtoN2O*kgtoGg)</f>
        <v>NO</v>
      </c>
      <c r="AU46" s="27" t="str">
        <f>IF(('Activity data'!AU15*EF!$H46*EF!T64)*NtoN2O*kgtoGg=0,"NO",('Activity data'!AU15*EF!$H46*EF!T64)*NtoN2O*kgtoGg)</f>
        <v>NO</v>
      </c>
      <c r="AV46" s="27" t="str">
        <f>IF(('Activity data'!AV15*EF!$H46*EF!U64)*NtoN2O*kgtoGg=0,"NO",('Activity data'!AV15*EF!$H46*EF!U64)*NtoN2O*kgtoGg)</f>
        <v>NO</v>
      </c>
      <c r="AW46" s="27" t="str">
        <f>IF(('Activity data'!AW15*EF!$H46*EF!V64)*NtoN2O*kgtoGg=0,"NO",('Activity data'!AW15*EF!$H46*EF!V64)*NtoN2O*kgtoGg)</f>
        <v>NO</v>
      </c>
      <c r="AX46" s="27" t="str">
        <f>IF(('Activity data'!AX15*EF!$H46*EF!W64)*NtoN2O*kgtoGg=0,"NO",('Activity data'!AX15*EF!$H46*EF!W64)*NtoN2O*kgtoGg)</f>
        <v>NO</v>
      </c>
      <c r="AY46" s="27" t="str">
        <f>IF(('Activity data'!AY15*EF!$H46*EF!X64)*NtoN2O*kgtoGg=0,"NO",('Activity data'!AY15*EF!$H46*EF!X64)*NtoN2O*kgtoGg)</f>
        <v>NO</v>
      </c>
      <c r="AZ46" s="27" t="str">
        <f>IF(('Activity data'!AZ15*EF!$H46*EF!Y64)*NtoN2O*kgtoGg=0,"NO",('Activity data'!AZ15*EF!$H46*EF!Y64)*NtoN2O*kgtoGg)</f>
        <v>NO</v>
      </c>
      <c r="BA46" s="27" t="str">
        <f>IF(('Activity data'!BA15*EF!$H46*EF!Z64)*NtoN2O*kgtoGg=0,"NO",('Activity data'!BA15*EF!$H46*EF!Z64)*NtoN2O*kgtoGg)</f>
        <v>NO</v>
      </c>
      <c r="BB46" s="27" t="str">
        <f>IF(('Activity data'!BB15*EF!$H46*EF!AA64)*NtoN2O*kgtoGg=0,"NO",('Activity data'!BB15*EF!$H46*EF!AA64)*NtoN2O*kgtoGg)</f>
        <v>NO</v>
      </c>
      <c r="BC46" s="27" t="str">
        <f>IF(('Activity data'!BC15*EF!$H46*EF!AB64)*NtoN2O*kgtoGg=0,"NO",('Activity data'!BC15*EF!$H46*EF!AB64)*NtoN2O*kgtoGg)</f>
        <v>NO</v>
      </c>
      <c r="BD46" s="27" t="str">
        <f>IF(('Activity data'!BD15*EF!$H46*EF!AC64)*NtoN2O*kgtoGg=0,"NO",('Activity data'!BD15*EF!$H46*EF!AC64)*NtoN2O*kgtoGg)</f>
        <v>NO</v>
      </c>
      <c r="BE46" s="27" t="str">
        <f>IF(('Activity data'!BE15*EF!$H46*EF!AD64)*NtoN2O*kgtoGg=0,"NO",('Activity data'!BE15*EF!$H46*EF!AD64)*NtoN2O*kgtoGg)</f>
        <v>NO</v>
      </c>
      <c r="BF46" s="27" t="str">
        <f>IF(('Activity data'!BF15*EF!$H46*EF!AE64)*NtoN2O*kgtoGg=0,"NO",('Activity data'!BF15*EF!$H46*EF!AE64)*NtoN2O*kgtoGg)</f>
        <v>NO</v>
      </c>
      <c r="BG46" s="27" t="str">
        <f>IF(('Activity data'!BG15*EF!$H46*EF!AF64)*NtoN2O*kgtoGg=0,"NO",('Activity data'!BG15*EF!$H46*EF!AF64)*NtoN2O*kgtoGg)</f>
        <v>NO</v>
      </c>
      <c r="BH46" s="27" t="str">
        <f>IF(('Activity data'!BH15*EF!$H46*EF!AG64)*NtoN2O*kgtoGg=0,"NO",('Activity data'!BH15*EF!$H46*EF!AG64)*NtoN2O*kgtoGg)</f>
        <v>NO</v>
      </c>
      <c r="BI46" s="27" t="str">
        <f>IF(('Activity data'!BI15*EF!$H46*EF!AH64)*NtoN2O*kgtoGg=0,"NO",('Activity data'!BI15*EF!$H46*EF!AH64)*NtoN2O*kgtoGg)</f>
        <v>NO</v>
      </c>
      <c r="BJ46" s="27" t="str">
        <f>IF(('Activity data'!BJ15*EF!$H46*EF!AI64)*NtoN2O*kgtoGg=0,"NO",('Activity data'!BJ15*EF!$H46*EF!AI64)*NtoN2O*kgtoGg)</f>
        <v>NO</v>
      </c>
      <c r="BK46" s="27" t="str">
        <f>IF(('Activity data'!BK15*EF!$H46*EF!AJ64)*NtoN2O*kgtoGg=0,"NO",('Activity data'!BK15*EF!$H46*EF!AJ64)*NtoN2O*kgtoGg)</f>
        <v>NO</v>
      </c>
      <c r="BL46" s="27" t="str">
        <f>IF(('Activity data'!BL15*EF!$H46*EF!AK64)*NtoN2O*kgtoGg=0,"NO",('Activity data'!BL15*EF!$H46*EF!AK64)*NtoN2O*kgtoGg)</f>
        <v>NO</v>
      </c>
      <c r="BM46" s="27" t="str">
        <f>IF(('Activity data'!BM15*EF!$H46*EF!AL64)*NtoN2O*kgtoGg=0,"NO",('Activity data'!BM15*EF!$H46*EF!AL64)*NtoN2O*kgtoGg)</f>
        <v>NO</v>
      </c>
      <c r="BN46" s="27" t="str">
        <f>IF(('Activity data'!BN15*EF!$H46*EF!AM64)*NtoN2O*kgtoGg=0,"NO",('Activity data'!BN15*EF!$H46*EF!AM64)*NtoN2O*kgtoGg)</f>
        <v>NO</v>
      </c>
      <c r="BO46" s="27" t="str">
        <f>IF(('Activity data'!BO15*EF!$H46*EF!AN64)*NtoN2O*kgtoGg=0,"NO",('Activity data'!BO15*EF!$H46*EF!AN64)*NtoN2O*kgtoGg)</f>
        <v>NO</v>
      </c>
      <c r="BP46" s="27" t="str">
        <f>IF(('Activity data'!BP15*EF!$H46*EF!AO64)*NtoN2O*kgtoGg=0,"NO",('Activity data'!BP15*EF!$H46*EF!AO64)*NtoN2O*kgtoGg)</f>
        <v>NO</v>
      </c>
    </row>
    <row r="47" spans="1:68" x14ac:dyDescent="0.3">
      <c r="A47" t="str">
        <f t="shared" si="1"/>
        <v>3A Livestock</v>
      </c>
      <c r="B47" t="str">
        <f t="shared" si="11"/>
        <v>3A2 Manure management (N2O)</v>
      </c>
      <c r="C47" t="str">
        <f>EF!C65</f>
        <v>3A1g Mules &amp; asses</v>
      </c>
      <c r="D47" t="str">
        <f>EF!D65</f>
        <v>Mules &amp; Asses</v>
      </c>
      <c r="E47" t="str">
        <f t="shared" si="9"/>
        <v>Manure management Emissions</v>
      </c>
      <c r="F47" t="s">
        <v>139</v>
      </c>
      <c r="G47" t="str">
        <f t="shared" si="10"/>
        <v>Gg N2O</v>
      </c>
      <c r="H47" s="27" t="str">
        <f>IF(('Activity data'!H16*EF!$H47*EF!$H65)*NtoN2O*kgtoGg=0,"NO",('Activity data'!H16*EF!$H47*EF!$H65)*NtoN2O*kgtoGg)</f>
        <v>NO</v>
      </c>
      <c r="I47" s="27" t="str">
        <f>IF(('Activity data'!I16*EF!$H47*EF!$H65)*NtoN2O*kgtoGg=0,"NO",('Activity data'!I16*EF!$H47*EF!$H65)*NtoN2O*kgtoGg)</f>
        <v>NO</v>
      </c>
      <c r="J47" s="27" t="str">
        <f>IF(('Activity data'!J16*EF!$H47*EF!$H65)*NtoN2O*kgtoGg=0,"NO",('Activity data'!J16*EF!$H47*EF!$H65)*NtoN2O*kgtoGg)</f>
        <v>NO</v>
      </c>
      <c r="K47" s="27" t="str">
        <f>IF(('Activity data'!K16*EF!$H47*EF!$H65)*NtoN2O*kgtoGg=0,"NO",('Activity data'!K16*EF!$H47*EF!$H65)*NtoN2O*kgtoGg)</f>
        <v>NO</v>
      </c>
      <c r="L47" s="27" t="str">
        <f>IF(('Activity data'!L16*EF!$H47*EF!$H65)*NtoN2O*kgtoGg=0,"NO",('Activity data'!L16*EF!$H47*EF!$H65)*NtoN2O*kgtoGg)</f>
        <v>NO</v>
      </c>
      <c r="M47" s="27" t="str">
        <f>IF(('Activity data'!M16*EF!$H47*EF!$H65)*NtoN2O*kgtoGg=0,"NO",('Activity data'!M16*EF!$H47*EF!$H65)*NtoN2O*kgtoGg)</f>
        <v>NO</v>
      </c>
      <c r="N47" s="27" t="str">
        <f>IF(('Activity data'!N16*EF!$H47*EF!$H65)*NtoN2O*kgtoGg=0,"NO",('Activity data'!N16*EF!$H47*EF!$H65)*NtoN2O*kgtoGg)</f>
        <v>NO</v>
      </c>
      <c r="O47" s="27" t="str">
        <f>IF(('Activity data'!O16*EF!$H47*EF!$H65)*NtoN2O*kgtoGg=0,"NO",('Activity data'!O16*EF!$H47*EF!$H65)*NtoN2O*kgtoGg)</f>
        <v>NO</v>
      </c>
      <c r="P47" s="27" t="str">
        <f>IF(('Activity data'!P16*EF!$H47*EF!$H65)*NtoN2O*kgtoGg=0,"NO",('Activity data'!P16*EF!$H47*EF!$H65)*NtoN2O*kgtoGg)</f>
        <v>NO</v>
      </c>
      <c r="Q47" s="27" t="str">
        <f>IF(('Activity data'!Q16*EF!$H47*EF!$H65)*NtoN2O*kgtoGg=0,"NO",('Activity data'!Q16*EF!$H47*EF!$H65)*NtoN2O*kgtoGg)</f>
        <v>NO</v>
      </c>
      <c r="R47" s="27" t="str">
        <f>IF(('Activity data'!R16*EF!$H47*EF!$H65)*NtoN2O*kgtoGg=0,"NO",('Activity data'!R16*EF!$H47*EF!$H65)*NtoN2O*kgtoGg)</f>
        <v>NO</v>
      </c>
      <c r="S47" s="27" t="str">
        <f>IF(('Activity data'!S16*EF!$H47*EF!$H65)*NtoN2O*kgtoGg=0,"NO",('Activity data'!S16*EF!$H47*EF!$H65)*NtoN2O*kgtoGg)</f>
        <v>NO</v>
      </c>
      <c r="T47" s="27" t="str">
        <f>IF(('Activity data'!T16*EF!$H47*EF!$H65)*NtoN2O*kgtoGg=0,"NO",('Activity data'!T16*EF!$H47*EF!$H65)*NtoN2O*kgtoGg)</f>
        <v>NO</v>
      </c>
      <c r="U47" s="27" t="str">
        <f>IF(('Activity data'!U16*EF!$H47*EF!$H65)*NtoN2O*kgtoGg=0,"NO",('Activity data'!U16*EF!$H47*EF!$H65)*NtoN2O*kgtoGg)</f>
        <v>NO</v>
      </c>
      <c r="V47" s="27" t="str">
        <f>IF(('Activity data'!V16*EF!$H47*EF!$H65)*NtoN2O*kgtoGg=0,"NO",('Activity data'!V16*EF!$H47*EF!$H65)*NtoN2O*kgtoGg)</f>
        <v>NO</v>
      </c>
      <c r="W47" s="27" t="str">
        <f>IF(('Activity data'!W16*EF!$H47*EF!$H65)*NtoN2O*kgtoGg=0,"NO",('Activity data'!W16*EF!$H47*EF!$H65)*NtoN2O*kgtoGg)</f>
        <v>NO</v>
      </c>
      <c r="X47" s="27" t="str">
        <f>IF(('Activity data'!X16*EF!$H47*EF!$H65)*NtoN2O*kgtoGg=0,"NO",('Activity data'!X16*EF!$H47*EF!$H65)*NtoN2O*kgtoGg)</f>
        <v>NO</v>
      </c>
      <c r="Y47" s="27" t="str">
        <f>IF(('Activity data'!Y16*EF!$H47*EF!$H65)*NtoN2O*kgtoGg=0,"NO",('Activity data'!Y16*EF!$H47*EF!$H65)*NtoN2O*kgtoGg)</f>
        <v>NO</v>
      </c>
      <c r="Z47" s="27" t="str">
        <f>IF(('Activity data'!Z16*EF!$H47*EF!$H65)*NtoN2O*kgtoGg=0,"NO",('Activity data'!Z16*EF!$H47*EF!$H65)*NtoN2O*kgtoGg)</f>
        <v>NO</v>
      </c>
      <c r="AA47" s="27" t="str">
        <f>IF(('Activity data'!AA16*EF!$H47*EF!$H65)*NtoN2O*kgtoGg=0,"NO",('Activity data'!AA16*EF!$H47*EF!$H65)*NtoN2O*kgtoGg)</f>
        <v>NO</v>
      </c>
      <c r="AB47" s="27" t="str">
        <f>IF(('Activity data'!AB16*EF!$H47*EF!$H65)*NtoN2O*kgtoGg=0,"NO",('Activity data'!AB16*EF!$H47*EF!$H65)*NtoN2O*kgtoGg)</f>
        <v>NO</v>
      </c>
      <c r="AC47" s="27" t="str">
        <f>IF(('Activity data'!AC16*EF!$H47*EF!$H65)*NtoN2O*kgtoGg=0,"NO",('Activity data'!AC16*EF!$H47*EF!$H65)*NtoN2O*kgtoGg)</f>
        <v>NO</v>
      </c>
      <c r="AD47" s="27" t="str">
        <f>IF(('Activity data'!AD16*EF!$H47*EF!$H65)*NtoN2O*kgtoGg=0,"NO",('Activity data'!AD16*EF!$H47*EF!$H65)*NtoN2O*kgtoGg)</f>
        <v>NO</v>
      </c>
      <c r="AE47" s="27" t="str">
        <f>IF(('Activity data'!AE16*EF!$H47*EF!$H65)*NtoN2O*kgtoGg=0,"NO",('Activity data'!AE16*EF!$H47*EF!$H65)*NtoN2O*kgtoGg)</f>
        <v>NO</v>
      </c>
      <c r="AF47" s="27" t="str">
        <f>IF(('Activity data'!AF16*EF!$H47*EF!$H65)*NtoN2O*kgtoGg=0,"NO",('Activity data'!AF16*EF!$H47*EF!$H65)*NtoN2O*kgtoGg)</f>
        <v>NO</v>
      </c>
      <c r="AG47" s="27" t="str">
        <f>IF(('Activity data'!AG16*EF!$H47*EF!$H65)*NtoN2O*kgtoGg=0,"NO",('Activity data'!AG16*EF!$H47*EF!$H65)*NtoN2O*kgtoGg)</f>
        <v>NO</v>
      </c>
      <c r="AH47" s="27" t="str">
        <f>IF(('Activity data'!AH16*EF!$H47*EF!$H65)*NtoN2O*kgtoGg=0,"NO",('Activity data'!AH16*EF!$H47*EF!$H65)*NtoN2O*kgtoGg)</f>
        <v>NO</v>
      </c>
      <c r="AI47" s="27" t="str">
        <f>IF(('Activity data'!AI16*EF!$H47*EF!H65)*NtoN2O*kgtoGg=0,"NO",('Activity data'!AI16*EF!$H47*EF!H65)*NtoN2O*kgtoGg)</f>
        <v>NO</v>
      </c>
      <c r="AJ47" s="27" t="str">
        <f>IF(('Activity data'!AJ16*EF!$H47*EF!I65)*NtoN2O*kgtoGg=0,"NO",('Activity data'!AJ16*EF!$H47*EF!I65)*NtoN2O*kgtoGg)</f>
        <v>NO</v>
      </c>
      <c r="AK47" s="27" t="str">
        <f>IF(('Activity data'!AK16*EF!$H47*EF!J65)*NtoN2O*kgtoGg=0,"NO",('Activity data'!AK16*EF!$H47*EF!J65)*NtoN2O*kgtoGg)</f>
        <v>NO</v>
      </c>
      <c r="AL47" s="27" t="str">
        <f>IF(('Activity data'!AL16*EF!$H47*EF!K65)*NtoN2O*kgtoGg=0,"NO",('Activity data'!AL16*EF!$H47*EF!K65)*NtoN2O*kgtoGg)</f>
        <v>NO</v>
      </c>
      <c r="AM47" s="27" t="str">
        <f>IF(('Activity data'!AM16*EF!$H47*EF!L65)*NtoN2O*kgtoGg=0,"NO",('Activity data'!AM16*EF!$H47*EF!L65)*NtoN2O*kgtoGg)</f>
        <v>NO</v>
      </c>
      <c r="AN47" s="27" t="str">
        <f>IF(('Activity data'!AN16*EF!$H47*EF!M65)*NtoN2O*kgtoGg=0,"NO",('Activity data'!AN16*EF!$H47*EF!M65)*NtoN2O*kgtoGg)</f>
        <v>NO</v>
      </c>
      <c r="AO47" s="27" t="str">
        <f>IF(('Activity data'!AO16*EF!$H47*EF!N65)*NtoN2O*kgtoGg=0,"NO",('Activity data'!AO16*EF!$H47*EF!N65)*NtoN2O*kgtoGg)</f>
        <v>NO</v>
      </c>
      <c r="AP47" s="27" t="str">
        <f>IF(('Activity data'!AP16*EF!$H47*EF!O65)*NtoN2O*kgtoGg=0,"NO",('Activity data'!AP16*EF!$H47*EF!O65)*NtoN2O*kgtoGg)</f>
        <v>NO</v>
      </c>
      <c r="AQ47" s="27" t="str">
        <f>IF(('Activity data'!AQ16*EF!$H47*EF!P65)*NtoN2O*kgtoGg=0,"NO",('Activity data'!AQ16*EF!$H47*EF!P65)*NtoN2O*kgtoGg)</f>
        <v>NO</v>
      </c>
      <c r="AR47" s="27" t="str">
        <f>IF(('Activity data'!AR16*EF!$H47*EF!Q65)*NtoN2O*kgtoGg=0,"NO",('Activity data'!AR16*EF!$H47*EF!Q65)*NtoN2O*kgtoGg)</f>
        <v>NO</v>
      </c>
      <c r="AS47" s="27" t="str">
        <f>IF(('Activity data'!AS16*EF!$H47*EF!R65)*NtoN2O*kgtoGg=0,"NO",('Activity data'!AS16*EF!$H47*EF!R65)*NtoN2O*kgtoGg)</f>
        <v>NO</v>
      </c>
      <c r="AT47" s="27" t="str">
        <f>IF(('Activity data'!AT16*EF!$H47*EF!S65)*NtoN2O*kgtoGg=0,"NO",('Activity data'!AT16*EF!$H47*EF!S65)*NtoN2O*kgtoGg)</f>
        <v>NO</v>
      </c>
      <c r="AU47" s="27" t="str">
        <f>IF(('Activity data'!AU16*EF!$H47*EF!T65)*NtoN2O*kgtoGg=0,"NO",('Activity data'!AU16*EF!$H47*EF!T65)*NtoN2O*kgtoGg)</f>
        <v>NO</v>
      </c>
      <c r="AV47" s="27" t="str">
        <f>IF(('Activity data'!AV16*EF!$H47*EF!U65)*NtoN2O*kgtoGg=0,"NO",('Activity data'!AV16*EF!$H47*EF!U65)*NtoN2O*kgtoGg)</f>
        <v>NO</v>
      </c>
      <c r="AW47" s="27" t="str">
        <f>IF(('Activity data'!AW16*EF!$H47*EF!V65)*NtoN2O*kgtoGg=0,"NO",('Activity data'!AW16*EF!$H47*EF!V65)*NtoN2O*kgtoGg)</f>
        <v>NO</v>
      </c>
      <c r="AX47" s="27" t="str">
        <f>IF(('Activity data'!AX16*EF!$H47*EF!W65)*NtoN2O*kgtoGg=0,"NO",('Activity data'!AX16*EF!$H47*EF!W65)*NtoN2O*kgtoGg)</f>
        <v>NO</v>
      </c>
      <c r="AY47" s="27" t="str">
        <f>IF(('Activity data'!AY16*EF!$H47*EF!X65)*NtoN2O*kgtoGg=0,"NO",('Activity data'!AY16*EF!$H47*EF!X65)*NtoN2O*kgtoGg)</f>
        <v>NO</v>
      </c>
      <c r="AZ47" s="27" t="str">
        <f>IF(('Activity data'!AZ16*EF!$H47*EF!Y65)*NtoN2O*kgtoGg=0,"NO",('Activity data'!AZ16*EF!$H47*EF!Y65)*NtoN2O*kgtoGg)</f>
        <v>NO</v>
      </c>
      <c r="BA47" s="27" t="str">
        <f>IF(('Activity data'!BA16*EF!$H47*EF!Z65)*NtoN2O*kgtoGg=0,"NO",('Activity data'!BA16*EF!$H47*EF!Z65)*NtoN2O*kgtoGg)</f>
        <v>NO</v>
      </c>
      <c r="BB47" s="27" t="str">
        <f>IF(('Activity data'!BB16*EF!$H47*EF!AA65)*NtoN2O*kgtoGg=0,"NO",('Activity data'!BB16*EF!$H47*EF!AA65)*NtoN2O*kgtoGg)</f>
        <v>NO</v>
      </c>
      <c r="BC47" s="27" t="str">
        <f>IF(('Activity data'!BC16*EF!$H47*EF!AB65)*NtoN2O*kgtoGg=0,"NO",('Activity data'!BC16*EF!$H47*EF!AB65)*NtoN2O*kgtoGg)</f>
        <v>NO</v>
      </c>
      <c r="BD47" s="27" t="str">
        <f>IF(('Activity data'!BD16*EF!$H47*EF!AC65)*NtoN2O*kgtoGg=0,"NO",('Activity data'!BD16*EF!$H47*EF!AC65)*NtoN2O*kgtoGg)</f>
        <v>NO</v>
      </c>
      <c r="BE47" s="27" t="str">
        <f>IF(('Activity data'!BE16*EF!$H47*EF!AD65)*NtoN2O*kgtoGg=0,"NO",('Activity data'!BE16*EF!$H47*EF!AD65)*NtoN2O*kgtoGg)</f>
        <v>NO</v>
      </c>
      <c r="BF47" s="27" t="str">
        <f>IF(('Activity data'!BF16*EF!$H47*EF!AE65)*NtoN2O*kgtoGg=0,"NO",('Activity data'!BF16*EF!$H47*EF!AE65)*NtoN2O*kgtoGg)</f>
        <v>NO</v>
      </c>
      <c r="BG47" s="27" t="str">
        <f>IF(('Activity data'!BG16*EF!$H47*EF!AF65)*NtoN2O*kgtoGg=0,"NO",('Activity data'!BG16*EF!$H47*EF!AF65)*NtoN2O*kgtoGg)</f>
        <v>NO</v>
      </c>
      <c r="BH47" s="27" t="str">
        <f>IF(('Activity data'!BH16*EF!$H47*EF!AG65)*NtoN2O*kgtoGg=0,"NO",('Activity data'!BH16*EF!$H47*EF!AG65)*NtoN2O*kgtoGg)</f>
        <v>NO</v>
      </c>
      <c r="BI47" s="27" t="str">
        <f>IF(('Activity data'!BI16*EF!$H47*EF!AH65)*NtoN2O*kgtoGg=0,"NO",('Activity data'!BI16*EF!$H47*EF!AH65)*NtoN2O*kgtoGg)</f>
        <v>NO</v>
      </c>
      <c r="BJ47" s="27" t="str">
        <f>IF(('Activity data'!BJ16*EF!$H47*EF!AI65)*NtoN2O*kgtoGg=0,"NO",('Activity data'!BJ16*EF!$H47*EF!AI65)*NtoN2O*kgtoGg)</f>
        <v>NO</v>
      </c>
      <c r="BK47" s="27" t="str">
        <f>IF(('Activity data'!BK16*EF!$H47*EF!AJ65)*NtoN2O*kgtoGg=0,"NO",('Activity data'!BK16*EF!$H47*EF!AJ65)*NtoN2O*kgtoGg)</f>
        <v>NO</v>
      </c>
      <c r="BL47" s="27" t="str">
        <f>IF(('Activity data'!BL16*EF!$H47*EF!AK65)*NtoN2O*kgtoGg=0,"NO",('Activity data'!BL16*EF!$H47*EF!AK65)*NtoN2O*kgtoGg)</f>
        <v>NO</v>
      </c>
      <c r="BM47" s="27" t="str">
        <f>IF(('Activity data'!BM16*EF!$H47*EF!AL65)*NtoN2O*kgtoGg=0,"NO",('Activity data'!BM16*EF!$H47*EF!AL65)*NtoN2O*kgtoGg)</f>
        <v>NO</v>
      </c>
      <c r="BN47" s="27" t="str">
        <f>IF(('Activity data'!BN16*EF!$H47*EF!AM65)*NtoN2O*kgtoGg=0,"NO",('Activity data'!BN16*EF!$H47*EF!AM65)*NtoN2O*kgtoGg)</f>
        <v>NO</v>
      </c>
      <c r="BO47" s="27" t="str">
        <f>IF(('Activity data'!BO16*EF!$H47*EF!AN65)*NtoN2O*kgtoGg=0,"NO",('Activity data'!BO16*EF!$H47*EF!AN65)*NtoN2O*kgtoGg)</f>
        <v>NO</v>
      </c>
      <c r="BP47" s="27" t="str">
        <f>IF(('Activity data'!BP16*EF!$H47*EF!AO65)*NtoN2O*kgtoGg=0,"NO",('Activity data'!BP16*EF!$H47*EF!AO65)*NtoN2O*kgtoGg)</f>
        <v>NO</v>
      </c>
    </row>
    <row r="48" spans="1:68" x14ac:dyDescent="0.3">
      <c r="A48" t="str">
        <f t="shared" si="1"/>
        <v>3A Livestock</v>
      </c>
      <c r="B48" t="str">
        <f t="shared" si="11"/>
        <v>3A2 Manure management (N2O)</v>
      </c>
      <c r="C48" t="str">
        <f>EF!C66</f>
        <v>3A1h Swine</v>
      </c>
      <c r="D48" t="str">
        <f>EF!D66</f>
        <v>Commercial</v>
      </c>
      <c r="E48" t="str">
        <f t="shared" si="9"/>
        <v>Manure management Emissions</v>
      </c>
      <c r="F48" t="s">
        <v>139</v>
      </c>
      <c r="G48" t="str">
        <f t="shared" si="10"/>
        <v>Gg N2O</v>
      </c>
      <c r="H48" s="27">
        <f>IF(('Activity data'!H17*EF!$H48*EF!$H66)*NtoN2O*kgtoGg=0,"NO",('Activity data'!H17*EF!$H48*EF!$H66)*NtoN2O*kgtoGg)</f>
        <v>8.969533176685715E-2</v>
      </c>
      <c r="I48" s="27">
        <f>IF(('Activity data'!I17*EF!$H48*EF!$H66)*NtoN2O*kgtoGg=0,"NO",('Activity data'!I17*EF!$H48*EF!$H66)*NtoN2O*kgtoGg)</f>
        <v>9.7993915611428561E-2</v>
      </c>
      <c r="J48" s="27">
        <f>IF(('Activity data'!J17*EF!$H48*EF!$H66)*NtoN2O*kgtoGg=0,"NO",('Activity data'!J17*EF!$H48*EF!$H66)*NtoN2O*kgtoGg)</f>
        <v>9.7346508361142864E-2</v>
      </c>
      <c r="K48" s="27">
        <f>IF(('Activity data'!K17*EF!$H48*EF!$H66)*NtoN2O*kgtoGg=0,"NO",('Activity data'!K17*EF!$H48*EF!$H66)*NtoN2O*kgtoGg)</f>
        <v>9.7287653156571438E-2</v>
      </c>
      <c r="L48" s="27">
        <f>IF(('Activity data'!L17*EF!$H48*EF!$H66)*NtoN2O*kgtoGg=0,"NO",('Activity data'!L17*EF!$H48*EF!$H66)*NtoN2O*kgtoGg)</f>
        <v>9.2402671177142848E-2</v>
      </c>
      <c r="M48" s="27">
        <f>IF(('Activity data'!M17*EF!$H48*EF!$H66)*NtoN2O*kgtoGg=0,"NO",('Activity data'!M17*EF!$H48*EF!$H66)*NtoN2O*kgtoGg)</f>
        <v>9.328549924571429E-2</v>
      </c>
      <c r="N48" s="27">
        <f>IF(('Activity data'!N17*EF!$H48*EF!$H66)*NtoN2O*kgtoGg=0,"NO",('Activity data'!N17*EF!$H48*EF!$H66)*NtoN2O*kgtoGg)</f>
        <v>0.10046583420342857</v>
      </c>
      <c r="O48" s="27">
        <f>IF(('Activity data'!O17*EF!$H48*EF!$H66)*NtoN2O*kgtoGg=0,"NO",('Activity data'!O17*EF!$H48*EF!$H66)*NtoN2O*kgtoGg)</f>
        <v>9.9994992566857149E-2</v>
      </c>
      <c r="P48" s="27">
        <f>IF(('Activity data'!P17*EF!$H48*EF!$H66)*NtoN2O*kgtoGg=0,"NO",('Activity data'!P17*EF!$H48*EF!$H66)*NtoN2O*kgtoGg)</f>
        <v>0.102172635136</v>
      </c>
      <c r="Q48" s="27">
        <f>IF(('Activity data'!Q17*EF!$H48*EF!$H66)*NtoN2O*kgtoGg=0,"NO",('Activity data'!Q17*EF!$H48*EF!$H66)*NtoN2O*kgtoGg)</f>
        <v>0.10476226413714287</v>
      </c>
      <c r="R48" s="27">
        <f>IF(('Activity data'!R17*EF!$H48*EF!$H66)*NtoN2O*kgtoGg=0,"NO",('Activity data'!R17*EF!$H48*EF!$H66)*NtoN2O*kgtoGg)</f>
        <v>9.6934521929142842E-2</v>
      </c>
      <c r="S48" s="27">
        <f>IF(('Activity data'!S17*EF!$H48*EF!$H66)*NtoN2O*kgtoGg=0,"NO",('Activity data'!S17*EF!$H48*EF!$H66)*NtoN2O*kgtoGg)</f>
        <v>9.8759033270857152E-2</v>
      </c>
      <c r="T48" s="27">
        <f>IF(('Activity data'!T17*EF!$H48*EF!$H66)*NtoN2O*kgtoGg=0,"NO",('Activity data'!T17*EF!$H48*EF!$H66)*NtoN2O*kgtoGg)</f>
        <v>0.10064239981714285</v>
      </c>
      <c r="U48" s="27">
        <f>IF(('Activity data'!U17*EF!$H48*EF!$H66)*NtoN2O*kgtoGg=0,"NO",('Activity data'!U17*EF!$H48*EF!$H66)*NtoN2O*kgtoGg)</f>
        <v>9.7876205202285724E-2</v>
      </c>
      <c r="V48" s="27">
        <f>IF(('Activity data'!V17*EF!$H48*EF!$H66)*NtoN2O*kgtoGg=0,"NO",('Activity data'!V17*EF!$H48*EF!$H66)*NtoN2O*kgtoGg)</f>
        <v>9.7876205202285724E-2</v>
      </c>
      <c r="W48" s="27">
        <f>IF(('Activity data'!W17*EF!$H48*EF!$H66)*NtoN2O*kgtoGg=0,"NO",('Activity data'!W17*EF!$H48*EF!$H66)*NtoN2O*kgtoGg)</f>
        <v>9.7169942747428573E-2</v>
      </c>
      <c r="X48" s="27">
        <f>IF(('Activity data'!X17*EF!$H48*EF!$H66)*NtoN2O*kgtoGg=0,"NO",('Activity data'!X17*EF!$H48*EF!$H66)*NtoN2O*kgtoGg)</f>
        <v>9.5463141814857155E-2</v>
      </c>
      <c r="Y48" s="27">
        <f>IF(('Activity data'!Y17*EF!$H48*EF!$H66)*NtoN2O*kgtoGg=0,"NO",('Activity data'!Y17*EF!$H48*EF!$H66)*NtoN2O*kgtoGg)</f>
        <v>9.7169942747428573E-2</v>
      </c>
      <c r="Z48" s="27">
        <f>IF(('Activity data'!Z17*EF!$H48*EF!$H66)*NtoN2O*kgtoGg=0,"NO",('Activity data'!Z17*EF!$H48*EF!$H66)*NtoN2O*kgtoGg)</f>
        <v>9.5051155382857147E-2</v>
      </c>
      <c r="AA48" s="27">
        <f>IF(('Activity data'!AA17*EF!$H48*EF!$H66)*NtoN2O*kgtoGg=0,"NO",('Activity data'!AA17*EF!$H48*EF!$H66)*NtoN2O*kgtoGg)</f>
        <v>9.4933444973714295E-2</v>
      </c>
      <c r="AB48" s="27">
        <f>IF(('Activity data'!AB17*EF!$H48*EF!$H66)*NtoN2O*kgtoGg=0,"NO",('Activity data'!AB17*EF!$H48*EF!$H66)*NtoN2O*kgtoGg)</f>
        <v>9.381519608685715E-2</v>
      </c>
      <c r="AC48" s="27">
        <f>IF(('Activity data'!AC17*EF!$H48*EF!$H66)*NtoN2O*kgtoGg=0,"NO",('Activity data'!AC17*EF!$H48*EF!$H66)*NtoN2O*kgtoGg)</f>
        <v>9.3226644041142864E-2</v>
      </c>
      <c r="AD48" s="27">
        <f>IF(('Activity data'!AD17*EF!$H48*EF!$H66)*NtoN2O*kgtoGg=0,"NO",('Activity data'!AD17*EF!$H48*EF!$H66)*NtoN2O*kgtoGg)</f>
        <v>9.7466979224281824E-2</v>
      </c>
      <c r="AE48" s="27">
        <f>IF(('Activity data'!AE17*EF!$H48*EF!$H66)*NtoN2O*kgtoGg=0,"NO",('Activity data'!AE17*EF!$H48*EF!$H66)*NtoN2O*kgtoGg)</f>
        <v>9.6937181363551506E-2</v>
      </c>
      <c r="AF48" s="27">
        <f>IF(('Activity data'!AF17*EF!$H48*EF!$H66)*NtoN2O*kgtoGg=0,"NO",('Activity data'!AF17*EF!$H48*EF!$H66)*NtoN2O*kgtoGg)</f>
        <v>9.6980665528366608E-2</v>
      </c>
      <c r="AG48" s="27">
        <f>IF(('Activity data'!AG17*EF!$H48*EF!$H66)*NtoN2O*kgtoGg=0,"NO",('Activity data'!AG17*EF!$H48*EF!$H66)*NtoN2O*kgtoGg)</f>
        <v>9.6090308702663593E-2</v>
      </c>
      <c r="AH48" s="27">
        <f>IF(('Activity data'!AH17*EF!$H48*EF!$H66)*NtoN2O*kgtoGg=0,"NO",('Activity data'!AH17*EF!$H48*EF!$H66)*NtoN2O*kgtoGg)</f>
        <v>9.4636150647850484E-2</v>
      </c>
      <c r="AI48" s="27">
        <f>IF(('Activity data'!AI17*EF!$H48*EF!H66)*NtoN2O*kgtoGg=0,"NO",('Activity data'!AI17*EF!$H48*EF!H66)*NtoN2O*kgtoGg)</f>
        <v>9.2641437622218326E-2</v>
      </c>
      <c r="AJ48" s="27">
        <f>IF(('Activity data'!AJ17*EF!$H48*EF!I66)*NtoN2O*kgtoGg=0,"NO",('Activity data'!AJ17*EF!$H48*EF!I66)*NtoN2O*kgtoGg)</f>
        <v>9.1193054757597189E-2</v>
      </c>
      <c r="AK48" s="27">
        <f>IF(('Activity data'!AK17*EF!$H48*EF!J66)*NtoN2O*kgtoGg=0,"NO",('Activity data'!AK17*EF!$H48*EF!J66)*NtoN2O*kgtoGg)</f>
        <v>8.9872834352323558E-2</v>
      </c>
      <c r="AL48" s="27">
        <f>IF(('Activity data'!AL17*EF!$H48*EF!K66)*NtoN2O*kgtoGg=0,"NO",('Activity data'!AL17*EF!$H48*EF!K66)*NtoN2O*kgtoGg)</f>
        <v>7.9353210388908066E-2</v>
      </c>
      <c r="AM48" s="27">
        <f>IF(('Activity data'!AM17*EF!$H48*EF!L66)*NtoN2O*kgtoGg=0,"NO",('Activity data'!AM17*EF!$H48*EF!L66)*NtoN2O*kgtoGg)</f>
        <v>8.0356685470718767E-2</v>
      </c>
      <c r="AN48" s="27">
        <f>IF(('Activity data'!AN17*EF!$H48*EF!M66)*NtoN2O*kgtoGg=0,"NO",('Activity data'!AN17*EF!$H48*EF!M66)*NtoN2O*kgtoGg)</f>
        <v>8.2509946009160923E-2</v>
      </c>
      <c r="AO48" s="27">
        <f>IF(('Activity data'!AO17*EF!$H48*EF!N66)*NtoN2O*kgtoGg=0,"NO",('Activity data'!AO17*EF!$H48*EF!N66)*NtoN2O*kgtoGg)</f>
        <v>8.2705450879572748E-2</v>
      </c>
      <c r="AP48" s="27">
        <f>IF(('Activity data'!AP17*EF!$H48*EF!O66)*NtoN2O*kgtoGg=0,"NO",('Activity data'!AP17*EF!$H48*EF!O66)*NtoN2O*kgtoGg)</f>
        <v>8.3128827539525094E-2</v>
      </c>
      <c r="AQ48" s="27">
        <f>IF(('Activity data'!AQ17*EF!$H48*EF!P66)*NtoN2O*kgtoGg=0,"NO",('Activity data'!AQ17*EF!$H48*EF!P66)*NtoN2O*kgtoGg)</f>
        <v>8.3840672628701915E-2</v>
      </c>
      <c r="AR48" s="27">
        <f>IF(('Activity data'!AR17*EF!$H48*EF!Q66)*NtoN2O*kgtoGg=0,"NO",('Activity data'!AR17*EF!$H48*EF!Q66)*NtoN2O*kgtoGg)</f>
        <v>8.4733895932113168E-2</v>
      </c>
      <c r="AS48" s="27">
        <f>IF(('Activity data'!AS17*EF!$H48*EF!R66)*NtoN2O*kgtoGg=0,"NO",('Activity data'!AS17*EF!$H48*EF!R66)*NtoN2O*kgtoGg)</f>
        <v>8.5828465366834875E-2</v>
      </c>
      <c r="AT48" s="27">
        <f>IF(('Activity data'!AT17*EF!$H48*EF!S66)*NtoN2O*kgtoGg=0,"NO",('Activity data'!AT17*EF!$H48*EF!S66)*NtoN2O*kgtoGg)</f>
        <v>8.6935834694674932E-2</v>
      </c>
      <c r="AU48" s="27">
        <f>IF(('Activity data'!AU17*EF!$H48*EF!T66)*NtoN2O*kgtoGg=0,"NO",('Activity data'!AU17*EF!$H48*EF!T66)*NtoN2O*kgtoGg)</f>
        <v>8.8214344657231616E-2</v>
      </c>
      <c r="AV48" s="27">
        <f>IF(('Activity data'!AV17*EF!$H48*EF!U66)*NtoN2O*kgtoGg=0,"NO",('Activity data'!AV17*EF!$H48*EF!U66)*NtoN2O*kgtoGg)</f>
        <v>8.9484030373768036E-2</v>
      </c>
      <c r="AW48" s="27">
        <f>IF(('Activity data'!AW17*EF!$H48*EF!V66)*NtoN2O*kgtoGg=0,"NO",('Activity data'!AW17*EF!$H48*EF!V66)*NtoN2O*kgtoGg)</f>
        <v>9.1062581228130657E-2</v>
      </c>
      <c r="AX48" s="27">
        <f>IF(('Activity data'!AX17*EF!$H48*EF!W66)*NtoN2O*kgtoGg=0,"NO",('Activity data'!AX17*EF!$H48*EF!W66)*NtoN2O*kgtoGg)</f>
        <v>9.2515752583830088E-2</v>
      </c>
      <c r="AY48" s="27">
        <f>IF(('Activity data'!AY17*EF!$H48*EF!X66)*NtoN2O*kgtoGg=0,"NO",('Activity data'!AY17*EF!$H48*EF!X66)*NtoN2O*kgtoGg)</f>
        <v>9.4062043086931529E-2</v>
      </c>
      <c r="AZ48" s="27">
        <f>IF(('Activity data'!AZ17*EF!$H48*EF!Y66)*NtoN2O*kgtoGg=0,"NO",('Activity data'!AZ17*EF!$H48*EF!Y66)*NtoN2O*kgtoGg)</f>
        <v>9.5948315776645976E-2</v>
      </c>
      <c r="BA48" s="27">
        <f>IF(('Activity data'!BA17*EF!$H48*EF!Z66)*NtoN2O*kgtoGg=0,"NO",('Activity data'!BA17*EF!$H48*EF!Z66)*NtoN2O*kgtoGg)</f>
        <v>9.7568003997154984E-2</v>
      </c>
      <c r="BB48" s="27">
        <f>IF(('Activity data'!BB17*EF!$H48*EF!AA66)*NtoN2O*kgtoGg=0,"NO",('Activity data'!BB17*EF!$H48*EF!AA66)*NtoN2O*kgtoGg)</f>
        <v>9.931620819342124E-2</v>
      </c>
      <c r="BC48" s="27">
        <f>IF(('Activity data'!BC17*EF!$H48*EF!AB66)*NtoN2O*kgtoGg=0,"NO",('Activity data'!BC17*EF!$H48*EF!AB66)*NtoN2O*kgtoGg)</f>
        <v>0.10121358762042433</v>
      </c>
      <c r="BD48" s="27">
        <f>IF(('Activity data'!BD17*EF!$H48*EF!AC66)*NtoN2O*kgtoGg=0,"NO",('Activity data'!BD17*EF!$H48*EF!AC66)*NtoN2O*kgtoGg)</f>
        <v>0.10279643211588628</v>
      </c>
      <c r="BE48" s="27">
        <f>IF(('Activity data'!BE17*EF!$H48*EF!AD66)*NtoN2O*kgtoGg=0,"NO",('Activity data'!BE17*EF!$H48*EF!AD66)*NtoN2O*kgtoGg)</f>
        <v>0.10428080048635653</v>
      </c>
      <c r="BF48" s="27">
        <f>IF(('Activity data'!BF17*EF!$H48*EF!AE66)*NtoN2O*kgtoGg=0,"NO",('Activity data'!BF17*EF!$H48*EF!AE66)*NtoN2O*kgtoGg)</f>
        <v>0.10567866446887142</v>
      </c>
      <c r="BG48" s="27">
        <f>IF(('Activity data'!BG17*EF!$H48*EF!AF66)*NtoN2O*kgtoGg=0,"NO",('Activity data'!BG17*EF!$H48*EF!AF66)*NtoN2O*kgtoGg)</f>
        <v>0.10729272325925118</v>
      </c>
      <c r="BH48" s="27">
        <f>IF(('Activity data'!BH17*EF!$H48*EF!AG66)*NtoN2O*kgtoGg=0,"NO",('Activity data'!BH17*EF!$H48*EF!AG66)*NtoN2O*kgtoGg)</f>
        <v>0.10869271119263345</v>
      </c>
      <c r="BI48" s="27">
        <f>IF(('Activity data'!BI17*EF!$H48*EF!AH66)*NtoN2O*kgtoGg=0,"NO",('Activity data'!BI17*EF!$H48*EF!AH66)*NtoN2O*kgtoGg)</f>
        <v>0.110137854380135</v>
      </c>
      <c r="BJ48" s="27">
        <f>IF(('Activity data'!BJ17*EF!$H48*EF!AI66)*NtoN2O*kgtoGg=0,"NO",('Activity data'!BJ17*EF!$H48*EF!AI66)*NtoN2O*kgtoGg)</f>
        <v>0.1116390532050176</v>
      </c>
      <c r="BK48" s="27">
        <f>IF(('Activity data'!BK17*EF!$H48*EF!AJ66)*NtoN2O*kgtoGg=0,"NO",('Activity data'!BK17*EF!$H48*EF!AJ66)*NtoN2O*kgtoGg)</f>
        <v>0.11321509141175116</v>
      </c>
      <c r="BL48" s="27">
        <f>IF(('Activity data'!BL17*EF!$H48*EF!AK66)*NtoN2O*kgtoGg=0,"NO",('Activity data'!BL17*EF!$H48*EF!AK66)*NtoN2O*kgtoGg)</f>
        <v>0.114870036037916</v>
      </c>
      <c r="BM48" s="27">
        <f>IF(('Activity data'!BM17*EF!$H48*EF!AL66)*NtoN2O*kgtoGg=0,"NO",('Activity data'!BM17*EF!$H48*EF!AL66)*NtoN2O*kgtoGg)</f>
        <v>0.11386297950526468</v>
      </c>
      <c r="BN48" s="27">
        <f>IF(('Activity data'!BN17*EF!$H48*EF!AM66)*NtoN2O*kgtoGg=0,"NO",('Activity data'!BN17*EF!$H48*EF!AM66)*NtoN2O*kgtoGg)</f>
        <v>0.11262319660921266</v>
      </c>
      <c r="BO48" s="27">
        <f>IF(('Activity data'!BO17*EF!$H48*EF!AN66)*NtoN2O*kgtoGg=0,"NO",('Activity data'!BO17*EF!$H48*EF!AN66)*NtoN2O*kgtoGg)</f>
        <v>0.11105880605518059</v>
      </c>
      <c r="BP48" s="27">
        <f>IF(('Activity data'!BP17*EF!$H48*EF!AO66)*NtoN2O*kgtoGg=0,"NO",('Activity data'!BP17*EF!$H48*EF!AO66)*NtoN2O*kgtoGg)</f>
        <v>0.1094176927215173</v>
      </c>
    </row>
    <row r="49" spans="1:68" x14ac:dyDescent="0.3">
      <c r="A49" t="str">
        <f t="shared" si="1"/>
        <v>3A Livestock</v>
      </c>
      <c r="B49" t="str">
        <f t="shared" si="11"/>
        <v>3A2 Manure management (N2O)</v>
      </c>
      <c r="C49" t="str">
        <f>EF!C67</f>
        <v>3A1h Swine</v>
      </c>
      <c r="D49" t="str">
        <f>EF!D67</f>
        <v>Subsistence</v>
      </c>
      <c r="E49" t="str">
        <f t="shared" si="9"/>
        <v>Manure management Emissions</v>
      </c>
      <c r="F49" t="s">
        <v>139</v>
      </c>
      <c r="G49" t="str">
        <f t="shared" si="10"/>
        <v>Gg N2O</v>
      </c>
      <c r="H49" s="27">
        <f>IF(('Activity data'!H18*EF!$H49*EF!$H67)*NtoN2O*kgtoGg=0,"NO",('Activity data'!H18*EF!$H49*EF!$H67)*NtoN2O*kgtoGg)</f>
        <v>3.3603344466422339E-2</v>
      </c>
      <c r="I49" s="27">
        <f>IF(('Activity data'!I18*EF!$H49*EF!$H67)*NtoN2O*kgtoGg=0,"NO",('Activity data'!I18*EF!$H49*EF!$H67)*NtoN2O*kgtoGg)</f>
        <v>3.6712315312725202E-2</v>
      </c>
      <c r="J49" s="27">
        <f>IF(('Activity data'!J18*EF!$H49*EF!$H67)*NtoN2O*kgtoGg=0,"NO",('Activity data'!J18*EF!$H49*EF!$H67)*NtoN2O*kgtoGg)</f>
        <v>3.6469771487836318E-2</v>
      </c>
      <c r="K49" s="27">
        <f>IF(('Activity data'!K18*EF!$H49*EF!$H67)*NtoN2O*kgtoGg=0,"NO",('Activity data'!K18*EF!$H49*EF!$H67)*NtoN2O*kgtoGg)</f>
        <v>3.6447722049210061E-2</v>
      </c>
      <c r="L49" s="27">
        <f>IF(('Activity data'!L18*EF!$H49*EF!$H67)*NtoN2O*kgtoGg=0,"NO",('Activity data'!L18*EF!$H49*EF!$H67)*NtoN2O*kgtoGg)</f>
        <v>3.4617618643230354E-2</v>
      </c>
      <c r="M49" s="27">
        <f>IF(('Activity data'!M18*EF!$H49*EF!$H67)*NtoN2O*kgtoGg=0,"NO",('Activity data'!M18*EF!$H49*EF!$H67)*NtoN2O*kgtoGg)</f>
        <v>3.4948360222624285E-2</v>
      </c>
      <c r="N49" s="27">
        <f>IF(('Activity data'!N18*EF!$H49*EF!$H67)*NtoN2O*kgtoGg=0,"NO",('Activity data'!N18*EF!$H49*EF!$H67)*NtoN2O*kgtoGg)</f>
        <v>3.763839173502817E-2</v>
      </c>
      <c r="O49" s="27">
        <f>IF(('Activity data'!O18*EF!$H49*EF!$H67)*NtoN2O*kgtoGg=0,"NO",('Activity data'!O18*EF!$H49*EF!$H67)*NtoN2O*kgtoGg)</f>
        <v>3.7461996226018084E-2</v>
      </c>
      <c r="P49" s="27">
        <f>IF(('Activity data'!P18*EF!$H49*EF!$H67)*NtoN2O*kgtoGg=0,"NO",('Activity data'!P18*EF!$H49*EF!$H67)*NtoN2O*kgtoGg)</f>
        <v>3.8277825455189748E-2</v>
      </c>
      <c r="Q49" s="27">
        <f>IF(('Activity data'!Q18*EF!$H49*EF!$H67)*NtoN2O*kgtoGg=0,"NO",('Activity data'!Q18*EF!$H49*EF!$H67)*NtoN2O*kgtoGg)</f>
        <v>3.9248000754745251E-2</v>
      </c>
      <c r="R49" s="27">
        <f>IF(('Activity data'!R18*EF!$H49*EF!$H67)*NtoN2O*kgtoGg=0,"NO",('Activity data'!R18*EF!$H49*EF!$H67)*NtoN2O*kgtoGg)</f>
        <v>3.6315425417452488E-2</v>
      </c>
      <c r="S49" s="27">
        <f>IF(('Activity data'!S18*EF!$H49*EF!$H67)*NtoN2O*kgtoGg=0,"NO",('Activity data'!S18*EF!$H49*EF!$H67)*NtoN2O*kgtoGg)</f>
        <v>3.6998958014866593E-2</v>
      </c>
      <c r="T49" s="27">
        <f>IF(('Activity data'!T18*EF!$H49*EF!$H67)*NtoN2O*kgtoGg=0,"NO",('Activity data'!T18*EF!$H49*EF!$H67)*NtoN2O*kgtoGg)</f>
        <v>3.7704540050906954E-2</v>
      </c>
      <c r="U49" s="27">
        <f>IF(('Activity data'!U18*EF!$H49*EF!$H67)*NtoN2O*kgtoGg=0,"NO",('Activity data'!U18*EF!$H49*EF!$H67)*NtoN2O*kgtoGg)</f>
        <v>3.6668216435472668E-2</v>
      </c>
      <c r="V49" s="27">
        <f>IF(('Activity data'!V18*EF!$H49*EF!$H67)*NtoN2O*kgtoGg=0,"NO",('Activity data'!V18*EF!$H49*EF!$H67)*NtoN2O*kgtoGg)</f>
        <v>3.6668216435472668E-2</v>
      </c>
      <c r="W49" s="27">
        <f>IF(('Activity data'!W18*EF!$H49*EF!$H67)*NtoN2O*kgtoGg=0,"NO",('Activity data'!W18*EF!$H49*EF!$H67)*NtoN2O*kgtoGg)</f>
        <v>3.6403623171957535E-2</v>
      </c>
      <c r="X49" s="27">
        <f>IF(('Activity data'!X18*EF!$H49*EF!$H67)*NtoN2O*kgtoGg=0,"NO",('Activity data'!X18*EF!$H49*EF!$H67)*NtoN2O*kgtoGg)</f>
        <v>3.576418945179595E-2</v>
      </c>
      <c r="Y49" s="27">
        <f>IF(('Activity data'!Y18*EF!$H49*EF!$H67)*NtoN2O*kgtoGg=0,"NO",('Activity data'!Y18*EF!$H49*EF!$H67)*NtoN2O*kgtoGg)</f>
        <v>3.6403623171957535E-2</v>
      </c>
      <c r="Z49" s="27">
        <f>IF(('Activity data'!Z18*EF!$H49*EF!$H67)*NtoN2O*kgtoGg=0,"NO",('Activity data'!Z18*EF!$H49*EF!$H67)*NtoN2O*kgtoGg)</f>
        <v>3.5609843381412126E-2</v>
      </c>
      <c r="AA49" s="27">
        <f>IF(('Activity data'!AA18*EF!$H49*EF!$H67)*NtoN2O*kgtoGg=0,"NO",('Activity data'!AA18*EF!$H49*EF!$H67)*NtoN2O*kgtoGg)</f>
        <v>3.5565744504159599E-2</v>
      </c>
      <c r="AB49" s="27">
        <f>IF(('Activity data'!AB18*EF!$H49*EF!$H67)*NtoN2O*kgtoGg=0,"NO",('Activity data'!AB18*EF!$H49*EF!$H67)*NtoN2O*kgtoGg)</f>
        <v>3.5146805170260635E-2</v>
      </c>
      <c r="AC49" s="27">
        <f>IF(('Activity data'!AC18*EF!$H49*EF!$H67)*NtoN2O*kgtoGg=0,"NO",('Activity data'!AC18*EF!$H49*EF!$H67)*NtoN2O*kgtoGg)</f>
        <v>3.4926310783998021E-2</v>
      </c>
      <c r="AD49" s="27">
        <f>IF(('Activity data'!AD18*EF!$H49*EF!$H67)*NtoN2O*kgtoGg=0,"NO",('Activity data'!AD18*EF!$H49*EF!$H67)*NtoN2O*kgtoGg)</f>
        <v>3.8131055665722169E-2</v>
      </c>
      <c r="AE49" s="27">
        <f>IF(('Activity data'!AE18*EF!$H49*EF!$H67)*NtoN2O*kgtoGg=0,"NO",('Activity data'!AE18*EF!$H49*EF!$H67)*NtoN2O*kgtoGg)</f>
        <v>3.7923788015899962E-2</v>
      </c>
      <c r="AF49" s="27">
        <f>IF(('Activity data'!AF18*EF!$H49*EF!$H67)*NtoN2O*kgtoGg=0,"NO",('Activity data'!AF18*EF!$H49*EF!$H67)*NtoN2O*kgtoGg)</f>
        <v>3.7940799901590251E-2</v>
      </c>
      <c r="AG49" s="27">
        <f>IF(('Activity data'!AG18*EF!$H49*EF!$H67)*NtoN2O*kgtoGg=0,"NO",('Activity data'!AG18*EF!$H49*EF!$H67)*NtoN2O*kgtoGg)</f>
        <v>3.759247428451009E-2</v>
      </c>
      <c r="AH49" s="27">
        <f>IF(('Activity data'!AH18*EF!$H49*EF!$H67)*NtoN2O*kgtoGg=0,"NO",('Activity data'!AH18*EF!$H49*EF!$H67)*NtoN2O*kgtoGg)</f>
        <v>3.7023578211438569E-2</v>
      </c>
      <c r="AI49" s="27">
        <f>IF(('Activity data'!AI18*EF!$H49*EF!H67)*NtoN2O*kgtoGg=0,"NO",('Activity data'!AI18*EF!$H49*EF!H67)*NtoN2O*kgtoGg)</f>
        <v>3.6243206089281201E-2</v>
      </c>
      <c r="AJ49" s="27">
        <f>IF(('Activity data'!AJ18*EF!$H49*EF!I67)*NtoN2O*kgtoGg=0,"NO",('Activity data'!AJ18*EF!$H49*EF!I67)*NtoN2O*kgtoGg)</f>
        <v>3.567656938754183E-2</v>
      </c>
      <c r="AK49" s="27">
        <f>IF(('Activity data'!AK18*EF!$H49*EF!J67)*NtoN2O*kgtoGg=0,"NO",('Activity data'!AK18*EF!$H49*EF!J67)*NtoN2O*kgtoGg)</f>
        <v>3.5160072434777256E-2</v>
      </c>
      <c r="AL49" s="27">
        <f>IF(('Activity data'!AL18*EF!$H49*EF!K67)*NtoN2O*kgtoGg=0,"NO",('Activity data'!AL18*EF!$H49*EF!K67)*NtoN2O*kgtoGg)</f>
        <v>3.1044582551701744E-2</v>
      </c>
      <c r="AM49" s="27">
        <f>IF(('Activity data'!AM18*EF!$H49*EF!L67)*NtoN2O*kgtoGg=0,"NO",('Activity data'!AM18*EF!$H49*EF!L67)*NtoN2O*kgtoGg)</f>
        <v>3.1437162320852502E-2</v>
      </c>
      <c r="AN49" s="27">
        <f>IF(('Activity data'!AN18*EF!$H49*EF!M67)*NtoN2O*kgtoGg=0,"NO",('Activity data'!AN18*EF!$H49*EF!M67)*NtoN2O*kgtoGg)</f>
        <v>3.2279561440098872E-2</v>
      </c>
      <c r="AO49" s="27">
        <f>IF(('Activity data'!AO18*EF!$H49*EF!N67)*NtoN2O*kgtoGg=0,"NO",('Activity data'!AO18*EF!$H49*EF!N67)*NtoN2O*kgtoGg)</f>
        <v>3.2356046903749484E-2</v>
      </c>
      <c r="AP49" s="27">
        <f>IF(('Activity data'!AP18*EF!$H49*EF!O67)*NtoN2O*kgtoGg=0,"NO",('Activity data'!AP18*EF!$H49*EF!O67)*NtoN2O*kgtoGg)</f>
        <v>3.2521680425139969E-2</v>
      </c>
      <c r="AQ49" s="27">
        <f>IF(('Activity data'!AQ18*EF!$H49*EF!P67)*NtoN2O*kgtoGg=0,"NO",('Activity data'!AQ18*EF!$H49*EF!P67)*NtoN2O*kgtoGg)</f>
        <v>3.2800168636601942E-2</v>
      </c>
      <c r="AR49" s="27">
        <f>IF(('Activity data'!AR18*EF!$H49*EF!Q67)*NtoN2O*kgtoGg=0,"NO",('Activity data'!AR18*EF!$H49*EF!Q67)*NtoN2O*kgtoGg)</f>
        <v>3.314961567779854E-2</v>
      </c>
      <c r="AS49" s="27">
        <f>IF(('Activity data'!AS18*EF!$H49*EF!R67)*NtoN2O*kgtoGg=0,"NO",('Activity data'!AS18*EF!$H49*EF!R67)*NtoN2O*kgtoGg)</f>
        <v>3.3577833402176044E-2</v>
      </c>
      <c r="AT49" s="27">
        <f>IF(('Activity data'!AT18*EF!$H49*EF!S67)*NtoN2O*kgtoGg=0,"NO",('Activity data'!AT18*EF!$H49*EF!S67)*NtoN2O*kgtoGg)</f>
        <v>3.4011058703898145E-2</v>
      </c>
      <c r="AU49" s="27">
        <f>IF(('Activity data'!AU18*EF!$H49*EF!T67)*NtoN2O*kgtoGg=0,"NO",('Activity data'!AU18*EF!$H49*EF!T67)*NtoN2O*kgtoGg)</f>
        <v>3.4511237686969419E-2</v>
      </c>
      <c r="AV49" s="27">
        <f>IF(('Activity data'!AV18*EF!$H49*EF!U67)*NtoN2O*kgtoGg=0,"NO",('Activity data'!AV18*EF!$H49*EF!U67)*NtoN2O*kgtoGg)</f>
        <v>3.5007964446334923E-2</v>
      </c>
      <c r="AW49" s="27">
        <f>IF(('Activity data'!AW18*EF!$H49*EF!V67)*NtoN2O*kgtoGg=0,"NO",('Activity data'!AW18*EF!$H49*EF!V67)*NtoN2O*kgtoGg)</f>
        <v>3.5625525501144749E-2</v>
      </c>
      <c r="AX49" s="27">
        <f>IF(('Activity data'!AX18*EF!$H49*EF!W67)*NtoN2O*kgtoGg=0,"NO",('Activity data'!AX18*EF!$H49*EF!W67)*NtoN2O*kgtoGg)</f>
        <v>3.6194035557545495E-2</v>
      </c>
      <c r="AY49" s="27">
        <f>IF(('Activity data'!AY18*EF!$H49*EF!X67)*NtoN2O*kgtoGg=0,"NO",('Activity data'!AY18*EF!$H49*EF!X67)*NtoN2O*kgtoGg)</f>
        <v>3.6798975709773488E-2</v>
      </c>
      <c r="AZ49" s="27">
        <f>IF(('Activity data'!AZ18*EF!$H49*EF!Y67)*NtoN2O*kgtoGg=0,"NO",('Activity data'!AZ18*EF!$H49*EF!Y67)*NtoN2O*kgtoGg)</f>
        <v>3.7536923776951441E-2</v>
      </c>
      <c r="BA49" s="27">
        <f>IF(('Activity data'!BA18*EF!$H49*EF!Z67)*NtoN2O*kgtoGg=0,"NO",('Activity data'!BA18*EF!$H49*EF!Z67)*NtoN2O*kgtoGg)</f>
        <v>3.817057860229723E-2</v>
      </c>
      <c r="BB49" s="27">
        <f>IF(('Activity data'!BB18*EF!$H49*EF!AA67)*NtoN2O*kgtoGg=0,"NO",('Activity data'!BB18*EF!$H49*EF!AA67)*NtoN2O*kgtoGg)</f>
        <v>3.8854511479394858E-2</v>
      </c>
      <c r="BC49" s="27">
        <f>IF(('Activity data'!BC18*EF!$H49*EF!AB67)*NtoN2O*kgtoGg=0,"NO",('Activity data'!BC18*EF!$H49*EF!AB67)*NtoN2O*kgtoGg)</f>
        <v>3.9596804727075885E-2</v>
      </c>
      <c r="BD49" s="27">
        <f>IF(('Activity data'!BD18*EF!$H49*EF!AC67)*NtoN2O*kgtoGg=0,"NO",('Activity data'!BD18*EF!$H49*EF!AC67)*NtoN2O*kgtoGg)</f>
        <v>4.0216045541216196E-2</v>
      </c>
      <c r="BE49" s="27">
        <f>IF(('Activity data'!BE18*EF!$H49*EF!AD67)*NtoN2O*kgtoGg=0,"NO",('Activity data'!BE18*EF!$H49*EF!AD67)*NtoN2O*kgtoGg)</f>
        <v>4.0796760501434604E-2</v>
      </c>
      <c r="BF49" s="27">
        <f>IF(('Activity data'!BF18*EF!$H49*EF!AE67)*NtoN2O*kgtoGg=0,"NO",('Activity data'!BF18*EF!$H49*EF!AE67)*NtoN2O*kgtoGg)</f>
        <v>4.1343633193648956E-2</v>
      </c>
      <c r="BG49" s="27">
        <f>IF(('Activity data'!BG18*EF!$H49*EF!AF67)*NtoN2O*kgtoGg=0,"NO",('Activity data'!BG18*EF!$H49*EF!AF67)*NtoN2O*kgtoGg)</f>
        <v>4.1975085671950317E-2</v>
      </c>
      <c r="BH49" s="27">
        <f>IF(('Activity data'!BH18*EF!$H49*EF!AG67)*NtoN2O*kgtoGg=0,"NO",('Activity data'!BH18*EF!$H49*EF!AG67)*NtoN2O*kgtoGg)</f>
        <v>4.252278929674716E-2</v>
      </c>
      <c r="BI49" s="27">
        <f>IF(('Activity data'!BI18*EF!$H49*EF!AH67)*NtoN2O*kgtoGg=0,"NO",('Activity data'!BI18*EF!$H49*EF!AH67)*NtoN2O*kgtoGg)</f>
        <v>4.3088158571204301E-2</v>
      </c>
      <c r="BJ49" s="27">
        <f>IF(('Activity data'!BJ18*EF!$H49*EF!AI67)*NtoN2O*kgtoGg=0,"NO",('Activity data'!BJ18*EF!$H49*EF!AI67)*NtoN2O*kgtoGg)</f>
        <v>4.3675457945951471E-2</v>
      </c>
      <c r="BK49" s="27">
        <f>IF(('Activity data'!BK18*EF!$H49*EF!AJ67)*NtoN2O*kgtoGg=0,"NO",('Activity data'!BK18*EF!$H49*EF!AJ67)*NtoN2O*kgtoGg)</f>
        <v>4.4292036002135757E-2</v>
      </c>
      <c r="BL49" s="27">
        <f>IF(('Activity data'!BL18*EF!$H49*EF!AK67)*NtoN2O*kgtoGg=0,"NO",('Activity data'!BL18*EF!$H49*EF!AK67)*NtoN2O*kgtoGg)</f>
        <v>4.4939483847203046E-2</v>
      </c>
      <c r="BM49" s="27">
        <f>IF(('Activity data'!BM18*EF!$H49*EF!AL67)*NtoN2O*kgtoGg=0,"NO",('Activity data'!BM18*EF!$H49*EF!AL67)*NtoN2O*kgtoGg)</f>
        <v>4.4545502941970565E-2</v>
      </c>
      <c r="BN49" s="27">
        <f>IF(('Activity data'!BN18*EF!$H49*EF!AM67)*NtoN2O*kgtoGg=0,"NO",('Activity data'!BN18*EF!$H49*EF!AM67)*NtoN2O*kgtoGg)</f>
        <v>4.4060474771414608E-2</v>
      </c>
      <c r="BO49" s="27">
        <f>IF(('Activity data'!BO18*EF!$H49*EF!AN67)*NtoN2O*kgtoGg=0,"NO",('Activity data'!BO18*EF!$H49*EF!AN67)*NtoN2O*kgtoGg)</f>
        <v>4.3448453512794687E-2</v>
      </c>
      <c r="BP49" s="27">
        <f>IF(('Activity data'!BP18*EF!$H49*EF!AO67)*NtoN2O*kgtoGg=0,"NO",('Activity data'!BP18*EF!$H49*EF!AO67)*NtoN2O*kgtoGg)</f>
        <v>4.2806416749393235E-2</v>
      </c>
    </row>
    <row r="50" spans="1:68" x14ac:dyDescent="0.3">
      <c r="A50" t="str">
        <f t="shared" si="1"/>
        <v>3A Livestock</v>
      </c>
      <c r="B50" t="str">
        <f t="shared" si="11"/>
        <v>3A2 Manure management (N2O)</v>
      </c>
      <c r="C50" t="str">
        <f>EF!C68</f>
        <v>3A2i Poultry</v>
      </c>
      <c r="D50" t="str">
        <f>EF!D68</f>
        <v>Commercial layers</v>
      </c>
      <c r="E50" t="str">
        <f t="shared" si="9"/>
        <v>Manure management Emissions</v>
      </c>
      <c r="F50" t="s">
        <v>139</v>
      </c>
      <c r="G50" t="str">
        <f t="shared" si="10"/>
        <v>Gg N2O</v>
      </c>
      <c r="H50" s="27">
        <f>IF(('Activity data'!H19*EF!$H50*EF!$H68)*NtoN2O*kgtoGg=0,"NO",('Activity data'!H19*EF!$H50*EF!$H68)*NtoN2O*kgtoGg)</f>
        <v>0.20296133454737286</v>
      </c>
      <c r="I50" s="27">
        <f>IF(('Activity data'!I19*EF!$H50*EF!$H68)*NtoN2O*kgtoGg=0,"NO",('Activity data'!I19*EF!$H50*EF!$H68)*NtoN2O*kgtoGg)</f>
        <v>0.19717389585886808</v>
      </c>
      <c r="J50" s="27">
        <f>IF(('Activity data'!J19*EF!$H50*EF!$H68)*NtoN2O*kgtoGg=0,"NO",('Activity data'!J19*EF!$H50*EF!$H68)*NtoN2O*kgtoGg)</f>
        <v>0.18700572466593463</v>
      </c>
      <c r="K50" s="27">
        <f>IF(('Activity data'!K19*EF!$H50*EF!$H68)*NtoN2O*kgtoGg=0,"NO",('Activity data'!K19*EF!$H50*EF!$H68)*NtoN2O*kgtoGg)</f>
        <v>0.1840653888057816</v>
      </c>
      <c r="L50" s="27">
        <f>IF(('Activity data'!L19*EF!$H50*EF!$H68)*NtoN2O*kgtoGg=0,"NO",('Activity data'!L19*EF!$H50*EF!$H68)*NtoN2O*kgtoGg)</f>
        <v>0.17605920711970463</v>
      </c>
      <c r="M50" s="27">
        <f>IF(('Activity data'!M19*EF!$H50*EF!$H68)*NtoN2O*kgtoGg=0,"NO",('Activity data'!M19*EF!$H50*EF!$H68)*NtoN2O*kgtoGg)</f>
        <v>0.19210250795483447</v>
      </c>
      <c r="N50" s="27">
        <f>IF(('Activity data'!N19*EF!$H50*EF!$H68)*NtoN2O*kgtoGg=0,"NO",('Activity data'!N19*EF!$H50*EF!$H68)*NtoN2O*kgtoGg)</f>
        <v>0.20291887626044761</v>
      </c>
      <c r="O50" s="27">
        <f>IF(('Activity data'!O19*EF!$H50*EF!$H68)*NtoN2O*kgtoGg=0,"NO",('Activity data'!O19*EF!$H50*EF!$H68)*NtoN2O*kgtoGg)</f>
        <v>0.20358614843156064</v>
      </c>
      <c r="P50" s="27">
        <f>IF(('Activity data'!P19*EF!$H50*EF!$H68)*NtoN2O*kgtoGg=0,"NO",('Activity data'!P19*EF!$H50*EF!$H68)*NtoN2O*kgtoGg)</f>
        <v>0.22922082424272011</v>
      </c>
      <c r="Q50" s="27">
        <f>IF(('Activity data'!Q19*EF!$H50*EF!$H68)*NtoN2O*kgtoGg=0,"NO",('Activity data'!Q19*EF!$H50*EF!$H68)*NtoN2O*kgtoGg)</f>
        <v>0.24574772569354431</v>
      </c>
      <c r="R50" s="27">
        <f>IF(('Activity data'!R19*EF!$H50*EF!$H68)*NtoN2O*kgtoGg=0,"NO",('Activity data'!R19*EF!$H50*EF!$H68)*NtoN2O*kgtoGg)</f>
        <v>0.24054072570239549</v>
      </c>
      <c r="S50" s="27">
        <f>IF(('Activity data'!S19*EF!$H50*EF!$H68)*NtoN2O*kgtoGg=0,"NO",('Activity data'!S19*EF!$H50*EF!$H68)*NtoN2O*kgtoGg)</f>
        <v>0.24695749420493165</v>
      </c>
      <c r="T50" s="27">
        <f>IF(('Activity data'!T19*EF!$H50*EF!$H68)*NtoN2O*kgtoGg=0,"NO",('Activity data'!T19*EF!$H50*EF!$H68)*NtoN2O*kgtoGg)</f>
        <v>0.24501923229562322</v>
      </c>
      <c r="U50" s="27">
        <f>IF(('Activity data'!U19*EF!$H50*EF!$H68)*NtoN2O*kgtoGg=0,"NO",('Activity data'!U19*EF!$H50*EF!$H68)*NtoN2O*kgtoGg)</f>
        <v>0.23523745158495141</v>
      </c>
      <c r="V50" s="27">
        <f>IF(('Activity data'!V19*EF!$H50*EF!$H68)*NtoN2O*kgtoGg=0,"NO",('Activity data'!V19*EF!$H50*EF!$H68)*NtoN2O*kgtoGg)</f>
        <v>0.24376740544300249</v>
      </c>
      <c r="W50" s="27">
        <f>IF(('Activity data'!W19*EF!$H50*EF!$H68)*NtoN2O*kgtoGg=0,"NO",('Activity data'!W19*EF!$H50*EF!$H68)*NtoN2O*kgtoGg)</f>
        <v>0.25846670786599002</v>
      </c>
      <c r="X50" s="27">
        <f>IF(('Activity data'!X19*EF!$H50*EF!$H68)*NtoN2O*kgtoGg=0,"NO",('Activity data'!X19*EF!$H50*EF!$H68)*NtoN2O*kgtoGg)</f>
        <v>0.28524838842815914</v>
      </c>
      <c r="Y50" s="27">
        <f>IF(('Activity data'!Y19*EF!$H50*EF!$H68)*NtoN2O*kgtoGg=0,"NO",('Activity data'!Y19*EF!$H50*EF!$H68)*NtoN2O*kgtoGg)</f>
        <v>0.3156764917693638</v>
      </c>
      <c r="Z50" s="27">
        <f>IF(('Activity data'!Z19*EF!$H50*EF!$H68)*NtoN2O*kgtoGg=0,"NO",('Activity data'!Z19*EF!$H50*EF!$H68)*NtoN2O*kgtoGg)</f>
        <v>0.31983391250576138</v>
      </c>
      <c r="AA50" s="27">
        <f>IF(('Activity data'!AA19*EF!$H50*EF!$H68)*NtoN2O*kgtoGg=0,"NO",('Activity data'!AA19*EF!$H50*EF!$H68)*NtoN2O*kgtoGg)</f>
        <v>0.30804277788191292</v>
      </c>
      <c r="AB50" s="27">
        <f>IF(('Activity data'!AB19*EF!$H50*EF!$H68)*NtoN2O*kgtoGg=0,"NO",('Activity data'!AB19*EF!$H50*EF!$H68)*NtoN2O*kgtoGg)</f>
        <v>0.32004210844863845</v>
      </c>
      <c r="AC50" s="27">
        <f>IF(('Activity data'!AC19*EF!$H50*EF!$H68)*NtoN2O*kgtoGg=0,"NO",('Activity data'!AC19*EF!$H50*EF!$H68)*NtoN2O*kgtoGg)</f>
        <v>0.33481439404248187</v>
      </c>
      <c r="AD50" s="27">
        <f>IF(('Activity data'!AD19*EF!$H50*EF!$H68)*NtoN2O*kgtoGg=0,"NO",('Activity data'!AD19*EF!$H50*EF!$H68)*NtoN2O*kgtoGg)</f>
        <v>0.32784224726088984</v>
      </c>
      <c r="AE50" s="27">
        <f>IF(('Activity data'!AE19*EF!$H50*EF!$H68)*NtoN2O*kgtoGg=0,"NO",('Activity data'!AE19*EF!$H50*EF!$H68)*NtoN2O*kgtoGg)</f>
        <v>0.33450793008613733</v>
      </c>
      <c r="AF50" s="27">
        <f>IF(('Activity data'!AF19*EF!$H50*EF!$H68)*NtoN2O*kgtoGg=0,"NO",('Activity data'!AF19*EF!$H50*EF!$H68)*NtoN2O*kgtoGg)</f>
        <v>0.34229948156355033</v>
      </c>
      <c r="AG50" s="27">
        <f>IF(('Activity data'!AG19*EF!$H50*EF!$H68)*NtoN2O*kgtoGg=0,"NO",('Activity data'!AG19*EF!$H50*EF!$H68)*NtoN2O*kgtoGg)</f>
        <v>0.34828124731402299</v>
      </c>
      <c r="AH50" s="27">
        <f>IF(('Activity data'!AH19*EF!$H50*EF!$H68)*NtoN2O*kgtoGg=0,"NO",('Activity data'!AH19*EF!$H50*EF!$H68)*NtoN2O*kgtoGg)</f>
        <v>0.35308310351311478</v>
      </c>
      <c r="AI50" s="27">
        <f>IF(('Activity data'!AI19*EF!$H50*EF!H68)*NtoN2O*kgtoGg=0,"NO",('Activity data'!AI19*EF!$H50*EF!H68)*NtoN2O*kgtoGg)</f>
        <v>0.3566764932045714</v>
      </c>
      <c r="AJ50" s="27">
        <f>IF(('Activity data'!AJ19*EF!$H50*EF!I68)*NtoN2O*kgtoGg=0,"NO",('Activity data'!AJ19*EF!$H50*EF!I68)*NtoN2O*kgtoGg)</f>
        <v>0.36128421068096001</v>
      </c>
      <c r="AK50" s="27">
        <f>IF(('Activity data'!AK19*EF!$H50*EF!J68)*NtoN2O*kgtoGg=0,"NO",('Activity data'!AK19*EF!$H50*EF!J68)*NtoN2O*kgtoGg)</f>
        <v>0.36607496135357964</v>
      </c>
      <c r="AL50" s="27">
        <f>IF(('Activity data'!AL19*EF!$H50*EF!K68)*NtoN2O*kgtoGg=0,"NO",('Activity data'!AL19*EF!$H50*EF!K68)*NtoN2O*kgtoGg)</f>
        <v>0.34978148195901088</v>
      </c>
      <c r="AM50" s="27">
        <f>IF(('Activity data'!AM19*EF!$H50*EF!L68)*NtoN2O*kgtoGg=0,"NO",('Activity data'!AM19*EF!$H50*EF!L68)*NtoN2O*kgtoGg)</f>
        <v>0.35848748777612982</v>
      </c>
      <c r="AN50" s="27">
        <f>IF(('Activity data'!AN19*EF!$H50*EF!M68)*NtoN2O*kgtoGg=0,"NO",('Activity data'!AN19*EF!$H50*EF!M68)*NtoN2O*kgtoGg)</f>
        <v>0.37008968221816879</v>
      </c>
      <c r="AO50" s="27">
        <f>IF(('Activity data'!AO19*EF!$H50*EF!N68)*NtoN2O*kgtoGg=0,"NO",('Activity data'!AO19*EF!$H50*EF!N68)*NtoN2O*kgtoGg)</f>
        <v>0.37718532914997255</v>
      </c>
      <c r="AP50" s="27">
        <f>IF(('Activity data'!AP19*EF!$H50*EF!O68)*NtoN2O*kgtoGg=0,"NO",('Activity data'!AP19*EF!$H50*EF!O68)*NtoN2O*kgtoGg)</f>
        <v>0.38492114207778078</v>
      </c>
      <c r="AQ50" s="27">
        <f>IF(('Activity data'!AQ19*EF!$H50*EF!P68)*NtoN2O*kgtoGg=0,"NO",('Activity data'!AQ19*EF!$H50*EF!P68)*NtoN2O*kgtoGg)</f>
        <v>0.39349286127913036</v>
      </c>
      <c r="AR50" s="27">
        <f>IF(('Activity data'!AR19*EF!$H50*EF!Q68)*NtoN2O*kgtoGg=0,"NO",('Activity data'!AR19*EF!$H50*EF!Q68)*NtoN2O*kgtoGg)</f>
        <v>0.40234632670513226</v>
      </c>
      <c r="AS50" s="27">
        <f>IF(('Activity data'!AS19*EF!$H50*EF!R68)*NtoN2O*kgtoGg=0,"NO",('Activity data'!AS19*EF!$H50*EF!R68)*NtoN2O*kgtoGg)</f>
        <v>0.41188861015823597</v>
      </c>
      <c r="AT50" s="27">
        <f>IF(('Activity data'!AT19*EF!$H50*EF!S68)*NtoN2O*kgtoGg=0,"NO",('Activity data'!AT19*EF!$H50*EF!S68)*NtoN2O*kgtoGg)</f>
        <v>0.42164548581932815</v>
      </c>
      <c r="AU50" s="27">
        <f>IF(('Activity data'!AU19*EF!$H50*EF!T68)*NtoN2O*kgtoGg=0,"NO",('Activity data'!AU19*EF!$H50*EF!T68)*NtoN2O*kgtoGg)</f>
        <v>0.43206316644832626</v>
      </c>
      <c r="AV50" s="27">
        <f>IF(('Activity data'!AV19*EF!$H50*EF!U68)*NtoN2O*kgtoGg=0,"NO",('Activity data'!AV19*EF!$H50*EF!U68)*NtoN2O*kgtoGg)</f>
        <v>0.44266638237250944</v>
      </c>
      <c r="AW50" s="27">
        <f>IF(('Activity data'!AW19*EF!$H50*EF!V68)*NtoN2O*kgtoGg=0,"NO",('Activity data'!AW19*EF!$H50*EF!V68)*NtoN2O*kgtoGg)</f>
        <v>0.45410654796286065</v>
      </c>
      <c r="AX50" s="27">
        <f>IF(('Activity data'!AX19*EF!$H50*EF!W68)*NtoN2O*kgtoGg=0,"NO",('Activity data'!AX19*EF!$H50*EF!W68)*NtoN2O*kgtoGg)</f>
        <v>0.46542858130344616</v>
      </c>
      <c r="AY50" s="27">
        <f>IF(('Activity data'!AY19*EF!$H50*EF!X68)*NtoN2O*kgtoGg=0,"NO",('Activity data'!AY19*EF!$H50*EF!X68)*NtoN2O*kgtoGg)</f>
        <v>0.4772730257801403</v>
      </c>
      <c r="AZ50" s="27">
        <f>IF(('Activity data'!AZ19*EF!$H50*EF!Y68)*NtoN2O*kgtoGg=0,"NO",('Activity data'!AZ19*EF!$H50*EF!Y68)*NtoN2O*kgtoGg)</f>
        <v>0.49041871120833058</v>
      </c>
      <c r="BA50" s="27">
        <f>IF(('Activity data'!BA19*EF!$H50*EF!Z68)*NtoN2O*kgtoGg=0,"NO",('Activity data'!BA19*EF!$H50*EF!Z68)*NtoN2O*kgtoGg)</f>
        <v>0.50303895207575822</v>
      </c>
      <c r="BB50" s="27">
        <f>IF(('Activity data'!BB19*EF!$H50*EF!AA68)*NtoN2O*kgtoGg=0,"NO",('Activity data'!BB19*EF!$H50*EF!AA68)*NtoN2O*kgtoGg)</f>
        <v>0.51609032389809528</v>
      </c>
      <c r="BC50" s="27">
        <f>IF(('Activity data'!BC19*EF!$H50*EF!AB68)*NtoN2O*kgtoGg=0,"NO",('Activity data'!BC19*EF!$H50*EF!AB68)*NtoN2O*kgtoGg)</f>
        <v>0.52992686464312622</v>
      </c>
      <c r="BD50" s="27">
        <f>IF(('Activity data'!BD19*EF!$H50*EF!AC68)*NtoN2O*kgtoGg=0,"NO",('Activity data'!BD19*EF!$H50*EF!AC68)*NtoN2O*kgtoGg)</f>
        <v>0.54305058530896999</v>
      </c>
      <c r="BE50" s="27">
        <f>IF(('Activity data'!BE19*EF!$H50*EF!AD68)*NtoN2O*kgtoGg=0,"NO",('Activity data'!BE19*EF!$H50*EF!AD68)*NtoN2O*kgtoGg)</f>
        <v>0.55613853749065978</v>
      </c>
      <c r="BF50" s="27">
        <f>IF(('Activity data'!BF19*EF!$H50*EF!AE68)*NtoN2O*kgtoGg=0,"NO",('Activity data'!BF19*EF!$H50*EF!AE68)*NtoN2O*kgtoGg)</f>
        <v>0.56922083138232038</v>
      </c>
      <c r="BG50" s="27">
        <f>IF(('Activity data'!BG19*EF!$H50*EF!AF68)*NtoN2O*kgtoGg=0,"NO",('Activity data'!BG19*EF!$H50*EF!AF68)*NtoN2O*kgtoGg)</f>
        <v>0.58310052249970834</v>
      </c>
      <c r="BH50" s="27">
        <f>IF(('Activity data'!BH19*EF!$H50*EF!AG68)*NtoN2O*kgtoGg=0,"NO",('Activity data'!BH19*EF!$H50*EF!AG68)*NtoN2O*kgtoGg)</f>
        <v>0.59653826788660902</v>
      </c>
      <c r="BI50" s="27">
        <f>IF(('Activity data'!BI19*EF!$H50*EF!AH68)*NtoN2O*kgtoGg=0,"NO",('Activity data'!BI19*EF!$H50*EF!AH68)*NtoN2O*kgtoGg)</f>
        <v>0.61044136643017999</v>
      </c>
      <c r="BJ50" s="27">
        <f>IF(('Activity data'!BJ19*EF!$H50*EF!AI68)*NtoN2O*kgtoGg=0,"NO",('Activity data'!BJ19*EF!$H50*EF!AI68)*NtoN2O*kgtoGg)</f>
        <v>0.62486785679849377</v>
      </c>
      <c r="BK50" s="27">
        <f>IF(('Activity data'!BK19*EF!$H50*EF!AJ68)*NtoN2O*kgtoGg=0,"NO",('Activity data'!BK19*EF!$H50*EF!AJ68)*NtoN2O*kgtoGg)</f>
        <v>0.6399091004524019</v>
      </c>
      <c r="BL50" s="27">
        <f>IF(('Activity data'!BL19*EF!$H50*EF!AK68)*NtoN2O*kgtoGg=0,"NO",('Activity data'!BL19*EF!$H50*EF!AK68)*NtoN2O*kgtoGg)</f>
        <v>0.65535203493771454</v>
      </c>
      <c r="BM50" s="27">
        <f>IF(('Activity data'!BM19*EF!$H50*EF!AL68)*NtoN2O*kgtoGg=0,"NO",('Activity data'!BM19*EF!$H50*EF!AL68)*NtoN2O*kgtoGg)</f>
        <v>0.66076114760241544</v>
      </c>
      <c r="BN50" s="27">
        <f>IF(('Activity data'!BN19*EF!$H50*EF!AM68)*NtoN2O*kgtoGg=0,"NO",('Activity data'!BN19*EF!$H50*EF!AM68)*NtoN2O*kgtoGg)</f>
        <v>0.6652412101856594</v>
      </c>
      <c r="BO50" s="27">
        <f>IF(('Activity data'!BO19*EF!$H50*EF!AN68)*NtoN2O*kgtoGg=0,"NO",('Activity data'!BO19*EF!$H50*EF!AN68)*NtoN2O*kgtoGg)</f>
        <v>0.66836980562393489</v>
      </c>
      <c r="BP50" s="27">
        <f>IF(('Activity data'!BP19*EF!$H50*EF!AO68)*NtoN2O*kgtoGg=0,"NO",('Activity data'!BP19*EF!$H50*EF!AO68)*NtoN2O*kgtoGg)</f>
        <v>0.67109822940167552</v>
      </c>
    </row>
    <row r="51" spans="1:68" x14ac:dyDescent="0.3">
      <c r="A51" t="str">
        <f t="shared" si="1"/>
        <v>3A Livestock</v>
      </c>
      <c r="B51" t="str">
        <f t="shared" si="11"/>
        <v>3A2 Manure management (N2O)</v>
      </c>
      <c r="C51" t="str">
        <f>EF!C69</f>
        <v>3A2i Poultry</v>
      </c>
      <c r="D51" t="str">
        <f>EF!D69</f>
        <v>Commercial broilers</v>
      </c>
      <c r="E51" t="str">
        <f t="shared" si="9"/>
        <v>Manure management Emissions</v>
      </c>
      <c r="F51" t="s">
        <v>139</v>
      </c>
      <c r="G51" t="str">
        <f t="shared" si="10"/>
        <v>Gg N2O</v>
      </c>
      <c r="H51" s="27">
        <f>IF(('Activity data'!H20*EF!$H51*EF!$H69)*NtoN2O*kgtoGg=0,"NO",('Activity data'!H20*EF!$H51*EF!$H69)*NtoN2O*kgtoGg)</f>
        <v>0.72930971263591093</v>
      </c>
      <c r="I51" s="27">
        <f>IF(('Activity data'!I20*EF!$H51*EF!$H69)*NtoN2O*kgtoGg=0,"NO",('Activity data'!I20*EF!$H51*EF!$H69)*NtoN2O*kgtoGg)</f>
        <v>0.68555113076259577</v>
      </c>
      <c r="J51" s="27">
        <f>IF(('Activity data'!J20*EF!$H51*EF!$H69)*NtoN2O*kgtoGg=0,"NO",('Activity data'!J20*EF!$H51*EF!$H69)*NtoN2O*kgtoGg)</f>
        <v>0.64789485942199276</v>
      </c>
      <c r="K51" s="27">
        <f>IF(('Activity data'!K20*EF!$H51*EF!$H69)*NtoN2O*kgtoGg=0,"NO",('Activity data'!K20*EF!$H51*EF!$H69)*NtoN2O*kgtoGg)</f>
        <v>0.72865140284093732</v>
      </c>
      <c r="L51" s="27">
        <f>IF(('Activity data'!L20*EF!$H51*EF!$H69)*NtoN2O*kgtoGg=0,"NO",('Activity data'!L20*EF!$H51*EF!$H69)*NtoN2O*kgtoGg)</f>
        <v>0.72181757150319903</v>
      </c>
      <c r="M51" s="27">
        <f>IF(('Activity data'!M20*EF!$H51*EF!$H69)*NtoN2O*kgtoGg=0,"NO",('Activity data'!M20*EF!$H51*EF!$H69)*NtoN2O*kgtoGg)</f>
        <v>0.82622573049281356</v>
      </c>
      <c r="N51" s="27">
        <f>IF(('Activity data'!N20*EF!$H51*EF!$H69)*NtoN2O*kgtoGg=0,"NO",('Activity data'!N20*EF!$H51*EF!$H69)*NtoN2O*kgtoGg)</f>
        <v>0.96068755914648207</v>
      </c>
      <c r="O51" s="27">
        <f>IF(('Activity data'!O20*EF!$H51*EF!$H69)*NtoN2O*kgtoGg=0,"NO",('Activity data'!O20*EF!$H51*EF!$H69)*NtoN2O*kgtoGg)</f>
        <v>0.97787012142542185</v>
      </c>
      <c r="P51" s="27">
        <f>IF(('Activity data'!P20*EF!$H51*EF!$H69)*NtoN2O*kgtoGg=0,"NO",('Activity data'!P20*EF!$H51*EF!$H69)*NtoN2O*kgtoGg)</f>
        <v>1.071484472052648</v>
      </c>
      <c r="Q51" s="27">
        <f>IF(('Activity data'!Q20*EF!$H51*EF!$H69)*NtoN2O*kgtoGg=0,"NO",('Activity data'!Q20*EF!$H51*EF!$H69)*NtoN2O*kgtoGg)</f>
        <v>1.1186177697218391</v>
      </c>
      <c r="R51" s="27">
        <f>IF(('Activity data'!R20*EF!$H51*EF!$H69)*NtoN2O*kgtoGg=0,"NO",('Activity data'!R20*EF!$H51*EF!$H69)*NtoN2O*kgtoGg)</f>
        <v>1.2035502905081028</v>
      </c>
      <c r="S51" s="27">
        <f>IF(('Activity data'!S20*EF!$H51*EF!$H69)*NtoN2O*kgtoGg=0,"NO",('Activity data'!S20*EF!$H51*EF!$H69)*NtoN2O*kgtoGg)</f>
        <v>1.1621542696380114</v>
      </c>
      <c r="T51" s="27">
        <f>IF(('Activity data'!T20*EF!$H51*EF!$H69)*NtoN2O*kgtoGg=0,"NO",('Activity data'!T20*EF!$H51*EF!$H69)*NtoN2O*kgtoGg)</f>
        <v>1.2880438918534249</v>
      </c>
      <c r="U51" s="27">
        <f>IF(('Activity data'!U20*EF!$H51*EF!$H69)*NtoN2O*kgtoGg=0,"NO",('Activity data'!U20*EF!$H51*EF!$H69)*NtoN2O*kgtoGg)</f>
        <v>1.225124187011174</v>
      </c>
      <c r="V51" s="27">
        <f>IF(('Activity data'!V20*EF!$H51*EF!$H69)*NtoN2O*kgtoGg=0,"NO",('Activity data'!V20*EF!$H51*EF!$H69)*NtoN2O*kgtoGg)</f>
        <v>1.2546997536257585</v>
      </c>
      <c r="W51" s="27">
        <f>IF(('Activity data'!W20*EF!$H51*EF!$H69)*NtoN2O*kgtoGg=0,"NO",('Activity data'!W20*EF!$H51*EF!$H69)*NtoN2O*kgtoGg)</f>
        <v>1.3882935327729005</v>
      </c>
      <c r="X51" s="27">
        <f>IF(('Activity data'!X20*EF!$H51*EF!$H69)*NtoN2O*kgtoGg=0,"NO",('Activity data'!X20*EF!$H51*EF!$H69)*NtoN2O*kgtoGg)</f>
        <v>1.4849096879687185</v>
      </c>
      <c r="Y51" s="27">
        <f>IF(('Activity data'!Y20*EF!$H51*EF!$H69)*NtoN2O*kgtoGg=0,"NO",('Activity data'!Y20*EF!$H51*EF!$H69)*NtoN2O*kgtoGg)</f>
        <v>1.5536225594206139</v>
      </c>
      <c r="Z51" s="27">
        <f>IF(('Activity data'!Z20*EF!$H51*EF!$H69)*NtoN2O*kgtoGg=0,"NO",('Activity data'!Z20*EF!$H51*EF!$H69)*NtoN2O*kgtoGg)</f>
        <v>1.6541861721500675</v>
      </c>
      <c r="AA51" s="27">
        <f>IF(('Activity data'!AA20*EF!$H51*EF!$H69)*NtoN2O*kgtoGg=0,"NO",('Activity data'!AA20*EF!$H51*EF!$H69)*NtoN2O*kgtoGg)</f>
        <v>1.5609057472739727</v>
      </c>
      <c r="AB51" s="27">
        <f>IF(('Activity data'!AB20*EF!$H51*EF!$H69)*NtoN2O*kgtoGg=0,"NO",('Activity data'!AB20*EF!$H51*EF!$H69)*NtoN2O*kgtoGg)</f>
        <v>1.6001637714485282</v>
      </c>
      <c r="AC51" s="27">
        <f>IF(('Activity data'!AC20*EF!$H51*EF!$H69)*NtoN2O*kgtoGg=0,"NO",('Activity data'!AC20*EF!$H51*EF!$H69)*NtoN2O*kgtoGg)</f>
        <v>1.6549888552911012</v>
      </c>
      <c r="AD51" s="27">
        <f>IF(('Activity data'!AD20*EF!$H51*EF!$H69)*NtoN2O*kgtoGg=0,"NO",('Activity data'!AD20*EF!$H51*EF!$H69)*NtoN2O*kgtoGg)</f>
        <v>1.7017151675634961</v>
      </c>
      <c r="AE51" s="27">
        <f>IF(('Activity data'!AE20*EF!$H51*EF!$H69)*NtoN2O*kgtoGg=0,"NO",('Activity data'!AE20*EF!$H51*EF!$H69)*NtoN2O*kgtoGg)</f>
        <v>1.7241237147327637</v>
      </c>
      <c r="AF51" s="27">
        <f>IF(('Activity data'!AF20*EF!$H51*EF!$H69)*NtoN2O*kgtoGg=0,"NO",('Activity data'!AF20*EF!$H51*EF!$H69)*NtoN2O*kgtoGg)</f>
        <v>1.7601182693498112</v>
      </c>
      <c r="AG51" s="27">
        <f>IF(('Activity data'!AG20*EF!$H51*EF!$H69)*NtoN2O*kgtoGg=0,"NO",('Activity data'!AG20*EF!$H51*EF!$H69)*NtoN2O*kgtoGg)</f>
        <v>1.7704533576020511</v>
      </c>
      <c r="AH51" s="27">
        <f>IF(('Activity data'!AH20*EF!$H51*EF!$H69)*NtoN2O*kgtoGg=0,"NO",('Activity data'!AH20*EF!$H51*EF!$H69)*NtoN2O*kgtoGg)</f>
        <v>1.7641159598844758</v>
      </c>
      <c r="AI51" s="27">
        <f>IF(('Activity data'!AI20*EF!$H51*EF!H69)*NtoN2O*kgtoGg=0,"NO",('Activity data'!AI20*EF!$H51*EF!H69)*NtoN2O*kgtoGg)</f>
        <v>1.7411735022142167</v>
      </c>
      <c r="AJ51" s="27">
        <f>IF(('Activity data'!AJ20*EF!$H51*EF!I69)*NtoN2O*kgtoGg=0,"NO",('Activity data'!AJ20*EF!$H51*EF!I69)*NtoN2O*kgtoGg)</f>
        <v>1.7315152516158574</v>
      </c>
      <c r="AK51" s="27">
        <f>IF(('Activity data'!AK20*EF!$H51*EF!J69)*NtoN2O*kgtoGg=0,"NO",('Activity data'!AK20*EF!$H51*EF!J69)*NtoN2O*kgtoGg)</f>
        <v>1.7240481490859689</v>
      </c>
      <c r="AL51" s="27">
        <f>IF(('Activity data'!AL20*EF!$H51*EF!K69)*NtoN2O*kgtoGg=0,"NO",('Activity data'!AL20*EF!$H51*EF!K69)*NtoN2O*kgtoGg)</f>
        <v>1.4532830978859241</v>
      </c>
      <c r="AM51" s="27">
        <f>IF(('Activity data'!AM20*EF!$H51*EF!L69)*NtoN2O*kgtoGg=0,"NO",('Activity data'!AM20*EF!$H51*EF!L69)*NtoN2O*kgtoGg)</f>
        <v>1.5108401757769072</v>
      </c>
      <c r="AN51" s="27">
        <f>IF(('Activity data'!AN20*EF!$H51*EF!M69)*NtoN2O*kgtoGg=0,"NO",('Activity data'!AN20*EF!$H51*EF!M69)*NtoN2O*kgtoGg)</f>
        <v>1.6026975713108973</v>
      </c>
      <c r="AO51" s="27">
        <f>IF(('Activity data'!AO20*EF!$H51*EF!N69)*NtoN2O*kgtoGg=0,"NO",('Activity data'!AO20*EF!$H51*EF!N69)*NtoN2O*kgtoGg)</f>
        <v>1.6381096535545392</v>
      </c>
      <c r="AP51" s="27">
        <f>IF(('Activity data'!AP20*EF!$H51*EF!O69)*NtoN2O*kgtoGg=0,"NO",('Activity data'!AP20*EF!$H51*EF!O69)*NtoN2O*kgtoGg)</f>
        <v>1.6804870298806631</v>
      </c>
      <c r="AQ51" s="27">
        <f>IF(('Activity data'!AQ20*EF!$H51*EF!P69)*NtoN2O*kgtoGg=0,"NO",('Activity data'!AQ20*EF!$H51*EF!P69)*NtoN2O*kgtoGg)</f>
        <v>1.7319826837322108</v>
      </c>
      <c r="AR51" s="27">
        <f>IF(('Activity data'!AR20*EF!$H51*EF!Q69)*NtoN2O*kgtoGg=0,"NO",('Activity data'!AR20*EF!$H51*EF!Q69)*NtoN2O*kgtoGg)</f>
        <v>1.7911150071638293</v>
      </c>
      <c r="AS51" s="27">
        <f>IF(('Activity data'!AS20*EF!$H51*EF!R69)*NtoN2O*kgtoGg=0,"NO",('Activity data'!AS20*EF!$H51*EF!R69)*NtoN2O*kgtoGg)</f>
        <v>1.8573343362727066</v>
      </c>
      <c r="AT51" s="27">
        <f>IF(('Activity data'!AT20*EF!$H51*EF!S69)*NtoN2O*kgtoGg=0,"NO",('Activity data'!AT20*EF!$H51*EF!S69)*NtoN2O*kgtoGg)</f>
        <v>1.9249598687101048</v>
      </c>
      <c r="AU51" s="27">
        <f>IF(('Activity data'!AU20*EF!$H51*EF!T69)*NtoN2O*kgtoGg=0,"NO",('Activity data'!AU20*EF!$H51*EF!T69)*NtoN2O*kgtoGg)</f>
        <v>1.9991243799858327</v>
      </c>
      <c r="AV51" s="27">
        <f>IF(('Activity data'!AV20*EF!$H51*EF!U69)*NtoN2O*kgtoGg=0,"NO",('Activity data'!AV20*EF!$H51*EF!U69)*NtoN2O*kgtoGg)</f>
        <v>2.0742398218726938</v>
      </c>
      <c r="AW51" s="27">
        <f>IF(('Activity data'!AW20*EF!$H51*EF!V69)*NtoN2O*kgtoGg=0,"NO",('Activity data'!AW20*EF!$H51*EF!V69)*NtoN2O*kgtoGg)</f>
        <v>2.1619281930421144</v>
      </c>
      <c r="AX51" s="27">
        <f>IF(('Activity data'!AX20*EF!$H51*EF!W69)*NtoN2O*kgtoGg=0,"NO",('Activity data'!AX20*EF!$H51*EF!W69)*NtoN2O*kgtoGg)</f>
        <v>2.2470253789888299</v>
      </c>
      <c r="AY51" s="27">
        <f>IF(('Activity data'!AY20*EF!$H51*EF!X69)*NtoN2O*kgtoGg=0,"NO",('Activity data'!AY20*EF!$H51*EF!X69)*NtoN2O*kgtoGg)</f>
        <v>2.3367898663962117</v>
      </c>
      <c r="AZ51" s="27">
        <f>IF(('Activity data'!AZ20*EF!$H51*EF!Y69)*NtoN2O*kgtoGg=0,"NO",('Activity data'!AZ20*EF!$H51*EF!Y69)*NtoN2O*kgtoGg)</f>
        <v>2.4398215935835355</v>
      </c>
      <c r="BA51" s="27">
        <f>IF(('Activity data'!BA20*EF!$H51*EF!Z69)*NtoN2O*kgtoGg=0,"NO",('Activity data'!BA20*EF!$H51*EF!Z69)*NtoN2O*kgtoGg)</f>
        <v>2.5356369121252129</v>
      </c>
      <c r="BB51" s="27">
        <f>IF(('Activity data'!BB20*EF!$H51*EF!AA69)*NtoN2O*kgtoGg=0,"NO",('Activity data'!BB20*EF!$H51*EF!AA69)*NtoN2O*kgtoGg)</f>
        <v>2.6388473537770931</v>
      </c>
      <c r="BC51" s="27">
        <f>IF(('Activity data'!BC20*EF!$H51*EF!AB69)*NtoN2O*kgtoGg=0,"NO",('Activity data'!BC20*EF!$H51*EF!AB69)*NtoN2O*kgtoGg)</f>
        <v>2.7493497662491455</v>
      </c>
      <c r="BD51" s="27">
        <f>IF(('Activity data'!BD20*EF!$H51*EF!AC69)*NtoN2O*kgtoGg=0,"NO",('Activity data'!BD20*EF!$H51*EF!AC69)*NtoN2O*kgtoGg)</f>
        <v>2.8507479876559225</v>
      </c>
      <c r="BE51" s="27">
        <f>IF(('Activity data'!BE20*EF!$H51*EF!AD69)*NtoN2O*kgtoGg=0,"NO",('Activity data'!BE20*EF!$H51*EF!AD69)*NtoN2O*kgtoGg)</f>
        <v>2.9505347719846347</v>
      </c>
      <c r="BF51" s="27">
        <f>IF(('Activity data'!BF20*EF!$H51*EF!AE69)*NtoN2O*kgtoGg=0,"NO",('Activity data'!BF20*EF!$H51*EF!AE69)*NtoN2O*kgtoGg)</f>
        <v>3.0490743865158891</v>
      </c>
      <c r="BG51" s="27">
        <f>IF(('Activity data'!BG20*EF!$H51*EF!AF69)*NtoN2O*kgtoGg=0,"NO",('Activity data'!BG20*EF!$H51*EF!AF69)*NtoN2O*kgtoGg)</f>
        <v>3.1585813861709466</v>
      </c>
      <c r="BH51" s="27">
        <f>IF(('Activity data'!BH20*EF!$H51*EF!AG69)*NtoN2O*kgtoGg=0,"NO",('Activity data'!BH20*EF!$H51*EF!AG69)*NtoN2O*kgtoGg)</f>
        <v>3.2621852632226234</v>
      </c>
      <c r="BI51" s="27">
        <f>IF(('Activity data'!BI20*EF!$H51*EF!AH69)*NtoN2O*kgtoGg=0,"NO",('Activity data'!BI20*EF!$H51*EF!AH69)*NtoN2O*kgtoGg)</f>
        <v>3.3695643404472522</v>
      </c>
      <c r="BJ51" s="27">
        <f>IF(('Activity data'!BJ20*EF!$H51*EF!AI69)*NtoN2O*kgtoGg=0,"NO",('Activity data'!BJ20*EF!$H51*EF!AI69)*NtoN2O*kgtoGg)</f>
        <v>3.4812725080530544</v>
      </c>
      <c r="BK51" s="27">
        <f>IF(('Activity data'!BK20*EF!$H51*EF!AJ69)*NtoN2O*kgtoGg=0,"NO",('Activity data'!BK20*EF!$H51*EF!AJ69)*NtoN2O*kgtoGg)</f>
        <v>3.5981993154978791</v>
      </c>
      <c r="BL51" s="27">
        <f>IF(('Activity data'!BL20*EF!$H51*EF!AK69)*NtoN2O*kgtoGg=0,"NO",('Activity data'!BL20*EF!$H51*EF!AK69)*NtoN2O*kgtoGg)</f>
        <v>3.7216722091838785</v>
      </c>
      <c r="BM51" s="27">
        <f>IF(('Activity data'!BM20*EF!$H51*EF!AL69)*NtoN2O*kgtoGg=0,"NO",('Activity data'!BM20*EF!$H51*EF!AL69)*NtoN2O*kgtoGg)</f>
        <v>3.7404703249321303</v>
      </c>
      <c r="BN51" s="27">
        <f>IF(('Activity data'!BN20*EF!$H51*EF!AM69)*NtoN2O*kgtoGg=0,"NO",('Activity data'!BN20*EF!$H51*EF!AM69)*NtoN2O*kgtoGg)</f>
        <v>3.749641300046322</v>
      </c>
      <c r="BO51" s="27">
        <f>IF(('Activity data'!BO20*EF!$H51*EF!AN69)*NtoN2O*kgtoGg=0,"NO",('Activity data'!BO20*EF!$H51*EF!AN69)*NtoN2O*kgtoGg)</f>
        <v>3.7450255667820502</v>
      </c>
      <c r="BP51" s="27">
        <f>IF(('Activity data'!BP20*EF!$H51*EF!AO69)*NtoN2O*kgtoGg=0,"NO",('Activity data'!BP20*EF!$H51*EF!AO69)*NtoN2O*kgtoGg)</f>
        <v>3.7364851229908305</v>
      </c>
    </row>
    <row r="52" spans="1:68" x14ac:dyDescent="0.3">
      <c r="A52" t="str">
        <f t="shared" si="1"/>
        <v>3A Livestock</v>
      </c>
      <c r="B52" t="str">
        <f t="shared" si="11"/>
        <v>3A2 Manure management (N2O)</v>
      </c>
      <c r="C52" t="str">
        <f>EF!C70</f>
        <v>3A2i Poultry</v>
      </c>
      <c r="D52" t="str">
        <f>EF!D70</f>
        <v>Subsistence layers</v>
      </c>
      <c r="E52" t="str">
        <f t="shared" si="9"/>
        <v>Manure management Emissions</v>
      </c>
      <c r="F52" t="s">
        <v>139</v>
      </c>
      <c r="G52" t="str">
        <f t="shared" si="10"/>
        <v>Gg N2O</v>
      </c>
      <c r="H52" s="27">
        <f>IF(('Activity data'!H21*EF!$H52*EF!$H70)*NtoN2O*kgtoGg=0,"NO",('Activity data'!H21*EF!$H52*EF!$H70)*NtoN2O*kgtoGg)</f>
        <v>8.5243760509896623E-3</v>
      </c>
      <c r="I52" s="27">
        <f>IF(('Activity data'!I21*EF!$H52*EF!$H70)*NtoN2O*kgtoGg=0,"NO",('Activity data'!I21*EF!$H52*EF!$H70)*NtoN2O*kgtoGg)</f>
        <v>8.2813036260724598E-3</v>
      </c>
      <c r="J52" s="27">
        <f>IF(('Activity data'!J21*EF!$H52*EF!$H70)*NtoN2O*kgtoGg=0,"NO",('Activity data'!J21*EF!$H52*EF!$H70)*NtoN2O*kgtoGg)</f>
        <v>7.8542404359692557E-3</v>
      </c>
      <c r="K52" s="27">
        <f>IF(('Activity data'!K21*EF!$H52*EF!$H70)*NtoN2O*kgtoGg=0,"NO",('Activity data'!K21*EF!$H52*EF!$H70)*NtoN2O*kgtoGg)</f>
        <v>7.7307463298428268E-3</v>
      </c>
      <c r="L52" s="27">
        <f>IF(('Activity data'!L21*EF!$H52*EF!$H70)*NtoN2O*kgtoGg=0,"NO",('Activity data'!L21*EF!$H52*EF!$H70)*NtoN2O*kgtoGg)</f>
        <v>7.394486699027595E-3</v>
      </c>
      <c r="M52" s="27">
        <f>IF(('Activity data'!M21*EF!$H52*EF!$H70)*NtoN2O*kgtoGg=0,"NO",('Activity data'!M21*EF!$H52*EF!$H70)*NtoN2O*kgtoGg)</f>
        <v>8.0683053341030469E-3</v>
      </c>
      <c r="N52" s="27">
        <f>IF(('Activity data'!N21*EF!$H52*EF!$H70)*NtoN2O*kgtoGg=0,"NO",('Activity data'!N21*EF!$H52*EF!$H70)*NtoN2O*kgtoGg)</f>
        <v>8.5225928029387995E-3</v>
      </c>
      <c r="O52" s="27">
        <f>IF(('Activity data'!O21*EF!$H52*EF!$H70)*NtoN2O*kgtoGg=0,"NO",('Activity data'!O21*EF!$H52*EF!$H70)*NtoN2O*kgtoGg)</f>
        <v>8.55061823412555E-3</v>
      </c>
      <c r="P52" s="27">
        <f>IF(('Activity data'!P21*EF!$H52*EF!$H70)*NtoN2O*kgtoGg=0,"NO",('Activity data'!P21*EF!$H52*EF!$H70)*NtoN2O*kgtoGg)</f>
        <v>9.627274618194244E-3</v>
      </c>
      <c r="Q52" s="27">
        <f>IF(('Activity data'!Q21*EF!$H52*EF!$H70)*NtoN2O*kgtoGg=0,"NO",('Activity data'!Q21*EF!$H52*EF!$H70)*NtoN2O*kgtoGg)</f>
        <v>1.0321404479128861E-2</v>
      </c>
      <c r="R52" s="27">
        <f>IF(('Activity data'!R21*EF!$H52*EF!$H70)*NtoN2O*kgtoGg=0,"NO",('Activity data'!R21*EF!$H52*EF!$H70)*NtoN2O*kgtoGg)</f>
        <v>1.010271047950061E-2</v>
      </c>
      <c r="S52" s="27">
        <f>IF(('Activity data'!S21*EF!$H52*EF!$H70)*NtoN2O*kgtoGg=0,"NO",('Activity data'!S21*EF!$H52*EF!$H70)*NtoN2O*kgtoGg)</f>
        <v>1.0372214756607131E-2</v>
      </c>
      <c r="T52" s="27">
        <f>IF(('Activity data'!T21*EF!$H52*EF!$H70)*NtoN2O*kgtoGg=0,"NO",('Activity data'!T21*EF!$H52*EF!$H70)*NtoN2O*kgtoGg)</f>
        <v>1.0290807756416174E-2</v>
      </c>
      <c r="U52" s="27">
        <f>IF(('Activity data'!U21*EF!$H52*EF!$H70)*NtoN2O*kgtoGg=0,"NO",('Activity data'!U21*EF!$H52*EF!$H70)*NtoN2O*kgtoGg)</f>
        <v>9.8799729665679584E-3</v>
      </c>
      <c r="V52" s="27">
        <f>IF(('Activity data'!V21*EF!$H52*EF!$H70)*NtoN2O*kgtoGg=0,"NO",('Activity data'!V21*EF!$H52*EF!$H70)*NtoN2O*kgtoGg)</f>
        <v>1.0238231028606104E-2</v>
      </c>
      <c r="W52" s="27">
        <f>IF(('Activity data'!W21*EF!$H52*EF!$H70)*NtoN2O*kgtoGg=0,"NO",('Activity data'!W21*EF!$H52*EF!$H70)*NtoN2O*kgtoGg)</f>
        <v>1.085560173037158E-2</v>
      </c>
      <c r="X52" s="27">
        <f>IF(('Activity data'!X21*EF!$H52*EF!$H70)*NtoN2O*kgtoGg=0,"NO",('Activity data'!X21*EF!$H52*EF!$H70)*NtoN2O*kgtoGg)</f>
        <v>1.1980432313982685E-2</v>
      </c>
      <c r="Y52" s="27">
        <f>IF(('Activity data'!Y21*EF!$H52*EF!$H70)*NtoN2O*kgtoGg=0,"NO",('Activity data'!Y21*EF!$H52*EF!$H70)*NtoN2O*kgtoGg)</f>
        <v>1.3258412654313281E-2</v>
      </c>
      <c r="Z52" s="27">
        <f>IF(('Activity data'!Z21*EF!$H52*EF!$H70)*NtoN2O*kgtoGg=0,"NO",('Activity data'!Z21*EF!$H52*EF!$H70)*NtoN2O*kgtoGg)</f>
        <v>1.3433024325241976E-2</v>
      </c>
      <c r="AA52" s="27">
        <f>IF(('Activity data'!AA21*EF!$H52*EF!$H70)*NtoN2O*kgtoGg=0,"NO",('Activity data'!AA21*EF!$H52*EF!$H70)*NtoN2O*kgtoGg)</f>
        <v>1.2937796671040344E-2</v>
      </c>
      <c r="AB52" s="27">
        <f>IF(('Activity data'!AB21*EF!$H52*EF!$H70)*NtoN2O*kgtoGg=0,"NO",('Activity data'!AB21*EF!$H52*EF!$H70)*NtoN2O*kgtoGg)</f>
        <v>1.3441768554842816E-2</v>
      </c>
      <c r="AC52" s="27">
        <f>IF(('Activity data'!AC21*EF!$H52*EF!$H70)*NtoN2O*kgtoGg=0,"NO",('Activity data'!AC21*EF!$H52*EF!$H70)*NtoN2O*kgtoGg)</f>
        <v>1.4062204549784241E-2</v>
      </c>
      <c r="AD52" s="27">
        <f>IF(('Activity data'!AD21*EF!$H52*EF!$H70)*NtoN2O*kgtoGg=0,"NO",('Activity data'!AD21*EF!$H52*EF!$H70)*NtoN2O*kgtoGg)</f>
        <v>1.3660093635870424E-2</v>
      </c>
      <c r="AE52" s="27">
        <f>IF(('Activity data'!AE21*EF!$H52*EF!$H70)*NtoN2O*kgtoGg=0,"NO",('Activity data'!AE21*EF!$H52*EF!$H70)*NtoN2O*kgtoGg)</f>
        <v>1.3937830420255735E-2</v>
      </c>
      <c r="AF52" s="27">
        <f>IF(('Activity data'!AF21*EF!$H52*EF!$H70)*NtoN2O*kgtoGg=0,"NO",('Activity data'!AF21*EF!$H52*EF!$H70)*NtoN2O*kgtoGg)</f>
        <v>1.4262478398481276E-2</v>
      </c>
      <c r="AG52" s="27">
        <f>IF(('Activity data'!AG21*EF!$H52*EF!$H70)*NtoN2O*kgtoGg=0,"NO",('Activity data'!AG21*EF!$H52*EF!$H70)*NtoN2O*kgtoGg)</f>
        <v>1.4511718638084306E-2</v>
      </c>
      <c r="AH52" s="27">
        <f>IF(('Activity data'!AH21*EF!$H52*EF!$H70)*NtoN2O*kgtoGg=0,"NO",('Activity data'!AH21*EF!$H52*EF!$H70)*NtoN2O*kgtoGg)</f>
        <v>1.4711795979713132E-2</v>
      </c>
      <c r="AI52" s="27">
        <f>IF(('Activity data'!AI21*EF!$H52*EF!H70)*NtoN2O*kgtoGg=0,"NO",('Activity data'!AI21*EF!$H52*EF!H70)*NtoN2O*kgtoGg)</f>
        <v>1.4861520550190493E-2</v>
      </c>
      <c r="AJ52" s="27">
        <f>IF(('Activity data'!AJ21*EF!$H52*EF!I70)*NtoN2O*kgtoGg=0,"NO",('Activity data'!AJ21*EF!$H52*EF!I70)*NtoN2O*kgtoGg)</f>
        <v>1.5053508778373347E-2</v>
      </c>
      <c r="AK52" s="27">
        <f>IF(('Activity data'!AK21*EF!$H52*EF!J70)*NtoN2O*kgtoGg=0,"NO",('Activity data'!AK21*EF!$H52*EF!J70)*NtoN2O*kgtoGg)</f>
        <v>1.5253123389732504E-2</v>
      </c>
      <c r="AL52" s="27">
        <f>IF(('Activity data'!AL21*EF!$H52*EF!K70)*NtoN2O*kgtoGg=0,"NO",('Activity data'!AL21*EF!$H52*EF!K70)*NtoN2O*kgtoGg)</f>
        <v>1.45742284149588E-2</v>
      </c>
      <c r="AM52" s="27">
        <f>IF(('Activity data'!AM21*EF!$H52*EF!L70)*NtoN2O*kgtoGg=0,"NO",('Activity data'!AM21*EF!$H52*EF!L70)*NtoN2O*kgtoGg)</f>
        <v>1.4936978657338758E-2</v>
      </c>
      <c r="AN52" s="27">
        <f>IF(('Activity data'!AN21*EF!$H52*EF!M70)*NtoN2O*kgtoGg=0,"NO",('Activity data'!AN21*EF!$H52*EF!M70)*NtoN2O*kgtoGg)</f>
        <v>1.5420403425757045E-2</v>
      </c>
      <c r="AO52" s="27">
        <f>IF(('Activity data'!AO21*EF!$H52*EF!N70)*NtoN2O*kgtoGg=0,"NO",('Activity data'!AO21*EF!$H52*EF!N70)*NtoN2O*kgtoGg)</f>
        <v>1.5716055381248869E-2</v>
      </c>
      <c r="AP52" s="27">
        <f>IF(('Activity data'!AP21*EF!$H52*EF!O70)*NtoN2O*kgtoGg=0,"NO",('Activity data'!AP21*EF!$H52*EF!O70)*NtoN2O*kgtoGg)</f>
        <v>1.6038380919907547E-2</v>
      </c>
      <c r="AQ52" s="27">
        <f>IF(('Activity data'!AQ21*EF!$H52*EF!P70)*NtoN2O*kgtoGg=0,"NO",('Activity data'!AQ21*EF!$H52*EF!P70)*NtoN2O*kgtoGg)</f>
        <v>1.6395535886630449E-2</v>
      </c>
      <c r="AR52" s="27">
        <f>IF(('Activity data'!AR21*EF!$H52*EF!Q70)*NtoN2O*kgtoGg=0,"NO",('Activity data'!AR21*EF!$H52*EF!Q70)*NtoN2O*kgtoGg)</f>
        <v>1.6764430279380526E-2</v>
      </c>
      <c r="AS52" s="27">
        <f>IF(('Activity data'!AS21*EF!$H52*EF!R70)*NtoN2O*kgtoGg=0,"NO",('Activity data'!AS21*EF!$H52*EF!R70)*NtoN2O*kgtoGg)</f>
        <v>1.7162025423259852E-2</v>
      </c>
      <c r="AT52" s="27">
        <f>IF(('Activity data'!AT21*EF!$H52*EF!S70)*NtoN2O*kgtoGg=0,"NO",('Activity data'!AT21*EF!$H52*EF!S70)*NtoN2O*kgtoGg)</f>
        <v>1.7568561909138691E-2</v>
      </c>
      <c r="AU52" s="27">
        <f>IF(('Activity data'!AU21*EF!$H52*EF!T70)*NtoN2O*kgtoGg=0,"NO",('Activity data'!AU21*EF!$H52*EF!T70)*NtoN2O*kgtoGg)</f>
        <v>1.8002631935346944E-2</v>
      </c>
      <c r="AV52" s="27">
        <f>IF(('Activity data'!AV21*EF!$H52*EF!U70)*NtoN2O*kgtoGg=0,"NO",('Activity data'!AV21*EF!$H52*EF!U70)*NtoN2O*kgtoGg)</f>
        <v>1.8444432598854574E-2</v>
      </c>
      <c r="AW52" s="27">
        <f>IF(('Activity data'!AW21*EF!$H52*EF!V70)*NtoN2O*kgtoGg=0,"NO",('Activity data'!AW21*EF!$H52*EF!V70)*NtoN2O*kgtoGg)</f>
        <v>1.8921106165119213E-2</v>
      </c>
      <c r="AX52" s="27">
        <f>IF(('Activity data'!AX21*EF!$H52*EF!W70)*NtoN2O*kgtoGg=0,"NO",('Activity data'!AX21*EF!$H52*EF!W70)*NtoN2O*kgtoGg)</f>
        <v>1.9392857554310274E-2</v>
      </c>
      <c r="AY52" s="27">
        <f>IF(('Activity data'!AY21*EF!$H52*EF!X70)*NtoN2O*kgtoGg=0,"NO",('Activity data'!AY21*EF!$H52*EF!X70)*NtoN2O*kgtoGg)</f>
        <v>1.988637607417253E-2</v>
      </c>
      <c r="AZ52" s="27">
        <f>IF(('Activity data'!AZ21*EF!$H52*EF!Y70)*NtoN2O*kgtoGg=0,"NO",('Activity data'!AZ21*EF!$H52*EF!Y70)*NtoN2O*kgtoGg)</f>
        <v>2.0434112967013793E-2</v>
      </c>
      <c r="BA52" s="27">
        <f>IF(('Activity data'!BA21*EF!$H52*EF!Z70)*NtoN2O*kgtoGg=0,"NO",('Activity data'!BA21*EF!$H52*EF!Z70)*NtoN2O*kgtoGg)</f>
        <v>2.0959956336489938E-2</v>
      </c>
      <c r="BB52" s="27">
        <f>IF(('Activity data'!BB21*EF!$H52*EF!AA70)*NtoN2O*kgtoGg=0,"NO",('Activity data'!BB21*EF!$H52*EF!AA70)*NtoN2O*kgtoGg)</f>
        <v>2.1503763495753996E-2</v>
      </c>
      <c r="BC52" s="27">
        <f>IF(('Activity data'!BC21*EF!$H52*EF!AB70)*NtoN2O*kgtoGg=0,"NO",('Activity data'!BC21*EF!$H52*EF!AB70)*NtoN2O*kgtoGg)</f>
        <v>2.2080286026796948E-2</v>
      </c>
      <c r="BD52" s="27">
        <f>IF(('Activity data'!BD21*EF!$H52*EF!AC70)*NtoN2O*kgtoGg=0,"NO",('Activity data'!BD21*EF!$H52*EF!AC70)*NtoN2O*kgtoGg)</f>
        <v>2.2627107721207101E-2</v>
      </c>
      <c r="BE52" s="27">
        <f>IF(('Activity data'!BE21*EF!$H52*EF!AD70)*NtoN2O*kgtoGg=0,"NO",('Activity data'!BE21*EF!$H52*EF!AD70)*NtoN2O*kgtoGg)</f>
        <v>2.3172439062110847E-2</v>
      </c>
      <c r="BF52" s="27">
        <f>IF(('Activity data'!BF21*EF!$H52*EF!AE70)*NtoN2O*kgtoGg=0,"NO",('Activity data'!BF21*EF!$H52*EF!AE70)*NtoN2O*kgtoGg)</f>
        <v>2.371753464093004E-2</v>
      </c>
      <c r="BG52" s="27">
        <f>IF(('Activity data'!BG21*EF!$H52*EF!AF70)*NtoN2O*kgtoGg=0,"NO",('Activity data'!BG21*EF!$H52*EF!AF70)*NtoN2O*kgtoGg)</f>
        <v>2.4295855104154534E-2</v>
      </c>
      <c r="BH52" s="27">
        <f>IF(('Activity data'!BH21*EF!$H52*EF!AG70)*NtoN2O*kgtoGg=0,"NO",('Activity data'!BH21*EF!$H52*EF!AG70)*NtoN2O*kgtoGg)</f>
        <v>2.4855761161942075E-2</v>
      </c>
      <c r="BI52" s="27">
        <f>IF(('Activity data'!BI21*EF!$H52*EF!AH70)*NtoN2O*kgtoGg=0,"NO",('Activity data'!BI21*EF!$H52*EF!AH70)*NtoN2O*kgtoGg)</f>
        <v>2.5435056934590854E-2</v>
      </c>
      <c r="BJ52" s="27">
        <f>IF(('Activity data'!BJ21*EF!$H52*EF!AI70)*NtoN2O*kgtoGg=0,"NO",('Activity data'!BJ21*EF!$H52*EF!AI70)*NtoN2O*kgtoGg)</f>
        <v>2.6036160699937267E-2</v>
      </c>
      <c r="BK52" s="27">
        <f>IF(('Activity data'!BK21*EF!$H52*EF!AJ70)*NtoN2O*kgtoGg=0,"NO",('Activity data'!BK21*EF!$H52*EF!AJ70)*NtoN2O*kgtoGg)</f>
        <v>2.6662879185516769E-2</v>
      </c>
      <c r="BL52" s="27">
        <f>IF(('Activity data'!BL21*EF!$H52*EF!AK70)*NtoN2O*kgtoGg=0,"NO",('Activity data'!BL21*EF!$H52*EF!AK70)*NtoN2O*kgtoGg)</f>
        <v>2.7306334789071466E-2</v>
      </c>
      <c r="BM52" s="27">
        <f>IF(('Activity data'!BM21*EF!$H52*EF!AL70)*NtoN2O*kgtoGg=0,"NO",('Activity data'!BM21*EF!$H52*EF!AL70)*NtoN2O*kgtoGg)</f>
        <v>2.7531714483434007E-2</v>
      </c>
      <c r="BN52" s="27">
        <f>IF(('Activity data'!BN21*EF!$H52*EF!AM70)*NtoN2O*kgtoGg=0,"NO",('Activity data'!BN21*EF!$H52*EF!AM70)*NtoN2O*kgtoGg)</f>
        <v>2.7718383757735835E-2</v>
      </c>
      <c r="BO52" s="27">
        <f>IF(('Activity data'!BO21*EF!$H52*EF!AN70)*NtoN2O*kgtoGg=0,"NO",('Activity data'!BO21*EF!$H52*EF!AN70)*NtoN2O*kgtoGg)</f>
        <v>2.7848741900997311E-2</v>
      </c>
      <c r="BP52" s="27">
        <f>IF(('Activity data'!BP21*EF!$H52*EF!AO70)*NtoN2O*kgtoGg=0,"NO",('Activity data'!BP21*EF!$H52*EF!AO70)*NtoN2O*kgtoGg)</f>
        <v>2.7962426225069836E-2</v>
      </c>
    </row>
    <row r="53" spans="1:68" x14ac:dyDescent="0.3">
      <c r="A53" t="str">
        <f t="shared" si="1"/>
        <v>3A Livestock</v>
      </c>
      <c r="B53" t="str">
        <f t="shared" si="11"/>
        <v>3A2 Manure management (N2O)</v>
      </c>
      <c r="C53" t="str">
        <f>EF!C71</f>
        <v>3A2i Poultry</v>
      </c>
      <c r="D53" t="str">
        <f>EF!D71</f>
        <v>Subsistence broilers</v>
      </c>
      <c r="E53" t="str">
        <f t="shared" si="9"/>
        <v>Manure management Emissions</v>
      </c>
      <c r="F53" t="s">
        <v>139</v>
      </c>
      <c r="G53" t="str">
        <f t="shared" si="10"/>
        <v>Gg N2O</v>
      </c>
      <c r="H53" s="27">
        <f>IF(('Activity data'!H22*EF!$H53*EF!$H71)*NtoN2O*kgtoGg=0,"NO",('Activity data'!H22*EF!$H53*EF!$H71)*NtoN2O*kgtoGg)</f>
        <v>3.0631007930708259E-2</v>
      </c>
      <c r="I53" s="27">
        <f>IF(('Activity data'!I22*EF!$H53*EF!$H71)*NtoN2O*kgtoGg=0,"NO",('Activity data'!I22*EF!$H53*EF!$H71)*NtoN2O*kgtoGg)</f>
        <v>2.8793147492029023E-2</v>
      </c>
      <c r="J53" s="27">
        <f>IF(('Activity data'!J22*EF!$H53*EF!$H71)*NtoN2O*kgtoGg=0,"NO",('Activity data'!J22*EF!$H53*EF!$H71)*NtoN2O*kgtoGg)</f>
        <v>2.7211584095723697E-2</v>
      </c>
      <c r="K53" s="27">
        <f>IF(('Activity data'!K22*EF!$H53*EF!$H71)*NtoN2O*kgtoGg=0,"NO",('Activity data'!K22*EF!$H53*EF!$H71)*NtoN2O*kgtoGg)</f>
        <v>3.0603358919319371E-2</v>
      </c>
      <c r="L53" s="27">
        <f>IF(('Activity data'!L22*EF!$H53*EF!$H71)*NtoN2O*kgtoGg=0,"NO",('Activity data'!L22*EF!$H53*EF!$H71)*NtoN2O*kgtoGg)</f>
        <v>3.0316338003134366E-2</v>
      </c>
      <c r="M53" s="27">
        <f>IF(('Activity data'!M22*EF!$H53*EF!$H71)*NtoN2O*kgtoGg=0,"NO",('Activity data'!M22*EF!$H53*EF!$H71)*NtoN2O*kgtoGg)</f>
        <v>3.4701480680698171E-2</v>
      </c>
      <c r="N53" s="27">
        <f>IF(('Activity data'!N22*EF!$H53*EF!$H71)*NtoN2O*kgtoGg=0,"NO",('Activity data'!N22*EF!$H53*EF!$H71)*NtoN2O*kgtoGg)</f>
        <v>4.0348877484152244E-2</v>
      </c>
      <c r="O53" s="27">
        <f>IF(('Activity data'!O22*EF!$H53*EF!$H71)*NtoN2O*kgtoGg=0,"NO",('Activity data'!O22*EF!$H53*EF!$H71)*NtoN2O*kgtoGg)</f>
        <v>4.1070545099867725E-2</v>
      </c>
      <c r="P53" s="27">
        <f>IF(('Activity data'!P22*EF!$H53*EF!$H71)*NtoN2O*kgtoGg=0,"NO",('Activity data'!P22*EF!$H53*EF!$H71)*NtoN2O*kgtoGg)</f>
        <v>4.5002347826211216E-2</v>
      </c>
      <c r="Q53" s="27">
        <f>IF(('Activity data'!Q22*EF!$H53*EF!$H71)*NtoN2O*kgtoGg=0,"NO",('Activity data'!Q22*EF!$H53*EF!$H71)*NtoN2O*kgtoGg)</f>
        <v>4.6981946328317245E-2</v>
      </c>
      <c r="R53" s="27">
        <f>IF(('Activity data'!R22*EF!$H53*EF!$H71)*NtoN2O*kgtoGg=0,"NO",('Activity data'!R22*EF!$H53*EF!$H71)*NtoN2O*kgtoGg)</f>
        <v>5.0549112201340313E-2</v>
      </c>
      <c r="S53" s="27">
        <f>IF(('Activity data'!S22*EF!$H53*EF!$H71)*NtoN2O*kgtoGg=0,"NO",('Activity data'!S22*EF!$H53*EF!$H71)*NtoN2O*kgtoGg)</f>
        <v>4.8810479324796478E-2</v>
      </c>
      <c r="T53" s="27">
        <f>IF(('Activity data'!T22*EF!$H53*EF!$H71)*NtoN2O*kgtoGg=0,"NO",('Activity data'!T22*EF!$H53*EF!$H71)*NtoN2O*kgtoGg)</f>
        <v>5.4097843457843853E-2</v>
      </c>
      <c r="U53" s="27">
        <f>IF(('Activity data'!U22*EF!$H53*EF!$H71)*NtoN2O*kgtoGg=0,"NO",('Activity data'!U22*EF!$H53*EF!$H71)*NtoN2O*kgtoGg)</f>
        <v>5.1455215854469313E-2</v>
      </c>
      <c r="V53" s="27">
        <f>IF(('Activity data'!V22*EF!$H53*EF!$H71)*NtoN2O*kgtoGg=0,"NO",('Activity data'!V22*EF!$H53*EF!$H71)*NtoN2O*kgtoGg)</f>
        <v>5.2697389652281851E-2</v>
      </c>
      <c r="W53" s="27">
        <f>IF(('Activity data'!W22*EF!$H53*EF!$H71)*NtoN2O*kgtoGg=0,"NO",('Activity data'!W22*EF!$H53*EF!$H71)*NtoN2O*kgtoGg)</f>
        <v>5.8308328376461827E-2</v>
      </c>
      <c r="X53" s="27">
        <f>IF(('Activity data'!X22*EF!$H53*EF!$H71)*NtoN2O*kgtoGg=0,"NO",('Activity data'!X22*EF!$H53*EF!$H71)*NtoN2O*kgtoGg)</f>
        <v>6.236620689468618E-2</v>
      </c>
      <c r="Y53" s="27">
        <f>IF(('Activity data'!Y22*EF!$H53*EF!$H71)*NtoN2O*kgtoGg=0,"NO",('Activity data'!Y22*EF!$H53*EF!$H71)*NtoN2O*kgtoGg)</f>
        <v>6.5252147495665797E-2</v>
      </c>
      <c r="Z53" s="27">
        <f>IF(('Activity data'!Z22*EF!$H53*EF!$H71)*NtoN2O*kgtoGg=0,"NO",('Activity data'!Z22*EF!$H53*EF!$H71)*NtoN2O*kgtoGg)</f>
        <v>6.9475819230302827E-2</v>
      </c>
      <c r="AA53" s="27">
        <f>IF(('Activity data'!AA22*EF!$H53*EF!$H71)*NtoN2O*kgtoGg=0,"NO",('Activity data'!AA22*EF!$H53*EF!$H71)*NtoN2O*kgtoGg)</f>
        <v>6.555804138550686E-2</v>
      </c>
      <c r="AB53" s="27">
        <f>IF(('Activity data'!AB22*EF!$H53*EF!$H71)*NtoN2O*kgtoGg=0,"NO",('Activity data'!AB22*EF!$H53*EF!$H71)*NtoN2O*kgtoGg)</f>
        <v>6.7206878400838194E-2</v>
      </c>
      <c r="AC53" s="27">
        <f>IF(('Activity data'!AC22*EF!$H53*EF!$H71)*NtoN2O*kgtoGg=0,"NO",('Activity data'!AC22*EF!$H53*EF!$H71)*NtoN2O*kgtoGg)</f>
        <v>6.9509531922226239E-2</v>
      </c>
      <c r="AD53" s="27">
        <f>IF(('Activity data'!AD22*EF!$H53*EF!$H71)*NtoN2O*kgtoGg=0,"NO",('Activity data'!AD22*EF!$H53*EF!$H71)*NtoN2O*kgtoGg)</f>
        <v>7.0904798648479067E-2</v>
      </c>
      <c r="AE53" s="27">
        <f>IF(('Activity data'!AE22*EF!$H53*EF!$H71)*NtoN2O*kgtoGg=0,"NO",('Activity data'!AE22*EF!$H53*EF!$H71)*NtoN2O*kgtoGg)</f>
        <v>7.1838488113865229E-2</v>
      </c>
      <c r="AF53" s="27">
        <f>IF(('Activity data'!AF22*EF!$H53*EF!$H71)*NtoN2O*kgtoGg=0,"NO",('Activity data'!AF22*EF!$H53*EF!$H71)*NtoN2O*kgtoGg)</f>
        <v>7.333826122290886E-2</v>
      </c>
      <c r="AG53" s="27">
        <f>IF(('Activity data'!AG22*EF!$H53*EF!$H71)*NtoN2O*kgtoGg=0,"NO",('Activity data'!AG22*EF!$H53*EF!$H71)*NtoN2O*kgtoGg)</f>
        <v>7.3768889900085552E-2</v>
      </c>
      <c r="AH53" s="27">
        <f>IF(('Activity data'!AH22*EF!$H53*EF!$H71)*NtoN2O*kgtoGg=0,"NO",('Activity data'!AH22*EF!$H53*EF!$H71)*NtoN2O*kgtoGg)</f>
        <v>7.3504831661853232E-2</v>
      </c>
      <c r="AI53" s="27">
        <f>IF(('Activity data'!AI22*EF!$H53*EF!H71)*NtoN2O*kgtoGg=0,"NO",('Activity data'!AI22*EF!$H53*EF!H71)*NtoN2O*kgtoGg)</f>
        <v>7.2548895925592424E-2</v>
      </c>
      <c r="AJ53" s="27">
        <f>IF(('Activity data'!AJ22*EF!$H53*EF!I71)*NtoN2O*kgtoGg=0,"NO",('Activity data'!AJ22*EF!$H53*EF!I71)*NtoN2O*kgtoGg)</f>
        <v>7.2146468817327461E-2</v>
      </c>
      <c r="AK53" s="27">
        <f>IF(('Activity data'!AK22*EF!$H53*EF!J71)*NtoN2O*kgtoGg=0,"NO",('Activity data'!AK22*EF!$H53*EF!J71)*NtoN2O*kgtoGg)</f>
        <v>7.1835339545248775E-2</v>
      </c>
      <c r="AL53" s="27">
        <f>IF(('Activity data'!AL22*EF!$H53*EF!K71)*NtoN2O*kgtoGg=0,"NO",('Activity data'!AL22*EF!$H53*EF!K71)*NtoN2O*kgtoGg)</f>
        <v>6.0553462411913554E-2</v>
      </c>
      <c r="AM53" s="27">
        <f>IF(('Activity data'!AM22*EF!$H53*EF!L71)*NtoN2O*kgtoGg=0,"NO",('Activity data'!AM22*EF!$H53*EF!L71)*NtoN2O*kgtoGg)</f>
        <v>6.2951673990704532E-2</v>
      </c>
      <c r="AN53" s="27">
        <f>IF(('Activity data'!AN22*EF!$H53*EF!M71)*NtoN2O*kgtoGg=0,"NO",('Activity data'!AN22*EF!$H53*EF!M71)*NtoN2O*kgtoGg)</f>
        <v>6.6779065471287438E-2</v>
      </c>
      <c r="AO53" s="27">
        <f>IF(('Activity data'!AO22*EF!$H53*EF!N71)*NtoN2O*kgtoGg=0,"NO",('Activity data'!AO22*EF!$H53*EF!N71)*NtoN2O*kgtoGg)</f>
        <v>6.8254568898105869E-2</v>
      </c>
      <c r="AP53" s="27">
        <f>IF(('Activity data'!AP22*EF!$H53*EF!O71)*NtoN2O*kgtoGg=0,"NO",('Activity data'!AP22*EF!$H53*EF!O71)*NtoN2O*kgtoGg)</f>
        <v>7.0020292911694371E-2</v>
      </c>
      <c r="AQ53" s="27">
        <f>IF(('Activity data'!AQ22*EF!$H53*EF!P71)*NtoN2O*kgtoGg=0,"NO",('Activity data'!AQ22*EF!$H53*EF!P71)*NtoN2O*kgtoGg)</f>
        <v>7.2165945155508851E-2</v>
      </c>
      <c r="AR53" s="27">
        <f>IF(('Activity data'!AR22*EF!$H53*EF!Q71)*NtoN2O*kgtoGg=0,"NO",('Activity data'!AR22*EF!$H53*EF!Q71)*NtoN2O*kgtoGg)</f>
        <v>7.4629791965159634E-2</v>
      </c>
      <c r="AS53" s="27">
        <f>IF(('Activity data'!AS22*EF!$H53*EF!R71)*NtoN2O*kgtoGg=0,"NO",('Activity data'!AS22*EF!$H53*EF!R71)*NtoN2O*kgtoGg)</f>
        <v>7.738893067802953E-2</v>
      </c>
      <c r="AT53" s="27">
        <f>IF(('Activity data'!AT22*EF!$H53*EF!S71)*NtoN2O*kgtoGg=0,"NO",('Activity data'!AT22*EF!$H53*EF!S71)*NtoN2O*kgtoGg)</f>
        <v>8.0206661196254428E-2</v>
      </c>
      <c r="AU53" s="27">
        <f>IF(('Activity data'!AU22*EF!$H53*EF!T71)*NtoN2O*kgtoGg=0,"NO",('Activity data'!AU22*EF!$H53*EF!T71)*NtoN2O*kgtoGg)</f>
        <v>8.3296849166076437E-2</v>
      </c>
      <c r="AV53" s="27">
        <f>IF(('Activity data'!AV22*EF!$H53*EF!U71)*NtoN2O*kgtoGg=0,"NO",('Activity data'!AV22*EF!$H53*EF!U71)*NtoN2O*kgtoGg)</f>
        <v>8.6426659244695656E-2</v>
      </c>
      <c r="AW53" s="27">
        <f>IF(('Activity data'!AW22*EF!$H53*EF!V71)*NtoN2O*kgtoGg=0,"NO",('Activity data'!AW22*EF!$H53*EF!V71)*NtoN2O*kgtoGg)</f>
        <v>9.0080341376754844E-2</v>
      </c>
      <c r="AX53" s="27">
        <f>IF(('Activity data'!AX22*EF!$H53*EF!W71)*NtoN2O*kgtoGg=0,"NO",('Activity data'!AX22*EF!$H53*EF!W71)*NtoN2O*kgtoGg)</f>
        <v>9.3626057457867992E-2</v>
      </c>
      <c r="AY53" s="27">
        <f>IF(('Activity data'!AY22*EF!$H53*EF!X71)*NtoN2O*kgtoGg=0,"NO",('Activity data'!AY22*EF!$H53*EF!X71)*NtoN2O*kgtoGg)</f>
        <v>9.7366244433175556E-2</v>
      </c>
      <c r="AZ53" s="27">
        <f>IF(('Activity data'!AZ22*EF!$H53*EF!Y71)*NtoN2O*kgtoGg=0,"NO",('Activity data'!AZ22*EF!$H53*EF!Y71)*NtoN2O*kgtoGg)</f>
        <v>0.10165923306598072</v>
      </c>
      <c r="BA53" s="27">
        <f>IF(('Activity data'!BA22*EF!$H53*EF!Z71)*NtoN2O*kgtoGg=0,"NO",('Activity data'!BA22*EF!$H53*EF!Z71)*NtoN2O*kgtoGg)</f>
        <v>0.10565153800521729</v>
      </c>
      <c r="BB53" s="27">
        <f>IF(('Activity data'!BB22*EF!$H53*EF!AA71)*NtoN2O*kgtoGg=0,"NO",('Activity data'!BB22*EF!$H53*EF!AA71)*NtoN2O*kgtoGg)</f>
        <v>0.10995197307404567</v>
      </c>
      <c r="BC53" s="27">
        <f>IF(('Activity data'!BC22*EF!$H53*EF!AB71)*NtoN2O*kgtoGg=0,"NO",('Activity data'!BC22*EF!$H53*EF!AB71)*NtoN2O*kgtoGg)</f>
        <v>0.11455624026038116</v>
      </c>
      <c r="BD53" s="27">
        <f>IF(('Activity data'!BD22*EF!$H53*EF!AC71)*NtoN2O*kgtoGg=0,"NO",('Activity data'!BD22*EF!$H53*EF!AC71)*NtoN2O*kgtoGg)</f>
        <v>0.11878116615233021</v>
      </c>
      <c r="BE53" s="27">
        <f>IF(('Activity data'!BE22*EF!$H53*EF!AD71)*NtoN2O*kgtoGg=0,"NO",('Activity data'!BE22*EF!$H53*EF!AD71)*NtoN2O*kgtoGg)</f>
        <v>0.12293894883269324</v>
      </c>
      <c r="BF53" s="27">
        <f>IF(('Activity data'!BF22*EF!$H53*EF!AE71)*NtoN2O*kgtoGg=0,"NO",('Activity data'!BF22*EF!$H53*EF!AE71)*NtoN2O*kgtoGg)</f>
        <v>0.12704476610482884</v>
      </c>
      <c r="BG53" s="27">
        <f>IF(('Activity data'!BG22*EF!$H53*EF!AF71)*NtoN2O*kgtoGg=0,"NO",('Activity data'!BG22*EF!$H53*EF!AF71)*NtoN2O*kgtoGg)</f>
        <v>0.13160755775712291</v>
      </c>
      <c r="BH53" s="27">
        <f>IF(('Activity data'!BH22*EF!$H53*EF!AG71)*NtoN2O*kgtoGg=0,"NO",('Activity data'!BH22*EF!$H53*EF!AG71)*NtoN2O*kgtoGg)</f>
        <v>0.13592438596760945</v>
      </c>
      <c r="BI53" s="27">
        <f>IF(('Activity data'!BI22*EF!$H53*EF!AH71)*NtoN2O*kgtoGg=0,"NO",('Activity data'!BI22*EF!$H53*EF!AH71)*NtoN2O*kgtoGg)</f>
        <v>0.14039851418530233</v>
      </c>
      <c r="BJ53" s="27">
        <f>IF(('Activity data'!BJ22*EF!$H53*EF!AI71)*NtoN2O*kgtoGg=0,"NO",('Activity data'!BJ22*EF!$H53*EF!AI71)*NtoN2O*kgtoGg)</f>
        <v>0.14505302116887739</v>
      </c>
      <c r="BK53" s="27">
        <f>IF(('Activity data'!BK22*EF!$H53*EF!AJ71)*NtoN2O*kgtoGg=0,"NO",('Activity data'!BK22*EF!$H53*EF!AJ71)*NtoN2O*kgtoGg)</f>
        <v>0.14992497147907843</v>
      </c>
      <c r="BL53" s="27">
        <f>IF(('Activity data'!BL22*EF!$H53*EF!AK71)*NtoN2O*kgtoGg=0,"NO",('Activity data'!BL22*EF!$H53*EF!AK71)*NtoN2O*kgtoGg)</f>
        <v>0.15506967538266181</v>
      </c>
      <c r="BM53" s="27">
        <f>IF(('Activity data'!BM22*EF!$H53*EF!AL71)*NtoN2O*kgtoGg=0,"NO",('Activity data'!BM22*EF!$H53*EF!AL71)*NtoN2O*kgtoGg)</f>
        <v>0.15585293020550561</v>
      </c>
      <c r="BN53" s="27">
        <f>IF(('Activity data'!BN22*EF!$H53*EF!AM71)*NtoN2O*kgtoGg=0,"NO",('Activity data'!BN22*EF!$H53*EF!AM71)*NtoN2O*kgtoGg)</f>
        <v>0.1562350541685969</v>
      </c>
      <c r="BO53" s="27">
        <f>IF(('Activity data'!BO22*EF!$H53*EF!AN71)*NtoN2O*kgtoGg=0,"NO",('Activity data'!BO22*EF!$H53*EF!AN71)*NtoN2O*kgtoGg)</f>
        <v>0.15604273194925225</v>
      </c>
      <c r="BP53" s="27">
        <f>IF(('Activity data'!BP22*EF!$H53*EF!AO71)*NtoN2O*kgtoGg=0,"NO",('Activity data'!BP22*EF!$H53*EF!AO71)*NtoN2O*kgtoGg)</f>
        <v>0.15568688012461812</v>
      </c>
    </row>
    <row r="54" spans="1:68" x14ac:dyDescent="0.3">
      <c r="A54" t="str">
        <f>'IPCC Categories'!A59</f>
        <v>3C Aggregated and non-CO2 emissions on land</v>
      </c>
      <c r="B54" t="str">
        <f>'IPCC Categories'!B59</f>
        <v>3C1 Biomass burning (CH4)</v>
      </c>
      <c r="C54" t="str">
        <f>'IPCC Categories'!C59</f>
        <v>3C1a Biomass burning in forest land</v>
      </c>
      <c r="D54" t="str">
        <f>EF!D84</f>
        <v>Indigenous forests</v>
      </c>
      <c r="E54" t="s">
        <v>640</v>
      </c>
      <c r="F54" t="s">
        <v>121</v>
      </c>
      <c r="G54" t="s">
        <v>286</v>
      </c>
      <c r="H54" s="22">
        <f>INDEX('Activity data'!H$24:H$39,MATCH(Emissions!$D54,'Activity data'!$D$24:$D$39,0))*INDEX(EF!$H$84:$H$99,MATCH(Emissions!$D54,EF!$D$84:$D$99,0))*INDEX(EF!$H$100:$H$115,MATCH(Emissions!$D54,EF!$D$100:$D$115,0))*INDEX(EF!$H$116:$H$131,MATCH(Emissions!$D54,EF!$D$116:$D$131,0))*kgtoGg</f>
        <v>1.2960963903843976</v>
      </c>
      <c r="I54" s="22">
        <f>INDEX('Activity data'!I$24:I$39,MATCH(Emissions!$D54,'Activity data'!$D$24:$D$39,0))*INDEX(EF!$H$84:$H$99,MATCH(Emissions!$D54,EF!$D$84:$D$99,0))*INDEX(EF!$H$100:$H$115,MATCH(Emissions!$D54,EF!$D$100:$D$115,0))*INDEX(EF!$H$116:$H$131,MATCH(Emissions!$D54,EF!$D$116:$D$131,0))*kgtoGg</f>
        <v>1.2960963903843976</v>
      </c>
      <c r="J54" s="22">
        <f>INDEX('Activity data'!J$24:J$39,MATCH(Emissions!$D54,'Activity data'!$D$24:$D$39,0))*INDEX(EF!$H$84:$H$99,MATCH(Emissions!$D54,EF!$D$84:$D$99,0))*INDEX(EF!$H$100:$H$115,MATCH(Emissions!$D54,EF!$D$100:$D$115,0))*INDEX(EF!$H$116:$H$131,MATCH(Emissions!$D54,EF!$D$116:$D$131,0))*kgtoGg</f>
        <v>1.2960963903843976</v>
      </c>
      <c r="K54" s="22">
        <f>INDEX('Activity data'!K$24:K$39,MATCH(Emissions!$D54,'Activity data'!$D$24:$D$39,0))*INDEX(EF!$H$84:$H$99,MATCH(Emissions!$D54,EF!$D$84:$D$99,0))*INDEX(EF!$H$100:$H$115,MATCH(Emissions!$D54,EF!$D$100:$D$115,0))*INDEX(EF!$H$116:$H$131,MATCH(Emissions!$D54,EF!$D$116:$D$131,0))*kgtoGg</f>
        <v>1.2960963903843976</v>
      </c>
      <c r="L54" s="22">
        <f>INDEX('Activity data'!L$24:L$39,MATCH(Emissions!$D54,'Activity data'!$D$24:$D$39,0))*INDEX(EF!$H$84:$H$99,MATCH(Emissions!$D54,EF!$D$84:$D$99,0))*INDEX(EF!$H$100:$H$115,MATCH(Emissions!$D54,EF!$D$100:$D$115,0))*INDEX(EF!$H$116:$H$131,MATCH(Emissions!$D54,EF!$D$116:$D$131,0))*kgtoGg</f>
        <v>1.2960963903843976</v>
      </c>
      <c r="M54" s="22">
        <f>INDEX('Activity data'!M$24:M$39,MATCH(Emissions!$D54,'Activity data'!$D$24:$D$39,0))*INDEX(EF!$H$84:$H$99,MATCH(Emissions!$D54,EF!$D$84:$D$99,0))*INDEX(EF!$H$100:$H$115,MATCH(Emissions!$D54,EF!$D$100:$D$115,0))*INDEX(EF!$H$116:$H$131,MATCH(Emissions!$D54,EF!$D$116:$D$131,0))*kgtoGg</f>
        <v>1.2960963903843976</v>
      </c>
      <c r="N54" s="22">
        <f>INDEX('Activity data'!N$24:N$39,MATCH(Emissions!$D54,'Activity data'!$D$24:$D$39,0))*INDEX(EF!$H$84:$H$99,MATCH(Emissions!$D54,EF!$D$84:$D$99,0))*INDEX(EF!$H$100:$H$115,MATCH(Emissions!$D54,EF!$D$100:$D$115,0))*INDEX(EF!$H$116:$H$131,MATCH(Emissions!$D54,EF!$D$116:$D$131,0))*kgtoGg</f>
        <v>1.2960963903843976</v>
      </c>
      <c r="O54" s="22">
        <f>INDEX('Activity data'!O$24:O$39,MATCH(Emissions!$D54,'Activity data'!$D$24:$D$39,0))*INDEX(EF!$H$84:$H$99,MATCH(Emissions!$D54,EF!$D$84:$D$99,0))*INDEX(EF!$H$100:$H$115,MATCH(Emissions!$D54,EF!$D$100:$D$115,0))*INDEX(EF!$H$116:$H$131,MATCH(Emissions!$D54,EF!$D$116:$D$131,0))*kgtoGg</f>
        <v>1.2960963903843976</v>
      </c>
      <c r="P54" s="22">
        <f>INDEX('Activity data'!P$24:P$39,MATCH(Emissions!$D54,'Activity data'!$D$24:$D$39,0))*INDEX(EF!$H$84:$H$99,MATCH(Emissions!$D54,EF!$D$84:$D$99,0))*INDEX(EF!$H$100:$H$115,MATCH(Emissions!$D54,EF!$D$100:$D$115,0))*INDEX(EF!$H$116:$H$131,MATCH(Emissions!$D54,EF!$D$116:$D$131,0))*kgtoGg</f>
        <v>1.2960963903843976</v>
      </c>
      <c r="Q54" s="22">
        <f>INDEX('Activity data'!Q$24:Q$39,MATCH(Emissions!$D54,'Activity data'!$D$24:$D$39,0))*INDEX(EF!$H$84:$H$99,MATCH(Emissions!$D54,EF!$D$84:$D$99,0))*INDEX(EF!$H$100:$H$115,MATCH(Emissions!$D54,EF!$D$100:$D$115,0))*INDEX(EF!$H$116:$H$131,MATCH(Emissions!$D54,EF!$D$116:$D$131,0))*kgtoGg</f>
        <v>1.2960963903843976</v>
      </c>
      <c r="R54" s="22">
        <f>INDEX('Activity data'!R$24:R$39,MATCH(Emissions!$D54,'Activity data'!$D$24:$D$39,0))*INDEX(EF!$H$84:$H$99,MATCH(Emissions!$D54,EF!$D$84:$D$99,0))*INDEX(EF!$H$100:$H$115,MATCH(Emissions!$D54,EF!$D$100:$D$115,0))*INDEX(EF!$H$116:$H$131,MATCH(Emissions!$D54,EF!$D$116:$D$131,0))*kgtoGg</f>
        <v>1.1960332827105857</v>
      </c>
      <c r="S54" s="22">
        <f>INDEX('Activity data'!S$24:S$39,MATCH(Emissions!$D54,'Activity data'!$D$24:$D$39,0))*INDEX(EF!$H$84:$H$99,MATCH(Emissions!$D54,EF!$D$84:$D$99,0))*INDEX(EF!$H$100:$H$115,MATCH(Emissions!$D54,EF!$D$100:$D$115,0))*INDEX(EF!$H$116:$H$131,MATCH(Emissions!$D54,EF!$D$116:$D$131,0))*kgtoGg</f>
        <v>1.3313117329992157</v>
      </c>
      <c r="T54" s="22">
        <f>INDEX('Activity data'!T$24:T$39,MATCH(Emissions!$D54,'Activity data'!$D$24:$D$39,0))*INDEX(EF!$H$84:$H$99,MATCH(Emissions!$D54,EF!$D$84:$D$99,0))*INDEX(EF!$H$100:$H$115,MATCH(Emissions!$D54,EF!$D$100:$D$115,0))*INDEX(EF!$H$116:$H$131,MATCH(Emissions!$D54,EF!$D$116:$D$131,0))*kgtoGg</f>
        <v>1.2175060525976695</v>
      </c>
      <c r="U54" s="22">
        <f>INDEX('Activity data'!U$24:U$39,MATCH(Emissions!$D54,'Activity data'!$D$24:$D$39,0))*INDEX(EF!$H$84:$H$99,MATCH(Emissions!$D54,EF!$D$84:$D$99,0))*INDEX(EF!$H$100:$H$115,MATCH(Emissions!$D54,EF!$D$100:$D$115,0))*INDEX(EF!$H$116:$H$131,MATCH(Emissions!$D54,EF!$D$116:$D$131,0))*kgtoGg</f>
        <v>1.535303046926515</v>
      </c>
      <c r="V54" s="22">
        <f>INDEX('Activity data'!V$24:V$39,MATCH(Emissions!$D54,'Activity data'!$D$24:$D$39,0))*INDEX(EF!$H$84:$H$99,MATCH(Emissions!$D54,EF!$D$84:$D$99,0))*INDEX(EF!$H$100:$H$115,MATCH(Emissions!$D54,EF!$D$100:$D$115,0))*INDEX(EF!$H$116:$H$131,MATCH(Emissions!$D54,EF!$D$116:$D$131,0))*kgtoGg</f>
        <v>1.2003278366880026</v>
      </c>
      <c r="W54" s="22">
        <f>INDEX('Activity data'!W$24:W$39,MATCH(Emissions!$D54,'Activity data'!$D$24:$D$39,0))*INDEX(EF!$H$84:$H$99,MATCH(Emissions!$D54,EF!$D$84:$D$99,0))*INDEX(EF!$H$100:$H$115,MATCH(Emissions!$D54,EF!$D$100:$D$115,0))*INDEX(EF!$H$116:$H$131,MATCH(Emissions!$D54,EF!$D$116:$D$131,0))*kgtoGg</f>
        <v>1.578248586700683</v>
      </c>
      <c r="X54" s="22">
        <f>INDEX('Activity data'!X$24:X$39,MATCH(Emissions!$D54,'Activity data'!$D$24:$D$39,0))*INDEX(EF!$H$84:$H$99,MATCH(Emissions!$D54,EF!$D$84:$D$99,0))*INDEX(EF!$H$100:$H$115,MATCH(Emissions!$D54,EF!$D$100:$D$115,0))*INDEX(EF!$H$116:$H$131,MATCH(Emissions!$D54,EF!$D$116:$D$131,0))*kgtoGg</f>
        <v>1.4086137045927183</v>
      </c>
      <c r="Y54" s="22">
        <f>INDEX('Activity data'!Y$24:Y$39,MATCH(Emissions!$D54,'Activity data'!$D$24:$D$39,0))*INDEX(EF!$H$84:$H$99,MATCH(Emissions!$D54,EF!$D$84:$D$99,0))*INDEX(EF!$H$100:$H$115,MATCH(Emissions!$D54,EF!$D$100:$D$115,0))*INDEX(EF!$H$116:$H$131,MATCH(Emissions!$D54,EF!$D$116:$D$131,0))*kgtoGg</f>
        <v>1.8423636563118175</v>
      </c>
      <c r="Z54" s="22">
        <f>INDEX('Activity data'!Z$24:Z$39,MATCH(Emissions!$D54,'Activity data'!$D$24:$D$39,0))*INDEX(EF!$H$84:$H$99,MATCH(Emissions!$D54,EF!$D$84:$D$99,0))*INDEX(EF!$H$100:$H$115,MATCH(Emissions!$D54,EF!$D$100:$D$115,0))*INDEX(EF!$H$116:$H$131,MATCH(Emissions!$D54,EF!$D$116:$D$131,0))*kgtoGg</f>
        <v>1.5417448778926399</v>
      </c>
      <c r="AA54" s="22">
        <f>INDEX('Activity data'!AA$24:AA$39,MATCH(Emissions!$D54,'Activity data'!$D$24:$D$39,0))*INDEX(EF!$H$84:$H$99,MATCH(Emissions!$D54,EF!$D$84:$D$99,0))*INDEX(EF!$H$100:$H$115,MATCH(Emissions!$D54,EF!$D$100:$D$115,0))*INDEX(EF!$H$116:$H$131,MATCH(Emissions!$D54,EF!$D$116:$D$131,0))*kgtoGg</f>
        <v>1.5202721080055559</v>
      </c>
      <c r="AB54" s="22">
        <f>INDEX('Activity data'!AB$24:AB$39,MATCH(Emissions!$D54,'Activity data'!$D$24:$D$39,0))*INDEX(EF!$H$84:$H$99,MATCH(Emissions!$D54,EF!$D$84:$D$99,0))*INDEX(EF!$H$100:$H$115,MATCH(Emissions!$D54,EF!$D$100:$D$115,0))*INDEX(EF!$H$116:$H$131,MATCH(Emissions!$D54,EF!$D$116:$D$131,0))*kgtoGg</f>
        <v>1.2465275328000001</v>
      </c>
      <c r="AC54" s="22">
        <f>INDEX('Activity data'!AC$24:AC$39,MATCH(Emissions!$D54,'Activity data'!$D$24:$D$39,0))*INDEX(EF!$H$84:$H$99,MATCH(Emissions!$D54,EF!$D$84:$D$99,0))*INDEX(EF!$H$100:$H$115,MATCH(Emissions!$D54,EF!$D$100:$D$115,0))*INDEX(EF!$H$116:$H$131,MATCH(Emissions!$D54,EF!$D$116:$D$131,0))*kgtoGg</f>
        <v>0.93453550740000024</v>
      </c>
      <c r="AD54" s="22">
        <f>INDEX('Activity data'!AD$24:AD$39,MATCH(Emissions!$D54,'Activity data'!$D$24:$D$39,0))*INDEX(EF!$H$84:$H$99,MATCH(Emissions!$D54,EF!$D$84:$D$99,0))*INDEX(EF!$H$100:$H$115,MATCH(Emissions!$D54,EF!$D$100:$D$115,0))*INDEX(EF!$H$116:$H$131,MATCH(Emissions!$D54,EF!$D$116:$D$131,0))*kgtoGg</f>
        <v>1.2653688249152322</v>
      </c>
      <c r="AE54" s="22">
        <f>INDEX('Activity data'!AE$24:AE$39,MATCH(Emissions!$D54,'Activity data'!$D$24:$D$39,0))*INDEX(EF!$H$84:$H$99,MATCH(Emissions!$D54,EF!$D$84:$D$99,0))*INDEX(EF!$H$100:$H$115,MATCH(Emissions!$D54,EF!$D$100:$D$115,0))*INDEX(EF!$H$116:$H$131,MATCH(Emissions!$D54,EF!$D$116:$D$131,0))*kgtoGg</f>
        <v>1.2648288705583226</v>
      </c>
      <c r="AF54" s="22">
        <f>INDEX('Activity data'!AF$24:AF$39,MATCH(Emissions!$D54,'Activity data'!$D$24:$D$39,0))*INDEX(EF!$H$84:$H$99,MATCH(Emissions!$D54,EF!$D$84:$D$99,0))*INDEX(EF!$H$100:$H$115,MATCH(Emissions!$D54,EF!$D$100:$D$115,0))*INDEX(EF!$H$116:$H$131,MATCH(Emissions!$D54,EF!$D$116:$D$131,0))*kgtoGg</f>
        <v>1.2642889162014133</v>
      </c>
      <c r="AG54" s="22">
        <f>INDEX('Activity data'!AG$24:AG$39,MATCH(Emissions!$D54,'Activity data'!$D$24:$D$39,0))*INDEX(EF!$H$84:$H$99,MATCH(Emissions!$D54,EF!$D$84:$D$99,0))*INDEX(EF!$H$100:$H$115,MATCH(Emissions!$D54,EF!$D$100:$D$115,0))*INDEX(EF!$H$116:$H$131,MATCH(Emissions!$D54,EF!$D$116:$D$131,0))*kgtoGg</f>
        <v>1.2637489618445039</v>
      </c>
      <c r="AH54" s="22">
        <f>INDEX('Activity data'!AH$24:AH$39,MATCH(Emissions!$D54,'Activity data'!$D$24:$D$39,0))*INDEX(EF!$H$84:$H$99,MATCH(Emissions!$D54,EF!$D$84:$D$99,0))*INDEX(EF!$H$100:$H$115,MATCH(Emissions!$D54,EF!$D$100:$D$115,0))*INDEX(EF!$H$116:$H$131,MATCH(Emissions!$D54,EF!$D$116:$D$131,0))*kgtoGg</f>
        <v>1.2632090074875946</v>
      </c>
      <c r="AI54" s="22">
        <f>INDEX('Activity data'!AI$24:AI$39,MATCH(Emissions!$D54,'Activity data'!$D$24:$D$39,0))*INDEX(EF!$H$84:$H$99,MATCH(Emissions!$D54,EF!$D$84:$D$99,0))*INDEX(EF!$H$100:$H$115,MATCH(Emissions!$D54,EF!$D$100:$D$115,0))*INDEX(EF!$H$116:$H$131,MATCH(Emissions!$D54,EF!$D$116:$D$131,0))*kgtoGg</f>
        <v>1.262669053130685</v>
      </c>
      <c r="AJ54" s="22">
        <f>INDEX('Activity data'!AJ$24:AJ$39,MATCH(Emissions!$D54,'Activity data'!$D$24:$D$39,0))*INDEX(EF!$H$84:$H$99,MATCH(Emissions!$D54,EF!$D$84:$D$99,0))*INDEX(EF!$H$100:$H$115,MATCH(Emissions!$D54,EF!$D$100:$D$115,0))*INDEX(EF!$H$116:$H$131,MATCH(Emissions!$D54,EF!$D$116:$D$131,0))*kgtoGg</f>
        <v>1.2621290987737757</v>
      </c>
      <c r="AK54" s="22">
        <f>INDEX('Activity data'!AK$24:AK$39,MATCH(Emissions!$D54,'Activity data'!$D$24:$D$39,0))*INDEX(EF!$H$84:$H$99,MATCH(Emissions!$D54,EF!$D$84:$D$99,0))*INDEX(EF!$H$100:$H$115,MATCH(Emissions!$D54,EF!$D$100:$D$115,0))*INDEX(EF!$H$116:$H$131,MATCH(Emissions!$D54,EF!$D$116:$D$131,0))*kgtoGg</f>
        <v>1.2615891444168661</v>
      </c>
      <c r="AL54" s="22">
        <f>INDEX('Activity data'!AL$24:AL$39,MATCH(Emissions!$D54,'Activity data'!$D$24:$D$39,0))*INDEX(EF!$H$84:$H$99,MATCH(Emissions!$D54,EF!$D$84:$D$99,0))*INDEX(EF!$H$100:$H$115,MATCH(Emissions!$D54,EF!$D$100:$D$115,0))*INDEX(EF!$H$116:$H$131,MATCH(Emissions!$D54,EF!$D$116:$D$131,0))*kgtoGg</f>
        <v>1.2610491900599567</v>
      </c>
      <c r="AM54" s="22">
        <f>INDEX('Activity data'!AM$24:AM$39,MATCH(Emissions!$D54,'Activity data'!$D$24:$D$39,0))*INDEX(EF!$H$84:$H$99,MATCH(Emissions!$D54,EF!$D$84:$D$99,0))*INDEX(EF!$H$100:$H$115,MATCH(Emissions!$D54,EF!$D$100:$D$115,0))*INDEX(EF!$H$116:$H$131,MATCH(Emissions!$D54,EF!$D$116:$D$131,0))*kgtoGg</f>
        <v>1.2605092357030474</v>
      </c>
      <c r="AN54" s="22">
        <f>INDEX('Activity data'!AN$24:AN$39,MATCH(Emissions!$D54,'Activity data'!$D$24:$D$39,0))*INDEX(EF!$H$84:$H$99,MATCH(Emissions!$D54,EF!$D$84:$D$99,0))*INDEX(EF!$H$100:$H$115,MATCH(Emissions!$D54,EF!$D$100:$D$115,0))*INDEX(EF!$H$116:$H$131,MATCH(Emissions!$D54,EF!$D$116:$D$131,0))*kgtoGg</f>
        <v>1.2599692813461378</v>
      </c>
      <c r="AO54" s="22">
        <f>INDEX('Activity data'!AO$24:AO$39,MATCH(Emissions!$D54,'Activity data'!$D$24:$D$39,0))*INDEX(EF!$H$84:$H$99,MATCH(Emissions!$D54,EF!$D$84:$D$99,0))*INDEX(EF!$H$100:$H$115,MATCH(Emissions!$D54,EF!$D$100:$D$115,0))*INDEX(EF!$H$116:$H$131,MATCH(Emissions!$D54,EF!$D$116:$D$131,0))*kgtoGg</f>
        <v>1.2594293269892285</v>
      </c>
      <c r="AP54" s="22">
        <f>INDEX('Activity data'!AP$24:AP$39,MATCH(Emissions!$D54,'Activity data'!$D$24:$D$39,0))*INDEX(EF!$H$84:$H$99,MATCH(Emissions!$D54,EF!$D$84:$D$99,0))*INDEX(EF!$H$100:$H$115,MATCH(Emissions!$D54,EF!$D$100:$D$115,0))*INDEX(EF!$H$116:$H$131,MATCH(Emissions!$D54,EF!$D$116:$D$131,0))*kgtoGg</f>
        <v>1.2588893726323194</v>
      </c>
      <c r="AQ54" s="22">
        <f>INDEX('Activity data'!AQ$24:AQ$39,MATCH(Emissions!$D54,'Activity data'!$D$24:$D$39,0))*INDEX(EF!$H$84:$H$99,MATCH(Emissions!$D54,EF!$D$84:$D$99,0))*INDEX(EF!$H$100:$H$115,MATCH(Emissions!$D54,EF!$D$100:$D$115,0))*INDEX(EF!$H$116:$H$131,MATCH(Emissions!$D54,EF!$D$116:$D$131,0))*kgtoGg</f>
        <v>1.2583494182754098</v>
      </c>
      <c r="AR54" s="22">
        <f>INDEX('Activity data'!AR$24:AR$39,MATCH(Emissions!$D54,'Activity data'!$D$24:$D$39,0))*INDEX(EF!$H$84:$H$99,MATCH(Emissions!$D54,EF!$D$84:$D$99,0))*INDEX(EF!$H$100:$H$115,MATCH(Emissions!$D54,EF!$D$100:$D$115,0))*INDEX(EF!$H$116:$H$131,MATCH(Emissions!$D54,EF!$D$116:$D$131,0))*kgtoGg</f>
        <v>1.2578094639185002</v>
      </c>
      <c r="AS54" s="22">
        <f>INDEX('Activity data'!AS$24:AS$39,MATCH(Emissions!$D54,'Activity data'!$D$24:$D$39,0))*INDEX(EF!$H$84:$H$99,MATCH(Emissions!$D54,EF!$D$84:$D$99,0))*INDEX(EF!$H$100:$H$115,MATCH(Emissions!$D54,EF!$D$100:$D$115,0))*INDEX(EF!$H$116:$H$131,MATCH(Emissions!$D54,EF!$D$116:$D$131,0))*kgtoGg</f>
        <v>1.2572695095615909</v>
      </c>
      <c r="AT54" s="22">
        <f>INDEX('Activity data'!AT$24:AT$39,MATCH(Emissions!$D54,'Activity data'!$D$24:$D$39,0))*INDEX(EF!$H$84:$H$99,MATCH(Emissions!$D54,EF!$D$84:$D$99,0))*INDEX(EF!$H$100:$H$115,MATCH(Emissions!$D54,EF!$D$100:$D$115,0))*INDEX(EF!$H$116:$H$131,MATCH(Emissions!$D54,EF!$D$116:$D$131,0))*kgtoGg</f>
        <v>1.2567295552046813</v>
      </c>
      <c r="AU54" s="22">
        <f>INDEX('Activity data'!AU$24:AU$39,MATCH(Emissions!$D54,'Activity data'!$D$24:$D$39,0))*INDEX(EF!$H$84:$H$99,MATCH(Emissions!$D54,EF!$D$84:$D$99,0))*INDEX(EF!$H$100:$H$115,MATCH(Emissions!$D54,EF!$D$100:$D$115,0))*INDEX(EF!$H$116:$H$131,MATCH(Emissions!$D54,EF!$D$116:$D$131,0))*kgtoGg</f>
        <v>1.256189600847772</v>
      </c>
      <c r="AV54" s="22">
        <f>INDEX('Activity data'!AV$24:AV$39,MATCH(Emissions!$D54,'Activity data'!$D$24:$D$39,0))*INDEX(EF!$H$84:$H$99,MATCH(Emissions!$D54,EF!$D$84:$D$99,0))*INDEX(EF!$H$100:$H$115,MATCH(Emissions!$D54,EF!$D$100:$D$115,0))*INDEX(EF!$H$116:$H$131,MATCH(Emissions!$D54,EF!$D$116:$D$131,0))*kgtoGg</f>
        <v>1.2556496464908629</v>
      </c>
      <c r="AW54" s="22">
        <f>INDEX('Activity data'!AW$24:AW$39,MATCH(Emissions!$D54,'Activity data'!$D$24:$D$39,0))*INDEX(EF!$H$84:$H$99,MATCH(Emissions!$D54,EF!$D$84:$D$99,0))*INDEX(EF!$H$100:$H$115,MATCH(Emissions!$D54,EF!$D$100:$D$115,0))*INDEX(EF!$H$116:$H$131,MATCH(Emissions!$D54,EF!$D$116:$D$131,0))*kgtoGg</f>
        <v>1.2551096921339533</v>
      </c>
      <c r="AX54" s="22">
        <f>INDEX('Activity data'!AX$24:AX$39,MATCH(Emissions!$D54,'Activity data'!$D$24:$D$39,0))*INDEX(EF!$H$84:$H$99,MATCH(Emissions!$D54,EF!$D$84:$D$99,0))*INDEX(EF!$H$100:$H$115,MATCH(Emissions!$D54,EF!$D$100:$D$115,0))*INDEX(EF!$H$116:$H$131,MATCH(Emissions!$D54,EF!$D$116:$D$131,0))*kgtoGg</f>
        <v>1.2545697377770435</v>
      </c>
      <c r="AY54" s="22">
        <f>INDEX('Activity data'!AY$24:AY$39,MATCH(Emissions!$D54,'Activity data'!$D$24:$D$39,0))*INDEX(EF!$H$84:$H$99,MATCH(Emissions!$D54,EF!$D$84:$D$99,0))*INDEX(EF!$H$100:$H$115,MATCH(Emissions!$D54,EF!$D$100:$D$115,0))*INDEX(EF!$H$116:$H$131,MATCH(Emissions!$D54,EF!$D$116:$D$131,0))*kgtoGg</f>
        <v>1.2540297834201344</v>
      </c>
      <c r="AZ54" s="22">
        <f>INDEX('Activity data'!AZ$24:AZ$39,MATCH(Emissions!$D54,'Activity data'!$D$24:$D$39,0))*INDEX(EF!$H$84:$H$99,MATCH(Emissions!$D54,EF!$D$84:$D$99,0))*INDEX(EF!$H$100:$H$115,MATCH(Emissions!$D54,EF!$D$100:$D$115,0))*INDEX(EF!$H$116:$H$131,MATCH(Emissions!$D54,EF!$D$116:$D$131,0))*kgtoGg</f>
        <v>1.253489829063225</v>
      </c>
      <c r="BA54" s="22">
        <f>INDEX('Activity data'!BA$24:BA$39,MATCH(Emissions!$D54,'Activity data'!$D$24:$D$39,0))*INDEX(EF!$H$84:$H$99,MATCH(Emissions!$D54,EF!$D$84:$D$99,0))*INDEX(EF!$H$100:$H$115,MATCH(Emissions!$D54,EF!$D$100:$D$115,0))*INDEX(EF!$H$116:$H$131,MATCH(Emissions!$D54,EF!$D$116:$D$131,0))*kgtoGg</f>
        <v>1.2529498747063155</v>
      </c>
      <c r="BB54" s="22">
        <f>INDEX('Activity data'!BB$24:BB$39,MATCH(Emissions!$D54,'Activity data'!$D$24:$D$39,0))*INDEX(EF!$H$84:$H$99,MATCH(Emissions!$D54,EF!$D$84:$D$99,0))*INDEX(EF!$H$100:$H$115,MATCH(Emissions!$D54,EF!$D$100:$D$115,0))*INDEX(EF!$H$116:$H$131,MATCH(Emissions!$D54,EF!$D$116:$D$131,0))*kgtoGg</f>
        <v>1.2524099203494063</v>
      </c>
      <c r="BC54" s="22">
        <f>INDEX('Activity data'!BC$24:BC$39,MATCH(Emissions!$D54,'Activity data'!$D$24:$D$39,0))*INDEX(EF!$H$84:$H$99,MATCH(Emissions!$D54,EF!$D$84:$D$99,0))*INDEX(EF!$H$100:$H$115,MATCH(Emissions!$D54,EF!$D$100:$D$115,0))*INDEX(EF!$H$116:$H$131,MATCH(Emissions!$D54,EF!$D$116:$D$131,0))*kgtoGg</f>
        <v>1.2518699659924968</v>
      </c>
      <c r="BD54" s="22">
        <f>INDEX('Activity data'!BD$24:BD$39,MATCH(Emissions!$D54,'Activity data'!$D$24:$D$39,0))*INDEX(EF!$H$84:$H$99,MATCH(Emissions!$D54,EF!$D$84:$D$99,0))*INDEX(EF!$H$100:$H$115,MATCH(Emissions!$D54,EF!$D$100:$D$115,0))*INDEX(EF!$H$116:$H$131,MATCH(Emissions!$D54,EF!$D$116:$D$131,0))*kgtoGg</f>
        <v>1.251330011635587</v>
      </c>
      <c r="BE54" s="22">
        <f>INDEX('Activity data'!BE$24:BE$39,MATCH(Emissions!$D54,'Activity data'!$D$24:$D$39,0))*INDEX(EF!$H$84:$H$99,MATCH(Emissions!$D54,EF!$D$84:$D$99,0))*INDEX(EF!$H$100:$H$115,MATCH(Emissions!$D54,EF!$D$100:$D$115,0))*INDEX(EF!$H$116:$H$131,MATCH(Emissions!$D54,EF!$D$116:$D$131,0))*kgtoGg</f>
        <v>1.2507900572786779</v>
      </c>
      <c r="BF54" s="22">
        <f>INDEX('Activity data'!BF$24:BF$39,MATCH(Emissions!$D54,'Activity data'!$D$24:$D$39,0))*INDEX(EF!$H$84:$H$99,MATCH(Emissions!$D54,EF!$D$84:$D$99,0))*INDEX(EF!$H$100:$H$115,MATCH(Emissions!$D54,EF!$D$100:$D$115,0))*INDEX(EF!$H$116:$H$131,MATCH(Emissions!$D54,EF!$D$116:$D$131,0))*kgtoGg</f>
        <v>1.2502501029217685</v>
      </c>
      <c r="BG54" s="22">
        <f>INDEX('Activity data'!BG$24:BG$39,MATCH(Emissions!$D54,'Activity data'!$D$24:$D$39,0))*INDEX(EF!$H$84:$H$99,MATCH(Emissions!$D54,EF!$D$84:$D$99,0))*INDEX(EF!$H$100:$H$115,MATCH(Emissions!$D54,EF!$D$100:$D$115,0))*INDEX(EF!$H$116:$H$131,MATCH(Emissions!$D54,EF!$D$116:$D$131,0))*kgtoGg</f>
        <v>1.249710148564859</v>
      </c>
      <c r="BH54" s="22">
        <f>INDEX('Activity data'!BH$24:BH$39,MATCH(Emissions!$D54,'Activity data'!$D$24:$D$39,0))*INDEX(EF!$H$84:$H$99,MATCH(Emissions!$D54,EF!$D$84:$D$99,0))*INDEX(EF!$H$100:$H$115,MATCH(Emissions!$D54,EF!$D$100:$D$115,0))*INDEX(EF!$H$116:$H$131,MATCH(Emissions!$D54,EF!$D$116:$D$131,0))*kgtoGg</f>
        <v>1.2491701942079498</v>
      </c>
      <c r="BI54" s="22">
        <f>INDEX('Activity data'!BI$24:BI$39,MATCH(Emissions!$D54,'Activity data'!$D$24:$D$39,0))*INDEX(EF!$H$84:$H$99,MATCH(Emissions!$D54,EF!$D$84:$D$99,0))*INDEX(EF!$H$100:$H$115,MATCH(Emissions!$D54,EF!$D$100:$D$115,0))*INDEX(EF!$H$116:$H$131,MATCH(Emissions!$D54,EF!$D$116:$D$131,0))*kgtoGg</f>
        <v>1.2486302398510403</v>
      </c>
      <c r="BJ54" s="22">
        <f>INDEX('Activity data'!BJ$24:BJ$39,MATCH(Emissions!$D54,'Activity data'!$D$24:$D$39,0))*INDEX(EF!$H$84:$H$99,MATCH(Emissions!$D54,EF!$D$84:$D$99,0))*INDEX(EF!$H$100:$H$115,MATCH(Emissions!$D54,EF!$D$100:$D$115,0))*INDEX(EF!$H$116:$H$131,MATCH(Emissions!$D54,EF!$D$116:$D$131,0))*kgtoGg</f>
        <v>1.2480902854941309</v>
      </c>
      <c r="BK54" s="22">
        <f>INDEX('Activity data'!BK$24:BK$39,MATCH(Emissions!$D54,'Activity data'!$D$24:$D$39,0))*INDEX(EF!$H$84:$H$99,MATCH(Emissions!$D54,EF!$D$84:$D$99,0))*INDEX(EF!$H$100:$H$115,MATCH(Emissions!$D54,EF!$D$100:$D$115,0))*INDEX(EF!$H$116:$H$131,MATCH(Emissions!$D54,EF!$D$116:$D$131,0))*kgtoGg</f>
        <v>1.2475503311372214</v>
      </c>
      <c r="BL54" s="22">
        <f>INDEX('Activity data'!BL$24:BL$39,MATCH(Emissions!$D54,'Activity data'!$D$24:$D$39,0))*INDEX(EF!$H$84:$H$99,MATCH(Emissions!$D54,EF!$D$84:$D$99,0))*INDEX(EF!$H$100:$H$115,MATCH(Emissions!$D54,EF!$D$100:$D$115,0))*INDEX(EF!$H$116:$H$131,MATCH(Emissions!$D54,EF!$D$116:$D$131,0))*kgtoGg</f>
        <v>1.247010376780312</v>
      </c>
      <c r="BM54" s="22">
        <f>INDEX('Activity data'!BM$24:BM$39,MATCH(Emissions!$D54,'Activity data'!$D$24:$D$39,0))*INDEX(EF!$H$84:$H$99,MATCH(Emissions!$D54,EF!$D$84:$D$99,0))*INDEX(EF!$H$100:$H$115,MATCH(Emissions!$D54,EF!$D$100:$D$115,0))*INDEX(EF!$H$116:$H$131,MATCH(Emissions!$D54,EF!$D$116:$D$131,0))*kgtoGg</f>
        <v>1.2464704224234024</v>
      </c>
      <c r="BN54" s="22">
        <f>INDEX('Activity data'!BN$24:BN$39,MATCH(Emissions!$D54,'Activity data'!$D$24:$D$39,0))*INDEX(EF!$H$84:$H$99,MATCH(Emissions!$D54,EF!$D$84:$D$99,0))*INDEX(EF!$H$100:$H$115,MATCH(Emissions!$D54,EF!$D$100:$D$115,0))*INDEX(EF!$H$116:$H$131,MATCH(Emissions!$D54,EF!$D$116:$D$131,0))*kgtoGg</f>
        <v>1.2459304680664931</v>
      </c>
      <c r="BO54" s="22">
        <f>INDEX('Activity data'!BO$24:BO$39,MATCH(Emissions!$D54,'Activity data'!$D$24:$D$39,0))*INDEX(EF!$H$84:$H$99,MATCH(Emissions!$D54,EF!$D$84:$D$99,0))*INDEX(EF!$H$100:$H$115,MATCH(Emissions!$D54,EF!$D$100:$D$115,0))*INDEX(EF!$H$116:$H$131,MATCH(Emissions!$D54,EF!$D$116:$D$131,0))*kgtoGg</f>
        <v>1.2453905137095838</v>
      </c>
      <c r="BP54" s="22">
        <f>INDEX('Activity data'!BP$24:BP$39,MATCH(Emissions!$D54,'Activity data'!$D$24:$D$39,0))*INDEX(EF!$H$84:$H$99,MATCH(Emissions!$D54,EF!$D$84:$D$99,0))*INDEX(EF!$H$100:$H$115,MATCH(Emissions!$D54,EF!$D$100:$D$115,0))*INDEX(EF!$H$116:$H$131,MATCH(Emissions!$D54,EF!$D$116:$D$131,0))*kgtoGg</f>
        <v>1.2448505593526744</v>
      </c>
    </row>
    <row r="55" spans="1:68" x14ac:dyDescent="0.3">
      <c r="A55" t="str">
        <f>A54</f>
        <v>3C Aggregated and non-CO2 emissions on land</v>
      </c>
      <c r="B55" t="str">
        <f t="shared" ref="B55" si="12">B54</f>
        <v>3C1 Biomass burning (CH4)</v>
      </c>
      <c r="C55" t="str">
        <f>C54</f>
        <v>3C1a Biomass burning in forest land</v>
      </c>
      <c r="D55" t="str">
        <f>EF!D85</f>
        <v>Thickets</v>
      </c>
      <c r="E55" t="s">
        <v>642</v>
      </c>
      <c r="F55" t="str">
        <f>F54</f>
        <v>CH4</v>
      </c>
      <c r="G55" t="str">
        <f>G54</f>
        <v>Gg CH4</v>
      </c>
      <c r="H55" s="22">
        <f>INDEX('Activity data'!H$24:H$39,MATCH(Emissions!$D55,'Activity data'!$D$24:$D$39,0))*INDEX(EF!$H$84:$H$99,MATCH(Emissions!$D55,EF!$D$84:$D$99,0))*INDEX(EF!$H$100:$H$115,MATCH(Emissions!$D55,EF!$D$100:$D$115,0))*INDEX(EF!$H$116:$H$131,MATCH(Emissions!$D55,EF!$D$116:$D$131,0))*kgtoGg</f>
        <v>2.5068842856640616</v>
      </c>
      <c r="I55" s="22">
        <f>INDEX('Activity data'!I$24:I$39,MATCH(Emissions!$D55,'Activity data'!$D$24:$D$39,0))*INDEX(EF!$H$84:$H$99,MATCH(Emissions!$D55,EF!$D$84:$D$99,0))*INDEX(EF!$H$100:$H$115,MATCH(Emissions!$D55,EF!$D$100:$D$115,0))*INDEX(EF!$H$116:$H$131,MATCH(Emissions!$D55,EF!$D$116:$D$131,0))*kgtoGg</f>
        <v>2.5068842856640616</v>
      </c>
      <c r="J55" s="22">
        <f>INDEX('Activity data'!J$24:J$39,MATCH(Emissions!$D55,'Activity data'!$D$24:$D$39,0))*INDEX(EF!$H$84:$H$99,MATCH(Emissions!$D55,EF!$D$84:$D$99,0))*INDEX(EF!$H$100:$H$115,MATCH(Emissions!$D55,EF!$D$100:$D$115,0))*INDEX(EF!$H$116:$H$131,MATCH(Emissions!$D55,EF!$D$116:$D$131,0))*kgtoGg</f>
        <v>2.5068842856640616</v>
      </c>
      <c r="K55" s="22">
        <f>INDEX('Activity data'!K$24:K$39,MATCH(Emissions!$D55,'Activity data'!$D$24:$D$39,0))*INDEX(EF!$H$84:$H$99,MATCH(Emissions!$D55,EF!$D$84:$D$99,0))*INDEX(EF!$H$100:$H$115,MATCH(Emissions!$D55,EF!$D$100:$D$115,0))*INDEX(EF!$H$116:$H$131,MATCH(Emissions!$D55,EF!$D$116:$D$131,0))*kgtoGg</f>
        <v>2.5068842856640616</v>
      </c>
      <c r="L55" s="22">
        <f>INDEX('Activity data'!L$24:L$39,MATCH(Emissions!$D55,'Activity data'!$D$24:$D$39,0))*INDEX(EF!$H$84:$H$99,MATCH(Emissions!$D55,EF!$D$84:$D$99,0))*INDEX(EF!$H$100:$H$115,MATCH(Emissions!$D55,EF!$D$100:$D$115,0))*INDEX(EF!$H$116:$H$131,MATCH(Emissions!$D55,EF!$D$116:$D$131,0))*kgtoGg</f>
        <v>2.5068842856640616</v>
      </c>
      <c r="M55" s="22">
        <f>INDEX('Activity data'!M$24:M$39,MATCH(Emissions!$D55,'Activity data'!$D$24:$D$39,0))*INDEX(EF!$H$84:$H$99,MATCH(Emissions!$D55,EF!$D$84:$D$99,0))*INDEX(EF!$H$100:$H$115,MATCH(Emissions!$D55,EF!$D$100:$D$115,0))*INDEX(EF!$H$116:$H$131,MATCH(Emissions!$D55,EF!$D$116:$D$131,0))*kgtoGg</f>
        <v>2.5068842856640616</v>
      </c>
      <c r="N55" s="22">
        <f>INDEX('Activity data'!N$24:N$39,MATCH(Emissions!$D55,'Activity data'!$D$24:$D$39,0))*INDEX(EF!$H$84:$H$99,MATCH(Emissions!$D55,EF!$D$84:$D$99,0))*INDEX(EF!$H$100:$H$115,MATCH(Emissions!$D55,EF!$D$100:$D$115,0))*INDEX(EF!$H$116:$H$131,MATCH(Emissions!$D55,EF!$D$116:$D$131,0))*kgtoGg</f>
        <v>2.5068842856640616</v>
      </c>
      <c r="O55" s="22">
        <f>INDEX('Activity data'!O$24:O$39,MATCH(Emissions!$D55,'Activity data'!$D$24:$D$39,0))*INDEX(EF!$H$84:$H$99,MATCH(Emissions!$D55,EF!$D$84:$D$99,0))*INDEX(EF!$H$100:$H$115,MATCH(Emissions!$D55,EF!$D$100:$D$115,0))*INDEX(EF!$H$116:$H$131,MATCH(Emissions!$D55,EF!$D$116:$D$131,0))*kgtoGg</f>
        <v>2.5068842856640616</v>
      </c>
      <c r="P55" s="22">
        <f>INDEX('Activity data'!P$24:P$39,MATCH(Emissions!$D55,'Activity data'!$D$24:$D$39,0))*INDEX(EF!$H$84:$H$99,MATCH(Emissions!$D55,EF!$D$84:$D$99,0))*INDEX(EF!$H$100:$H$115,MATCH(Emissions!$D55,EF!$D$100:$D$115,0))*INDEX(EF!$H$116:$H$131,MATCH(Emissions!$D55,EF!$D$116:$D$131,0))*kgtoGg</f>
        <v>2.5068842856640616</v>
      </c>
      <c r="Q55" s="22">
        <f>INDEX('Activity data'!Q$24:Q$39,MATCH(Emissions!$D55,'Activity data'!$D$24:$D$39,0))*INDEX(EF!$H$84:$H$99,MATCH(Emissions!$D55,EF!$D$84:$D$99,0))*INDEX(EF!$H$100:$H$115,MATCH(Emissions!$D55,EF!$D$100:$D$115,0))*INDEX(EF!$H$116:$H$131,MATCH(Emissions!$D55,EF!$D$116:$D$131,0))*kgtoGg</f>
        <v>2.5068842856640616</v>
      </c>
      <c r="R55" s="22">
        <f>INDEX('Activity data'!R$24:R$39,MATCH(Emissions!$D55,'Activity data'!$D$24:$D$39,0))*INDEX(EF!$H$84:$H$99,MATCH(Emissions!$D55,EF!$D$84:$D$99,0))*INDEX(EF!$H$100:$H$115,MATCH(Emissions!$D55,EF!$D$100:$D$115,0))*INDEX(EF!$H$116:$H$131,MATCH(Emissions!$D55,EF!$D$116:$D$131,0))*kgtoGg</f>
        <v>2.574040698830915</v>
      </c>
      <c r="S55" s="22">
        <f>INDEX('Activity data'!S$24:S$39,MATCH(Emissions!$D55,'Activity data'!$D$24:$D$39,0))*INDEX(EF!$H$84:$H$99,MATCH(Emissions!$D55,EF!$D$84:$D$99,0))*INDEX(EF!$H$100:$H$115,MATCH(Emissions!$D55,EF!$D$100:$D$115,0))*INDEX(EF!$H$116:$H$131,MATCH(Emissions!$D55,EF!$D$116:$D$131,0))*kgtoGg</f>
        <v>3.2672402728856826</v>
      </c>
      <c r="T55" s="22">
        <f>INDEX('Activity data'!T$24:T$39,MATCH(Emissions!$D55,'Activity data'!$D$24:$D$39,0))*INDEX(EF!$H$84:$H$99,MATCH(Emissions!$D55,EF!$D$84:$D$99,0))*INDEX(EF!$H$100:$H$115,MATCH(Emissions!$D55,EF!$D$100:$D$115,0))*INDEX(EF!$H$116:$H$131,MATCH(Emissions!$D55,EF!$D$116:$D$131,0))*kgtoGg</f>
        <v>3.0158364323577054</v>
      </c>
      <c r="U55" s="22">
        <f>INDEX('Activity data'!U$24:U$39,MATCH(Emissions!$D55,'Activity data'!$D$24:$D$39,0))*INDEX(EF!$H$84:$H$99,MATCH(Emissions!$D55,EF!$D$84:$D$99,0))*INDEX(EF!$H$100:$H$115,MATCH(Emissions!$D55,EF!$D$100:$D$115,0))*INDEX(EF!$H$116:$H$131,MATCH(Emissions!$D55,EF!$D$116:$D$131,0))*kgtoGg</f>
        <v>1.8124731268356651</v>
      </c>
      <c r="V55" s="22">
        <f>INDEX('Activity data'!V$24:V$39,MATCH(Emissions!$D55,'Activity data'!$D$24:$D$39,0))*INDEX(EF!$H$84:$H$99,MATCH(Emissions!$D55,EF!$D$84:$D$99,0))*INDEX(EF!$H$100:$H$115,MATCH(Emissions!$D55,EF!$D$100:$D$115,0))*INDEX(EF!$H$116:$H$131,MATCH(Emissions!$D55,EF!$D$116:$D$131,0))*kgtoGg</f>
        <v>1.8648308974103387</v>
      </c>
      <c r="W55" s="22">
        <f>INDEX('Activity data'!W$24:W$39,MATCH(Emissions!$D55,'Activity data'!$D$24:$D$39,0))*INDEX(EF!$H$84:$H$99,MATCH(Emissions!$D55,EF!$D$84:$D$99,0))*INDEX(EF!$H$100:$H$115,MATCH(Emissions!$D55,EF!$D$100:$D$115,0))*INDEX(EF!$H$116:$H$131,MATCH(Emissions!$D55,EF!$D$116:$D$131,0))*kgtoGg</f>
        <v>3.2027666545747224</v>
      </c>
      <c r="X55" s="22">
        <f>INDEX('Activity data'!X$24:X$39,MATCH(Emissions!$D55,'Activity data'!$D$24:$D$39,0))*INDEX(EF!$H$84:$H$99,MATCH(Emissions!$D55,EF!$D$84:$D$99,0))*INDEX(EF!$H$100:$H$115,MATCH(Emissions!$D55,EF!$D$100:$D$115,0))*INDEX(EF!$H$116:$H$131,MATCH(Emissions!$D55,EF!$D$116:$D$131,0))*kgtoGg</f>
        <v>2.5583189440302561</v>
      </c>
      <c r="Y55" s="22">
        <f>INDEX('Activity data'!Y$24:Y$39,MATCH(Emissions!$D55,'Activity data'!$D$24:$D$39,0))*INDEX(EF!$H$84:$H$99,MATCH(Emissions!$D55,EF!$D$84:$D$99,0))*INDEX(EF!$H$100:$H$115,MATCH(Emissions!$D55,EF!$D$100:$D$115,0))*INDEX(EF!$H$116:$H$131,MATCH(Emissions!$D55,EF!$D$116:$D$131,0))*kgtoGg</f>
        <v>2.986989175842734</v>
      </c>
      <c r="Z55" s="22">
        <f>INDEX('Activity data'!Z$24:Z$39,MATCH(Emissions!$D55,'Activity data'!$D$24:$D$39,0))*INDEX(EF!$H$84:$H$99,MATCH(Emissions!$D55,EF!$D$84:$D$99,0))*INDEX(EF!$H$100:$H$115,MATCH(Emissions!$D55,EF!$D$100:$D$115,0))*INDEX(EF!$H$116:$H$131,MATCH(Emissions!$D55,EF!$D$116:$D$131,0))*kgtoGg</f>
        <v>3.286279462185564</v>
      </c>
      <c r="AA55" s="22">
        <f>INDEX('Activity data'!AA$24:AA$39,MATCH(Emissions!$D55,'Activity data'!$D$24:$D$39,0))*INDEX(EF!$H$84:$H$99,MATCH(Emissions!$D55,EF!$D$84:$D$99,0))*INDEX(EF!$H$100:$H$115,MATCH(Emissions!$D55,EF!$D$100:$D$115,0))*INDEX(EF!$H$116:$H$131,MATCH(Emissions!$D55,EF!$D$116:$D$131,0))*kgtoGg</f>
        <v>2.3897067297002468</v>
      </c>
      <c r="AB55" s="22">
        <f>INDEX('Activity data'!AB$24:AB$39,MATCH(Emissions!$D55,'Activity data'!$D$24:$D$39,0))*INDEX(EF!$H$84:$H$99,MATCH(Emissions!$D55,EF!$D$84:$D$99,0))*INDEX(EF!$H$100:$H$115,MATCH(Emissions!$D55,EF!$D$100:$D$115,0))*INDEX(EF!$H$116:$H$131,MATCH(Emissions!$D55,EF!$D$116:$D$131,0))*kgtoGg</f>
        <v>2.9201987820599995</v>
      </c>
      <c r="AC55" s="22">
        <f>INDEX('Activity data'!AC$24:AC$39,MATCH(Emissions!$D55,'Activity data'!$D$24:$D$39,0))*INDEX(EF!$H$84:$H$99,MATCH(Emissions!$D55,EF!$D$84:$D$99,0))*INDEX(EF!$H$100:$H$115,MATCH(Emissions!$D55,EF!$D$100:$D$115,0))*INDEX(EF!$H$116:$H$131,MATCH(Emissions!$D55,EF!$D$116:$D$131,0))*kgtoGg</f>
        <v>2.3252322901500002</v>
      </c>
      <c r="AD55" s="22">
        <f>INDEX('Activity data'!AD$24:AD$39,MATCH(Emissions!$D55,'Activity data'!$D$24:$D$39,0))*INDEX(EF!$H$84:$H$99,MATCH(Emissions!$D55,EF!$D$84:$D$99,0))*INDEX(EF!$H$100:$H$115,MATCH(Emissions!$D55,EF!$D$100:$D$115,0))*INDEX(EF!$H$116:$H$131,MATCH(Emissions!$D55,EF!$D$116:$D$131,0))*kgtoGg</f>
        <v>2.4624591885313172</v>
      </c>
      <c r="AE55" s="22">
        <f>INDEX('Activity data'!AE$24:AE$39,MATCH(Emissions!$D55,'Activity data'!$D$24:$D$39,0))*INDEX(EF!$H$84:$H$99,MATCH(Emissions!$D55,EF!$D$84:$D$99,0))*INDEX(EF!$H$100:$H$115,MATCH(Emissions!$D55,EF!$D$100:$D$115,0))*INDEX(EF!$H$116:$H$131,MATCH(Emissions!$D55,EF!$D$116:$D$131,0))*kgtoGg</f>
        <v>2.4585603570229884</v>
      </c>
      <c r="AF55" s="22">
        <f>INDEX('Activity data'!AF$24:AF$39,MATCH(Emissions!$D55,'Activity data'!$D$24:$D$39,0))*INDEX(EF!$H$84:$H$99,MATCH(Emissions!$D55,EF!$D$84:$D$99,0))*INDEX(EF!$H$100:$H$115,MATCH(Emissions!$D55,EF!$D$100:$D$115,0))*INDEX(EF!$H$116:$H$131,MATCH(Emissions!$D55,EF!$D$116:$D$131,0))*kgtoGg</f>
        <v>2.4546615255146595</v>
      </c>
      <c r="AG55" s="22">
        <f>INDEX('Activity data'!AG$24:AG$39,MATCH(Emissions!$D55,'Activity data'!$D$24:$D$39,0))*INDEX(EF!$H$84:$H$99,MATCH(Emissions!$D55,EF!$D$84:$D$99,0))*INDEX(EF!$H$100:$H$115,MATCH(Emissions!$D55,EF!$D$100:$D$115,0))*INDEX(EF!$H$116:$H$131,MATCH(Emissions!$D55,EF!$D$116:$D$131,0))*kgtoGg</f>
        <v>2.4507626940063303</v>
      </c>
      <c r="AH55" s="22">
        <f>INDEX('Activity data'!AH$24:AH$39,MATCH(Emissions!$D55,'Activity data'!$D$24:$D$39,0))*INDEX(EF!$H$84:$H$99,MATCH(Emissions!$D55,EF!$D$84:$D$99,0))*INDEX(EF!$H$100:$H$115,MATCH(Emissions!$D55,EF!$D$100:$D$115,0))*INDEX(EF!$H$116:$H$131,MATCH(Emissions!$D55,EF!$D$116:$D$131,0))*kgtoGg</f>
        <v>2.4468638624980015</v>
      </c>
      <c r="AI55" s="22">
        <f>INDEX('Activity data'!AI$24:AI$39,MATCH(Emissions!$D55,'Activity data'!$D$24:$D$39,0))*INDEX(EF!$H$84:$H$99,MATCH(Emissions!$D55,EF!$D$84:$D$99,0))*INDEX(EF!$H$100:$H$115,MATCH(Emissions!$D55,EF!$D$100:$D$115,0))*INDEX(EF!$H$116:$H$131,MATCH(Emissions!$D55,EF!$D$116:$D$131,0))*kgtoGg</f>
        <v>2.4429650309896722</v>
      </c>
      <c r="AJ55" s="22">
        <f>INDEX('Activity data'!AJ$24:AJ$39,MATCH(Emissions!$D55,'Activity data'!$D$24:$D$39,0))*INDEX(EF!$H$84:$H$99,MATCH(Emissions!$D55,EF!$D$84:$D$99,0))*INDEX(EF!$H$100:$H$115,MATCH(Emissions!$D55,EF!$D$100:$D$115,0))*INDEX(EF!$H$116:$H$131,MATCH(Emissions!$D55,EF!$D$116:$D$131,0))*kgtoGg</f>
        <v>2.4390661994813438</v>
      </c>
      <c r="AK55" s="22">
        <f>INDEX('Activity data'!AK$24:AK$39,MATCH(Emissions!$D55,'Activity data'!$D$24:$D$39,0))*INDEX(EF!$H$84:$H$99,MATCH(Emissions!$D55,EF!$D$84:$D$99,0))*INDEX(EF!$H$100:$H$115,MATCH(Emissions!$D55,EF!$D$100:$D$115,0))*INDEX(EF!$H$116:$H$131,MATCH(Emissions!$D55,EF!$D$116:$D$131,0))*kgtoGg</f>
        <v>2.4351673679730146</v>
      </c>
      <c r="AL55" s="22">
        <f>INDEX('Activity data'!AL$24:AL$39,MATCH(Emissions!$D55,'Activity data'!$D$24:$D$39,0))*INDEX(EF!$H$84:$H$99,MATCH(Emissions!$D55,EF!$D$84:$D$99,0))*INDEX(EF!$H$100:$H$115,MATCH(Emissions!$D55,EF!$D$100:$D$115,0))*INDEX(EF!$H$116:$H$131,MATCH(Emissions!$D55,EF!$D$116:$D$131,0))*kgtoGg</f>
        <v>2.4312685364646853</v>
      </c>
      <c r="AM55" s="22">
        <f>INDEX('Activity data'!AM$24:AM$39,MATCH(Emissions!$D55,'Activity data'!$D$24:$D$39,0))*INDEX(EF!$H$84:$H$99,MATCH(Emissions!$D55,EF!$D$84:$D$99,0))*INDEX(EF!$H$100:$H$115,MATCH(Emissions!$D55,EF!$D$100:$D$115,0))*INDEX(EF!$H$116:$H$131,MATCH(Emissions!$D55,EF!$D$116:$D$131,0))*kgtoGg</f>
        <v>2.427369704956357</v>
      </c>
      <c r="AN55" s="22">
        <f>INDEX('Activity data'!AN$24:AN$39,MATCH(Emissions!$D55,'Activity data'!$D$24:$D$39,0))*INDEX(EF!$H$84:$H$99,MATCH(Emissions!$D55,EF!$D$84:$D$99,0))*INDEX(EF!$H$100:$H$115,MATCH(Emissions!$D55,EF!$D$100:$D$115,0))*INDEX(EF!$H$116:$H$131,MATCH(Emissions!$D55,EF!$D$116:$D$131,0))*kgtoGg</f>
        <v>2.4234708734480273</v>
      </c>
      <c r="AO55" s="22">
        <f>INDEX('Activity data'!AO$24:AO$39,MATCH(Emissions!$D55,'Activity data'!$D$24:$D$39,0))*INDEX(EF!$H$84:$H$99,MATCH(Emissions!$D55,EF!$D$84:$D$99,0))*INDEX(EF!$H$100:$H$115,MATCH(Emissions!$D55,EF!$D$100:$D$115,0))*INDEX(EF!$H$116:$H$131,MATCH(Emissions!$D55,EF!$D$116:$D$131,0))*kgtoGg</f>
        <v>2.4195720419396989</v>
      </c>
      <c r="AP55" s="22">
        <f>INDEX('Activity data'!AP$24:AP$39,MATCH(Emissions!$D55,'Activity data'!$D$24:$D$39,0))*INDEX(EF!$H$84:$H$99,MATCH(Emissions!$D55,EF!$D$84:$D$99,0))*INDEX(EF!$H$100:$H$115,MATCH(Emissions!$D55,EF!$D$100:$D$115,0))*INDEX(EF!$H$116:$H$131,MATCH(Emissions!$D55,EF!$D$116:$D$131,0))*kgtoGg</f>
        <v>2.4156732104313696</v>
      </c>
      <c r="AQ55" s="22">
        <f>INDEX('Activity data'!AQ$24:AQ$39,MATCH(Emissions!$D55,'Activity data'!$D$24:$D$39,0))*INDEX(EF!$H$84:$H$99,MATCH(Emissions!$D55,EF!$D$84:$D$99,0))*INDEX(EF!$H$100:$H$115,MATCH(Emissions!$D55,EF!$D$100:$D$115,0))*INDEX(EF!$H$116:$H$131,MATCH(Emissions!$D55,EF!$D$116:$D$131,0))*kgtoGg</f>
        <v>2.4117743789230404</v>
      </c>
      <c r="AR55" s="22">
        <f>INDEX('Activity data'!AR$24:AR$39,MATCH(Emissions!$D55,'Activity data'!$D$24:$D$39,0))*INDEX(EF!$H$84:$H$99,MATCH(Emissions!$D55,EF!$D$84:$D$99,0))*INDEX(EF!$H$100:$H$115,MATCH(Emissions!$D55,EF!$D$100:$D$115,0))*INDEX(EF!$H$116:$H$131,MATCH(Emissions!$D55,EF!$D$116:$D$131,0))*kgtoGg</f>
        <v>2.407875547414712</v>
      </c>
      <c r="AS55" s="22">
        <f>INDEX('Activity data'!AS$24:AS$39,MATCH(Emissions!$D55,'Activity data'!$D$24:$D$39,0))*INDEX(EF!$H$84:$H$99,MATCH(Emissions!$D55,EF!$D$84:$D$99,0))*INDEX(EF!$H$100:$H$115,MATCH(Emissions!$D55,EF!$D$100:$D$115,0))*INDEX(EF!$H$116:$H$131,MATCH(Emissions!$D55,EF!$D$116:$D$131,0))*kgtoGg</f>
        <v>2.4039767159063823</v>
      </c>
      <c r="AT55" s="22">
        <f>INDEX('Activity data'!AT$24:AT$39,MATCH(Emissions!$D55,'Activity data'!$D$24:$D$39,0))*INDEX(EF!$H$84:$H$99,MATCH(Emissions!$D55,EF!$D$84:$D$99,0))*INDEX(EF!$H$100:$H$115,MATCH(Emissions!$D55,EF!$D$100:$D$115,0))*INDEX(EF!$H$116:$H$131,MATCH(Emissions!$D55,EF!$D$116:$D$131,0))*kgtoGg</f>
        <v>2.4000778843980535</v>
      </c>
      <c r="AU55" s="22">
        <f>INDEX('Activity data'!AU$24:AU$39,MATCH(Emissions!$D55,'Activity data'!$D$24:$D$39,0))*INDEX(EF!$H$84:$H$99,MATCH(Emissions!$D55,EF!$D$84:$D$99,0))*INDEX(EF!$H$100:$H$115,MATCH(Emissions!$D55,EF!$D$100:$D$115,0))*INDEX(EF!$H$116:$H$131,MATCH(Emissions!$D55,EF!$D$116:$D$131,0))*kgtoGg</f>
        <v>2.3961790528897247</v>
      </c>
      <c r="AV55" s="22">
        <f>INDEX('Activity data'!AV$24:AV$39,MATCH(Emissions!$D55,'Activity data'!$D$24:$D$39,0))*INDEX(EF!$H$84:$H$99,MATCH(Emissions!$D55,EF!$D$84:$D$99,0))*INDEX(EF!$H$100:$H$115,MATCH(Emissions!$D55,EF!$D$100:$D$115,0))*INDEX(EF!$H$116:$H$131,MATCH(Emissions!$D55,EF!$D$116:$D$131,0))*kgtoGg</f>
        <v>2.3922802213813954</v>
      </c>
      <c r="AW55" s="22">
        <f>INDEX('Activity data'!AW$24:AW$39,MATCH(Emissions!$D55,'Activity data'!$D$24:$D$39,0))*INDEX(EF!$H$84:$H$99,MATCH(Emissions!$D55,EF!$D$84:$D$99,0))*INDEX(EF!$H$100:$H$115,MATCH(Emissions!$D55,EF!$D$100:$D$115,0))*INDEX(EF!$H$116:$H$131,MATCH(Emissions!$D55,EF!$D$116:$D$131,0))*kgtoGg</f>
        <v>2.3883813898730675</v>
      </c>
      <c r="AX55" s="22">
        <f>INDEX('Activity data'!AX$24:AX$39,MATCH(Emissions!$D55,'Activity data'!$D$24:$D$39,0))*INDEX(EF!$H$84:$H$99,MATCH(Emissions!$D55,EF!$D$84:$D$99,0))*INDEX(EF!$H$100:$H$115,MATCH(Emissions!$D55,EF!$D$100:$D$115,0))*INDEX(EF!$H$116:$H$131,MATCH(Emissions!$D55,EF!$D$116:$D$131,0))*kgtoGg</f>
        <v>2.3844825583647378</v>
      </c>
      <c r="AY55" s="22">
        <f>INDEX('Activity data'!AY$24:AY$39,MATCH(Emissions!$D55,'Activity data'!$D$24:$D$39,0))*INDEX(EF!$H$84:$H$99,MATCH(Emissions!$D55,EF!$D$84:$D$99,0))*INDEX(EF!$H$100:$H$115,MATCH(Emissions!$D55,EF!$D$100:$D$115,0))*INDEX(EF!$H$116:$H$131,MATCH(Emissions!$D55,EF!$D$116:$D$131,0))*kgtoGg</f>
        <v>2.3805837268564085</v>
      </c>
      <c r="AZ55" s="22">
        <f>INDEX('Activity data'!AZ$24:AZ$39,MATCH(Emissions!$D55,'Activity data'!$D$24:$D$39,0))*INDEX(EF!$H$84:$H$99,MATCH(Emissions!$D55,EF!$D$84:$D$99,0))*INDEX(EF!$H$100:$H$115,MATCH(Emissions!$D55,EF!$D$100:$D$115,0))*INDEX(EF!$H$116:$H$131,MATCH(Emissions!$D55,EF!$D$116:$D$131,0))*kgtoGg</f>
        <v>2.3766848953480793</v>
      </c>
      <c r="BA55" s="22">
        <f>INDEX('Activity data'!BA$24:BA$39,MATCH(Emissions!$D55,'Activity data'!$D$24:$D$39,0))*INDEX(EF!$H$84:$H$99,MATCH(Emissions!$D55,EF!$D$84:$D$99,0))*INDEX(EF!$H$100:$H$115,MATCH(Emissions!$D55,EF!$D$100:$D$115,0))*INDEX(EF!$H$116:$H$131,MATCH(Emissions!$D55,EF!$D$116:$D$131,0))*kgtoGg</f>
        <v>2.3727860638397509</v>
      </c>
      <c r="BB55" s="22">
        <f>INDEX('Activity data'!BB$24:BB$39,MATCH(Emissions!$D55,'Activity data'!$D$24:$D$39,0))*INDEX(EF!$H$84:$H$99,MATCH(Emissions!$D55,EF!$D$84:$D$99,0))*INDEX(EF!$H$100:$H$115,MATCH(Emissions!$D55,EF!$D$100:$D$115,0))*INDEX(EF!$H$116:$H$131,MATCH(Emissions!$D55,EF!$D$116:$D$131,0))*kgtoGg</f>
        <v>2.3688872323314216</v>
      </c>
      <c r="BC55" s="22">
        <f>INDEX('Activity data'!BC$24:BC$39,MATCH(Emissions!$D55,'Activity data'!$D$24:$D$39,0))*INDEX(EF!$H$84:$H$99,MATCH(Emissions!$D55,EF!$D$84:$D$99,0))*INDEX(EF!$H$100:$H$115,MATCH(Emissions!$D55,EF!$D$100:$D$115,0))*INDEX(EF!$H$116:$H$131,MATCH(Emissions!$D55,EF!$D$116:$D$131,0))*kgtoGg</f>
        <v>2.3649884008230924</v>
      </c>
      <c r="BD55" s="22">
        <f>INDEX('Activity data'!BD$24:BD$39,MATCH(Emissions!$D55,'Activity data'!$D$24:$D$39,0))*INDEX(EF!$H$84:$H$99,MATCH(Emissions!$D55,EF!$D$84:$D$99,0))*INDEX(EF!$H$100:$H$115,MATCH(Emissions!$D55,EF!$D$100:$D$115,0))*INDEX(EF!$H$116:$H$131,MATCH(Emissions!$D55,EF!$D$116:$D$131,0))*kgtoGg</f>
        <v>2.361089569314764</v>
      </c>
      <c r="BE55" s="22">
        <f>INDEX('Activity data'!BE$24:BE$39,MATCH(Emissions!$D55,'Activity data'!$D$24:$D$39,0))*INDEX(EF!$H$84:$H$99,MATCH(Emissions!$D55,EF!$D$84:$D$99,0))*INDEX(EF!$H$100:$H$115,MATCH(Emissions!$D55,EF!$D$100:$D$115,0))*INDEX(EF!$H$116:$H$131,MATCH(Emissions!$D55,EF!$D$116:$D$131,0))*kgtoGg</f>
        <v>2.3571907378064347</v>
      </c>
      <c r="BF55" s="22">
        <f>INDEX('Activity data'!BF$24:BF$39,MATCH(Emissions!$D55,'Activity data'!$D$24:$D$39,0))*INDEX(EF!$H$84:$H$99,MATCH(Emissions!$D55,EF!$D$84:$D$99,0))*INDEX(EF!$H$100:$H$115,MATCH(Emissions!$D55,EF!$D$100:$D$115,0))*INDEX(EF!$H$116:$H$131,MATCH(Emissions!$D55,EF!$D$116:$D$131,0))*kgtoGg</f>
        <v>2.3532919062981059</v>
      </c>
      <c r="BG55" s="22">
        <f>INDEX('Activity data'!BG$24:BG$39,MATCH(Emissions!$D55,'Activity data'!$D$24:$D$39,0))*INDEX(EF!$H$84:$H$99,MATCH(Emissions!$D55,EF!$D$84:$D$99,0))*INDEX(EF!$H$100:$H$115,MATCH(Emissions!$D55,EF!$D$100:$D$115,0))*INDEX(EF!$H$116:$H$131,MATCH(Emissions!$D55,EF!$D$116:$D$131,0))*kgtoGg</f>
        <v>2.3493930747897767</v>
      </c>
      <c r="BH55" s="22">
        <f>INDEX('Activity data'!BH$24:BH$39,MATCH(Emissions!$D55,'Activity data'!$D$24:$D$39,0))*INDEX(EF!$H$84:$H$99,MATCH(Emissions!$D55,EF!$D$84:$D$99,0))*INDEX(EF!$H$100:$H$115,MATCH(Emissions!$D55,EF!$D$100:$D$115,0))*INDEX(EF!$H$116:$H$131,MATCH(Emissions!$D55,EF!$D$116:$D$131,0))*kgtoGg</f>
        <v>2.3454942432814478</v>
      </c>
      <c r="BI55" s="22">
        <f>INDEX('Activity data'!BI$24:BI$39,MATCH(Emissions!$D55,'Activity data'!$D$24:$D$39,0))*INDEX(EF!$H$84:$H$99,MATCH(Emissions!$D55,EF!$D$84:$D$99,0))*INDEX(EF!$H$100:$H$115,MATCH(Emissions!$D55,EF!$D$100:$D$115,0))*INDEX(EF!$H$116:$H$131,MATCH(Emissions!$D55,EF!$D$116:$D$131,0))*kgtoGg</f>
        <v>2.341595411773119</v>
      </c>
      <c r="BJ55" s="22">
        <f>INDEX('Activity data'!BJ$24:BJ$39,MATCH(Emissions!$D55,'Activity data'!$D$24:$D$39,0))*INDEX(EF!$H$84:$H$99,MATCH(Emissions!$D55,EF!$D$84:$D$99,0))*INDEX(EF!$H$100:$H$115,MATCH(Emissions!$D55,EF!$D$100:$D$115,0))*INDEX(EF!$H$116:$H$131,MATCH(Emissions!$D55,EF!$D$116:$D$131,0))*kgtoGg</f>
        <v>2.3376965802647898</v>
      </c>
      <c r="BK55" s="22">
        <f>INDEX('Activity data'!BK$24:BK$39,MATCH(Emissions!$D55,'Activity data'!$D$24:$D$39,0))*INDEX(EF!$H$84:$H$99,MATCH(Emissions!$D55,EF!$D$84:$D$99,0))*INDEX(EF!$H$100:$H$115,MATCH(Emissions!$D55,EF!$D$100:$D$115,0))*INDEX(EF!$H$116:$H$131,MATCH(Emissions!$D55,EF!$D$116:$D$131,0))*kgtoGg</f>
        <v>2.3337977487564614</v>
      </c>
      <c r="BL55" s="22">
        <f>INDEX('Activity data'!BL$24:BL$39,MATCH(Emissions!$D55,'Activity data'!$D$24:$D$39,0))*INDEX(EF!$H$84:$H$99,MATCH(Emissions!$D55,EF!$D$84:$D$99,0))*INDEX(EF!$H$100:$H$115,MATCH(Emissions!$D55,EF!$D$100:$D$115,0))*INDEX(EF!$H$116:$H$131,MATCH(Emissions!$D55,EF!$D$116:$D$131,0))*kgtoGg</f>
        <v>2.3298989172481317</v>
      </c>
      <c r="BM55" s="22">
        <f>INDEX('Activity data'!BM$24:BM$39,MATCH(Emissions!$D55,'Activity data'!$D$24:$D$39,0))*INDEX(EF!$H$84:$H$99,MATCH(Emissions!$D55,EF!$D$84:$D$99,0))*INDEX(EF!$H$100:$H$115,MATCH(Emissions!$D55,EF!$D$100:$D$115,0))*INDEX(EF!$H$116:$H$131,MATCH(Emissions!$D55,EF!$D$116:$D$131,0))*kgtoGg</f>
        <v>2.3260000857398029</v>
      </c>
      <c r="BN55" s="22">
        <f>INDEX('Activity data'!BN$24:BN$39,MATCH(Emissions!$D55,'Activity data'!$D$24:$D$39,0))*INDEX(EF!$H$84:$H$99,MATCH(Emissions!$D55,EF!$D$84:$D$99,0))*INDEX(EF!$H$100:$H$115,MATCH(Emissions!$D55,EF!$D$100:$D$115,0))*INDEX(EF!$H$116:$H$131,MATCH(Emissions!$D55,EF!$D$116:$D$131,0))*kgtoGg</f>
        <v>2.3221012542314736</v>
      </c>
      <c r="BO55" s="22">
        <f>INDEX('Activity data'!BO$24:BO$39,MATCH(Emissions!$D55,'Activity data'!$D$24:$D$39,0))*INDEX(EF!$H$84:$H$99,MATCH(Emissions!$D55,EF!$D$84:$D$99,0))*INDEX(EF!$H$100:$H$115,MATCH(Emissions!$D55,EF!$D$100:$D$115,0))*INDEX(EF!$H$116:$H$131,MATCH(Emissions!$D55,EF!$D$116:$D$131,0))*kgtoGg</f>
        <v>2.3182024227231448</v>
      </c>
      <c r="BP55" s="22">
        <f>INDEX('Activity data'!BP$24:BP$39,MATCH(Emissions!$D55,'Activity data'!$D$24:$D$39,0))*INDEX(EF!$H$84:$H$99,MATCH(Emissions!$D55,EF!$D$84:$D$99,0))*INDEX(EF!$H$100:$H$115,MATCH(Emissions!$D55,EF!$D$100:$D$115,0))*INDEX(EF!$H$116:$H$131,MATCH(Emissions!$D55,EF!$D$116:$D$131,0))*kgtoGg</f>
        <v>2.314303591214816</v>
      </c>
    </row>
    <row r="56" spans="1:68" x14ac:dyDescent="0.3">
      <c r="A56" t="str">
        <f t="shared" ref="A56:A60" si="13">A55</f>
        <v>3C Aggregated and non-CO2 emissions on land</v>
      </c>
      <c r="B56" t="str">
        <f t="shared" ref="B56:B59" si="14">B55</f>
        <v>3C1 Biomass burning (CH4)</v>
      </c>
      <c r="C56" t="str">
        <f t="shared" ref="C56:C57" si="15">C55</f>
        <v>3C1a Biomass burning in forest land</v>
      </c>
      <c r="D56" t="str">
        <f>EF!D86</f>
        <v>Woodlands</v>
      </c>
      <c r="E56" t="s">
        <v>643</v>
      </c>
      <c r="F56" t="str">
        <f t="shared" ref="F56:F59" si="16">F55</f>
        <v>CH4</v>
      </c>
      <c r="G56" t="str">
        <f t="shared" ref="G56:G59" si="17">G55</f>
        <v>Gg CH4</v>
      </c>
      <c r="H56" s="22">
        <f>INDEX('Activity data'!H$24:H$39,MATCH(Emissions!$D56,'Activity data'!$D$24:$D$39,0))*INDEX(EF!$H$84:$H$99,MATCH(Emissions!$D56,EF!$D$84:$D$99,0))*INDEX(EF!$H$100:$H$115,MATCH(Emissions!$D56,EF!$D$100:$D$115,0))*INDEX(EF!$H$116:$H$131,MATCH(Emissions!$D56,EF!$D$116:$D$131,0))*kgtoGg</f>
        <v>5.6531469914652028</v>
      </c>
      <c r="I56" s="22">
        <f>INDEX('Activity data'!I$24:I$39,MATCH(Emissions!$D56,'Activity data'!$D$24:$D$39,0))*INDEX(EF!$H$84:$H$99,MATCH(Emissions!$D56,EF!$D$84:$D$99,0))*INDEX(EF!$H$100:$H$115,MATCH(Emissions!$D56,EF!$D$100:$D$115,0))*INDEX(EF!$H$116:$H$131,MATCH(Emissions!$D56,EF!$D$116:$D$131,0))*kgtoGg</f>
        <v>5.6531469914652028</v>
      </c>
      <c r="J56" s="22">
        <f>INDEX('Activity data'!J$24:J$39,MATCH(Emissions!$D56,'Activity data'!$D$24:$D$39,0))*INDEX(EF!$H$84:$H$99,MATCH(Emissions!$D56,EF!$D$84:$D$99,0))*INDEX(EF!$H$100:$H$115,MATCH(Emissions!$D56,EF!$D$100:$D$115,0))*INDEX(EF!$H$116:$H$131,MATCH(Emissions!$D56,EF!$D$116:$D$131,0))*kgtoGg</f>
        <v>5.6531469914652028</v>
      </c>
      <c r="K56" s="22">
        <f>INDEX('Activity data'!K$24:K$39,MATCH(Emissions!$D56,'Activity data'!$D$24:$D$39,0))*INDEX(EF!$H$84:$H$99,MATCH(Emissions!$D56,EF!$D$84:$D$99,0))*INDEX(EF!$H$100:$H$115,MATCH(Emissions!$D56,EF!$D$100:$D$115,0))*INDEX(EF!$H$116:$H$131,MATCH(Emissions!$D56,EF!$D$116:$D$131,0))*kgtoGg</f>
        <v>5.6531469914652028</v>
      </c>
      <c r="L56" s="22">
        <f>INDEX('Activity data'!L$24:L$39,MATCH(Emissions!$D56,'Activity data'!$D$24:$D$39,0))*INDEX(EF!$H$84:$H$99,MATCH(Emissions!$D56,EF!$D$84:$D$99,0))*INDEX(EF!$H$100:$H$115,MATCH(Emissions!$D56,EF!$D$100:$D$115,0))*INDEX(EF!$H$116:$H$131,MATCH(Emissions!$D56,EF!$D$116:$D$131,0))*kgtoGg</f>
        <v>5.6531469914652028</v>
      </c>
      <c r="M56" s="22">
        <f>INDEX('Activity data'!M$24:M$39,MATCH(Emissions!$D56,'Activity data'!$D$24:$D$39,0))*INDEX(EF!$H$84:$H$99,MATCH(Emissions!$D56,EF!$D$84:$D$99,0))*INDEX(EF!$H$100:$H$115,MATCH(Emissions!$D56,EF!$D$100:$D$115,0))*INDEX(EF!$H$116:$H$131,MATCH(Emissions!$D56,EF!$D$116:$D$131,0))*kgtoGg</f>
        <v>5.6531469914652028</v>
      </c>
      <c r="N56" s="22">
        <f>INDEX('Activity data'!N$24:N$39,MATCH(Emissions!$D56,'Activity data'!$D$24:$D$39,0))*INDEX(EF!$H$84:$H$99,MATCH(Emissions!$D56,EF!$D$84:$D$99,0))*INDEX(EF!$H$100:$H$115,MATCH(Emissions!$D56,EF!$D$100:$D$115,0))*INDEX(EF!$H$116:$H$131,MATCH(Emissions!$D56,EF!$D$116:$D$131,0))*kgtoGg</f>
        <v>5.6531469914652028</v>
      </c>
      <c r="O56" s="22">
        <f>INDEX('Activity data'!O$24:O$39,MATCH(Emissions!$D56,'Activity data'!$D$24:$D$39,0))*INDEX(EF!$H$84:$H$99,MATCH(Emissions!$D56,EF!$D$84:$D$99,0))*INDEX(EF!$H$100:$H$115,MATCH(Emissions!$D56,EF!$D$100:$D$115,0))*INDEX(EF!$H$116:$H$131,MATCH(Emissions!$D56,EF!$D$116:$D$131,0))*kgtoGg</f>
        <v>5.6531469914652028</v>
      </c>
      <c r="P56" s="22">
        <f>INDEX('Activity data'!P$24:P$39,MATCH(Emissions!$D56,'Activity data'!$D$24:$D$39,0))*INDEX(EF!$H$84:$H$99,MATCH(Emissions!$D56,EF!$D$84:$D$99,0))*INDEX(EF!$H$100:$H$115,MATCH(Emissions!$D56,EF!$D$100:$D$115,0))*INDEX(EF!$H$116:$H$131,MATCH(Emissions!$D56,EF!$D$116:$D$131,0))*kgtoGg</f>
        <v>5.6531469914652028</v>
      </c>
      <c r="Q56" s="22">
        <f>INDEX('Activity data'!Q$24:Q$39,MATCH(Emissions!$D56,'Activity data'!$D$24:$D$39,0))*INDEX(EF!$H$84:$H$99,MATCH(Emissions!$D56,EF!$D$84:$D$99,0))*INDEX(EF!$H$100:$H$115,MATCH(Emissions!$D56,EF!$D$100:$D$115,0))*INDEX(EF!$H$116:$H$131,MATCH(Emissions!$D56,EF!$D$116:$D$131,0))*kgtoGg</f>
        <v>5.6531469914652028</v>
      </c>
      <c r="R56" s="22">
        <f>INDEX('Activity data'!R$24:R$39,MATCH(Emissions!$D56,'Activity data'!$D$24:$D$39,0))*INDEX(EF!$H$84:$H$99,MATCH(Emissions!$D56,EF!$D$84:$D$99,0))*INDEX(EF!$H$100:$H$115,MATCH(Emissions!$D56,EF!$D$100:$D$115,0))*INDEX(EF!$H$116:$H$131,MATCH(Emissions!$D56,EF!$D$116:$D$131,0))*kgtoGg</f>
        <v>5.9201330160969858</v>
      </c>
      <c r="S56" s="22">
        <f>INDEX('Activity data'!S$24:S$39,MATCH(Emissions!$D56,'Activity data'!$D$24:$D$39,0))*INDEX(EF!$H$84:$H$99,MATCH(Emissions!$D56,EF!$D$84:$D$99,0))*INDEX(EF!$H$100:$H$115,MATCH(Emissions!$D56,EF!$D$100:$D$115,0))*INDEX(EF!$H$116:$H$131,MATCH(Emissions!$D56,EF!$D$116:$D$131,0))*kgtoGg</f>
        <v>8.5137755895560279</v>
      </c>
      <c r="T56" s="22">
        <f>INDEX('Activity data'!T$24:T$39,MATCH(Emissions!$D56,'Activity data'!$D$24:$D$39,0))*INDEX(EF!$H$84:$H$99,MATCH(Emissions!$D56,EF!$D$84:$D$99,0))*INDEX(EF!$H$100:$H$115,MATCH(Emissions!$D56,EF!$D$100:$D$115,0))*INDEX(EF!$H$116:$H$131,MATCH(Emissions!$D56,EF!$D$116:$D$131,0))*kgtoGg</f>
        <v>6.5840487252639006</v>
      </c>
      <c r="U56" s="22">
        <f>INDEX('Activity data'!U$24:U$39,MATCH(Emissions!$D56,'Activity data'!$D$24:$D$39,0))*INDEX(EF!$H$84:$H$99,MATCH(Emissions!$D56,EF!$D$84:$D$99,0))*INDEX(EF!$H$100:$H$115,MATCH(Emissions!$D56,EF!$D$100:$D$115,0))*INDEX(EF!$H$116:$H$131,MATCH(Emissions!$D56,EF!$D$116:$D$131,0))*kgtoGg</f>
        <v>2.5247104134470595</v>
      </c>
      <c r="V56" s="22">
        <f>INDEX('Activity data'!V$24:V$39,MATCH(Emissions!$D56,'Activity data'!$D$24:$D$39,0))*INDEX(EF!$H$84:$H$99,MATCH(Emissions!$D56,EF!$D$84:$D$99,0))*INDEX(EF!$H$100:$H$115,MATCH(Emissions!$D56,EF!$D$100:$D$115,0))*INDEX(EF!$H$116:$H$131,MATCH(Emissions!$D56,EF!$D$116:$D$131,0))*kgtoGg</f>
        <v>4.7230672129620421</v>
      </c>
      <c r="W56" s="22">
        <f>INDEX('Activity data'!W$24:W$39,MATCH(Emissions!$D56,'Activity data'!$D$24:$D$39,0))*INDEX(EF!$H$84:$H$99,MATCH(Emissions!$D56,EF!$D$84:$D$99,0))*INDEX(EF!$H$100:$H$115,MATCH(Emissions!$D56,EF!$D$100:$D$115,0))*INDEX(EF!$H$116:$H$131,MATCH(Emissions!$D56,EF!$D$116:$D$131,0))*kgtoGg</f>
        <v>7.9744608308714833</v>
      </c>
      <c r="X56" s="22">
        <f>INDEX('Activity data'!X$24:X$39,MATCH(Emissions!$D56,'Activity data'!$D$24:$D$39,0))*INDEX(EF!$H$84:$H$99,MATCH(Emissions!$D56,EF!$D$84:$D$99,0))*INDEX(EF!$H$100:$H$115,MATCH(Emissions!$D56,EF!$D$100:$D$115,0))*INDEX(EF!$H$116:$H$131,MATCH(Emissions!$D56,EF!$D$116:$D$131,0))*kgtoGg</f>
        <v>6.9184350841296229</v>
      </c>
      <c r="Y56" s="22">
        <f>INDEX('Activity data'!Y$24:Y$39,MATCH(Emissions!$D56,'Activity data'!$D$24:$D$39,0))*INDEX(EF!$H$84:$H$99,MATCH(Emissions!$D56,EF!$D$84:$D$99,0))*INDEX(EF!$H$100:$H$115,MATCH(Emissions!$D56,EF!$D$100:$D$115,0))*INDEX(EF!$H$116:$H$131,MATCH(Emissions!$D56,EF!$D$116:$D$131,0))*kgtoGg</f>
        <v>3.9808789426975095</v>
      </c>
      <c r="Z56" s="22">
        <f>INDEX('Activity data'!Z$24:Z$39,MATCH(Emissions!$D56,'Activity data'!$D$24:$D$39,0))*INDEX(EF!$H$84:$H$99,MATCH(Emissions!$D56,EF!$D$84:$D$99,0))*INDEX(EF!$H$100:$H$115,MATCH(Emissions!$D56,EF!$D$100:$D$115,0))*INDEX(EF!$H$116:$H$131,MATCH(Emissions!$D56,EF!$D$116:$D$131,0))*kgtoGg</f>
        <v>7.1887462915478917</v>
      </c>
      <c r="AA56" s="22">
        <f>INDEX('Activity data'!AA$24:AA$39,MATCH(Emissions!$D56,'Activity data'!$D$24:$D$39,0))*INDEX(EF!$H$84:$H$99,MATCH(Emissions!$D56,EF!$D$84:$D$99,0))*INDEX(EF!$H$100:$H$115,MATCH(Emissions!$D56,EF!$D$100:$D$115,0))*INDEX(EF!$H$116:$H$131,MATCH(Emissions!$D56,EF!$D$116:$D$131,0))*kgtoGg</f>
        <v>4.7368910065687819</v>
      </c>
      <c r="AB56" s="22">
        <f>INDEX('Activity data'!AB$24:AB$39,MATCH(Emissions!$D56,'Activity data'!$D$24:$D$39,0))*INDEX(EF!$H$84:$H$99,MATCH(Emissions!$D56,EF!$D$84:$D$99,0))*INDEX(EF!$H$100:$H$115,MATCH(Emissions!$D56,EF!$D$100:$D$115,0))*INDEX(EF!$H$116:$H$131,MATCH(Emissions!$D56,EF!$D$116:$D$131,0))*kgtoGg</f>
        <v>6.6733368768000005</v>
      </c>
      <c r="AC56" s="22">
        <f>INDEX('Activity data'!AC$24:AC$39,MATCH(Emissions!$D56,'Activity data'!$D$24:$D$39,0))*INDEX(EF!$H$84:$H$99,MATCH(Emissions!$D56,EF!$D$84:$D$99,0))*INDEX(EF!$H$100:$H$115,MATCH(Emissions!$D56,EF!$D$100:$D$115,0))*INDEX(EF!$H$116:$H$131,MATCH(Emissions!$D56,EF!$D$116:$D$131,0))*kgtoGg</f>
        <v>6.10643382624</v>
      </c>
      <c r="AD56" s="22">
        <f>INDEX('Activity data'!AD$24:AD$39,MATCH(Emissions!$D56,'Activity data'!$D$24:$D$39,0))*INDEX(EF!$H$84:$H$99,MATCH(Emissions!$D56,EF!$D$84:$D$99,0))*INDEX(EF!$H$100:$H$115,MATCH(Emissions!$D56,EF!$D$100:$D$115,0))*INDEX(EF!$H$116:$H$131,MATCH(Emissions!$D56,EF!$D$116:$D$131,0))*kgtoGg</f>
        <v>5.3786221650316861</v>
      </c>
      <c r="AE56" s="22">
        <f>INDEX('Activity data'!AE$24:AE$39,MATCH(Emissions!$D56,'Activity data'!$D$24:$D$39,0))*INDEX(EF!$H$84:$H$99,MATCH(Emissions!$D56,EF!$D$84:$D$99,0))*INDEX(EF!$H$100:$H$115,MATCH(Emissions!$D56,EF!$D$100:$D$115,0))*INDEX(EF!$H$116:$H$131,MATCH(Emissions!$D56,EF!$D$116:$D$131,0))*kgtoGg</f>
        <v>5.3880428110636629</v>
      </c>
      <c r="AF56" s="22">
        <f>INDEX('Activity data'!AF$24:AF$39,MATCH(Emissions!$D56,'Activity data'!$D$24:$D$39,0))*INDEX(EF!$H$84:$H$99,MATCH(Emissions!$D56,EF!$D$84:$D$99,0))*INDEX(EF!$H$100:$H$115,MATCH(Emissions!$D56,EF!$D$100:$D$115,0))*INDEX(EF!$H$116:$H$131,MATCH(Emissions!$D56,EF!$D$116:$D$131,0))*kgtoGg</f>
        <v>5.3974634570956406</v>
      </c>
      <c r="AG56" s="22">
        <f>INDEX('Activity data'!AG$24:AG$39,MATCH(Emissions!$D56,'Activity data'!$D$24:$D$39,0))*INDEX(EF!$H$84:$H$99,MATCH(Emissions!$D56,EF!$D$84:$D$99,0))*INDEX(EF!$H$100:$H$115,MATCH(Emissions!$D56,EF!$D$100:$D$115,0))*INDEX(EF!$H$116:$H$131,MATCH(Emissions!$D56,EF!$D$116:$D$131,0))*kgtoGg</f>
        <v>5.4068841031276182</v>
      </c>
      <c r="AH56" s="22">
        <f>INDEX('Activity data'!AH$24:AH$39,MATCH(Emissions!$D56,'Activity data'!$D$24:$D$39,0))*INDEX(EF!$H$84:$H$99,MATCH(Emissions!$D56,EF!$D$84:$D$99,0))*INDEX(EF!$H$100:$H$115,MATCH(Emissions!$D56,EF!$D$100:$D$115,0))*INDEX(EF!$H$116:$H$131,MATCH(Emissions!$D56,EF!$D$116:$D$131,0))*kgtoGg</f>
        <v>5.4163047491595959</v>
      </c>
      <c r="AI56" s="22">
        <f>INDEX('Activity data'!AI$24:AI$39,MATCH(Emissions!$D56,'Activity data'!$D$24:$D$39,0))*INDEX(EF!$H$84:$H$99,MATCH(Emissions!$D56,EF!$D$84:$D$99,0))*INDEX(EF!$H$100:$H$115,MATCH(Emissions!$D56,EF!$D$100:$D$115,0))*INDEX(EF!$H$116:$H$131,MATCH(Emissions!$D56,EF!$D$116:$D$131,0))*kgtoGg</f>
        <v>5.4257253951915727</v>
      </c>
      <c r="AJ56" s="22">
        <f>INDEX('Activity data'!AJ$24:AJ$39,MATCH(Emissions!$D56,'Activity data'!$D$24:$D$39,0))*INDEX(EF!$H$84:$H$99,MATCH(Emissions!$D56,EF!$D$84:$D$99,0))*INDEX(EF!$H$100:$H$115,MATCH(Emissions!$D56,EF!$D$100:$D$115,0))*INDEX(EF!$H$116:$H$131,MATCH(Emissions!$D56,EF!$D$116:$D$131,0))*kgtoGg</f>
        <v>5.4351460412235486</v>
      </c>
      <c r="AK56" s="22">
        <f>INDEX('Activity data'!AK$24:AK$39,MATCH(Emissions!$D56,'Activity data'!$D$24:$D$39,0))*INDEX(EF!$H$84:$H$99,MATCH(Emissions!$D56,EF!$D$84:$D$99,0))*INDEX(EF!$H$100:$H$115,MATCH(Emissions!$D56,EF!$D$100:$D$115,0))*INDEX(EF!$H$116:$H$131,MATCH(Emissions!$D56,EF!$D$116:$D$131,0))*kgtoGg</f>
        <v>5.3972660466060871</v>
      </c>
      <c r="AL56" s="22">
        <f>INDEX('Activity data'!AL$24:AL$39,MATCH(Emissions!$D56,'Activity data'!$D$24:$D$39,0))*INDEX(EF!$H$84:$H$99,MATCH(Emissions!$D56,EF!$D$84:$D$99,0))*INDEX(EF!$H$100:$H$115,MATCH(Emissions!$D56,EF!$D$100:$D$115,0))*INDEX(EF!$H$116:$H$131,MATCH(Emissions!$D56,EF!$D$116:$D$131,0))*kgtoGg</f>
        <v>5.3593860519886229</v>
      </c>
      <c r="AM56" s="22">
        <f>INDEX('Activity data'!AM$24:AM$39,MATCH(Emissions!$D56,'Activity data'!$D$24:$D$39,0))*INDEX(EF!$H$84:$H$99,MATCH(Emissions!$D56,EF!$D$84:$D$99,0))*INDEX(EF!$H$100:$H$115,MATCH(Emissions!$D56,EF!$D$100:$D$115,0))*INDEX(EF!$H$116:$H$131,MATCH(Emissions!$D56,EF!$D$116:$D$131,0))*kgtoGg</f>
        <v>5.3215060573711588</v>
      </c>
      <c r="AN56" s="22">
        <f>INDEX('Activity data'!AN$24:AN$39,MATCH(Emissions!$D56,'Activity data'!$D$24:$D$39,0))*INDEX(EF!$H$84:$H$99,MATCH(Emissions!$D56,EF!$D$84:$D$99,0))*INDEX(EF!$H$100:$H$115,MATCH(Emissions!$D56,EF!$D$100:$D$115,0))*INDEX(EF!$H$116:$H$131,MATCH(Emissions!$D56,EF!$D$116:$D$131,0))*kgtoGg</f>
        <v>5.2836260627536946</v>
      </c>
      <c r="AO56" s="22">
        <f>INDEX('Activity data'!AO$24:AO$39,MATCH(Emissions!$D56,'Activity data'!$D$24:$D$39,0))*INDEX(EF!$H$84:$H$99,MATCH(Emissions!$D56,EF!$D$84:$D$99,0))*INDEX(EF!$H$100:$H$115,MATCH(Emissions!$D56,EF!$D$100:$D$115,0))*INDEX(EF!$H$116:$H$131,MATCH(Emissions!$D56,EF!$D$116:$D$131,0))*kgtoGg</f>
        <v>5.2457460681362322</v>
      </c>
      <c r="AP56" s="22">
        <f>INDEX('Activity data'!AP$24:AP$39,MATCH(Emissions!$D56,'Activity data'!$D$24:$D$39,0))*INDEX(EF!$H$84:$H$99,MATCH(Emissions!$D56,EF!$D$84:$D$99,0))*INDEX(EF!$H$100:$H$115,MATCH(Emissions!$D56,EF!$D$100:$D$115,0))*INDEX(EF!$H$116:$H$131,MATCH(Emissions!$D56,EF!$D$116:$D$131,0))*kgtoGg</f>
        <v>5.2078660735187698</v>
      </c>
      <c r="AQ56" s="22">
        <f>INDEX('Activity data'!AQ$24:AQ$39,MATCH(Emissions!$D56,'Activity data'!$D$24:$D$39,0))*INDEX(EF!$H$84:$H$99,MATCH(Emissions!$D56,EF!$D$84:$D$99,0))*INDEX(EF!$H$100:$H$115,MATCH(Emissions!$D56,EF!$D$100:$D$115,0))*INDEX(EF!$H$116:$H$131,MATCH(Emissions!$D56,EF!$D$116:$D$131,0))*kgtoGg</f>
        <v>5.1699860789013057</v>
      </c>
      <c r="AR56" s="22">
        <f>INDEX('Activity data'!AR$24:AR$39,MATCH(Emissions!$D56,'Activity data'!$D$24:$D$39,0))*INDEX(EF!$H$84:$H$99,MATCH(Emissions!$D56,EF!$D$84:$D$99,0))*INDEX(EF!$H$100:$H$115,MATCH(Emissions!$D56,EF!$D$100:$D$115,0))*INDEX(EF!$H$116:$H$131,MATCH(Emissions!$D56,EF!$D$116:$D$131,0))*kgtoGg</f>
        <v>5.1321060842838424</v>
      </c>
      <c r="AS56" s="22">
        <f>INDEX('Activity data'!AS$24:AS$39,MATCH(Emissions!$D56,'Activity data'!$D$24:$D$39,0))*INDEX(EF!$H$84:$H$99,MATCH(Emissions!$D56,EF!$D$84:$D$99,0))*INDEX(EF!$H$100:$H$115,MATCH(Emissions!$D56,EF!$D$100:$D$115,0))*INDEX(EF!$H$116:$H$131,MATCH(Emissions!$D56,EF!$D$116:$D$131,0))*kgtoGg</f>
        <v>5.0942260896663782</v>
      </c>
      <c r="AT56" s="22">
        <f>INDEX('Activity data'!AT$24:AT$39,MATCH(Emissions!$D56,'Activity data'!$D$24:$D$39,0))*INDEX(EF!$H$84:$H$99,MATCH(Emissions!$D56,EF!$D$84:$D$99,0))*INDEX(EF!$H$100:$H$115,MATCH(Emissions!$D56,EF!$D$100:$D$115,0))*INDEX(EF!$H$116:$H$131,MATCH(Emissions!$D56,EF!$D$116:$D$131,0))*kgtoGg</f>
        <v>5.0563460950489141</v>
      </c>
      <c r="AU56" s="22">
        <f>INDEX('Activity data'!AU$24:AU$39,MATCH(Emissions!$D56,'Activity data'!$D$24:$D$39,0))*INDEX(EF!$H$84:$H$99,MATCH(Emissions!$D56,EF!$D$84:$D$99,0))*INDEX(EF!$H$100:$H$115,MATCH(Emissions!$D56,EF!$D$100:$D$115,0))*INDEX(EF!$H$116:$H$131,MATCH(Emissions!$D56,EF!$D$116:$D$131,0))*kgtoGg</f>
        <v>5.0184661004314526</v>
      </c>
      <c r="AV56" s="22">
        <f>INDEX('Activity data'!AV$24:AV$39,MATCH(Emissions!$D56,'Activity data'!$D$24:$D$39,0))*INDEX(EF!$H$84:$H$99,MATCH(Emissions!$D56,EF!$D$84:$D$99,0))*INDEX(EF!$H$100:$H$115,MATCH(Emissions!$D56,EF!$D$100:$D$115,0))*INDEX(EF!$H$116:$H$131,MATCH(Emissions!$D56,EF!$D$116:$D$131,0))*kgtoGg</f>
        <v>4.9805861058139884</v>
      </c>
      <c r="AW56" s="22">
        <f>INDEX('Activity data'!AW$24:AW$39,MATCH(Emissions!$D56,'Activity data'!$D$24:$D$39,0))*INDEX(EF!$H$84:$H$99,MATCH(Emissions!$D56,EF!$D$84:$D$99,0))*INDEX(EF!$H$100:$H$115,MATCH(Emissions!$D56,EF!$D$100:$D$115,0))*INDEX(EF!$H$116:$H$131,MATCH(Emissions!$D56,EF!$D$116:$D$131,0))*kgtoGg</f>
        <v>4.9427061111965243</v>
      </c>
      <c r="AX56" s="22">
        <f>INDEX('Activity data'!AX$24:AX$39,MATCH(Emissions!$D56,'Activity data'!$D$24:$D$39,0))*INDEX(EF!$H$84:$H$99,MATCH(Emissions!$D56,EF!$D$84:$D$99,0))*INDEX(EF!$H$100:$H$115,MATCH(Emissions!$D56,EF!$D$100:$D$115,0))*INDEX(EF!$H$116:$H$131,MATCH(Emissions!$D56,EF!$D$116:$D$131,0))*kgtoGg</f>
        <v>4.9048261165790601</v>
      </c>
      <c r="AY56" s="22">
        <f>INDEX('Activity data'!AY$24:AY$39,MATCH(Emissions!$D56,'Activity data'!$D$24:$D$39,0))*INDEX(EF!$H$84:$H$99,MATCH(Emissions!$D56,EF!$D$84:$D$99,0))*INDEX(EF!$H$100:$H$115,MATCH(Emissions!$D56,EF!$D$100:$D$115,0))*INDEX(EF!$H$116:$H$131,MATCH(Emissions!$D56,EF!$D$116:$D$131,0))*kgtoGg</f>
        <v>4.8669461219615968</v>
      </c>
      <c r="AZ56" s="22">
        <f>INDEX('Activity data'!AZ$24:AZ$39,MATCH(Emissions!$D56,'Activity data'!$D$24:$D$39,0))*INDEX(EF!$H$84:$H$99,MATCH(Emissions!$D56,EF!$D$84:$D$99,0))*INDEX(EF!$H$100:$H$115,MATCH(Emissions!$D56,EF!$D$100:$D$115,0))*INDEX(EF!$H$116:$H$131,MATCH(Emissions!$D56,EF!$D$116:$D$131,0))*kgtoGg</f>
        <v>4.8290661273441344</v>
      </c>
      <c r="BA56" s="22">
        <f>INDEX('Activity data'!BA$24:BA$39,MATCH(Emissions!$D56,'Activity data'!$D$24:$D$39,0))*INDEX(EF!$H$84:$H$99,MATCH(Emissions!$D56,EF!$D$84:$D$99,0))*INDEX(EF!$H$100:$H$115,MATCH(Emissions!$D56,EF!$D$100:$D$115,0))*INDEX(EF!$H$116:$H$131,MATCH(Emissions!$D56,EF!$D$116:$D$131,0))*kgtoGg</f>
        <v>4.7911861327266712</v>
      </c>
      <c r="BB56" s="22">
        <f>INDEX('Activity data'!BB$24:BB$39,MATCH(Emissions!$D56,'Activity data'!$D$24:$D$39,0))*INDEX(EF!$H$84:$H$99,MATCH(Emissions!$D56,EF!$D$84:$D$99,0))*INDEX(EF!$H$100:$H$115,MATCH(Emissions!$D56,EF!$D$100:$D$115,0))*INDEX(EF!$H$116:$H$131,MATCH(Emissions!$D56,EF!$D$116:$D$131,0))*kgtoGg</f>
        <v>4.7533061381092079</v>
      </c>
      <c r="BC56" s="22">
        <f>INDEX('Activity data'!BC$24:BC$39,MATCH(Emissions!$D56,'Activity data'!$D$24:$D$39,0))*INDEX(EF!$H$84:$H$99,MATCH(Emissions!$D56,EF!$D$84:$D$99,0))*INDEX(EF!$H$100:$H$115,MATCH(Emissions!$D56,EF!$D$100:$D$115,0))*INDEX(EF!$H$116:$H$131,MATCH(Emissions!$D56,EF!$D$116:$D$131,0))*kgtoGg</f>
        <v>4.7154261434917437</v>
      </c>
      <c r="BD56" s="22">
        <f>INDEX('Activity data'!BD$24:BD$39,MATCH(Emissions!$D56,'Activity data'!$D$24:$D$39,0))*INDEX(EF!$H$84:$H$99,MATCH(Emissions!$D56,EF!$D$84:$D$99,0))*INDEX(EF!$H$100:$H$115,MATCH(Emissions!$D56,EF!$D$100:$D$115,0))*INDEX(EF!$H$116:$H$131,MATCH(Emissions!$D56,EF!$D$116:$D$131,0))*kgtoGg</f>
        <v>4.6775461488742796</v>
      </c>
      <c r="BE56" s="22">
        <f>INDEX('Activity data'!BE$24:BE$39,MATCH(Emissions!$D56,'Activity data'!$D$24:$D$39,0))*INDEX(EF!$H$84:$H$99,MATCH(Emissions!$D56,EF!$D$84:$D$99,0))*INDEX(EF!$H$100:$H$115,MATCH(Emissions!$D56,EF!$D$100:$D$115,0))*INDEX(EF!$H$116:$H$131,MATCH(Emissions!$D56,EF!$D$116:$D$131,0))*kgtoGg</f>
        <v>4.6396661542568172</v>
      </c>
      <c r="BF56" s="22">
        <f>INDEX('Activity data'!BF$24:BF$39,MATCH(Emissions!$D56,'Activity data'!$D$24:$D$39,0))*INDEX(EF!$H$84:$H$99,MATCH(Emissions!$D56,EF!$D$84:$D$99,0))*INDEX(EF!$H$100:$H$115,MATCH(Emissions!$D56,EF!$D$100:$D$115,0))*INDEX(EF!$H$116:$H$131,MATCH(Emissions!$D56,EF!$D$116:$D$131,0))*kgtoGg</f>
        <v>4.601786159639353</v>
      </c>
      <c r="BG56" s="22">
        <f>INDEX('Activity data'!BG$24:BG$39,MATCH(Emissions!$D56,'Activity data'!$D$24:$D$39,0))*INDEX(EF!$H$84:$H$99,MATCH(Emissions!$D56,EF!$D$84:$D$99,0))*INDEX(EF!$H$100:$H$115,MATCH(Emissions!$D56,EF!$D$100:$D$115,0))*INDEX(EF!$H$116:$H$131,MATCH(Emissions!$D56,EF!$D$116:$D$131,0))*kgtoGg</f>
        <v>4.5639061650218888</v>
      </c>
      <c r="BH56" s="22">
        <f>INDEX('Activity data'!BH$24:BH$39,MATCH(Emissions!$D56,'Activity data'!$D$24:$D$39,0))*INDEX(EF!$H$84:$H$99,MATCH(Emissions!$D56,EF!$D$84:$D$99,0))*INDEX(EF!$H$100:$H$115,MATCH(Emissions!$D56,EF!$D$100:$D$115,0))*INDEX(EF!$H$116:$H$131,MATCH(Emissions!$D56,EF!$D$116:$D$131,0))*kgtoGg</f>
        <v>4.5260261704044256</v>
      </c>
      <c r="BI56" s="22">
        <f>INDEX('Activity data'!BI$24:BI$39,MATCH(Emissions!$D56,'Activity data'!$D$24:$D$39,0))*INDEX(EF!$H$84:$H$99,MATCH(Emissions!$D56,EF!$D$84:$D$99,0))*INDEX(EF!$H$100:$H$115,MATCH(Emissions!$D56,EF!$D$100:$D$115,0))*INDEX(EF!$H$116:$H$131,MATCH(Emissions!$D56,EF!$D$116:$D$131,0))*kgtoGg</f>
        <v>4.4881461757869623</v>
      </c>
      <c r="BJ56" s="22">
        <f>INDEX('Activity data'!BJ$24:BJ$39,MATCH(Emissions!$D56,'Activity data'!$D$24:$D$39,0))*INDEX(EF!$H$84:$H$99,MATCH(Emissions!$D56,EF!$D$84:$D$99,0))*INDEX(EF!$H$100:$H$115,MATCH(Emissions!$D56,EF!$D$100:$D$115,0))*INDEX(EF!$H$116:$H$131,MATCH(Emissions!$D56,EF!$D$116:$D$131,0))*kgtoGg</f>
        <v>4.4502661811694981</v>
      </c>
      <c r="BK56" s="22">
        <f>INDEX('Activity data'!BK$24:BK$39,MATCH(Emissions!$D56,'Activity data'!$D$24:$D$39,0))*INDEX(EF!$H$84:$H$99,MATCH(Emissions!$D56,EF!$D$84:$D$99,0))*INDEX(EF!$H$100:$H$115,MATCH(Emissions!$D56,EF!$D$100:$D$115,0))*INDEX(EF!$H$116:$H$131,MATCH(Emissions!$D56,EF!$D$116:$D$131,0))*kgtoGg</f>
        <v>4.4123861865520357</v>
      </c>
      <c r="BL56" s="22">
        <f>INDEX('Activity data'!BL$24:BL$39,MATCH(Emissions!$D56,'Activity data'!$D$24:$D$39,0))*INDEX(EF!$H$84:$H$99,MATCH(Emissions!$D56,EF!$D$84:$D$99,0))*INDEX(EF!$H$100:$H$115,MATCH(Emissions!$D56,EF!$D$100:$D$115,0))*INDEX(EF!$H$116:$H$131,MATCH(Emissions!$D56,EF!$D$116:$D$131,0))*kgtoGg</f>
        <v>4.3745061919345725</v>
      </c>
      <c r="BM56" s="22">
        <f>INDEX('Activity data'!BM$24:BM$39,MATCH(Emissions!$D56,'Activity data'!$D$24:$D$39,0))*INDEX(EF!$H$84:$H$99,MATCH(Emissions!$D56,EF!$D$84:$D$99,0))*INDEX(EF!$H$100:$H$115,MATCH(Emissions!$D56,EF!$D$100:$D$115,0))*INDEX(EF!$H$116:$H$131,MATCH(Emissions!$D56,EF!$D$116:$D$131,0))*kgtoGg</f>
        <v>4.3366261973171101</v>
      </c>
      <c r="BN56" s="22">
        <f>INDEX('Activity data'!BN$24:BN$39,MATCH(Emissions!$D56,'Activity data'!$D$24:$D$39,0))*INDEX(EF!$H$84:$H$99,MATCH(Emissions!$D56,EF!$D$84:$D$99,0))*INDEX(EF!$H$100:$H$115,MATCH(Emissions!$D56,EF!$D$100:$D$115,0))*INDEX(EF!$H$116:$H$131,MATCH(Emissions!$D56,EF!$D$116:$D$131,0))*kgtoGg</f>
        <v>4.2987462026996468</v>
      </c>
      <c r="BO56" s="22">
        <f>INDEX('Activity data'!BO$24:BO$39,MATCH(Emissions!$D56,'Activity data'!$D$24:$D$39,0))*INDEX(EF!$H$84:$H$99,MATCH(Emissions!$D56,EF!$D$84:$D$99,0))*INDEX(EF!$H$100:$H$115,MATCH(Emissions!$D56,EF!$D$100:$D$115,0))*INDEX(EF!$H$116:$H$131,MATCH(Emissions!$D56,EF!$D$116:$D$131,0))*kgtoGg</f>
        <v>4.2608662080821844</v>
      </c>
      <c r="BP56" s="22">
        <f>INDEX('Activity data'!BP$24:BP$39,MATCH(Emissions!$D56,'Activity data'!$D$24:$D$39,0))*INDEX(EF!$H$84:$H$99,MATCH(Emissions!$D56,EF!$D$84:$D$99,0))*INDEX(EF!$H$100:$H$115,MATCH(Emissions!$D56,EF!$D$100:$D$115,0))*INDEX(EF!$H$116:$H$131,MATCH(Emissions!$D56,EF!$D$116:$D$131,0))*kgtoGg</f>
        <v>4.2229862134647194</v>
      </c>
    </row>
    <row r="57" spans="1:68" x14ac:dyDescent="0.3">
      <c r="A57" t="str">
        <f t="shared" si="13"/>
        <v>3C Aggregated and non-CO2 emissions on land</v>
      </c>
      <c r="B57" t="str">
        <f t="shared" si="14"/>
        <v>3C1 Biomass burning (CH4)</v>
      </c>
      <c r="C57" t="str">
        <f t="shared" si="15"/>
        <v>3C1a Biomass burning in forest land</v>
      </c>
      <c r="D57" t="str">
        <f>EF!D87</f>
        <v>Plantations</v>
      </c>
      <c r="E57" t="s">
        <v>644</v>
      </c>
      <c r="F57" t="str">
        <f t="shared" si="16"/>
        <v>CH4</v>
      </c>
      <c r="G57" t="str">
        <f t="shared" si="17"/>
        <v>Gg CH4</v>
      </c>
      <c r="H57" s="22">
        <f>INDEX('Activity data'!H$24:H$39,MATCH(Emissions!$D57,'Activity data'!$D$24:$D$39,0))*INDEX(EF!$H$84:$H$99,MATCH(Emissions!$D57,EF!$D$84:$D$99,0))*INDEX(EF!$H$100:$H$115,MATCH(Emissions!$D57,EF!$D$100:$D$115,0))*INDEX(EF!$H$116:$H$131,MATCH(Emissions!$D57,EF!$D$116:$D$131,0))*kgtoGg</f>
        <v>7.5442559859280678</v>
      </c>
      <c r="I57" s="22">
        <f>INDEX('Activity data'!I$24:I$39,MATCH(Emissions!$D57,'Activity data'!$D$24:$D$39,0))*INDEX(EF!$H$84:$H$99,MATCH(Emissions!$D57,EF!$D$84:$D$99,0))*INDEX(EF!$H$100:$H$115,MATCH(Emissions!$D57,EF!$D$100:$D$115,0))*INDEX(EF!$H$116:$H$131,MATCH(Emissions!$D57,EF!$D$116:$D$131,0))*kgtoGg</f>
        <v>7.5442559859280678</v>
      </c>
      <c r="J57" s="22">
        <f>INDEX('Activity data'!J$24:J$39,MATCH(Emissions!$D57,'Activity data'!$D$24:$D$39,0))*INDEX(EF!$H$84:$H$99,MATCH(Emissions!$D57,EF!$D$84:$D$99,0))*INDEX(EF!$H$100:$H$115,MATCH(Emissions!$D57,EF!$D$100:$D$115,0))*INDEX(EF!$H$116:$H$131,MATCH(Emissions!$D57,EF!$D$116:$D$131,0))*kgtoGg</f>
        <v>7.5442559859280678</v>
      </c>
      <c r="K57" s="22">
        <f>INDEX('Activity data'!K$24:K$39,MATCH(Emissions!$D57,'Activity data'!$D$24:$D$39,0))*INDEX(EF!$H$84:$H$99,MATCH(Emissions!$D57,EF!$D$84:$D$99,0))*INDEX(EF!$H$100:$H$115,MATCH(Emissions!$D57,EF!$D$100:$D$115,0))*INDEX(EF!$H$116:$H$131,MATCH(Emissions!$D57,EF!$D$116:$D$131,0))*kgtoGg</f>
        <v>7.5442559859280678</v>
      </c>
      <c r="L57" s="22">
        <f>INDEX('Activity data'!L$24:L$39,MATCH(Emissions!$D57,'Activity data'!$D$24:$D$39,0))*INDEX(EF!$H$84:$H$99,MATCH(Emissions!$D57,EF!$D$84:$D$99,0))*INDEX(EF!$H$100:$H$115,MATCH(Emissions!$D57,EF!$D$100:$D$115,0))*INDEX(EF!$H$116:$H$131,MATCH(Emissions!$D57,EF!$D$116:$D$131,0))*kgtoGg</f>
        <v>7.5442559859280678</v>
      </c>
      <c r="M57" s="22">
        <f>INDEX('Activity data'!M$24:M$39,MATCH(Emissions!$D57,'Activity data'!$D$24:$D$39,0))*INDEX(EF!$H$84:$H$99,MATCH(Emissions!$D57,EF!$D$84:$D$99,0))*INDEX(EF!$H$100:$H$115,MATCH(Emissions!$D57,EF!$D$100:$D$115,0))*INDEX(EF!$H$116:$H$131,MATCH(Emissions!$D57,EF!$D$116:$D$131,0))*kgtoGg</f>
        <v>7.5442559859280678</v>
      </c>
      <c r="N57" s="22">
        <f>INDEX('Activity data'!N$24:N$39,MATCH(Emissions!$D57,'Activity data'!$D$24:$D$39,0))*INDEX(EF!$H$84:$H$99,MATCH(Emissions!$D57,EF!$D$84:$D$99,0))*INDEX(EF!$H$100:$H$115,MATCH(Emissions!$D57,EF!$D$100:$D$115,0))*INDEX(EF!$H$116:$H$131,MATCH(Emissions!$D57,EF!$D$116:$D$131,0))*kgtoGg</f>
        <v>7.5442559859280678</v>
      </c>
      <c r="O57" s="22">
        <f>INDEX('Activity data'!O$24:O$39,MATCH(Emissions!$D57,'Activity data'!$D$24:$D$39,0))*INDEX(EF!$H$84:$H$99,MATCH(Emissions!$D57,EF!$D$84:$D$99,0))*INDEX(EF!$H$100:$H$115,MATCH(Emissions!$D57,EF!$D$100:$D$115,0))*INDEX(EF!$H$116:$H$131,MATCH(Emissions!$D57,EF!$D$116:$D$131,0))*kgtoGg</f>
        <v>7.5442559859280678</v>
      </c>
      <c r="P57" s="22">
        <f>INDEX('Activity data'!P$24:P$39,MATCH(Emissions!$D57,'Activity data'!$D$24:$D$39,0))*INDEX(EF!$H$84:$H$99,MATCH(Emissions!$D57,EF!$D$84:$D$99,0))*INDEX(EF!$H$100:$H$115,MATCH(Emissions!$D57,EF!$D$100:$D$115,0))*INDEX(EF!$H$116:$H$131,MATCH(Emissions!$D57,EF!$D$116:$D$131,0))*kgtoGg</f>
        <v>7.5442559859280678</v>
      </c>
      <c r="Q57" s="22">
        <f>INDEX('Activity data'!Q$24:Q$39,MATCH(Emissions!$D57,'Activity data'!$D$24:$D$39,0))*INDEX(EF!$H$84:$H$99,MATCH(Emissions!$D57,EF!$D$84:$D$99,0))*INDEX(EF!$H$100:$H$115,MATCH(Emissions!$D57,EF!$D$100:$D$115,0))*INDEX(EF!$H$116:$H$131,MATCH(Emissions!$D57,EF!$D$116:$D$131,0))*kgtoGg</f>
        <v>7.5442559859280678</v>
      </c>
      <c r="R57" s="22">
        <f>INDEX('Activity data'!R$24:R$39,MATCH(Emissions!$D57,'Activity data'!$D$24:$D$39,0))*INDEX(EF!$H$84:$H$99,MATCH(Emissions!$D57,EF!$D$84:$D$99,0))*INDEX(EF!$H$100:$H$115,MATCH(Emissions!$D57,EF!$D$100:$D$115,0))*INDEX(EF!$H$116:$H$131,MATCH(Emissions!$D57,EF!$D$116:$D$131,0))*kgtoGg</f>
        <v>6.8796151958231224</v>
      </c>
      <c r="S57" s="22">
        <f>INDEX('Activity data'!S$24:S$39,MATCH(Emissions!$D57,'Activity data'!$D$24:$D$39,0))*INDEX(EF!$H$84:$H$99,MATCH(Emissions!$D57,EF!$D$84:$D$99,0))*INDEX(EF!$H$100:$H$115,MATCH(Emissions!$D57,EF!$D$100:$D$115,0))*INDEX(EF!$H$116:$H$131,MATCH(Emissions!$D57,EF!$D$116:$D$131,0))*kgtoGg</f>
        <v>8.4683398914687142</v>
      </c>
      <c r="T57" s="22">
        <f>INDEX('Activity data'!T$24:T$39,MATCH(Emissions!$D57,'Activity data'!$D$24:$D$39,0))*INDEX(EF!$H$84:$H$99,MATCH(Emissions!$D57,EF!$D$84:$D$99,0))*INDEX(EF!$H$100:$H$115,MATCH(Emissions!$D57,EF!$D$100:$D$115,0))*INDEX(EF!$H$116:$H$131,MATCH(Emissions!$D57,EF!$D$116:$D$131,0))*kgtoGg</f>
        <v>7.561017760239924</v>
      </c>
      <c r="U57" s="22">
        <f>INDEX('Activity data'!U$24:U$39,MATCH(Emissions!$D57,'Activity data'!$D$24:$D$39,0))*INDEX(EF!$H$84:$H$99,MATCH(Emissions!$D57,EF!$D$84:$D$99,0))*INDEX(EF!$H$100:$H$115,MATCH(Emissions!$D57,EF!$D$100:$D$115,0))*INDEX(EF!$H$116:$H$131,MATCH(Emissions!$D57,EF!$D$116:$D$131,0))*kgtoGg</f>
        <v>8.7780683298399893</v>
      </c>
      <c r="V57" s="22">
        <f>INDEX('Activity data'!V$24:V$39,MATCH(Emissions!$D57,'Activity data'!$D$24:$D$39,0))*INDEX(EF!$H$84:$H$99,MATCH(Emissions!$D57,EF!$D$84:$D$99,0))*INDEX(EF!$H$100:$H$115,MATCH(Emissions!$D57,EF!$D$100:$D$115,0))*INDEX(EF!$H$116:$H$131,MATCH(Emissions!$D57,EF!$D$116:$D$131,0))*kgtoGg</f>
        <v>6.0342387522685863</v>
      </c>
      <c r="W57" s="22">
        <f>INDEX('Activity data'!W$24:W$39,MATCH(Emissions!$D57,'Activity data'!$D$24:$D$39,0))*INDEX(EF!$H$84:$H$99,MATCH(Emissions!$D57,EF!$D$84:$D$99,0))*INDEX(EF!$H$100:$H$115,MATCH(Emissions!$D57,EF!$D$100:$D$115,0))*INDEX(EF!$H$116:$H$131,MATCH(Emissions!$D57,EF!$D$116:$D$131,0))*kgtoGg</f>
        <v>8.8436578814950799</v>
      </c>
      <c r="X57" s="22">
        <f>INDEX('Activity data'!X$24:X$39,MATCH(Emissions!$D57,'Activity data'!$D$24:$D$39,0))*INDEX(EF!$H$84:$H$99,MATCH(Emissions!$D57,EF!$D$84:$D$99,0))*INDEX(EF!$H$100:$H$115,MATCH(Emissions!$D57,EF!$D$100:$D$115,0))*INDEX(EF!$H$116:$H$131,MATCH(Emissions!$D57,EF!$D$116:$D$131,0))*kgtoGg</f>
        <v>6.9124099716506668</v>
      </c>
      <c r="Y57" s="22">
        <f>INDEX('Activity data'!Y$24:Y$39,MATCH(Emissions!$D57,'Activity data'!$D$24:$D$39,0))*INDEX(EF!$H$84:$H$99,MATCH(Emissions!$D57,EF!$D$84:$D$99,0))*INDEX(EF!$H$100:$H$115,MATCH(Emissions!$D57,EF!$D$100:$D$115,0))*INDEX(EF!$H$116:$H$131,MATCH(Emissions!$D57,EF!$D$116:$D$131,0))*kgtoGg</f>
        <v>12.870127580321645</v>
      </c>
      <c r="Z57" s="22">
        <f>INDEX('Activity data'!Z$24:Z$39,MATCH(Emissions!$D57,'Activity data'!$D$24:$D$39,0))*INDEX(EF!$H$84:$H$99,MATCH(Emissions!$D57,EF!$D$84:$D$99,0))*INDEX(EF!$H$100:$H$115,MATCH(Emissions!$D57,EF!$D$100:$D$115,0))*INDEX(EF!$H$116:$H$131,MATCH(Emissions!$D57,EF!$D$116:$D$131,0))*kgtoGg</f>
        <v>8.3152976042734963</v>
      </c>
      <c r="AA57" s="22">
        <f>INDEX('Activity data'!AA$24:AA$39,MATCH(Emissions!$D57,'Activity data'!$D$24:$D$39,0))*INDEX(EF!$H$84:$H$99,MATCH(Emissions!$D57,EF!$D$84:$D$99,0))*INDEX(EF!$H$100:$H$115,MATCH(Emissions!$D57,EF!$D$100:$D$115,0))*INDEX(EF!$H$116:$H$131,MATCH(Emissions!$D57,EF!$D$116:$D$131,0))*kgtoGg</f>
        <v>7.0836715787500779</v>
      </c>
      <c r="AB57" s="22">
        <f>INDEX('Activity data'!AB$24:AB$39,MATCH(Emissions!$D57,'Activity data'!$D$24:$D$39,0))*INDEX(EF!$H$84:$H$99,MATCH(Emissions!$D57,EF!$D$84:$D$99,0))*INDEX(EF!$H$100:$H$115,MATCH(Emissions!$D57,EF!$D$100:$D$115,0))*INDEX(EF!$H$116:$H$131,MATCH(Emissions!$D57,EF!$D$116:$D$131,0))*kgtoGg</f>
        <v>5.9791970448000002</v>
      </c>
      <c r="AC57" s="22">
        <f>INDEX('Activity data'!AC$24:AC$39,MATCH(Emissions!$D57,'Activity data'!$D$24:$D$39,0))*INDEX(EF!$H$84:$H$99,MATCH(Emissions!$D57,EF!$D$84:$D$99,0))*INDEX(EF!$H$100:$H$115,MATCH(Emissions!$D57,EF!$D$100:$D$115,0))*INDEX(EF!$H$116:$H$131,MATCH(Emissions!$D57,EF!$D$116:$D$131,0))*kgtoGg</f>
        <v>6.8024024208</v>
      </c>
      <c r="AD57" s="22">
        <f>INDEX('Activity data'!AD$24:AD$39,MATCH(Emissions!$D57,'Activity data'!$D$24:$D$39,0))*INDEX(EF!$H$84:$H$99,MATCH(Emissions!$D57,EF!$D$84:$D$99,0))*INDEX(EF!$H$100:$H$115,MATCH(Emissions!$D57,EF!$D$100:$D$115,0))*INDEX(EF!$H$116:$H$131,MATCH(Emissions!$D57,EF!$D$116:$D$131,0))*kgtoGg</f>
        <v>2.098124981532016</v>
      </c>
      <c r="AE57" s="22">
        <f>INDEX('Activity data'!AE$24:AE$39,MATCH(Emissions!$D57,'Activity data'!$D$24:$D$39,0))*INDEX(EF!$H$84:$H$99,MATCH(Emissions!$D57,EF!$D$84:$D$99,0))*INDEX(EF!$H$100:$H$115,MATCH(Emissions!$D57,EF!$D$100:$D$115,0))*INDEX(EF!$H$116:$H$131,MATCH(Emissions!$D57,EF!$D$116:$D$131,0))*kgtoGg</f>
        <v>3.9454731415320157</v>
      </c>
      <c r="AF57" s="22">
        <f>INDEX('Activity data'!AF$24:AF$39,MATCH(Emissions!$D57,'Activity data'!$D$24:$D$39,0))*INDEX(EF!$H$84:$H$99,MATCH(Emissions!$D57,EF!$D$84:$D$99,0))*INDEX(EF!$H$100:$H$115,MATCH(Emissions!$D57,EF!$D$100:$D$115,0))*INDEX(EF!$H$116:$H$131,MATCH(Emissions!$D57,EF!$D$116:$D$131,0))*kgtoGg</f>
        <v>3.1857200215320161</v>
      </c>
      <c r="AG57" s="22">
        <f>INDEX('Activity data'!AG$24:AG$39,MATCH(Emissions!$D57,'Activity data'!$D$24:$D$39,0))*INDEX(EF!$H$84:$H$99,MATCH(Emissions!$D57,EF!$D$84:$D$99,0))*INDEX(EF!$H$100:$H$115,MATCH(Emissions!$D57,EF!$D$100:$D$115,0))*INDEX(EF!$H$116:$H$131,MATCH(Emissions!$D57,EF!$D$116:$D$131,0))*kgtoGg</f>
        <v>2.4712899415320164</v>
      </c>
      <c r="AH57" s="22">
        <f>INDEX('Activity data'!AH$24:AH$39,MATCH(Emissions!$D57,'Activity data'!$D$24:$D$39,0))*INDEX(EF!$H$84:$H$99,MATCH(Emissions!$D57,EF!$D$84:$D$99,0))*INDEX(EF!$H$100:$H$115,MATCH(Emissions!$D57,EF!$D$100:$D$115,0))*INDEX(EF!$H$116:$H$131,MATCH(Emissions!$D57,EF!$D$116:$D$131,0))*kgtoGg</f>
        <v>2.8281891415320159</v>
      </c>
      <c r="AI57" s="22">
        <f>INDEX('Activity data'!AI$24:AI$39,MATCH(Emissions!$D57,'Activity data'!$D$24:$D$39,0))*INDEX(EF!$H$84:$H$99,MATCH(Emissions!$D57,EF!$D$84:$D$99,0))*INDEX(EF!$H$100:$H$115,MATCH(Emissions!$D57,EF!$D$100:$D$115,0))*INDEX(EF!$H$116:$H$131,MATCH(Emissions!$D57,EF!$D$116:$D$131,0))*kgtoGg</f>
        <v>3.1318693015320158</v>
      </c>
      <c r="AJ57" s="22">
        <f>INDEX('Activity data'!AJ$24:AJ$39,MATCH(Emissions!$D57,'Activity data'!$D$24:$D$39,0))*INDEX(EF!$H$84:$H$99,MATCH(Emissions!$D57,EF!$D$84:$D$99,0))*INDEX(EF!$H$100:$H$115,MATCH(Emissions!$D57,EF!$D$100:$D$115,0))*INDEX(EF!$H$116:$H$131,MATCH(Emissions!$D57,EF!$D$116:$D$131,0))*kgtoGg</f>
        <v>3.1318693015320158</v>
      </c>
      <c r="AK57" s="22">
        <f>INDEX('Activity data'!AK$24:AK$39,MATCH(Emissions!$D57,'Activity data'!$D$24:$D$39,0))*INDEX(EF!$H$84:$H$99,MATCH(Emissions!$D57,EF!$D$84:$D$99,0))*INDEX(EF!$H$100:$H$115,MATCH(Emissions!$D57,EF!$D$100:$D$115,0))*INDEX(EF!$H$116:$H$131,MATCH(Emissions!$D57,EF!$D$116:$D$131,0))*kgtoGg</f>
        <v>3.1454659408897232</v>
      </c>
      <c r="AL57" s="22">
        <f>INDEX('Activity data'!AL$24:AL$39,MATCH(Emissions!$D57,'Activity data'!$D$24:$D$39,0))*INDEX(EF!$H$84:$H$99,MATCH(Emissions!$D57,EF!$D$84:$D$99,0))*INDEX(EF!$H$100:$H$115,MATCH(Emissions!$D57,EF!$D$100:$D$115,0))*INDEX(EF!$H$116:$H$131,MATCH(Emissions!$D57,EF!$D$116:$D$131,0))*kgtoGg</f>
        <v>3.1590625802474293</v>
      </c>
      <c r="AM57" s="22">
        <f>INDEX('Activity data'!AM$24:AM$39,MATCH(Emissions!$D57,'Activity data'!$D$24:$D$39,0))*INDEX(EF!$H$84:$H$99,MATCH(Emissions!$D57,EF!$D$84:$D$99,0))*INDEX(EF!$H$100:$H$115,MATCH(Emissions!$D57,EF!$D$100:$D$115,0))*INDEX(EF!$H$116:$H$131,MATCH(Emissions!$D57,EF!$D$116:$D$131,0))*kgtoGg</f>
        <v>3.1726592196051362</v>
      </c>
      <c r="AN57" s="22">
        <f>INDEX('Activity data'!AN$24:AN$39,MATCH(Emissions!$D57,'Activity data'!$D$24:$D$39,0))*INDEX(EF!$H$84:$H$99,MATCH(Emissions!$D57,EF!$D$84:$D$99,0))*INDEX(EF!$H$100:$H$115,MATCH(Emissions!$D57,EF!$D$100:$D$115,0))*INDEX(EF!$H$116:$H$131,MATCH(Emissions!$D57,EF!$D$116:$D$131,0))*kgtoGg</f>
        <v>3.1862558589628427</v>
      </c>
      <c r="AO57" s="22">
        <f>INDEX('Activity data'!AO$24:AO$39,MATCH(Emissions!$D57,'Activity data'!$D$24:$D$39,0))*INDEX(EF!$H$84:$H$99,MATCH(Emissions!$D57,EF!$D$84:$D$99,0))*INDEX(EF!$H$100:$H$115,MATCH(Emissions!$D57,EF!$D$100:$D$115,0))*INDEX(EF!$H$116:$H$131,MATCH(Emissions!$D57,EF!$D$116:$D$131,0))*kgtoGg</f>
        <v>3.1998524983205496</v>
      </c>
      <c r="AP57" s="22">
        <f>INDEX('Activity data'!AP$24:AP$39,MATCH(Emissions!$D57,'Activity data'!$D$24:$D$39,0))*INDEX(EF!$H$84:$H$99,MATCH(Emissions!$D57,EF!$D$84:$D$99,0))*INDEX(EF!$H$100:$H$115,MATCH(Emissions!$D57,EF!$D$100:$D$115,0))*INDEX(EF!$H$116:$H$131,MATCH(Emissions!$D57,EF!$D$116:$D$131,0))*kgtoGg</f>
        <v>3.2134491376782566</v>
      </c>
      <c r="AQ57" s="22">
        <f>INDEX('Activity data'!AQ$24:AQ$39,MATCH(Emissions!$D57,'Activity data'!$D$24:$D$39,0))*INDEX(EF!$H$84:$H$99,MATCH(Emissions!$D57,EF!$D$84:$D$99,0))*INDEX(EF!$H$100:$H$115,MATCH(Emissions!$D57,EF!$D$100:$D$115,0))*INDEX(EF!$H$116:$H$131,MATCH(Emissions!$D57,EF!$D$116:$D$131,0))*kgtoGg</f>
        <v>3.2270457770359631</v>
      </c>
      <c r="AR57" s="22">
        <f>INDEX('Activity data'!AR$24:AR$39,MATCH(Emissions!$D57,'Activity data'!$D$24:$D$39,0))*INDEX(EF!$H$84:$H$99,MATCH(Emissions!$D57,EF!$D$84:$D$99,0))*INDEX(EF!$H$100:$H$115,MATCH(Emissions!$D57,EF!$D$100:$D$115,0))*INDEX(EF!$H$116:$H$131,MATCH(Emissions!$D57,EF!$D$116:$D$131,0))*kgtoGg</f>
        <v>3.24064241639367</v>
      </c>
      <c r="AS57" s="22">
        <f>INDEX('Activity data'!AS$24:AS$39,MATCH(Emissions!$D57,'Activity data'!$D$24:$D$39,0))*INDEX(EF!$H$84:$H$99,MATCH(Emissions!$D57,EF!$D$84:$D$99,0))*INDEX(EF!$H$100:$H$115,MATCH(Emissions!$D57,EF!$D$100:$D$115,0))*INDEX(EF!$H$116:$H$131,MATCH(Emissions!$D57,EF!$D$116:$D$131,0))*kgtoGg</f>
        <v>3.2542390557513761</v>
      </c>
      <c r="AT57" s="22">
        <f>INDEX('Activity data'!AT$24:AT$39,MATCH(Emissions!$D57,'Activity data'!$D$24:$D$39,0))*INDEX(EF!$H$84:$H$99,MATCH(Emissions!$D57,EF!$D$84:$D$99,0))*INDEX(EF!$H$100:$H$115,MATCH(Emissions!$D57,EF!$D$100:$D$115,0))*INDEX(EF!$H$116:$H$131,MATCH(Emissions!$D57,EF!$D$116:$D$131,0))*kgtoGg</f>
        <v>3.267835695109083</v>
      </c>
      <c r="AU57" s="22">
        <f>INDEX('Activity data'!AU$24:AU$39,MATCH(Emissions!$D57,'Activity data'!$D$24:$D$39,0))*INDEX(EF!$H$84:$H$99,MATCH(Emissions!$D57,EF!$D$84:$D$99,0))*INDEX(EF!$H$100:$H$115,MATCH(Emissions!$D57,EF!$D$100:$D$115,0))*INDEX(EF!$H$116:$H$131,MATCH(Emissions!$D57,EF!$D$116:$D$131,0))*kgtoGg</f>
        <v>3.2814323344667895</v>
      </c>
      <c r="AV57" s="22">
        <f>INDEX('Activity data'!AV$24:AV$39,MATCH(Emissions!$D57,'Activity data'!$D$24:$D$39,0))*INDEX(EF!$H$84:$H$99,MATCH(Emissions!$D57,EF!$D$84:$D$99,0))*INDEX(EF!$H$100:$H$115,MATCH(Emissions!$D57,EF!$D$100:$D$115,0))*INDEX(EF!$H$116:$H$131,MATCH(Emissions!$D57,EF!$D$116:$D$131,0))*kgtoGg</f>
        <v>3.2950289738244969</v>
      </c>
      <c r="AW57" s="22">
        <f>INDEX('Activity data'!AW$24:AW$39,MATCH(Emissions!$D57,'Activity data'!$D$24:$D$39,0))*INDEX(EF!$H$84:$H$99,MATCH(Emissions!$D57,EF!$D$84:$D$99,0))*INDEX(EF!$H$100:$H$115,MATCH(Emissions!$D57,EF!$D$100:$D$115,0))*INDEX(EF!$H$116:$H$131,MATCH(Emissions!$D57,EF!$D$116:$D$131,0))*kgtoGg</f>
        <v>3.2950289738244969</v>
      </c>
      <c r="AX57" s="22">
        <f>INDEX('Activity data'!AX$24:AX$39,MATCH(Emissions!$D57,'Activity data'!$D$24:$D$39,0))*INDEX(EF!$H$84:$H$99,MATCH(Emissions!$D57,EF!$D$84:$D$99,0))*INDEX(EF!$H$100:$H$115,MATCH(Emissions!$D57,EF!$D$100:$D$115,0))*INDEX(EF!$H$116:$H$131,MATCH(Emissions!$D57,EF!$D$116:$D$131,0))*kgtoGg</f>
        <v>3.2950289738244969</v>
      </c>
      <c r="AY57" s="22">
        <f>INDEX('Activity data'!AY$24:AY$39,MATCH(Emissions!$D57,'Activity data'!$D$24:$D$39,0))*INDEX(EF!$H$84:$H$99,MATCH(Emissions!$D57,EF!$D$84:$D$99,0))*INDEX(EF!$H$100:$H$115,MATCH(Emissions!$D57,EF!$D$100:$D$115,0))*INDEX(EF!$H$116:$H$131,MATCH(Emissions!$D57,EF!$D$116:$D$131,0))*kgtoGg</f>
        <v>3.2950289738244969</v>
      </c>
      <c r="AZ57" s="22">
        <f>INDEX('Activity data'!AZ$24:AZ$39,MATCH(Emissions!$D57,'Activity data'!$D$24:$D$39,0))*INDEX(EF!$H$84:$H$99,MATCH(Emissions!$D57,EF!$D$84:$D$99,0))*INDEX(EF!$H$100:$H$115,MATCH(Emissions!$D57,EF!$D$100:$D$115,0))*INDEX(EF!$H$116:$H$131,MATCH(Emissions!$D57,EF!$D$116:$D$131,0))*kgtoGg</f>
        <v>3.2950289738244969</v>
      </c>
      <c r="BA57" s="22">
        <f>INDEX('Activity data'!BA$24:BA$39,MATCH(Emissions!$D57,'Activity data'!$D$24:$D$39,0))*INDEX(EF!$H$84:$H$99,MATCH(Emissions!$D57,EF!$D$84:$D$99,0))*INDEX(EF!$H$100:$H$115,MATCH(Emissions!$D57,EF!$D$100:$D$115,0))*INDEX(EF!$H$116:$H$131,MATCH(Emissions!$D57,EF!$D$116:$D$131,0))*kgtoGg</f>
        <v>3.2950289738244969</v>
      </c>
      <c r="BB57" s="22">
        <f>INDEX('Activity data'!BB$24:BB$39,MATCH(Emissions!$D57,'Activity data'!$D$24:$D$39,0))*INDEX(EF!$H$84:$H$99,MATCH(Emissions!$D57,EF!$D$84:$D$99,0))*INDEX(EF!$H$100:$H$115,MATCH(Emissions!$D57,EF!$D$100:$D$115,0))*INDEX(EF!$H$116:$H$131,MATCH(Emissions!$D57,EF!$D$116:$D$131,0))*kgtoGg</f>
        <v>3.2950289738244969</v>
      </c>
      <c r="BC57" s="22">
        <f>INDEX('Activity data'!BC$24:BC$39,MATCH(Emissions!$D57,'Activity data'!$D$24:$D$39,0))*INDEX(EF!$H$84:$H$99,MATCH(Emissions!$D57,EF!$D$84:$D$99,0))*INDEX(EF!$H$100:$H$115,MATCH(Emissions!$D57,EF!$D$100:$D$115,0))*INDEX(EF!$H$116:$H$131,MATCH(Emissions!$D57,EF!$D$116:$D$131,0))*kgtoGg</f>
        <v>3.2950289738244969</v>
      </c>
      <c r="BD57" s="22">
        <f>INDEX('Activity data'!BD$24:BD$39,MATCH(Emissions!$D57,'Activity data'!$D$24:$D$39,0))*INDEX(EF!$H$84:$H$99,MATCH(Emissions!$D57,EF!$D$84:$D$99,0))*INDEX(EF!$H$100:$H$115,MATCH(Emissions!$D57,EF!$D$100:$D$115,0))*INDEX(EF!$H$116:$H$131,MATCH(Emissions!$D57,EF!$D$116:$D$131,0))*kgtoGg</f>
        <v>3.2950289738244969</v>
      </c>
      <c r="BE57" s="22">
        <f>INDEX('Activity data'!BE$24:BE$39,MATCH(Emissions!$D57,'Activity data'!$D$24:$D$39,0))*INDEX(EF!$H$84:$H$99,MATCH(Emissions!$D57,EF!$D$84:$D$99,0))*INDEX(EF!$H$100:$H$115,MATCH(Emissions!$D57,EF!$D$100:$D$115,0))*INDEX(EF!$H$116:$H$131,MATCH(Emissions!$D57,EF!$D$116:$D$131,0))*kgtoGg</f>
        <v>3.2814323344667895</v>
      </c>
      <c r="BF57" s="22">
        <f>INDEX('Activity data'!BF$24:BF$39,MATCH(Emissions!$D57,'Activity data'!$D$24:$D$39,0))*INDEX(EF!$H$84:$H$99,MATCH(Emissions!$D57,EF!$D$84:$D$99,0))*INDEX(EF!$H$100:$H$115,MATCH(Emissions!$D57,EF!$D$100:$D$115,0))*INDEX(EF!$H$116:$H$131,MATCH(Emissions!$D57,EF!$D$116:$D$131,0))*kgtoGg</f>
        <v>3.267835695109083</v>
      </c>
      <c r="BG57" s="22">
        <f>INDEX('Activity data'!BG$24:BG$39,MATCH(Emissions!$D57,'Activity data'!$D$24:$D$39,0))*INDEX(EF!$H$84:$H$99,MATCH(Emissions!$D57,EF!$D$84:$D$99,0))*INDEX(EF!$H$100:$H$115,MATCH(Emissions!$D57,EF!$D$100:$D$115,0))*INDEX(EF!$H$116:$H$131,MATCH(Emissions!$D57,EF!$D$116:$D$131,0))*kgtoGg</f>
        <v>3.2542390557513761</v>
      </c>
      <c r="BH57" s="22">
        <f>INDEX('Activity data'!BH$24:BH$39,MATCH(Emissions!$D57,'Activity data'!$D$24:$D$39,0))*INDEX(EF!$H$84:$H$99,MATCH(Emissions!$D57,EF!$D$84:$D$99,0))*INDEX(EF!$H$100:$H$115,MATCH(Emissions!$D57,EF!$D$100:$D$115,0))*INDEX(EF!$H$116:$H$131,MATCH(Emissions!$D57,EF!$D$116:$D$131,0))*kgtoGg</f>
        <v>3.24064241639367</v>
      </c>
      <c r="BI57" s="22">
        <f>INDEX('Activity data'!BI$24:BI$39,MATCH(Emissions!$D57,'Activity data'!$D$24:$D$39,0))*INDEX(EF!$H$84:$H$99,MATCH(Emissions!$D57,EF!$D$84:$D$99,0))*INDEX(EF!$H$100:$H$115,MATCH(Emissions!$D57,EF!$D$100:$D$115,0))*INDEX(EF!$H$116:$H$131,MATCH(Emissions!$D57,EF!$D$116:$D$131,0))*kgtoGg</f>
        <v>3.2270457770359631</v>
      </c>
      <c r="BJ57" s="22">
        <f>INDEX('Activity data'!BJ$24:BJ$39,MATCH(Emissions!$D57,'Activity data'!$D$24:$D$39,0))*INDEX(EF!$H$84:$H$99,MATCH(Emissions!$D57,EF!$D$84:$D$99,0))*INDEX(EF!$H$100:$H$115,MATCH(Emissions!$D57,EF!$D$100:$D$115,0))*INDEX(EF!$H$116:$H$131,MATCH(Emissions!$D57,EF!$D$116:$D$131,0))*kgtoGg</f>
        <v>3.2134491376782566</v>
      </c>
      <c r="BK57" s="22">
        <f>INDEX('Activity data'!BK$24:BK$39,MATCH(Emissions!$D57,'Activity data'!$D$24:$D$39,0))*INDEX(EF!$H$84:$H$99,MATCH(Emissions!$D57,EF!$D$84:$D$99,0))*INDEX(EF!$H$100:$H$115,MATCH(Emissions!$D57,EF!$D$100:$D$115,0))*INDEX(EF!$H$116:$H$131,MATCH(Emissions!$D57,EF!$D$116:$D$131,0))*kgtoGg</f>
        <v>3.1998524983205496</v>
      </c>
      <c r="BL57" s="22">
        <f>INDEX('Activity data'!BL$24:BL$39,MATCH(Emissions!$D57,'Activity data'!$D$24:$D$39,0))*INDEX(EF!$H$84:$H$99,MATCH(Emissions!$D57,EF!$D$84:$D$99,0))*INDEX(EF!$H$100:$H$115,MATCH(Emissions!$D57,EF!$D$100:$D$115,0))*INDEX(EF!$H$116:$H$131,MATCH(Emissions!$D57,EF!$D$116:$D$131,0))*kgtoGg</f>
        <v>3.1862558589628427</v>
      </c>
      <c r="BM57" s="22">
        <f>INDEX('Activity data'!BM$24:BM$39,MATCH(Emissions!$D57,'Activity data'!$D$24:$D$39,0))*INDEX(EF!$H$84:$H$99,MATCH(Emissions!$D57,EF!$D$84:$D$99,0))*INDEX(EF!$H$100:$H$115,MATCH(Emissions!$D57,EF!$D$100:$D$115,0))*INDEX(EF!$H$116:$H$131,MATCH(Emissions!$D57,EF!$D$116:$D$131,0))*kgtoGg</f>
        <v>3.1726592196051362</v>
      </c>
      <c r="BN57" s="22">
        <f>INDEX('Activity data'!BN$24:BN$39,MATCH(Emissions!$D57,'Activity data'!$D$24:$D$39,0))*INDEX(EF!$H$84:$H$99,MATCH(Emissions!$D57,EF!$D$84:$D$99,0))*INDEX(EF!$H$100:$H$115,MATCH(Emissions!$D57,EF!$D$100:$D$115,0))*INDEX(EF!$H$116:$H$131,MATCH(Emissions!$D57,EF!$D$116:$D$131,0))*kgtoGg</f>
        <v>3.1590625802474293</v>
      </c>
      <c r="BO57" s="22">
        <f>INDEX('Activity data'!BO$24:BO$39,MATCH(Emissions!$D57,'Activity data'!$D$24:$D$39,0))*INDEX(EF!$H$84:$H$99,MATCH(Emissions!$D57,EF!$D$84:$D$99,0))*INDEX(EF!$H$100:$H$115,MATCH(Emissions!$D57,EF!$D$100:$D$115,0))*INDEX(EF!$H$116:$H$131,MATCH(Emissions!$D57,EF!$D$116:$D$131,0))*kgtoGg</f>
        <v>3.1454659408897232</v>
      </c>
      <c r="BP57" s="22">
        <f>INDEX('Activity data'!BP$24:BP$39,MATCH(Emissions!$D57,'Activity data'!$D$24:$D$39,0))*INDEX(EF!$H$84:$H$99,MATCH(Emissions!$D57,EF!$D$84:$D$99,0))*INDEX(EF!$H$100:$H$115,MATCH(Emissions!$D57,EF!$D$100:$D$115,0))*INDEX(EF!$H$116:$H$131,MATCH(Emissions!$D57,EF!$D$116:$D$131,0))*kgtoGg</f>
        <v>3.1318693015320158</v>
      </c>
    </row>
    <row r="58" spans="1:68" x14ac:dyDescent="0.3">
      <c r="A58" t="str">
        <f t="shared" si="13"/>
        <v>3C Aggregated and non-CO2 emissions on land</v>
      </c>
      <c r="B58" t="str">
        <f t="shared" si="14"/>
        <v>3C1 Biomass burning (CH4)</v>
      </c>
      <c r="C58" t="str">
        <f>'IPCC Categories'!C60</f>
        <v>3C1b Biomass burning in Croplands</v>
      </c>
      <c r="D58" t="str">
        <f>EF!D88</f>
        <v>Annual non-pivot</v>
      </c>
      <c r="E58" t="s">
        <v>645</v>
      </c>
      <c r="F58" t="str">
        <f t="shared" si="16"/>
        <v>CH4</v>
      </c>
      <c r="G58" t="str">
        <f t="shared" si="17"/>
        <v>Gg CH4</v>
      </c>
      <c r="H58" s="22">
        <f>INDEX('Activity data'!H$24:H$39,MATCH(Emissions!$D58,'Activity data'!$D$24:$D$39,0))*INDEX(EF!$H$84:$H$99,MATCH(Emissions!$D58,EF!$D$84:$D$99,0))*INDEX(EF!$H$100:$H$115,MATCH(Emissions!$D58,EF!$D$100:$D$115,0))*INDEX(EF!$H$116:$H$131,MATCH(Emissions!$D58,EF!$D$116:$D$131,0))*kgtoGg</f>
        <v>0.56789038673711778</v>
      </c>
      <c r="I58" s="22">
        <f>INDEX('Activity data'!I$24:I$39,MATCH(Emissions!$D58,'Activity data'!$D$24:$D$39,0))*INDEX(EF!$H$84:$H$99,MATCH(Emissions!$D58,EF!$D$84:$D$99,0))*INDEX(EF!$H$100:$H$115,MATCH(Emissions!$D58,EF!$D$100:$D$115,0))*INDEX(EF!$H$116:$H$131,MATCH(Emissions!$D58,EF!$D$116:$D$131,0))*kgtoGg</f>
        <v>0.56789038673711778</v>
      </c>
      <c r="J58" s="22">
        <f>INDEX('Activity data'!J$24:J$39,MATCH(Emissions!$D58,'Activity data'!$D$24:$D$39,0))*INDEX(EF!$H$84:$H$99,MATCH(Emissions!$D58,EF!$D$84:$D$99,0))*INDEX(EF!$H$100:$H$115,MATCH(Emissions!$D58,EF!$D$100:$D$115,0))*INDEX(EF!$H$116:$H$131,MATCH(Emissions!$D58,EF!$D$116:$D$131,0))*kgtoGg</f>
        <v>0.56789038673711778</v>
      </c>
      <c r="K58" s="22">
        <f>INDEX('Activity data'!K$24:K$39,MATCH(Emissions!$D58,'Activity data'!$D$24:$D$39,0))*INDEX(EF!$H$84:$H$99,MATCH(Emissions!$D58,EF!$D$84:$D$99,0))*INDEX(EF!$H$100:$H$115,MATCH(Emissions!$D58,EF!$D$100:$D$115,0))*INDEX(EF!$H$116:$H$131,MATCH(Emissions!$D58,EF!$D$116:$D$131,0))*kgtoGg</f>
        <v>0.56789038673711778</v>
      </c>
      <c r="L58" s="22">
        <f>INDEX('Activity data'!L$24:L$39,MATCH(Emissions!$D58,'Activity data'!$D$24:$D$39,0))*INDEX(EF!$H$84:$H$99,MATCH(Emissions!$D58,EF!$D$84:$D$99,0))*INDEX(EF!$H$100:$H$115,MATCH(Emissions!$D58,EF!$D$100:$D$115,0))*INDEX(EF!$H$116:$H$131,MATCH(Emissions!$D58,EF!$D$116:$D$131,0))*kgtoGg</f>
        <v>0.56789038673711778</v>
      </c>
      <c r="M58" s="22">
        <f>INDEX('Activity data'!M$24:M$39,MATCH(Emissions!$D58,'Activity data'!$D$24:$D$39,0))*INDEX(EF!$H$84:$H$99,MATCH(Emissions!$D58,EF!$D$84:$D$99,0))*INDEX(EF!$H$100:$H$115,MATCH(Emissions!$D58,EF!$D$100:$D$115,0))*INDEX(EF!$H$116:$H$131,MATCH(Emissions!$D58,EF!$D$116:$D$131,0))*kgtoGg</f>
        <v>0.56789038673711778</v>
      </c>
      <c r="N58" s="22">
        <f>INDEX('Activity data'!N$24:N$39,MATCH(Emissions!$D58,'Activity data'!$D$24:$D$39,0))*INDEX(EF!$H$84:$H$99,MATCH(Emissions!$D58,EF!$D$84:$D$99,0))*INDEX(EF!$H$100:$H$115,MATCH(Emissions!$D58,EF!$D$100:$D$115,0))*INDEX(EF!$H$116:$H$131,MATCH(Emissions!$D58,EF!$D$116:$D$131,0))*kgtoGg</f>
        <v>0.56789038673711778</v>
      </c>
      <c r="O58" s="22">
        <f>INDEX('Activity data'!O$24:O$39,MATCH(Emissions!$D58,'Activity data'!$D$24:$D$39,0))*INDEX(EF!$H$84:$H$99,MATCH(Emissions!$D58,EF!$D$84:$D$99,0))*INDEX(EF!$H$100:$H$115,MATCH(Emissions!$D58,EF!$D$100:$D$115,0))*INDEX(EF!$H$116:$H$131,MATCH(Emissions!$D58,EF!$D$116:$D$131,0))*kgtoGg</f>
        <v>0.56789038673711778</v>
      </c>
      <c r="P58" s="22">
        <f>INDEX('Activity data'!P$24:P$39,MATCH(Emissions!$D58,'Activity data'!$D$24:$D$39,0))*INDEX(EF!$H$84:$H$99,MATCH(Emissions!$D58,EF!$D$84:$D$99,0))*INDEX(EF!$H$100:$H$115,MATCH(Emissions!$D58,EF!$D$100:$D$115,0))*INDEX(EF!$H$116:$H$131,MATCH(Emissions!$D58,EF!$D$116:$D$131,0))*kgtoGg</f>
        <v>0.56789038673711778</v>
      </c>
      <c r="Q58" s="22">
        <f>INDEX('Activity data'!Q$24:Q$39,MATCH(Emissions!$D58,'Activity data'!$D$24:$D$39,0))*INDEX(EF!$H$84:$H$99,MATCH(Emissions!$D58,EF!$D$84:$D$99,0))*INDEX(EF!$H$100:$H$115,MATCH(Emissions!$D58,EF!$D$100:$D$115,0))*INDEX(EF!$H$116:$H$131,MATCH(Emissions!$D58,EF!$D$116:$D$131,0))*kgtoGg</f>
        <v>0.56789038673711778</v>
      </c>
      <c r="R58" s="22">
        <f>INDEX('Activity data'!R$24:R$39,MATCH(Emissions!$D58,'Activity data'!$D$24:$D$39,0))*INDEX(EF!$H$84:$H$99,MATCH(Emissions!$D58,EF!$D$84:$D$99,0))*INDEX(EF!$H$100:$H$115,MATCH(Emissions!$D58,EF!$D$100:$D$115,0))*INDEX(EF!$H$116:$H$131,MATCH(Emissions!$D58,EF!$D$116:$D$131,0))*kgtoGg</f>
        <v>0.57739738292116727</v>
      </c>
      <c r="S58" s="22">
        <f>INDEX('Activity data'!S$24:S$39,MATCH(Emissions!$D58,'Activity data'!$D$24:$D$39,0))*INDEX(EF!$H$84:$H$99,MATCH(Emissions!$D58,EF!$D$84:$D$99,0))*INDEX(EF!$H$100:$H$115,MATCH(Emissions!$D58,EF!$D$100:$D$115,0))*INDEX(EF!$H$116:$H$131,MATCH(Emissions!$D58,EF!$D$116:$D$131,0))*kgtoGg</f>
        <v>0.45049206688637894</v>
      </c>
      <c r="T58" s="22">
        <f>INDEX('Activity data'!T$24:T$39,MATCH(Emissions!$D58,'Activity data'!$D$24:$D$39,0))*INDEX(EF!$H$84:$H$99,MATCH(Emissions!$D58,EF!$D$84:$D$99,0))*INDEX(EF!$H$100:$H$115,MATCH(Emissions!$D58,EF!$D$100:$D$115,0))*INDEX(EF!$H$116:$H$131,MATCH(Emissions!$D58,EF!$D$116:$D$131,0))*kgtoGg</f>
        <v>0.58568329702653155</v>
      </c>
      <c r="U58" s="22">
        <f>INDEX('Activity data'!U$24:U$39,MATCH(Emissions!$D58,'Activity data'!$D$24:$D$39,0))*INDEX(EF!$H$84:$H$99,MATCH(Emissions!$D58,EF!$D$84:$D$99,0))*INDEX(EF!$H$100:$H$115,MATCH(Emissions!$D58,EF!$D$100:$D$115,0))*INDEX(EF!$H$116:$H$131,MATCH(Emissions!$D58,EF!$D$116:$D$131,0))*kgtoGg</f>
        <v>0.54250932353016013</v>
      </c>
      <c r="V58" s="22">
        <f>INDEX('Activity data'!V$24:V$39,MATCH(Emissions!$D58,'Activity data'!$D$24:$D$39,0))*INDEX(EF!$H$84:$H$99,MATCH(Emissions!$D58,EF!$D$84:$D$99,0))*INDEX(EF!$H$100:$H$115,MATCH(Emissions!$D58,EF!$D$100:$D$115,0))*INDEX(EF!$H$116:$H$131,MATCH(Emissions!$D58,EF!$D$116:$D$131,0))*kgtoGg</f>
        <v>0.68336986332135119</v>
      </c>
      <c r="W58" s="22">
        <f>INDEX('Activity data'!W$24:W$39,MATCH(Emissions!$D58,'Activity data'!$D$24:$D$39,0))*INDEX(EF!$H$84:$H$99,MATCH(Emissions!$D58,EF!$D$84:$D$99,0))*INDEX(EF!$H$100:$H$115,MATCH(Emissions!$D58,EF!$D$100:$D$115,0))*INDEX(EF!$H$116:$H$131,MATCH(Emissions!$D58,EF!$D$116:$D$131,0))*kgtoGg</f>
        <v>0.75052937764903993</v>
      </c>
      <c r="X58" s="22">
        <f>INDEX('Activity data'!X$24:X$39,MATCH(Emissions!$D58,'Activity data'!$D$24:$D$39,0))*INDEX(EF!$H$84:$H$99,MATCH(Emissions!$D58,EF!$D$84:$D$99,0))*INDEX(EF!$H$100:$H$115,MATCH(Emissions!$D58,EF!$D$100:$D$115,0))*INDEX(EF!$H$116:$H$131,MATCH(Emissions!$D58,EF!$D$116:$D$131,0))*kgtoGg</f>
        <v>0.5625699576799893</v>
      </c>
      <c r="Y58" s="22">
        <f>INDEX('Activity data'!Y$24:Y$39,MATCH(Emissions!$D58,'Activity data'!$D$24:$D$39,0))*INDEX(EF!$H$84:$H$99,MATCH(Emissions!$D58,EF!$D$84:$D$99,0))*INDEX(EF!$H$100:$H$115,MATCH(Emissions!$D58,EF!$D$100:$D$115,0))*INDEX(EF!$H$116:$H$131,MATCH(Emissions!$D58,EF!$D$116:$D$131,0))*kgtoGg</f>
        <v>0.56431436064953955</v>
      </c>
      <c r="Z58" s="22">
        <f>INDEX('Activity data'!Z$24:Z$39,MATCH(Emissions!$D58,'Activity data'!$D$24:$D$39,0))*INDEX(EF!$H$84:$H$99,MATCH(Emissions!$D58,EF!$D$84:$D$99,0))*INDEX(EF!$H$100:$H$115,MATCH(Emissions!$D58,EF!$D$100:$D$115,0))*INDEX(EF!$H$116:$H$131,MATCH(Emissions!$D58,EF!$D$116:$D$131,0))*kgtoGg</f>
        <v>0.39859607854225587</v>
      </c>
      <c r="AA58" s="22">
        <f>INDEX('Activity data'!AA$24:AA$39,MATCH(Emissions!$D58,'Activity data'!$D$24:$D$39,0))*INDEX(EF!$H$84:$H$99,MATCH(Emissions!$D58,EF!$D$84:$D$99,0))*INDEX(EF!$H$100:$H$115,MATCH(Emissions!$D58,EF!$D$100:$D$115,0))*INDEX(EF!$H$116:$H$131,MATCH(Emissions!$D58,EF!$D$116:$D$131,0))*kgtoGg</f>
        <v>0.41385960452582149</v>
      </c>
      <c r="AB58" s="22">
        <f>INDEX('Activity data'!AB$24:AB$39,MATCH(Emissions!$D58,'Activity data'!$D$24:$D$39,0))*INDEX(EF!$H$84:$H$99,MATCH(Emissions!$D58,EF!$D$84:$D$99,0))*INDEX(EF!$H$100:$H$115,MATCH(Emissions!$D58,EF!$D$100:$D$115,0))*INDEX(EF!$H$116:$H$131,MATCH(Emissions!$D58,EF!$D$116:$D$131,0))*kgtoGg</f>
        <v>0.58478679</v>
      </c>
      <c r="AC58" s="22">
        <f>INDEX('Activity data'!AC$24:AC$39,MATCH(Emissions!$D58,'Activity data'!$D$24:$D$39,0))*INDEX(EF!$H$84:$H$99,MATCH(Emissions!$D58,EF!$D$84:$D$99,0))*INDEX(EF!$H$100:$H$115,MATCH(Emissions!$D58,EF!$D$100:$D$115,0))*INDEX(EF!$H$116:$H$131,MATCH(Emissions!$D58,EF!$D$116:$D$131,0))*kgtoGg</f>
        <v>0.584370045</v>
      </c>
      <c r="AD58" s="22">
        <f>INDEX('Activity data'!AD$24:AD$39,MATCH(Emissions!$D58,'Activity data'!$D$24:$D$39,0))*INDEX(EF!$H$84:$H$99,MATCH(Emissions!$D58,EF!$D$84:$D$99,0))*INDEX(EF!$H$100:$H$115,MATCH(Emissions!$D58,EF!$D$100:$D$115,0))*INDEX(EF!$H$116:$H$131,MATCH(Emissions!$D58,EF!$D$116:$D$131,0))*kgtoGg</f>
        <v>6.2297189589909543</v>
      </c>
      <c r="AE58" s="22">
        <f>INDEX('Activity data'!AE$24:AE$39,MATCH(Emissions!$D58,'Activity data'!$D$24:$D$39,0))*INDEX(EF!$H$84:$H$99,MATCH(Emissions!$D58,EF!$D$84:$D$99,0))*INDEX(EF!$H$100:$H$115,MATCH(Emissions!$D58,EF!$D$100:$D$115,0))*INDEX(EF!$H$116:$H$131,MATCH(Emissions!$D58,EF!$D$116:$D$131,0))*kgtoGg</f>
        <v>6.2126409419483526</v>
      </c>
      <c r="AF58" s="22">
        <f>INDEX('Activity data'!AF$24:AF$39,MATCH(Emissions!$D58,'Activity data'!$D$24:$D$39,0))*INDEX(EF!$H$84:$H$99,MATCH(Emissions!$D58,EF!$D$84:$D$99,0))*INDEX(EF!$H$100:$H$115,MATCH(Emissions!$D58,EF!$D$100:$D$115,0))*INDEX(EF!$H$116:$H$131,MATCH(Emissions!$D58,EF!$D$116:$D$131,0))*kgtoGg</f>
        <v>6.1955629249057527</v>
      </c>
      <c r="AG58" s="22">
        <f>INDEX('Activity data'!AG$24:AG$39,MATCH(Emissions!$D58,'Activity data'!$D$24:$D$39,0))*INDEX(EF!$H$84:$H$99,MATCH(Emissions!$D58,EF!$D$84:$D$99,0))*INDEX(EF!$H$100:$H$115,MATCH(Emissions!$D58,EF!$D$100:$D$115,0))*INDEX(EF!$H$116:$H$131,MATCH(Emissions!$D58,EF!$D$116:$D$131,0))*kgtoGg</f>
        <v>6.1784849078631501</v>
      </c>
      <c r="AH58" s="22">
        <f>INDEX('Activity data'!AH$24:AH$39,MATCH(Emissions!$D58,'Activity data'!$D$24:$D$39,0))*INDEX(EF!$H$84:$H$99,MATCH(Emissions!$D58,EF!$D$84:$D$99,0))*INDEX(EF!$H$100:$H$115,MATCH(Emissions!$D58,EF!$D$100:$D$115,0))*INDEX(EF!$H$116:$H$131,MATCH(Emissions!$D58,EF!$D$116:$D$131,0))*kgtoGg</f>
        <v>6.1614068908205484</v>
      </c>
      <c r="AI58" s="22">
        <f>INDEX('Activity data'!AI$24:AI$39,MATCH(Emissions!$D58,'Activity data'!$D$24:$D$39,0))*INDEX(EF!$H$84:$H$99,MATCH(Emissions!$D58,EF!$D$84:$D$99,0))*INDEX(EF!$H$100:$H$115,MATCH(Emissions!$D58,EF!$D$100:$D$115,0))*INDEX(EF!$H$116:$H$131,MATCH(Emissions!$D58,EF!$D$116:$D$131,0))*kgtoGg</f>
        <v>6.1443288737779493</v>
      </c>
      <c r="AJ58" s="22">
        <f>INDEX('Activity data'!AJ$24:AJ$39,MATCH(Emissions!$D58,'Activity data'!$D$24:$D$39,0))*INDEX(EF!$H$84:$H$99,MATCH(Emissions!$D58,EF!$D$84:$D$99,0))*INDEX(EF!$H$100:$H$115,MATCH(Emissions!$D58,EF!$D$100:$D$115,0))*INDEX(EF!$H$116:$H$131,MATCH(Emissions!$D58,EF!$D$116:$D$131,0))*kgtoGg</f>
        <v>6.1272508567353459</v>
      </c>
      <c r="AK58" s="22">
        <f>INDEX('Activity data'!AK$24:AK$39,MATCH(Emissions!$D58,'Activity data'!$D$24:$D$39,0))*INDEX(EF!$H$84:$H$99,MATCH(Emissions!$D58,EF!$D$84:$D$99,0))*INDEX(EF!$H$100:$H$115,MATCH(Emissions!$D58,EF!$D$100:$D$115,0))*INDEX(EF!$H$116:$H$131,MATCH(Emissions!$D58,EF!$D$116:$D$131,0))*kgtoGg</f>
        <v>6.1101728396927459</v>
      </c>
      <c r="AL58" s="22">
        <f>INDEX('Activity data'!AL$24:AL$39,MATCH(Emissions!$D58,'Activity data'!$D$24:$D$39,0))*INDEX(EF!$H$84:$H$99,MATCH(Emissions!$D58,EF!$D$84:$D$99,0))*INDEX(EF!$H$100:$H$115,MATCH(Emissions!$D58,EF!$D$100:$D$115,0))*INDEX(EF!$H$116:$H$131,MATCH(Emissions!$D58,EF!$D$116:$D$131,0))*kgtoGg</f>
        <v>6.0930948226501442</v>
      </c>
      <c r="AM58" s="22">
        <f>INDEX('Activity data'!AM$24:AM$39,MATCH(Emissions!$D58,'Activity data'!$D$24:$D$39,0))*INDEX(EF!$H$84:$H$99,MATCH(Emissions!$D58,EF!$D$84:$D$99,0))*INDEX(EF!$H$100:$H$115,MATCH(Emissions!$D58,EF!$D$100:$D$115,0))*INDEX(EF!$H$116:$H$131,MATCH(Emissions!$D58,EF!$D$116:$D$131,0))*kgtoGg</f>
        <v>6.0760168056075434</v>
      </c>
      <c r="AN58" s="22">
        <f>INDEX('Activity data'!AN$24:AN$39,MATCH(Emissions!$D58,'Activity data'!$D$24:$D$39,0))*INDEX(EF!$H$84:$H$99,MATCH(Emissions!$D58,EF!$D$84:$D$99,0))*INDEX(EF!$H$100:$H$115,MATCH(Emissions!$D58,EF!$D$100:$D$115,0))*INDEX(EF!$H$116:$H$131,MATCH(Emissions!$D58,EF!$D$116:$D$131,0))*kgtoGg</f>
        <v>6.0589387885649417</v>
      </c>
      <c r="AO58" s="22">
        <f>INDEX('Activity data'!AO$24:AO$39,MATCH(Emissions!$D58,'Activity data'!$D$24:$D$39,0))*INDEX(EF!$H$84:$H$99,MATCH(Emissions!$D58,EF!$D$84:$D$99,0))*INDEX(EF!$H$100:$H$115,MATCH(Emissions!$D58,EF!$D$100:$D$115,0))*INDEX(EF!$H$116:$H$131,MATCH(Emissions!$D58,EF!$D$116:$D$131,0))*kgtoGg</f>
        <v>6.04186077152234</v>
      </c>
      <c r="AP58" s="22">
        <f>INDEX('Activity data'!AP$24:AP$39,MATCH(Emissions!$D58,'Activity data'!$D$24:$D$39,0))*INDEX(EF!$H$84:$H$99,MATCH(Emissions!$D58,EF!$D$84:$D$99,0))*INDEX(EF!$H$100:$H$115,MATCH(Emissions!$D58,EF!$D$100:$D$115,0))*INDEX(EF!$H$116:$H$131,MATCH(Emissions!$D58,EF!$D$116:$D$131,0))*kgtoGg</f>
        <v>6.0247827544797383</v>
      </c>
      <c r="AQ58" s="22">
        <f>INDEX('Activity data'!AQ$24:AQ$39,MATCH(Emissions!$D58,'Activity data'!$D$24:$D$39,0))*INDEX(EF!$H$84:$H$99,MATCH(Emissions!$D58,EF!$D$84:$D$99,0))*INDEX(EF!$H$100:$H$115,MATCH(Emissions!$D58,EF!$D$100:$D$115,0))*INDEX(EF!$H$116:$H$131,MATCH(Emissions!$D58,EF!$D$116:$D$131,0))*kgtoGg</f>
        <v>6.0077047374371375</v>
      </c>
      <c r="AR58" s="22">
        <f>INDEX('Activity data'!AR$24:AR$39,MATCH(Emissions!$D58,'Activity data'!$D$24:$D$39,0))*INDEX(EF!$H$84:$H$99,MATCH(Emissions!$D58,EF!$D$84:$D$99,0))*INDEX(EF!$H$100:$H$115,MATCH(Emissions!$D58,EF!$D$100:$D$115,0))*INDEX(EF!$H$116:$H$131,MATCH(Emissions!$D58,EF!$D$116:$D$131,0))*kgtoGg</f>
        <v>5.9906267203945358</v>
      </c>
      <c r="AS58" s="22">
        <f>INDEX('Activity data'!AS$24:AS$39,MATCH(Emissions!$D58,'Activity data'!$D$24:$D$39,0))*INDEX(EF!$H$84:$H$99,MATCH(Emissions!$D58,EF!$D$84:$D$99,0))*INDEX(EF!$H$100:$H$115,MATCH(Emissions!$D58,EF!$D$100:$D$115,0))*INDEX(EF!$H$116:$H$131,MATCH(Emissions!$D58,EF!$D$116:$D$131,0))*kgtoGg</f>
        <v>5.9735487033519359</v>
      </c>
      <c r="AT58" s="22">
        <f>INDEX('Activity data'!AT$24:AT$39,MATCH(Emissions!$D58,'Activity data'!$D$24:$D$39,0))*INDEX(EF!$H$84:$H$99,MATCH(Emissions!$D58,EF!$D$84:$D$99,0))*INDEX(EF!$H$100:$H$115,MATCH(Emissions!$D58,EF!$D$100:$D$115,0))*INDEX(EF!$H$116:$H$131,MATCH(Emissions!$D58,EF!$D$116:$D$131,0))*kgtoGg</f>
        <v>5.9564706863093333</v>
      </c>
      <c r="AU58" s="22">
        <f>INDEX('Activity data'!AU$24:AU$39,MATCH(Emissions!$D58,'Activity data'!$D$24:$D$39,0))*INDEX(EF!$H$84:$H$99,MATCH(Emissions!$D58,EF!$D$84:$D$99,0))*INDEX(EF!$H$100:$H$115,MATCH(Emissions!$D58,EF!$D$100:$D$115,0))*INDEX(EF!$H$116:$H$131,MATCH(Emissions!$D58,EF!$D$116:$D$131,0))*kgtoGg</f>
        <v>5.9393926692667334</v>
      </c>
      <c r="AV58" s="22">
        <f>INDEX('Activity data'!AV$24:AV$39,MATCH(Emissions!$D58,'Activity data'!$D$24:$D$39,0))*INDEX(EF!$H$84:$H$99,MATCH(Emissions!$D58,EF!$D$84:$D$99,0))*INDEX(EF!$H$100:$H$115,MATCH(Emissions!$D58,EF!$D$100:$D$115,0))*INDEX(EF!$H$116:$H$131,MATCH(Emissions!$D58,EF!$D$116:$D$131,0))*kgtoGg</f>
        <v>5.9223146522241317</v>
      </c>
      <c r="AW58" s="22">
        <f>INDEX('Activity data'!AW$24:AW$39,MATCH(Emissions!$D58,'Activity data'!$D$24:$D$39,0))*INDEX(EF!$H$84:$H$99,MATCH(Emissions!$D58,EF!$D$84:$D$99,0))*INDEX(EF!$H$100:$H$115,MATCH(Emissions!$D58,EF!$D$100:$D$115,0))*INDEX(EF!$H$116:$H$131,MATCH(Emissions!$D58,EF!$D$116:$D$131,0))*kgtoGg</f>
        <v>5.90523663518153</v>
      </c>
      <c r="AX58" s="22">
        <f>INDEX('Activity data'!AX$24:AX$39,MATCH(Emissions!$D58,'Activity data'!$D$24:$D$39,0))*INDEX(EF!$H$84:$H$99,MATCH(Emissions!$D58,EF!$D$84:$D$99,0))*INDEX(EF!$H$100:$H$115,MATCH(Emissions!$D58,EF!$D$100:$D$115,0))*INDEX(EF!$H$116:$H$131,MATCH(Emissions!$D58,EF!$D$116:$D$131,0))*kgtoGg</f>
        <v>5.8881586181389283</v>
      </c>
      <c r="AY58" s="22">
        <f>INDEX('Activity data'!AY$24:AY$39,MATCH(Emissions!$D58,'Activity data'!$D$24:$D$39,0))*INDEX(EF!$H$84:$H$99,MATCH(Emissions!$D58,EF!$D$84:$D$99,0))*INDEX(EF!$H$100:$H$115,MATCH(Emissions!$D58,EF!$D$100:$D$115,0))*INDEX(EF!$H$116:$H$131,MATCH(Emissions!$D58,EF!$D$116:$D$131,0))*kgtoGg</f>
        <v>5.8710806010963275</v>
      </c>
      <c r="AZ58" s="22">
        <f>INDEX('Activity data'!AZ$24:AZ$39,MATCH(Emissions!$D58,'Activity data'!$D$24:$D$39,0))*INDEX(EF!$H$84:$H$99,MATCH(Emissions!$D58,EF!$D$84:$D$99,0))*INDEX(EF!$H$100:$H$115,MATCH(Emissions!$D58,EF!$D$100:$D$115,0))*INDEX(EF!$H$116:$H$131,MATCH(Emissions!$D58,EF!$D$116:$D$131,0))*kgtoGg</f>
        <v>5.8540025840537266</v>
      </c>
      <c r="BA58" s="22">
        <f>INDEX('Activity data'!BA$24:BA$39,MATCH(Emissions!$D58,'Activity data'!$D$24:$D$39,0))*INDEX(EF!$H$84:$H$99,MATCH(Emissions!$D58,EF!$D$84:$D$99,0))*INDEX(EF!$H$100:$H$115,MATCH(Emissions!$D58,EF!$D$100:$D$115,0))*INDEX(EF!$H$116:$H$131,MATCH(Emissions!$D58,EF!$D$116:$D$131,0))*kgtoGg</f>
        <v>5.8369245670111249</v>
      </c>
      <c r="BB58" s="22">
        <f>INDEX('Activity data'!BB$24:BB$39,MATCH(Emissions!$D58,'Activity data'!$D$24:$D$39,0))*INDEX(EF!$H$84:$H$99,MATCH(Emissions!$D58,EF!$D$84:$D$99,0))*INDEX(EF!$H$100:$H$115,MATCH(Emissions!$D58,EF!$D$100:$D$115,0))*INDEX(EF!$H$116:$H$131,MATCH(Emissions!$D58,EF!$D$116:$D$131,0))*kgtoGg</f>
        <v>5.8198465499685241</v>
      </c>
      <c r="BC58" s="22">
        <f>INDEX('Activity data'!BC$24:BC$39,MATCH(Emissions!$D58,'Activity data'!$D$24:$D$39,0))*INDEX(EF!$H$84:$H$99,MATCH(Emissions!$D58,EF!$D$84:$D$99,0))*INDEX(EF!$H$100:$H$115,MATCH(Emissions!$D58,EF!$D$100:$D$115,0))*INDEX(EF!$H$116:$H$131,MATCH(Emissions!$D58,EF!$D$116:$D$131,0))*kgtoGg</f>
        <v>5.8027685329259224</v>
      </c>
      <c r="BD58" s="22">
        <f>INDEX('Activity data'!BD$24:BD$39,MATCH(Emissions!$D58,'Activity data'!$D$24:$D$39,0))*INDEX(EF!$H$84:$H$99,MATCH(Emissions!$D58,EF!$D$84:$D$99,0))*INDEX(EF!$H$100:$H$115,MATCH(Emissions!$D58,EF!$D$100:$D$115,0))*INDEX(EF!$H$116:$H$131,MATCH(Emissions!$D58,EF!$D$116:$D$131,0))*kgtoGg</f>
        <v>5.7856905158833216</v>
      </c>
      <c r="BE58" s="22">
        <f>INDEX('Activity data'!BE$24:BE$39,MATCH(Emissions!$D58,'Activity data'!$D$24:$D$39,0))*INDEX(EF!$H$84:$H$99,MATCH(Emissions!$D58,EF!$D$84:$D$99,0))*INDEX(EF!$H$100:$H$115,MATCH(Emissions!$D58,EF!$D$100:$D$115,0))*INDEX(EF!$H$116:$H$131,MATCH(Emissions!$D58,EF!$D$116:$D$131,0))*kgtoGg</f>
        <v>5.7686124988407199</v>
      </c>
      <c r="BF58" s="22">
        <f>INDEX('Activity data'!BF$24:BF$39,MATCH(Emissions!$D58,'Activity data'!$D$24:$D$39,0))*INDEX(EF!$H$84:$H$99,MATCH(Emissions!$D58,EF!$D$84:$D$99,0))*INDEX(EF!$H$100:$H$115,MATCH(Emissions!$D58,EF!$D$100:$D$115,0))*INDEX(EF!$H$116:$H$131,MATCH(Emissions!$D58,EF!$D$116:$D$131,0))*kgtoGg</f>
        <v>5.7515344817981173</v>
      </c>
      <c r="BG58" s="22">
        <f>INDEX('Activity data'!BG$24:BG$39,MATCH(Emissions!$D58,'Activity data'!$D$24:$D$39,0))*INDEX(EF!$H$84:$H$99,MATCH(Emissions!$D58,EF!$D$84:$D$99,0))*INDEX(EF!$H$100:$H$115,MATCH(Emissions!$D58,EF!$D$100:$D$115,0))*INDEX(EF!$H$116:$H$131,MATCH(Emissions!$D58,EF!$D$116:$D$131,0))*kgtoGg</f>
        <v>5.7344564647555183</v>
      </c>
      <c r="BH58" s="22">
        <f>INDEX('Activity data'!BH$24:BH$39,MATCH(Emissions!$D58,'Activity data'!$D$24:$D$39,0))*INDEX(EF!$H$84:$H$99,MATCH(Emissions!$D58,EF!$D$84:$D$99,0))*INDEX(EF!$H$100:$H$115,MATCH(Emissions!$D58,EF!$D$100:$D$115,0))*INDEX(EF!$H$116:$H$131,MATCH(Emissions!$D58,EF!$D$116:$D$131,0))*kgtoGg</f>
        <v>5.7173784477129166</v>
      </c>
      <c r="BI58" s="22">
        <f>INDEX('Activity data'!BI$24:BI$39,MATCH(Emissions!$D58,'Activity data'!$D$24:$D$39,0))*INDEX(EF!$H$84:$H$99,MATCH(Emissions!$D58,EF!$D$84:$D$99,0))*INDEX(EF!$H$100:$H$115,MATCH(Emissions!$D58,EF!$D$100:$D$115,0))*INDEX(EF!$H$116:$H$131,MATCH(Emissions!$D58,EF!$D$116:$D$131,0))*kgtoGg</f>
        <v>5.7003004306703149</v>
      </c>
      <c r="BJ58" s="22">
        <f>INDEX('Activity data'!BJ$24:BJ$39,MATCH(Emissions!$D58,'Activity data'!$D$24:$D$39,0))*INDEX(EF!$H$84:$H$99,MATCH(Emissions!$D58,EF!$D$84:$D$99,0))*INDEX(EF!$H$100:$H$115,MATCH(Emissions!$D58,EF!$D$100:$D$115,0))*INDEX(EF!$H$116:$H$131,MATCH(Emissions!$D58,EF!$D$116:$D$131,0))*kgtoGg</f>
        <v>5.6832224136277141</v>
      </c>
      <c r="BK58" s="22">
        <f>INDEX('Activity data'!BK$24:BK$39,MATCH(Emissions!$D58,'Activity data'!$D$24:$D$39,0))*INDEX(EF!$H$84:$H$99,MATCH(Emissions!$D58,EF!$D$84:$D$99,0))*INDEX(EF!$H$100:$H$115,MATCH(Emissions!$D58,EF!$D$100:$D$115,0))*INDEX(EF!$H$116:$H$131,MATCH(Emissions!$D58,EF!$D$116:$D$131,0))*kgtoGg</f>
        <v>5.6661443965851124</v>
      </c>
      <c r="BL58" s="22">
        <f>INDEX('Activity data'!BL$24:BL$39,MATCH(Emissions!$D58,'Activity data'!$D$24:$D$39,0))*INDEX(EF!$H$84:$H$99,MATCH(Emissions!$D58,EF!$D$84:$D$99,0))*INDEX(EF!$H$100:$H$115,MATCH(Emissions!$D58,EF!$D$100:$D$115,0))*INDEX(EF!$H$116:$H$131,MATCH(Emissions!$D58,EF!$D$116:$D$131,0))*kgtoGg</f>
        <v>5.6490663795425107</v>
      </c>
      <c r="BM58" s="22">
        <f>INDEX('Activity data'!BM$24:BM$39,MATCH(Emissions!$D58,'Activity data'!$D$24:$D$39,0))*INDEX(EF!$H$84:$H$99,MATCH(Emissions!$D58,EF!$D$84:$D$99,0))*INDEX(EF!$H$100:$H$115,MATCH(Emissions!$D58,EF!$D$100:$D$115,0))*INDEX(EF!$H$116:$H$131,MATCH(Emissions!$D58,EF!$D$116:$D$131,0))*kgtoGg</f>
        <v>5.631988362499909</v>
      </c>
      <c r="BN58" s="22">
        <f>INDEX('Activity data'!BN$24:BN$39,MATCH(Emissions!$D58,'Activity data'!$D$24:$D$39,0))*INDEX(EF!$H$84:$H$99,MATCH(Emissions!$D58,EF!$D$84:$D$99,0))*INDEX(EF!$H$100:$H$115,MATCH(Emissions!$D58,EF!$D$100:$D$115,0))*INDEX(EF!$H$116:$H$131,MATCH(Emissions!$D58,EF!$D$116:$D$131,0))*kgtoGg</f>
        <v>5.614910345457309</v>
      </c>
      <c r="BO58" s="22">
        <f>INDEX('Activity data'!BO$24:BO$39,MATCH(Emissions!$D58,'Activity data'!$D$24:$D$39,0))*INDEX(EF!$H$84:$H$99,MATCH(Emissions!$D58,EF!$D$84:$D$99,0))*INDEX(EF!$H$100:$H$115,MATCH(Emissions!$D58,EF!$D$100:$D$115,0))*INDEX(EF!$H$116:$H$131,MATCH(Emissions!$D58,EF!$D$116:$D$131,0))*kgtoGg</f>
        <v>5.5978323284147082</v>
      </c>
      <c r="BP58" s="22">
        <f>INDEX('Activity data'!BP$24:BP$39,MATCH(Emissions!$D58,'Activity data'!$D$24:$D$39,0))*INDEX(EF!$H$84:$H$99,MATCH(Emissions!$D58,EF!$D$84:$D$99,0))*INDEX(EF!$H$100:$H$115,MATCH(Emissions!$D58,EF!$D$100:$D$115,0))*INDEX(EF!$H$116:$H$131,MATCH(Emissions!$D58,EF!$D$116:$D$131,0))*kgtoGg</f>
        <v>5.5807543113721056</v>
      </c>
    </row>
    <row r="59" spans="1:68" x14ac:dyDescent="0.3">
      <c r="A59" t="str">
        <f t="shared" si="13"/>
        <v>3C Aggregated and non-CO2 emissions on land</v>
      </c>
      <c r="B59" t="str">
        <f t="shared" si="14"/>
        <v>3C1 Biomass burning (CH4)</v>
      </c>
      <c r="C59" t="str">
        <f>C58</f>
        <v>3C1b Biomass burning in Croplands</v>
      </c>
      <c r="D59" t="str">
        <f>EF!D89</f>
        <v>Annual pivot</v>
      </c>
      <c r="E59" t="s">
        <v>646</v>
      </c>
      <c r="F59" t="str">
        <f t="shared" si="16"/>
        <v>CH4</v>
      </c>
      <c r="G59" t="str">
        <f t="shared" si="17"/>
        <v>Gg CH4</v>
      </c>
      <c r="H59" s="22">
        <f>INDEX('Activity data'!H$24:H$39,MATCH(Emissions!$D59,'Activity data'!$D$24:$D$39,0))*INDEX(EF!$H$84:$H$99,MATCH(Emissions!$D59,EF!$D$84:$D$99,0))*INDEX(EF!$H$100:$H$115,MATCH(Emissions!$D59,EF!$D$100:$D$115,0))*INDEX(EF!$H$116:$H$131,MATCH(Emissions!$D59,EF!$D$116:$D$131,0))*kgtoGg</f>
        <v>7.1890335181109197</v>
      </c>
      <c r="I59" s="22">
        <f>INDEX('Activity data'!I$24:I$39,MATCH(Emissions!$D59,'Activity data'!$D$24:$D$39,0))*INDEX(EF!$H$84:$H$99,MATCH(Emissions!$D59,EF!$D$84:$D$99,0))*INDEX(EF!$H$100:$H$115,MATCH(Emissions!$D59,EF!$D$100:$D$115,0))*INDEX(EF!$H$116:$H$131,MATCH(Emissions!$D59,EF!$D$116:$D$131,0))*kgtoGg</f>
        <v>7.1890335181109197</v>
      </c>
      <c r="J59" s="22">
        <f>INDEX('Activity data'!J$24:J$39,MATCH(Emissions!$D59,'Activity data'!$D$24:$D$39,0))*INDEX(EF!$H$84:$H$99,MATCH(Emissions!$D59,EF!$D$84:$D$99,0))*INDEX(EF!$H$100:$H$115,MATCH(Emissions!$D59,EF!$D$100:$D$115,0))*INDEX(EF!$H$116:$H$131,MATCH(Emissions!$D59,EF!$D$116:$D$131,0))*kgtoGg</f>
        <v>7.1890335181109197</v>
      </c>
      <c r="K59" s="22">
        <f>INDEX('Activity data'!K$24:K$39,MATCH(Emissions!$D59,'Activity data'!$D$24:$D$39,0))*INDEX(EF!$H$84:$H$99,MATCH(Emissions!$D59,EF!$D$84:$D$99,0))*INDEX(EF!$H$100:$H$115,MATCH(Emissions!$D59,EF!$D$100:$D$115,0))*INDEX(EF!$H$116:$H$131,MATCH(Emissions!$D59,EF!$D$116:$D$131,0))*kgtoGg</f>
        <v>7.1890335181109197</v>
      </c>
      <c r="L59" s="22">
        <f>INDEX('Activity data'!L$24:L$39,MATCH(Emissions!$D59,'Activity data'!$D$24:$D$39,0))*INDEX(EF!$H$84:$H$99,MATCH(Emissions!$D59,EF!$D$84:$D$99,0))*INDEX(EF!$H$100:$H$115,MATCH(Emissions!$D59,EF!$D$100:$D$115,0))*INDEX(EF!$H$116:$H$131,MATCH(Emissions!$D59,EF!$D$116:$D$131,0))*kgtoGg</f>
        <v>7.1890335181109197</v>
      </c>
      <c r="M59" s="22">
        <f>INDEX('Activity data'!M$24:M$39,MATCH(Emissions!$D59,'Activity data'!$D$24:$D$39,0))*INDEX(EF!$H$84:$H$99,MATCH(Emissions!$D59,EF!$D$84:$D$99,0))*INDEX(EF!$H$100:$H$115,MATCH(Emissions!$D59,EF!$D$100:$D$115,0))*INDEX(EF!$H$116:$H$131,MATCH(Emissions!$D59,EF!$D$116:$D$131,0))*kgtoGg</f>
        <v>7.1890335181109197</v>
      </c>
      <c r="N59" s="22">
        <f>INDEX('Activity data'!N$24:N$39,MATCH(Emissions!$D59,'Activity data'!$D$24:$D$39,0))*INDEX(EF!$H$84:$H$99,MATCH(Emissions!$D59,EF!$D$84:$D$99,0))*INDEX(EF!$H$100:$H$115,MATCH(Emissions!$D59,EF!$D$100:$D$115,0))*INDEX(EF!$H$116:$H$131,MATCH(Emissions!$D59,EF!$D$116:$D$131,0))*kgtoGg</f>
        <v>7.1890335181109197</v>
      </c>
      <c r="O59" s="22">
        <f>INDEX('Activity data'!O$24:O$39,MATCH(Emissions!$D59,'Activity data'!$D$24:$D$39,0))*INDEX(EF!$H$84:$H$99,MATCH(Emissions!$D59,EF!$D$84:$D$99,0))*INDEX(EF!$H$100:$H$115,MATCH(Emissions!$D59,EF!$D$100:$D$115,0))*INDEX(EF!$H$116:$H$131,MATCH(Emissions!$D59,EF!$D$116:$D$131,0))*kgtoGg</f>
        <v>7.1890335181109197</v>
      </c>
      <c r="P59" s="22">
        <f>INDEX('Activity data'!P$24:P$39,MATCH(Emissions!$D59,'Activity data'!$D$24:$D$39,0))*INDEX(EF!$H$84:$H$99,MATCH(Emissions!$D59,EF!$D$84:$D$99,0))*INDEX(EF!$H$100:$H$115,MATCH(Emissions!$D59,EF!$D$100:$D$115,0))*INDEX(EF!$H$116:$H$131,MATCH(Emissions!$D59,EF!$D$116:$D$131,0))*kgtoGg</f>
        <v>7.1890335181109197</v>
      </c>
      <c r="Q59" s="22">
        <f>INDEX('Activity data'!Q$24:Q$39,MATCH(Emissions!$D59,'Activity data'!$D$24:$D$39,0))*INDEX(EF!$H$84:$H$99,MATCH(Emissions!$D59,EF!$D$84:$D$99,0))*INDEX(EF!$H$100:$H$115,MATCH(Emissions!$D59,EF!$D$100:$D$115,0))*INDEX(EF!$H$116:$H$131,MATCH(Emissions!$D59,EF!$D$116:$D$131,0))*kgtoGg</f>
        <v>7.1890335181109197</v>
      </c>
      <c r="R59" s="22">
        <f>INDEX('Activity data'!R$24:R$39,MATCH(Emissions!$D59,'Activity data'!$D$24:$D$39,0))*INDEX(EF!$H$84:$H$99,MATCH(Emissions!$D59,EF!$D$84:$D$99,0))*INDEX(EF!$H$100:$H$115,MATCH(Emissions!$D59,EF!$D$100:$D$115,0))*INDEX(EF!$H$116:$H$131,MATCH(Emissions!$D59,EF!$D$116:$D$131,0))*kgtoGg</f>
        <v>7.7769845389978656</v>
      </c>
      <c r="S59" s="22">
        <f>INDEX('Activity data'!S$24:S$39,MATCH(Emissions!$D59,'Activity data'!$D$24:$D$39,0))*INDEX(EF!$H$84:$H$99,MATCH(Emissions!$D59,EF!$D$84:$D$99,0))*INDEX(EF!$H$100:$H$115,MATCH(Emissions!$D59,EF!$D$100:$D$115,0))*INDEX(EF!$H$116:$H$131,MATCH(Emissions!$D59,EF!$D$116:$D$131,0))*kgtoGg</f>
        <v>7.2043842642429627</v>
      </c>
      <c r="T59" s="22">
        <f>INDEX('Activity data'!T$24:T$39,MATCH(Emissions!$D59,'Activity data'!$D$24:$D$39,0))*INDEX(EF!$H$84:$H$99,MATCH(Emissions!$D59,EF!$D$84:$D$99,0))*INDEX(EF!$H$100:$H$115,MATCH(Emissions!$D59,EF!$D$100:$D$115,0))*INDEX(EF!$H$116:$H$131,MATCH(Emissions!$D59,EF!$D$116:$D$131,0))*kgtoGg</f>
        <v>8.8223180185009138</v>
      </c>
      <c r="U59" s="22">
        <f>INDEX('Activity data'!U$24:U$39,MATCH(Emissions!$D59,'Activity data'!$D$24:$D$39,0))*INDEX(EF!$H$84:$H$99,MATCH(Emissions!$D59,EF!$D$84:$D$99,0))*INDEX(EF!$H$100:$H$115,MATCH(Emissions!$D59,EF!$D$100:$D$115,0))*INDEX(EF!$H$116:$H$131,MATCH(Emissions!$D59,EF!$D$116:$D$131,0))*kgtoGg</f>
        <v>6.58642951227975</v>
      </c>
      <c r="V59" s="22">
        <f>INDEX('Activity data'!V$24:V$39,MATCH(Emissions!$D59,'Activity data'!$D$24:$D$39,0))*INDEX(EF!$H$84:$H$99,MATCH(Emissions!$D59,EF!$D$84:$D$99,0))*INDEX(EF!$H$100:$H$115,MATCH(Emissions!$D59,EF!$D$100:$D$115,0))*INDEX(EF!$H$116:$H$131,MATCH(Emissions!$D59,EF!$D$116:$D$131,0))*kgtoGg</f>
        <v>5.5550512565331021</v>
      </c>
      <c r="W59" s="22">
        <f>INDEX('Activity data'!W$24:W$39,MATCH(Emissions!$D59,'Activity data'!$D$24:$D$39,0))*INDEX(EF!$H$84:$H$99,MATCH(Emissions!$D59,EF!$D$84:$D$99,0))*INDEX(EF!$H$100:$H$115,MATCH(Emissions!$D59,EF!$D$100:$D$115,0))*INDEX(EF!$H$116:$H$131,MATCH(Emissions!$D59,EF!$D$116:$D$131,0))*kgtoGg</f>
        <v>9.4036403081035704</v>
      </c>
      <c r="X59" s="22">
        <f>INDEX('Activity data'!X$24:X$39,MATCH(Emissions!$D59,'Activity data'!$D$24:$D$39,0))*INDEX(EF!$H$84:$H$99,MATCH(Emissions!$D59,EF!$D$84:$D$99,0))*INDEX(EF!$H$100:$H$115,MATCH(Emissions!$D59,EF!$D$100:$D$115,0))*INDEX(EF!$H$116:$H$131,MATCH(Emissions!$D59,EF!$D$116:$D$131,0))*kgtoGg</f>
        <v>9.5850582169368082</v>
      </c>
      <c r="Y59" s="22">
        <f>INDEX('Activity data'!Y$24:Y$39,MATCH(Emissions!$D59,'Activity data'!$D$24:$D$39,0))*INDEX(EF!$H$84:$H$99,MATCH(Emissions!$D59,EF!$D$84:$D$99,0))*INDEX(EF!$H$100:$H$115,MATCH(Emissions!$D59,EF!$D$100:$D$115,0))*INDEX(EF!$H$116:$H$131,MATCH(Emissions!$D59,EF!$D$116:$D$131,0))*kgtoGg</f>
        <v>5.4189878249081751</v>
      </c>
      <c r="Z59" s="22">
        <f>INDEX('Activity data'!Z$24:Z$39,MATCH(Emissions!$D59,'Activity data'!$D$24:$D$39,0))*INDEX(EF!$H$84:$H$99,MATCH(Emissions!$D59,EF!$D$84:$D$99,0))*INDEX(EF!$H$100:$H$115,MATCH(Emissions!$D59,EF!$D$100:$D$115,0))*INDEX(EF!$H$116:$H$131,MATCH(Emissions!$D59,EF!$D$116:$D$131,0))*kgtoGg</f>
        <v>6.2693842725639728</v>
      </c>
      <c r="AA59" s="22">
        <f>INDEX('Activity data'!AA$24:AA$39,MATCH(Emissions!$D59,'Activity data'!$D$24:$D$39,0))*INDEX(EF!$H$84:$H$99,MATCH(Emissions!$D59,EF!$D$84:$D$99,0))*INDEX(EF!$H$100:$H$115,MATCH(Emissions!$D59,EF!$D$100:$D$115,0))*INDEX(EF!$H$116:$H$131,MATCH(Emissions!$D59,EF!$D$116:$D$131,0))*kgtoGg</f>
        <v>6.2022247582362837</v>
      </c>
      <c r="AB59" s="22">
        <f>INDEX('Activity data'!AB$24:AB$39,MATCH(Emissions!$D59,'Activity data'!$D$24:$D$39,0))*INDEX(EF!$H$84:$H$99,MATCH(Emissions!$D59,EF!$D$84:$D$99,0))*INDEX(EF!$H$100:$H$115,MATCH(Emissions!$D59,EF!$D$100:$D$115,0))*INDEX(EF!$H$116:$H$131,MATCH(Emissions!$D59,EF!$D$116:$D$131,0))*kgtoGg</f>
        <v>6.9937244370000009</v>
      </c>
      <c r="AC59" s="22">
        <f>INDEX('Activity data'!AC$24:AC$39,MATCH(Emissions!$D59,'Activity data'!$D$24:$D$39,0))*INDEX(EF!$H$84:$H$99,MATCH(Emissions!$D59,EF!$D$84:$D$99,0))*INDEX(EF!$H$100:$H$115,MATCH(Emissions!$D59,EF!$D$100:$D$115,0))*INDEX(EF!$H$116:$H$131,MATCH(Emissions!$D59,EF!$D$116:$D$131,0))*kgtoGg</f>
        <v>7.3062814859999996</v>
      </c>
      <c r="AD59" s="22">
        <f>INDEX('Activity data'!AD$24:AD$39,MATCH(Emissions!$D59,'Activity data'!$D$24:$D$39,0))*INDEX(EF!$H$84:$H$99,MATCH(Emissions!$D59,EF!$D$84:$D$99,0))*INDEX(EF!$H$100:$H$115,MATCH(Emissions!$D59,EF!$D$100:$D$115,0))*INDEX(EF!$H$116:$H$131,MATCH(Emissions!$D59,EF!$D$116:$D$131,0))*kgtoGg</f>
        <v>0.51545593822160218</v>
      </c>
      <c r="AE59" s="22">
        <f>INDEX('Activity data'!AE$24:AE$39,MATCH(Emissions!$D59,'Activity data'!$D$24:$D$39,0))*INDEX(EF!$H$84:$H$99,MATCH(Emissions!$D59,EF!$D$84:$D$99,0))*INDEX(EF!$H$100:$H$115,MATCH(Emissions!$D59,EF!$D$100:$D$115,0))*INDEX(EF!$H$116:$H$131,MATCH(Emissions!$D59,EF!$D$116:$D$131,0))*kgtoGg</f>
        <v>0.53112945404780765</v>
      </c>
      <c r="AF59" s="22">
        <f>INDEX('Activity data'!AF$24:AF$39,MATCH(Emissions!$D59,'Activity data'!$D$24:$D$39,0))*INDEX(EF!$H$84:$H$99,MATCH(Emissions!$D59,EF!$D$84:$D$99,0))*INDEX(EF!$H$100:$H$115,MATCH(Emissions!$D59,EF!$D$100:$D$115,0))*INDEX(EF!$H$116:$H$131,MATCH(Emissions!$D59,EF!$D$116:$D$131,0))*kgtoGg</f>
        <v>0.54680296987401311</v>
      </c>
      <c r="AG59" s="22">
        <f>INDEX('Activity data'!AG$24:AG$39,MATCH(Emissions!$D59,'Activity data'!$D$24:$D$39,0))*INDEX(EF!$H$84:$H$99,MATCH(Emissions!$D59,EF!$D$84:$D$99,0))*INDEX(EF!$H$100:$H$115,MATCH(Emissions!$D59,EF!$D$100:$D$115,0))*INDEX(EF!$H$116:$H$131,MATCH(Emissions!$D59,EF!$D$116:$D$131,0))*kgtoGg</f>
        <v>0.5624764857002188</v>
      </c>
      <c r="AH59" s="22">
        <f>INDEX('Activity data'!AH$24:AH$39,MATCH(Emissions!$D59,'Activity data'!$D$24:$D$39,0))*INDEX(EF!$H$84:$H$99,MATCH(Emissions!$D59,EF!$D$84:$D$99,0))*INDEX(EF!$H$100:$H$115,MATCH(Emissions!$D59,EF!$D$100:$D$115,0))*INDEX(EF!$H$116:$H$131,MATCH(Emissions!$D59,EF!$D$116:$D$131,0))*kgtoGg</f>
        <v>0.57815000152642426</v>
      </c>
      <c r="AI59" s="22">
        <f>INDEX('Activity data'!AI$24:AI$39,MATCH(Emissions!$D59,'Activity data'!$D$24:$D$39,0))*INDEX(EF!$H$84:$H$99,MATCH(Emissions!$D59,EF!$D$84:$D$99,0))*INDEX(EF!$H$100:$H$115,MATCH(Emissions!$D59,EF!$D$100:$D$115,0))*INDEX(EF!$H$116:$H$131,MATCH(Emissions!$D59,EF!$D$116:$D$131,0))*kgtoGg</f>
        <v>0.59382351735262984</v>
      </c>
      <c r="AJ59" s="22">
        <f>INDEX('Activity data'!AJ$24:AJ$39,MATCH(Emissions!$D59,'Activity data'!$D$24:$D$39,0))*INDEX(EF!$H$84:$H$99,MATCH(Emissions!$D59,EF!$D$84:$D$99,0))*INDEX(EF!$H$100:$H$115,MATCH(Emissions!$D59,EF!$D$100:$D$115,0))*INDEX(EF!$H$116:$H$131,MATCH(Emissions!$D59,EF!$D$116:$D$131,0))*kgtoGg</f>
        <v>0.6094970331788353</v>
      </c>
      <c r="AK59" s="22">
        <f>INDEX('Activity data'!AK$24:AK$39,MATCH(Emissions!$D59,'Activity data'!$D$24:$D$39,0))*INDEX(EF!$H$84:$H$99,MATCH(Emissions!$D59,EF!$D$84:$D$99,0))*INDEX(EF!$H$100:$H$115,MATCH(Emissions!$D59,EF!$D$100:$D$115,0))*INDEX(EF!$H$116:$H$131,MATCH(Emissions!$D59,EF!$D$116:$D$131,0))*kgtoGg</f>
        <v>0.62517054900504077</v>
      </c>
      <c r="AL59" s="22">
        <f>INDEX('Activity data'!AL$24:AL$39,MATCH(Emissions!$D59,'Activity data'!$D$24:$D$39,0))*INDEX(EF!$H$84:$H$99,MATCH(Emissions!$D59,EF!$D$84:$D$99,0))*INDEX(EF!$H$100:$H$115,MATCH(Emissions!$D59,EF!$D$100:$D$115,0))*INDEX(EF!$H$116:$H$131,MATCH(Emissions!$D59,EF!$D$116:$D$131,0))*kgtoGg</f>
        <v>0.64084406483124634</v>
      </c>
      <c r="AM59" s="22">
        <f>INDEX('Activity data'!AM$24:AM$39,MATCH(Emissions!$D59,'Activity data'!$D$24:$D$39,0))*INDEX(EF!$H$84:$H$99,MATCH(Emissions!$D59,EF!$D$84:$D$99,0))*INDEX(EF!$H$100:$H$115,MATCH(Emissions!$D59,EF!$D$100:$D$115,0))*INDEX(EF!$H$116:$H$131,MATCH(Emissions!$D59,EF!$D$116:$D$131,0))*kgtoGg</f>
        <v>0.65651758065745214</v>
      </c>
      <c r="AN59" s="22">
        <f>INDEX('Activity data'!AN$24:AN$39,MATCH(Emissions!$D59,'Activity data'!$D$24:$D$39,0))*INDEX(EF!$H$84:$H$99,MATCH(Emissions!$D59,EF!$D$84:$D$99,0))*INDEX(EF!$H$100:$H$115,MATCH(Emissions!$D59,EF!$D$100:$D$115,0))*INDEX(EF!$H$116:$H$131,MATCH(Emissions!$D59,EF!$D$116:$D$131,0))*kgtoGg</f>
        <v>0.6721910964836576</v>
      </c>
      <c r="AO59" s="22">
        <f>INDEX('Activity data'!AO$24:AO$39,MATCH(Emissions!$D59,'Activity data'!$D$24:$D$39,0))*INDEX(EF!$H$84:$H$99,MATCH(Emissions!$D59,EF!$D$84:$D$99,0))*INDEX(EF!$H$100:$H$115,MATCH(Emissions!$D59,EF!$D$100:$D$115,0))*INDEX(EF!$H$116:$H$131,MATCH(Emissions!$D59,EF!$D$116:$D$131,0))*kgtoGg</f>
        <v>0.68786461230986296</v>
      </c>
      <c r="AP59" s="22">
        <f>INDEX('Activity data'!AP$24:AP$39,MATCH(Emissions!$D59,'Activity data'!$D$24:$D$39,0))*INDEX(EF!$H$84:$H$99,MATCH(Emissions!$D59,EF!$D$84:$D$99,0))*INDEX(EF!$H$100:$H$115,MATCH(Emissions!$D59,EF!$D$100:$D$115,0))*INDEX(EF!$H$116:$H$131,MATCH(Emissions!$D59,EF!$D$116:$D$131,0))*kgtoGg</f>
        <v>0.70353812813606853</v>
      </c>
      <c r="AQ59" s="22">
        <f>INDEX('Activity data'!AQ$24:AQ$39,MATCH(Emissions!$D59,'Activity data'!$D$24:$D$39,0))*INDEX(EF!$H$84:$H$99,MATCH(Emissions!$D59,EF!$D$84:$D$99,0))*INDEX(EF!$H$100:$H$115,MATCH(Emissions!$D59,EF!$D$100:$D$115,0))*INDEX(EF!$H$116:$H$131,MATCH(Emissions!$D59,EF!$D$116:$D$131,0))*kgtoGg</f>
        <v>0.71921164396227399</v>
      </c>
      <c r="AR59" s="22">
        <f>INDEX('Activity data'!AR$24:AR$39,MATCH(Emissions!$D59,'Activity data'!$D$24:$D$39,0))*INDEX(EF!$H$84:$H$99,MATCH(Emissions!$D59,EF!$D$84:$D$99,0))*INDEX(EF!$H$100:$H$115,MATCH(Emissions!$D59,EF!$D$100:$D$115,0))*INDEX(EF!$H$116:$H$131,MATCH(Emissions!$D59,EF!$D$116:$D$131,0))*kgtoGg</f>
        <v>0.73488515978847979</v>
      </c>
      <c r="AS59" s="22">
        <f>INDEX('Activity data'!AS$24:AS$39,MATCH(Emissions!$D59,'Activity data'!$D$24:$D$39,0))*INDEX(EF!$H$84:$H$99,MATCH(Emissions!$D59,EF!$D$84:$D$99,0))*INDEX(EF!$H$100:$H$115,MATCH(Emissions!$D59,EF!$D$100:$D$115,0))*INDEX(EF!$H$116:$H$131,MATCH(Emissions!$D59,EF!$D$116:$D$131,0))*kgtoGg</f>
        <v>0.75055867561468514</v>
      </c>
      <c r="AT59" s="22">
        <f>INDEX('Activity data'!AT$24:AT$39,MATCH(Emissions!$D59,'Activity data'!$D$24:$D$39,0))*INDEX(EF!$H$84:$H$99,MATCH(Emissions!$D59,EF!$D$84:$D$99,0))*INDEX(EF!$H$100:$H$115,MATCH(Emissions!$D59,EF!$D$100:$D$115,0))*INDEX(EF!$H$116:$H$131,MATCH(Emissions!$D59,EF!$D$116:$D$131,0))*kgtoGg</f>
        <v>0.76623219144089083</v>
      </c>
      <c r="AU59" s="22">
        <f>INDEX('Activity data'!AU$24:AU$39,MATCH(Emissions!$D59,'Activity data'!$D$24:$D$39,0))*INDEX(EF!$H$84:$H$99,MATCH(Emissions!$D59,EF!$D$84:$D$99,0))*INDEX(EF!$H$100:$H$115,MATCH(Emissions!$D59,EF!$D$100:$D$115,0))*INDEX(EF!$H$116:$H$131,MATCH(Emissions!$D59,EF!$D$116:$D$131,0))*kgtoGg</f>
        <v>0.78190570726709629</v>
      </c>
      <c r="AV59" s="22">
        <f>INDEX('Activity data'!AV$24:AV$39,MATCH(Emissions!$D59,'Activity data'!$D$24:$D$39,0))*INDEX(EF!$H$84:$H$99,MATCH(Emissions!$D59,EF!$D$84:$D$99,0))*INDEX(EF!$H$100:$H$115,MATCH(Emissions!$D59,EF!$D$100:$D$115,0))*INDEX(EF!$H$116:$H$131,MATCH(Emissions!$D59,EF!$D$116:$D$131,0))*kgtoGg</f>
        <v>0.79757922309330198</v>
      </c>
      <c r="AW59" s="22">
        <f>INDEX('Activity data'!AW$24:AW$39,MATCH(Emissions!$D59,'Activity data'!$D$24:$D$39,0))*INDEX(EF!$H$84:$H$99,MATCH(Emissions!$D59,EF!$D$84:$D$99,0))*INDEX(EF!$H$100:$H$115,MATCH(Emissions!$D59,EF!$D$100:$D$115,0))*INDEX(EF!$H$116:$H$131,MATCH(Emissions!$D59,EF!$D$116:$D$131,0))*kgtoGg</f>
        <v>0.81325273891950733</v>
      </c>
      <c r="AX59" s="22">
        <f>INDEX('Activity data'!AX$24:AX$39,MATCH(Emissions!$D59,'Activity data'!$D$24:$D$39,0))*INDEX(EF!$H$84:$H$99,MATCH(Emissions!$D59,EF!$D$84:$D$99,0))*INDEX(EF!$H$100:$H$115,MATCH(Emissions!$D59,EF!$D$100:$D$115,0))*INDEX(EF!$H$116:$H$131,MATCH(Emissions!$D59,EF!$D$116:$D$131,0))*kgtoGg</f>
        <v>0.82892625474571302</v>
      </c>
      <c r="AY59" s="22">
        <f>INDEX('Activity data'!AY$24:AY$39,MATCH(Emissions!$D59,'Activity data'!$D$24:$D$39,0))*INDEX(EF!$H$84:$H$99,MATCH(Emissions!$D59,EF!$D$84:$D$99,0))*INDEX(EF!$H$100:$H$115,MATCH(Emissions!$D59,EF!$D$100:$D$115,0))*INDEX(EF!$H$116:$H$131,MATCH(Emissions!$D59,EF!$D$116:$D$131,0))*kgtoGg</f>
        <v>0.84459977057191826</v>
      </c>
      <c r="AZ59" s="22">
        <f>INDEX('Activity data'!AZ$24:AZ$39,MATCH(Emissions!$D59,'Activity data'!$D$24:$D$39,0))*INDEX(EF!$H$84:$H$99,MATCH(Emissions!$D59,EF!$D$84:$D$99,0))*INDEX(EF!$H$100:$H$115,MATCH(Emissions!$D59,EF!$D$100:$D$115,0))*INDEX(EF!$H$116:$H$131,MATCH(Emissions!$D59,EF!$D$116:$D$131,0))*kgtoGg</f>
        <v>0.86027328639812406</v>
      </c>
      <c r="BA59" s="22">
        <f>INDEX('Activity data'!BA$24:BA$39,MATCH(Emissions!$D59,'Activity data'!$D$24:$D$39,0))*INDEX(EF!$H$84:$H$99,MATCH(Emissions!$D59,EF!$D$84:$D$99,0))*INDEX(EF!$H$100:$H$115,MATCH(Emissions!$D59,EF!$D$100:$D$115,0))*INDEX(EF!$H$116:$H$131,MATCH(Emissions!$D59,EF!$D$116:$D$131,0))*kgtoGg</f>
        <v>0.87594680222432952</v>
      </c>
      <c r="BB59" s="22">
        <f>INDEX('Activity data'!BB$24:BB$39,MATCH(Emissions!$D59,'Activity data'!$D$24:$D$39,0))*INDEX(EF!$H$84:$H$99,MATCH(Emissions!$D59,EF!$D$84:$D$99,0))*INDEX(EF!$H$100:$H$115,MATCH(Emissions!$D59,EF!$D$100:$D$115,0))*INDEX(EF!$H$116:$H$131,MATCH(Emissions!$D59,EF!$D$116:$D$131,0))*kgtoGg</f>
        <v>0.89162031805053521</v>
      </c>
      <c r="BC59" s="22">
        <f>INDEX('Activity data'!BC$24:BC$39,MATCH(Emissions!$D59,'Activity data'!$D$24:$D$39,0))*INDEX(EF!$H$84:$H$99,MATCH(Emissions!$D59,EF!$D$84:$D$99,0))*INDEX(EF!$H$100:$H$115,MATCH(Emissions!$D59,EF!$D$100:$D$115,0))*INDEX(EF!$H$116:$H$131,MATCH(Emissions!$D59,EF!$D$116:$D$131,0))*kgtoGg</f>
        <v>0.90729383387674067</v>
      </c>
      <c r="BD59" s="22">
        <f>INDEX('Activity data'!BD$24:BD$39,MATCH(Emissions!$D59,'Activity data'!$D$24:$D$39,0))*INDEX(EF!$H$84:$H$99,MATCH(Emissions!$D59,EF!$D$84:$D$99,0))*INDEX(EF!$H$100:$H$115,MATCH(Emissions!$D59,EF!$D$100:$D$115,0))*INDEX(EF!$H$116:$H$131,MATCH(Emissions!$D59,EF!$D$116:$D$131,0))*kgtoGg</f>
        <v>0.92296734970294614</v>
      </c>
      <c r="BE59" s="22">
        <f>INDEX('Activity data'!BE$24:BE$39,MATCH(Emissions!$D59,'Activity data'!$D$24:$D$39,0))*INDEX(EF!$H$84:$H$99,MATCH(Emissions!$D59,EF!$D$84:$D$99,0))*INDEX(EF!$H$100:$H$115,MATCH(Emissions!$D59,EF!$D$100:$D$115,0))*INDEX(EF!$H$116:$H$131,MATCH(Emissions!$D59,EF!$D$116:$D$131,0))*kgtoGg</f>
        <v>0.93864086552915194</v>
      </c>
      <c r="BF59" s="22">
        <f>INDEX('Activity data'!BF$24:BF$39,MATCH(Emissions!$D59,'Activity data'!$D$24:$D$39,0))*INDEX(EF!$H$84:$H$99,MATCH(Emissions!$D59,EF!$D$84:$D$99,0))*INDEX(EF!$H$100:$H$115,MATCH(Emissions!$D59,EF!$D$100:$D$115,0))*INDEX(EF!$H$116:$H$131,MATCH(Emissions!$D59,EF!$D$116:$D$131,0))*kgtoGg</f>
        <v>0.95431438135535729</v>
      </c>
      <c r="BG59" s="22">
        <f>INDEX('Activity data'!BG$24:BG$39,MATCH(Emissions!$D59,'Activity data'!$D$24:$D$39,0))*INDEX(EF!$H$84:$H$99,MATCH(Emissions!$D59,EF!$D$84:$D$99,0))*INDEX(EF!$H$100:$H$115,MATCH(Emissions!$D59,EF!$D$100:$D$115,0))*INDEX(EF!$H$116:$H$131,MATCH(Emissions!$D59,EF!$D$116:$D$131,0))*kgtoGg</f>
        <v>0.96998789718156264</v>
      </c>
      <c r="BH59" s="22">
        <f>INDEX('Activity data'!BH$24:BH$39,MATCH(Emissions!$D59,'Activity data'!$D$24:$D$39,0))*INDEX(EF!$H$84:$H$99,MATCH(Emissions!$D59,EF!$D$84:$D$99,0))*INDEX(EF!$H$100:$H$115,MATCH(Emissions!$D59,EF!$D$100:$D$115,0))*INDEX(EF!$H$116:$H$131,MATCH(Emissions!$D59,EF!$D$116:$D$131,0))*kgtoGg</f>
        <v>0.98566141300776822</v>
      </c>
      <c r="BI59" s="22">
        <f>INDEX('Activity data'!BI$24:BI$39,MATCH(Emissions!$D59,'Activity data'!$D$24:$D$39,0))*INDEX(EF!$H$84:$H$99,MATCH(Emissions!$D59,EF!$D$84:$D$99,0))*INDEX(EF!$H$100:$H$115,MATCH(Emissions!$D59,EF!$D$100:$D$115,0))*INDEX(EF!$H$116:$H$131,MATCH(Emissions!$D59,EF!$D$116:$D$131,0))*kgtoGg</f>
        <v>1.0013349288339739</v>
      </c>
      <c r="BJ59" s="22">
        <f>INDEX('Activity data'!BJ$24:BJ$39,MATCH(Emissions!$D59,'Activity data'!$D$24:$D$39,0))*INDEX(EF!$H$84:$H$99,MATCH(Emissions!$D59,EF!$D$84:$D$99,0))*INDEX(EF!$H$100:$H$115,MATCH(Emissions!$D59,EF!$D$100:$D$115,0))*INDEX(EF!$H$116:$H$131,MATCH(Emissions!$D59,EF!$D$116:$D$131,0))*kgtoGg</f>
        <v>1.0170084446601795</v>
      </c>
      <c r="BK59" s="22">
        <f>INDEX('Activity data'!BK$24:BK$39,MATCH(Emissions!$D59,'Activity data'!$D$24:$D$39,0))*INDEX(EF!$H$84:$H$99,MATCH(Emissions!$D59,EF!$D$84:$D$99,0))*INDEX(EF!$H$100:$H$115,MATCH(Emissions!$D59,EF!$D$100:$D$115,0))*INDEX(EF!$H$116:$H$131,MATCH(Emissions!$D59,EF!$D$116:$D$131,0))*kgtoGg</f>
        <v>1.0326819604863848</v>
      </c>
      <c r="BL59" s="22">
        <f>INDEX('Activity data'!BL$24:BL$39,MATCH(Emissions!$D59,'Activity data'!$D$24:$D$39,0))*INDEX(EF!$H$84:$H$99,MATCH(Emissions!$D59,EF!$D$84:$D$99,0))*INDEX(EF!$H$100:$H$115,MATCH(Emissions!$D59,EF!$D$100:$D$115,0))*INDEX(EF!$H$116:$H$131,MATCH(Emissions!$D59,EF!$D$116:$D$131,0))*kgtoGg</f>
        <v>1.0483554763125904</v>
      </c>
      <c r="BM59" s="22">
        <f>INDEX('Activity data'!BM$24:BM$39,MATCH(Emissions!$D59,'Activity data'!$D$24:$D$39,0))*INDEX(EF!$H$84:$H$99,MATCH(Emissions!$D59,EF!$D$84:$D$99,0))*INDEX(EF!$H$100:$H$115,MATCH(Emissions!$D59,EF!$D$100:$D$115,0))*INDEX(EF!$H$116:$H$131,MATCH(Emissions!$D59,EF!$D$116:$D$131,0))*kgtoGg</f>
        <v>1.0640289921387955</v>
      </c>
      <c r="BN59" s="22">
        <f>INDEX('Activity data'!BN$24:BN$39,MATCH(Emissions!$D59,'Activity data'!$D$24:$D$39,0))*INDEX(EF!$H$84:$H$99,MATCH(Emissions!$D59,EF!$D$84:$D$99,0))*INDEX(EF!$H$100:$H$115,MATCH(Emissions!$D59,EF!$D$100:$D$115,0))*INDEX(EF!$H$116:$H$131,MATCH(Emissions!$D59,EF!$D$116:$D$131,0))*kgtoGg</f>
        <v>1.0797025079650009</v>
      </c>
      <c r="BO59" s="22">
        <f>INDEX('Activity data'!BO$24:BO$39,MATCH(Emissions!$D59,'Activity data'!$D$24:$D$39,0))*INDEX(EF!$H$84:$H$99,MATCH(Emissions!$D59,EF!$D$84:$D$99,0))*INDEX(EF!$H$100:$H$115,MATCH(Emissions!$D59,EF!$D$100:$D$115,0))*INDEX(EF!$H$116:$H$131,MATCH(Emissions!$D59,EF!$D$116:$D$131,0))*kgtoGg</f>
        <v>1.0953760237912065</v>
      </c>
      <c r="BP59" s="22">
        <f>INDEX('Activity data'!BP$24:BP$39,MATCH(Emissions!$D59,'Activity data'!$D$24:$D$39,0))*INDEX(EF!$H$84:$H$99,MATCH(Emissions!$D59,EF!$D$84:$D$99,0))*INDEX(EF!$H$100:$H$115,MATCH(Emissions!$D59,EF!$D$100:$D$115,0))*INDEX(EF!$H$116:$H$131,MATCH(Emissions!$D59,EF!$D$116:$D$131,0))*kgtoGg</f>
        <v>1.111049539617412</v>
      </c>
    </row>
    <row r="60" spans="1:68" x14ac:dyDescent="0.3">
      <c r="A60" t="str">
        <f t="shared" si="13"/>
        <v>3C Aggregated and non-CO2 emissions on land</v>
      </c>
      <c r="B60" t="str">
        <f>B59</f>
        <v>3C1 Biomass burning (CH4)</v>
      </c>
      <c r="C60" t="str">
        <f t="shared" ref="C60:C62" si="18">C59</f>
        <v>3C1b Biomass burning in Croplands</v>
      </c>
      <c r="D60" t="str">
        <f>EF!D90</f>
        <v>Perennial orchards</v>
      </c>
      <c r="E60" t="s">
        <v>647</v>
      </c>
      <c r="F60" t="str">
        <f>F59</f>
        <v>CH4</v>
      </c>
      <c r="G60" t="str">
        <f>G59</f>
        <v>Gg CH4</v>
      </c>
      <c r="H60" s="22">
        <f>INDEX('Activity data'!H$24:H$39,MATCH(Emissions!$D60,'Activity data'!$D$24:$D$39,0))*INDEX(EF!$H$84:$H$99,MATCH(Emissions!$D60,EF!$D$84:$D$99,0))*INDEX(EF!$H$100:$H$115,MATCH(Emissions!$D60,EF!$D$100:$D$115,0))*INDEX(EF!$H$116:$H$131,MATCH(Emissions!$D60,EF!$D$116:$D$131,0))*kgtoGg</f>
        <v>5.1372667453257928E-2</v>
      </c>
      <c r="I60" s="22">
        <f>INDEX('Activity data'!I$24:I$39,MATCH(Emissions!$D60,'Activity data'!$D$24:$D$39,0))*INDEX(EF!$H$84:$H$99,MATCH(Emissions!$D60,EF!$D$84:$D$99,0))*INDEX(EF!$H$100:$H$115,MATCH(Emissions!$D60,EF!$D$100:$D$115,0))*INDEX(EF!$H$116:$H$131,MATCH(Emissions!$D60,EF!$D$116:$D$131,0))*kgtoGg</f>
        <v>5.1372667453257928E-2</v>
      </c>
      <c r="J60" s="22">
        <f>INDEX('Activity data'!J$24:J$39,MATCH(Emissions!$D60,'Activity data'!$D$24:$D$39,0))*INDEX(EF!$H$84:$H$99,MATCH(Emissions!$D60,EF!$D$84:$D$99,0))*INDEX(EF!$H$100:$H$115,MATCH(Emissions!$D60,EF!$D$100:$D$115,0))*INDEX(EF!$H$116:$H$131,MATCH(Emissions!$D60,EF!$D$116:$D$131,0))*kgtoGg</f>
        <v>5.1372667453257928E-2</v>
      </c>
      <c r="K60" s="22">
        <f>INDEX('Activity data'!K$24:K$39,MATCH(Emissions!$D60,'Activity data'!$D$24:$D$39,0))*INDEX(EF!$H$84:$H$99,MATCH(Emissions!$D60,EF!$D$84:$D$99,0))*INDEX(EF!$H$100:$H$115,MATCH(Emissions!$D60,EF!$D$100:$D$115,0))*INDEX(EF!$H$116:$H$131,MATCH(Emissions!$D60,EF!$D$116:$D$131,0))*kgtoGg</f>
        <v>5.1372667453257928E-2</v>
      </c>
      <c r="L60" s="22">
        <f>INDEX('Activity data'!L$24:L$39,MATCH(Emissions!$D60,'Activity data'!$D$24:$D$39,0))*INDEX(EF!$H$84:$H$99,MATCH(Emissions!$D60,EF!$D$84:$D$99,0))*INDEX(EF!$H$100:$H$115,MATCH(Emissions!$D60,EF!$D$100:$D$115,0))*INDEX(EF!$H$116:$H$131,MATCH(Emissions!$D60,EF!$D$116:$D$131,0))*kgtoGg</f>
        <v>5.1372667453257928E-2</v>
      </c>
      <c r="M60" s="22">
        <f>INDEX('Activity data'!M$24:M$39,MATCH(Emissions!$D60,'Activity data'!$D$24:$D$39,0))*INDEX(EF!$H$84:$H$99,MATCH(Emissions!$D60,EF!$D$84:$D$99,0))*INDEX(EF!$H$100:$H$115,MATCH(Emissions!$D60,EF!$D$100:$D$115,0))*INDEX(EF!$H$116:$H$131,MATCH(Emissions!$D60,EF!$D$116:$D$131,0))*kgtoGg</f>
        <v>5.1372667453257928E-2</v>
      </c>
      <c r="N60" s="22">
        <f>INDEX('Activity data'!N$24:N$39,MATCH(Emissions!$D60,'Activity data'!$D$24:$D$39,0))*INDEX(EF!$H$84:$H$99,MATCH(Emissions!$D60,EF!$D$84:$D$99,0))*INDEX(EF!$H$100:$H$115,MATCH(Emissions!$D60,EF!$D$100:$D$115,0))*INDEX(EF!$H$116:$H$131,MATCH(Emissions!$D60,EF!$D$116:$D$131,0))*kgtoGg</f>
        <v>5.1372667453257928E-2</v>
      </c>
      <c r="O60" s="22">
        <f>INDEX('Activity data'!O$24:O$39,MATCH(Emissions!$D60,'Activity data'!$D$24:$D$39,0))*INDEX(EF!$H$84:$H$99,MATCH(Emissions!$D60,EF!$D$84:$D$99,0))*INDEX(EF!$H$100:$H$115,MATCH(Emissions!$D60,EF!$D$100:$D$115,0))*INDEX(EF!$H$116:$H$131,MATCH(Emissions!$D60,EF!$D$116:$D$131,0))*kgtoGg</f>
        <v>5.1372667453257928E-2</v>
      </c>
      <c r="P60" s="22">
        <f>INDEX('Activity data'!P$24:P$39,MATCH(Emissions!$D60,'Activity data'!$D$24:$D$39,0))*INDEX(EF!$H$84:$H$99,MATCH(Emissions!$D60,EF!$D$84:$D$99,0))*INDEX(EF!$H$100:$H$115,MATCH(Emissions!$D60,EF!$D$100:$D$115,0))*INDEX(EF!$H$116:$H$131,MATCH(Emissions!$D60,EF!$D$116:$D$131,0))*kgtoGg</f>
        <v>5.1372667453257928E-2</v>
      </c>
      <c r="Q60" s="22">
        <f>INDEX('Activity data'!Q$24:Q$39,MATCH(Emissions!$D60,'Activity data'!$D$24:$D$39,0))*INDEX(EF!$H$84:$H$99,MATCH(Emissions!$D60,EF!$D$84:$D$99,0))*INDEX(EF!$H$100:$H$115,MATCH(Emissions!$D60,EF!$D$100:$D$115,0))*INDEX(EF!$H$116:$H$131,MATCH(Emissions!$D60,EF!$D$116:$D$131,0))*kgtoGg</f>
        <v>5.1372667453257928E-2</v>
      </c>
      <c r="R60" s="22">
        <f>INDEX('Activity data'!R$24:R$39,MATCH(Emissions!$D60,'Activity data'!$D$24:$D$39,0))*INDEX(EF!$H$84:$H$99,MATCH(Emissions!$D60,EF!$D$84:$D$99,0))*INDEX(EF!$H$100:$H$115,MATCH(Emissions!$D60,EF!$D$100:$D$115,0))*INDEX(EF!$H$116:$H$131,MATCH(Emissions!$D60,EF!$D$116:$D$131,0))*kgtoGg</f>
        <v>3.9249066814882973E-2</v>
      </c>
      <c r="S60" s="22">
        <f>INDEX('Activity data'!S$24:S$39,MATCH(Emissions!$D60,'Activity data'!$D$24:$D$39,0))*INDEX(EF!$H$84:$H$99,MATCH(Emissions!$D60,EF!$D$84:$D$99,0))*INDEX(EF!$H$100:$H$115,MATCH(Emissions!$D60,EF!$D$100:$D$115,0))*INDEX(EF!$H$116:$H$131,MATCH(Emissions!$D60,EF!$D$116:$D$131,0))*kgtoGg</f>
        <v>7.5445428433052811E-2</v>
      </c>
      <c r="T60" s="22">
        <f>INDEX('Activity data'!T$24:T$39,MATCH(Emissions!$D60,'Activity data'!$D$24:$D$39,0))*INDEX(EF!$H$84:$H$99,MATCH(Emissions!$D60,EF!$D$84:$D$99,0))*INDEX(EF!$H$100:$H$115,MATCH(Emissions!$D60,EF!$D$100:$D$115,0))*INDEX(EF!$H$116:$H$131,MATCH(Emissions!$D60,EF!$D$116:$D$131,0))*kgtoGg</f>
        <v>5.494869354083616E-2</v>
      </c>
      <c r="U60" s="22">
        <f>INDEX('Activity data'!U$24:U$39,MATCH(Emissions!$D60,'Activity data'!$D$24:$D$39,0))*INDEX(EF!$H$84:$H$99,MATCH(Emissions!$D60,EF!$D$84:$D$99,0))*INDEX(EF!$H$100:$H$115,MATCH(Emissions!$D60,EF!$D$100:$D$115,0))*INDEX(EF!$H$116:$H$131,MATCH(Emissions!$D60,EF!$D$116:$D$131,0))*kgtoGg</f>
        <v>5.6256995767998919E-2</v>
      </c>
      <c r="V60" s="22">
        <f>INDEX('Activity data'!V$24:V$39,MATCH(Emissions!$D60,'Activity data'!$D$24:$D$39,0))*INDEX(EF!$H$84:$H$99,MATCH(Emissions!$D60,EF!$D$84:$D$99,0))*INDEX(EF!$H$100:$H$115,MATCH(Emissions!$D60,EF!$D$100:$D$115,0))*INDEX(EF!$H$116:$H$131,MATCH(Emissions!$D60,EF!$D$116:$D$131,0))*kgtoGg</f>
        <v>3.0963152709518785E-2</v>
      </c>
      <c r="W60" s="22">
        <f>INDEX('Activity data'!W$24:W$39,MATCH(Emissions!$D60,'Activity data'!$D$24:$D$39,0))*INDEX(EF!$H$84:$H$99,MATCH(Emissions!$D60,EF!$D$84:$D$99,0))*INDEX(EF!$H$100:$H$115,MATCH(Emissions!$D60,EF!$D$100:$D$115,0))*INDEX(EF!$H$116:$H$131,MATCH(Emissions!$D60,EF!$D$116:$D$131,0))*kgtoGg</f>
        <v>6.977611878201416E-2</v>
      </c>
      <c r="X60" s="22">
        <f>INDEX('Activity data'!X$24:X$39,MATCH(Emissions!$D60,'Activity data'!$D$24:$D$39,0))*INDEX(EF!$H$84:$H$99,MATCH(Emissions!$D60,EF!$D$84:$D$99,0))*INDEX(EF!$H$100:$H$115,MATCH(Emissions!$D60,EF!$D$100:$D$115,0))*INDEX(EF!$H$116:$H$131,MATCH(Emissions!$D60,EF!$D$116:$D$131,0))*kgtoGg</f>
        <v>4.8407182405022328E-2</v>
      </c>
      <c r="Y60" s="22">
        <f>INDEX('Activity data'!Y$24:Y$39,MATCH(Emissions!$D60,'Activity data'!$D$24:$D$39,0))*INDEX(EF!$H$84:$H$99,MATCH(Emissions!$D60,EF!$D$84:$D$99,0))*INDEX(EF!$H$100:$H$115,MATCH(Emissions!$D60,EF!$D$100:$D$115,0))*INDEX(EF!$H$116:$H$131,MATCH(Emissions!$D60,EF!$D$116:$D$131,0))*kgtoGg</f>
        <v>8.4167443280804582E-2</v>
      </c>
      <c r="Z60" s="22">
        <f>INDEX('Activity data'!Z$24:Z$39,MATCH(Emissions!$D60,'Activity data'!$D$24:$D$39,0))*INDEX(EF!$H$84:$H$99,MATCH(Emissions!$D60,EF!$D$84:$D$99,0))*INDEX(EF!$H$100:$H$115,MATCH(Emissions!$D60,EF!$D$100:$D$115,0))*INDEX(EF!$H$116:$H$131,MATCH(Emissions!$D60,EF!$D$116:$D$131,0))*kgtoGg</f>
        <v>0.10728078262734679</v>
      </c>
      <c r="AA60" s="22">
        <f>INDEX('Activity data'!AA$24:AA$39,MATCH(Emissions!$D60,'Activity data'!$D$24:$D$39,0))*INDEX(EF!$H$84:$H$99,MATCH(Emissions!$D60,EF!$D$84:$D$99,0))*INDEX(EF!$H$100:$H$115,MATCH(Emissions!$D60,EF!$D$100:$D$115,0))*INDEX(EF!$H$116:$H$131,MATCH(Emissions!$D60,EF!$D$116:$D$131,0))*kgtoGg</f>
        <v>4.5790577950696791E-2</v>
      </c>
      <c r="AB60" s="22">
        <f>INDEX('Activity data'!AB$24:AB$39,MATCH(Emissions!$D60,'Activity data'!$D$24:$D$39,0))*INDEX(EF!$H$84:$H$99,MATCH(Emissions!$D60,EF!$D$84:$D$99,0))*INDEX(EF!$H$100:$H$115,MATCH(Emissions!$D60,EF!$D$100:$D$115,0))*INDEX(EF!$H$116:$H$131,MATCH(Emissions!$D60,EF!$D$116:$D$131,0))*kgtoGg</f>
        <v>7.6968548999999997E-2</v>
      </c>
      <c r="AC60" s="22">
        <f>INDEX('Activity data'!AC$24:AC$39,MATCH(Emissions!$D60,'Activity data'!$D$24:$D$39,0))*INDEX(EF!$H$84:$H$99,MATCH(Emissions!$D60,EF!$D$84:$D$99,0))*INDEX(EF!$H$100:$H$115,MATCH(Emissions!$D60,EF!$D$100:$D$115,0))*INDEX(EF!$H$116:$H$131,MATCH(Emissions!$D60,EF!$D$116:$D$131,0))*kgtoGg</f>
        <v>5.8869908999999998E-2</v>
      </c>
      <c r="AD60" s="22">
        <f>INDEX('Activity data'!AD$24:AD$39,MATCH(Emissions!$D60,'Activity data'!$D$24:$D$39,0))*INDEX(EF!$H$84:$H$99,MATCH(Emissions!$D60,EF!$D$84:$D$99,0))*INDEX(EF!$H$100:$H$115,MATCH(Emissions!$D60,EF!$D$100:$D$115,0))*INDEX(EF!$H$116:$H$131,MATCH(Emissions!$D60,EF!$D$116:$D$131,0))*kgtoGg</f>
        <v>6.1007970305663753E-2</v>
      </c>
      <c r="AE60" s="22">
        <f>INDEX('Activity data'!AE$24:AE$39,MATCH(Emissions!$D60,'Activity data'!$D$24:$D$39,0))*INDEX(EF!$H$84:$H$99,MATCH(Emissions!$D60,EF!$D$84:$D$99,0))*INDEX(EF!$H$100:$H$115,MATCH(Emissions!$D60,EF!$D$100:$D$115,0))*INDEX(EF!$H$116:$H$131,MATCH(Emissions!$D60,EF!$D$116:$D$131,0))*kgtoGg</f>
        <v>6.1529004605947853E-2</v>
      </c>
      <c r="AF60" s="22">
        <f>INDEX('Activity data'!AF$24:AF$39,MATCH(Emissions!$D60,'Activity data'!$D$24:$D$39,0))*INDEX(EF!$H$84:$H$99,MATCH(Emissions!$D60,EF!$D$84:$D$99,0))*INDEX(EF!$H$100:$H$115,MATCH(Emissions!$D60,EF!$D$100:$D$115,0))*INDEX(EF!$H$116:$H$131,MATCH(Emissions!$D60,EF!$D$116:$D$131,0))*kgtoGg</f>
        <v>6.2050038906231952E-2</v>
      </c>
      <c r="AG60" s="22">
        <f>INDEX('Activity data'!AG$24:AG$39,MATCH(Emissions!$D60,'Activity data'!$D$24:$D$39,0))*INDEX(EF!$H$84:$H$99,MATCH(Emissions!$D60,EF!$D$84:$D$99,0))*INDEX(EF!$H$100:$H$115,MATCH(Emissions!$D60,EF!$D$100:$D$115,0))*INDEX(EF!$H$116:$H$131,MATCH(Emissions!$D60,EF!$D$116:$D$131,0))*kgtoGg</f>
        <v>6.2571073206516031E-2</v>
      </c>
      <c r="AH60" s="22">
        <f>INDEX('Activity data'!AH$24:AH$39,MATCH(Emissions!$D60,'Activity data'!$D$24:$D$39,0))*INDEX(EF!$H$84:$H$99,MATCH(Emissions!$D60,EF!$D$84:$D$99,0))*INDEX(EF!$H$100:$H$115,MATCH(Emissions!$D60,EF!$D$100:$D$115,0))*INDEX(EF!$H$116:$H$131,MATCH(Emissions!$D60,EF!$D$116:$D$131,0))*kgtoGg</f>
        <v>6.3092107506800124E-2</v>
      </c>
      <c r="AI60" s="22">
        <f>INDEX('Activity data'!AI$24:AI$39,MATCH(Emissions!$D60,'Activity data'!$D$24:$D$39,0))*INDEX(EF!$H$84:$H$99,MATCH(Emissions!$D60,EF!$D$84:$D$99,0))*INDEX(EF!$H$100:$H$115,MATCH(Emissions!$D60,EF!$D$100:$D$115,0))*INDEX(EF!$H$116:$H$131,MATCH(Emissions!$D60,EF!$D$116:$D$131,0))*kgtoGg</f>
        <v>6.3613141807084217E-2</v>
      </c>
      <c r="AJ60" s="22">
        <f>INDEX('Activity data'!AJ$24:AJ$39,MATCH(Emissions!$D60,'Activity data'!$D$24:$D$39,0))*INDEX(EF!$H$84:$H$99,MATCH(Emissions!$D60,EF!$D$84:$D$99,0))*INDEX(EF!$H$100:$H$115,MATCH(Emissions!$D60,EF!$D$100:$D$115,0))*INDEX(EF!$H$116:$H$131,MATCH(Emissions!$D60,EF!$D$116:$D$131,0))*kgtoGg</f>
        <v>6.413417610736831E-2</v>
      </c>
      <c r="AK60" s="22">
        <f>INDEX('Activity data'!AK$24:AK$39,MATCH(Emissions!$D60,'Activity data'!$D$24:$D$39,0))*INDEX(EF!$H$84:$H$99,MATCH(Emissions!$D60,EF!$D$84:$D$99,0))*INDEX(EF!$H$100:$H$115,MATCH(Emissions!$D60,EF!$D$100:$D$115,0))*INDEX(EF!$H$116:$H$131,MATCH(Emissions!$D60,EF!$D$116:$D$131,0))*kgtoGg</f>
        <v>6.4655210407652403E-2</v>
      </c>
      <c r="AL60" s="22">
        <f>INDEX('Activity data'!AL$24:AL$39,MATCH(Emissions!$D60,'Activity data'!$D$24:$D$39,0))*INDEX(EF!$H$84:$H$99,MATCH(Emissions!$D60,EF!$D$84:$D$99,0))*INDEX(EF!$H$100:$H$115,MATCH(Emissions!$D60,EF!$D$100:$D$115,0))*INDEX(EF!$H$116:$H$131,MATCH(Emissions!$D60,EF!$D$116:$D$131,0))*kgtoGg</f>
        <v>6.5176244707936495E-2</v>
      </c>
      <c r="AM60" s="22">
        <f>INDEX('Activity data'!AM$24:AM$39,MATCH(Emissions!$D60,'Activity data'!$D$24:$D$39,0))*INDEX(EF!$H$84:$H$99,MATCH(Emissions!$D60,EF!$D$84:$D$99,0))*INDEX(EF!$H$100:$H$115,MATCH(Emissions!$D60,EF!$D$100:$D$115,0))*INDEX(EF!$H$116:$H$131,MATCH(Emissions!$D60,EF!$D$116:$D$131,0))*kgtoGg</f>
        <v>6.5697279008220588E-2</v>
      </c>
      <c r="AN60" s="22">
        <f>INDEX('Activity data'!AN$24:AN$39,MATCH(Emissions!$D60,'Activity data'!$D$24:$D$39,0))*INDEX(EF!$H$84:$H$99,MATCH(Emissions!$D60,EF!$D$84:$D$99,0))*INDEX(EF!$H$100:$H$115,MATCH(Emissions!$D60,EF!$D$100:$D$115,0))*INDEX(EF!$H$116:$H$131,MATCH(Emissions!$D60,EF!$D$116:$D$131,0))*kgtoGg</f>
        <v>6.6218313308504667E-2</v>
      </c>
      <c r="AO60" s="22">
        <f>INDEX('Activity data'!AO$24:AO$39,MATCH(Emissions!$D60,'Activity data'!$D$24:$D$39,0))*INDEX(EF!$H$84:$H$99,MATCH(Emissions!$D60,EF!$D$84:$D$99,0))*INDEX(EF!$H$100:$H$115,MATCH(Emissions!$D60,EF!$D$100:$D$115,0))*INDEX(EF!$H$116:$H$131,MATCH(Emissions!$D60,EF!$D$116:$D$131,0))*kgtoGg</f>
        <v>6.673934760878876E-2</v>
      </c>
      <c r="AP60" s="22">
        <f>INDEX('Activity data'!AP$24:AP$39,MATCH(Emissions!$D60,'Activity data'!$D$24:$D$39,0))*INDEX(EF!$H$84:$H$99,MATCH(Emissions!$D60,EF!$D$84:$D$99,0))*INDEX(EF!$H$100:$H$115,MATCH(Emissions!$D60,EF!$D$100:$D$115,0))*INDEX(EF!$H$116:$H$131,MATCH(Emissions!$D60,EF!$D$116:$D$131,0))*kgtoGg</f>
        <v>6.7260381909072867E-2</v>
      </c>
      <c r="AQ60" s="22">
        <f>INDEX('Activity data'!AQ$24:AQ$39,MATCH(Emissions!$D60,'Activity data'!$D$24:$D$39,0))*INDEX(EF!$H$84:$H$99,MATCH(Emissions!$D60,EF!$D$84:$D$99,0))*INDEX(EF!$H$100:$H$115,MATCH(Emissions!$D60,EF!$D$100:$D$115,0))*INDEX(EF!$H$116:$H$131,MATCH(Emissions!$D60,EF!$D$116:$D$131,0))*kgtoGg</f>
        <v>6.7781416209356946E-2</v>
      </c>
      <c r="AR60" s="22">
        <f>INDEX('Activity data'!AR$24:AR$39,MATCH(Emissions!$D60,'Activity data'!$D$24:$D$39,0))*INDEX(EF!$H$84:$H$99,MATCH(Emissions!$D60,EF!$D$84:$D$99,0))*INDEX(EF!$H$100:$H$115,MATCH(Emissions!$D60,EF!$D$100:$D$115,0))*INDEX(EF!$H$116:$H$131,MATCH(Emissions!$D60,EF!$D$116:$D$131,0))*kgtoGg</f>
        <v>6.8302450509641038E-2</v>
      </c>
      <c r="AS60" s="22">
        <f>INDEX('Activity data'!AS$24:AS$39,MATCH(Emissions!$D60,'Activity data'!$D$24:$D$39,0))*INDEX(EF!$H$84:$H$99,MATCH(Emissions!$D60,EF!$D$84:$D$99,0))*INDEX(EF!$H$100:$H$115,MATCH(Emissions!$D60,EF!$D$100:$D$115,0))*INDEX(EF!$H$116:$H$131,MATCH(Emissions!$D60,EF!$D$116:$D$131,0))*kgtoGg</f>
        <v>6.8823484809925117E-2</v>
      </c>
      <c r="AT60" s="22">
        <f>INDEX('Activity data'!AT$24:AT$39,MATCH(Emissions!$D60,'Activity data'!$D$24:$D$39,0))*INDEX(EF!$H$84:$H$99,MATCH(Emissions!$D60,EF!$D$84:$D$99,0))*INDEX(EF!$H$100:$H$115,MATCH(Emissions!$D60,EF!$D$100:$D$115,0))*INDEX(EF!$H$116:$H$131,MATCH(Emissions!$D60,EF!$D$116:$D$131,0))*kgtoGg</f>
        <v>6.9344519110209224E-2</v>
      </c>
      <c r="AU60" s="22">
        <f>INDEX('Activity data'!AU$24:AU$39,MATCH(Emissions!$D60,'Activity data'!$D$24:$D$39,0))*INDEX(EF!$H$84:$H$99,MATCH(Emissions!$D60,EF!$D$84:$D$99,0))*INDEX(EF!$H$100:$H$115,MATCH(Emissions!$D60,EF!$D$100:$D$115,0))*INDEX(EF!$H$116:$H$131,MATCH(Emissions!$D60,EF!$D$116:$D$131,0))*kgtoGg</f>
        <v>6.9865553410493303E-2</v>
      </c>
      <c r="AV60" s="22">
        <f>INDEX('Activity data'!AV$24:AV$39,MATCH(Emissions!$D60,'Activity data'!$D$24:$D$39,0))*INDEX(EF!$H$84:$H$99,MATCH(Emissions!$D60,EF!$D$84:$D$99,0))*INDEX(EF!$H$100:$H$115,MATCH(Emissions!$D60,EF!$D$100:$D$115,0))*INDEX(EF!$H$116:$H$131,MATCH(Emissions!$D60,EF!$D$116:$D$131,0))*kgtoGg</f>
        <v>7.038658771077741E-2</v>
      </c>
      <c r="AW60" s="22">
        <f>INDEX('Activity data'!AW$24:AW$39,MATCH(Emissions!$D60,'Activity data'!$D$24:$D$39,0))*INDEX(EF!$H$84:$H$99,MATCH(Emissions!$D60,EF!$D$84:$D$99,0))*INDEX(EF!$H$100:$H$115,MATCH(Emissions!$D60,EF!$D$100:$D$115,0))*INDEX(EF!$H$116:$H$131,MATCH(Emissions!$D60,EF!$D$116:$D$131,0))*kgtoGg</f>
        <v>7.0907622011061489E-2</v>
      </c>
      <c r="AX60" s="22">
        <f>INDEX('Activity data'!AX$24:AX$39,MATCH(Emissions!$D60,'Activity data'!$D$24:$D$39,0))*INDEX(EF!$H$84:$H$99,MATCH(Emissions!$D60,EF!$D$84:$D$99,0))*INDEX(EF!$H$100:$H$115,MATCH(Emissions!$D60,EF!$D$100:$D$115,0))*INDEX(EF!$H$116:$H$131,MATCH(Emissions!$D60,EF!$D$116:$D$131,0))*kgtoGg</f>
        <v>7.1428656311345595E-2</v>
      </c>
      <c r="AY60" s="22">
        <f>INDEX('Activity data'!AY$24:AY$39,MATCH(Emissions!$D60,'Activity data'!$D$24:$D$39,0))*INDEX(EF!$H$84:$H$99,MATCH(Emissions!$D60,EF!$D$84:$D$99,0))*INDEX(EF!$H$100:$H$115,MATCH(Emissions!$D60,EF!$D$100:$D$115,0))*INDEX(EF!$H$116:$H$131,MATCH(Emissions!$D60,EF!$D$116:$D$131,0))*kgtoGg</f>
        <v>7.1949690611629674E-2</v>
      </c>
      <c r="AZ60" s="22">
        <f>INDEX('Activity data'!AZ$24:AZ$39,MATCH(Emissions!$D60,'Activity data'!$D$24:$D$39,0))*INDEX(EF!$H$84:$H$99,MATCH(Emissions!$D60,EF!$D$84:$D$99,0))*INDEX(EF!$H$100:$H$115,MATCH(Emissions!$D60,EF!$D$100:$D$115,0))*INDEX(EF!$H$116:$H$131,MATCH(Emissions!$D60,EF!$D$116:$D$131,0))*kgtoGg</f>
        <v>7.2470724911913767E-2</v>
      </c>
      <c r="BA60" s="22">
        <f>INDEX('Activity data'!BA$24:BA$39,MATCH(Emissions!$D60,'Activity data'!$D$24:$D$39,0))*INDEX(EF!$H$84:$H$99,MATCH(Emissions!$D60,EF!$D$84:$D$99,0))*INDEX(EF!$H$100:$H$115,MATCH(Emissions!$D60,EF!$D$100:$D$115,0))*INDEX(EF!$H$116:$H$131,MATCH(Emissions!$D60,EF!$D$116:$D$131,0))*kgtoGg</f>
        <v>7.2991759212197846E-2</v>
      </c>
      <c r="BB60" s="22">
        <f>INDEX('Activity data'!BB$24:BB$39,MATCH(Emissions!$D60,'Activity data'!$D$24:$D$39,0))*INDEX(EF!$H$84:$H$99,MATCH(Emissions!$D60,EF!$D$84:$D$99,0))*INDEX(EF!$H$100:$H$115,MATCH(Emissions!$D60,EF!$D$100:$D$115,0))*INDEX(EF!$H$116:$H$131,MATCH(Emissions!$D60,EF!$D$116:$D$131,0))*kgtoGg</f>
        <v>7.3512793512481966E-2</v>
      </c>
      <c r="BC60" s="22">
        <f>INDEX('Activity data'!BC$24:BC$39,MATCH(Emissions!$D60,'Activity data'!$D$24:$D$39,0))*INDEX(EF!$H$84:$H$99,MATCH(Emissions!$D60,EF!$D$84:$D$99,0))*INDEX(EF!$H$100:$H$115,MATCH(Emissions!$D60,EF!$D$100:$D$115,0))*INDEX(EF!$H$116:$H$131,MATCH(Emissions!$D60,EF!$D$116:$D$131,0))*kgtoGg</f>
        <v>7.4033827812766045E-2</v>
      </c>
      <c r="BD60" s="22">
        <f>INDEX('Activity data'!BD$24:BD$39,MATCH(Emissions!$D60,'Activity data'!$D$24:$D$39,0))*INDEX(EF!$H$84:$H$99,MATCH(Emissions!$D60,EF!$D$84:$D$99,0))*INDEX(EF!$H$100:$H$115,MATCH(Emissions!$D60,EF!$D$100:$D$115,0))*INDEX(EF!$H$116:$H$131,MATCH(Emissions!$D60,EF!$D$116:$D$131,0))*kgtoGg</f>
        <v>7.4554862113050138E-2</v>
      </c>
      <c r="BE60" s="22">
        <f>INDEX('Activity data'!BE$24:BE$39,MATCH(Emissions!$D60,'Activity data'!$D$24:$D$39,0))*INDEX(EF!$H$84:$H$99,MATCH(Emissions!$D60,EF!$D$84:$D$99,0))*INDEX(EF!$H$100:$H$115,MATCH(Emissions!$D60,EF!$D$100:$D$115,0))*INDEX(EF!$H$116:$H$131,MATCH(Emissions!$D60,EF!$D$116:$D$131,0))*kgtoGg</f>
        <v>7.5075896413334217E-2</v>
      </c>
      <c r="BF60" s="22">
        <f>INDEX('Activity data'!BF$24:BF$39,MATCH(Emissions!$D60,'Activity data'!$D$24:$D$39,0))*INDEX(EF!$H$84:$H$99,MATCH(Emissions!$D60,EF!$D$84:$D$99,0))*INDEX(EF!$H$100:$H$115,MATCH(Emissions!$D60,EF!$D$100:$D$115,0))*INDEX(EF!$H$116:$H$131,MATCH(Emissions!$D60,EF!$D$116:$D$131,0))*kgtoGg</f>
        <v>7.5596930713618296E-2</v>
      </c>
      <c r="BG60" s="22">
        <f>INDEX('Activity data'!BG$24:BG$39,MATCH(Emissions!$D60,'Activity data'!$D$24:$D$39,0))*INDEX(EF!$H$84:$H$99,MATCH(Emissions!$D60,EF!$D$84:$D$99,0))*INDEX(EF!$H$100:$H$115,MATCH(Emissions!$D60,EF!$D$100:$D$115,0))*INDEX(EF!$H$116:$H$131,MATCH(Emissions!$D60,EF!$D$116:$D$131,0))*kgtoGg</f>
        <v>7.6117965013902403E-2</v>
      </c>
      <c r="BH60" s="22">
        <f>INDEX('Activity data'!BH$24:BH$39,MATCH(Emissions!$D60,'Activity data'!$D$24:$D$39,0))*INDEX(EF!$H$84:$H$99,MATCH(Emissions!$D60,EF!$D$84:$D$99,0))*INDEX(EF!$H$100:$H$115,MATCH(Emissions!$D60,EF!$D$100:$D$115,0))*INDEX(EF!$H$116:$H$131,MATCH(Emissions!$D60,EF!$D$116:$D$131,0))*kgtoGg</f>
        <v>7.6638999314186496E-2</v>
      </c>
      <c r="BI60" s="22">
        <f>INDEX('Activity data'!BI$24:BI$39,MATCH(Emissions!$D60,'Activity data'!$D$24:$D$39,0))*INDEX(EF!$H$84:$H$99,MATCH(Emissions!$D60,EF!$D$84:$D$99,0))*INDEX(EF!$H$100:$H$115,MATCH(Emissions!$D60,EF!$D$100:$D$115,0))*INDEX(EF!$H$116:$H$131,MATCH(Emissions!$D60,EF!$D$116:$D$131,0))*kgtoGg</f>
        <v>7.7160033614470575E-2</v>
      </c>
      <c r="BJ60" s="22">
        <f>INDEX('Activity data'!BJ$24:BJ$39,MATCH(Emissions!$D60,'Activity data'!$D$24:$D$39,0))*INDEX(EF!$H$84:$H$99,MATCH(Emissions!$D60,EF!$D$84:$D$99,0))*INDEX(EF!$H$100:$H$115,MATCH(Emissions!$D60,EF!$D$100:$D$115,0))*INDEX(EF!$H$116:$H$131,MATCH(Emissions!$D60,EF!$D$116:$D$131,0))*kgtoGg</f>
        <v>7.7681067914754681E-2</v>
      </c>
      <c r="BK60" s="22">
        <f>INDEX('Activity data'!BK$24:BK$39,MATCH(Emissions!$D60,'Activity data'!$D$24:$D$39,0))*INDEX(EF!$H$84:$H$99,MATCH(Emissions!$D60,EF!$D$84:$D$99,0))*INDEX(EF!$H$100:$H$115,MATCH(Emissions!$D60,EF!$D$100:$D$115,0))*INDEX(EF!$H$116:$H$131,MATCH(Emissions!$D60,EF!$D$116:$D$131,0))*kgtoGg</f>
        <v>7.8202102215038774E-2</v>
      </c>
      <c r="BL60" s="22">
        <f>INDEX('Activity data'!BL$24:BL$39,MATCH(Emissions!$D60,'Activity data'!$D$24:$D$39,0))*INDEX(EF!$H$84:$H$99,MATCH(Emissions!$D60,EF!$D$84:$D$99,0))*INDEX(EF!$H$100:$H$115,MATCH(Emissions!$D60,EF!$D$100:$D$115,0))*INDEX(EF!$H$116:$H$131,MATCH(Emissions!$D60,EF!$D$116:$D$131,0))*kgtoGg</f>
        <v>7.8723136515322853E-2</v>
      </c>
      <c r="BM60" s="22">
        <f>INDEX('Activity data'!BM$24:BM$39,MATCH(Emissions!$D60,'Activity data'!$D$24:$D$39,0))*INDEX(EF!$H$84:$H$99,MATCH(Emissions!$D60,EF!$D$84:$D$99,0))*INDEX(EF!$H$100:$H$115,MATCH(Emissions!$D60,EF!$D$100:$D$115,0))*INDEX(EF!$H$116:$H$131,MATCH(Emissions!$D60,EF!$D$116:$D$131,0))*kgtoGg</f>
        <v>7.9244170815606946E-2</v>
      </c>
      <c r="BN60" s="22">
        <f>INDEX('Activity data'!BN$24:BN$39,MATCH(Emissions!$D60,'Activity data'!$D$24:$D$39,0))*INDEX(EF!$H$84:$H$99,MATCH(Emissions!$D60,EF!$D$84:$D$99,0))*INDEX(EF!$H$100:$H$115,MATCH(Emissions!$D60,EF!$D$100:$D$115,0))*INDEX(EF!$H$116:$H$131,MATCH(Emissions!$D60,EF!$D$116:$D$131,0))*kgtoGg</f>
        <v>7.9765205115891025E-2</v>
      </c>
      <c r="BO60" s="22">
        <f>INDEX('Activity data'!BO$24:BO$39,MATCH(Emissions!$D60,'Activity data'!$D$24:$D$39,0))*INDEX(EF!$H$84:$H$99,MATCH(Emissions!$D60,EF!$D$84:$D$99,0))*INDEX(EF!$H$100:$H$115,MATCH(Emissions!$D60,EF!$D$100:$D$115,0))*INDEX(EF!$H$116:$H$131,MATCH(Emissions!$D60,EF!$D$116:$D$131,0))*kgtoGg</f>
        <v>8.0286239416175145E-2</v>
      </c>
      <c r="BP60" s="22">
        <f>INDEX('Activity data'!BP$24:BP$39,MATCH(Emissions!$D60,'Activity data'!$D$24:$D$39,0))*INDEX(EF!$H$84:$H$99,MATCH(Emissions!$D60,EF!$D$84:$D$99,0))*INDEX(EF!$H$100:$H$115,MATCH(Emissions!$D60,EF!$D$100:$D$115,0))*INDEX(EF!$H$116:$H$131,MATCH(Emissions!$D60,EF!$D$116:$D$131,0))*kgtoGg</f>
        <v>8.0807273716459224E-2</v>
      </c>
    </row>
    <row r="61" spans="1:68" x14ac:dyDescent="0.3">
      <c r="A61" t="str">
        <f t="shared" ref="A61:A85" si="19">A60</f>
        <v>3C Aggregated and non-CO2 emissions on land</v>
      </c>
      <c r="B61" t="str">
        <f t="shared" ref="B61:B69" si="20">B60</f>
        <v>3C1 Biomass burning (CH4)</v>
      </c>
      <c r="C61" t="str">
        <f t="shared" si="18"/>
        <v>3C1b Biomass burning in Croplands</v>
      </c>
      <c r="D61" t="str">
        <f>EF!D91</f>
        <v>Perennial vineyards</v>
      </c>
      <c r="E61" t="s">
        <v>648</v>
      </c>
      <c r="F61" t="str">
        <f>F60</f>
        <v>CH4</v>
      </c>
      <c r="G61" t="str">
        <f>G60</f>
        <v>Gg CH4</v>
      </c>
      <c r="H61" s="22">
        <f>INDEX('Activity data'!H$24:H$39,MATCH(Emissions!$D61,'Activity data'!$D$24:$D$39,0))*INDEX(EF!$H$84:$H$99,MATCH(Emissions!$D61,EF!$D$84:$D$99,0))*INDEX(EF!$H$100:$H$115,MATCH(Emissions!$D61,EF!$D$100:$D$115,0))*INDEX(EF!$H$116:$H$131,MATCH(Emissions!$D61,EF!$D$116:$D$131,0))*kgtoGg</f>
        <v>1.2298040935329995E-2</v>
      </c>
      <c r="I61" s="22">
        <f>INDEX('Activity data'!I$24:I$39,MATCH(Emissions!$D61,'Activity data'!$D$24:$D$39,0))*INDEX(EF!$H$84:$H$99,MATCH(Emissions!$D61,EF!$D$84:$D$99,0))*INDEX(EF!$H$100:$H$115,MATCH(Emissions!$D61,EF!$D$100:$D$115,0))*INDEX(EF!$H$116:$H$131,MATCH(Emissions!$D61,EF!$D$116:$D$131,0))*kgtoGg</f>
        <v>1.2298040935329995E-2</v>
      </c>
      <c r="J61" s="22">
        <f>INDEX('Activity data'!J$24:J$39,MATCH(Emissions!$D61,'Activity data'!$D$24:$D$39,0))*INDEX(EF!$H$84:$H$99,MATCH(Emissions!$D61,EF!$D$84:$D$99,0))*INDEX(EF!$H$100:$H$115,MATCH(Emissions!$D61,EF!$D$100:$D$115,0))*INDEX(EF!$H$116:$H$131,MATCH(Emissions!$D61,EF!$D$116:$D$131,0))*kgtoGg</f>
        <v>1.2298040935329995E-2</v>
      </c>
      <c r="K61" s="22">
        <f>INDEX('Activity data'!K$24:K$39,MATCH(Emissions!$D61,'Activity data'!$D$24:$D$39,0))*INDEX(EF!$H$84:$H$99,MATCH(Emissions!$D61,EF!$D$84:$D$99,0))*INDEX(EF!$H$100:$H$115,MATCH(Emissions!$D61,EF!$D$100:$D$115,0))*INDEX(EF!$H$116:$H$131,MATCH(Emissions!$D61,EF!$D$116:$D$131,0))*kgtoGg</f>
        <v>1.2298040935329995E-2</v>
      </c>
      <c r="L61" s="22">
        <f>INDEX('Activity data'!L$24:L$39,MATCH(Emissions!$D61,'Activity data'!$D$24:$D$39,0))*INDEX(EF!$H$84:$H$99,MATCH(Emissions!$D61,EF!$D$84:$D$99,0))*INDEX(EF!$H$100:$H$115,MATCH(Emissions!$D61,EF!$D$100:$D$115,0))*INDEX(EF!$H$116:$H$131,MATCH(Emissions!$D61,EF!$D$116:$D$131,0))*kgtoGg</f>
        <v>1.2298040935329995E-2</v>
      </c>
      <c r="M61" s="22">
        <f>INDEX('Activity data'!M$24:M$39,MATCH(Emissions!$D61,'Activity data'!$D$24:$D$39,0))*INDEX(EF!$H$84:$H$99,MATCH(Emissions!$D61,EF!$D$84:$D$99,0))*INDEX(EF!$H$100:$H$115,MATCH(Emissions!$D61,EF!$D$100:$D$115,0))*INDEX(EF!$H$116:$H$131,MATCH(Emissions!$D61,EF!$D$116:$D$131,0))*kgtoGg</f>
        <v>1.2298040935329995E-2</v>
      </c>
      <c r="N61" s="22">
        <f>INDEX('Activity data'!N$24:N$39,MATCH(Emissions!$D61,'Activity data'!$D$24:$D$39,0))*INDEX(EF!$H$84:$H$99,MATCH(Emissions!$D61,EF!$D$84:$D$99,0))*INDEX(EF!$H$100:$H$115,MATCH(Emissions!$D61,EF!$D$100:$D$115,0))*INDEX(EF!$H$116:$H$131,MATCH(Emissions!$D61,EF!$D$116:$D$131,0))*kgtoGg</f>
        <v>1.2298040935329995E-2</v>
      </c>
      <c r="O61" s="22">
        <f>INDEX('Activity data'!O$24:O$39,MATCH(Emissions!$D61,'Activity data'!$D$24:$D$39,0))*INDEX(EF!$H$84:$H$99,MATCH(Emissions!$D61,EF!$D$84:$D$99,0))*INDEX(EF!$H$100:$H$115,MATCH(Emissions!$D61,EF!$D$100:$D$115,0))*INDEX(EF!$H$116:$H$131,MATCH(Emissions!$D61,EF!$D$116:$D$131,0))*kgtoGg</f>
        <v>1.2298040935329995E-2</v>
      </c>
      <c r="P61" s="22">
        <f>INDEX('Activity data'!P$24:P$39,MATCH(Emissions!$D61,'Activity data'!$D$24:$D$39,0))*INDEX(EF!$H$84:$H$99,MATCH(Emissions!$D61,EF!$D$84:$D$99,0))*INDEX(EF!$H$100:$H$115,MATCH(Emissions!$D61,EF!$D$100:$D$115,0))*INDEX(EF!$H$116:$H$131,MATCH(Emissions!$D61,EF!$D$116:$D$131,0))*kgtoGg</f>
        <v>1.2298040935329995E-2</v>
      </c>
      <c r="Q61" s="22">
        <f>INDEX('Activity data'!Q$24:Q$39,MATCH(Emissions!$D61,'Activity data'!$D$24:$D$39,0))*INDEX(EF!$H$84:$H$99,MATCH(Emissions!$D61,EF!$D$84:$D$99,0))*INDEX(EF!$H$100:$H$115,MATCH(Emissions!$D61,EF!$D$100:$D$115,0))*INDEX(EF!$H$116:$H$131,MATCH(Emissions!$D61,EF!$D$116:$D$131,0))*kgtoGg</f>
        <v>1.2298040935329995E-2</v>
      </c>
      <c r="R61" s="22">
        <f>INDEX('Activity data'!R$24:R$39,MATCH(Emissions!$D61,'Activity data'!$D$24:$D$39,0))*INDEX(EF!$H$84:$H$99,MATCH(Emissions!$D61,EF!$D$84:$D$99,0))*INDEX(EF!$H$100:$H$115,MATCH(Emissions!$D61,EF!$D$100:$D$115,0))*INDEX(EF!$H$116:$H$131,MATCH(Emissions!$D61,EF!$D$116:$D$131,0))*kgtoGg</f>
        <v>1.9188432665053896E-2</v>
      </c>
      <c r="S61" s="22">
        <f>INDEX('Activity data'!S$24:S$39,MATCH(Emissions!$D61,'Activity data'!$D$24:$D$39,0))*INDEX(EF!$H$84:$H$99,MATCH(Emissions!$D61,EF!$D$84:$D$99,0))*INDEX(EF!$H$100:$H$115,MATCH(Emissions!$D61,EF!$D$100:$D$115,0))*INDEX(EF!$H$116:$H$131,MATCH(Emissions!$D61,EF!$D$116:$D$131,0))*kgtoGg</f>
        <v>1.2646921529240067E-2</v>
      </c>
      <c r="T61" s="22">
        <f>INDEX('Activity data'!T$24:T$39,MATCH(Emissions!$D61,'Activity data'!$D$24:$D$39,0))*INDEX(EF!$H$84:$H$99,MATCH(Emissions!$D61,EF!$D$84:$D$99,0))*INDEX(EF!$H$100:$H$115,MATCH(Emissions!$D61,EF!$D$100:$D$115,0))*INDEX(EF!$H$116:$H$131,MATCH(Emissions!$D61,EF!$D$116:$D$131,0))*kgtoGg</f>
        <v>1.0030317074914535E-2</v>
      </c>
      <c r="U61" s="22">
        <f>INDEX('Activity data'!U$24:U$39,MATCH(Emissions!$D61,'Activity data'!$D$24:$D$39,0))*INDEX(EF!$H$84:$H$99,MATCH(Emissions!$D61,EF!$D$84:$D$99,0))*INDEX(EF!$H$100:$H$115,MATCH(Emissions!$D61,EF!$D$100:$D$115,0))*INDEX(EF!$H$116:$H$131,MATCH(Emissions!$D61,EF!$D$116:$D$131,0))*kgtoGg</f>
        <v>1.5699626725953191E-2</v>
      </c>
      <c r="V61" s="22">
        <f>INDEX('Activity data'!V$24:V$39,MATCH(Emissions!$D61,'Activity data'!$D$24:$D$39,0))*INDEX(EF!$H$84:$H$99,MATCH(Emissions!$D61,EF!$D$84:$D$99,0))*INDEX(EF!$H$100:$H$115,MATCH(Emissions!$D61,EF!$D$100:$D$115,0))*INDEX(EF!$H$116:$H$131,MATCH(Emissions!$D61,EF!$D$116:$D$131,0))*kgtoGg</f>
        <v>3.9249066814882978E-3</v>
      </c>
      <c r="W61" s="22">
        <f>INDEX('Activity data'!W$24:W$39,MATCH(Emissions!$D61,'Activity data'!$D$24:$D$39,0))*INDEX(EF!$H$84:$H$99,MATCH(Emissions!$D61,EF!$D$84:$D$99,0))*INDEX(EF!$H$100:$H$115,MATCH(Emissions!$D61,EF!$D$100:$D$115,0))*INDEX(EF!$H$116:$H$131,MATCH(Emissions!$D61,EF!$D$116:$D$131,0))*kgtoGg</f>
        <v>1.0902518559689715E-2</v>
      </c>
      <c r="X61" s="22">
        <f>INDEX('Activity data'!X$24:X$39,MATCH(Emissions!$D61,'Activity data'!$D$24:$D$39,0))*INDEX(EF!$H$84:$H$99,MATCH(Emissions!$D61,EF!$D$84:$D$99,0))*INDEX(EF!$H$100:$H$115,MATCH(Emissions!$D61,EF!$D$100:$D$115,0))*INDEX(EF!$H$116:$H$131,MATCH(Emissions!$D61,EF!$D$116:$D$131,0))*kgtoGg</f>
        <v>2.1805037119379429E-2</v>
      </c>
      <c r="Y61" s="22">
        <f>INDEX('Activity data'!Y$24:Y$39,MATCH(Emissions!$D61,'Activity data'!$D$24:$D$39,0))*INDEX(EF!$H$84:$H$99,MATCH(Emissions!$D61,EF!$D$84:$D$99,0))*INDEX(EF!$H$100:$H$115,MATCH(Emissions!$D61,EF!$D$100:$D$115,0))*INDEX(EF!$H$116:$H$131,MATCH(Emissions!$D61,EF!$D$116:$D$131,0))*kgtoGg</f>
        <v>1.0466417817302124E-2</v>
      </c>
      <c r="Z61" s="22">
        <f>INDEX('Activity data'!Z$24:Z$39,MATCH(Emissions!$D61,'Activity data'!$D$24:$D$39,0))*INDEX(EF!$H$84:$H$99,MATCH(Emissions!$D61,EF!$D$84:$D$99,0))*INDEX(EF!$H$100:$H$115,MATCH(Emissions!$D61,EF!$D$100:$D$115,0))*INDEX(EF!$H$116:$H$131,MATCH(Emissions!$D61,EF!$D$116:$D$131,0))*kgtoGg</f>
        <v>7.8498133629765956E-3</v>
      </c>
      <c r="AA61" s="22">
        <f>INDEX('Activity data'!AA$24:AA$39,MATCH(Emissions!$D61,'Activity data'!$D$24:$D$39,0))*INDEX(EF!$H$84:$H$99,MATCH(Emissions!$D61,EF!$D$84:$D$99,0))*INDEX(EF!$H$100:$H$115,MATCH(Emissions!$D61,EF!$D$100:$D$115,0))*INDEX(EF!$H$116:$H$131,MATCH(Emissions!$D61,EF!$D$116:$D$131,0))*kgtoGg</f>
        <v>1.1774720044464891E-2</v>
      </c>
      <c r="AB61" s="22">
        <f>INDEX('Activity data'!AB$24:AB$39,MATCH(Emissions!$D61,'Activity data'!$D$24:$D$39,0))*INDEX(EF!$H$84:$H$99,MATCH(Emissions!$D61,EF!$D$84:$D$99,0))*INDEX(EF!$H$100:$H$115,MATCH(Emissions!$D61,EF!$D$100:$D$115,0))*INDEX(EF!$H$116:$H$131,MATCH(Emissions!$D61,EF!$D$116:$D$131,0))*kgtoGg</f>
        <v>1.9544489999999998E-2</v>
      </c>
      <c r="AC61" s="22">
        <f>INDEX('Activity data'!AC$24:AC$39,MATCH(Emissions!$D61,'Activity data'!$D$24:$D$39,0))*INDEX(EF!$H$84:$H$99,MATCH(Emissions!$D61,EF!$D$84:$D$99,0))*INDEX(EF!$H$100:$H$115,MATCH(Emissions!$D61,EF!$D$100:$D$115,0))*INDEX(EF!$H$116:$H$131,MATCH(Emissions!$D61,EF!$D$116:$D$131,0))*kgtoGg</f>
        <v>5.1569217000000007E-2</v>
      </c>
      <c r="AD61" s="22">
        <f>INDEX('Activity data'!AD$24:AD$39,MATCH(Emissions!$D61,'Activity data'!$D$24:$D$39,0))*INDEX(EF!$H$84:$H$99,MATCH(Emissions!$D61,EF!$D$84:$D$99,0))*INDEX(EF!$H$100:$H$115,MATCH(Emissions!$D61,EF!$D$100:$D$115,0))*INDEX(EF!$H$116:$H$131,MATCH(Emissions!$D61,EF!$D$116:$D$131,0))*kgtoGg</f>
        <v>1.6859607769005278E-2</v>
      </c>
      <c r="AE61" s="22">
        <f>INDEX('Activity data'!AE$24:AE$39,MATCH(Emissions!$D61,'Activity data'!$D$24:$D$39,0))*INDEX(EF!$H$84:$H$99,MATCH(Emissions!$D61,EF!$D$84:$D$99,0))*INDEX(EF!$H$100:$H$115,MATCH(Emissions!$D61,EF!$D$100:$D$115,0))*INDEX(EF!$H$116:$H$131,MATCH(Emissions!$D61,EF!$D$116:$D$131,0))*kgtoGg</f>
        <v>1.6970620595071061E-2</v>
      </c>
      <c r="AF61" s="22">
        <f>INDEX('Activity data'!AF$24:AF$39,MATCH(Emissions!$D61,'Activity data'!$D$24:$D$39,0))*INDEX(EF!$H$84:$H$99,MATCH(Emissions!$D61,EF!$D$84:$D$99,0))*INDEX(EF!$H$100:$H$115,MATCH(Emissions!$D61,EF!$D$100:$D$115,0))*INDEX(EF!$H$116:$H$131,MATCH(Emissions!$D61,EF!$D$116:$D$131,0))*kgtoGg</f>
        <v>1.7081633421136833E-2</v>
      </c>
      <c r="AG61" s="22">
        <f>INDEX('Activity data'!AG$24:AG$39,MATCH(Emissions!$D61,'Activity data'!$D$24:$D$39,0))*INDEX(EF!$H$84:$H$99,MATCH(Emissions!$D61,EF!$D$84:$D$99,0))*INDEX(EF!$H$100:$H$115,MATCH(Emissions!$D61,EF!$D$100:$D$115,0))*INDEX(EF!$H$116:$H$131,MATCH(Emissions!$D61,EF!$D$116:$D$131,0))*kgtoGg</f>
        <v>1.7192646247202611E-2</v>
      </c>
      <c r="AH61" s="22">
        <f>INDEX('Activity data'!AH$24:AH$39,MATCH(Emissions!$D61,'Activity data'!$D$24:$D$39,0))*INDEX(EF!$H$84:$H$99,MATCH(Emissions!$D61,EF!$D$84:$D$99,0))*INDEX(EF!$H$100:$H$115,MATCH(Emissions!$D61,EF!$D$100:$D$115,0))*INDEX(EF!$H$116:$H$131,MATCH(Emissions!$D61,EF!$D$116:$D$131,0))*kgtoGg</f>
        <v>1.7303659073268383E-2</v>
      </c>
      <c r="AI61" s="22">
        <f>INDEX('Activity data'!AI$24:AI$39,MATCH(Emissions!$D61,'Activity data'!$D$24:$D$39,0))*INDEX(EF!$H$84:$H$99,MATCH(Emissions!$D61,EF!$D$84:$D$99,0))*INDEX(EF!$H$100:$H$115,MATCH(Emissions!$D61,EF!$D$100:$D$115,0))*INDEX(EF!$H$116:$H$131,MATCH(Emissions!$D61,EF!$D$116:$D$131,0))*kgtoGg</f>
        <v>1.7414671899334159E-2</v>
      </c>
      <c r="AJ61" s="22">
        <f>INDEX('Activity data'!AJ$24:AJ$39,MATCH(Emissions!$D61,'Activity data'!$D$24:$D$39,0))*INDEX(EF!$H$84:$H$99,MATCH(Emissions!$D61,EF!$D$84:$D$99,0))*INDEX(EF!$H$100:$H$115,MATCH(Emissions!$D61,EF!$D$100:$D$115,0))*INDEX(EF!$H$116:$H$131,MATCH(Emissions!$D61,EF!$D$116:$D$131,0))*kgtoGg</f>
        <v>1.7525684725399934E-2</v>
      </c>
      <c r="AK61" s="22">
        <f>INDEX('Activity data'!AK$24:AK$39,MATCH(Emissions!$D61,'Activity data'!$D$24:$D$39,0))*INDEX(EF!$H$84:$H$99,MATCH(Emissions!$D61,EF!$D$84:$D$99,0))*INDEX(EF!$H$100:$H$115,MATCH(Emissions!$D61,EF!$D$100:$D$115,0))*INDEX(EF!$H$116:$H$131,MATCH(Emissions!$D61,EF!$D$116:$D$131,0))*kgtoGg</f>
        <v>1.7636697551465713E-2</v>
      </c>
      <c r="AL61" s="22">
        <f>INDEX('Activity data'!AL$24:AL$39,MATCH(Emissions!$D61,'Activity data'!$D$24:$D$39,0))*INDEX(EF!$H$84:$H$99,MATCH(Emissions!$D61,EF!$D$84:$D$99,0))*INDEX(EF!$H$100:$H$115,MATCH(Emissions!$D61,EF!$D$100:$D$115,0))*INDEX(EF!$H$116:$H$131,MATCH(Emissions!$D61,EF!$D$116:$D$131,0))*kgtoGg</f>
        <v>1.7747710377531489E-2</v>
      </c>
      <c r="AM61" s="22">
        <f>INDEX('Activity data'!AM$24:AM$39,MATCH(Emissions!$D61,'Activity data'!$D$24:$D$39,0))*INDEX(EF!$H$84:$H$99,MATCH(Emissions!$D61,EF!$D$84:$D$99,0))*INDEX(EF!$H$100:$H$115,MATCH(Emissions!$D61,EF!$D$100:$D$115,0))*INDEX(EF!$H$116:$H$131,MATCH(Emissions!$D61,EF!$D$116:$D$131,0))*kgtoGg</f>
        <v>1.7858723203597264E-2</v>
      </c>
      <c r="AN61" s="22">
        <f>INDEX('Activity data'!AN$24:AN$39,MATCH(Emissions!$D61,'Activity data'!$D$24:$D$39,0))*INDEX(EF!$H$84:$H$99,MATCH(Emissions!$D61,EF!$D$84:$D$99,0))*INDEX(EF!$H$100:$H$115,MATCH(Emissions!$D61,EF!$D$100:$D$115,0))*INDEX(EF!$H$116:$H$131,MATCH(Emissions!$D61,EF!$D$116:$D$131,0))*kgtoGg</f>
        <v>1.7969736029663043E-2</v>
      </c>
      <c r="AO61" s="22">
        <f>INDEX('Activity data'!AO$24:AO$39,MATCH(Emissions!$D61,'Activity data'!$D$24:$D$39,0))*INDEX(EF!$H$84:$H$99,MATCH(Emissions!$D61,EF!$D$84:$D$99,0))*INDEX(EF!$H$100:$H$115,MATCH(Emissions!$D61,EF!$D$100:$D$115,0))*INDEX(EF!$H$116:$H$131,MATCH(Emissions!$D61,EF!$D$116:$D$131,0))*kgtoGg</f>
        <v>1.8080748855728818E-2</v>
      </c>
      <c r="AP61" s="22">
        <f>INDEX('Activity data'!AP$24:AP$39,MATCH(Emissions!$D61,'Activity data'!$D$24:$D$39,0))*INDEX(EF!$H$84:$H$99,MATCH(Emissions!$D61,EF!$D$84:$D$99,0))*INDEX(EF!$H$100:$H$115,MATCH(Emissions!$D61,EF!$D$100:$D$115,0))*INDEX(EF!$H$116:$H$131,MATCH(Emissions!$D61,EF!$D$116:$D$131,0))*kgtoGg</f>
        <v>1.8191761681794601E-2</v>
      </c>
      <c r="AQ61" s="22">
        <f>INDEX('Activity data'!AQ$24:AQ$39,MATCH(Emissions!$D61,'Activity data'!$D$24:$D$39,0))*INDEX(EF!$H$84:$H$99,MATCH(Emissions!$D61,EF!$D$84:$D$99,0))*INDEX(EF!$H$100:$H$115,MATCH(Emissions!$D61,EF!$D$100:$D$115,0))*INDEX(EF!$H$116:$H$131,MATCH(Emissions!$D61,EF!$D$116:$D$131,0))*kgtoGg</f>
        <v>1.8302774507860373E-2</v>
      </c>
      <c r="AR61" s="22">
        <f>INDEX('Activity data'!AR$24:AR$39,MATCH(Emissions!$D61,'Activity data'!$D$24:$D$39,0))*INDEX(EF!$H$84:$H$99,MATCH(Emissions!$D61,EF!$D$84:$D$99,0))*INDEX(EF!$H$100:$H$115,MATCH(Emissions!$D61,EF!$D$100:$D$115,0))*INDEX(EF!$H$116:$H$131,MATCH(Emissions!$D61,EF!$D$116:$D$131,0))*kgtoGg</f>
        <v>1.8413787333926148E-2</v>
      </c>
      <c r="AS61" s="22">
        <f>INDEX('Activity data'!AS$24:AS$39,MATCH(Emissions!$D61,'Activity data'!$D$24:$D$39,0))*INDEX(EF!$H$84:$H$99,MATCH(Emissions!$D61,EF!$D$84:$D$99,0))*INDEX(EF!$H$100:$H$115,MATCH(Emissions!$D61,EF!$D$100:$D$115,0))*INDEX(EF!$H$116:$H$131,MATCH(Emissions!$D61,EF!$D$116:$D$131,0))*kgtoGg</f>
        <v>1.852480015999192E-2</v>
      </c>
      <c r="AT61" s="22">
        <f>INDEX('Activity data'!AT$24:AT$39,MATCH(Emissions!$D61,'Activity data'!$D$24:$D$39,0))*INDEX(EF!$H$84:$H$99,MATCH(Emissions!$D61,EF!$D$84:$D$99,0))*INDEX(EF!$H$100:$H$115,MATCH(Emissions!$D61,EF!$D$100:$D$115,0))*INDEX(EF!$H$116:$H$131,MATCH(Emissions!$D61,EF!$D$116:$D$131,0))*kgtoGg</f>
        <v>1.8635812986057699E-2</v>
      </c>
      <c r="AU61" s="22">
        <f>INDEX('Activity data'!AU$24:AU$39,MATCH(Emissions!$D61,'Activity data'!$D$24:$D$39,0))*INDEX(EF!$H$84:$H$99,MATCH(Emissions!$D61,EF!$D$84:$D$99,0))*INDEX(EF!$H$100:$H$115,MATCH(Emissions!$D61,EF!$D$100:$D$115,0))*INDEX(EF!$H$116:$H$131,MATCH(Emissions!$D61,EF!$D$116:$D$131,0))*kgtoGg</f>
        <v>1.8746825812123474E-2</v>
      </c>
      <c r="AV61" s="22">
        <f>INDEX('Activity data'!AV$24:AV$39,MATCH(Emissions!$D61,'Activity data'!$D$24:$D$39,0))*INDEX(EF!$H$84:$H$99,MATCH(Emissions!$D61,EF!$D$84:$D$99,0))*INDEX(EF!$H$100:$H$115,MATCH(Emissions!$D61,EF!$D$100:$D$115,0))*INDEX(EF!$H$116:$H$131,MATCH(Emissions!$D61,EF!$D$116:$D$131,0))*kgtoGg</f>
        <v>1.8857838638189253E-2</v>
      </c>
      <c r="AW61" s="22">
        <f>INDEX('Activity data'!AW$24:AW$39,MATCH(Emissions!$D61,'Activity data'!$D$24:$D$39,0))*INDEX(EF!$H$84:$H$99,MATCH(Emissions!$D61,EF!$D$84:$D$99,0))*INDEX(EF!$H$100:$H$115,MATCH(Emissions!$D61,EF!$D$100:$D$115,0))*INDEX(EF!$H$116:$H$131,MATCH(Emissions!$D61,EF!$D$116:$D$131,0))*kgtoGg</f>
        <v>1.8968851464255032E-2</v>
      </c>
      <c r="AX61" s="22">
        <f>INDEX('Activity data'!AX$24:AX$39,MATCH(Emissions!$D61,'Activity data'!$D$24:$D$39,0))*INDEX(EF!$H$84:$H$99,MATCH(Emissions!$D61,EF!$D$84:$D$99,0))*INDEX(EF!$H$100:$H$115,MATCH(Emissions!$D61,EF!$D$100:$D$115,0))*INDEX(EF!$H$116:$H$131,MATCH(Emissions!$D61,EF!$D$116:$D$131,0))*kgtoGg</f>
        <v>1.9079864290320804E-2</v>
      </c>
      <c r="AY61" s="22">
        <f>INDEX('Activity data'!AY$24:AY$39,MATCH(Emissions!$D61,'Activity data'!$D$24:$D$39,0))*INDEX(EF!$H$84:$H$99,MATCH(Emissions!$D61,EF!$D$84:$D$99,0))*INDEX(EF!$H$100:$H$115,MATCH(Emissions!$D61,EF!$D$100:$D$115,0))*INDEX(EF!$H$116:$H$131,MATCH(Emissions!$D61,EF!$D$116:$D$131,0))*kgtoGg</f>
        <v>1.9190877116386583E-2</v>
      </c>
      <c r="AZ61" s="22">
        <f>INDEX('Activity data'!AZ$24:AZ$39,MATCH(Emissions!$D61,'Activity data'!$D$24:$D$39,0))*INDEX(EF!$H$84:$H$99,MATCH(Emissions!$D61,EF!$D$84:$D$99,0))*INDEX(EF!$H$100:$H$115,MATCH(Emissions!$D61,EF!$D$100:$D$115,0))*INDEX(EF!$H$116:$H$131,MATCH(Emissions!$D61,EF!$D$116:$D$131,0))*kgtoGg</f>
        <v>1.9301889942452358E-2</v>
      </c>
      <c r="BA61" s="22">
        <f>INDEX('Activity data'!BA$24:BA$39,MATCH(Emissions!$D61,'Activity data'!$D$24:$D$39,0))*INDEX(EF!$H$84:$H$99,MATCH(Emissions!$D61,EF!$D$84:$D$99,0))*INDEX(EF!$H$100:$H$115,MATCH(Emissions!$D61,EF!$D$100:$D$115,0))*INDEX(EF!$H$116:$H$131,MATCH(Emissions!$D61,EF!$D$116:$D$131,0))*kgtoGg</f>
        <v>1.9412902768518137E-2</v>
      </c>
      <c r="BB61" s="22">
        <f>INDEX('Activity data'!BB$24:BB$39,MATCH(Emissions!$D61,'Activity data'!$D$24:$D$39,0))*INDEX(EF!$H$84:$H$99,MATCH(Emissions!$D61,EF!$D$84:$D$99,0))*INDEX(EF!$H$100:$H$115,MATCH(Emissions!$D61,EF!$D$100:$D$115,0))*INDEX(EF!$H$116:$H$131,MATCH(Emissions!$D61,EF!$D$116:$D$131,0))*kgtoGg</f>
        <v>1.9523915594583916E-2</v>
      </c>
      <c r="BC61" s="22">
        <f>INDEX('Activity data'!BC$24:BC$39,MATCH(Emissions!$D61,'Activity data'!$D$24:$D$39,0))*INDEX(EF!$H$84:$H$99,MATCH(Emissions!$D61,EF!$D$84:$D$99,0))*INDEX(EF!$H$100:$H$115,MATCH(Emissions!$D61,EF!$D$100:$D$115,0))*INDEX(EF!$H$116:$H$131,MATCH(Emissions!$D61,EF!$D$116:$D$131,0))*kgtoGg</f>
        <v>1.9634928420649695E-2</v>
      </c>
      <c r="BD61" s="22">
        <f>INDEX('Activity data'!BD$24:BD$39,MATCH(Emissions!$D61,'Activity data'!$D$24:$D$39,0))*INDEX(EF!$H$84:$H$99,MATCH(Emissions!$D61,EF!$D$84:$D$99,0))*INDEX(EF!$H$100:$H$115,MATCH(Emissions!$D61,EF!$D$100:$D$115,0))*INDEX(EF!$H$116:$H$131,MATCH(Emissions!$D61,EF!$D$116:$D$131,0))*kgtoGg</f>
        <v>1.9745941246715467E-2</v>
      </c>
      <c r="BE61" s="22">
        <f>INDEX('Activity data'!BE$24:BE$39,MATCH(Emissions!$D61,'Activity data'!$D$24:$D$39,0))*INDEX(EF!$H$84:$H$99,MATCH(Emissions!$D61,EF!$D$84:$D$99,0))*INDEX(EF!$H$100:$H$115,MATCH(Emissions!$D61,EF!$D$100:$D$115,0))*INDEX(EF!$H$116:$H$131,MATCH(Emissions!$D61,EF!$D$116:$D$131,0))*kgtoGg</f>
        <v>1.9856954072781246E-2</v>
      </c>
      <c r="BF61" s="22">
        <f>INDEX('Activity data'!BF$24:BF$39,MATCH(Emissions!$D61,'Activity data'!$D$24:$D$39,0))*INDEX(EF!$H$84:$H$99,MATCH(Emissions!$D61,EF!$D$84:$D$99,0))*INDEX(EF!$H$100:$H$115,MATCH(Emissions!$D61,EF!$D$100:$D$115,0))*INDEX(EF!$H$116:$H$131,MATCH(Emissions!$D61,EF!$D$116:$D$131,0))*kgtoGg</f>
        <v>1.9967966898847021E-2</v>
      </c>
      <c r="BG61" s="22">
        <f>INDEX('Activity data'!BG$24:BG$39,MATCH(Emissions!$D61,'Activity data'!$D$24:$D$39,0))*INDEX(EF!$H$84:$H$99,MATCH(Emissions!$D61,EF!$D$84:$D$99,0))*INDEX(EF!$H$100:$H$115,MATCH(Emissions!$D61,EF!$D$100:$D$115,0))*INDEX(EF!$H$116:$H$131,MATCH(Emissions!$D61,EF!$D$116:$D$131,0))*kgtoGg</f>
        <v>2.0078979724912797E-2</v>
      </c>
      <c r="BH61" s="22">
        <f>INDEX('Activity data'!BH$24:BH$39,MATCH(Emissions!$D61,'Activity data'!$D$24:$D$39,0))*INDEX(EF!$H$84:$H$99,MATCH(Emissions!$D61,EF!$D$84:$D$99,0))*INDEX(EF!$H$100:$H$115,MATCH(Emissions!$D61,EF!$D$100:$D$115,0))*INDEX(EF!$H$116:$H$131,MATCH(Emissions!$D61,EF!$D$116:$D$131,0))*kgtoGg</f>
        <v>2.0189992550978576E-2</v>
      </c>
      <c r="BI61" s="22">
        <f>INDEX('Activity data'!BI$24:BI$39,MATCH(Emissions!$D61,'Activity data'!$D$24:$D$39,0))*INDEX(EF!$H$84:$H$99,MATCH(Emissions!$D61,EF!$D$84:$D$99,0))*INDEX(EF!$H$100:$H$115,MATCH(Emissions!$D61,EF!$D$100:$D$115,0))*INDEX(EF!$H$116:$H$131,MATCH(Emissions!$D61,EF!$D$116:$D$131,0))*kgtoGg</f>
        <v>2.0301005377044351E-2</v>
      </c>
      <c r="BJ61" s="22">
        <f>INDEX('Activity data'!BJ$24:BJ$39,MATCH(Emissions!$D61,'Activity data'!$D$24:$D$39,0))*INDEX(EF!$H$84:$H$99,MATCH(Emissions!$D61,EF!$D$84:$D$99,0))*INDEX(EF!$H$100:$H$115,MATCH(Emissions!$D61,EF!$D$100:$D$115,0))*INDEX(EF!$H$116:$H$131,MATCH(Emissions!$D61,EF!$D$116:$D$131,0))*kgtoGg</f>
        <v>2.0412018203110126E-2</v>
      </c>
      <c r="BK61" s="22">
        <f>INDEX('Activity data'!BK$24:BK$39,MATCH(Emissions!$D61,'Activity data'!$D$24:$D$39,0))*INDEX(EF!$H$84:$H$99,MATCH(Emissions!$D61,EF!$D$84:$D$99,0))*INDEX(EF!$H$100:$H$115,MATCH(Emissions!$D61,EF!$D$100:$D$115,0))*INDEX(EF!$H$116:$H$131,MATCH(Emissions!$D61,EF!$D$116:$D$131,0))*kgtoGg</f>
        <v>2.0523031029175905E-2</v>
      </c>
      <c r="BL61" s="22">
        <f>INDEX('Activity data'!BL$24:BL$39,MATCH(Emissions!$D61,'Activity data'!$D$24:$D$39,0))*INDEX(EF!$H$84:$H$99,MATCH(Emissions!$D61,EF!$D$84:$D$99,0))*INDEX(EF!$H$100:$H$115,MATCH(Emissions!$D61,EF!$D$100:$D$115,0))*INDEX(EF!$H$116:$H$131,MATCH(Emissions!$D61,EF!$D$116:$D$131,0))*kgtoGg</f>
        <v>2.0634043855241681E-2</v>
      </c>
      <c r="BM61" s="22">
        <f>INDEX('Activity data'!BM$24:BM$39,MATCH(Emissions!$D61,'Activity data'!$D$24:$D$39,0))*INDEX(EF!$H$84:$H$99,MATCH(Emissions!$D61,EF!$D$84:$D$99,0))*INDEX(EF!$H$100:$H$115,MATCH(Emissions!$D61,EF!$D$100:$D$115,0))*INDEX(EF!$H$116:$H$131,MATCH(Emissions!$D61,EF!$D$116:$D$131,0))*kgtoGg</f>
        <v>2.074505668130746E-2</v>
      </c>
      <c r="BN61" s="22">
        <f>INDEX('Activity data'!BN$24:BN$39,MATCH(Emissions!$D61,'Activity data'!$D$24:$D$39,0))*INDEX(EF!$H$84:$H$99,MATCH(Emissions!$D61,EF!$D$84:$D$99,0))*INDEX(EF!$H$100:$H$115,MATCH(Emissions!$D61,EF!$D$100:$D$115,0))*INDEX(EF!$H$116:$H$131,MATCH(Emissions!$D61,EF!$D$116:$D$131,0))*kgtoGg</f>
        <v>2.0856069507373235E-2</v>
      </c>
      <c r="BO61" s="22">
        <f>INDEX('Activity data'!BO$24:BO$39,MATCH(Emissions!$D61,'Activity data'!$D$24:$D$39,0))*INDEX(EF!$H$84:$H$99,MATCH(Emissions!$D61,EF!$D$84:$D$99,0))*INDEX(EF!$H$100:$H$115,MATCH(Emissions!$D61,EF!$D$100:$D$115,0))*INDEX(EF!$H$116:$H$131,MATCH(Emissions!$D61,EF!$D$116:$D$131,0))*kgtoGg</f>
        <v>2.0967082333439007E-2</v>
      </c>
      <c r="BP61" s="22">
        <f>INDEX('Activity data'!BP$24:BP$39,MATCH(Emissions!$D61,'Activity data'!$D$24:$D$39,0))*INDEX(EF!$H$84:$H$99,MATCH(Emissions!$D61,EF!$D$84:$D$99,0))*INDEX(EF!$H$100:$H$115,MATCH(Emissions!$D61,EF!$D$100:$D$115,0))*INDEX(EF!$H$116:$H$131,MATCH(Emissions!$D61,EF!$D$116:$D$131,0))*kgtoGg</f>
        <v>2.1078095159504782E-2</v>
      </c>
    </row>
    <row r="62" spans="1:68" x14ac:dyDescent="0.3">
      <c r="A62" t="str">
        <f t="shared" si="19"/>
        <v>3C Aggregated and non-CO2 emissions on land</v>
      </c>
      <c r="B62" t="str">
        <f t="shared" si="20"/>
        <v>3C1 Biomass burning (CH4)</v>
      </c>
      <c r="C62" t="str">
        <f t="shared" si="18"/>
        <v>3C1b Biomass burning in Croplands</v>
      </c>
      <c r="D62" t="str">
        <f>EF!D92</f>
        <v>Cropland subsistence</v>
      </c>
      <c r="E62" t="s">
        <v>649</v>
      </c>
      <c r="F62" t="str">
        <f t="shared" ref="F62:F65" si="21">F61</f>
        <v>CH4</v>
      </c>
      <c r="G62" t="str">
        <f t="shared" ref="G62:G65" si="22">G61</f>
        <v>Gg CH4</v>
      </c>
      <c r="H62" s="22">
        <f>INDEX('Activity data'!H$24:H$39,MATCH(Emissions!$D62,'Activity data'!$D$24:$D$39,0))*INDEX(EF!$H$84:$H$99,MATCH(Emissions!$D62,EF!$D$84:$D$99,0))*INDEX(EF!$H$100:$H$115,MATCH(Emissions!$D62,EF!$D$100:$D$115,0))*INDEX(EF!$H$116:$H$131,MATCH(Emissions!$D62,EF!$D$116:$D$131,0))*kgtoGg</f>
        <v>2.2958959683736984</v>
      </c>
      <c r="I62" s="22">
        <f>INDEX('Activity data'!I$24:I$39,MATCH(Emissions!$D62,'Activity data'!$D$24:$D$39,0))*INDEX(EF!$H$84:$H$99,MATCH(Emissions!$D62,EF!$D$84:$D$99,0))*INDEX(EF!$H$100:$H$115,MATCH(Emissions!$D62,EF!$D$100:$D$115,0))*INDEX(EF!$H$116:$H$131,MATCH(Emissions!$D62,EF!$D$116:$D$131,0))*kgtoGg</f>
        <v>2.2958959683736984</v>
      </c>
      <c r="J62" s="22">
        <f>INDEX('Activity data'!J$24:J$39,MATCH(Emissions!$D62,'Activity data'!$D$24:$D$39,0))*INDEX(EF!$H$84:$H$99,MATCH(Emissions!$D62,EF!$D$84:$D$99,0))*INDEX(EF!$H$100:$H$115,MATCH(Emissions!$D62,EF!$D$100:$D$115,0))*INDEX(EF!$H$116:$H$131,MATCH(Emissions!$D62,EF!$D$116:$D$131,0))*kgtoGg</f>
        <v>2.2958959683736984</v>
      </c>
      <c r="K62" s="22">
        <f>INDEX('Activity data'!K$24:K$39,MATCH(Emissions!$D62,'Activity data'!$D$24:$D$39,0))*INDEX(EF!$H$84:$H$99,MATCH(Emissions!$D62,EF!$D$84:$D$99,0))*INDEX(EF!$H$100:$H$115,MATCH(Emissions!$D62,EF!$D$100:$D$115,0))*INDEX(EF!$H$116:$H$131,MATCH(Emissions!$D62,EF!$D$116:$D$131,0))*kgtoGg</f>
        <v>2.2958959683736984</v>
      </c>
      <c r="L62" s="22">
        <f>INDEX('Activity data'!L$24:L$39,MATCH(Emissions!$D62,'Activity data'!$D$24:$D$39,0))*INDEX(EF!$H$84:$H$99,MATCH(Emissions!$D62,EF!$D$84:$D$99,0))*INDEX(EF!$H$100:$H$115,MATCH(Emissions!$D62,EF!$D$100:$D$115,0))*INDEX(EF!$H$116:$H$131,MATCH(Emissions!$D62,EF!$D$116:$D$131,0))*kgtoGg</f>
        <v>2.2958959683736984</v>
      </c>
      <c r="M62" s="22">
        <f>INDEX('Activity data'!M$24:M$39,MATCH(Emissions!$D62,'Activity data'!$D$24:$D$39,0))*INDEX(EF!$H$84:$H$99,MATCH(Emissions!$D62,EF!$D$84:$D$99,0))*INDEX(EF!$H$100:$H$115,MATCH(Emissions!$D62,EF!$D$100:$D$115,0))*INDEX(EF!$H$116:$H$131,MATCH(Emissions!$D62,EF!$D$116:$D$131,0))*kgtoGg</f>
        <v>2.2958959683736984</v>
      </c>
      <c r="N62" s="22">
        <f>INDEX('Activity data'!N$24:N$39,MATCH(Emissions!$D62,'Activity data'!$D$24:$D$39,0))*INDEX(EF!$H$84:$H$99,MATCH(Emissions!$D62,EF!$D$84:$D$99,0))*INDEX(EF!$H$100:$H$115,MATCH(Emissions!$D62,EF!$D$100:$D$115,0))*INDEX(EF!$H$116:$H$131,MATCH(Emissions!$D62,EF!$D$116:$D$131,0))*kgtoGg</f>
        <v>2.2958959683736984</v>
      </c>
      <c r="O62" s="22">
        <f>INDEX('Activity data'!O$24:O$39,MATCH(Emissions!$D62,'Activity data'!$D$24:$D$39,0))*INDEX(EF!$H$84:$H$99,MATCH(Emissions!$D62,EF!$D$84:$D$99,0))*INDEX(EF!$H$100:$H$115,MATCH(Emissions!$D62,EF!$D$100:$D$115,0))*INDEX(EF!$H$116:$H$131,MATCH(Emissions!$D62,EF!$D$116:$D$131,0))*kgtoGg</f>
        <v>2.2958959683736984</v>
      </c>
      <c r="P62" s="22">
        <f>INDEX('Activity data'!P$24:P$39,MATCH(Emissions!$D62,'Activity data'!$D$24:$D$39,0))*INDEX(EF!$H$84:$H$99,MATCH(Emissions!$D62,EF!$D$84:$D$99,0))*INDEX(EF!$H$100:$H$115,MATCH(Emissions!$D62,EF!$D$100:$D$115,0))*INDEX(EF!$H$116:$H$131,MATCH(Emissions!$D62,EF!$D$116:$D$131,0))*kgtoGg</f>
        <v>2.2958959683736984</v>
      </c>
      <c r="Q62" s="22">
        <f>INDEX('Activity data'!Q$24:Q$39,MATCH(Emissions!$D62,'Activity data'!$D$24:$D$39,0))*INDEX(EF!$H$84:$H$99,MATCH(Emissions!$D62,EF!$D$84:$D$99,0))*INDEX(EF!$H$100:$H$115,MATCH(Emissions!$D62,EF!$D$100:$D$115,0))*INDEX(EF!$H$116:$H$131,MATCH(Emissions!$D62,EF!$D$116:$D$131,0))*kgtoGg</f>
        <v>2.2958959683736984</v>
      </c>
      <c r="R62" s="22">
        <f>INDEX('Activity data'!R$24:R$39,MATCH(Emissions!$D62,'Activity data'!$D$24:$D$39,0))*INDEX(EF!$H$84:$H$99,MATCH(Emissions!$D62,EF!$D$84:$D$99,0))*INDEX(EF!$H$100:$H$115,MATCH(Emissions!$D62,EF!$D$100:$D$115,0))*INDEX(EF!$H$116:$H$131,MATCH(Emissions!$D62,EF!$D$116:$D$131,0))*kgtoGg</f>
        <v>2.0976445708843015</v>
      </c>
      <c r="S62" s="22">
        <f>INDEX('Activity data'!S$24:S$39,MATCH(Emissions!$D62,'Activity data'!$D$24:$D$39,0))*INDEX(EF!$H$84:$H$99,MATCH(Emissions!$D62,EF!$D$84:$D$99,0))*INDEX(EF!$H$100:$H$115,MATCH(Emissions!$D62,EF!$D$100:$D$115,0))*INDEX(EF!$H$116:$H$131,MATCH(Emissions!$D62,EF!$D$116:$D$131,0))*kgtoGg</f>
        <v>3.1399253451906373</v>
      </c>
      <c r="T62" s="22">
        <f>INDEX('Activity data'!T$24:T$39,MATCH(Emissions!$D62,'Activity data'!$D$24:$D$39,0))*INDEX(EF!$H$84:$H$99,MATCH(Emissions!$D62,EF!$D$84:$D$99,0))*INDEX(EF!$H$100:$H$115,MATCH(Emissions!$D62,EF!$D$100:$D$115,0))*INDEX(EF!$H$116:$H$131,MATCH(Emissions!$D62,EF!$D$116:$D$131,0))*kgtoGg</f>
        <v>2.47225510859524</v>
      </c>
      <c r="U62" s="22">
        <f>INDEX('Activity data'!U$24:U$39,MATCH(Emissions!$D62,'Activity data'!$D$24:$D$39,0))*INDEX(EF!$H$84:$H$99,MATCH(Emissions!$D62,EF!$D$84:$D$99,0))*INDEX(EF!$H$100:$H$115,MATCH(Emissions!$D62,EF!$D$100:$D$115,0))*INDEX(EF!$H$116:$H$131,MATCH(Emissions!$D62,EF!$D$116:$D$131,0))*kgtoGg</f>
        <v>2.0972084701419136</v>
      </c>
      <c r="V62" s="22">
        <f>INDEX('Activity data'!V$24:V$39,MATCH(Emissions!$D62,'Activity data'!$D$24:$D$39,0))*INDEX(EF!$H$84:$H$99,MATCH(Emissions!$D62,EF!$D$84:$D$99,0))*INDEX(EF!$H$100:$H$115,MATCH(Emissions!$D62,EF!$D$100:$D$115,0))*INDEX(EF!$H$116:$H$131,MATCH(Emissions!$D62,EF!$D$116:$D$131,0))*kgtoGg</f>
        <v>1.6724463470564022</v>
      </c>
      <c r="W62" s="22">
        <f>INDEX('Activity data'!W$24:W$39,MATCH(Emissions!$D62,'Activity data'!$D$24:$D$39,0))*INDEX(EF!$H$84:$H$99,MATCH(Emissions!$D62,EF!$D$84:$D$99,0))*INDEX(EF!$H$100:$H$115,MATCH(Emissions!$D62,EF!$D$100:$D$115,0))*INDEX(EF!$H$116:$H$131,MATCH(Emissions!$D62,EF!$D$116:$D$131,0))*kgtoGg</f>
        <v>3.6253054714680237</v>
      </c>
      <c r="X62" s="22">
        <f>INDEX('Activity data'!X$24:X$39,MATCH(Emissions!$D62,'Activity data'!$D$24:$D$39,0))*INDEX(EF!$H$84:$H$99,MATCH(Emissions!$D62,EF!$D$84:$D$99,0))*INDEX(EF!$H$100:$H$115,MATCH(Emissions!$D62,EF!$D$100:$D$115,0))*INDEX(EF!$H$116:$H$131,MATCH(Emissions!$D62,EF!$D$116:$D$131,0))*kgtoGg</f>
        <v>2.840760235912752</v>
      </c>
      <c r="Y62" s="22">
        <f>INDEX('Activity data'!Y$24:Y$39,MATCH(Emissions!$D62,'Activity data'!$D$24:$D$39,0))*INDEX(EF!$H$84:$H$99,MATCH(Emissions!$D62,EF!$D$84:$D$99,0))*INDEX(EF!$H$100:$H$115,MATCH(Emissions!$D62,EF!$D$100:$D$115,0))*INDEX(EF!$H$116:$H$131,MATCH(Emissions!$D62,EF!$D$116:$D$131,0))*kgtoGg</f>
        <v>4.3989481884636055</v>
      </c>
      <c r="Z62" s="22">
        <f>INDEX('Activity data'!Z$24:Z$39,MATCH(Emissions!$D62,'Activity data'!$D$24:$D$39,0))*INDEX(EF!$H$84:$H$99,MATCH(Emissions!$D62,EF!$D$84:$D$99,0))*INDEX(EF!$H$100:$H$115,MATCH(Emissions!$D62,EF!$D$100:$D$115,0))*INDEX(EF!$H$116:$H$131,MATCH(Emissions!$D62,EF!$D$116:$D$131,0))*kgtoGg</f>
        <v>2.6466954055502754</v>
      </c>
      <c r="AA62" s="22">
        <f>INDEX('Activity data'!AA$24:AA$39,MATCH(Emissions!$D62,'Activity data'!$D$24:$D$39,0))*INDEX(EF!$H$84:$H$99,MATCH(Emissions!$D62,EF!$D$84:$D$99,0))*INDEX(EF!$H$100:$H$115,MATCH(Emissions!$D62,EF!$D$100:$D$115,0))*INDEX(EF!$H$116:$H$131,MATCH(Emissions!$D62,EF!$D$116:$D$131,0))*kgtoGg</f>
        <v>3.1307672296004982</v>
      </c>
      <c r="AB62" s="22">
        <f>INDEX('Activity data'!AB$24:AB$39,MATCH(Emissions!$D62,'Activity data'!$D$24:$D$39,0))*INDEX(EF!$H$84:$H$99,MATCH(Emissions!$D62,EF!$D$84:$D$99,0))*INDEX(EF!$H$100:$H$115,MATCH(Emissions!$D62,EF!$D$100:$D$115,0))*INDEX(EF!$H$116:$H$131,MATCH(Emissions!$D62,EF!$D$116:$D$131,0))*kgtoGg</f>
        <v>2.1033375300000001</v>
      </c>
      <c r="AC62" s="22">
        <f>INDEX('Activity data'!AC$24:AC$39,MATCH(Emissions!$D62,'Activity data'!$D$24:$D$39,0))*INDEX(EF!$H$84:$H$99,MATCH(Emissions!$D62,EF!$D$84:$D$99,0))*INDEX(EF!$H$100:$H$115,MATCH(Emissions!$D62,EF!$D$100:$D$115,0))*INDEX(EF!$H$116:$H$131,MATCH(Emissions!$D62,EF!$D$116:$D$131,0))*kgtoGg</f>
        <v>1.4277904830000001</v>
      </c>
      <c r="AD62" s="22">
        <f>INDEX('Activity data'!AD$24:AD$39,MATCH(Emissions!$D62,'Activity data'!$D$24:$D$39,0))*INDEX(EF!$H$84:$H$99,MATCH(Emissions!$D62,EF!$D$84:$D$99,0))*INDEX(EF!$H$100:$H$115,MATCH(Emissions!$D62,EF!$D$100:$D$115,0))*INDEX(EF!$H$116:$H$131,MATCH(Emissions!$D62,EF!$D$116:$D$131,0))*kgtoGg</f>
        <v>2.1063465196390041</v>
      </c>
      <c r="AE62" s="22">
        <f>INDEX('Activity data'!AE$24:AE$39,MATCH(Emissions!$D62,'Activity data'!$D$24:$D$39,0))*INDEX(EF!$H$84:$H$99,MATCH(Emissions!$D62,EF!$D$84:$D$99,0))*INDEX(EF!$H$100:$H$115,MATCH(Emissions!$D62,EF!$D$100:$D$115,0))*INDEX(EF!$H$116:$H$131,MATCH(Emissions!$D62,EF!$D$116:$D$131,0))*kgtoGg</f>
        <v>2.1066609711212716</v>
      </c>
      <c r="AF62" s="22">
        <f>INDEX('Activity data'!AF$24:AF$39,MATCH(Emissions!$D62,'Activity data'!$D$24:$D$39,0))*INDEX(EF!$H$84:$H$99,MATCH(Emissions!$D62,EF!$D$84:$D$99,0))*INDEX(EF!$H$100:$H$115,MATCH(Emissions!$D62,EF!$D$100:$D$115,0))*INDEX(EF!$H$116:$H$131,MATCH(Emissions!$D62,EF!$D$116:$D$131,0))*kgtoGg</f>
        <v>2.1069754226035395</v>
      </c>
      <c r="AG62" s="22">
        <f>INDEX('Activity data'!AG$24:AG$39,MATCH(Emissions!$D62,'Activity data'!$D$24:$D$39,0))*INDEX(EF!$H$84:$H$99,MATCH(Emissions!$D62,EF!$D$84:$D$99,0))*INDEX(EF!$H$100:$H$115,MATCH(Emissions!$D62,EF!$D$100:$D$115,0))*INDEX(EF!$H$116:$H$131,MATCH(Emissions!$D62,EF!$D$116:$D$131,0))*kgtoGg</f>
        <v>2.1072898740858075</v>
      </c>
      <c r="AH62" s="22">
        <f>INDEX('Activity data'!AH$24:AH$39,MATCH(Emissions!$D62,'Activity data'!$D$24:$D$39,0))*INDEX(EF!$H$84:$H$99,MATCH(Emissions!$D62,EF!$D$84:$D$99,0))*INDEX(EF!$H$100:$H$115,MATCH(Emissions!$D62,EF!$D$100:$D$115,0))*INDEX(EF!$H$116:$H$131,MATCH(Emissions!$D62,EF!$D$116:$D$131,0))*kgtoGg</f>
        <v>2.1076043255680759</v>
      </c>
      <c r="AI62" s="22">
        <f>INDEX('Activity data'!AI$24:AI$39,MATCH(Emissions!$D62,'Activity data'!$D$24:$D$39,0))*INDEX(EF!$H$84:$H$99,MATCH(Emissions!$D62,EF!$D$84:$D$99,0))*INDEX(EF!$H$100:$H$115,MATCH(Emissions!$D62,EF!$D$100:$D$115,0))*INDEX(EF!$H$116:$H$131,MATCH(Emissions!$D62,EF!$D$116:$D$131,0))*kgtoGg</f>
        <v>2.1079187770503438</v>
      </c>
      <c r="AJ62" s="22">
        <f>INDEX('Activity data'!AJ$24:AJ$39,MATCH(Emissions!$D62,'Activity data'!$D$24:$D$39,0))*INDEX(EF!$H$84:$H$99,MATCH(Emissions!$D62,EF!$D$84:$D$99,0))*INDEX(EF!$H$100:$H$115,MATCH(Emissions!$D62,EF!$D$100:$D$115,0))*INDEX(EF!$H$116:$H$131,MATCH(Emissions!$D62,EF!$D$116:$D$131,0))*kgtoGg</f>
        <v>2.1082332285326113</v>
      </c>
      <c r="AK62" s="22">
        <f>INDEX('Activity data'!AK$24:AK$39,MATCH(Emissions!$D62,'Activity data'!$D$24:$D$39,0))*INDEX(EF!$H$84:$H$99,MATCH(Emissions!$D62,EF!$D$84:$D$99,0))*INDEX(EF!$H$100:$H$115,MATCH(Emissions!$D62,EF!$D$100:$D$115,0))*INDEX(EF!$H$116:$H$131,MATCH(Emissions!$D62,EF!$D$116:$D$131,0))*kgtoGg</f>
        <v>2.1085476800148797</v>
      </c>
      <c r="AL62" s="22">
        <f>INDEX('Activity data'!AL$24:AL$39,MATCH(Emissions!$D62,'Activity data'!$D$24:$D$39,0))*INDEX(EF!$H$84:$H$99,MATCH(Emissions!$D62,EF!$D$84:$D$99,0))*INDEX(EF!$H$100:$H$115,MATCH(Emissions!$D62,EF!$D$100:$D$115,0))*INDEX(EF!$H$116:$H$131,MATCH(Emissions!$D62,EF!$D$116:$D$131,0))*kgtoGg</f>
        <v>2.1088621314971481</v>
      </c>
      <c r="AM62" s="22">
        <f>INDEX('Activity data'!AM$24:AM$39,MATCH(Emissions!$D62,'Activity data'!$D$24:$D$39,0))*INDEX(EF!$H$84:$H$99,MATCH(Emissions!$D62,EF!$D$84:$D$99,0))*INDEX(EF!$H$100:$H$115,MATCH(Emissions!$D62,EF!$D$100:$D$115,0))*INDEX(EF!$H$116:$H$131,MATCH(Emissions!$D62,EF!$D$116:$D$131,0))*kgtoGg</f>
        <v>2.109176582979416</v>
      </c>
      <c r="AN62" s="22">
        <f>INDEX('Activity data'!AN$24:AN$39,MATCH(Emissions!$D62,'Activity data'!$D$24:$D$39,0))*INDEX(EF!$H$84:$H$99,MATCH(Emissions!$D62,EF!$D$84:$D$99,0))*INDEX(EF!$H$100:$H$115,MATCH(Emissions!$D62,EF!$D$100:$D$115,0))*INDEX(EF!$H$116:$H$131,MATCH(Emissions!$D62,EF!$D$116:$D$131,0))*kgtoGg</f>
        <v>2.1094910344616835</v>
      </c>
      <c r="AO62" s="22">
        <f>INDEX('Activity data'!AO$24:AO$39,MATCH(Emissions!$D62,'Activity data'!$D$24:$D$39,0))*INDEX(EF!$H$84:$H$99,MATCH(Emissions!$D62,EF!$D$84:$D$99,0))*INDEX(EF!$H$100:$H$115,MATCH(Emissions!$D62,EF!$D$100:$D$115,0))*INDEX(EF!$H$116:$H$131,MATCH(Emissions!$D62,EF!$D$116:$D$131,0))*kgtoGg</f>
        <v>2.1098054859439519</v>
      </c>
      <c r="AP62" s="22">
        <f>INDEX('Activity data'!AP$24:AP$39,MATCH(Emissions!$D62,'Activity data'!$D$24:$D$39,0))*INDEX(EF!$H$84:$H$99,MATCH(Emissions!$D62,EF!$D$84:$D$99,0))*INDEX(EF!$H$100:$H$115,MATCH(Emissions!$D62,EF!$D$100:$D$115,0))*INDEX(EF!$H$116:$H$131,MATCH(Emissions!$D62,EF!$D$116:$D$131,0))*kgtoGg</f>
        <v>2.1101199374262194</v>
      </c>
      <c r="AQ62" s="22">
        <f>INDEX('Activity data'!AQ$24:AQ$39,MATCH(Emissions!$D62,'Activity data'!$D$24:$D$39,0))*INDEX(EF!$H$84:$H$99,MATCH(Emissions!$D62,EF!$D$84:$D$99,0))*INDEX(EF!$H$100:$H$115,MATCH(Emissions!$D62,EF!$D$100:$D$115,0))*INDEX(EF!$H$116:$H$131,MATCH(Emissions!$D62,EF!$D$116:$D$131,0))*kgtoGg</f>
        <v>2.1104343889084878</v>
      </c>
      <c r="AR62" s="22">
        <f>INDEX('Activity data'!AR$24:AR$39,MATCH(Emissions!$D62,'Activity data'!$D$24:$D$39,0))*INDEX(EF!$H$84:$H$99,MATCH(Emissions!$D62,EF!$D$84:$D$99,0))*INDEX(EF!$H$100:$H$115,MATCH(Emissions!$D62,EF!$D$100:$D$115,0))*INDEX(EF!$H$116:$H$131,MATCH(Emissions!$D62,EF!$D$116:$D$131,0))*kgtoGg</f>
        <v>2.1107488403907562</v>
      </c>
      <c r="AS62" s="22">
        <f>INDEX('Activity data'!AS$24:AS$39,MATCH(Emissions!$D62,'Activity data'!$D$24:$D$39,0))*INDEX(EF!$H$84:$H$99,MATCH(Emissions!$D62,EF!$D$84:$D$99,0))*INDEX(EF!$H$100:$H$115,MATCH(Emissions!$D62,EF!$D$100:$D$115,0))*INDEX(EF!$H$116:$H$131,MATCH(Emissions!$D62,EF!$D$116:$D$131,0))*kgtoGg</f>
        <v>2.1110632918730237</v>
      </c>
      <c r="AT62" s="22">
        <f>INDEX('Activity data'!AT$24:AT$39,MATCH(Emissions!$D62,'Activity data'!$D$24:$D$39,0))*INDEX(EF!$H$84:$H$99,MATCH(Emissions!$D62,EF!$D$84:$D$99,0))*INDEX(EF!$H$100:$H$115,MATCH(Emissions!$D62,EF!$D$100:$D$115,0))*INDEX(EF!$H$116:$H$131,MATCH(Emissions!$D62,EF!$D$116:$D$131,0))*kgtoGg</f>
        <v>2.111377743355292</v>
      </c>
      <c r="AU62" s="22">
        <f>INDEX('Activity data'!AU$24:AU$39,MATCH(Emissions!$D62,'Activity data'!$D$24:$D$39,0))*INDEX(EF!$H$84:$H$99,MATCH(Emissions!$D62,EF!$D$84:$D$99,0))*INDEX(EF!$H$100:$H$115,MATCH(Emissions!$D62,EF!$D$100:$D$115,0))*INDEX(EF!$H$116:$H$131,MATCH(Emissions!$D62,EF!$D$116:$D$131,0))*kgtoGg</f>
        <v>2.1116921948375604</v>
      </c>
      <c r="AV62" s="22">
        <f>INDEX('Activity data'!AV$24:AV$39,MATCH(Emissions!$D62,'Activity data'!$D$24:$D$39,0))*INDEX(EF!$H$84:$H$99,MATCH(Emissions!$D62,EF!$D$84:$D$99,0))*INDEX(EF!$H$100:$H$115,MATCH(Emissions!$D62,EF!$D$100:$D$115,0))*INDEX(EF!$H$116:$H$131,MATCH(Emissions!$D62,EF!$D$116:$D$131,0))*kgtoGg</f>
        <v>2.1120066463198279</v>
      </c>
      <c r="AW62" s="22">
        <f>INDEX('Activity data'!AW$24:AW$39,MATCH(Emissions!$D62,'Activity data'!$D$24:$D$39,0))*INDEX(EF!$H$84:$H$99,MATCH(Emissions!$D62,EF!$D$84:$D$99,0))*INDEX(EF!$H$100:$H$115,MATCH(Emissions!$D62,EF!$D$100:$D$115,0))*INDEX(EF!$H$116:$H$131,MATCH(Emissions!$D62,EF!$D$116:$D$131,0))*kgtoGg</f>
        <v>2.1123210978020959</v>
      </c>
      <c r="AX62" s="22">
        <f>INDEX('Activity data'!AX$24:AX$39,MATCH(Emissions!$D62,'Activity data'!$D$24:$D$39,0))*INDEX(EF!$H$84:$H$99,MATCH(Emissions!$D62,EF!$D$84:$D$99,0))*INDEX(EF!$H$100:$H$115,MATCH(Emissions!$D62,EF!$D$100:$D$115,0))*INDEX(EF!$H$116:$H$131,MATCH(Emissions!$D62,EF!$D$116:$D$131,0))*kgtoGg</f>
        <v>2.1126355492843643</v>
      </c>
      <c r="AY62" s="22">
        <f>INDEX('Activity data'!AY$24:AY$39,MATCH(Emissions!$D62,'Activity data'!$D$24:$D$39,0))*INDEX(EF!$H$84:$H$99,MATCH(Emissions!$D62,EF!$D$84:$D$99,0))*INDEX(EF!$H$100:$H$115,MATCH(Emissions!$D62,EF!$D$100:$D$115,0))*INDEX(EF!$H$116:$H$131,MATCH(Emissions!$D62,EF!$D$116:$D$131,0))*kgtoGg</f>
        <v>2.1129500007666326</v>
      </c>
      <c r="AZ62" s="22">
        <f>INDEX('Activity data'!AZ$24:AZ$39,MATCH(Emissions!$D62,'Activity data'!$D$24:$D$39,0))*INDEX(EF!$H$84:$H$99,MATCH(Emissions!$D62,EF!$D$84:$D$99,0))*INDEX(EF!$H$100:$H$115,MATCH(Emissions!$D62,EF!$D$100:$D$115,0))*INDEX(EF!$H$116:$H$131,MATCH(Emissions!$D62,EF!$D$116:$D$131,0))*kgtoGg</f>
        <v>2.1132644522489006</v>
      </c>
      <c r="BA62" s="22">
        <f>INDEX('Activity data'!BA$24:BA$39,MATCH(Emissions!$D62,'Activity data'!$D$24:$D$39,0))*INDEX(EF!$H$84:$H$99,MATCH(Emissions!$D62,EF!$D$84:$D$99,0))*INDEX(EF!$H$100:$H$115,MATCH(Emissions!$D62,EF!$D$100:$D$115,0))*INDEX(EF!$H$116:$H$131,MATCH(Emissions!$D62,EF!$D$116:$D$131,0))*kgtoGg</f>
        <v>2.1135789037311681</v>
      </c>
      <c r="BB62" s="22">
        <f>INDEX('Activity data'!BB$24:BB$39,MATCH(Emissions!$D62,'Activity data'!$D$24:$D$39,0))*INDEX(EF!$H$84:$H$99,MATCH(Emissions!$D62,EF!$D$84:$D$99,0))*INDEX(EF!$H$100:$H$115,MATCH(Emissions!$D62,EF!$D$100:$D$115,0))*INDEX(EF!$H$116:$H$131,MATCH(Emissions!$D62,EF!$D$116:$D$131,0))*kgtoGg</f>
        <v>2.113893355213436</v>
      </c>
      <c r="BC62" s="22">
        <f>INDEX('Activity data'!BC$24:BC$39,MATCH(Emissions!$D62,'Activity data'!$D$24:$D$39,0))*INDEX(EF!$H$84:$H$99,MATCH(Emissions!$D62,EF!$D$84:$D$99,0))*INDEX(EF!$H$100:$H$115,MATCH(Emissions!$D62,EF!$D$100:$D$115,0))*INDEX(EF!$H$116:$H$131,MATCH(Emissions!$D62,EF!$D$116:$D$131,0))*kgtoGg</f>
        <v>2.1142078066957044</v>
      </c>
      <c r="BD62" s="22">
        <f>INDEX('Activity data'!BD$24:BD$39,MATCH(Emissions!$D62,'Activity data'!$D$24:$D$39,0))*INDEX(EF!$H$84:$H$99,MATCH(Emissions!$D62,EF!$D$84:$D$99,0))*INDEX(EF!$H$100:$H$115,MATCH(Emissions!$D62,EF!$D$100:$D$115,0))*INDEX(EF!$H$116:$H$131,MATCH(Emissions!$D62,EF!$D$116:$D$131,0))*kgtoGg</f>
        <v>2.1145222581779723</v>
      </c>
      <c r="BE62" s="22">
        <f>INDEX('Activity data'!BE$24:BE$39,MATCH(Emissions!$D62,'Activity data'!$D$24:$D$39,0))*INDEX(EF!$H$84:$H$99,MATCH(Emissions!$D62,EF!$D$84:$D$99,0))*INDEX(EF!$H$100:$H$115,MATCH(Emissions!$D62,EF!$D$100:$D$115,0))*INDEX(EF!$H$116:$H$131,MATCH(Emissions!$D62,EF!$D$116:$D$131,0))*kgtoGg</f>
        <v>2.1148367096602407</v>
      </c>
      <c r="BF62" s="22">
        <f>INDEX('Activity data'!BF$24:BF$39,MATCH(Emissions!$D62,'Activity data'!$D$24:$D$39,0))*INDEX(EF!$H$84:$H$99,MATCH(Emissions!$D62,EF!$D$84:$D$99,0))*INDEX(EF!$H$100:$H$115,MATCH(Emissions!$D62,EF!$D$100:$D$115,0))*INDEX(EF!$H$116:$H$131,MATCH(Emissions!$D62,EF!$D$116:$D$131,0))*kgtoGg</f>
        <v>2.1151511611425082</v>
      </c>
      <c r="BG62" s="22">
        <f>INDEX('Activity data'!BG$24:BG$39,MATCH(Emissions!$D62,'Activity data'!$D$24:$D$39,0))*INDEX(EF!$H$84:$H$99,MATCH(Emissions!$D62,EF!$D$84:$D$99,0))*INDEX(EF!$H$100:$H$115,MATCH(Emissions!$D62,EF!$D$100:$D$115,0))*INDEX(EF!$H$116:$H$131,MATCH(Emissions!$D62,EF!$D$116:$D$131,0))*kgtoGg</f>
        <v>2.1154656126247766</v>
      </c>
      <c r="BH62" s="22">
        <f>INDEX('Activity data'!BH$24:BH$39,MATCH(Emissions!$D62,'Activity data'!$D$24:$D$39,0))*INDEX(EF!$H$84:$H$99,MATCH(Emissions!$D62,EF!$D$84:$D$99,0))*INDEX(EF!$H$100:$H$115,MATCH(Emissions!$D62,EF!$D$100:$D$115,0))*INDEX(EF!$H$116:$H$131,MATCH(Emissions!$D62,EF!$D$116:$D$131,0))*kgtoGg</f>
        <v>2.1157800641070446</v>
      </c>
      <c r="BI62" s="22">
        <f>INDEX('Activity data'!BI$24:BI$39,MATCH(Emissions!$D62,'Activity data'!$D$24:$D$39,0))*INDEX(EF!$H$84:$H$99,MATCH(Emissions!$D62,EF!$D$84:$D$99,0))*INDEX(EF!$H$100:$H$115,MATCH(Emissions!$D62,EF!$D$100:$D$115,0))*INDEX(EF!$H$116:$H$131,MATCH(Emissions!$D62,EF!$D$116:$D$131,0))*kgtoGg</f>
        <v>2.1160945155893125</v>
      </c>
      <c r="BJ62" s="22">
        <f>INDEX('Activity data'!BJ$24:BJ$39,MATCH(Emissions!$D62,'Activity data'!$D$24:$D$39,0))*INDEX(EF!$H$84:$H$99,MATCH(Emissions!$D62,EF!$D$84:$D$99,0))*INDEX(EF!$H$100:$H$115,MATCH(Emissions!$D62,EF!$D$100:$D$115,0))*INDEX(EF!$H$116:$H$131,MATCH(Emissions!$D62,EF!$D$116:$D$131,0))*kgtoGg</f>
        <v>2.11640896707158</v>
      </c>
      <c r="BK62" s="22">
        <f>INDEX('Activity data'!BK$24:BK$39,MATCH(Emissions!$D62,'Activity data'!$D$24:$D$39,0))*INDEX(EF!$H$84:$H$99,MATCH(Emissions!$D62,EF!$D$84:$D$99,0))*INDEX(EF!$H$100:$H$115,MATCH(Emissions!$D62,EF!$D$100:$D$115,0))*INDEX(EF!$H$116:$H$131,MATCH(Emissions!$D62,EF!$D$116:$D$131,0))*kgtoGg</f>
        <v>2.1167234185538484</v>
      </c>
      <c r="BL62" s="22">
        <f>INDEX('Activity data'!BL$24:BL$39,MATCH(Emissions!$D62,'Activity data'!$D$24:$D$39,0))*INDEX(EF!$H$84:$H$99,MATCH(Emissions!$D62,EF!$D$84:$D$99,0))*INDEX(EF!$H$100:$H$115,MATCH(Emissions!$D62,EF!$D$100:$D$115,0))*INDEX(EF!$H$116:$H$131,MATCH(Emissions!$D62,EF!$D$116:$D$131,0))*kgtoGg</f>
        <v>2.1170378700361168</v>
      </c>
      <c r="BM62" s="22">
        <f>INDEX('Activity data'!BM$24:BM$39,MATCH(Emissions!$D62,'Activity data'!$D$24:$D$39,0))*INDEX(EF!$H$84:$H$99,MATCH(Emissions!$D62,EF!$D$84:$D$99,0))*INDEX(EF!$H$100:$H$115,MATCH(Emissions!$D62,EF!$D$100:$D$115,0))*INDEX(EF!$H$116:$H$131,MATCH(Emissions!$D62,EF!$D$116:$D$131,0))*kgtoGg</f>
        <v>2.1173523215183847</v>
      </c>
      <c r="BN62" s="22">
        <f>INDEX('Activity data'!BN$24:BN$39,MATCH(Emissions!$D62,'Activity data'!$D$24:$D$39,0))*INDEX(EF!$H$84:$H$99,MATCH(Emissions!$D62,EF!$D$84:$D$99,0))*INDEX(EF!$H$100:$H$115,MATCH(Emissions!$D62,EF!$D$100:$D$115,0))*INDEX(EF!$H$116:$H$131,MATCH(Emissions!$D62,EF!$D$116:$D$131,0))*kgtoGg</f>
        <v>2.1176667730006526</v>
      </c>
      <c r="BO62" s="22">
        <f>INDEX('Activity data'!BO$24:BO$39,MATCH(Emissions!$D62,'Activity data'!$D$24:$D$39,0))*INDEX(EF!$H$84:$H$99,MATCH(Emissions!$D62,EF!$D$84:$D$99,0))*INDEX(EF!$H$100:$H$115,MATCH(Emissions!$D62,EF!$D$100:$D$115,0))*INDEX(EF!$H$116:$H$131,MATCH(Emissions!$D62,EF!$D$116:$D$131,0))*kgtoGg</f>
        <v>2.117981224482921</v>
      </c>
      <c r="BP62" s="22">
        <f>INDEX('Activity data'!BP$24:BP$39,MATCH(Emissions!$D62,'Activity data'!$D$24:$D$39,0))*INDEX(EF!$H$84:$H$99,MATCH(Emissions!$D62,EF!$D$84:$D$99,0))*INDEX(EF!$H$100:$H$115,MATCH(Emissions!$D62,EF!$D$100:$D$115,0))*INDEX(EF!$H$116:$H$131,MATCH(Emissions!$D62,EF!$D$116:$D$131,0))*kgtoGg</f>
        <v>2.1182956759651885</v>
      </c>
    </row>
    <row r="63" spans="1:68" x14ac:dyDescent="0.3">
      <c r="A63" t="str">
        <f t="shared" si="19"/>
        <v>3C Aggregated and non-CO2 emissions on land</v>
      </c>
      <c r="B63" t="str">
        <f t="shared" si="20"/>
        <v>3C1 Biomass burning (CH4)</v>
      </c>
      <c r="C63" t="str">
        <f>'IPCC Categories'!C61</f>
        <v>3C1c Biomass burning in Grasslands</v>
      </c>
      <c r="D63" t="str">
        <f>EF!D93</f>
        <v>Grasslands</v>
      </c>
      <c r="E63" t="s">
        <v>650</v>
      </c>
      <c r="F63" t="str">
        <f t="shared" si="21"/>
        <v>CH4</v>
      </c>
      <c r="G63" t="str">
        <f t="shared" si="22"/>
        <v>Gg CH4</v>
      </c>
      <c r="H63" s="22">
        <f>INDEX('Activity data'!H$24:H$39,MATCH(Emissions!$D63,'Activity data'!$D$24:$D$39,0))*INDEX(EF!$H$84:$H$99,MATCH(Emissions!$D63,EF!$D$84:$D$99,0))*INDEX(EF!$H$100:$H$115,MATCH(Emissions!$D63,EF!$D$100:$D$115,0))*INDEX(EF!$H$116:$H$131,MATCH(Emissions!$D63,EF!$D$116:$D$131,0))*kgtoGg</f>
        <v>22.517316723914707</v>
      </c>
      <c r="I63" s="22">
        <f>INDEX('Activity data'!I$24:I$39,MATCH(Emissions!$D63,'Activity data'!$D$24:$D$39,0))*INDEX(EF!$H$84:$H$99,MATCH(Emissions!$D63,EF!$D$84:$D$99,0))*INDEX(EF!$H$100:$H$115,MATCH(Emissions!$D63,EF!$D$100:$D$115,0))*INDEX(EF!$H$116:$H$131,MATCH(Emissions!$D63,EF!$D$116:$D$131,0))*kgtoGg</f>
        <v>22.517316723914707</v>
      </c>
      <c r="J63" s="22">
        <f>INDEX('Activity data'!J$24:J$39,MATCH(Emissions!$D63,'Activity data'!$D$24:$D$39,0))*INDEX(EF!$H$84:$H$99,MATCH(Emissions!$D63,EF!$D$84:$D$99,0))*INDEX(EF!$H$100:$H$115,MATCH(Emissions!$D63,EF!$D$100:$D$115,0))*INDEX(EF!$H$116:$H$131,MATCH(Emissions!$D63,EF!$D$116:$D$131,0))*kgtoGg</f>
        <v>22.517316723914707</v>
      </c>
      <c r="K63" s="22">
        <f>INDEX('Activity data'!K$24:K$39,MATCH(Emissions!$D63,'Activity data'!$D$24:$D$39,0))*INDEX(EF!$H$84:$H$99,MATCH(Emissions!$D63,EF!$D$84:$D$99,0))*INDEX(EF!$H$100:$H$115,MATCH(Emissions!$D63,EF!$D$100:$D$115,0))*INDEX(EF!$H$116:$H$131,MATCH(Emissions!$D63,EF!$D$116:$D$131,0))*kgtoGg</f>
        <v>22.517316723914707</v>
      </c>
      <c r="L63" s="22">
        <f>INDEX('Activity data'!L$24:L$39,MATCH(Emissions!$D63,'Activity data'!$D$24:$D$39,0))*INDEX(EF!$H$84:$H$99,MATCH(Emissions!$D63,EF!$D$84:$D$99,0))*INDEX(EF!$H$100:$H$115,MATCH(Emissions!$D63,EF!$D$100:$D$115,0))*INDEX(EF!$H$116:$H$131,MATCH(Emissions!$D63,EF!$D$116:$D$131,0))*kgtoGg</f>
        <v>22.517316723914707</v>
      </c>
      <c r="M63" s="22">
        <f>INDEX('Activity data'!M$24:M$39,MATCH(Emissions!$D63,'Activity data'!$D$24:$D$39,0))*INDEX(EF!$H$84:$H$99,MATCH(Emissions!$D63,EF!$D$84:$D$99,0))*INDEX(EF!$H$100:$H$115,MATCH(Emissions!$D63,EF!$D$100:$D$115,0))*INDEX(EF!$H$116:$H$131,MATCH(Emissions!$D63,EF!$D$116:$D$131,0))*kgtoGg</f>
        <v>22.517316723914707</v>
      </c>
      <c r="N63" s="22">
        <f>INDEX('Activity data'!N$24:N$39,MATCH(Emissions!$D63,'Activity data'!$D$24:$D$39,0))*INDEX(EF!$H$84:$H$99,MATCH(Emissions!$D63,EF!$D$84:$D$99,0))*INDEX(EF!$H$100:$H$115,MATCH(Emissions!$D63,EF!$D$100:$D$115,0))*INDEX(EF!$H$116:$H$131,MATCH(Emissions!$D63,EF!$D$116:$D$131,0))*kgtoGg</f>
        <v>22.517316723914707</v>
      </c>
      <c r="O63" s="22">
        <f>INDEX('Activity data'!O$24:O$39,MATCH(Emissions!$D63,'Activity data'!$D$24:$D$39,0))*INDEX(EF!$H$84:$H$99,MATCH(Emissions!$D63,EF!$D$84:$D$99,0))*INDEX(EF!$H$100:$H$115,MATCH(Emissions!$D63,EF!$D$100:$D$115,0))*INDEX(EF!$H$116:$H$131,MATCH(Emissions!$D63,EF!$D$116:$D$131,0))*kgtoGg</f>
        <v>22.517316723914707</v>
      </c>
      <c r="P63" s="22">
        <f>INDEX('Activity data'!P$24:P$39,MATCH(Emissions!$D63,'Activity data'!$D$24:$D$39,0))*INDEX(EF!$H$84:$H$99,MATCH(Emissions!$D63,EF!$D$84:$D$99,0))*INDEX(EF!$H$100:$H$115,MATCH(Emissions!$D63,EF!$D$100:$D$115,0))*INDEX(EF!$H$116:$H$131,MATCH(Emissions!$D63,EF!$D$116:$D$131,0))*kgtoGg</f>
        <v>22.517316723914707</v>
      </c>
      <c r="Q63" s="22">
        <f>INDEX('Activity data'!Q$24:Q$39,MATCH(Emissions!$D63,'Activity data'!$D$24:$D$39,0))*INDEX(EF!$H$84:$H$99,MATCH(Emissions!$D63,EF!$D$84:$D$99,0))*INDEX(EF!$H$100:$H$115,MATCH(Emissions!$D63,EF!$D$100:$D$115,0))*INDEX(EF!$H$116:$H$131,MATCH(Emissions!$D63,EF!$D$116:$D$131,0))*kgtoGg</f>
        <v>22.517316723914707</v>
      </c>
      <c r="R63" s="22">
        <f>INDEX('Activity data'!R$24:R$39,MATCH(Emissions!$D63,'Activity data'!$D$24:$D$39,0))*INDEX(EF!$H$84:$H$99,MATCH(Emissions!$D63,EF!$D$84:$D$99,0))*INDEX(EF!$H$100:$H$115,MATCH(Emissions!$D63,EF!$D$100:$D$115,0))*INDEX(EF!$H$116:$H$131,MATCH(Emissions!$D63,EF!$D$116:$D$131,0))*kgtoGg</f>
        <v>22.367920192777621</v>
      </c>
      <c r="S63" s="22">
        <f>INDEX('Activity data'!S$24:S$39,MATCH(Emissions!$D63,'Activity data'!$D$24:$D$39,0))*INDEX(EF!$H$84:$H$99,MATCH(Emissions!$D63,EF!$D$84:$D$99,0))*INDEX(EF!$H$100:$H$115,MATCH(Emissions!$D63,EF!$D$100:$D$115,0))*INDEX(EF!$H$116:$H$131,MATCH(Emissions!$D63,EF!$D$116:$D$131,0))*kgtoGg</f>
        <v>25.580620137780603</v>
      </c>
      <c r="T63" s="22">
        <f>INDEX('Activity data'!T$24:T$39,MATCH(Emissions!$D63,'Activity data'!$D$24:$D$39,0))*INDEX(EF!$H$84:$H$99,MATCH(Emissions!$D63,EF!$D$84:$D$99,0))*INDEX(EF!$H$100:$H$115,MATCH(Emissions!$D63,EF!$D$100:$D$115,0))*INDEX(EF!$H$116:$H$131,MATCH(Emissions!$D63,EF!$D$116:$D$131,0))*kgtoGg</f>
        <v>26.023631115635403</v>
      </c>
      <c r="U63" s="22">
        <f>INDEX('Activity data'!U$24:U$39,MATCH(Emissions!$D63,'Activity data'!$D$24:$D$39,0))*INDEX(EF!$H$84:$H$99,MATCH(Emissions!$D63,EF!$D$84:$D$99,0))*INDEX(EF!$H$100:$H$115,MATCH(Emissions!$D63,EF!$D$100:$D$115,0))*INDEX(EF!$H$116:$H$131,MATCH(Emissions!$D63,EF!$D$116:$D$131,0))*kgtoGg</f>
        <v>20.888315748075943</v>
      </c>
      <c r="V63" s="22">
        <f>INDEX('Activity data'!V$24:V$39,MATCH(Emissions!$D63,'Activity data'!$D$24:$D$39,0))*INDEX(EF!$H$84:$H$99,MATCH(Emissions!$D63,EF!$D$84:$D$99,0))*INDEX(EF!$H$100:$H$115,MATCH(Emissions!$D63,EF!$D$100:$D$115,0))*INDEX(EF!$H$116:$H$131,MATCH(Emissions!$D63,EF!$D$116:$D$131,0))*kgtoGg</f>
        <v>17.726096425303961</v>
      </c>
      <c r="W63" s="22">
        <f>INDEX('Activity data'!W$24:W$39,MATCH(Emissions!$D63,'Activity data'!$D$24:$D$39,0))*INDEX(EF!$H$84:$H$99,MATCH(Emissions!$D63,EF!$D$84:$D$99,0))*INDEX(EF!$H$100:$H$115,MATCH(Emissions!$D63,EF!$D$100:$D$115,0))*INDEX(EF!$H$116:$H$131,MATCH(Emissions!$D63,EF!$D$116:$D$131,0))*kgtoGg</f>
        <v>27.538484960343208</v>
      </c>
      <c r="X63" s="22">
        <f>INDEX('Activity data'!X$24:X$39,MATCH(Emissions!$D63,'Activity data'!$D$24:$D$39,0))*INDEX(EF!$H$84:$H$99,MATCH(Emissions!$D63,EF!$D$84:$D$99,0))*INDEX(EF!$H$100:$H$115,MATCH(Emissions!$D63,EF!$D$100:$D$115,0))*INDEX(EF!$H$116:$H$131,MATCH(Emissions!$D63,EF!$D$116:$D$131,0))*kgtoGg</f>
        <v>24.258332459772951</v>
      </c>
      <c r="Y63" s="22">
        <f>INDEX('Activity data'!Y$24:Y$39,MATCH(Emissions!$D63,'Activity data'!$D$24:$D$39,0))*INDEX(EF!$H$84:$H$99,MATCH(Emissions!$D63,EF!$D$84:$D$99,0))*INDEX(EF!$H$100:$H$115,MATCH(Emissions!$D63,EF!$D$100:$D$115,0))*INDEX(EF!$H$116:$H$131,MATCH(Emissions!$D63,EF!$D$116:$D$131,0))*kgtoGg</f>
        <v>22.854448948417762</v>
      </c>
      <c r="Z63" s="22">
        <f>INDEX('Activity data'!Z$24:Z$39,MATCH(Emissions!$D63,'Activity data'!$D$24:$D$39,0))*INDEX(EF!$H$84:$H$99,MATCH(Emissions!$D63,EF!$D$84:$D$99,0))*INDEX(EF!$H$100:$H$115,MATCH(Emissions!$D63,EF!$D$100:$D$115,0))*INDEX(EF!$H$116:$H$131,MATCH(Emissions!$D63,EF!$D$116:$D$131,0))*kgtoGg</f>
        <v>21.238198681470106</v>
      </c>
      <c r="AA63" s="22">
        <f>INDEX('Activity data'!AA$24:AA$39,MATCH(Emissions!$D63,'Activity data'!$D$24:$D$39,0))*INDEX(EF!$H$84:$H$99,MATCH(Emissions!$D63,EF!$D$84:$D$99,0))*INDEX(EF!$H$100:$H$115,MATCH(Emissions!$D63,EF!$D$100:$D$115,0))*INDEX(EF!$H$116:$H$131,MATCH(Emissions!$D63,EF!$D$116:$D$131,0))*kgtoGg</f>
        <v>21.969079759374946</v>
      </c>
      <c r="AB63" s="22">
        <f>INDEX('Activity data'!AB$24:AB$39,MATCH(Emissions!$D63,'Activity data'!$D$24:$D$39,0))*INDEX(EF!$H$84:$H$99,MATCH(Emissions!$D63,EF!$D$84:$D$99,0))*INDEX(EF!$H$100:$H$115,MATCH(Emissions!$D63,EF!$D$100:$D$115,0))*INDEX(EF!$H$116:$H$131,MATCH(Emissions!$D63,EF!$D$116:$D$131,0))*kgtoGg</f>
        <v>18.942062311799994</v>
      </c>
      <c r="AC63" s="22">
        <f>INDEX('Activity data'!AC$24:AC$39,MATCH(Emissions!$D63,'Activity data'!$D$24:$D$39,0))*INDEX(EF!$H$84:$H$99,MATCH(Emissions!$D63,EF!$D$84:$D$99,0))*INDEX(EF!$H$100:$H$115,MATCH(Emissions!$D63,EF!$D$100:$D$115,0))*INDEX(EF!$H$116:$H$131,MATCH(Emissions!$D63,EF!$D$116:$D$131,0))*kgtoGg</f>
        <v>19.242646390799994</v>
      </c>
      <c r="AD63" s="22">
        <f>INDEX('Activity data'!AD$24:AD$39,MATCH(Emissions!$D63,'Activity data'!$D$24:$D$39,0))*INDEX(EF!$H$84:$H$99,MATCH(Emissions!$D63,EF!$D$84:$D$99,0))*INDEX(EF!$H$100:$H$115,MATCH(Emissions!$D63,EF!$D$100:$D$115,0))*INDEX(EF!$H$116:$H$131,MATCH(Emissions!$D63,EF!$D$116:$D$131,0))*kgtoGg</f>
        <v>19.140814819727147</v>
      </c>
      <c r="AE63" s="22">
        <f>INDEX('Activity data'!AE$24:AE$39,MATCH(Emissions!$D63,'Activity data'!$D$24:$D$39,0))*INDEX(EF!$H$84:$H$99,MATCH(Emissions!$D63,EF!$D$84:$D$99,0))*INDEX(EF!$H$100:$H$115,MATCH(Emissions!$D63,EF!$D$100:$D$115,0))*INDEX(EF!$H$116:$H$131,MATCH(Emissions!$D63,EF!$D$116:$D$131,0))*kgtoGg</f>
        <v>19.263613253106172</v>
      </c>
      <c r="AF63" s="22">
        <f>INDEX('Activity data'!AF$24:AF$39,MATCH(Emissions!$D63,'Activity data'!$D$24:$D$39,0))*INDEX(EF!$H$84:$H$99,MATCH(Emissions!$D63,EF!$D$84:$D$99,0))*INDEX(EF!$H$100:$H$115,MATCH(Emissions!$D63,EF!$D$100:$D$115,0))*INDEX(EF!$H$116:$H$131,MATCH(Emissions!$D63,EF!$D$116:$D$131,0))*kgtoGg</f>
        <v>19.386411686485193</v>
      </c>
      <c r="AG63" s="22">
        <f>INDEX('Activity data'!AG$24:AG$39,MATCH(Emissions!$D63,'Activity data'!$D$24:$D$39,0))*INDEX(EF!$H$84:$H$99,MATCH(Emissions!$D63,EF!$D$84:$D$99,0))*INDEX(EF!$H$100:$H$115,MATCH(Emissions!$D63,EF!$D$100:$D$115,0))*INDEX(EF!$H$116:$H$131,MATCH(Emissions!$D63,EF!$D$116:$D$131,0))*kgtoGg</f>
        <v>19.509210119864214</v>
      </c>
      <c r="AH63" s="22">
        <f>INDEX('Activity data'!AH$24:AH$39,MATCH(Emissions!$D63,'Activity data'!$D$24:$D$39,0))*INDEX(EF!$H$84:$H$99,MATCH(Emissions!$D63,EF!$D$84:$D$99,0))*INDEX(EF!$H$100:$H$115,MATCH(Emissions!$D63,EF!$D$100:$D$115,0))*INDEX(EF!$H$116:$H$131,MATCH(Emissions!$D63,EF!$D$116:$D$131,0))*kgtoGg</f>
        <v>19.632008553243242</v>
      </c>
      <c r="AI63" s="22">
        <f>INDEX('Activity data'!AI$24:AI$39,MATCH(Emissions!$D63,'Activity data'!$D$24:$D$39,0))*INDEX(EF!$H$84:$H$99,MATCH(Emissions!$D63,EF!$D$84:$D$99,0))*INDEX(EF!$H$100:$H$115,MATCH(Emissions!$D63,EF!$D$100:$D$115,0))*INDEX(EF!$H$116:$H$131,MATCH(Emissions!$D63,EF!$D$116:$D$131,0))*kgtoGg</f>
        <v>19.754806986622263</v>
      </c>
      <c r="AJ63" s="22">
        <f>INDEX('Activity data'!AJ$24:AJ$39,MATCH(Emissions!$D63,'Activity data'!$D$24:$D$39,0))*INDEX(EF!$H$84:$H$99,MATCH(Emissions!$D63,EF!$D$84:$D$99,0))*INDEX(EF!$H$100:$H$115,MATCH(Emissions!$D63,EF!$D$100:$D$115,0))*INDEX(EF!$H$116:$H$131,MATCH(Emissions!$D63,EF!$D$116:$D$131,0))*kgtoGg</f>
        <v>19.877605420001284</v>
      </c>
      <c r="AK63" s="22">
        <f>INDEX('Activity data'!AK$24:AK$39,MATCH(Emissions!$D63,'Activity data'!$D$24:$D$39,0))*INDEX(EF!$H$84:$H$99,MATCH(Emissions!$D63,EF!$D$84:$D$99,0))*INDEX(EF!$H$100:$H$115,MATCH(Emissions!$D63,EF!$D$100:$D$115,0))*INDEX(EF!$H$116:$H$131,MATCH(Emissions!$D63,EF!$D$116:$D$131,0))*kgtoGg</f>
        <v>20.083827984907678</v>
      </c>
      <c r="AL63" s="22">
        <f>INDEX('Activity data'!AL$24:AL$39,MATCH(Emissions!$D63,'Activity data'!$D$24:$D$39,0))*INDEX(EF!$H$84:$H$99,MATCH(Emissions!$D63,EF!$D$84:$D$99,0))*INDEX(EF!$H$100:$H$115,MATCH(Emissions!$D63,EF!$D$100:$D$115,0))*INDEX(EF!$H$116:$H$131,MATCH(Emissions!$D63,EF!$D$116:$D$131,0))*kgtoGg</f>
        <v>20.290050549814062</v>
      </c>
      <c r="AM63" s="22">
        <f>INDEX('Activity data'!AM$24:AM$39,MATCH(Emissions!$D63,'Activity data'!$D$24:$D$39,0))*INDEX(EF!$H$84:$H$99,MATCH(Emissions!$D63,EF!$D$84:$D$99,0))*INDEX(EF!$H$100:$H$115,MATCH(Emissions!$D63,EF!$D$100:$D$115,0))*INDEX(EF!$H$116:$H$131,MATCH(Emissions!$D63,EF!$D$116:$D$131,0))*kgtoGg</f>
        <v>20.496273114720456</v>
      </c>
      <c r="AN63" s="22">
        <f>INDEX('Activity data'!AN$24:AN$39,MATCH(Emissions!$D63,'Activity data'!$D$24:$D$39,0))*INDEX(EF!$H$84:$H$99,MATCH(Emissions!$D63,EF!$D$84:$D$99,0))*INDEX(EF!$H$100:$H$115,MATCH(Emissions!$D63,EF!$D$100:$D$115,0))*INDEX(EF!$H$116:$H$131,MATCH(Emissions!$D63,EF!$D$116:$D$131,0))*kgtoGg</f>
        <v>20.702495679626839</v>
      </c>
      <c r="AO63" s="22">
        <f>INDEX('Activity data'!AO$24:AO$39,MATCH(Emissions!$D63,'Activity data'!$D$24:$D$39,0))*INDEX(EF!$H$84:$H$99,MATCH(Emissions!$D63,EF!$D$84:$D$99,0))*INDEX(EF!$H$100:$H$115,MATCH(Emissions!$D63,EF!$D$100:$D$115,0))*INDEX(EF!$H$116:$H$131,MATCH(Emissions!$D63,EF!$D$116:$D$131,0))*kgtoGg</f>
        <v>20.908718244533233</v>
      </c>
      <c r="AP63" s="22">
        <f>INDEX('Activity data'!AP$24:AP$39,MATCH(Emissions!$D63,'Activity data'!$D$24:$D$39,0))*INDEX(EF!$H$84:$H$99,MATCH(Emissions!$D63,EF!$D$84:$D$99,0))*INDEX(EF!$H$100:$H$115,MATCH(Emissions!$D63,EF!$D$100:$D$115,0))*INDEX(EF!$H$116:$H$131,MATCH(Emissions!$D63,EF!$D$116:$D$131,0))*kgtoGg</f>
        <v>21.114940809439616</v>
      </c>
      <c r="AQ63" s="22">
        <f>INDEX('Activity data'!AQ$24:AQ$39,MATCH(Emissions!$D63,'Activity data'!$D$24:$D$39,0))*INDEX(EF!$H$84:$H$99,MATCH(Emissions!$D63,EF!$D$84:$D$99,0))*INDEX(EF!$H$100:$H$115,MATCH(Emissions!$D63,EF!$D$100:$D$115,0))*INDEX(EF!$H$116:$H$131,MATCH(Emissions!$D63,EF!$D$116:$D$131,0))*kgtoGg</f>
        <v>21.32116337434601</v>
      </c>
      <c r="AR63" s="22">
        <f>INDEX('Activity data'!AR$24:AR$39,MATCH(Emissions!$D63,'Activity data'!$D$24:$D$39,0))*INDEX(EF!$H$84:$H$99,MATCH(Emissions!$D63,EF!$D$84:$D$99,0))*INDEX(EF!$H$100:$H$115,MATCH(Emissions!$D63,EF!$D$100:$D$115,0))*INDEX(EF!$H$116:$H$131,MATCH(Emissions!$D63,EF!$D$116:$D$131,0))*kgtoGg</f>
        <v>21.527385939252397</v>
      </c>
      <c r="AS63" s="22">
        <f>INDEX('Activity data'!AS$24:AS$39,MATCH(Emissions!$D63,'Activity data'!$D$24:$D$39,0))*INDEX(EF!$H$84:$H$99,MATCH(Emissions!$D63,EF!$D$84:$D$99,0))*INDEX(EF!$H$100:$H$115,MATCH(Emissions!$D63,EF!$D$100:$D$115,0))*INDEX(EF!$H$116:$H$131,MATCH(Emissions!$D63,EF!$D$116:$D$131,0))*kgtoGg</f>
        <v>21.733608504158784</v>
      </c>
      <c r="AT63" s="22">
        <f>INDEX('Activity data'!AT$24:AT$39,MATCH(Emissions!$D63,'Activity data'!$D$24:$D$39,0))*INDEX(EF!$H$84:$H$99,MATCH(Emissions!$D63,EF!$D$84:$D$99,0))*INDEX(EF!$H$100:$H$115,MATCH(Emissions!$D63,EF!$D$100:$D$115,0))*INDEX(EF!$H$116:$H$131,MATCH(Emissions!$D63,EF!$D$116:$D$131,0))*kgtoGg</f>
        <v>21.939831069065175</v>
      </c>
      <c r="AU63" s="22">
        <f>INDEX('Activity data'!AU$24:AU$39,MATCH(Emissions!$D63,'Activity data'!$D$24:$D$39,0))*INDEX(EF!$H$84:$H$99,MATCH(Emissions!$D63,EF!$D$84:$D$99,0))*INDEX(EF!$H$100:$H$115,MATCH(Emissions!$D63,EF!$D$100:$D$115,0))*INDEX(EF!$H$116:$H$131,MATCH(Emissions!$D63,EF!$D$116:$D$131,0))*kgtoGg</f>
        <v>22.146053633971565</v>
      </c>
      <c r="AV63" s="22">
        <f>INDEX('Activity data'!AV$24:AV$39,MATCH(Emissions!$D63,'Activity data'!$D$24:$D$39,0))*INDEX(EF!$H$84:$H$99,MATCH(Emissions!$D63,EF!$D$84:$D$99,0))*INDEX(EF!$H$100:$H$115,MATCH(Emissions!$D63,EF!$D$100:$D$115,0))*INDEX(EF!$H$116:$H$131,MATCH(Emissions!$D63,EF!$D$116:$D$131,0))*kgtoGg</f>
        <v>22.352276198877952</v>
      </c>
      <c r="AW63" s="22">
        <f>INDEX('Activity data'!AW$24:AW$39,MATCH(Emissions!$D63,'Activity data'!$D$24:$D$39,0))*INDEX(EF!$H$84:$H$99,MATCH(Emissions!$D63,EF!$D$84:$D$99,0))*INDEX(EF!$H$100:$H$115,MATCH(Emissions!$D63,EF!$D$100:$D$115,0))*INDEX(EF!$H$116:$H$131,MATCH(Emissions!$D63,EF!$D$116:$D$131,0))*kgtoGg</f>
        <v>22.56201626272437</v>
      </c>
      <c r="AX63" s="22">
        <f>INDEX('Activity data'!AX$24:AX$39,MATCH(Emissions!$D63,'Activity data'!$D$24:$D$39,0))*INDEX(EF!$H$84:$H$99,MATCH(Emissions!$D63,EF!$D$84:$D$99,0))*INDEX(EF!$H$100:$H$115,MATCH(Emissions!$D63,EF!$D$100:$D$115,0))*INDEX(EF!$H$116:$H$131,MATCH(Emissions!$D63,EF!$D$116:$D$131,0))*kgtoGg</f>
        <v>22.771756326570781</v>
      </c>
      <c r="AY63" s="22">
        <f>INDEX('Activity data'!AY$24:AY$39,MATCH(Emissions!$D63,'Activity data'!$D$24:$D$39,0))*INDEX(EF!$H$84:$H$99,MATCH(Emissions!$D63,EF!$D$84:$D$99,0))*INDEX(EF!$H$100:$H$115,MATCH(Emissions!$D63,EF!$D$100:$D$115,0))*INDEX(EF!$H$116:$H$131,MATCH(Emissions!$D63,EF!$D$116:$D$131,0))*kgtoGg</f>
        <v>22.981496390417199</v>
      </c>
      <c r="AZ63" s="22">
        <f>INDEX('Activity data'!AZ$24:AZ$39,MATCH(Emissions!$D63,'Activity data'!$D$24:$D$39,0))*INDEX(EF!$H$84:$H$99,MATCH(Emissions!$D63,EF!$D$84:$D$99,0))*INDEX(EF!$H$100:$H$115,MATCH(Emissions!$D63,EF!$D$100:$D$115,0))*INDEX(EF!$H$116:$H$131,MATCH(Emissions!$D63,EF!$D$116:$D$131,0))*kgtoGg</f>
        <v>23.191236454263613</v>
      </c>
      <c r="BA63" s="22">
        <f>INDEX('Activity data'!BA$24:BA$39,MATCH(Emissions!$D63,'Activity data'!$D$24:$D$39,0))*INDEX(EF!$H$84:$H$99,MATCH(Emissions!$D63,EF!$D$84:$D$99,0))*INDEX(EF!$H$100:$H$115,MATCH(Emissions!$D63,EF!$D$100:$D$115,0))*INDEX(EF!$H$116:$H$131,MATCH(Emissions!$D63,EF!$D$116:$D$131,0))*kgtoGg</f>
        <v>23.400976518110024</v>
      </c>
      <c r="BB63" s="22">
        <f>INDEX('Activity data'!BB$24:BB$39,MATCH(Emissions!$D63,'Activity data'!$D$24:$D$39,0))*INDEX(EF!$H$84:$H$99,MATCH(Emissions!$D63,EF!$D$84:$D$99,0))*INDEX(EF!$H$100:$H$115,MATCH(Emissions!$D63,EF!$D$100:$D$115,0))*INDEX(EF!$H$116:$H$131,MATCH(Emissions!$D63,EF!$D$116:$D$131,0))*kgtoGg</f>
        <v>23.610716581956442</v>
      </c>
      <c r="BC63" s="22">
        <f>INDEX('Activity data'!BC$24:BC$39,MATCH(Emissions!$D63,'Activity data'!$D$24:$D$39,0))*INDEX(EF!$H$84:$H$99,MATCH(Emissions!$D63,EF!$D$84:$D$99,0))*INDEX(EF!$H$100:$H$115,MATCH(Emissions!$D63,EF!$D$100:$D$115,0))*INDEX(EF!$H$116:$H$131,MATCH(Emissions!$D63,EF!$D$116:$D$131,0))*kgtoGg</f>
        <v>23.820456645802853</v>
      </c>
      <c r="BD63" s="22">
        <f>INDEX('Activity data'!BD$24:BD$39,MATCH(Emissions!$D63,'Activity data'!$D$24:$D$39,0))*INDEX(EF!$H$84:$H$99,MATCH(Emissions!$D63,EF!$D$84:$D$99,0))*INDEX(EF!$H$100:$H$115,MATCH(Emissions!$D63,EF!$D$100:$D$115,0))*INDEX(EF!$H$116:$H$131,MATCH(Emissions!$D63,EF!$D$116:$D$131,0))*kgtoGg</f>
        <v>24.030196709649267</v>
      </c>
      <c r="BE63" s="22">
        <f>INDEX('Activity data'!BE$24:BE$39,MATCH(Emissions!$D63,'Activity data'!$D$24:$D$39,0))*INDEX(EF!$H$84:$H$99,MATCH(Emissions!$D63,EF!$D$84:$D$99,0))*INDEX(EF!$H$100:$H$115,MATCH(Emissions!$D63,EF!$D$100:$D$115,0))*INDEX(EF!$H$116:$H$131,MATCH(Emissions!$D63,EF!$D$116:$D$131,0))*kgtoGg</f>
        <v>24.239936773495682</v>
      </c>
      <c r="BF63" s="22">
        <f>INDEX('Activity data'!BF$24:BF$39,MATCH(Emissions!$D63,'Activity data'!$D$24:$D$39,0))*INDEX(EF!$H$84:$H$99,MATCH(Emissions!$D63,EF!$D$84:$D$99,0))*INDEX(EF!$H$100:$H$115,MATCH(Emissions!$D63,EF!$D$100:$D$115,0))*INDEX(EF!$H$116:$H$131,MATCH(Emissions!$D63,EF!$D$116:$D$131,0))*kgtoGg</f>
        <v>24.449676837342093</v>
      </c>
      <c r="BG63" s="22">
        <f>INDEX('Activity data'!BG$24:BG$39,MATCH(Emissions!$D63,'Activity data'!$D$24:$D$39,0))*INDEX(EF!$H$84:$H$99,MATCH(Emissions!$D63,EF!$D$84:$D$99,0))*INDEX(EF!$H$100:$H$115,MATCH(Emissions!$D63,EF!$D$100:$D$115,0))*INDEX(EF!$H$116:$H$131,MATCH(Emissions!$D63,EF!$D$116:$D$131,0))*kgtoGg</f>
        <v>24.659416901188511</v>
      </c>
      <c r="BH63" s="22">
        <f>INDEX('Activity data'!BH$24:BH$39,MATCH(Emissions!$D63,'Activity data'!$D$24:$D$39,0))*INDEX(EF!$H$84:$H$99,MATCH(Emissions!$D63,EF!$D$84:$D$99,0))*INDEX(EF!$H$100:$H$115,MATCH(Emissions!$D63,EF!$D$100:$D$115,0))*INDEX(EF!$H$116:$H$131,MATCH(Emissions!$D63,EF!$D$116:$D$131,0))*kgtoGg</f>
        <v>24.869156965034922</v>
      </c>
      <c r="BI63" s="22">
        <f>INDEX('Activity data'!BI$24:BI$39,MATCH(Emissions!$D63,'Activity data'!$D$24:$D$39,0))*INDEX(EF!$H$84:$H$99,MATCH(Emissions!$D63,EF!$D$84:$D$99,0))*INDEX(EF!$H$100:$H$115,MATCH(Emissions!$D63,EF!$D$100:$D$115,0))*INDEX(EF!$H$116:$H$131,MATCH(Emissions!$D63,EF!$D$116:$D$131,0))*kgtoGg</f>
        <v>25.078897028881336</v>
      </c>
      <c r="BJ63" s="22">
        <f>INDEX('Activity data'!BJ$24:BJ$39,MATCH(Emissions!$D63,'Activity data'!$D$24:$D$39,0))*INDEX(EF!$H$84:$H$99,MATCH(Emissions!$D63,EF!$D$84:$D$99,0))*INDEX(EF!$H$100:$H$115,MATCH(Emissions!$D63,EF!$D$100:$D$115,0))*INDEX(EF!$H$116:$H$131,MATCH(Emissions!$D63,EF!$D$116:$D$131,0))*kgtoGg</f>
        <v>25.28863709272775</v>
      </c>
      <c r="BK63" s="22">
        <f>INDEX('Activity data'!BK$24:BK$39,MATCH(Emissions!$D63,'Activity data'!$D$24:$D$39,0))*INDEX(EF!$H$84:$H$99,MATCH(Emissions!$D63,EF!$D$84:$D$99,0))*INDEX(EF!$H$100:$H$115,MATCH(Emissions!$D63,EF!$D$100:$D$115,0))*INDEX(EF!$H$116:$H$131,MATCH(Emissions!$D63,EF!$D$116:$D$131,0))*kgtoGg</f>
        <v>25.498377156574168</v>
      </c>
      <c r="BL63" s="22">
        <f>INDEX('Activity data'!BL$24:BL$39,MATCH(Emissions!$D63,'Activity data'!$D$24:$D$39,0))*INDEX(EF!$H$84:$H$99,MATCH(Emissions!$D63,EF!$D$84:$D$99,0))*INDEX(EF!$H$100:$H$115,MATCH(Emissions!$D63,EF!$D$100:$D$115,0))*INDEX(EF!$H$116:$H$131,MATCH(Emissions!$D63,EF!$D$116:$D$131,0))*kgtoGg</f>
        <v>25.708117220420583</v>
      </c>
      <c r="BM63" s="22">
        <f>INDEX('Activity data'!BM$24:BM$39,MATCH(Emissions!$D63,'Activity data'!$D$24:$D$39,0))*INDEX(EF!$H$84:$H$99,MATCH(Emissions!$D63,EF!$D$84:$D$99,0))*INDEX(EF!$H$100:$H$115,MATCH(Emissions!$D63,EF!$D$100:$D$115,0))*INDEX(EF!$H$116:$H$131,MATCH(Emissions!$D63,EF!$D$116:$D$131,0))*kgtoGg</f>
        <v>25.917857284266997</v>
      </c>
      <c r="BN63" s="22">
        <f>INDEX('Activity data'!BN$24:BN$39,MATCH(Emissions!$D63,'Activity data'!$D$24:$D$39,0))*INDEX(EF!$H$84:$H$99,MATCH(Emissions!$D63,EF!$D$84:$D$99,0))*INDEX(EF!$H$100:$H$115,MATCH(Emissions!$D63,EF!$D$100:$D$115,0))*INDEX(EF!$H$116:$H$131,MATCH(Emissions!$D63,EF!$D$116:$D$131,0))*kgtoGg</f>
        <v>26.127597348113408</v>
      </c>
      <c r="BO63" s="22">
        <f>INDEX('Activity data'!BO$24:BO$39,MATCH(Emissions!$D63,'Activity data'!$D$24:$D$39,0))*INDEX(EF!$H$84:$H$99,MATCH(Emissions!$D63,EF!$D$84:$D$99,0))*INDEX(EF!$H$100:$H$115,MATCH(Emissions!$D63,EF!$D$100:$D$115,0))*INDEX(EF!$H$116:$H$131,MATCH(Emissions!$D63,EF!$D$116:$D$131,0))*kgtoGg</f>
        <v>26.337337411959826</v>
      </c>
      <c r="BP63" s="22">
        <f>INDEX('Activity data'!BP$24:BP$39,MATCH(Emissions!$D63,'Activity data'!$D$24:$D$39,0))*INDEX(EF!$H$84:$H$99,MATCH(Emissions!$D63,EF!$D$84:$D$99,0))*INDEX(EF!$H$100:$H$115,MATCH(Emissions!$D63,EF!$D$100:$D$115,0))*INDEX(EF!$H$116:$H$131,MATCH(Emissions!$D63,EF!$D$116:$D$131,0))*kgtoGg</f>
        <v>26.54707747580624</v>
      </c>
    </row>
    <row r="64" spans="1:68" x14ac:dyDescent="0.3">
      <c r="A64" t="str">
        <f t="shared" si="19"/>
        <v>3C Aggregated and non-CO2 emissions on land</v>
      </c>
      <c r="B64" t="str">
        <f t="shared" si="20"/>
        <v>3C1 Biomass burning (CH4)</v>
      </c>
      <c r="C64" t="str">
        <f>C63</f>
        <v>3C1c Biomass burning in Grasslands</v>
      </c>
      <c r="D64" t="str">
        <f>EF!D94</f>
        <v>Low shrublands</v>
      </c>
      <c r="E64" t="s">
        <v>651</v>
      </c>
      <c r="F64" t="str">
        <f t="shared" si="21"/>
        <v>CH4</v>
      </c>
      <c r="G64" t="str">
        <f t="shared" si="22"/>
        <v>Gg CH4</v>
      </c>
      <c r="H64" s="22">
        <f>INDEX('Activity data'!H$24:H$39,MATCH(Emissions!$D64,'Activity data'!$D$24:$D$39,0))*INDEX(EF!$H$84:$H$99,MATCH(Emissions!$D64,EF!$D$84:$D$99,0))*INDEX(EF!$H$100:$H$115,MATCH(Emissions!$D64,EF!$D$100:$D$115,0))*INDEX(EF!$H$116:$H$131,MATCH(Emissions!$D64,EF!$D$116:$D$131,0))*kgtoGg</f>
        <v>1.8327068962105979</v>
      </c>
      <c r="I64" s="22">
        <f>INDEX('Activity data'!I$24:I$39,MATCH(Emissions!$D64,'Activity data'!$D$24:$D$39,0))*INDEX(EF!$H$84:$H$99,MATCH(Emissions!$D64,EF!$D$84:$D$99,0))*INDEX(EF!$H$100:$H$115,MATCH(Emissions!$D64,EF!$D$100:$D$115,0))*INDEX(EF!$H$116:$H$131,MATCH(Emissions!$D64,EF!$D$116:$D$131,0))*kgtoGg</f>
        <v>1.8327068962105979</v>
      </c>
      <c r="J64" s="22">
        <f>INDEX('Activity data'!J$24:J$39,MATCH(Emissions!$D64,'Activity data'!$D$24:$D$39,0))*INDEX(EF!$H$84:$H$99,MATCH(Emissions!$D64,EF!$D$84:$D$99,0))*INDEX(EF!$H$100:$H$115,MATCH(Emissions!$D64,EF!$D$100:$D$115,0))*INDEX(EF!$H$116:$H$131,MATCH(Emissions!$D64,EF!$D$116:$D$131,0))*kgtoGg</f>
        <v>1.8327068962105979</v>
      </c>
      <c r="K64" s="22">
        <f>INDEX('Activity data'!K$24:K$39,MATCH(Emissions!$D64,'Activity data'!$D$24:$D$39,0))*INDEX(EF!$H$84:$H$99,MATCH(Emissions!$D64,EF!$D$84:$D$99,0))*INDEX(EF!$H$100:$H$115,MATCH(Emissions!$D64,EF!$D$100:$D$115,0))*INDEX(EF!$H$116:$H$131,MATCH(Emissions!$D64,EF!$D$116:$D$131,0))*kgtoGg</f>
        <v>1.8327068962105979</v>
      </c>
      <c r="L64" s="22">
        <f>INDEX('Activity data'!L$24:L$39,MATCH(Emissions!$D64,'Activity data'!$D$24:$D$39,0))*INDEX(EF!$H$84:$H$99,MATCH(Emissions!$D64,EF!$D$84:$D$99,0))*INDEX(EF!$H$100:$H$115,MATCH(Emissions!$D64,EF!$D$100:$D$115,0))*INDEX(EF!$H$116:$H$131,MATCH(Emissions!$D64,EF!$D$116:$D$131,0))*kgtoGg</f>
        <v>1.8327068962105979</v>
      </c>
      <c r="M64" s="22">
        <f>INDEX('Activity data'!M$24:M$39,MATCH(Emissions!$D64,'Activity data'!$D$24:$D$39,0))*INDEX(EF!$H$84:$H$99,MATCH(Emissions!$D64,EF!$D$84:$D$99,0))*INDEX(EF!$H$100:$H$115,MATCH(Emissions!$D64,EF!$D$100:$D$115,0))*INDEX(EF!$H$116:$H$131,MATCH(Emissions!$D64,EF!$D$116:$D$131,0))*kgtoGg</f>
        <v>1.8327068962105979</v>
      </c>
      <c r="N64" s="22">
        <f>INDEX('Activity data'!N$24:N$39,MATCH(Emissions!$D64,'Activity data'!$D$24:$D$39,0))*INDEX(EF!$H$84:$H$99,MATCH(Emissions!$D64,EF!$D$84:$D$99,0))*INDEX(EF!$H$100:$H$115,MATCH(Emissions!$D64,EF!$D$100:$D$115,0))*INDEX(EF!$H$116:$H$131,MATCH(Emissions!$D64,EF!$D$116:$D$131,0))*kgtoGg</f>
        <v>1.8327068962105979</v>
      </c>
      <c r="O64" s="22">
        <f>INDEX('Activity data'!O$24:O$39,MATCH(Emissions!$D64,'Activity data'!$D$24:$D$39,0))*INDEX(EF!$H$84:$H$99,MATCH(Emissions!$D64,EF!$D$84:$D$99,0))*INDEX(EF!$H$100:$H$115,MATCH(Emissions!$D64,EF!$D$100:$D$115,0))*INDEX(EF!$H$116:$H$131,MATCH(Emissions!$D64,EF!$D$116:$D$131,0))*kgtoGg</f>
        <v>1.8327068962105979</v>
      </c>
      <c r="P64" s="22">
        <f>INDEX('Activity data'!P$24:P$39,MATCH(Emissions!$D64,'Activity data'!$D$24:$D$39,0))*INDEX(EF!$H$84:$H$99,MATCH(Emissions!$D64,EF!$D$84:$D$99,0))*INDEX(EF!$H$100:$H$115,MATCH(Emissions!$D64,EF!$D$100:$D$115,0))*INDEX(EF!$H$116:$H$131,MATCH(Emissions!$D64,EF!$D$116:$D$131,0))*kgtoGg</f>
        <v>1.8327068962105979</v>
      </c>
      <c r="Q64" s="22">
        <f>INDEX('Activity data'!Q$24:Q$39,MATCH(Emissions!$D64,'Activity data'!$D$24:$D$39,0))*INDEX(EF!$H$84:$H$99,MATCH(Emissions!$D64,EF!$D$84:$D$99,0))*INDEX(EF!$H$100:$H$115,MATCH(Emissions!$D64,EF!$D$100:$D$115,0))*INDEX(EF!$H$116:$H$131,MATCH(Emissions!$D64,EF!$D$116:$D$131,0))*kgtoGg</f>
        <v>1.8327068962105979</v>
      </c>
      <c r="R64" s="22">
        <f>INDEX('Activity data'!R$24:R$39,MATCH(Emissions!$D64,'Activity data'!$D$24:$D$39,0))*INDEX(EF!$H$84:$H$99,MATCH(Emissions!$D64,EF!$D$84:$D$99,0))*INDEX(EF!$H$100:$H$115,MATCH(Emissions!$D64,EF!$D$100:$D$115,0))*INDEX(EF!$H$116:$H$131,MATCH(Emissions!$D64,EF!$D$116:$D$131,0))*kgtoGg</f>
        <v>1.5407167876980463</v>
      </c>
      <c r="S64" s="22">
        <f>INDEX('Activity data'!S$24:S$39,MATCH(Emissions!$D64,'Activity data'!$D$24:$D$39,0))*INDEX(EF!$H$84:$H$99,MATCH(Emissions!$D64,EF!$D$84:$D$99,0))*INDEX(EF!$H$100:$H$115,MATCH(Emissions!$D64,EF!$D$100:$D$115,0))*INDEX(EF!$H$116:$H$131,MATCH(Emissions!$D64,EF!$D$116:$D$131,0))*kgtoGg</f>
        <v>1.2962863918633982</v>
      </c>
      <c r="T64" s="22">
        <f>INDEX('Activity data'!T$24:T$39,MATCH(Emissions!$D64,'Activity data'!$D$24:$D$39,0))*INDEX(EF!$H$84:$H$99,MATCH(Emissions!$D64,EF!$D$84:$D$99,0))*INDEX(EF!$H$100:$H$115,MATCH(Emissions!$D64,EF!$D$100:$D$115,0))*INDEX(EF!$H$116:$H$131,MATCH(Emissions!$D64,EF!$D$116:$D$131,0))*kgtoGg</f>
        <v>3.1553311369274972</v>
      </c>
      <c r="U64" s="22">
        <f>INDEX('Activity data'!U$24:U$39,MATCH(Emissions!$D64,'Activity data'!$D$24:$D$39,0))*INDEX(EF!$H$84:$H$99,MATCH(Emissions!$D64,EF!$D$84:$D$99,0))*INDEX(EF!$H$100:$H$115,MATCH(Emissions!$D64,EF!$D$100:$D$115,0))*INDEX(EF!$H$116:$H$131,MATCH(Emissions!$D64,EF!$D$116:$D$131,0))*kgtoGg</f>
        <v>1.9682331292499253</v>
      </c>
      <c r="V64" s="22">
        <f>INDEX('Activity data'!V$24:V$39,MATCH(Emissions!$D64,'Activity data'!$D$24:$D$39,0))*INDEX(EF!$H$84:$H$99,MATCH(Emissions!$D64,EF!$D$84:$D$99,0))*INDEX(EF!$H$100:$H$115,MATCH(Emissions!$D64,EF!$D$100:$D$115,0))*INDEX(EF!$H$116:$H$131,MATCH(Emissions!$D64,EF!$D$116:$D$131,0))*kgtoGg</f>
        <v>1.202967035314124</v>
      </c>
      <c r="W64" s="22">
        <f>INDEX('Activity data'!W$24:W$39,MATCH(Emissions!$D64,'Activity data'!$D$24:$D$39,0))*INDEX(EF!$H$84:$H$99,MATCH(Emissions!$D64,EF!$D$84:$D$99,0))*INDEX(EF!$H$100:$H$115,MATCH(Emissions!$D64,EF!$D$100:$D$115,0))*INDEX(EF!$H$116:$H$131,MATCH(Emissions!$D64,EF!$D$116:$D$131,0))*kgtoGg</f>
        <v>2.0414201373050664</v>
      </c>
      <c r="X64" s="22">
        <f>INDEX('Activity data'!X$24:X$39,MATCH(Emissions!$D64,'Activity data'!$D$24:$D$39,0))*INDEX(EF!$H$84:$H$99,MATCH(Emissions!$D64,EF!$D$84:$D$99,0))*INDEX(EF!$H$100:$H$115,MATCH(Emissions!$D64,EF!$D$100:$D$115,0))*INDEX(EF!$H$116:$H$131,MATCH(Emissions!$D64,EF!$D$116:$D$131,0))*kgtoGg</f>
        <v>1.5845342520676293</v>
      </c>
      <c r="Y64" s="22">
        <f>INDEX('Activity data'!Y$24:Y$39,MATCH(Emissions!$D64,'Activity data'!$D$24:$D$39,0))*INDEX(EF!$H$84:$H$99,MATCH(Emissions!$D64,EF!$D$84:$D$99,0))*INDEX(EF!$H$100:$H$115,MATCH(Emissions!$D64,EF!$D$100:$D$115,0))*INDEX(EF!$H$116:$H$131,MATCH(Emissions!$D64,EF!$D$116:$D$131,0))*kgtoGg</f>
        <v>1.3635521209496773</v>
      </c>
      <c r="Z64" s="22">
        <f>INDEX('Activity data'!Z$24:Z$39,MATCH(Emissions!$D64,'Activity data'!$D$24:$D$39,0))*INDEX(EF!$H$84:$H$99,MATCH(Emissions!$D64,EF!$D$84:$D$99,0))*INDEX(EF!$H$100:$H$115,MATCH(Emissions!$D64,EF!$D$100:$D$115,0))*INDEX(EF!$H$116:$H$131,MATCH(Emissions!$D64,EF!$D$116:$D$131,0))*kgtoGg</f>
        <v>1.6513262788363989</v>
      </c>
      <c r="AA64" s="22">
        <f>INDEX('Activity data'!AA$24:AA$39,MATCH(Emissions!$D64,'Activity data'!$D$24:$D$39,0))*INDEX(EF!$H$84:$H$99,MATCH(Emissions!$D64,EF!$D$84:$D$99,0))*INDEX(EF!$H$100:$H$115,MATCH(Emissions!$D64,EF!$D$100:$D$115,0))*INDEX(EF!$H$116:$H$131,MATCH(Emissions!$D64,EF!$D$116:$D$131,0))*kgtoGg</f>
        <v>2.2091107577032552</v>
      </c>
      <c r="AB64" s="22">
        <f>INDEX('Activity data'!AB$24:AB$39,MATCH(Emissions!$D64,'Activity data'!$D$24:$D$39,0))*INDEX(EF!$H$84:$H$99,MATCH(Emissions!$D64,EF!$D$84:$D$99,0))*INDEX(EF!$H$100:$H$115,MATCH(Emissions!$D64,EF!$D$100:$D$115,0))*INDEX(EF!$H$116:$H$131,MATCH(Emissions!$D64,EF!$D$116:$D$131,0))*kgtoGg</f>
        <v>5.2887257186400003</v>
      </c>
      <c r="AC64" s="22">
        <f>INDEX('Activity data'!AC$24:AC$39,MATCH(Emissions!$D64,'Activity data'!$D$24:$D$39,0))*INDEX(EF!$H$84:$H$99,MATCH(Emissions!$D64,EF!$D$84:$D$99,0))*INDEX(EF!$H$100:$H$115,MATCH(Emissions!$D64,EF!$D$100:$D$115,0))*INDEX(EF!$H$116:$H$131,MATCH(Emissions!$D64,EF!$D$116:$D$131,0))*kgtoGg</f>
        <v>5.3137024405920013</v>
      </c>
      <c r="AD64" s="22">
        <f>INDEX('Activity data'!AD$24:AD$39,MATCH(Emissions!$D64,'Activity data'!$D$24:$D$39,0))*INDEX(EF!$H$84:$H$99,MATCH(Emissions!$D64,EF!$D$84:$D$99,0))*INDEX(EF!$H$100:$H$115,MATCH(Emissions!$D64,EF!$D$100:$D$115,0))*INDEX(EF!$H$116:$H$131,MATCH(Emissions!$D64,EF!$D$116:$D$131,0))*kgtoGg</f>
        <v>2.803719836697308</v>
      </c>
      <c r="AE64" s="22">
        <f>INDEX('Activity data'!AE$24:AE$39,MATCH(Emissions!$D64,'Activity data'!$D$24:$D$39,0))*INDEX(EF!$H$84:$H$99,MATCH(Emissions!$D64,EF!$D$84:$D$99,0))*INDEX(EF!$H$100:$H$115,MATCH(Emissions!$D64,EF!$D$100:$D$115,0))*INDEX(EF!$H$116:$H$131,MATCH(Emissions!$D64,EF!$D$116:$D$131,0))*kgtoGg</f>
        <v>2.7952952347709599</v>
      </c>
      <c r="AF64" s="22">
        <f>INDEX('Activity data'!AF$24:AF$39,MATCH(Emissions!$D64,'Activity data'!$D$24:$D$39,0))*INDEX(EF!$H$84:$H$99,MATCH(Emissions!$D64,EF!$D$84:$D$99,0))*INDEX(EF!$H$100:$H$115,MATCH(Emissions!$D64,EF!$D$100:$D$115,0))*INDEX(EF!$H$116:$H$131,MATCH(Emissions!$D64,EF!$D$116:$D$131,0))*kgtoGg</f>
        <v>2.7868706328446127</v>
      </c>
      <c r="AG64" s="22">
        <f>INDEX('Activity data'!AG$24:AG$39,MATCH(Emissions!$D64,'Activity data'!$D$24:$D$39,0))*INDEX(EF!$H$84:$H$99,MATCH(Emissions!$D64,EF!$D$84:$D$99,0))*INDEX(EF!$H$100:$H$115,MATCH(Emissions!$D64,EF!$D$100:$D$115,0))*INDEX(EF!$H$116:$H$131,MATCH(Emissions!$D64,EF!$D$116:$D$131,0))*kgtoGg</f>
        <v>2.7784460309182646</v>
      </c>
      <c r="AH64" s="22">
        <f>INDEX('Activity data'!AH$24:AH$39,MATCH(Emissions!$D64,'Activity data'!$D$24:$D$39,0))*INDEX(EF!$H$84:$H$99,MATCH(Emissions!$D64,EF!$D$84:$D$99,0))*INDEX(EF!$H$100:$H$115,MATCH(Emissions!$D64,EF!$D$100:$D$115,0))*INDEX(EF!$H$116:$H$131,MATCH(Emissions!$D64,EF!$D$116:$D$131,0))*kgtoGg</f>
        <v>2.7700214289919165</v>
      </c>
      <c r="AI64" s="22">
        <f>INDEX('Activity data'!AI$24:AI$39,MATCH(Emissions!$D64,'Activity data'!$D$24:$D$39,0))*INDEX(EF!$H$84:$H$99,MATCH(Emissions!$D64,EF!$D$84:$D$99,0))*INDEX(EF!$H$100:$H$115,MATCH(Emissions!$D64,EF!$D$100:$D$115,0))*INDEX(EF!$H$116:$H$131,MATCH(Emissions!$D64,EF!$D$116:$D$131,0))*kgtoGg</f>
        <v>2.7615968270655689</v>
      </c>
      <c r="AJ64" s="22">
        <f>INDEX('Activity data'!AJ$24:AJ$39,MATCH(Emissions!$D64,'Activity data'!$D$24:$D$39,0))*INDEX(EF!$H$84:$H$99,MATCH(Emissions!$D64,EF!$D$84:$D$99,0))*INDEX(EF!$H$100:$H$115,MATCH(Emissions!$D64,EF!$D$100:$D$115,0))*INDEX(EF!$H$116:$H$131,MATCH(Emissions!$D64,EF!$D$116:$D$131,0))*kgtoGg</f>
        <v>2.7531722251392212</v>
      </c>
      <c r="AK64" s="22">
        <f>INDEX('Activity data'!AK$24:AK$39,MATCH(Emissions!$D64,'Activity data'!$D$24:$D$39,0))*INDEX(EF!$H$84:$H$99,MATCH(Emissions!$D64,EF!$D$84:$D$99,0))*INDEX(EF!$H$100:$H$115,MATCH(Emissions!$D64,EF!$D$100:$D$115,0))*INDEX(EF!$H$116:$H$131,MATCH(Emissions!$D64,EF!$D$116:$D$131,0))*kgtoGg</f>
        <v>2.7447476232128731</v>
      </c>
      <c r="AL64" s="22">
        <f>INDEX('Activity data'!AL$24:AL$39,MATCH(Emissions!$D64,'Activity data'!$D$24:$D$39,0))*INDEX(EF!$H$84:$H$99,MATCH(Emissions!$D64,EF!$D$84:$D$99,0))*INDEX(EF!$H$100:$H$115,MATCH(Emissions!$D64,EF!$D$100:$D$115,0))*INDEX(EF!$H$116:$H$131,MATCH(Emissions!$D64,EF!$D$116:$D$131,0))*kgtoGg</f>
        <v>2.7363230212865255</v>
      </c>
      <c r="AM64" s="22">
        <f>INDEX('Activity data'!AM$24:AM$39,MATCH(Emissions!$D64,'Activity data'!$D$24:$D$39,0))*INDEX(EF!$H$84:$H$99,MATCH(Emissions!$D64,EF!$D$84:$D$99,0))*INDEX(EF!$H$100:$H$115,MATCH(Emissions!$D64,EF!$D$100:$D$115,0))*INDEX(EF!$H$116:$H$131,MATCH(Emissions!$D64,EF!$D$116:$D$131,0))*kgtoGg</f>
        <v>2.7278984193601779</v>
      </c>
      <c r="AN64" s="22">
        <f>INDEX('Activity data'!AN$24:AN$39,MATCH(Emissions!$D64,'Activity data'!$D$24:$D$39,0))*INDEX(EF!$H$84:$H$99,MATCH(Emissions!$D64,EF!$D$84:$D$99,0))*INDEX(EF!$H$100:$H$115,MATCH(Emissions!$D64,EF!$D$100:$D$115,0))*INDEX(EF!$H$116:$H$131,MATCH(Emissions!$D64,EF!$D$116:$D$131,0))*kgtoGg</f>
        <v>2.7194738174338302</v>
      </c>
      <c r="AO64" s="22">
        <f>INDEX('Activity data'!AO$24:AO$39,MATCH(Emissions!$D64,'Activity data'!$D$24:$D$39,0))*INDEX(EF!$H$84:$H$99,MATCH(Emissions!$D64,EF!$D$84:$D$99,0))*INDEX(EF!$H$100:$H$115,MATCH(Emissions!$D64,EF!$D$100:$D$115,0))*INDEX(EF!$H$116:$H$131,MATCH(Emissions!$D64,EF!$D$116:$D$131,0))*kgtoGg</f>
        <v>2.7110492155074826</v>
      </c>
      <c r="AP64" s="22">
        <f>INDEX('Activity data'!AP$24:AP$39,MATCH(Emissions!$D64,'Activity data'!$D$24:$D$39,0))*INDEX(EF!$H$84:$H$99,MATCH(Emissions!$D64,EF!$D$84:$D$99,0))*INDEX(EF!$H$100:$H$115,MATCH(Emissions!$D64,EF!$D$100:$D$115,0))*INDEX(EF!$H$116:$H$131,MATCH(Emissions!$D64,EF!$D$116:$D$131,0))*kgtoGg</f>
        <v>2.7026246135811345</v>
      </c>
      <c r="AQ64" s="22">
        <f>INDEX('Activity data'!AQ$24:AQ$39,MATCH(Emissions!$D64,'Activity data'!$D$24:$D$39,0))*INDEX(EF!$H$84:$H$99,MATCH(Emissions!$D64,EF!$D$84:$D$99,0))*INDEX(EF!$H$100:$H$115,MATCH(Emissions!$D64,EF!$D$100:$D$115,0))*INDEX(EF!$H$116:$H$131,MATCH(Emissions!$D64,EF!$D$116:$D$131,0))*kgtoGg</f>
        <v>2.6942000116547864</v>
      </c>
      <c r="AR64" s="22">
        <f>INDEX('Activity data'!AR$24:AR$39,MATCH(Emissions!$D64,'Activity data'!$D$24:$D$39,0))*INDEX(EF!$H$84:$H$99,MATCH(Emissions!$D64,EF!$D$84:$D$99,0))*INDEX(EF!$H$100:$H$115,MATCH(Emissions!$D64,EF!$D$100:$D$115,0))*INDEX(EF!$H$116:$H$131,MATCH(Emissions!$D64,EF!$D$116:$D$131,0))*kgtoGg</f>
        <v>2.6857754097284392</v>
      </c>
      <c r="AS64" s="22">
        <f>INDEX('Activity data'!AS$24:AS$39,MATCH(Emissions!$D64,'Activity data'!$D$24:$D$39,0))*INDEX(EF!$H$84:$H$99,MATCH(Emissions!$D64,EF!$D$84:$D$99,0))*INDEX(EF!$H$100:$H$115,MATCH(Emissions!$D64,EF!$D$100:$D$115,0))*INDEX(EF!$H$116:$H$131,MATCH(Emissions!$D64,EF!$D$116:$D$131,0))*kgtoGg</f>
        <v>2.6773508078020911</v>
      </c>
      <c r="AT64" s="22">
        <f>INDEX('Activity data'!AT$24:AT$39,MATCH(Emissions!$D64,'Activity data'!$D$24:$D$39,0))*INDEX(EF!$H$84:$H$99,MATCH(Emissions!$D64,EF!$D$84:$D$99,0))*INDEX(EF!$H$100:$H$115,MATCH(Emissions!$D64,EF!$D$100:$D$115,0))*INDEX(EF!$H$116:$H$131,MATCH(Emissions!$D64,EF!$D$116:$D$131,0))*kgtoGg</f>
        <v>2.668926205875743</v>
      </c>
      <c r="AU64" s="22">
        <f>INDEX('Activity data'!AU$24:AU$39,MATCH(Emissions!$D64,'Activity data'!$D$24:$D$39,0))*INDEX(EF!$H$84:$H$99,MATCH(Emissions!$D64,EF!$D$84:$D$99,0))*INDEX(EF!$H$100:$H$115,MATCH(Emissions!$D64,EF!$D$100:$D$115,0))*INDEX(EF!$H$116:$H$131,MATCH(Emissions!$D64,EF!$D$116:$D$131,0))*kgtoGg</f>
        <v>2.6605016039493949</v>
      </c>
      <c r="AV64" s="22">
        <f>INDEX('Activity data'!AV$24:AV$39,MATCH(Emissions!$D64,'Activity data'!$D$24:$D$39,0))*INDEX(EF!$H$84:$H$99,MATCH(Emissions!$D64,EF!$D$84:$D$99,0))*INDEX(EF!$H$100:$H$115,MATCH(Emissions!$D64,EF!$D$100:$D$115,0))*INDEX(EF!$H$116:$H$131,MATCH(Emissions!$D64,EF!$D$116:$D$131,0))*kgtoGg</f>
        <v>2.6520770020230477</v>
      </c>
      <c r="AW64" s="22">
        <f>INDEX('Activity data'!AW$24:AW$39,MATCH(Emissions!$D64,'Activity data'!$D$24:$D$39,0))*INDEX(EF!$H$84:$H$99,MATCH(Emissions!$D64,EF!$D$84:$D$99,0))*INDEX(EF!$H$100:$H$115,MATCH(Emissions!$D64,EF!$D$100:$D$115,0))*INDEX(EF!$H$116:$H$131,MATCH(Emissions!$D64,EF!$D$116:$D$131,0))*kgtoGg</f>
        <v>2.6436524000967001</v>
      </c>
      <c r="AX64" s="22">
        <f>INDEX('Activity data'!AX$24:AX$39,MATCH(Emissions!$D64,'Activity data'!$D$24:$D$39,0))*INDEX(EF!$H$84:$H$99,MATCH(Emissions!$D64,EF!$D$84:$D$99,0))*INDEX(EF!$H$100:$H$115,MATCH(Emissions!$D64,EF!$D$100:$D$115,0))*INDEX(EF!$H$116:$H$131,MATCH(Emissions!$D64,EF!$D$116:$D$131,0))*kgtoGg</f>
        <v>2.6352277981703516</v>
      </c>
      <c r="AY64" s="22">
        <f>INDEX('Activity data'!AY$24:AY$39,MATCH(Emissions!$D64,'Activity data'!$D$24:$D$39,0))*INDEX(EF!$H$84:$H$99,MATCH(Emissions!$D64,EF!$D$84:$D$99,0))*INDEX(EF!$H$100:$H$115,MATCH(Emissions!$D64,EF!$D$100:$D$115,0))*INDEX(EF!$H$116:$H$131,MATCH(Emissions!$D64,EF!$D$116:$D$131,0))*kgtoGg</f>
        <v>2.6268031962440044</v>
      </c>
      <c r="AZ64" s="22">
        <f>INDEX('Activity data'!AZ$24:AZ$39,MATCH(Emissions!$D64,'Activity data'!$D$24:$D$39,0))*INDEX(EF!$H$84:$H$99,MATCH(Emissions!$D64,EF!$D$84:$D$99,0))*INDEX(EF!$H$100:$H$115,MATCH(Emissions!$D64,EF!$D$100:$D$115,0))*INDEX(EF!$H$116:$H$131,MATCH(Emissions!$D64,EF!$D$116:$D$131,0))*kgtoGg</f>
        <v>2.6183785943176563</v>
      </c>
      <c r="BA64" s="22">
        <f>INDEX('Activity data'!BA$24:BA$39,MATCH(Emissions!$D64,'Activity data'!$D$24:$D$39,0))*INDEX(EF!$H$84:$H$99,MATCH(Emissions!$D64,EF!$D$84:$D$99,0))*INDEX(EF!$H$100:$H$115,MATCH(Emissions!$D64,EF!$D$100:$D$115,0))*INDEX(EF!$H$116:$H$131,MATCH(Emissions!$D64,EF!$D$116:$D$131,0))*kgtoGg</f>
        <v>2.6099539923913087</v>
      </c>
      <c r="BB64" s="22">
        <f>INDEX('Activity data'!BB$24:BB$39,MATCH(Emissions!$D64,'Activity data'!$D$24:$D$39,0))*INDEX(EF!$H$84:$H$99,MATCH(Emissions!$D64,EF!$D$84:$D$99,0))*INDEX(EF!$H$100:$H$115,MATCH(Emissions!$D64,EF!$D$100:$D$115,0))*INDEX(EF!$H$116:$H$131,MATCH(Emissions!$D64,EF!$D$116:$D$131,0))*kgtoGg</f>
        <v>2.601529390464961</v>
      </c>
      <c r="BC64" s="22">
        <f>INDEX('Activity data'!BC$24:BC$39,MATCH(Emissions!$D64,'Activity data'!$D$24:$D$39,0))*INDEX(EF!$H$84:$H$99,MATCH(Emissions!$D64,EF!$D$84:$D$99,0))*INDEX(EF!$H$100:$H$115,MATCH(Emissions!$D64,EF!$D$100:$D$115,0))*INDEX(EF!$H$116:$H$131,MATCH(Emissions!$D64,EF!$D$116:$D$131,0))*kgtoGg</f>
        <v>2.5931047885386134</v>
      </c>
      <c r="BD64" s="22">
        <f>INDEX('Activity data'!BD$24:BD$39,MATCH(Emissions!$D64,'Activity data'!$D$24:$D$39,0))*INDEX(EF!$H$84:$H$99,MATCH(Emissions!$D64,EF!$D$84:$D$99,0))*INDEX(EF!$H$100:$H$115,MATCH(Emissions!$D64,EF!$D$100:$D$115,0))*INDEX(EF!$H$116:$H$131,MATCH(Emissions!$D64,EF!$D$116:$D$131,0))*kgtoGg</f>
        <v>2.5846801866122653</v>
      </c>
      <c r="BE64" s="22">
        <f>INDEX('Activity data'!BE$24:BE$39,MATCH(Emissions!$D64,'Activity data'!$D$24:$D$39,0))*INDEX(EF!$H$84:$H$99,MATCH(Emissions!$D64,EF!$D$84:$D$99,0))*INDEX(EF!$H$100:$H$115,MATCH(Emissions!$D64,EF!$D$100:$D$115,0))*INDEX(EF!$H$116:$H$131,MATCH(Emissions!$D64,EF!$D$116:$D$131,0))*kgtoGg</f>
        <v>2.5762555846859176</v>
      </c>
      <c r="BF64" s="22">
        <f>INDEX('Activity data'!BF$24:BF$39,MATCH(Emissions!$D64,'Activity data'!$D$24:$D$39,0))*INDEX(EF!$H$84:$H$99,MATCH(Emissions!$D64,EF!$D$84:$D$99,0))*INDEX(EF!$H$100:$H$115,MATCH(Emissions!$D64,EF!$D$100:$D$115,0))*INDEX(EF!$H$116:$H$131,MATCH(Emissions!$D64,EF!$D$116:$D$131,0))*kgtoGg</f>
        <v>2.56783098275957</v>
      </c>
      <c r="BG64" s="22">
        <f>INDEX('Activity data'!BG$24:BG$39,MATCH(Emissions!$D64,'Activity data'!$D$24:$D$39,0))*INDEX(EF!$H$84:$H$99,MATCH(Emissions!$D64,EF!$D$84:$D$99,0))*INDEX(EF!$H$100:$H$115,MATCH(Emissions!$D64,EF!$D$100:$D$115,0))*INDEX(EF!$H$116:$H$131,MATCH(Emissions!$D64,EF!$D$116:$D$131,0))*kgtoGg</f>
        <v>2.5594063808332219</v>
      </c>
      <c r="BH64" s="22">
        <f>INDEX('Activity data'!BH$24:BH$39,MATCH(Emissions!$D64,'Activity data'!$D$24:$D$39,0))*INDEX(EF!$H$84:$H$99,MATCH(Emissions!$D64,EF!$D$84:$D$99,0))*INDEX(EF!$H$100:$H$115,MATCH(Emissions!$D64,EF!$D$100:$D$115,0))*INDEX(EF!$H$116:$H$131,MATCH(Emissions!$D64,EF!$D$116:$D$131,0))*kgtoGg</f>
        <v>2.5509817789068738</v>
      </c>
      <c r="BI64" s="22">
        <f>INDEX('Activity data'!BI$24:BI$39,MATCH(Emissions!$D64,'Activity data'!$D$24:$D$39,0))*INDEX(EF!$H$84:$H$99,MATCH(Emissions!$D64,EF!$D$84:$D$99,0))*INDEX(EF!$H$100:$H$115,MATCH(Emissions!$D64,EF!$D$100:$D$115,0))*INDEX(EF!$H$116:$H$131,MATCH(Emissions!$D64,EF!$D$116:$D$131,0))*kgtoGg</f>
        <v>2.5425571769805266</v>
      </c>
      <c r="BJ64" s="22">
        <f>INDEX('Activity data'!BJ$24:BJ$39,MATCH(Emissions!$D64,'Activity data'!$D$24:$D$39,0))*INDEX(EF!$H$84:$H$99,MATCH(Emissions!$D64,EF!$D$84:$D$99,0))*INDEX(EF!$H$100:$H$115,MATCH(Emissions!$D64,EF!$D$100:$D$115,0))*INDEX(EF!$H$116:$H$131,MATCH(Emissions!$D64,EF!$D$116:$D$131,0))*kgtoGg</f>
        <v>2.5341325750541785</v>
      </c>
      <c r="BK64" s="22">
        <f>INDEX('Activity data'!BK$24:BK$39,MATCH(Emissions!$D64,'Activity data'!$D$24:$D$39,0))*INDEX(EF!$H$84:$H$99,MATCH(Emissions!$D64,EF!$D$84:$D$99,0))*INDEX(EF!$H$100:$H$115,MATCH(Emissions!$D64,EF!$D$100:$D$115,0))*INDEX(EF!$H$116:$H$131,MATCH(Emissions!$D64,EF!$D$116:$D$131,0))*kgtoGg</f>
        <v>2.52570797312783</v>
      </c>
      <c r="BL64" s="22">
        <f>INDEX('Activity data'!BL$24:BL$39,MATCH(Emissions!$D64,'Activity data'!$D$24:$D$39,0))*INDEX(EF!$H$84:$H$99,MATCH(Emissions!$D64,EF!$D$84:$D$99,0))*INDEX(EF!$H$100:$H$115,MATCH(Emissions!$D64,EF!$D$100:$D$115,0))*INDEX(EF!$H$116:$H$131,MATCH(Emissions!$D64,EF!$D$116:$D$131,0))*kgtoGg</f>
        <v>2.5172833712014828</v>
      </c>
      <c r="BM64" s="22">
        <f>INDEX('Activity data'!BM$24:BM$39,MATCH(Emissions!$D64,'Activity data'!$D$24:$D$39,0))*INDEX(EF!$H$84:$H$99,MATCH(Emissions!$D64,EF!$D$84:$D$99,0))*INDEX(EF!$H$100:$H$115,MATCH(Emissions!$D64,EF!$D$100:$D$115,0))*INDEX(EF!$H$116:$H$131,MATCH(Emissions!$D64,EF!$D$116:$D$131,0))*kgtoGg</f>
        <v>2.5088587692751347</v>
      </c>
      <c r="BN64" s="22">
        <f>INDEX('Activity data'!BN$24:BN$39,MATCH(Emissions!$D64,'Activity data'!$D$24:$D$39,0))*INDEX(EF!$H$84:$H$99,MATCH(Emissions!$D64,EF!$D$84:$D$99,0))*INDEX(EF!$H$100:$H$115,MATCH(Emissions!$D64,EF!$D$100:$D$115,0))*INDEX(EF!$H$116:$H$131,MATCH(Emissions!$D64,EF!$D$116:$D$131,0))*kgtoGg</f>
        <v>2.5004341673487875</v>
      </c>
      <c r="BO64" s="22">
        <f>INDEX('Activity data'!BO$24:BO$39,MATCH(Emissions!$D64,'Activity data'!$D$24:$D$39,0))*INDEX(EF!$H$84:$H$99,MATCH(Emissions!$D64,EF!$D$84:$D$99,0))*INDEX(EF!$H$100:$H$115,MATCH(Emissions!$D64,EF!$D$100:$D$115,0))*INDEX(EF!$H$116:$H$131,MATCH(Emissions!$D64,EF!$D$116:$D$131,0))*kgtoGg</f>
        <v>2.4920095654224399</v>
      </c>
      <c r="BP64" s="22">
        <f>INDEX('Activity data'!BP$24:BP$39,MATCH(Emissions!$D64,'Activity data'!$D$24:$D$39,0))*INDEX(EF!$H$84:$H$99,MATCH(Emissions!$D64,EF!$D$84:$D$99,0))*INDEX(EF!$H$100:$H$115,MATCH(Emissions!$D64,EF!$D$100:$D$115,0))*INDEX(EF!$H$116:$H$131,MATCH(Emissions!$D64,EF!$D$116:$D$131,0))*kgtoGg</f>
        <v>2.4835849634960923</v>
      </c>
    </row>
    <row r="65" spans="1:68" x14ac:dyDescent="0.3">
      <c r="A65" t="str">
        <f t="shared" si="19"/>
        <v>3C Aggregated and non-CO2 emissions on land</v>
      </c>
      <c r="B65" t="str">
        <f t="shared" si="20"/>
        <v>3C1 Biomass burning (CH4)</v>
      </c>
      <c r="C65" t="str">
        <f>C64</f>
        <v>3C1c Biomass burning in Grasslands</v>
      </c>
      <c r="D65" t="str">
        <f>EF!D95</f>
        <v>Degraded land</v>
      </c>
      <c r="E65" t="s">
        <v>641</v>
      </c>
      <c r="F65" t="str">
        <f t="shared" si="21"/>
        <v>CH4</v>
      </c>
      <c r="G65" t="str">
        <f t="shared" si="22"/>
        <v>Gg CH4</v>
      </c>
      <c r="H65" s="22">
        <f>INDEX('Activity data'!H$24:H$39,MATCH(Emissions!$D65,'Activity data'!$D$24:$D$39,0))*INDEX(EF!$H$84:$H$99,MATCH(Emissions!$D65,EF!$D$84:$D$99,0))*INDEX(EF!$H$100:$H$115,MATCH(Emissions!$D65,EF!$D$100:$D$115,0))*INDEX(EF!$H$116:$H$131,MATCH(Emissions!$D65,EF!$D$116:$D$131,0))*kgtoGg</f>
        <v>0.28388450845043828</v>
      </c>
      <c r="I65" s="22">
        <f>INDEX('Activity data'!I$24:I$39,MATCH(Emissions!$D65,'Activity data'!$D$24:$D$39,0))*INDEX(EF!$H$84:$H$99,MATCH(Emissions!$D65,EF!$D$84:$D$99,0))*INDEX(EF!$H$100:$H$115,MATCH(Emissions!$D65,EF!$D$100:$D$115,0))*INDEX(EF!$H$116:$H$131,MATCH(Emissions!$D65,EF!$D$116:$D$131,0))*kgtoGg</f>
        <v>0.28388450845043828</v>
      </c>
      <c r="J65" s="22">
        <f>INDEX('Activity data'!J$24:J$39,MATCH(Emissions!$D65,'Activity data'!$D$24:$D$39,0))*INDEX(EF!$H$84:$H$99,MATCH(Emissions!$D65,EF!$D$84:$D$99,0))*INDEX(EF!$H$100:$H$115,MATCH(Emissions!$D65,EF!$D$100:$D$115,0))*INDEX(EF!$H$116:$H$131,MATCH(Emissions!$D65,EF!$D$116:$D$131,0))*kgtoGg</f>
        <v>0.28388450845043828</v>
      </c>
      <c r="K65" s="22">
        <f>INDEX('Activity data'!K$24:K$39,MATCH(Emissions!$D65,'Activity data'!$D$24:$D$39,0))*INDEX(EF!$H$84:$H$99,MATCH(Emissions!$D65,EF!$D$84:$D$99,0))*INDEX(EF!$H$100:$H$115,MATCH(Emissions!$D65,EF!$D$100:$D$115,0))*INDEX(EF!$H$116:$H$131,MATCH(Emissions!$D65,EF!$D$116:$D$131,0))*kgtoGg</f>
        <v>0.28388450845043828</v>
      </c>
      <c r="L65" s="22">
        <f>INDEX('Activity data'!L$24:L$39,MATCH(Emissions!$D65,'Activity data'!$D$24:$D$39,0))*INDEX(EF!$H$84:$H$99,MATCH(Emissions!$D65,EF!$D$84:$D$99,0))*INDEX(EF!$H$100:$H$115,MATCH(Emissions!$D65,EF!$D$100:$D$115,0))*INDEX(EF!$H$116:$H$131,MATCH(Emissions!$D65,EF!$D$116:$D$131,0))*kgtoGg</f>
        <v>0.28388450845043828</v>
      </c>
      <c r="M65" s="22">
        <f>INDEX('Activity data'!M$24:M$39,MATCH(Emissions!$D65,'Activity data'!$D$24:$D$39,0))*INDEX(EF!$H$84:$H$99,MATCH(Emissions!$D65,EF!$D$84:$D$99,0))*INDEX(EF!$H$100:$H$115,MATCH(Emissions!$D65,EF!$D$100:$D$115,0))*INDEX(EF!$H$116:$H$131,MATCH(Emissions!$D65,EF!$D$116:$D$131,0))*kgtoGg</f>
        <v>0.28388450845043828</v>
      </c>
      <c r="N65" s="22">
        <f>INDEX('Activity data'!N$24:N$39,MATCH(Emissions!$D65,'Activity data'!$D$24:$D$39,0))*INDEX(EF!$H$84:$H$99,MATCH(Emissions!$D65,EF!$D$84:$D$99,0))*INDEX(EF!$H$100:$H$115,MATCH(Emissions!$D65,EF!$D$100:$D$115,0))*INDEX(EF!$H$116:$H$131,MATCH(Emissions!$D65,EF!$D$116:$D$131,0))*kgtoGg</f>
        <v>0.28388450845043828</v>
      </c>
      <c r="O65" s="22">
        <f>INDEX('Activity data'!O$24:O$39,MATCH(Emissions!$D65,'Activity data'!$D$24:$D$39,0))*INDEX(EF!$H$84:$H$99,MATCH(Emissions!$D65,EF!$D$84:$D$99,0))*INDEX(EF!$H$100:$H$115,MATCH(Emissions!$D65,EF!$D$100:$D$115,0))*INDEX(EF!$H$116:$H$131,MATCH(Emissions!$D65,EF!$D$116:$D$131,0))*kgtoGg</f>
        <v>0.28388450845043828</v>
      </c>
      <c r="P65" s="22">
        <f>INDEX('Activity data'!P$24:P$39,MATCH(Emissions!$D65,'Activity data'!$D$24:$D$39,0))*INDEX(EF!$H$84:$H$99,MATCH(Emissions!$D65,EF!$D$84:$D$99,0))*INDEX(EF!$H$100:$H$115,MATCH(Emissions!$D65,EF!$D$100:$D$115,0))*INDEX(EF!$H$116:$H$131,MATCH(Emissions!$D65,EF!$D$116:$D$131,0))*kgtoGg</f>
        <v>0.28388450845043828</v>
      </c>
      <c r="Q65" s="22">
        <f>INDEX('Activity data'!Q$24:Q$39,MATCH(Emissions!$D65,'Activity data'!$D$24:$D$39,0))*INDEX(EF!$H$84:$H$99,MATCH(Emissions!$D65,EF!$D$84:$D$99,0))*INDEX(EF!$H$100:$H$115,MATCH(Emissions!$D65,EF!$D$100:$D$115,0))*INDEX(EF!$H$116:$H$131,MATCH(Emissions!$D65,EF!$D$116:$D$131,0))*kgtoGg</f>
        <v>0.28388450845043828</v>
      </c>
      <c r="R65" s="22">
        <f>INDEX('Activity data'!R$24:R$39,MATCH(Emissions!$D65,'Activity data'!$D$24:$D$39,0))*INDEX(EF!$H$84:$H$99,MATCH(Emissions!$D65,EF!$D$84:$D$99,0))*INDEX(EF!$H$100:$H$115,MATCH(Emissions!$D65,EF!$D$100:$D$115,0))*INDEX(EF!$H$116:$H$131,MATCH(Emissions!$D65,EF!$D$116:$D$131,0))*kgtoGg</f>
        <v>0.31237273176162411</v>
      </c>
      <c r="S65" s="22">
        <f>INDEX('Activity data'!S$24:S$39,MATCH(Emissions!$D65,'Activity data'!$D$24:$D$39,0))*INDEX(EF!$H$84:$H$99,MATCH(Emissions!$D65,EF!$D$84:$D$99,0))*INDEX(EF!$H$100:$H$115,MATCH(Emissions!$D65,EF!$D$100:$D$115,0))*INDEX(EF!$H$116:$H$131,MATCH(Emissions!$D65,EF!$D$116:$D$131,0))*kgtoGg</f>
        <v>0.28275941468330501</v>
      </c>
      <c r="T65" s="22">
        <f>INDEX('Activity data'!T$24:T$39,MATCH(Emissions!$D65,'Activity data'!$D$24:$D$39,0))*INDEX(EF!$H$84:$H$99,MATCH(Emissions!$D65,EF!$D$84:$D$99,0))*INDEX(EF!$H$100:$H$115,MATCH(Emissions!$D65,EF!$D$100:$D$115,0))*INDEX(EF!$H$116:$H$131,MATCH(Emissions!$D65,EF!$D$116:$D$131,0))*kgtoGg</f>
        <v>0.37849852581106064</v>
      </c>
      <c r="U65" s="22">
        <f>INDEX('Activity data'!U$24:U$39,MATCH(Emissions!$D65,'Activity data'!$D$24:$D$39,0))*INDEX(EF!$H$84:$H$99,MATCH(Emissions!$D65,EF!$D$84:$D$99,0))*INDEX(EF!$H$100:$H$115,MATCH(Emissions!$D65,EF!$D$100:$D$115,0))*INDEX(EF!$H$116:$H$131,MATCH(Emissions!$D65,EF!$D$116:$D$131,0))*kgtoGg</f>
        <v>0.11134182657762272</v>
      </c>
      <c r="V65" s="22">
        <f>INDEX('Activity data'!V$24:V$39,MATCH(Emissions!$D65,'Activity data'!$D$24:$D$39,0))*INDEX(EF!$H$84:$H$99,MATCH(Emissions!$D65,EF!$D$84:$D$99,0))*INDEX(EF!$H$100:$H$115,MATCH(Emissions!$D65,EF!$D$100:$D$115,0))*INDEX(EF!$H$116:$H$131,MATCH(Emissions!$D65,EF!$D$116:$D$131,0))*kgtoGg</f>
        <v>0.33445004341857892</v>
      </c>
      <c r="W65" s="22">
        <f>INDEX('Activity data'!W$24:W$39,MATCH(Emissions!$D65,'Activity data'!$D$24:$D$39,0))*INDEX(EF!$H$84:$H$99,MATCH(Emissions!$D65,EF!$D$84:$D$99,0))*INDEX(EF!$H$100:$H$115,MATCH(Emissions!$D65,EF!$D$100:$D$115,0))*INDEX(EF!$H$116:$H$131,MATCH(Emissions!$D65,EF!$D$116:$D$131,0))*kgtoGg</f>
        <v>0.40970395671079474</v>
      </c>
      <c r="X65" s="22">
        <f>INDEX('Activity data'!X$24:X$39,MATCH(Emissions!$D65,'Activity data'!$D$24:$D$39,0))*INDEX(EF!$H$84:$H$99,MATCH(Emissions!$D65,EF!$D$84:$D$99,0))*INDEX(EF!$H$100:$H$115,MATCH(Emissions!$D65,EF!$D$100:$D$115,0))*INDEX(EF!$H$116:$H$131,MATCH(Emissions!$D65,EF!$D$116:$D$131,0))*kgtoGg</f>
        <v>0.60701992964482765</v>
      </c>
      <c r="Y65" s="22">
        <f>INDEX('Activity data'!Y$24:Y$39,MATCH(Emissions!$D65,'Activity data'!$D$24:$D$39,0))*INDEX(EF!$H$84:$H$99,MATCH(Emissions!$D65,EF!$D$84:$D$99,0))*INDEX(EF!$H$100:$H$115,MATCH(Emissions!$D65,EF!$D$100:$D$115,0))*INDEX(EF!$H$116:$H$131,MATCH(Emissions!$D65,EF!$D$116:$D$131,0))*kgtoGg</f>
        <v>9.2342601642070338E-2</v>
      </c>
      <c r="Z65" s="22">
        <f>INDEX('Activity data'!Z$24:Z$39,MATCH(Emissions!$D65,'Activity data'!$D$24:$D$39,0))*INDEX(EF!$H$84:$H$99,MATCH(Emissions!$D65,EF!$D$84:$D$99,0))*INDEX(EF!$H$100:$H$115,MATCH(Emissions!$D65,EF!$D$100:$D$115,0))*INDEX(EF!$H$116:$H$131,MATCH(Emissions!$D65,EF!$D$116:$D$131,0))*kgtoGg</f>
        <v>0.43199355021060487</v>
      </c>
      <c r="AA65" s="22">
        <f>INDEX('Activity data'!AA$24:AA$39,MATCH(Emissions!$D65,'Activity data'!$D$24:$D$39,0))*INDEX(EF!$H$84:$H$99,MATCH(Emissions!$D65,EF!$D$84:$D$99,0))*INDEX(EF!$H$100:$H$115,MATCH(Emissions!$D65,EF!$D$100:$D$115,0))*INDEX(EF!$H$116:$H$131,MATCH(Emissions!$D65,EF!$D$116:$D$131,0))*kgtoGg</f>
        <v>0.2804243144118963</v>
      </c>
      <c r="AB65" s="22">
        <f>INDEX('Activity data'!AB$24:AB$39,MATCH(Emissions!$D65,'Activity data'!$D$24:$D$39,0))*INDEX(EF!$H$84:$H$99,MATCH(Emissions!$D65,EF!$D$84:$D$99,0))*INDEX(EF!$H$100:$H$115,MATCH(Emissions!$D65,EF!$D$100:$D$115,0))*INDEX(EF!$H$116:$H$131,MATCH(Emissions!$D65,EF!$D$116:$D$131,0))*kgtoGg</f>
        <v>0.37741233600000001</v>
      </c>
      <c r="AC65" s="22">
        <f>INDEX('Activity data'!AC$24:AC$39,MATCH(Emissions!$D65,'Activity data'!$D$24:$D$39,0))*INDEX(EF!$H$84:$H$99,MATCH(Emissions!$D65,EF!$D$84:$D$99,0))*INDEX(EF!$H$100:$H$115,MATCH(Emissions!$D65,EF!$D$100:$D$115,0))*INDEX(EF!$H$116:$H$131,MATCH(Emissions!$D65,EF!$D$116:$D$131,0))*kgtoGg</f>
        <v>0.44425760399999997</v>
      </c>
      <c r="AD65" s="22">
        <f>INDEX('Activity data'!AD$24:AD$39,MATCH(Emissions!$D65,'Activity data'!$D$24:$D$39,0))*INDEX(EF!$H$84:$H$99,MATCH(Emissions!$D65,EF!$D$84:$D$99,0))*INDEX(EF!$H$100:$H$115,MATCH(Emissions!$D65,EF!$D$100:$D$115,0))*INDEX(EF!$H$116:$H$131,MATCH(Emissions!$D65,EF!$D$116:$D$131,0))*kgtoGg</f>
        <v>0.26663358404846588</v>
      </c>
      <c r="AE65" s="22">
        <f>INDEX('Activity data'!AE$24:AE$39,MATCH(Emissions!$D65,'Activity data'!$D$24:$D$39,0))*INDEX(EF!$H$84:$H$99,MATCH(Emissions!$D65,EF!$D$84:$D$99,0))*INDEX(EF!$H$100:$H$115,MATCH(Emissions!$D65,EF!$D$100:$D$115,0))*INDEX(EF!$H$116:$H$131,MATCH(Emissions!$D65,EF!$D$116:$D$131,0))*kgtoGg</f>
        <v>0.26663358404846588</v>
      </c>
      <c r="AF65" s="22">
        <f>INDEX('Activity data'!AF$24:AF$39,MATCH(Emissions!$D65,'Activity data'!$D$24:$D$39,0))*INDEX(EF!$H$84:$H$99,MATCH(Emissions!$D65,EF!$D$84:$D$99,0))*INDEX(EF!$H$100:$H$115,MATCH(Emissions!$D65,EF!$D$100:$D$115,0))*INDEX(EF!$H$116:$H$131,MATCH(Emissions!$D65,EF!$D$116:$D$131,0))*kgtoGg</f>
        <v>0.26663358404846588</v>
      </c>
      <c r="AG65" s="22">
        <f>INDEX('Activity data'!AG$24:AG$39,MATCH(Emissions!$D65,'Activity data'!$D$24:$D$39,0))*INDEX(EF!$H$84:$H$99,MATCH(Emissions!$D65,EF!$D$84:$D$99,0))*INDEX(EF!$H$100:$H$115,MATCH(Emissions!$D65,EF!$D$100:$D$115,0))*INDEX(EF!$H$116:$H$131,MATCH(Emissions!$D65,EF!$D$116:$D$131,0))*kgtoGg</f>
        <v>0.26663358404846588</v>
      </c>
      <c r="AH65" s="22">
        <f>INDEX('Activity data'!AH$24:AH$39,MATCH(Emissions!$D65,'Activity data'!$D$24:$D$39,0))*INDEX(EF!$H$84:$H$99,MATCH(Emissions!$D65,EF!$D$84:$D$99,0))*INDEX(EF!$H$100:$H$115,MATCH(Emissions!$D65,EF!$D$100:$D$115,0))*INDEX(EF!$H$116:$H$131,MATCH(Emissions!$D65,EF!$D$116:$D$131,0))*kgtoGg</f>
        <v>0.26663358404846588</v>
      </c>
      <c r="AI65" s="22">
        <f>INDEX('Activity data'!AI$24:AI$39,MATCH(Emissions!$D65,'Activity data'!$D$24:$D$39,0))*INDEX(EF!$H$84:$H$99,MATCH(Emissions!$D65,EF!$D$84:$D$99,0))*INDEX(EF!$H$100:$H$115,MATCH(Emissions!$D65,EF!$D$100:$D$115,0))*INDEX(EF!$H$116:$H$131,MATCH(Emissions!$D65,EF!$D$116:$D$131,0))*kgtoGg</f>
        <v>0.26663358404846588</v>
      </c>
      <c r="AJ65" s="22">
        <f>INDEX('Activity data'!AJ$24:AJ$39,MATCH(Emissions!$D65,'Activity data'!$D$24:$D$39,0))*INDEX(EF!$H$84:$H$99,MATCH(Emissions!$D65,EF!$D$84:$D$99,0))*INDEX(EF!$H$100:$H$115,MATCH(Emissions!$D65,EF!$D$100:$D$115,0))*INDEX(EF!$H$116:$H$131,MATCH(Emissions!$D65,EF!$D$116:$D$131,0))*kgtoGg</f>
        <v>0.26663358404846588</v>
      </c>
      <c r="AK65" s="22">
        <f>INDEX('Activity data'!AK$24:AK$39,MATCH(Emissions!$D65,'Activity data'!$D$24:$D$39,0))*INDEX(EF!$H$84:$H$99,MATCH(Emissions!$D65,EF!$D$84:$D$99,0))*INDEX(EF!$H$100:$H$115,MATCH(Emissions!$D65,EF!$D$100:$D$115,0))*INDEX(EF!$H$116:$H$131,MATCH(Emissions!$D65,EF!$D$116:$D$131,0))*kgtoGg</f>
        <v>0.26663358404846588</v>
      </c>
      <c r="AL65" s="22">
        <f>INDEX('Activity data'!AL$24:AL$39,MATCH(Emissions!$D65,'Activity data'!$D$24:$D$39,0))*INDEX(EF!$H$84:$H$99,MATCH(Emissions!$D65,EF!$D$84:$D$99,0))*INDEX(EF!$H$100:$H$115,MATCH(Emissions!$D65,EF!$D$100:$D$115,0))*INDEX(EF!$H$116:$H$131,MATCH(Emissions!$D65,EF!$D$116:$D$131,0))*kgtoGg</f>
        <v>0.26663358404846588</v>
      </c>
      <c r="AM65" s="22">
        <f>INDEX('Activity data'!AM$24:AM$39,MATCH(Emissions!$D65,'Activity data'!$D$24:$D$39,0))*INDEX(EF!$H$84:$H$99,MATCH(Emissions!$D65,EF!$D$84:$D$99,0))*INDEX(EF!$H$100:$H$115,MATCH(Emissions!$D65,EF!$D$100:$D$115,0))*INDEX(EF!$H$116:$H$131,MATCH(Emissions!$D65,EF!$D$116:$D$131,0))*kgtoGg</f>
        <v>0.26663358404846588</v>
      </c>
      <c r="AN65" s="22">
        <f>INDEX('Activity data'!AN$24:AN$39,MATCH(Emissions!$D65,'Activity data'!$D$24:$D$39,0))*INDEX(EF!$H$84:$H$99,MATCH(Emissions!$D65,EF!$D$84:$D$99,0))*INDEX(EF!$H$100:$H$115,MATCH(Emissions!$D65,EF!$D$100:$D$115,0))*INDEX(EF!$H$116:$H$131,MATCH(Emissions!$D65,EF!$D$116:$D$131,0))*kgtoGg</f>
        <v>0.26663358404846588</v>
      </c>
      <c r="AO65" s="22">
        <f>INDEX('Activity data'!AO$24:AO$39,MATCH(Emissions!$D65,'Activity data'!$D$24:$D$39,0))*INDEX(EF!$H$84:$H$99,MATCH(Emissions!$D65,EF!$D$84:$D$99,0))*INDEX(EF!$H$100:$H$115,MATCH(Emissions!$D65,EF!$D$100:$D$115,0))*INDEX(EF!$H$116:$H$131,MATCH(Emissions!$D65,EF!$D$116:$D$131,0))*kgtoGg</f>
        <v>0.26663358404846588</v>
      </c>
      <c r="AP65" s="22">
        <f>INDEX('Activity data'!AP$24:AP$39,MATCH(Emissions!$D65,'Activity data'!$D$24:$D$39,0))*INDEX(EF!$H$84:$H$99,MATCH(Emissions!$D65,EF!$D$84:$D$99,0))*INDEX(EF!$H$100:$H$115,MATCH(Emissions!$D65,EF!$D$100:$D$115,0))*INDEX(EF!$H$116:$H$131,MATCH(Emissions!$D65,EF!$D$116:$D$131,0))*kgtoGg</f>
        <v>0.26663358404846588</v>
      </c>
      <c r="AQ65" s="22">
        <f>INDEX('Activity data'!AQ$24:AQ$39,MATCH(Emissions!$D65,'Activity data'!$D$24:$D$39,0))*INDEX(EF!$H$84:$H$99,MATCH(Emissions!$D65,EF!$D$84:$D$99,0))*INDEX(EF!$H$100:$H$115,MATCH(Emissions!$D65,EF!$D$100:$D$115,0))*INDEX(EF!$H$116:$H$131,MATCH(Emissions!$D65,EF!$D$116:$D$131,0))*kgtoGg</f>
        <v>0.26663358404846588</v>
      </c>
      <c r="AR65" s="22">
        <f>INDEX('Activity data'!AR$24:AR$39,MATCH(Emissions!$D65,'Activity data'!$D$24:$D$39,0))*INDEX(EF!$H$84:$H$99,MATCH(Emissions!$D65,EF!$D$84:$D$99,0))*INDEX(EF!$H$100:$H$115,MATCH(Emissions!$D65,EF!$D$100:$D$115,0))*INDEX(EF!$H$116:$H$131,MATCH(Emissions!$D65,EF!$D$116:$D$131,0))*kgtoGg</f>
        <v>0.26663358404846588</v>
      </c>
      <c r="AS65" s="22">
        <f>INDEX('Activity data'!AS$24:AS$39,MATCH(Emissions!$D65,'Activity data'!$D$24:$D$39,0))*INDEX(EF!$H$84:$H$99,MATCH(Emissions!$D65,EF!$D$84:$D$99,0))*INDEX(EF!$H$100:$H$115,MATCH(Emissions!$D65,EF!$D$100:$D$115,0))*INDEX(EF!$H$116:$H$131,MATCH(Emissions!$D65,EF!$D$116:$D$131,0))*kgtoGg</f>
        <v>0.26663358404846588</v>
      </c>
      <c r="AT65" s="22">
        <f>INDEX('Activity data'!AT$24:AT$39,MATCH(Emissions!$D65,'Activity data'!$D$24:$D$39,0))*INDEX(EF!$H$84:$H$99,MATCH(Emissions!$D65,EF!$D$84:$D$99,0))*INDEX(EF!$H$100:$H$115,MATCH(Emissions!$D65,EF!$D$100:$D$115,0))*INDEX(EF!$H$116:$H$131,MATCH(Emissions!$D65,EF!$D$116:$D$131,0))*kgtoGg</f>
        <v>0.26663358404846588</v>
      </c>
      <c r="AU65" s="22">
        <f>INDEX('Activity data'!AU$24:AU$39,MATCH(Emissions!$D65,'Activity data'!$D$24:$D$39,0))*INDEX(EF!$H$84:$H$99,MATCH(Emissions!$D65,EF!$D$84:$D$99,0))*INDEX(EF!$H$100:$H$115,MATCH(Emissions!$D65,EF!$D$100:$D$115,0))*INDEX(EF!$H$116:$H$131,MATCH(Emissions!$D65,EF!$D$116:$D$131,0))*kgtoGg</f>
        <v>0.26663358404846588</v>
      </c>
      <c r="AV65" s="22">
        <f>INDEX('Activity data'!AV$24:AV$39,MATCH(Emissions!$D65,'Activity data'!$D$24:$D$39,0))*INDEX(EF!$H$84:$H$99,MATCH(Emissions!$D65,EF!$D$84:$D$99,0))*INDEX(EF!$H$100:$H$115,MATCH(Emissions!$D65,EF!$D$100:$D$115,0))*INDEX(EF!$H$116:$H$131,MATCH(Emissions!$D65,EF!$D$116:$D$131,0))*kgtoGg</f>
        <v>0.26663358404846588</v>
      </c>
      <c r="AW65" s="22">
        <f>INDEX('Activity data'!AW$24:AW$39,MATCH(Emissions!$D65,'Activity data'!$D$24:$D$39,0))*INDEX(EF!$H$84:$H$99,MATCH(Emissions!$D65,EF!$D$84:$D$99,0))*INDEX(EF!$H$100:$H$115,MATCH(Emissions!$D65,EF!$D$100:$D$115,0))*INDEX(EF!$H$116:$H$131,MATCH(Emissions!$D65,EF!$D$116:$D$131,0))*kgtoGg</f>
        <v>0.26663358404846588</v>
      </c>
      <c r="AX65" s="22">
        <f>INDEX('Activity data'!AX$24:AX$39,MATCH(Emissions!$D65,'Activity data'!$D$24:$D$39,0))*INDEX(EF!$H$84:$H$99,MATCH(Emissions!$D65,EF!$D$84:$D$99,0))*INDEX(EF!$H$100:$H$115,MATCH(Emissions!$D65,EF!$D$100:$D$115,0))*INDEX(EF!$H$116:$H$131,MATCH(Emissions!$D65,EF!$D$116:$D$131,0))*kgtoGg</f>
        <v>0.26663358404846588</v>
      </c>
      <c r="AY65" s="22">
        <f>INDEX('Activity data'!AY$24:AY$39,MATCH(Emissions!$D65,'Activity data'!$D$24:$D$39,0))*INDEX(EF!$H$84:$H$99,MATCH(Emissions!$D65,EF!$D$84:$D$99,0))*INDEX(EF!$H$100:$H$115,MATCH(Emissions!$D65,EF!$D$100:$D$115,0))*INDEX(EF!$H$116:$H$131,MATCH(Emissions!$D65,EF!$D$116:$D$131,0))*kgtoGg</f>
        <v>0.26663358404846588</v>
      </c>
      <c r="AZ65" s="22">
        <f>INDEX('Activity data'!AZ$24:AZ$39,MATCH(Emissions!$D65,'Activity data'!$D$24:$D$39,0))*INDEX(EF!$H$84:$H$99,MATCH(Emissions!$D65,EF!$D$84:$D$99,0))*INDEX(EF!$H$100:$H$115,MATCH(Emissions!$D65,EF!$D$100:$D$115,0))*INDEX(EF!$H$116:$H$131,MATCH(Emissions!$D65,EF!$D$116:$D$131,0))*kgtoGg</f>
        <v>0.26663358404846588</v>
      </c>
      <c r="BA65" s="22">
        <f>INDEX('Activity data'!BA$24:BA$39,MATCH(Emissions!$D65,'Activity data'!$D$24:$D$39,0))*INDEX(EF!$H$84:$H$99,MATCH(Emissions!$D65,EF!$D$84:$D$99,0))*INDEX(EF!$H$100:$H$115,MATCH(Emissions!$D65,EF!$D$100:$D$115,0))*INDEX(EF!$H$116:$H$131,MATCH(Emissions!$D65,EF!$D$116:$D$131,0))*kgtoGg</f>
        <v>0.26663358404846588</v>
      </c>
      <c r="BB65" s="22">
        <f>INDEX('Activity data'!BB$24:BB$39,MATCH(Emissions!$D65,'Activity data'!$D$24:$D$39,0))*INDEX(EF!$H$84:$H$99,MATCH(Emissions!$D65,EF!$D$84:$D$99,0))*INDEX(EF!$H$100:$H$115,MATCH(Emissions!$D65,EF!$D$100:$D$115,0))*INDEX(EF!$H$116:$H$131,MATCH(Emissions!$D65,EF!$D$116:$D$131,0))*kgtoGg</f>
        <v>0.26663358404846588</v>
      </c>
      <c r="BC65" s="22">
        <f>INDEX('Activity data'!BC$24:BC$39,MATCH(Emissions!$D65,'Activity data'!$D$24:$D$39,0))*INDEX(EF!$H$84:$H$99,MATCH(Emissions!$D65,EF!$D$84:$D$99,0))*INDEX(EF!$H$100:$H$115,MATCH(Emissions!$D65,EF!$D$100:$D$115,0))*INDEX(EF!$H$116:$H$131,MATCH(Emissions!$D65,EF!$D$116:$D$131,0))*kgtoGg</f>
        <v>0.26663358404846588</v>
      </c>
      <c r="BD65" s="22">
        <f>INDEX('Activity data'!BD$24:BD$39,MATCH(Emissions!$D65,'Activity data'!$D$24:$D$39,0))*INDEX(EF!$H$84:$H$99,MATCH(Emissions!$D65,EF!$D$84:$D$99,0))*INDEX(EF!$H$100:$H$115,MATCH(Emissions!$D65,EF!$D$100:$D$115,0))*INDEX(EF!$H$116:$H$131,MATCH(Emissions!$D65,EF!$D$116:$D$131,0))*kgtoGg</f>
        <v>0.26663358404846588</v>
      </c>
      <c r="BE65" s="22">
        <f>INDEX('Activity data'!BE$24:BE$39,MATCH(Emissions!$D65,'Activity data'!$D$24:$D$39,0))*INDEX(EF!$H$84:$H$99,MATCH(Emissions!$D65,EF!$D$84:$D$99,0))*INDEX(EF!$H$100:$H$115,MATCH(Emissions!$D65,EF!$D$100:$D$115,0))*INDEX(EF!$H$116:$H$131,MATCH(Emissions!$D65,EF!$D$116:$D$131,0))*kgtoGg</f>
        <v>0.26663358404846588</v>
      </c>
      <c r="BF65" s="22">
        <f>INDEX('Activity data'!BF$24:BF$39,MATCH(Emissions!$D65,'Activity data'!$D$24:$D$39,0))*INDEX(EF!$H$84:$H$99,MATCH(Emissions!$D65,EF!$D$84:$D$99,0))*INDEX(EF!$H$100:$H$115,MATCH(Emissions!$D65,EF!$D$100:$D$115,0))*INDEX(EF!$H$116:$H$131,MATCH(Emissions!$D65,EF!$D$116:$D$131,0))*kgtoGg</f>
        <v>0.26663358404846588</v>
      </c>
      <c r="BG65" s="22">
        <f>INDEX('Activity data'!BG$24:BG$39,MATCH(Emissions!$D65,'Activity data'!$D$24:$D$39,0))*INDEX(EF!$H$84:$H$99,MATCH(Emissions!$D65,EF!$D$84:$D$99,0))*INDEX(EF!$H$100:$H$115,MATCH(Emissions!$D65,EF!$D$100:$D$115,0))*INDEX(EF!$H$116:$H$131,MATCH(Emissions!$D65,EF!$D$116:$D$131,0))*kgtoGg</f>
        <v>0.26663358404846588</v>
      </c>
      <c r="BH65" s="22">
        <f>INDEX('Activity data'!BH$24:BH$39,MATCH(Emissions!$D65,'Activity data'!$D$24:$D$39,0))*INDEX(EF!$H$84:$H$99,MATCH(Emissions!$D65,EF!$D$84:$D$99,0))*INDEX(EF!$H$100:$H$115,MATCH(Emissions!$D65,EF!$D$100:$D$115,0))*INDEX(EF!$H$116:$H$131,MATCH(Emissions!$D65,EF!$D$116:$D$131,0))*kgtoGg</f>
        <v>0.26663358404846588</v>
      </c>
      <c r="BI65" s="22">
        <f>INDEX('Activity data'!BI$24:BI$39,MATCH(Emissions!$D65,'Activity data'!$D$24:$D$39,0))*INDEX(EF!$H$84:$H$99,MATCH(Emissions!$D65,EF!$D$84:$D$99,0))*INDEX(EF!$H$100:$H$115,MATCH(Emissions!$D65,EF!$D$100:$D$115,0))*INDEX(EF!$H$116:$H$131,MATCH(Emissions!$D65,EF!$D$116:$D$131,0))*kgtoGg</f>
        <v>0.26663358404846588</v>
      </c>
      <c r="BJ65" s="22">
        <f>INDEX('Activity data'!BJ$24:BJ$39,MATCH(Emissions!$D65,'Activity data'!$D$24:$D$39,0))*INDEX(EF!$H$84:$H$99,MATCH(Emissions!$D65,EF!$D$84:$D$99,0))*INDEX(EF!$H$100:$H$115,MATCH(Emissions!$D65,EF!$D$100:$D$115,0))*INDEX(EF!$H$116:$H$131,MATCH(Emissions!$D65,EF!$D$116:$D$131,0))*kgtoGg</f>
        <v>0.26663358404846588</v>
      </c>
      <c r="BK65" s="22">
        <f>INDEX('Activity data'!BK$24:BK$39,MATCH(Emissions!$D65,'Activity data'!$D$24:$D$39,0))*INDEX(EF!$H$84:$H$99,MATCH(Emissions!$D65,EF!$D$84:$D$99,0))*INDEX(EF!$H$100:$H$115,MATCH(Emissions!$D65,EF!$D$100:$D$115,0))*INDEX(EF!$H$116:$H$131,MATCH(Emissions!$D65,EF!$D$116:$D$131,0))*kgtoGg</f>
        <v>0.26663358404846588</v>
      </c>
      <c r="BL65" s="22">
        <f>INDEX('Activity data'!BL$24:BL$39,MATCH(Emissions!$D65,'Activity data'!$D$24:$D$39,0))*INDEX(EF!$H$84:$H$99,MATCH(Emissions!$D65,EF!$D$84:$D$99,0))*INDEX(EF!$H$100:$H$115,MATCH(Emissions!$D65,EF!$D$100:$D$115,0))*INDEX(EF!$H$116:$H$131,MATCH(Emissions!$D65,EF!$D$116:$D$131,0))*kgtoGg</f>
        <v>0.26663358404846588</v>
      </c>
      <c r="BM65" s="22">
        <f>INDEX('Activity data'!BM$24:BM$39,MATCH(Emissions!$D65,'Activity data'!$D$24:$D$39,0))*INDEX(EF!$H$84:$H$99,MATCH(Emissions!$D65,EF!$D$84:$D$99,0))*INDEX(EF!$H$100:$H$115,MATCH(Emissions!$D65,EF!$D$100:$D$115,0))*INDEX(EF!$H$116:$H$131,MATCH(Emissions!$D65,EF!$D$116:$D$131,0))*kgtoGg</f>
        <v>0.26663358404846588</v>
      </c>
      <c r="BN65" s="22">
        <f>INDEX('Activity data'!BN$24:BN$39,MATCH(Emissions!$D65,'Activity data'!$D$24:$D$39,0))*INDEX(EF!$H$84:$H$99,MATCH(Emissions!$D65,EF!$D$84:$D$99,0))*INDEX(EF!$H$100:$H$115,MATCH(Emissions!$D65,EF!$D$100:$D$115,0))*INDEX(EF!$H$116:$H$131,MATCH(Emissions!$D65,EF!$D$116:$D$131,0))*kgtoGg</f>
        <v>0.26663358404846588</v>
      </c>
      <c r="BO65" s="22">
        <f>INDEX('Activity data'!BO$24:BO$39,MATCH(Emissions!$D65,'Activity data'!$D$24:$D$39,0))*INDEX(EF!$H$84:$H$99,MATCH(Emissions!$D65,EF!$D$84:$D$99,0))*INDEX(EF!$H$100:$H$115,MATCH(Emissions!$D65,EF!$D$100:$D$115,0))*INDEX(EF!$H$116:$H$131,MATCH(Emissions!$D65,EF!$D$116:$D$131,0))*kgtoGg</f>
        <v>0.26663358404846588</v>
      </c>
      <c r="BP65" s="22">
        <f>INDEX('Activity data'!BP$24:BP$39,MATCH(Emissions!$D65,'Activity data'!$D$24:$D$39,0))*INDEX(EF!$H$84:$H$99,MATCH(Emissions!$D65,EF!$D$84:$D$99,0))*INDEX(EF!$H$100:$H$115,MATCH(Emissions!$D65,EF!$D$100:$D$115,0))*INDEX(EF!$H$116:$H$131,MATCH(Emissions!$D65,EF!$D$116:$D$131,0))*kgtoGg</f>
        <v>0.26663358404846588</v>
      </c>
    </row>
    <row r="66" spans="1:68" x14ac:dyDescent="0.3">
      <c r="A66" t="str">
        <f t="shared" si="19"/>
        <v>3C Aggregated and non-CO2 emissions on land</v>
      </c>
      <c r="B66" t="str">
        <f t="shared" si="20"/>
        <v>3C1 Biomass burning (CH4)</v>
      </c>
      <c r="C66" t="str">
        <f>'IPCC Categories'!C62</f>
        <v>3C1d Biomass burning in Wetlands</v>
      </c>
      <c r="D66" t="str">
        <f>EF!D96</f>
        <v>Wetlands</v>
      </c>
      <c r="E66" t="s">
        <v>652</v>
      </c>
      <c r="F66" t="str">
        <f t="shared" ref="F66:F69" si="23">F65</f>
        <v>CH4</v>
      </c>
      <c r="G66" t="str">
        <f t="shared" ref="G66:G69" si="24">G65</f>
        <v>Gg CH4</v>
      </c>
      <c r="H66" s="22">
        <f>INDEX('Activity data'!H$24:H$39,MATCH(Emissions!$D66,'Activity data'!$D$24:$D$39,0))*INDEX(EF!$H$84:$H$99,MATCH(Emissions!$D66,EF!$D$84:$D$99,0))*INDEX(EF!$H$100:$H$115,MATCH(Emissions!$D66,EF!$D$100:$D$115,0))*INDEX(EF!$H$116:$H$131,MATCH(Emissions!$D66,EF!$D$116:$D$131,0))*kgtoGg</f>
        <v>0.80577517347341965</v>
      </c>
      <c r="I66" s="22">
        <f>INDEX('Activity data'!I$24:I$39,MATCH(Emissions!$D66,'Activity data'!$D$24:$D$39,0))*INDEX(EF!$H$84:$H$99,MATCH(Emissions!$D66,EF!$D$84:$D$99,0))*INDEX(EF!$H$100:$H$115,MATCH(Emissions!$D66,EF!$D$100:$D$115,0))*INDEX(EF!$H$116:$H$131,MATCH(Emissions!$D66,EF!$D$116:$D$131,0))*kgtoGg</f>
        <v>0.80577517347341965</v>
      </c>
      <c r="J66" s="22">
        <f>INDEX('Activity data'!J$24:J$39,MATCH(Emissions!$D66,'Activity data'!$D$24:$D$39,0))*INDEX(EF!$H$84:$H$99,MATCH(Emissions!$D66,EF!$D$84:$D$99,0))*INDEX(EF!$H$100:$H$115,MATCH(Emissions!$D66,EF!$D$100:$D$115,0))*INDEX(EF!$H$116:$H$131,MATCH(Emissions!$D66,EF!$D$116:$D$131,0))*kgtoGg</f>
        <v>0.80577517347341965</v>
      </c>
      <c r="K66" s="22">
        <f>INDEX('Activity data'!K$24:K$39,MATCH(Emissions!$D66,'Activity data'!$D$24:$D$39,0))*INDEX(EF!$H$84:$H$99,MATCH(Emissions!$D66,EF!$D$84:$D$99,0))*INDEX(EF!$H$100:$H$115,MATCH(Emissions!$D66,EF!$D$100:$D$115,0))*INDEX(EF!$H$116:$H$131,MATCH(Emissions!$D66,EF!$D$116:$D$131,0))*kgtoGg</f>
        <v>0.80577517347341965</v>
      </c>
      <c r="L66" s="22">
        <f>INDEX('Activity data'!L$24:L$39,MATCH(Emissions!$D66,'Activity data'!$D$24:$D$39,0))*INDEX(EF!$H$84:$H$99,MATCH(Emissions!$D66,EF!$D$84:$D$99,0))*INDEX(EF!$H$100:$H$115,MATCH(Emissions!$D66,EF!$D$100:$D$115,0))*INDEX(EF!$H$116:$H$131,MATCH(Emissions!$D66,EF!$D$116:$D$131,0))*kgtoGg</f>
        <v>0.80577517347341965</v>
      </c>
      <c r="M66" s="22">
        <f>INDEX('Activity data'!M$24:M$39,MATCH(Emissions!$D66,'Activity data'!$D$24:$D$39,0))*INDEX(EF!$H$84:$H$99,MATCH(Emissions!$D66,EF!$D$84:$D$99,0))*INDEX(EF!$H$100:$H$115,MATCH(Emissions!$D66,EF!$D$100:$D$115,0))*INDEX(EF!$H$116:$H$131,MATCH(Emissions!$D66,EF!$D$116:$D$131,0))*kgtoGg</f>
        <v>0.80577517347341965</v>
      </c>
      <c r="N66" s="22">
        <f>INDEX('Activity data'!N$24:N$39,MATCH(Emissions!$D66,'Activity data'!$D$24:$D$39,0))*INDEX(EF!$H$84:$H$99,MATCH(Emissions!$D66,EF!$D$84:$D$99,0))*INDEX(EF!$H$100:$H$115,MATCH(Emissions!$D66,EF!$D$100:$D$115,0))*INDEX(EF!$H$116:$H$131,MATCH(Emissions!$D66,EF!$D$116:$D$131,0))*kgtoGg</f>
        <v>0.80577517347341965</v>
      </c>
      <c r="O66" s="22">
        <f>INDEX('Activity data'!O$24:O$39,MATCH(Emissions!$D66,'Activity data'!$D$24:$D$39,0))*INDEX(EF!$H$84:$H$99,MATCH(Emissions!$D66,EF!$D$84:$D$99,0))*INDEX(EF!$H$100:$H$115,MATCH(Emissions!$D66,EF!$D$100:$D$115,0))*INDEX(EF!$H$116:$H$131,MATCH(Emissions!$D66,EF!$D$116:$D$131,0))*kgtoGg</f>
        <v>0.80577517347341965</v>
      </c>
      <c r="P66" s="22">
        <f>INDEX('Activity data'!P$24:P$39,MATCH(Emissions!$D66,'Activity data'!$D$24:$D$39,0))*INDEX(EF!$H$84:$H$99,MATCH(Emissions!$D66,EF!$D$84:$D$99,0))*INDEX(EF!$H$100:$H$115,MATCH(Emissions!$D66,EF!$D$100:$D$115,0))*INDEX(EF!$H$116:$H$131,MATCH(Emissions!$D66,EF!$D$116:$D$131,0))*kgtoGg</f>
        <v>0.80577517347341965</v>
      </c>
      <c r="Q66" s="22">
        <f>INDEX('Activity data'!Q$24:Q$39,MATCH(Emissions!$D66,'Activity data'!$D$24:$D$39,0))*INDEX(EF!$H$84:$H$99,MATCH(Emissions!$D66,EF!$D$84:$D$99,0))*INDEX(EF!$H$100:$H$115,MATCH(Emissions!$D66,EF!$D$100:$D$115,0))*INDEX(EF!$H$116:$H$131,MATCH(Emissions!$D66,EF!$D$116:$D$131,0))*kgtoGg</f>
        <v>0.80577517347341965</v>
      </c>
      <c r="R66" s="22">
        <f>INDEX('Activity data'!R$24:R$39,MATCH(Emissions!$D66,'Activity data'!$D$24:$D$39,0))*INDEX(EF!$H$84:$H$99,MATCH(Emissions!$D66,EF!$D$84:$D$99,0))*INDEX(EF!$H$100:$H$115,MATCH(Emissions!$D66,EF!$D$100:$D$115,0))*INDEX(EF!$H$116:$H$131,MATCH(Emissions!$D66,EF!$D$116:$D$131,0))*kgtoGg</f>
        <v>0.71282120012392636</v>
      </c>
      <c r="S66" s="22">
        <f>INDEX('Activity data'!S$24:S$39,MATCH(Emissions!$D66,'Activity data'!$D$24:$D$39,0))*INDEX(EF!$H$84:$H$99,MATCH(Emissions!$D66,EF!$D$84:$D$99,0))*INDEX(EF!$H$100:$H$115,MATCH(Emissions!$D66,EF!$D$100:$D$115,0))*INDEX(EF!$H$116:$H$131,MATCH(Emissions!$D66,EF!$D$116:$D$131,0))*kgtoGg</f>
        <v>0.86099923348302065</v>
      </c>
      <c r="T66" s="22">
        <f>INDEX('Activity data'!T$24:T$39,MATCH(Emissions!$D66,'Activity data'!$D$24:$D$39,0))*INDEX(EF!$H$84:$H$99,MATCH(Emissions!$D66,EF!$D$84:$D$99,0))*INDEX(EF!$H$100:$H$115,MATCH(Emissions!$D66,EF!$D$100:$D$115,0))*INDEX(EF!$H$116:$H$131,MATCH(Emissions!$D66,EF!$D$116:$D$131,0))*kgtoGg</f>
        <v>0.97458063350276725</v>
      </c>
      <c r="U66" s="22">
        <f>INDEX('Activity data'!U$24:U$39,MATCH(Emissions!$D66,'Activity data'!$D$24:$D$39,0))*INDEX(EF!$H$84:$H$99,MATCH(Emissions!$D66,EF!$D$84:$D$99,0))*INDEX(EF!$H$100:$H$115,MATCH(Emissions!$D66,EF!$D$100:$D$115,0))*INDEX(EF!$H$116:$H$131,MATCH(Emissions!$D66,EF!$D$116:$D$131,0))*kgtoGg</f>
        <v>0.79724568902749249</v>
      </c>
      <c r="V66" s="22">
        <f>INDEX('Activity data'!V$24:V$39,MATCH(Emissions!$D66,'Activity data'!$D$24:$D$39,0))*INDEX(EF!$H$84:$H$99,MATCH(Emissions!$D66,EF!$D$84:$D$99,0))*INDEX(EF!$H$100:$H$115,MATCH(Emissions!$D66,EF!$D$100:$D$115,0))*INDEX(EF!$H$116:$H$131,MATCH(Emissions!$D66,EF!$D$116:$D$131,0))*kgtoGg</f>
        <v>0.68322911122989261</v>
      </c>
      <c r="W66" s="22">
        <f>INDEX('Activity data'!W$24:W$39,MATCH(Emissions!$D66,'Activity data'!$D$24:$D$39,0))*INDEX(EF!$H$84:$H$99,MATCH(Emissions!$D66,EF!$D$84:$D$99,0))*INDEX(EF!$H$100:$H$115,MATCH(Emissions!$D66,EF!$D$100:$D$115,0))*INDEX(EF!$H$116:$H$131,MATCH(Emissions!$D66,EF!$D$116:$D$131,0))*kgtoGg</f>
        <v>1.0109179779535291</v>
      </c>
      <c r="X66" s="22">
        <f>INDEX('Activity data'!X$24:X$39,MATCH(Emissions!$D66,'Activity data'!$D$24:$D$39,0))*INDEX(EF!$H$84:$H$99,MATCH(Emissions!$D66,EF!$D$84:$D$99,0))*INDEX(EF!$H$100:$H$115,MATCH(Emissions!$D66,EF!$D$100:$D$115,0))*INDEX(EF!$H$116:$H$131,MATCH(Emissions!$D66,EF!$D$116:$D$131,0))*kgtoGg</f>
        <v>0.89733657793378252</v>
      </c>
      <c r="Y66" s="22">
        <f>INDEX('Activity data'!Y$24:Y$39,MATCH(Emissions!$D66,'Activity data'!$D$24:$D$39,0))*INDEX(EF!$H$84:$H$99,MATCH(Emissions!$D66,EF!$D$84:$D$99,0))*INDEX(EF!$H$100:$H$115,MATCH(Emissions!$D66,EF!$D$100:$D$115,0))*INDEX(EF!$H$116:$H$131,MATCH(Emissions!$D66,EF!$D$116:$D$131,0))*kgtoGg</f>
        <v>0.79050043347076437</v>
      </c>
      <c r="Z66" s="22">
        <f>INDEX('Activity data'!Z$24:Z$39,MATCH(Emissions!$D66,'Activity data'!$D$24:$D$39,0))*INDEX(EF!$H$84:$H$99,MATCH(Emissions!$D66,EF!$D$84:$D$99,0))*INDEX(EF!$H$100:$H$115,MATCH(Emissions!$D66,EF!$D$100:$D$115,0))*INDEX(EF!$H$116:$H$131,MATCH(Emissions!$D66,EF!$D$116:$D$131,0))*kgtoGg</f>
        <v>0.72087198901421468</v>
      </c>
      <c r="AA66" s="22">
        <f>INDEX('Activity data'!AA$24:AA$39,MATCH(Emissions!$D66,'Activity data'!$D$24:$D$39,0))*INDEX(EF!$H$84:$H$99,MATCH(Emissions!$D66,EF!$D$84:$D$99,0))*INDEX(EF!$H$100:$H$115,MATCH(Emissions!$D66,EF!$D$100:$D$115,0))*INDEX(EF!$H$116:$H$131,MATCH(Emissions!$D66,EF!$D$116:$D$131,0))*kgtoGg</f>
        <v>0.80964825569631549</v>
      </c>
      <c r="AB66" s="22">
        <f>INDEX('Activity data'!AB$24:AB$39,MATCH(Emissions!$D66,'Activity data'!$D$24:$D$39,0))*INDEX(EF!$H$84:$H$99,MATCH(Emissions!$D66,EF!$D$84:$D$99,0))*INDEX(EF!$H$100:$H$115,MATCH(Emissions!$D66,EF!$D$100:$D$115,0))*INDEX(EF!$H$116:$H$131,MATCH(Emissions!$D66,EF!$D$116:$D$131,0))*kgtoGg</f>
        <v>1.0836294956999997</v>
      </c>
      <c r="AC66" s="22">
        <f>INDEX('Activity data'!AC$24:AC$39,MATCH(Emissions!$D66,'Activity data'!$D$24:$D$39,0))*INDEX(EF!$H$84:$H$99,MATCH(Emissions!$D66,EF!$D$84:$D$99,0))*INDEX(EF!$H$100:$H$115,MATCH(Emissions!$D66,EF!$D$100:$D$115,0))*INDEX(EF!$H$116:$H$131,MATCH(Emissions!$D66,EF!$D$116:$D$131,0))*kgtoGg</f>
        <v>1.1703623921999995</v>
      </c>
      <c r="AD66" s="22">
        <f>INDEX('Activity data'!AD$24:AD$39,MATCH(Emissions!$D66,'Activity data'!$D$24:$D$39,0))*INDEX(EF!$H$84:$H$99,MATCH(Emissions!$D66,EF!$D$84:$D$99,0))*INDEX(EF!$H$100:$H$115,MATCH(Emissions!$D66,EF!$D$100:$D$115,0))*INDEX(EF!$H$116:$H$131,MATCH(Emissions!$D66,EF!$D$116:$D$131,0))*kgtoGg</f>
        <v>0.86319492850198365</v>
      </c>
      <c r="AE66" s="22">
        <f>INDEX('Activity data'!AE$24:AE$39,MATCH(Emissions!$D66,'Activity data'!$D$24:$D$39,0))*INDEX(EF!$H$84:$H$99,MATCH(Emissions!$D66,EF!$D$84:$D$99,0))*INDEX(EF!$H$100:$H$115,MATCH(Emissions!$D66,EF!$D$100:$D$115,0))*INDEX(EF!$H$116:$H$131,MATCH(Emissions!$D66,EF!$D$116:$D$131,0))*kgtoGg</f>
        <v>0.86319492850198365</v>
      </c>
      <c r="AF66" s="22">
        <f>INDEX('Activity data'!AF$24:AF$39,MATCH(Emissions!$D66,'Activity data'!$D$24:$D$39,0))*INDEX(EF!$H$84:$H$99,MATCH(Emissions!$D66,EF!$D$84:$D$99,0))*INDEX(EF!$H$100:$H$115,MATCH(Emissions!$D66,EF!$D$100:$D$115,0))*INDEX(EF!$H$116:$H$131,MATCH(Emissions!$D66,EF!$D$116:$D$131,0))*kgtoGg</f>
        <v>0.86319492850198365</v>
      </c>
      <c r="AG66" s="22">
        <f>INDEX('Activity data'!AG$24:AG$39,MATCH(Emissions!$D66,'Activity data'!$D$24:$D$39,0))*INDEX(EF!$H$84:$H$99,MATCH(Emissions!$D66,EF!$D$84:$D$99,0))*INDEX(EF!$H$100:$H$115,MATCH(Emissions!$D66,EF!$D$100:$D$115,0))*INDEX(EF!$H$116:$H$131,MATCH(Emissions!$D66,EF!$D$116:$D$131,0))*kgtoGg</f>
        <v>0.86319492850198365</v>
      </c>
      <c r="AH66" s="22">
        <f>INDEX('Activity data'!AH$24:AH$39,MATCH(Emissions!$D66,'Activity data'!$D$24:$D$39,0))*INDEX(EF!$H$84:$H$99,MATCH(Emissions!$D66,EF!$D$84:$D$99,0))*INDEX(EF!$H$100:$H$115,MATCH(Emissions!$D66,EF!$D$100:$D$115,0))*INDEX(EF!$H$116:$H$131,MATCH(Emissions!$D66,EF!$D$116:$D$131,0))*kgtoGg</f>
        <v>0.86319492850198365</v>
      </c>
      <c r="AI66" s="22">
        <f>INDEX('Activity data'!AI$24:AI$39,MATCH(Emissions!$D66,'Activity data'!$D$24:$D$39,0))*INDEX(EF!$H$84:$H$99,MATCH(Emissions!$D66,EF!$D$84:$D$99,0))*INDEX(EF!$H$100:$H$115,MATCH(Emissions!$D66,EF!$D$100:$D$115,0))*INDEX(EF!$H$116:$H$131,MATCH(Emissions!$D66,EF!$D$116:$D$131,0))*kgtoGg</f>
        <v>0.86319492850198365</v>
      </c>
      <c r="AJ66" s="22">
        <f>INDEX('Activity data'!AJ$24:AJ$39,MATCH(Emissions!$D66,'Activity data'!$D$24:$D$39,0))*INDEX(EF!$H$84:$H$99,MATCH(Emissions!$D66,EF!$D$84:$D$99,0))*INDEX(EF!$H$100:$H$115,MATCH(Emissions!$D66,EF!$D$100:$D$115,0))*INDEX(EF!$H$116:$H$131,MATCH(Emissions!$D66,EF!$D$116:$D$131,0))*kgtoGg</f>
        <v>0.86319492850198365</v>
      </c>
      <c r="AK66" s="22">
        <f>INDEX('Activity data'!AK$24:AK$39,MATCH(Emissions!$D66,'Activity data'!$D$24:$D$39,0))*INDEX(EF!$H$84:$H$99,MATCH(Emissions!$D66,EF!$D$84:$D$99,0))*INDEX(EF!$H$100:$H$115,MATCH(Emissions!$D66,EF!$D$100:$D$115,0))*INDEX(EF!$H$116:$H$131,MATCH(Emissions!$D66,EF!$D$116:$D$131,0))*kgtoGg</f>
        <v>0.86319492850198365</v>
      </c>
      <c r="AL66" s="22">
        <f>INDEX('Activity data'!AL$24:AL$39,MATCH(Emissions!$D66,'Activity data'!$D$24:$D$39,0))*INDEX(EF!$H$84:$H$99,MATCH(Emissions!$D66,EF!$D$84:$D$99,0))*INDEX(EF!$H$100:$H$115,MATCH(Emissions!$D66,EF!$D$100:$D$115,0))*INDEX(EF!$H$116:$H$131,MATCH(Emissions!$D66,EF!$D$116:$D$131,0))*kgtoGg</f>
        <v>0.86319492850198365</v>
      </c>
      <c r="AM66" s="22">
        <f>INDEX('Activity data'!AM$24:AM$39,MATCH(Emissions!$D66,'Activity data'!$D$24:$D$39,0))*INDEX(EF!$H$84:$H$99,MATCH(Emissions!$D66,EF!$D$84:$D$99,0))*INDEX(EF!$H$100:$H$115,MATCH(Emissions!$D66,EF!$D$100:$D$115,0))*INDEX(EF!$H$116:$H$131,MATCH(Emissions!$D66,EF!$D$116:$D$131,0))*kgtoGg</f>
        <v>0.86319492850198365</v>
      </c>
      <c r="AN66" s="22">
        <f>INDEX('Activity data'!AN$24:AN$39,MATCH(Emissions!$D66,'Activity data'!$D$24:$D$39,0))*INDEX(EF!$H$84:$H$99,MATCH(Emissions!$D66,EF!$D$84:$D$99,0))*INDEX(EF!$H$100:$H$115,MATCH(Emissions!$D66,EF!$D$100:$D$115,0))*INDEX(EF!$H$116:$H$131,MATCH(Emissions!$D66,EF!$D$116:$D$131,0))*kgtoGg</f>
        <v>0.86319492850198365</v>
      </c>
      <c r="AO66" s="22">
        <f>INDEX('Activity data'!AO$24:AO$39,MATCH(Emissions!$D66,'Activity data'!$D$24:$D$39,0))*INDEX(EF!$H$84:$H$99,MATCH(Emissions!$D66,EF!$D$84:$D$99,0))*INDEX(EF!$H$100:$H$115,MATCH(Emissions!$D66,EF!$D$100:$D$115,0))*INDEX(EF!$H$116:$H$131,MATCH(Emissions!$D66,EF!$D$116:$D$131,0))*kgtoGg</f>
        <v>0.86319492850198365</v>
      </c>
      <c r="AP66" s="22">
        <f>INDEX('Activity data'!AP$24:AP$39,MATCH(Emissions!$D66,'Activity data'!$D$24:$D$39,0))*INDEX(EF!$H$84:$H$99,MATCH(Emissions!$D66,EF!$D$84:$D$99,0))*INDEX(EF!$H$100:$H$115,MATCH(Emissions!$D66,EF!$D$100:$D$115,0))*INDEX(EF!$H$116:$H$131,MATCH(Emissions!$D66,EF!$D$116:$D$131,0))*kgtoGg</f>
        <v>0.86319492850198365</v>
      </c>
      <c r="AQ66" s="22">
        <f>INDEX('Activity data'!AQ$24:AQ$39,MATCH(Emissions!$D66,'Activity data'!$D$24:$D$39,0))*INDEX(EF!$H$84:$H$99,MATCH(Emissions!$D66,EF!$D$84:$D$99,0))*INDEX(EF!$H$100:$H$115,MATCH(Emissions!$D66,EF!$D$100:$D$115,0))*INDEX(EF!$H$116:$H$131,MATCH(Emissions!$D66,EF!$D$116:$D$131,0))*kgtoGg</f>
        <v>0.86319492850198365</v>
      </c>
      <c r="AR66" s="22">
        <f>INDEX('Activity data'!AR$24:AR$39,MATCH(Emissions!$D66,'Activity data'!$D$24:$D$39,0))*INDEX(EF!$H$84:$H$99,MATCH(Emissions!$D66,EF!$D$84:$D$99,0))*INDEX(EF!$H$100:$H$115,MATCH(Emissions!$D66,EF!$D$100:$D$115,0))*INDEX(EF!$H$116:$H$131,MATCH(Emissions!$D66,EF!$D$116:$D$131,0))*kgtoGg</f>
        <v>0.86319492850198365</v>
      </c>
      <c r="AS66" s="22">
        <f>INDEX('Activity data'!AS$24:AS$39,MATCH(Emissions!$D66,'Activity data'!$D$24:$D$39,0))*INDEX(EF!$H$84:$H$99,MATCH(Emissions!$D66,EF!$D$84:$D$99,0))*INDEX(EF!$H$100:$H$115,MATCH(Emissions!$D66,EF!$D$100:$D$115,0))*INDEX(EF!$H$116:$H$131,MATCH(Emissions!$D66,EF!$D$116:$D$131,0))*kgtoGg</f>
        <v>0.86319492850198365</v>
      </c>
      <c r="AT66" s="22">
        <f>INDEX('Activity data'!AT$24:AT$39,MATCH(Emissions!$D66,'Activity data'!$D$24:$D$39,0))*INDEX(EF!$H$84:$H$99,MATCH(Emissions!$D66,EF!$D$84:$D$99,0))*INDEX(EF!$H$100:$H$115,MATCH(Emissions!$D66,EF!$D$100:$D$115,0))*INDEX(EF!$H$116:$H$131,MATCH(Emissions!$D66,EF!$D$116:$D$131,0))*kgtoGg</f>
        <v>0.86319492850198365</v>
      </c>
      <c r="AU66" s="22">
        <f>INDEX('Activity data'!AU$24:AU$39,MATCH(Emissions!$D66,'Activity data'!$D$24:$D$39,0))*INDEX(EF!$H$84:$H$99,MATCH(Emissions!$D66,EF!$D$84:$D$99,0))*INDEX(EF!$H$100:$H$115,MATCH(Emissions!$D66,EF!$D$100:$D$115,0))*INDEX(EF!$H$116:$H$131,MATCH(Emissions!$D66,EF!$D$116:$D$131,0))*kgtoGg</f>
        <v>0.86319492850198365</v>
      </c>
      <c r="AV66" s="22">
        <f>INDEX('Activity data'!AV$24:AV$39,MATCH(Emissions!$D66,'Activity data'!$D$24:$D$39,0))*INDEX(EF!$H$84:$H$99,MATCH(Emissions!$D66,EF!$D$84:$D$99,0))*INDEX(EF!$H$100:$H$115,MATCH(Emissions!$D66,EF!$D$100:$D$115,0))*INDEX(EF!$H$116:$H$131,MATCH(Emissions!$D66,EF!$D$116:$D$131,0))*kgtoGg</f>
        <v>0.86319492850198365</v>
      </c>
      <c r="AW66" s="22">
        <f>INDEX('Activity data'!AW$24:AW$39,MATCH(Emissions!$D66,'Activity data'!$D$24:$D$39,0))*INDEX(EF!$H$84:$H$99,MATCH(Emissions!$D66,EF!$D$84:$D$99,0))*INDEX(EF!$H$100:$H$115,MATCH(Emissions!$D66,EF!$D$100:$D$115,0))*INDEX(EF!$H$116:$H$131,MATCH(Emissions!$D66,EF!$D$116:$D$131,0))*kgtoGg</f>
        <v>0.86319492850198365</v>
      </c>
      <c r="AX66" s="22">
        <f>INDEX('Activity data'!AX$24:AX$39,MATCH(Emissions!$D66,'Activity data'!$D$24:$D$39,0))*INDEX(EF!$H$84:$H$99,MATCH(Emissions!$D66,EF!$D$84:$D$99,0))*INDEX(EF!$H$100:$H$115,MATCH(Emissions!$D66,EF!$D$100:$D$115,0))*INDEX(EF!$H$116:$H$131,MATCH(Emissions!$D66,EF!$D$116:$D$131,0))*kgtoGg</f>
        <v>0.86319492850198365</v>
      </c>
      <c r="AY66" s="22">
        <f>INDEX('Activity data'!AY$24:AY$39,MATCH(Emissions!$D66,'Activity data'!$D$24:$D$39,0))*INDEX(EF!$H$84:$H$99,MATCH(Emissions!$D66,EF!$D$84:$D$99,0))*INDEX(EF!$H$100:$H$115,MATCH(Emissions!$D66,EF!$D$100:$D$115,0))*INDEX(EF!$H$116:$H$131,MATCH(Emissions!$D66,EF!$D$116:$D$131,0))*kgtoGg</f>
        <v>0.86319492850198365</v>
      </c>
      <c r="AZ66" s="22">
        <f>INDEX('Activity data'!AZ$24:AZ$39,MATCH(Emissions!$D66,'Activity data'!$D$24:$D$39,0))*INDEX(EF!$H$84:$H$99,MATCH(Emissions!$D66,EF!$D$84:$D$99,0))*INDEX(EF!$H$100:$H$115,MATCH(Emissions!$D66,EF!$D$100:$D$115,0))*INDEX(EF!$H$116:$H$131,MATCH(Emissions!$D66,EF!$D$116:$D$131,0))*kgtoGg</f>
        <v>0.86319492850198365</v>
      </c>
      <c r="BA66" s="22">
        <f>INDEX('Activity data'!BA$24:BA$39,MATCH(Emissions!$D66,'Activity data'!$D$24:$D$39,0))*INDEX(EF!$H$84:$H$99,MATCH(Emissions!$D66,EF!$D$84:$D$99,0))*INDEX(EF!$H$100:$H$115,MATCH(Emissions!$D66,EF!$D$100:$D$115,0))*INDEX(EF!$H$116:$H$131,MATCH(Emissions!$D66,EF!$D$116:$D$131,0))*kgtoGg</f>
        <v>0.86319492850198365</v>
      </c>
      <c r="BB66" s="22">
        <f>INDEX('Activity data'!BB$24:BB$39,MATCH(Emissions!$D66,'Activity data'!$D$24:$D$39,0))*INDEX(EF!$H$84:$H$99,MATCH(Emissions!$D66,EF!$D$84:$D$99,0))*INDEX(EF!$H$100:$H$115,MATCH(Emissions!$D66,EF!$D$100:$D$115,0))*INDEX(EF!$H$116:$H$131,MATCH(Emissions!$D66,EF!$D$116:$D$131,0))*kgtoGg</f>
        <v>0.86319492850198365</v>
      </c>
      <c r="BC66" s="22">
        <f>INDEX('Activity data'!BC$24:BC$39,MATCH(Emissions!$D66,'Activity data'!$D$24:$D$39,0))*INDEX(EF!$H$84:$H$99,MATCH(Emissions!$D66,EF!$D$84:$D$99,0))*INDEX(EF!$H$100:$H$115,MATCH(Emissions!$D66,EF!$D$100:$D$115,0))*INDEX(EF!$H$116:$H$131,MATCH(Emissions!$D66,EF!$D$116:$D$131,0))*kgtoGg</f>
        <v>0.86319492850198365</v>
      </c>
      <c r="BD66" s="22">
        <f>INDEX('Activity data'!BD$24:BD$39,MATCH(Emissions!$D66,'Activity data'!$D$24:$D$39,0))*INDEX(EF!$H$84:$H$99,MATCH(Emissions!$D66,EF!$D$84:$D$99,0))*INDEX(EF!$H$100:$H$115,MATCH(Emissions!$D66,EF!$D$100:$D$115,0))*INDEX(EF!$H$116:$H$131,MATCH(Emissions!$D66,EF!$D$116:$D$131,0))*kgtoGg</f>
        <v>0.86319492850198365</v>
      </c>
      <c r="BE66" s="22">
        <f>INDEX('Activity data'!BE$24:BE$39,MATCH(Emissions!$D66,'Activity data'!$D$24:$D$39,0))*INDEX(EF!$H$84:$H$99,MATCH(Emissions!$D66,EF!$D$84:$D$99,0))*INDEX(EF!$H$100:$H$115,MATCH(Emissions!$D66,EF!$D$100:$D$115,0))*INDEX(EF!$H$116:$H$131,MATCH(Emissions!$D66,EF!$D$116:$D$131,0))*kgtoGg</f>
        <v>0.86319492850198365</v>
      </c>
      <c r="BF66" s="22">
        <f>INDEX('Activity data'!BF$24:BF$39,MATCH(Emissions!$D66,'Activity data'!$D$24:$D$39,0))*INDEX(EF!$H$84:$H$99,MATCH(Emissions!$D66,EF!$D$84:$D$99,0))*INDEX(EF!$H$100:$H$115,MATCH(Emissions!$D66,EF!$D$100:$D$115,0))*INDEX(EF!$H$116:$H$131,MATCH(Emissions!$D66,EF!$D$116:$D$131,0))*kgtoGg</f>
        <v>0.86319492850198365</v>
      </c>
      <c r="BG66" s="22">
        <f>INDEX('Activity data'!BG$24:BG$39,MATCH(Emissions!$D66,'Activity data'!$D$24:$D$39,0))*INDEX(EF!$H$84:$H$99,MATCH(Emissions!$D66,EF!$D$84:$D$99,0))*INDEX(EF!$H$100:$H$115,MATCH(Emissions!$D66,EF!$D$100:$D$115,0))*INDEX(EF!$H$116:$H$131,MATCH(Emissions!$D66,EF!$D$116:$D$131,0))*kgtoGg</f>
        <v>0.86319492850198365</v>
      </c>
      <c r="BH66" s="22">
        <f>INDEX('Activity data'!BH$24:BH$39,MATCH(Emissions!$D66,'Activity data'!$D$24:$D$39,0))*INDEX(EF!$H$84:$H$99,MATCH(Emissions!$D66,EF!$D$84:$D$99,0))*INDEX(EF!$H$100:$H$115,MATCH(Emissions!$D66,EF!$D$100:$D$115,0))*INDEX(EF!$H$116:$H$131,MATCH(Emissions!$D66,EF!$D$116:$D$131,0))*kgtoGg</f>
        <v>0.86319492850198365</v>
      </c>
      <c r="BI66" s="22">
        <f>INDEX('Activity data'!BI$24:BI$39,MATCH(Emissions!$D66,'Activity data'!$D$24:$D$39,0))*INDEX(EF!$H$84:$H$99,MATCH(Emissions!$D66,EF!$D$84:$D$99,0))*INDEX(EF!$H$100:$H$115,MATCH(Emissions!$D66,EF!$D$100:$D$115,0))*INDEX(EF!$H$116:$H$131,MATCH(Emissions!$D66,EF!$D$116:$D$131,0))*kgtoGg</f>
        <v>0.86319492850198365</v>
      </c>
      <c r="BJ66" s="22">
        <f>INDEX('Activity data'!BJ$24:BJ$39,MATCH(Emissions!$D66,'Activity data'!$D$24:$D$39,0))*INDEX(EF!$H$84:$H$99,MATCH(Emissions!$D66,EF!$D$84:$D$99,0))*INDEX(EF!$H$100:$H$115,MATCH(Emissions!$D66,EF!$D$100:$D$115,0))*INDEX(EF!$H$116:$H$131,MATCH(Emissions!$D66,EF!$D$116:$D$131,0))*kgtoGg</f>
        <v>0.86319492850198365</v>
      </c>
      <c r="BK66" s="22">
        <f>INDEX('Activity data'!BK$24:BK$39,MATCH(Emissions!$D66,'Activity data'!$D$24:$D$39,0))*INDEX(EF!$H$84:$H$99,MATCH(Emissions!$D66,EF!$D$84:$D$99,0))*INDEX(EF!$H$100:$H$115,MATCH(Emissions!$D66,EF!$D$100:$D$115,0))*INDEX(EF!$H$116:$H$131,MATCH(Emissions!$D66,EF!$D$116:$D$131,0))*kgtoGg</f>
        <v>0.86319492850198365</v>
      </c>
      <c r="BL66" s="22">
        <f>INDEX('Activity data'!BL$24:BL$39,MATCH(Emissions!$D66,'Activity data'!$D$24:$D$39,0))*INDEX(EF!$H$84:$H$99,MATCH(Emissions!$D66,EF!$D$84:$D$99,0))*INDEX(EF!$H$100:$H$115,MATCH(Emissions!$D66,EF!$D$100:$D$115,0))*INDEX(EF!$H$116:$H$131,MATCH(Emissions!$D66,EF!$D$116:$D$131,0))*kgtoGg</f>
        <v>0.86319492850198365</v>
      </c>
      <c r="BM66" s="22">
        <f>INDEX('Activity data'!BM$24:BM$39,MATCH(Emissions!$D66,'Activity data'!$D$24:$D$39,0))*INDEX(EF!$H$84:$H$99,MATCH(Emissions!$D66,EF!$D$84:$D$99,0))*INDEX(EF!$H$100:$H$115,MATCH(Emissions!$D66,EF!$D$100:$D$115,0))*INDEX(EF!$H$116:$H$131,MATCH(Emissions!$D66,EF!$D$116:$D$131,0))*kgtoGg</f>
        <v>0.86319492850198365</v>
      </c>
      <c r="BN66" s="22">
        <f>INDEX('Activity data'!BN$24:BN$39,MATCH(Emissions!$D66,'Activity data'!$D$24:$D$39,0))*INDEX(EF!$H$84:$H$99,MATCH(Emissions!$D66,EF!$D$84:$D$99,0))*INDEX(EF!$H$100:$H$115,MATCH(Emissions!$D66,EF!$D$100:$D$115,0))*INDEX(EF!$H$116:$H$131,MATCH(Emissions!$D66,EF!$D$116:$D$131,0))*kgtoGg</f>
        <v>0.86319492850198365</v>
      </c>
      <c r="BO66" s="22">
        <f>INDEX('Activity data'!BO$24:BO$39,MATCH(Emissions!$D66,'Activity data'!$D$24:$D$39,0))*INDEX(EF!$H$84:$H$99,MATCH(Emissions!$D66,EF!$D$84:$D$99,0))*INDEX(EF!$H$100:$H$115,MATCH(Emissions!$D66,EF!$D$100:$D$115,0))*INDEX(EF!$H$116:$H$131,MATCH(Emissions!$D66,EF!$D$116:$D$131,0))*kgtoGg</f>
        <v>0.86319492850198365</v>
      </c>
      <c r="BP66" s="22">
        <f>INDEX('Activity data'!BP$24:BP$39,MATCH(Emissions!$D66,'Activity data'!$D$24:$D$39,0))*INDEX(EF!$H$84:$H$99,MATCH(Emissions!$D66,EF!$D$84:$D$99,0))*INDEX(EF!$H$100:$H$115,MATCH(Emissions!$D66,EF!$D$100:$D$115,0))*INDEX(EF!$H$116:$H$131,MATCH(Emissions!$D66,EF!$D$116:$D$131,0))*kgtoGg</f>
        <v>0.86319492850198365</v>
      </c>
    </row>
    <row r="67" spans="1:68" x14ac:dyDescent="0.3">
      <c r="A67" t="str">
        <f t="shared" si="19"/>
        <v>3C Aggregated and non-CO2 emissions on land</v>
      </c>
      <c r="B67" t="str">
        <f t="shared" si="20"/>
        <v>3C1 Biomass burning (CH4)</v>
      </c>
      <c r="C67" t="str">
        <f>'IPCC Categories'!C63</f>
        <v>3C1e Biomass burning in Settlements</v>
      </c>
      <c r="D67" t="str">
        <f>EF!D97</f>
        <v>Settlements</v>
      </c>
      <c r="E67" t="s">
        <v>653</v>
      </c>
      <c r="F67" t="str">
        <f t="shared" si="23"/>
        <v>CH4</v>
      </c>
      <c r="G67" t="str">
        <f t="shared" si="24"/>
        <v>Gg CH4</v>
      </c>
      <c r="H67" s="22">
        <f>INDEX('Activity data'!H$24:H$39,MATCH(Emissions!$D67,'Activity data'!$D$24:$D$39,0))*INDEX(EF!$H$84:$H$99,MATCH(Emissions!$D67,EF!$D$84:$D$99,0))*INDEX(EF!$H$100:$H$115,MATCH(Emissions!$D67,EF!$D$100:$D$115,0))*INDEX(EF!$H$116:$H$131,MATCH(Emissions!$D67,EF!$D$116:$D$131,0))*kgtoGg</f>
        <v>0.48879168008497798</v>
      </c>
      <c r="I67" s="22">
        <f>INDEX('Activity data'!I$24:I$39,MATCH(Emissions!$D67,'Activity data'!$D$24:$D$39,0))*INDEX(EF!$H$84:$H$99,MATCH(Emissions!$D67,EF!$D$84:$D$99,0))*INDEX(EF!$H$100:$H$115,MATCH(Emissions!$D67,EF!$D$100:$D$115,0))*INDEX(EF!$H$116:$H$131,MATCH(Emissions!$D67,EF!$D$116:$D$131,0))*kgtoGg</f>
        <v>0.48879168008497798</v>
      </c>
      <c r="J67" s="22">
        <f>INDEX('Activity data'!J$24:J$39,MATCH(Emissions!$D67,'Activity data'!$D$24:$D$39,0))*INDEX(EF!$H$84:$H$99,MATCH(Emissions!$D67,EF!$D$84:$D$99,0))*INDEX(EF!$H$100:$H$115,MATCH(Emissions!$D67,EF!$D$100:$D$115,0))*INDEX(EF!$H$116:$H$131,MATCH(Emissions!$D67,EF!$D$116:$D$131,0))*kgtoGg</f>
        <v>0.48879168008497798</v>
      </c>
      <c r="K67" s="22">
        <f>INDEX('Activity data'!K$24:K$39,MATCH(Emissions!$D67,'Activity data'!$D$24:$D$39,0))*INDEX(EF!$H$84:$H$99,MATCH(Emissions!$D67,EF!$D$84:$D$99,0))*INDEX(EF!$H$100:$H$115,MATCH(Emissions!$D67,EF!$D$100:$D$115,0))*INDEX(EF!$H$116:$H$131,MATCH(Emissions!$D67,EF!$D$116:$D$131,0))*kgtoGg</f>
        <v>0.48879168008497798</v>
      </c>
      <c r="L67" s="22">
        <f>INDEX('Activity data'!L$24:L$39,MATCH(Emissions!$D67,'Activity data'!$D$24:$D$39,0))*INDEX(EF!$H$84:$H$99,MATCH(Emissions!$D67,EF!$D$84:$D$99,0))*INDEX(EF!$H$100:$H$115,MATCH(Emissions!$D67,EF!$D$100:$D$115,0))*INDEX(EF!$H$116:$H$131,MATCH(Emissions!$D67,EF!$D$116:$D$131,0))*kgtoGg</f>
        <v>0.48879168008497798</v>
      </c>
      <c r="M67" s="22">
        <f>INDEX('Activity data'!M$24:M$39,MATCH(Emissions!$D67,'Activity data'!$D$24:$D$39,0))*INDEX(EF!$H$84:$H$99,MATCH(Emissions!$D67,EF!$D$84:$D$99,0))*INDEX(EF!$H$100:$H$115,MATCH(Emissions!$D67,EF!$D$100:$D$115,0))*INDEX(EF!$H$116:$H$131,MATCH(Emissions!$D67,EF!$D$116:$D$131,0))*kgtoGg</f>
        <v>0.48879168008497798</v>
      </c>
      <c r="N67" s="22">
        <f>INDEX('Activity data'!N$24:N$39,MATCH(Emissions!$D67,'Activity data'!$D$24:$D$39,0))*INDEX(EF!$H$84:$H$99,MATCH(Emissions!$D67,EF!$D$84:$D$99,0))*INDEX(EF!$H$100:$H$115,MATCH(Emissions!$D67,EF!$D$100:$D$115,0))*INDEX(EF!$H$116:$H$131,MATCH(Emissions!$D67,EF!$D$116:$D$131,0))*kgtoGg</f>
        <v>0.48879168008497798</v>
      </c>
      <c r="O67" s="22">
        <f>INDEX('Activity data'!O$24:O$39,MATCH(Emissions!$D67,'Activity data'!$D$24:$D$39,0))*INDEX(EF!$H$84:$H$99,MATCH(Emissions!$D67,EF!$D$84:$D$99,0))*INDEX(EF!$H$100:$H$115,MATCH(Emissions!$D67,EF!$D$100:$D$115,0))*INDEX(EF!$H$116:$H$131,MATCH(Emissions!$D67,EF!$D$116:$D$131,0))*kgtoGg</f>
        <v>0.48879168008497798</v>
      </c>
      <c r="P67" s="22">
        <f>INDEX('Activity data'!P$24:P$39,MATCH(Emissions!$D67,'Activity data'!$D$24:$D$39,0))*INDEX(EF!$H$84:$H$99,MATCH(Emissions!$D67,EF!$D$84:$D$99,0))*INDEX(EF!$H$100:$H$115,MATCH(Emissions!$D67,EF!$D$100:$D$115,0))*INDEX(EF!$H$116:$H$131,MATCH(Emissions!$D67,EF!$D$116:$D$131,0))*kgtoGg</f>
        <v>0.48879168008497798</v>
      </c>
      <c r="Q67" s="22">
        <f>INDEX('Activity data'!Q$24:Q$39,MATCH(Emissions!$D67,'Activity data'!$D$24:$D$39,0))*INDEX(EF!$H$84:$H$99,MATCH(Emissions!$D67,EF!$D$84:$D$99,0))*INDEX(EF!$H$100:$H$115,MATCH(Emissions!$D67,EF!$D$100:$D$115,0))*INDEX(EF!$H$116:$H$131,MATCH(Emissions!$D67,EF!$D$116:$D$131,0))*kgtoGg</f>
        <v>0.48879168008497798</v>
      </c>
      <c r="R67" s="22">
        <f>INDEX('Activity data'!R$24:R$39,MATCH(Emissions!$D67,'Activity data'!$D$24:$D$39,0))*INDEX(EF!$H$84:$H$99,MATCH(Emissions!$D67,EF!$D$84:$D$99,0))*INDEX(EF!$H$100:$H$115,MATCH(Emissions!$D67,EF!$D$100:$D$115,0))*INDEX(EF!$H$116:$H$131,MATCH(Emissions!$D67,EF!$D$116:$D$131,0))*kgtoGg</f>
        <v>0.53244001120367745</v>
      </c>
      <c r="S67" s="22">
        <f>INDEX('Activity data'!S$24:S$39,MATCH(Emissions!$D67,'Activity data'!$D$24:$D$39,0))*INDEX(EF!$H$84:$H$99,MATCH(Emissions!$D67,EF!$D$84:$D$99,0))*INDEX(EF!$H$100:$H$115,MATCH(Emissions!$D67,EF!$D$100:$D$115,0))*INDEX(EF!$H$116:$H$131,MATCH(Emissions!$D67,EF!$D$116:$D$131,0))*kgtoGg</f>
        <v>0.58966588899140415</v>
      </c>
      <c r="T67" s="22">
        <f>INDEX('Activity data'!T$24:T$39,MATCH(Emissions!$D67,'Activity data'!$D$24:$D$39,0))*INDEX(EF!$H$84:$H$99,MATCH(Emissions!$D67,EF!$D$84:$D$99,0))*INDEX(EF!$H$100:$H$115,MATCH(Emissions!$D67,EF!$D$100:$D$115,0))*INDEX(EF!$H$116:$H$131,MATCH(Emissions!$D67,EF!$D$116:$D$131,0))*kgtoGg</f>
        <v>0.52134297786841477</v>
      </c>
      <c r="U67" s="22">
        <f>INDEX('Activity data'!U$24:U$39,MATCH(Emissions!$D67,'Activity data'!$D$24:$D$39,0))*INDEX(EF!$H$84:$H$99,MATCH(Emissions!$D67,EF!$D$84:$D$99,0))*INDEX(EF!$H$100:$H$115,MATCH(Emissions!$D67,EF!$D$100:$D$115,0))*INDEX(EF!$H$116:$H$131,MATCH(Emissions!$D67,EF!$D$116:$D$131,0))*kgtoGg</f>
        <v>0.44975623341152487</v>
      </c>
      <c r="V67" s="22">
        <f>INDEX('Activity data'!V$24:V$39,MATCH(Emissions!$D67,'Activity data'!$D$24:$D$39,0))*INDEX(EF!$H$84:$H$99,MATCH(Emissions!$D67,EF!$D$84:$D$99,0))*INDEX(EF!$H$100:$H$115,MATCH(Emissions!$D67,EF!$D$100:$D$115,0))*INDEX(EF!$H$116:$H$131,MATCH(Emissions!$D67,EF!$D$116:$D$131,0))*kgtoGg</f>
        <v>0.35075328894986846</v>
      </c>
      <c r="W67" s="22">
        <f>INDEX('Activity data'!W$24:W$39,MATCH(Emissions!$D67,'Activity data'!$D$24:$D$39,0))*INDEX(EF!$H$84:$H$99,MATCH(Emissions!$D67,EF!$D$84:$D$99,0))*INDEX(EF!$H$100:$H$115,MATCH(Emissions!$D67,EF!$D$100:$D$115,0))*INDEX(EF!$H$116:$H$131,MATCH(Emissions!$D67,EF!$D$116:$D$131,0))*kgtoGg</f>
        <v>0.79419944458251857</v>
      </c>
      <c r="X67" s="22">
        <f>INDEX('Activity data'!X$24:X$39,MATCH(Emissions!$D67,'Activity data'!$D$24:$D$39,0))*INDEX(EF!$H$84:$H$99,MATCH(Emissions!$D67,EF!$D$84:$D$99,0))*INDEX(EF!$H$100:$H$115,MATCH(Emissions!$D67,EF!$D$100:$D$115,0))*INDEX(EF!$H$116:$H$131,MATCH(Emissions!$D67,EF!$D$116:$D$131,0))*kgtoGg</f>
        <v>0.69563167789871561</v>
      </c>
      <c r="Y67" s="22">
        <f>INDEX('Activity data'!Y$24:Y$39,MATCH(Emissions!$D67,'Activity data'!$D$24:$D$39,0))*INDEX(EF!$H$84:$H$99,MATCH(Emissions!$D67,EF!$D$84:$D$99,0))*INDEX(EF!$H$100:$H$115,MATCH(Emissions!$D67,EF!$D$100:$D$115,0))*INDEX(EF!$H$116:$H$131,MATCH(Emissions!$D67,EF!$D$116:$D$131,0))*kgtoGg</f>
        <v>0.76939431124487268</v>
      </c>
      <c r="Z67" s="22">
        <f>INDEX('Activity data'!Z$24:Z$39,MATCH(Emissions!$D67,'Activity data'!$D$24:$D$39,0))*INDEX(EF!$H$84:$H$99,MATCH(Emissions!$D67,EF!$D$84:$D$99,0))*INDEX(EF!$H$100:$H$115,MATCH(Emissions!$D67,EF!$D$100:$D$115,0))*INDEX(EF!$H$116:$H$131,MATCH(Emissions!$D67,EF!$D$116:$D$131,0))*kgtoGg</f>
        <v>0.47499654452702411</v>
      </c>
      <c r="AA67" s="22">
        <f>INDEX('Activity data'!AA$24:AA$39,MATCH(Emissions!$D67,'Activity data'!$D$24:$D$39,0))*INDEX(EF!$H$84:$H$99,MATCH(Emissions!$D67,EF!$D$84:$D$99,0))*INDEX(EF!$H$100:$H$115,MATCH(Emissions!$D67,EF!$D$100:$D$115,0))*INDEX(EF!$H$116:$H$131,MATCH(Emissions!$D67,EF!$D$116:$D$131,0))*kgtoGg</f>
        <v>0.5716060112104866</v>
      </c>
      <c r="AB67" s="22">
        <f>INDEX('Activity data'!AB$24:AB$39,MATCH(Emissions!$D67,'Activity data'!$D$24:$D$39,0))*INDEX(EF!$H$84:$H$99,MATCH(Emissions!$D67,EF!$D$84:$D$99,0))*INDEX(EF!$H$100:$H$115,MATCH(Emissions!$D67,EF!$D$100:$D$115,0))*INDEX(EF!$H$116:$H$131,MATCH(Emissions!$D67,EF!$D$116:$D$131,0))*kgtoGg</f>
        <v>0.42745793939999993</v>
      </c>
      <c r="AC67" s="22">
        <f>INDEX('Activity data'!AC$24:AC$39,MATCH(Emissions!$D67,'Activity data'!$D$24:$D$39,0))*INDEX(EF!$H$84:$H$99,MATCH(Emissions!$D67,EF!$D$84:$D$99,0))*INDEX(EF!$H$100:$H$115,MATCH(Emissions!$D67,EF!$D$100:$D$115,0))*INDEX(EF!$H$116:$H$131,MATCH(Emissions!$D67,EF!$D$116:$D$131,0))*kgtoGg</f>
        <v>0.29794462199999994</v>
      </c>
      <c r="AD67" s="22">
        <f>INDEX('Activity data'!AD$24:AD$39,MATCH(Emissions!$D67,'Activity data'!$D$24:$D$39,0))*INDEX(EF!$H$84:$H$99,MATCH(Emissions!$D67,EF!$D$84:$D$99,0))*INDEX(EF!$H$100:$H$115,MATCH(Emissions!$D67,EF!$D$100:$D$115,0))*INDEX(EF!$H$116:$H$131,MATCH(Emissions!$D67,EF!$D$116:$D$131,0))*kgtoGg</f>
        <v>0.42972240374246135</v>
      </c>
      <c r="AE67" s="22">
        <f>INDEX('Activity data'!AE$24:AE$39,MATCH(Emissions!$D67,'Activity data'!$D$24:$D$39,0))*INDEX(EF!$H$84:$H$99,MATCH(Emissions!$D67,EF!$D$84:$D$99,0))*INDEX(EF!$H$100:$H$115,MATCH(Emissions!$D67,EF!$D$100:$D$115,0))*INDEX(EF!$H$116:$H$131,MATCH(Emissions!$D67,EF!$D$116:$D$131,0))*kgtoGg</f>
        <v>0.43063058922924524</v>
      </c>
      <c r="AF67" s="22">
        <f>INDEX('Activity data'!AF$24:AF$39,MATCH(Emissions!$D67,'Activity data'!$D$24:$D$39,0))*INDEX(EF!$H$84:$H$99,MATCH(Emissions!$D67,EF!$D$84:$D$99,0))*INDEX(EF!$H$100:$H$115,MATCH(Emissions!$D67,EF!$D$100:$D$115,0))*INDEX(EF!$H$116:$H$131,MATCH(Emissions!$D67,EF!$D$116:$D$131,0))*kgtoGg</f>
        <v>0.43153877471602919</v>
      </c>
      <c r="AG67" s="22">
        <f>INDEX('Activity data'!AG$24:AG$39,MATCH(Emissions!$D67,'Activity data'!$D$24:$D$39,0))*INDEX(EF!$H$84:$H$99,MATCH(Emissions!$D67,EF!$D$84:$D$99,0))*INDEX(EF!$H$100:$H$115,MATCH(Emissions!$D67,EF!$D$100:$D$115,0))*INDEX(EF!$H$116:$H$131,MATCH(Emissions!$D67,EF!$D$116:$D$131,0))*kgtoGg</f>
        <v>0.43244696020281326</v>
      </c>
      <c r="AH67" s="22">
        <f>INDEX('Activity data'!AH$24:AH$39,MATCH(Emissions!$D67,'Activity data'!$D$24:$D$39,0))*INDEX(EF!$H$84:$H$99,MATCH(Emissions!$D67,EF!$D$84:$D$99,0))*INDEX(EF!$H$100:$H$115,MATCH(Emissions!$D67,EF!$D$100:$D$115,0))*INDEX(EF!$H$116:$H$131,MATCH(Emissions!$D67,EF!$D$116:$D$131,0))*kgtoGg</f>
        <v>0.43335514568959721</v>
      </c>
      <c r="AI67" s="22">
        <f>INDEX('Activity data'!AI$24:AI$39,MATCH(Emissions!$D67,'Activity data'!$D$24:$D$39,0))*INDEX(EF!$H$84:$H$99,MATCH(Emissions!$D67,EF!$D$84:$D$99,0))*INDEX(EF!$H$100:$H$115,MATCH(Emissions!$D67,EF!$D$100:$D$115,0))*INDEX(EF!$H$116:$H$131,MATCH(Emissions!$D67,EF!$D$116:$D$131,0))*kgtoGg</f>
        <v>0.43426333117638116</v>
      </c>
      <c r="AJ67" s="22">
        <f>INDEX('Activity data'!AJ$24:AJ$39,MATCH(Emissions!$D67,'Activity data'!$D$24:$D$39,0))*INDEX(EF!$H$84:$H$99,MATCH(Emissions!$D67,EF!$D$84:$D$99,0))*INDEX(EF!$H$100:$H$115,MATCH(Emissions!$D67,EF!$D$100:$D$115,0))*INDEX(EF!$H$116:$H$131,MATCH(Emissions!$D67,EF!$D$116:$D$131,0))*kgtoGg</f>
        <v>0.43517151666316517</v>
      </c>
      <c r="AK67" s="22">
        <f>INDEX('Activity data'!AK$24:AK$39,MATCH(Emissions!$D67,'Activity data'!$D$24:$D$39,0))*INDEX(EF!$H$84:$H$99,MATCH(Emissions!$D67,EF!$D$84:$D$99,0))*INDEX(EF!$H$100:$H$115,MATCH(Emissions!$D67,EF!$D$100:$D$115,0))*INDEX(EF!$H$116:$H$131,MATCH(Emissions!$D67,EF!$D$116:$D$131,0))*kgtoGg</f>
        <v>0.43607970214994918</v>
      </c>
      <c r="AL67" s="22">
        <f>INDEX('Activity data'!AL$24:AL$39,MATCH(Emissions!$D67,'Activity data'!$D$24:$D$39,0))*INDEX(EF!$H$84:$H$99,MATCH(Emissions!$D67,EF!$D$84:$D$99,0))*INDEX(EF!$H$100:$H$115,MATCH(Emissions!$D67,EF!$D$100:$D$115,0))*INDEX(EF!$H$116:$H$131,MATCH(Emissions!$D67,EF!$D$116:$D$131,0))*kgtoGg</f>
        <v>0.43698788763673319</v>
      </c>
      <c r="AM67" s="22">
        <f>INDEX('Activity data'!AM$24:AM$39,MATCH(Emissions!$D67,'Activity data'!$D$24:$D$39,0))*INDEX(EF!$H$84:$H$99,MATCH(Emissions!$D67,EF!$D$84:$D$99,0))*INDEX(EF!$H$100:$H$115,MATCH(Emissions!$D67,EF!$D$100:$D$115,0))*INDEX(EF!$H$116:$H$131,MATCH(Emissions!$D67,EF!$D$116:$D$131,0))*kgtoGg</f>
        <v>0.43789607312351719</v>
      </c>
      <c r="AN67" s="22">
        <f>INDEX('Activity data'!AN$24:AN$39,MATCH(Emissions!$D67,'Activity data'!$D$24:$D$39,0))*INDEX(EF!$H$84:$H$99,MATCH(Emissions!$D67,EF!$D$84:$D$99,0))*INDEX(EF!$H$100:$H$115,MATCH(Emissions!$D67,EF!$D$100:$D$115,0))*INDEX(EF!$H$116:$H$131,MATCH(Emissions!$D67,EF!$D$116:$D$131,0))*kgtoGg</f>
        <v>0.4388042586103012</v>
      </c>
      <c r="AO67" s="22">
        <f>INDEX('Activity data'!AO$24:AO$39,MATCH(Emissions!$D67,'Activity data'!$D$24:$D$39,0))*INDEX(EF!$H$84:$H$99,MATCH(Emissions!$D67,EF!$D$84:$D$99,0))*INDEX(EF!$H$100:$H$115,MATCH(Emissions!$D67,EF!$D$100:$D$115,0))*INDEX(EF!$H$116:$H$131,MATCH(Emissions!$D67,EF!$D$116:$D$131,0))*kgtoGg</f>
        <v>0.43971244409708521</v>
      </c>
      <c r="AP67" s="22">
        <f>INDEX('Activity data'!AP$24:AP$39,MATCH(Emissions!$D67,'Activity data'!$D$24:$D$39,0))*INDEX(EF!$H$84:$H$99,MATCH(Emissions!$D67,EF!$D$84:$D$99,0))*INDEX(EF!$H$100:$H$115,MATCH(Emissions!$D67,EF!$D$100:$D$115,0))*INDEX(EF!$H$116:$H$131,MATCH(Emissions!$D67,EF!$D$116:$D$131,0))*kgtoGg</f>
        <v>0.44062062958386911</v>
      </c>
      <c r="AQ67" s="22">
        <f>INDEX('Activity data'!AQ$24:AQ$39,MATCH(Emissions!$D67,'Activity data'!$D$24:$D$39,0))*INDEX(EF!$H$84:$H$99,MATCH(Emissions!$D67,EF!$D$84:$D$99,0))*INDEX(EF!$H$100:$H$115,MATCH(Emissions!$D67,EF!$D$100:$D$115,0))*INDEX(EF!$H$116:$H$131,MATCH(Emissions!$D67,EF!$D$116:$D$131,0))*kgtoGg</f>
        <v>0.44152881507065311</v>
      </c>
      <c r="AR67" s="22">
        <f>INDEX('Activity data'!AR$24:AR$39,MATCH(Emissions!$D67,'Activity data'!$D$24:$D$39,0))*INDEX(EF!$H$84:$H$99,MATCH(Emissions!$D67,EF!$D$84:$D$99,0))*INDEX(EF!$H$100:$H$115,MATCH(Emissions!$D67,EF!$D$100:$D$115,0))*INDEX(EF!$H$116:$H$131,MATCH(Emissions!$D67,EF!$D$116:$D$131,0))*kgtoGg</f>
        <v>0.44243700055743712</v>
      </c>
      <c r="AS67" s="22">
        <f>INDEX('Activity data'!AS$24:AS$39,MATCH(Emissions!$D67,'Activity data'!$D$24:$D$39,0))*INDEX(EF!$H$84:$H$99,MATCH(Emissions!$D67,EF!$D$84:$D$99,0))*INDEX(EF!$H$100:$H$115,MATCH(Emissions!$D67,EF!$D$100:$D$115,0))*INDEX(EF!$H$116:$H$131,MATCH(Emissions!$D67,EF!$D$116:$D$131,0))*kgtoGg</f>
        <v>0.44334518604422107</v>
      </c>
      <c r="AT67" s="22">
        <f>INDEX('Activity data'!AT$24:AT$39,MATCH(Emissions!$D67,'Activity data'!$D$24:$D$39,0))*INDEX(EF!$H$84:$H$99,MATCH(Emissions!$D67,EF!$D$84:$D$99,0))*INDEX(EF!$H$100:$H$115,MATCH(Emissions!$D67,EF!$D$100:$D$115,0))*INDEX(EF!$H$116:$H$131,MATCH(Emissions!$D67,EF!$D$116:$D$131,0))*kgtoGg</f>
        <v>0.44425337153100508</v>
      </c>
      <c r="AU67" s="22">
        <f>INDEX('Activity data'!AU$24:AU$39,MATCH(Emissions!$D67,'Activity data'!$D$24:$D$39,0))*INDEX(EF!$H$84:$H$99,MATCH(Emissions!$D67,EF!$D$84:$D$99,0))*INDEX(EF!$H$100:$H$115,MATCH(Emissions!$D67,EF!$D$100:$D$115,0))*INDEX(EF!$H$116:$H$131,MATCH(Emissions!$D67,EF!$D$116:$D$131,0))*kgtoGg</f>
        <v>0.44516155701778909</v>
      </c>
      <c r="AV67" s="22">
        <f>INDEX('Activity data'!AV$24:AV$39,MATCH(Emissions!$D67,'Activity data'!$D$24:$D$39,0))*INDEX(EF!$H$84:$H$99,MATCH(Emissions!$D67,EF!$D$84:$D$99,0))*INDEX(EF!$H$100:$H$115,MATCH(Emissions!$D67,EF!$D$100:$D$115,0))*INDEX(EF!$H$116:$H$131,MATCH(Emissions!$D67,EF!$D$116:$D$131,0))*kgtoGg</f>
        <v>0.44606974250457304</v>
      </c>
      <c r="AW67" s="22">
        <f>INDEX('Activity data'!AW$24:AW$39,MATCH(Emissions!$D67,'Activity data'!$D$24:$D$39,0))*INDEX(EF!$H$84:$H$99,MATCH(Emissions!$D67,EF!$D$84:$D$99,0))*INDEX(EF!$H$100:$H$115,MATCH(Emissions!$D67,EF!$D$100:$D$115,0))*INDEX(EF!$H$116:$H$131,MATCH(Emissions!$D67,EF!$D$116:$D$131,0))*kgtoGg</f>
        <v>0.44697792799135705</v>
      </c>
      <c r="AX67" s="22">
        <f>INDEX('Activity data'!AX$24:AX$39,MATCH(Emissions!$D67,'Activity data'!$D$24:$D$39,0))*INDEX(EF!$H$84:$H$99,MATCH(Emissions!$D67,EF!$D$84:$D$99,0))*INDEX(EF!$H$100:$H$115,MATCH(Emissions!$D67,EF!$D$100:$D$115,0))*INDEX(EF!$H$116:$H$131,MATCH(Emissions!$D67,EF!$D$116:$D$131,0))*kgtoGg</f>
        <v>0.44788611347814106</v>
      </c>
      <c r="AY67" s="22">
        <f>INDEX('Activity data'!AY$24:AY$39,MATCH(Emissions!$D67,'Activity data'!$D$24:$D$39,0))*INDEX(EF!$H$84:$H$99,MATCH(Emissions!$D67,EF!$D$84:$D$99,0))*INDEX(EF!$H$100:$H$115,MATCH(Emissions!$D67,EF!$D$100:$D$115,0))*INDEX(EF!$H$116:$H$131,MATCH(Emissions!$D67,EF!$D$116:$D$131,0))*kgtoGg</f>
        <v>0.44879429896492501</v>
      </c>
      <c r="AZ67" s="22">
        <f>INDEX('Activity data'!AZ$24:AZ$39,MATCH(Emissions!$D67,'Activity data'!$D$24:$D$39,0))*INDEX(EF!$H$84:$H$99,MATCH(Emissions!$D67,EF!$D$84:$D$99,0))*INDEX(EF!$H$100:$H$115,MATCH(Emissions!$D67,EF!$D$100:$D$115,0))*INDEX(EF!$H$116:$H$131,MATCH(Emissions!$D67,EF!$D$116:$D$131,0))*kgtoGg</f>
        <v>0.44970248445170896</v>
      </c>
      <c r="BA67" s="22">
        <f>INDEX('Activity data'!BA$24:BA$39,MATCH(Emissions!$D67,'Activity data'!$D$24:$D$39,0))*INDEX(EF!$H$84:$H$99,MATCH(Emissions!$D67,EF!$D$84:$D$99,0))*INDEX(EF!$H$100:$H$115,MATCH(Emissions!$D67,EF!$D$100:$D$115,0))*INDEX(EF!$H$116:$H$131,MATCH(Emissions!$D67,EF!$D$116:$D$131,0))*kgtoGg</f>
        <v>0.45061066993849297</v>
      </c>
      <c r="BB67" s="22">
        <f>INDEX('Activity data'!BB$24:BB$39,MATCH(Emissions!$D67,'Activity data'!$D$24:$D$39,0))*INDEX(EF!$H$84:$H$99,MATCH(Emissions!$D67,EF!$D$84:$D$99,0))*INDEX(EF!$H$100:$H$115,MATCH(Emissions!$D67,EF!$D$100:$D$115,0))*INDEX(EF!$H$116:$H$131,MATCH(Emissions!$D67,EF!$D$116:$D$131,0))*kgtoGg</f>
        <v>0.45151885542527692</v>
      </c>
      <c r="BC67" s="22">
        <f>INDEX('Activity data'!BC$24:BC$39,MATCH(Emissions!$D67,'Activity data'!$D$24:$D$39,0))*INDEX(EF!$H$84:$H$99,MATCH(Emissions!$D67,EF!$D$84:$D$99,0))*INDEX(EF!$H$100:$H$115,MATCH(Emissions!$D67,EF!$D$100:$D$115,0))*INDEX(EF!$H$116:$H$131,MATCH(Emissions!$D67,EF!$D$116:$D$131,0))*kgtoGg</f>
        <v>0.45242704091206093</v>
      </c>
      <c r="BD67" s="22">
        <f>INDEX('Activity data'!BD$24:BD$39,MATCH(Emissions!$D67,'Activity data'!$D$24:$D$39,0))*INDEX(EF!$H$84:$H$99,MATCH(Emissions!$D67,EF!$D$84:$D$99,0))*INDEX(EF!$H$100:$H$115,MATCH(Emissions!$D67,EF!$D$100:$D$115,0))*INDEX(EF!$H$116:$H$131,MATCH(Emissions!$D67,EF!$D$116:$D$131,0))*kgtoGg</f>
        <v>0.45333522639884494</v>
      </c>
      <c r="BE67" s="22">
        <f>INDEX('Activity data'!BE$24:BE$39,MATCH(Emissions!$D67,'Activity data'!$D$24:$D$39,0))*INDEX(EF!$H$84:$H$99,MATCH(Emissions!$D67,EF!$D$84:$D$99,0))*INDEX(EF!$H$100:$H$115,MATCH(Emissions!$D67,EF!$D$100:$D$115,0))*INDEX(EF!$H$116:$H$131,MATCH(Emissions!$D67,EF!$D$116:$D$131,0))*kgtoGg</f>
        <v>0.454243411885629</v>
      </c>
      <c r="BF67" s="22">
        <f>INDEX('Activity data'!BF$24:BF$39,MATCH(Emissions!$D67,'Activity data'!$D$24:$D$39,0))*INDEX(EF!$H$84:$H$99,MATCH(Emissions!$D67,EF!$D$84:$D$99,0))*INDEX(EF!$H$100:$H$115,MATCH(Emissions!$D67,EF!$D$100:$D$115,0))*INDEX(EF!$H$116:$H$131,MATCH(Emissions!$D67,EF!$D$116:$D$131,0))*kgtoGg</f>
        <v>0.45515159737241295</v>
      </c>
      <c r="BG67" s="22">
        <f>INDEX('Activity data'!BG$24:BG$39,MATCH(Emissions!$D67,'Activity data'!$D$24:$D$39,0))*INDEX(EF!$H$84:$H$99,MATCH(Emissions!$D67,EF!$D$84:$D$99,0))*INDEX(EF!$H$100:$H$115,MATCH(Emissions!$D67,EF!$D$100:$D$115,0))*INDEX(EF!$H$116:$H$131,MATCH(Emissions!$D67,EF!$D$116:$D$131,0))*kgtoGg</f>
        <v>0.4560597828591969</v>
      </c>
      <c r="BH67" s="22">
        <f>INDEX('Activity data'!BH$24:BH$39,MATCH(Emissions!$D67,'Activity data'!$D$24:$D$39,0))*INDEX(EF!$H$84:$H$99,MATCH(Emissions!$D67,EF!$D$84:$D$99,0))*INDEX(EF!$H$100:$H$115,MATCH(Emissions!$D67,EF!$D$100:$D$115,0))*INDEX(EF!$H$116:$H$131,MATCH(Emissions!$D67,EF!$D$116:$D$131,0))*kgtoGg</f>
        <v>0.45696796834598097</v>
      </c>
      <c r="BI67" s="22">
        <f>INDEX('Activity data'!BI$24:BI$39,MATCH(Emissions!$D67,'Activity data'!$D$24:$D$39,0))*INDEX(EF!$H$84:$H$99,MATCH(Emissions!$D67,EF!$D$84:$D$99,0))*INDEX(EF!$H$100:$H$115,MATCH(Emissions!$D67,EF!$D$100:$D$115,0))*INDEX(EF!$H$116:$H$131,MATCH(Emissions!$D67,EF!$D$116:$D$131,0))*kgtoGg</f>
        <v>0.45787615383276492</v>
      </c>
      <c r="BJ67" s="22">
        <f>INDEX('Activity data'!BJ$24:BJ$39,MATCH(Emissions!$D67,'Activity data'!$D$24:$D$39,0))*INDEX(EF!$H$84:$H$99,MATCH(Emissions!$D67,EF!$D$84:$D$99,0))*INDEX(EF!$H$100:$H$115,MATCH(Emissions!$D67,EF!$D$100:$D$115,0))*INDEX(EF!$H$116:$H$131,MATCH(Emissions!$D67,EF!$D$116:$D$131,0))*kgtoGg</f>
        <v>0.45878433931954882</v>
      </c>
      <c r="BK67" s="22">
        <f>INDEX('Activity data'!BK$24:BK$39,MATCH(Emissions!$D67,'Activity data'!$D$24:$D$39,0))*INDEX(EF!$H$84:$H$99,MATCH(Emissions!$D67,EF!$D$84:$D$99,0))*INDEX(EF!$H$100:$H$115,MATCH(Emissions!$D67,EF!$D$100:$D$115,0))*INDEX(EF!$H$116:$H$131,MATCH(Emissions!$D67,EF!$D$116:$D$131,0))*kgtoGg</f>
        <v>0.45969252480633288</v>
      </c>
      <c r="BL67" s="22">
        <f>INDEX('Activity data'!BL$24:BL$39,MATCH(Emissions!$D67,'Activity data'!$D$24:$D$39,0))*INDEX(EF!$H$84:$H$99,MATCH(Emissions!$D67,EF!$D$84:$D$99,0))*INDEX(EF!$H$100:$H$115,MATCH(Emissions!$D67,EF!$D$100:$D$115,0))*INDEX(EF!$H$116:$H$131,MATCH(Emissions!$D67,EF!$D$116:$D$131,0))*kgtoGg</f>
        <v>0.46060071029311683</v>
      </c>
      <c r="BM67" s="22">
        <f>INDEX('Activity data'!BM$24:BM$39,MATCH(Emissions!$D67,'Activity data'!$D$24:$D$39,0))*INDEX(EF!$H$84:$H$99,MATCH(Emissions!$D67,EF!$D$84:$D$99,0))*INDEX(EF!$H$100:$H$115,MATCH(Emissions!$D67,EF!$D$100:$D$115,0))*INDEX(EF!$H$116:$H$131,MATCH(Emissions!$D67,EF!$D$116:$D$131,0))*kgtoGg</f>
        <v>0.46150889577990084</v>
      </c>
      <c r="BN67" s="22">
        <f>INDEX('Activity data'!BN$24:BN$39,MATCH(Emissions!$D67,'Activity data'!$D$24:$D$39,0))*INDEX(EF!$H$84:$H$99,MATCH(Emissions!$D67,EF!$D$84:$D$99,0))*INDEX(EF!$H$100:$H$115,MATCH(Emissions!$D67,EF!$D$100:$D$115,0))*INDEX(EF!$H$116:$H$131,MATCH(Emissions!$D67,EF!$D$116:$D$131,0))*kgtoGg</f>
        <v>0.46241708126668479</v>
      </c>
      <c r="BO67" s="22">
        <f>INDEX('Activity data'!BO$24:BO$39,MATCH(Emissions!$D67,'Activity data'!$D$24:$D$39,0))*INDEX(EF!$H$84:$H$99,MATCH(Emissions!$D67,EF!$D$84:$D$99,0))*INDEX(EF!$H$100:$H$115,MATCH(Emissions!$D67,EF!$D$100:$D$115,0))*INDEX(EF!$H$116:$H$131,MATCH(Emissions!$D67,EF!$D$116:$D$131,0))*kgtoGg</f>
        <v>0.4633252667534688</v>
      </c>
      <c r="BP67" s="22">
        <f>INDEX('Activity data'!BP$24:BP$39,MATCH(Emissions!$D67,'Activity data'!$D$24:$D$39,0))*INDEX(EF!$H$84:$H$99,MATCH(Emissions!$D67,EF!$D$84:$D$99,0))*INDEX(EF!$H$100:$H$115,MATCH(Emissions!$D67,EF!$D$100:$D$115,0))*INDEX(EF!$H$116:$H$131,MATCH(Emissions!$D67,EF!$D$116:$D$131,0))*kgtoGg</f>
        <v>0.46423345224025281</v>
      </c>
    </row>
    <row r="68" spans="1:68" x14ac:dyDescent="0.3">
      <c r="A68" t="str">
        <f t="shared" si="19"/>
        <v>3C Aggregated and non-CO2 emissions on land</v>
      </c>
      <c r="B68" t="str">
        <f t="shared" si="20"/>
        <v>3C1 Biomass burning (CH4)</v>
      </c>
      <c r="C68" t="str">
        <f>C67</f>
        <v>3C1e Biomass burning in Settlements</v>
      </c>
      <c r="D68" t="str">
        <f>EF!D98</f>
        <v>Mines</v>
      </c>
      <c r="E68" t="s">
        <v>654</v>
      </c>
      <c r="F68" t="str">
        <f t="shared" si="23"/>
        <v>CH4</v>
      </c>
      <c r="G68" t="str">
        <f t="shared" si="24"/>
        <v>Gg CH4</v>
      </c>
      <c r="H68" s="22">
        <f>INDEX('Activity data'!H$24:H$39,MATCH(Emissions!$D68,'Activity data'!$D$24:$D$39,0))*INDEX(EF!$H$84:$H$99,MATCH(Emissions!$D68,EF!$D$84:$D$99,0))*INDEX(EF!$H$100:$H$115,MATCH(Emissions!$D68,EF!$D$100:$D$115,0))*INDEX(EF!$H$116:$H$131,MATCH(Emissions!$D68,EF!$D$116:$D$131,0))*kgtoGg</f>
        <v>0</v>
      </c>
      <c r="I68" s="22">
        <f>INDEX('Activity data'!I$24:I$39,MATCH(Emissions!$D68,'Activity data'!$D$24:$D$39,0))*INDEX(EF!$H$84:$H$99,MATCH(Emissions!$D68,EF!$D$84:$D$99,0))*INDEX(EF!$H$100:$H$115,MATCH(Emissions!$D68,EF!$D$100:$D$115,0))*INDEX(EF!$H$116:$H$131,MATCH(Emissions!$D68,EF!$D$116:$D$131,0))*kgtoGg</f>
        <v>0</v>
      </c>
      <c r="J68" s="22">
        <f>INDEX('Activity data'!J$24:J$39,MATCH(Emissions!$D68,'Activity data'!$D$24:$D$39,0))*INDEX(EF!$H$84:$H$99,MATCH(Emissions!$D68,EF!$D$84:$D$99,0))*INDEX(EF!$H$100:$H$115,MATCH(Emissions!$D68,EF!$D$100:$D$115,0))*INDEX(EF!$H$116:$H$131,MATCH(Emissions!$D68,EF!$D$116:$D$131,0))*kgtoGg</f>
        <v>0</v>
      </c>
      <c r="K68" s="22">
        <f>INDEX('Activity data'!K$24:K$39,MATCH(Emissions!$D68,'Activity data'!$D$24:$D$39,0))*INDEX(EF!$H$84:$H$99,MATCH(Emissions!$D68,EF!$D$84:$D$99,0))*INDEX(EF!$H$100:$H$115,MATCH(Emissions!$D68,EF!$D$100:$D$115,0))*INDEX(EF!$H$116:$H$131,MATCH(Emissions!$D68,EF!$D$116:$D$131,0))*kgtoGg</f>
        <v>0</v>
      </c>
      <c r="L68" s="22">
        <f>INDEX('Activity data'!L$24:L$39,MATCH(Emissions!$D68,'Activity data'!$D$24:$D$39,0))*INDEX(EF!$H$84:$H$99,MATCH(Emissions!$D68,EF!$D$84:$D$99,0))*INDEX(EF!$H$100:$H$115,MATCH(Emissions!$D68,EF!$D$100:$D$115,0))*INDEX(EF!$H$116:$H$131,MATCH(Emissions!$D68,EF!$D$116:$D$131,0))*kgtoGg</f>
        <v>0</v>
      </c>
      <c r="M68" s="22">
        <f>INDEX('Activity data'!M$24:M$39,MATCH(Emissions!$D68,'Activity data'!$D$24:$D$39,0))*INDEX(EF!$H$84:$H$99,MATCH(Emissions!$D68,EF!$D$84:$D$99,0))*INDEX(EF!$H$100:$H$115,MATCH(Emissions!$D68,EF!$D$100:$D$115,0))*INDEX(EF!$H$116:$H$131,MATCH(Emissions!$D68,EF!$D$116:$D$131,0))*kgtoGg</f>
        <v>0</v>
      </c>
      <c r="N68" s="22">
        <f>INDEX('Activity data'!N$24:N$39,MATCH(Emissions!$D68,'Activity data'!$D$24:$D$39,0))*INDEX(EF!$H$84:$H$99,MATCH(Emissions!$D68,EF!$D$84:$D$99,0))*INDEX(EF!$H$100:$H$115,MATCH(Emissions!$D68,EF!$D$100:$D$115,0))*INDEX(EF!$H$116:$H$131,MATCH(Emissions!$D68,EF!$D$116:$D$131,0))*kgtoGg</f>
        <v>0</v>
      </c>
      <c r="O68" s="22">
        <f>INDEX('Activity data'!O$24:O$39,MATCH(Emissions!$D68,'Activity data'!$D$24:$D$39,0))*INDEX(EF!$H$84:$H$99,MATCH(Emissions!$D68,EF!$D$84:$D$99,0))*INDEX(EF!$H$100:$H$115,MATCH(Emissions!$D68,EF!$D$100:$D$115,0))*INDEX(EF!$H$116:$H$131,MATCH(Emissions!$D68,EF!$D$116:$D$131,0))*kgtoGg</f>
        <v>0</v>
      </c>
      <c r="P68" s="22">
        <f>INDEX('Activity data'!P$24:P$39,MATCH(Emissions!$D68,'Activity data'!$D$24:$D$39,0))*INDEX(EF!$H$84:$H$99,MATCH(Emissions!$D68,EF!$D$84:$D$99,0))*INDEX(EF!$H$100:$H$115,MATCH(Emissions!$D68,EF!$D$100:$D$115,0))*INDEX(EF!$H$116:$H$131,MATCH(Emissions!$D68,EF!$D$116:$D$131,0))*kgtoGg</f>
        <v>0</v>
      </c>
      <c r="Q68" s="22">
        <f>INDEX('Activity data'!Q$24:Q$39,MATCH(Emissions!$D68,'Activity data'!$D$24:$D$39,0))*INDEX(EF!$H$84:$H$99,MATCH(Emissions!$D68,EF!$D$84:$D$99,0))*INDEX(EF!$H$100:$H$115,MATCH(Emissions!$D68,EF!$D$100:$D$115,0))*INDEX(EF!$H$116:$H$131,MATCH(Emissions!$D68,EF!$D$116:$D$131,0))*kgtoGg</f>
        <v>0</v>
      </c>
      <c r="R68" s="22">
        <f>INDEX('Activity data'!R$24:R$39,MATCH(Emissions!$D68,'Activity data'!$D$24:$D$39,0))*INDEX(EF!$H$84:$H$99,MATCH(Emissions!$D68,EF!$D$84:$D$99,0))*INDEX(EF!$H$100:$H$115,MATCH(Emissions!$D68,EF!$D$100:$D$115,0))*INDEX(EF!$H$116:$H$131,MATCH(Emissions!$D68,EF!$D$116:$D$131,0))*kgtoGg</f>
        <v>0</v>
      </c>
      <c r="S68" s="22">
        <f>INDEX('Activity data'!S$24:S$39,MATCH(Emissions!$D68,'Activity data'!$D$24:$D$39,0))*INDEX(EF!$H$84:$H$99,MATCH(Emissions!$D68,EF!$D$84:$D$99,0))*INDEX(EF!$H$100:$H$115,MATCH(Emissions!$D68,EF!$D$100:$D$115,0))*INDEX(EF!$H$116:$H$131,MATCH(Emissions!$D68,EF!$D$116:$D$131,0))*kgtoGg</f>
        <v>0</v>
      </c>
      <c r="T68" s="22">
        <f>INDEX('Activity data'!T$24:T$39,MATCH(Emissions!$D68,'Activity data'!$D$24:$D$39,0))*INDEX(EF!$H$84:$H$99,MATCH(Emissions!$D68,EF!$D$84:$D$99,0))*INDEX(EF!$H$100:$H$115,MATCH(Emissions!$D68,EF!$D$100:$D$115,0))*INDEX(EF!$H$116:$H$131,MATCH(Emissions!$D68,EF!$D$116:$D$131,0))*kgtoGg</f>
        <v>0</v>
      </c>
      <c r="U68" s="22">
        <f>INDEX('Activity data'!U$24:U$39,MATCH(Emissions!$D68,'Activity data'!$D$24:$D$39,0))*INDEX(EF!$H$84:$H$99,MATCH(Emissions!$D68,EF!$D$84:$D$99,0))*INDEX(EF!$H$100:$H$115,MATCH(Emissions!$D68,EF!$D$100:$D$115,0))*INDEX(EF!$H$116:$H$131,MATCH(Emissions!$D68,EF!$D$116:$D$131,0))*kgtoGg</f>
        <v>0</v>
      </c>
      <c r="V68" s="22">
        <f>INDEX('Activity data'!V$24:V$39,MATCH(Emissions!$D68,'Activity data'!$D$24:$D$39,0))*INDEX(EF!$H$84:$H$99,MATCH(Emissions!$D68,EF!$D$84:$D$99,0))*INDEX(EF!$H$100:$H$115,MATCH(Emissions!$D68,EF!$D$100:$D$115,0))*INDEX(EF!$H$116:$H$131,MATCH(Emissions!$D68,EF!$D$116:$D$131,0))*kgtoGg</f>
        <v>0</v>
      </c>
      <c r="W68" s="22">
        <f>INDEX('Activity data'!W$24:W$39,MATCH(Emissions!$D68,'Activity data'!$D$24:$D$39,0))*INDEX(EF!$H$84:$H$99,MATCH(Emissions!$D68,EF!$D$84:$D$99,0))*INDEX(EF!$H$100:$H$115,MATCH(Emissions!$D68,EF!$D$100:$D$115,0))*INDEX(EF!$H$116:$H$131,MATCH(Emissions!$D68,EF!$D$116:$D$131,0))*kgtoGg</f>
        <v>0</v>
      </c>
      <c r="X68" s="22">
        <f>INDEX('Activity data'!X$24:X$39,MATCH(Emissions!$D68,'Activity data'!$D$24:$D$39,0))*INDEX(EF!$H$84:$H$99,MATCH(Emissions!$D68,EF!$D$84:$D$99,0))*INDEX(EF!$H$100:$H$115,MATCH(Emissions!$D68,EF!$D$100:$D$115,0))*INDEX(EF!$H$116:$H$131,MATCH(Emissions!$D68,EF!$D$116:$D$131,0))*kgtoGg</f>
        <v>0</v>
      </c>
      <c r="Y68" s="22">
        <f>INDEX('Activity data'!Y$24:Y$39,MATCH(Emissions!$D68,'Activity data'!$D$24:$D$39,0))*INDEX(EF!$H$84:$H$99,MATCH(Emissions!$D68,EF!$D$84:$D$99,0))*INDEX(EF!$H$100:$H$115,MATCH(Emissions!$D68,EF!$D$100:$D$115,0))*INDEX(EF!$H$116:$H$131,MATCH(Emissions!$D68,EF!$D$116:$D$131,0))*kgtoGg</f>
        <v>0</v>
      </c>
      <c r="Z68" s="22">
        <f>INDEX('Activity data'!Z$24:Z$39,MATCH(Emissions!$D68,'Activity data'!$D$24:$D$39,0))*INDEX(EF!$H$84:$H$99,MATCH(Emissions!$D68,EF!$D$84:$D$99,0))*INDEX(EF!$H$100:$H$115,MATCH(Emissions!$D68,EF!$D$100:$D$115,0))*INDEX(EF!$H$116:$H$131,MATCH(Emissions!$D68,EF!$D$116:$D$131,0))*kgtoGg</f>
        <v>0</v>
      </c>
      <c r="AA68" s="22">
        <f>INDEX('Activity data'!AA$24:AA$39,MATCH(Emissions!$D68,'Activity data'!$D$24:$D$39,0))*INDEX(EF!$H$84:$H$99,MATCH(Emissions!$D68,EF!$D$84:$D$99,0))*INDEX(EF!$H$100:$H$115,MATCH(Emissions!$D68,EF!$D$100:$D$115,0))*INDEX(EF!$H$116:$H$131,MATCH(Emissions!$D68,EF!$D$116:$D$131,0))*kgtoGg</f>
        <v>0</v>
      </c>
      <c r="AB68" s="22">
        <f>INDEX('Activity data'!AB$24:AB$39,MATCH(Emissions!$D68,'Activity data'!$D$24:$D$39,0))*INDEX(EF!$H$84:$H$99,MATCH(Emissions!$D68,EF!$D$84:$D$99,0))*INDEX(EF!$H$100:$H$115,MATCH(Emissions!$D68,EF!$D$100:$D$115,0))*INDEX(EF!$H$116:$H$131,MATCH(Emissions!$D68,EF!$D$116:$D$131,0))*kgtoGg</f>
        <v>0</v>
      </c>
      <c r="AC68" s="22">
        <f>INDEX('Activity data'!AC$24:AC$39,MATCH(Emissions!$D68,'Activity data'!$D$24:$D$39,0))*INDEX(EF!$H$84:$H$99,MATCH(Emissions!$D68,EF!$D$84:$D$99,0))*INDEX(EF!$H$100:$H$115,MATCH(Emissions!$D68,EF!$D$100:$D$115,0))*INDEX(EF!$H$116:$H$131,MATCH(Emissions!$D68,EF!$D$116:$D$131,0))*kgtoGg</f>
        <v>0</v>
      </c>
      <c r="AD68" s="22">
        <f>INDEX('Activity data'!AD$24:AD$39,MATCH(Emissions!$D68,'Activity data'!$D$24:$D$39,0))*INDEX(EF!$H$84:$H$99,MATCH(Emissions!$D68,EF!$D$84:$D$99,0))*INDEX(EF!$H$100:$H$115,MATCH(Emissions!$D68,EF!$D$100:$D$115,0))*INDEX(EF!$H$116:$H$131,MATCH(Emissions!$D68,EF!$D$116:$D$131,0))*kgtoGg</f>
        <v>0</v>
      </c>
      <c r="AE68" s="22">
        <f>INDEX('Activity data'!AE$24:AE$39,MATCH(Emissions!$D68,'Activity data'!$D$24:$D$39,0))*INDEX(EF!$H$84:$H$99,MATCH(Emissions!$D68,EF!$D$84:$D$99,0))*INDEX(EF!$H$100:$H$115,MATCH(Emissions!$D68,EF!$D$100:$D$115,0))*INDEX(EF!$H$116:$H$131,MATCH(Emissions!$D68,EF!$D$116:$D$131,0))*kgtoGg</f>
        <v>0</v>
      </c>
      <c r="AF68" s="22">
        <f>INDEX('Activity data'!AF$24:AF$39,MATCH(Emissions!$D68,'Activity data'!$D$24:$D$39,0))*INDEX(EF!$H$84:$H$99,MATCH(Emissions!$D68,EF!$D$84:$D$99,0))*INDEX(EF!$H$100:$H$115,MATCH(Emissions!$D68,EF!$D$100:$D$115,0))*INDEX(EF!$H$116:$H$131,MATCH(Emissions!$D68,EF!$D$116:$D$131,0))*kgtoGg</f>
        <v>0</v>
      </c>
      <c r="AG68" s="22">
        <f>INDEX('Activity data'!AG$24:AG$39,MATCH(Emissions!$D68,'Activity data'!$D$24:$D$39,0))*INDEX(EF!$H$84:$H$99,MATCH(Emissions!$D68,EF!$D$84:$D$99,0))*INDEX(EF!$H$100:$H$115,MATCH(Emissions!$D68,EF!$D$100:$D$115,0))*INDEX(EF!$H$116:$H$131,MATCH(Emissions!$D68,EF!$D$116:$D$131,0))*kgtoGg</f>
        <v>0</v>
      </c>
      <c r="AH68" s="22">
        <f>INDEX('Activity data'!AH$24:AH$39,MATCH(Emissions!$D68,'Activity data'!$D$24:$D$39,0))*INDEX(EF!$H$84:$H$99,MATCH(Emissions!$D68,EF!$D$84:$D$99,0))*INDEX(EF!$H$100:$H$115,MATCH(Emissions!$D68,EF!$D$100:$D$115,0))*INDEX(EF!$H$116:$H$131,MATCH(Emissions!$D68,EF!$D$116:$D$131,0))*kgtoGg</f>
        <v>0</v>
      </c>
      <c r="AI68" s="22">
        <f>INDEX('Activity data'!AI$24:AI$39,MATCH(Emissions!$D68,'Activity data'!$D$24:$D$39,0))*INDEX(EF!$H$84:$H$99,MATCH(Emissions!$D68,EF!$D$84:$D$99,0))*INDEX(EF!$H$100:$H$115,MATCH(Emissions!$D68,EF!$D$100:$D$115,0))*INDEX(EF!$H$116:$H$131,MATCH(Emissions!$D68,EF!$D$116:$D$131,0))*kgtoGg</f>
        <v>0</v>
      </c>
      <c r="AJ68" s="22">
        <f>INDEX('Activity data'!AJ$24:AJ$39,MATCH(Emissions!$D68,'Activity data'!$D$24:$D$39,0))*INDEX(EF!$H$84:$H$99,MATCH(Emissions!$D68,EF!$D$84:$D$99,0))*INDEX(EF!$H$100:$H$115,MATCH(Emissions!$D68,EF!$D$100:$D$115,0))*INDEX(EF!$H$116:$H$131,MATCH(Emissions!$D68,EF!$D$116:$D$131,0))*kgtoGg</f>
        <v>0</v>
      </c>
      <c r="AK68" s="22">
        <f>INDEX('Activity data'!AK$24:AK$39,MATCH(Emissions!$D68,'Activity data'!$D$24:$D$39,0))*INDEX(EF!$H$84:$H$99,MATCH(Emissions!$D68,EF!$D$84:$D$99,0))*INDEX(EF!$H$100:$H$115,MATCH(Emissions!$D68,EF!$D$100:$D$115,0))*INDEX(EF!$H$116:$H$131,MATCH(Emissions!$D68,EF!$D$116:$D$131,0))*kgtoGg</f>
        <v>0</v>
      </c>
      <c r="AL68" s="22">
        <f>INDEX('Activity data'!AL$24:AL$39,MATCH(Emissions!$D68,'Activity data'!$D$24:$D$39,0))*INDEX(EF!$H$84:$H$99,MATCH(Emissions!$D68,EF!$D$84:$D$99,0))*INDEX(EF!$H$100:$H$115,MATCH(Emissions!$D68,EF!$D$100:$D$115,0))*INDEX(EF!$H$116:$H$131,MATCH(Emissions!$D68,EF!$D$116:$D$131,0))*kgtoGg</f>
        <v>0</v>
      </c>
      <c r="AM68" s="22">
        <f>INDEX('Activity data'!AM$24:AM$39,MATCH(Emissions!$D68,'Activity data'!$D$24:$D$39,0))*INDEX(EF!$H$84:$H$99,MATCH(Emissions!$D68,EF!$D$84:$D$99,0))*INDEX(EF!$H$100:$H$115,MATCH(Emissions!$D68,EF!$D$100:$D$115,0))*INDEX(EF!$H$116:$H$131,MATCH(Emissions!$D68,EF!$D$116:$D$131,0))*kgtoGg</f>
        <v>0</v>
      </c>
      <c r="AN68" s="22">
        <f>INDEX('Activity data'!AN$24:AN$39,MATCH(Emissions!$D68,'Activity data'!$D$24:$D$39,0))*INDEX(EF!$H$84:$H$99,MATCH(Emissions!$D68,EF!$D$84:$D$99,0))*INDEX(EF!$H$100:$H$115,MATCH(Emissions!$D68,EF!$D$100:$D$115,0))*INDEX(EF!$H$116:$H$131,MATCH(Emissions!$D68,EF!$D$116:$D$131,0))*kgtoGg</f>
        <v>0</v>
      </c>
      <c r="AO68" s="22">
        <f>INDEX('Activity data'!AO$24:AO$39,MATCH(Emissions!$D68,'Activity data'!$D$24:$D$39,0))*INDEX(EF!$H$84:$H$99,MATCH(Emissions!$D68,EF!$D$84:$D$99,0))*INDEX(EF!$H$100:$H$115,MATCH(Emissions!$D68,EF!$D$100:$D$115,0))*INDEX(EF!$H$116:$H$131,MATCH(Emissions!$D68,EF!$D$116:$D$131,0))*kgtoGg</f>
        <v>0</v>
      </c>
      <c r="AP68" s="22">
        <f>INDEX('Activity data'!AP$24:AP$39,MATCH(Emissions!$D68,'Activity data'!$D$24:$D$39,0))*INDEX(EF!$H$84:$H$99,MATCH(Emissions!$D68,EF!$D$84:$D$99,0))*INDEX(EF!$H$100:$H$115,MATCH(Emissions!$D68,EF!$D$100:$D$115,0))*INDEX(EF!$H$116:$H$131,MATCH(Emissions!$D68,EF!$D$116:$D$131,0))*kgtoGg</f>
        <v>0</v>
      </c>
      <c r="AQ68" s="22">
        <f>INDEX('Activity data'!AQ$24:AQ$39,MATCH(Emissions!$D68,'Activity data'!$D$24:$D$39,0))*INDEX(EF!$H$84:$H$99,MATCH(Emissions!$D68,EF!$D$84:$D$99,0))*INDEX(EF!$H$100:$H$115,MATCH(Emissions!$D68,EF!$D$100:$D$115,0))*INDEX(EF!$H$116:$H$131,MATCH(Emissions!$D68,EF!$D$116:$D$131,0))*kgtoGg</f>
        <v>0</v>
      </c>
      <c r="AR68" s="22">
        <f>INDEX('Activity data'!AR$24:AR$39,MATCH(Emissions!$D68,'Activity data'!$D$24:$D$39,0))*INDEX(EF!$H$84:$H$99,MATCH(Emissions!$D68,EF!$D$84:$D$99,0))*INDEX(EF!$H$100:$H$115,MATCH(Emissions!$D68,EF!$D$100:$D$115,0))*INDEX(EF!$H$116:$H$131,MATCH(Emissions!$D68,EF!$D$116:$D$131,0))*kgtoGg</f>
        <v>0</v>
      </c>
      <c r="AS68" s="22">
        <f>INDEX('Activity data'!AS$24:AS$39,MATCH(Emissions!$D68,'Activity data'!$D$24:$D$39,0))*INDEX(EF!$H$84:$H$99,MATCH(Emissions!$D68,EF!$D$84:$D$99,0))*INDEX(EF!$H$100:$H$115,MATCH(Emissions!$D68,EF!$D$100:$D$115,0))*INDEX(EF!$H$116:$H$131,MATCH(Emissions!$D68,EF!$D$116:$D$131,0))*kgtoGg</f>
        <v>0</v>
      </c>
      <c r="AT68" s="22">
        <f>INDEX('Activity data'!AT$24:AT$39,MATCH(Emissions!$D68,'Activity data'!$D$24:$D$39,0))*INDEX(EF!$H$84:$H$99,MATCH(Emissions!$D68,EF!$D$84:$D$99,0))*INDEX(EF!$H$100:$H$115,MATCH(Emissions!$D68,EF!$D$100:$D$115,0))*INDEX(EF!$H$116:$H$131,MATCH(Emissions!$D68,EF!$D$116:$D$131,0))*kgtoGg</f>
        <v>0</v>
      </c>
      <c r="AU68" s="22">
        <f>INDEX('Activity data'!AU$24:AU$39,MATCH(Emissions!$D68,'Activity data'!$D$24:$D$39,0))*INDEX(EF!$H$84:$H$99,MATCH(Emissions!$D68,EF!$D$84:$D$99,0))*INDEX(EF!$H$100:$H$115,MATCH(Emissions!$D68,EF!$D$100:$D$115,0))*INDEX(EF!$H$116:$H$131,MATCH(Emissions!$D68,EF!$D$116:$D$131,0))*kgtoGg</f>
        <v>0</v>
      </c>
      <c r="AV68" s="22">
        <f>INDEX('Activity data'!AV$24:AV$39,MATCH(Emissions!$D68,'Activity data'!$D$24:$D$39,0))*INDEX(EF!$H$84:$H$99,MATCH(Emissions!$D68,EF!$D$84:$D$99,0))*INDEX(EF!$H$100:$H$115,MATCH(Emissions!$D68,EF!$D$100:$D$115,0))*INDEX(EF!$H$116:$H$131,MATCH(Emissions!$D68,EF!$D$116:$D$131,0))*kgtoGg</f>
        <v>0</v>
      </c>
      <c r="AW68" s="22">
        <f>INDEX('Activity data'!AW$24:AW$39,MATCH(Emissions!$D68,'Activity data'!$D$24:$D$39,0))*INDEX(EF!$H$84:$H$99,MATCH(Emissions!$D68,EF!$D$84:$D$99,0))*INDEX(EF!$H$100:$H$115,MATCH(Emissions!$D68,EF!$D$100:$D$115,0))*INDEX(EF!$H$116:$H$131,MATCH(Emissions!$D68,EF!$D$116:$D$131,0))*kgtoGg</f>
        <v>0</v>
      </c>
      <c r="AX68" s="22">
        <f>INDEX('Activity data'!AX$24:AX$39,MATCH(Emissions!$D68,'Activity data'!$D$24:$D$39,0))*INDEX(EF!$H$84:$H$99,MATCH(Emissions!$D68,EF!$D$84:$D$99,0))*INDEX(EF!$H$100:$H$115,MATCH(Emissions!$D68,EF!$D$100:$D$115,0))*INDEX(EF!$H$116:$H$131,MATCH(Emissions!$D68,EF!$D$116:$D$131,0))*kgtoGg</f>
        <v>0</v>
      </c>
      <c r="AY68" s="22">
        <f>INDEX('Activity data'!AY$24:AY$39,MATCH(Emissions!$D68,'Activity data'!$D$24:$D$39,0))*INDEX(EF!$H$84:$H$99,MATCH(Emissions!$D68,EF!$D$84:$D$99,0))*INDEX(EF!$H$100:$H$115,MATCH(Emissions!$D68,EF!$D$100:$D$115,0))*INDEX(EF!$H$116:$H$131,MATCH(Emissions!$D68,EF!$D$116:$D$131,0))*kgtoGg</f>
        <v>0</v>
      </c>
      <c r="AZ68" s="22">
        <f>INDEX('Activity data'!AZ$24:AZ$39,MATCH(Emissions!$D68,'Activity data'!$D$24:$D$39,0))*INDEX(EF!$H$84:$H$99,MATCH(Emissions!$D68,EF!$D$84:$D$99,0))*INDEX(EF!$H$100:$H$115,MATCH(Emissions!$D68,EF!$D$100:$D$115,0))*INDEX(EF!$H$116:$H$131,MATCH(Emissions!$D68,EF!$D$116:$D$131,0))*kgtoGg</f>
        <v>0</v>
      </c>
      <c r="BA68" s="22">
        <f>INDEX('Activity data'!BA$24:BA$39,MATCH(Emissions!$D68,'Activity data'!$D$24:$D$39,0))*INDEX(EF!$H$84:$H$99,MATCH(Emissions!$D68,EF!$D$84:$D$99,0))*INDEX(EF!$H$100:$H$115,MATCH(Emissions!$D68,EF!$D$100:$D$115,0))*INDEX(EF!$H$116:$H$131,MATCH(Emissions!$D68,EF!$D$116:$D$131,0))*kgtoGg</f>
        <v>0</v>
      </c>
      <c r="BB68" s="22">
        <f>INDEX('Activity data'!BB$24:BB$39,MATCH(Emissions!$D68,'Activity data'!$D$24:$D$39,0))*INDEX(EF!$H$84:$H$99,MATCH(Emissions!$D68,EF!$D$84:$D$99,0))*INDEX(EF!$H$100:$H$115,MATCH(Emissions!$D68,EF!$D$100:$D$115,0))*INDEX(EF!$H$116:$H$131,MATCH(Emissions!$D68,EF!$D$116:$D$131,0))*kgtoGg</f>
        <v>0</v>
      </c>
      <c r="BC68" s="22">
        <f>INDEX('Activity data'!BC$24:BC$39,MATCH(Emissions!$D68,'Activity data'!$D$24:$D$39,0))*INDEX(EF!$H$84:$H$99,MATCH(Emissions!$D68,EF!$D$84:$D$99,0))*INDEX(EF!$H$100:$H$115,MATCH(Emissions!$D68,EF!$D$100:$D$115,0))*INDEX(EF!$H$116:$H$131,MATCH(Emissions!$D68,EF!$D$116:$D$131,0))*kgtoGg</f>
        <v>0</v>
      </c>
      <c r="BD68" s="22">
        <f>INDEX('Activity data'!BD$24:BD$39,MATCH(Emissions!$D68,'Activity data'!$D$24:$D$39,0))*INDEX(EF!$H$84:$H$99,MATCH(Emissions!$D68,EF!$D$84:$D$99,0))*INDEX(EF!$H$100:$H$115,MATCH(Emissions!$D68,EF!$D$100:$D$115,0))*INDEX(EF!$H$116:$H$131,MATCH(Emissions!$D68,EF!$D$116:$D$131,0))*kgtoGg</f>
        <v>0</v>
      </c>
      <c r="BE68" s="22">
        <f>INDEX('Activity data'!BE$24:BE$39,MATCH(Emissions!$D68,'Activity data'!$D$24:$D$39,0))*INDEX(EF!$H$84:$H$99,MATCH(Emissions!$D68,EF!$D$84:$D$99,0))*INDEX(EF!$H$100:$H$115,MATCH(Emissions!$D68,EF!$D$100:$D$115,0))*INDEX(EF!$H$116:$H$131,MATCH(Emissions!$D68,EF!$D$116:$D$131,0))*kgtoGg</f>
        <v>0</v>
      </c>
      <c r="BF68" s="22">
        <f>INDEX('Activity data'!BF$24:BF$39,MATCH(Emissions!$D68,'Activity data'!$D$24:$D$39,0))*INDEX(EF!$H$84:$H$99,MATCH(Emissions!$D68,EF!$D$84:$D$99,0))*INDEX(EF!$H$100:$H$115,MATCH(Emissions!$D68,EF!$D$100:$D$115,0))*INDEX(EF!$H$116:$H$131,MATCH(Emissions!$D68,EF!$D$116:$D$131,0))*kgtoGg</f>
        <v>0</v>
      </c>
      <c r="BG68" s="22">
        <f>INDEX('Activity data'!BG$24:BG$39,MATCH(Emissions!$D68,'Activity data'!$D$24:$D$39,0))*INDEX(EF!$H$84:$H$99,MATCH(Emissions!$D68,EF!$D$84:$D$99,0))*INDEX(EF!$H$100:$H$115,MATCH(Emissions!$D68,EF!$D$100:$D$115,0))*INDEX(EF!$H$116:$H$131,MATCH(Emissions!$D68,EF!$D$116:$D$131,0))*kgtoGg</f>
        <v>0</v>
      </c>
      <c r="BH68" s="22">
        <f>INDEX('Activity data'!BH$24:BH$39,MATCH(Emissions!$D68,'Activity data'!$D$24:$D$39,0))*INDEX(EF!$H$84:$H$99,MATCH(Emissions!$D68,EF!$D$84:$D$99,0))*INDEX(EF!$H$100:$H$115,MATCH(Emissions!$D68,EF!$D$100:$D$115,0))*INDEX(EF!$H$116:$H$131,MATCH(Emissions!$D68,EF!$D$116:$D$131,0))*kgtoGg</f>
        <v>0</v>
      </c>
      <c r="BI68" s="22">
        <f>INDEX('Activity data'!BI$24:BI$39,MATCH(Emissions!$D68,'Activity data'!$D$24:$D$39,0))*INDEX(EF!$H$84:$H$99,MATCH(Emissions!$D68,EF!$D$84:$D$99,0))*INDEX(EF!$H$100:$H$115,MATCH(Emissions!$D68,EF!$D$100:$D$115,0))*INDEX(EF!$H$116:$H$131,MATCH(Emissions!$D68,EF!$D$116:$D$131,0))*kgtoGg</f>
        <v>0</v>
      </c>
      <c r="BJ68" s="22">
        <f>INDEX('Activity data'!BJ$24:BJ$39,MATCH(Emissions!$D68,'Activity data'!$D$24:$D$39,0))*INDEX(EF!$H$84:$H$99,MATCH(Emissions!$D68,EF!$D$84:$D$99,0))*INDEX(EF!$H$100:$H$115,MATCH(Emissions!$D68,EF!$D$100:$D$115,0))*INDEX(EF!$H$116:$H$131,MATCH(Emissions!$D68,EF!$D$116:$D$131,0))*kgtoGg</f>
        <v>0</v>
      </c>
      <c r="BK68" s="22">
        <f>INDEX('Activity data'!BK$24:BK$39,MATCH(Emissions!$D68,'Activity data'!$D$24:$D$39,0))*INDEX(EF!$H$84:$H$99,MATCH(Emissions!$D68,EF!$D$84:$D$99,0))*INDEX(EF!$H$100:$H$115,MATCH(Emissions!$D68,EF!$D$100:$D$115,0))*INDEX(EF!$H$116:$H$131,MATCH(Emissions!$D68,EF!$D$116:$D$131,0))*kgtoGg</f>
        <v>0</v>
      </c>
      <c r="BL68" s="22">
        <f>INDEX('Activity data'!BL$24:BL$39,MATCH(Emissions!$D68,'Activity data'!$D$24:$D$39,0))*INDEX(EF!$H$84:$H$99,MATCH(Emissions!$D68,EF!$D$84:$D$99,0))*INDEX(EF!$H$100:$H$115,MATCH(Emissions!$D68,EF!$D$100:$D$115,0))*INDEX(EF!$H$116:$H$131,MATCH(Emissions!$D68,EF!$D$116:$D$131,0))*kgtoGg</f>
        <v>0</v>
      </c>
      <c r="BM68" s="22">
        <f>INDEX('Activity data'!BM$24:BM$39,MATCH(Emissions!$D68,'Activity data'!$D$24:$D$39,0))*INDEX(EF!$H$84:$H$99,MATCH(Emissions!$D68,EF!$D$84:$D$99,0))*INDEX(EF!$H$100:$H$115,MATCH(Emissions!$D68,EF!$D$100:$D$115,0))*INDEX(EF!$H$116:$H$131,MATCH(Emissions!$D68,EF!$D$116:$D$131,0))*kgtoGg</f>
        <v>0</v>
      </c>
      <c r="BN68" s="22">
        <f>INDEX('Activity data'!BN$24:BN$39,MATCH(Emissions!$D68,'Activity data'!$D$24:$D$39,0))*INDEX(EF!$H$84:$H$99,MATCH(Emissions!$D68,EF!$D$84:$D$99,0))*INDEX(EF!$H$100:$H$115,MATCH(Emissions!$D68,EF!$D$100:$D$115,0))*INDEX(EF!$H$116:$H$131,MATCH(Emissions!$D68,EF!$D$116:$D$131,0))*kgtoGg</f>
        <v>0</v>
      </c>
      <c r="BO68" s="22">
        <f>INDEX('Activity data'!BO$24:BO$39,MATCH(Emissions!$D68,'Activity data'!$D$24:$D$39,0))*INDEX(EF!$H$84:$H$99,MATCH(Emissions!$D68,EF!$D$84:$D$99,0))*INDEX(EF!$H$100:$H$115,MATCH(Emissions!$D68,EF!$D$100:$D$115,0))*INDEX(EF!$H$116:$H$131,MATCH(Emissions!$D68,EF!$D$116:$D$131,0))*kgtoGg</f>
        <v>0</v>
      </c>
      <c r="BP68" s="22">
        <f>INDEX('Activity data'!BP$24:BP$39,MATCH(Emissions!$D68,'Activity data'!$D$24:$D$39,0))*INDEX(EF!$H$84:$H$99,MATCH(Emissions!$D68,EF!$D$84:$D$99,0))*INDEX(EF!$H$100:$H$115,MATCH(Emissions!$D68,EF!$D$100:$D$115,0))*INDEX(EF!$H$116:$H$131,MATCH(Emissions!$D68,EF!$D$116:$D$131,0))*kgtoGg</f>
        <v>0</v>
      </c>
    </row>
    <row r="69" spans="1:68" x14ac:dyDescent="0.3">
      <c r="A69" t="str">
        <f t="shared" si="19"/>
        <v>3C Aggregated and non-CO2 emissions on land</v>
      </c>
      <c r="B69" t="str">
        <f t="shared" si="20"/>
        <v>3C1 Biomass burning (CH4)</v>
      </c>
      <c r="C69" t="str">
        <f>'IPCC Categories'!C64</f>
        <v>3C1f Biomass burning in Other lands</v>
      </c>
      <c r="D69" t="str">
        <f>EF!D99</f>
        <v>Bare ground</v>
      </c>
      <c r="E69" t="s">
        <v>655</v>
      </c>
      <c r="F69" t="str">
        <f t="shared" si="23"/>
        <v>CH4</v>
      </c>
      <c r="G69" t="str">
        <f t="shared" si="24"/>
        <v>Gg CH4</v>
      </c>
      <c r="H69" s="22">
        <f>INDEX('Activity data'!H$24:H$39,MATCH(Emissions!$D69,'Activity data'!$D$24:$D$39,0))*INDEX(EF!$H$84:$H$99,MATCH(Emissions!$D69,EF!$D$84:$D$99,0))*INDEX(EF!$H$100:$H$115,MATCH(Emissions!$D69,EF!$D$100:$D$115,0))*INDEX(EF!$H$116:$H$131,MATCH(Emissions!$D69,EF!$D$116:$D$131,0))*kgtoGg</f>
        <v>0</v>
      </c>
      <c r="I69" s="22">
        <f>INDEX('Activity data'!I$24:I$39,MATCH(Emissions!$D69,'Activity data'!$D$24:$D$39,0))*INDEX(EF!$H$84:$H$99,MATCH(Emissions!$D69,EF!$D$84:$D$99,0))*INDEX(EF!$H$100:$H$115,MATCH(Emissions!$D69,EF!$D$100:$D$115,0))*INDEX(EF!$H$116:$H$131,MATCH(Emissions!$D69,EF!$D$116:$D$131,0))*kgtoGg</f>
        <v>0</v>
      </c>
      <c r="J69" s="22">
        <f>INDEX('Activity data'!J$24:J$39,MATCH(Emissions!$D69,'Activity data'!$D$24:$D$39,0))*INDEX(EF!$H$84:$H$99,MATCH(Emissions!$D69,EF!$D$84:$D$99,0))*INDEX(EF!$H$100:$H$115,MATCH(Emissions!$D69,EF!$D$100:$D$115,0))*INDEX(EF!$H$116:$H$131,MATCH(Emissions!$D69,EF!$D$116:$D$131,0))*kgtoGg</f>
        <v>0</v>
      </c>
      <c r="K69" s="22">
        <f>INDEX('Activity data'!K$24:K$39,MATCH(Emissions!$D69,'Activity data'!$D$24:$D$39,0))*INDEX(EF!$H$84:$H$99,MATCH(Emissions!$D69,EF!$D$84:$D$99,0))*INDEX(EF!$H$100:$H$115,MATCH(Emissions!$D69,EF!$D$100:$D$115,0))*INDEX(EF!$H$116:$H$131,MATCH(Emissions!$D69,EF!$D$116:$D$131,0))*kgtoGg</f>
        <v>0</v>
      </c>
      <c r="L69" s="22">
        <f>INDEX('Activity data'!L$24:L$39,MATCH(Emissions!$D69,'Activity data'!$D$24:$D$39,0))*INDEX(EF!$H$84:$H$99,MATCH(Emissions!$D69,EF!$D$84:$D$99,0))*INDEX(EF!$H$100:$H$115,MATCH(Emissions!$D69,EF!$D$100:$D$115,0))*INDEX(EF!$H$116:$H$131,MATCH(Emissions!$D69,EF!$D$116:$D$131,0))*kgtoGg</f>
        <v>0</v>
      </c>
      <c r="M69" s="22">
        <f>INDEX('Activity data'!M$24:M$39,MATCH(Emissions!$D69,'Activity data'!$D$24:$D$39,0))*INDEX(EF!$H$84:$H$99,MATCH(Emissions!$D69,EF!$D$84:$D$99,0))*INDEX(EF!$H$100:$H$115,MATCH(Emissions!$D69,EF!$D$100:$D$115,0))*INDEX(EF!$H$116:$H$131,MATCH(Emissions!$D69,EF!$D$116:$D$131,0))*kgtoGg</f>
        <v>0</v>
      </c>
      <c r="N69" s="22">
        <f>INDEX('Activity data'!N$24:N$39,MATCH(Emissions!$D69,'Activity data'!$D$24:$D$39,0))*INDEX(EF!$H$84:$H$99,MATCH(Emissions!$D69,EF!$D$84:$D$99,0))*INDEX(EF!$H$100:$H$115,MATCH(Emissions!$D69,EF!$D$100:$D$115,0))*INDEX(EF!$H$116:$H$131,MATCH(Emissions!$D69,EF!$D$116:$D$131,0))*kgtoGg</f>
        <v>0</v>
      </c>
      <c r="O69" s="22">
        <f>INDEX('Activity data'!O$24:O$39,MATCH(Emissions!$D69,'Activity data'!$D$24:$D$39,0))*INDEX(EF!$H$84:$H$99,MATCH(Emissions!$D69,EF!$D$84:$D$99,0))*INDEX(EF!$H$100:$H$115,MATCH(Emissions!$D69,EF!$D$100:$D$115,0))*INDEX(EF!$H$116:$H$131,MATCH(Emissions!$D69,EF!$D$116:$D$131,0))*kgtoGg</f>
        <v>0</v>
      </c>
      <c r="P69" s="22">
        <f>INDEX('Activity data'!P$24:P$39,MATCH(Emissions!$D69,'Activity data'!$D$24:$D$39,0))*INDEX(EF!$H$84:$H$99,MATCH(Emissions!$D69,EF!$D$84:$D$99,0))*INDEX(EF!$H$100:$H$115,MATCH(Emissions!$D69,EF!$D$100:$D$115,0))*INDEX(EF!$H$116:$H$131,MATCH(Emissions!$D69,EF!$D$116:$D$131,0))*kgtoGg</f>
        <v>0</v>
      </c>
      <c r="Q69" s="22">
        <f>INDEX('Activity data'!Q$24:Q$39,MATCH(Emissions!$D69,'Activity data'!$D$24:$D$39,0))*INDEX(EF!$H$84:$H$99,MATCH(Emissions!$D69,EF!$D$84:$D$99,0))*INDEX(EF!$H$100:$H$115,MATCH(Emissions!$D69,EF!$D$100:$D$115,0))*INDEX(EF!$H$116:$H$131,MATCH(Emissions!$D69,EF!$D$116:$D$131,0))*kgtoGg</f>
        <v>0</v>
      </c>
      <c r="R69" s="22">
        <f>INDEX('Activity data'!R$24:R$39,MATCH(Emissions!$D69,'Activity data'!$D$24:$D$39,0))*INDEX(EF!$H$84:$H$99,MATCH(Emissions!$D69,EF!$D$84:$D$99,0))*INDEX(EF!$H$100:$H$115,MATCH(Emissions!$D69,EF!$D$100:$D$115,0))*INDEX(EF!$H$116:$H$131,MATCH(Emissions!$D69,EF!$D$116:$D$131,0))*kgtoGg</f>
        <v>0</v>
      </c>
      <c r="S69" s="22">
        <f>INDEX('Activity data'!S$24:S$39,MATCH(Emissions!$D69,'Activity data'!$D$24:$D$39,0))*INDEX(EF!$H$84:$H$99,MATCH(Emissions!$D69,EF!$D$84:$D$99,0))*INDEX(EF!$H$100:$H$115,MATCH(Emissions!$D69,EF!$D$100:$D$115,0))*INDEX(EF!$H$116:$H$131,MATCH(Emissions!$D69,EF!$D$116:$D$131,0))*kgtoGg</f>
        <v>0</v>
      </c>
      <c r="T69" s="22">
        <f>INDEX('Activity data'!T$24:T$39,MATCH(Emissions!$D69,'Activity data'!$D$24:$D$39,0))*INDEX(EF!$H$84:$H$99,MATCH(Emissions!$D69,EF!$D$84:$D$99,0))*INDEX(EF!$H$100:$H$115,MATCH(Emissions!$D69,EF!$D$100:$D$115,0))*INDEX(EF!$H$116:$H$131,MATCH(Emissions!$D69,EF!$D$116:$D$131,0))*kgtoGg</f>
        <v>0</v>
      </c>
      <c r="U69" s="22">
        <f>INDEX('Activity data'!U$24:U$39,MATCH(Emissions!$D69,'Activity data'!$D$24:$D$39,0))*INDEX(EF!$H$84:$H$99,MATCH(Emissions!$D69,EF!$D$84:$D$99,0))*INDEX(EF!$H$100:$H$115,MATCH(Emissions!$D69,EF!$D$100:$D$115,0))*INDEX(EF!$H$116:$H$131,MATCH(Emissions!$D69,EF!$D$116:$D$131,0))*kgtoGg</f>
        <v>0</v>
      </c>
      <c r="V69" s="22">
        <f>INDEX('Activity data'!V$24:V$39,MATCH(Emissions!$D69,'Activity data'!$D$24:$D$39,0))*INDEX(EF!$H$84:$H$99,MATCH(Emissions!$D69,EF!$D$84:$D$99,0))*INDEX(EF!$H$100:$H$115,MATCH(Emissions!$D69,EF!$D$100:$D$115,0))*INDEX(EF!$H$116:$H$131,MATCH(Emissions!$D69,EF!$D$116:$D$131,0))*kgtoGg</f>
        <v>0</v>
      </c>
      <c r="W69" s="22">
        <f>INDEX('Activity data'!W$24:W$39,MATCH(Emissions!$D69,'Activity data'!$D$24:$D$39,0))*INDEX(EF!$H$84:$H$99,MATCH(Emissions!$D69,EF!$D$84:$D$99,0))*INDEX(EF!$H$100:$H$115,MATCH(Emissions!$D69,EF!$D$100:$D$115,0))*INDEX(EF!$H$116:$H$131,MATCH(Emissions!$D69,EF!$D$116:$D$131,0))*kgtoGg</f>
        <v>0</v>
      </c>
      <c r="X69" s="22">
        <f>INDEX('Activity data'!X$24:X$39,MATCH(Emissions!$D69,'Activity data'!$D$24:$D$39,0))*INDEX(EF!$H$84:$H$99,MATCH(Emissions!$D69,EF!$D$84:$D$99,0))*INDEX(EF!$H$100:$H$115,MATCH(Emissions!$D69,EF!$D$100:$D$115,0))*INDEX(EF!$H$116:$H$131,MATCH(Emissions!$D69,EF!$D$116:$D$131,0))*kgtoGg</f>
        <v>0</v>
      </c>
      <c r="Y69" s="22">
        <f>INDEX('Activity data'!Y$24:Y$39,MATCH(Emissions!$D69,'Activity data'!$D$24:$D$39,0))*INDEX(EF!$H$84:$H$99,MATCH(Emissions!$D69,EF!$D$84:$D$99,0))*INDEX(EF!$H$100:$H$115,MATCH(Emissions!$D69,EF!$D$100:$D$115,0))*INDEX(EF!$H$116:$H$131,MATCH(Emissions!$D69,EF!$D$116:$D$131,0))*kgtoGg</f>
        <v>0</v>
      </c>
      <c r="Z69" s="22">
        <f>INDEX('Activity data'!Z$24:Z$39,MATCH(Emissions!$D69,'Activity data'!$D$24:$D$39,0))*INDEX(EF!$H$84:$H$99,MATCH(Emissions!$D69,EF!$D$84:$D$99,0))*INDEX(EF!$H$100:$H$115,MATCH(Emissions!$D69,EF!$D$100:$D$115,0))*INDEX(EF!$H$116:$H$131,MATCH(Emissions!$D69,EF!$D$116:$D$131,0))*kgtoGg</f>
        <v>0</v>
      </c>
      <c r="AA69" s="22">
        <f>INDEX('Activity data'!AA$24:AA$39,MATCH(Emissions!$D69,'Activity data'!$D$24:$D$39,0))*INDEX(EF!$H$84:$H$99,MATCH(Emissions!$D69,EF!$D$84:$D$99,0))*INDEX(EF!$H$100:$H$115,MATCH(Emissions!$D69,EF!$D$100:$D$115,0))*INDEX(EF!$H$116:$H$131,MATCH(Emissions!$D69,EF!$D$116:$D$131,0))*kgtoGg</f>
        <v>0</v>
      </c>
      <c r="AB69" s="22">
        <f>INDEX('Activity data'!AB$24:AB$39,MATCH(Emissions!$D69,'Activity data'!$D$24:$D$39,0))*INDEX(EF!$H$84:$H$99,MATCH(Emissions!$D69,EF!$D$84:$D$99,0))*INDEX(EF!$H$100:$H$115,MATCH(Emissions!$D69,EF!$D$100:$D$115,0))*INDEX(EF!$H$116:$H$131,MATCH(Emissions!$D69,EF!$D$116:$D$131,0))*kgtoGg</f>
        <v>0</v>
      </c>
      <c r="AC69" s="22">
        <f>INDEX('Activity data'!AC$24:AC$39,MATCH(Emissions!$D69,'Activity data'!$D$24:$D$39,0))*INDEX(EF!$H$84:$H$99,MATCH(Emissions!$D69,EF!$D$84:$D$99,0))*INDEX(EF!$H$100:$H$115,MATCH(Emissions!$D69,EF!$D$100:$D$115,0))*INDEX(EF!$H$116:$H$131,MATCH(Emissions!$D69,EF!$D$116:$D$131,0))*kgtoGg</f>
        <v>0</v>
      </c>
      <c r="AD69" s="22">
        <f>INDEX('Activity data'!AD$24:AD$39,MATCH(Emissions!$D69,'Activity data'!$D$24:$D$39,0))*INDEX(EF!$H$84:$H$99,MATCH(Emissions!$D69,EF!$D$84:$D$99,0))*INDEX(EF!$H$100:$H$115,MATCH(Emissions!$D69,EF!$D$100:$D$115,0))*INDEX(EF!$H$116:$H$131,MATCH(Emissions!$D69,EF!$D$116:$D$131,0))*kgtoGg</f>
        <v>0</v>
      </c>
      <c r="AE69" s="22">
        <f>INDEX('Activity data'!AE$24:AE$39,MATCH(Emissions!$D69,'Activity data'!$D$24:$D$39,0))*INDEX(EF!$H$84:$H$99,MATCH(Emissions!$D69,EF!$D$84:$D$99,0))*INDEX(EF!$H$100:$H$115,MATCH(Emissions!$D69,EF!$D$100:$D$115,0))*INDEX(EF!$H$116:$H$131,MATCH(Emissions!$D69,EF!$D$116:$D$131,0))*kgtoGg</f>
        <v>0</v>
      </c>
      <c r="AF69" s="22">
        <f>INDEX('Activity data'!AF$24:AF$39,MATCH(Emissions!$D69,'Activity data'!$D$24:$D$39,0))*INDEX(EF!$H$84:$H$99,MATCH(Emissions!$D69,EF!$D$84:$D$99,0))*INDEX(EF!$H$100:$H$115,MATCH(Emissions!$D69,EF!$D$100:$D$115,0))*INDEX(EF!$H$116:$H$131,MATCH(Emissions!$D69,EF!$D$116:$D$131,0))*kgtoGg</f>
        <v>0</v>
      </c>
      <c r="AG69" s="22">
        <f>INDEX('Activity data'!AG$24:AG$39,MATCH(Emissions!$D69,'Activity data'!$D$24:$D$39,0))*INDEX(EF!$H$84:$H$99,MATCH(Emissions!$D69,EF!$D$84:$D$99,0))*INDEX(EF!$H$100:$H$115,MATCH(Emissions!$D69,EF!$D$100:$D$115,0))*INDEX(EF!$H$116:$H$131,MATCH(Emissions!$D69,EF!$D$116:$D$131,0))*kgtoGg</f>
        <v>0</v>
      </c>
      <c r="AH69" s="22">
        <f>INDEX('Activity data'!AH$24:AH$39,MATCH(Emissions!$D69,'Activity data'!$D$24:$D$39,0))*INDEX(EF!$H$84:$H$99,MATCH(Emissions!$D69,EF!$D$84:$D$99,0))*INDEX(EF!$H$100:$H$115,MATCH(Emissions!$D69,EF!$D$100:$D$115,0))*INDEX(EF!$H$116:$H$131,MATCH(Emissions!$D69,EF!$D$116:$D$131,0))*kgtoGg</f>
        <v>0</v>
      </c>
      <c r="AI69" s="22">
        <f>INDEX('Activity data'!AI$24:AI$39,MATCH(Emissions!$D69,'Activity data'!$D$24:$D$39,0))*INDEX(EF!$H$84:$H$99,MATCH(Emissions!$D69,EF!$D$84:$D$99,0))*INDEX(EF!$H$100:$H$115,MATCH(Emissions!$D69,EF!$D$100:$D$115,0))*INDEX(EF!$H$116:$H$131,MATCH(Emissions!$D69,EF!$D$116:$D$131,0))*kgtoGg</f>
        <v>0</v>
      </c>
      <c r="AJ69" s="22">
        <f>INDEX('Activity data'!AJ$24:AJ$39,MATCH(Emissions!$D69,'Activity data'!$D$24:$D$39,0))*INDEX(EF!$H$84:$H$99,MATCH(Emissions!$D69,EF!$D$84:$D$99,0))*INDEX(EF!$H$100:$H$115,MATCH(Emissions!$D69,EF!$D$100:$D$115,0))*INDEX(EF!$H$116:$H$131,MATCH(Emissions!$D69,EF!$D$116:$D$131,0))*kgtoGg</f>
        <v>0</v>
      </c>
      <c r="AK69" s="22">
        <f>INDEX('Activity data'!AK$24:AK$39,MATCH(Emissions!$D69,'Activity data'!$D$24:$D$39,0))*INDEX(EF!$H$84:$H$99,MATCH(Emissions!$D69,EF!$D$84:$D$99,0))*INDEX(EF!$H$100:$H$115,MATCH(Emissions!$D69,EF!$D$100:$D$115,0))*INDEX(EF!$H$116:$H$131,MATCH(Emissions!$D69,EF!$D$116:$D$131,0))*kgtoGg</f>
        <v>0</v>
      </c>
      <c r="AL69" s="22">
        <f>INDEX('Activity data'!AL$24:AL$39,MATCH(Emissions!$D69,'Activity data'!$D$24:$D$39,0))*INDEX(EF!$H$84:$H$99,MATCH(Emissions!$D69,EF!$D$84:$D$99,0))*INDEX(EF!$H$100:$H$115,MATCH(Emissions!$D69,EF!$D$100:$D$115,0))*INDEX(EF!$H$116:$H$131,MATCH(Emissions!$D69,EF!$D$116:$D$131,0))*kgtoGg</f>
        <v>0</v>
      </c>
      <c r="AM69" s="22">
        <f>INDEX('Activity data'!AM$24:AM$39,MATCH(Emissions!$D69,'Activity data'!$D$24:$D$39,0))*INDEX(EF!$H$84:$H$99,MATCH(Emissions!$D69,EF!$D$84:$D$99,0))*INDEX(EF!$H$100:$H$115,MATCH(Emissions!$D69,EF!$D$100:$D$115,0))*INDEX(EF!$H$116:$H$131,MATCH(Emissions!$D69,EF!$D$116:$D$131,0))*kgtoGg</f>
        <v>0</v>
      </c>
      <c r="AN69" s="22">
        <f>INDEX('Activity data'!AN$24:AN$39,MATCH(Emissions!$D69,'Activity data'!$D$24:$D$39,0))*INDEX(EF!$H$84:$H$99,MATCH(Emissions!$D69,EF!$D$84:$D$99,0))*INDEX(EF!$H$100:$H$115,MATCH(Emissions!$D69,EF!$D$100:$D$115,0))*INDEX(EF!$H$116:$H$131,MATCH(Emissions!$D69,EF!$D$116:$D$131,0))*kgtoGg</f>
        <v>0</v>
      </c>
      <c r="AO69" s="22">
        <f>INDEX('Activity data'!AO$24:AO$39,MATCH(Emissions!$D69,'Activity data'!$D$24:$D$39,0))*INDEX(EF!$H$84:$H$99,MATCH(Emissions!$D69,EF!$D$84:$D$99,0))*INDEX(EF!$H$100:$H$115,MATCH(Emissions!$D69,EF!$D$100:$D$115,0))*INDEX(EF!$H$116:$H$131,MATCH(Emissions!$D69,EF!$D$116:$D$131,0))*kgtoGg</f>
        <v>0</v>
      </c>
      <c r="AP69" s="22">
        <f>INDEX('Activity data'!AP$24:AP$39,MATCH(Emissions!$D69,'Activity data'!$D$24:$D$39,0))*INDEX(EF!$H$84:$H$99,MATCH(Emissions!$D69,EF!$D$84:$D$99,0))*INDEX(EF!$H$100:$H$115,MATCH(Emissions!$D69,EF!$D$100:$D$115,0))*INDEX(EF!$H$116:$H$131,MATCH(Emissions!$D69,EF!$D$116:$D$131,0))*kgtoGg</f>
        <v>0</v>
      </c>
      <c r="AQ69" s="22">
        <f>INDEX('Activity data'!AQ$24:AQ$39,MATCH(Emissions!$D69,'Activity data'!$D$24:$D$39,0))*INDEX(EF!$H$84:$H$99,MATCH(Emissions!$D69,EF!$D$84:$D$99,0))*INDEX(EF!$H$100:$H$115,MATCH(Emissions!$D69,EF!$D$100:$D$115,0))*INDEX(EF!$H$116:$H$131,MATCH(Emissions!$D69,EF!$D$116:$D$131,0))*kgtoGg</f>
        <v>0</v>
      </c>
      <c r="AR69" s="22">
        <f>INDEX('Activity data'!AR$24:AR$39,MATCH(Emissions!$D69,'Activity data'!$D$24:$D$39,0))*INDEX(EF!$H$84:$H$99,MATCH(Emissions!$D69,EF!$D$84:$D$99,0))*INDEX(EF!$H$100:$H$115,MATCH(Emissions!$D69,EF!$D$100:$D$115,0))*INDEX(EF!$H$116:$H$131,MATCH(Emissions!$D69,EF!$D$116:$D$131,0))*kgtoGg</f>
        <v>0</v>
      </c>
      <c r="AS69" s="22">
        <f>INDEX('Activity data'!AS$24:AS$39,MATCH(Emissions!$D69,'Activity data'!$D$24:$D$39,0))*INDEX(EF!$H$84:$H$99,MATCH(Emissions!$D69,EF!$D$84:$D$99,0))*INDEX(EF!$H$100:$H$115,MATCH(Emissions!$D69,EF!$D$100:$D$115,0))*INDEX(EF!$H$116:$H$131,MATCH(Emissions!$D69,EF!$D$116:$D$131,0))*kgtoGg</f>
        <v>0</v>
      </c>
      <c r="AT69" s="22">
        <f>INDEX('Activity data'!AT$24:AT$39,MATCH(Emissions!$D69,'Activity data'!$D$24:$D$39,0))*INDEX(EF!$H$84:$H$99,MATCH(Emissions!$D69,EF!$D$84:$D$99,0))*INDEX(EF!$H$100:$H$115,MATCH(Emissions!$D69,EF!$D$100:$D$115,0))*INDEX(EF!$H$116:$H$131,MATCH(Emissions!$D69,EF!$D$116:$D$131,0))*kgtoGg</f>
        <v>0</v>
      </c>
      <c r="AU69" s="22">
        <f>INDEX('Activity data'!AU$24:AU$39,MATCH(Emissions!$D69,'Activity data'!$D$24:$D$39,0))*INDEX(EF!$H$84:$H$99,MATCH(Emissions!$D69,EF!$D$84:$D$99,0))*INDEX(EF!$H$100:$H$115,MATCH(Emissions!$D69,EF!$D$100:$D$115,0))*INDEX(EF!$H$116:$H$131,MATCH(Emissions!$D69,EF!$D$116:$D$131,0))*kgtoGg</f>
        <v>0</v>
      </c>
      <c r="AV69" s="22">
        <f>INDEX('Activity data'!AV$24:AV$39,MATCH(Emissions!$D69,'Activity data'!$D$24:$D$39,0))*INDEX(EF!$H$84:$H$99,MATCH(Emissions!$D69,EF!$D$84:$D$99,0))*INDEX(EF!$H$100:$H$115,MATCH(Emissions!$D69,EF!$D$100:$D$115,0))*INDEX(EF!$H$116:$H$131,MATCH(Emissions!$D69,EF!$D$116:$D$131,0))*kgtoGg</f>
        <v>0</v>
      </c>
      <c r="AW69" s="22">
        <f>INDEX('Activity data'!AW$24:AW$39,MATCH(Emissions!$D69,'Activity data'!$D$24:$D$39,0))*INDEX(EF!$H$84:$H$99,MATCH(Emissions!$D69,EF!$D$84:$D$99,0))*INDEX(EF!$H$100:$H$115,MATCH(Emissions!$D69,EF!$D$100:$D$115,0))*INDEX(EF!$H$116:$H$131,MATCH(Emissions!$D69,EF!$D$116:$D$131,0))*kgtoGg</f>
        <v>0</v>
      </c>
      <c r="AX69" s="22">
        <f>INDEX('Activity data'!AX$24:AX$39,MATCH(Emissions!$D69,'Activity data'!$D$24:$D$39,0))*INDEX(EF!$H$84:$H$99,MATCH(Emissions!$D69,EF!$D$84:$D$99,0))*INDEX(EF!$H$100:$H$115,MATCH(Emissions!$D69,EF!$D$100:$D$115,0))*INDEX(EF!$H$116:$H$131,MATCH(Emissions!$D69,EF!$D$116:$D$131,0))*kgtoGg</f>
        <v>0</v>
      </c>
      <c r="AY69" s="22">
        <f>INDEX('Activity data'!AY$24:AY$39,MATCH(Emissions!$D69,'Activity data'!$D$24:$D$39,0))*INDEX(EF!$H$84:$H$99,MATCH(Emissions!$D69,EF!$D$84:$D$99,0))*INDEX(EF!$H$100:$H$115,MATCH(Emissions!$D69,EF!$D$100:$D$115,0))*INDEX(EF!$H$116:$H$131,MATCH(Emissions!$D69,EF!$D$116:$D$131,0))*kgtoGg</f>
        <v>0</v>
      </c>
      <c r="AZ69" s="22">
        <f>INDEX('Activity data'!AZ$24:AZ$39,MATCH(Emissions!$D69,'Activity data'!$D$24:$D$39,0))*INDEX(EF!$H$84:$H$99,MATCH(Emissions!$D69,EF!$D$84:$D$99,0))*INDEX(EF!$H$100:$H$115,MATCH(Emissions!$D69,EF!$D$100:$D$115,0))*INDEX(EF!$H$116:$H$131,MATCH(Emissions!$D69,EF!$D$116:$D$131,0))*kgtoGg</f>
        <v>0</v>
      </c>
      <c r="BA69" s="22">
        <f>INDEX('Activity data'!BA$24:BA$39,MATCH(Emissions!$D69,'Activity data'!$D$24:$D$39,0))*INDEX(EF!$H$84:$H$99,MATCH(Emissions!$D69,EF!$D$84:$D$99,0))*INDEX(EF!$H$100:$H$115,MATCH(Emissions!$D69,EF!$D$100:$D$115,0))*INDEX(EF!$H$116:$H$131,MATCH(Emissions!$D69,EF!$D$116:$D$131,0))*kgtoGg</f>
        <v>0</v>
      </c>
      <c r="BB69" s="22">
        <f>INDEX('Activity data'!BB$24:BB$39,MATCH(Emissions!$D69,'Activity data'!$D$24:$D$39,0))*INDEX(EF!$H$84:$H$99,MATCH(Emissions!$D69,EF!$D$84:$D$99,0))*INDEX(EF!$H$100:$H$115,MATCH(Emissions!$D69,EF!$D$100:$D$115,0))*INDEX(EF!$H$116:$H$131,MATCH(Emissions!$D69,EF!$D$116:$D$131,0))*kgtoGg</f>
        <v>0</v>
      </c>
      <c r="BC69" s="22">
        <f>INDEX('Activity data'!BC$24:BC$39,MATCH(Emissions!$D69,'Activity data'!$D$24:$D$39,0))*INDEX(EF!$H$84:$H$99,MATCH(Emissions!$D69,EF!$D$84:$D$99,0))*INDEX(EF!$H$100:$H$115,MATCH(Emissions!$D69,EF!$D$100:$D$115,0))*INDEX(EF!$H$116:$H$131,MATCH(Emissions!$D69,EF!$D$116:$D$131,0))*kgtoGg</f>
        <v>0</v>
      </c>
      <c r="BD69" s="22">
        <f>INDEX('Activity data'!BD$24:BD$39,MATCH(Emissions!$D69,'Activity data'!$D$24:$D$39,0))*INDEX(EF!$H$84:$H$99,MATCH(Emissions!$D69,EF!$D$84:$D$99,0))*INDEX(EF!$H$100:$H$115,MATCH(Emissions!$D69,EF!$D$100:$D$115,0))*INDEX(EF!$H$116:$H$131,MATCH(Emissions!$D69,EF!$D$116:$D$131,0))*kgtoGg</f>
        <v>0</v>
      </c>
      <c r="BE69" s="22">
        <f>INDEX('Activity data'!BE$24:BE$39,MATCH(Emissions!$D69,'Activity data'!$D$24:$D$39,0))*INDEX(EF!$H$84:$H$99,MATCH(Emissions!$D69,EF!$D$84:$D$99,0))*INDEX(EF!$H$100:$H$115,MATCH(Emissions!$D69,EF!$D$100:$D$115,0))*INDEX(EF!$H$116:$H$131,MATCH(Emissions!$D69,EF!$D$116:$D$131,0))*kgtoGg</f>
        <v>0</v>
      </c>
      <c r="BF69" s="22">
        <f>INDEX('Activity data'!BF$24:BF$39,MATCH(Emissions!$D69,'Activity data'!$D$24:$D$39,0))*INDEX(EF!$H$84:$H$99,MATCH(Emissions!$D69,EF!$D$84:$D$99,0))*INDEX(EF!$H$100:$H$115,MATCH(Emissions!$D69,EF!$D$100:$D$115,0))*INDEX(EF!$H$116:$H$131,MATCH(Emissions!$D69,EF!$D$116:$D$131,0))*kgtoGg</f>
        <v>0</v>
      </c>
      <c r="BG69" s="22">
        <f>INDEX('Activity data'!BG$24:BG$39,MATCH(Emissions!$D69,'Activity data'!$D$24:$D$39,0))*INDEX(EF!$H$84:$H$99,MATCH(Emissions!$D69,EF!$D$84:$D$99,0))*INDEX(EF!$H$100:$H$115,MATCH(Emissions!$D69,EF!$D$100:$D$115,0))*INDEX(EF!$H$116:$H$131,MATCH(Emissions!$D69,EF!$D$116:$D$131,0))*kgtoGg</f>
        <v>0</v>
      </c>
      <c r="BH69" s="22">
        <f>INDEX('Activity data'!BH$24:BH$39,MATCH(Emissions!$D69,'Activity data'!$D$24:$D$39,0))*INDEX(EF!$H$84:$H$99,MATCH(Emissions!$D69,EF!$D$84:$D$99,0))*INDEX(EF!$H$100:$H$115,MATCH(Emissions!$D69,EF!$D$100:$D$115,0))*INDEX(EF!$H$116:$H$131,MATCH(Emissions!$D69,EF!$D$116:$D$131,0))*kgtoGg</f>
        <v>0</v>
      </c>
      <c r="BI69" s="22">
        <f>INDEX('Activity data'!BI$24:BI$39,MATCH(Emissions!$D69,'Activity data'!$D$24:$D$39,0))*INDEX(EF!$H$84:$H$99,MATCH(Emissions!$D69,EF!$D$84:$D$99,0))*INDEX(EF!$H$100:$H$115,MATCH(Emissions!$D69,EF!$D$100:$D$115,0))*INDEX(EF!$H$116:$H$131,MATCH(Emissions!$D69,EF!$D$116:$D$131,0))*kgtoGg</f>
        <v>0</v>
      </c>
      <c r="BJ69" s="22">
        <f>INDEX('Activity data'!BJ$24:BJ$39,MATCH(Emissions!$D69,'Activity data'!$D$24:$D$39,0))*INDEX(EF!$H$84:$H$99,MATCH(Emissions!$D69,EF!$D$84:$D$99,0))*INDEX(EF!$H$100:$H$115,MATCH(Emissions!$D69,EF!$D$100:$D$115,0))*INDEX(EF!$H$116:$H$131,MATCH(Emissions!$D69,EF!$D$116:$D$131,0))*kgtoGg</f>
        <v>0</v>
      </c>
      <c r="BK69" s="22">
        <f>INDEX('Activity data'!BK$24:BK$39,MATCH(Emissions!$D69,'Activity data'!$D$24:$D$39,0))*INDEX(EF!$H$84:$H$99,MATCH(Emissions!$D69,EF!$D$84:$D$99,0))*INDEX(EF!$H$100:$H$115,MATCH(Emissions!$D69,EF!$D$100:$D$115,0))*INDEX(EF!$H$116:$H$131,MATCH(Emissions!$D69,EF!$D$116:$D$131,0))*kgtoGg</f>
        <v>0</v>
      </c>
      <c r="BL69" s="22">
        <f>INDEX('Activity data'!BL$24:BL$39,MATCH(Emissions!$D69,'Activity data'!$D$24:$D$39,0))*INDEX(EF!$H$84:$H$99,MATCH(Emissions!$D69,EF!$D$84:$D$99,0))*INDEX(EF!$H$100:$H$115,MATCH(Emissions!$D69,EF!$D$100:$D$115,0))*INDEX(EF!$H$116:$H$131,MATCH(Emissions!$D69,EF!$D$116:$D$131,0))*kgtoGg</f>
        <v>0</v>
      </c>
      <c r="BM69" s="22">
        <f>INDEX('Activity data'!BM$24:BM$39,MATCH(Emissions!$D69,'Activity data'!$D$24:$D$39,0))*INDEX(EF!$H$84:$H$99,MATCH(Emissions!$D69,EF!$D$84:$D$99,0))*INDEX(EF!$H$100:$H$115,MATCH(Emissions!$D69,EF!$D$100:$D$115,0))*INDEX(EF!$H$116:$H$131,MATCH(Emissions!$D69,EF!$D$116:$D$131,0))*kgtoGg</f>
        <v>0</v>
      </c>
      <c r="BN69" s="22">
        <f>INDEX('Activity data'!BN$24:BN$39,MATCH(Emissions!$D69,'Activity data'!$D$24:$D$39,0))*INDEX(EF!$H$84:$H$99,MATCH(Emissions!$D69,EF!$D$84:$D$99,0))*INDEX(EF!$H$100:$H$115,MATCH(Emissions!$D69,EF!$D$100:$D$115,0))*INDEX(EF!$H$116:$H$131,MATCH(Emissions!$D69,EF!$D$116:$D$131,0))*kgtoGg</f>
        <v>0</v>
      </c>
      <c r="BO69" s="22">
        <f>INDEX('Activity data'!BO$24:BO$39,MATCH(Emissions!$D69,'Activity data'!$D$24:$D$39,0))*INDEX(EF!$H$84:$H$99,MATCH(Emissions!$D69,EF!$D$84:$D$99,0))*INDEX(EF!$H$100:$H$115,MATCH(Emissions!$D69,EF!$D$100:$D$115,0))*INDEX(EF!$H$116:$H$131,MATCH(Emissions!$D69,EF!$D$116:$D$131,0))*kgtoGg</f>
        <v>0</v>
      </c>
      <c r="BP69" s="22">
        <f>INDEX('Activity data'!BP$24:BP$39,MATCH(Emissions!$D69,'Activity data'!$D$24:$D$39,0))*INDEX(EF!$H$84:$H$99,MATCH(Emissions!$D69,EF!$D$84:$D$99,0))*INDEX(EF!$H$100:$H$115,MATCH(Emissions!$D69,EF!$D$100:$D$115,0))*INDEX(EF!$H$116:$H$131,MATCH(Emissions!$D69,EF!$D$116:$D$131,0))*kgtoGg</f>
        <v>0</v>
      </c>
    </row>
    <row r="70" spans="1:68" x14ac:dyDescent="0.3">
      <c r="A70" t="str">
        <f t="shared" si="19"/>
        <v>3C Aggregated and non-CO2 emissions on land</v>
      </c>
      <c r="B70" t="str">
        <f>'IPCC Categories'!B65</f>
        <v>3C1 Biomass burning (N2O)</v>
      </c>
      <c r="C70" t="str">
        <f>C54</f>
        <v>3C1a Biomass burning in forest land</v>
      </c>
      <c r="D70" t="str">
        <f>EF!D100</f>
        <v>Indigenous forests</v>
      </c>
      <c r="E70" t="s">
        <v>640</v>
      </c>
      <c r="F70" t="s">
        <v>139</v>
      </c>
      <c r="G70" t="s">
        <v>287</v>
      </c>
      <c r="H70" s="22">
        <f>INDEX('Activity data'!H$24:H$39,MATCH(Emissions!$D70,'Activity data'!$D$24:$D$39,0))*INDEX(EF!$H$84:$H$99,MATCH(Emissions!$D70,EF!$D$84:$D$99,0))*INDEX(EF!$H$100:$H$115,MATCH(Emissions!$D70,EF!$D$100:$D$115,0))*INDEX(EF!$H$132:$H$147,MATCH(Emissions!$D70,EF!$D$132:$D$147,0))*kgtoGg</f>
        <v>7.1698949255307107E-2</v>
      </c>
      <c r="I70" s="22">
        <f>INDEX('Activity data'!I$24:I$39,MATCH(Emissions!$D70,'Activity data'!$D$24:$D$39,0))*INDEX(EF!$H$84:$H$99,MATCH(Emissions!$D70,EF!$D$84:$D$99,0))*INDEX(EF!$H$100:$H$115,MATCH(Emissions!$D70,EF!$D$100:$D$115,0))*INDEX(EF!$H$132:$H$147,MATCH(Emissions!$D70,EF!$D$132:$D$147,0))*kgtoGg</f>
        <v>7.1698949255307107E-2</v>
      </c>
      <c r="J70" s="22">
        <f>INDEX('Activity data'!J$24:J$39,MATCH(Emissions!$D70,'Activity data'!$D$24:$D$39,0))*INDEX(EF!$H$84:$H$99,MATCH(Emissions!$D70,EF!$D$84:$D$99,0))*INDEX(EF!$H$100:$H$115,MATCH(Emissions!$D70,EF!$D$100:$D$115,0))*INDEX(EF!$H$132:$H$147,MATCH(Emissions!$D70,EF!$D$132:$D$147,0))*kgtoGg</f>
        <v>7.1698949255307107E-2</v>
      </c>
      <c r="K70" s="22">
        <f>INDEX('Activity data'!K$24:K$39,MATCH(Emissions!$D70,'Activity data'!$D$24:$D$39,0))*INDEX(EF!$H$84:$H$99,MATCH(Emissions!$D70,EF!$D$84:$D$99,0))*INDEX(EF!$H$100:$H$115,MATCH(Emissions!$D70,EF!$D$100:$D$115,0))*INDEX(EF!$H$132:$H$147,MATCH(Emissions!$D70,EF!$D$132:$D$147,0))*kgtoGg</f>
        <v>7.1698949255307107E-2</v>
      </c>
      <c r="L70" s="22">
        <f>INDEX('Activity data'!L$24:L$39,MATCH(Emissions!$D70,'Activity data'!$D$24:$D$39,0))*INDEX(EF!$H$84:$H$99,MATCH(Emissions!$D70,EF!$D$84:$D$99,0))*INDEX(EF!$H$100:$H$115,MATCH(Emissions!$D70,EF!$D$100:$D$115,0))*INDEX(EF!$H$132:$H$147,MATCH(Emissions!$D70,EF!$D$132:$D$147,0))*kgtoGg</f>
        <v>7.1698949255307107E-2</v>
      </c>
      <c r="M70" s="22">
        <f>INDEX('Activity data'!M$24:M$39,MATCH(Emissions!$D70,'Activity data'!$D$24:$D$39,0))*INDEX(EF!$H$84:$H$99,MATCH(Emissions!$D70,EF!$D$84:$D$99,0))*INDEX(EF!$H$100:$H$115,MATCH(Emissions!$D70,EF!$D$100:$D$115,0))*INDEX(EF!$H$132:$H$147,MATCH(Emissions!$D70,EF!$D$132:$D$147,0))*kgtoGg</f>
        <v>7.1698949255307107E-2</v>
      </c>
      <c r="N70" s="22">
        <f>INDEX('Activity data'!N$24:N$39,MATCH(Emissions!$D70,'Activity data'!$D$24:$D$39,0))*INDEX(EF!$H$84:$H$99,MATCH(Emissions!$D70,EF!$D$84:$D$99,0))*INDEX(EF!$H$100:$H$115,MATCH(Emissions!$D70,EF!$D$100:$D$115,0))*INDEX(EF!$H$132:$H$147,MATCH(Emissions!$D70,EF!$D$132:$D$147,0))*kgtoGg</f>
        <v>7.1698949255307107E-2</v>
      </c>
      <c r="O70" s="22">
        <f>INDEX('Activity data'!O$24:O$39,MATCH(Emissions!$D70,'Activity data'!$D$24:$D$39,0))*INDEX(EF!$H$84:$H$99,MATCH(Emissions!$D70,EF!$D$84:$D$99,0))*INDEX(EF!$H$100:$H$115,MATCH(Emissions!$D70,EF!$D$100:$D$115,0))*INDEX(EF!$H$132:$H$147,MATCH(Emissions!$D70,EF!$D$132:$D$147,0))*kgtoGg</f>
        <v>7.1698949255307107E-2</v>
      </c>
      <c r="P70" s="22">
        <f>INDEX('Activity data'!P$24:P$39,MATCH(Emissions!$D70,'Activity data'!$D$24:$D$39,0))*INDEX(EF!$H$84:$H$99,MATCH(Emissions!$D70,EF!$D$84:$D$99,0))*INDEX(EF!$H$100:$H$115,MATCH(Emissions!$D70,EF!$D$100:$D$115,0))*INDEX(EF!$H$132:$H$147,MATCH(Emissions!$D70,EF!$D$132:$D$147,0))*kgtoGg</f>
        <v>7.1698949255307107E-2</v>
      </c>
      <c r="Q70" s="22">
        <f>INDEX('Activity data'!Q$24:Q$39,MATCH(Emissions!$D70,'Activity data'!$D$24:$D$39,0))*INDEX(EF!$H$84:$H$99,MATCH(Emissions!$D70,EF!$D$84:$D$99,0))*INDEX(EF!$H$100:$H$115,MATCH(Emissions!$D70,EF!$D$100:$D$115,0))*INDEX(EF!$H$132:$H$147,MATCH(Emissions!$D70,EF!$D$132:$D$147,0))*kgtoGg</f>
        <v>7.1698949255307107E-2</v>
      </c>
      <c r="R70" s="22">
        <f>INDEX('Activity data'!R$24:R$39,MATCH(Emissions!$D70,'Activity data'!$D$24:$D$39,0))*INDEX(EF!$H$84:$H$99,MATCH(Emissions!$D70,EF!$D$84:$D$99,0))*INDEX(EF!$H$100:$H$115,MATCH(Emissions!$D70,EF!$D$100:$D$115,0))*INDEX(EF!$H$132:$H$147,MATCH(Emissions!$D70,EF!$D$132:$D$147,0))*kgtoGg</f>
        <v>6.6163543298883465E-2</v>
      </c>
      <c r="S70" s="22">
        <f>INDEX('Activity data'!S$24:S$39,MATCH(Emissions!$D70,'Activity data'!$D$24:$D$39,0))*INDEX(EF!$H$84:$H$99,MATCH(Emissions!$D70,EF!$D$84:$D$99,0))*INDEX(EF!$H$100:$H$115,MATCH(Emissions!$D70,EF!$D$100:$D$115,0))*INDEX(EF!$H$132:$H$147,MATCH(Emissions!$D70,EF!$D$132:$D$147,0))*kgtoGg</f>
        <v>7.3647032038254498E-2</v>
      </c>
      <c r="T70" s="22">
        <f>INDEX('Activity data'!T$24:T$39,MATCH(Emissions!$D70,'Activity data'!$D$24:$D$39,0))*INDEX(EF!$H$84:$H$99,MATCH(Emissions!$D70,EF!$D$84:$D$99,0))*INDEX(EF!$H$100:$H$115,MATCH(Emissions!$D70,EF!$D$100:$D$115,0))*INDEX(EF!$H$132:$H$147,MATCH(Emissions!$D70,EF!$D$132:$D$147,0))*kgtoGg</f>
        <v>6.7351398654339173E-2</v>
      </c>
      <c r="U70" s="22">
        <f>INDEX('Activity data'!U$24:U$39,MATCH(Emissions!$D70,'Activity data'!$D$24:$D$39,0))*INDEX(EF!$H$84:$H$99,MATCH(Emissions!$D70,EF!$D$84:$D$99,0))*INDEX(EF!$H$100:$H$115,MATCH(Emissions!$D70,EF!$D$100:$D$115,0))*INDEX(EF!$H$132:$H$147,MATCH(Emissions!$D70,EF!$D$132:$D$147,0))*kgtoGg</f>
        <v>8.4931657915083808E-2</v>
      </c>
      <c r="V70" s="22">
        <f>INDEX('Activity data'!V$24:V$39,MATCH(Emissions!$D70,'Activity data'!$D$24:$D$39,0))*INDEX(EF!$H$84:$H$99,MATCH(Emissions!$D70,EF!$D$84:$D$99,0))*INDEX(EF!$H$100:$H$115,MATCH(Emissions!$D70,EF!$D$100:$D$115,0))*INDEX(EF!$H$132:$H$147,MATCH(Emissions!$D70,EF!$D$132:$D$147,0))*kgtoGg</f>
        <v>6.6401114369974604E-2</v>
      </c>
      <c r="W70" s="22">
        <f>INDEX('Activity data'!W$24:W$39,MATCH(Emissions!$D70,'Activity data'!$D$24:$D$39,0))*INDEX(EF!$H$84:$H$99,MATCH(Emissions!$D70,EF!$D$84:$D$99,0))*INDEX(EF!$H$100:$H$115,MATCH(Emissions!$D70,EF!$D$100:$D$115,0))*INDEX(EF!$H$132:$H$147,MATCH(Emissions!$D70,EF!$D$132:$D$147,0))*kgtoGg</f>
        <v>8.7307368625995224E-2</v>
      </c>
      <c r="X70" s="22">
        <f>INDEX('Activity data'!X$24:X$39,MATCH(Emissions!$D70,'Activity data'!$D$24:$D$39,0))*INDEX(EF!$H$84:$H$99,MATCH(Emissions!$D70,EF!$D$84:$D$99,0))*INDEX(EF!$H$100:$H$115,MATCH(Emissions!$D70,EF!$D$100:$D$115,0))*INDEX(EF!$H$132:$H$147,MATCH(Emissions!$D70,EF!$D$132:$D$147,0))*kgtoGg</f>
        <v>7.7923311317895039E-2</v>
      </c>
      <c r="Y70" s="22">
        <f>INDEX('Activity data'!Y$24:Y$39,MATCH(Emissions!$D70,'Activity data'!$D$24:$D$39,0))*INDEX(EF!$H$84:$H$99,MATCH(Emissions!$D70,EF!$D$84:$D$99,0))*INDEX(EF!$H$100:$H$115,MATCH(Emissions!$D70,EF!$D$100:$D$115,0))*INDEX(EF!$H$132:$H$147,MATCH(Emissions!$D70,EF!$D$132:$D$147,0))*kgtoGg</f>
        <v>0.10191798949810055</v>
      </c>
      <c r="Z70" s="22">
        <f>INDEX('Activity data'!Z$24:Z$39,MATCH(Emissions!$D70,'Activity data'!$D$24:$D$39,0))*INDEX(EF!$H$84:$H$99,MATCH(Emissions!$D70,EF!$D$84:$D$99,0))*INDEX(EF!$H$100:$H$115,MATCH(Emissions!$D70,EF!$D$100:$D$115,0))*INDEX(EF!$H$132:$H$147,MATCH(Emissions!$D70,EF!$D$132:$D$147,0))*kgtoGg</f>
        <v>8.5288014521720509E-2</v>
      </c>
      <c r="AA70" s="22">
        <f>INDEX('Activity data'!AA$24:AA$39,MATCH(Emissions!$D70,'Activity data'!$D$24:$D$39,0))*INDEX(EF!$H$84:$H$99,MATCH(Emissions!$D70,EF!$D$84:$D$99,0))*INDEX(EF!$H$100:$H$115,MATCH(Emissions!$D70,EF!$D$100:$D$115,0))*INDEX(EF!$H$132:$H$147,MATCH(Emissions!$D70,EF!$D$132:$D$147,0))*kgtoGg</f>
        <v>8.4100159166264801E-2</v>
      </c>
      <c r="AB70" s="22">
        <f>INDEX('Activity data'!AB$24:AB$39,MATCH(Emissions!$D70,'Activity data'!$D$24:$D$39,0))*INDEX(EF!$H$84:$H$99,MATCH(Emissions!$D70,EF!$D$84:$D$99,0))*INDEX(EF!$H$100:$H$115,MATCH(Emissions!$D70,EF!$D$100:$D$115,0))*INDEX(EF!$H$132:$H$147,MATCH(Emissions!$D70,EF!$D$132:$D$147,0))*kgtoGg</f>
        <v>6.8956842239999996E-2</v>
      </c>
      <c r="AC70" s="22">
        <f>INDEX('Activity data'!AC$24:AC$39,MATCH(Emissions!$D70,'Activity data'!$D$24:$D$39,0))*INDEX(EF!$H$84:$H$99,MATCH(Emissions!$D70,EF!$D$84:$D$99,0))*INDEX(EF!$H$100:$H$115,MATCH(Emissions!$D70,EF!$D$100:$D$115,0))*INDEX(EF!$H$132:$H$147,MATCH(Emissions!$D70,EF!$D$132:$D$147,0))*kgtoGg</f>
        <v>5.1697708920000009E-2</v>
      </c>
      <c r="AD70" s="22">
        <f>INDEX('Activity data'!AD$24:AD$39,MATCH(Emissions!$D70,'Activity data'!$D$24:$D$39,0))*INDEX(EF!$H$84:$H$99,MATCH(Emissions!$D70,EF!$D$84:$D$99,0))*INDEX(EF!$H$100:$H$115,MATCH(Emissions!$D70,EF!$D$100:$D$115,0))*INDEX(EF!$H$132:$H$147,MATCH(Emissions!$D70,EF!$D$132:$D$147,0))*kgtoGg</f>
        <v>6.9999126484672408E-2</v>
      </c>
      <c r="AE70" s="22">
        <f>INDEX('Activity data'!AE$24:AE$39,MATCH(Emissions!$D70,'Activity data'!$D$24:$D$39,0))*INDEX(EF!$H$84:$H$99,MATCH(Emissions!$D70,EF!$D$84:$D$99,0))*INDEX(EF!$H$100:$H$115,MATCH(Emissions!$D70,EF!$D$100:$D$115,0))*INDEX(EF!$H$132:$H$147,MATCH(Emissions!$D70,EF!$D$132:$D$147,0))*kgtoGg</f>
        <v>6.9969256669183813E-2</v>
      </c>
      <c r="AF70" s="22">
        <f>INDEX('Activity data'!AF$24:AF$39,MATCH(Emissions!$D70,'Activity data'!$D$24:$D$39,0))*INDEX(EF!$H$84:$H$99,MATCH(Emissions!$D70,EF!$D$84:$D$99,0))*INDEX(EF!$H$100:$H$115,MATCH(Emissions!$D70,EF!$D$100:$D$115,0))*INDEX(EF!$H$132:$H$147,MATCH(Emissions!$D70,EF!$D$132:$D$147,0))*kgtoGg</f>
        <v>6.9939386853695204E-2</v>
      </c>
      <c r="AG70" s="22">
        <f>INDEX('Activity data'!AG$24:AG$39,MATCH(Emissions!$D70,'Activity data'!$D$24:$D$39,0))*INDEX(EF!$H$84:$H$99,MATCH(Emissions!$D70,EF!$D$84:$D$99,0))*INDEX(EF!$H$100:$H$115,MATCH(Emissions!$D70,EF!$D$100:$D$115,0))*INDEX(EF!$H$132:$H$147,MATCH(Emissions!$D70,EF!$D$132:$D$147,0))*kgtoGg</f>
        <v>6.9909517038206595E-2</v>
      </c>
      <c r="AH70" s="22">
        <f>INDEX('Activity data'!AH$24:AH$39,MATCH(Emissions!$D70,'Activity data'!$D$24:$D$39,0))*INDEX(EF!$H$84:$H$99,MATCH(Emissions!$D70,EF!$D$84:$D$99,0))*INDEX(EF!$H$100:$H$115,MATCH(Emissions!$D70,EF!$D$100:$D$115,0))*INDEX(EF!$H$132:$H$147,MATCH(Emissions!$D70,EF!$D$132:$D$147,0))*kgtoGg</f>
        <v>6.9879647222718E-2</v>
      </c>
      <c r="AI70" s="22">
        <f>INDEX('Activity data'!AI$24:AI$39,MATCH(Emissions!$D70,'Activity data'!$D$24:$D$39,0))*INDEX(EF!$H$84:$H$99,MATCH(Emissions!$D70,EF!$D$84:$D$99,0))*INDEX(EF!$H$100:$H$115,MATCH(Emissions!$D70,EF!$D$100:$D$115,0))*INDEX(EF!$H$132:$H$147,MATCH(Emissions!$D70,EF!$D$132:$D$147,0))*kgtoGg</f>
        <v>6.9849777407229377E-2</v>
      </c>
      <c r="AJ70" s="22">
        <f>INDEX('Activity data'!AJ$24:AJ$39,MATCH(Emissions!$D70,'Activity data'!$D$24:$D$39,0))*INDEX(EF!$H$84:$H$99,MATCH(Emissions!$D70,EF!$D$84:$D$99,0))*INDEX(EF!$H$100:$H$115,MATCH(Emissions!$D70,EF!$D$100:$D$115,0))*INDEX(EF!$H$132:$H$147,MATCH(Emissions!$D70,EF!$D$132:$D$147,0))*kgtoGg</f>
        <v>6.9819907591740768E-2</v>
      </c>
      <c r="AK70" s="22">
        <f>INDEX('Activity data'!AK$24:AK$39,MATCH(Emissions!$D70,'Activity data'!$D$24:$D$39,0))*INDEX(EF!$H$84:$H$99,MATCH(Emissions!$D70,EF!$D$84:$D$99,0))*INDEX(EF!$H$100:$H$115,MATCH(Emissions!$D70,EF!$D$100:$D$115,0))*INDEX(EF!$H$132:$H$147,MATCH(Emissions!$D70,EF!$D$132:$D$147,0))*kgtoGg</f>
        <v>6.9790037776252159E-2</v>
      </c>
      <c r="AL70" s="22">
        <f>INDEX('Activity data'!AL$24:AL$39,MATCH(Emissions!$D70,'Activity data'!$D$24:$D$39,0))*INDEX(EF!$H$84:$H$99,MATCH(Emissions!$D70,EF!$D$84:$D$99,0))*INDEX(EF!$H$100:$H$115,MATCH(Emissions!$D70,EF!$D$100:$D$115,0))*INDEX(EF!$H$132:$H$147,MATCH(Emissions!$D70,EF!$D$132:$D$147,0))*kgtoGg</f>
        <v>6.9760167960763578E-2</v>
      </c>
      <c r="AM70" s="22">
        <f>INDEX('Activity data'!AM$24:AM$39,MATCH(Emissions!$D70,'Activity data'!$D$24:$D$39,0))*INDEX(EF!$H$84:$H$99,MATCH(Emissions!$D70,EF!$D$84:$D$99,0))*INDEX(EF!$H$100:$H$115,MATCH(Emissions!$D70,EF!$D$100:$D$115,0))*INDEX(EF!$H$132:$H$147,MATCH(Emissions!$D70,EF!$D$132:$D$147,0))*kgtoGg</f>
        <v>6.9730298145274969E-2</v>
      </c>
      <c r="AN70" s="22">
        <f>INDEX('Activity data'!AN$24:AN$39,MATCH(Emissions!$D70,'Activity data'!$D$24:$D$39,0))*INDEX(EF!$H$84:$H$99,MATCH(Emissions!$D70,EF!$D$84:$D$99,0))*INDEX(EF!$H$100:$H$115,MATCH(Emissions!$D70,EF!$D$100:$D$115,0))*INDEX(EF!$H$132:$H$147,MATCH(Emissions!$D70,EF!$D$132:$D$147,0))*kgtoGg</f>
        <v>6.9700428329786346E-2</v>
      </c>
      <c r="AO70" s="22">
        <f>INDEX('Activity data'!AO$24:AO$39,MATCH(Emissions!$D70,'Activity data'!$D$24:$D$39,0))*INDEX(EF!$H$84:$H$99,MATCH(Emissions!$D70,EF!$D$84:$D$99,0))*INDEX(EF!$H$100:$H$115,MATCH(Emissions!$D70,EF!$D$100:$D$115,0))*INDEX(EF!$H$132:$H$147,MATCH(Emissions!$D70,EF!$D$132:$D$147,0))*kgtoGg</f>
        <v>6.9670558514297751E-2</v>
      </c>
      <c r="AP70" s="22">
        <f>INDEX('Activity data'!AP$24:AP$39,MATCH(Emissions!$D70,'Activity data'!$D$24:$D$39,0))*INDEX(EF!$H$84:$H$99,MATCH(Emissions!$D70,EF!$D$84:$D$99,0))*INDEX(EF!$H$100:$H$115,MATCH(Emissions!$D70,EF!$D$100:$D$115,0))*INDEX(EF!$H$132:$H$147,MATCH(Emissions!$D70,EF!$D$132:$D$147,0))*kgtoGg</f>
        <v>6.9640688698809156E-2</v>
      </c>
      <c r="AQ70" s="22">
        <f>INDEX('Activity data'!AQ$24:AQ$39,MATCH(Emissions!$D70,'Activity data'!$D$24:$D$39,0))*INDEX(EF!$H$84:$H$99,MATCH(Emissions!$D70,EF!$D$84:$D$99,0))*INDEX(EF!$H$100:$H$115,MATCH(Emissions!$D70,EF!$D$100:$D$115,0))*INDEX(EF!$H$132:$H$147,MATCH(Emissions!$D70,EF!$D$132:$D$147,0))*kgtoGg</f>
        <v>6.9610818883320533E-2</v>
      </c>
      <c r="AR70" s="22">
        <f>INDEX('Activity data'!AR$24:AR$39,MATCH(Emissions!$D70,'Activity data'!$D$24:$D$39,0))*INDEX(EF!$H$84:$H$99,MATCH(Emissions!$D70,EF!$D$84:$D$99,0))*INDEX(EF!$H$100:$H$115,MATCH(Emissions!$D70,EF!$D$100:$D$115,0))*INDEX(EF!$H$132:$H$147,MATCH(Emissions!$D70,EF!$D$132:$D$147,0))*kgtoGg</f>
        <v>6.9580949067831938E-2</v>
      </c>
      <c r="AS70" s="22">
        <f>INDEX('Activity data'!AS$24:AS$39,MATCH(Emissions!$D70,'Activity data'!$D$24:$D$39,0))*INDEX(EF!$H$84:$H$99,MATCH(Emissions!$D70,EF!$D$84:$D$99,0))*INDEX(EF!$H$100:$H$115,MATCH(Emissions!$D70,EF!$D$100:$D$115,0))*INDEX(EF!$H$132:$H$147,MATCH(Emissions!$D70,EF!$D$132:$D$147,0))*kgtoGg</f>
        <v>6.9551079252343315E-2</v>
      </c>
      <c r="AT70" s="22">
        <f>INDEX('Activity data'!AT$24:AT$39,MATCH(Emissions!$D70,'Activity data'!$D$24:$D$39,0))*INDEX(EF!$H$84:$H$99,MATCH(Emissions!$D70,EF!$D$84:$D$99,0))*INDEX(EF!$H$100:$H$115,MATCH(Emissions!$D70,EF!$D$100:$D$115,0))*INDEX(EF!$H$132:$H$147,MATCH(Emissions!$D70,EF!$D$132:$D$147,0))*kgtoGg</f>
        <v>6.9521209436854706E-2</v>
      </c>
      <c r="AU70" s="22">
        <f>INDEX('Activity data'!AU$24:AU$39,MATCH(Emissions!$D70,'Activity data'!$D$24:$D$39,0))*INDEX(EF!$H$84:$H$99,MATCH(Emissions!$D70,EF!$D$84:$D$99,0))*INDEX(EF!$H$100:$H$115,MATCH(Emissions!$D70,EF!$D$100:$D$115,0))*INDEX(EF!$H$132:$H$147,MATCH(Emissions!$D70,EF!$D$132:$D$147,0))*kgtoGg</f>
        <v>6.9491339621366111E-2</v>
      </c>
      <c r="AV70" s="22">
        <f>INDEX('Activity data'!AV$24:AV$39,MATCH(Emissions!$D70,'Activity data'!$D$24:$D$39,0))*INDEX(EF!$H$84:$H$99,MATCH(Emissions!$D70,EF!$D$84:$D$99,0))*INDEX(EF!$H$100:$H$115,MATCH(Emissions!$D70,EF!$D$100:$D$115,0))*INDEX(EF!$H$132:$H$147,MATCH(Emissions!$D70,EF!$D$132:$D$147,0))*kgtoGg</f>
        <v>6.9461469805877502E-2</v>
      </c>
      <c r="AW70" s="22">
        <f>INDEX('Activity data'!AW$24:AW$39,MATCH(Emissions!$D70,'Activity data'!$D$24:$D$39,0))*INDEX(EF!$H$84:$H$99,MATCH(Emissions!$D70,EF!$D$84:$D$99,0))*INDEX(EF!$H$100:$H$115,MATCH(Emissions!$D70,EF!$D$100:$D$115,0))*INDEX(EF!$H$132:$H$147,MATCH(Emissions!$D70,EF!$D$132:$D$147,0))*kgtoGg</f>
        <v>6.9431599990388893E-2</v>
      </c>
      <c r="AX70" s="22">
        <f>INDEX('Activity data'!AX$24:AX$39,MATCH(Emissions!$D70,'Activity data'!$D$24:$D$39,0))*INDEX(EF!$H$84:$H$99,MATCH(Emissions!$D70,EF!$D$84:$D$99,0))*INDEX(EF!$H$100:$H$115,MATCH(Emissions!$D70,EF!$D$100:$D$115,0))*INDEX(EF!$H$132:$H$147,MATCH(Emissions!$D70,EF!$D$132:$D$147,0))*kgtoGg</f>
        <v>6.9401730174900297E-2</v>
      </c>
      <c r="AY70" s="22">
        <f>INDEX('Activity data'!AY$24:AY$39,MATCH(Emissions!$D70,'Activity data'!$D$24:$D$39,0))*INDEX(EF!$H$84:$H$99,MATCH(Emissions!$D70,EF!$D$84:$D$99,0))*INDEX(EF!$H$100:$H$115,MATCH(Emissions!$D70,EF!$D$100:$D$115,0))*INDEX(EF!$H$132:$H$147,MATCH(Emissions!$D70,EF!$D$132:$D$147,0))*kgtoGg</f>
        <v>6.9371860359411688E-2</v>
      </c>
      <c r="AZ70" s="22">
        <f>INDEX('Activity data'!AZ$24:AZ$39,MATCH(Emissions!$D70,'Activity data'!$D$24:$D$39,0))*INDEX(EF!$H$84:$H$99,MATCH(Emissions!$D70,EF!$D$84:$D$99,0))*INDEX(EF!$H$100:$H$115,MATCH(Emissions!$D70,EF!$D$100:$D$115,0))*INDEX(EF!$H$132:$H$147,MATCH(Emissions!$D70,EF!$D$132:$D$147,0))*kgtoGg</f>
        <v>6.9341990543923093E-2</v>
      </c>
      <c r="BA70" s="22">
        <f>INDEX('Activity data'!BA$24:BA$39,MATCH(Emissions!$D70,'Activity data'!$D$24:$D$39,0))*INDEX(EF!$H$84:$H$99,MATCH(Emissions!$D70,EF!$D$84:$D$99,0))*INDEX(EF!$H$100:$H$115,MATCH(Emissions!$D70,EF!$D$100:$D$115,0))*INDEX(EF!$H$132:$H$147,MATCH(Emissions!$D70,EF!$D$132:$D$147,0))*kgtoGg</f>
        <v>6.931212072843447E-2</v>
      </c>
      <c r="BB70" s="22">
        <f>INDEX('Activity data'!BB$24:BB$39,MATCH(Emissions!$D70,'Activity data'!$D$24:$D$39,0))*INDEX(EF!$H$84:$H$99,MATCH(Emissions!$D70,EF!$D$84:$D$99,0))*INDEX(EF!$H$100:$H$115,MATCH(Emissions!$D70,EF!$D$100:$D$115,0))*INDEX(EF!$H$132:$H$147,MATCH(Emissions!$D70,EF!$D$132:$D$147,0))*kgtoGg</f>
        <v>6.9282250912945875E-2</v>
      </c>
      <c r="BC70" s="22">
        <f>INDEX('Activity data'!BC$24:BC$39,MATCH(Emissions!$D70,'Activity data'!$D$24:$D$39,0))*INDEX(EF!$H$84:$H$99,MATCH(Emissions!$D70,EF!$D$84:$D$99,0))*INDEX(EF!$H$100:$H$115,MATCH(Emissions!$D70,EF!$D$100:$D$115,0))*INDEX(EF!$H$132:$H$147,MATCH(Emissions!$D70,EF!$D$132:$D$147,0))*kgtoGg</f>
        <v>6.9252381097457266E-2</v>
      </c>
      <c r="BD70" s="22">
        <f>INDEX('Activity data'!BD$24:BD$39,MATCH(Emissions!$D70,'Activity data'!$D$24:$D$39,0))*INDEX(EF!$H$84:$H$99,MATCH(Emissions!$D70,EF!$D$84:$D$99,0))*INDEX(EF!$H$100:$H$115,MATCH(Emissions!$D70,EF!$D$100:$D$115,0))*INDEX(EF!$H$132:$H$147,MATCH(Emissions!$D70,EF!$D$132:$D$147,0))*kgtoGg</f>
        <v>6.9222511281968643E-2</v>
      </c>
      <c r="BE70" s="22">
        <f>INDEX('Activity data'!BE$24:BE$39,MATCH(Emissions!$D70,'Activity data'!$D$24:$D$39,0))*INDEX(EF!$H$84:$H$99,MATCH(Emissions!$D70,EF!$D$84:$D$99,0))*INDEX(EF!$H$100:$H$115,MATCH(Emissions!$D70,EF!$D$100:$D$115,0))*INDEX(EF!$H$132:$H$147,MATCH(Emissions!$D70,EF!$D$132:$D$147,0))*kgtoGg</f>
        <v>6.9192641466480048E-2</v>
      </c>
      <c r="BF70" s="22">
        <f>INDEX('Activity data'!BF$24:BF$39,MATCH(Emissions!$D70,'Activity data'!$D$24:$D$39,0))*INDEX(EF!$H$84:$H$99,MATCH(Emissions!$D70,EF!$D$84:$D$99,0))*INDEX(EF!$H$100:$H$115,MATCH(Emissions!$D70,EF!$D$100:$D$115,0))*INDEX(EF!$H$132:$H$147,MATCH(Emissions!$D70,EF!$D$132:$D$147,0))*kgtoGg</f>
        <v>6.9162771650991453E-2</v>
      </c>
      <c r="BG70" s="22">
        <f>INDEX('Activity data'!BG$24:BG$39,MATCH(Emissions!$D70,'Activity data'!$D$24:$D$39,0))*INDEX(EF!$H$84:$H$99,MATCH(Emissions!$D70,EF!$D$84:$D$99,0))*INDEX(EF!$H$100:$H$115,MATCH(Emissions!$D70,EF!$D$100:$D$115,0))*INDEX(EF!$H$132:$H$147,MATCH(Emissions!$D70,EF!$D$132:$D$147,0))*kgtoGg</f>
        <v>6.913290183550283E-2</v>
      </c>
      <c r="BH70" s="22">
        <f>INDEX('Activity data'!BH$24:BH$39,MATCH(Emissions!$D70,'Activity data'!$D$24:$D$39,0))*INDEX(EF!$H$84:$H$99,MATCH(Emissions!$D70,EF!$D$84:$D$99,0))*INDEX(EF!$H$100:$H$115,MATCH(Emissions!$D70,EF!$D$100:$D$115,0))*INDEX(EF!$H$132:$H$147,MATCH(Emissions!$D70,EF!$D$132:$D$147,0))*kgtoGg</f>
        <v>6.9103032020014235E-2</v>
      </c>
      <c r="BI70" s="22">
        <f>INDEX('Activity data'!BI$24:BI$39,MATCH(Emissions!$D70,'Activity data'!$D$24:$D$39,0))*INDEX(EF!$H$84:$H$99,MATCH(Emissions!$D70,EF!$D$84:$D$99,0))*INDEX(EF!$H$100:$H$115,MATCH(Emissions!$D70,EF!$D$100:$D$115,0))*INDEX(EF!$H$132:$H$147,MATCH(Emissions!$D70,EF!$D$132:$D$147,0))*kgtoGg</f>
        <v>6.9073162204525626E-2</v>
      </c>
      <c r="BJ70" s="22">
        <f>INDEX('Activity data'!BJ$24:BJ$39,MATCH(Emissions!$D70,'Activity data'!$D$24:$D$39,0))*INDEX(EF!$H$84:$H$99,MATCH(Emissions!$D70,EF!$D$84:$D$99,0))*INDEX(EF!$H$100:$H$115,MATCH(Emissions!$D70,EF!$D$100:$D$115,0))*INDEX(EF!$H$132:$H$147,MATCH(Emissions!$D70,EF!$D$132:$D$147,0))*kgtoGg</f>
        <v>6.9043292389037031E-2</v>
      </c>
      <c r="BK70" s="22">
        <f>INDEX('Activity data'!BK$24:BK$39,MATCH(Emissions!$D70,'Activity data'!$D$24:$D$39,0))*INDEX(EF!$H$84:$H$99,MATCH(Emissions!$D70,EF!$D$84:$D$99,0))*INDEX(EF!$H$100:$H$115,MATCH(Emissions!$D70,EF!$D$100:$D$115,0))*INDEX(EF!$H$132:$H$147,MATCH(Emissions!$D70,EF!$D$132:$D$147,0))*kgtoGg</f>
        <v>6.9013422573548422E-2</v>
      </c>
      <c r="BL70" s="22">
        <f>INDEX('Activity data'!BL$24:BL$39,MATCH(Emissions!$D70,'Activity data'!$D$24:$D$39,0))*INDEX(EF!$H$84:$H$99,MATCH(Emissions!$D70,EF!$D$84:$D$99,0))*INDEX(EF!$H$100:$H$115,MATCH(Emissions!$D70,EF!$D$100:$D$115,0))*INDEX(EF!$H$132:$H$147,MATCH(Emissions!$D70,EF!$D$132:$D$147,0))*kgtoGg</f>
        <v>6.8983552758059813E-2</v>
      </c>
      <c r="BM70" s="22">
        <f>INDEX('Activity data'!BM$24:BM$39,MATCH(Emissions!$D70,'Activity data'!$D$24:$D$39,0))*INDEX(EF!$H$84:$H$99,MATCH(Emissions!$D70,EF!$D$84:$D$99,0))*INDEX(EF!$H$100:$H$115,MATCH(Emissions!$D70,EF!$D$100:$D$115,0))*INDEX(EF!$H$132:$H$147,MATCH(Emissions!$D70,EF!$D$132:$D$147,0))*kgtoGg</f>
        <v>6.8953682942571204E-2</v>
      </c>
      <c r="BN70" s="22">
        <f>INDEX('Activity data'!BN$24:BN$39,MATCH(Emissions!$D70,'Activity data'!$D$24:$D$39,0))*INDEX(EF!$H$84:$H$99,MATCH(Emissions!$D70,EF!$D$84:$D$99,0))*INDEX(EF!$H$100:$H$115,MATCH(Emissions!$D70,EF!$D$100:$D$115,0))*INDEX(EF!$H$132:$H$147,MATCH(Emissions!$D70,EF!$D$132:$D$147,0))*kgtoGg</f>
        <v>6.8923813127082581E-2</v>
      </c>
      <c r="BO70" s="22">
        <f>INDEX('Activity data'!BO$24:BO$39,MATCH(Emissions!$D70,'Activity data'!$D$24:$D$39,0))*INDEX(EF!$H$84:$H$99,MATCH(Emissions!$D70,EF!$D$84:$D$99,0))*INDEX(EF!$H$100:$H$115,MATCH(Emissions!$D70,EF!$D$100:$D$115,0))*INDEX(EF!$H$132:$H$147,MATCH(Emissions!$D70,EF!$D$132:$D$147,0))*kgtoGg</f>
        <v>6.8893943311593986E-2</v>
      </c>
      <c r="BP70" s="22">
        <f>INDEX('Activity data'!BP$24:BP$39,MATCH(Emissions!$D70,'Activity data'!$D$24:$D$39,0))*INDEX(EF!$H$84:$H$99,MATCH(Emissions!$D70,EF!$D$84:$D$99,0))*INDEX(EF!$H$100:$H$115,MATCH(Emissions!$D70,EF!$D$100:$D$115,0))*INDEX(EF!$H$132:$H$147,MATCH(Emissions!$D70,EF!$D$132:$D$147,0))*kgtoGg</f>
        <v>6.8864073496105391E-2</v>
      </c>
    </row>
    <row r="71" spans="1:68" x14ac:dyDescent="0.3">
      <c r="A71" t="str">
        <f t="shared" si="19"/>
        <v>3C Aggregated and non-CO2 emissions on land</v>
      </c>
      <c r="B71" t="str">
        <f>B70</f>
        <v>3C1 Biomass burning (N2O)</v>
      </c>
      <c r="C71" t="str">
        <f t="shared" ref="C71:C85" si="25">C55</f>
        <v>3C1a Biomass burning in forest land</v>
      </c>
      <c r="D71" t="str">
        <f>EF!D101</f>
        <v>Thickets</v>
      </c>
      <c r="E71" t="s">
        <v>642</v>
      </c>
      <c r="F71" t="str">
        <f>F70</f>
        <v>N2O</v>
      </c>
      <c r="G71" t="str">
        <f>G70</f>
        <v>Gg N2O</v>
      </c>
      <c r="H71" s="22">
        <f>INDEX('Activity data'!H$24:H$39,MATCH(Emissions!$D71,'Activity data'!$D$24:$D$39,0))*INDEX(EF!$H$84:$H$99,MATCH(Emissions!$D71,EF!$D$84:$D$99,0))*INDEX(EF!$H$100:$H$115,MATCH(Emissions!$D71,EF!$D$100:$D$115,0))*INDEX(EF!$H$132:$H$147,MATCH(Emissions!$D71,EF!$D$132:$D$147,0))*kgtoGg</f>
        <v>0.1386787051643949</v>
      </c>
      <c r="I71" s="22">
        <f>INDEX('Activity data'!I$24:I$39,MATCH(Emissions!$D71,'Activity data'!$D$24:$D$39,0))*INDEX(EF!$H$84:$H$99,MATCH(Emissions!$D71,EF!$D$84:$D$99,0))*INDEX(EF!$H$100:$H$115,MATCH(Emissions!$D71,EF!$D$100:$D$115,0))*INDEX(EF!$H$132:$H$147,MATCH(Emissions!$D71,EF!$D$132:$D$147,0))*kgtoGg</f>
        <v>0.1386787051643949</v>
      </c>
      <c r="J71" s="22">
        <f>INDEX('Activity data'!J$24:J$39,MATCH(Emissions!$D71,'Activity data'!$D$24:$D$39,0))*INDEX(EF!$H$84:$H$99,MATCH(Emissions!$D71,EF!$D$84:$D$99,0))*INDEX(EF!$H$100:$H$115,MATCH(Emissions!$D71,EF!$D$100:$D$115,0))*INDEX(EF!$H$132:$H$147,MATCH(Emissions!$D71,EF!$D$132:$D$147,0))*kgtoGg</f>
        <v>0.1386787051643949</v>
      </c>
      <c r="K71" s="22">
        <f>INDEX('Activity data'!K$24:K$39,MATCH(Emissions!$D71,'Activity data'!$D$24:$D$39,0))*INDEX(EF!$H$84:$H$99,MATCH(Emissions!$D71,EF!$D$84:$D$99,0))*INDEX(EF!$H$100:$H$115,MATCH(Emissions!$D71,EF!$D$100:$D$115,0))*INDEX(EF!$H$132:$H$147,MATCH(Emissions!$D71,EF!$D$132:$D$147,0))*kgtoGg</f>
        <v>0.1386787051643949</v>
      </c>
      <c r="L71" s="22">
        <f>INDEX('Activity data'!L$24:L$39,MATCH(Emissions!$D71,'Activity data'!$D$24:$D$39,0))*INDEX(EF!$H$84:$H$99,MATCH(Emissions!$D71,EF!$D$84:$D$99,0))*INDEX(EF!$H$100:$H$115,MATCH(Emissions!$D71,EF!$D$100:$D$115,0))*INDEX(EF!$H$132:$H$147,MATCH(Emissions!$D71,EF!$D$132:$D$147,0))*kgtoGg</f>
        <v>0.1386787051643949</v>
      </c>
      <c r="M71" s="22">
        <f>INDEX('Activity data'!M$24:M$39,MATCH(Emissions!$D71,'Activity data'!$D$24:$D$39,0))*INDEX(EF!$H$84:$H$99,MATCH(Emissions!$D71,EF!$D$84:$D$99,0))*INDEX(EF!$H$100:$H$115,MATCH(Emissions!$D71,EF!$D$100:$D$115,0))*INDEX(EF!$H$132:$H$147,MATCH(Emissions!$D71,EF!$D$132:$D$147,0))*kgtoGg</f>
        <v>0.1386787051643949</v>
      </c>
      <c r="N71" s="22">
        <f>INDEX('Activity data'!N$24:N$39,MATCH(Emissions!$D71,'Activity data'!$D$24:$D$39,0))*INDEX(EF!$H$84:$H$99,MATCH(Emissions!$D71,EF!$D$84:$D$99,0))*INDEX(EF!$H$100:$H$115,MATCH(Emissions!$D71,EF!$D$100:$D$115,0))*INDEX(EF!$H$132:$H$147,MATCH(Emissions!$D71,EF!$D$132:$D$147,0))*kgtoGg</f>
        <v>0.1386787051643949</v>
      </c>
      <c r="O71" s="22">
        <f>INDEX('Activity data'!O$24:O$39,MATCH(Emissions!$D71,'Activity data'!$D$24:$D$39,0))*INDEX(EF!$H$84:$H$99,MATCH(Emissions!$D71,EF!$D$84:$D$99,0))*INDEX(EF!$H$100:$H$115,MATCH(Emissions!$D71,EF!$D$100:$D$115,0))*INDEX(EF!$H$132:$H$147,MATCH(Emissions!$D71,EF!$D$132:$D$147,0))*kgtoGg</f>
        <v>0.1386787051643949</v>
      </c>
      <c r="P71" s="22">
        <f>INDEX('Activity data'!P$24:P$39,MATCH(Emissions!$D71,'Activity data'!$D$24:$D$39,0))*INDEX(EF!$H$84:$H$99,MATCH(Emissions!$D71,EF!$D$84:$D$99,0))*INDEX(EF!$H$100:$H$115,MATCH(Emissions!$D71,EF!$D$100:$D$115,0))*INDEX(EF!$H$132:$H$147,MATCH(Emissions!$D71,EF!$D$132:$D$147,0))*kgtoGg</f>
        <v>0.1386787051643949</v>
      </c>
      <c r="Q71" s="22">
        <f>INDEX('Activity data'!Q$24:Q$39,MATCH(Emissions!$D71,'Activity data'!$D$24:$D$39,0))*INDEX(EF!$H$84:$H$99,MATCH(Emissions!$D71,EF!$D$84:$D$99,0))*INDEX(EF!$H$100:$H$115,MATCH(Emissions!$D71,EF!$D$100:$D$115,0))*INDEX(EF!$H$132:$H$147,MATCH(Emissions!$D71,EF!$D$132:$D$147,0))*kgtoGg</f>
        <v>0.1386787051643949</v>
      </c>
      <c r="R71" s="22">
        <f>INDEX('Activity data'!R$24:R$39,MATCH(Emissions!$D71,'Activity data'!$D$24:$D$39,0))*INDEX(EF!$H$84:$H$99,MATCH(Emissions!$D71,EF!$D$84:$D$99,0))*INDEX(EF!$H$100:$H$115,MATCH(Emissions!$D71,EF!$D$100:$D$115,0))*INDEX(EF!$H$132:$H$147,MATCH(Emissions!$D71,EF!$D$132:$D$147,0))*kgtoGg</f>
        <v>0.14239374078639105</v>
      </c>
      <c r="S71" s="22">
        <f>INDEX('Activity data'!S$24:S$39,MATCH(Emissions!$D71,'Activity data'!$D$24:$D$39,0))*INDEX(EF!$H$84:$H$99,MATCH(Emissions!$D71,EF!$D$84:$D$99,0))*INDEX(EF!$H$100:$H$115,MATCH(Emissions!$D71,EF!$D$100:$D$115,0))*INDEX(EF!$H$132:$H$147,MATCH(Emissions!$D71,EF!$D$132:$D$147,0))*kgtoGg</f>
        <v>0.18074095126601653</v>
      </c>
      <c r="T71" s="22">
        <f>INDEX('Activity data'!T$24:T$39,MATCH(Emissions!$D71,'Activity data'!$D$24:$D$39,0))*INDEX(EF!$H$84:$H$99,MATCH(Emissions!$D71,EF!$D$84:$D$99,0))*INDEX(EF!$H$100:$H$115,MATCH(Emissions!$D71,EF!$D$100:$D$115,0))*INDEX(EF!$H$132:$H$147,MATCH(Emissions!$D71,EF!$D$132:$D$147,0))*kgtoGg</f>
        <v>0.16683350476872413</v>
      </c>
      <c r="U71" s="22">
        <f>INDEX('Activity data'!U$24:U$39,MATCH(Emissions!$D71,'Activity data'!$D$24:$D$39,0))*INDEX(EF!$H$84:$H$99,MATCH(Emissions!$D71,EF!$D$84:$D$99,0))*INDEX(EF!$H$100:$H$115,MATCH(Emissions!$D71,EF!$D$100:$D$115,0))*INDEX(EF!$H$132:$H$147,MATCH(Emissions!$D71,EF!$D$132:$D$147,0))*kgtoGg</f>
        <v>0.10026447084622828</v>
      </c>
      <c r="V71" s="22">
        <f>INDEX('Activity data'!V$24:V$39,MATCH(Emissions!$D71,'Activity data'!$D$24:$D$39,0))*INDEX(EF!$H$84:$H$99,MATCH(Emissions!$D71,EF!$D$84:$D$99,0))*INDEX(EF!$H$100:$H$115,MATCH(Emissions!$D71,EF!$D$100:$D$115,0))*INDEX(EF!$H$132:$H$147,MATCH(Emissions!$D71,EF!$D$132:$D$147,0))*kgtoGg</f>
        <v>0.10316085815461448</v>
      </c>
      <c r="W71" s="22">
        <f>INDEX('Activity data'!W$24:W$39,MATCH(Emissions!$D71,'Activity data'!$D$24:$D$39,0))*INDEX(EF!$H$84:$H$99,MATCH(Emissions!$D71,EF!$D$84:$D$99,0))*INDEX(EF!$H$100:$H$115,MATCH(Emissions!$D71,EF!$D$100:$D$115,0))*INDEX(EF!$H$132:$H$147,MATCH(Emissions!$D71,EF!$D$132:$D$147,0))*kgtoGg</f>
        <v>0.17717432557221868</v>
      </c>
      <c r="X71" s="22">
        <f>INDEX('Activity data'!X$24:X$39,MATCH(Emissions!$D71,'Activity data'!$D$24:$D$39,0))*INDEX(EF!$H$84:$H$99,MATCH(Emissions!$D71,EF!$D$84:$D$99,0))*INDEX(EF!$H$100:$H$115,MATCH(Emissions!$D71,EF!$D$100:$D$115,0))*INDEX(EF!$H$132:$H$147,MATCH(Emissions!$D71,EF!$D$132:$D$147,0))*kgtoGg</f>
        <v>0.14152402669103542</v>
      </c>
      <c r="Y71" s="22">
        <f>INDEX('Activity data'!Y$24:Y$39,MATCH(Emissions!$D71,'Activity data'!$D$24:$D$39,0))*INDEX(EF!$H$84:$H$99,MATCH(Emissions!$D71,EF!$D$84:$D$99,0))*INDEX(EF!$H$100:$H$115,MATCH(Emissions!$D71,EF!$D$100:$D$115,0))*INDEX(EF!$H$132:$H$147,MATCH(Emissions!$D71,EF!$D$132:$D$147,0))*kgtoGg</f>
        <v>0.16523769908917249</v>
      </c>
      <c r="Z71" s="22">
        <f>INDEX('Activity data'!Z$24:Z$39,MATCH(Emissions!$D71,'Activity data'!$D$24:$D$39,0))*INDEX(EF!$H$84:$H$99,MATCH(Emissions!$D71,EF!$D$84:$D$99,0))*INDEX(EF!$H$100:$H$115,MATCH(Emissions!$D71,EF!$D$100:$D$115,0))*INDEX(EF!$H$132:$H$147,MATCH(Emissions!$D71,EF!$D$132:$D$147,0))*kgtoGg</f>
        <v>0.18179418301452055</v>
      </c>
      <c r="AA71" s="22">
        <f>INDEX('Activity data'!AA$24:AA$39,MATCH(Emissions!$D71,'Activity data'!$D$24:$D$39,0))*INDEX(EF!$H$84:$H$99,MATCH(Emissions!$D71,EF!$D$84:$D$99,0))*INDEX(EF!$H$100:$H$115,MATCH(Emissions!$D71,EF!$D$100:$D$115,0))*INDEX(EF!$H$132:$H$147,MATCH(Emissions!$D71,EF!$D$132:$D$147,0))*kgtoGg</f>
        <v>0.13219654249405621</v>
      </c>
      <c r="AB71" s="22">
        <f>INDEX('Activity data'!AB$24:AB$39,MATCH(Emissions!$D71,'Activity data'!$D$24:$D$39,0))*INDEX(EF!$H$84:$H$99,MATCH(Emissions!$D71,EF!$D$84:$D$99,0))*INDEX(EF!$H$100:$H$115,MATCH(Emissions!$D71,EF!$D$100:$D$115,0))*INDEX(EF!$H$132:$H$147,MATCH(Emissions!$D71,EF!$D$132:$D$147,0))*kgtoGg</f>
        <v>0.16154291134799995</v>
      </c>
      <c r="AC71" s="22">
        <f>INDEX('Activity data'!AC$24:AC$39,MATCH(Emissions!$D71,'Activity data'!$D$24:$D$39,0))*INDEX(EF!$H$84:$H$99,MATCH(Emissions!$D71,EF!$D$84:$D$99,0))*INDEX(EF!$H$100:$H$115,MATCH(Emissions!$D71,EF!$D$100:$D$115,0))*INDEX(EF!$H$132:$H$147,MATCH(Emissions!$D71,EF!$D$132:$D$147,0))*kgtoGg</f>
        <v>0.12862987137000001</v>
      </c>
      <c r="AD71" s="22">
        <f>INDEX('Activity data'!AD$24:AD$39,MATCH(Emissions!$D71,'Activity data'!$D$24:$D$39,0))*INDEX(EF!$H$84:$H$99,MATCH(Emissions!$D71,EF!$D$84:$D$99,0))*INDEX(EF!$H$100:$H$115,MATCH(Emissions!$D71,EF!$D$100:$D$115,0))*INDEX(EF!$H$132:$H$147,MATCH(Emissions!$D71,EF!$D$132:$D$147,0))*kgtoGg</f>
        <v>0.1362211465996048</v>
      </c>
      <c r="AE71" s="22">
        <f>INDEX('Activity data'!AE$24:AE$39,MATCH(Emissions!$D71,'Activity data'!$D$24:$D$39,0))*INDEX(EF!$H$84:$H$99,MATCH(Emissions!$D71,EF!$D$84:$D$99,0))*INDEX(EF!$H$100:$H$115,MATCH(Emissions!$D71,EF!$D$100:$D$115,0))*INDEX(EF!$H$132:$H$147,MATCH(Emissions!$D71,EF!$D$132:$D$147,0))*kgtoGg</f>
        <v>0.13600546655871854</v>
      </c>
      <c r="AF71" s="22">
        <f>INDEX('Activity data'!AF$24:AF$39,MATCH(Emissions!$D71,'Activity data'!$D$24:$D$39,0))*INDEX(EF!$H$84:$H$99,MATCH(Emissions!$D71,EF!$D$84:$D$99,0))*INDEX(EF!$H$100:$H$115,MATCH(Emissions!$D71,EF!$D$100:$D$115,0))*INDEX(EF!$H$132:$H$147,MATCH(Emissions!$D71,EF!$D$132:$D$147,0))*kgtoGg</f>
        <v>0.13578978651783222</v>
      </c>
      <c r="AG71" s="22">
        <f>INDEX('Activity data'!AG$24:AG$39,MATCH(Emissions!$D71,'Activity data'!$D$24:$D$39,0))*INDEX(EF!$H$84:$H$99,MATCH(Emissions!$D71,EF!$D$84:$D$99,0))*INDEX(EF!$H$100:$H$115,MATCH(Emissions!$D71,EF!$D$100:$D$115,0))*INDEX(EF!$H$132:$H$147,MATCH(Emissions!$D71,EF!$D$132:$D$147,0))*kgtoGg</f>
        <v>0.13557410647694595</v>
      </c>
      <c r="AH71" s="22">
        <f>INDEX('Activity data'!AH$24:AH$39,MATCH(Emissions!$D71,'Activity data'!$D$24:$D$39,0))*INDEX(EF!$H$84:$H$99,MATCH(Emissions!$D71,EF!$D$84:$D$99,0))*INDEX(EF!$H$100:$H$115,MATCH(Emissions!$D71,EF!$D$100:$D$115,0))*INDEX(EF!$H$132:$H$147,MATCH(Emissions!$D71,EF!$D$132:$D$147,0))*kgtoGg</f>
        <v>0.13535842643605966</v>
      </c>
      <c r="AI71" s="22">
        <f>INDEX('Activity data'!AI$24:AI$39,MATCH(Emissions!$D71,'Activity data'!$D$24:$D$39,0))*INDEX(EF!$H$84:$H$99,MATCH(Emissions!$D71,EF!$D$84:$D$99,0))*INDEX(EF!$H$100:$H$115,MATCH(Emissions!$D71,EF!$D$100:$D$115,0))*INDEX(EF!$H$132:$H$147,MATCH(Emissions!$D71,EF!$D$132:$D$147,0))*kgtoGg</f>
        <v>0.13514274639517335</v>
      </c>
      <c r="AJ71" s="22">
        <f>INDEX('Activity data'!AJ$24:AJ$39,MATCH(Emissions!$D71,'Activity data'!$D$24:$D$39,0))*INDEX(EF!$H$84:$H$99,MATCH(Emissions!$D71,EF!$D$84:$D$99,0))*INDEX(EF!$H$100:$H$115,MATCH(Emissions!$D71,EF!$D$100:$D$115,0))*INDEX(EF!$H$132:$H$147,MATCH(Emissions!$D71,EF!$D$132:$D$147,0))*kgtoGg</f>
        <v>0.13492706635428708</v>
      </c>
      <c r="AK71" s="22">
        <f>INDEX('Activity data'!AK$24:AK$39,MATCH(Emissions!$D71,'Activity data'!$D$24:$D$39,0))*INDEX(EF!$H$84:$H$99,MATCH(Emissions!$D71,EF!$D$84:$D$99,0))*INDEX(EF!$H$100:$H$115,MATCH(Emissions!$D71,EF!$D$100:$D$115,0))*INDEX(EF!$H$132:$H$147,MATCH(Emissions!$D71,EF!$D$132:$D$147,0))*kgtoGg</f>
        <v>0.13471138631340079</v>
      </c>
      <c r="AL71" s="22">
        <f>INDEX('Activity data'!AL$24:AL$39,MATCH(Emissions!$D71,'Activity data'!$D$24:$D$39,0))*INDEX(EF!$H$84:$H$99,MATCH(Emissions!$D71,EF!$D$84:$D$99,0))*INDEX(EF!$H$100:$H$115,MATCH(Emissions!$D71,EF!$D$100:$D$115,0))*INDEX(EF!$H$132:$H$147,MATCH(Emissions!$D71,EF!$D$132:$D$147,0))*kgtoGg</f>
        <v>0.13449570627251453</v>
      </c>
      <c r="AM71" s="22">
        <f>INDEX('Activity data'!AM$24:AM$39,MATCH(Emissions!$D71,'Activity data'!$D$24:$D$39,0))*INDEX(EF!$H$84:$H$99,MATCH(Emissions!$D71,EF!$D$84:$D$99,0))*INDEX(EF!$H$100:$H$115,MATCH(Emissions!$D71,EF!$D$100:$D$115,0))*INDEX(EF!$H$132:$H$147,MATCH(Emissions!$D71,EF!$D$132:$D$147,0))*kgtoGg</f>
        <v>0.13428002623162824</v>
      </c>
      <c r="AN71" s="22">
        <f>INDEX('Activity data'!AN$24:AN$39,MATCH(Emissions!$D71,'Activity data'!$D$24:$D$39,0))*INDEX(EF!$H$84:$H$99,MATCH(Emissions!$D71,EF!$D$84:$D$99,0))*INDEX(EF!$H$100:$H$115,MATCH(Emissions!$D71,EF!$D$100:$D$115,0))*INDEX(EF!$H$132:$H$147,MATCH(Emissions!$D71,EF!$D$132:$D$147,0))*kgtoGg</f>
        <v>0.13406434619074192</v>
      </c>
      <c r="AO71" s="22">
        <f>INDEX('Activity data'!AO$24:AO$39,MATCH(Emissions!$D71,'Activity data'!$D$24:$D$39,0))*INDEX(EF!$H$84:$H$99,MATCH(Emissions!$D71,EF!$D$84:$D$99,0))*INDEX(EF!$H$100:$H$115,MATCH(Emissions!$D71,EF!$D$100:$D$115,0))*INDEX(EF!$H$132:$H$147,MATCH(Emissions!$D71,EF!$D$132:$D$147,0))*kgtoGg</f>
        <v>0.13384866614985566</v>
      </c>
      <c r="AP71" s="22">
        <f>INDEX('Activity data'!AP$24:AP$39,MATCH(Emissions!$D71,'Activity data'!$D$24:$D$39,0))*INDEX(EF!$H$84:$H$99,MATCH(Emissions!$D71,EF!$D$84:$D$99,0))*INDEX(EF!$H$100:$H$115,MATCH(Emissions!$D71,EF!$D$100:$D$115,0))*INDEX(EF!$H$132:$H$147,MATCH(Emissions!$D71,EF!$D$132:$D$147,0))*kgtoGg</f>
        <v>0.1336329861089694</v>
      </c>
      <c r="AQ71" s="22">
        <f>INDEX('Activity data'!AQ$24:AQ$39,MATCH(Emissions!$D71,'Activity data'!$D$24:$D$39,0))*INDEX(EF!$H$84:$H$99,MATCH(Emissions!$D71,EF!$D$84:$D$99,0))*INDEX(EF!$H$100:$H$115,MATCH(Emissions!$D71,EF!$D$100:$D$115,0))*INDEX(EF!$H$132:$H$147,MATCH(Emissions!$D71,EF!$D$132:$D$147,0))*kgtoGg</f>
        <v>0.13341730606808308</v>
      </c>
      <c r="AR71" s="22">
        <f>INDEX('Activity data'!AR$24:AR$39,MATCH(Emissions!$D71,'Activity data'!$D$24:$D$39,0))*INDEX(EF!$H$84:$H$99,MATCH(Emissions!$D71,EF!$D$84:$D$99,0))*INDEX(EF!$H$100:$H$115,MATCH(Emissions!$D71,EF!$D$100:$D$115,0))*INDEX(EF!$H$132:$H$147,MATCH(Emissions!$D71,EF!$D$132:$D$147,0))*kgtoGg</f>
        <v>0.13320162602719682</v>
      </c>
      <c r="AS71" s="22">
        <f>INDEX('Activity data'!AS$24:AS$39,MATCH(Emissions!$D71,'Activity data'!$D$24:$D$39,0))*INDEX(EF!$H$84:$H$99,MATCH(Emissions!$D71,EF!$D$84:$D$99,0))*INDEX(EF!$H$100:$H$115,MATCH(Emissions!$D71,EF!$D$100:$D$115,0))*INDEX(EF!$H$132:$H$147,MATCH(Emissions!$D71,EF!$D$132:$D$147,0))*kgtoGg</f>
        <v>0.1329859459863105</v>
      </c>
      <c r="AT71" s="22">
        <f>INDEX('Activity data'!AT$24:AT$39,MATCH(Emissions!$D71,'Activity data'!$D$24:$D$39,0))*INDEX(EF!$H$84:$H$99,MATCH(Emissions!$D71,EF!$D$84:$D$99,0))*INDEX(EF!$H$100:$H$115,MATCH(Emissions!$D71,EF!$D$100:$D$115,0))*INDEX(EF!$H$132:$H$147,MATCH(Emissions!$D71,EF!$D$132:$D$147,0))*kgtoGg</f>
        <v>0.13277026594542424</v>
      </c>
      <c r="AU71" s="22">
        <f>INDEX('Activity data'!AU$24:AU$39,MATCH(Emissions!$D71,'Activity data'!$D$24:$D$39,0))*INDEX(EF!$H$84:$H$99,MATCH(Emissions!$D71,EF!$D$84:$D$99,0))*INDEX(EF!$H$100:$H$115,MATCH(Emissions!$D71,EF!$D$100:$D$115,0))*INDEX(EF!$H$132:$H$147,MATCH(Emissions!$D71,EF!$D$132:$D$147,0))*kgtoGg</f>
        <v>0.13255458590453795</v>
      </c>
      <c r="AV71" s="22">
        <f>INDEX('Activity data'!AV$24:AV$39,MATCH(Emissions!$D71,'Activity data'!$D$24:$D$39,0))*INDEX(EF!$H$84:$H$99,MATCH(Emissions!$D71,EF!$D$84:$D$99,0))*INDEX(EF!$H$100:$H$115,MATCH(Emissions!$D71,EF!$D$100:$D$115,0))*INDEX(EF!$H$132:$H$147,MATCH(Emissions!$D71,EF!$D$132:$D$147,0))*kgtoGg</f>
        <v>0.13233890586365168</v>
      </c>
      <c r="AW71" s="22">
        <f>INDEX('Activity data'!AW$24:AW$39,MATCH(Emissions!$D71,'Activity data'!$D$24:$D$39,0))*INDEX(EF!$H$84:$H$99,MATCH(Emissions!$D71,EF!$D$84:$D$99,0))*INDEX(EF!$H$100:$H$115,MATCH(Emissions!$D71,EF!$D$100:$D$115,0))*INDEX(EF!$H$132:$H$147,MATCH(Emissions!$D71,EF!$D$132:$D$147,0))*kgtoGg</f>
        <v>0.13212322582276539</v>
      </c>
      <c r="AX71" s="22">
        <f>INDEX('Activity data'!AX$24:AX$39,MATCH(Emissions!$D71,'Activity data'!$D$24:$D$39,0))*INDEX(EF!$H$84:$H$99,MATCH(Emissions!$D71,EF!$D$84:$D$99,0))*INDEX(EF!$H$100:$H$115,MATCH(Emissions!$D71,EF!$D$100:$D$115,0))*INDEX(EF!$H$132:$H$147,MATCH(Emissions!$D71,EF!$D$132:$D$147,0))*kgtoGg</f>
        <v>0.1319075457818791</v>
      </c>
      <c r="AY71" s="22">
        <f>INDEX('Activity data'!AY$24:AY$39,MATCH(Emissions!$D71,'Activity data'!$D$24:$D$39,0))*INDEX(EF!$H$84:$H$99,MATCH(Emissions!$D71,EF!$D$84:$D$99,0))*INDEX(EF!$H$100:$H$115,MATCH(Emissions!$D71,EF!$D$100:$D$115,0))*INDEX(EF!$H$132:$H$147,MATCH(Emissions!$D71,EF!$D$132:$D$147,0))*kgtoGg</f>
        <v>0.13169186574099281</v>
      </c>
      <c r="AZ71" s="22">
        <f>INDEX('Activity data'!AZ$24:AZ$39,MATCH(Emissions!$D71,'Activity data'!$D$24:$D$39,0))*INDEX(EF!$H$84:$H$99,MATCH(Emissions!$D71,EF!$D$84:$D$99,0))*INDEX(EF!$H$100:$H$115,MATCH(Emissions!$D71,EF!$D$100:$D$115,0))*INDEX(EF!$H$132:$H$147,MATCH(Emissions!$D71,EF!$D$132:$D$147,0))*kgtoGg</f>
        <v>0.13147618570010652</v>
      </c>
      <c r="BA71" s="22">
        <f>INDEX('Activity data'!BA$24:BA$39,MATCH(Emissions!$D71,'Activity data'!$D$24:$D$39,0))*INDEX(EF!$H$84:$H$99,MATCH(Emissions!$D71,EF!$D$84:$D$99,0))*INDEX(EF!$H$100:$H$115,MATCH(Emissions!$D71,EF!$D$100:$D$115,0))*INDEX(EF!$H$132:$H$147,MATCH(Emissions!$D71,EF!$D$132:$D$147,0))*kgtoGg</f>
        <v>0.13126050565922026</v>
      </c>
      <c r="BB71" s="22">
        <f>INDEX('Activity data'!BB$24:BB$39,MATCH(Emissions!$D71,'Activity data'!$D$24:$D$39,0))*INDEX(EF!$H$84:$H$99,MATCH(Emissions!$D71,EF!$D$84:$D$99,0))*INDEX(EF!$H$100:$H$115,MATCH(Emissions!$D71,EF!$D$100:$D$115,0))*INDEX(EF!$H$132:$H$147,MATCH(Emissions!$D71,EF!$D$132:$D$147,0))*kgtoGg</f>
        <v>0.13104482561833397</v>
      </c>
      <c r="BC71" s="22">
        <f>INDEX('Activity data'!BC$24:BC$39,MATCH(Emissions!$D71,'Activity data'!$D$24:$D$39,0))*INDEX(EF!$H$84:$H$99,MATCH(Emissions!$D71,EF!$D$84:$D$99,0))*INDEX(EF!$H$100:$H$115,MATCH(Emissions!$D71,EF!$D$100:$D$115,0))*INDEX(EF!$H$132:$H$147,MATCH(Emissions!$D71,EF!$D$132:$D$147,0))*kgtoGg</f>
        <v>0.13082914557744768</v>
      </c>
      <c r="BD71" s="22">
        <f>INDEX('Activity data'!BD$24:BD$39,MATCH(Emissions!$D71,'Activity data'!$D$24:$D$39,0))*INDEX(EF!$H$84:$H$99,MATCH(Emissions!$D71,EF!$D$84:$D$99,0))*INDEX(EF!$H$100:$H$115,MATCH(Emissions!$D71,EF!$D$100:$D$115,0))*INDEX(EF!$H$132:$H$147,MATCH(Emissions!$D71,EF!$D$132:$D$147,0))*kgtoGg</f>
        <v>0.13061346553656142</v>
      </c>
      <c r="BE71" s="22">
        <f>INDEX('Activity data'!BE$24:BE$39,MATCH(Emissions!$D71,'Activity data'!$D$24:$D$39,0))*INDEX(EF!$H$84:$H$99,MATCH(Emissions!$D71,EF!$D$84:$D$99,0))*INDEX(EF!$H$100:$H$115,MATCH(Emissions!$D71,EF!$D$100:$D$115,0))*INDEX(EF!$H$132:$H$147,MATCH(Emissions!$D71,EF!$D$132:$D$147,0))*kgtoGg</f>
        <v>0.13039778549567513</v>
      </c>
      <c r="BF71" s="22">
        <f>INDEX('Activity data'!BF$24:BF$39,MATCH(Emissions!$D71,'Activity data'!$D$24:$D$39,0))*INDEX(EF!$H$84:$H$99,MATCH(Emissions!$D71,EF!$D$84:$D$99,0))*INDEX(EF!$H$100:$H$115,MATCH(Emissions!$D71,EF!$D$100:$D$115,0))*INDEX(EF!$H$132:$H$147,MATCH(Emissions!$D71,EF!$D$132:$D$147,0))*kgtoGg</f>
        <v>0.13018210545478884</v>
      </c>
      <c r="BG71" s="22">
        <f>INDEX('Activity data'!BG$24:BG$39,MATCH(Emissions!$D71,'Activity data'!$D$24:$D$39,0))*INDEX(EF!$H$84:$H$99,MATCH(Emissions!$D71,EF!$D$84:$D$99,0))*INDEX(EF!$H$100:$H$115,MATCH(Emissions!$D71,EF!$D$100:$D$115,0))*INDEX(EF!$H$132:$H$147,MATCH(Emissions!$D71,EF!$D$132:$D$147,0))*kgtoGg</f>
        <v>0.12996642541390255</v>
      </c>
      <c r="BH71" s="22">
        <f>INDEX('Activity data'!BH$24:BH$39,MATCH(Emissions!$D71,'Activity data'!$D$24:$D$39,0))*INDEX(EF!$H$84:$H$99,MATCH(Emissions!$D71,EF!$D$84:$D$99,0))*INDEX(EF!$H$100:$H$115,MATCH(Emissions!$D71,EF!$D$100:$D$115,0))*INDEX(EF!$H$132:$H$147,MATCH(Emissions!$D71,EF!$D$132:$D$147,0))*kgtoGg</f>
        <v>0.12975074537301626</v>
      </c>
      <c r="BI71" s="22">
        <f>INDEX('Activity data'!BI$24:BI$39,MATCH(Emissions!$D71,'Activity data'!$D$24:$D$39,0))*INDEX(EF!$H$84:$H$99,MATCH(Emissions!$D71,EF!$D$84:$D$99,0))*INDEX(EF!$H$100:$H$115,MATCH(Emissions!$D71,EF!$D$100:$D$115,0))*INDEX(EF!$H$132:$H$147,MATCH(Emissions!$D71,EF!$D$132:$D$147,0))*kgtoGg</f>
        <v>0.12953506533212999</v>
      </c>
      <c r="BJ71" s="22">
        <f>INDEX('Activity data'!BJ$24:BJ$39,MATCH(Emissions!$D71,'Activity data'!$D$24:$D$39,0))*INDEX(EF!$H$84:$H$99,MATCH(Emissions!$D71,EF!$D$84:$D$99,0))*INDEX(EF!$H$100:$H$115,MATCH(Emissions!$D71,EF!$D$100:$D$115,0))*INDEX(EF!$H$132:$H$147,MATCH(Emissions!$D71,EF!$D$132:$D$147,0))*kgtoGg</f>
        <v>0.12931938529124368</v>
      </c>
      <c r="BK71" s="22">
        <f>INDEX('Activity data'!BK$24:BK$39,MATCH(Emissions!$D71,'Activity data'!$D$24:$D$39,0))*INDEX(EF!$H$84:$H$99,MATCH(Emissions!$D71,EF!$D$84:$D$99,0))*INDEX(EF!$H$100:$H$115,MATCH(Emissions!$D71,EF!$D$100:$D$115,0))*INDEX(EF!$H$132:$H$147,MATCH(Emissions!$D71,EF!$D$132:$D$147,0))*kgtoGg</f>
        <v>0.12910370525035741</v>
      </c>
      <c r="BL71" s="22">
        <f>INDEX('Activity data'!BL$24:BL$39,MATCH(Emissions!$D71,'Activity data'!$D$24:$D$39,0))*INDEX(EF!$H$84:$H$99,MATCH(Emissions!$D71,EF!$D$84:$D$99,0))*INDEX(EF!$H$100:$H$115,MATCH(Emissions!$D71,EF!$D$100:$D$115,0))*INDEX(EF!$H$132:$H$147,MATCH(Emissions!$D71,EF!$D$132:$D$147,0))*kgtoGg</f>
        <v>0.12888802520947112</v>
      </c>
      <c r="BM71" s="22">
        <f>INDEX('Activity data'!BM$24:BM$39,MATCH(Emissions!$D71,'Activity data'!$D$24:$D$39,0))*INDEX(EF!$H$84:$H$99,MATCH(Emissions!$D71,EF!$D$84:$D$99,0))*INDEX(EF!$H$100:$H$115,MATCH(Emissions!$D71,EF!$D$100:$D$115,0))*INDEX(EF!$H$132:$H$147,MATCH(Emissions!$D71,EF!$D$132:$D$147,0))*kgtoGg</f>
        <v>0.12867234516858483</v>
      </c>
      <c r="BN71" s="22">
        <f>INDEX('Activity data'!BN$24:BN$39,MATCH(Emissions!$D71,'Activity data'!$D$24:$D$39,0))*INDEX(EF!$H$84:$H$99,MATCH(Emissions!$D71,EF!$D$84:$D$99,0))*INDEX(EF!$H$100:$H$115,MATCH(Emissions!$D71,EF!$D$100:$D$115,0))*INDEX(EF!$H$132:$H$147,MATCH(Emissions!$D71,EF!$D$132:$D$147,0))*kgtoGg</f>
        <v>0.12845666512769857</v>
      </c>
      <c r="BO71" s="22">
        <f>INDEX('Activity data'!BO$24:BO$39,MATCH(Emissions!$D71,'Activity data'!$D$24:$D$39,0))*INDEX(EF!$H$84:$H$99,MATCH(Emissions!$D71,EF!$D$84:$D$99,0))*INDEX(EF!$H$100:$H$115,MATCH(Emissions!$D71,EF!$D$100:$D$115,0))*INDEX(EF!$H$132:$H$147,MATCH(Emissions!$D71,EF!$D$132:$D$147,0))*kgtoGg</f>
        <v>0.12824098508681228</v>
      </c>
      <c r="BP71" s="22">
        <f>INDEX('Activity data'!BP$24:BP$39,MATCH(Emissions!$D71,'Activity data'!$D$24:$D$39,0))*INDEX(EF!$H$84:$H$99,MATCH(Emissions!$D71,EF!$D$84:$D$99,0))*INDEX(EF!$H$100:$H$115,MATCH(Emissions!$D71,EF!$D$100:$D$115,0))*INDEX(EF!$H$132:$H$147,MATCH(Emissions!$D71,EF!$D$132:$D$147,0))*kgtoGg</f>
        <v>0.12802530504592599</v>
      </c>
    </row>
    <row r="72" spans="1:68" x14ac:dyDescent="0.3">
      <c r="A72" t="str">
        <f t="shared" si="19"/>
        <v>3C Aggregated and non-CO2 emissions on land</v>
      </c>
      <c r="B72" t="str">
        <f t="shared" ref="B72:B85" si="26">B71</f>
        <v>3C1 Biomass burning (N2O)</v>
      </c>
      <c r="C72" t="str">
        <f t="shared" si="25"/>
        <v>3C1a Biomass burning in forest land</v>
      </c>
      <c r="D72" t="str">
        <f>EF!D102</f>
        <v>Woodlands</v>
      </c>
      <c r="E72" t="s">
        <v>643</v>
      </c>
      <c r="F72" t="str">
        <f t="shared" ref="F72:F85" si="27">F71</f>
        <v>N2O</v>
      </c>
      <c r="G72" t="str">
        <f t="shared" ref="G72:G85" si="28">G71</f>
        <v>Gg N2O</v>
      </c>
      <c r="H72" s="22">
        <f>INDEX('Activity data'!H$24:H$39,MATCH(Emissions!$D72,'Activity data'!$D$24:$D$39,0))*INDEX(EF!$H$84:$H$99,MATCH(Emissions!$D72,EF!$D$84:$D$99,0))*INDEX(EF!$H$100:$H$115,MATCH(Emissions!$D72,EF!$D$100:$D$115,0))*INDEX(EF!$H$132:$H$147,MATCH(Emissions!$D72,EF!$D$132:$D$147,0))*kgtoGg</f>
        <v>0.51615689922073593</v>
      </c>
      <c r="I72" s="22">
        <f>INDEX('Activity data'!I$24:I$39,MATCH(Emissions!$D72,'Activity data'!$D$24:$D$39,0))*INDEX(EF!$H$84:$H$99,MATCH(Emissions!$D72,EF!$D$84:$D$99,0))*INDEX(EF!$H$100:$H$115,MATCH(Emissions!$D72,EF!$D$100:$D$115,0))*INDEX(EF!$H$132:$H$147,MATCH(Emissions!$D72,EF!$D$132:$D$147,0))*kgtoGg</f>
        <v>0.51615689922073593</v>
      </c>
      <c r="J72" s="22">
        <f>INDEX('Activity data'!J$24:J$39,MATCH(Emissions!$D72,'Activity data'!$D$24:$D$39,0))*INDEX(EF!$H$84:$H$99,MATCH(Emissions!$D72,EF!$D$84:$D$99,0))*INDEX(EF!$H$100:$H$115,MATCH(Emissions!$D72,EF!$D$100:$D$115,0))*INDEX(EF!$H$132:$H$147,MATCH(Emissions!$D72,EF!$D$132:$D$147,0))*kgtoGg</f>
        <v>0.51615689922073593</v>
      </c>
      <c r="K72" s="22">
        <f>INDEX('Activity data'!K$24:K$39,MATCH(Emissions!$D72,'Activity data'!$D$24:$D$39,0))*INDEX(EF!$H$84:$H$99,MATCH(Emissions!$D72,EF!$D$84:$D$99,0))*INDEX(EF!$H$100:$H$115,MATCH(Emissions!$D72,EF!$D$100:$D$115,0))*INDEX(EF!$H$132:$H$147,MATCH(Emissions!$D72,EF!$D$132:$D$147,0))*kgtoGg</f>
        <v>0.51615689922073593</v>
      </c>
      <c r="L72" s="22">
        <f>INDEX('Activity data'!L$24:L$39,MATCH(Emissions!$D72,'Activity data'!$D$24:$D$39,0))*INDEX(EF!$H$84:$H$99,MATCH(Emissions!$D72,EF!$D$84:$D$99,0))*INDEX(EF!$H$100:$H$115,MATCH(Emissions!$D72,EF!$D$100:$D$115,0))*INDEX(EF!$H$132:$H$147,MATCH(Emissions!$D72,EF!$D$132:$D$147,0))*kgtoGg</f>
        <v>0.51615689922073593</v>
      </c>
      <c r="M72" s="22">
        <f>INDEX('Activity data'!M$24:M$39,MATCH(Emissions!$D72,'Activity data'!$D$24:$D$39,0))*INDEX(EF!$H$84:$H$99,MATCH(Emissions!$D72,EF!$D$84:$D$99,0))*INDEX(EF!$H$100:$H$115,MATCH(Emissions!$D72,EF!$D$100:$D$115,0))*INDEX(EF!$H$132:$H$147,MATCH(Emissions!$D72,EF!$D$132:$D$147,0))*kgtoGg</f>
        <v>0.51615689922073593</v>
      </c>
      <c r="N72" s="22">
        <f>INDEX('Activity data'!N$24:N$39,MATCH(Emissions!$D72,'Activity data'!$D$24:$D$39,0))*INDEX(EF!$H$84:$H$99,MATCH(Emissions!$D72,EF!$D$84:$D$99,0))*INDEX(EF!$H$100:$H$115,MATCH(Emissions!$D72,EF!$D$100:$D$115,0))*INDEX(EF!$H$132:$H$147,MATCH(Emissions!$D72,EF!$D$132:$D$147,0))*kgtoGg</f>
        <v>0.51615689922073593</v>
      </c>
      <c r="O72" s="22">
        <f>INDEX('Activity data'!O$24:O$39,MATCH(Emissions!$D72,'Activity data'!$D$24:$D$39,0))*INDEX(EF!$H$84:$H$99,MATCH(Emissions!$D72,EF!$D$84:$D$99,0))*INDEX(EF!$H$100:$H$115,MATCH(Emissions!$D72,EF!$D$100:$D$115,0))*INDEX(EF!$H$132:$H$147,MATCH(Emissions!$D72,EF!$D$132:$D$147,0))*kgtoGg</f>
        <v>0.51615689922073593</v>
      </c>
      <c r="P72" s="22">
        <f>INDEX('Activity data'!P$24:P$39,MATCH(Emissions!$D72,'Activity data'!$D$24:$D$39,0))*INDEX(EF!$H$84:$H$99,MATCH(Emissions!$D72,EF!$D$84:$D$99,0))*INDEX(EF!$H$100:$H$115,MATCH(Emissions!$D72,EF!$D$100:$D$115,0))*INDEX(EF!$H$132:$H$147,MATCH(Emissions!$D72,EF!$D$132:$D$147,0))*kgtoGg</f>
        <v>0.51615689922073593</v>
      </c>
      <c r="Q72" s="22">
        <f>INDEX('Activity data'!Q$24:Q$39,MATCH(Emissions!$D72,'Activity data'!$D$24:$D$39,0))*INDEX(EF!$H$84:$H$99,MATCH(Emissions!$D72,EF!$D$84:$D$99,0))*INDEX(EF!$H$100:$H$115,MATCH(Emissions!$D72,EF!$D$100:$D$115,0))*INDEX(EF!$H$132:$H$147,MATCH(Emissions!$D72,EF!$D$132:$D$147,0))*kgtoGg</f>
        <v>0.51615689922073593</v>
      </c>
      <c r="R72" s="22">
        <f>INDEX('Activity data'!R$24:R$39,MATCH(Emissions!$D72,'Activity data'!$D$24:$D$39,0))*INDEX(EF!$H$84:$H$99,MATCH(Emissions!$D72,EF!$D$84:$D$99,0))*INDEX(EF!$H$100:$H$115,MATCH(Emissions!$D72,EF!$D$100:$D$115,0))*INDEX(EF!$H$132:$H$147,MATCH(Emissions!$D72,EF!$D$132:$D$147,0))*kgtoGg</f>
        <v>0.5405338840784204</v>
      </c>
      <c r="S72" s="22">
        <f>INDEX('Activity data'!S$24:S$39,MATCH(Emissions!$D72,'Activity data'!$D$24:$D$39,0))*INDEX(EF!$H$84:$H$99,MATCH(Emissions!$D72,EF!$D$84:$D$99,0))*INDEX(EF!$H$100:$H$115,MATCH(Emissions!$D72,EF!$D$100:$D$115,0))*INDEX(EF!$H$132:$H$147,MATCH(Emissions!$D72,EF!$D$132:$D$147,0))*kgtoGg</f>
        <v>0.77734472774207219</v>
      </c>
      <c r="T72" s="22">
        <f>INDEX('Activity data'!T$24:T$39,MATCH(Emissions!$D72,'Activity data'!$D$24:$D$39,0))*INDEX(EF!$H$84:$H$99,MATCH(Emissions!$D72,EF!$D$84:$D$99,0))*INDEX(EF!$H$100:$H$115,MATCH(Emissions!$D72,EF!$D$100:$D$115,0))*INDEX(EF!$H$132:$H$147,MATCH(Emissions!$D72,EF!$D$132:$D$147,0))*kgtoGg</f>
        <v>0.60115227491539969</v>
      </c>
      <c r="U72" s="22">
        <f>INDEX('Activity data'!U$24:U$39,MATCH(Emissions!$D72,'Activity data'!$D$24:$D$39,0))*INDEX(EF!$H$84:$H$99,MATCH(Emissions!$D72,EF!$D$84:$D$99,0))*INDEX(EF!$H$100:$H$115,MATCH(Emissions!$D72,EF!$D$100:$D$115,0))*INDEX(EF!$H$132:$H$147,MATCH(Emissions!$D72,EF!$D$132:$D$147,0))*kgtoGg</f>
        <v>0.23051703774951418</v>
      </c>
      <c r="V72" s="22">
        <f>INDEX('Activity data'!V$24:V$39,MATCH(Emissions!$D72,'Activity data'!$D$24:$D$39,0))*INDEX(EF!$H$84:$H$99,MATCH(Emissions!$D72,EF!$D$84:$D$99,0))*INDEX(EF!$H$100:$H$115,MATCH(Emissions!$D72,EF!$D$100:$D$115,0))*INDEX(EF!$H$132:$H$147,MATCH(Emissions!$D72,EF!$D$132:$D$147,0))*kgtoGg</f>
        <v>0.43123657161827345</v>
      </c>
      <c r="W72" s="22">
        <f>INDEX('Activity data'!W$24:W$39,MATCH(Emissions!$D72,'Activity data'!$D$24:$D$39,0))*INDEX(EF!$H$84:$H$99,MATCH(Emissions!$D72,EF!$D$84:$D$99,0))*INDEX(EF!$H$100:$H$115,MATCH(Emissions!$D72,EF!$D$100:$D$115,0))*INDEX(EF!$H$132:$H$147,MATCH(Emissions!$D72,EF!$D$132:$D$147,0))*kgtoGg</f>
        <v>0.72810294542739629</v>
      </c>
      <c r="X72" s="22">
        <f>INDEX('Activity data'!X$24:X$39,MATCH(Emissions!$D72,'Activity data'!$D$24:$D$39,0))*INDEX(EF!$H$84:$H$99,MATCH(Emissions!$D72,EF!$D$84:$D$99,0))*INDEX(EF!$H$100:$H$115,MATCH(Emissions!$D72,EF!$D$100:$D$115,0))*INDEX(EF!$H$132:$H$147,MATCH(Emissions!$D72,EF!$D$132:$D$147,0))*kgtoGg</f>
        <v>0.63168320333357431</v>
      </c>
      <c r="Y72" s="22">
        <f>INDEX('Activity data'!Y$24:Y$39,MATCH(Emissions!$D72,'Activity data'!$D$24:$D$39,0))*INDEX(EF!$H$84:$H$99,MATCH(Emissions!$D72,EF!$D$84:$D$99,0))*INDEX(EF!$H$100:$H$115,MATCH(Emissions!$D72,EF!$D$100:$D$115,0))*INDEX(EF!$H$132:$H$147,MATCH(Emissions!$D72,EF!$D$132:$D$147,0))*kgtoGg</f>
        <v>0.3634715556375987</v>
      </c>
      <c r="Z72" s="22">
        <f>INDEX('Activity data'!Z$24:Z$39,MATCH(Emissions!$D72,'Activity data'!$D$24:$D$39,0))*INDEX(EF!$H$84:$H$99,MATCH(Emissions!$D72,EF!$D$84:$D$99,0))*INDEX(EF!$H$100:$H$115,MATCH(Emissions!$D72,EF!$D$100:$D$115,0))*INDEX(EF!$H$132:$H$147,MATCH(Emissions!$D72,EF!$D$132:$D$147,0))*kgtoGg</f>
        <v>0.65636379183698135</v>
      </c>
      <c r="AA72" s="22">
        <f>INDEX('Activity data'!AA$24:AA$39,MATCH(Emissions!$D72,'Activity data'!$D$24:$D$39,0))*INDEX(EF!$H$84:$H$99,MATCH(Emissions!$D72,EF!$D$84:$D$99,0))*INDEX(EF!$H$100:$H$115,MATCH(Emissions!$D72,EF!$D$100:$D$115,0))*INDEX(EF!$H$132:$H$147,MATCH(Emissions!$D72,EF!$D$132:$D$147,0))*kgtoGg</f>
        <v>0.43249874407801925</v>
      </c>
      <c r="AB72" s="22">
        <f>INDEX('Activity data'!AB$24:AB$39,MATCH(Emissions!$D72,'Activity data'!$D$24:$D$39,0))*INDEX(EF!$H$84:$H$99,MATCH(Emissions!$D72,EF!$D$84:$D$99,0))*INDEX(EF!$H$100:$H$115,MATCH(Emissions!$D72,EF!$D$100:$D$115,0))*INDEX(EF!$H$132:$H$147,MATCH(Emissions!$D72,EF!$D$132:$D$147,0))*kgtoGg</f>
        <v>0.60930467136000011</v>
      </c>
      <c r="AC72" s="22">
        <f>INDEX('Activity data'!AC$24:AC$39,MATCH(Emissions!$D72,'Activity data'!$D$24:$D$39,0))*INDEX(EF!$H$84:$H$99,MATCH(Emissions!$D72,EF!$D$84:$D$99,0))*INDEX(EF!$H$100:$H$115,MATCH(Emissions!$D72,EF!$D$100:$D$115,0))*INDEX(EF!$H$132:$H$147,MATCH(Emissions!$D72,EF!$D$132:$D$147,0))*kgtoGg</f>
        <v>0.55754395804799994</v>
      </c>
      <c r="AD72" s="22">
        <f>INDEX('Activity data'!AD$24:AD$39,MATCH(Emissions!$D72,'Activity data'!$D$24:$D$39,0))*INDEX(EF!$H$84:$H$99,MATCH(Emissions!$D72,EF!$D$84:$D$99,0))*INDEX(EF!$H$100:$H$115,MATCH(Emissions!$D72,EF!$D$100:$D$115,0))*INDEX(EF!$H$132:$H$147,MATCH(Emissions!$D72,EF!$D$132:$D$147,0))*kgtoGg</f>
        <v>0.49109158898115401</v>
      </c>
      <c r="AE72" s="22">
        <f>INDEX('Activity data'!AE$24:AE$39,MATCH(Emissions!$D72,'Activity data'!$D$24:$D$39,0))*INDEX(EF!$H$84:$H$99,MATCH(Emissions!$D72,EF!$D$84:$D$99,0))*INDEX(EF!$H$100:$H$115,MATCH(Emissions!$D72,EF!$D$100:$D$115,0))*INDEX(EF!$H$132:$H$147,MATCH(Emissions!$D72,EF!$D$132:$D$147,0))*kgtoGg</f>
        <v>0.49195173492320404</v>
      </c>
      <c r="AF72" s="22">
        <f>INDEX('Activity data'!AF$24:AF$39,MATCH(Emissions!$D72,'Activity data'!$D$24:$D$39,0))*INDEX(EF!$H$84:$H$99,MATCH(Emissions!$D72,EF!$D$84:$D$99,0))*INDEX(EF!$H$100:$H$115,MATCH(Emissions!$D72,EF!$D$100:$D$115,0))*INDEX(EF!$H$132:$H$147,MATCH(Emissions!$D72,EF!$D$132:$D$147,0))*kgtoGg</f>
        <v>0.49281188086525413</v>
      </c>
      <c r="AG72" s="22">
        <f>INDEX('Activity data'!AG$24:AG$39,MATCH(Emissions!$D72,'Activity data'!$D$24:$D$39,0))*INDEX(EF!$H$84:$H$99,MATCH(Emissions!$D72,EF!$D$84:$D$99,0))*INDEX(EF!$H$100:$H$115,MATCH(Emissions!$D72,EF!$D$100:$D$115,0))*INDEX(EF!$H$132:$H$147,MATCH(Emissions!$D72,EF!$D$132:$D$147,0))*kgtoGg</f>
        <v>0.49367202680730427</v>
      </c>
      <c r="AH72" s="22">
        <f>INDEX('Activity data'!AH$24:AH$39,MATCH(Emissions!$D72,'Activity data'!$D$24:$D$39,0))*INDEX(EF!$H$84:$H$99,MATCH(Emissions!$D72,EF!$D$84:$D$99,0))*INDEX(EF!$H$100:$H$115,MATCH(Emissions!$D72,EF!$D$100:$D$115,0))*INDEX(EF!$H$132:$H$147,MATCH(Emissions!$D72,EF!$D$132:$D$147,0))*kgtoGg</f>
        <v>0.49453217274935435</v>
      </c>
      <c r="AI72" s="22">
        <f>INDEX('Activity data'!AI$24:AI$39,MATCH(Emissions!$D72,'Activity data'!$D$24:$D$39,0))*INDEX(EF!$H$84:$H$99,MATCH(Emissions!$D72,EF!$D$84:$D$99,0))*INDEX(EF!$H$100:$H$115,MATCH(Emissions!$D72,EF!$D$100:$D$115,0))*INDEX(EF!$H$132:$H$147,MATCH(Emissions!$D72,EF!$D$132:$D$147,0))*kgtoGg</f>
        <v>0.49539231869140443</v>
      </c>
      <c r="AJ72" s="22">
        <f>INDEX('Activity data'!AJ$24:AJ$39,MATCH(Emissions!$D72,'Activity data'!$D$24:$D$39,0))*INDEX(EF!$H$84:$H$99,MATCH(Emissions!$D72,EF!$D$84:$D$99,0))*INDEX(EF!$H$100:$H$115,MATCH(Emissions!$D72,EF!$D$100:$D$115,0))*INDEX(EF!$H$132:$H$147,MATCH(Emissions!$D72,EF!$D$132:$D$147,0))*kgtoGg</f>
        <v>0.49625246463345457</v>
      </c>
      <c r="AK72" s="22">
        <f>INDEX('Activity data'!AK$24:AK$39,MATCH(Emissions!$D72,'Activity data'!$D$24:$D$39,0))*INDEX(EF!$H$84:$H$99,MATCH(Emissions!$D72,EF!$D$84:$D$99,0))*INDEX(EF!$H$100:$H$115,MATCH(Emissions!$D72,EF!$D$100:$D$115,0))*INDEX(EF!$H$132:$H$147,MATCH(Emissions!$D72,EF!$D$132:$D$147,0))*kgtoGg</f>
        <v>0.49279385642925139</v>
      </c>
      <c r="AL72" s="22">
        <f>INDEX('Activity data'!AL$24:AL$39,MATCH(Emissions!$D72,'Activity data'!$D$24:$D$39,0))*INDEX(EF!$H$84:$H$99,MATCH(Emissions!$D72,EF!$D$84:$D$99,0))*INDEX(EF!$H$100:$H$115,MATCH(Emissions!$D72,EF!$D$100:$D$115,0))*INDEX(EF!$H$132:$H$147,MATCH(Emissions!$D72,EF!$D$132:$D$147,0))*kgtoGg</f>
        <v>0.48933524822504815</v>
      </c>
      <c r="AM72" s="22">
        <f>INDEX('Activity data'!AM$24:AM$39,MATCH(Emissions!$D72,'Activity data'!$D$24:$D$39,0))*INDEX(EF!$H$84:$H$99,MATCH(Emissions!$D72,EF!$D$84:$D$99,0))*INDEX(EF!$H$100:$H$115,MATCH(Emissions!$D72,EF!$D$100:$D$115,0))*INDEX(EF!$H$132:$H$147,MATCH(Emissions!$D72,EF!$D$132:$D$147,0))*kgtoGg</f>
        <v>0.48587664002084496</v>
      </c>
      <c r="AN72" s="22">
        <f>INDEX('Activity data'!AN$24:AN$39,MATCH(Emissions!$D72,'Activity data'!$D$24:$D$39,0))*INDEX(EF!$H$84:$H$99,MATCH(Emissions!$D72,EF!$D$84:$D$99,0))*INDEX(EF!$H$100:$H$115,MATCH(Emissions!$D72,EF!$D$100:$D$115,0))*INDEX(EF!$H$132:$H$147,MATCH(Emissions!$D72,EF!$D$132:$D$147,0))*kgtoGg</f>
        <v>0.48241803181664178</v>
      </c>
      <c r="AO72" s="22">
        <f>INDEX('Activity data'!AO$24:AO$39,MATCH(Emissions!$D72,'Activity data'!$D$24:$D$39,0))*INDEX(EF!$H$84:$H$99,MATCH(Emissions!$D72,EF!$D$84:$D$99,0))*INDEX(EF!$H$100:$H$115,MATCH(Emissions!$D72,EF!$D$100:$D$115,0))*INDEX(EF!$H$132:$H$147,MATCH(Emissions!$D72,EF!$D$132:$D$147,0))*kgtoGg</f>
        <v>0.47895942361243865</v>
      </c>
      <c r="AP72" s="22">
        <f>INDEX('Activity data'!AP$24:AP$39,MATCH(Emissions!$D72,'Activity data'!$D$24:$D$39,0))*INDEX(EF!$H$84:$H$99,MATCH(Emissions!$D72,EF!$D$84:$D$99,0))*INDEX(EF!$H$100:$H$115,MATCH(Emissions!$D72,EF!$D$100:$D$115,0))*INDEX(EF!$H$132:$H$147,MATCH(Emissions!$D72,EF!$D$132:$D$147,0))*kgtoGg</f>
        <v>0.47550081540823552</v>
      </c>
      <c r="AQ72" s="22">
        <f>INDEX('Activity data'!AQ$24:AQ$39,MATCH(Emissions!$D72,'Activity data'!$D$24:$D$39,0))*INDEX(EF!$H$84:$H$99,MATCH(Emissions!$D72,EF!$D$84:$D$99,0))*INDEX(EF!$H$100:$H$115,MATCH(Emissions!$D72,EF!$D$100:$D$115,0))*INDEX(EF!$H$132:$H$147,MATCH(Emissions!$D72,EF!$D$132:$D$147,0))*kgtoGg</f>
        <v>0.47204220720403234</v>
      </c>
      <c r="AR72" s="22">
        <f>INDEX('Activity data'!AR$24:AR$39,MATCH(Emissions!$D72,'Activity data'!$D$24:$D$39,0))*INDEX(EF!$H$84:$H$99,MATCH(Emissions!$D72,EF!$D$84:$D$99,0))*INDEX(EF!$H$100:$H$115,MATCH(Emissions!$D72,EF!$D$100:$D$115,0))*INDEX(EF!$H$132:$H$147,MATCH(Emissions!$D72,EF!$D$132:$D$147,0))*kgtoGg</f>
        <v>0.46858359899982904</v>
      </c>
      <c r="AS72" s="22">
        <f>INDEX('Activity data'!AS$24:AS$39,MATCH(Emissions!$D72,'Activity data'!$D$24:$D$39,0))*INDEX(EF!$H$84:$H$99,MATCH(Emissions!$D72,EF!$D$84:$D$99,0))*INDEX(EF!$H$100:$H$115,MATCH(Emissions!$D72,EF!$D$100:$D$115,0))*INDEX(EF!$H$132:$H$147,MATCH(Emissions!$D72,EF!$D$132:$D$147,0))*kgtoGg</f>
        <v>0.46512499079562586</v>
      </c>
      <c r="AT72" s="22">
        <f>INDEX('Activity data'!AT$24:AT$39,MATCH(Emissions!$D72,'Activity data'!$D$24:$D$39,0))*INDEX(EF!$H$84:$H$99,MATCH(Emissions!$D72,EF!$D$84:$D$99,0))*INDEX(EF!$H$100:$H$115,MATCH(Emissions!$D72,EF!$D$100:$D$115,0))*INDEX(EF!$H$132:$H$147,MATCH(Emissions!$D72,EF!$D$132:$D$147,0))*kgtoGg</f>
        <v>0.46166638259142267</v>
      </c>
      <c r="AU72" s="22">
        <f>INDEX('Activity data'!AU$24:AU$39,MATCH(Emissions!$D72,'Activity data'!$D$24:$D$39,0))*INDEX(EF!$H$84:$H$99,MATCH(Emissions!$D72,EF!$D$84:$D$99,0))*INDEX(EF!$H$100:$H$115,MATCH(Emissions!$D72,EF!$D$100:$D$115,0))*INDEX(EF!$H$132:$H$147,MATCH(Emissions!$D72,EF!$D$132:$D$147,0))*kgtoGg</f>
        <v>0.45820777438721955</v>
      </c>
      <c r="AV72" s="22">
        <f>INDEX('Activity data'!AV$24:AV$39,MATCH(Emissions!$D72,'Activity data'!$D$24:$D$39,0))*INDEX(EF!$H$84:$H$99,MATCH(Emissions!$D72,EF!$D$84:$D$99,0))*INDEX(EF!$H$100:$H$115,MATCH(Emissions!$D72,EF!$D$100:$D$115,0))*INDEX(EF!$H$132:$H$147,MATCH(Emissions!$D72,EF!$D$132:$D$147,0))*kgtoGg</f>
        <v>0.45474916618301631</v>
      </c>
      <c r="AW72" s="22">
        <f>INDEX('Activity data'!AW$24:AW$39,MATCH(Emissions!$D72,'Activity data'!$D$24:$D$39,0))*INDEX(EF!$H$84:$H$99,MATCH(Emissions!$D72,EF!$D$84:$D$99,0))*INDEX(EF!$H$100:$H$115,MATCH(Emissions!$D72,EF!$D$100:$D$115,0))*INDEX(EF!$H$132:$H$147,MATCH(Emissions!$D72,EF!$D$132:$D$147,0))*kgtoGg</f>
        <v>0.45129055797881312</v>
      </c>
      <c r="AX72" s="22">
        <f>INDEX('Activity data'!AX$24:AX$39,MATCH(Emissions!$D72,'Activity data'!$D$24:$D$39,0))*INDEX(EF!$H$84:$H$99,MATCH(Emissions!$D72,EF!$D$84:$D$99,0))*INDEX(EF!$H$100:$H$115,MATCH(Emissions!$D72,EF!$D$100:$D$115,0))*INDEX(EF!$H$132:$H$147,MATCH(Emissions!$D72,EF!$D$132:$D$147,0))*kgtoGg</f>
        <v>0.44783194977460994</v>
      </c>
      <c r="AY72" s="22">
        <f>INDEX('Activity data'!AY$24:AY$39,MATCH(Emissions!$D72,'Activity data'!$D$24:$D$39,0))*INDEX(EF!$H$84:$H$99,MATCH(Emissions!$D72,EF!$D$84:$D$99,0))*INDEX(EF!$H$100:$H$115,MATCH(Emissions!$D72,EF!$D$100:$D$115,0))*INDEX(EF!$H$132:$H$147,MATCH(Emissions!$D72,EF!$D$132:$D$147,0))*kgtoGg</f>
        <v>0.44437334157040664</v>
      </c>
      <c r="AZ72" s="22">
        <f>INDEX('Activity data'!AZ$24:AZ$39,MATCH(Emissions!$D72,'Activity data'!$D$24:$D$39,0))*INDEX(EF!$H$84:$H$99,MATCH(Emissions!$D72,EF!$D$84:$D$99,0))*INDEX(EF!$H$100:$H$115,MATCH(Emissions!$D72,EF!$D$100:$D$115,0))*INDEX(EF!$H$132:$H$147,MATCH(Emissions!$D72,EF!$D$132:$D$147,0))*kgtoGg</f>
        <v>0.44091473336620357</v>
      </c>
      <c r="BA72" s="22">
        <f>INDEX('Activity data'!BA$24:BA$39,MATCH(Emissions!$D72,'Activity data'!$D$24:$D$39,0))*INDEX(EF!$H$84:$H$99,MATCH(Emissions!$D72,EF!$D$84:$D$99,0))*INDEX(EF!$H$100:$H$115,MATCH(Emissions!$D72,EF!$D$100:$D$115,0))*INDEX(EF!$H$132:$H$147,MATCH(Emissions!$D72,EF!$D$132:$D$147,0))*kgtoGg</f>
        <v>0.43745612516200039</v>
      </c>
      <c r="BB72" s="22">
        <f>INDEX('Activity data'!BB$24:BB$39,MATCH(Emissions!$D72,'Activity data'!$D$24:$D$39,0))*INDEX(EF!$H$84:$H$99,MATCH(Emissions!$D72,EF!$D$84:$D$99,0))*INDEX(EF!$H$100:$H$115,MATCH(Emissions!$D72,EF!$D$100:$D$115,0))*INDEX(EF!$H$132:$H$147,MATCH(Emissions!$D72,EF!$D$132:$D$147,0))*kgtoGg</f>
        <v>0.4339975169577972</v>
      </c>
      <c r="BC72" s="22">
        <f>INDEX('Activity data'!BC$24:BC$39,MATCH(Emissions!$D72,'Activity data'!$D$24:$D$39,0))*INDEX(EF!$H$84:$H$99,MATCH(Emissions!$D72,EF!$D$84:$D$99,0))*INDEX(EF!$H$100:$H$115,MATCH(Emissions!$D72,EF!$D$100:$D$115,0))*INDEX(EF!$H$132:$H$147,MATCH(Emissions!$D72,EF!$D$132:$D$147,0))*kgtoGg</f>
        <v>0.43053890875359402</v>
      </c>
      <c r="BD72" s="22">
        <f>INDEX('Activity data'!BD$24:BD$39,MATCH(Emissions!$D72,'Activity data'!$D$24:$D$39,0))*INDEX(EF!$H$84:$H$99,MATCH(Emissions!$D72,EF!$D$84:$D$99,0))*INDEX(EF!$H$100:$H$115,MATCH(Emissions!$D72,EF!$D$100:$D$115,0))*INDEX(EF!$H$132:$H$147,MATCH(Emissions!$D72,EF!$D$132:$D$147,0))*kgtoGg</f>
        <v>0.42708030054939083</v>
      </c>
      <c r="BE72" s="22">
        <f>INDEX('Activity data'!BE$24:BE$39,MATCH(Emissions!$D72,'Activity data'!$D$24:$D$39,0))*INDEX(EF!$H$84:$H$99,MATCH(Emissions!$D72,EF!$D$84:$D$99,0))*INDEX(EF!$H$100:$H$115,MATCH(Emissions!$D72,EF!$D$100:$D$115,0))*INDEX(EF!$H$132:$H$147,MATCH(Emissions!$D72,EF!$D$132:$D$147,0))*kgtoGg</f>
        <v>0.42362169234518765</v>
      </c>
      <c r="BF72" s="22">
        <f>INDEX('Activity data'!BF$24:BF$39,MATCH(Emissions!$D72,'Activity data'!$D$24:$D$39,0))*INDEX(EF!$H$84:$H$99,MATCH(Emissions!$D72,EF!$D$84:$D$99,0))*INDEX(EF!$H$100:$H$115,MATCH(Emissions!$D72,EF!$D$100:$D$115,0))*INDEX(EF!$H$132:$H$147,MATCH(Emissions!$D72,EF!$D$132:$D$147,0))*kgtoGg</f>
        <v>0.42016308414098436</v>
      </c>
      <c r="BG72" s="22">
        <f>INDEX('Activity data'!BG$24:BG$39,MATCH(Emissions!$D72,'Activity data'!$D$24:$D$39,0))*INDEX(EF!$H$84:$H$99,MATCH(Emissions!$D72,EF!$D$84:$D$99,0))*INDEX(EF!$H$100:$H$115,MATCH(Emissions!$D72,EF!$D$100:$D$115,0))*INDEX(EF!$H$132:$H$147,MATCH(Emissions!$D72,EF!$D$132:$D$147,0))*kgtoGg</f>
        <v>0.41670447593678112</v>
      </c>
      <c r="BH72" s="22">
        <f>INDEX('Activity data'!BH$24:BH$39,MATCH(Emissions!$D72,'Activity data'!$D$24:$D$39,0))*INDEX(EF!$H$84:$H$99,MATCH(Emissions!$D72,EF!$D$84:$D$99,0))*INDEX(EF!$H$100:$H$115,MATCH(Emissions!$D72,EF!$D$100:$D$115,0))*INDEX(EF!$H$132:$H$147,MATCH(Emissions!$D72,EF!$D$132:$D$147,0))*kgtoGg</f>
        <v>0.41324586773257804</v>
      </c>
      <c r="BI72" s="22">
        <f>INDEX('Activity data'!BI$24:BI$39,MATCH(Emissions!$D72,'Activity data'!$D$24:$D$39,0))*INDEX(EF!$H$84:$H$99,MATCH(Emissions!$D72,EF!$D$84:$D$99,0))*INDEX(EF!$H$100:$H$115,MATCH(Emissions!$D72,EF!$D$100:$D$115,0))*INDEX(EF!$H$132:$H$147,MATCH(Emissions!$D72,EF!$D$132:$D$147,0))*kgtoGg</f>
        <v>0.4097872595283748</v>
      </c>
      <c r="BJ72" s="22">
        <f>INDEX('Activity data'!BJ$24:BJ$39,MATCH(Emissions!$D72,'Activity data'!$D$24:$D$39,0))*INDEX(EF!$H$84:$H$99,MATCH(Emissions!$D72,EF!$D$84:$D$99,0))*INDEX(EF!$H$100:$H$115,MATCH(Emissions!$D72,EF!$D$100:$D$115,0))*INDEX(EF!$H$132:$H$147,MATCH(Emissions!$D72,EF!$D$132:$D$147,0))*kgtoGg</f>
        <v>0.40632865132417167</v>
      </c>
      <c r="BK72" s="22">
        <f>INDEX('Activity data'!BK$24:BK$39,MATCH(Emissions!$D72,'Activity data'!$D$24:$D$39,0))*INDEX(EF!$H$84:$H$99,MATCH(Emissions!$D72,EF!$D$84:$D$99,0))*INDEX(EF!$H$100:$H$115,MATCH(Emissions!$D72,EF!$D$100:$D$115,0))*INDEX(EF!$H$132:$H$147,MATCH(Emissions!$D72,EF!$D$132:$D$147,0))*kgtoGg</f>
        <v>0.40287004311996844</v>
      </c>
      <c r="BL72" s="22">
        <f>INDEX('Activity data'!BL$24:BL$39,MATCH(Emissions!$D72,'Activity data'!$D$24:$D$39,0))*INDEX(EF!$H$84:$H$99,MATCH(Emissions!$D72,EF!$D$84:$D$99,0))*INDEX(EF!$H$100:$H$115,MATCH(Emissions!$D72,EF!$D$100:$D$115,0))*INDEX(EF!$H$132:$H$147,MATCH(Emissions!$D72,EF!$D$132:$D$147,0))*kgtoGg</f>
        <v>0.39941143491576536</v>
      </c>
      <c r="BM72" s="22">
        <f>INDEX('Activity data'!BM$24:BM$39,MATCH(Emissions!$D72,'Activity data'!$D$24:$D$39,0))*INDEX(EF!$H$84:$H$99,MATCH(Emissions!$D72,EF!$D$84:$D$99,0))*INDEX(EF!$H$100:$H$115,MATCH(Emissions!$D72,EF!$D$100:$D$115,0))*INDEX(EF!$H$132:$H$147,MATCH(Emissions!$D72,EF!$D$132:$D$147,0))*kgtoGg</f>
        <v>0.39595282671156223</v>
      </c>
      <c r="BN72" s="22">
        <f>INDEX('Activity data'!BN$24:BN$39,MATCH(Emissions!$D72,'Activity data'!$D$24:$D$39,0))*INDEX(EF!$H$84:$H$99,MATCH(Emissions!$D72,EF!$D$84:$D$99,0))*INDEX(EF!$H$100:$H$115,MATCH(Emissions!$D72,EF!$D$100:$D$115,0))*INDEX(EF!$H$132:$H$147,MATCH(Emissions!$D72,EF!$D$132:$D$147,0))*kgtoGg</f>
        <v>0.3924942185073591</v>
      </c>
      <c r="BO72" s="22">
        <f>INDEX('Activity data'!BO$24:BO$39,MATCH(Emissions!$D72,'Activity data'!$D$24:$D$39,0))*INDEX(EF!$H$84:$H$99,MATCH(Emissions!$D72,EF!$D$84:$D$99,0))*INDEX(EF!$H$100:$H$115,MATCH(Emissions!$D72,EF!$D$100:$D$115,0))*INDEX(EF!$H$132:$H$147,MATCH(Emissions!$D72,EF!$D$132:$D$147,0))*kgtoGg</f>
        <v>0.38903561030315592</v>
      </c>
      <c r="BP72" s="22">
        <f>INDEX('Activity data'!BP$24:BP$39,MATCH(Emissions!$D72,'Activity data'!$D$24:$D$39,0))*INDEX(EF!$H$84:$H$99,MATCH(Emissions!$D72,EF!$D$84:$D$99,0))*INDEX(EF!$H$100:$H$115,MATCH(Emissions!$D72,EF!$D$100:$D$115,0))*INDEX(EF!$H$132:$H$147,MATCH(Emissions!$D72,EF!$D$132:$D$147,0))*kgtoGg</f>
        <v>0.38557700209895263</v>
      </c>
    </row>
    <row r="73" spans="1:68" x14ac:dyDescent="0.3">
      <c r="A73" t="str">
        <f t="shared" si="19"/>
        <v>3C Aggregated and non-CO2 emissions on land</v>
      </c>
      <c r="B73" t="str">
        <f t="shared" si="26"/>
        <v>3C1 Biomass burning (N2O)</v>
      </c>
      <c r="C73" t="str">
        <f t="shared" si="25"/>
        <v>3C1a Biomass burning in forest land</v>
      </c>
      <c r="D73" t="str">
        <f>EF!D103</f>
        <v>Plantations</v>
      </c>
      <c r="E73" t="s">
        <v>644</v>
      </c>
      <c r="F73" t="str">
        <f t="shared" si="27"/>
        <v>N2O</v>
      </c>
      <c r="G73" t="str">
        <f t="shared" si="28"/>
        <v>Gg N2O</v>
      </c>
      <c r="H73" s="22">
        <f>INDEX('Activity data'!H$24:H$39,MATCH(Emissions!$D73,'Activity data'!$D$24:$D$39,0))*INDEX(EF!$H$84:$H$99,MATCH(Emissions!$D73,EF!$D$84:$D$99,0))*INDEX(EF!$H$100:$H$115,MATCH(Emissions!$D73,EF!$D$100:$D$115,0))*INDEX(EF!$H$132:$H$147,MATCH(Emissions!$D73,EF!$D$132:$D$147,0))*kgtoGg</f>
        <v>0.41734182049814844</v>
      </c>
      <c r="I73" s="22">
        <f>INDEX('Activity data'!I$24:I$39,MATCH(Emissions!$D73,'Activity data'!$D$24:$D$39,0))*INDEX(EF!$H$84:$H$99,MATCH(Emissions!$D73,EF!$D$84:$D$99,0))*INDEX(EF!$H$100:$H$115,MATCH(Emissions!$D73,EF!$D$100:$D$115,0))*INDEX(EF!$H$132:$H$147,MATCH(Emissions!$D73,EF!$D$132:$D$147,0))*kgtoGg</f>
        <v>0.41734182049814844</v>
      </c>
      <c r="J73" s="22">
        <f>INDEX('Activity data'!J$24:J$39,MATCH(Emissions!$D73,'Activity data'!$D$24:$D$39,0))*INDEX(EF!$H$84:$H$99,MATCH(Emissions!$D73,EF!$D$84:$D$99,0))*INDEX(EF!$H$100:$H$115,MATCH(Emissions!$D73,EF!$D$100:$D$115,0))*INDEX(EF!$H$132:$H$147,MATCH(Emissions!$D73,EF!$D$132:$D$147,0))*kgtoGg</f>
        <v>0.41734182049814844</v>
      </c>
      <c r="K73" s="22">
        <f>INDEX('Activity data'!K$24:K$39,MATCH(Emissions!$D73,'Activity data'!$D$24:$D$39,0))*INDEX(EF!$H$84:$H$99,MATCH(Emissions!$D73,EF!$D$84:$D$99,0))*INDEX(EF!$H$100:$H$115,MATCH(Emissions!$D73,EF!$D$100:$D$115,0))*INDEX(EF!$H$132:$H$147,MATCH(Emissions!$D73,EF!$D$132:$D$147,0))*kgtoGg</f>
        <v>0.41734182049814844</v>
      </c>
      <c r="L73" s="22">
        <f>INDEX('Activity data'!L$24:L$39,MATCH(Emissions!$D73,'Activity data'!$D$24:$D$39,0))*INDEX(EF!$H$84:$H$99,MATCH(Emissions!$D73,EF!$D$84:$D$99,0))*INDEX(EF!$H$100:$H$115,MATCH(Emissions!$D73,EF!$D$100:$D$115,0))*INDEX(EF!$H$132:$H$147,MATCH(Emissions!$D73,EF!$D$132:$D$147,0))*kgtoGg</f>
        <v>0.41734182049814844</v>
      </c>
      <c r="M73" s="22">
        <f>INDEX('Activity data'!M$24:M$39,MATCH(Emissions!$D73,'Activity data'!$D$24:$D$39,0))*INDEX(EF!$H$84:$H$99,MATCH(Emissions!$D73,EF!$D$84:$D$99,0))*INDEX(EF!$H$100:$H$115,MATCH(Emissions!$D73,EF!$D$100:$D$115,0))*INDEX(EF!$H$132:$H$147,MATCH(Emissions!$D73,EF!$D$132:$D$147,0))*kgtoGg</f>
        <v>0.41734182049814844</v>
      </c>
      <c r="N73" s="22">
        <f>INDEX('Activity data'!N$24:N$39,MATCH(Emissions!$D73,'Activity data'!$D$24:$D$39,0))*INDEX(EF!$H$84:$H$99,MATCH(Emissions!$D73,EF!$D$84:$D$99,0))*INDEX(EF!$H$100:$H$115,MATCH(Emissions!$D73,EF!$D$100:$D$115,0))*INDEX(EF!$H$132:$H$147,MATCH(Emissions!$D73,EF!$D$132:$D$147,0))*kgtoGg</f>
        <v>0.41734182049814844</v>
      </c>
      <c r="O73" s="22">
        <f>INDEX('Activity data'!O$24:O$39,MATCH(Emissions!$D73,'Activity data'!$D$24:$D$39,0))*INDEX(EF!$H$84:$H$99,MATCH(Emissions!$D73,EF!$D$84:$D$99,0))*INDEX(EF!$H$100:$H$115,MATCH(Emissions!$D73,EF!$D$100:$D$115,0))*INDEX(EF!$H$132:$H$147,MATCH(Emissions!$D73,EF!$D$132:$D$147,0))*kgtoGg</f>
        <v>0.41734182049814844</v>
      </c>
      <c r="P73" s="22">
        <f>INDEX('Activity data'!P$24:P$39,MATCH(Emissions!$D73,'Activity data'!$D$24:$D$39,0))*INDEX(EF!$H$84:$H$99,MATCH(Emissions!$D73,EF!$D$84:$D$99,0))*INDEX(EF!$H$100:$H$115,MATCH(Emissions!$D73,EF!$D$100:$D$115,0))*INDEX(EF!$H$132:$H$147,MATCH(Emissions!$D73,EF!$D$132:$D$147,0))*kgtoGg</f>
        <v>0.41734182049814844</v>
      </c>
      <c r="Q73" s="22">
        <f>INDEX('Activity data'!Q$24:Q$39,MATCH(Emissions!$D73,'Activity data'!$D$24:$D$39,0))*INDEX(EF!$H$84:$H$99,MATCH(Emissions!$D73,EF!$D$84:$D$99,0))*INDEX(EF!$H$100:$H$115,MATCH(Emissions!$D73,EF!$D$100:$D$115,0))*INDEX(EF!$H$132:$H$147,MATCH(Emissions!$D73,EF!$D$132:$D$147,0))*kgtoGg</f>
        <v>0.41734182049814844</v>
      </c>
      <c r="R73" s="22">
        <f>INDEX('Activity data'!R$24:R$39,MATCH(Emissions!$D73,'Activity data'!$D$24:$D$39,0))*INDEX(EF!$H$84:$H$99,MATCH(Emissions!$D73,EF!$D$84:$D$99,0))*INDEX(EF!$H$100:$H$115,MATCH(Emissions!$D73,EF!$D$100:$D$115,0))*INDEX(EF!$H$132:$H$147,MATCH(Emissions!$D73,EF!$D$132:$D$147,0))*kgtoGg</f>
        <v>0.38057445764127906</v>
      </c>
      <c r="S73" s="22">
        <f>INDEX('Activity data'!S$24:S$39,MATCH(Emissions!$D73,'Activity data'!$D$24:$D$39,0))*INDEX(EF!$H$84:$H$99,MATCH(Emissions!$D73,EF!$D$84:$D$99,0))*INDEX(EF!$H$100:$H$115,MATCH(Emissions!$D73,EF!$D$100:$D$115,0))*INDEX(EF!$H$132:$H$147,MATCH(Emissions!$D73,EF!$D$132:$D$147,0))*kgtoGg</f>
        <v>0.46846135569826935</v>
      </c>
      <c r="T73" s="22">
        <f>INDEX('Activity data'!T$24:T$39,MATCH(Emissions!$D73,'Activity data'!$D$24:$D$39,0))*INDEX(EF!$H$84:$H$99,MATCH(Emissions!$D73,EF!$D$84:$D$99,0))*INDEX(EF!$H$100:$H$115,MATCH(Emissions!$D73,EF!$D$100:$D$115,0))*INDEX(EF!$H$132:$H$147,MATCH(Emissions!$D73,EF!$D$132:$D$147,0))*kgtoGg</f>
        <v>0.41826906758774046</v>
      </c>
      <c r="U73" s="22">
        <f>INDEX('Activity data'!U$24:U$39,MATCH(Emissions!$D73,'Activity data'!$D$24:$D$39,0))*INDEX(EF!$H$84:$H$99,MATCH(Emissions!$D73,EF!$D$84:$D$99,0))*INDEX(EF!$H$100:$H$115,MATCH(Emissions!$D73,EF!$D$100:$D$115,0))*INDEX(EF!$H$132:$H$147,MATCH(Emissions!$D73,EF!$D$132:$D$147,0))*kgtoGg</f>
        <v>0.48559526931029728</v>
      </c>
      <c r="V73" s="22">
        <f>INDEX('Activity data'!V$24:V$39,MATCH(Emissions!$D73,'Activity data'!$D$24:$D$39,0))*INDEX(EF!$H$84:$H$99,MATCH(Emissions!$D73,EF!$D$84:$D$99,0))*INDEX(EF!$H$100:$H$115,MATCH(Emissions!$D73,EF!$D$100:$D$115,0))*INDEX(EF!$H$132:$H$147,MATCH(Emissions!$D73,EF!$D$132:$D$147,0))*kgtoGg</f>
        <v>0.33380895225315582</v>
      </c>
      <c r="W73" s="22">
        <f>INDEX('Activity data'!W$24:W$39,MATCH(Emissions!$D73,'Activity data'!$D$24:$D$39,0))*INDEX(EF!$H$84:$H$99,MATCH(Emissions!$D73,EF!$D$84:$D$99,0))*INDEX(EF!$H$100:$H$115,MATCH(Emissions!$D73,EF!$D$100:$D$115,0))*INDEX(EF!$H$132:$H$147,MATCH(Emissions!$D73,EF!$D$132:$D$147,0))*kgtoGg</f>
        <v>0.48922362748696191</v>
      </c>
      <c r="X73" s="22">
        <f>INDEX('Activity data'!X$24:X$39,MATCH(Emissions!$D73,'Activity data'!$D$24:$D$39,0))*INDEX(EF!$H$84:$H$99,MATCH(Emissions!$D73,EF!$D$84:$D$99,0))*INDEX(EF!$H$100:$H$115,MATCH(Emissions!$D73,EF!$D$100:$D$115,0))*INDEX(EF!$H$132:$H$147,MATCH(Emissions!$D73,EF!$D$132:$D$147,0))*kgtoGg</f>
        <v>0.38238863672961138</v>
      </c>
      <c r="Y73" s="22">
        <f>INDEX('Activity data'!Y$24:Y$39,MATCH(Emissions!$D73,'Activity data'!$D$24:$D$39,0))*INDEX(EF!$H$84:$H$99,MATCH(Emissions!$D73,EF!$D$84:$D$99,0))*INDEX(EF!$H$100:$H$115,MATCH(Emissions!$D73,EF!$D$100:$D$115,0))*INDEX(EF!$H$132:$H$147,MATCH(Emissions!$D73,EF!$D$132:$D$147,0))*kgtoGg</f>
        <v>0.71196450444332493</v>
      </c>
      <c r="Z73" s="22">
        <f>INDEX('Activity data'!Z$24:Z$39,MATCH(Emissions!$D73,'Activity data'!$D$24:$D$39,0))*INDEX(EF!$H$84:$H$99,MATCH(Emissions!$D73,EF!$D$84:$D$99,0))*INDEX(EF!$H$100:$H$115,MATCH(Emissions!$D73,EF!$D$100:$D$115,0))*INDEX(EF!$H$132:$H$147,MATCH(Emissions!$D73,EF!$D$132:$D$147,0))*kgtoGg</f>
        <v>0.45999518661938493</v>
      </c>
      <c r="AA73" s="22">
        <f>INDEX('Activity data'!AA$24:AA$39,MATCH(Emissions!$D73,'Activity data'!$D$24:$D$39,0))*INDEX(EF!$H$84:$H$99,MATCH(Emissions!$D73,EF!$D$84:$D$99,0))*INDEX(EF!$H$100:$H$115,MATCH(Emissions!$D73,EF!$D$100:$D$115,0))*INDEX(EF!$H$132:$H$147,MATCH(Emissions!$D73,EF!$D$132:$D$147,0))*kgtoGg</f>
        <v>0.39186268307979161</v>
      </c>
      <c r="AB73" s="22">
        <f>INDEX('Activity data'!AB$24:AB$39,MATCH(Emissions!$D73,'Activity data'!$D$24:$D$39,0))*INDEX(EF!$H$84:$H$99,MATCH(Emissions!$D73,EF!$D$84:$D$99,0))*INDEX(EF!$H$100:$H$115,MATCH(Emissions!$D73,EF!$D$100:$D$115,0))*INDEX(EF!$H$132:$H$147,MATCH(Emissions!$D73,EF!$D$132:$D$147,0))*kgtoGg</f>
        <v>0.33076409184</v>
      </c>
      <c r="AC73" s="22">
        <f>INDEX('Activity data'!AC$24:AC$39,MATCH(Emissions!$D73,'Activity data'!$D$24:$D$39,0))*INDEX(EF!$H$84:$H$99,MATCH(Emissions!$D73,EF!$D$84:$D$99,0))*INDEX(EF!$H$100:$H$115,MATCH(Emissions!$D73,EF!$D$100:$D$115,0))*INDEX(EF!$H$132:$H$147,MATCH(Emissions!$D73,EF!$D$132:$D$147,0))*kgtoGg</f>
        <v>0.37630311264000005</v>
      </c>
      <c r="AD73" s="22">
        <f>INDEX('Activity data'!AD$24:AD$39,MATCH(Emissions!$D73,'Activity data'!$D$24:$D$39,0))*INDEX(EF!$H$84:$H$99,MATCH(Emissions!$D73,EF!$D$84:$D$99,0))*INDEX(EF!$H$100:$H$115,MATCH(Emissions!$D73,EF!$D$100:$D$115,0))*INDEX(EF!$H$132:$H$147,MATCH(Emissions!$D73,EF!$D$132:$D$147,0))*kgtoGg</f>
        <v>0.11606648834006898</v>
      </c>
      <c r="AE73" s="22">
        <f>INDEX('Activity data'!AE$24:AE$39,MATCH(Emissions!$D73,'Activity data'!$D$24:$D$39,0))*INDEX(EF!$H$84:$H$99,MATCH(Emissions!$D73,EF!$D$84:$D$99,0))*INDEX(EF!$H$100:$H$115,MATCH(Emissions!$D73,EF!$D$100:$D$115,0))*INDEX(EF!$H$132:$H$147,MATCH(Emissions!$D73,EF!$D$132:$D$147,0))*kgtoGg</f>
        <v>0.21826021634006895</v>
      </c>
      <c r="AF73" s="22">
        <f>INDEX('Activity data'!AF$24:AF$39,MATCH(Emissions!$D73,'Activity data'!$D$24:$D$39,0))*INDEX(EF!$H$84:$H$99,MATCH(Emissions!$D73,EF!$D$84:$D$99,0))*INDEX(EF!$H$100:$H$115,MATCH(Emissions!$D73,EF!$D$100:$D$115,0))*INDEX(EF!$H$132:$H$147,MATCH(Emissions!$D73,EF!$D$132:$D$147,0))*kgtoGg</f>
        <v>0.17623132034006897</v>
      </c>
      <c r="AG73" s="22">
        <f>INDEX('Activity data'!AG$24:AG$39,MATCH(Emissions!$D73,'Activity data'!$D$24:$D$39,0))*INDEX(EF!$H$84:$H$99,MATCH(Emissions!$D73,EF!$D$84:$D$99,0))*INDEX(EF!$H$100:$H$115,MATCH(Emissions!$D73,EF!$D$100:$D$115,0))*INDEX(EF!$H$132:$H$147,MATCH(Emissions!$D73,EF!$D$132:$D$147,0))*kgtoGg</f>
        <v>0.13670965634006899</v>
      </c>
      <c r="AH73" s="22">
        <f>INDEX('Activity data'!AH$24:AH$39,MATCH(Emissions!$D73,'Activity data'!$D$24:$D$39,0))*INDEX(EF!$H$84:$H$99,MATCH(Emissions!$D73,EF!$D$84:$D$99,0))*INDEX(EF!$H$100:$H$115,MATCH(Emissions!$D73,EF!$D$100:$D$115,0))*INDEX(EF!$H$132:$H$147,MATCH(Emissions!$D73,EF!$D$132:$D$147,0))*kgtoGg</f>
        <v>0.15645301634006897</v>
      </c>
      <c r="AI73" s="22">
        <f>INDEX('Activity data'!AI$24:AI$39,MATCH(Emissions!$D73,'Activity data'!$D$24:$D$39,0))*INDEX(EF!$H$84:$H$99,MATCH(Emissions!$D73,EF!$D$84:$D$99,0))*INDEX(EF!$H$100:$H$115,MATCH(Emissions!$D73,EF!$D$100:$D$115,0))*INDEX(EF!$H$132:$H$147,MATCH(Emissions!$D73,EF!$D$132:$D$147,0))*kgtoGg</f>
        <v>0.17325234434006898</v>
      </c>
      <c r="AJ73" s="22">
        <f>INDEX('Activity data'!AJ$24:AJ$39,MATCH(Emissions!$D73,'Activity data'!$D$24:$D$39,0))*INDEX(EF!$H$84:$H$99,MATCH(Emissions!$D73,EF!$D$84:$D$99,0))*INDEX(EF!$H$100:$H$115,MATCH(Emissions!$D73,EF!$D$100:$D$115,0))*INDEX(EF!$H$132:$H$147,MATCH(Emissions!$D73,EF!$D$132:$D$147,0))*kgtoGg</f>
        <v>0.17325234434006898</v>
      </c>
      <c r="AK73" s="22">
        <f>INDEX('Activity data'!AK$24:AK$39,MATCH(Emissions!$D73,'Activity data'!$D$24:$D$39,0))*INDEX(EF!$H$84:$H$99,MATCH(Emissions!$D73,EF!$D$84:$D$99,0))*INDEX(EF!$H$100:$H$115,MATCH(Emissions!$D73,EF!$D$100:$D$115,0))*INDEX(EF!$H$132:$H$147,MATCH(Emissions!$D73,EF!$D$132:$D$147,0))*kgtoGg</f>
        <v>0.17400449885772937</v>
      </c>
      <c r="AL73" s="22">
        <f>INDEX('Activity data'!AL$24:AL$39,MATCH(Emissions!$D73,'Activity data'!$D$24:$D$39,0))*INDEX(EF!$H$84:$H$99,MATCH(Emissions!$D73,EF!$D$84:$D$99,0))*INDEX(EF!$H$100:$H$115,MATCH(Emissions!$D73,EF!$D$100:$D$115,0))*INDEX(EF!$H$132:$H$147,MATCH(Emissions!$D73,EF!$D$132:$D$147,0))*kgtoGg</f>
        <v>0.17475665337538968</v>
      </c>
      <c r="AM73" s="22">
        <f>INDEX('Activity data'!AM$24:AM$39,MATCH(Emissions!$D73,'Activity data'!$D$24:$D$39,0))*INDEX(EF!$H$84:$H$99,MATCH(Emissions!$D73,EF!$D$84:$D$99,0))*INDEX(EF!$H$100:$H$115,MATCH(Emissions!$D73,EF!$D$100:$D$115,0))*INDEX(EF!$H$132:$H$147,MATCH(Emissions!$D73,EF!$D$132:$D$147,0))*kgtoGg</f>
        <v>0.17550880789305007</v>
      </c>
      <c r="AN73" s="22">
        <f>INDEX('Activity data'!AN$24:AN$39,MATCH(Emissions!$D73,'Activity data'!$D$24:$D$39,0))*INDEX(EF!$H$84:$H$99,MATCH(Emissions!$D73,EF!$D$84:$D$99,0))*INDEX(EF!$H$100:$H$115,MATCH(Emissions!$D73,EF!$D$100:$D$115,0))*INDEX(EF!$H$132:$H$147,MATCH(Emissions!$D73,EF!$D$132:$D$147,0))*kgtoGg</f>
        <v>0.17626096241071046</v>
      </c>
      <c r="AO73" s="22">
        <f>INDEX('Activity data'!AO$24:AO$39,MATCH(Emissions!$D73,'Activity data'!$D$24:$D$39,0))*INDEX(EF!$H$84:$H$99,MATCH(Emissions!$D73,EF!$D$84:$D$99,0))*INDEX(EF!$H$100:$H$115,MATCH(Emissions!$D73,EF!$D$100:$D$115,0))*INDEX(EF!$H$132:$H$147,MATCH(Emissions!$D73,EF!$D$132:$D$147,0))*kgtoGg</f>
        <v>0.17701311692837082</v>
      </c>
      <c r="AP73" s="22">
        <f>INDEX('Activity data'!AP$24:AP$39,MATCH(Emissions!$D73,'Activity data'!$D$24:$D$39,0))*INDEX(EF!$H$84:$H$99,MATCH(Emissions!$D73,EF!$D$84:$D$99,0))*INDEX(EF!$H$100:$H$115,MATCH(Emissions!$D73,EF!$D$100:$D$115,0))*INDEX(EF!$H$132:$H$147,MATCH(Emissions!$D73,EF!$D$132:$D$147,0))*kgtoGg</f>
        <v>0.17776527144603119</v>
      </c>
      <c r="AQ73" s="22">
        <f>INDEX('Activity data'!AQ$24:AQ$39,MATCH(Emissions!$D73,'Activity data'!$D$24:$D$39,0))*INDEX(EF!$H$84:$H$99,MATCH(Emissions!$D73,EF!$D$84:$D$99,0))*INDEX(EF!$H$100:$H$115,MATCH(Emissions!$D73,EF!$D$100:$D$115,0))*INDEX(EF!$H$132:$H$147,MATCH(Emissions!$D73,EF!$D$132:$D$147,0))*kgtoGg</f>
        <v>0.17851742596369158</v>
      </c>
      <c r="AR73" s="22">
        <f>INDEX('Activity data'!AR$24:AR$39,MATCH(Emissions!$D73,'Activity data'!$D$24:$D$39,0))*INDEX(EF!$H$84:$H$99,MATCH(Emissions!$D73,EF!$D$84:$D$99,0))*INDEX(EF!$H$100:$H$115,MATCH(Emissions!$D73,EF!$D$100:$D$115,0))*INDEX(EF!$H$132:$H$147,MATCH(Emissions!$D73,EF!$D$132:$D$147,0))*kgtoGg</f>
        <v>0.17926958048135197</v>
      </c>
      <c r="AS73" s="22">
        <f>INDEX('Activity data'!AS$24:AS$39,MATCH(Emissions!$D73,'Activity data'!$D$24:$D$39,0))*INDEX(EF!$H$84:$H$99,MATCH(Emissions!$D73,EF!$D$84:$D$99,0))*INDEX(EF!$H$100:$H$115,MATCH(Emissions!$D73,EF!$D$100:$D$115,0))*INDEX(EF!$H$132:$H$147,MATCH(Emissions!$D73,EF!$D$132:$D$147,0))*kgtoGg</f>
        <v>0.18002173499901231</v>
      </c>
      <c r="AT73" s="22">
        <f>INDEX('Activity data'!AT$24:AT$39,MATCH(Emissions!$D73,'Activity data'!$D$24:$D$39,0))*INDEX(EF!$H$84:$H$99,MATCH(Emissions!$D73,EF!$D$84:$D$99,0))*INDEX(EF!$H$100:$H$115,MATCH(Emissions!$D73,EF!$D$100:$D$115,0))*INDEX(EF!$H$132:$H$147,MATCH(Emissions!$D73,EF!$D$132:$D$147,0))*kgtoGg</f>
        <v>0.18077388951667267</v>
      </c>
      <c r="AU73" s="22">
        <f>INDEX('Activity data'!AU$24:AU$39,MATCH(Emissions!$D73,'Activity data'!$D$24:$D$39,0))*INDEX(EF!$H$84:$H$99,MATCH(Emissions!$D73,EF!$D$84:$D$99,0))*INDEX(EF!$H$100:$H$115,MATCH(Emissions!$D73,EF!$D$100:$D$115,0))*INDEX(EF!$H$132:$H$147,MATCH(Emissions!$D73,EF!$D$132:$D$147,0))*kgtoGg</f>
        <v>0.18152604403433303</v>
      </c>
      <c r="AV73" s="22">
        <f>INDEX('Activity data'!AV$24:AV$39,MATCH(Emissions!$D73,'Activity data'!$D$24:$D$39,0))*INDEX(EF!$H$84:$H$99,MATCH(Emissions!$D73,EF!$D$84:$D$99,0))*INDEX(EF!$H$100:$H$115,MATCH(Emissions!$D73,EF!$D$100:$D$115,0))*INDEX(EF!$H$132:$H$147,MATCH(Emissions!$D73,EF!$D$132:$D$147,0))*kgtoGg</f>
        <v>0.18227819855199343</v>
      </c>
      <c r="AW73" s="22">
        <f>INDEX('Activity data'!AW$24:AW$39,MATCH(Emissions!$D73,'Activity data'!$D$24:$D$39,0))*INDEX(EF!$H$84:$H$99,MATCH(Emissions!$D73,EF!$D$84:$D$99,0))*INDEX(EF!$H$100:$H$115,MATCH(Emissions!$D73,EF!$D$100:$D$115,0))*INDEX(EF!$H$132:$H$147,MATCH(Emissions!$D73,EF!$D$132:$D$147,0))*kgtoGg</f>
        <v>0.18227819855199343</v>
      </c>
      <c r="AX73" s="22">
        <f>INDEX('Activity data'!AX$24:AX$39,MATCH(Emissions!$D73,'Activity data'!$D$24:$D$39,0))*INDEX(EF!$H$84:$H$99,MATCH(Emissions!$D73,EF!$D$84:$D$99,0))*INDEX(EF!$H$100:$H$115,MATCH(Emissions!$D73,EF!$D$100:$D$115,0))*INDEX(EF!$H$132:$H$147,MATCH(Emissions!$D73,EF!$D$132:$D$147,0))*kgtoGg</f>
        <v>0.18227819855199343</v>
      </c>
      <c r="AY73" s="22">
        <f>INDEX('Activity data'!AY$24:AY$39,MATCH(Emissions!$D73,'Activity data'!$D$24:$D$39,0))*INDEX(EF!$H$84:$H$99,MATCH(Emissions!$D73,EF!$D$84:$D$99,0))*INDEX(EF!$H$100:$H$115,MATCH(Emissions!$D73,EF!$D$100:$D$115,0))*INDEX(EF!$H$132:$H$147,MATCH(Emissions!$D73,EF!$D$132:$D$147,0))*kgtoGg</f>
        <v>0.18227819855199343</v>
      </c>
      <c r="AZ73" s="22">
        <f>INDEX('Activity data'!AZ$24:AZ$39,MATCH(Emissions!$D73,'Activity data'!$D$24:$D$39,0))*INDEX(EF!$H$84:$H$99,MATCH(Emissions!$D73,EF!$D$84:$D$99,0))*INDEX(EF!$H$100:$H$115,MATCH(Emissions!$D73,EF!$D$100:$D$115,0))*INDEX(EF!$H$132:$H$147,MATCH(Emissions!$D73,EF!$D$132:$D$147,0))*kgtoGg</f>
        <v>0.18227819855199343</v>
      </c>
      <c r="BA73" s="22">
        <f>INDEX('Activity data'!BA$24:BA$39,MATCH(Emissions!$D73,'Activity data'!$D$24:$D$39,0))*INDEX(EF!$H$84:$H$99,MATCH(Emissions!$D73,EF!$D$84:$D$99,0))*INDEX(EF!$H$100:$H$115,MATCH(Emissions!$D73,EF!$D$100:$D$115,0))*INDEX(EF!$H$132:$H$147,MATCH(Emissions!$D73,EF!$D$132:$D$147,0))*kgtoGg</f>
        <v>0.18227819855199343</v>
      </c>
      <c r="BB73" s="22">
        <f>INDEX('Activity data'!BB$24:BB$39,MATCH(Emissions!$D73,'Activity data'!$D$24:$D$39,0))*INDEX(EF!$H$84:$H$99,MATCH(Emissions!$D73,EF!$D$84:$D$99,0))*INDEX(EF!$H$100:$H$115,MATCH(Emissions!$D73,EF!$D$100:$D$115,0))*INDEX(EF!$H$132:$H$147,MATCH(Emissions!$D73,EF!$D$132:$D$147,0))*kgtoGg</f>
        <v>0.18227819855199343</v>
      </c>
      <c r="BC73" s="22">
        <f>INDEX('Activity data'!BC$24:BC$39,MATCH(Emissions!$D73,'Activity data'!$D$24:$D$39,0))*INDEX(EF!$H$84:$H$99,MATCH(Emissions!$D73,EF!$D$84:$D$99,0))*INDEX(EF!$H$100:$H$115,MATCH(Emissions!$D73,EF!$D$100:$D$115,0))*INDEX(EF!$H$132:$H$147,MATCH(Emissions!$D73,EF!$D$132:$D$147,0))*kgtoGg</f>
        <v>0.18227819855199343</v>
      </c>
      <c r="BD73" s="22">
        <f>INDEX('Activity data'!BD$24:BD$39,MATCH(Emissions!$D73,'Activity data'!$D$24:$D$39,0))*INDEX(EF!$H$84:$H$99,MATCH(Emissions!$D73,EF!$D$84:$D$99,0))*INDEX(EF!$H$100:$H$115,MATCH(Emissions!$D73,EF!$D$100:$D$115,0))*INDEX(EF!$H$132:$H$147,MATCH(Emissions!$D73,EF!$D$132:$D$147,0))*kgtoGg</f>
        <v>0.18227819855199343</v>
      </c>
      <c r="BE73" s="22">
        <f>INDEX('Activity data'!BE$24:BE$39,MATCH(Emissions!$D73,'Activity data'!$D$24:$D$39,0))*INDEX(EF!$H$84:$H$99,MATCH(Emissions!$D73,EF!$D$84:$D$99,0))*INDEX(EF!$H$100:$H$115,MATCH(Emissions!$D73,EF!$D$100:$D$115,0))*INDEX(EF!$H$132:$H$147,MATCH(Emissions!$D73,EF!$D$132:$D$147,0))*kgtoGg</f>
        <v>0.18152604403433303</v>
      </c>
      <c r="BF73" s="22">
        <f>INDEX('Activity data'!BF$24:BF$39,MATCH(Emissions!$D73,'Activity data'!$D$24:$D$39,0))*INDEX(EF!$H$84:$H$99,MATCH(Emissions!$D73,EF!$D$84:$D$99,0))*INDEX(EF!$H$100:$H$115,MATCH(Emissions!$D73,EF!$D$100:$D$115,0))*INDEX(EF!$H$132:$H$147,MATCH(Emissions!$D73,EF!$D$132:$D$147,0))*kgtoGg</f>
        <v>0.18077388951667267</v>
      </c>
      <c r="BG73" s="22">
        <f>INDEX('Activity data'!BG$24:BG$39,MATCH(Emissions!$D73,'Activity data'!$D$24:$D$39,0))*INDEX(EF!$H$84:$H$99,MATCH(Emissions!$D73,EF!$D$84:$D$99,0))*INDEX(EF!$H$100:$H$115,MATCH(Emissions!$D73,EF!$D$100:$D$115,0))*INDEX(EF!$H$132:$H$147,MATCH(Emissions!$D73,EF!$D$132:$D$147,0))*kgtoGg</f>
        <v>0.18002173499901231</v>
      </c>
      <c r="BH73" s="22">
        <f>INDEX('Activity data'!BH$24:BH$39,MATCH(Emissions!$D73,'Activity data'!$D$24:$D$39,0))*INDEX(EF!$H$84:$H$99,MATCH(Emissions!$D73,EF!$D$84:$D$99,0))*INDEX(EF!$H$100:$H$115,MATCH(Emissions!$D73,EF!$D$100:$D$115,0))*INDEX(EF!$H$132:$H$147,MATCH(Emissions!$D73,EF!$D$132:$D$147,0))*kgtoGg</f>
        <v>0.17926958048135197</v>
      </c>
      <c r="BI73" s="22">
        <f>INDEX('Activity data'!BI$24:BI$39,MATCH(Emissions!$D73,'Activity data'!$D$24:$D$39,0))*INDEX(EF!$H$84:$H$99,MATCH(Emissions!$D73,EF!$D$84:$D$99,0))*INDEX(EF!$H$100:$H$115,MATCH(Emissions!$D73,EF!$D$100:$D$115,0))*INDEX(EF!$H$132:$H$147,MATCH(Emissions!$D73,EF!$D$132:$D$147,0))*kgtoGg</f>
        <v>0.17851742596369158</v>
      </c>
      <c r="BJ73" s="22">
        <f>INDEX('Activity data'!BJ$24:BJ$39,MATCH(Emissions!$D73,'Activity data'!$D$24:$D$39,0))*INDEX(EF!$H$84:$H$99,MATCH(Emissions!$D73,EF!$D$84:$D$99,0))*INDEX(EF!$H$100:$H$115,MATCH(Emissions!$D73,EF!$D$100:$D$115,0))*INDEX(EF!$H$132:$H$147,MATCH(Emissions!$D73,EF!$D$132:$D$147,0))*kgtoGg</f>
        <v>0.17776527144603119</v>
      </c>
      <c r="BK73" s="22">
        <f>INDEX('Activity data'!BK$24:BK$39,MATCH(Emissions!$D73,'Activity data'!$D$24:$D$39,0))*INDEX(EF!$H$84:$H$99,MATCH(Emissions!$D73,EF!$D$84:$D$99,0))*INDEX(EF!$H$100:$H$115,MATCH(Emissions!$D73,EF!$D$100:$D$115,0))*INDEX(EF!$H$132:$H$147,MATCH(Emissions!$D73,EF!$D$132:$D$147,0))*kgtoGg</f>
        <v>0.17701311692837082</v>
      </c>
      <c r="BL73" s="22">
        <f>INDEX('Activity data'!BL$24:BL$39,MATCH(Emissions!$D73,'Activity data'!$D$24:$D$39,0))*INDEX(EF!$H$84:$H$99,MATCH(Emissions!$D73,EF!$D$84:$D$99,0))*INDEX(EF!$H$100:$H$115,MATCH(Emissions!$D73,EF!$D$100:$D$115,0))*INDEX(EF!$H$132:$H$147,MATCH(Emissions!$D73,EF!$D$132:$D$147,0))*kgtoGg</f>
        <v>0.17626096241071046</v>
      </c>
      <c r="BM73" s="22">
        <f>INDEX('Activity data'!BM$24:BM$39,MATCH(Emissions!$D73,'Activity data'!$D$24:$D$39,0))*INDEX(EF!$H$84:$H$99,MATCH(Emissions!$D73,EF!$D$84:$D$99,0))*INDEX(EF!$H$100:$H$115,MATCH(Emissions!$D73,EF!$D$100:$D$115,0))*INDEX(EF!$H$132:$H$147,MATCH(Emissions!$D73,EF!$D$132:$D$147,0))*kgtoGg</f>
        <v>0.17550880789305007</v>
      </c>
      <c r="BN73" s="22">
        <f>INDEX('Activity data'!BN$24:BN$39,MATCH(Emissions!$D73,'Activity data'!$D$24:$D$39,0))*INDEX(EF!$H$84:$H$99,MATCH(Emissions!$D73,EF!$D$84:$D$99,0))*INDEX(EF!$H$100:$H$115,MATCH(Emissions!$D73,EF!$D$100:$D$115,0))*INDEX(EF!$H$132:$H$147,MATCH(Emissions!$D73,EF!$D$132:$D$147,0))*kgtoGg</f>
        <v>0.17475665337538968</v>
      </c>
      <c r="BO73" s="22">
        <f>INDEX('Activity data'!BO$24:BO$39,MATCH(Emissions!$D73,'Activity data'!$D$24:$D$39,0))*INDEX(EF!$H$84:$H$99,MATCH(Emissions!$D73,EF!$D$84:$D$99,0))*INDEX(EF!$H$100:$H$115,MATCH(Emissions!$D73,EF!$D$100:$D$115,0))*INDEX(EF!$H$132:$H$147,MATCH(Emissions!$D73,EF!$D$132:$D$147,0))*kgtoGg</f>
        <v>0.17400449885772937</v>
      </c>
      <c r="BP73" s="22">
        <f>INDEX('Activity data'!BP$24:BP$39,MATCH(Emissions!$D73,'Activity data'!$D$24:$D$39,0))*INDEX(EF!$H$84:$H$99,MATCH(Emissions!$D73,EF!$D$84:$D$99,0))*INDEX(EF!$H$100:$H$115,MATCH(Emissions!$D73,EF!$D$100:$D$115,0))*INDEX(EF!$H$132:$H$147,MATCH(Emissions!$D73,EF!$D$132:$D$147,0))*kgtoGg</f>
        <v>0.17325234434006898</v>
      </c>
    </row>
    <row r="74" spans="1:68" x14ac:dyDescent="0.3">
      <c r="A74" t="str">
        <f t="shared" si="19"/>
        <v>3C Aggregated and non-CO2 emissions on land</v>
      </c>
      <c r="B74" t="str">
        <f t="shared" si="26"/>
        <v>3C1 Biomass burning (N2O)</v>
      </c>
      <c r="C74" t="str">
        <f t="shared" si="25"/>
        <v>3C1b Biomass burning in Croplands</v>
      </c>
      <c r="D74" t="str">
        <f>EF!D104</f>
        <v>Annual non-pivot</v>
      </c>
      <c r="E74" t="s">
        <v>645</v>
      </c>
      <c r="F74" t="str">
        <f t="shared" si="27"/>
        <v>N2O</v>
      </c>
      <c r="G74" t="str">
        <f t="shared" si="28"/>
        <v>Gg N2O</v>
      </c>
      <c r="H74" s="22">
        <f>INDEX('Activity data'!H$24:H$39,MATCH(Emissions!$D74,'Activity data'!$D$24:$D$39,0))*INDEX(EF!$H$84:$H$99,MATCH(Emissions!$D74,EF!$D$84:$D$99,0))*INDEX(EF!$H$100:$H$115,MATCH(Emissions!$D74,EF!$D$100:$D$115,0))*INDEX(EF!$H$132:$H$147,MATCH(Emissions!$D74,EF!$D$132:$D$147,0))*kgtoGg</f>
        <v>1.4723084100591942E-2</v>
      </c>
      <c r="I74" s="22">
        <f>INDEX('Activity data'!I$24:I$39,MATCH(Emissions!$D74,'Activity data'!$D$24:$D$39,0))*INDEX(EF!$H$84:$H$99,MATCH(Emissions!$D74,EF!$D$84:$D$99,0))*INDEX(EF!$H$100:$H$115,MATCH(Emissions!$D74,EF!$D$100:$D$115,0))*INDEX(EF!$H$132:$H$147,MATCH(Emissions!$D74,EF!$D$132:$D$147,0))*kgtoGg</f>
        <v>1.4723084100591942E-2</v>
      </c>
      <c r="J74" s="22">
        <f>INDEX('Activity data'!J$24:J$39,MATCH(Emissions!$D74,'Activity data'!$D$24:$D$39,0))*INDEX(EF!$H$84:$H$99,MATCH(Emissions!$D74,EF!$D$84:$D$99,0))*INDEX(EF!$H$100:$H$115,MATCH(Emissions!$D74,EF!$D$100:$D$115,0))*INDEX(EF!$H$132:$H$147,MATCH(Emissions!$D74,EF!$D$132:$D$147,0))*kgtoGg</f>
        <v>1.4723084100591942E-2</v>
      </c>
      <c r="K74" s="22">
        <f>INDEX('Activity data'!K$24:K$39,MATCH(Emissions!$D74,'Activity data'!$D$24:$D$39,0))*INDEX(EF!$H$84:$H$99,MATCH(Emissions!$D74,EF!$D$84:$D$99,0))*INDEX(EF!$H$100:$H$115,MATCH(Emissions!$D74,EF!$D$100:$D$115,0))*INDEX(EF!$H$132:$H$147,MATCH(Emissions!$D74,EF!$D$132:$D$147,0))*kgtoGg</f>
        <v>1.4723084100591942E-2</v>
      </c>
      <c r="L74" s="22">
        <f>INDEX('Activity data'!L$24:L$39,MATCH(Emissions!$D74,'Activity data'!$D$24:$D$39,0))*INDEX(EF!$H$84:$H$99,MATCH(Emissions!$D74,EF!$D$84:$D$99,0))*INDEX(EF!$H$100:$H$115,MATCH(Emissions!$D74,EF!$D$100:$D$115,0))*INDEX(EF!$H$132:$H$147,MATCH(Emissions!$D74,EF!$D$132:$D$147,0))*kgtoGg</f>
        <v>1.4723084100591942E-2</v>
      </c>
      <c r="M74" s="22">
        <f>INDEX('Activity data'!M$24:M$39,MATCH(Emissions!$D74,'Activity data'!$D$24:$D$39,0))*INDEX(EF!$H$84:$H$99,MATCH(Emissions!$D74,EF!$D$84:$D$99,0))*INDEX(EF!$H$100:$H$115,MATCH(Emissions!$D74,EF!$D$100:$D$115,0))*INDEX(EF!$H$132:$H$147,MATCH(Emissions!$D74,EF!$D$132:$D$147,0))*kgtoGg</f>
        <v>1.4723084100591942E-2</v>
      </c>
      <c r="N74" s="22">
        <f>INDEX('Activity data'!N$24:N$39,MATCH(Emissions!$D74,'Activity data'!$D$24:$D$39,0))*INDEX(EF!$H$84:$H$99,MATCH(Emissions!$D74,EF!$D$84:$D$99,0))*INDEX(EF!$H$100:$H$115,MATCH(Emissions!$D74,EF!$D$100:$D$115,0))*INDEX(EF!$H$132:$H$147,MATCH(Emissions!$D74,EF!$D$132:$D$147,0))*kgtoGg</f>
        <v>1.4723084100591942E-2</v>
      </c>
      <c r="O74" s="22">
        <f>INDEX('Activity data'!O$24:O$39,MATCH(Emissions!$D74,'Activity data'!$D$24:$D$39,0))*INDEX(EF!$H$84:$H$99,MATCH(Emissions!$D74,EF!$D$84:$D$99,0))*INDEX(EF!$H$100:$H$115,MATCH(Emissions!$D74,EF!$D$100:$D$115,0))*INDEX(EF!$H$132:$H$147,MATCH(Emissions!$D74,EF!$D$132:$D$147,0))*kgtoGg</f>
        <v>1.4723084100591942E-2</v>
      </c>
      <c r="P74" s="22">
        <f>INDEX('Activity data'!P$24:P$39,MATCH(Emissions!$D74,'Activity data'!$D$24:$D$39,0))*INDEX(EF!$H$84:$H$99,MATCH(Emissions!$D74,EF!$D$84:$D$99,0))*INDEX(EF!$H$100:$H$115,MATCH(Emissions!$D74,EF!$D$100:$D$115,0))*INDEX(EF!$H$132:$H$147,MATCH(Emissions!$D74,EF!$D$132:$D$147,0))*kgtoGg</f>
        <v>1.4723084100591942E-2</v>
      </c>
      <c r="Q74" s="22">
        <f>INDEX('Activity data'!Q$24:Q$39,MATCH(Emissions!$D74,'Activity data'!$D$24:$D$39,0))*INDEX(EF!$H$84:$H$99,MATCH(Emissions!$D74,EF!$D$84:$D$99,0))*INDEX(EF!$H$100:$H$115,MATCH(Emissions!$D74,EF!$D$100:$D$115,0))*INDEX(EF!$H$132:$H$147,MATCH(Emissions!$D74,EF!$D$132:$D$147,0))*kgtoGg</f>
        <v>1.4723084100591942E-2</v>
      </c>
      <c r="R74" s="22">
        <f>INDEX('Activity data'!R$24:R$39,MATCH(Emissions!$D74,'Activity data'!$D$24:$D$39,0))*INDEX(EF!$H$84:$H$99,MATCH(Emissions!$D74,EF!$D$84:$D$99,0))*INDEX(EF!$H$100:$H$115,MATCH(Emissions!$D74,EF!$D$100:$D$115,0))*INDEX(EF!$H$132:$H$147,MATCH(Emissions!$D74,EF!$D$132:$D$147,0))*kgtoGg</f>
        <v>1.496956177943767E-2</v>
      </c>
      <c r="S74" s="22">
        <f>INDEX('Activity data'!S$24:S$39,MATCH(Emissions!$D74,'Activity data'!$D$24:$D$39,0))*INDEX(EF!$H$84:$H$99,MATCH(Emissions!$D74,EF!$D$84:$D$99,0))*INDEX(EF!$H$100:$H$115,MATCH(Emissions!$D74,EF!$D$100:$D$115,0))*INDEX(EF!$H$132:$H$147,MATCH(Emissions!$D74,EF!$D$132:$D$147,0))*kgtoGg</f>
        <v>1.1679423956313528E-2</v>
      </c>
      <c r="T74" s="22">
        <f>INDEX('Activity data'!T$24:T$39,MATCH(Emissions!$D74,'Activity data'!$D$24:$D$39,0))*INDEX(EF!$H$84:$H$99,MATCH(Emissions!$D74,EF!$D$84:$D$99,0))*INDEX(EF!$H$100:$H$115,MATCH(Emissions!$D74,EF!$D$100:$D$115,0))*INDEX(EF!$H$132:$H$147,MATCH(Emissions!$D74,EF!$D$132:$D$147,0))*kgtoGg</f>
        <v>1.5184381774761928E-2</v>
      </c>
      <c r="U74" s="22">
        <f>INDEX('Activity data'!U$24:U$39,MATCH(Emissions!$D74,'Activity data'!$D$24:$D$39,0))*INDEX(EF!$H$84:$H$99,MATCH(Emissions!$D74,EF!$D$84:$D$99,0))*INDEX(EF!$H$100:$H$115,MATCH(Emissions!$D74,EF!$D$100:$D$115,0))*INDEX(EF!$H$132:$H$147,MATCH(Emissions!$D74,EF!$D$132:$D$147,0))*kgtoGg</f>
        <v>1.4065056535967114E-2</v>
      </c>
      <c r="V74" s="22">
        <f>INDEX('Activity data'!V$24:V$39,MATCH(Emissions!$D74,'Activity data'!$D$24:$D$39,0))*INDEX(EF!$H$84:$H$99,MATCH(Emissions!$D74,EF!$D$84:$D$99,0))*INDEX(EF!$H$100:$H$115,MATCH(Emissions!$D74,EF!$D$100:$D$115,0))*INDEX(EF!$H$132:$H$147,MATCH(Emissions!$D74,EF!$D$132:$D$147,0))*kgtoGg</f>
        <v>1.7716996456479478E-2</v>
      </c>
      <c r="W74" s="22">
        <f>INDEX('Activity data'!W$24:W$39,MATCH(Emissions!$D74,'Activity data'!$D$24:$D$39,0))*INDEX(EF!$H$84:$H$99,MATCH(Emissions!$D74,EF!$D$84:$D$99,0))*INDEX(EF!$H$100:$H$115,MATCH(Emissions!$D74,EF!$D$100:$D$115,0))*INDEX(EF!$H$132:$H$147,MATCH(Emissions!$D74,EF!$D$132:$D$147,0))*kgtoGg</f>
        <v>1.9458169050160297E-2</v>
      </c>
      <c r="X74" s="22">
        <f>INDEX('Activity data'!X$24:X$39,MATCH(Emissions!$D74,'Activity data'!$D$24:$D$39,0))*INDEX(EF!$H$84:$H$99,MATCH(Emissions!$D74,EF!$D$84:$D$99,0))*INDEX(EF!$H$100:$H$115,MATCH(Emissions!$D74,EF!$D$100:$D$115,0))*INDEX(EF!$H$132:$H$147,MATCH(Emissions!$D74,EF!$D$132:$D$147,0))*kgtoGg</f>
        <v>1.4585147050962685E-2</v>
      </c>
      <c r="Y74" s="22">
        <f>INDEX('Activity data'!Y$24:Y$39,MATCH(Emissions!$D74,'Activity data'!$D$24:$D$39,0))*INDEX(EF!$H$84:$H$99,MATCH(Emissions!$D74,EF!$D$84:$D$99,0))*INDEX(EF!$H$100:$H$115,MATCH(Emissions!$D74,EF!$D$100:$D$115,0))*INDEX(EF!$H$132:$H$147,MATCH(Emissions!$D74,EF!$D$132:$D$147,0))*kgtoGg</f>
        <v>1.4630372313136211E-2</v>
      </c>
      <c r="Z74" s="22">
        <f>INDEX('Activity data'!Z$24:Z$39,MATCH(Emissions!$D74,'Activity data'!$D$24:$D$39,0))*INDEX(EF!$H$84:$H$99,MATCH(Emissions!$D74,EF!$D$84:$D$99,0))*INDEX(EF!$H$100:$H$115,MATCH(Emissions!$D74,EF!$D$100:$D$115,0))*INDEX(EF!$H$132:$H$147,MATCH(Emissions!$D74,EF!$D$132:$D$147,0))*kgtoGg</f>
        <v>1.0333972406651079E-2</v>
      </c>
      <c r="AA74" s="22">
        <f>INDEX('Activity data'!AA$24:AA$39,MATCH(Emissions!$D74,'Activity data'!$D$24:$D$39,0))*INDEX(EF!$H$84:$H$99,MATCH(Emissions!$D74,EF!$D$84:$D$99,0))*INDEX(EF!$H$100:$H$115,MATCH(Emissions!$D74,EF!$D$100:$D$115,0))*INDEX(EF!$H$132:$H$147,MATCH(Emissions!$D74,EF!$D$132:$D$147,0))*kgtoGg</f>
        <v>1.0729693450669446E-2</v>
      </c>
      <c r="AB74" s="22">
        <f>INDEX('Activity data'!AB$24:AB$39,MATCH(Emissions!$D74,'Activity data'!$D$24:$D$39,0))*INDEX(EF!$H$84:$H$99,MATCH(Emissions!$D74,EF!$D$84:$D$99,0))*INDEX(EF!$H$100:$H$115,MATCH(Emissions!$D74,EF!$D$100:$D$115,0))*INDEX(EF!$H$132:$H$147,MATCH(Emissions!$D74,EF!$D$132:$D$147,0))*kgtoGg</f>
        <v>1.5161139000000001E-2</v>
      </c>
      <c r="AC74" s="22">
        <f>INDEX('Activity data'!AC$24:AC$39,MATCH(Emissions!$D74,'Activity data'!$D$24:$D$39,0))*INDEX(EF!$H$84:$H$99,MATCH(Emissions!$D74,EF!$D$84:$D$99,0))*INDEX(EF!$H$100:$H$115,MATCH(Emissions!$D74,EF!$D$100:$D$115,0))*INDEX(EF!$H$132:$H$147,MATCH(Emissions!$D74,EF!$D$132:$D$147,0))*kgtoGg</f>
        <v>1.5150334500000001E-2</v>
      </c>
      <c r="AD74" s="22">
        <f>INDEX('Activity data'!AD$24:AD$39,MATCH(Emissions!$D74,'Activity data'!$D$24:$D$39,0))*INDEX(EF!$H$84:$H$99,MATCH(Emissions!$D74,EF!$D$84:$D$99,0))*INDEX(EF!$H$100:$H$115,MATCH(Emissions!$D74,EF!$D$100:$D$115,0))*INDEX(EF!$H$132:$H$147,MATCH(Emissions!$D74,EF!$D$132:$D$147,0))*kgtoGg</f>
        <v>0.16151123227013586</v>
      </c>
      <c r="AE74" s="22">
        <f>INDEX('Activity data'!AE$24:AE$39,MATCH(Emissions!$D74,'Activity data'!$D$24:$D$39,0))*INDEX(EF!$H$84:$H$99,MATCH(Emissions!$D74,EF!$D$84:$D$99,0))*INDEX(EF!$H$100:$H$115,MATCH(Emissions!$D74,EF!$D$100:$D$115,0))*INDEX(EF!$H$132:$H$147,MATCH(Emissions!$D74,EF!$D$132:$D$147,0))*kgtoGg</f>
        <v>0.16106846886532766</v>
      </c>
      <c r="AF74" s="22">
        <f>INDEX('Activity data'!AF$24:AF$39,MATCH(Emissions!$D74,'Activity data'!$D$24:$D$39,0))*INDEX(EF!$H$84:$H$99,MATCH(Emissions!$D74,EF!$D$84:$D$99,0))*INDEX(EF!$H$100:$H$115,MATCH(Emissions!$D74,EF!$D$100:$D$115,0))*INDEX(EF!$H$132:$H$147,MATCH(Emissions!$D74,EF!$D$132:$D$147,0))*kgtoGg</f>
        <v>0.16062570546051952</v>
      </c>
      <c r="AG74" s="22">
        <f>INDEX('Activity data'!AG$24:AG$39,MATCH(Emissions!$D74,'Activity data'!$D$24:$D$39,0))*INDEX(EF!$H$84:$H$99,MATCH(Emissions!$D74,EF!$D$84:$D$99,0))*INDEX(EF!$H$100:$H$115,MATCH(Emissions!$D74,EF!$D$100:$D$115,0))*INDEX(EF!$H$132:$H$147,MATCH(Emissions!$D74,EF!$D$132:$D$147,0))*kgtoGg</f>
        <v>0.16018294205571132</v>
      </c>
      <c r="AH74" s="22">
        <f>INDEX('Activity data'!AH$24:AH$39,MATCH(Emissions!$D74,'Activity data'!$D$24:$D$39,0))*INDEX(EF!$H$84:$H$99,MATCH(Emissions!$D74,EF!$D$84:$D$99,0))*INDEX(EF!$H$100:$H$115,MATCH(Emissions!$D74,EF!$D$100:$D$115,0))*INDEX(EF!$H$132:$H$147,MATCH(Emissions!$D74,EF!$D$132:$D$147,0))*kgtoGg</f>
        <v>0.15974017865090312</v>
      </c>
      <c r="AI74" s="22">
        <f>INDEX('Activity data'!AI$24:AI$39,MATCH(Emissions!$D74,'Activity data'!$D$24:$D$39,0))*INDEX(EF!$H$84:$H$99,MATCH(Emissions!$D74,EF!$D$84:$D$99,0))*INDEX(EF!$H$100:$H$115,MATCH(Emissions!$D74,EF!$D$100:$D$115,0))*INDEX(EF!$H$132:$H$147,MATCH(Emissions!$D74,EF!$D$132:$D$147,0))*kgtoGg</f>
        <v>0.15929741524609498</v>
      </c>
      <c r="AJ74" s="22">
        <f>INDEX('Activity data'!AJ$24:AJ$39,MATCH(Emissions!$D74,'Activity data'!$D$24:$D$39,0))*INDEX(EF!$H$84:$H$99,MATCH(Emissions!$D74,EF!$D$84:$D$99,0))*INDEX(EF!$H$100:$H$115,MATCH(Emissions!$D74,EF!$D$100:$D$115,0))*INDEX(EF!$H$132:$H$147,MATCH(Emissions!$D74,EF!$D$132:$D$147,0))*kgtoGg</f>
        <v>0.15885465184128675</v>
      </c>
      <c r="AK74" s="22">
        <f>INDEX('Activity data'!AK$24:AK$39,MATCH(Emissions!$D74,'Activity data'!$D$24:$D$39,0))*INDEX(EF!$H$84:$H$99,MATCH(Emissions!$D74,EF!$D$84:$D$99,0))*INDEX(EF!$H$100:$H$115,MATCH(Emissions!$D74,EF!$D$100:$D$115,0))*INDEX(EF!$H$132:$H$147,MATCH(Emissions!$D74,EF!$D$132:$D$147,0))*kgtoGg</f>
        <v>0.15841188843647858</v>
      </c>
      <c r="AL74" s="22">
        <f>INDEX('Activity data'!AL$24:AL$39,MATCH(Emissions!$D74,'Activity data'!$D$24:$D$39,0))*INDEX(EF!$H$84:$H$99,MATCH(Emissions!$D74,EF!$D$84:$D$99,0))*INDEX(EF!$H$100:$H$115,MATCH(Emissions!$D74,EF!$D$100:$D$115,0))*INDEX(EF!$H$132:$H$147,MATCH(Emissions!$D74,EF!$D$132:$D$147,0))*kgtoGg</f>
        <v>0.1579691250316704</v>
      </c>
      <c r="AM74" s="22">
        <f>INDEX('Activity data'!AM$24:AM$39,MATCH(Emissions!$D74,'Activity data'!$D$24:$D$39,0))*INDEX(EF!$H$84:$H$99,MATCH(Emissions!$D74,EF!$D$84:$D$99,0))*INDEX(EF!$H$100:$H$115,MATCH(Emissions!$D74,EF!$D$100:$D$115,0))*INDEX(EF!$H$132:$H$147,MATCH(Emissions!$D74,EF!$D$132:$D$147,0))*kgtoGg</f>
        <v>0.15752636162686223</v>
      </c>
      <c r="AN74" s="22">
        <f>INDEX('Activity data'!AN$24:AN$39,MATCH(Emissions!$D74,'Activity data'!$D$24:$D$39,0))*INDEX(EF!$H$84:$H$99,MATCH(Emissions!$D74,EF!$D$84:$D$99,0))*INDEX(EF!$H$100:$H$115,MATCH(Emissions!$D74,EF!$D$100:$D$115,0))*INDEX(EF!$H$132:$H$147,MATCH(Emissions!$D74,EF!$D$132:$D$147,0))*kgtoGg</f>
        <v>0.15708359822205403</v>
      </c>
      <c r="AO74" s="22">
        <f>INDEX('Activity data'!AO$24:AO$39,MATCH(Emissions!$D74,'Activity data'!$D$24:$D$39,0))*INDEX(EF!$H$84:$H$99,MATCH(Emissions!$D74,EF!$D$84:$D$99,0))*INDEX(EF!$H$100:$H$115,MATCH(Emissions!$D74,EF!$D$100:$D$115,0))*INDEX(EF!$H$132:$H$147,MATCH(Emissions!$D74,EF!$D$132:$D$147,0))*kgtoGg</f>
        <v>0.15664083481724586</v>
      </c>
      <c r="AP74" s="22">
        <f>INDEX('Activity data'!AP$24:AP$39,MATCH(Emissions!$D74,'Activity data'!$D$24:$D$39,0))*INDEX(EF!$H$84:$H$99,MATCH(Emissions!$D74,EF!$D$84:$D$99,0))*INDEX(EF!$H$100:$H$115,MATCH(Emissions!$D74,EF!$D$100:$D$115,0))*INDEX(EF!$H$132:$H$147,MATCH(Emissions!$D74,EF!$D$132:$D$147,0))*kgtoGg</f>
        <v>0.15619807141243769</v>
      </c>
      <c r="AQ74" s="22">
        <f>INDEX('Activity data'!AQ$24:AQ$39,MATCH(Emissions!$D74,'Activity data'!$D$24:$D$39,0))*INDEX(EF!$H$84:$H$99,MATCH(Emissions!$D74,EF!$D$84:$D$99,0))*INDEX(EF!$H$100:$H$115,MATCH(Emissions!$D74,EF!$D$100:$D$115,0))*INDEX(EF!$H$132:$H$147,MATCH(Emissions!$D74,EF!$D$132:$D$147,0))*kgtoGg</f>
        <v>0.15575530800762949</v>
      </c>
      <c r="AR74" s="22">
        <f>INDEX('Activity data'!AR$24:AR$39,MATCH(Emissions!$D74,'Activity data'!$D$24:$D$39,0))*INDEX(EF!$H$84:$H$99,MATCH(Emissions!$D74,EF!$D$84:$D$99,0))*INDEX(EF!$H$100:$H$115,MATCH(Emissions!$D74,EF!$D$100:$D$115,0))*INDEX(EF!$H$132:$H$147,MATCH(Emissions!$D74,EF!$D$132:$D$147,0))*kgtoGg</f>
        <v>0.15531254460282132</v>
      </c>
      <c r="AS74" s="22">
        <f>INDEX('Activity data'!AS$24:AS$39,MATCH(Emissions!$D74,'Activity data'!$D$24:$D$39,0))*INDEX(EF!$H$84:$H$99,MATCH(Emissions!$D74,EF!$D$84:$D$99,0))*INDEX(EF!$H$100:$H$115,MATCH(Emissions!$D74,EF!$D$100:$D$115,0))*INDEX(EF!$H$132:$H$147,MATCH(Emissions!$D74,EF!$D$132:$D$147,0))*kgtoGg</f>
        <v>0.15486978119801315</v>
      </c>
      <c r="AT74" s="22">
        <f>INDEX('Activity data'!AT$24:AT$39,MATCH(Emissions!$D74,'Activity data'!$D$24:$D$39,0))*INDEX(EF!$H$84:$H$99,MATCH(Emissions!$D74,EF!$D$84:$D$99,0))*INDEX(EF!$H$100:$H$115,MATCH(Emissions!$D74,EF!$D$100:$D$115,0))*INDEX(EF!$H$132:$H$147,MATCH(Emissions!$D74,EF!$D$132:$D$147,0))*kgtoGg</f>
        <v>0.15442701779320495</v>
      </c>
      <c r="AU74" s="22">
        <f>INDEX('Activity data'!AU$24:AU$39,MATCH(Emissions!$D74,'Activity data'!$D$24:$D$39,0))*INDEX(EF!$H$84:$H$99,MATCH(Emissions!$D74,EF!$D$84:$D$99,0))*INDEX(EF!$H$100:$H$115,MATCH(Emissions!$D74,EF!$D$100:$D$115,0))*INDEX(EF!$H$132:$H$147,MATCH(Emissions!$D74,EF!$D$132:$D$147,0))*kgtoGg</f>
        <v>0.1539842543883968</v>
      </c>
      <c r="AV74" s="22">
        <f>INDEX('Activity data'!AV$24:AV$39,MATCH(Emissions!$D74,'Activity data'!$D$24:$D$39,0))*INDEX(EF!$H$84:$H$99,MATCH(Emissions!$D74,EF!$D$84:$D$99,0))*INDEX(EF!$H$100:$H$115,MATCH(Emissions!$D74,EF!$D$100:$D$115,0))*INDEX(EF!$H$132:$H$147,MATCH(Emissions!$D74,EF!$D$132:$D$147,0))*kgtoGg</f>
        <v>0.1535414909835886</v>
      </c>
      <c r="AW74" s="22">
        <f>INDEX('Activity data'!AW$24:AW$39,MATCH(Emissions!$D74,'Activity data'!$D$24:$D$39,0))*INDEX(EF!$H$84:$H$99,MATCH(Emissions!$D74,EF!$D$84:$D$99,0))*INDEX(EF!$H$100:$H$115,MATCH(Emissions!$D74,EF!$D$100:$D$115,0))*INDEX(EF!$H$132:$H$147,MATCH(Emissions!$D74,EF!$D$132:$D$147,0))*kgtoGg</f>
        <v>0.15309872757878043</v>
      </c>
      <c r="AX74" s="22">
        <f>INDEX('Activity data'!AX$24:AX$39,MATCH(Emissions!$D74,'Activity data'!$D$24:$D$39,0))*INDEX(EF!$H$84:$H$99,MATCH(Emissions!$D74,EF!$D$84:$D$99,0))*INDEX(EF!$H$100:$H$115,MATCH(Emissions!$D74,EF!$D$100:$D$115,0))*INDEX(EF!$H$132:$H$147,MATCH(Emissions!$D74,EF!$D$132:$D$147,0))*kgtoGg</f>
        <v>0.15265596417397226</v>
      </c>
      <c r="AY74" s="22">
        <f>INDEX('Activity data'!AY$24:AY$39,MATCH(Emissions!$D74,'Activity data'!$D$24:$D$39,0))*INDEX(EF!$H$84:$H$99,MATCH(Emissions!$D74,EF!$D$84:$D$99,0))*INDEX(EF!$H$100:$H$115,MATCH(Emissions!$D74,EF!$D$100:$D$115,0))*INDEX(EF!$H$132:$H$147,MATCH(Emissions!$D74,EF!$D$132:$D$147,0))*kgtoGg</f>
        <v>0.15221320076916403</v>
      </c>
      <c r="AZ74" s="22">
        <f>INDEX('Activity data'!AZ$24:AZ$39,MATCH(Emissions!$D74,'Activity data'!$D$24:$D$39,0))*INDEX(EF!$H$84:$H$99,MATCH(Emissions!$D74,EF!$D$84:$D$99,0))*INDEX(EF!$H$100:$H$115,MATCH(Emissions!$D74,EF!$D$100:$D$115,0))*INDEX(EF!$H$132:$H$147,MATCH(Emissions!$D74,EF!$D$132:$D$147,0))*kgtoGg</f>
        <v>0.15177043736435586</v>
      </c>
      <c r="BA74" s="22">
        <f>INDEX('Activity data'!BA$24:BA$39,MATCH(Emissions!$D74,'Activity data'!$D$24:$D$39,0))*INDEX(EF!$H$84:$H$99,MATCH(Emissions!$D74,EF!$D$84:$D$99,0))*INDEX(EF!$H$100:$H$115,MATCH(Emissions!$D74,EF!$D$100:$D$115,0))*INDEX(EF!$H$132:$H$147,MATCH(Emissions!$D74,EF!$D$132:$D$147,0))*kgtoGg</f>
        <v>0.15132767395954769</v>
      </c>
      <c r="BB74" s="22">
        <f>INDEX('Activity data'!BB$24:BB$39,MATCH(Emissions!$D74,'Activity data'!$D$24:$D$39,0))*INDEX(EF!$H$84:$H$99,MATCH(Emissions!$D74,EF!$D$84:$D$99,0))*INDEX(EF!$H$100:$H$115,MATCH(Emissions!$D74,EF!$D$100:$D$115,0))*INDEX(EF!$H$132:$H$147,MATCH(Emissions!$D74,EF!$D$132:$D$147,0))*kgtoGg</f>
        <v>0.15088491055473952</v>
      </c>
      <c r="BC74" s="22">
        <f>INDEX('Activity data'!BC$24:BC$39,MATCH(Emissions!$D74,'Activity data'!$D$24:$D$39,0))*INDEX(EF!$H$84:$H$99,MATCH(Emissions!$D74,EF!$D$84:$D$99,0))*INDEX(EF!$H$100:$H$115,MATCH(Emissions!$D74,EF!$D$100:$D$115,0))*INDEX(EF!$H$132:$H$147,MATCH(Emissions!$D74,EF!$D$132:$D$147,0))*kgtoGg</f>
        <v>0.15044214714993132</v>
      </c>
      <c r="BD74" s="22">
        <f>INDEX('Activity data'!BD$24:BD$39,MATCH(Emissions!$D74,'Activity data'!$D$24:$D$39,0))*INDEX(EF!$H$84:$H$99,MATCH(Emissions!$D74,EF!$D$84:$D$99,0))*INDEX(EF!$H$100:$H$115,MATCH(Emissions!$D74,EF!$D$100:$D$115,0))*INDEX(EF!$H$132:$H$147,MATCH(Emissions!$D74,EF!$D$132:$D$147,0))*kgtoGg</f>
        <v>0.14999938374512317</v>
      </c>
      <c r="BE74" s="22">
        <f>INDEX('Activity data'!BE$24:BE$39,MATCH(Emissions!$D74,'Activity data'!$D$24:$D$39,0))*INDEX(EF!$H$84:$H$99,MATCH(Emissions!$D74,EF!$D$84:$D$99,0))*INDEX(EF!$H$100:$H$115,MATCH(Emissions!$D74,EF!$D$100:$D$115,0))*INDEX(EF!$H$132:$H$147,MATCH(Emissions!$D74,EF!$D$132:$D$147,0))*kgtoGg</f>
        <v>0.14955662034031497</v>
      </c>
      <c r="BF74" s="22">
        <f>INDEX('Activity data'!BF$24:BF$39,MATCH(Emissions!$D74,'Activity data'!$D$24:$D$39,0))*INDEX(EF!$H$84:$H$99,MATCH(Emissions!$D74,EF!$D$84:$D$99,0))*INDEX(EF!$H$100:$H$115,MATCH(Emissions!$D74,EF!$D$100:$D$115,0))*INDEX(EF!$H$132:$H$147,MATCH(Emissions!$D74,EF!$D$132:$D$147,0))*kgtoGg</f>
        <v>0.14911385693550677</v>
      </c>
      <c r="BG74" s="22">
        <f>INDEX('Activity data'!BG$24:BG$39,MATCH(Emissions!$D74,'Activity data'!$D$24:$D$39,0))*INDEX(EF!$H$84:$H$99,MATCH(Emissions!$D74,EF!$D$84:$D$99,0))*INDEX(EF!$H$100:$H$115,MATCH(Emissions!$D74,EF!$D$100:$D$115,0))*INDEX(EF!$H$132:$H$147,MATCH(Emissions!$D74,EF!$D$132:$D$147,0))*kgtoGg</f>
        <v>0.14867109353069863</v>
      </c>
      <c r="BH74" s="22">
        <f>INDEX('Activity data'!BH$24:BH$39,MATCH(Emissions!$D74,'Activity data'!$D$24:$D$39,0))*INDEX(EF!$H$84:$H$99,MATCH(Emissions!$D74,EF!$D$84:$D$99,0))*INDEX(EF!$H$100:$H$115,MATCH(Emissions!$D74,EF!$D$100:$D$115,0))*INDEX(EF!$H$132:$H$147,MATCH(Emissions!$D74,EF!$D$132:$D$147,0))*kgtoGg</f>
        <v>0.14822833012589043</v>
      </c>
      <c r="BI74" s="22">
        <f>INDEX('Activity data'!BI$24:BI$39,MATCH(Emissions!$D74,'Activity data'!$D$24:$D$39,0))*INDEX(EF!$H$84:$H$99,MATCH(Emissions!$D74,EF!$D$84:$D$99,0))*INDEX(EF!$H$100:$H$115,MATCH(Emissions!$D74,EF!$D$100:$D$115,0))*INDEX(EF!$H$132:$H$147,MATCH(Emissions!$D74,EF!$D$132:$D$147,0))*kgtoGg</f>
        <v>0.14778556672108226</v>
      </c>
      <c r="BJ74" s="22">
        <f>INDEX('Activity data'!BJ$24:BJ$39,MATCH(Emissions!$D74,'Activity data'!$D$24:$D$39,0))*INDEX(EF!$H$84:$H$99,MATCH(Emissions!$D74,EF!$D$84:$D$99,0))*INDEX(EF!$H$100:$H$115,MATCH(Emissions!$D74,EF!$D$100:$D$115,0))*INDEX(EF!$H$132:$H$147,MATCH(Emissions!$D74,EF!$D$132:$D$147,0))*kgtoGg</f>
        <v>0.14734280331627406</v>
      </c>
      <c r="BK74" s="22">
        <f>INDEX('Activity data'!BK$24:BK$39,MATCH(Emissions!$D74,'Activity data'!$D$24:$D$39,0))*INDEX(EF!$H$84:$H$99,MATCH(Emissions!$D74,EF!$D$84:$D$99,0))*INDEX(EF!$H$100:$H$115,MATCH(Emissions!$D74,EF!$D$100:$D$115,0))*INDEX(EF!$H$132:$H$147,MATCH(Emissions!$D74,EF!$D$132:$D$147,0))*kgtoGg</f>
        <v>0.14690003991146589</v>
      </c>
      <c r="BL74" s="22">
        <f>INDEX('Activity data'!BL$24:BL$39,MATCH(Emissions!$D74,'Activity data'!$D$24:$D$39,0))*INDEX(EF!$H$84:$H$99,MATCH(Emissions!$D74,EF!$D$84:$D$99,0))*INDEX(EF!$H$100:$H$115,MATCH(Emissions!$D74,EF!$D$100:$D$115,0))*INDEX(EF!$H$132:$H$147,MATCH(Emissions!$D74,EF!$D$132:$D$147,0))*kgtoGg</f>
        <v>0.14645727650665771</v>
      </c>
      <c r="BM74" s="22">
        <f>INDEX('Activity data'!BM$24:BM$39,MATCH(Emissions!$D74,'Activity data'!$D$24:$D$39,0))*INDEX(EF!$H$84:$H$99,MATCH(Emissions!$D74,EF!$D$84:$D$99,0))*INDEX(EF!$H$100:$H$115,MATCH(Emissions!$D74,EF!$D$100:$D$115,0))*INDEX(EF!$H$132:$H$147,MATCH(Emissions!$D74,EF!$D$132:$D$147,0))*kgtoGg</f>
        <v>0.14601451310184949</v>
      </c>
      <c r="BN74" s="22">
        <f>INDEX('Activity data'!BN$24:BN$39,MATCH(Emissions!$D74,'Activity data'!$D$24:$D$39,0))*INDEX(EF!$H$84:$H$99,MATCH(Emissions!$D74,EF!$D$84:$D$99,0))*INDEX(EF!$H$100:$H$115,MATCH(Emissions!$D74,EF!$D$100:$D$115,0))*INDEX(EF!$H$132:$H$147,MATCH(Emissions!$D74,EF!$D$132:$D$147,0))*kgtoGg</f>
        <v>0.14557174969704134</v>
      </c>
      <c r="BO74" s="22">
        <f>INDEX('Activity data'!BO$24:BO$39,MATCH(Emissions!$D74,'Activity data'!$D$24:$D$39,0))*INDEX(EF!$H$84:$H$99,MATCH(Emissions!$D74,EF!$D$84:$D$99,0))*INDEX(EF!$H$100:$H$115,MATCH(Emissions!$D74,EF!$D$100:$D$115,0))*INDEX(EF!$H$132:$H$147,MATCH(Emissions!$D74,EF!$D$132:$D$147,0))*kgtoGg</f>
        <v>0.14512898629223317</v>
      </c>
      <c r="BP74" s="22">
        <f>INDEX('Activity data'!BP$24:BP$39,MATCH(Emissions!$D74,'Activity data'!$D$24:$D$39,0))*INDEX(EF!$H$84:$H$99,MATCH(Emissions!$D74,EF!$D$84:$D$99,0))*INDEX(EF!$H$100:$H$115,MATCH(Emissions!$D74,EF!$D$100:$D$115,0))*INDEX(EF!$H$132:$H$147,MATCH(Emissions!$D74,EF!$D$132:$D$147,0))*kgtoGg</f>
        <v>0.14468622288742497</v>
      </c>
    </row>
    <row r="75" spans="1:68" x14ac:dyDescent="0.3">
      <c r="A75" t="str">
        <f t="shared" si="19"/>
        <v>3C Aggregated and non-CO2 emissions on land</v>
      </c>
      <c r="B75" t="str">
        <f t="shared" si="26"/>
        <v>3C1 Biomass burning (N2O)</v>
      </c>
      <c r="C75" t="str">
        <f t="shared" si="25"/>
        <v>3C1b Biomass burning in Croplands</v>
      </c>
      <c r="D75" t="str">
        <f>EF!D105</f>
        <v>Annual pivot</v>
      </c>
      <c r="E75" t="s">
        <v>646</v>
      </c>
      <c r="F75" t="str">
        <f t="shared" si="27"/>
        <v>N2O</v>
      </c>
      <c r="G75" t="str">
        <f t="shared" si="28"/>
        <v>Gg N2O</v>
      </c>
      <c r="H75" s="22">
        <f>INDEX('Activity data'!H$24:H$39,MATCH(Emissions!$D75,'Activity data'!$D$24:$D$39,0))*INDEX(EF!$H$84:$H$99,MATCH(Emissions!$D75,EF!$D$84:$D$99,0))*INDEX(EF!$H$100:$H$115,MATCH(Emissions!$D75,EF!$D$100:$D$115,0))*INDEX(EF!$H$132:$H$147,MATCH(Emissions!$D75,EF!$D$132:$D$147,0))*kgtoGg</f>
        <v>0.18638235046954238</v>
      </c>
      <c r="I75" s="22">
        <f>INDEX('Activity data'!I$24:I$39,MATCH(Emissions!$D75,'Activity data'!$D$24:$D$39,0))*INDEX(EF!$H$84:$H$99,MATCH(Emissions!$D75,EF!$D$84:$D$99,0))*INDEX(EF!$H$100:$H$115,MATCH(Emissions!$D75,EF!$D$100:$D$115,0))*INDEX(EF!$H$132:$H$147,MATCH(Emissions!$D75,EF!$D$132:$D$147,0))*kgtoGg</f>
        <v>0.18638235046954238</v>
      </c>
      <c r="J75" s="22">
        <f>INDEX('Activity data'!J$24:J$39,MATCH(Emissions!$D75,'Activity data'!$D$24:$D$39,0))*INDEX(EF!$H$84:$H$99,MATCH(Emissions!$D75,EF!$D$84:$D$99,0))*INDEX(EF!$H$100:$H$115,MATCH(Emissions!$D75,EF!$D$100:$D$115,0))*INDEX(EF!$H$132:$H$147,MATCH(Emissions!$D75,EF!$D$132:$D$147,0))*kgtoGg</f>
        <v>0.18638235046954238</v>
      </c>
      <c r="K75" s="22">
        <f>INDEX('Activity data'!K$24:K$39,MATCH(Emissions!$D75,'Activity data'!$D$24:$D$39,0))*INDEX(EF!$H$84:$H$99,MATCH(Emissions!$D75,EF!$D$84:$D$99,0))*INDEX(EF!$H$100:$H$115,MATCH(Emissions!$D75,EF!$D$100:$D$115,0))*INDEX(EF!$H$132:$H$147,MATCH(Emissions!$D75,EF!$D$132:$D$147,0))*kgtoGg</f>
        <v>0.18638235046954238</v>
      </c>
      <c r="L75" s="22">
        <f>INDEX('Activity data'!L$24:L$39,MATCH(Emissions!$D75,'Activity data'!$D$24:$D$39,0))*INDEX(EF!$H$84:$H$99,MATCH(Emissions!$D75,EF!$D$84:$D$99,0))*INDEX(EF!$H$100:$H$115,MATCH(Emissions!$D75,EF!$D$100:$D$115,0))*INDEX(EF!$H$132:$H$147,MATCH(Emissions!$D75,EF!$D$132:$D$147,0))*kgtoGg</f>
        <v>0.18638235046954238</v>
      </c>
      <c r="M75" s="22">
        <f>INDEX('Activity data'!M$24:M$39,MATCH(Emissions!$D75,'Activity data'!$D$24:$D$39,0))*INDEX(EF!$H$84:$H$99,MATCH(Emissions!$D75,EF!$D$84:$D$99,0))*INDEX(EF!$H$100:$H$115,MATCH(Emissions!$D75,EF!$D$100:$D$115,0))*INDEX(EF!$H$132:$H$147,MATCH(Emissions!$D75,EF!$D$132:$D$147,0))*kgtoGg</f>
        <v>0.18638235046954238</v>
      </c>
      <c r="N75" s="22">
        <f>INDEX('Activity data'!N$24:N$39,MATCH(Emissions!$D75,'Activity data'!$D$24:$D$39,0))*INDEX(EF!$H$84:$H$99,MATCH(Emissions!$D75,EF!$D$84:$D$99,0))*INDEX(EF!$H$100:$H$115,MATCH(Emissions!$D75,EF!$D$100:$D$115,0))*INDEX(EF!$H$132:$H$147,MATCH(Emissions!$D75,EF!$D$132:$D$147,0))*kgtoGg</f>
        <v>0.18638235046954238</v>
      </c>
      <c r="O75" s="22">
        <f>INDEX('Activity data'!O$24:O$39,MATCH(Emissions!$D75,'Activity data'!$D$24:$D$39,0))*INDEX(EF!$H$84:$H$99,MATCH(Emissions!$D75,EF!$D$84:$D$99,0))*INDEX(EF!$H$100:$H$115,MATCH(Emissions!$D75,EF!$D$100:$D$115,0))*INDEX(EF!$H$132:$H$147,MATCH(Emissions!$D75,EF!$D$132:$D$147,0))*kgtoGg</f>
        <v>0.18638235046954238</v>
      </c>
      <c r="P75" s="22">
        <f>INDEX('Activity data'!P$24:P$39,MATCH(Emissions!$D75,'Activity data'!$D$24:$D$39,0))*INDEX(EF!$H$84:$H$99,MATCH(Emissions!$D75,EF!$D$84:$D$99,0))*INDEX(EF!$H$100:$H$115,MATCH(Emissions!$D75,EF!$D$100:$D$115,0))*INDEX(EF!$H$132:$H$147,MATCH(Emissions!$D75,EF!$D$132:$D$147,0))*kgtoGg</f>
        <v>0.18638235046954238</v>
      </c>
      <c r="Q75" s="22">
        <f>INDEX('Activity data'!Q$24:Q$39,MATCH(Emissions!$D75,'Activity data'!$D$24:$D$39,0))*INDEX(EF!$H$84:$H$99,MATCH(Emissions!$D75,EF!$D$84:$D$99,0))*INDEX(EF!$H$100:$H$115,MATCH(Emissions!$D75,EF!$D$100:$D$115,0))*INDEX(EF!$H$132:$H$147,MATCH(Emissions!$D75,EF!$D$132:$D$147,0))*kgtoGg</f>
        <v>0.18638235046954238</v>
      </c>
      <c r="R75" s="22">
        <f>INDEX('Activity data'!R$24:R$39,MATCH(Emissions!$D75,'Activity data'!$D$24:$D$39,0))*INDEX(EF!$H$84:$H$99,MATCH(Emissions!$D75,EF!$D$84:$D$99,0))*INDEX(EF!$H$100:$H$115,MATCH(Emissions!$D75,EF!$D$100:$D$115,0))*INDEX(EF!$H$132:$H$147,MATCH(Emissions!$D75,EF!$D$132:$D$147,0))*kgtoGg</f>
        <v>0.20162552508512988</v>
      </c>
      <c r="S75" s="22">
        <f>INDEX('Activity data'!S$24:S$39,MATCH(Emissions!$D75,'Activity data'!$D$24:$D$39,0))*INDEX(EF!$H$84:$H$99,MATCH(Emissions!$D75,EF!$D$84:$D$99,0))*INDEX(EF!$H$100:$H$115,MATCH(Emissions!$D75,EF!$D$100:$D$115,0))*INDEX(EF!$H$132:$H$147,MATCH(Emissions!$D75,EF!$D$132:$D$147,0))*kgtoGg</f>
        <v>0.18678033277666942</v>
      </c>
      <c r="T75" s="22">
        <f>INDEX('Activity data'!T$24:T$39,MATCH(Emissions!$D75,'Activity data'!$D$24:$D$39,0))*INDEX(EF!$H$84:$H$99,MATCH(Emissions!$D75,EF!$D$84:$D$99,0))*INDEX(EF!$H$100:$H$115,MATCH(Emissions!$D75,EF!$D$100:$D$115,0))*INDEX(EF!$H$132:$H$147,MATCH(Emissions!$D75,EF!$D$132:$D$147,0))*kgtoGg</f>
        <v>0.2287267634426163</v>
      </c>
      <c r="U75" s="22">
        <f>INDEX('Activity data'!U$24:U$39,MATCH(Emissions!$D75,'Activity data'!$D$24:$D$39,0))*INDEX(EF!$H$84:$H$99,MATCH(Emissions!$D75,EF!$D$84:$D$99,0))*INDEX(EF!$H$100:$H$115,MATCH(Emissions!$D75,EF!$D$100:$D$115,0))*INDEX(EF!$H$132:$H$147,MATCH(Emissions!$D75,EF!$D$132:$D$147,0))*kgtoGg</f>
        <v>0.17075928365169724</v>
      </c>
      <c r="V75" s="22">
        <f>INDEX('Activity data'!V$24:V$39,MATCH(Emissions!$D75,'Activity data'!$D$24:$D$39,0))*INDEX(EF!$H$84:$H$99,MATCH(Emissions!$D75,EF!$D$84:$D$99,0))*INDEX(EF!$H$100:$H$115,MATCH(Emissions!$D75,EF!$D$100:$D$115,0))*INDEX(EF!$H$132:$H$147,MATCH(Emissions!$D75,EF!$D$132:$D$147,0))*kgtoGg</f>
        <v>0.14401984739159893</v>
      </c>
      <c r="W75" s="22">
        <f>INDEX('Activity data'!W$24:W$39,MATCH(Emissions!$D75,'Activity data'!$D$24:$D$39,0))*INDEX(EF!$H$84:$H$99,MATCH(Emissions!$D75,EF!$D$84:$D$99,0))*INDEX(EF!$H$100:$H$115,MATCH(Emissions!$D75,EF!$D$100:$D$115,0))*INDEX(EF!$H$132:$H$147,MATCH(Emissions!$D75,EF!$D$132:$D$147,0))*kgtoGg</f>
        <v>0.24379808206194442</v>
      </c>
      <c r="X75" s="22">
        <f>INDEX('Activity data'!X$24:X$39,MATCH(Emissions!$D75,'Activity data'!$D$24:$D$39,0))*INDEX(EF!$H$84:$H$99,MATCH(Emissions!$D75,EF!$D$84:$D$99,0))*INDEX(EF!$H$100:$H$115,MATCH(Emissions!$D75,EF!$D$100:$D$115,0))*INDEX(EF!$H$132:$H$147,MATCH(Emissions!$D75,EF!$D$132:$D$147,0))*kgtoGg</f>
        <v>0.24850150932799131</v>
      </c>
      <c r="Y75" s="22">
        <f>INDEX('Activity data'!Y$24:Y$39,MATCH(Emissions!$D75,'Activity data'!$D$24:$D$39,0))*INDEX(EF!$H$84:$H$99,MATCH(Emissions!$D75,EF!$D$84:$D$99,0))*INDEX(EF!$H$100:$H$115,MATCH(Emissions!$D75,EF!$D$100:$D$115,0))*INDEX(EF!$H$132:$H$147,MATCH(Emissions!$D75,EF!$D$132:$D$147,0))*kgtoGg</f>
        <v>0.14049227694206379</v>
      </c>
      <c r="Z75" s="22">
        <f>INDEX('Activity data'!Z$24:Z$39,MATCH(Emissions!$D75,'Activity data'!$D$24:$D$39,0))*INDEX(EF!$H$84:$H$99,MATCH(Emissions!$D75,EF!$D$84:$D$99,0))*INDEX(EF!$H$100:$H$115,MATCH(Emissions!$D75,EF!$D$100:$D$115,0))*INDEX(EF!$H$132:$H$147,MATCH(Emissions!$D75,EF!$D$132:$D$147,0))*kgtoGg</f>
        <v>0.16253959225165854</v>
      </c>
      <c r="AA75" s="22">
        <f>INDEX('Activity data'!AA$24:AA$39,MATCH(Emissions!$D75,'Activity data'!$D$24:$D$39,0))*INDEX(EF!$H$84:$H$99,MATCH(Emissions!$D75,EF!$D$84:$D$99,0))*INDEX(EF!$H$100:$H$115,MATCH(Emissions!$D75,EF!$D$100:$D$115,0))*INDEX(EF!$H$132:$H$147,MATCH(Emissions!$D75,EF!$D$132:$D$147,0))*kgtoGg</f>
        <v>0.16079841965797775</v>
      </c>
      <c r="AB75" s="22">
        <f>INDEX('Activity data'!AB$24:AB$39,MATCH(Emissions!$D75,'Activity data'!$D$24:$D$39,0))*INDEX(EF!$H$84:$H$99,MATCH(Emissions!$D75,EF!$D$84:$D$99,0))*INDEX(EF!$H$100:$H$115,MATCH(Emissions!$D75,EF!$D$100:$D$115,0))*INDEX(EF!$H$132:$H$147,MATCH(Emissions!$D75,EF!$D$132:$D$147,0))*kgtoGg</f>
        <v>0.18131878170000001</v>
      </c>
      <c r="AC75" s="22">
        <f>INDEX('Activity data'!AC$24:AC$39,MATCH(Emissions!$D75,'Activity data'!$D$24:$D$39,0))*INDEX(EF!$H$84:$H$99,MATCH(Emissions!$D75,EF!$D$84:$D$99,0))*INDEX(EF!$H$100:$H$115,MATCH(Emissions!$D75,EF!$D$100:$D$115,0))*INDEX(EF!$H$132:$H$147,MATCH(Emissions!$D75,EF!$D$132:$D$147,0))*kgtoGg</f>
        <v>0.1894221126</v>
      </c>
      <c r="AD75" s="22">
        <f>INDEX('Activity data'!AD$24:AD$39,MATCH(Emissions!$D75,'Activity data'!$D$24:$D$39,0))*INDEX(EF!$H$84:$H$99,MATCH(Emissions!$D75,EF!$D$84:$D$99,0))*INDEX(EF!$H$100:$H$115,MATCH(Emissions!$D75,EF!$D$100:$D$115,0))*INDEX(EF!$H$132:$H$147,MATCH(Emissions!$D75,EF!$D$132:$D$147,0))*kgtoGg</f>
        <v>1.3363672472411908E-2</v>
      </c>
      <c r="AE75" s="22">
        <f>INDEX('Activity data'!AE$24:AE$39,MATCH(Emissions!$D75,'Activity data'!$D$24:$D$39,0))*INDEX(EF!$H$84:$H$99,MATCH(Emissions!$D75,EF!$D$84:$D$99,0))*INDEX(EF!$H$100:$H$115,MATCH(Emissions!$D75,EF!$D$100:$D$115,0))*INDEX(EF!$H$132:$H$147,MATCH(Emissions!$D75,EF!$D$132:$D$147,0))*kgtoGg</f>
        <v>1.3770022882720941E-2</v>
      </c>
      <c r="AF75" s="22">
        <f>INDEX('Activity data'!AF$24:AF$39,MATCH(Emissions!$D75,'Activity data'!$D$24:$D$39,0))*INDEX(EF!$H$84:$H$99,MATCH(Emissions!$D75,EF!$D$84:$D$99,0))*INDEX(EF!$H$100:$H$115,MATCH(Emissions!$D75,EF!$D$100:$D$115,0))*INDEX(EF!$H$132:$H$147,MATCH(Emissions!$D75,EF!$D$132:$D$147,0))*kgtoGg</f>
        <v>1.4176373293029969E-2</v>
      </c>
      <c r="AG75" s="22">
        <f>INDEX('Activity data'!AG$24:AG$39,MATCH(Emissions!$D75,'Activity data'!$D$24:$D$39,0))*INDEX(EF!$H$84:$H$99,MATCH(Emissions!$D75,EF!$D$84:$D$99,0))*INDEX(EF!$H$100:$H$115,MATCH(Emissions!$D75,EF!$D$100:$D$115,0))*INDEX(EF!$H$132:$H$147,MATCH(Emissions!$D75,EF!$D$132:$D$147,0))*kgtoGg</f>
        <v>1.4582723703339006E-2</v>
      </c>
      <c r="AH75" s="22">
        <f>INDEX('Activity data'!AH$24:AH$39,MATCH(Emissions!$D75,'Activity data'!$D$24:$D$39,0))*INDEX(EF!$H$84:$H$99,MATCH(Emissions!$D75,EF!$D$84:$D$99,0))*INDEX(EF!$H$100:$H$115,MATCH(Emissions!$D75,EF!$D$100:$D$115,0))*INDEX(EF!$H$132:$H$147,MATCH(Emissions!$D75,EF!$D$132:$D$147,0))*kgtoGg</f>
        <v>1.4989074113648037E-2</v>
      </c>
      <c r="AI75" s="22">
        <f>INDEX('Activity data'!AI$24:AI$39,MATCH(Emissions!$D75,'Activity data'!$D$24:$D$39,0))*INDEX(EF!$H$84:$H$99,MATCH(Emissions!$D75,EF!$D$84:$D$99,0))*INDEX(EF!$H$100:$H$115,MATCH(Emissions!$D75,EF!$D$100:$D$115,0))*INDEX(EF!$H$132:$H$147,MATCH(Emissions!$D75,EF!$D$132:$D$147,0))*kgtoGg</f>
        <v>1.5395424523957073E-2</v>
      </c>
      <c r="AJ75" s="22">
        <f>INDEX('Activity data'!AJ$24:AJ$39,MATCH(Emissions!$D75,'Activity data'!$D$24:$D$39,0))*INDEX(EF!$H$84:$H$99,MATCH(Emissions!$D75,EF!$D$84:$D$99,0))*INDEX(EF!$H$100:$H$115,MATCH(Emissions!$D75,EF!$D$100:$D$115,0))*INDEX(EF!$H$132:$H$147,MATCH(Emissions!$D75,EF!$D$132:$D$147,0))*kgtoGg</f>
        <v>1.58017749342661E-2</v>
      </c>
      <c r="AK75" s="22">
        <f>INDEX('Activity data'!AK$24:AK$39,MATCH(Emissions!$D75,'Activity data'!$D$24:$D$39,0))*INDEX(EF!$H$84:$H$99,MATCH(Emissions!$D75,EF!$D$84:$D$99,0))*INDEX(EF!$H$100:$H$115,MATCH(Emissions!$D75,EF!$D$100:$D$115,0))*INDEX(EF!$H$132:$H$147,MATCH(Emissions!$D75,EF!$D$132:$D$147,0))*kgtoGg</f>
        <v>1.6208125344575129E-2</v>
      </c>
      <c r="AL75" s="22">
        <f>INDEX('Activity data'!AL$24:AL$39,MATCH(Emissions!$D75,'Activity data'!$D$24:$D$39,0))*INDEX(EF!$H$84:$H$99,MATCH(Emissions!$D75,EF!$D$84:$D$99,0))*INDEX(EF!$H$100:$H$115,MATCH(Emissions!$D75,EF!$D$100:$D$115,0))*INDEX(EF!$H$132:$H$147,MATCH(Emissions!$D75,EF!$D$132:$D$147,0))*kgtoGg</f>
        <v>1.6614475754884166E-2</v>
      </c>
      <c r="AM75" s="22">
        <f>INDEX('Activity data'!AM$24:AM$39,MATCH(Emissions!$D75,'Activity data'!$D$24:$D$39,0))*INDEX(EF!$H$84:$H$99,MATCH(Emissions!$D75,EF!$D$84:$D$99,0))*INDEX(EF!$H$100:$H$115,MATCH(Emissions!$D75,EF!$D$100:$D$115,0))*INDEX(EF!$H$132:$H$147,MATCH(Emissions!$D75,EF!$D$132:$D$147,0))*kgtoGg</f>
        <v>1.7020826165193202E-2</v>
      </c>
      <c r="AN75" s="22">
        <f>INDEX('Activity data'!AN$24:AN$39,MATCH(Emissions!$D75,'Activity data'!$D$24:$D$39,0))*INDEX(EF!$H$84:$H$99,MATCH(Emissions!$D75,EF!$D$84:$D$99,0))*INDEX(EF!$H$100:$H$115,MATCH(Emissions!$D75,EF!$D$100:$D$115,0))*INDEX(EF!$H$132:$H$147,MATCH(Emissions!$D75,EF!$D$132:$D$147,0))*kgtoGg</f>
        <v>1.7427176575502232E-2</v>
      </c>
      <c r="AO75" s="22">
        <f>INDEX('Activity data'!AO$24:AO$39,MATCH(Emissions!$D75,'Activity data'!$D$24:$D$39,0))*INDEX(EF!$H$84:$H$99,MATCH(Emissions!$D75,EF!$D$84:$D$99,0))*INDEX(EF!$H$100:$H$115,MATCH(Emissions!$D75,EF!$D$100:$D$115,0))*INDEX(EF!$H$132:$H$147,MATCH(Emissions!$D75,EF!$D$132:$D$147,0))*kgtoGg</f>
        <v>1.7833526985811265E-2</v>
      </c>
      <c r="AP75" s="22">
        <f>INDEX('Activity data'!AP$24:AP$39,MATCH(Emissions!$D75,'Activity data'!$D$24:$D$39,0))*INDEX(EF!$H$84:$H$99,MATCH(Emissions!$D75,EF!$D$84:$D$99,0))*INDEX(EF!$H$100:$H$115,MATCH(Emissions!$D75,EF!$D$100:$D$115,0))*INDEX(EF!$H$132:$H$147,MATCH(Emissions!$D75,EF!$D$132:$D$147,0))*kgtoGg</f>
        <v>1.8239877396120294E-2</v>
      </c>
      <c r="AQ75" s="22">
        <f>INDEX('Activity data'!AQ$24:AQ$39,MATCH(Emissions!$D75,'Activity data'!$D$24:$D$39,0))*INDEX(EF!$H$84:$H$99,MATCH(Emissions!$D75,EF!$D$84:$D$99,0))*INDEX(EF!$H$100:$H$115,MATCH(Emissions!$D75,EF!$D$100:$D$115,0))*INDEX(EF!$H$132:$H$147,MATCH(Emissions!$D75,EF!$D$132:$D$147,0))*kgtoGg</f>
        <v>1.8646227806429327E-2</v>
      </c>
      <c r="AR75" s="22">
        <f>INDEX('Activity data'!AR$24:AR$39,MATCH(Emissions!$D75,'Activity data'!$D$24:$D$39,0))*INDEX(EF!$H$84:$H$99,MATCH(Emissions!$D75,EF!$D$84:$D$99,0))*INDEX(EF!$H$100:$H$115,MATCH(Emissions!$D75,EF!$D$100:$D$115,0))*INDEX(EF!$H$132:$H$147,MATCH(Emissions!$D75,EF!$D$132:$D$147,0))*kgtoGg</f>
        <v>1.9052578216738364E-2</v>
      </c>
      <c r="AS75" s="22">
        <f>INDEX('Activity data'!AS$24:AS$39,MATCH(Emissions!$D75,'Activity data'!$D$24:$D$39,0))*INDEX(EF!$H$84:$H$99,MATCH(Emissions!$D75,EF!$D$84:$D$99,0))*INDEX(EF!$H$100:$H$115,MATCH(Emissions!$D75,EF!$D$100:$D$115,0))*INDEX(EF!$H$132:$H$147,MATCH(Emissions!$D75,EF!$D$132:$D$147,0))*kgtoGg</f>
        <v>1.9458928627047394E-2</v>
      </c>
      <c r="AT75" s="22">
        <f>INDEX('Activity data'!AT$24:AT$39,MATCH(Emissions!$D75,'Activity data'!$D$24:$D$39,0))*INDEX(EF!$H$84:$H$99,MATCH(Emissions!$D75,EF!$D$84:$D$99,0))*INDEX(EF!$H$100:$H$115,MATCH(Emissions!$D75,EF!$D$100:$D$115,0))*INDEX(EF!$H$132:$H$147,MATCH(Emissions!$D75,EF!$D$132:$D$147,0))*kgtoGg</f>
        <v>1.986527903735643E-2</v>
      </c>
      <c r="AU75" s="22">
        <f>INDEX('Activity data'!AU$24:AU$39,MATCH(Emissions!$D75,'Activity data'!$D$24:$D$39,0))*INDEX(EF!$H$84:$H$99,MATCH(Emissions!$D75,EF!$D$84:$D$99,0))*INDEX(EF!$H$100:$H$115,MATCH(Emissions!$D75,EF!$D$100:$D$115,0))*INDEX(EF!$H$132:$H$147,MATCH(Emissions!$D75,EF!$D$132:$D$147,0))*kgtoGg</f>
        <v>2.027162944766546E-2</v>
      </c>
      <c r="AV75" s="22">
        <f>INDEX('Activity data'!AV$24:AV$39,MATCH(Emissions!$D75,'Activity data'!$D$24:$D$39,0))*INDEX(EF!$H$84:$H$99,MATCH(Emissions!$D75,EF!$D$84:$D$99,0))*INDEX(EF!$H$100:$H$115,MATCH(Emissions!$D75,EF!$D$100:$D$115,0))*INDEX(EF!$H$132:$H$147,MATCH(Emissions!$D75,EF!$D$132:$D$147,0))*kgtoGg</f>
        <v>2.0677979857974496E-2</v>
      </c>
      <c r="AW75" s="22">
        <f>INDEX('Activity data'!AW$24:AW$39,MATCH(Emissions!$D75,'Activity data'!$D$24:$D$39,0))*INDEX(EF!$H$84:$H$99,MATCH(Emissions!$D75,EF!$D$84:$D$99,0))*INDEX(EF!$H$100:$H$115,MATCH(Emissions!$D75,EF!$D$100:$D$115,0))*INDEX(EF!$H$132:$H$147,MATCH(Emissions!$D75,EF!$D$132:$D$147,0))*kgtoGg</f>
        <v>2.1084330268283526E-2</v>
      </c>
      <c r="AX75" s="22">
        <f>INDEX('Activity data'!AX$24:AX$39,MATCH(Emissions!$D75,'Activity data'!$D$24:$D$39,0))*INDEX(EF!$H$84:$H$99,MATCH(Emissions!$D75,EF!$D$84:$D$99,0))*INDEX(EF!$H$100:$H$115,MATCH(Emissions!$D75,EF!$D$100:$D$115,0))*INDEX(EF!$H$132:$H$147,MATCH(Emissions!$D75,EF!$D$132:$D$147,0))*kgtoGg</f>
        <v>2.1490680678592562E-2</v>
      </c>
      <c r="AY75" s="22">
        <f>INDEX('Activity data'!AY$24:AY$39,MATCH(Emissions!$D75,'Activity data'!$D$24:$D$39,0))*INDEX(EF!$H$84:$H$99,MATCH(Emissions!$D75,EF!$D$84:$D$99,0))*INDEX(EF!$H$100:$H$115,MATCH(Emissions!$D75,EF!$D$100:$D$115,0))*INDEX(EF!$H$132:$H$147,MATCH(Emissions!$D75,EF!$D$132:$D$147,0))*kgtoGg</f>
        <v>2.1897031088901588E-2</v>
      </c>
      <c r="AZ75" s="22">
        <f>INDEX('Activity data'!AZ$24:AZ$39,MATCH(Emissions!$D75,'Activity data'!$D$24:$D$39,0))*INDEX(EF!$H$84:$H$99,MATCH(Emissions!$D75,EF!$D$84:$D$99,0))*INDEX(EF!$H$100:$H$115,MATCH(Emissions!$D75,EF!$D$100:$D$115,0))*INDEX(EF!$H$132:$H$147,MATCH(Emissions!$D75,EF!$D$132:$D$147,0))*kgtoGg</f>
        <v>2.2303381499210621E-2</v>
      </c>
      <c r="BA75" s="22">
        <f>INDEX('Activity data'!BA$24:BA$39,MATCH(Emissions!$D75,'Activity data'!$D$24:$D$39,0))*INDEX(EF!$H$84:$H$99,MATCH(Emissions!$D75,EF!$D$84:$D$99,0))*INDEX(EF!$H$100:$H$115,MATCH(Emissions!$D75,EF!$D$100:$D$115,0))*INDEX(EF!$H$132:$H$147,MATCH(Emissions!$D75,EF!$D$132:$D$147,0))*kgtoGg</f>
        <v>2.2709731909519658E-2</v>
      </c>
      <c r="BB75" s="22">
        <f>INDEX('Activity data'!BB$24:BB$39,MATCH(Emissions!$D75,'Activity data'!$D$24:$D$39,0))*INDEX(EF!$H$84:$H$99,MATCH(Emissions!$D75,EF!$D$84:$D$99,0))*INDEX(EF!$H$100:$H$115,MATCH(Emissions!$D75,EF!$D$100:$D$115,0))*INDEX(EF!$H$132:$H$147,MATCH(Emissions!$D75,EF!$D$132:$D$147,0))*kgtoGg</f>
        <v>2.3116082319828691E-2</v>
      </c>
      <c r="BC75" s="22">
        <f>INDEX('Activity data'!BC$24:BC$39,MATCH(Emissions!$D75,'Activity data'!$D$24:$D$39,0))*INDEX(EF!$H$84:$H$99,MATCH(Emissions!$D75,EF!$D$84:$D$99,0))*INDEX(EF!$H$100:$H$115,MATCH(Emissions!$D75,EF!$D$100:$D$115,0))*INDEX(EF!$H$132:$H$147,MATCH(Emissions!$D75,EF!$D$132:$D$147,0))*kgtoGg</f>
        <v>2.3522432730137724E-2</v>
      </c>
      <c r="BD75" s="22">
        <f>INDEX('Activity data'!BD$24:BD$39,MATCH(Emissions!$D75,'Activity data'!$D$24:$D$39,0))*INDEX(EF!$H$84:$H$99,MATCH(Emissions!$D75,EF!$D$84:$D$99,0))*INDEX(EF!$H$100:$H$115,MATCH(Emissions!$D75,EF!$D$100:$D$115,0))*INDEX(EF!$H$132:$H$147,MATCH(Emissions!$D75,EF!$D$132:$D$147,0))*kgtoGg</f>
        <v>2.392878314044675E-2</v>
      </c>
      <c r="BE75" s="22">
        <f>INDEX('Activity data'!BE$24:BE$39,MATCH(Emissions!$D75,'Activity data'!$D$24:$D$39,0))*INDEX(EF!$H$84:$H$99,MATCH(Emissions!$D75,EF!$D$84:$D$99,0))*INDEX(EF!$H$100:$H$115,MATCH(Emissions!$D75,EF!$D$100:$D$115,0))*INDEX(EF!$H$132:$H$147,MATCH(Emissions!$D75,EF!$D$132:$D$147,0))*kgtoGg</f>
        <v>2.433513355075579E-2</v>
      </c>
      <c r="BF75" s="22">
        <f>INDEX('Activity data'!BF$24:BF$39,MATCH(Emissions!$D75,'Activity data'!$D$24:$D$39,0))*INDEX(EF!$H$84:$H$99,MATCH(Emissions!$D75,EF!$D$84:$D$99,0))*INDEX(EF!$H$100:$H$115,MATCH(Emissions!$D75,EF!$D$100:$D$115,0))*INDEX(EF!$H$132:$H$147,MATCH(Emissions!$D75,EF!$D$132:$D$147,0))*kgtoGg</f>
        <v>2.4741483961064823E-2</v>
      </c>
      <c r="BG75" s="22">
        <f>INDEX('Activity data'!BG$24:BG$39,MATCH(Emissions!$D75,'Activity data'!$D$24:$D$39,0))*INDEX(EF!$H$84:$H$99,MATCH(Emissions!$D75,EF!$D$84:$D$99,0))*INDEX(EF!$H$100:$H$115,MATCH(Emissions!$D75,EF!$D$100:$D$115,0))*INDEX(EF!$H$132:$H$147,MATCH(Emissions!$D75,EF!$D$132:$D$147,0))*kgtoGg</f>
        <v>2.5147834371373849E-2</v>
      </c>
      <c r="BH75" s="22">
        <f>INDEX('Activity data'!BH$24:BH$39,MATCH(Emissions!$D75,'Activity data'!$D$24:$D$39,0))*INDEX(EF!$H$84:$H$99,MATCH(Emissions!$D75,EF!$D$84:$D$99,0))*INDEX(EF!$H$100:$H$115,MATCH(Emissions!$D75,EF!$D$100:$D$115,0))*INDEX(EF!$H$132:$H$147,MATCH(Emissions!$D75,EF!$D$132:$D$147,0))*kgtoGg</f>
        <v>2.5554184781682879E-2</v>
      </c>
      <c r="BI75" s="22">
        <f>INDEX('Activity data'!BI$24:BI$39,MATCH(Emissions!$D75,'Activity data'!$D$24:$D$39,0))*INDEX(EF!$H$84:$H$99,MATCH(Emissions!$D75,EF!$D$84:$D$99,0))*INDEX(EF!$H$100:$H$115,MATCH(Emissions!$D75,EF!$D$100:$D$115,0))*INDEX(EF!$H$132:$H$147,MATCH(Emissions!$D75,EF!$D$132:$D$147,0))*kgtoGg</f>
        <v>2.5960535191991915E-2</v>
      </c>
      <c r="BJ75" s="22">
        <f>INDEX('Activity data'!BJ$24:BJ$39,MATCH(Emissions!$D75,'Activity data'!$D$24:$D$39,0))*INDEX(EF!$H$84:$H$99,MATCH(Emissions!$D75,EF!$D$84:$D$99,0))*INDEX(EF!$H$100:$H$115,MATCH(Emissions!$D75,EF!$D$100:$D$115,0))*INDEX(EF!$H$132:$H$147,MATCH(Emissions!$D75,EF!$D$132:$D$147,0))*kgtoGg</f>
        <v>2.6366885602300948E-2</v>
      </c>
      <c r="BK75" s="22">
        <f>INDEX('Activity data'!BK$24:BK$39,MATCH(Emissions!$D75,'Activity data'!$D$24:$D$39,0))*INDEX(EF!$H$84:$H$99,MATCH(Emissions!$D75,EF!$D$84:$D$99,0))*INDEX(EF!$H$100:$H$115,MATCH(Emissions!$D75,EF!$D$100:$D$115,0))*INDEX(EF!$H$132:$H$147,MATCH(Emissions!$D75,EF!$D$132:$D$147,0))*kgtoGg</f>
        <v>2.6773236012609978E-2</v>
      </c>
      <c r="BL75" s="22">
        <f>INDEX('Activity data'!BL$24:BL$39,MATCH(Emissions!$D75,'Activity data'!$D$24:$D$39,0))*INDEX(EF!$H$84:$H$99,MATCH(Emissions!$D75,EF!$D$84:$D$99,0))*INDEX(EF!$H$100:$H$115,MATCH(Emissions!$D75,EF!$D$100:$D$115,0))*INDEX(EF!$H$132:$H$147,MATCH(Emissions!$D75,EF!$D$132:$D$147,0))*kgtoGg</f>
        <v>2.7179586422919014E-2</v>
      </c>
      <c r="BM75" s="22">
        <f>INDEX('Activity data'!BM$24:BM$39,MATCH(Emissions!$D75,'Activity data'!$D$24:$D$39,0))*INDEX(EF!$H$84:$H$99,MATCH(Emissions!$D75,EF!$D$84:$D$99,0))*INDEX(EF!$H$100:$H$115,MATCH(Emissions!$D75,EF!$D$100:$D$115,0))*INDEX(EF!$H$132:$H$147,MATCH(Emissions!$D75,EF!$D$132:$D$147,0))*kgtoGg</f>
        <v>2.7585936833228034E-2</v>
      </c>
      <c r="BN75" s="22">
        <f>INDEX('Activity data'!BN$24:BN$39,MATCH(Emissions!$D75,'Activity data'!$D$24:$D$39,0))*INDEX(EF!$H$84:$H$99,MATCH(Emissions!$D75,EF!$D$84:$D$99,0))*INDEX(EF!$H$100:$H$115,MATCH(Emissions!$D75,EF!$D$100:$D$115,0))*INDEX(EF!$H$132:$H$147,MATCH(Emissions!$D75,EF!$D$132:$D$147,0))*kgtoGg</f>
        <v>2.7992287243537067E-2</v>
      </c>
      <c r="BO75" s="22">
        <f>INDEX('Activity data'!BO$24:BO$39,MATCH(Emissions!$D75,'Activity data'!$D$24:$D$39,0))*INDEX(EF!$H$84:$H$99,MATCH(Emissions!$D75,EF!$D$84:$D$99,0))*INDEX(EF!$H$100:$H$115,MATCH(Emissions!$D75,EF!$D$100:$D$115,0))*INDEX(EF!$H$132:$H$147,MATCH(Emissions!$D75,EF!$D$132:$D$147,0))*kgtoGg</f>
        <v>2.8398637653846096E-2</v>
      </c>
      <c r="BP75" s="22">
        <f>INDEX('Activity data'!BP$24:BP$39,MATCH(Emissions!$D75,'Activity data'!$D$24:$D$39,0))*INDEX(EF!$H$84:$H$99,MATCH(Emissions!$D75,EF!$D$84:$D$99,0))*INDEX(EF!$H$100:$H$115,MATCH(Emissions!$D75,EF!$D$100:$D$115,0))*INDEX(EF!$H$132:$H$147,MATCH(Emissions!$D75,EF!$D$132:$D$147,0))*kgtoGg</f>
        <v>2.8804988064155126E-2</v>
      </c>
    </row>
    <row r="76" spans="1:68" x14ac:dyDescent="0.3">
      <c r="A76" t="str">
        <f t="shared" si="19"/>
        <v>3C Aggregated and non-CO2 emissions on land</v>
      </c>
      <c r="B76" t="str">
        <f t="shared" si="26"/>
        <v>3C1 Biomass burning (N2O)</v>
      </c>
      <c r="C76" t="str">
        <f t="shared" si="25"/>
        <v>3C1b Biomass burning in Croplands</v>
      </c>
      <c r="D76" t="str">
        <f>EF!D106</f>
        <v>Perennial orchards</v>
      </c>
      <c r="E76" t="s">
        <v>647</v>
      </c>
      <c r="F76" t="str">
        <f t="shared" si="27"/>
        <v>N2O</v>
      </c>
      <c r="G76" t="str">
        <f t="shared" si="28"/>
        <v>Gg N2O</v>
      </c>
      <c r="H76" s="22">
        <f>INDEX('Activity data'!H$24:H$39,MATCH(Emissions!$D76,'Activity data'!$D$24:$D$39,0))*INDEX(EF!$H$84:$H$99,MATCH(Emissions!$D76,EF!$D$84:$D$99,0))*INDEX(EF!$H$100:$H$115,MATCH(Emissions!$D76,EF!$D$100:$D$115,0))*INDEX(EF!$H$132:$H$147,MATCH(Emissions!$D76,EF!$D$132:$D$147,0))*kgtoGg</f>
        <v>1.3318839710103907E-3</v>
      </c>
      <c r="I76" s="22">
        <f>INDEX('Activity data'!I$24:I$39,MATCH(Emissions!$D76,'Activity data'!$D$24:$D$39,0))*INDEX(EF!$H$84:$H$99,MATCH(Emissions!$D76,EF!$D$84:$D$99,0))*INDEX(EF!$H$100:$H$115,MATCH(Emissions!$D76,EF!$D$100:$D$115,0))*INDEX(EF!$H$132:$H$147,MATCH(Emissions!$D76,EF!$D$132:$D$147,0))*kgtoGg</f>
        <v>1.3318839710103907E-3</v>
      </c>
      <c r="J76" s="22">
        <f>INDEX('Activity data'!J$24:J$39,MATCH(Emissions!$D76,'Activity data'!$D$24:$D$39,0))*INDEX(EF!$H$84:$H$99,MATCH(Emissions!$D76,EF!$D$84:$D$99,0))*INDEX(EF!$H$100:$H$115,MATCH(Emissions!$D76,EF!$D$100:$D$115,0))*INDEX(EF!$H$132:$H$147,MATCH(Emissions!$D76,EF!$D$132:$D$147,0))*kgtoGg</f>
        <v>1.3318839710103907E-3</v>
      </c>
      <c r="K76" s="22">
        <f>INDEX('Activity data'!K$24:K$39,MATCH(Emissions!$D76,'Activity data'!$D$24:$D$39,0))*INDEX(EF!$H$84:$H$99,MATCH(Emissions!$D76,EF!$D$84:$D$99,0))*INDEX(EF!$H$100:$H$115,MATCH(Emissions!$D76,EF!$D$100:$D$115,0))*INDEX(EF!$H$132:$H$147,MATCH(Emissions!$D76,EF!$D$132:$D$147,0))*kgtoGg</f>
        <v>1.3318839710103907E-3</v>
      </c>
      <c r="L76" s="22">
        <f>INDEX('Activity data'!L$24:L$39,MATCH(Emissions!$D76,'Activity data'!$D$24:$D$39,0))*INDEX(EF!$H$84:$H$99,MATCH(Emissions!$D76,EF!$D$84:$D$99,0))*INDEX(EF!$H$100:$H$115,MATCH(Emissions!$D76,EF!$D$100:$D$115,0))*INDEX(EF!$H$132:$H$147,MATCH(Emissions!$D76,EF!$D$132:$D$147,0))*kgtoGg</f>
        <v>1.3318839710103907E-3</v>
      </c>
      <c r="M76" s="22">
        <f>INDEX('Activity data'!M$24:M$39,MATCH(Emissions!$D76,'Activity data'!$D$24:$D$39,0))*INDEX(EF!$H$84:$H$99,MATCH(Emissions!$D76,EF!$D$84:$D$99,0))*INDEX(EF!$H$100:$H$115,MATCH(Emissions!$D76,EF!$D$100:$D$115,0))*INDEX(EF!$H$132:$H$147,MATCH(Emissions!$D76,EF!$D$132:$D$147,0))*kgtoGg</f>
        <v>1.3318839710103907E-3</v>
      </c>
      <c r="N76" s="22">
        <f>INDEX('Activity data'!N$24:N$39,MATCH(Emissions!$D76,'Activity data'!$D$24:$D$39,0))*INDEX(EF!$H$84:$H$99,MATCH(Emissions!$D76,EF!$D$84:$D$99,0))*INDEX(EF!$H$100:$H$115,MATCH(Emissions!$D76,EF!$D$100:$D$115,0))*INDEX(EF!$H$132:$H$147,MATCH(Emissions!$D76,EF!$D$132:$D$147,0))*kgtoGg</f>
        <v>1.3318839710103907E-3</v>
      </c>
      <c r="O76" s="22">
        <f>INDEX('Activity data'!O$24:O$39,MATCH(Emissions!$D76,'Activity data'!$D$24:$D$39,0))*INDEX(EF!$H$84:$H$99,MATCH(Emissions!$D76,EF!$D$84:$D$99,0))*INDEX(EF!$H$100:$H$115,MATCH(Emissions!$D76,EF!$D$100:$D$115,0))*INDEX(EF!$H$132:$H$147,MATCH(Emissions!$D76,EF!$D$132:$D$147,0))*kgtoGg</f>
        <v>1.3318839710103907E-3</v>
      </c>
      <c r="P76" s="22">
        <f>INDEX('Activity data'!P$24:P$39,MATCH(Emissions!$D76,'Activity data'!$D$24:$D$39,0))*INDEX(EF!$H$84:$H$99,MATCH(Emissions!$D76,EF!$D$84:$D$99,0))*INDEX(EF!$H$100:$H$115,MATCH(Emissions!$D76,EF!$D$100:$D$115,0))*INDEX(EF!$H$132:$H$147,MATCH(Emissions!$D76,EF!$D$132:$D$147,0))*kgtoGg</f>
        <v>1.3318839710103907E-3</v>
      </c>
      <c r="Q76" s="22">
        <f>INDEX('Activity data'!Q$24:Q$39,MATCH(Emissions!$D76,'Activity data'!$D$24:$D$39,0))*INDEX(EF!$H$84:$H$99,MATCH(Emissions!$D76,EF!$D$84:$D$99,0))*INDEX(EF!$H$100:$H$115,MATCH(Emissions!$D76,EF!$D$100:$D$115,0))*INDEX(EF!$H$132:$H$147,MATCH(Emissions!$D76,EF!$D$132:$D$147,0))*kgtoGg</f>
        <v>1.3318839710103907E-3</v>
      </c>
      <c r="R76" s="22">
        <f>INDEX('Activity data'!R$24:R$39,MATCH(Emissions!$D76,'Activity data'!$D$24:$D$39,0))*INDEX(EF!$H$84:$H$99,MATCH(Emissions!$D76,EF!$D$84:$D$99,0))*INDEX(EF!$H$100:$H$115,MATCH(Emissions!$D76,EF!$D$100:$D$115,0))*INDEX(EF!$H$132:$H$147,MATCH(Emissions!$D76,EF!$D$132:$D$147,0))*kgtoGg</f>
        <v>1.0175683989043735E-3</v>
      </c>
      <c r="S76" s="22">
        <f>INDEX('Activity data'!S$24:S$39,MATCH(Emissions!$D76,'Activity data'!$D$24:$D$39,0))*INDEX(EF!$H$84:$H$99,MATCH(Emissions!$D76,EF!$D$84:$D$99,0))*INDEX(EF!$H$100:$H$115,MATCH(Emissions!$D76,EF!$D$100:$D$115,0))*INDEX(EF!$H$132:$H$147,MATCH(Emissions!$D76,EF!$D$132:$D$147,0))*kgtoGg</f>
        <v>1.9559925890050732E-3</v>
      </c>
      <c r="T76" s="22">
        <f>INDEX('Activity data'!T$24:T$39,MATCH(Emissions!$D76,'Activity data'!$D$24:$D$39,0))*INDEX(EF!$H$84:$H$99,MATCH(Emissions!$D76,EF!$D$84:$D$99,0))*INDEX(EF!$H$100:$H$115,MATCH(Emissions!$D76,EF!$D$100:$D$115,0))*INDEX(EF!$H$132:$H$147,MATCH(Emissions!$D76,EF!$D$132:$D$147,0))*kgtoGg</f>
        <v>1.4245957584661227E-3</v>
      </c>
      <c r="U76" s="22">
        <f>INDEX('Activity data'!U$24:U$39,MATCH(Emissions!$D76,'Activity data'!$D$24:$D$39,0))*INDEX(EF!$H$84:$H$99,MATCH(Emissions!$D76,EF!$D$84:$D$99,0))*INDEX(EF!$H$100:$H$115,MATCH(Emissions!$D76,EF!$D$100:$D$115,0))*INDEX(EF!$H$132:$H$147,MATCH(Emissions!$D76,EF!$D$132:$D$147,0))*kgtoGg</f>
        <v>1.4585147050962684E-3</v>
      </c>
      <c r="V76" s="22">
        <f>INDEX('Activity data'!V$24:V$39,MATCH(Emissions!$D76,'Activity data'!$D$24:$D$39,0))*INDEX(EF!$H$84:$H$99,MATCH(Emissions!$D76,EF!$D$84:$D$99,0))*INDEX(EF!$H$100:$H$115,MATCH(Emissions!$D76,EF!$D$100:$D$115,0))*INDEX(EF!$H$132:$H$147,MATCH(Emissions!$D76,EF!$D$132:$D$147,0))*kgtoGg</f>
        <v>8.0274840358011664E-4</v>
      </c>
      <c r="W76" s="22">
        <f>INDEX('Activity data'!W$24:W$39,MATCH(Emissions!$D76,'Activity data'!$D$24:$D$39,0))*INDEX(EF!$H$84:$H$99,MATCH(Emissions!$D76,EF!$D$84:$D$99,0))*INDEX(EF!$H$100:$H$115,MATCH(Emissions!$D76,EF!$D$100:$D$115,0))*INDEX(EF!$H$132:$H$147,MATCH(Emissions!$D76,EF!$D$132:$D$147,0))*kgtoGg</f>
        <v>1.8090104869411081E-3</v>
      </c>
      <c r="X76" s="22">
        <f>INDEX('Activity data'!X$24:X$39,MATCH(Emissions!$D76,'Activity data'!$D$24:$D$39,0))*INDEX(EF!$H$84:$H$99,MATCH(Emissions!$D76,EF!$D$84:$D$99,0))*INDEX(EF!$H$100:$H$115,MATCH(Emissions!$D76,EF!$D$100:$D$115,0))*INDEX(EF!$H$132:$H$147,MATCH(Emissions!$D76,EF!$D$132:$D$147,0))*kgtoGg</f>
        <v>1.2550010253153938E-3</v>
      </c>
      <c r="Y76" s="22">
        <f>INDEX('Activity data'!Y$24:Y$39,MATCH(Emissions!$D76,'Activity data'!$D$24:$D$39,0))*INDEX(EF!$H$84:$H$99,MATCH(Emissions!$D76,EF!$D$84:$D$99,0))*INDEX(EF!$H$100:$H$115,MATCH(Emissions!$D76,EF!$D$100:$D$115,0))*INDEX(EF!$H$132:$H$147,MATCH(Emissions!$D76,EF!$D$132:$D$147,0))*kgtoGg</f>
        <v>2.1821188998727113E-3</v>
      </c>
      <c r="Z76" s="22">
        <f>INDEX('Activity data'!Z$24:Z$39,MATCH(Emissions!$D76,'Activity data'!$D$24:$D$39,0))*INDEX(EF!$H$84:$H$99,MATCH(Emissions!$D76,EF!$D$84:$D$99,0))*INDEX(EF!$H$100:$H$115,MATCH(Emissions!$D76,EF!$D$100:$D$115,0))*INDEX(EF!$H$132:$H$147,MATCH(Emissions!$D76,EF!$D$132:$D$147,0))*kgtoGg</f>
        <v>2.7813536236719538E-3</v>
      </c>
      <c r="AA76" s="22">
        <f>INDEX('Activity data'!AA$24:AA$39,MATCH(Emissions!$D76,'Activity data'!$D$24:$D$39,0))*INDEX(EF!$H$84:$H$99,MATCH(Emissions!$D76,EF!$D$84:$D$99,0))*INDEX(EF!$H$100:$H$115,MATCH(Emissions!$D76,EF!$D$100:$D$115,0))*INDEX(EF!$H$132:$H$147,MATCH(Emissions!$D76,EF!$D$132:$D$147,0))*kgtoGg</f>
        <v>1.1871631320551021E-3</v>
      </c>
      <c r="AB76" s="22">
        <f>INDEX('Activity data'!AB$24:AB$39,MATCH(Emissions!$D76,'Activity data'!$D$24:$D$39,0))*INDEX(EF!$H$84:$H$99,MATCH(Emissions!$D76,EF!$D$84:$D$99,0))*INDEX(EF!$H$100:$H$115,MATCH(Emissions!$D76,EF!$D$100:$D$115,0))*INDEX(EF!$H$132:$H$147,MATCH(Emissions!$D76,EF!$D$132:$D$147,0))*kgtoGg</f>
        <v>1.9954808999999999E-3</v>
      </c>
      <c r="AC76" s="22">
        <f>INDEX('Activity data'!AC$24:AC$39,MATCH(Emissions!$D76,'Activity data'!$D$24:$D$39,0))*INDEX(EF!$H$84:$H$99,MATCH(Emissions!$D76,EF!$D$84:$D$99,0))*INDEX(EF!$H$100:$H$115,MATCH(Emissions!$D76,EF!$D$100:$D$115,0))*INDEX(EF!$H$132:$H$147,MATCH(Emissions!$D76,EF!$D$132:$D$147,0))*kgtoGg</f>
        <v>1.5262569E-3</v>
      </c>
      <c r="AD76" s="22">
        <f>INDEX('Activity data'!AD$24:AD$39,MATCH(Emissions!$D76,'Activity data'!$D$24:$D$39,0))*INDEX(EF!$H$84:$H$99,MATCH(Emissions!$D76,EF!$D$84:$D$99,0))*INDEX(EF!$H$100:$H$115,MATCH(Emissions!$D76,EF!$D$100:$D$115,0))*INDEX(EF!$H$132:$H$147,MATCH(Emissions!$D76,EF!$D$132:$D$147,0))*kgtoGg</f>
        <v>1.5816881190357272E-3</v>
      </c>
      <c r="AE76" s="22">
        <f>INDEX('Activity data'!AE$24:AE$39,MATCH(Emissions!$D76,'Activity data'!$D$24:$D$39,0))*INDEX(EF!$H$84:$H$99,MATCH(Emissions!$D76,EF!$D$84:$D$99,0))*INDEX(EF!$H$100:$H$115,MATCH(Emissions!$D76,EF!$D$100:$D$115,0))*INDEX(EF!$H$132:$H$147,MATCH(Emissions!$D76,EF!$D$132:$D$147,0))*kgtoGg</f>
        <v>1.5951964157097593E-3</v>
      </c>
      <c r="AF76" s="22">
        <f>INDEX('Activity data'!AF$24:AF$39,MATCH(Emissions!$D76,'Activity data'!$D$24:$D$39,0))*INDEX(EF!$H$84:$H$99,MATCH(Emissions!$D76,EF!$D$84:$D$99,0))*INDEX(EF!$H$100:$H$115,MATCH(Emissions!$D76,EF!$D$100:$D$115,0))*INDEX(EF!$H$132:$H$147,MATCH(Emissions!$D76,EF!$D$132:$D$147,0))*kgtoGg</f>
        <v>1.6087047123837911E-3</v>
      </c>
      <c r="AG76" s="22">
        <f>INDEX('Activity data'!AG$24:AG$39,MATCH(Emissions!$D76,'Activity data'!$D$24:$D$39,0))*INDEX(EF!$H$84:$H$99,MATCH(Emissions!$D76,EF!$D$84:$D$99,0))*INDEX(EF!$H$100:$H$115,MATCH(Emissions!$D76,EF!$D$100:$D$115,0))*INDEX(EF!$H$132:$H$147,MATCH(Emissions!$D76,EF!$D$132:$D$147,0))*kgtoGg</f>
        <v>1.6222130090578235E-3</v>
      </c>
      <c r="AH76" s="22">
        <f>INDEX('Activity data'!AH$24:AH$39,MATCH(Emissions!$D76,'Activity data'!$D$24:$D$39,0))*INDEX(EF!$H$84:$H$99,MATCH(Emissions!$D76,EF!$D$84:$D$99,0))*INDEX(EF!$H$100:$H$115,MATCH(Emissions!$D76,EF!$D$100:$D$115,0))*INDEX(EF!$H$132:$H$147,MATCH(Emissions!$D76,EF!$D$132:$D$147,0))*kgtoGg</f>
        <v>1.6357213057318551E-3</v>
      </c>
      <c r="AI76" s="22">
        <f>INDEX('Activity data'!AI$24:AI$39,MATCH(Emissions!$D76,'Activity data'!$D$24:$D$39,0))*INDEX(EF!$H$84:$H$99,MATCH(Emissions!$D76,EF!$D$84:$D$99,0))*INDEX(EF!$H$100:$H$115,MATCH(Emissions!$D76,EF!$D$100:$D$115,0))*INDEX(EF!$H$132:$H$147,MATCH(Emissions!$D76,EF!$D$132:$D$147,0))*kgtoGg</f>
        <v>1.6492296024058872E-3</v>
      </c>
      <c r="AJ76" s="22">
        <f>INDEX('Activity data'!AJ$24:AJ$39,MATCH(Emissions!$D76,'Activity data'!$D$24:$D$39,0))*INDEX(EF!$H$84:$H$99,MATCH(Emissions!$D76,EF!$D$84:$D$99,0))*INDEX(EF!$H$100:$H$115,MATCH(Emissions!$D76,EF!$D$100:$D$115,0))*INDEX(EF!$H$132:$H$147,MATCH(Emissions!$D76,EF!$D$132:$D$147,0))*kgtoGg</f>
        <v>1.6627378990799191E-3</v>
      </c>
      <c r="AK76" s="22">
        <f>INDEX('Activity data'!AK$24:AK$39,MATCH(Emissions!$D76,'Activity data'!$D$24:$D$39,0))*INDEX(EF!$H$84:$H$99,MATCH(Emissions!$D76,EF!$D$84:$D$99,0))*INDEX(EF!$H$100:$H$115,MATCH(Emissions!$D76,EF!$D$100:$D$115,0))*INDEX(EF!$H$132:$H$147,MATCH(Emissions!$D76,EF!$D$132:$D$147,0))*kgtoGg</f>
        <v>1.6762461957539514E-3</v>
      </c>
      <c r="AL76" s="22">
        <f>INDEX('Activity data'!AL$24:AL$39,MATCH(Emissions!$D76,'Activity data'!$D$24:$D$39,0))*INDEX(EF!$H$84:$H$99,MATCH(Emissions!$D76,EF!$D$84:$D$99,0))*INDEX(EF!$H$100:$H$115,MATCH(Emissions!$D76,EF!$D$100:$D$115,0))*INDEX(EF!$H$132:$H$147,MATCH(Emissions!$D76,EF!$D$132:$D$147,0))*kgtoGg</f>
        <v>1.6897544924279831E-3</v>
      </c>
      <c r="AM76" s="22">
        <f>INDEX('Activity data'!AM$24:AM$39,MATCH(Emissions!$D76,'Activity data'!$D$24:$D$39,0))*INDEX(EF!$H$84:$H$99,MATCH(Emissions!$D76,EF!$D$84:$D$99,0))*INDEX(EF!$H$100:$H$115,MATCH(Emissions!$D76,EF!$D$100:$D$115,0))*INDEX(EF!$H$132:$H$147,MATCH(Emissions!$D76,EF!$D$132:$D$147,0))*kgtoGg</f>
        <v>1.7032627891020152E-3</v>
      </c>
      <c r="AN76" s="22">
        <f>INDEX('Activity data'!AN$24:AN$39,MATCH(Emissions!$D76,'Activity data'!$D$24:$D$39,0))*INDEX(EF!$H$84:$H$99,MATCH(Emissions!$D76,EF!$D$84:$D$99,0))*INDEX(EF!$H$100:$H$115,MATCH(Emissions!$D76,EF!$D$100:$D$115,0))*INDEX(EF!$H$132:$H$147,MATCH(Emissions!$D76,EF!$D$132:$D$147,0))*kgtoGg</f>
        <v>1.716771085776047E-3</v>
      </c>
      <c r="AO76" s="22">
        <f>INDEX('Activity data'!AO$24:AO$39,MATCH(Emissions!$D76,'Activity data'!$D$24:$D$39,0))*INDEX(EF!$H$84:$H$99,MATCH(Emissions!$D76,EF!$D$84:$D$99,0))*INDEX(EF!$H$100:$H$115,MATCH(Emissions!$D76,EF!$D$100:$D$115,0))*INDEX(EF!$H$132:$H$147,MATCH(Emissions!$D76,EF!$D$132:$D$147,0))*kgtoGg</f>
        <v>1.7302793824500789E-3</v>
      </c>
      <c r="AP76" s="22">
        <f>INDEX('Activity data'!AP$24:AP$39,MATCH(Emissions!$D76,'Activity data'!$D$24:$D$39,0))*INDEX(EF!$H$84:$H$99,MATCH(Emissions!$D76,EF!$D$84:$D$99,0))*INDEX(EF!$H$100:$H$115,MATCH(Emissions!$D76,EF!$D$100:$D$115,0))*INDEX(EF!$H$132:$H$147,MATCH(Emissions!$D76,EF!$D$132:$D$147,0))*kgtoGg</f>
        <v>1.7437876791241112E-3</v>
      </c>
      <c r="AQ76" s="22">
        <f>INDEX('Activity data'!AQ$24:AQ$39,MATCH(Emissions!$D76,'Activity data'!$D$24:$D$39,0))*INDEX(EF!$H$84:$H$99,MATCH(Emissions!$D76,EF!$D$84:$D$99,0))*INDEX(EF!$H$100:$H$115,MATCH(Emissions!$D76,EF!$D$100:$D$115,0))*INDEX(EF!$H$132:$H$147,MATCH(Emissions!$D76,EF!$D$132:$D$147,0))*kgtoGg</f>
        <v>1.7572959757981431E-3</v>
      </c>
      <c r="AR76" s="22">
        <f>INDEX('Activity data'!AR$24:AR$39,MATCH(Emissions!$D76,'Activity data'!$D$24:$D$39,0))*INDEX(EF!$H$84:$H$99,MATCH(Emissions!$D76,EF!$D$84:$D$99,0))*INDEX(EF!$H$100:$H$115,MATCH(Emissions!$D76,EF!$D$100:$D$115,0))*INDEX(EF!$H$132:$H$147,MATCH(Emissions!$D76,EF!$D$132:$D$147,0))*kgtoGg</f>
        <v>1.7708042724721754E-3</v>
      </c>
      <c r="AS76" s="22">
        <f>INDEX('Activity data'!AS$24:AS$39,MATCH(Emissions!$D76,'Activity data'!$D$24:$D$39,0))*INDEX(EF!$H$84:$H$99,MATCH(Emissions!$D76,EF!$D$84:$D$99,0))*INDEX(EF!$H$100:$H$115,MATCH(Emissions!$D76,EF!$D$100:$D$115,0))*INDEX(EF!$H$132:$H$147,MATCH(Emissions!$D76,EF!$D$132:$D$147,0))*kgtoGg</f>
        <v>1.7843125691462071E-3</v>
      </c>
      <c r="AT76" s="22">
        <f>INDEX('Activity data'!AT$24:AT$39,MATCH(Emissions!$D76,'Activity data'!$D$24:$D$39,0))*INDEX(EF!$H$84:$H$99,MATCH(Emissions!$D76,EF!$D$84:$D$99,0))*INDEX(EF!$H$100:$H$115,MATCH(Emissions!$D76,EF!$D$100:$D$115,0))*INDEX(EF!$H$132:$H$147,MATCH(Emissions!$D76,EF!$D$132:$D$147,0))*kgtoGg</f>
        <v>1.7978208658202392E-3</v>
      </c>
      <c r="AU76" s="22">
        <f>INDEX('Activity data'!AU$24:AU$39,MATCH(Emissions!$D76,'Activity data'!$D$24:$D$39,0))*INDEX(EF!$H$84:$H$99,MATCH(Emissions!$D76,EF!$D$84:$D$99,0))*INDEX(EF!$H$100:$H$115,MATCH(Emissions!$D76,EF!$D$100:$D$115,0))*INDEX(EF!$H$132:$H$147,MATCH(Emissions!$D76,EF!$D$132:$D$147,0))*kgtoGg</f>
        <v>1.8113291624942711E-3</v>
      </c>
      <c r="AV76" s="22">
        <f>INDEX('Activity data'!AV$24:AV$39,MATCH(Emissions!$D76,'Activity data'!$D$24:$D$39,0))*INDEX(EF!$H$84:$H$99,MATCH(Emissions!$D76,EF!$D$84:$D$99,0))*INDEX(EF!$H$100:$H$115,MATCH(Emissions!$D76,EF!$D$100:$D$115,0))*INDEX(EF!$H$132:$H$147,MATCH(Emissions!$D76,EF!$D$132:$D$147,0))*kgtoGg</f>
        <v>1.8248374591683034E-3</v>
      </c>
      <c r="AW76" s="22">
        <f>INDEX('Activity data'!AW$24:AW$39,MATCH(Emissions!$D76,'Activity data'!$D$24:$D$39,0))*INDEX(EF!$H$84:$H$99,MATCH(Emissions!$D76,EF!$D$84:$D$99,0))*INDEX(EF!$H$100:$H$115,MATCH(Emissions!$D76,EF!$D$100:$D$115,0))*INDEX(EF!$H$132:$H$147,MATCH(Emissions!$D76,EF!$D$132:$D$147,0))*kgtoGg</f>
        <v>1.838345755842335E-3</v>
      </c>
      <c r="AX76" s="22">
        <f>INDEX('Activity data'!AX$24:AX$39,MATCH(Emissions!$D76,'Activity data'!$D$24:$D$39,0))*INDEX(EF!$H$84:$H$99,MATCH(Emissions!$D76,EF!$D$84:$D$99,0))*INDEX(EF!$H$100:$H$115,MATCH(Emissions!$D76,EF!$D$100:$D$115,0))*INDEX(EF!$H$132:$H$147,MATCH(Emissions!$D76,EF!$D$132:$D$147,0))*kgtoGg</f>
        <v>1.8518540525163671E-3</v>
      </c>
      <c r="AY76" s="22">
        <f>INDEX('Activity data'!AY$24:AY$39,MATCH(Emissions!$D76,'Activity data'!$D$24:$D$39,0))*INDEX(EF!$H$84:$H$99,MATCH(Emissions!$D76,EF!$D$84:$D$99,0))*INDEX(EF!$H$100:$H$115,MATCH(Emissions!$D76,EF!$D$100:$D$115,0))*INDEX(EF!$H$132:$H$147,MATCH(Emissions!$D76,EF!$D$132:$D$147,0))*kgtoGg</f>
        <v>1.865362349190399E-3</v>
      </c>
      <c r="AZ76" s="22">
        <f>INDEX('Activity data'!AZ$24:AZ$39,MATCH(Emissions!$D76,'Activity data'!$D$24:$D$39,0))*INDEX(EF!$H$84:$H$99,MATCH(Emissions!$D76,EF!$D$84:$D$99,0))*INDEX(EF!$H$100:$H$115,MATCH(Emissions!$D76,EF!$D$100:$D$115,0))*INDEX(EF!$H$132:$H$147,MATCH(Emissions!$D76,EF!$D$132:$D$147,0))*kgtoGg</f>
        <v>1.8788706458644309E-3</v>
      </c>
      <c r="BA76" s="22">
        <f>INDEX('Activity data'!BA$24:BA$39,MATCH(Emissions!$D76,'Activity data'!$D$24:$D$39,0))*INDEX(EF!$H$84:$H$99,MATCH(Emissions!$D76,EF!$D$84:$D$99,0))*INDEX(EF!$H$100:$H$115,MATCH(Emissions!$D76,EF!$D$100:$D$115,0))*INDEX(EF!$H$132:$H$147,MATCH(Emissions!$D76,EF!$D$132:$D$147,0))*kgtoGg</f>
        <v>1.892378942538463E-3</v>
      </c>
      <c r="BB76" s="22">
        <f>INDEX('Activity data'!BB$24:BB$39,MATCH(Emissions!$D76,'Activity data'!$D$24:$D$39,0))*INDEX(EF!$H$84:$H$99,MATCH(Emissions!$D76,EF!$D$84:$D$99,0))*INDEX(EF!$H$100:$H$115,MATCH(Emissions!$D76,EF!$D$100:$D$115,0))*INDEX(EF!$H$132:$H$147,MATCH(Emissions!$D76,EF!$D$132:$D$147,0))*kgtoGg</f>
        <v>1.9058872392124951E-3</v>
      </c>
      <c r="BC76" s="22">
        <f>INDEX('Activity data'!BC$24:BC$39,MATCH(Emissions!$D76,'Activity data'!$D$24:$D$39,0))*INDEX(EF!$H$84:$H$99,MATCH(Emissions!$D76,EF!$D$84:$D$99,0))*INDEX(EF!$H$100:$H$115,MATCH(Emissions!$D76,EF!$D$100:$D$115,0))*INDEX(EF!$H$132:$H$147,MATCH(Emissions!$D76,EF!$D$132:$D$147,0))*kgtoGg</f>
        <v>1.9193955358865269E-3</v>
      </c>
      <c r="BD76" s="22">
        <f>INDEX('Activity data'!BD$24:BD$39,MATCH(Emissions!$D76,'Activity data'!$D$24:$D$39,0))*INDEX(EF!$H$84:$H$99,MATCH(Emissions!$D76,EF!$D$84:$D$99,0))*INDEX(EF!$H$100:$H$115,MATCH(Emissions!$D76,EF!$D$100:$D$115,0))*INDEX(EF!$H$132:$H$147,MATCH(Emissions!$D76,EF!$D$132:$D$147,0))*kgtoGg</f>
        <v>1.932903832560559E-3</v>
      </c>
      <c r="BE76" s="22">
        <f>INDEX('Activity data'!BE$24:BE$39,MATCH(Emissions!$D76,'Activity data'!$D$24:$D$39,0))*INDEX(EF!$H$84:$H$99,MATCH(Emissions!$D76,EF!$D$84:$D$99,0))*INDEX(EF!$H$100:$H$115,MATCH(Emissions!$D76,EF!$D$100:$D$115,0))*INDEX(EF!$H$132:$H$147,MATCH(Emissions!$D76,EF!$D$132:$D$147,0))*kgtoGg</f>
        <v>1.9464121292345907E-3</v>
      </c>
      <c r="BF76" s="22">
        <f>INDEX('Activity data'!BF$24:BF$39,MATCH(Emissions!$D76,'Activity data'!$D$24:$D$39,0))*INDEX(EF!$H$84:$H$99,MATCH(Emissions!$D76,EF!$D$84:$D$99,0))*INDEX(EF!$H$100:$H$115,MATCH(Emissions!$D76,EF!$D$100:$D$115,0))*INDEX(EF!$H$132:$H$147,MATCH(Emissions!$D76,EF!$D$132:$D$147,0))*kgtoGg</f>
        <v>1.959920425908623E-3</v>
      </c>
      <c r="BG76" s="22">
        <f>INDEX('Activity data'!BG$24:BG$39,MATCH(Emissions!$D76,'Activity data'!$D$24:$D$39,0))*INDEX(EF!$H$84:$H$99,MATCH(Emissions!$D76,EF!$D$84:$D$99,0))*INDEX(EF!$H$100:$H$115,MATCH(Emissions!$D76,EF!$D$100:$D$115,0))*INDEX(EF!$H$132:$H$147,MATCH(Emissions!$D76,EF!$D$132:$D$147,0))*kgtoGg</f>
        <v>1.9734287225826549E-3</v>
      </c>
      <c r="BH76" s="22">
        <f>INDEX('Activity data'!BH$24:BH$39,MATCH(Emissions!$D76,'Activity data'!$D$24:$D$39,0))*INDEX(EF!$H$84:$H$99,MATCH(Emissions!$D76,EF!$D$84:$D$99,0))*INDEX(EF!$H$100:$H$115,MATCH(Emissions!$D76,EF!$D$100:$D$115,0))*INDEX(EF!$H$132:$H$147,MATCH(Emissions!$D76,EF!$D$132:$D$147,0))*kgtoGg</f>
        <v>1.9869370192566872E-3</v>
      </c>
      <c r="BI76" s="22">
        <f>INDEX('Activity data'!BI$24:BI$39,MATCH(Emissions!$D76,'Activity data'!$D$24:$D$39,0))*INDEX(EF!$H$84:$H$99,MATCH(Emissions!$D76,EF!$D$84:$D$99,0))*INDEX(EF!$H$100:$H$115,MATCH(Emissions!$D76,EF!$D$100:$D$115,0))*INDEX(EF!$H$132:$H$147,MATCH(Emissions!$D76,EF!$D$132:$D$147,0))*kgtoGg</f>
        <v>2.0004453159307187E-3</v>
      </c>
      <c r="BJ76" s="22">
        <f>INDEX('Activity data'!BJ$24:BJ$39,MATCH(Emissions!$D76,'Activity data'!$D$24:$D$39,0))*INDEX(EF!$H$84:$H$99,MATCH(Emissions!$D76,EF!$D$84:$D$99,0))*INDEX(EF!$H$100:$H$115,MATCH(Emissions!$D76,EF!$D$100:$D$115,0))*INDEX(EF!$H$132:$H$147,MATCH(Emissions!$D76,EF!$D$132:$D$147,0))*kgtoGg</f>
        <v>2.013953612604751E-3</v>
      </c>
      <c r="BK76" s="22">
        <f>INDEX('Activity data'!BK$24:BK$39,MATCH(Emissions!$D76,'Activity data'!$D$24:$D$39,0))*INDEX(EF!$H$84:$H$99,MATCH(Emissions!$D76,EF!$D$84:$D$99,0))*INDEX(EF!$H$100:$H$115,MATCH(Emissions!$D76,EF!$D$100:$D$115,0))*INDEX(EF!$H$132:$H$147,MATCH(Emissions!$D76,EF!$D$132:$D$147,0))*kgtoGg</f>
        <v>2.0274619092787828E-3</v>
      </c>
      <c r="BL76" s="22">
        <f>INDEX('Activity data'!BL$24:BL$39,MATCH(Emissions!$D76,'Activity data'!$D$24:$D$39,0))*INDEX(EF!$H$84:$H$99,MATCH(Emissions!$D76,EF!$D$84:$D$99,0))*INDEX(EF!$H$100:$H$115,MATCH(Emissions!$D76,EF!$D$100:$D$115,0))*INDEX(EF!$H$132:$H$147,MATCH(Emissions!$D76,EF!$D$132:$D$147,0))*kgtoGg</f>
        <v>2.0409702059528147E-3</v>
      </c>
      <c r="BM76" s="22">
        <f>INDEX('Activity data'!BM$24:BM$39,MATCH(Emissions!$D76,'Activity data'!$D$24:$D$39,0))*INDEX(EF!$H$84:$H$99,MATCH(Emissions!$D76,EF!$D$84:$D$99,0))*INDEX(EF!$H$100:$H$115,MATCH(Emissions!$D76,EF!$D$100:$D$115,0))*INDEX(EF!$H$132:$H$147,MATCH(Emissions!$D76,EF!$D$132:$D$147,0))*kgtoGg</f>
        <v>2.0544785026268466E-3</v>
      </c>
      <c r="BN76" s="22">
        <f>INDEX('Activity data'!BN$24:BN$39,MATCH(Emissions!$D76,'Activity data'!$D$24:$D$39,0))*INDEX(EF!$H$84:$H$99,MATCH(Emissions!$D76,EF!$D$84:$D$99,0))*INDEX(EF!$H$100:$H$115,MATCH(Emissions!$D76,EF!$D$100:$D$115,0))*INDEX(EF!$H$132:$H$147,MATCH(Emissions!$D76,EF!$D$132:$D$147,0))*kgtoGg</f>
        <v>2.0679867993008789E-3</v>
      </c>
      <c r="BO76" s="22">
        <f>INDEX('Activity data'!BO$24:BO$39,MATCH(Emissions!$D76,'Activity data'!$D$24:$D$39,0))*INDEX(EF!$H$84:$H$99,MATCH(Emissions!$D76,EF!$D$84:$D$99,0))*INDEX(EF!$H$100:$H$115,MATCH(Emissions!$D76,EF!$D$100:$D$115,0))*INDEX(EF!$H$132:$H$147,MATCH(Emissions!$D76,EF!$D$132:$D$147,0))*kgtoGg</f>
        <v>2.0814950959749112E-3</v>
      </c>
      <c r="BP76" s="22">
        <f>INDEX('Activity data'!BP$24:BP$39,MATCH(Emissions!$D76,'Activity data'!$D$24:$D$39,0))*INDEX(EF!$H$84:$H$99,MATCH(Emissions!$D76,EF!$D$84:$D$99,0))*INDEX(EF!$H$100:$H$115,MATCH(Emissions!$D76,EF!$D$100:$D$115,0))*INDEX(EF!$H$132:$H$147,MATCH(Emissions!$D76,EF!$D$132:$D$147,0))*kgtoGg</f>
        <v>2.0950033926489427E-3</v>
      </c>
    </row>
    <row r="77" spans="1:68" x14ac:dyDescent="0.3">
      <c r="A77" t="str">
        <f t="shared" si="19"/>
        <v>3C Aggregated and non-CO2 emissions on land</v>
      </c>
      <c r="B77" t="str">
        <f t="shared" si="26"/>
        <v>3C1 Biomass burning (N2O)</v>
      </c>
      <c r="C77" t="str">
        <f t="shared" si="25"/>
        <v>3C1b Biomass burning in Croplands</v>
      </c>
      <c r="D77" t="str">
        <f>EF!D107</f>
        <v>Perennial vineyards</v>
      </c>
      <c r="E77" t="s">
        <v>648</v>
      </c>
      <c r="F77" t="str">
        <f t="shared" si="27"/>
        <v>N2O</v>
      </c>
      <c r="G77" t="str">
        <f t="shared" si="28"/>
        <v>Gg N2O</v>
      </c>
      <c r="H77" s="22">
        <f>INDEX('Activity data'!H$24:H$39,MATCH(Emissions!$D77,'Activity data'!$D$24:$D$39,0))*INDEX(EF!$H$84:$H$99,MATCH(Emissions!$D77,EF!$D$84:$D$99,0))*INDEX(EF!$H$100:$H$115,MATCH(Emissions!$D77,EF!$D$100:$D$115,0))*INDEX(EF!$H$132:$H$147,MATCH(Emissions!$D77,EF!$D$132:$D$147,0))*kgtoGg</f>
        <v>3.1883809832337033E-4</v>
      </c>
      <c r="I77" s="22">
        <f>INDEX('Activity data'!I$24:I$39,MATCH(Emissions!$D77,'Activity data'!$D$24:$D$39,0))*INDEX(EF!$H$84:$H$99,MATCH(Emissions!$D77,EF!$D$84:$D$99,0))*INDEX(EF!$H$100:$H$115,MATCH(Emissions!$D77,EF!$D$100:$D$115,0))*INDEX(EF!$H$132:$H$147,MATCH(Emissions!$D77,EF!$D$132:$D$147,0))*kgtoGg</f>
        <v>3.1883809832337033E-4</v>
      </c>
      <c r="J77" s="22">
        <f>INDEX('Activity data'!J$24:J$39,MATCH(Emissions!$D77,'Activity data'!$D$24:$D$39,0))*INDEX(EF!$H$84:$H$99,MATCH(Emissions!$D77,EF!$D$84:$D$99,0))*INDEX(EF!$H$100:$H$115,MATCH(Emissions!$D77,EF!$D$100:$D$115,0))*INDEX(EF!$H$132:$H$147,MATCH(Emissions!$D77,EF!$D$132:$D$147,0))*kgtoGg</f>
        <v>3.1883809832337033E-4</v>
      </c>
      <c r="K77" s="22">
        <f>INDEX('Activity data'!K$24:K$39,MATCH(Emissions!$D77,'Activity data'!$D$24:$D$39,0))*INDEX(EF!$H$84:$H$99,MATCH(Emissions!$D77,EF!$D$84:$D$99,0))*INDEX(EF!$H$100:$H$115,MATCH(Emissions!$D77,EF!$D$100:$D$115,0))*INDEX(EF!$H$132:$H$147,MATCH(Emissions!$D77,EF!$D$132:$D$147,0))*kgtoGg</f>
        <v>3.1883809832337033E-4</v>
      </c>
      <c r="L77" s="22">
        <f>INDEX('Activity data'!L$24:L$39,MATCH(Emissions!$D77,'Activity data'!$D$24:$D$39,0))*INDEX(EF!$H$84:$H$99,MATCH(Emissions!$D77,EF!$D$84:$D$99,0))*INDEX(EF!$H$100:$H$115,MATCH(Emissions!$D77,EF!$D$100:$D$115,0))*INDEX(EF!$H$132:$H$147,MATCH(Emissions!$D77,EF!$D$132:$D$147,0))*kgtoGg</f>
        <v>3.1883809832337033E-4</v>
      </c>
      <c r="M77" s="22">
        <f>INDEX('Activity data'!M$24:M$39,MATCH(Emissions!$D77,'Activity data'!$D$24:$D$39,0))*INDEX(EF!$H$84:$H$99,MATCH(Emissions!$D77,EF!$D$84:$D$99,0))*INDEX(EF!$H$100:$H$115,MATCH(Emissions!$D77,EF!$D$100:$D$115,0))*INDEX(EF!$H$132:$H$147,MATCH(Emissions!$D77,EF!$D$132:$D$147,0))*kgtoGg</f>
        <v>3.1883809832337033E-4</v>
      </c>
      <c r="N77" s="22">
        <f>INDEX('Activity data'!N$24:N$39,MATCH(Emissions!$D77,'Activity data'!$D$24:$D$39,0))*INDEX(EF!$H$84:$H$99,MATCH(Emissions!$D77,EF!$D$84:$D$99,0))*INDEX(EF!$H$100:$H$115,MATCH(Emissions!$D77,EF!$D$100:$D$115,0))*INDEX(EF!$H$132:$H$147,MATCH(Emissions!$D77,EF!$D$132:$D$147,0))*kgtoGg</f>
        <v>3.1883809832337033E-4</v>
      </c>
      <c r="O77" s="22">
        <f>INDEX('Activity data'!O$24:O$39,MATCH(Emissions!$D77,'Activity data'!$D$24:$D$39,0))*INDEX(EF!$H$84:$H$99,MATCH(Emissions!$D77,EF!$D$84:$D$99,0))*INDEX(EF!$H$100:$H$115,MATCH(Emissions!$D77,EF!$D$100:$D$115,0))*INDEX(EF!$H$132:$H$147,MATCH(Emissions!$D77,EF!$D$132:$D$147,0))*kgtoGg</f>
        <v>3.1883809832337033E-4</v>
      </c>
      <c r="P77" s="22">
        <f>INDEX('Activity data'!P$24:P$39,MATCH(Emissions!$D77,'Activity data'!$D$24:$D$39,0))*INDEX(EF!$H$84:$H$99,MATCH(Emissions!$D77,EF!$D$84:$D$99,0))*INDEX(EF!$H$100:$H$115,MATCH(Emissions!$D77,EF!$D$100:$D$115,0))*INDEX(EF!$H$132:$H$147,MATCH(Emissions!$D77,EF!$D$132:$D$147,0))*kgtoGg</f>
        <v>3.1883809832337033E-4</v>
      </c>
      <c r="Q77" s="22">
        <f>INDEX('Activity data'!Q$24:Q$39,MATCH(Emissions!$D77,'Activity data'!$D$24:$D$39,0))*INDEX(EF!$H$84:$H$99,MATCH(Emissions!$D77,EF!$D$84:$D$99,0))*INDEX(EF!$H$100:$H$115,MATCH(Emissions!$D77,EF!$D$100:$D$115,0))*INDEX(EF!$H$132:$H$147,MATCH(Emissions!$D77,EF!$D$132:$D$147,0))*kgtoGg</f>
        <v>3.1883809832337033E-4</v>
      </c>
      <c r="R77" s="22">
        <f>INDEX('Activity data'!R$24:R$39,MATCH(Emissions!$D77,'Activity data'!$D$24:$D$39,0))*INDEX(EF!$H$84:$H$99,MATCH(Emissions!$D77,EF!$D$84:$D$99,0))*INDEX(EF!$H$100:$H$115,MATCH(Emissions!$D77,EF!$D$100:$D$115,0))*INDEX(EF!$H$132:$H$147,MATCH(Emissions!$D77,EF!$D$132:$D$147,0))*kgtoGg</f>
        <v>4.9747788390880473E-4</v>
      </c>
      <c r="S77" s="22">
        <f>INDEX('Activity data'!S$24:S$39,MATCH(Emissions!$D77,'Activity data'!$D$24:$D$39,0))*INDEX(EF!$H$84:$H$99,MATCH(Emissions!$D77,EF!$D$84:$D$99,0))*INDEX(EF!$H$100:$H$115,MATCH(Emissions!$D77,EF!$D$100:$D$115,0))*INDEX(EF!$H$132:$H$147,MATCH(Emissions!$D77,EF!$D$132:$D$147,0))*kgtoGg</f>
        <v>3.2788315075807579E-4</v>
      </c>
      <c r="T77" s="22">
        <f>INDEX('Activity data'!T$24:T$39,MATCH(Emissions!$D77,'Activity data'!$D$24:$D$39,0))*INDEX(EF!$H$84:$H$99,MATCH(Emissions!$D77,EF!$D$84:$D$99,0))*INDEX(EF!$H$100:$H$115,MATCH(Emissions!$D77,EF!$D$100:$D$115,0))*INDEX(EF!$H$132:$H$147,MATCH(Emissions!$D77,EF!$D$132:$D$147,0))*kgtoGg</f>
        <v>2.600452574977842E-4</v>
      </c>
      <c r="U77" s="22">
        <f>INDEX('Activity data'!U$24:U$39,MATCH(Emissions!$D77,'Activity data'!$D$24:$D$39,0))*INDEX(EF!$H$84:$H$99,MATCH(Emissions!$D77,EF!$D$84:$D$99,0))*INDEX(EF!$H$100:$H$115,MATCH(Emissions!$D77,EF!$D$100:$D$115,0))*INDEX(EF!$H$132:$H$147,MATCH(Emissions!$D77,EF!$D$132:$D$147,0))*kgtoGg</f>
        <v>4.0702735956174937E-4</v>
      </c>
      <c r="V77" s="22">
        <f>INDEX('Activity data'!V$24:V$39,MATCH(Emissions!$D77,'Activity data'!$D$24:$D$39,0))*INDEX(EF!$H$84:$H$99,MATCH(Emissions!$D77,EF!$D$84:$D$99,0))*INDEX(EF!$H$100:$H$115,MATCH(Emissions!$D77,EF!$D$100:$D$115,0))*INDEX(EF!$H$132:$H$147,MATCH(Emissions!$D77,EF!$D$132:$D$147,0))*kgtoGg</f>
        <v>1.0175683989043734E-4</v>
      </c>
      <c r="W77" s="22">
        <f>INDEX('Activity data'!W$24:W$39,MATCH(Emissions!$D77,'Activity data'!$D$24:$D$39,0))*INDEX(EF!$H$84:$H$99,MATCH(Emissions!$D77,EF!$D$84:$D$99,0))*INDEX(EF!$H$100:$H$115,MATCH(Emissions!$D77,EF!$D$100:$D$115,0))*INDEX(EF!$H$132:$H$147,MATCH(Emissions!$D77,EF!$D$132:$D$147,0))*kgtoGg</f>
        <v>2.8265788858454824E-4</v>
      </c>
      <c r="X77" s="22">
        <f>INDEX('Activity data'!X$24:X$39,MATCH(Emissions!$D77,'Activity data'!$D$24:$D$39,0))*INDEX(EF!$H$84:$H$99,MATCH(Emissions!$D77,EF!$D$84:$D$99,0))*INDEX(EF!$H$100:$H$115,MATCH(Emissions!$D77,EF!$D$100:$D$115,0))*INDEX(EF!$H$132:$H$147,MATCH(Emissions!$D77,EF!$D$132:$D$147,0))*kgtoGg</f>
        <v>5.6531577716909648E-4</v>
      </c>
      <c r="Y77" s="22">
        <f>INDEX('Activity data'!Y$24:Y$39,MATCH(Emissions!$D77,'Activity data'!$D$24:$D$39,0))*INDEX(EF!$H$84:$H$99,MATCH(Emissions!$D77,EF!$D$84:$D$99,0))*INDEX(EF!$H$100:$H$115,MATCH(Emissions!$D77,EF!$D$100:$D$115,0))*INDEX(EF!$H$132:$H$147,MATCH(Emissions!$D77,EF!$D$132:$D$147,0))*kgtoGg</f>
        <v>2.7135157304116619E-4</v>
      </c>
      <c r="Z77" s="22">
        <f>INDEX('Activity data'!Z$24:Z$39,MATCH(Emissions!$D77,'Activity data'!$D$24:$D$39,0))*INDEX(EF!$H$84:$H$99,MATCH(Emissions!$D77,EF!$D$84:$D$99,0))*INDEX(EF!$H$100:$H$115,MATCH(Emissions!$D77,EF!$D$100:$D$115,0))*INDEX(EF!$H$132:$H$147,MATCH(Emissions!$D77,EF!$D$132:$D$147,0))*kgtoGg</f>
        <v>2.0351367978087469E-4</v>
      </c>
      <c r="AA77" s="22">
        <f>INDEX('Activity data'!AA$24:AA$39,MATCH(Emissions!$D77,'Activity data'!$D$24:$D$39,0))*INDEX(EF!$H$84:$H$99,MATCH(Emissions!$D77,EF!$D$84:$D$99,0))*INDEX(EF!$H$100:$H$115,MATCH(Emissions!$D77,EF!$D$100:$D$115,0))*INDEX(EF!$H$132:$H$147,MATCH(Emissions!$D77,EF!$D$132:$D$147,0))*kgtoGg</f>
        <v>3.0527051967131201E-4</v>
      </c>
      <c r="AB77" s="22">
        <f>INDEX('Activity data'!AB$24:AB$39,MATCH(Emissions!$D77,'Activity data'!$D$24:$D$39,0))*INDEX(EF!$H$84:$H$99,MATCH(Emissions!$D77,EF!$D$84:$D$99,0))*INDEX(EF!$H$100:$H$115,MATCH(Emissions!$D77,EF!$D$100:$D$115,0))*INDEX(EF!$H$132:$H$147,MATCH(Emissions!$D77,EF!$D$132:$D$147,0))*kgtoGg</f>
        <v>5.0670899999999994E-4</v>
      </c>
      <c r="AC77" s="22">
        <f>INDEX('Activity data'!AC$24:AC$39,MATCH(Emissions!$D77,'Activity data'!$D$24:$D$39,0))*INDEX(EF!$H$84:$H$99,MATCH(Emissions!$D77,EF!$D$84:$D$99,0))*INDEX(EF!$H$100:$H$115,MATCH(Emissions!$D77,EF!$D$100:$D$115,0))*INDEX(EF!$H$132:$H$147,MATCH(Emissions!$D77,EF!$D$132:$D$147,0))*kgtoGg</f>
        <v>1.3369797000000003E-3</v>
      </c>
      <c r="AD77" s="22">
        <f>INDEX('Activity data'!AD$24:AD$39,MATCH(Emissions!$D77,'Activity data'!$D$24:$D$39,0))*INDEX(EF!$H$84:$H$99,MATCH(Emissions!$D77,EF!$D$84:$D$99,0))*INDEX(EF!$H$100:$H$115,MATCH(Emissions!$D77,EF!$D$100:$D$115,0))*INDEX(EF!$H$132:$H$147,MATCH(Emissions!$D77,EF!$D$132:$D$147,0))*kgtoGg</f>
        <v>4.3710094215939618E-4</v>
      </c>
      <c r="AE77" s="22">
        <f>INDEX('Activity data'!AE$24:AE$39,MATCH(Emissions!$D77,'Activity data'!$D$24:$D$39,0))*INDEX(EF!$H$84:$H$99,MATCH(Emissions!$D77,EF!$D$84:$D$99,0))*INDEX(EF!$H$100:$H$115,MATCH(Emissions!$D77,EF!$D$100:$D$115,0))*INDEX(EF!$H$132:$H$147,MATCH(Emissions!$D77,EF!$D$132:$D$147,0))*kgtoGg</f>
        <v>4.3997905246480524E-4</v>
      </c>
      <c r="AF77" s="22">
        <f>INDEX('Activity data'!AF$24:AF$39,MATCH(Emissions!$D77,'Activity data'!$D$24:$D$39,0))*INDEX(EF!$H$84:$H$99,MATCH(Emissions!$D77,EF!$D$84:$D$99,0))*INDEX(EF!$H$100:$H$115,MATCH(Emissions!$D77,EF!$D$100:$D$115,0))*INDEX(EF!$H$132:$H$147,MATCH(Emissions!$D77,EF!$D$132:$D$147,0))*kgtoGg</f>
        <v>4.4285716277021425E-4</v>
      </c>
      <c r="AG77" s="22">
        <f>INDEX('Activity data'!AG$24:AG$39,MATCH(Emissions!$D77,'Activity data'!$D$24:$D$39,0))*INDEX(EF!$H$84:$H$99,MATCH(Emissions!$D77,EF!$D$84:$D$99,0))*INDEX(EF!$H$100:$H$115,MATCH(Emissions!$D77,EF!$D$100:$D$115,0))*INDEX(EF!$H$132:$H$147,MATCH(Emissions!$D77,EF!$D$132:$D$147,0))*kgtoGg</f>
        <v>4.4573527307562326E-4</v>
      </c>
      <c r="AH77" s="22">
        <f>INDEX('Activity data'!AH$24:AH$39,MATCH(Emissions!$D77,'Activity data'!$D$24:$D$39,0))*INDEX(EF!$H$84:$H$99,MATCH(Emissions!$D77,EF!$D$84:$D$99,0))*INDEX(EF!$H$100:$H$115,MATCH(Emissions!$D77,EF!$D$100:$D$115,0))*INDEX(EF!$H$132:$H$147,MATCH(Emissions!$D77,EF!$D$132:$D$147,0))*kgtoGg</f>
        <v>4.4861338338103221E-4</v>
      </c>
      <c r="AI77" s="22">
        <f>INDEX('Activity data'!AI$24:AI$39,MATCH(Emissions!$D77,'Activity data'!$D$24:$D$39,0))*INDEX(EF!$H$84:$H$99,MATCH(Emissions!$D77,EF!$D$84:$D$99,0))*INDEX(EF!$H$100:$H$115,MATCH(Emissions!$D77,EF!$D$100:$D$115,0))*INDEX(EF!$H$132:$H$147,MATCH(Emissions!$D77,EF!$D$132:$D$147,0))*kgtoGg</f>
        <v>4.5149149368644122E-4</v>
      </c>
      <c r="AJ77" s="22">
        <f>INDEX('Activity data'!AJ$24:AJ$39,MATCH(Emissions!$D77,'Activity data'!$D$24:$D$39,0))*INDEX(EF!$H$84:$H$99,MATCH(Emissions!$D77,EF!$D$84:$D$99,0))*INDEX(EF!$H$100:$H$115,MATCH(Emissions!$D77,EF!$D$100:$D$115,0))*INDEX(EF!$H$132:$H$147,MATCH(Emissions!$D77,EF!$D$132:$D$147,0))*kgtoGg</f>
        <v>4.5436960399185023E-4</v>
      </c>
      <c r="AK77" s="22">
        <f>INDEX('Activity data'!AK$24:AK$39,MATCH(Emissions!$D77,'Activity data'!$D$24:$D$39,0))*INDEX(EF!$H$84:$H$99,MATCH(Emissions!$D77,EF!$D$84:$D$99,0))*INDEX(EF!$H$100:$H$115,MATCH(Emissions!$D77,EF!$D$100:$D$115,0))*INDEX(EF!$H$132:$H$147,MATCH(Emissions!$D77,EF!$D$132:$D$147,0))*kgtoGg</f>
        <v>4.5724771429725918E-4</v>
      </c>
      <c r="AL77" s="22">
        <f>INDEX('Activity data'!AL$24:AL$39,MATCH(Emissions!$D77,'Activity data'!$D$24:$D$39,0))*INDEX(EF!$H$84:$H$99,MATCH(Emissions!$D77,EF!$D$84:$D$99,0))*INDEX(EF!$H$100:$H$115,MATCH(Emissions!$D77,EF!$D$100:$D$115,0))*INDEX(EF!$H$132:$H$147,MATCH(Emissions!$D77,EF!$D$132:$D$147,0))*kgtoGg</f>
        <v>4.601258246026683E-4</v>
      </c>
      <c r="AM77" s="22">
        <f>INDEX('Activity data'!AM$24:AM$39,MATCH(Emissions!$D77,'Activity data'!$D$24:$D$39,0))*INDEX(EF!$H$84:$H$99,MATCH(Emissions!$D77,EF!$D$84:$D$99,0))*INDEX(EF!$H$100:$H$115,MATCH(Emissions!$D77,EF!$D$100:$D$115,0))*INDEX(EF!$H$132:$H$147,MATCH(Emissions!$D77,EF!$D$132:$D$147,0))*kgtoGg</f>
        <v>4.630039349080773E-4</v>
      </c>
      <c r="AN77" s="22">
        <f>INDEX('Activity data'!AN$24:AN$39,MATCH(Emissions!$D77,'Activity data'!$D$24:$D$39,0))*INDEX(EF!$H$84:$H$99,MATCH(Emissions!$D77,EF!$D$84:$D$99,0))*INDEX(EF!$H$100:$H$115,MATCH(Emissions!$D77,EF!$D$100:$D$115,0))*INDEX(EF!$H$132:$H$147,MATCH(Emissions!$D77,EF!$D$132:$D$147,0))*kgtoGg</f>
        <v>4.6588204521348631E-4</v>
      </c>
      <c r="AO77" s="22">
        <f>INDEX('Activity data'!AO$24:AO$39,MATCH(Emissions!$D77,'Activity data'!$D$24:$D$39,0))*INDEX(EF!$H$84:$H$99,MATCH(Emissions!$D77,EF!$D$84:$D$99,0))*INDEX(EF!$H$100:$H$115,MATCH(Emissions!$D77,EF!$D$100:$D$115,0))*INDEX(EF!$H$132:$H$147,MATCH(Emissions!$D77,EF!$D$132:$D$147,0))*kgtoGg</f>
        <v>4.6876015551889532E-4</v>
      </c>
      <c r="AP77" s="22">
        <f>INDEX('Activity data'!AP$24:AP$39,MATCH(Emissions!$D77,'Activity data'!$D$24:$D$39,0))*INDEX(EF!$H$84:$H$99,MATCH(Emissions!$D77,EF!$D$84:$D$99,0))*INDEX(EF!$H$100:$H$115,MATCH(Emissions!$D77,EF!$D$100:$D$115,0))*INDEX(EF!$H$132:$H$147,MATCH(Emissions!$D77,EF!$D$132:$D$147,0))*kgtoGg</f>
        <v>4.7163826582430438E-4</v>
      </c>
      <c r="AQ77" s="22">
        <f>INDEX('Activity data'!AQ$24:AQ$39,MATCH(Emissions!$D77,'Activity data'!$D$24:$D$39,0))*INDEX(EF!$H$84:$H$99,MATCH(Emissions!$D77,EF!$D$84:$D$99,0))*INDEX(EF!$H$100:$H$115,MATCH(Emissions!$D77,EF!$D$100:$D$115,0))*INDEX(EF!$H$132:$H$147,MATCH(Emissions!$D77,EF!$D$132:$D$147,0))*kgtoGg</f>
        <v>4.7451637612971339E-4</v>
      </c>
      <c r="AR77" s="22">
        <f>INDEX('Activity data'!AR$24:AR$39,MATCH(Emissions!$D77,'Activity data'!$D$24:$D$39,0))*INDEX(EF!$H$84:$H$99,MATCH(Emissions!$D77,EF!$D$84:$D$99,0))*INDEX(EF!$H$100:$H$115,MATCH(Emissions!$D77,EF!$D$100:$D$115,0))*INDEX(EF!$H$132:$H$147,MATCH(Emissions!$D77,EF!$D$132:$D$147,0))*kgtoGg</f>
        <v>4.773944864351224E-4</v>
      </c>
      <c r="AS77" s="22">
        <f>INDEX('Activity data'!AS$24:AS$39,MATCH(Emissions!$D77,'Activity data'!$D$24:$D$39,0))*INDEX(EF!$H$84:$H$99,MATCH(Emissions!$D77,EF!$D$84:$D$99,0))*INDEX(EF!$H$100:$H$115,MATCH(Emissions!$D77,EF!$D$100:$D$115,0))*INDEX(EF!$H$132:$H$147,MATCH(Emissions!$D77,EF!$D$132:$D$147,0))*kgtoGg</f>
        <v>4.8027259674053135E-4</v>
      </c>
      <c r="AT77" s="22">
        <f>INDEX('Activity data'!AT$24:AT$39,MATCH(Emissions!$D77,'Activity data'!$D$24:$D$39,0))*INDEX(EF!$H$84:$H$99,MATCH(Emissions!$D77,EF!$D$84:$D$99,0))*INDEX(EF!$H$100:$H$115,MATCH(Emissions!$D77,EF!$D$100:$D$115,0))*INDEX(EF!$H$132:$H$147,MATCH(Emissions!$D77,EF!$D$132:$D$147,0))*kgtoGg</f>
        <v>4.8315070704594041E-4</v>
      </c>
      <c r="AU77" s="22">
        <f>INDEX('Activity data'!AU$24:AU$39,MATCH(Emissions!$D77,'Activity data'!$D$24:$D$39,0))*INDEX(EF!$H$84:$H$99,MATCH(Emissions!$D77,EF!$D$84:$D$99,0))*INDEX(EF!$H$100:$H$115,MATCH(Emissions!$D77,EF!$D$100:$D$115,0))*INDEX(EF!$H$132:$H$147,MATCH(Emissions!$D77,EF!$D$132:$D$147,0))*kgtoGg</f>
        <v>4.8602881735134937E-4</v>
      </c>
      <c r="AV77" s="22">
        <f>INDEX('Activity data'!AV$24:AV$39,MATCH(Emissions!$D77,'Activity data'!$D$24:$D$39,0))*INDEX(EF!$H$84:$H$99,MATCH(Emissions!$D77,EF!$D$84:$D$99,0))*INDEX(EF!$H$100:$H$115,MATCH(Emissions!$D77,EF!$D$100:$D$115,0))*INDEX(EF!$H$132:$H$147,MATCH(Emissions!$D77,EF!$D$132:$D$147,0))*kgtoGg</f>
        <v>4.8890692765675837E-4</v>
      </c>
      <c r="AW77" s="22">
        <f>INDEX('Activity data'!AW$24:AW$39,MATCH(Emissions!$D77,'Activity data'!$D$24:$D$39,0))*INDEX(EF!$H$84:$H$99,MATCH(Emissions!$D77,EF!$D$84:$D$99,0))*INDEX(EF!$H$100:$H$115,MATCH(Emissions!$D77,EF!$D$100:$D$115,0))*INDEX(EF!$H$132:$H$147,MATCH(Emissions!$D77,EF!$D$132:$D$147,0))*kgtoGg</f>
        <v>4.9178503796216749E-4</v>
      </c>
      <c r="AX77" s="22">
        <f>INDEX('Activity data'!AX$24:AX$39,MATCH(Emissions!$D77,'Activity data'!$D$24:$D$39,0))*INDEX(EF!$H$84:$H$99,MATCH(Emissions!$D77,EF!$D$84:$D$99,0))*INDEX(EF!$H$100:$H$115,MATCH(Emissions!$D77,EF!$D$100:$D$115,0))*INDEX(EF!$H$132:$H$147,MATCH(Emissions!$D77,EF!$D$132:$D$147,0))*kgtoGg</f>
        <v>4.946631482675765E-4</v>
      </c>
      <c r="AY77" s="22">
        <f>INDEX('Activity data'!AY$24:AY$39,MATCH(Emissions!$D77,'Activity data'!$D$24:$D$39,0))*INDEX(EF!$H$84:$H$99,MATCH(Emissions!$D77,EF!$D$84:$D$99,0))*INDEX(EF!$H$100:$H$115,MATCH(Emissions!$D77,EF!$D$100:$D$115,0))*INDEX(EF!$H$132:$H$147,MATCH(Emissions!$D77,EF!$D$132:$D$147,0))*kgtoGg</f>
        <v>4.975412585729855E-4</v>
      </c>
      <c r="AZ77" s="22">
        <f>INDEX('Activity data'!AZ$24:AZ$39,MATCH(Emissions!$D77,'Activity data'!$D$24:$D$39,0))*INDEX(EF!$H$84:$H$99,MATCH(Emissions!$D77,EF!$D$84:$D$99,0))*INDEX(EF!$H$100:$H$115,MATCH(Emissions!$D77,EF!$D$100:$D$115,0))*INDEX(EF!$H$132:$H$147,MATCH(Emissions!$D77,EF!$D$132:$D$147,0))*kgtoGg</f>
        <v>5.0041936887839451E-4</v>
      </c>
      <c r="BA77" s="22">
        <f>INDEX('Activity data'!BA$24:BA$39,MATCH(Emissions!$D77,'Activity data'!$D$24:$D$39,0))*INDEX(EF!$H$84:$H$99,MATCH(Emissions!$D77,EF!$D$84:$D$99,0))*INDEX(EF!$H$100:$H$115,MATCH(Emissions!$D77,EF!$D$100:$D$115,0))*INDEX(EF!$H$132:$H$147,MATCH(Emissions!$D77,EF!$D$132:$D$147,0))*kgtoGg</f>
        <v>5.0329747918380363E-4</v>
      </c>
      <c r="BB77" s="22">
        <f>INDEX('Activity data'!BB$24:BB$39,MATCH(Emissions!$D77,'Activity data'!$D$24:$D$39,0))*INDEX(EF!$H$84:$H$99,MATCH(Emissions!$D77,EF!$D$84:$D$99,0))*INDEX(EF!$H$100:$H$115,MATCH(Emissions!$D77,EF!$D$100:$D$115,0))*INDEX(EF!$H$132:$H$147,MATCH(Emissions!$D77,EF!$D$132:$D$147,0))*kgtoGg</f>
        <v>5.0617558948921264E-4</v>
      </c>
      <c r="BC77" s="22">
        <f>INDEX('Activity data'!BC$24:BC$39,MATCH(Emissions!$D77,'Activity data'!$D$24:$D$39,0))*INDEX(EF!$H$84:$H$99,MATCH(Emissions!$D77,EF!$D$84:$D$99,0))*INDEX(EF!$H$100:$H$115,MATCH(Emissions!$D77,EF!$D$100:$D$115,0))*INDEX(EF!$H$132:$H$147,MATCH(Emissions!$D77,EF!$D$132:$D$147,0))*kgtoGg</f>
        <v>5.0905369979462175E-4</v>
      </c>
      <c r="BD77" s="22">
        <f>INDEX('Activity data'!BD$24:BD$39,MATCH(Emissions!$D77,'Activity data'!$D$24:$D$39,0))*INDEX(EF!$H$84:$H$99,MATCH(Emissions!$D77,EF!$D$84:$D$99,0))*INDEX(EF!$H$100:$H$115,MATCH(Emissions!$D77,EF!$D$100:$D$115,0))*INDEX(EF!$H$132:$H$147,MATCH(Emissions!$D77,EF!$D$132:$D$147,0))*kgtoGg</f>
        <v>5.1193181010003065E-4</v>
      </c>
      <c r="BE77" s="22">
        <f>INDEX('Activity data'!BE$24:BE$39,MATCH(Emissions!$D77,'Activity data'!$D$24:$D$39,0))*INDEX(EF!$H$84:$H$99,MATCH(Emissions!$D77,EF!$D$84:$D$99,0))*INDEX(EF!$H$100:$H$115,MATCH(Emissions!$D77,EF!$D$100:$D$115,0))*INDEX(EF!$H$132:$H$147,MATCH(Emissions!$D77,EF!$D$132:$D$147,0))*kgtoGg</f>
        <v>5.1480992040543966E-4</v>
      </c>
      <c r="BF77" s="22">
        <f>INDEX('Activity data'!BF$24:BF$39,MATCH(Emissions!$D77,'Activity data'!$D$24:$D$39,0))*INDEX(EF!$H$84:$H$99,MATCH(Emissions!$D77,EF!$D$84:$D$99,0))*INDEX(EF!$H$100:$H$115,MATCH(Emissions!$D77,EF!$D$100:$D$115,0))*INDEX(EF!$H$132:$H$147,MATCH(Emissions!$D77,EF!$D$132:$D$147,0))*kgtoGg</f>
        <v>5.1768803071084878E-4</v>
      </c>
      <c r="BG77" s="22">
        <f>INDEX('Activity data'!BG$24:BG$39,MATCH(Emissions!$D77,'Activity data'!$D$24:$D$39,0))*INDEX(EF!$H$84:$H$99,MATCH(Emissions!$D77,EF!$D$84:$D$99,0))*INDEX(EF!$H$100:$H$115,MATCH(Emissions!$D77,EF!$D$100:$D$115,0))*INDEX(EF!$H$132:$H$147,MATCH(Emissions!$D77,EF!$D$132:$D$147,0))*kgtoGg</f>
        <v>5.2056614101625778E-4</v>
      </c>
      <c r="BH77" s="22">
        <f>INDEX('Activity data'!BH$24:BH$39,MATCH(Emissions!$D77,'Activity data'!$D$24:$D$39,0))*INDEX(EF!$H$84:$H$99,MATCH(Emissions!$D77,EF!$D$84:$D$99,0))*INDEX(EF!$H$100:$H$115,MATCH(Emissions!$D77,EF!$D$100:$D$115,0))*INDEX(EF!$H$132:$H$147,MATCH(Emissions!$D77,EF!$D$132:$D$147,0))*kgtoGg</f>
        <v>5.2344425132166679E-4</v>
      </c>
      <c r="BI77" s="22">
        <f>INDEX('Activity data'!BI$24:BI$39,MATCH(Emissions!$D77,'Activity data'!$D$24:$D$39,0))*INDEX(EF!$H$84:$H$99,MATCH(Emissions!$D77,EF!$D$84:$D$99,0))*INDEX(EF!$H$100:$H$115,MATCH(Emissions!$D77,EF!$D$100:$D$115,0))*INDEX(EF!$H$132:$H$147,MATCH(Emissions!$D77,EF!$D$132:$D$147,0))*kgtoGg</f>
        <v>5.263223616270758E-4</v>
      </c>
      <c r="BJ77" s="22">
        <f>INDEX('Activity data'!BJ$24:BJ$39,MATCH(Emissions!$D77,'Activity data'!$D$24:$D$39,0))*INDEX(EF!$H$84:$H$99,MATCH(Emissions!$D77,EF!$D$84:$D$99,0))*INDEX(EF!$H$100:$H$115,MATCH(Emissions!$D77,EF!$D$100:$D$115,0))*INDEX(EF!$H$132:$H$147,MATCH(Emissions!$D77,EF!$D$132:$D$147,0))*kgtoGg</f>
        <v>5.2920047193248491E-4</v>
      </c>
      <c r="BK77" s="22">
        <f>INDEX('Activity data'!BK$24:BK$39,MATCH(Emissions!$D77,'Activity data'!$D$24:$D$39,0))*INDEX(EF!$H$84:$H$99,MATCH(Emissions!$D77,EF!$D$84:$D$99,0))*INDEX(EF!$H$100:$H$115,MATCH(Emissions!$D77,EF!$D$100:$D$115,0))*INDEX(EF!$H$132:$H$147,MATCH(Emissions!$D77,EF!$D$132:$D$147,0))*kgtoGg</f>
        <v>5.3207858223789392E-4</v>
      </c>
      <c r="BL77" s="22">
        <f>INDEX('Activity data'!BL$24:BL$39,MATCH(Emissions!$D77,'Activity data'!$D$24:$D$39,0))*INDEX(EF!$H$84:$H$99,MATCH(Emissions!$D77,EF!$D$84:$D$99,0))*INDEX(EF!$H$100:$H$115,MATCH(Emissions!$D77,EF!$D$100:$D$115,0))*INDEX(EF!$H$132:$H$147,MATCH(Emissions!$D77,EF!$D$132:$D$147,0))*kgtoGg</f>
        <v>5.3495669254330282E-4</v>
      </c>
      <c r="BM77" s="22">
        <f>INDEX('Activity data'!BM$24:BM$39,MATCH(Emissions!$D77,'Activity data'!$D$24:$D$39,0))*INDEX(EF!$H$84:$H$99,MATCH(Emissions!$D77,EF!$D$84:$D$99,0))*INDEX(EF!$H$100:$H$115,MATCH(Emissions!$D77,EF!$D$100:$D$115,0))*INDEX(EF!$H$132:$H$147,MATCH(Emissions!$D77,EF!$D$132:$D$147,0))*kgtoGg</f>
        <v>5.3783480284871194E-4</v>
      </c>
      <c r="BN77" s="22">
        <f>INDEX('Activity data'!BN$24:BN$39,MATCH(Emissions!$D77,'Activity data'!$D$24:$D$39,0))*INDEX(EF!$H$84:$H$99,MATCH(Emissions!$D77,EF!$D$84:$D$99,0))*INDEX(EF!$H$100:$H$115,MATCH(Emissions!$D77,EF!$D$100:$D$115,0))*INDEX(EF!$H$132:$H$147,MATCH(Emissions!$D77,EF!$D$132:$D$147,0))*kgtoGg</f>
        <v>5.4071291315412095E-4</v>
      </c>
      <c r="BO77" s="22">
        <f>INDEX('Activity data'!BO$24:BO$39,MATCH(Emissions!$D77,'Activity data'!$D$24:$D$39,0))*INDEX(EF!$H$84:$H$99,MATCH(Emissions!$D77,EF!$D$84:$D$99,0))*INDEX(EF!$H$100:$H$115,MATCH(Emissions!$D77,EF!$D$100:$D$115,0))*INDEX(EF!$H$132:$H$147,MATCH(Emissions!$D77,EF!$D$132:$D$147,0))*kgtoGg</f>
        <v>5.4359102345952984E-4</v>
      </c>
      <c r="BP77" s="22">
        <f>INDEX('Activity data'!BP$24:BP$39,MATCH(Emissions!$D77,'Activity data'!$D$24:$D$39,0))*INDEX(EF!$H$84:$H$99,MATCH(Emissions!$D77,EF!$D$84:$D$99,0))*INDEX(EF!$H$100:$H$115,MATCH(Emissions!$D77,EF!$D$100:$D$115,0))*INDEX(EF!$H$132:$H$147,MATCH(Emissions!$D77,EF!$D$132:$D$147,0))*kgtoGg</f>
        <v>5.4646913376493885E-4</v>
      </c>
    </row>
    <row r="78" spans="1:68" x14ac:dyDescent="0.3">
      <c r="A78" t="str">
        <f t="shared" si="19"/>
        <v>3C Aggregated and non-CO2 emissions on land</v>
      </c>
      <c r="B78" t="str">
        <f t="shared" si="26"/>
        <v>3C1 Biomass burning (N2O)</v>
      </c>
      <c r="C78" t="str">
        <f t="shared" si="25"/>
        <v>3C1b Biomass burning in Croplands</v>
      </c>
      <c r="D78" t="str">
        <f>EF!D108</f>
        <v>Cropland subsistence</v>
      </c>
      <c r="E78" t="s">
        <v>649</v>
      </c>
      <c r="F78" t="str">
        <f t="shared" si="27"/>
        <v>N2O</v>
      </c>
      <c r="G78" t="str">
        <f t="shared" si="28"/>
        <v>Gg N2O</v>
      </c>
      <c r="H78" s="22">
        <f>INDEX('Activity data'!H$24:H$39,MATCH(Emissions!$D78,'Activity data'!$D$24:$D$39,0))*INDEX(EF!$H$84:$H$99,MATCH(Emissions!$D78,EF!$D$84:$D$99,0))*INDEX(EF!$H$100:$H$115,MATCH(Emissions!$D78,EF!$D$100:$D$115,0))*INDEX(EF!$H$132:$H$147,MATCH(Emissions!$D78,EF!$D$132:$D$147,0))*kgtoGg</f>
        <v>5.9523228809688487E-2</v>
      </c>
      <c r="I78" s="22">
        <f>INDEX('Activity data'!I$24:I$39,MATCH(Emissions!$D78,'Activity data'!$D$24:$D$39,0))*INDEX(EF!$H$84:$H$99,MATCH(Emissions!$D78,EF!$D$84:$D$99,0))*INDEX(EF!$H$100:$H$115,MATCH(Emissions!$D78,EF!$D$100:$D$115,0))*INDEX(EF!$H$132:$H$147,MATCH(Emissions!$D78,EF!$D$132:$D$147,0))*kgtoGg</f>
        <v>5.9523228809688487E-2</v>
      </c>
      <c r="J78" s="22">
        <f>INDEX('Activity data'!J$24:J$39,MATCH(Emissions!$D78,'Activity data'!$D$24:$D$39,0))*INDEX(EF!$H$84:$H$99,MATCH(Emissions!$D78,EF!$D$84:$D$99,0))*INDEX(EF!$H$100:$H$115,MATCH(Emissions!$D78,EF!$D$100:$D$115,0))*INDEX(EF!$H$132:$H$147,MATCH(Emissions!$D78,EF!$D$132:$D$147,0))*kgtoGg</f>
        <v>5.9523228809688487E-2</v>
      </c>
      <c r="K78" s="22">
        <f>INDEX('Activity data'!K$24:K$39,MATCH(Emissions!$D78,'Activity data'!$D$24:$D$39,0))*INDEX(EF!$H$84:$H$99,MATCH(Emissions!$D78,EF!$D$84:$D$99,0))*INDEX(EF!$H$100:$H$115,MATCH(Emissions!$D78,EF!$D$100:$D$115,0))*INDEX(EF!$H$132:$H$147,MATCH(Emissions!$D78,EF!$D$132:$D$147,0))*kgtoGg</f>
        <v>5.9523228809688487E-2</v>
      </c>
      <c r="L78" s="22">
        <f>INDEX('Activity data'!L$24:L$39,MATCH(Emissions!$D78,'Activity data'!$D$24:$D$39,0))*INDEX(EF!$H$84:$H$99,MATCH(Emissions!$D78,EF!$D$84:$D$99,0))*INDEX(EF!$H$100:$H$115,MATCH(Emissions!$D78,EF!$D$100:$D$115,0))*INDEX(EF!$H$132:$H$147,MATCH(Emissions!$D78,EF!$D$132:$D$147,0))*kgtoGg</f>
        <v>5.9523228809688487E-2</v>
      </c>
      <c r="M78" s="22">
        <f>INDEX('Activity data'!M$24:M$39,MATCH(Emissions!$D78,'Activity data'!$D$24:$D$39,0))*INDEX(EF!$H$84:$H$99,MATCH(Emissions!$D78,EF!$D$84:$D$99,0))*INDEX(EF!$H$100:$H$115,MATCH(Emissions!$D78,EF!$D$100:$D$115,0))*INDEX(EF!$H$132:$H$147,MATCH(Emissions!$D78,EF!$D$132:$D$147,0))*kgtoGg</f>
        <v>5.9523228809688487E-2</v>
      </c>
      <c r="N78" s="22">
        <f>INDEX('Activity data'!N$24:N$39,MATCH(Emissions!$D78,'Activity data'!$D$24:$D$39,0))*INDEX(EF!$H$84:$H$99,MATCH(Emissions!$D78,EF!$D$84:$D$99,0))*INDEX(EF!$H$100:$H$115,MATCH(Emissions!$D78,EF!$D$100:$D$115,0))*INDEX(EF!$H$132:$H$147,MATCH(Emissions!$D78,EF!$D$132:$D$147,0))*kgtoGg</f>
        <v>5.9523228809688487E-2</v>
      </c>
      <c r="O78" s="22">
        <f>INDEX('Activity data'!O$24:O$39,MATCH(Emissions!$D78,'Activity data'!$D$24:$D$39,0))*INDEX(EF!$H$84:$H$99,MATCH(Emissions!$D78,EF!$D$84:$D$99,0))*INDEX(EF!$H$100:$H$115,MATCH(Emissions!$D78,EF!$D$100:$D$115,0))*INDEX(EF!$H$132:$H$147,MATCH(Emissions!$D78,EF!$D$132:$D$147,0))*kgtoGg</f>
        <v>5.9523228809688487E-2</v>
      </c>
      <c r="P78" s="22">
        <f>INDEX('Activity data'!P$24:P$39,MATCH(Emissions!$D78,'Activity data'!$D$24:$D$39,0))*INDEX(EF!$H$84:$H$99,MATCH(Emissions!$D78,EF!$D$84:$D$99,0))*INDEX(EF!$H$100:$H$115,MATCH(Emissions!$D78,EF!$D$100:$D$115,0))*INDEX(EF!$H$132:$H$147,MATCH(Emissions!$D78,EF!$D$132:$D$147,0))*kgtoGg</f>
        <v>5.9523228809688487E-2</v>
      </c>
      <c r="Q78" s="22">
        <f>INDEX('Activity data'!Q$24:Q$39,MATCH(Emissions!$D78,'Activity data'!$D$24:$D$39,0))*INDEX(EF!$H$84:$H$99,MATCH(Emissions!$D78,EF!$D$84:$D$99,0))*INDEX(EF!$H$100:$H$115,MATCH(Emissions!$D78,EF!$D$100:$D$115,0))*INDEX(EF!$H$132:$H$147,MATCH(Emissions!$D78,EF!$D$132:$D$147,0))*kgtoGg</f>
        <v>5.9523228809688487E-2</v>
      </c>
      <c r="R78" s="22">
        <f>INDEX('Activity data'!R$24:R$39,MATCH(Emissions!$D78,'Activity data'!$D$24:$D$39,0))*INDEX(EF!$H$84:$H$99,MATCH(Emissions!$D78,EF!$D$84:$D$99,0))*INDEX(EF!$H$100:$H$115,MATCH(Emissions!$D78,EF!$D$100:$D$115,0))*INDEX(EF!$H$132:$H$147,MATCH(Emissions!$D78,EF!$D$132:$D$147,0))*kgtoGg</f>
        <v>5.4383377763667071E-2</v>
      </c>
      <c r="S78" s="22">
        <f>INDEX('Activity data'!S$24:S$39,MATCH(Emissions!$D78,'Activity data'!$D$24:$D$39,0))*INDEX(EF!$H$84:$H$99,MATCH(Emissions!$D78,EF!$D$84:$D$99,0))*INDEX(EF!$H$100:$H$115,MATCH(Emissions!$D78,EF!$D$100:$D$115,0))*INDEX(EF!$H$132:$H$147,MATCH(Emissions!$D78,EF!$D$132:$D$147,0))*kgtoGg</f>
        <v>8.1405471912349855E-2</v>
      </c>
      <c r="T78" s="22">
        <f>INDEX('Activity data'!T$24:T$39,MATCH(Emissions!$D78,'Activity data'!$D$24:$D$39,0))*INDEX(EF!$H$84:$H$99,MATCH(Emissions!$D78,EF!$D$84:$D$99,0))*INDEX(EF!$H$100:$H$115,MATCH(Emissions!$D78,EF!$D$100:$D$115,0))*INDEX(EF!$H$132:$H$147,MATCH(Emissions!$D78,EF!$D$132:$D$147,0))*kgtoGg</f>
        <v>6.4095502815432151E-2</v>
      </c>
      <c r="U78" s="22">
        <f>INDEX('Activity data'!U$24:U$39,MATCH(Emissions!$D78,'Activity data'!$D$24:$D$39,0))*INDEX(EF!$H$84:$H$99,MATCH(Emissions!$D78,EF!$D$84:$D$99,0))*INDEX(EF!$H$100:$H$115,MATCH(Emissions!$D78,EF!$D$100:$D$115,0))*INDEX(EF!$H$132:$H$147,MATCH(Emissions!$D78,EF!$D$132:$D$147,0))*kgtoGg</f>
        <v>5.4372071448123685E-2</v>
      </c>
      <c r="V78" s="22">
        <f>INDEX('Activity data'!V$24:V$39,MATCH(Emissions!$D78,'Activity data'!$D$24:$D$39,0))*INDEX(EF!$H$84:$H$99,MATCH(Emissions!$D78,EF!$D$84:$D$99,0))*INDEX(EF!$H$100:$H$115,MATCH(Emissions!$D78,EF!$D$100:$D$115,0))*INDEX(EF!$H$132:$H$147,MATCH(Emissions!$D78,EF!$D$132:$D$147,0))*kgtoGg</f>
        <v>4.3359720108869682E-2</v>
      </c>
      <c r="W78" s="22">
        <f>INDEX('Activity data'!W$24:W$39,MATCH(Emissions!$D78,'Activity data'!$D$24:$D$39,0))*INDEX(EF!$H$84:$H$99,MATCH(Emissions!$D78,EF!$D$84:$D$99,0))*INDEX(EF!$H$100:$H$115,MATCH(Emissions!$D78,EF!$D$100:$D$115,0))*INDEX(EF!$H$132:$H$147,MATCH(Emissions!$D78,EF!$D$132:$D$147,0))*kgtoGg</f>
        <v>9.3989401112133955E-2</v>
      </c>
      <c r="X78" s="22">
        <f>INDEX('Activity data'!X$24:X$39,MATCH(Emissions!$D78,'Activity data'!$D$24:$D$39,0))*INDEX(EF!$H$84:$H$99,MATCH(Emissions!$D78,EF!$D$84:$D$99,0))*INDEX(EF!$H$100:$H$115,MATCH(Emissions!$D78,EF!$D$100:$D$115,0))*INDEX(EF!$H$132:$H$147,MATCH(Emissions!$D78,EF!$D$132:$D$147,0))*kgtoGg</f>
        <v>7.364933944958986E-2</v>
      </c>
      <c r="Y78" s="22">
        <f>INDEX('Activity data'!Y$24:Y$39,MATCH(Emissions!$D78,'Activity data'!$D$24:$D$39,0))*INDEX(EF!$H$84:$H$99,MATCH(Emissions!$D78,EF!$D$84:$D$99,0))*INDEX(EF!$H$100:$H$115,MATCH(Emissions!$D78,EF!$D$100:$D$115,0))*INDEX(EF!$H$132:$H$147,MATCH(Emissions!$D78,EF!$D$132:$D$147,0))*kgtoGg</f>
        <v>0.11404680488609349</v>
      </c>
      <c r="Z78" s="22">
        <f>INDEX('Activity data'!Z$24:Z$39,MATCH(Emissions!$D78,'Activity data'!$D$24:$D$39,0))*INDEX(EF!$H$84:$H$99,MATCH(Emissions!$D78,EF!$D$84:$D$99,0))*INDEX(EF!$H$100:$H$115,MATCH(Emissions!$D78,EF!$D$100:$D$115,0))*INDEX(EF!$H$132:$H$147,MATCH(Emissions!$D78,EF!$D$132:$D$147,0))*kgtoGg</f>
        <v>6.8618029032784925E-2</v>
      </c>
      <c r="AA78" s="22">
        <f>INDEX('Activity data'!AA$24:AA$39,MATCH(Emissions!$D78,'Activity data'!$D$24:$D$39,0))*INDEX(EF!$H$84:$H$99,MATCH(Emissions!$D78,EF!$D$84:$D$99,0))*INDEX(EF!$H$100:$H$115,MATCH(Emissions!$D78,EF!$D$100:$D$115,0))*INDEX(EF!$H$132:$H$147,MATCH(Emissions!$D78,EF!$D$132:$D$147,0))*kgtoGg</f>
        <v>8.1168039285938853E-2</v>
      </c>
      <c r="AB78" s="22">
        <f>INDEX('Activity data'!AB$24:AB$39,MATCH(Emissions!$D78,'Activity data'!$D$24:$D$39,0))*INDEX(EF!$H$84:$H$99,MATCH(Emissions!$D78,EF!$D$84:$D$99,0))*INDEX(EF!$H$100:$H$115,MATCH(Emissions!$D78,EF!$D$100:$D$115,0))*INDEX(EF!$H$132:$H$147,MATCH(Emissions!$D78,EF!$D$132:$D$147,0))*kgtoGg</f>
        <v>5.4530973000000003E-2</v>
      </c>
      <c r="AC78" s="22">
        <f>INDEX('Activity data'!AC$24:AC$39,MATCH(Emissions!$D78,'Activity data'!$D$24:$D$39,0))*INDEX(EF!$H$84:$H$99,MATCH(Emissions!$D78,EF!$D$84:$D$99,0))*INDEX(EF!$H$100:$H$115,MATCH(Emissions!$D78,EF!$D$100:$D$115,0))*INDEX(EF!$H$132:$H$147,MATCH(Emissions!$D78,EF!$D$132:$D$147,0))*kgtoGg</f>
        <v>3.7016790300000005E-2</v>
      </c>
      <c r="AD78" s="22">
        <f>INDEX('Activity data'!AD$24:AD$39,MATCH(Emissions!$D78,'Activity data'!$D$24:$D$39,0))*INDEX(EF!$H$84:$H$99,MATCH(Emissions!$D78,EF!$D$84:$D$99,0))*INDEX(EF!$H$100:$H$115,MATCH(Emissions!$D78,EF!$D$100:$D$115,0))*INDEX(EF!$H$132:$H$147,MATCH(Emissions!$D78,EF!$D$132:$D$147,0))*kgtoGg</f>
        <v>5.46089838424927E-2</v>
      </c>
      <c r="AE78" s="22">
        <f>INDEX('Activity data'!AE$24:AE$39,MATCH(Emissions!$D78,'Activity data'!$D$24:$D$39,0))*INDEX(EF!$H$84:$H$99,MATCH(Emissions!$D78,EF!$D$84:$D$99,0))*INDEX(EF!$H$100:$H$115,MATCH(Emissions!$D78,EF!$D$100:$D$115,0))*INDEX(EF!$H$132:$H$147,MATCH(Emissions!$D78,EF!$D$132:$D$147,0))*kgtoGg</f>
        <v>5.4617136288329267E-2</v>
      </c>
      <c r="AF78" s="22">
        <f>INDEX('Activity data'!AF$24:AF$39,MATCH(Emissions!$D78,'Activity data'!$D$24:$D$39,0))*INDEX(EF!$H$84:$H$99,MATCH(Emissions!$D78,EF!$D$84:$D$99,0))*INDEX(EF!$H$100:$H$115,MATCH(Emissions!$D78,EF!$D$100:$D$115,0))*INDEX(EF!$H$132:$H$147,MATCH(Emissions!$D78,EF!$D$132:$D$147,0))*kgtoGg</f>
        <v>5.462528873416584E-2</v>
      </c>
      <c r="AG78" s="22">
        <f>INDEX('Activity data'!AG$24:AG$39,MATCH(Emissions!$D78,'Activity data'!$D$24:$D$39,0))*INDEX(EF!$H$84:$H$99,MATCH(Emissions!$D78,EF!$D$84:$D$99,0))*INDEX(EF!$H$100:$H$115,MATCH(Emissions!$D78,EF!$D$100:$D$115,0))*INDEX(EF!$H$132:$H$147,MATCH(Emissions!$D78,EF!$D$132:$D$147,0))*kgtoGg</f>
        <v>5.4633441180002421E-2</v>
      </c>
      <c r="AH78" s="22">
        <f>INDEX('Activity data'!AH$24:AH$39,MATCH(Emissions!$D78,'Activity data'!$D$24:$D$39,0))*INDEX(EF!$H$84:$H$99,MATCH(Emissions!$D78,EF!$D$84:$D$99,0))*INDEX(EF!$H$100:$H$115,MATCH(Emissions!$D78,EF!$D$100:$D$115,0))*INDEX(EF!$H$132:$H$147,MATCH(Emissions!$D78,EF!$D$132:$D$147,0))*kgtoGg</f>
        <v>5.4641593625839001E-2</v>
      </c>
      <c r="AI78" s="22">
        <f>INDEX('Activity data'!AI$24:AI$39,MATCH(Emissions!$D78,'Activity data'!$D$24:$D$39,0))*INDEX(EF!$H$84:$H$99,MATCH(Emissions!$D78,EF!$D$84:$D$99,0))*INDEX(EF!$H$100:$H$115,MATCH(Emissions!$D78,EF!$D$100:$D$115,0))*INDEX(EF!$H$132:$H$147,MATCH(Emissions!$D78,EF!$D$132:$D$147,0))*kgtoGg</f>
        <v>5.4649746071675574E-2</v>
      </c>
      <c r="AJ78" s="22">
        <f>INDEX('Activity data'!AJ$24:AJ$39,MATCH(Emissions!$D78,'Activity data'!$D$24:$D$39,0))*INDEX(EF!$H$84:$H$99,MATCH(Emissions!$D78,EF!$D$84:$D$99,0))*INDEX(EF!$H$100:$H$115,MATCH(Emissions!$D78,EF!$D$100:$D$115,0))*INDEX(EF!$H$132:$H$147,MATCH(Emissions!$D78,EF!$D$132:$D$147,0))*kgtoGg</f>
        <v>5.4657898517512148E-2</v>
      </c>
      <c r="AK78" s="22">
        <f>INDEX('Activity data'!AK$24:AK$39,MATCH(Emissions!$D78,'Activity data'!$D$24:$D$39,0))*INDEX(EF!$H$84:$H$99,MATCH(Emissions!$D78,EF!$D$84:$D$99,0))*INDEX(EF!$H$100:$H$115,MATCH(Emissions!$D78,EF!$D$100:$D$115,0))*INDEX(EF!$H$132:$H$147,MATCH(Emissions!$D78,EF!$D$132:$D$147,0))*kgtoGg</f>
        <v>5.4666050963348742E-2</v>
      </c>
      <c r="AL78" s="22">
        <f>INDEX('Activity data'!AL$24:AL$39,MATCH(Emissions!$D78,'Activity data'!$D$24:$D$39,0))*INDEX(EF!$H$84:$H$99,MATCH(Emissions!$D78,EF!$D$84:$D$99,0))*INDEX(EF!$H$100:$H$115,MATCH(Emissions!$D78,EF!$D$100:$D$115,0))*INDEX(EF!$H$132:$H$147,MATCH(Emissions!$D78,EF!$D$132:$D$147,0))*kgtoGg</f>
        <v>5.4674203409185315E-2</v>
      </c>
      <c r="AM78" s="22">
        <f>INDEX('Activity data'!AM$24:AM$39,MATCH(Emissions!$D78,'Activity data'!$D$24:$D$39,0))*INDEX(EF!$H$84:$H$99,MATCH(Emissions!$D78,EF!$D$84:$D$99,0))*INDEX(EF!$H$100:$H$115,MATCH(Emissions!$D78,EF!$D$100:$D$115,0))*INDEX(EF!$H$132:$H$147,MATCH(Emissions!$D78,EF!$D$132:$D$147,0))*kgtoGg</f>
        <v>5.4682355855021902E-2</v>
      </c>
      <c r="AN78" s="22">
        <f>INDEX('Activity data'!AN$24:AN$39,MATCH(Emissions!$D78,'Activity data'!$D$24:$D$39,0))*INDEX(EF!$H$84:$H$99,MATCH(Emissions!$D78,EF!$D$84:$D$99,0))*INDEX(EF!$H$100:$H$115,MATCH(Emissions!$D78,EF!$D$100:$D$115,0))*INDEX(EF!$H$132:$H$147,MATCH(Emissions!$D78,EF!$D$132:$D$147,0))*kgtoGg</f>
        <v>5.4690508300858469E-2</v>
      </c>
      <c r="AO78" s="22">
        <f>INDEX('Activity data'!AO$24:AO$39,MATCH(Emissions!$D78,'Activity data'!$D$24:$D$39,0))*INDEX(EF!$H$84:$H$99,MATCH(Emissions!$D78,EF!$D$84:$D$99,0))*INDEX(EF!$H$100:$H$115,MATCH(Emissions!$D78,EF!$D$100:$D$115,0))*INDEX(EF!$H$132:$H$147,MATCH(Emissions!$D78,EF!$D$132:$D$147,0))*kgtoGg</f>
        <v>5.4698660746695049E-2</v>
      </c>
      <c r="AP78" s="22">
        <f>INDEX('Activity data'!AP$24:AP$39,MATCH(Emissions!$D78,'Activity data'!$D$24:$D$39,0))*INDEX(EF!$H$84:$H$99,MATCH(Emissions!$D78,EF!$D$84:$D$99,0))*INDEX(EF!$H$100:$H$115,MATCH(Emissions!$D78,EF!$D$100:$D$115,0))*INDEX(EF!$H$132:$H$147,MATCH(Emissions!$D78,EF!$D$132:$D$147,0))*kgtoGg</f>
        <v>5.4706813192531623E-2</v>
      </c>
      <c r="AQ78" s="22">
        <f>INDEX('Activity data'!AQ$24:AQ$39,MATCH(Emissions!$D78,'Activity data'!$D$24:$D$39,0))*INDEX(EF!$H$84:$H$99,MATCH(Emissions!$D78,EF!$D$84:$D$99,0))*INDEX(EF!$H$100:$H$115,MATCH(Emissions!$D78,EF!$D$100:$D$115,0))*INDEX(EF!$H$132:$H$147,MATCH(Emissions!$D78,EF!$D$132:$D$147,0))*kgtoGg</f>
        <v>5.4714965638368196E-2</v>
      </c>
      <c r="AR78" s="22">
        <f>INDEX('Activity data'!AR$24:AR$39,MATCH(Emissions!$D78,'Activity data'!$D$24:$D$39,0))*INDEX(EF!$H$84:$H$99,MATCH(Emissions!$D78,EF!$D$84:$D$99,0))*INDEX(EF!$H$100:$H$115,MATCH(Emissions!$D78,EF!$D$100:$D$115,0))*INDEX(EF!$H$132:$H$147,MATCH(Emissions!$D78,EF!$D$132:$D$147,0))*kgtoGg</f>
        <v>5.472311808420479E-2</v>
      </c>
      <c r="AS78" s="22">
        <f>INDEX('Activity data'!AS$24:AS$39,MATCH(Emissions!$D78,'Activity data'!$D$24:$D$39,0))*INDEX(EF!$H$84:$H$99,MATCH(Emissions!$D78,EF!$D$84:$D$99,0))*INDEX(EF!$H$100:$H$115,MATCH(Emissions!$D78,EF!$D$100:$D$115,0))*INDEX(EF!$H$132:$H$147,MATCH(Emissions!$D78,EF!$D$132:$D$147,0))*kgtoGg</f>
        <v>5.4731270530041363E-2</v>
      </c>
      <c r="AT78" s="22">
        <f>INDEX('Activity data'!AT$24:AT$39,MATCH(Emissions!$D78,'Activity data'!$D$24:$D$39,0))*INDEX(EF!$H$84:$H$99,MATCH(Emissions!$D78,EF!$D$84:$D$99,0))*INDEX(EF!$H$100:$H$115,MATCH(Emissions!$D78,EF!$D$100:$D$115,0))*INDEX(EF!$H$132:$H$147,MATCH(Emissions!$D78,EF!$D$132:$D$147,0))*kgtoGg</f>
        <v>5.4739422975877944E-2</v>
      </c>
      <c r="AU78" s="22">
        <f>INDEX('Activity data'!AU$24:AU$39,MATCH(Emissions!$D78,'Activity data'!$D$24:$D$39,0))*INDEX(EF!$H$84:$H$99,MATCH(Emissions!$D78,EF!$D$84:$D$99,0))*INDEX(EF!$H$100:$H$115,MATCH(Emissions!$D78,EF!$D$100:$D$115,0))*INDEX(EF!$H$132:$H$147,MATCH(Emissions!$D78,EF!$D$132:$D$147,0))*kgtoGg</f>
        <v>5.4747575421714524E-2</v>
      </c>
      <c r="AV78" s="22">
        <f>INDEX('Activity data'!AV$24:AV$39,MATCH(Emissions!$D78,'Activity data'!$D$24:$D$39,0))*INDEX(EF!$H$84:$H$99,MATCH(Emissions!$D78,EF!$D$84:$D$99,0))*INDEX(EF!$H$100:$H$115,MATCH(Emissions!$D78,EF!$D$100:$D$115,0))*INDEX(EF!$H$132:$H$147,MATCH(Emissions!$D78,EF!$D$132:$D$147,0))*kgtoGg</f>
        <v>5.4755727867551097E-2</v>
      </c>
      <c r="AW78" s="22">
        <f>INDEX('Activity data'!AW$24:AW$39,MATCH(Emissions!$D78,'Activity data'!$D$24:$D$39,0))*INDEX(EF!$H$84:$H$99,MATCH(Emissions!$D78,EF!$D$84:$D$99,0))*INDEX(EF!$H$100:$H$115,MATCH(Emissions!$D78,EF!$D$100:$D$115,0))*INDEX(EF!$H$132:$H$147,MATCH(Emissions!$D78,EF!$D$132:$D$147,0))*kgtoGg</f>
        <v>5.4763880313387671E-2</v>
      </c>
      <c r="AX78" s="22">
        <f>INDEX('Activity data'!AX$24:AX$39,MATCH(Emissions!$D78,'Activity data'!$D$24:$D$39,0))*INDEX(EF!$H$84:$H$99,MATCH(Emissions!$D78,EF!$D$84:$D$99,0))*INDEX(EF!$H$100:$H$115,MATCH(Emissions!$D78,EF!$D$100:$D$115,0))*INDEX(EF!$H$132:$H$147,MATCH(Emissions!$D78,EF!$D$132:$D$147,0))*kgtoGg</f>
        <v>5.4772032759224265E-2</v>
      </c>
      <c r="AY78" s="22">
        <f>INDEX('Activity data'!AY$24:AY$39,MATCH(Emissions!$D78,'Activity data'!$D$24:$D$39,0))*INDEX(EF!$H$84:$H$99,MATCH(Emissions!$D78,EF!$D$84:$D$99,0))*INDEX(EF!$H$100:$H$115,MATCH(Emissions!$D78,EF!$D$100:$D$115,0))*INDEX(EF!$H$132:$H$147,MATCH(Emissions!$D78,EF!$D$132:$D$147,0))*kgtoGg</f>
        <v>5.4780185205060838E-2</v>
      </c>
      <c r="AZ78" s="22">
        <f>INDEX('Activity data'!AZ$24:AZ$39,MATCH(Emissions!$D78,'Activity data'!$D$24:$D$39,0))*INDEX(EF!$H$84:$H$99,MATCH(Emissions!$D78,EF!$D$84:$D$99,0))*INDEX(EF!$H$100:$H$115,MATCH(Emissions!$D78,EF!$D$100:$D$115,0))*INDEX(EF!$H$132:$H$147,MATCH(Emissions!$D78,EF!$D$132:$D$147,0))*kgtoGg</f>
        <v>5.4788337650897426E-2</v>
      </c>
      <c r="BA78" s="22">
        <f>INDEX('Activity data'!BA$24:BA$39,MATCH(Emissions!$D78,'Activity data'!$D$24:$D$39,0))*INDEX(EF!$H$84:$H$99,MATCH(Emissions!$D78,EF!$D$84:$D$99,0))*INDEX(EF!$H$100:$H$115,MATCH(Emissions!$D78,EF!$D$100:$D$115,0))*INDEX(EF!$H$132:$H$147,MATCH(Emissions!$D78,EF!$D$132:$D$147,0))*kgtoGg</f>
        <v>5.4796490096733992E-2</v>
      </c>
      <c r="BB78" s="22">
        <f>INDEX('Activity data'!BB$24:BB$39,MATCH(Emissions!$D78,'Activity data'!$D$24:$D$39,0))*INDEX(EF!$H$84:$H$99,MATCH(Emissions!$D78,EF!$D$84:$D$99,0))*INDEX(EF!$H$100:$H$115,MATCH(Emissions!$D78,EF!$D$100:$D$115,0))*INDEX(EF!$H$132:$H$147,MATCH(Emissions!$D78,EF!$D$132:$D$147,0))*kgtoGg</f>
        <v>5.4804642542570572E-2</v>
      </c>
      <c r="BC78" s="22">
        <f>INDEX('Activity data'!BC$24:BC$39,MATCH(Emissions!$D78,'Activity data'!$D$24:$D$39,0))*INDEX(EF!$H$84:$H$99,MATCH(Emissions!$D78,EF!$D$84:$D$99,0))*INDEX(EF!$H$100:$H$115,MATCH(Emissions!$D78,EF!$D$100:$D$115,0))*INDEX(EF!$H$132:$H$147,MATCH(Emissions!$D78,EF!$D$132:$D$147,0))*kgtoGg</f>
        <v>5.4812794988407146E-2</v>
      </c>
      <c r="BD78" s="22">
        <f>INDEX('Activity data'!BD$24:BD$39,MATCH(Emissions!$D78,'Activity data'!$D$24:$D$39,0))*INDEX(EF!$H$84:$H$99,MATCH(Emissions!$D78,EF!$D$84:$D$99,0))*INDEX(EF!$H$100:$H$115,MATCH(Emissions!$D78,EF!$D$100:$D$115,0))*INDEX(EF!$H$132:$H$147,MATCH(Emissions!$D78,EF!$D$132:$D$147,0))*kgtoGg</f>
        <v>5.4820947434243726E-2</v>
      </c>
      <c r="BE78" s="22">
        <f>INDEX('Activity data'!BE$24:BE$39,MATCH(Emissions!$D78,'Activity data'!$D$24:$D$39,0))*INDEX(EF!$H$84:$H$99,MATCH(Emissions!$D78,EF!$D$84:$D$99,0))*INDEX(EF!$H$100:$H$115,MATCH(Emissions!$D78,EF!$D$100:$D$115,0))*INDEX(EF!$H$132:$H$147,MATCH(Emissions!$D78,EF!$D$132:$D$147,0))*kgtoGg</f>
        <v>5.4829099880080313E-2</v>
      </c>
      <c r="BF78" s="22">
        <f>INDEX('Activity data'!BF$24:BF$39,MATCH(Emissions!$D78,'Activity data'!$D$24:$D$39,0))*INDEX(EF!$H$84:$H$99,MATCH(Emissions!$D78,EF!$D$84:$D$99,0))*INDEX(EF!$H$100:$H$115,MATCH(Emissions!$D78,EF!$D$100:$D$115,0))*INDEX(EF!$H$132:$H$147,MATCH(Emissions!$D78,EF!$D$132:$D$147,0))*kgtoGg</f>
        <v>5.4837252325916887E-2</v>
      </c>
      <c r="BG78" s="22">
        <f>INDEX('Activity data'!BG$24:BG$39,MATCH(Emissions!$D78,'Activity data'!$D$24:$D$39,0))*INDEX(EF!$H$84:$H$99,MATCH(Emissions!$D78,EF!$D$84:$D$99,0))*INDEX(EF!$H$100:$H$115,MATCH(Emissions!$D78,EF!$D$100:$D$115,0))*INDEX(EF!$H$132:$H$147,MATCH(Emissions!$D78,EF!$D$132:$D$147,0))*kgtoGg</f>
        <v>5.4845404771753467E-2</v>
      </c>
      <c r="BH78" s="22">
        <f>INDEX('Activity data'!BH$24:BH$39,MATCH(Emissions!$D78,'Activity data'!$D$24:$D$39,0))*INDEX(EF!$H$84:$H$99,MATCH(Emissions!$D78,EF!$D$84:$D$99,0))*INDEX(EF!$H$100:$H$115,MATCH(Emissions!$D78,EF!$D$100:$D$115,0))*INDEX(EF!$H$132:$H$147,MATCH(Emissions!$D78,EF!$D$132:$D$147,0))*kgtoGg</f>
        <v>5.4853557217590047E-2</v>
      </c>
      <c r="BI78" s="22">
        <f>INDEX('Activity data'!BI$24:BI$39,MATCH(Emissions!$D78,'Activity data'!$D$24:$D$39,0))*INDEX(EF!$H$84:$H$99,MATCH(Emissions!$D78,EF!$D$84:$D$99,0))*INDEX(EF!$H$100:$H$115,MATCH(Emissions!$D78,EF!$D$100:$D$115,0))*INDEX(EF!$H$132:$H$147,MATCH(Emissions!$D78,EF!$D$132:$D$147,0))*kgtoGg</f>
        <v>5.4861709663426621E-2</v>
      </c>
      <c r="BJ78" s="22">
        <f>INDEX('Activity data'!BJ$24:BJ$39,MATCH(Emissions!$D78,'Activity data'!$D$24:$D$39,0))*INDEX(EF!$H$84:$H$99,MATCH(Emissions!$D78,EF!$D$84:$D$99,0))*INDEX(EF!$H$100:$H$115,MATCH(Emissions!$D78,EF!$D$100:$D$115,0))*INDEX(EF!$H$132:$H$147,MATCH(Emissions!$D78,EF!$D$132:$D$147,0))*kgtoGg</f>
        <v>5.4869862109263194E-2</v>
      </c>
      <c r="BK78" s="22">
        <f>INDEX('Activity data'!BK$24:BK$39,MATCH(Emissions!$D78,'Activity data'!$D$24:$D$39,0))*INDEX(EF!$H$84:$H$99,MATCH(Emissions!$D78,EF!$D$84:$D$99,0))*INDEX(EF!$H$100:$H$115,MATCH(Emissions!$D78,EF!$D$100:$D$115,0))*INDEX(EF!$H$132:$H$147,MATCH(Emissions!$D78,EF!$D$132:$D$147,0))*kgtoGg</f>
        <v>5.4878014555099774E-2</v>
      </c>
      <c r="BL78" s="22">
        <f>INDEX('Activity data'!BL$24:BL$39,MATCH(Emissions!$D78,'Activity data'!$D$24:$D$39,0))*INDEX(EF!$H$84:$H$99,MATCH(Emissions!$D78,EF!$D$84:$D$99,0))*INDEX(EF!$H$100:$H$115,MATCH(Emissions!$D78,EF!$D$100:$D$115,0))*INDEX(EF!$H$132:$H$147,MATCH(Emissions!$D78,EF!$D$132:$D$147,0))*kgtoGg</f>
        <v>5.4886167000936362E-2</v>
      </c>
      <c r="BM78" s="22">
        <f>INDEX('Activity data'!BM$24:BM$39,MATCH(Emissions!$D78,'Activity data'!$D$24:$D$39,0))*INDEX(EF!$H$84:$H$99,MATCH(Emissions!$D78,EF!$D$84:$D$99,0))*INDEX(EF!$H$100:$H$115,MATCH(Emissions!$D78,EF!$D$100:$D$115,0))*INDEX(EF!$H$132:$H$147,MATCH(Emissions!$D78,EF!$D$132:$D$147,0))*kgtoGg</f>
        <v>5.4894319446772949E-2</v>
      </c>
      <c r="BN78" s="22">
        <f>INDEX('Activity data'!BN$24:BN$39,MATCH(Emissions!$D78,'Activity data'!$D$24:$D$39,0))*INDEX(EF!$H$84:$H$99,MATCH(Emissions!$D78,EF!$D$84:$D$99,0))*INDEX(EF!$H$100:$H$115,MATCH(Emissions!$D78,EF!$D$100:$D$115,0))*INDEX(EF!$H$132:$H$147,MATCH(Emissions!$D78,EF!$D$132:$D$147,0))*kgtoGg</f>
        <v>5.4902471892609515E-2</v>
      </c>
      <c r="BO78" s="22">
        <f>INDEX('Activity data'!BO$24:BO$39,MATCH(Emissions!$D78,'Activity data'!$D$24:$D$39,0))*INDEX(EF!$H$84:$H$99,MATCH(Emissions!$D78,EF!$D$84:$D$99,0))*INDEX(EF!$H$100:$H$115,MATCH(Emissions!$D78,EF!$D$100:$D$115,0))*INDEX(EF!$H$132:$H$147,MATCH(Emissions!$D78,EF!$D$132:$D$147,0))*kgtoGg</f>
        <v>5.4910624338446096E-2</v>
      </c>
      <c r="BP78" s="22">
        <f>INDEX('Activity data'!BP$24:BP$39,MATCH(Emissions!$D78,'Activity data'!$D$24:$D$39,0))*INDEX(EF!$H$84:$H$99,MATCH(Emissions!$D78,EF!$D$84:$D$99,0))*INDEX(EF!$H$100:$H$115,MATCH(Emissions!$D78,EF!$D$100:$D$115,0))*INDEX(EF!$H$132:$H$147,MATCH(Emissions!$D78,EF!$D$132:$D$147,0))*kgtoGg</f>
        <v>5.4918776784282669E-2</v>
      </c>
    </row>
    <row r="79" spans="1:68" x14ac:dyDescent="0.3">
      <c r="A79" t="str">
        <f t="shared" si="19"/>
        <v>3C Aggregated and non-CO2 emissions on land</v>
      </c>
      <c r="B79" t="str">
        <f t="shared" si="26"/>
        <v>3C1 Biomass burning (N2O)</v>
      </c>
      <c r="C79" t="str">
        <f t="shared" si="25"/>
        <v>3C1c Biomass burning in Grasslands</v>
      </c>
      <c r="D79" t="str">
        <f>EF!D109</f>
        <v>Grasslands</v>
      </c>
      <c r="E79" t="s">
        <v>650</v>
      </c>
      <c r="F79" t="str">
        <f t="shared" si="27"/>
        <v>N2O</v>
      </c>
      <c r="G79" t="str">
        <f t="shared" si="28"/>
        <v>Gg N2O</v>
      </c>
      <c r="H79" s="22">
        <f>INDEX('Activity data'!H$24:H$39,MATCH(Emissions!$D79,'Activity data'!$D$24:$D$39,0))*INDEX(EF!$H$84:$H$99,MATCH(Emissions!$D79,EF!$D$84:$D$99,0))*INDEX(EF!$H$100:$H$115,MATCH(Emissions!$D79,EF!$D$100:$D$115,0))*INDEX(EF!$H$132:$H$147,MATCH(Emissions!$D79,EF!$D$132:$D$147,0))*kgtoGg</f>
        <v>2.0559289182704736</v>
      </c>
      <c r="I79" s="22">
        <f>INDEX('Activity data'!I$24:I$39,MATCH(Emissions!$D79,'Activity data'!$D$24:$D$39,0))*INDEX(EF!$H$84:$H$99,MATCH(Emissions!$D79,EF!$D$84:$D$99,0))*INDEX(EF!$H$100:$H$115,MATCH(Emissions!$D79,EF!$D$100:$D$115,0))*INDEX(EF!$H$132:$H$147,MATCH(Emissions!$D79,EF!$D$132:$D$147,0))*kgtoGg</f>
        <v>2.0559289182704736</v>
      </c>
      <c r="J79" s="22">
        <f>INDEX('Activity data'!J$24:J$39,MATCH(Emissions!$D79,'Activity data'!$D$24:$D$39,0))*INDEX(EF!$H$84:$H$99,MATCH(Emissions!$D79,EF!$D$84:$D$99,0))*INDEX(EF!$H$100:$H$115,MATCH(Emissions!$D79,EF!$D$100:$D$115,0))*INDEX(EF!$H$132:$H$147,MATCH(Emissions!$D79,EF!$D$132:$D$147,0))*kgtoGg</f>
        <v>2.0559289182704736</v>
      </c>
      <c r="K79" s="22">
        <f>INDEX('Activity data'!K$24:K$39,MATCH(Emissions!$D79,'Activity data'!$D$24:$D$39,0))*INDEX(EF!$H$84:$H$99,MATCH(Emissions!$D79,EF!$D$84:$D$99,0))*INDEX(EF!$H$100:$H$115,MATCH(Emissions!$D79,EF!$D$100:$D$115,0))*INDEX(EF!$H$132:$H$147,MATCH(Emissions!$D79,EF!$D$132:$D$147,0))*kgtoGg</f>
        <v>2.0559289182704736</v>
      </c>
      <c r="L79" s="22">
        <f>INDEX('Activity data'!L$24:L$39,MATCH(Emissions!$D79,'Activity data'!$D$24:$D$39,0))*INDEX(EF!$H$84:$H$99,MATCH(Emissions!$D79,EF!$D$84:$D$99,0))*INDEX(EF!$H$100:$H$115,MATCH(Emissions!$D79,EF!$D$100:$D$115,0))*INDEX(EF!$H$132:$H$147,MATCH(Emissions!$D79,EF!$D$132:$D$147,0))*kgtoGg</f>
        <v>2.0559289182704736</v>
      </c>
      <c r="M79" s="22">
        <f>INDEX('Activity data'!M$24:M$39,MATCH(Emissions!$D79,'Activity data'!$D$24:$D$39,0))*INDEX(EF!$H$84:$H$99,MATCH(Emissions!$D79,EF!$D$84:$D$99,0))*INDEX(EF!$H$100:$H$115,MATCH(Emissions!$D79,EF!$D$100:$D$115,0))*INDEX(EF!$H$132:$H$147,MATCH(Emissions!$D79,EF!$D$132:$D$147,0))*kgtoGg</f>
        <v>2.0559289182704736</v>
      </c>
      <c r="N79" s="22">
        <f>INDEX('Activity data'!N$24:N$39,MATCH(Emissions!$D79,'Activity data'!$D$24:$D$39,0))*INDEX(EF!$H$84:$H$99,MATCH(Emissions!$D79,EF!$D$84:$D$99,0))*INDEX(EF!$H$100:$H$115,MATCH(Emissions!$D79,EF!$D$100:$D$115,0))*INDEX(EF!$H$132:$H$147,MATCH(Emissions!$D79,EF!$D$132:$D$147,0))*kgtoGg</f>
        <v>2.0559289182704736</v>
      </c>
      <c r="O79" s="22">
        <f>INDEX('Activity data'!O$24:O$39,MATCH(Emissions!$D79,'Activity data'!$D$24:$D$39,0))*INDEX(EF!$H$84:$H$99,MATCH(Emissions!$D79,EF!$D$84:$D$99,0))*INDEX(EF!$H$100:$H$115,MATCH(Emissions!$D79,EF!$D$100:$D$115,0))*INDEX(EF!$H$132:$H$147,MATCH(Emissions!$D79,EF!$D$132:$D$147,0))*kgtoGg</f>
        <v>2.0559289182704736</v>
      </c>
      <c r="P79" s="22">
        <f>INDEX('Activity data'!P$24:P$39,MATCH(Emissions!$D79,'Activity data'!$D$24:$D$39,0))*INDEX(EF!$H$84:$H$99,MATCH(Emissions!$D79,EF!$D$84:$D$99,0))*INDEX(EF!$H$100:$H$115,MATCH(Emissions!$D79,EF!$D$100:$D$115,0))*INDEX(EF!$H$132:$H$147,MATCH(Emissions!$D79,EF!$D$132:$D$147,0))*kgtoGg</f>
        <v>2.0559289182704736</v>
      </c>
      <c r="Q79" s="22">
        <f>INDEX('Activity data'!Q$24:Q$39,MATCH(Emissions!$D79,'Activity data'!$D$24:$D$39,0))*INDEX(EF!$H$84:$H$99,MATCH(Emissions!$D79,EF!$D$84:$D$99,0))*INDEX(EF!$H$100:$H$115,MATCH(Emissions!$D79,EF!$D$100:$D$115,0))*INDEX(EF!$H$132:$H$147,MATCH(Emissions!$D79,EF!$D$132:$D$147,0))*kgtoGg</f>
        <v>2.0559289182704736</v>
      </c>
      <c r="R79" s="22">
        <f>INDEX('Activity data'!R$24:R$39,MATCH(Emissions!$D79,'Activity data'!$D$24:$D$39,0))*INDEX(EF!$H$84:$H$99,MATCH(Emissions!$D79,EF!$D$84:$D$99,0))*INDEX(EF!$H$100:$H$115,MATCH(Emissions!$D79,EF!$D$100:$D$115,0))*INDEX(EF!$H$132:$H$147,MATCH(Emissions!$D79,EF!$D$132:$D$147,0))*kgtoGg</f>
        <v>2.0422883654275221</v>
      </c>
      <c r="S79" s="22">
        <f>INDEX('Activity data'!S$24:S$39,MATCH(Emissions!$D79,'Activity data'!$D$24:$D$39,0))*INDEX(EF!$H$84:$H$99,MATCH(Emissions!$D79,EF!$D$84:$D$99,0))*INDEX(EF!$H$100:$H$115,MATCH(Emissions!$D79,EF!$D$100:$D$115,0))*INDEX(EF!$H$132:$H$147,MATCH(Emissions!$D79,EF!$D$132:$D$147,0))*kgtoGg</f>
        <v>2.3356218386669245</v>
      </c>
      <c r="T79" s="22">
        <f>INDEX('Activity data'!T$24:T$39,MATCH(Emissions!$D79,'Activity data'!$D$24:$D$39,0))*INDEX(EF!$H$84:$H$99,MATCH(Emissions!$D79,EF!$D$84:$D$99,0))*INDEX(EF!$H$100:$H$115,MATCH(Emissions!$D79,EF!$D$100:$D$115,0))*INDEX(EF!$H$132:$H$147,MATCH(Emissions!$D79,EF!$D$132:$D$147,0))*kgtoGg</f>
        <v>2.3760706670797545</v>
      </c>
      <c r="U79" s="22">
        <f>INDEX('Activity data'!U$24:U$39,MATCH(Emissions!$D79,'Activity data'!$D$24:$D$39,0))*INDEX(EF!$H$84:$H$99,MATCH(Emissions!$D79,EF!$D$84:$D$99,0))*INDEX(EF!$H$100:$H$115,MATCH(Emissions!$D79,EF!$D$100:$D$115,0))*INDEX(EF!$H$132:$H$147,MATCH(Emissions!$D79,EF!$D$132:$D$147,0))*kgtoGg</f>
        <v>1.9071940465634558</v>
      </c>
      <c r="V79" s="22">
        <f>INDEX('Activity data'!V$24:V$39,MATCH(Emissions!$D79,'Activity data'!$D$24:$D$39,0))*INDEX(EF!$H$84:$H$99,MATCH(Emissions!$D79,EF!$D$84:$D$99,0))*INDEX(EF!$H$100:$H$115,MATCH(Emissions!$D79,EF!$D$100:$D$115,0))*INDEX(EF!$H$132:$H$147,MATCH(Emissions!$D79,EF!$D$132:$D$147,0))*kgtoGg</f>
        <v>1.6184696736147095</v>
      </c>
      <c r="W79" s="22">
        <f>INDEX('Activity data'!W$24:W$39,MATCH(Emissions!$D79,'Activity data'!$D$24:$D$39,0))*INDEX(EF!$H$84:$H$99,MATCH(Emissions!$D79,EF!$D$84:$D$99,0))*INDEX(EF!$H$100:$H$115,MATCH(Emissions!$D79,EF!$D$100:$D$115,0))*INDEX(EF!$H$132:$H$147,MATCH(Emissions!$D79,EF!$D$132:$D$147,0))*kgtoGg</f>
        <v>2.5143834094226407</v>
      </c>
      <c r="X79" s="22">
        <f>INDEX('Activity data'!X$24:X$39,MATCH(Emissions!$D79,'Activity data'!$D$24:$D$39,0))*INDEX(EF!$H$84:$H$99,MATCH(Emissions!$D79,EF!$D$84:$D$99,0))*INDEX(EF!$H$100:$H$115,MATCH(Emissions!$D79,EF!$D$100:$D$115,0))*INDEX(EF!$H$132:$H$147,MATCH(Emissions!$D79,EF!$D$132:$D$147,0))*kgtoGg</f>
        <v>2.2148912245879653</v>
      </c>
      <c r="Y79" s="22">
        <f>INDEX('Activity data'!Y$24:Y$39,MATCH(Emissions!$D79,'Activity data'!$D$24:$D$39,0))*INDEX(EF!$H$84:$H$99,MATCH(Emissions!$D79,EF!$D$84:$D$99,0))*INDEX(EF!$H$100:$H$115,MATCH(Emissions!$D79,EF!$D$100:$D$115,0))*INDEX(EF!$H$132:$H$147,MATCH(Emissions!$D79,EF!$D$132:$D$147,0))*kgtoGg</f>
        <v>2.0867105561598827</v>
      </c>
      <c r="Z79" s="22">
        <f>INDEX('Activity data'!Z$24:Z$39,MATCH(Emissions!$D79,'Activity data'!$D$24:$D$39,0))*INDEX(EF!$H$84:$H$99,MATCH(Emissions!$D79,EF!$D$84:$D$99,0))*INDEX(EF!$H$100:$H$115,MATCH(Emissions!$D79,EF!$D$100:$D$115,0))*INDEX(EF!$H$132:$H$147,MATCH(Emissions!$D79,EF!$D$132:$D$147,0))*kgtoGg</f>
        <v>1.9391398796124881</v>
      </c>
      <c r="AA79" s="22">
        <f>INDEX('Activity data'!AA$24:AA$39,MATCH(Emissions!$D79,'Activity data'!$D$24:$D$39,0))*INDEX(EF!$H$84:$H$99,MATCH(Emissions!$D79,EF!$D$84:$D$99,0))*INDEX(EF!$H$100:$H$115,MATCH(Emissions!$D79,EF!$D$100:$D$115,0))*INDEX(EF!$H$132:$H$147,MATCH(Emissions!$D79,EF!$D$132:$D$147,0))*kgtoGg</f>
        <v>2.0058724997690169</v>
      </c>
      <c r="AB79" s="22">
        <f>INDEX('Activity data'!AB$24:AB$39,MATCH(Emissions!$D79,'Activity data'!$D$24:$D$39,0))*INDEX(EF!$H$84:$H$99,MATCH(Emissions!$D79,EF!$D$84:$D$99,0))*INDEX(EF!$H$100:$H$115,MATCH(Emissions!$D79,EF!$D$100:$D$115,0))*INDEX(EF!$H$132:$H$147,MATCH(Emissions!$D79,EF!$D$132:$D$147,0))*kgtoGg</f>
        <v>1.7294926458599997</v>
      </c>
      <c r="AC79" s="22">
        <f>INDEX('Activity data'!AC$24:AC$39,MATCH(Emissions!$D79,'Activity data'!$D$24:$D$39,0))*INDEX(EF!$H$84:$H$99,MATCH(Emissions!$D79,EF!$D$84:$D$99,0))*INDEX(EF!$H$100:$H$115,MATCH(Emissions!$D79,EF!$D$100:$D$115,0))*INDEX(EF!$H$132:$H$147,MATCH(Emissions!$D79,EF!$D$132:$D$147,0))*kgtoGg</f>
        <v>1.7569372791599995</v>
      </c>
      <c r="AD79" s="22">
        <f>INDEX('Activity data'!AD$24:AD$39,MATCH(Emissions!$D79,'Activity data'!$D$24:$D$39,0))*INDEX(EF!$H$84:$H$99,MATCH(Emissions!$D79,EF!$D$84:$D$99,0))*INDEX(EF!$H$100:$H$115,MATCH(Emissions!$D79,EF!$D$100:$D$115,0))*INDEX(EF!$H$132:$H$147,MATCH(Emissions!$D79,EF!$D$132:$D$147,0))*kgtoGg</f>
        <v>1.7476396139750874</v>
      </c>
      <c r="AE79" s="22">
        <f>INDEX('Activity data'!AE$24:AE$39,MATCH(Emissions!$D79,'Activity data'!$D$24:$D$39,0))*INDEX(EF!$H$84:$H$99,MATCH(Emissions!$D79,EF!$D$84:$D$99,0))*INDEX(EF!$H$100:$H$115,MATCH(Emissions!$D79,EF!$D$100:$D$115,0))*INDEX(EF!$H$132:$H$147,MATCH(Emissions!$D79,EF!$D$132:$D$147,0))*kgtoGg</f>
        <v>1.7588516448488245</v>
      </c>
      <c r="AF79" s="22">
        <f>INDEX('Activity data'!AF$24:AF$39,MATCH(Emissions!$D79,'Activity data'!$D$24:$D$39,0))*INDEX(EF!$H$84:$H$99,MATCH(Emissions!$D79,EF!$D$84:$D$99,0))*INDEX(EF!$H$100:$H$115,MATCH(Emissions!$D79,EF!$D$100:$D$115,0))*INDEX(EF!$H$132:$H$147,MATCH(Emissions!$D79,EF!$D$132:$D$147,0))*kgtoGg</f>
        <v>1.7700636757225612</v>
      </c>
      <c r="AG79" s="22">
        <f>INDEX('Activity data'!AG$24:AG$39,MATCH(Emissions!$D79,'Activity data'!$D$24:$D$39,0))*INDEX(EF!$H$84:$H$99,MATCH(Emissions!$D79,EF!$D$84:$D$99,0))*INDEX(EF!$H$100:$H$115,MATCH(Emissions!$D79,EF!$D$100:$D$115,0))*INDEX(EF!$H$132:$H$147,MATCH(Emissions!$D79,EF!$D$132:$D$147,0))*kgtoGg</f>
        <v>1.7812757065962979</v>
      </c>
      <c r="AH79" s="22">
        <f>INDEX('Activity data'!AH$24:AH$39,MATCH(Emissions!$D79,'Activity data'!$D$24:$D$39,0))*INDEX(EF!$H$84:$H$99,MATCH(Emissions!$D79,EF!$D$84:$D$99,0))*INDEX(EF!$H$100:$H$115,MATCH(Emissions!$D79,EF!$D$100:$D$115,0))*INDEX(EF!$H$132:$H$147,MATCH(Emissions!$D79,EF!$D$132:$D$147,0))*kgtoGg</f>
        <v>1.7924877374700352</v>
      </c>
      <c r="AI79" s="22">
        <f>INDEX('Activity data'!AI$24:AI$39,MATCH(Emissions!$D79,'Activity data'!$D$24:$D$39,0))*INDEX(EF!$H$84:$H$99,MATCH(Emissions!$D79,EF!$D$84:$D$99,0))*INDEX(EF!$H$100:$H$115,MATCH(Emissions!$D79,EF!$D$100:$D$115,0))*INDEX(EF!$H$132:$H$147,MATCH(Emissions!$D79,EF!$D$132:$D$147,0))*kgtoGg</f>
        <v>1.8036997683437717</v>
      </c>
      <c r="AJ79" s="22">
        <f>INDEX('Activity data'!AJ$24:AJ$39,MATCH(Emissions!$D79,'Activity data'!$D$24:$D$39,0))*INDEX(EF!$H$84:$H$99,MATCH(Emissions!$D79,EF!$D$84:$D$99,0))*INDEX(EF!$H$100:$H$115,MATCH(Emissions!$D79,EF!$D$100:$D$115,0))*INDEX(EF!$H$132:$H$147,MATCH(Emissions!$D79,EF!$D$132:$D$147,0))*kgtoGg</f>
        <v>1.8149117992175088</v>
      </c>
      <c r="AK79" s="22">
        <f>INDEX('Activity data'!AK$24:AK$39,MATCH(Emissions!$D79,'Activity data'!$D$24:$D$39,0))*INDEX(EF!$H$84:$H$99,MATCH(Emissions!$D79,EF!$D$84:$D$99,0))*INDEX(EF!$H$100:$H$115,MATCH(Emissions!$D79,EF!$D$100:$D$115,0))*INDEX(EF!$H$132:$H$147,MATCH(Emissions!$D79,EF!$D$132:$D$147,0))*kgtoGg</f>
        <v>1.8337408160133097</v>
      </c>
      <c r="AL79" s="22">
        <f>INDEX('Activity data'!AL$24:AL$39,MATCH(Emissions!$D79,'Activity data'!$D$24:$D$39,0))*INDEX(EF!$H$84:$H$99,MATCH(Emissions!$D79,EF!$D$84:$D$99,0))*INDEX(EF!$H$100:$H$115,MATCH(Emissions!$D79,EF!$D$100:$D$115,0))*INDEX(EF!$H$132:$H$147,MATCH(Emissions!$D79,EF!$D$132:$D$147,0))*kgtoGg</f>
        <v>1.8525698328091103</v>
      </c>
      <c r="AM79" s="22">
        <f>INDEX('Activity data'!AM$24:AM$39,MATCH(Emissions!$D79,'Activity data'!$D$24:$D$39,0))*INDEX(EF!$H$84:$H$99,MATCH(Emissions!$D79,EF!$D$84:$D$99,0))*INDEX(EF!$H$100:$H$115,MATCH(Emissions!$D79,EF!$D$100:$D$115,0))*INDEX(EF!$H$132:$H$147,MATCH(Emissions!$D79,EF!$D$132:$D$147,0))*kgtoGg</f>
        <v>1.8713988496049114</v>
      </c>
      <c r="AN79" s="22">
        <f>INDEX('Activity data'!AN$24:AN$39,MATCH(Emissions!$D79,'Activity data'!$D$24:$D$39,0))*INDEX(EF!$H$84:$H$99,MATCH(Emissions!$D79,EF!$D$84:$D$99,0))*INDEX(EF!$H$100:$H$115,MATCH(Emissions!$D79,EF!$D$100:$D$115,0))*INDEX(EF!$H$132:$H$147,MATCH(Emissions!$D79,EF!$D$132:$D$147,0))*kgtoGg</f>
        <v>1.8902278664007113</v>
      </c>
      <c r="AO79" s="22">
        <f>INDEX('Activity data'!AO$24:AO$39,MATCH(Emissions!$D79,'Activity data'!$D$24:$D$39,0))*INDEX(EF!$H$84:$H$99,MATCH(Emissions!$D79,EF!$D$84:$D$99,0))*INDEX(EF!$H$100:$H$115,MATCH(Emissions!$D79,EF!$D$100:$D$115,0))*INDEX(EF!$H$132:$H$147,MATCH(Emissions!$D79,EF!$D$132:$D$147,0))*kgtoGg</f>
        <v>1.9090568831965125</v>
      </c>
      <c r="AP79" s="22">
        <f>INDEX('Activity data'!AP$24:AP$39,MATCH(Emissions!$D79,'Activity data'!$D$24:$D$39,0))*INDEX(EF!$H$84:$H$99,MATCH(Emissions!$D79,EF!$D$84:$D$99,0))*INDEX(EF!$H$100:$H$115,MATCH(Emissions!$D79,EF!$D$100:$D$115,0))*INDEX(EF!$H$132:$H$147,MATCH(Emissions!$D79,EF!$D$132:$D$147,0))*kgtoGg</f>
        <v>1.9278858999923132</v>
      </c>
      <c r="AQ79" s="22">
        <f>INDEX('Activity data'!AQ$24:AQ$39,MATCH(Emissions!$D79,'Activity data'!$D$24:$D$39,0))*INDEX(EF!$H$84:$H$99,MATCH(Emissions!$D79,EF!$D$84:$D$99,0))*INDEX(EF!$H$100:$H$115,MATCH(Emissions!$D79,EF!$D$100:$D$115,0))*INDEX(EF!$H$132:$H$147,MATCH(Emissions!$D79,EF!$D$132:$D$147,0))*kgtoGg</f>
        <v>1.9467149167881139</v>
      </c>
      <c r="AR79" s="22">
        <f>INDEX('Activity data'!AR$24:AR$39,MATCH(Emissions!$D79,'Activity data'!$D$24:$D$39,0))*INDEX(EF!$H$84:$H$99,MATCH(Emissions!$D79,EF!$D$84:$D$99,0))*INDEX(EF!$H$100:$H$115,MATCH(Emissions!$D79,EF!$D$100:$D$115,0))*INDEX(EF!$H$132:$H$147,MATCH(Emissions!$D79,EF!$D$132:$D$147,0))*kgtoGg</f>
        <v>1.9655439335839147</v>
      </c>
      <c r="AS79" s="22">
        <f>INDEX('Activity data'!AS$24:AS$39,MATCH(Emissions!$D79,'Activity data'!$D$24:$D$39,0))*INDEX(EF!$H$84:$H$99,MATCH(Emissions!$D79,EF!$D$84:$D$99,0))*INDEX(EF!$H$100:$H$115,MATCH(Emissions!$D79,EF!$D$100:$D$115,0))*INDEX(EF!$H$132:$H$147,MATCH(Emissions!$D79,EF!$D$132:$D$147,0))*kgtoGg</f>
        <v>1.9843729503797152</v>
      </c>
      <c r="AT79" s="22">
        <f>INDEX('Activity data'!AT$24:AT$39,MATCH(Emissions!$D79,'Activity data'!$D$24:$D$39,0))*INDEX(EF!$H$84:$H$99,MATCH(Emissions!$D79,EF!$D$84:$D$99,0))*INDEX(EF!$H$100:$H$115,MATCH(Emissions!$D79,EF!$D$100:$D$115,0))*INDEX(EF!$H$132:$H$147,MATCH(Emissions!$D79,EF!$D$132:$D$147,0))*kgtoGg</f>
        <v>2.0032019671755164</v>
      </c>
      <c r="AU79" s="22">
        <f>INDEX('Activity data'!AU$24:AU$39,MATCH(Emissions!$D79,'Activity data'!$D$24:$D$39,0))*INDEX(EF!$H$84:$H$99,MATCH(Emissions!$D79,EF!$D$84:$D$99,0))*INDEX(EF!$H$100:$H$115,MATCH(Emissions!$D79,EF!$D$100:$D$115,0))*INDEX(EF!$H$132:$H$147,MATCH(Emissions!$D79,EF!$D$132:$D$147,0))*kgtoGg</f>
        <v>2.0220309839713169</v>
      </c>
      <c r="AV79" s="22">
        <f>INDEX('Activity data'!AV$24:AV$39,MATCH(Emissions!$D79,'Activity data'!$D$24:$D$39,0))*INDEX(EF!$H$84:$H$99,MATCH(Emissions!$D79,EF!$D$84:$D$99,0))*INDEX(EF!$H$100:$H$115,MATCH(Emissions!$D79,EF!$D$100:$D$115,0))*INDEX(EF!$H$132:$H$147,MATCH(Emissions!$D79,EF!$D$132:$D$147,0))*kgtoGg</f>
        <v>2.0408600007671174</v>
      </c>
      <c r="AW79" s="22">
        <f>INDEX('Activity data'!AW$24:AW$39,MATCH(Emissions!$D79,'Activity data'!$D$24:$D$39,0))*INDEX(EF!$H$84:$H$99,MATCH(Emissions!$D79,EF!$D$84:$D$99,0))*INDEX(EF!$H$100:$H$115,MATCH(Emissions!$D79,EF!$D$100:$D$115,0))*INDEX(EF!$H$132:$H$147,MATCH(Emissions!$D79,EF!$D$132:$D$147,0))*kgtoGg</f>
        <v>2.0600101805096163</v>
      </c>
      <c r="AX79" s="22">
        <f>INDEX('Activity data'!AX$24:AX$39,MATCH(Emissions!$D79,'Activity data'!$D$24:$D$39,0))*INDEX(EF!$H$84:$H$99,MATCH(Emissions!$D79,EF!$D$84:$D$99,0))*INDEX(EF!$H$100:$H$115,MATCH(Emissions!$D79,EF!$D$100:$D$115,0))*INDEX(EF!$H$132:$H$147,MATCH(Emissions!$D79,EF!$D$132:$D$147,0))*kgtoGg</f>
        <v>2.0791603602521147</v>
      </c>
      <c r="AY79" s="22">
        <f>INDEX('Activity data'!AY$24:AY$39,MATCH(Emissions!$D79,'Activity data'!$D$24:$D$39,0))*INDEX(EF!$H$84:$H$99,MATCH(Emissions!$D79,EF!$D$84:$D$99,0))*INDEX(EF!$H$100:$H$115,MATCH(Emissions!$D79,EF!$D$100:$D$115,0))*INDEX(EF!$H$132:$H$147,MATCH(Emissions!$D79,EF!$D$132:$D$147,0))*kgtoGg</f>
        <v>2.0983105399946136</v>
      </c>
      <c r="AZ79" s="22">
        <f>INDEX('Activity data'!AZ$24:AZ$39,MATCH(Emissions!$D79,'Activity data'!$D$24:$D$39,0))*INDEX(EF!$H$84:$H$99,MATCH(Emissions!$D79,EF!$D$84:$D$99,0))*INDEX(EF!$H$100:$H$115,MATCH(Emissions!$D79,EF!$D$100:$D$115,0))*INDEX(EF!$H$132:$H$147,MATCH(Emissions!$D79,EF!$D$132:$D$147,0))*kgtoGg</f>
        <v>2.1174607197371125</v>
      </c>
      <c r="BA79" s="22">
        <f>INDEX('Activity data'!BA$24:BA$39,MATCH(Emissions!$D79,'Activity data'!$D$24:$D$39,0))*INDEX(EF!$H$84:$H$99,MATCH(Emissions!$D79,EF!$D$84:$D$99,0))*INDEX(EF!$H$100:$H$115,MATCH(Emissions!$D79,EF!$D$100:$D$115,0))*INDEX(EF!$H$132:$H$147,MATCH(Emissions!$D79,EF!$D$132:$D$147,0))*kgtoGg</f>
        <v>2.1366108994796109</v>
      </c>
      <c r="BB79" s="22">
        <f>INDEX('Activity data'!BB$24:BB$39,MATCH(Emissions!$D79,'Activity data'!$D$24:$D$39,0))*INDEX(EF!$H$84:$H$99,MATCH(Emissions!$D79,EF!$D$84:$D$99,0))*INDEX(EF!$H$100:$H$115,MATCH(Emissions!$D79,EF!$D$100:$D$115,0))*INDEX(EF!$H$132:$H$147,MATCH(Emissions!$D79,EF!$D$132:$D$147,0))*kgtoGg</f>
        <v>2.1557610792221098</v>
      </c>
      <c r="BC79" s="22">
        <f>INDEX('Activity data'!BC$24:BC$39,MATCH(Emissions!$D79,'Activity data'!$D$24:$D$39,0))*INDEX(EF!$H$84:$H$99,MATCH(Emissions!$D79,EF!$D$84:$D$99,0))*INDEX(EF!$H$100:$H$115,MATCH(Emissions!$D79,EF!$D$100:$D$115,0))*INDEX(EF!$H$132:$H$147,MATCH(Emissions!$D79,EF!$D$132:$D$147,0))*kgtoGg</f>
        <v>2.1749112589646082</v>
      </c>
      <c r="BD79" s="22">
        <f>INDEX('Activity data'!BD$24:BD$39,MATCH(Emissions!$D79,'Activity data'!$D$24:$D$39,0))*INDEX(EF!$H$84:$H$99,MATCH(Emissions!$D79,EF!$D$84:$D$99,0))*INDEX(EF!$H$100:$H$115,MATCH(Emissions!$D79,EF!$D$100:$D$115,0))*INDEX(EF!$H$132:$H$147,MATCH(Emissions!$D79,EF!$D$132:$D$147,0))*kgtoGg</f>
        <v>2.1940614387071071</v>
      </c>
      <c r="BE79" s="22">
        <f>INDEX('Activity data'!BE$24:BE$39,MATCH(Emissions!$D79,'Activity data'!$D$24:$D$39,0))*INDEX(EF!$H$84:$H$99,MATCH(Emissions!$D79,EF!$D$84:$D$99,0))*INDEX(EF!$H$100:$H$115,MATCH(Emissions!$D79,EF!$D$100:$D$115,0))*INDEX(EF!$H$132:$H$147,MATCH(Emissions!$D79,EF!$D$132:$D$147,0))*kgtoGg</f>
        <v>2.2132116184496056</v>
      </c>
      <c r="BF79" s="22">
        <f>INDEX('Activity data'!BF$24:BF$39,MATCH(Emissions!$D79,'Activity data'!$D$24:$D$39,0))*INDEX(EF!$H$84:$H$99,MATCH(Emissions!$D79,EF!$D$84:$D$99,0))*INDEX(EF!$H$100:$H$115,MATCH(Emissions!$D79,EF!$D$100:$D$115,0))*INDEX(EF!$H$132:$H$147,MATCH(Emissions!$D79,EF!$D$132:$D$147,0))*kgtoGg</f>
        <v>2.232361798192104</v>
      </c>
      <c r="BG79" s="22">
        <f>INDEX('Activity data'!BG$24:BG$39,MATCH(Emissions!$D79,'Activity data'!$D$24:$D$39,0))*INDEX(EF!$H$84:$H$99,MATCH(Emissions!$D79,EF!$D$84:$D$99,0))*INDEX(EF!$H$100:$H$115,MATCH(Emissions!$D79,EF!$D$100:$D$115,0))*INDEX(EF!$H$132:$H$147,MATCH(Emissions!$D79,EF!$D$132:$D$147,0))*kgtoGg</f>
        <v>2.2515119779346029</v>
      </c>
      <c r="BH79" s="22">
        <f>INDEX('Activity data'!BH$24:BH$39,MATCH(Emissions!$D79,'Activity data'!$D$24:$D$39,0))*INDEX(EF!$H$84:$H$99,MATCH(Emissions!$D79,EF!$D$84:$D$99,0))*INDEX(EF!$H$100:$H$115,MATCH(Emissions!$D79,EF!$D$100:$D$115,0))*INDEX(EF!$H$132:$H$147,MATCH(Emissions!$D79,EF!$D$132:$D$147,0))*kgtoGg</f>
        <v>2.2706621576771018</v>
      </c>
      <c r="BI79" s="22">
        <f>INDEX('Activity data'!BI$24:BI$39,MATCH(Emissions!$D79,'Activity data'!$D$24:$D$39,0))*INDEX(EF!$H$84:$H$99,MATCH(Emissions!$D79,EF!$D$84:$D$99,0))*INDEX(EF!$H$100:$H$115,MATCH(Emissions!$D79,EF!$D$100:$D$115,0))*INDEX(EF!$H$132:$H$147,MATCH(Emissions!$D79,EF!$D$132:$D$147,0))*kgtoGg</f>
        <v>2.2898123374196002</v>
      </c>
      <c r="BJ79" s="22">
        <f>INDEX('Activity data'!BJ$24:BJ$39,MATCH(Emissions!$D79,'Activity data'!$D$24:$D$39,0))*INDEX(EF!$H$84:$H$99,MATCH(Emissions!$D79,EF!$D$84:$D$99,0))*INDEX(EF!$H$100:$H$115,MATCH(Emissions!$D79,EF!$D$100:$D$115,0))*INDEX(EF!$H$132:$H$147,MATCH(Emissions!$D79,EF!$D$132:$D$147,0))*kgtoGg</f>
        <v>2.3089625171620991</v>
      </c>
      <c r="BK79" s="22">
        <f>INDEX('Activity data'!BK$24:BK$39,MATCH(Emissions!$D79,'Activity data'!$D$24:$D$39,0))*INDEX(EF!$H$84:$H$99,MATCH(Emissions!$D79,EF!$D$84:$D$99,0))*INDEX(EF!$H$100:$H$115,MATCH(Emissions!$D79,EF!$D$100:$D$115,0))*INDEX(EF!$H$132:$H$147,MATCH(Emissions!$D79,EF!$D$132:$D$147,0))*kgtoGg</f>
        <v>2.328112696904598</v>
      </c>
      <c r="BL79" s="22">
        <f>INDEX('Activity data'!BL$24:BL$39,MATCH(Emissions!$D79,'Activity data'!$D$24:$D$39,0))*INDEX(EF!$H$84:$H$99,MATCH(Emissions!$D79,EF!$D$84:$D$99,0))*INDEX(EF!$H$100:$H$115,MATCH(Emissions!$D79,EF!$D$100:$D$115,0))*INDEX(EF!$H$132:$H$147,MATCH(Emissions!$D79,EF!$D$132:$D$147,0))*kgtoGg</f>
        <v>2.3472628766470964</v>
      </c>
      <c r="BM79" s="22">
        <f>INDEX('Activity data'!BM$24:BM$39,MATCH(Emissions!$D79,'Activity data'!$D$24:$D$39,0))*INDEX(EF!$H$84:$H$99,MATCH(Emissions!$D79,EF!$D$84:$D$99,0))*INDEX(EF!$H$100:$H$115,MATCH(Emissions!$D79,EF!$D$100:$D$115,0))*INDEX(EF!$H$132:$H$147,MATCH(Emissions!$D79,EF!$D$132:$D$147,0))*kgtoGg</f>
        <v>2.3664130563895953</v>
      </c>
      <c r="BN79" s="22">
        <f>INDEX('Activity data'!BN$24:BN$39,MATCH(Emissions!$D79,'Activity data'!$D$24:$D$39,0))*INDEX(EF!$H$84:$H$99,MATCH(Emissions!$D79,EF!$D$84:$D$99,0))*INDEX(EF!$H$100:$H$115,MATCH(Emissions!$D79,EF!$D$100:$D$115,0))*INDEX(EF!$H$132:$H$147,MATCH(Emissions!$D79,EF!$D$132:$D$147,0))*kgtoGg</f>
        <v>2.3855632361320942</v>
      </c>
      <c r="BO79" s="22">
        <f>INDEX('Activity data'!BO$24:BO$39,MATCH(Emissions!$D79,'Activity data'!$D$24:$D$39,0))*INDEX(EF!$H$84:$H$99,MATCH(Emissions!$D79,EF!$D$84:$D$99,0))*INDEX(EF!$H$100:$H$115,MATCH(Emissions!$D79,EF!$D$100:$D$115,0))*INDEX(EF!$H$132:$H$147,MATCH(Emissions!$D79,EF!$D$132:$D$147,0))*kgtoGg</f>
        <v>2.4047134158745926</v>
      </c>
      <c r="BP79" s="22">
        <f>INDEX('Activity data'!BP$24:BP$39,MATCH(Emissions!$D79,'Activity data'!$D$24:$D$39,0))*INDEX(EF!$H$84:$H$99,MATCH(Emissions!$D79,EF!$D$84:$D$99,0))*INDEX(EF!$H$100:$H$115,MATCH(Emissions!$D79,EF!$D$100:$D$115,0))*INDEX(EF!$H$132:$H$147,MATCH(Emissions!$D79,EF!$D$132:$D$147,0))*kgtoGg</f>
        <v>2.4238635956170911</v>
      </c>
    </row>
    <row r="80" spans="1:68" x14ac:dyDescent="0.3">
      <c r="A80" t="str">
        <f t="shared" si="19"/>
        <v>3C Aggregated and non-CO2 emissions on land</v>
      </c>
      <c r="B80" t="str">
        <f t="shared" si="26"/>
        <v>3C1 Biomass burning (N2O)</v>
      </c>
      <c r="C80" t="str">
        <f t="shared" si="25"/>
        <v>3C1c Biomass burning in Grasslands</v>
      </c>
      <c r="D80" t="str">
        <f>EF!D110</f>
        <v>Low shrublands</v>
      </c>
      <c r="E80" t="s">
        <v>651</v>
      </c>
      <c r="F80" t="str">
        <f t="shared" si="27"/>
        <v>N2O</v>
      </c>
      <c r="G80" t="str">
        <f t="shared" si="28"/>
        <v>Gg N2O</v>
      </c>
      <c r="H80" s="22">
        <f>INDEX('Activity data'!H$24:H$39,MATCH(Emissions!$D80,'Activity data'!$D$24:$D$39,0))*INDEX(EF!$H$84:$H$99,MATCH(Emissions!$D80,EF!$D$84:$D$99,0))*INDEX(EF!$H$100:$H$115,MATCH(Emissions!$D80,EF!$D$100:$D$115,0))*INDEX(EF!$H$132:$H$147,MATCH(Emissions!$D80,EF!$D$132:$D$147,0))*kgtoGg</f>
        <v>0.10138378574782032</v>
      </c>
      <c r="I80" s="22">
        <f>INDEX('Activity data'!I$24:I$39,MATCH(Emissions!$D80,'Activity data'!$D$24:$D$39,0))*INDEX(EF!$H$84:$H$99,MATCH(Emissions!$D80,EF!$D$84:$D$99,0))*INDEX(EF!$H$100:$H$115,MATCH(Emissions!$D80,EF!$D$100:$D$115,0))*INDEX(EF!$H$132:$H$147,MATCH(Emissions!$D80,EF!$D$132:$D$147,0))*kgtoGg</f>
        <v>0.10138378574782032</v>
      </c>
      <c r="J80" s="22">
        <f>INDEX('Activity data'!J$24:J$39,MATCH(Emissions!$D80,'Activity data'!$D$24:$D$39,0))*INDEX(EF!$H$84:$H$99,MATCH(Emissions!$D80,EF!$D$84:$D$99,0))*INDEX(EF!$H$100:$H$115,MATCH(Emissions!$D80,EF!$D$100:$D$115,0))*INDEX(EF!$H$132:$H$147,MATCH(Emissions!$D80,EF!$D$132:$D$147,0))*kgtoGg</f>
        <v>0.10138378574782032</v>
      </c>
      <c r="K80" s="22">
        <f>INDEX('Activity data'!K$24:K$39,MATCH(Emissions!$D80,'Activity data'!$D$24:$D$39,0))*INDEX(EF!$H$84:$H$99,MATCH(Emissions!$D80,EF!$D$84:$D$99,0))*INDEX(EF!$H$100:$H$115,MATCH(Emissions!$D80,EF!$D$100:$D$115,0))*INDEX(EF!$H$132:$H$147,MATCH(Emissions!$D80,EF!$D$132:$D$147,0))*kgtoGg</f>
        <v>0.10138378574782032</v>
      </c>
      <c r="L80" s="22">
        <f>INDEX('Activity data'!L$24:L$39,MATCH(Emissions!$D80,'Activity data'!$D$24:$D$39,0))*INDEX(EF!$H$84:$H$99,MATCH(Emissions!$D80,EF!$D$84:$D$99,0))*INDEX(EF!$H$100:$H$115,MATCH(Emissions!$D80,EF!$D$100:$D$115,0))*INDEX(EF!$H$132:$H$147,MATCH(Emissions!$D80,EF!$D$132:$D$147,0))*kgtoGg</f>
        <v>0.10138378574782032</v>
      </c>
      <c r="M80" s="22">
        <f>INDEX('Activity data'!M$24:M$39,MATCH(Emissions!$D80,'Activity data'!$D$24:$D$39,0))*INDEX(EF!$H$84:$H$99,MATCH(Emissions!$D80,EF!$D$84:$D$99,0))*INDEX(EF!$H$100:$H$115,MATCH(Emissions!$D80,EF!$D$100:$D$115,0))*INDEX(EF!$H$132:$H$147,MATCH(Emissions!$D80,EF!$D$132:$D$147,0))*kgtoGg</f>
        <v>0.10138378574782032</v>
      </c>
      <c r="N80" s="22">
        <f>INDEX('Activity data'!N$24:N$39,MATCH(Emissions!$D80,'Activity data'!$D$24:$D$39,0))*INDEX(EF!$H$84:$H$99,MATCH(Emissions!$D80,EF!$D$84:$D$99,0))*INDEX(EF!$H$100:$H$115,MATCH(Emissions!$D80,EF!$D$100:$D$115,0))*INDEX(EF!$H$132:$H$147,MATCH(Emissions!$D80,EF!$D$132:$D$147,0))*kgtoGg</f>
        <v>0.10138378574782032</v>
      </c>
      <c r="O80" s="22">
        <f>INDEX('Activity data'!O$24:O$39,MATCH(Emissions!$D80,'Activity data'!$D$24:$D$39,0))*INDEX(EF!$H$84:$H$99,MATCH(Emissions!$D80,EF!$D$84:$D$99,0))*INDEX(EF!$H$100:$H$115,MATCH(Emissions!$D80,EF!$D$100:$D$115,0))*INDEX(EF!$H$132:$H$147,MATCH(Emissions!$D80,EF!$D$132:$D$147,0))*kgtoGg</f>
        <v>0.10138378574782032</v>
      </c>
      <c r="P80" s="22">
        <f>INDEX('Activity data'!P$24:P$39,MATCH(Emissions!$D80,'Activity data'!$D$24:$D$39,0))*INDEX(EF!$H$84:$H$99,MATCH(Emissions!$D80,EF!$D$84:$D$99,0))*INDEX(EF!$H$100:$H$115,MATCH(Emissions!$D80,EF!$D$100:$D$115,0))*INDEX(EF!$H$132:$H$147,MATCH(Emissions!$D80,EF!$D$132:$D$147,0))*kgtoGg</f>
        <v>0.10138378574782032</v>
      </c>
      <c r="Q80" s="22">
        <f>INDEX('Activity data'!Q$24:Q$39,MATCH(Emissions!$D80,'Activity data'!$D$24:$D$39,0))*INDEX(EF!$H$84:$H$99,MATCH(Emissions!$D80,EF!$D$84:$D$99,0))*INDEX(EF!$H$100:$H$115,MATCH(Emissions!$D80,EF!$D$100:$D$115,0))*INDEX(EF!$H$132:$H$147,MATCH(Emissions!$D80,EF!$D$132:$D$147,0))*kgtoGg</f>
        <v>0.10138378574782032</v>
      </c>
      <c r="R80" s="22">
        <f>INDEX('Activity data'!R$24:R$39,MATCH(Emissions!$D80,'Activity data'!$D$24:$D$39,0))*INDEX(EF!$H$84:$H$99,MATCH(Emissions!$D80,EF!$D$84:$D$99,0))*INDEX(EF!$H$100:$H$115,MATCH(Emissions!$D80,EF!$D$100:$D$115,0))*INDEX(EF!$H$132:$H$147,MATCH(Emissions!$D80,EF!$D$132:$D$147,0))*kgtoGg</f>
        <v>8.5231141447125972E-2</v>
      </c>
      <c r="S80" s="22">
        <f>INDEX('Activity data'!S$24:S$39,MATCH(Emissions!$D80,'Activity data'!$D$24:$D$39,0))*INDEX(EF!$H$84:$H$99,MATCH(Emissions!$D80,EF!$D$84:$D$99,0))*INDEX(EF!$H$100:$H$115,MATCH(Emissions!$D80,EF!$D$100:$D$115,0))*INDEX(EF!$H$132:$H$147,MATCH(Emissions!$D80,EF!$D$132:$D$147,0))*kgtoGg</f>
        <v>7.1709459975422038E-2</v>
      </c>
      <c r="T80" s="22">
        <f>INDEX('Activity data'!T$24:T$39,MATCH(Emissions!$D80,'Activity data'!$D$24:$D$39,0))*INDEX(EF!$H$84:$H$99,MATCH(Emissions!$D80,EF!$D$84:$D$99,0))*INDEX(EF!$H$100:$H$115,MATCH(Emissions!$D80,EF!$D$100:$D$115,0))*INDEX(EF!$H$132:$H$147,MATCH(Emissions!$D80,EF!$D$132:$D$147,0))*kgtoGg</f>
        <v>0.17455023310662754</v>
      </c>
      <c r="U80" s="22">
        <f>INDEX('Activity data'!U$24:U$39,MATCH(Emissions!$D80,'Activity data'!$D$24:$D$39,0))*INDEX(EF!$H$84:$H$99,MATCH(Emissions!$D80,EF!$D$84:$D$99,0))*INDEX(EF!$H$100:$H$115,MATCH(Emissions!$D80,EF!$D$100:$D$115,0))*INDEX(EF!$H$132:$H$147,MATCH(Emissions!$D80,EF!$D$132:$D$147,0))*kgtoGg</f>
        <v>0.10888098161808096</v>
      </c>
      <c r="V80" s="22">
        <f>INDEX('Activity data'!V$24:V$39,MATCH(Emissions!$D80,'Activity data'!$D$24:$D$39,0))*INDEX(EF!$H$84:$H$99,MATCH(Emissions!$D80,EF!$D$84:$D$99,0))*INDEX(EF!$H$100:$H$115,MATCH(Emissions!$D80,EF!$D$100:$D$115,0))*INDEX(EF!$H$132:$H$147,MATCH(Emissions!$D80,EF!$D$132:$D$147,0))*kgtoGg</f>
        <v>6.6547112591845162E-2</v>
      </c>
      <c r="W80" s="22">
        <f>INDEX('Activity data'!W$24:W$39,MATCH(Emissions!$D80,'Activity data'!$D$24:$D$39,0))*INDEX(EF!$H$84:$H$99,MATCH(Emissions!$D80,EF!$D$84:$D$99,0))*INDEX(EF!$H$100:$H$115,MATCH(Emissions!$D80,EF!$D$100:$D$115,0))*INDEX(EF!$H$132:$H$147,MATCH(Emissions!$D80,EF!$D$132:$D$147,0))*kgtoGg</f>
        <v>0.112929624616876</v>
      </c>
      <c r="X80" s="22">
        <f>INDEX('Activity data'!X$24:X$39,MATCH(Emissions!$D80,'Activity data'!$D$24:$D$39,0))*INDEX(EF!$H$84:$H$99,MATCH(Emissions!$D80,EF!$D$84:$D$99,0))*INDEX(EF!$H$100:$H$115,MATCH(Emissions!$D80,EF!$D$100:$D$115,0))*INDEX(EF!$H$132:$H$147,MATCH(Emissions!$D80,EF!$D$132:$D$147,0))*kgtoGg</f>
        <v>8.765508628459226E-2</v>
      </c>
      <c r="Y80" s="22">
        <f>INDEX('Activity data'!Y$24:Y$39,MATCH(Emissions!$D80,'Activity data'!$D$24:$D$39,0))*INDEX(EF!$H$84:$H$99,MATCH(Emissions!$D80,EF!$D$84:$D$99,0))*INDEX(EF!$H$100:$H$115,MATCH(Emissions!$D80,EF!$D$100:$D$115,0))*INDEX(EF!$H$132:$H$147,MATCH(Emissions!$D80,EF!$D$132:$D$147,0))*kgtoGg</f>
        <v>7.5430542861045974E-2</v>
      </c>
      <c r="Z80" s="22">
        <f>INDEX('Activity data'!Z$24:Z$39,MATCH(Emissions!$D80,'Activity data'!$D$24:$D$39,0))*INDEX(EF!$H$84:$H$99,MATCH(Emissions!$D80,EF!$D$84:$D$99,0))*INDEX(EF!$H$100:$H$115,MATCH(Emissions!$D80,EF!$D$100:$D$115,0))*INDEX(EF!$H$132:$H$147,MATCH(Emissions!$D80,EF!$D$132:$D$147,0))*kgtoGg</f>
        <v>9.1349964361162508E-2</v>
      </c>
      <c r="AA80" s="22">
        <f>INDEX('Activity data'!AA$24:AA$39,MATCH(Emissions!$D80,'Activity data'!$D$24:$D$39,0))*INDEX(EF!$H$84:$H$99,MATCH(Emissions!$D80,EF!$D$84:$D$99,0))*INDEX(EF!$H$100:$H$115,MATCH(Emissions!$D80,EF!$D$100:$D$115,0))*INDEX(EF!$H$132:$H$147,MATCH(Emissions!$D80,EF!$D$132:$D$147,0))*kgtoGg</f>
        <v>0.12220612702188222</v>
      </c>
      <c r="AB80" s="22">
        <f>INDEX('Activity data'!AB$24:AB$39,MATCH(Emissions!$D80,'Activity data'!$D$24:$D$39,0))*INDEX(EF!$H$84:$H$99,MATCH(Emissions!$D80,EF!$D$84:$D$99,0))*INDEX(EF!$H$100:$H$115,MATCH(Emissions!$D80,EF!$D$100:$D$115,0))*INDEX(EF!$H$132:$H$147,MATCH(Emissions!$D80,EF!$D$132:$D$147,0))*kgtoGg</f>
        <v>0.29256780571200003</v>
      </c>
      <c r="AC80" s="22">
        <f>INDEX('Activity data'!AC$24:AC$39,MATCH(Emissions!$D80,'Activity data'!$D$24:$D$39,0))*INDEX(EF!$H$84:$H$99,MATCH(Emissions!$D80,EF!$D$84:$D$99,0))*INDEX(EF!$H$100:$H$115,MATCH(Emissions!$D80,EF!$D$100:$D$115,0))*INDEX(EF!$H$132:$H$147,MATCH(Emissions!$D80,EF!$D$132:$D$147,0))*kgtoGg</f>
        <v>0.29394949671360004</v>
      </c>
      <c r="AD80" s="22">
        <f>INDEX('Activity data'!AD$24:AD$39,MATCH(Emissions!$D80,'Activity data'!$D$24:$D$39,0))*INDEX(EF!$H$84:$H$99,MATCH(Emissions!$D80,EF!$D$84:$D$99,0))*INDEX(EF!$H$100:$H$115,MATCH(Emissions!$D80,EF!$D$100:$D$115,0))*INDEX(EF!$H$132:$H$147,MATCH(Emissions!$D80,EF!$D$132:$D$147,0))*kgtoGg</f>
        <v>0.15509939522155319</v>
      </c>
      <c r="AE80" s="22">
        <f>INDEX('Activity data'!AE$24:AE$39,MATCH(Emissions!$D80,'Activity data'!$D$24:$D$39,0))*INDEX(EF!$H$84:$H$99,MATCH(Emissions!$D80,EF!$D$84:$D$99,0))*INDEX(EF!$H$100:$H$115,MATCH(Emissions!$D80,EF!$D$100:$D$115,0))*INDEX(EF!$H$132:$H$147,MATCH(Emissions!$D80,EF!$D$132:$D$147,0))*kgtoGg</f>
        <v>0.15463335341286163</v>
      </c>
      <c r="AF80" s="22">
        <f>INDEX('Activity data'!AF$24:AF$39,MATCH(Emissions!$D80,'Activity data'!$D$24:$D$39,0))*INDEX(EF!$H$84:$H$99,MATCH(Emissions!$D80,EF!$D$84:$D$99,0))*INDEX(EF!$H$100:$H$115,MATCH(Emissions!$D80,EF!$D$100:$D$115,0))*INDEX(EF!$H$132:$H$147,MATCH(Emissions!$D80,EF!$D$132:$D$147,0))*kgtoGg</f>
        <v>0.15416731160417008</v>
      </c>
      <c r="AG80" s="22">
        <f>INDEX('Activity data'!AG$24:AG$39,MATCH(Emissions!$D80,'Activity data'!$D$24:$D$39,0))*INDEX(EF!$H$84:$H$99,MATCH(Emissions!$D80,EF!$D$84:$D$99,0))*INDEX(EF!$H$100:$H$115,MATCH(Emissions!$D80,EF!$D$100:$D$115,0))*INDEX(EF!$H$132:$H$147,MATCH(Emissions!$D80,EF!$D$132:$D$147,0))*kgtoGg</f>
        <v>0.15370126979547846</v>
      </c>
      <c r="AH80" s="22">
        <f>INDEX('Activity data'!AH$24:AH$39,MATCH(Emissions!$D80,'Activity data'!$D$24:$D$39,0))*INDEX(EF!$H$84:$H$99,MATCH(Emissions!$D80,EF!$D$84:$D$99,0))*INDEX(EF!$H$100:$H$115,MATCH(Emissions!$D80,EF!$D$100:$D$115,0))*INDEX(EF!$H$132:$H$147,MATCH(Emissions!$D80,EF!$D$132:$D$147,0))*kgtoGg</f>
        <v>0.15323522798678688</v>
      </c>
      <c r="AI80" s="22">
        <f>INDEX('Activity data'!AI$24:AI$39,MATCH(Emissions!$D80,'Activity data'!$D$24:$D$39,0))*INDEX(EF!$H$84:$H$99,MATCH(Emissions!$D80,EF!$D$84:$D$99,0))*INDEX(EF!$H$100:$H$115,MATCH(Emissions!$D80,EF!$D$100:$D$115,0))*INDEX(EF!$H$132:$H$147,MATCH(Emissions!$D80,EF!$D$132:$D$147,0))*kgtoGg</f>
        <v>0.15276918617809529</v>
      </c>
      <c r="AJ80" s="22">
        <f>INDEX('Activity data'!AJ$24:AJ$39,MATCH(Emissions!$D80,'Activity data'!$D$24:$D$39,0))*INDEX(EF!$H$84:$H$99,MATCH(Emissions!$D80,EF!$D$84:$D$99,0))*INDEX(EF!$H$100:$H$115,MATCH(Emissions!$D80,EF!$D$100:$D$115,0))*INDEX(EF!$H$132:$H$147,MATCH(Emissions!$D80,EF!$D$132:$D$147,0))*kgtoGg</f>
        <v>0.1523031443694037</v>
      </c>
      <c r="AK80" s="22">
        <f>INDEX('Activity data'!AK$24:AK$39,MATCH(Emissions!$D80,'Activity data'!$D$24:$D$39,0))*INDEX(EF!$H$84:$H$99,MATCH(Emissions!$D80,EF!$D$84:$D$99,0))*INDEX(EF!$H$100:$H$115,MATCH(Emissions!$D80,EF!$D$100:$D$115,0))*INDEX(EF!$H$132:$H$147,MATCH(Emissions!$D80,EF!$D$132:$D$147,0))*kgtoGg</f>
        <v>0.15183710256071217</v>
      </c>
      <c r="AL80" s="22">
        <f>INDEX('Activity data'!AL$24:AL$39,MATCH(Emissions!$D80,'Activity data'!$D$24:$D$39,0))*INDEX(EF!$H$84:$H$99,MATCH(Emissions!$D80,EF!$D$84:$D$99,0))*INDEX(EF!$H$100:$H$115,MATCH(Emissions!$D80,EF!$D$100:$D$115,0))*INDEX(EF!$H$132:$H$147,MATCH(Emissions!$D80,EF!$D$132:$D$147,0))*kgtoGg</f>
        <v>0.15137106075202056</v>
      </c>
      <c r="AM80" s="22">
        <f>INDEX('Activity data'!AM$24:AM$39,MATCH(Emissions!$D80,'Activity data'!$D$24:$D$39,0))*INDEX(EF!$H$84:$H$99,MATCH(Emissions!$D80,EF!$D$84:$D$99,0))*INDEX(EF!$H$100:$H$115,MATCH(Emissions!$D80,EF!$D$100:$D$115,0))*INDEX(EF!$H$132:$H$147,MATCH(Emissions!$D80,EF!$D$132:$D$147,0))*kgtoGg</f>
        <v>0.15090501894332897</v>
      </c>
      <c r="AN80" s="22">
        <f>INDEX('Activity data'!AN$24:AN$39,MATCH(Emissions!$D80,'Activity data'!$D$24:$D$39,0))*INDEX(EF!$H$84:$H$99,MATCH(Emissions!$D80,EF!$D$84:$D$99,0))*INDEX(EF!$H$100:$H$115,MATCH(Emissions!$D80,EF!$D$100:$D$115,0))*INDEX(EF!$H$132:$H$147,MATCH(Emissions!$D80,EF!$D$132:$D$147,0))*kgtoGg</f>
        <v>0.15043897713463741</v>
      </c>
      <c r="AO80" s="22">
        <f>INDEX('Activity data'!AO$24:AO$39,MATCH(Emissions!$D80,'Activity data'!$D$24:$D$39,0))*INDEX(EF!$H$84:$H$99,MATCH(Emissions!$D80,EF!$D$84:$D$99,0))*INDEX(EF!$H$100:$H$115,MATCH(Emissions!$D80,EF!$D$100:$D$115,0))*INDEX(EF!$H$132:$H$147,MATCH(Emissions!$D80,EF!$D$132:$D$147,0))*kgtoGg</f>
        <v>0.14997293532594583</v>
      </c>
      <c r="AP80" s="22">
        <f>INDEX('Activity data'!AP$24:AP$39,MATCH(Emissions!$D80,'Activity data'!$D$24:$D$39,0))*INDEX(EF!$H$84:$H$99,MATCH(Emissions!$D80,EF!$D$84:$D$99,0))*INDEX(EF!$H$100:$H$115,MATCH(Emissions!$D80,EF!$D$100:$D$115,0))*INDEX(EF!$H$132:$H$147,MATCH(Emissions!$D80,EF!$D$132:$D$147,0))*kgtoGg</f>
        <v>0.14950689351725424</v>
      </c>
      <c r="AQ80" s="22">
        <f>INDEX('Activity data'!AQ$24:AQ$39,MATCH(Emissions!$D80,'Activity data'!$D$24:$D$39,0))*INDEX(EF!$H$84:$H$99,MATCH(Emissions!$D80,EF!$D$84:$D$99,0))*INDEX(EF!$H$100:$H$115,MATCH(Emissions!$D80,EF!$D$100:$D$115,0))*INDEX(EF!$H$132:$H$147,MATCH(Emissions!$D80,EF!$D$132:$D$147,0))*kgtoGg</f>
        <v>0.14904085170856263</v>
      </c>
      <c r="AR80" s="22">
        <f>INDEX('Activity data'!AR$24:AR$39,MATCH(Emissions!$D80,'Activity data'!$D$24:$D$39,0))*INDEX(EF!$H$84:$H$99,MATCH(Emissions!$D80,EF!$D$84:$D$99,0))*INDEX(EF!$H$100:$H$115,MATCH(Emissions!$D80,EF!$D$100:$D$115,0))*INDEX(EF!$H$132:$H$147,MATCH(Emissions!$D80,EF!$D$132:$D$147,0))*kgtoGg</f>
        <v>0.14857480989987112</v>
      </c>
      <c r="AS80" s="22">
        <f>INDEX('Activity data'!AS$24:AS$39,MATCH(Emissions!$D80,'Activity data'!$D$24:$D$39,0))*INDEX(EF!$H$84:$H$99,MATCH(Emissions!$D80,EF!$D$84:$D$99,0))*INDEX(EF!$H$100:$H$115,MATCH(Emissions!$D80,EF!$D$100:$D$115,0))*INDEX(EF!$H$132:$H$147,MATCH(Emissions!$D80,EF!$D$132:$D$147,0))*kgtoGg</f>
        <v>0.14810876809117951</v>
      </c>
      <c r="AT80" s="22">
        <f>INDEX('Activity data'!AT$24:AT$39,MATCH(Emissions!$D80,'Activity data'!$D$24:$D$39,0))*INDEX(EF!$H$84:$H$99,MATCH(Emissions!$D80,EF!$D$84:$D$99,0))*INDEX(EF!$H$100:$H$115,MATCH(Emissions!$D80,EF!$D$100:$D$115,0))*INDEX(EF!$H$132:$H$147,MATCH(Emissions!$D80,EF!$D$132:$D$147,0))*kgtoGg</f>
        <v>0.1476427262824879</v>
      </c>
      <c r="AU80" s="22">
        <f>INDEX('Activity data'!AU$24:AU$39,MATCH(Emissions!$D80,'Activity data'!$D$24:$D$39,0))*INDEX(EF!$H$84:$H$99,MATCH(Emissions!$D80,EF!$D$84:$D$99,0))*INDEX(EF!$H$100:$H$115,MATCH(Emissions!$D80,EF!$D$100:$D$115,0))*INDEX(EF!$H$132:$H$147,MATCH(Emissions!$D80,EF!$D$132:$D$147,0))*kgtoGg</f>
        <v>0.14717668447379634</v>
      </c>
      <c r="AV80" s="22">
        <f>INDEX('Activity data'!AV$24:AV$39,MATCH(Emissions!$D80,'Activity data'!$D$24:$D$39,0))*INDEX(EF!$H$84:$H$99,MATCH(Emissions!$D80,EF!$D$84:$D$99,0))*INDEX(EF!$H$100:$H$115,MATCH(Emissions!$D80,EF!$D$100:$D$115,0))*INDEX(EF!$H$132:$H$147,MATCH(Emissions!$D80,EF!$D$132:$D$147,0))*kgtoGg</f>
        <v>0.14671064266510475</v>
      </c>
      <c r="AW80" s="22">
        <f>INDEX('Activity data'!AW$24:AW$39,MATCH(Emissions!$D80,'Activity data'!$D$24:$D$39,0))*INDEX(EF!$H$84:$H$99,MATCH(Emissions!$D80,EF!$D$84:$D$99,0))*INDEX(EF!$H$100:$H$115,MATCH(Emissions!$D80,EF!$D$100:$D$115,0))*INDEX(EF!$H$132:$H$147,MATCH(Emissions!$D80,EF!$D$132:$D$147,0))*kgtoGg</f>
        <v>0.14624460085641319</v>
      </c>
      <c r="AX80" s="22">
        <f>INDEX('Activity data'!AX$24:AX$39,MATCH(Emissions!$D80,'Activity data'!$D$24:$D$39,0))*INDEX(EF!$H$84:$H$99,MATCH(Emissions!$D80,EF!$D$84:$D$99,0))*INDEX(EF!$H$100:$H$115,MATCH(Emissions!$D80,EF!$D$100:$D$115,0))*INDEX(EF!$H$132:$H$147,MATCH(Emissions!$D80,EF!$D$132:$D$147,0))*kgtoGg</f>
        <v>0.14577855904772158</v>
      </c>
      <c r="AY80" s="22">
        <f>INDEX('Activity data'!AY$24:AY$39,MATCH(Emissions!$D80,'Activity data'!$D$24:$D$39,0))*INDEX(EF!$H$84:$H$99,MATCH(Emissions!$D80,EF!$D$84:$D$99,0))*INDEX(EF!$H$100:$H$115,MATCH(Emissions!$D80,EF!$D$100:$D$115,0))*INDEX(EF!$H$132:$H$147,MATCH(Emissions!$D80,EF!$D$132:$D$147,0))*kgtoGg</f>
        <v>0.14531251723903005</v>
      </c>
      <c r="AZ80" s="22">
        <f>INDEX('Activity data'!AZ$24:AZ$39,MATCH(Emissions!$D80,'Activity data'!$D$24:$D$39,0))*INDEX(EF!$H$84:$H$99,MATCH(Emissions!$D80,EF!$D$84:$D$99,0))*INDEX(EF!$H$100:$H$115,MATCH(Emissions!$D80,EF!$D$100:$D$115,0))*INDEX(EF!$H$132:$H$147,MATCH(Emissions!$D80,EF!$D$132:$D$147,0))*kgtoGg</f>
        <v>0.14484647543033843</v>
      </c>
      <c r="BA80" s="22">
        <f>INDEX('Activity data'!BA$24:BA$39,MATCH(Emissions!$D80,'Activity data'!$D$24:$D$39,0))*INDEX(EF!$H$84:$H$99,MATCH(Emissions!$D80,EF!$D$84:$D$99,0))*INDEX(EF!$H$100:$H$115,MATCH(Emissions!$D80,EF!$D$100:$D$115,0))*INDEX(EF!$H$132:$H$147,MATCH(Emissions!$D80,EF!$D$132:$D$147,0))*kgtoGg</f>
        <v>0.14438043362164685</v>
      </c>
      <c r="BB80" s="22">
        <f>INDEX('Activity data'!BB$24:BB$39,MATCH(Emissions!$D80,'Activity data'!$D$24:$D$39,0))*INDEX(EF!$H$84:$H$99,MATCH(Emissions!$D80,EF!$D$84:$D$99,0))*INDEX(EF!$H$100:$H$115,MATCH(Emissions!$D80,EF!$D$100:$D$115,0))*INDEX(EF!$H$132:$H$147,MATCH(Emissions!$D80,EF!$D$132:$D$147,0))*kgtoGg</f>
        <v>0.14391439181295529</v>
      </c>
      <c r="BC80" s="22">
        <f>INDEX('Activity data'!BC$24:BC$39,MATCH(Emissions!$D80,'Activity data'!$D$24:$D$39,0))*INDEX(EF!$H$84:$H$99,MATCH(Emissions!$D80,EF!$D$84:$D$99,0))*INDEX(EF!$H$100:$H$115,MATCH(Emissions!$D80,EF!$D$100:$D$115,0))*INDEX(EF!$H$132:$H$147,MATCH(Emissions!$D80,EF!$D$132:$D$147,0))*kgtoGg</f>
        <v>0.1434483500042637</v>
      </c>
      <c r="BD80" s="22">
        <f>INDEX('Activity data'!BD$24:BD$39,MATCH(Emissions!$D80,'Activity data'!$D$24:$D$39,0))*INDEX(EF!$H$84:$H$99,MATCH(Emissions!$D80,EF!$D$84:$D$99,0))*INDEX(EF!$H$100:$H$115,MATCH(Emissions!$D80,EF!$D$100:$D$115,0))*INDEX(EF!$H$132:$H$147,MATCH(Emissions!$D80,EF!$D$132:$D$147,0))*kgtoGg</f>
        <v>0.14298230819557212</v>
      </c>
      <c r="BE80" s="22">
        <f>INDEX('Activity data'!BE$24:BE$39,MATCH(Emissions!$D80,'Activity data'!$D$24:$D$39,0))*INDEX(EF!$H$84:$H$99,MATCH(Emissions!$D80,EF!$D$84:$D$99,0))*INDEX(EF!$H$100:$H$115,MATCH(Emissions!$D80,EF!$D$100:$D$115,0))*INDEX(EF!$H$132:$H$147,MATCH(Emissions!$D80,EF!$D$132:$D$147,0))*kgtoGg</f>
        <v>0.14251626638688056</v>
      </c>
      <c r="BF80" s="22">
        <f>INDEX('Activity data'!BF$24:BF$39,MATCH(Emissions!$D80,'Activity data'!$D$24:$D$39,0))*INDEX(EF!$H$84:$H$99,MATCH(Emissions!$D80,EF!$D$84:$D$99,0))*INDEX(EF!$H$100:$H$115,MATCH(Emissions!$D80,EF!$D$100:$D$115,0))*INDEX(EF!$H$132:$H$147,MATCH(Emissions!$D80,EF!$D$132:$D$147,0))*kgtoGg</f>
        <v>0.142050224578189</v>
      </c>
      <c r="BG80" s="22">
        <f>INDEX('Activity data'!BG$24:BG$39,MATCH(Emissions!$D80,'Activity data'!$D$24:$D$39,0))*INDEX(EF!$H$84:$H$99,MATCH(Emissions!$D80,EF!$D$84:$D$99,0))*INDEX(EF!$H$100:$H$115,MATCH(Emissions!$D80,EF!$D$100:$D$115,0))*INDEX(EF!$H$132:$H$147,MATCH(Emissions!$D80,EF!$D$132:$D$147,0))*kgtoGg</f>
        <v>0.14158418276949739</v>
      </c>
      <c r="BH80" s="22">
        <f>INDEX('Activity data'!BH$24:BH$39,MATCH(Emissions!$D80,'Activity data'!$D$24:$D$39,0))*INDEX(EF!$H$84:$H$99,MATCH(Emissions!$D80,EF!$D$84:$D$99,0))*INDEX(EF!$H$100:$H$115,MATCH(Emissions!$D80,EF!$D$100:$D$115,0))*INDEX(EF!$H$132:$H$147,MATCH(Emissions!$D80,EF!$D$132:$D$147,0))*kgtoGg</f>
        <v>0.14111814096080577</v>
      </c>
      <c r="BI80" s="22">
        <f>INDEX('Activity data'!BI$24:BI$39,MATCH(Emissions!$D80,'Activity data'!$D$24:$D$39,0))*INDEX(EF!$H$84:$H$99,MATCH(Emissions!$D80,EF!$D$84:$D$99,0))*INDEX(EF!$H$100:$H$115,MATCH(Emissions!$D80,EF!$D$100:$D$115,0))*INDEX(EF!$H$132:$H$147,MATCH(Emissions!$D80,EF!$D$132:$D$147,0))*kgtoGg</f>
        <v>0.14065209915211424</v>
      </c>
      <c r="BJ80" s="22">
        <f>INDEX('Activity data'!BJ$24:BJ$39,MATCH(Emissions!$D80,'Activity data'!$D$24:$D$39,0))*INDEX(EF!$H$84:$H$99,MATCH(Emissions!$D80,EF!$D$84:$D$99,0))*INDEX(EF!$H$100:$H$115,MATCH(Emissions!$D80,EF!$D$100:$D$115,0))*INDEX(EF!$H$132:$H$147,MATCH(Emissions!$D80,EF!$D$132:$D$147,0))*kgtoGg</f>
        <v>0.14018605734342263</v>
      </c>
      <c r="BK80" s="22">
        <f>INDEX('Activity data'!BK$24:BK$39,MATCH(Emissions!$D80,'Activity data'!$D$24:$D$39,0))*INDEX(EF!$H$84:$H$99,MATCH(Emissions!$D80,EF!$D$84:$D$99,0))*INDEX(EF!$H$100:$H$115,MATCH(Emissions!$D80,EF!$D$100:$D$115,0))*INDEX(EF!$H$132:$H$147,MATCH(Emissions!$D80,EF!$D$132:$D$147,0))*kgtoGg</f>
        <v>0.13972001553473104</v>
      </c>
      <c r="BL80" s="22">
        <f>INDEX('Activity data'!BL$24:BL$39,MATCH(Emissions!$D80,'Activity data'!$D$24:$D$39,0))*INDEX(EF!$H$84:$H$99,MATCH(Emissions!$D80,EF!$D$84:$D$99,0))*INDEX(EF!$H$100:$H$115,MATCH(Emissions!$D80,EF!$D$100:$D$115,0))*INDEX(EF!$H$132:$H$147,MATCH(Emissions!$D80,EF!$D$132:$D$147,0))*kgtoGg</f>
        <v>0.13925397372603948</v>
      </c>
      <c r="BM80" s="22">
        <f>INDEX('Activity data'!BM$24:BM$39,MATCH(Emissions!$D80,'Activity data'!$D$24:$D$39,0))*INDEX(EF!$H$84:$H$99,MATCH(Emissions!$D80,EF!$D$84:$D$99,0))*INDEX(EF!$H$100:$H$115,MATCH(Emissions!$D80,EF!$D$100:$D$115,0))*INDEX(EF!$H$132:$H$147,MATCH(Emissions!$D80,EF!$D$132:$D$147,0))*kgtoGg</f>
        <v>0.13878793191734787</v>
      </c>
      <c r="BN80" s="22">
        <f>INDEX('Activity data'!BN$24:BN$39,MATCH(Emissions!$D80,'Activity data'!$D$24:$D$39,0))*INDEX(EF!$H$84:$H$99,MATCH(Emissions!$D80,EF!$D$84:$D$99,0))*INDEX(EF!$H$100:$H$115,MATCH(Emissions!$D80,EF!$D$100:$D$115,0))*INDEX(EF!$H$132:$H$147,MATCH(Emissions!$D80,EF!$D$132:$D$147,0))*kgtoGg</f>
        <v>0.13832189010865634</v>
      </c>
      <c r="BO80" s="22">
        <f>INDEX('Activity data'!BO$24:BO$39,MATCH(Emissions!$D80,'Activity data'!$D$24:$D$39,0))*INDEX(EF!$H$84:$H$99,MATCH(Emissions!$D80,EF!$D$84:$D$99,0))*INDEX(EF!$H$100:$H$115,MATCH(Emissions!$D80,EF!$D$100:$D$115,0))*INDEX(EF!$H$132:$H$147,MATCH(Emissions!$D80,EF!$D$132:$D$147,0))*kgtoGg</f>
        <v>0.13785584829996475</v>
      </c>
      <c r="BP80" s="22">
        <f>INDEX('Activity data'!BP$24:BP$39,MATCH(Emissions!$D80,'Activity data'!$D$24:$D$39,0))*INDEX(EF!$H$84:$H$99,MATCH(Emissions!$D80,EF!$D$84:$D$99,0))*INDEX(EF!$H$100:$H$115,MATCH(Emissions!$D80,EF!$D$100:$D$115,0))*INDEX(EF!$H$132:$H$147,MATCH(Emissions!$D80,EF!$D$132:$D$147,0))*kgtoGg</f>
        <v>0.13738980649127319</v>
      </c>
    </row>
    <row r="81" spans="1:68" x14ac:dyDescent="0.3">
      <c r="A81" t="str">
        <f t="shared" si="19"/>
        <v>3C Aggregated and non-CO2 emissions on land</v>
      </c>
      <c r="B81" t="str">
        <f t="shared" si="26"/>
        <v>3C1 Biomass burning (N2O)</v>
      </c>
      <c r="C81" t="str">
        <f t="shared" si="25"/>
        <v>3C1c Biomass burning in Grasslands</v>
      </c>
      <c r="D81" t="str">
        <f>EF!D111</f>
        <v>Degraded land</v>
      </c>
      <c r="E81" t="s">
        <v>641</v>
      </c>
      <c r="F81" t="str">
        <f t="shared" si="27"/>
        <v>N2O</v>
      </c>
      <c r="G81" t="str">
        <f t="shared" si="28"/>
        <v>Gg N2O</v>
      </c>
      <c r="H81" s="22">
        <f>INDEX('Activity data'!H$24:H$39,MATCH(Emissions!$D81,'Activity data'!$D$24:$D$39,0))*INDEX(EF!$H$84:$H$99,MATCH(Emissions!$D81,EF!$D$84:$D$99,0))*INDEX(EF!$H$100:$H$115,MATCH(Emissions!$D81,EF!$D$100:$D$115,0))*INDEX(EF!$H$132:$H$147,MATCH(Emissions!$D81,EF!$D$132:$D$147,0))*kgtoGg</f>
        <v>2.5919889901996538E-2</v>
      </c>
      <c r="I81" s="22">
        <f>INDEX('Activity data'!I$24:I$39,MATCH(Emissions!$D81,'Activity data'!$D$24:$D$39,0))*INDEX(EF!$H$84:$H$99,MATCH(Emissions!$D81,EF!$D$84:$D$99,0))*INDEX(EF!$H$100:$H$115,MATCH(Emissions!$D81,EF!$D$100:$D$115,0))*INDEX(EF!$H$132:$H$147,MATCH(Emissions!$D81,EF!$D$132:$D$147,0))*kgtoGg</f>
        <v>2.5919889901996538E-2</v>
      </c>
      <c r="J81" s="22">
        <f>INDEX('Activity data'!J$24:J$39,MATCH(Emissions!$D81,'Activity data'!$D$24:$D$39,0))*INDEX(EF!$H$84:$H$99,MATCH(Emissions!$D81,EF!$D$84:$D$99,0))*INDEX(EF!$H$100:$H$115,MATCH(Emissions!$D81,EF!$D$100:$D$115,0))*INDEX(EF!$H$132:$H$147,MATCH(Emissions!$D81,EF!$D$132:$D$147,0))*kgtoGg</f>
        <v>2.5919889901996538E-2</v>
      </c>
      <c r="K81" s="22">
        <f>INDEX('Activity data'!K$24:K$39,MATCH(Emissions!$D81,'Activity data'!$D$24:$D$39,0))*INDEX(EF!$H$84:$H$99,MATCH(Emissions!$D81,EF!$D$84:$D$99,0))*INDEX(EF!$H$100:$H$115,MATCH(Emissions!$D81,EF!$D$100:$D$115,0))*INDEX(EF!$H$132:$H$147,MATCH(Emissions!$D81,EF!$D$132:$D$147,0))*kgtoGg</f>
        <v>2.5919889901996538E-2</v>
      </c>
      <c r="L81" s="22">
        <f>INDEX('Activity data'!L$24:L$39,MATCH(Emissions!$D81,'Activity data'!$D$24:$D$39,0))*INDEX(EF!$H$84:$H$99,MATCH(Emissions!$D81,EF!$D$84:$D$99,0))*INDEX(EF!$H$100:$H$115,MATCH(Emissions!$D81,EF!$D$100:$D$115,0))*INDEX(EF!$H$132:$H$147,MATCH(Emissions!$D81,EF!$D$132:$D$147,0))*kgtoGg</f>
        <v>2.5919889901996538E-2</v>
      </c>
      <c r="M81" s="22">
        <f>INDEX('Activity data'!M$24:M$39,MATCH(Emissions!$D81,'Activity data'!$D$24:$D$39,0))*INDEX(EF!$H$84:$H$99,MATCH(Emissions!$D81,EF!$D$84:$D$99,0))*INDEX(EF!$H$100:$H$115,MATCH(Emissions!$D81,EF!$D$100:$D$115,0))*INDEX(EF!$H$132:$H$147,MATCH(Emissions!$D81,EF!$D$132:$D$147,0))*kgtoGg</f>
        <v>2.5919889901996538E-2</v>
      </c>
      <c r="N81" s="22">
        <f>INDEX('Activity data'!N$24:N$39,MATCH(Emissions!$D81,'Activity data'!$D$24:$D$39,0))*INDEX(EF!$H$84:$H$99,MATCH(Emissions!$D81,EF!$D$84:$D$99,0))*INDEX(EF!$H$100:$H$115,MATCH(Emissions!$D81,EF!$D$100:$D$115,0))*INDEX(EF!$H$132:$H$147,MATCH(Emissions!$D81,EF!$D$132:$D$147,0))*kgtoGg</f>
        <v>2.5919889901996538E-2</v>
      </c>
      <c r="O81" s="22">
        <f>INDEX('Activity data'!O$24:O$39,MATCH(Emissions!$D81,'Activity data'!$D$24:$D$39,0))*INDEX(EF!$H$84:$H$99,MATCH(Emissions!$D81,EF!$D$84:$D$99,0))*INDEX(EF!$H$100:$H$115,MATCH(Emissions!$D81,EF!$D$100:$D$115,0))*INDEX(EF!$H$132:$H$147,MATCH(Emissions!$D81,EF!$D$132:$D$147,0))*kgtoGg</f>
        <v>2.5919889901996538E-2</v>
      </c>
      <c r="P81" s="22">
        <f>INDEX('Activity data'!P$24:P$39,MATCH(Emissions!$D81,'Activity data'!$D$24:$D$39,0))*INDEX(EF!$H$84:$H$99,MATCH(Emissions!$D81,EF!$D$84:$D$99,0))*INDEX(EF!$H$100:$H$115,MATCH(Emissions!$D81,EF!$D$100:$D$115,0))*INDEX(EF!$H$132:$H$147,MATCH(Emissions!$D81,EF!$D$132:$D$147,0))*kgtoGg</f>
        <v>2.5919889901996538E-2</v>
      </c>
      <c r="Q81" s="22">
        <f>INDEX('Activity data'!Q$24:Q$39,MATCH(Emissions!$D81,'Activity data'!$D$24:$D$39,0))*INDEX(EF!$H$84:$H$99,MATCH(Emissions!$D81,EF!$D$84:$D$99,0))*INDEX(EF!$H$100:$H$115,MATCH(Emissions!$D81,EF!$D$100:$D$115,0))*INDEX(EF!$H$132:$H$147,MATCH(Emissions!$D81,EF!$D$132:$D$147,0))*kgtoGg</f>
        <v>2.5919889901996538E-2</v>
      </c>
      <c r="R81" s="22">
        <f>INDEX('Activity data'!R$24:R$39,MATCH(Emissions!$D81,'Activity data'!$D$24:$D$39,0))*INDEX(EF!$H$84:$H$99,MATCH(Emissions!$D81,EF!$D$84:$D$99,0))*INDEX(EF!$H$100:$H$115,MATCH(Emissions!$D81,EF!$D$100:$D$115,0))*INDEX(EF!$H$132:$H$147,MATCH(Emissions!$D81,EF!$D$132:$D$147,0))*kgtoGg</f>
        <v>2.8520988552148289E-2</v>
      </c>
      <c r="S81" s="22">
        <f>INDEX('Activity data'!S$24:S$39,MATCH(Emissions!$D81,'Activity data'!$D$24:$D$39,0))*INDEX(EF!$H$84:$H$99,MATCH(Emissions!$D81,EF!$D$84:$D$99,0))*INDEX(EF!$H$100:$H$115,MATCH(Emissions!$D81,EF!$D$100:$D$115,0))*INDEX(EF!$H$132:$H$147,MATCH(Emissions!$D81,EF!$D$132:$D$147,0))*kgtoGg</f>
        <v>2.5817163949345238E-2</v>
      </c>
      <c r="T81" s="22">
        <f>INDEX('Activity data'!T$24:T$39,MATCH(Emissions!$D81,'Activity data'!$D$24:$D$39,0))*INDEX(EF!$H$84:$H$99,MATCH(Emissions!$D81,EF!$D$84:$D$99,0))*INDEX(EF!$H$100:$H$115,MATCH(Emissions!$D81,EF!$D$100:$D$115,0))*INDEX(EF!$H$132:$H$147,MATCH(Emissions!$D81,EF!$D$132:$D$147,0))*kgtoGg</f>
        <v>3.4558561052314238E-2</v>
      </c>
      <c r="U81" s="22">
        <f>INDEX('Activity data'!U$24:U$39,MATCH(Emissions!$D81,'Activity data'!$D$24:$D$39,0))*INDEX(EF!$H$84:$H$99,MATCH(Emissions!$D81,EF!$D$84:$D$99,0))*INDEX(EF!$H$100:$H$115,MATCH(Emissions!$D81,EF!$D$100:$D$115,0))*INDEX(EF!$H$132:$H$147,MATCH(Emissions!$D81,EF!$D$132:$D$147,0))*kgtoGg</f>
        <v>1.0165992861435118E-2</v>
      </c>
      <c r="V81" s="22">
        <f>INDEX('Activity data'!V$24:V$39,MATCH(Emissions!$D81,'Activity data'!$D$24:$D$39,0))*INDEX(EF!$H$84:$H$99,MATCH(Emissions!$D81,EF!$D$84:$D$99,0))*INDEX(EF!$H$100:$H$115,MATCH(Emissions!$D81,EF!$D$100:$D$115,0))*INDEX(EF!$H$132:$H$147,MATCH(Emissions!$D81,EF!$D$132:$D$147,0))*kgtoGg</f>
        <v>3.0536743094739811E-2</v>
      </c>
      <c r="W81" s="22">
        <f>INDEX('Activity data'!W$24:W$39,MATCH(Emissions!$D81,'Activity data'!$D$24:$D$39,0))*INDEX(EF!$H$84:$H$99,MATCH(Emissions!$D81,EF!$D$84:$D$99,0))*INDEX(EF!$H$100:$H$115,MATCH(Emissions!$D81,EF!$D$100:$D$115,0))*INDEX(EF!$H$132:$H$147,MATCH(Emissions!$D81,EF!$D$132:$D$147,0))*kgtoGg</f>
        <v>3.7407752569246472E-2</v>
      </c>
      <c r="X81" s="22">
        <f>INDEX('Activity data'!X$24:X$39,MATCH(Emissions!$D81,'Activity data'!$D$24:$D$39,0))*INDEX(EF!$H$84:$H$99,MATCH(Emissions!$D81,EF!$D$84:$D$99,0))*INDEX(EF!$H$100:$H$115,MATCH(Emissions!$D81,EF!$D$100:$D$115,0))*INDEX(EF!$H$132:$H$147,MATCH(Emissions!$D81,EF!$D$132:$D$147,0))*kgtoGg</f>
        <v>5.5423558793658186E-2</v>
      </c>
      <c r="Y81" s="22">
        <f>INDEX('Activity data'!Y$24:Y$39,MATCH(Emissions!$D81,'Activity data'!$D$24:$D$39,0))*INDEX(EF!$H$84:$H$99,MATCH(Emissions!$D81,EF!$D$84:$D$99,0))*INDEX(EF!$H$100:$H$115,MATCH(Emissions!$D81,EF!$D$100:$D$115,0))*INDEX(EF!$H$132:$H$147,MATCH(Emissions!$D81,EF!$D$132:$D$147,0))*kgtoGg</f>
        <v>8.4312810194933779E-3</v>
      </c>
      <c r="Z81" s="22">
        <f>INDEX('Activity data'!Z$24:Z$39,MATCH(Emissions!$D81,'Activity data'!$D$24:$D$39,0))*INDEX(EF!$H$84:$H$99,MATCH(Emissions!$D81,EF!$D$84:$D$99,0))*INDEX(EF!$H$100:$H$115,MATCH(Emissions!$D81,EF!$D$100:$D$115,0))*INDEX(EF!$H$132:$H$147,MATCH(Emissions!$D81,EF!$D$132:$D$147,0))*kgtoGg</f>
        <v>3.9442889367055235E-2</v>
      </c>
      <c r="AA81" s="22">
        <f>INDEX('Activity data'!AA$24:AA$39,MATCH(Emissions!$D81,'Activity data'!$D$24:$D$39,0))*INDEX(EF!$H$84:$H$99,MATCH(Emissions!$D81,EF!$D$84:$D$99,0))*INDEX(EF!$H$100:$H$115,MATCH(Emissions!$D81,EF!$D$100:$D$115,0))*INDEX(EF!$H$132:$H$147,MATCH(Emissions!$D81,EF!$D$132:$D$147,0))*kgtoGg</f>
        <v>2.5603959141955752E-2</v>
      </c>
      <c r="AB81" s="22">
        <f>INDEX('Activity data'!AB$24:AB$39,MATCH(Emissions!$D81,'Activity data'!$D$24:$D$39,0))*INDEX(EF!$H$84:$H$99,MATCH(Emissions!$D81,EF!$D$84:$D$99,0))*INDEX(EF!$H$100:$H$115,MATCH(Emissions!$D81,EF!$D$100:$D$115,0))*INDEX(EF!$H$132:$H$147,MATCH(Emissions!$D81,EF!$D$132:$D$147,0))*kgtoGg</f>
        <v>3.4459387199999997E-2</v>
      </c>
      <c r="AC81" s="22">
        <f>INDEX('Activity data'!AC$24:AC$39,MATCH(Emissions!$D81,'Activity data'!$D$24:$D$39,0))*INDEX(EF!$H$84:$H$99,MATCH(Emissions!$D81,EF!$D$84:$D$99,0))*INDEX(EF!$H$100:$H$115,MATCH(Emissions!$D81,EF!$D$100:$D$115,0))*INDEX(EF!$H$132:$H$147,MATCH(Emissions!$D81,EF!$D$132:$D$147,0))*kgtoGg</f>
        <v>4.0562650800000002E-2</v>
      </c>
      <c r="AD81" s="22">
        <f>INDEX('Activity data'!AD$24:AD$39,MATCH(Emissions!$D81,'Activity data'!$D$24:$D$39,0))*INDEX(EF!$H$84:$H$99,MATCH(Emissions!$D81,EF!$D$84:$D$99,0))*INDEX(EF!$H$100:$H$115,MATCH(Emissions!$D81,EF!$D$100:$D$115,0))*INDEX(EF!$H$132:$H$147,MATCH(Emissions!$D81,EF!$D$132:$D$147,0))*kgtoGg</f>
        <v>2.434480550007732E-2</v>
      </c>
      <c r="AE81" s="22">
        <f>INDEX('Activity data'!AE$24:AE$39,MATCH(Emissions!$D81,'Activity data'!$D$24:$D$39,0))*INDEX(EF!$H$84:$H$99,MATCH(Emissions!$D81,EF!$D$84:$D$99,0))*INDEX(EF!$H$100:$H$115,MATCH(Emissions!$D81,EF!$D$100:$D$115,0))*INDEX(EF!$H$132:$H$147,MATCH(Emissions!$D81,EF!$D$132:$D$147,0))*kgtoGg</f>
        <v>2.434480550007732E-2</v>
      </c>
      <c r="AF81" s="22">
        <f>INDEX('Activity data'!AF$24:AF$39,MATCH(Emissions!$D81,'Activity data'!$D$24:$D$39,0))*INDEX(EF!$H$84:$H$99,MATCH(Emissions!$D81,EF!$D$84:$D$99,0))*INDEX(EF!$H$100:$H$115,MATCH(Emissions!$D81,EF!$D$100:$D$115,0))*INDEX(EF!$H$132:$H$147,MATCH(Emissions!$D81,EF!$D$132:$D$147,0))*kgtoGg</f>
        <v>2.434480550007732E-2</v>
      </c>
      <c r="AG81" s="22">
        <f>INDEX('Activity data'!AG$24:AG$39,MATCH(Emissions!$D81,'Activity data'!$D$24:$D$39,0))*INDEX(EF!$H$84:$H$99,MATCH(Emissions!$D81,EF!$D$84:$D$99,0))*INDEX(EF!$H$100:$H$115,MATCH(Emissions!$D81,EF!$D$100:$D$115,0))*INDEX(EF!$H$132:$H$147,MATCH(Emissions!$D81,EF!$D$132:$D$147,0))*kgtoGg</f>
        <v>2.434480550007732E-2</v>
      </c>
      <c r="AH81" s="22">
        <f>INDEX('Activity data'!AH$24:AH$39,MATCH(Emissions!$D81,'Activity data'!$D$24:$D$39,0))*INDEX(EF!$H$84:$H$99,MATCH(Emissions!$D81,EF!$D$84:$D$99,0))*INDEX(EF!$H$100:$H$115,MATCH(Emissions!$D81,EF!$D$100:$D$115,0))*INDEX(EF!$H$132:$H$147,MATCH(Emissions!$D81,EF!$D$132:$D$147,0))*kgtoGg</f>
        <v>2.434480550007732E-2</v>
      </c>
      <c r="AI81" s="22">
        <f>INDEX('Activity data'!AI$24:AI$39,MATCH(Emissions!$D81,'Activity data'!$D$24:$D$39,0))*INDEX(EF!$H$84:$H$99,MATCH(Emissions!$D81,EF!$D$84:$D$99,0))*INDEX(EF!$H$100:$H$115,MATCH(Emissions!$D81,EF!$D$100:$D$115,0))*INDEX(EF!$H$132:$H$147,MATCH(Emissions!$D81,EF!$D$132:$D$147,0))*kgtoGg</f>
        <v>2.434480550007732E-2</v>
      </c>
      <c r="AJ81" s="22">
        <f>INDEX('Activity data'!AJ$24:AJ$39,MATCH(Emissions!$D81,'Activity data'!$D$24:$D$39,0))*INDEX(EF!$H$84:$H$99,MATCH(Emissions!$D81,EF!$D$84:$D$99,0))*INDEX(EF!$H$100:$H$115,MATCH(Emissions!$D81,EF!$D$100:$D$115,0))*INDEX(EF!$H$132:$H$147,MATCH(Emissions!$D81,EF!$D$132:$D$147,0))*kgtoGg</f>
        <v>2.434480550007732E-2</v>
      </c>
      <c r="AK81" s="22">
        <f>INDEX('Activity data'!AK$24:AK$39,MATCH(Emissions!$D81,'Activity data'!$D$24:$D$39,0))*INDEX(EF!$H$84:$H$99,MATCH(Emissions!$D81,EF!$D$84:$D$99,0))*INDEX(EF!$H$100:$H$115,MATCH(Emissions!$D81,EF!$D$100:$D$115,0))*INDEX(EF!$H$132:$H$147,MATCH(Emissions!$D81,EF!$D$132:$D$147,0))*kgtoGg</f>
        <v>2.434480550007732E-2</v>
      </c>
      <c r="AL81" s="22">
        <f>INDEX('Activity data'!AL$24:AL$39,MATCH(Emissions!$D81,'Activity data'!$D$24:$D$39,0))*INDEX(EF!$H$84:$H$99,MATCH(Emissions!$D81,EF!$D$84:$D$99,0))*INDEX(EF!$H$100:$H$115,MATCH(Emissions!$D81,EF!$D$100:$D$115,0))*INDEX(EF!$H$132:$H$147,MATCH(Emissions!$D81,EF!$D$132:$D$147,0))*kgtoGg</f>
        <v>2.434480550007732E-2</v>
      </c>
      <c r="AM81" s="22">
        <f>INDEX('Activity data'!AM$24:AM$39,MATCH(Emissions!$D81,'Activity data'!$D$24:$D$39,0))*INDEX(EF!$H$84:$H$99,MATCH(Emissions!$D81,EF!$D$84:$D$99,0))*INDEX(EF!$H$100:$H$115,MATCH(Emissions!$D81,EF!$D$100:$D$115,0))*INDEX(EF!$H$132:$H$147,MATCH(Emissions!$D81,EF!$D$132:$D$147,0))*kgtoGg</f>
        <v>2.434480550007732E-2</v>
      </c>
      <c r="AN81" s="22">
        <f>INDEX('Activity data'!AN$24:AN$39,MATCH(Emissions!$D81,'Activity data'!$D$24:$D$39,0))*INDEX(EF!$H$84:$H$99,MATCH(Emissions!$D81,EF!$D$84:$D$99,0))*INDEX(EF!$H$100:$H$115,MATCH(Emissions!$D81,EF!$D$100:$D$115,0))*INDEX(EF!$H$132:$H$147,MATCH(Emissions!$D81,EF!$D$132:$D$147,0))*kgtoGg</f>
        <v>2.434480550007732E-2</v>
      </c>
      <c r="AO81" s="22">
        <f>INDEX('Activity data'!AO$24:AO$39,MATCH(Emissions!$D81,'Activity data'!$D$24:$D$39,0))*INDEX(EF!$H$84:$H$99,MATCH(Emissions!$D81,EF!$D$84:$D$99,0))*INDEX(EF!$H$100:$H$115,MATCH(Emissions!$D81,EF!$D$100:$D$115,0))*INDEX(EF!$H$132:$H$147,MATCH(Emissions!$D81,EF!$D$132:$D$147,0))*kgtoGg</f>
        <v>2.434480550007732E-2</v>
      </c>
      <c r="AP81" s="22">
        <f>INDEX('Activity data'!AP$24:AP$39,MATCH(Emissions!$D81,'Activity data'!$D$24:$D$39,0))*INDEX(EF!$H$84:$H$99,MATCH(Emissions!$D81,EF!$D$84:$D$99,0))*INDEX(EF!$H$100:$H$115,MATCH(Emissions!$D81,EF!$D$100:$D$115,0))*INDEX(EF!$H$132:$H$147,MATCH(Emissions!$D81,EF!$D$132:$D$147,0))*kgtoGg</f>
        <v>2.434480550007732E-2</v>
      </c>
      <c r="AQ81" s="22">
        <f>INDEX('Activity data'!AQ$24:AQ$39,MATCH(Emissions!$D81,'Activity data'!$D$24:$D$39,0))*INDEX(EF!$H$84:$H$99,MATCH(Emissions!$D81,EF!$D$84:$D$99,0))*INDEX(EF!$H$100:$H$115,MATCH(Emissions!$D81,EF!$D$100:$D$115,0))*INDEX(EF!$H$132:$H$147,MATCH(Emissions!$D81,EF!$D$132:$D$147,0))*kgtoGg</f>
        <v>2.434480550007732E-2</v>
      </c>
      <c r="AR81" s="22">
        <f>INDEX('Activity data'!AR$24:AR$39,MATCH(Emissions!$D81,'Activity data'!$D$24:$D$39,0))*INDEX(EF!$H$84:$H$99,MATCH(Emissions!$D81,EF!$D$84:$D$99,0))*INDEX(EF!$H$100:$H$115,MATCH(Emissions!$D81,EF!$D$100:$D$115,0))*INDEX(EF!$H$132:$H$147,MATCH(Emissions!$D81,EF!$D$132:$D$147,0))*kgtoGg</f>
        <v>2.434480550007732E-2</v>
      </c>
      <c r="AS81" s="22">
        <f>INDEX('Activity data'!AS$24:AS$39,MATCH(Emissions!$D81,'Activity data'!$D$24:$D$39,0))*INDEX(EF!$H$84:$H$99,MATCH(Emissions!$D81,EF!$D$84:$D$99,0))*INDEX(EF!$H$100:$H$115,MATCH(Emissions!$D81,EF!$D$100:$D$115,0))*INDEX(EF!$H$132:$H$147,MATCH(Emissions!$D81,EF!$D$132:$D$147,0))*kgtoGg</f>
        <v>2.434480550007732E-2</v>
      </c>
      <c r="AT81" s="22">
        <f>INDEX('Activity data'!AT$24:AT$39,MATCH(Emissions!$D81,'Activity data'!$D$24:$D$39,0))*INDEX(EF!$H$84:$H$99,MATCH(Emissions!$D81,EF!$D$84:$D$99,0))*INDEX(EF!$H$100:$H$115,MATCH(Emissions!$D81,EF!$D$100:$D$115,0))*INDEX(EF!$H$132:$H$147,MATCH(Emissions!$D81,EF!$D$132:$D$147,0))*kgtoGg</f>
        <v>2.434480550007732E-2</v>
      </c>
      <c r="AU81" s="22">
        <f>INDEX('Activity data'!AU$24:AU$39,MATCH(Emissions!$D81,'Activity data'!$D$24:$D$39,0))*INDEX(EF!$H$84:$H$99,MATCH(Emissions!$D81,EF!$D$84:$D$99,0))*INDEX(EF!$H$100:$H$115,MATCH(Emissions!$D81,EF!$D$100:$D$115,0))*INDEX(EF!$H$132:$H$147,MATCH(Emissions!$D81,EF!$D$132:$D$147,0))*kgtoGg</f>
        <v>2.434480550007732E-2</v>
      </c>
      <c r="AV81" s="22">
        <f>INDEX('Activity data'!AV$24:AV$39,MATCH(Emissions!$D81,'Activity data'!$D$24:$D$39,0))*INDEX(EF!$H$84:$H$99,MATCH(Emissions!$D81,EF!$D$84:$D$99,0))*INDEX(EF!$H$100:$H$115,MATCH(Emissions!$D81,EF!$D$100:$D$115,0))*INDEX(EF!$H$132:$H$147,MATCH(Emissions!$D81,EF!$D$132:$D$147,0))*kgtoGg</f>
        <v>2.434480550007732E-2</v>
      </c>
      <c r="AW81" s="22">
        <f>INDEX('Activity data'!AW$24:AW$39,MATCH(Emissions!$D81,'Activity data'!$D$24:$D$39,0))*INDEX(EF!$H$84:$H$99,MATCH(Emissions!$D81,EF!$D$84:$D$99,0))*INDEX(EF!$H$100:$H$115,MATCH(Emissions!$D81,EF!$D$100:$D$115,0))*INDEX(EF!$H$132:$H$147,MATCH(Emissions!$D81,EF!$D$132:$D$147,0))*kgtoGg</f>
        <v>2.434480550007732E-2</v>
      </c>
      <c r="AX81" s="22">
        <f>INDEX('Activity data'!AX$24:AX$39,MATCH(Emissions!$D81,'Activity data'!$D$24:$D$39,0))*INDEX(EF!$H$84:$H$99,MATCH(Emissions!$D81,EF!$D$84:$D$99,0))*INDEX(EF!$H$100:$H$115,MATCH(Emissions!$D81,EF!$D$100:$D$115,0))*INDEX(EF!$H$132:$H$147,MATCH(Emissions!$D81,EF!$D$132:$D$147,0))*kgtoGg</f>
        <v>2.434480550007732E-2</v>
      </c>
      <c r="AY81" s="22">
        <f>INDEX('Activity data'!AY$24:AY$39,MATCH(Emissions!$D81,'Activity data'!$D$24:$D$39,0))*INDEX(EF!$H$84:$H$99,MATCH(Emissions!$D81,EF!$D$84:$D$99,0))*INDEX(EF!$H$100:$H$115,MATCH(Emissions!$D81,EF!$D$100:$D$115,0))*INDEX(EF!$H$132:$H$147,MATCH(Emissions!$D81,EF!$D$132:$D$147,0))*kgtoGg</f>
        <v>2.434480550007732E-2</v>
      </c>
      <c r="AZ81" s="22">
        <f>INDEX('Activity data'!AZ$24:AZ$39,MATCH(Emissions!$D81,'Activity data'!$D$24:$D$39,0))*INDEX(EF!$H$84:$H$99,MATCH(Emissions!$D81,EF!$D$84:$D$99,0))*INDEX(EF!$H$100:$H$115,MATCH(Emissions!$D81,EF!$D$100:$D$115,0))*INDEX(EF!$H$132:$H$147,MATCH(Emissions!$D81,EF!$D$132:$D$147,0))*kgtoGg</f>
        <v>2.434480550007732E-2</v>
      </c>
      <c r="BA81" s="22">
        <f>INDEX('Activity data'!BA$24:BA$39,MATCH(Emissions!$D81,'Activity data'!$D$24:$D$39,0))*INDEX(EF!$H$84:$H$99,MATCH(Emissions!$D81,EF!$D$84:$D$99,0))*INDEX(EF!$H$100:$H$115,MATCH(Emissions!$D81,EF!$D$100:$D$115,0))*INDEX(EF!$H$132:$H$147,MATCH(Emissions!$D81,EF!$D$132:$D$147,0))*kgtoGg</f>
        <v>2.434480550007732E-2</v>
      </c>
      <c r="BB81" s="22">
        <f>INDEX('Activity data'!BB$24:BB$39,MATCH(Emissions!$D81,'Activity data'!$D$24:$D$39,0))*INDEX(EF!$H$84:$H$99,MATCH(Emissions!$D81,EF!$D$84:$D$99,0))*INDEX(EF!$H$100:$H$115,MATCH(Emissions!$D81,EF!$D$100:$D$115,0))*INDEX(EF!$H$132:$H$147,MATCH(Emissions!$D81,EF!$D$132:$D$147,0))*kgtoGg</f>
        <v>2.434480550007732E-2</v>
      </c>
      <c r="BC81" s="22">
        <f>INDEX('Activity data'!BC$24:BC$39,MATCH(Emissions!$D81,'Activity data'!$D$24:$D$39,0))*INDEX(EF!$H$84:$H$99,MATCH(Emissions!$D81,EF!$D$84:$D$99,0))*INDEX(EF!$H$100:$H$115,MATCH(Emissions!$D81,EF!$D$100:$D$115,0))*INDEX(EF!$H$132:$H$147,MATCH(Emissions!$D81,EF!$D$132:$D$147,0))*kgtoGg</f>
        <v>2.434480550007732E-2</v>
      </c>
      <c r="BD81" s="22">
        <f>INDEX('Activity data'!BD$24:BD$39,MATCH(Emissions!$D81,'Activity data'!$D$24:$D$39,0))*INDEX(EF!$H$84:$H$99,MATCH(Emissions!$D81,EF!$D$84:$D$99,0))*INDEX(EF!$H$100:$H$115,MATCH(Emissions!$D81,EF!$D$100:$D$115,0))*INDEX(EF!$H$132:$H$147,MATCH(Emissions!$D81,EF!$D$132:$D$147,0))*kgtoGg</f>
        <v>2.434480550007732E-2</v>
      </c>
      <c r="BE81" s="22">
        <f>INDEX('Activity data'!BE$24:BE$39,MATCH(Emissions!$D81,'Activity data'!$D$24:$D$39,0))*INDEX(EF!$H$84:$H$99,MATCH(Emissions!$D81,EF!$D$84:$D$99,0))*INDEX(EF!$H$100:$H$115,MATCH(Emissions!$D81,EF!$D$100:$D$115,0))*INDEX(EF!$H$132:$H$147,MATCH(Emissions!$D81,EF!$D$132:$D$147,0))*kgtoGg</f>
        <v>2.434480550007732E-2</v>
      </c>
      <c r="BF81" s="22">
        <f>INDEX('Activity data'!BF$24:BF$39,MATCH(Emissions!$D81,'Activity data'!$D$24:$D$39,0))*INDEX(EF!$H$84:$H$99,MATCH(Emissions!$D81,EF!$D$84:$D$99,0))*INDEX(EF!$H$100:$H$115,MATCH(Emissions!$D81,EF!$D$100:$D$115,0))*INDEX(EF!$H$132:$H$147,MATCH(Emissions!$D81,EF!$D$132:$D$147,0))*kgtoGg</f>
        <v>2.434480550007732E-2</v>
      </c>
      <c r="BG81" s="22">
        <f>INDEX('Activity data'!BG$24:BG$39,MATCH(Emissions!$D81,'Activity data'!$D$24:$D$39,0))*INDEX(EF!$H$84:$H$99,MATCH(Emissions!$D81,EF!$D$84:$D$99,0))*INDEX(EF!$H$100:$H$115,MATCH(Emissions!$D81,EF!$D$100:$D$115,0))*INDEX(EF!$H$132:$H$147,MATCH(Emissions!$D81,EF!$D$132:$D$147,0))*kgtoGg</f>
        <v>2.434480550007732E-2</v>
      </c>
      <c r="BH81" s="22">
        <f>INDEX('Activity data'!BH$24:BH$39,MATCH(Emissions!$D81,'Activity data'!$D$24:$D$39,0))*INDEX(EF!$H$84:$H$99,MATCH(Emissions!$D81,EF!$D$84:$D$99,0))*INDEX(EF!$H$100:$H$115,MATCH(Emissions!$D81,EF!$D$100:$D$115,0))*INDEX(EF!$H$132:$H$147,MATCH(Emissions!$D81,EF!$D$132:$D$147,0))*kgtoGg</f>
        <v>2.434480550007732E-2</v>
      </c>
      <c r="BI81" s="22">
        <f>INDEX('Activity data'!BI$24:BI$39,MATCH(Emissions!$D81,'Activity data'!$D$24:$D$39,0))*INDEX(EF!$H$84:$H$99,MATCH(Emissions!$D81,EF!$D$84:$D$99,0))*INDEX(EF!$H$100:$H$115,MATCH(Emissions!$D81,EF!$D$100:$D$115,0))*INDEX(EF!$H$132:$H$147,MATCH(Emissions!$D81,EF!$D$132:$D$147,0))*kgtoGg</f>
        <v>2.434480550007732E-2</v>
      </c>
      <c r="BJ81" s="22">
        <f>INDEX('Activity data'!BJ$24:BJ$39,MATCH(Emissions!$D81,'Activity data'!$D$24:$D$39,0))*INDEX(EF!$H$84:$H$99,MATCH(Emissions!$D81,EF!$D$84:$D$99,0))*INDEX(EF!$H$100:$H$115,MATCH(Emissions!$D81,EF!$D$100:$D$115,0))*INDEX(EF!$H$132:$H$147,MATCH(Emissions!$D81,EF!$D$132:$D$147,0))*kgtoGg</f>
        <v>2.434480550007732E-2</v>
      </c>
      <c r="BK81" s="22">
        <f>INDEX('Activity data'!BK$24:BK$39,MATCH(Emissions!$D81,'Activity data'!$D$24:$D$39,0))*INDEX(EF!$H$84:$H$99,MATCH(Emissions!$D81,EF!$D$84:$D$99,0))*INDEX(EF!$H$100:$H$115,MATCH(Emissions!$D81,EF!$D$100:$D$115,0))*INDEX(EF!$H$132:$H$147,MATCH(Emissions!$D81,EF!$D$132:$D$147,0))*kgtoGg</f>
        <v>2.434480550007732E-2</v>
      </c>
      <c r="BL81" s="22">
        <f>INDEX('Activity data'!BL$24:BL$39,MATCH(Emissions!$D81,'Activity data'!$D$24:$D$39,0))*INDEX(EF!$H$84:$H$99,MATCH(Emissions!$D81,EF!$D$84:$D$99,0))*INDEX(EF!$H$100:$H$115,MATCH(Emissions!$D81,EF!$D$100:$D$115,0))*INDEX(EF!$H$132:$H$147,MATCH(Emissions!$D81,EF!$D$132:$D$147,0))*kgtoGg</f>
        <v>2.434480550007732E-2</v>
      </c>
      <c r="BM81" s="22">
        <f>INDEX('Activity data'!BM$24:BM$39,MATCH(Emissions!$D81,'Activity data'!$D$24:$D$39,0))*INDEX(EF!$H$84:$H$99,MATCH(Emissions!$D81,EF!$D$84:$D$99,0))*INDEX(EF!$H$100:$H$115,MATCH(Emissions!$D81,EF!$D$100:$D$115,0))*INDEX(EF!$H$132:$H$147,MATCH(Emissions!$D81,EF!$D$132:$D$147,0))*kgtoGg</f>
        <v>2.434480550007732E-2</v>
      </c>
      <c r="BN81" s="22">
        <f>INDEX('Activity data'!BN$24:BN$39,MATCH(Emissions!$D81,'Activity data'!$D$24:$D$39,0))*INDEX(EF!$H$84:$H$99,MATCH(Emissions!$D81,EF!$D$84:$D$99,0))*INDEX(EF!$H$100:$H$115,MATCH(Emissions!$D81,EF!$D$100:$D$115,0))*INDEX(EF!$H$132:$H$147,MATCH(Emissions!$D81,EF!$D$132:$D$147,0))*kgtoGg</f>
        <v>2.434480550007732E-2</v>
      </c>
      <c r="BO81" s="22">
        <f>INDEX('Activity data'!BO$24:BO$39,MATCH(Emissions!$D81,'Activity data'!$D$24:$D$39,0))*INDEX(EF!$H$84:$H$99,MATCH(Emissions!$D81,EF!$D$84:$D$99,0))*INDEX(EF!$H$100:$H$115,MATCH(Emissions!$D81,EF!$D$100:$D$115,0))*INDEX(EF!$H$132:$H$147,MATCH(Emissions!$D81,EF!$D$132:$D$147,0))*kgtoGg</f>
        <v>2.434480550007732E-2</v>
      </c>
      <c r="BP81" s="22">
        <f>INDEX('Activity data'!BP$24:BP$39,MATCH(Emissions!$D81,'Activity data'!$D$24:$D$39,0))*INDEX(EF!$H$84:$H$99,MATCH(Emissions!$D81,EF!$D$84:$D$99,0))*INDEX(EF!$H$100:$H$115,MATCH(Emissions!$D81,EF!$D$100:$D$115,0))*INDEX(EF!$H$132:$H$147,MATCH(Emissions!$D81,EF!$D$132:$D$147,0))*kgtoGg</f>
        <v>2.434480550007732E-2</v>
      </c>
    </row>
    <row r="82" spans="1:68" x14ac:dyDescent="0.3">
      <c r="A82" t="str">
        <f t="shared" si="19"/>
        <v>3C Aggregated and non-CO2 emissions on land</v>
      </c>
      <c r="B82" t="str">
        <f t="shared" si="26"/>
        <v>3C1 Biomass burning (N2O)</v>
      </c>
      <c r="C82" t="str">
        <f t="shared" si="25"/>
        <v>3C1d Biomass burning in Wetlands</v>
      </c>
      <c r="D82" t="str">
        <f>EF!D112</f>
        <v>Wetlands</v>
      </c>
      <c r="E82" t="s">
        <v>652</v>
      </c>
      <c r="F82" t="str">
        <f t="shared" si="27"/>
        <v>N2O</v>
      </c>
      <c r="G82" t="str">
        <f t="shared" si="28"/>
        <v>Gg N2O</v>
      </c>
      <c r="H82" s="22">
        <f>INDEX('Activity data'!H$24:H$39,MATCH(Emissions!$D82,'Activity data'!$D$24:$D$39,0))*INDEX(EF!$H$84:$H$99,MATCH(Emissions!$D82,EF!$D$84:$D$99,0))*INDEX(EF!$H$100:$H$115,MATCH(Emissions!$D82,EF!$D$100:$D$115,0))*INDEX(EF!$H$132:$H$147,MATCH(Emissions!$D82,EF!$D$132:$D$147,0))*kgtoGg</f>
        <v>7.357077670844267E-2</v>
      </c>
      <c r="I82" s="22">
        <f>INDEX('Activity data'!I$24:I$39,MATCH(Emissions!$D82,'Activity data'!$D$24:$D$39,0))*INDEX(EF!$H$84:$H$99,MATCH(Emissions!$D82,EF!$D$84:$D$99,0))*INDEX(EF!$H$100:$H$115,MATCH(Emissions!$D82,EF!$D$100:$D$115,0))*INDEX(EF!$H$132:$H$147,MATCH(Emissions!$D82,EF!$D$132:$D$147,0))*kgtoGg</f>
        <v>7.357077670844267E-2</v>
      </c>
      <c r="J82" s="22">
        <f>INDEX('Activity data'!J$24:J$39,MATCH(Emissions!$D82,'Activity data'!$D$24:$D$39,0))*INDEX(EF!$H$84:$H$99,MATCH(Emissions!$D82,EF!$D$84:$D$99,0))*INDEX(EF!$H$100:$H$115,MATCH(Emissions!$D82,EF!$D$100:$D$115,0))*INDEX(EF!$H$132:$H$147,MATCH(Emissions!$D82,EF!$D$132:$D$147,0))*kgtoGg</f>
        <v>7.357077670844267E-2</v>
      </c>
      <c r="K82" s="22">
        <f>INDEX('Activity data'!K$24:K$39,MATCH(Emissions!$D82,'Activity data'!$D$24:$D$39,0))*INDEX(EF!$H$84:$H$99,MATCH(Emissions!$D82,EF!$D$84:$D$99,0))*INDEX(EF!$H$100:$H$115,MATCH(Emissions!$D82,EF!$D$100:$D$115,0))*INDEX(EF!$H$132:$H$147,MATCH(Emissions!$D82,EF!$D$132:$D$147,0))*kgtoGg</f>
        <v>7.357077670844267E-2</v>
      </c>
      <c r="L82" s="22">
        <f>INDEX('Activity data'!L$24:L$39,MATCH(Emissions!$D82,'Activity data'!$D$24:$D$39,0))*INDEX(EF!$H$84:$H$99,MATCH(Emissions!$D82,EF!$D$84:$D$99,0))*INDEX(EF!$H$100:$H$115,MATCH(Emissions!$D82,EF!$D$100:$D$115,0))*INDEX(EF!$H$132:$H$147,MATCH(Emissions!$D82,EF!$D$132:$D$147,0))*kgtoGg</f>
        <v>7.357077670844267E-2</v>
      </c>
      <c r="M82" s="22">
        <f>INDEX('Activity data'!M$24:M$39,MATCH(Emissions!$D82,'Activity data'!$D$24:$D$39,0))*INDEX(EF!$H$84:$H$99,MATCH(Emissions!$D82,EF!$D$84:$D$99,0))*INDEX(EF!$H$100:$H$115,MATCH(Emissions!$D82,EF!$D$100:$D$115,0))*INDEX(EF!$H$132:$H$147,MATCH(Emissions!$D82,EF!$D$132:$D$147,0))*kgtoGg</f>
        <v>7.357077670844267E-2</v>
      </c>
      <c r="N82" s="22">
        <f>INDEX('Activity data'!N$24:N$39,MATCH(Emissions!$D82,'Activity data'!$D$24:$D$39,0))*INDEX(EF!$H$84:$H$99,MATCH(Emissions!$D82,EF!$D$84:$D$99,0))*INDEX(EF!$H$100:$H$115,MATCH(Emissions!$D82,EF!$D$100:$D$115,0))*INDEX(EF!$H$132:$H$147,MATCH(Emissions!$D82,EF!$D$132:$D$147,0))*kgtoGg</f>
        <v>7.357077670844267E-2</v>
      </c>
      <c r="O82" s="22">
        <f>INDEX('Activity data'!O$24:O$39,MATCH(Emissions!$D82,'Activity data'!$D$24:$D$39,0))*INDEX(EF!$H$84:$H$99,MATCH(Emissions!$D82,EF!$D$84:$D$99,0))*INDEX(EF!$H$100:$H$115,MATCH(Emissions!$D82,EF!$D$100:$D$115,0))*INDEX(EF!$H$132:$H$147,MATCH(Emissions!$D82,EF!$D$132:$D$147,0))*kgtoGg</f>
        <v>7.357077670844267E-2</v>
      </c>
      <c r="P82" s="22">
        <f>INDEX('Activity data'!P$24:P$39,MATCH(Emissions!$D82,'Activity data'!$D$24:$D$39,0))*INDEX(EF!$H$84:$H$99,MATCH(Emissions!$D82,EF!$D$84:$D$99,0))*INDEX(EF!$H$100:$H$115,MATCH(Emissions!$D82,EF!$D$100:$D$115,0))*INDEX(EF!$H$132:$H$147,MATCH(Emissions!$D82,EF!$D$132:$D$147,0))*kgtoGg</f>
        <v>7.357077670844267E-2</v>
      </c>
      <c r="Q82" s="22">
        <f>INDEX('Activity data'!Q$24:Q$39,MATCH(Emissions!$D82,'Activity data'!$D$24:$D$39,0))*INDEX(EF!$H$84:$H$99,MATCH(Emissions!$D82,EF!$D$84:$D$99,0))*INDEX(EF!$H$100:$H$115,MATCH(Emissions!$D82,EF!$D$100:$D$115,0))*INDEX(EF!$H$132:$H$147,MATCH(Emissions!$D82,EF!$D$132:$D$147,0))*kgtoGg</f>
        <v>7.357077670844267E-2</v>
      </c>
      <c r="R82" s="22">
        <f>INDEX('Activity data'!R$24:R$39,MATCH(Emissions!$D82,'Activity data'!$D$24:$D$39,0))*INDEX(EF!$H$84:$H$99,MATCH(Emissions!$D82,EF!$D$84:$D$99,0))*INDEX(EF!$H$100:$H$115,MATCH(Emissions!$D82,EF!$D$100:$D$115,0))*INDEX(EF!$H$132:$H$147,MATCH(Emissions!$D82,EF!$D$132:$D$147,0))*kgtoGg</f>
        <v>6.5083674793923713E-2</v>
      </c>
      <c r="S82" s="22">
        <f>INDEX('Activity data'!S$24:S$39,MATCH(Emissions!$D82,'Activity data'!$D$24:$D$39,0))*INDEX(EF!$H$84:$H$99,MATCH(Emissions!$D82,EF!$D$84:$D$99,0))*INDEX(EF!$H$100:$H$115,MATCH(Emissions!$D82,EF!$D$100:$D$115,0))*INDEX(EF!$H$132:$H$147,MATCH(Emissions!$D82,EF!$D$132:$D$147,0))*kgtoGg</f>
        <v>7.8612973491927987E-2</v>
      </c>
      <c r="T82" s="22">
        <f>INDEX('Activity data'!T$24:T$39,MATCH(Emissions!$D82,'Activity data'!$D$24:$D$39,0))*INDEX(EF!$H$84:$H$99,MATCH(Emissions!$D82,EF!$D$84:$D$99,0))*INDEX(EF!$H$100:$H$115,MATCH(Emissions!$D82,EF!$D$100:$D$115,0))*INDEX(EF!$H$132:$H$147,MATCH(Emissions!$D82,EF!$D$132:$D$147,0))*kgtoGg</f>
        <v>8.8983449145904836E-2</v>
      </c>
      <c r="U82" s="22">
        <f>INDEX('Activity data'!U$24:U$39,MATCH(Emissions!$D82,'Activity data'!$D$24:$D$39,0))*INDEX(EF!$H$84:$H$99,MATCH(Emissions!$D82,EF!$D$84:$D$99,0))*INDEX(EF!$H$100:$H$115,MATCH(Emissions!$D82,EF!$D$100:$D$115,0))*INDEX(EF!$H$132:$H$147,MATCH(Emissions!$D82,EF!$D$132:$D$147,0))*kgtoGg</f>
        <v>7.2791997693814531E-2</v>
      </c>
      <c r="V82" s="22">
        <f>INDEX('Activity data'!V$24:V$39,MATCH(Emissions!$D82,'Activity data'!$D$24:$D$39,0))*INDEX(EF!$H$84:$H$99,MATCH(Emissions!$D82,EF!$D$84:$D$99,0))*INDEX(EF!$H$100:$H$115,MATCH(Emissions!$D82,EF!$D$100:$D$115,0))*INDEX(EF!$H$132:$H$147,MATCH(Emissions!$D82,EF!$D$132:$D$147,0))*kgtoGg</f>
        <v>6.2381788416642367E-2</v>
      </c>
      <c r="W82" s="22">
        <f>INDEX('Activity data'!W$24:W$39,MATCH(Emissions!$D82,'Activity data'!$D$24:$D$39,0))*INDEX(EF!$H$84:$H$99,MATCH(Emissions!$D82,EF!$D$84:$D$99,0))*INDEX(EF!$H$100:$H$115,MATCH(Emissions!$D82,EF!$D$100:$D$115,0))*INDEX(EF!$H$132:$H$147,MATCH(Emissions!$D82,EF!$D$132:$D$147,0))*kgtoGg</f>
        <v>9.2301206682713535E-2</v>
      </c>
      <c r="X82" s="22">
        <f>INDEX('Activity data'!X$24:X$39,MATCH(Emissions!$D82,'Activity data'!$D$24:$D$39,0))*INDEX(EF!$H$84:$H$99,MATCH(Emissions!$D82,EF!$D$84:$D$99,0))*INDEX(EF!$H$100:$H$115,MATCH(Emissions!$D82,EF!$D$100:$D$115,0))*INDEX(EF!$H$132:$H$147,MATCH(Emissions!$D82,EF!$D$132:$D$147,0))*kgtoGg</f>
        <v>8.1930731028736672E-2</v>
      </c>
      <c r="Y82" s="22">
        <f>INDEX('Activity data'!Y$24:Y$39,MATCH(Emissions!$D82,'Activity data'!$D$24:$D$39,0))*INDEX(EF!$H$84:$H$99,MATCH(Emissions!$D82,EF!$D$84:$D$99,0))*INDEX(EF!$H$100:$H$115,MATCH(Emissions!$D82,EF!$D$100:$D$115,0))*INDEX(EF!$H$132:$H$147,MATCH(Emissions!$D82,EF!$D$132:$D$147,0))*kgtoGg</f>
        <v>7.2176126534287191E-2</v>
      </c>
      <c r="Z82" s="22">
        <f>INDEX('Activity data'!Z$24:Z$39,MATCH(Emissions!$D82,'Activity data'!$D$24:$D$39,0))*INDEX(EF!$H$84:$H$99,MATCH(Emissions!$D82,EF!$D$84:$D$99,0))*INDEX(EF!$H$100:$H$115,MATCH(Emissions!$D82,EF!$D$100:$D$115,0))*INDEX(EF!$H$132:$H$147,MATCH(Emissions!$D82,EF!$D$132:$D$147,0))*kgtoGg</f>
        <v>6.5818746823036997E-2</v>
      </c>
      <c r="AA82" s="22">
        <f>INDEX('Activity data'!AA$24:AA$39,MATCH(Emissions!$D82,'Activity data'!$D$24:$D$39,0))*INDEX(EF!$H$84:$H$99,MATCH(Emissions!$D82,EF!$D$84:$D$99,0))*INDEX(EF!$H$100:$H$115,MATCH(Emissions!$D82,EF!$D$100:$D$115,0))*INDEX(EF!$H$132:$H$147,MATCH(Emissions!$D82,EF!$D$132:$D$147,0))*kgtoGg</f>
        <v>7.3924405954880992E-2</v>
      </c>
      <c r="AB82" s="22">
        <f>INDEX('Activity data'!AB$24:AB$39,MATCH(Emissions!$D82,'Activity data'!$D$24:$D$39,0))*INDEX(EF!$H$84:$H$99,MATCH(Emissions!$D82,EF!$D$84:$D$99,0))*INDEX(EF!$H$100:$H$115,MATCH(Emissions!$D82,EF!$D$100:$D$115,0))*INDEX(EF!$H$132:$H$147,MATCH(Emissions!$D82,EF!$D$132:$D$147,0))*kgtoGg</f>
        <v>9.8940084389999974E-2</v>
      </c>
      <c r="AC82" s="22">
        <f>INDEX('Activity data'!AC$24:AC$39,MATCH(Emissions!$D82,'Activity data'!$D$24:$D$39,0))*INDEX(EF!$H$84:$H$99,MATCH(Emissions!$D82,EF!$D$84:$D$99,0))*INDEX(EF!$H$100:$H$115,MATCH(Emissions!$D82,EF!$D$100:$D$115,0))*INDEX(EF!$H$132:$H$147,MATCH(Emissions!$D82,EF!$D$132:$D$147,0))*kgtoGg</f>
        <v>0.10685917493999998</v>
      </c>
      <c r="AD82" s="22">
        <f>INDEX('Activity data'!AD$24:AD$39,MATCH(Emissions!$D82,'Activity data'!$D$24:$D$39,0))*INDEX(EF!$H$84:$H$99,MATCH(Emissions!$D82,EF!$D$84:$D$99,0))*INDEX(EF!$H$100:$H$115,MATCH(Emissions!$D82,EF!$D$100:$D$115,0))*INDEX(EF!$H$132:$H$147,MATCH(Emissions!$D82,EF!$D$132:$D$147,0))*kgtoGg</f>
        <v>7.8813449993659371E-2</v>
      </c>
      <c r="AE82" s="22">
        <f>INDEX('Activity data'!AE$24:AE$39,MATCH(Emissions!$D82,'Activity data'!$D$24:$D$39,0))*INDEX(EF!$H$84:$H$99,MATCH(Emissions!$D82,EF!$D$84:$D$99,0))*INDEX(EF!$H$100:$H$115,MATCH(Emissions!$D82,EF!$D$100:$D$115,0))*INDEX(EF!$H$132:$H$147,MATCH(Emissions!$D82,EF!$D$132:$D$147,0))*kgtoGg</f>
        <v>7.8813449993659371E-2</v>
      </c>
      <c r="AF82" s="22">
        <f>INDEX('Activity data'!AF$24:AF$39,MATCH(Emissions!$D82,'Activity data'!$D$24:$D$39,0))*INDEX(EF!$H$84:$H$99,MATCH(Emissions!$D82,EF!$D$84:$D$99,0))*INDEX(EF!$H$100:$H$115,MATCH(Emissions!$D82,EF!$D$100:$D$115,0))*INDEX(EF!$H$132:$H$147,MATCH(Emissions!$D82,EF!$D$132:$D$147,0))*kgtoGg</f>
        <v>7.8813449993659371E-2</v>
      </c>
      <c r="AG82" s="22">
        <f>INDEX('Activity data'!AG$24:AG$39,MATCH(Emissions!$D82,'Activity data'!$D$24:$D$39,0))*INDEX(EF!$H$84:$H$99,MATCH(Emissions!$D82,EF!$D$84:$D$99,0))*INDEX(EF!$H$100:$H$115,MATCH(Emissions!$D82,EF!$D$100:$D$115,0))*INDEX(EF!$H$132:$H$147,MATCH(Emissions!$D82,EF!$D$132:$D$147,0))*kgtoGg</f>
        <v>7.8813449993659371E-2</v>
      </c>
      <c r="AH82" s="22">
        <f>INDEX('Activity data'!AH$24:AH$39,MATCH(Emissions!$D82,'Activity data'!$D$24:$D$39,0))*INDEX(EF!$H$84:$H$99,MATCH(Emissions!$D82,EF!$D$84:$D$99,0))*INDEX(EF!$H$100:$H$115,MATCH(Emissions!$D82,EF!$D$100:$D$115,0))*INDEX(EF!$H$132:$H$147,MATCH(Emissions!$D82,EF!$D$132:$D$147,0))*kgtoGg</f>
        <v>7.8813449993659371E-2</v>
      </c>
      <c r="AI82" s="22">
        <f>INDEX('Activity data'!AI$24:AI$39,MATCH(Emissions!$D82,'Activity data'!$D$24:$D$39,0))*INDEX(EF!$H$84:$H$99,MATCH(Emissions!$D82,EF!$D$84:$D$99,0))*INDEX(EF!$H$100:$H$115,MATCH(Emissions!$D82,EF!$D$100:$D$115,0))*INDEX(EF!$H$132:$H$147,MATCH(Emissions!$D82,EF!$D$132:$D$147,0))*kgtoGg</f>
        <v>7.8813449993659371E-2</v>
      </c>
      <c r="AJ82" s="22">
        <f>INDEX('Activity data'!AJ$24:AJ$39,MATCH(Emissions!$D82,'Activity data'!$D$24:$D$39,0))*INDEX(EF!$H$84:$H$99,MATCH(Emissions!$D82,EF!$D$84:$D$99,0))*INDEX(EF!$H$100:$H$115,MATCH(Emissions!$D82,EF!$D$100:$D$115,0))*INDEX(EF!$H$132:$H$147,MATCH(Emissions!$D82,EF!$D$132:$D$147,0))*kgtoGg</f>
        <v>7.8813449993659371E-2</v>
      </c>
      <c r="AK82" s="22">
        <f>INDEX('Activity data'!AK$24:AK$39,MATCH(Emissions!$D82,'Activity data'!$D$24:$D$39,0))*INDEX(EF!$H$84:$H$99,MATCH(Emissions!$D82,EF!$D$84:$D$99,0))*INDEX(EF!$H$100:$H$115,MATCH(Emissions!$D82,EF!$D$100:$D$115,0))*INDEX(EF!$H$132:$H$147,MATCH(Emissions!$D82,EF!$D$132:$D$147,0))*kgtoGg</f>
        <v>7.8813449993659371E-2</v>
      </c>
      <c r="AL82" s="22">
        <f>INDEX('Activity data'!AL$24:AL$39,MATCH(Emissions!$D82,'Activity data'!$D$24:$D$39,0))*INDEX(EF!$H$84:$H$99,MATCH(Emissions!$D82,EF!$D$84:$D$99,0))*INDEX(EF!$H$100:$H$115,MATCH(Emissions!$D82,EF!$D$100:$D$115,0))*INDEX(EF!$H$132:$H$147,MATCH(Emissions!$D82,EF!$D$132:$D$147,0))*kgtoGg</f>
        <v>7.8813449993659371E-2</v>
      </c>
      <c r="AM82" s="22">
        <f>INDEX('Activity data'!AM$24:AM$39,MATCH(Emissions!$D82,'Activity data'!$D$24:$D$39,0))*INDEX(EF!$H$84:$H$99,MATCH(Emissions!$D82,EF!$D$84:$D$99,0))*INDEX(EF!$H$100:$H$115,MATCH(Emissions!$D82,EF!$D$100:$D$115,0))*INDEX(EF!$H$132:$H$147,MATCH(Emissions!$D82,EF!$D$132:$D$147,0))*kgtoGg</f>
        <v>7.8813449993659371E-2</v>
      </c>
      <c r="AN82" s="22">
        <f>INDEX('Activity data'!AN$24:AN$39,MATCH(Emissions!$D82,'Activity data'!$D$24:$D$39,0))*INDEX(EF!$H$84:$H$99,MATCH(Emissions!$D82,EF!$D$84:$D$99,0))*INDEX(EF!$H$100:$H$115,MATCH(Emissions!$D82,EF!$D$100:$D$115,0))*INDEX(EF!$H$132:$H$147,MATCH(Emissions!$D82,EF!$D$132:$D$147,0))*kgtoGg</f>
        <v>7.8813449993659371E-2</v>
      </c>
      <c r="AO82" s="22">
        <f>INDEX('Activity data'!AO$24:AO$39,MATCH(Emissions!$D82,'Activity data'!$D$24:$D$39,0))*INDEX(EF!$H$84:$H$99,MATCH(Emissions!$D82,EF!$D$84:$D$99,0))*INDEX(EF!$H$100:$H$115,MATCH(Emissions!$D82,EF!$D$100:$D$115,0))*INDEX(EF!$H$132:$H$147,MATCH(Emissions!$D82,EF!$D$132:$D$147,0))*kgtoGg</f>
        <v>7.8813449993659371E-2</v>
      </c>
      <c r="AP82" s="22">
        <f>INDEX('Activity data'!AP$24:AP$39,MATCH(Emissions!$D82,'Activity data'!$D$24:$D$39,0))*INDEX(EF!$H$84:$H$99,MATCH(Emissions!$D82,EF!$D$84:$D$99,0))*INDEX(EF!$H$100:$H$115,MATCH(Emissions!$D82,EF!$D$100:$D$115,0))*INDEX(EF!$H$132:$H$147,MATCH(Emissions!$D82,EF!$D$132:$D$147,0))*kgtoGg</f>
        <v>7.8813449993659371E-2</v>
      </c>
      <c r="AQ82" s="22">
        <f>INDEX('Activity data'!AQ$24:AQ$39,MATCH(Emissions!$D82,'Activity data'!$D$24:$D$39,0))*INDEX(EF!$H$84:$H$99,MATCH(Emissions!$D82,EF!$D$84:$D$99,0))*INDEX(EF!$H$100:$H$115,MATCH(Emissions!$D82,EF!$D$100:$D$115,0))*INDEX(EF!$H$132:$H$147,MATCH(Emissions!$D82,EF!$D$132:$D$147,0))*kgtoGg</f>
        <v>7.8813449993659371E-2</v>
      </c>
      <c r="AR82" s="22">
        <f>INDEX('Activity data'!AR$24:AR$39,MATCH(Emissions!$D82,'Activity data'!$D$24:$D$39,0))*INDEX(EF!$H$84:$H$99,MATCH(Emissions!$D82,EF!$D$84:$D$99,0))*INDEX(EF!$H$100:$H$115,MATCH(Emissions!$D82,EF!$D$100:$D$115,0))*INDEX(EF!$H$132:$H$147,MATCH(Emissions!$D82,EF!$D$132:$D$147,0))*kgtoGg</f>
        <v>7.8813449993659371E-2</v>
      </c>
      <c r="AS82" s="22">
        <f>INDEX('Activity data'!AS$24:AS$39,MATCH(Emissions!$D82,'Activity data'!$D$24:$D$39,0))*INDEX(EF!$H$84:$H$99,MATCH(Emissions!$D82,EF!$D$84:$D$99,0))*INDEX(EF!$H$100:$H$115,MATCH(Emissions!$D82,EF!$D$100:$D$115,0))*INDEX(EF!$H$132:$H$147,MATCH(Emissions!$D82,EF!$D$132:$D$147,0))*kgtoGg</f>
        <v>7.8813449993659371E-2</v>
      </c>
      <c r="AT82" s="22">
        <f>INDEX('Activity data'!AT$24:AT$39,MATCH(Emissions!$D82,'Activity data'!$D$24:$D$39,0))*INDEX(EF!$H$84:$H$99,MATCH(Emissions!$D82,EF!$D$84:$D$99,0))*INDEX(EF!$H$100:$H$115,MATCH(Emissions!$D82,EF!$D$100:$D$115,0))*INDEX(EF!$H$132:$H$147,MATCH(Emissions!$D82,EF!$D$132:$D$147,0))*kgtoGg</f>
        <v>7.8813449993659371E-2</v>
      </c>
      <c r="AU82" s="22">
        <f>INDEX('Activity data'!AU$24:AU$39,MATCH(Emissions!$D82,'Activity data'!$D$24:$D$39,0))*INDEX(EF!$H$84:$H$99,MATCH(Emissions!$D82,EF!$D$84:$D$99,0))*INDEX(EF!$H$100:$H$115,MATCH(Emissions!$D82,EF!$D$100:$D$115,0))*INDEX(EF!$H$132:$H$147,MATCH(Emissions!$D82,EF!$D$132:$D$147,0))*kgtoGg</f>
        <v>7.8813449993659371E-2</v>
      </c>
      <c r="AV82" s="22">
        <f>INDEX('Activity data'!AV$24:AV$39,MATCH(Emissions!$D82,'Activity data'!$D$24:$D$39,0))*INDEX(EF!$H$84:$H$99,MATCH(Emissions!$D82,EF!$D$84:$D$99,0))*INDEX(EF!$H$100:$H$115,MATCH(Emissions!$D82,EF!$D$100:$D$115,0))*INDEX(EF!$H$132:$H$147,MATCH(Emissions!$D82,EF!$D$132:$D$147,0))*kgtoGg</f>
        <v>7.8813449993659371E-2</v>
      </c>
      <c r="AW82" s="22">
        <f>INDEX('Activity data'!AW$24:AW$39,MATCH(Emissions!$D82,'Activity data'!$D$24:$D$39,0))*INDEX(EF!$H$84:$H$99,MATCH(Emissions!$D82,EF!$D$84:$D$99,0))*INDEX(EF!$H$100:$H$115,MATCH(Emissions!$D82,EF!$D$100:$D$115,0))*INDEX(EF!$H$132:$H$147,MATCH(Emissions!$D82,EF!$D$132:$D$147,0))*kgtoGg</f>
        <v>7.8813449993659371E-2</v>
      </c>
      <c r="AX82" s="22">
        <f>INDEX('Activity data'!AX$24:AX$39,MATCH(Emissions!$D82,'Activity data'!$D$24:$D$39,0))*INDEX(EF!$H$84:$H$99,MATCH(Emissions!$D82,EF!$D$84:$D$99,0))*INDEX(EF!$H$100:$H$115,MATCH(Emissions!$D82,EF!$D$100:$D$115,0))*INDEX(EF!$H$132:$H$147,MATCH(Emissions!$D82,EF!$D$132:$D$147,0))*kgtoGg</f>
        <v>7.8813449993659371E-2</v>
      </c>
      <c r="AY82" s="22">
        <f>INDEX('Activity data'!AY$24:AY$39,MATCH(Emissions!$D82,'Activity data'!$D$24:$D$39,0))*INDEX(EF!$H$84:$H$99,MATCH(Emissions!$D82,EF!$D$84:$D$99,0))*INDEX(EF!$H$100:$H$115,MATCH(Emissions!$D82,EF!$D$100:$D$115,0))*INDEX(EF!$H$132:$H$147,MATCH(Emissions!$D82,EF!$D$132:$D$147,0))*kgtoGg</f>
        <v>7.8813449993659371E-2</v>
      </c>
      <c r="AZ82" s="22">
        <f>INDEX('Activity data'!AZ$24:AZ$39,MATCH(Emissions!$D82,'Activity data'!$D$24:$D$39,0))*INDEX(EF!$H$84:$H$99,MATCH(Emissions!$D82,EF!$D$84:$D$99,0))*INDEX(EF!$H$100:$H$115,MATCH(Emissions!$D82,EF!$D$100:$D$115,0))*INDEX(EF!$H$132:$H$147,MATCH(Emissions!$D82,EF!$D$132:$D$147,0))*kgtoGg</f>
        <v>7.8813449993659371E-2</v>
      </c>
      <c r="BA82" s="22">
        <f>INDEX('Activity data'!BA$24:BA$39,MATCH(Emissions!$D82,'Activity data'!$D$24:$D$39,0))*INDEX(EF!$H$84:$H$99,MATCH(Emissions!$D82,EF!$D$84:$D$99,0))*INDEX(EF!$H$100:$H$115,MATCH(Emissions!$D82,EF!$D$100:$D$115,0))*INDEX(EF!$H$132:$H$147,MATCH(Emissions!$D82,EF!$D$132:$D$147,0))*kgtoGg</f>
        <v>7.8813449993659371E-2</v>
      </c>
      <c r="BB82" s="22">
        <f>INDEX('Activity data'!BB$24:BB$39,MATCH(Emissions!$D82,'Activity data'!$D$24:$D$39,0))*INDEX(EF!$H$84:$H$99,MATCH(Emissions!$D82,EF!$D$84:$D$99,0))*INDEX(EF!$H$100:$H$115,MATCH(Emissions!$D82,EF!$D$100:$D$115,0))*INDEX(EF!$H$132:$H$147,MATCH(Emissions!$D82,EF!$D$132:$D$147,0))*kgtoGg</f>
        <v>7.8813449993659371E-2</v>
      </c>
      <c r="BC82" s="22">
        <f>INDEX('Activity data'!BC$24:BC$39,MATCH(Emissions!$D82,'Activity data'!$D$24:$D$39,0))*INDEX(EF!$H$84:$H$99,MATCH(Emissions!$D82,EF!$D$84:$D$99,0))*INDEX(EF!$H$100:$H$115,MATCH(Emissions!$D82,EF!$D$100:$D$115,0))*INDEX(EF!$H$132:$H$147,MATCH(Emissions!$D82,EF!$D$132:$D$147,0))*kgtoGg</f>
        <v>7.8813449993659371E-2</v>
      </c>
      <c r="BD82" s="22">
        <f>INDEX('Activity data'!BD$24:BD$39,MATCH(Emissions!$D82,'Activity data'!$D$24:$D$39,0))*INDEX(EF!$H$84:$H$99,MATCH(Emissions!$D82,EF!$D$84:$D$99,0))*INDEX(EF!$H$100:$H$115,MATCH(Emissions!$D82,EF!$D$100:$D$115,0))*INDEX(EF!$H$132:$H$147,MATCH(Emissions!$D82,EF!$D$132:$D$147,0))*kgtoGg</f>
        <v>7.8813449993659371E-2</v>
      </c>
      <c r="BE82" s="22">
        <f>INDEX('Activity data'!BE$24:BE$39,MATCH(Emissions!$D82,'Activity data'!$D$24:$D$39,0))*INDEX(EF!$H$84:$H$99,MATCH(Emissions!$D82,EF!$D$84:$D$99,0))*INDEX(EF!$H$100:$H$115,MATCH(Emissions!$D82,EF!$D$100:$D$115,0))*INDEX(EF!$H$132:$H$147,MATCH(Emissions!$D82,EF!$D$132:$D$147,0))*kgtoGg</f>
        <v>7.8813449993659371E-2</v>
      </c>
      <c r="BF82" s="22">
        <f>INDEX('Activity data'!BF$24:BF$39,MATCH(Emissions!$D82,'Activity data'!$D$24:$D$39,0))*INDEX(EF!$H$84:$H$99,MATCH(Emissions!$D82,EF!$D$84:$D$99,0))*INDEX(EF!$H$100:$H$115,MATCH(Emissions!$D82,EF!$D$100:$D$115,0))*INDEX(EF!$H$132:$H$147,MATCH(Emissions!$D82,EF!$D$132:$D$147,0))*kgtoGg</f>
        <v>7.8813449993659371E-2</v>
      </c>
      <c r="BG82" s="22">
        <f>INDEX('Activity data'!BG$24:BG$39,MATCH(Emissions!$D82,'Activity data'!$D$24:$D$39,0))*INDEX(EF!$H$84:$H$99,MATCH(Emissions!$D82,EF!$D$84:$D$99,0))*INDEX(EF!$H$100:$H$115,MATCH(Emissions!$D82,EF!$D$100:$D$115,0))*INDEX(EF!$H$132:$H$147,MATCH(Emissions!$D82,EF!$D$132:$D$147,0))*kgtoGg</f>
        <v>7.8813449993659371E-2</v>
      </c>
      <c r="BH82" s="22">
        <f>INDEX('Activity data'!BH$24:BH$39,MATCH(Emissions!$D82,'Activity data'!$D$24:$D$39,0))*INDEX(EF!$H$84:$H$99,MATCH(Emissions!$D82,EF!$D$84:$D$99,0))*INDEX(EF!$H$100:$H$115,MATCH(Emissions!$D82,EF!$D$100:$D$115,0))*INDEX(EF!$H$132:$H$147,MATCH(Emissions!$D82,EF!$D$132:$D$147,0))*kgtoGg</f>
        <v>7.8813449993659371E-2</v>
      </c>
      <c r="BI82" s="22">
        <f>INDEX('Activity data'!BI$24:BI$39,MATCH(Emissions!$D82,'Activity data'!$D$24:$D$39,0))*INDEX(EF!$H$84:$H$99,MATCH(Emissions!$D82,EF!$D$84:$D$99,0))*INDEX(EF!$H$100:$H$115,MATCH(Emissions!$D82,EF!$D$100:$D$115,0))*INDEX(EF!$H$132:$H$147,MATCH(Emissions!$D82,EF!$D$132:$D$147,0))*kgtoGg</f>
        <v>7.8813449993659371E-2</v>
      </c>
      <c r="BJ82" s="22">
        <f>INDEX('Activity data'!BJ$24:BJ$39,MATCH(Emissions!$D82,'Activity data'!$D$24:$D$39,0))*INDEX(EF!$H$84:$H$99,MATCH(Emissions!$D82,EF!$D$84:$D$99,0))*INDEX(EF!$H$100:$H$115,MATCH(Emissions!$D82,EF!$D$100:$D$115,0))*INDEX(EF!$H$132:$H$147,MATCH(Emissions!$D82,EF!$D$132:$D$147,0))*kgtoGg</f>
        <v>7.8813449993659371E-2</v>
      </c>
      <c r="BK82" s="22">
        <f>INDEX('Activity data'!BK$24:BK$39,MATCH(Emissions!$D82,'Activity data'!$D$24:$D$39,0))*INDEX(EF!$H$84:$H$99,MATCH(Emissions!$D82,EF!$D$84:$D$99,0))*INDEX(EF!$H$100:$H$115,MATCH(Emissions!$D82,EF!$D$100:$D$115,0))*INDEX(EF!$H$132:$H$147,MATCH(Emissions!$D82,EF!$D$132:$D$147,0))*kgtoGg</f>
        <v>7.8813449993659371E-2</v>
      </c>
      <c r="BL82" s="22">
        <f>INDEX('Activity data'!BL$24:BL$39,MATCH(Emissions!$D82,'Activity data'!$D$24:$D$39,0))*INDEX(EF!$H$84:$H$99,MATCH(Emissions!$D82,EF!$D$84:$D$99,0))*INDEX(EF!$H$100:$H$115,MATCH(Emissions!$D82,EF!$D$100:$D$115,0))*INDEX(EF!$H$132:$H$147,MATCH(Emissions!$D82,EF!$D$132:$D$147,0))*kgtoGg</f>
        <v>7.8813449993659371E-2</v>
      </c>
      <c r="BM82" s="22">
        <f>INDEX('Activity data'!BM$24:BM$39,MATCH(Emissions!$D82,'Activity data'!$D$24:$D$39,0))*INDEX(EF!$H$84:$H$99,MATCH(Emissions!$D82,EF!$D$84:$D$99,0))*INDEX(EF!$H$100:$H$115,MATCH(Emissions!$D82,EF!$D$100:$D$115,0))*INDEX(EF!$H$132:$H$147,MATCH(Emissions!$D82,EF!$D$132:$D$147,0))*kgtoGg</f>
        <v>7.8813449993659371E-2</v>
      </c>
      <c r="BN82" s="22">
        <f>INDEX('Activity data'!BN$24:BN$39,MATCH(Emissions!$D82,'Activity data'!$D$24:$D$39,0))*INDEX(EF!$H$84:$H$99,MATCH(Emissions!$D82,EF!$D$84:$D$99,0))*INDEX(EF!$H$100:$H$115,MATCH(Emissions!$D82,EF!$D$100:$D$115,0))*INDEX(EF!$H$132:$H$147,MATCH(Emissions!$D82,EF!$D$132:$D$147,0))*kgtoGg</f>
        <v>7.8813449993659371E-2</v>
      </c>
      <c r="BO82" s="22">
        <f>INDEX('Activity data'!BO$24:BO$39,MATCH(Emissions!$D82,'Activity data'!$D$24:$D$39,0))*INDEX(EF!$H$84:$H$99,MATCH(Emissions!$D82,EF!$D$84:$D$99,0))*INDEX(EF!$H$100:$H$115,MATCH(Emissions!$D82,EF!$D$100:$D$115,0))*INDEX(EF!$H$132:$H$147,MATCH(Emissions!$D82,EF!$D$132:$D$147,0))*kgtoGg</f>
        <v>7.8813449993659371E-2</v>
      </c>
      <c r="BP82" s="22">
        <f>INDEX('Activity data'!BP$24:BP$39,MATCH(Emissions!$D82,'Activity data'!$D$24:$D$39,0))*INDEX(EF!$H$84:$H$99,MATCH(Emissions!$D82,EF!$D$84:$D$99,0))*INDEX(EF!$H$100:$H$115,MATCH(Emissions!$D82,EF!$D$100:$D$115,0))*INDEX(EF!$H$132:$H$147,MATCH(Emissions!$D82,EF!$D$132:$D$147,0))*kgtoGg</f>
        <v>7.8813449993659371E-2</v>
      </c>
    </row>
    <row r="83" spans="1:68" x14ac:dyDescent="0.3">
      <c r="A83" t="str">
        <f t="shared" si="19"/>
        <v>3C Aggregated and non-CO2 emissions on land</v>
      </c>
      <c r="B83" t="str">
        <f t="shared" si="26"/>
        <v>3C1 Biomass burning (N2O)</v>
      </c>
      <c r="C83" t="str">
        <f t="shared" si="25"/>
        <v>3C1e Biomass burning in Settlements</v>
      </c>
      <c r="D83" t="str">
        <f>EF!D113</f>
        <v>Settlements</v>
      </c>
      <c r="E83" t="s">
        <v>653</v>
      </c>
      <c r="F83" t="str">
        <f t="shared" si="27"/>
        <v>N2O</v>
      </c>
      <c r="G83" t="str">
        <f t="shared" si="28"/>
        <v>Gg N2O</v>
      </c>
      <c r="H83" s="22">
        <f>INDEX('Activity data'!H$24:H$39,MATCH(Emissions!$D83,'Activity data'!$D$24:$D$39,0))*INDEX(EF!$H$84:$H$99,MATCH(Emissions!$D83,EF!$D$84:$D$99,0))*INDEX(EF!$H$100:$H$115,MATCH(Emissions!$D83,EF!$D$100:$D$115,0))*INDEX(EF!$H$132:$H$147,MATCH(Emissions!$D83,EF!$D$132:$D$147,0))*kgtoGg</f>
        <v>4.462880557297625E-2</v>
      </c>
      <c r="I83" s="22">
        <f>INDEX('Activity data'!I$24:I$39,MATCH(Emissions!$D83,'Activity data'!$D$24:$D$39,0))*INDEX(EF!$H$84:$H$99,MATCH(Emissions!$D83,EF!$D$84:$D$99,0))*INDEX(EF!$H$100:$H$115,MATCH(Emissions!$D83,EF!$D$100:$D$115,0))*INDEX(EF!$H$132:$H$147,MATCH(Emissions!$D83,EF!$D$132:$D$147,0))*kgtoGg</f>
        <v>4.462880557297625E-2</v>
      </c>
      <c r="J83" s="22">
        <f>INDEX('Activity data'!J$24:J$39,MATCH(Emissions!$D83,'Activity data'!$D$24:$D$39,0))*INDEX(EF!$H$84:$H$99,MATCH(Emissions!$D83,EF!$D$84:$D$99,0))*INDEX(EF!$H$100:$H$115,MATCH(Emissions!$D83,EF!$D$100:$D$115,0))*INDEX(EF!$H$132:$H$147,MATCH(Emissions!$D83,EF!$D$132:$D$147,0))*kgtoGg</f>
        <v>4.462880557297625E-2</v>
      </c>
      <c r="K83" s="22">
        <f>INDEX('Activity data'!K$24:K$39,MATCH(Emissions!$D83,'Activity data'!$D$24:$D$39,0))*INDEX(EF!$H$84:$H$99,MATCH(Emissions!$D83,EF!$D$84:$D$99,0))*INDEX(EF!$H$100:$H$115,MATCH(Emissions!$D83,EF!$D$100:$D$115,0))*INDEX(EF!$H$132:$H$147,MATCH(Emissions!$D83,EF!$D$132:$D$147,0))*kgtoGg</f>
        <v>4.462880557297625E-2</v>
      </c>
      <c r="L83" s="22">
        <f>INDEX('Activity data'!L$24:L$39,MATCH(Emissions!$D83,'Activity data'!$D$24:$D$39,0))*INDEX(EF!$H$84:$H$99,MATCH(Emissions!$D83,EF!$D$84:$D$99,0))*INDEX(EF!$H$100:$H$115,MATCH(Emissions!$D83,EF!$D$100:$D$115,0))*INDEX(EF!$H$132:$H$147,MATCH(Emissions!$D83,EF!$D$132:$D$147,0))*kgtoGg</f>
        <v>4.462880557297625E-2</v>
      </c>
      <c r="M83" s="22">
        <f>INDEX('Activity data'!M$24:M$39,MATCH(Emissions!$D83,'Activity data'!$D$24:$D$39,0))*INDEX(EF!$H$84:$H$99,MATCH(Emissions!$D83,EF!$D$84:$D$99,0))*INDEX(EF!$H$100:$H$115,MATCH(Emissions!$D83,EF!$D$100:$D$115,0))*INDEX(EF!$H$132:$H$147,MATCH(Emissions!$D83,EF!$D$132:$D$147,0))*kgtoGg</f>
        <v>4.462880557297625E-2</v>
      </c>
      <c r="N83" s="22">
        <f>INDEX('Activity data'!N$24:N$39,MATCH(Emissions!$D83,'Activity data'!$D$24:$D$39,0))*INDEX(EF!$H$84:$H$99,MATCH(Emissions!$D83,EF!$D$84:$D$99,0))*INDEX(EF!$H$100:$H$115,MATCH(Emissions!$D83,EF!$D$100:$D$115,0))*INDEX(EF!$H$132:$H$147,MATCH(Emissions!$D83,EF!$D$132:$D$147,0))*kgtoGg</f>
        <v>4.462880557297625E-2</v>
      </c>
      <c r="O83" s="22">
        <f>INDEX('Activity data'!O$24:O$39,MATCH(Emissions!$D83,'Activity data'!$D$24:$D$39,0))*INDEX(EF!$H$84:$H$99,MATCH(Emissions!$D83,EF!$D$84:$D$99,0))*INDEX(EF!$H$100:$H$115,MATCH(Emissions!$D83,EF!$D$100:$D$115,0))*INDEX(EF!$H$132:$H$147,MATCH(Emissions!$D83,EF!$D$132:$D$147,0))*kgtoGg</f>
        <v>4.462880557297625E-2</v>
      </c>
      <c r="P83" s="22">
        <f>INDEX('Activity data'!P$24:P$39,MATCH(Emissions!$D83,'Activity data'!$D$24:$D$39,0))*INDEX(EF!$H$84:$H$99,MATCH(Emissions!$D83,EF!$D$84:$D$99,0))*INDEX(EF!$H$100:$H$115,MATCH(Emissions!$D83,EF!$D$100:$D$115,0))*INDEX(EF!$H$132:$H$147,MATCH(Emissions!$D83,EF!$D$132:$D$147,0))*kgtoGg</f>
        <v>4.462880557297625E-2</v>
      </c>
      <c r="Q83" s="22">
        <f>INDEX('Activity data'!Q$24:Q$39,MATCH(Emissions!$D83,'Activity data'!$D$24:$D$39,0))*INDEX(EF!$H$84:$H$99,MATCH(Emissions!$D83,EF!$D$84:$D$99,0))*INDEX(EF!$H$100:$H$115,MATCH(Emissions!$D83,EF!$D$100:$D$115,0))*INDEX(EF!$H$132:$H$147,MATCH(Emissions!$D83,EF!$D$132:$D$147,0))*kgtoGg</f>
        <v>4.462880557297625E-2</v>
      </c>
      <c r="R83" s="22">
        <f>INDEX('Activity data'!R$24:R$39,MATCH(Emissions!$D83,'Activity data'!$D$24:$D$39,0))*INDEX(EF!$H$84:$H$99,MATCH(Emissions!$D83,EF!$D$84:$D$99,0))*INDEX(EF!$H$100:$H$115,MATCH(Emissions!$D83,EF!$D$100:$D$115,0))*INDEX(EF!$H$132:$H$147,MATCH(Emissions!$D83,EF!$D$132:$D$147,0))*kgtoGg</f>
        <v>4.8614087979466203E-2</v>
      </c>
      <c r="S83" s="22">
        <f>INDEX('Activity data'!S$24:S$39,MATCH(Emissions!$D83,'Activity data'!$D$24:$D$39,0))*INDEX(EF!$H$84:$H$99,MATCH(Emissions!$D83,EF!$D$84:$D$99,0))*INDEX(EF!$H$100:$H$115,MATCH(Emissions!$D83,EF!$D$100:$D$115,0))*INDEX(EF!$H$132:$H$147,MATCH(Emissions!$D83,EF!$D$132:$D$147,0))*kgtoGg</f>
        <v>5.3839059429649942E-2</v>
      </c>
      <c r="T83" s="22">
        <f>INDEX('Activity data'!T$24:T$39,MATCH(Emissions!$D83,'Activity data'!$D$24:$D$39,0))*INDEX(EF!$H$84:$H$99,MATCH(Emissions!$D83,EF!$D$84:$D$99,0))*INDEX(EF!$H$100:$H$115,MATCH(Emissions!$D83,EF!$D$100:$D$115,0))*INDEX(EF!$H$132:$H$147,MATCH(Emissions!$D83,EF!$D$132:$D$147,0))*kgtoGg</f>
        <v>4.76008805879857E-2</v>
      </c>
      <c r="U83" s="22">
        <f>INDEX('Activity data'!U$24:U$39,MATCH(Emissions!$D83,'Activity data'!$D$24:$D$39,0))*INDEX(EF!$H$84:$H$99,MATCH(Emissions!$D83,EF!$D$84:$D$99,0))*INDEX(EF!$H$100:$H$115,MATCH(Emissions!$D83,EF!$D$100:$D$115,0))*INDEX(EF!$H$132:$H$147,MATCH(Emissions!$D83,EF!$D$132:$D$147,0))*kgtoGg</f>
        <v>4.1064699572356617E-2</v>
      </c>
      <c r="V83" s="22">
        <f>INDEX('Activity data'!V$24:V$39,MATCH(Emissions!$D83,'Activity data'!$D$24:$D$39,0))*INDEX(EF!$H$84:$H$99,MATCH(Emissions!$D83,EF!$D$84:$D$99,0))*INDEX(EF!$H$100:$H$115,MATCH(Emissions!$D83,EF!$D$100:$D$115,0))*INDEX(EF!$H$132:$H$147,MATCH(Emissions!$D83,EF!$D$132:$D$147,0))*kgtoGg</f>
        <v>3.2025300295422769E-2</v>
      </c>
      <c r="W83" s="22">
        <f>INDEX('Activity data'!W$24:W$39,MATCH(Emissions!$D83,'Activity data'!$D$24:$D$39,0))*INDEX(EF!$H$84:$H$99,MATCH(Emissions!$D83,EF!$D$84:$D$99,0))*INDEX(EF!$H$100:$H$115,MATCH(Emissions!$D83,EF!$D$100:$D$115,0))*INDEX(EF!$H$132:$H$147,MATCH(Emissions!$D83,EF!$D$132:$D$147,0))*kgtoGg</f>
        <v>7.2513862331447368E-2</v>
      </c>
      <c r="X83" s="22">
        <f>INDEX('Activity data'!X$24:X$39,MATCH(Emissions!$D83,'Activity data'!$D$24:$D$39,0))*INDEX(EF!$H$84:$H$99,MATCH(Emissions!$D83,EF!$D$84:$D$99,0))*INDEX(EF!$H$100:$H$115,MATCH(Emissions!$D83,EF!$D$100:$D$115,0))*INDEX(EF!$H$132:$H$147,MATCH(Emissions!$D83,EF!$D$132:$D$147,0))*kgtoGg</f>
        <v>6.3514196677708815E-2</v>
      </c>
      <c r="Y83" s="22">
        <f>INDEX('Activity data'!Y$24:Y$39,MATCH(Emissions!$D83,'Activity data'!$D$24:$D$39,0))*INDEX(EF!$H$84:$H$99,MATCH(Emissions!$D83,EF!$D$84:$D$99,0))*INDEX(EF!$H$100:$H$115,MATCH(Emissions!$D83,EF!$D$100:$D$115,0))*INDEX(EF!$H$132:$H$147,MATCH(Emissions!$D83,EF!$D$132:$D$147,0))*kgtoGg</f>
        <v>7.0249045809314473E-2</v>
      </c>
      <c r="Z83" s="22">
        <f>INDEX('Activity data'!Z$24:Z$39,MATCH(Emissions!$D83,'Activity data'!$D$24:$D$39,0))*INDEX(EF!$H$84:$H$99,MATCH(Emissions!$D83,EF!$D$84:$D$99,0))*INDEX(EF!$H$100:$H$115,MATCH(Emissions!$D83,EF!$D$100:$D$115,0))*INDEX(EF!$H$132:$H$147,MATCH(Emissions!$D83,EF!$D$132:$D$147,0))*kgtoGg</f>
        <v>4.3369249717684813E-2</v>
      </c>
      <c r="AA83" s="22">
        <f>INDEX('Activity data'!AA$24:AA$39,MATCH(Emissions!$D83,'Activity data'!$D$24:$D$39,0))*INDEX(EF!$H$84:$H$99,MATCH(Emissions!$D83,EF!$D$84:$D$99,0))*INDEX(EF!$H$100:$H$115,MATCH(Emissions!$D83,EF!$D$100:$D$115,0))*INDEX(EF!$H$132:$H$147,MATCH(Emissions!$D83,EF!$D$132:$D$147,0))*kgtoGg</f>
        <v>5.2190114067044435E-2</v>
      </c>
      <c r="AB83" s="22">
        <f>INDEX('Activity data'!AB$24:AB$39,MATCH(Emissions!$D83,'Activity data'!$D$24:$D$39,0))*INDEX(EF!$H$84:$H$99,MATCH(Emissions!$D83,EF!$D$84:$D$99,0))*INDEX(EF!$H$100:$H$115,MATCH(Emissions!$D83,EF!$D$100:$D$115,0))*INDEX(EF!$H$132:$H$147,MATCH(Emissions!$D83,EF!$D$132:$D$147,0))*kgtoGg</f>
        <v>3.9028768379999995E-2</v>
      </c>
      <c r="AC83" s="22">
        <f>INDEX('Activity data'!AC$24:AC$39,MATCH(Emissions!$D83,'Activity data'!$D$24:$D$39,0))*INDEX(EF!$H$84:$H$99,MATCH(Emissions!$D83,EF!$D$84:$D$99,0))*INDEX(EF!$H$100:$H$115,MATCH(Emissions!$D83,EF!$D$100:$D$115,0))*INDEX(EF!$H$132:$H$147,MATCH(Emissions!$D83,EF!$D$132:$D$147,0))*kgtoGg</f>
        <v>2.72036394E-2</v>
      </c>
      <c r="AD83" s="22">
        <f>INDEX('Activity data'!AD$24:AD$39,MATCH(Emissions!$D83,'Activity data'!$D$24:$D$39,0))*INDEX(EF!$H$84:$H$99,MATCH(Emissions!$D83,EF!$D$84:$D$99,0))*INDEX(EF!$H$100:$H$115,MATCH(Emissions!$D83,EF!$D$100:$D$115,0))*INDEX(EF!$H$132:$H$147,MATCH(Emissions!$D83,EF!$D$132:$D$147,0))*kgtoGg</f>
        <v>3.9235523819963862E-2</v>
      </c>
      <c r="AE83" s="22">
        <f>INDEX('Activity data'!AE$24:AE$39,MATCH(Emissions!$D83,'Activity data'!$D$24:$D$39,0))*INDEX(EF!$H$84:$H$99,MATCH(Emissions!$D83,EF!$D$84:$D$99,0))*INDEX(EF!$H$100:$H$115,MATCH(Emissions!$D83,EF!$D$100:$D$115,0))*INDEX(EF!$H$132:$H$147,MATCH(Emissions!$D83,EF!$D$132:$D$147,0))*kgtoGg</f>
        <v>3.9318445103539788E-2</v>
      </c>
      <c r="AF83" s="22">
        <f>INDEX('Activity data'!AF$24:AF$39,MATCH(Emissions!$D83,'Activity data'!$D$24:$D$39,0))*INDEX(EF!$H$84:$H$99,MATCH(Emissions!$D83,EF!$D$84:$D$99,0))*INDEX(EF!$H$100:$H$115,MATCH(Emissions!$D83,EF!$D$100:$D$115,0))*INDEX(EF!$H$132:$H$147,MATCH(Emissions!$D83,EF!$D$132:$D$147,0))*kgtoGg</f>
        <v>3.9401366387115715E-2</v>
      </c>
      <c r="AG83" s="22">
        <f>INDEX('Activity data'!AG$24:AG$39,MATCH(Emissions!$D83,'Activity data'!$D$24:$D$39,0))*INDEX(EF!$H$84:$H$99,MATCH(Emissions!$D83,EF!$D$84:$D$99,0))*INDEX(EF!$H$100:$H$115,MATCH(Emissions!$D83,EF!$D$100:$D$115,0))*INDEX(EF!$H$132:$H$147,MATCH(Emissions!$D83,EF!$D$132:$D$147,0))*kgtoGg</f>
        <v>3.9484287670691648E-2</v>
      </c>
      <c r="AH83" s="22">
        <f>INDEX('Activity data'!AH$24:AH$39,MATCH(Emissions!$D83,'Activity data'!$D$24:$D$39,0))*INDEX(EF!$H$84:$H$99,MATCH(Emissions!$D83,EF!$D$84:$D$99,0))*INDEX(EF!$H$100:$H$115,MATCH(Emissions!$D83,EF!$D$100:$D$115,0))*INDEX(EF!$H$132:$H$147,MATCH(Emissions!$D83,EF!$D$132:$D$147,0))*kgtoGg</f>
        <v>3.9567208954267574E-2</v>
      </c>
      <c r="AI83" s="22">
        <f>INDEX('Activity data'!AI$24:AI$39,MATCH(Emissions!$D83,'Activity data'!$D$24:$D$39,0))*INDEX(EF!$H$84:$H$99,MATCH(Emissions!$D83,EF!$D$84:$D$99,0))*INDEX(EF!$H$100:$H$115,MATCH(Emissions!$D83,EF!$D$100:$D$115,0))*INDEX(EF!$H$132:$H$147,MATCH(Emissions!$D83,EF!$D$132:$D$147,0))*kgtoGg</f>
        <v>3.9650130237843507E-2</v>
      </c>
      <c r="AJ83" s="22">
        <f>INDEX('Activity data'!AJ$24:AJ$39,MATCH(Emissions!$D83,'Activity data'!$D$24:$D$39,0))*INDEX(EF!$H$84:$H$99,MATCH(Emissions!$D83,EF!$D$84:$D$99,0))*INDEX(EF!$H$100:$H$115,MATCH(Emissions!$D83,EF!$D$100:$D$115,0))*INDEX(EF!$H$132:$H$147,MATCH(Emissions!$D83,EF!$D$132:$D$147,0))*kgtoGg</f>
        <v>3.9733051521419427E-2</v>
      </c>
      <c r="AK83" s="22">
        <f>INDEX('Activity data'!AK$24:AK$39,MATCH(Emissions!$D83,'Activity data'!$D$24:$D$39,0))*INDEX(EF!$H$84:$H$99,MATCH(Emissions!$D83,EF!$D$84:$D$99,0))*INDEX(EF!$H$100:$H$115,MATCH(Emissions!$D83,EF!$D$100:$D$115,0))*INDEX(EF!$H$132:$H$147,MATCH(Emissions!$D83,EF!$D$132:$D$147,0))*kgtoGg</f>
        <v>3.981597280499536E-2</v>
      </c>
      <c r="AL83" s="22">
        <f>INDEX('Activity data'!AL$24:AL$39,MATCH(Emissions!$D83,'Activity data'!$D$24:$D$39,0))*INDEX(EF!$H$84:$H$99,MATCH(Emissions!$D83,EF!$D$84:$D$99,0))*INDEX(EF!$H$100:$H$115,MATCH(Emissions!$D83,EF!$D$100:$D$115,0))*INDEX(EF!$H$132:$H$147,MATCH(Emissions!$D83,EF!$D$132:$D$147,0))*kgtoGg</f>
        <v>3.9898894088571286E-2</v>
      </c>
      <c r="AM83" s="22">
        <f>INDEX('Activity data'!AM$24:AM$39,MATCH(Emissions!$D83,'Activity data'!$D$24:$D$39,0))*INDEX(EF!$H$84:$H$99,MATCH(Emissions!$D83,EF!$D$84:$D$99,0))*INDEX(EF!$H$100:$H$115,MATCH(Emissions!$D83,EF!$D$100:$D$115,0))*INDEX(EF!$H$132:$H$147,MATCH(Emissions!$D83,EF!$D$132:$D$147,0))*kgtoGg</f>
        <v>3.9981815372147227E-2</v>
      </c>
      <c r="AN83" s="22">
        <f>INDEX('Activity data'!AN$24:AN$39,MATCH(Emissions!$D83,'Activity data'!$D$24:$D$39,0))*INDEX(EF!$H$84:$H$99,MATCH(Emissions!$D83,EF!$D$84:$D$99,0))*INDEX(EF!$H$100:$H$115,MATCH(Emissions!$D83,EF!$D$100:$D$115,0))*INDEX(EF!$H$132:$H$147,MATCH(Emissions!$D83,EF!$D$132:$D$147,0))*kgtoGg</f>
        <v>4.0064736655723153E-2</v>
      </c>
      <c r="AO83" s="22">
        <f>INDEX('Activity data'!AO$24:AO$39,MATCH(Emissions!$D83,'Activity data'!$D$24:$D$39,0))*INDEX(EF!$H$84:$H$99,MATCH(Emissions!$D83,EF!$D$84:$D$99,0))*INDEX(EF!$H$100:$H$115,MATCH(Emissions!$D83,EF!$D$100:$D$115,0))*INDEX(EF!$H$132:$H$147,MATCH(Emissions!$D83,EF!$D$132:$D$147,0))*kgtoGg</f>
        <v>4.0147657939299079E-2</v>
      </c>
      <c r="AP83" s="22">
        <f>INDEX('Activity data'!AP$24:AP$39,MATCH(Emissions!$D83,'Activity data'!$D$24:$D$39,0))*INDEX(EF!$H$84:$H$99,MATCH(Emissions!$D83,EF!$D$84:$D$99,0))*INDEX(EF!$H$100:$H$115,MATCH(Emissions!$D83,EF!$D$100:$D$115,0))*INDEX(EF!$H$132:$H$147,MATCH(Emissions!$D83,EF!$D$132:$D$147,0))*kgtoGg</f>
        <v>4.0230579222875013E-2</v>
      </c>
      <c r="AQ83" s="22">
        <f>INDEX('Activity data'!AQ$24:AQ$39,MATCH(Emissions!$D83,'Activity data'!$D$24:$D$39,0))*INDEX(EF!$H$84:$H$99,MATCH(Emissions!$D83,EF!$D$84:$D$99,0))*INDEX(EF!$H$100:$H$115,MATCH(Emissions!$D83,EF!$D$100:$D$115,0))*INDEX(EF!$H$132:$H$147,MATCH(Emissions!$D83,EF!$D$132:$D$147,0))*kgtoGg</f>
        <v>4.0313500506450946E-2</v>
      </c>
      <c r="AR83" s="22">
        <f>INDEX('Activity data'!AR$24:AR$39,MATCH(Emissions!$D83,'Activity data'!$D$24:$D$39,0))*INDEX(EF!$H$84:$H$99,MATCH(Emissions!$D83,EF!$D$84:$D$99,0))*INDEX(EF!$H$100:$H$115,MATCH(Emissions!$D83,EF!$D$100:$D$115,0))*INDEX(EF!$H$132:$H$147,MATCH(Emissions!$D83,EF!$D$132:$D$147,0))*kgtoGg</f>
        <v>4.0396421790026865E-2</v>
      </c>
      <c r="AS83" s="22">
        <f>INDEX('Activity data'!AS$24:AS$39,MATCH(Emissions!$D83,'Activity data'!$D$24:$D$39,0))*INDEX(EF!$H$84:$H$99,MATCH(Emissions!$D83,EF!$D$84:$D$99,0))*INDEX(EF!$H$100:$H$115,MATCH(Emissions!$D83,EF!$D$100:$D$115,0))*INDEX(EF!$H$132:$H$147,MATCH(Emissions!$D83,EF!$D$132:$D$147,0))*kgtoGg</f>
        <v>4.0479343073602798E-2</v>
      </c>
      <c r="AT83" s="22">
        <f>INDEX('Activity data'!AT$24:AT$39,MATCH(Emissions!$D83,'Activity data'!$D$24:$D$39,0))*INDEX(EF!$H$84:$H$99,MATCH(Emissions!$D83,EF!$D$84:$D$99,0))*INDEX(EF!$H$100:$H$115,MATCH(Emissions!$D83,EF!$D$100:$D$115,0))*INDEX(EF!$H$132:$H$147,MATCH(Emissions!$D83,EF!$D$132:$D$147,0))*kgtoGg</f>
        <v>4.0562264357178725E-2</v>
      </c>
      <c r="AU83" s="22">
        <f>INDEX('Activity data'!AU$24:AU$39,MATCH(Emissions!$D83,'Activity data'!$D$24:$D$39,0))*INDEX(EF!$H$84:$H$99,MATCH(Emissions!$D83,EF!$D$84:$D$99,0))*INDEX(EF!$H$100:$H$115,MATCH(Emissions!$D83,EF!$D$100:$D$115,0))*INDEX(EF!$H$132:$H$147,MATCH(Emissions!$D83,EF!$D$132:$D$147,0))*kgtoGg</f>
        <v>4.0645185640754658E-2</v>
      </c>
      <c r="AV83" s="22">
        <f>INDEX('Activity data'!AV$24:AV$39,MATCH(Emissions!$D83,'Activity data'!$D$24:$D$39,0))*INDEX(EF!$H$84:$H$99,MATCH(Emissions!$D83,EF!$D$84:$D$99,0))*INDEX(EF!$H$100:$H$115,MATCH(Emissions!$D83,EF!$D$100:$D$115,0))*INDEX(EF!$H$132:$H$147,MATCH(Emissions!$D83,EF!$D$132:$D$147,0))*kgtoGg</f>
        <v>4.0728106924330584E-2</v>
      </c>
      <c r="AW83" s="22">
        <f>INDEX('Activity data'!AW$24:AW$39,MATCH(Emissions!$D83,'Activity data'!$D$24:$D$39,0))*INDEX(EF!$H$84:$H$99,MATCH(Emissions!$D83,EF!$D$84:$D$99,0))*INDEX(EF!$H$100:$H$115,MATCH(Emissions!$D83,EF!$D$100:$D$115,0))*INDEX(EF!$H$132:$H$147,MATCH(Emissions!$D83,EF!$D$132:$D$147,0))*kgtoGg</f>
        <v>4.0811028207906511E-2</v>
      </c>
      <c r="AX83" s="22">
        <f>INDEX('Activity data'!AX$24:AX$39,MATCH(Emissions!$D83,'Activity data'!$D$24:$D$39,0))*INDEX(EF!$H$84:$H$99,MATCH(Emissions!$D83,EF!$D$84:$D$99,0))*INDEX(EF!$H$100:$H$115,MATCH(Emissions!$D83,EF!$D$100:$D$115,0))*INDEX(EF!$H$132:$H$147,MATCH(Emissions!$D83,EF!$D$132:$D$147,0))*kgtoGg</f>
        <v>4.0893949491482444E-2</v>
      </c>
      <c r="AY83" s="22">
        <f>INDEX('Activity data'!AY$24:AY$39,MATCH(Emissions!$D83,'Activity data'!$D$24:$D$39,0))*INDEX(EF!$H$84:$H$99,MATCH(Emissions!$D83,EF!$D$84:$D$99,0))*INDEX(EF!$H$100:$H$115,MATCH(Emissions!$D83,EF!$D$100:$D$115,0))*INDEX(EF!$H$132:$H$147,MATCH(Emissions!$D83,EF!$D$132:$D$147,0))*kgtoGg</f>
        <v>4.097687077505837E-2</v>
      </c>
      <c r="AZ83" s="22">
        <f>INDEX('Activity data'!AZ$24:AZ$39,MATCH(Emissions!$D83,'Activity data'!$D$24:$D$39,0))*INDEX(EF!$H$84:$H$99,MATCH(Emissions!$D83,EF!$D$84:$D$99,0))*INDEX(EF!$H$100:$H$115,MATCH(Emissions!$D83,EF!$D$100:$D$115,0))*INDEX(EF!$H$132:$H$147,MATCH(Emissions!$D83,EF!$D$132:$D$147,0))*kgtoGg</f>
        <v>4.1059792058634303E-2</v>
      </c>
      <c r="BA83" s="22">
        <f>INDEX('Activity data'!BA$24:BA$39,MATCH(Emissions!$D83,'Activity data'!$D$24:$D$39,0))*INDEX(EF!$H$84:$H$99,MATCH(Emissions!$D83,EF!$D$84:$D$99,0))*INDEX(EF!$H$100:$H$115,MATCH(Emissions!$D83,EF!$D$100:$D$115,0))*INDEX(EF!$H$132:$H$147,MATCH(Emissions!$D83,EF!$D$132:$D$147,0))*kgtoGg</f>
        <v>4.114271334221023E-2</v>
      </c>
      <c r="BB83" s="22">
        <f>INDEX('Activity data'!BB$24:BB$39,MATCH(Emissions!$D83,'Activity data'!$D$24:$D$39,0))*INDEX(EF!$H$84:$H$99,MATCH(Emissions!$D83,EF!$D$84:$D$99,0))*INDEX(EF!$H$100:$H$115,MATCH(Emissions!$D83,EF!$D$100:$D$115,0))*INDEX(EF!$H$132:$H$147,MATCH(Emissions!$D83,EF!$D$132:$D$147,0))*kgtoGg</f>
        <v>4.1225634625786156E-2</v>
      </c>
      <c r="BC83" s="22">
        <f>INDEX('Activity data'!BC$24:BC$39,MATCH(Emissions!$D83,'Activity data'!$D$24:$D$39,0))*INDEX(EF!$H$84:$H$99,MATCH(Emissions!$D83,EF!$D$84:$D$99,0))*INDEX(EF!$H$100:$H$115,MATCH(Emissions!$D83,EF!$D$100:$D$115,0))*INDEX(EF!$H$132:$H$147,MATCH(Emissions!$D83,EF!$D$132:$D$147,0))*kgtoGg</f>
        <v>4.1308555909362089E-2</v>
      </c>
      <c r="BD83" s="22">
        <f>INDEX('Activity data'!BD$24:BD$39,MATCH(Emissions!$D83,'Activity data'!$D$24:$D$39,0))*INDEX(EF!$H$84:$H$99,MATCH(Emissions!$D83,EF!$D$84:$D$99,0))*INDEX(EF!$H$100:$H$115,MATCH(Emissions!$D83,EF!$D$100:$D$115,0))*INDEX(EF!$H$132:$H$147,MATCH(Emissions!$D83,EF!$D$132:$D$147,0))*kgtoGg</f>
        <v>4.1391477192938023E-2</v>
      </c>
      <c r="BE83" s="22">
        <f>INDEX('Activity data'!BE$24:BE$39,MATCH(Emissions!$D83,'Activity data'!$D$24:$D$39,0))*INDEX(EF!$H$84:$H$99,MATCH(Emissions!$D83,EF!$D$84:$D$99,0))*INDEX(EF!$H$100:$H$115,MATCH(Emissions!$D83,EF!$D$100:$D$115,0))*INDEX(EF!$H$132:$H$147,MATCH(Emissions!$D83,EF!$D$132:$D$147,0))*kgtoGg</f>
        <v>4.1474398476513949E-2</v>
      </c>
      <c r="BF83" s="22">
        <f>INDEX('Activity data'!BF$24:BF$39,MATCH(Emissions!$D83,'Activity data'!$D$24:$D$39,0))*INDEX(EF!$H$84:$H$99,MATCH(Emissions!$D83,EF!$D$84:$D$99,0))*INDEX(EF!$H$100:$H$115,MATCH(Emissions!$D83,EF!$D$100:$D$115,0))*INDEX(EF!$H$132:$H$147,MATCH(Emissions!$D83,EF!$D$132:$D$147,0))*kgtoGg</f>
        <v>4.1557319760089875E-2</v>
      </c>
      <c r="BG83" s="22">
        <f>INDEX('Activity data'!BG$24:BG$39,MATCH(Emissions!$D83,'Activity data'!$D$24:$D$39,0))*INDEX(EF!$H$84:$H$99,MATCH(Emissions!$D83,EF!$D$84:$D$99,0))*INDEX(EF!$H$100:$H$115,MATCH(Emissions!$D83,EF!$D$100:$D$115,0))*INDEX(EF!$H$132:$H$147,MATCH(Emissions!$D83,EF!$D$132:$D$147,0))*kgtoGg</f>
        <v>4.1640241043665809E-2</v>
      </c>
      <c r="BH83" s="22">
        <f>INDEX('Activity data'!BH$24:BH$39,MATCH(Emissions!$D83,'Activity data'!$D$24:$D$39,0))*INDEX(EF!$H$84:$H$99,MATCH(Emissions!$D83,EF!$D$84:$D$99,0))*INDEX(EF!$H$100:$H$115,MATCH(Emissions!$D83,EF!$D$100:$D$115,0))*INDEX(EF!$H$132:$H$147,MATCH(Emissions!$D83,EF!$D$132:$D$147,0))*kgtoGg</f>
        <v>4.1723162327241742E-2</v>
      </c>
      <c r="BI83" s="22">
        <f>INDEX('Activity data'!BI$24:BI$39,MATCH(Emissions!$D83,'Activity data'!$D$24:$D$39,0))*INDEX(EF!$H$84:$H$99,MATCH(Emissions!$D83,EF!$D$84:$D$99,0))*INDEX(EF!$H$100:$H$115,MATCH(Emissions!$D83,EF!$D$100:$D$115,0))*INDEX(EF!$H$132:$H$147,MATCH(Emissions!$D83,EF!$D$132:$D$147,0))*kgtoGg</f>
        <v>4.1806083610817661E-2</v>
      </c>
      <c r="BJ83" s="22">
        <f>INDEX('Activity data'!BJ$24:BJ$39,MATCH(Emissions!$D83,'Activity data'!$D$24:$D$39,0))*INDEX(EF!$H$84:$H$99,MATCH(Emissions!$D83,EF!$D$84:$D$99,0))*INDEX(EF!$H$100:$H$115,MATCH(Emissions!$D83,EF!$D$100:$D$115,0))*INDEX(EF!$H$132:$H$147,MATCH(Emissions!$D83,EF!$D$132:$D$147,0))*kgtoGg</f>
        <v>4.1889004894393594E-2</v>
      </c>
      <c r="BK83" s="22">
        <f>INDEX('Activity data'!BK$24:BK$39,MATCH(Emissions!$D83,'Activity data'!$D$24:$D$39,0))*INDEX(EF!$H$84:$H$99,MATCH(Emissions!$D83,EF!$D$84:$D$99,0))*INDEX(EF!$H$100:$H$115,MATCH(Emissions!$D83,EF!$D$100:$D$115,0))*INDEX(EF!$H$132:$H$147,MATCH(Emissions!$D83,EF!$D$132:$D$147,0))*kgtoGg</f>
        <v>4.1971926177969528E-2</v>
      </c>
      <c r="BL83" s="22">
        <f>INDEX('Activity data'!BL$24:BL$39,MATCH(Emissions!$D83,'Activity data'!$D$24:$D$39,0))*INDEX(EF!$H$84:$H$99,MATCH(Emissions!$D83,EF!$D$84:$D$99,0))*INDEX(EF!$H$100:$H$115,MATCH(Emissions!$D83,EF!$D$100:$D$115,0))*INDEX(EF!$H$132:$H$147,MATCH(Emissions!$D83,EF!$D$132:$D$147,0))*kgtoGg</f>
        <v>4.2054847461545454E-2</v>
      </c>
      <c r="BM83" s="22">
        <f>INDEX('Activity data'!BM$24:BM$39,MATCH(Emissions!$D83,'Activity data'!$D$24:$D$39,0))*INDEX(EF!$H$84:$H$99,MATCH(Emissions!$D83,EF!$D$84:$D$99,0))*INDEX(EF!$H$100:$H$115,MATCH(Emissions!$D83,EF!$D$100:$D$115,0))*INDEX(EF!$H$132:$H$147,MATCH(Emissions!$D83,EF!$D$132:$D$147,0))*kgtoGg</f>
        <v>4.2137768745121387E-2</v>
      </c>
      <c r="BN83" s="22">
        <f>INDEX('Activity data'!BN$24:BN$39,MATCH(Emissions!$D83,'Activity data'!$D$24:$D$39,0))*INDEX(EF!$H$84:$H$99,MATCH(Emissions!$D83,EF!$D$84:$D$99,0))*INDEX(EF!$H$100:$H$115,MATCH(Emissions!$D83,EF!$D$100:$D$115,0))*INDEX(EF!$H$132:$H$147,MATCH(Emissions!$D83,EF!$D$132:$D$147,0))*kgtoGg</f>
        <v>4.2220690028697307E-2</v>
      </c>
      <c r="BO83" s="22">
        <f>INDEX('Activity data'!BO$24:BO$39,MATCH(Emissions!$D83,'Activity data'!$D$24:$D$39,0))*INDEX(EF!$H$84:$H$99,MATCH(Emissions!$D83,EF!$D$84:$D$99,0))*INDEX(EF!$H$100:$H$115,MATCH(Emissions!$D83,EF!$D$100:$D$115,0))*INDEX(EF!$H$132:$H$147,MATCH(Emissions!$D83,EF!$D$132:$D$147,0))*kgtoGg</f>
        <v>4.230361131227324E-2</v>
      </c>
      <c r="BP83" s="22">
        <f>INDEX('Activity data'!BP$24:BP$39,MATCH(Emissions!$D83,'Activity data'!$D$24:$D$39,0))*INDEX(EF!$H$84:$H$99,MATCH(Emissions!$D83,EF!$D$84:$D$99,0))*INDEX(EF!$H$100:$H$115,MATCH(Emissions!$D83,EF!$D$100:$D$115,0))*INDEX(EF!$H$132:$H$147,MATCH(Emissions!$D83,EF!$D$132:$D$147,0))*kgtoGg</f>
        <v>4.2386532595849173E-2</v>
      </c>
    </row>
    <row r="84" spans="1:68" x14ac:dyDescent="0.3">
      <c r="A84" t="str">
        <f t="shared" si="19"/>
        <v>3C Aggregated and non-CO2 emissions on land</v>
      </c>
      <c r="B84" t="str">
        <f t="shared" si="26"/>
        <v>3C1 Biomass burning (N2O)</v>
      </c>
      <c r="C84" t="str">
        <f t="shared" si="25"/>
        <v>3C1e Biomass burning in Settlements</v>
      </c>
      <c r="D84" t="str">
        <f>EF!D114</f>
        <v>Mines</v>
      </c>
      <c r="E84" t="s">
        <v>654</v>
      </c>
      <c r="F84" t="str">
        <f t="shared" si="27"/>
        <v>N2O</v>
      </c>
      <c r="G84" t="str">
        <f t="shared" si="28"/>
        <v>Gg N2O</v>
      </c>
      <c r="H84" s="22">
        <f>INDEX('Activity data'!H$24:H$39,MATCH(Emissions!$D84,'Activity data'!$D$24:$D$39,0))*INDEX(EF!$H$84:$H$99,MATCH(Emissions!$D84,EF!$D$84:$D$99,0))*INDEX(EF!$H$100:$H$115,MATCH(Emissions!$D84,EF!$D$100:$D$115,0))*INDEX(EF!$H$132:$H$147,MATCH(Emissions!$D84,EF!$D$132:$D$147,0))*kgtoGg</f>
        <v>0</v>
      </c>
      <c r="I84" s="22">
        <f>INDEX('Activity data'!I$24:I$39,MATCH(Emissions!$D84,'Activity data'!$D$24:$D$39,0))*INDEX(EF!$H$84:$H$99,MATCH(Emissions!$D84,EF!$D$84:$D$99,0))*INDEX(EF!$H$100:$H$115,MATCH(Emissions!$D84,EF!$D$100:$D$115,0))*INDEX(EF!$H$132:$H$147,MATCH(Emissions!$D84,EF!$D$132:$D$147,0))*kgtoGg</f>
        <v>0</v>
      </c>
      <c r="J84" s="22">
        <f>INDEX('Activity data'!J$24:J$39,MATCH(Emissions!$D84,'Activity data'!$D$24:$D$39,0))*INDEX(EF!$H$84:$H$99,MATCH(Emissions!$D84,EF!$D$84:$D$99,0))*INDEX(EF!$H$100:$H$115,MATCH(Emissions!$D84,EF!$D$100:$D$115,0))*INDEX(EF!$H$132:$H$147,MATCH(Emissions!$D84,EF!$D$132:$D$147,0))*kgtoGg</f>
        <v>0</v>
      </c>
      <c r="K84" s="22">
        <f>INDEX('Activity data'!K$24:K$39,MATCH(Emissions!$D84,'Activity data'!$D$24:$D$39,0))*INDEX(EF!$H$84:$H$99,MATCH(Emissions!$D84,EF!$D$84:$D$99,0))*INDEX(EF!$H$100:$H$115,MATCH(Emissions!$D84,EF!$D$100:$D$115,0))*INDEX(EF!$H$132:$H$147,MATCH(Emissions!$D84,EF!$D$132:$D$147,0))*kgtoGg</f>
        <v>0</v>
      </c>
      <c r="L84" s="22">
        <f>INDEX('Activity data'!L$24:L$39,MATCH(Emissions!$D84,'Activity data'!$D$24:$D$39,0))*INDEX(EF!$H$84:$H$99,MATCH(Emissions!$D84,EF!$D$84:$D$99,0))*INDEX(EF!$H$100:$H$115,MATCH(Emissions!$D84,EF!$D$100:$D$115,0))*INDEX(EF!$H$132:$H$147,MATCH(Emissions!$D84,EF!$D$132:$D$147,0))*kgtoGg</f>
        <v>0</v>
      </c>
      <c r="M84" s="22">
        <f>INDEX('Activity data'!M$24:M$39,MATCH(Emissions!$D84,'Activity data'!$D$24:$D$39,0))*INDEX(EF!$H$84:$H$99,MATCH(Emissions!$D84,EF!$D$84:$D$99,0))*INDEX(EF!$H$100:$H$115,MATCH(Emissions!$D84,EF!$D$100:$D$115,0))*INDEX(EF!$H$132:$H$147,MATCH(Emissions!$D84,EF!$D$132:$D$147,0))*kgtoGg</f>
        <v>0</v>
      </c>
      <c r="N84" s="22">
        <f>INDEX('Activity data'!N$24:N$39,MATCH(Emissions!$D84,'Activity data'!$D$24:$D$39,0))*INDEX(EF!$H$84:$H$99,MATCH(Emissions!$D84,EF!$D$84:$D$99,0))*INDEX(EF!$H$100:$H$115,MATCH(Emissions!$D84,EF!$D$100:$D$115,0))*INDEX(EF!$H$132:$H$147,MATCH(Emissions!$D84,EF!$D$132:$D$147,0))*kgtoGg</f>
        <v>0</v>
      </c>
      <c r="O84" s="22">
        <f>INDEX('Activity data'!O$24:O$39,MATCH(Emissions!$D84,'Activity data'!$D$24:$D$39,0))*INDEX(EF!$H$84:$H$99,MATCH(Emissions!$D84,EF!$D$84:$D$99,0))*INDEX(EF!$H$100:$H$115,MATCH(Emissions!$D84,EF!$D$100:$D$115,0))*INDEX(EF!$H$132:$H$147,MATCH(Emissions!$D84,EF!$D$132:$D$147,0))*kgtoGg</f>
        <v>0</v>
      </c>
      <c r="P84" s="22">
        <f>INDEX('Activity data'!P$24:P$39,MATCH(Emissions!$D84,'Activity data'!$D$24:$D$39,0))*INDEX(EF!$H$84:$H$99,MATCH(Emissions!$D84,EF!$D$84:$D$99,0))*INDEX(EF!$H$100:$H$115,MATCH(Emissions!$D84,EF!$D$100:$D$115,0))*INDEX(EF!$H$132:$H$147,MATCH(Emissions!$D84,EF!$D$132:$D$147,0))*kgtoGg</f>
        <v>0</v>
      </c>
      <c r="Q84" s="22">
        <f>INDEX('Activity data'!Q$24:Q$39,MATCH(Emissions!$D84,'Activity data'!$D$24:$D$39,0))*INDEX(EF!$H$84:$H$99,MATCH(Emissions!$D84,EF!$D$84:$D$99,0))*INDEX(EF!$H$100:$H$115,MATCH(Emissions!$D84,EF!$D$100:$D$115,0))*INDEX(EF!$H$132:$H$147,MATCH(Emissions!$D84,EF!$D$132:$D$147,0))*kgtoGg</f>
        <v>0</v>
      </c>
      <c r="R84" s="22">
        <f>INDEX('Activity data'!R$24:R$39,MATCH(Emissions!$D84,'Activity data'!$D$24:$D$39,0))*INDEX(EF!$H$84:$H$99,MATCH(Emissions!$D84,EF!$D$84:$D$99,0))*INDEX(EF!$H$100:$H$115,MATCH(Emissions!$D84,EF!$D$100:$D$115,0))*INDEX(EF!$H$132:$H$147,MATCH(Emissions!$D84,EF!$D$132:$D$147,0))*kgtoGg</f>
        <v>0</v>
      </c>
      <c r="S84" s="22">
        <f>INDEX('Activity data'!S$24:S$39,MATCH(Emissions!$D84,'Activity data'!$D$24:$D$39,0))*INDEX(EF!$H$84:$H$99,MATCH(Emissions!$D84,EF!$D$84:$D$99,0))*INDEX(EF!$H$100:$H$115,MATCH(Emissions!$D84,EF!$D$100:$D$115,0))*INDEX(EF!$H$132:$H$147,MATCH(Emissions!$D84,EF!$D$132:$D$147,0))*kgtoGg</f>
        <v>0</v>
      </c>
      <c r="T84" s="22">
        <f>INDEX('Activity data'!T$24:T$39,MATCH(Emissions!$D84,'Activity data'!$D$24:$D$39,0))*INDEX(EF!$H$84:$H$99,MATCH(Emissions!$D84,EF!$D$84:$D$99,0))*INDEX(EF!$H$100:$H$115,MATCH(Emissions!$D84,EF!$D$100:$D$115,0))*INDEX(EF!$H$132:$H$147,MATCH(Emissions!$D84,EF!$D$132:$D$147,0))*kgtoGg</f>
        <v>0</v>
      </c>
      <c r="U84" s="22">
        <f>INDEX('Activity data'!U$24:U$39,MATCH(Emissions!$D84,'Activity data'!$D$24:$D$39,0))*INDEX(EF!$H$84:$H$99,MATCH(Emissions!$D84,EF!$D$84:$D$99,0))*INDEX(EF!$H$100:$H$115,MATCH(Emissions!$D84,EF!$D$100:$D$115,0))*INDEX(EF!$H$132:$H$147,MATCH(Emissions!$D84,EF!$D$132:$D$147,0))*kgtoGg</f>
        <v>0</v>
      </c>
      <c r="V84" s="22">
        <f>INDEX('Activity data'!V$24:V$39,MATCH(Emissions!$D84,'Activity data'!$D$24:$D$39,0))*INDEX(EF!$H$84:$H$99,MATCH(Emissions!$D84,EF!$D$84:$D$99,0))*INDEX(EF!$H$100:$H$115,MATCH(Emissions!$D84,EF!$D$100:$D$115,0))*INDEX(EF!$H$132:$H$147,MATCH(Emissions!$D84,EF!$D$132:$D$147,0))*kgtoGg</f>
        <v>0</v>
      </c>
      <c r="W84" s="22">
        <f>INDEX('Activity data'!W$24:W$39,MATCH(Emissions!$D84,'Activity data'!$D$24:$D$39,0))*INDEX(EF!$H$84:$H$99,MATCH(Emissions!$D84,EF!$D$84:$D$99,0))*INDEX(EF!$H$100:$H$115,MATCH(Emissions!$D84,EF!$D$100:$D$115,0))*INDEX(EF!$H$132:$H$147,MATCH(Emissions!$D84,EF!$D$132:$D$147,0))*kgtoGg</f>
        <v>0</v>
      </c>
      <c r="X84" s="22">
        <f>INDEX('Activity data'!X$24:X$39,MATCH(Emissions!$D84,'Activity data'!$D$24:$D$39,0))*INDEX(EF!$H$84:$H$99,MATCH(Emissions!$D84,EF!$D$84:$D$99,0))*INDEX(EF!$H$100:$H$115,MATCH(Emissions!$D84,EF!$D$100:$D$115,0))*INDEX(EF!$H$132:$H$147,MATCH(Emissions!$D84,EF!$D$132:$D$147,0))*kgtoGg</f>
        <v>0</v>
      </c>
      <c r="Y84" s="22">
        <f>INDEX('Activity data'!Y$24:Y$39,MATCH(Emissions!$D84,'Activity data'!$D$24:$D$39,0))*INDEX(EF!$H$84:$H$99,MATCH(Emissions!$D84,EF!$D$84:$D$99,0))*INDEX(EF!$H$100:$H$115,MATCH(Emissions!$D84,EF!$D$100:$D$115,0))*INDEX(EF!$H$132:$H$147,MATCH(Emissions!$D84,EF!$D$132:$D$147,0))*kgtoGg</f>
        <v>0</v>
      </c>
      <c r="Z84" s="22">
        <f>INDEX('Activity data'!Z$24:Z$39,MATCH(Emissions!$D84,'Activity data'!$D$24:$D$39,0))*INDEX(EF!$H$84:$H$99,MATCH(Emissions!$D84,EF!$D$84:$D$99,0))*INDEX(EF!$H$100:$H$115,MATCH(Emissions!$D84,EF!$D$100:$D$115,0))*INDEX(EF!$H$132:$H$147,MATCH(Emissions!$D84,EF!$D$132:$D$147,0))*kgtoGg</f>
        <v>0</v>
      </c>
      <c r="AA84" s="22">
        <f>INDEX('Activity data'!AA$24:AA$39,MATCH(Emissions!$D84,'Activity data'!$D$24:$D$39,0))*INDEX(EF!$H$84:$H$99,MATCH(Emissions!$D84,EF!$D$84:$D$99,0))*INDEX(EF!$H$100:$H$115,MATCH(Emissions!$D84,EF!$D$100:$D$115,0))*INDEX(EF!$H$132:$H$147,MATCH(Emissions!$D84,EF!$D$132:$D$147,0))*kgtoGg</f>
        <v>0</v>
      </c>
      <c r="AB84" s="22">
        <f>INDEX('Activity data'!AB$24:AB$39,MATCH(Emissions!$D84,'Activity data'!$D$24:$D$39,0))*INDEX(EF!$H$84:$H$99,MATCH(Emissions!$D84,EF!$D$84:$D$99,0))*INDEX(EF!$H$100:$H$115,MATCH(Emissions!$D84,EF!$D$100:$D$115,0))*INDEX(EF!$H$132:$H$147,MATCH(Emissions!$D84,EF!$D$132:$D$147,0))*kgtoGg</f>
        <v>0</v>
      </c>
      <c r="AC84" s="22">
        <f>INDEX('Activity data'!AC$24:AC$39,MATCH(Emissions!$D84,'Activity data'!$D$24:$D$39,0))*INDEX(EF!$H$84:$H$99,MATCH(Emissions!$D84,EF!$D$84:$D$99,0))*INDEX(EF!$H$100:$H$115,MATCH(Emissions!$D84,EF!$D$100:$D$115,0))*INDEX(EF!$H$132:$H$147,MATCH(Emissions!$D84,EF!$D$132:$D$147,0))*kgtoGg</f>
        <v>0</v>
      </c>
      <c r="AD84" s="22">
        <f>INDEX('Activity data'!AD$24:AD$39,MATCH(Emissions!$D84,'Activity data'!$D$24:$D$39,0))*INDEX(EF!$H$84:$H$99,MATCH(Emissions!$D84,EF!$D$84:$D$99,0))*INDEX(EF!$H$100:$H$115,MATCH(Emissions!$D84,EF!$D$100:$D$115,0))*INDEX(EF!$H$132:$H$147,MATCH(Emissions!$D84,EF!$D$132:$D$147,0))*kgtoGg</f>
        <v>0</v>
      </c>
      <c r="AE84" s="22">
        <f>INDEX('Activity data'!AE$24:AE$39,MATCH(Emissions!$D84,'Activity data'!$D$24:$D$39,0))*INDEX(EF!$H$84:$H$99,MATCH(Emissions!$D84,EF!$D$84:$D$99,0))*INDEX(EF!$H$100:$H$115,MATCH(Emissions!$D84,EF!$D$100:$D$115,0))*INDEX(EF!$H$132:$H$147,MATCH(Emissions!$D84,EF!$D$132:$D$147,0))*kgtoGg</f>
        <v>0</v>
      </c>
      <c r="AF84" s="22">
        <f>INDEX('Activity data'!AF$24:AF$39,MATCH(Emissions!$D84,'Activity data'!$D$24:$D$39,0))*INDEX(EF!$H$84:$H$99,MATCH(Emissions!$D84,EF!$D$84:$D$99,0))*INDEX(EF!$H$100:$H$115,MATCH(Emissions!$D84,EF!$D$100:$D$115,0))*INDEX(EF!$H$132:$H$147,MATCH(Emissions!$D84,EF!$D$132:$D$147,0))*kgtoGg</f>
        <v>0</v>
      </c>
      <c r="AG84" s="22">
        <f>INDEX('Activity data'!AG$24:AG$39,MATCH(Emissions!$D84,'Activity data'!$D$24:$D$39,0))*INDEX(EF!$H$84:$H$99,MATCH(Emissions!$D84,EF!$D$84:$D$99,0))*INDEX(EF!$H$100:$H$115,MATCH(Emissions!$D84,EF!$D$100:$D$115,0))*INDEX(EF!$H$132:$H$147,MATCH(Emissions!$D84,EF!$D$132:$D$147,0))*kgtoGg</f>
        <v>0</v>
      </c>
      <c r="AH84" s="22">
        <f>INDEX('Activity data'!AH$24:AH$39,MATCH(Emissions!$D84,'Activity data'!$D$24:$D$39,0))*INDEX(EF!$H$84:$H$99,MATCH(Emissions!$D84,EF!$D$84:$D$99,0))*INDEX(EF!$H$100:$H$115,MATCH(Emissions!$D84,EF!$D$100:$D$115,0))*INDEX(EF!$H$132:$H$147,MATCH(Emissions!$D84,EF!$D$132:$D$147,0))*kgtoGg</f>
        <v>0</v>
      </c>
      <c r="AI84" s="22">
        <f>INDEX('Activity data'!AI$24:AI$39,MATCH(Emissions!$D84,'Activity data'!$D$24:$D$39,0))*INDEX(EF!$H$84:$H$99,MATCH(Emissions!$D84,EF!$D$84:$D$99,0))*INDEX(EF!$H$100:$H$115,MATCH(Emissions!$D84,EF!$D$100:$D$115,0))*INDEX(EF!$H$132:$H$147,MATCH(Emissions!$D84,EF!$D$132:$D$147,0))*kgtoGg</f>
        <v>0</v>
      </c>
      <c r="AJ84" s="22">
        <f>INDEX('Activity data'!AJ$24:AJ$39,MATCH(Emissions!$D84,'Activity data'!$D$24:$D$39,0))*INDEX(EF!$H$84:$H$99,MATCH(Emissions!$D84,EF!$D$84:$D$99,0))*INDEX(EF!$H$100:$H$115,MATCH(Emissions!$D84,EF!$D$100:$D$115,0))*INDEX(EF!$H$132:$H$147,MATCH(Emissions!$D84,EF!$D$132:$D$147,0))*kgtoGg</f>
        <v>0</v>
      </c>
      <c r="AK84" s="22">
        <f>INDEX('Activity data'!AK$24:AK$39,MATCH(Emissions!$D84,'Activity data'!$D$24:$D$39,0))*INDEX(EF!$H$84:$H$99,MATCH(Emissions!$D84,EF!$D$84:$D$99,0))*INDEX(EF!$H$100:$H$115,MATCH(Emissions!$D84,EF!$D$100:$D$115,0))*INDEX(EF!$H$132:$H$147,MATCH(Emissions!$D84,EF!$D$132:$D$147,0))*kgtoGg</f>
        <v>0</v>
      </c>
      <c r="AL84" s="22">
        <f>INDEX('Activity data'!AL$24:AL$39,MATCH(Emissions!$D84,'Activity data'!$D$24:$D$39,0))*INDEX(EF!$H$84:$H$99,MATCH(Emissions!$D84,EF!$D$84:$D$99,0))*INDEX(EF!$H$100:$H$115,MATCH(Emissions!$D84,EF!$D$100:$D$115,0))*INDEX(EF!$H$132:$H$147,MATCH(Emissions!$D84,EF!$D$132:$D$147,0))*kgtoGg</f>
        <v>0</v>
      </c>
      <c r="AM84" s="22">
        <f>INDEX('Activity data'!AM$24:AM$39,MATCH(Emissions!$D84,'Activity data'!$D$24:$D$39,0))*INDEX(EF!$H$84:$H$99,MATCH(Emissions!$D84,EF!$D$84:$D$99,0))*INDEX(EF!$H$100:$H$115,MATCH(Emissions!$D84,EF!$D$100:$D$115,0))*INDEX(EF!$H$132:$H$147,MATCH(Emissions!$D84,EF!$D$132:$D$147,0))*kgtoGg</f>
        <v>0</v>
      </c>
      <c r="AN84" s="22">
        <f>INDEX('Activity data'!AN$24:AN$39,MATCH(Emissions!$D84,'Activity data'!$D$24:$D$39,0))*INDEX(EF!$H$84:$H$99,MATCH(Emissions!$D84,EF!$D$84:$D$99,0))*INDEX(EF!$H$100:$H$115,MATCH(Emissions!$D84,EF!$D$100:$D$115,0))*INDEX(EF!$H$132:$H$147,MATCH(Emissions!$D84,EF!$D$132:$D$147,0))*kgtoGg</f>
        <v>0</v>
      </c>
      <c r="AO84" s="22">
        <f>INDEX('Activity data'!AO$24:AO$39,MATCH(Emissions!$D84,'Activity data'!$D$24:$D$39,0))*INDEX(EF!$H$84:$H$99,MATCH(Emissions!$D84,EF!$D$84:$D$99,0))*INDEX(EF!$H$100:$H$115,MATCH(Emissions!$D84,EF!$D$100:$D$115,0))*INDEX(EF!$H$132:$H$147,MATCH(Emissions!$D84,EF!$D$132:$D$147,0))*kgtoGg</f>
        <v>0</v>
      </c>
      <c r="AP84" s="22">
        <f>INDEX('Activity data'!AP$24:AP$39,MATCH(Emissions!$D84,'Activity data'!$D$24:$D$39,0))*INDEX(EF!$H$84:$H$99,MATCH(Emissions!$D84,EF!$D$84:$D$99,0))*INDEX(EF!$H$100:$H$115,MATCH(Emissions!$D84,EF!$D$100:$D$115,0))*INDEX(EF!$H$132:$H$147,MATCH(Emissions!$D84,EF!$D$132:$D$147,0))*kgtoGg</f>
        <v>0</v>
      </c>
      <c r="AQ84" s="22">
        <f>INDEX('Activity data'!AQ$24:AQ$39,MATCH(Emissions!$D84,'Activity data'!$D$24:$D$39,0))*INDEX(EF!$H$84:$H$99,MATCH(Emissions!$D84,EF!$D$84:$D$99,0))*INDEX(EF!$H$100:$H$115,MATCH(Emissions!$D84,EF!$D$100:$D$115,0))*INDEX(EF!$H$132:$H$147,MATCH(Emissions!$D84,EF!$D$132:$D$147,0))*kgtoGg</f>
        <v>0</v>
      </c>
      <c r="AR84" s="22">
        <f>INDEX('Activity data'!AR$24:AR$39,MATCH(Emissions!$D84,'Activity data'!$D$24:$D$39,0))*INDEX(EF!$H$84:$H$99,MATCH(Emissions!$D84,EF!$D$84:$D$99,0))*INDEX(EF!$H$100:$H$115,MATCH(Emissions!$D84,EF!$D$100:$D$115,0))*INDEX(EF!$H$132:$H$147,MATCH(Emissions!$D84,EF!$D$132:$D$147,0))*kgtoGg</f>
        <v>0</v>
      </c>
      <c r="AS84" s="22">
        <f>INDEX('Activity data'!AS$24:AS$39,MATCH(Emissions!$D84,'Activity data'!$D$24:$D$39,0))*INDEX(EF!$H$84:$H$99,MATCH(Emissions!$D84,EF!$D$84:$D$99,0))*INDEX(EF!$H$100:$H$115,MATCH(Emissions!$D84,EF!$D$100:$D$115,0))*INDEX(EF!$H$132:$H$147,MATCH(Emissions!$D84,EF!$D$132:$D$147,0))*kgtoGg</f>
        <v>0</v>
      </c>
      <c r="AT84" s="22">
        <f>INDEX('Activity data'!AT$24:AT$39,MATCH(Emissions!$D84,'Activity data'!$D$24:$D$39,0))*INDEX(EF!$H$84:$H$99,MATCH(Emissions!$D84,EF!$D$84:$D$99,0))*INDEX(EF!$H$100:$H$115,MATCH(Emissions!$D84,EF!$D$100:$D$115,0))*INDEX(EF!$H$132:$H$147,MATCH(Emissions!$D84,EF!$D$132:$D$147,0))*kgtoGg</f>
        <v>0</v>
      </c>
      <c r="AU84" s="22">
        <f>INDEX('Activity data'!AU$24:AU$39,MATCH(Emissions!$D84,'Activity data'!$D$24:$D$39,0))*INDEX(EF!$H$84:$H$99,MATCH(Emissions!$D84,EF!$D$84:$D$99,0))*INDEX(EF!$H$100:$H$115,MATCH(Emissions!$D84,EF!$D$100:$D$115,0))*INDEX(EF!$H$132:$H$147,MATCH(Emissions!$D84,EF!$D$132:$D$147,0))*kgtoGg</f>
        <v>0</v>
      </c>
      <c r="AV84" s="22">
        <f>INDEX('Activity data'!AV$24:AV$39,MATCH(Emissions!$D84,'Activity data'!$D$24:$D$39,0))*INDEX(EF!$H$84:$H$99,MATCH(Emissions!$D84,EF!$D$84:$D$99,0))*INDEX(EF!$H$100:$H$115,MATCH(Emissions!$D84,EF!$D$100:$D$115,0))*INDEX(EF!$H$132:$H$147,MATCH(Emissions!$D84,EF!$D$132:$D$147,0))*kgtoGg</f>
        <v>0</v>
      </c>
      <c r="AW84" s="22">
        <f>INDEX('Activity data'!AW$24:AW$39,MATCH(Emissions!$D84,'Activity data'!$D$24:$D$39,0))*INDEX(EF!$H$84:$H$99,MATCH(Emissions!$D84,EF!$D$84:$D$99,0))*INDEX(EF!$H$100:$H$115,MATCH(Emissions!$D84,EF!$D$100:$D$115,0))*INDEX(EF!$H$132:$H$147,MATCH(Emissions!$D84,EF!$D$132:$D$147,0))*kgtoGg</f>
        <v>0</v>
      </c>
      <c r="AX84" s="22">
        <f>INDEX('Activity data'!AX$24:AX$39,MATCH(Emissions!$D84,'Activity data'!$D$24:$D$39,0))*INDEX(EF!$H$84:$H$99,MATCH(Emissions!$D84,EF!$D$84:$D$99,0))*INDEX(EF!$H$100:$H$115,MATCH(Emissions!$D84,EF!$D$100:$D$115,0))*INDEX(EF!$H$132:$H$147,MATCH(Emissions!$D84,EF!$D$132:$D$147,0))*kgtoGg</f>
        <v>0</v>
      </c>
      <c r="AY84" s="22">
        <f>INDEX('Activity data'!AY$24:AY$39,MATCH(Emissions!$D84,'Activity data'!$D$24:$D$39,0))*INDEX(EF!$H$84:$H$99,MATCH(Emissions!$D84,EF!$D$84:$D$99,0))*INDEX(EF!$H$100:$H$115,MATCH(Emissions!$D84,EF!$D$100:$D$115,0))*INDEX(EF!$H$132:$H$147,MATCH(Emissions!$D84,EF!$D$132:$D$147,0))*kgtoGg</f>
        <v>0</v>
      </c>
      <c r="AZ84" s="22">
        <f>INDEX('Activity data'!AZ$24:AZ$39,MATCH(Emissions!$D84,'Activity data'!$D$24:$D$39,0))*INDEX(EF!$H$84:$H$99,MATCH(Emissions!$D84,EF!$D$84:$D$99,0))*INDEX(EF!$H$100:$H$115,MATCH(Emissions!$D84,EF!$D$100:$D$115,0))*INDEX(EF!$H$132:$H$147,MATCH(Emissions!$D84,EF!$D$132:$D$147,0))*kgtoGg</f>
        <v>0</v>
      </c>
      <c r="BA84" s="22">
        <f>INDEX('Activity data'!BA$24:BA$39,MATCH(Emissions!$D84,'Activity data'!$D$24:$D$39,0))*INDEX(EF!$H$84:$H$99,MATCH(Emissions!$D84,EF!$D$84:$D$99,0))*INDEX(EF!$H$100:$H$115,MATCH(Emissions!$D84,EF!$D$100:$D$115,0))*INDEX(EF!$H$132:$H$147,MATCH(Emissions!$D84,EF!$D$132:$D$147,0))*kgtoGg</f>
        <v>0</v>
      </c>
      <c r="BB84" s="22">
        <f>INDEX('Activity data'!BB$24:BB$39,MATCH(Emissions!$D84,'Activity data'!$D$24:$D$39,0))*INDEX(EF!$H$84:$H$99,MATCH(Emissions!$D84,EF!$D$84:$D$99,0))*INDEX(EF!$H$100:$H$115,MATCH(Emissions!$D84,EF!$D$100:$D$115,0))*INDEX(EF!$H$132:$H$147,MATCH(Emissions!$D84,EF!$D$132:$D$147,0))*kgtoGg</f>
        <v>0</v>
      </c>
      <c r="BC84" s="22">
        <f>INDEX('Activity data'!BC$24:BC$39,MATCH(Emissions!$D84,'Activity data'!$D$24:$D$39,0))*INDEX(EF!$H$84:$H$99,MATCH(Emissions!$D84,EF!$D$84:$D$99,0))*INDEX(EF!$H$100:$H$115,MATCH(Emissions!$D84,EF!$D$100:$D$115,0))*INDEX(EF!$H$132:$H$147,MATCH(Emissions!$D84,EF!$D$132:$D$147,0))*kgtoGg</f>
        <v>0</v>
      </c>
      <c r="BD84" s="22">
        <f>INDEX('Activity data'!BD$24:BD$39,MATCH(Emissions!$D84,'Activity data'!$D$24:$D$39,0))*INDEX(EF!$H$84:$H$99,MATCH(Emissions!$D84,EF!$D$84:$D$99,0))*INDEX(EF!$H$100:$H$115,MATCH(Emissions!$D84,EF!$D$100:$D$115,0))*INDEX(EF!$H$132:$H$147,MATCH(Emissions!$D84,EF!$D$132:$D$147,0))*kgtoGg</f>
        <v>0</v>
      </c>
      <c r="BE84" s="22">
        <f>INDEX('Activity data'!BE$24:BE$39,MATCH(Emissions!$D84,'Activity data'!$D$24:$D$39,0))*INDEX(EF!$H$84:$H$99,MATCH(Emissions!$D84,EF!$D$84:$D$99,0))*INDEX(EF!$H$100:$H$115,MATCH(Emissions!$D84,EF!$D$100:$D$115,0))*INDEX(EF!$H$132:$H$147,MATCH(Emissions!$D84,EF!$D$132:$D$147,0))*kgtoGg</f>
        <v>0</v>
      </c>
      <c r="BF84" s="22">
        <f>INDEX('Activity data'!BF$24:BF$39,MATCH(Emissions!$D84,'Activity data'!$D$24:$D$39,0))*INDEX(EF!$H$84:$H$99,MATCH(Emissions!$D84,EF!$D$84:$D$99,0))*INDEX(EF!$H$100:$H$115,MATCH(Emissions!$D84,EF!$D$100:$D$115,0))*INDEX(EF!$H$132:$H$147,MATCH(Emissions!$D84,EF!$D$132:$D$147,0))*kgtoGg</f>
        <v>0</v>
      </c>
      <c r="BG84" s="22">
        <f>INDEX('Activity data'!BG$24:BG$39,MATCH(Emissions!$D84,'Activity data'!$D$24:$D$39,0))*INDEX(EF!$H$84:$H$99,MATCH(Emissions!$D84,EF!$D$84:$D$99,0))*INDEX(EF!$H$100:$H$115,MATCH(Emissions!$D84,EF!$D$100:$D$115,0))*INDEX(EF!$H$132:$H$147,MATCH(Emissions!$D84,EF!$D$132:$D$147,0))*kgtoGg</f>
        <v>0</v>
      </c>
      <c r="BH84" s="22">
        <f>INDEX('Activity data'!BH$24:BH$39,MATCH(Emissions!$D84,'Activity data'!$D$24:$D$39,0))*INDEX(EF!$H$84:$H$99,MATCH(Emissions!$D84,EF!$D$84:$D$99,0))*INDEX(EF!$H$100:$H$115,MATCH(Emissions!$D84,EF!$D$100:$D$115,0))*INDEX(EF!$H$132:$H$147,MATCH(Emissions!$D84,EF!$D$132:$D$147,0))*kgtoGg</f>
        <v>0</v>
      </c>
      <c r="BI84" s="22">
        <f>INDEX('Activity data'!BI$24:BI$39,MATCH(Emissions!$D84,'Activity data'!$D$24:$D$39,0))*INDEX(EF!$H$84:$H$99,MATCH(Emissions!$D84,EF!$D$84:$D$99,0))*INDEX(EF!$H$100:$H$115,MATCH(Emissions!$D84,EF!$D$100:$D$115,0))*INDEX(EF!$H$132:$H$147,MATCH(Emissions!$D84,EF!$D$132:$D$147,0))*kgtoGg</f>
        <v>0</v>
      </c>
      <c r="BJ84" s="22">
        <f>INDEX('Activity data'!BJ$24:BJ$39,MATCH(Emissions!$D84,'Activity data'!$D$24:$D$39,0))*INDEX(EF!$H$84:$H$99,MATCH(Emissions!$D84,EF!$D$84:$D$99,0))*INDEX(EF!$H$100:$H$115,MATCH(Emissions!$D84,EF!$D$100:$D$115,0))*INDEX(EF!$H$132:$H$147,MATCH(Emissions!$D84,EF!$D$132:$D$147,0))*kgtoGg</f>
        <v>0</v>
      </c>
      <c r="BK84" s="22">
        <f>INDEX('Activity data'!BK$24:BK$39,MATCH(Emissions!$D84,'Activity data'!$D$24:$D$39,0))*INDEX(EF!$H$84:$H$99,MATCH(Emissions!$D84,EF!$D$84:$D$99,0))*INDEX(EF!$H$100:$H$115,MATCH(Emissions!$D84,EF!$D$100:$D$115,0))*INDEX(EF!$H$132:$H$147,MATCH(Emissions!$D84,EF!$D$132:$D$147,0))*kgtoGg</f>
        <v>0</v>
      </c>
      <c r="BL84" s="22">
        <f>INDEX('Activity data'!BL$24:BL$39,MATCH(Emissions!$D84,'Activity data'!$D$24:$D$39,0))*INDEX(EF!$H$84:$H$99,MATCH(Emissions!$D84,EF!$D$84:$D$99,0))*INDEX(EF!$H$100:$H$115,MATCH(Emissions!$D84,EF!$D$100:$D$115,0))*INDEX(EF!$H$132:$H$147,MATCH(Emissions!$D84,EF!$D$132:$D$147,0))*kgtoGg</f>
        <v>0</v>
      </c>
      <c r="BM84" s="22">
        <f>INDEX('Activity data'!BM$24:BM$39,MATCH(Emissions!$D84,'Activity data'!$D$24:$D$39,0))*INDEX(EF!$H$84:$H$99,MATCH(Emissions!$D84,EF!$D$84:$D$99,0))*INDEX(EF!$H$100:$H$115,MATCH(Emissions!$D84,EF!$D$100:$D$115,0))*INDEX(EF!$H$132:$H$147,MATCH(Emissions!$D84,EF!$D$132:$D$147,0))*kgtoGg</f>
        <v>0</v>
      </c>
      <c r="BN84" s="22">
        <f>INDEX('Activity data'!BN$24:BN$39,MATCH(Emissions!$D84,'Activity data'!$D$24:$D$39,0))*INDEX(EF!$H$84:$H$99,MATCH(Emissions!$D84,EF!$D$84:$D$99,0))*INDEX(EF!$H$100:$H$115,MATCH(Emissions!$D84,EF!$D$100:$D$115,0))*INDEX(EF!$H$132:$H$147,MATCH(Emissions!$D84,EF!$D$132:$D$147,0))*kgtoGg</f>
        <v>0</v>
      </c>
      <c r="BO84" s="22">
        <f>INDEX('Activity data'!BO$24:BO$39,MATCH(Emissions!$D84,'Activity data'!$D$24:$D$39,0))*INDEX(EF!$H$84:$H$99,MATCH(Emissions!$D84,EF!$D$84:$D$99,0))*INDEX(EF!$H$100:$H$115,MATCH(Emissions!$D84,EF!$D$100:$D$115,0))*INDEX(EF!$H$132:$H$147,MATCH(Emissions!$D84,EF!$D$132:$D$147,0))*kgtoGg</f>
        <v>0</v>
      </c>
      <c r="BP84" s="22">
        <f>INDEX('Activity data'!BP$24:BP$39,MATCH(Emissions!$D84,'Activity data'!$D$24:$D$39,0))*INDEX(EF!$H$84:$H$99,MATCH(Emissions!$D84,EF!$D$84:$D$99,0))*INDEX(EF!$H$100:$H$115,MATCH(Emissions!$D84,EF!$D$100:$D$115,0))*INDEX(EF!$H$132:$H$147,MATCH(Emissions!$D84,EF!$D$132:$D$147,0))*kgtoGg</f>
        <v>0</v>
      </c>
    </row>
    <row r="85" spans="1:68" x14ac:dyDescent="0.3">
      <c r="A85" t="str">
        <f t="shared" si="19"/>
        <v>3C Aggregated and non-CO2 emissions on land</v>
      </c>
      <c r="B85" t="str">
        <f t="shared" si="26"/>
        <v>3C1 Biomass burning (N2O)</v>
      </c>
      <c r="C85" t="str">
        <f t="shared" si="25"/>
        <v>3C1f Biomass burning in Other lands</v>
      </c>
      <c r="D85" t="str">
        <f>EF!D115</f>
        <v>Bare ground</v>
      </c>
      <c r="E85" t="s">
        <v>655</v>
      </c>
      <c r="F85" t="str">
        <f t="shared" si="27"/>
        <v>N2O</v>
      </c>
      <c r="G85" t="str">
        <f t="shared" si="28"/>
        <v>Gg N2O</v>
      </c>
      <c r="H85" s="22">
        <f>INDEX('Activity data'!H$24:H$39,MATCH(Emissions!$D85,'Activity data'!$D$24:$D$39,0))*INDEX(EF!$H$84:$H$99,MATCH(Emissions!$D85,EF!$D$84:$D$99,0))*INDEX(EF!$H$100:$H$115,MATCH(Emissions!$D85,EF!$D$100:$D$115,0))*INDEX(EF!$H$132:$H$147,MATCH(Emissions!$D85,EF!$D$132:$D$147,0))*kgtoGg</f>
        <v>0</v>
      </c>
      <c r="I85" s="22">
        <f>INDEX('Activity data'!I$24:I$39,MATCH(Emissions!$D85,'Activity data'!$D$24:$D$39,0))*INDEX(EF!$H$84:$H$99,MATCH(Emissions!$D85,EF!$D$84:$D$99,0))*INDEX(EF!$H$100:$H$115,MATCH(Emissions!$D85,EF!$D$100:$D$115,0))*INDEX(EF!$H$132:$H$147,MATCH(Emissions!$D85,EF!$D$132:$D$147,0))*kgtoGg</f>
        <v>0</v>
      </c>
      <c r="J85" s="22">
        <f>INDEX('Activity data'!J$24:J$39,MATCH(Emissions!$D85,'Activity data'!$D$24:$D$39,0))*INDEX(EF!$H$84:$H$99,MATCH(Emissions!$D85,EF!$D$84:$D$99,0))*INDEX(EF!$H$100:$H$115,MATCH(Emissions!$D85,EF!$D$100:$D$115,0))*INDEX(EF!$H$132:$H$147,MATCH(Emissions!$D85,EF!$D$132:$D$147,0))*kgtoGg</f>
        <v>0</v>
      </c>
      <c r="K85" s="22">
        <f>INDEX('Activity data'!K$24:K$39,MATCH(Emissions!$D85,'Activity data'!$D$24:$D$39,0))*INDEX(EF!$H$84:$H$99,MATCH(Emissions!$D85,EF!$D$84:$D$99,0))*INDEX(EF!$H$100:$H$115,MATCH(Emissions!$D85,EF!$D$100:$D$115,0))*INDEX(EF!$H$132:$H$147,MATCH(Emissions!$D85,EF!$D$132:$D$147,0))*kgtoGg</f>
        <v>0</v>
      </c>
      <c r="L85" s="22">
        <f>INDEX('Activity data'!L$24:L$39,MATCH(Emissions!$D85,'Activity data'!$D$24:$D$39,0))*INDEX(EF!$H$84:$H$99,MATCH(Emissions!$D85,EF!$D$84:$D$99,0))*INDEX(EF!$H$100:$H$115,MATCH(Emissions!$D85,EF!$D$100:$D$115,0))*INDEX(EF!$H$132:$H$147,MATCH(Emissions!$D85,EF!$D$132:$D$147,0))*kgtoGg</f>
        <v>0</v>
      </c>
      <c r="M85" s="22">
        <f>INDEX('Activity data'!M$24:M$39,MATCH(Emissions!$D85,'Activity data'!$D$24:$D$39,0))*INDEX(EF!$H$84:$H$99,MATCH(Emissions!$D85,EF!$D$84:$D$99,0))*INDEX(EF!$H$100:$H$115,MATCH(Emissions!$D85,EF!$D$100:$D$115,0))*INDEX(EF!$H$132:$H$147,MATCH(Emissions!$D85,EF!$D$132:$D$147,0))*kgtoGg</f>
        <v>0</v>
      </c>
      <c r="N85" s="22">
        <f>INDEX('Activity data'!N$24:N$39,MATCH(Emissions!$D85,'Activity data'!$D$24:$D$39,0))*INDEX(EF!$H$84:$H$99,MATCH(Emissions!$D85,EF!$D$84:$D$99,0))*INDEX(EF!$H$100:$H$115,MATCH(Emissions!$D85,EF!$D$100:$D$115,0))*INDEX(EF!$H$132:$H$147,MATCH(Emissions!$D85,EF!$D$132:$D$147,0))*kgtoGg</f>
        <v>0</v>
      </c>
      <c r="O85" s="22">
        <f>INDEX('Activity data'!O$24:O$39,MATCH(Emissions!$D85,'Activity data'!$D$24:$D$39,0))*INDEX(EF!$H$84:$H$99,MATCH(Emissions!$D85,EF!$D$84:$D$99,0))*INDEX(EF!$H$100:$H$115,MATCH(Emissions!$D85,EF!$D$100:$D$115,0))*INDEX(EF!$H$132:$H$147,MATCH(Emissions!$D85,EF!$D$132:$D$147,0))*kgtoGg</f>
        <v>0</v>
      </c>
      <c r="P85" s="22">
        <f>INDEX('Activity data'!P$24:P$39,MATCH(Emissions!$D85,'Activity data'!$D$24:$D$39,0))*INDEX(EF!$H$84:$H$99,MATCH(Emissions!$D85,EF!$D$84:$D$99,0))*INDEX(EF!$H$100:$H$115,MATCH(Emissions!$D85,EF!$D$100:$D$115,0))*INDEX(EF!$H$132:$H$147,MATCH(Emissions!$D85,EF!$D$132:$D$147,0))*kgtoGg</f>
        <v>0</v>
      </c>
      <c r="Q85" s="22">
        <f>INDEX('Activity data'!Q$24:Q$39,MATCH(Emissions!$D85,'Activity data'!$D$24:$D$39,0))*INDEX(EF!$H$84:$H$99,MATCH(Emissions!$D85,EF!$D$84:$D$99,0))*INDEX(EF!$H$100:$H$115,MATCH(Emissions!$D85,EF!$D$100:$D$115,0))*INDEX(EF!$H$132:$H$147,MATCH(Emissions!$D85,EF!$D$132:$D$147,0))*kgtoGg</f>
        <v>0</v>
      </c>
      <c r="R85" s="22">
        <f>INDEX('Activity data'!R$24:R$39,MATCH(Emissions!$D85,'Activity data'!$D$24:$D$39,0))*INDEX(EF!$H$84:$H$99,MATCH(Emissions!$D85,EF!$D$84:$D$99,0))*INDEX(EF!$H$100:$H$115,MATCH(Emissions!$D85,EF!$D$100:$D$115,0))*INDEX(EF!$H$132:$H$147,MATCH(Emissions!$D85,EF!$D$132:$D$147,0))*kgtoGg</f>
        <v>0</v>
      </c>
      <c r="S85" s="22">
        <f>INDEX('Activity data'!S$24:S$39,MATCH(Emissions!$D85,'Activity data'!$D$24:$D$39,0))*INDEX(EF!$H$84:$H$99,MATCH(Emissions!$D85,EF!$D$84:$D$99,0))*INDEX(EF!$H$100:$H$115,MATCH(Emissions!$D85,EF!$D$100:$D$115,0))*INDEX(EF!$H$132:$H$147,MATCH(Emissions!$D85,EF!$D$132:$D$147,0))*kgtoGg</f>
        <v>0</v>
      </c>
      <c r="T85" s="22">
        <f>INDEX('Activity data'!T$24:T$39,MATCH(Emissions!$D85,'Activity data'!$D$24:$D$39,0))*INDEX(EF!$H$84:$H$99,MATCH(Emissions!$D85,EF!$D$84:$D$99,0))*INDEX(EF!$H$100:$H$115,MATCH(Emissions!$D85,EF!$D$100:$D$115,0))*INDEX(EF!$H$132:$H$147,MATCH(Emissions!$D85,EF!$D$132:$D$147,0))*kgtoGg</f>
        <v>0</v>
      </c>
      <c r="U85" s="22">
        <f>INDEX('Activity data'!U$24:U$39,MATCH(Emissions!$D85,'Activity data'!$D$24:$D$39,0))*INDEX(EF!$H$84:$H$99,MATCH(Emissions!$D85,EF!$D$84:$D$99,0))*INDEX(EF!$H$100:$H$115,MATCH(Emissions!$D85,EF!$D$100:$D$115,0))*INDEX(EF!$H$132:$H$147,MATCH(Emissions!$D85,EF!$D$132:$D$147,0))*kgtoGg</f>
        <v>0</v>
      </c>
      <c r="V85" s="22">
        <f>INDEX('Activity data'!V$24:V$39,MATCH(Emissions!$D85,'Activity data'!$D$24:$D$39,0))*INDEX(EF!$H$84:$H$99,MATCH(Emissions!$D85,EF!$D$84:$D$99,0))*INDEX(EF!$H$100:$H$115,MATCH(Emissions!$D85,EF!$D$100:$D$115,0))*INDEX(EF!$H$132:$H$147,MATCH(Emissions!$D85,EF!$D$132:$D$147,0))*kgtoGg</f>
        <v>0</v>
      </c>
      <c r="W85" s="22">
        <f>INDEX('Activity data'!W$24:W$39,MATCH(Emissions!$D85,'Activity data'!$D$24:$D$39,0))*INDEX(EF!$H$84:$H$99,MATCH(Emissions!$D85,EF!$D$84:$D$99,0))*INDEX(EF!$H$100:$H$115,MATCH(Emissions!$D85,EF!$D$100:$D$115,0))*INDEX(EF!$H$132:$H$147,MATCH(Emissions!$D85,EF!$D$132:$D$147,0))*kgtoGg</f>
        <v>0</v>
      </c>
      <c r="X85" s="22">
        <f>INDEX('Activity data'!X$24:X$39,MATCH(Emissions!$D85,'Activity data'!$D$24:$D$39,0))*INDEX(EF!$H$84:$H$99,MATCH(Emissions!$D85,EF!$D$84:$D$99,0))*INDEX(EF!$H$100:$H$115,MATCH(Emissions!$D85,EF!$D$100:$D$115,0))*INDEX(EF!$H$132:$H$147,MATCH(Emissions!$D85,EF!$D$132:$D$147,0))*kgtoGg</f>
        <v>0</v>
      </c>
      <c r="Y85" s="22">
        <f>INDEX('Activity data'!Y$24:Y$39,MATCH(Emissions!$D85,'Activity data'!$D$24:$D$39,0))*INDEX(EF!$H$84:$H$99,MATCH(Emissions!$D85,EF!$D$84:$D$99,0))*INDEX(EF!$H$100:$H$115,MATCH(Emissions!$D85,EF!$D$100:$D$115,0))*INDEX(EF!$H$132:$H$147,MATCH(Emissions!$D85,EF!$D$132:$D$147,0))*kgtoGg</f>
        <v>0</v>
      </c>
      <c r="Z85" s="22">
        <f>INDEX('Activity data'!Z$24:Z$39,MATCH(Emissions!$D85,'Activity data'!$D$24:$D$39,0))*INDEX(EF!$H$84:$H$99,MATCH(Emissions!$D85,EF!$D$84:$D$99,0))*INDEX(EF!$H$100:$H$115,MATCH(Emissions!$D85,EF!$D$100:$D$115,0))*INDEX(EF!$H$132:$H$147,MATCH(Emissions!$D85,EF!$D$132:$D$147,0))*kgtoGg</f>
        <v>0</v>
      </c>
      <c r="AA85" s="22">
        <f>INDEX('Activity data'!AA$24:AA$39,MATCH(Emissions!$D85,'Activity data'!$D$24:$D$39,0))*INDEX(EF!$H$84:$H$99,MATCH(Emissions!$D85,EF!$D$84:$D$99,0))*INDEX(EF!$H$100:$H$115,MATCH(Emissions!$D85,EF!$D$100:$D$115,0))*INDEX(EF!$H$132:$H$147,MATCH(Emissions!$D85,EF!$D$132:$D$147,0))*kgtoGg</f>
        <v>0</v>
      </c>
      <c r="AB85" s="22">
        <f>INDEX('Activity data'!AB$24:AB$39,MATCH(Emissions!$D85,'Activity data'!$D$24:$D$39,0))*INDEX(EF!$H$84:$H$99,MATCH(Emissions!$D85,EF!$D$84:$D$99,0))*INDEX(EF!$H$100:$H$115,MATCH(Emissions!$D85,EF!$D$100:$D$115,0))*INDEX(EF!$H$132:$H$147,MATCH(Emissions!$D85,EF!$D$132:$D$147,0))*kgtoGg</f>
        <v>0</v>
      </c>
      <c r="AC85" s="22">
        <f>INDEX('Activity data'!AC$24:AC$39,MATCH(Emissions!$D85,'Activity data'!$D$24:$D$39,0))*INDEX(EF!$H$84:$H$99,MATCH(Emissions!$D85,EF!$D$84:$D$99,0))*INDEX(EF!$H$100:$H$115,MATCH(Emissions!$D85,EF!$D$100:$D$115,0))*INDEX(EF!$H$132:$H$147,MATCH(Emissions!$D85,EF!$D$132:$D$147,0))*kgtoGg</f>
        <v>0</v>
      </c>
      <c r="AD85" s="22">
        <f>INDEX('Activity data'!AD$24:AD$39,MATCH(Emissions!$D85,'Activity data'!$D$24:$D$39,0))*INDEX(EF!$H$84:$H$99,MATCH(Emissions!$D85,EF!$D$84:$D$99,0))*INDEX(EF!$H$100:$H$115,MATCH(Emissions!$D85,EF!$D$100:$D$115,0))*INDEX(EF!$H$132:$H$147,MATCH(Emissions!$D85,EF!$D$132:$D$147,0))*kgtoGg</f>
        <v>0</v>
      </c>
      <c r="AE85" s="22">
        <f>INDEX('Activity data'!AE$24:AE$39,MATCH(Emissions!$D85,'Activity data'!$D$24:$D$39,0))*INDEX(EF!$H$84:$H$99,MATCH(Emissions!$D85,EF!$D$84:$D$99,0))*INDEX(EF!$H$100:$H$115,MATCH(Emissions!$D85,EF!$D$100:$D$115,0))*INDEX(EF!$H$132:$H$147,MATCH(Emissions!$D85,EF!$D$132:$D$147,0))*kgtoGg</f>
        <v>0</v>
      </c>
      <c r="AF85" s="22">
        <f>INDEX('Activity data'!AF$24:AF$39,MATCH(Emissions!$D85,'Activity data'!$D$24:$D$39,0))*INDEX(EF!$H$84:$H$99,MATCH(Emissions!$D85,EF!$D$84:$D$99,0))*INDEX(EF!$H$100:$H$115,MATCH(Emissions!$D85,EF!$D$100:$D$115,0))*INDEX(EF!$H$132:$H$147,MATCH(Emissions!$D85,EF!$D$132:$D$147,0))*kgtoGg</f>
        <v>0</v>
      </c>
      <c r="AG85" s="22">
        <f>INDEX('Activity data'!AG$24:AG$39,MATCH(Emissions!$D85,'Activity data'!$D$24:$D$39,0))*INDEX(EF!$H$84:$H$99,MATCH(Emissions!$D85,EF!$D$84:$D$99,0))*INDEX(EF!$H$100:$H$115,MATCH(Emissions!$D85,EF!$D$100:$D$115,0))*INDEX(EF!$H$132:$H$147,MATCH(Emissions!$D85,EF!$D$132:$D$147,0))*kgtoGg</f>
        <v>0</v>
      </c>
      <c r="AH85" s="22">
        <f>INDEX('Activity data'!AH$24:AH$39,MATCH(Emissions!$D85,'Activity data'!$D$24:$D$39,0))*INDEX(EF!$H$84:$H$99,MATCH(Emissions!$D85,EF!$D$84:$D$99,0))*INDEX(EF!$H$100:$H$115,MATCH(Emissions!$D85,EF!$D$100:$D$115,0))*INDEX(EF!$H$132:$H$147,MATCH(Emissions!$D85,EF!$D$132:$D$147,0))*kgtoGg</f>
        <v>0</v>
      </c>
      <c r="AI85" s="22">
        <f>INDEX('Activity data'!AI$24:AI$39,MATCH(Emissions!$D85,'Activity data'!$D$24:$D$39,0))*INDEX(EF!$H$84:$H$99,MATCH(Emissions!$D85,EF!$D$84:$D$99,0))*INDEX(EF!$H$100:$H$115,MATCH(Emissions!$D85,EF!$D$100:$D$115,0))*INDEX(EF!$H$132:$H$147,MATCH(Emissions!$D85,EF!$D$132:$D$147,0))*kgtoGg</f>
        <v>0</v>
      </c>
      <c r="AJ85" s="22">
        <f>INDEX('Activity data'!AJ$24:AJ$39,MATCH(Emissions!$D85,'Activity data'!$D$24:$D$39,0))*INDEX(EF!$H$84:$H$99,MATCH(Emissions!$D85,EF!$D$84:$D$99,0))*INDEX(EF!$H$100:$H$115,MATCH(Emissions!$D85,EF!$D$100:$D$115,0))*INDEX(EF!$H$132:$H$147,MATCH(Emissions!$D85,EF!$D$132:$D$147,0))*kgtoGg</f>
        <v>0</v>
      </c>
      <c r="AK85" s="22">
        <f>INDEX('Activity data'!AK$24:AK$39,MATCH(Emissions!$D85,'Activity data'!$D$24:$D$39,0))*INDEX(EF!$H$84:$H$99,MATCH(Emissions!$D85,EF!$D$84:$D$99,0))*INDEX(EF!$H$100:$H$115,MATCH(Emissions!$D85,EF!$D$100:$D$115,0))*INDEX(EF!$H$132:$H$147,MATCH(Emissions!$D85,EF!$D$132:$D$147,0))*kgtoGg</f>
        <v>0</v>
      </c>
      <c r="AL85" s="22">
        <f>INDEX('Activity data'!AL$24:AL$39,MATCH(Emissions!$D85,'Activity data'!$D$24:$D$39,0))*INDEX(EF!$H$84:$H$99,MATCH(Emissions!$D85,EF!$D$84:$D$99,0))*INDEX(EF!$H$100:$H$115,MATCH(Emissions!$D85,EF!$D$100:$D$115,0))*INDEX(EF!$H$132:$H$147,MATCH(Emissions!$D85,EF!$D$132:$D$147,0))*kgtoGg</f>
        <v>0</v>
      </c>
      <c r="AM85" s="22">
        <f>INDEX('Activity data'!AM$24:AM$39,MATCH(Emissions!$D85,'Activity data'!$D$24:$D$39,0))*INDEX(EF!$H$84:$H$99,MATCH(Emissions!$D85,EF!$D$84:$D$99,0))*INDEX(EF!$H$100:$H$115,MATCH(Emissions!$D85,EF!$D$100:$D$115,0))*INDEX(EF!$H$132:$H$147,MATCH(Emissions!$D85,EF!$D$132:$D$147,0))*kgtoGg</f>
        <v>0</v>
      </c>
      <c r="AN85" s="22">
        <f>INDEX('Activity data'!AN$24:AN$39,MATCH(Emissions!$D85,'Activity data'!$D$24:$D$39,0))*INDEX(EF!$H$84:$H$99,MATCH(Emissions!$D85,EF!$D$84:$D$99,0))*INDEX(EF!$H$100:$H$115,MATCH(Emissions!$D85,EF!$D$100:$D$115,0))*INDEX(EF!$H$132:$H$147,MATCH(Emissions!$D85,EF!$D$132:$D$147,0))*kgtoGg</f>
        <v>0</v>
      </c>
      <c r="AO85" s="22">
        <f>INDEX('Activity data'!AO$24:AO$39,MATCH(Emissions!$D85,'Activity data'!$D$24:$D$39,0))*INDEX(EF!$H$84:$H$99,MATCH(Emissions!$D85,EF!$D$84:$D$99,0))*INDEX(EF!$H$100:$H$115,MATCH(Emissions!$D85,EF!$D$100:$D$115,0))*INDEX(EF!$H$132:$H$147,MATCH(Emissions!$D85,EF!$D$132:$D$147,0))*kgtoGg</f>
        <v>0</v>
      </c>
      <c r="AP85" s="22">
        <f>INDEX('Activity data'!AP$24:AP$39,MATCH(Emissions!$D85,'Activity data'!$D$24:$D$39,0))*INDEX(EF!$H$84:$H$99,MATCH(Emissions!$D85,EF!$D$84:$D$99,0))*INDEX(EF!$H$100:$H$115,MATCH(Emissions!$D85,EF!$D$100:$D$115,0))*INDEX(EF!$H$132:$H$147,MATCH(Emissions!$D85,EF!$D$132:$D$147,0))*kgtoGg</f>
        <v>0</v>
      </c>
      <c r="AQ85" s="22">
        <f>INDEX('Activity data'!AQ$24:AQ$39,MATCH(Emissions!$D85,'Activity data'!$D$24:$D$39,0))*INDEX(EF!$H$84:$H$99,MATCH(Emissions!$D85,EF!$D$84:$D$99,0))*INDEX(EF!$H$100:$H$115,MATCH(Emissions!$D85,EF!$D$100:$D$115,0))*INDEX(EF!$H$132:$H$147,MATCH(Emissions!$D85,EF!$D$132:$D$147,0))*kgtoGg</f>
        <v>0</v>
      </c>
      <c r="AR85" s="22">
        <f>INDEX('Activity data'!AR$24:AR$39,MATCH(Emissions!$D85,'Activity data'!$D$24:$D$39,0))*INDEX(EF!$H$84:$H$99,MATCH(Emissions!$D85,EF!$D$84:$D$99,0))*INDEX(EF!$H$100:$H$115,MATCH(Emissions!$D85,EF!$D$100:$D$115,0))*INDEX(EF!$H$132:$H$147,MATCH(Emissions!$D85,EF!$D$132:$D$147,0))*kgtoGg</f>
        <v>0</v>
      </c>
      <c r="AS85" s="22">
        <f>INDEX('Activity data'!AS$24:AS$39,MATCH(Emissions!$D85,'Activity data'!$D$24:$D$39,0))*INDEX(EF!$H$84:$H$99,MATCH(Emissions!$D85,EF!$D$84:$D$99,0))*INDEX(EF!$H$100:$H$115,MATCH(Emissions!$D85,EF!$D$100:$D$115,0))*INDEX(EF!$H$132:$H$147,MATCH(Emissions!$D85,EF!$D$132:$D$147,0))*kgtoGg</f>
        <v>0</v>
      </c>
      <c r="AT85" s="22">
        <f>INDEX('Activity data'!AT$24:AT$39,MATCH(Emissions!$D85,'Activity data'!$D$24:$D$39,0))*INDEX(EF!$H$84:$H$99,MATCH(Emissions!$D85,EF!$D$84:$D$99,0))*INDEX(EF!$H$100:$H$115,MATCH(Emissions!$D85,EF!$D$100:$D$115,0))*INDEX(EF!$H$132:$H$147,MATCH(Emissions!$D85,EF!$D$132:$D$147,0))*kgtoGg</f>
        <v>0</v>
      </c>
      <c r="AU85" s="22">
        <f>INDEX('Activity data'!AU$24:AU$39,MATCH(Emissions!$D85,'Activity data'!$D$24:$D$39,0))*INDEX(EF!$H$84:$H$99,MATCH(Emissions!$D85,EF!$D$84:$D$99,0))*INDEX(EF!$H$100:$H$115,MATCH(Emissions!$D85,EF!$D$100:$D$115,0))*INDEX(EF!$H$132:$H$147,MATCH(Emissions!$D85,EF!$D$132:$D$147,0))*kgtoGg</f>
        <v>0</v>
      </c>
      <c r="AV85" s="22">
        <f>INDEX('Activity data'!AV$24:AV$39,MATCH(Emissions!$D85,'Activity data'!$D$24:$D$39,0))*INDEX(EF!$H$84:$H$99,MATCH(Emissions!$D85,EF!$D$84:$D$99,0))*INDEX(EF!$H$100:$H$115,MATCH(Emissions!$D85,EF!$D$100:$D$115,0))*INDEX(EF!$H$132:$H$147,MATCH(Emissions!$D85,EF!$D$132:$D$147,0))*kgtoGg</f>
        <v>0</v>
      </c>
      <c r="AW85" s="22">
        <f>INDEX('Activity data'!AW$24:AW$39,MATCH(Emissions!$D85,'Activity data'!$D$24:$D$39,0))*INDEX(EF!$H$84:$H$99,MATCH(Emissions!$D85,EF!$D$84:$D$99,0))*INDEX(EF!$H$100:$H$115,MATCH(Emissions!$D85,EF!$D$100:$D$115,0))*INDEX(EF!$H$132:$H$147,MATCH(Emissions!$D85,EF!$D$132:$D$147,0))*kgtoGg</f>
        <v>0</v>
      </c>
      <c r="AX85" s="22">
        <f>INDEX('Activity data'!AX$24:AX$39,MATCH(Emissions!$D85,'Activity data'!$D$24:$D$39,0))*INDEX(EF!$H$84:$H$99,MATCH(Emissions!$D85,EF!$D$84:$D$99,0))*INDEX(EF!$H$100:$H$115,MATCH(Emissions!$D85,EF!$D$100:$D$115,0))*INDEX(EF!$H$132:$H$147,MATCH(Emissions!$D85,EF!$D$132:$D$147,0))*kgtoGg</f>
        <v>0</v>
      </c>
      <c r="AY85" s="22">
        <f>INDEX('Activity data'!AY$24:AY$39,MATCH(Emissions!$D85,'Activity data'!$D$24:$D$39,0))*INDEX(EF!$H$84:$H$99,MATCH(Emissions!$D85,EF!$D$84:$D$99,0))*INDEX(EF!$H$100:$H$115,MATCH(Emissions!$D85,EF!$D$100:$D$115,0))*INDEX(EF!$H$132:$H$147,MATCH(Emissions!$D85,EF!$D$132:$D$147,0))*kgtoGg</f>
        <v>0</v>
      </c>
      <c r="AZ85" s="22">
        <f>INDEX('Activity data'!AZ$24:AZ$39,MATCH(Emissions!$D85,'Activity data'!$D$24:$D$39,0))*INDEX(EF!$H$84:$H$99,MATCH(Emissions!$D85,EF!$D$84:$D$99,0))*INDEX(EF!$H$100:$H$115,MATCH(Emissions!$D85,EF!$D$100:$D$115,0))*INDEX(EF!$H$132:$H$147,MATCH(Emissions!$D85,EF!$D$132:$D$147,0))*kgtoGg</f>
        <v>0</v>
      </c>
      <c r="BA85" s="22">
        <f>INDEX('Activity data'!BA$24:BA$39,MATCH(Emissions!$D85,'Activity data'!$D$24:$D$39,0))*INDEX(EF!$H$84:$H$99,MATCH(Emissions!$D85,EF!$D$84:$D$99,0))*INDEX(EF!$H$100:$H$115,MATCH(Emissions!$D85,EF!$D$100:$D$115,0))*INDEX(EF!$H$132:$H$147,MATCH(Emissions!$D85,EF!$D$132:$D$147,0))*kgtoGg</f>
        <v>0</v>
      </c>
      <c r="BB85" s="22">
        <f>INDEX('Activity data'!BB$24:BB$39,MATCH(Emissions!$D85,'Activity data'!$D$24:$D$39,0))*INDEX(EF!$H$84:$H$99,MATCH(Emissions!$D85,EF!$D$84:$D$99,0))*INDEX(EF!$H$100:$H$115,MATCH(Emissions!$D85,EF!$D$100:$D$115,0))*INDEX(EF!$H$132:$H$147,MATCH(Emissions!$D85,EF!$D$132:$D$147,0))*kgtoGg</f>
        <v>0</v>
      </c>
      <c r="BC85" s="22">
        <f>INDEX('Activity data'!BC$24:BC$39,MATCH(Emissions!$D85,'Activity data'!$D$24:$D$39,0))*INDEX(EF!$H$84:$H$99,MATCH(Emissions!$D85,EF!$D$84:$D$99,0))*INDEX(EF!$H$100:$H$115,MATCH(Emissions!$D85,EF!$D$100:$D$115,0))*INDEX(EF!$H$132:$H$147,MATCH(Emissions!$D85,EF!$D$132:$D$147,0))*kgtoGg</f>
        <v>0</v>
      </c>
      <c r="BD85" s="22">
        <f>INDEX('Activity data'!BD$24:BD$39,MATCH(Emissions!$D85,'Activity data'!$D$24:$D$39,0))*INDEX(EF!$H$84:$H$99,MATCH(Emissions!$D85,EF!$D$84:$D$99,0))*INDEX(EF!$H$100:$H$115,MATCH(Emissions!$D85,EF!$D$100:$D$115,0))*INDEX(EF!$H$132:$H$147,MATCH(Emissions!$D85,EF!$D$132:$D$147,0))*kgtoGg</f>
        <v>0</v>
      </c>
      <c r="BE85" s="22">
        <f>INDEX('Activity data'!BE$24:BE$39,MATCH(Emissions!$D85,'Activity data'!$D$24:$D$39,0))*INDEX(EF!$H$84:$H$99,MATCH(Emissions!$D85,EF!$D$84:$D$99,0))*INDEX(EF!$H$100:$H$115,MATCH(Emissions!$D85,EF!$D$100:$D$115,0))*INDEX(EF!$H$132:$H$147,MATCH(Emissions!$D85,EF!$D$132:$D$147,0))*kgtoGg</f>
        <v>0</v>
      </c>
      <c r="BF85" s="22">
        <f>INDEX('Activity data'!BF$24:BF$39,MATCH(Emissions!$D85,'Activity data'!$D$24:$D$39,0))*INDEX(EF!$H$84:$H$99,MATCH(Emissions!$D85,EF!$D$84:$D$99,0))*INDEX(EF!$H$100:$H$115,MATCH(Emissions!$D85,EF!$D$100:$D$115,0))*INDEX(EF!$H$132:$H$147,MATCH(Emissions!$D85,EF!$D$132:$D$147,0))*kgtoGg</f>
        <v>0</v>
      </c>
      <c r="BG85" s="22">
        <f>INDEX('Activity data'!BG$24:BG$39,MATCH(Emissions!$D85,'Activity data'!$D$24:$D$39,0))*INDEX(EF!$H$84:$H$99,MATCH(Emissions!$D85,EF!$D$84:$D$99,0))*INDEX(EF!$H$100:$H$115,MATCH(Emissions!$D85,EF!$D$100:$D$115,0))*INDEX(EF!$H$132:$H$147,MATCH(Emissions!$D85,EF!$D$132:$D$147,0))*kgtoGg</f>
        <v>0</v>
      </c>
      <c r="BH85" s="22">
        <f>INDEX('Activity data'!BH$24:BH$39,MATCH(Emissions!$D85,'Activity data'!$D$24:$D$39,0))*INDEX(EF!$H$84:$H$99,MATCH(Emissions!$D85,EF!$D$84:$D$99,0))*INDEX(EF!$H$100:$H$115,MATCH(Emissions!$D85,EF!$D$100:$D$115,0))*INDEX(EF!$H$132:$H$147,MATCH(Emissions!$D85,EF!$D$132:$D$147,0))*kgtoGg</f>
        <v>0</v>
      </c>
      <c r="BI85" s="22">
        <f>INDEX('Activity data'!BI$24:BI$39,MATCH(Emissions!$D85,'Activity data'!$D$24:$D$39,0))*INDEX(EF!$H$84:$H$99,MATCH(Emissions!$D85,EF!$D$84:$D$99,0))*INDEX(EF!$H$100:$H$115,MATCH(Emissions!$D85,EF!$D$100:$D$115,0))*INDEX(EF!$H$132:$H$147,MATCH(Emissions!$D85,EF!$D$132:$D$147,0))*kgtoGg</f>
        <v>0</v>
      </c>
      <c r="BJ85" s="22">
        <f>INDEX('Activity data'!BJ$24:BJ$39,MATCH(Emissions!$D85,'Activity data'!$D$24:$D$39,0))*INDEX(EF!$H$84:$H$99,MATCH(Emissions!$D85,EF!$D$84:$D$99,0))*INDEX(EF!$H$100:$H$115,MATCH(Emissions!$D85,EF!$D$100:$D$115,0))*INDEX(EF!$H$132:$H$147,MATCH(Emissions!$D85,EF!$D$132:$D$147,0))*kgtoGg</f>
        <v>0</v>
      </c>
      <c r="BK85" s="22">
        <f>INDEX('Activity data'!BK$24:BK$39,MATCH(Emissions!$D85,'Activity data'!$D$24:$D$39,0))*INDEX(EF!$H$84:$H$99,MATCH(Emissions!$D85,EF!$D$84:$D$99,0))*INDEX(EF!$H$100:$H$115,MATCH(Emissions!$D85,EF!$D$100:$D$115,0))*INDEX(EF!$H$132:$H$147,MATCH(Emissions!$D85,EF!$D$132:$D$147,0))*kgtoGg</f>
        <v>0</v>
      </c>
      <c r="BL85" s="22">
        <f>INDEX('Activity data'!BL$24:BL$39,MATCH(Emissions!$D85,'Activity data'!$D$24:$D$39,0))*INDEX(EF!$H$84:$H$99,MATCH(Emissions!$D85,EF!$D$84:$D$99,0))*INDEX(EF!$H$100:$H$115,MATCH(Emissions!$D85,EF!$D$100:$D$115,0))*INDEX(EF!$H$132:$H$147,MATCH(Emissions!$D85,EF!$D$132:$D$147,0))*kgtoGg</f>
        <v>0</v>
      </c>
      <c r="BM85" s="22">
        <f>INDEX('Activity data'!BM$24:BM$39,MATCH(Emissions!$D85,'Activity data'!$D$24:$D$39,0))*INDEX(EF!$H$84:$H$99,MATCH(Emissions!$D85,EF!$D$84:$D$99,0))*INDEX(EF!$H$100:$H$115,MATCH(Emissions!$D85,EF!$D$100:$D$115,0))*INDEX(EF!$H$132:$H$147,MATCH(Emissions!$D85,EF!$D$132:$D$147,0))*kgtoGg</f>
        <v>0</v>
      </c>
      <c r="BN85" s="22">
        <f>INDEX('Activity data'!BN$24:BN$39,MATCH(Emissions!$D85,'Activity data'!$D$24:$D$39,0))*INDEX(EF!$H$84:$H$99,MATCH(Emissions!$D85,EF!$D$84:$D$99,0))*INDEX(EF!$H$100:$H$115,MATCH(Emissions!$D85,EF!$D$100:$D$115,0))*INDEX(EF!$H$132:$H$147,MATCH(Emissions!$D85,EF!$D$132:$D$147,0))*kgtoGg</f>
        <v>0</v>
      </c>
      <c r="BO85" s="22">
        <f>INDEX('Activity data'!BO$24:BO$39,MATCH(Emissions!$D85,'Activity data'!$D$24:$D$39,0))*INDEX(EF!$H$84:$H$99,MATCH(Emissions!$D85,EF!$D$84:$D$99,0))*INDEX(EF!$H$100:$H$115,MATCH(Emissions!$D85,EF!$D$100:$D$115,0))*INDEX(EF!$H$132:$H$147,MATCH(Emissions!$D85,EF!$D$132:$D$147,0))*kgtoGg</f>
        <v>0</v>
      </c>
      <c r="BP85" s="22">
        <f>INDEX('Activity data'!BP$24:BP$39,MATCH(Emissions!$D85,'Activity data'!$D$24:$D$39,0))*INDEX(EF!$H$84:$H$99,MATCH(Emissions!$D85,EF!$D$84:$D$99,0))*INDEX(EF!$H$100:$H$115,MATCH(Emissions!$D85,EF!$D$100:$D$115,0))*INDEX(EF!$H$132:$H$147,MATCH(Emissions!$D85,EF!$D$132:$D$147,0))*kgtoGg</f>
        <v>0</v>
      </c>
    </row>
    <row r="86" spans="1:68" x14ac:dyDescent="0.3">
      <c r="A86" t="str">
        <f>A85</f>
        <v>3C Aggregated and non-CO2 emissions on land</v>
      </c>
      <c r="B86" t="str">
        <f>'IPCC Categories'!B71</f>
        <v>3C2 Liming (CO2)</v>
      </c>
      <c r="E86" t="s">
        <v>381</v>
      </c>
      <c r="F86" t="s">
        <v>380</v>
      </c>
      <c r="G86" t="s">
        <v>382</v>
      </c>
      <c r="H86" s="22">
        <f>'Activity data'!H45*EF!$H$149*CtoCO2*ttoGg</f>
        <v>357.5</v>
      </c>
      <c r="I86" s="22">
        <f>'Activity data'!I45*EF!$H$149*CtoCO2*ttoGg</f>
        <v>378.125</v>
      </c>
      <c r="J86" s="22">
        <f>'Activity data'!J45*EF!$H$149*CtoCO2*ttoGg</f>
        <v>261.25</v>
      </c>
      <c r="K86" s="22">
        <f>'Activity data'!K45*EF!$H$149*CtoCO2*ttoGg</f>
        <v>412.5</v>
      </c>
      <c r="L86" s="22">
        <f>'Activity data'!L45*EF!$H$149*CtoCO2*ttoGg</f>
        <v>595.58170833333327</v>
      </c>
      <c r="M86" s="22">
        <f>'Activity data'!M45*EF!$H$149*CtoCO2*ttoGg</f>
        <v>473.34145833333332</v>
      </c>
      <c r="N86" s="22">
        <f>'Activity data'!N45*EF!$H$149*CtoCO2*ttoGg</f>
        <v>579.13625000000002</v>
      </c>
      <c r="O86" s="22">
        <f>'Activity data'!O45*EF!$H$149*CtoCO2*ttoGg</f>
        <v>547.24312499999996</v>
      </c>
      <c r="P86" s="22">
        <f>'Activity data'!P45*EF!$H$149*CtoCO2*ttoGg</f>
        <v>570.31379166666659</v>
      </c>
      <c r="Q86" s="22">
        <f>'Activity data'!Q45*EF!$H$149*CtoCO2*ttoGg</f>
        <v>567.03808333333325</v>
      </c>
      <c r="R86" s="22">
        <f>'Activity data'!R45*EF!$H$149*CtoCO2*ttoGg</f>
        <v>378.2405</v>
      </c>
      <c r="S86" s="22">
        <f>'Activity data'!S45*EF!$H$149*CtoCO2*ttoGg</f>
        <v>489.66362500000002</v>
      </c>
      <c r="T86" s="22">
        <f>'Activity data'!T45*EF!$H$149*CtoCO2*ttoGg</f>
        <v>672.79437500000006</v>
      </c>
      <c r="U86" s="22">
        <f>'Activity data'!U45*EF!$H$149*CtoCO2*ttoGg</f>
        <v>580.13175000000001</v>
      </c>
      <c r="V86" s="22">
        <f>'Activity data'!V45*EF!$H$149*CtoCO2*ttoGg</f>
        <v>579.7403333333333</v>
      </c>
      <c r="W86" s="22">
        <f>'Activity data'!W45*EF!$H$149*CtoCO2*ttoGg</f>
        <v>266.03683333333333</v>
      </c>
      <c r="X86" s="22">
        <f>'Activity data'!X45*EF!$H$149*CtoCO2*ttoGg</f>
        <v>441.42908333333332</v>
      </c>
      <c r="Y86" s="22">
        <f>'Activity data'!Y45*EF!$H$149*CtoCO2*ttoGg</f>
        <v>521.42108333333329</v>
      </c>
      <c r="Z86" s="22">
        <f>'Activity data'!Z45*EF!$H$149*CtoCO2*ttoGg</f>
        <v>655.32637499999998</v>
      </c>
      <c r="AA86" s="22">
        <f>'Activity data'!AA45*EF!$H$149*CtoCO2*ttoGg</f>
        <v>695.56775237855516</v>
      </c>
      <c r="AB86" s="22">
        <f>'Activity data'!AB45*EF!$H$149*CtoCO2*ttoGg</f>
        <v>653.23730656422072</v>
      </c>
      <c r="AC86" s="22">
        <f>'Activity data'!AC45*EF!$H$149*CtoCO2*ttoGg</f>
        <v>722.61220387104663</v>
      </c>
      <c r="AD86" s="22">
        <f>'Activity data'!AD45*EF!$H$149*CtoCO2*ttoGg</f>
        <v>886.46691832724639</v>
      </c>
      <c r="AE86" s="22">
        <f>'Activity data'!AE45*EF!$H$149*CtoCO2*ttoGg</f>
        <v>888.12131157949125</v>
      </c>
      <c r="AF86" s="22">
        <f>'Activity data'!AF45*EF!$H$149*CtoCO2*ttoGg</f>
        <v>891.15452747930806</v>
      </c>
      <c r="AG86" s="22">
        <f>'Activity data'!AG45*EF!$H$149*CtoCO2*ttoGg</f>
        <v>894.77997458773643</v>
      </c>
      <c r="AH86" s="22">
        <f>'Activity data'!AH45*EF!$H$149*CtoCO2*ttoGg</f>
        <v>897.22911689738771</v>
      </c>
      <c r="AI86" s="22">
        <f>'Activity data'!AI45*EF!$H$149*CtoCO2*ttoGg</f>
        <v>898.91455113929567</v>
      </c>
      <c r="AJ86" s="22">
        <f>'Activity data'!AJ45*EF!$H$149*CtoCO2*ttoGg</f>
        <v>899.83749014303339</v>
      </c>
      <c r="AK86" s="22">
        <f>'Activity data'!AK45*EF!$H$149*CtoCO2*ttoGg</f>
        <v>901.33063602016739</v>
      </c>
      <c r="AL86" s="22">
        <f>'Activity data'!AL45*EF!$H$149*CtoCO2*ttoGg</f>
        <v>902.89907464525436</v>
      </c>
      <c r="AM86" s="22">
        <f>'Activity data'!AM45*EF!$H$149*CtoCO2*ttoGg</f>
        <v>891.99675751980965</v>
      </c>
      <c r="AN86" s="22">
        <f>'Activity data'!AN45*EF!$H$149*CtoCO2*ttoGg</f>
        <v>896.31989501908868</v>
      </c>
      <c r="AO86" s="22">
        <f>'Activity data'!AO45*EF!$H$149*CtoCO2*ttoGg</f>
        <v>902.22024497284394</v>
      </c>
      <c r="AP86" s="22">
        <f>'Activity data'!AP45*EF!$H$149*CtoCO2*ttoGg</f>
        <v>905.3909035858818</v>
      </c>
      <c r="AQ86" s="22">
        <f>'Activity data'!AQ45*EF!$H$149*CtoCO2*ttoGg</f>
        <v>908.85869804414574</v>
      </c>
      <c r="AR86" s="22">
        <f>'Activity data'!AR45*EF!$H$149*CtoCO2*ttoGg</f>
        <v>912.71420258721548</v>
      </c>
      <c r="AS86" s="22">
        <f>'Activity data'!AS45*EF!$H$149*CtoCO2*ttoGg</f>
        <v>916.76138513802675</v>
      </c>
      <c r="AT86" s="22">
        <f>'Activity data'!AT45*EF!$H$149*CtoCO2*ttoGg</f>
        <v>921.08070130350711</v>
      </c>
      <c r="AU86" s="22">
        <f>'Activity data'!AU45*EF!$H$149*CtoCO2*ttoGg</f>
        <v>925.40933815746541</v>
      </c>
      <c r="AV86" s="22">
        <f>'Activity data'!AV45*EF!$H$149*CtoCO2*ttoGg</f>
        <v>929.96831948890872</v>
      </c>
      <c r="AW86" s="22">
        <f>'Activity data'!AW45*EF!$H$149*CtoCO2*ttoGg</f>
        <v>934.50696522239457</v>
      </c>
      <c r="AX86" s="22">
        <f>'Activity data'!AX45*EF!$H$149*CtoCO2*ttoGg</f>
        <v>939.42761374681561</v>
      </c>
      <c r="AY86" s="22">
        <f>'Activity data'!AY45*EF!$H$149*CtoCO2*ttoGg</f>
        <v>944.16688868183769</v>
      </c>
      <c r="AZ86" s="22">
        <f>'Activity data'!AZ45*EF!$H$149*CtoCO2*ttoGg</f>
        <v>949.0261231000643</v>
      </c>
      <c r="BA86" s="22">
        <f>'Activity data'!BA45*EF!$H$149*CtoCO2*ttoGg</f>
        <v>954.33840569705478</v>
      </c>
      <c r="BB86" s="22">
        <f>'Activity data'!BB45*EF!$H$149*CtoCO2*ttoGg</f>
        <v>959.278398620286</v>
      </c>
      <c r="BC86" s="22">
        <f>'Activity data'!BC45*EF!$H$149*CtoCO2*ttoGg</f>
        <v>964.3507815679485</v>
      </c>
      <c r="BD86" s="22">
        <f>'Activity data'!BD45*EF!$H$149*CtoCO2*ttoGg</f>
        <v>969.61220137656596</v>
      </c>
      <c r="BE86" s="22">
        <f>'Activity data'!BE45*EF!$H$149*CtoCO2*ttoGg</f>
        <v>974.44775869223997</v>
      </c>
      <c r="BF86" s="22">
        <f>'Activity data'!BF45*EF!$H$149*CtoCO2*ttoGg</f>
        <v>979.14890322764631</v>
      </c>
      <c r="BG86" s="22">
        <f>'Activity data'!BG45*EF!$H$149*CtoCO2*ttoGg</f>
        <v>983.73381176950784</v>
      </c>
      <c r="BH86" s="22">
        <f>'Activity data'!BH45*EF!$H$149*CtoCO2*ttoGg</f>
        <v>988.57156221875641</v>
      </c>
      <c r="BI86" s="22">
        <f>'Activity data'!BI45*EF!$H$149*CtoCO2*ttoGg</f>
        <v>993.12969939958668</v>
      </c>
      <c r="BJ86" s="22">
        <f>'Activity data'!BJ45*EF!$H$149*CtoCO2*ttoGg</f>
        <v>997.74604101719626</v>
      </c>
      <c r="BK86" s="22">
        <f>'Activity data'!BK45*EF!$H$149*CtoCO2*ttoGg</f>
        <v>1002.4341171721968</v>
      </c>
      <c r="BL86" s="22">
        <f>'Activity data'!BL45*EF!$H$149*CtoCO2*ttoGg</f>
        <v>1007.2170829821735</v>
      </c>
      <c r="BM86" s="22">
        <f>'Activity data'!BM45*EF!$H$149*CtoCO2*ttoGg</f>
        <v>1012.0749838215364</v>
      </c>
      <c r="BN86" s="22">
        <f>'Activity data'!BN45*EF!$H$149*CtoCO2*ttoGg</f>
        <v>1013.5676439901464</v>
      </c>
      <c r="BO86" s="22">
        <f>'Activity data'!BO45*EF!$H$149*CtoCO2*ttoGg</f>
        <v>1014.7466063039381</v>
      </c>
      <c r="BP86" s="22">
        <f>'Activity data'!BP45*EF!$H$149*CtoCO2*ttoGg</f>
        <v>1015.4810997197675</v>
      </c>
    </row>
    <row r="87" spans="1:68" x14ac:dyDescent="0.3">
      <c r="A87" t="str">
        <f>A86</f>
        <v>3C Aggregated and non-CO2 emissions on land</v>
      </c>
      <c r="B87" t="str">
        <f>'IPCC Categories'!B72</f>
        <v>3C3 Urea application (CO2)</v>
      </c>
      <c r="E87" t="s">
        <v>387</v>
      </c>
      <c r="F87" t="s">
        <v>380</v>
      </c>
      <c r="G87" t="s">
        <v>382</v>
      </c>
      <c r="H87" s="22">
        <f>'Activity data'!H46*EF!$H$150*CtoCO2*ttoGg</f>
        <v>90.994567483487728</v>
      </c>
      <c r="I87" s="22">
        <f>'Activity data'!I46*EF!$H$150*CtoCO2*ttoGg</f>
        <v>111.62690198838213</v>
      </c>
      <c r="J87" s="22">
        <f>'Activity data'!J46*EF!$H$150*CtoCO2*ttoGg</f>
        <v>132.25923649327655</v>
      </c>
      <c r="K87" s="22">
        <f>'Activity data'!K46*EF!$H$150*CtoCO2*ttoGg</f>
        <v>152.89157099816552</v>
      </c>
      <c r="L87" s="22">
        <f>'Activity data'!L46*EF!$H$150*CtoCO2*ttoGg</f>
        <v>173.52390550305992</v>
      </c>
      <c r="M87" s="22">
        <f>'Activity data'!M46*EF!$H$150*CtoCO2*ttoGg</f>
        <v>194.15624000795432</v>
      </c>
      <c r="N87" s="22">
        <f>'Activity data'!N46*EF!$H$150*CtoCO2*ttoGg</f>
        <v>214.78857451284878</v>
      </c>
      <c r="O87" s="22">
        <f>'Activity data'!O46*EF!$H$150*CtoCO2*ttoGg</f>
        <v>235.42090901774316</v>
      </c>
      <c r="P87" s="22">
        <f>'Activity data'!P46*EF!$H$150*CtoCO2*ttoGg</f>
        <v>256.05324352263762</v>
      </c>
      <c r="Q87" s="22">
        <f>'Activity data'!Q46*EF!$H$150*CtoCO2*ttoGg</f>
        <v>276.68557802753202</v>
      </c>
      <c r="R87" s="22">
        <f>'Activity data'!R46*EF!$H$150*CtoCO2*ttoGg</f>
        <v>297.31791253242642</v>
      </c>
      <c r="S87" s="22">
        <f>'Activity data'!S46*EF!$H$150*CtoCO2*ttoGg</f>
        <v>317.95024703732088</v>
      </c>
      <c r="T87" s="22">
        <f>'Activity data'!T46*EF!$H$150*CtoCO2*ttoGg</f>
        <v>338.58258154220977</v>
      </c>
      <c r="U87" s="22">
        <f>'Activity data'!U46*EF!$H$150*CtoCO2*ttoGg</f>
        <v>359.21491604710423</v>
      </c>
      <c r="V87" s="22">
        <f>'Activity data'!V46*EF!$H$150*CtoCO2*ttoGg</f>
        <v>435.89846666666671</v>
      </c>
      <c r="W87" s="22">
        <f>'Activity data'!W46*EF!$H$150*CtoCO2*ttoGg</f>
        <v>355.08659999999998</v>
      </c>
      <c r="X87" s="22">
        <f>'Activity data'!X46*EF!$H$150*CtoCO2*ttoGg</f>
        <v>393.08573333333334</v>
      </c>
      <c r="Y87" s="22">
        <f>'Activity data'!Y46*EF!$H$150*CtoCO2*ttoGg</f>
        <v>484.55366666666663</v>
      </c>
      <c r="Z87" s="22">
        <f>'Activity data'!Z46*EF!$H$150*CtoCO2*ttoGg</f>
        <v>480.19253333333336</v>
      </c>
      <c r="AA87" s="22">
        <f>'Activity data'!AA46*EF!$H$150*CtoCO2*ttoGg</f>
        <v>380.54426666666666</v>
      </c>
      <c r="AB87" s="22">
        <f>'Activity data'!AB46*EF!$H$150*CtoCO2*ttoGg</f>
        <v>501.48046666666664</v>
      </c>
      <c r="AC87" s="22">
        <f>'Activity data'!AC46*EF!$H$150*CtoCO2*ttoGg</f>
        <v>571.19113333333337</v>
      </c>
      <c r="AD87" s="22">
        <f>'Activity data'!AD46*EF!$H$150*CtoCO2*ttoGg</f>
        <v>470.0955092083982</v>
      </c>
      <c r="AE87" s="22">
        <f>'Activity data'!AE46*EF!$H$150*CtoCO2*ttoGg</f>
        <v>470.05382539136968</v>
      </c>
      <c r="AF87" s="22">
        <f>'Activity data'!AF46*EF!$H$150*CtoCO2*ttoGg</f>
        <v>469.97740098840234</v>
      </c>
      <c r="AG87" s="22">
        <f>'Activity data'!AG46*EF!$H$150*CtoCO2*ttoGg</f>
        <v>469.88605482647296</v>
      </c>
      <c r="AH87" s="22">
        <f>'Activity data'!AH46*EF!$H$150*CtoCO2*ttoGg</f>
        <v>469.82434664447095</v>
      </c>
      <c r="AI87" s="22">
        <f>'Activity data'!AI46*EF!$H$150*CtoCO2*ttoGg</f>
        <v>469.78188072383335</v>
      </c>
      <c r="AJ87" s="22">
        <f>'Activity data'!AJ46*EF!$H$150*CtoCO2*ttoGg</f>
        <v>469.75862650630785</v>
      </c>
      <c r="AK87" s="22">
        <f>'Activity data'!AK46*EF!$H$150*CtoCO2*ttoGg</f>
        <v>469.72100545130479</v>
      </c>
      <c r="AL87" s="22">
        <f>'Activity data'!AL46*EF!$H$150*CtoCO2*ttoGg</f>
        <v>469.68148733275598</v>
      </c>
      <c r="AM87" s="22">
        <f>'Activity data'!AM46*EF!$H$150*CtoCO2*ttoGg</f>
        <v>469.95618030048149</v>
      </c>
      <c r="AN87" s="22">
        <f>'Activity data'!AN46*EF!$H$150*CtoCO2*ttoGg</f>
        <v>469.84725524758687</v>
      </c>
      <c r="AO87" s="22">
        <f>'Activity data'!AO46*EF!$H$150*CtoCO2*ttoGg</f>
        <v>469.69859101219856</v>
      </c>
      <c r="AP87" s="22">
        <f>'Activity data'!AP46*EF!$H$150*CtoCO2*ttoGg</f>
        <v>469.61870362550462</v>
      </c>
      <c r="AQ87" s="22">
        <f>'Activity data'!AQ46*EF!$H$150*CtoCO2*ttoGg</f>
        <v>469.53132965350932</v>
      </c>
      <c r="AR87" s="22">
        <f>'Activity data'!AR46*EF!$H$150*CtoCO2*ttoGg</f>
        <v>469.43418700274725</v>
      </c>
      <c r="AS87" s="22">
        <f>'Activity data'!AS46*EF!$H$150*CtoCO2*ttoGg</f>
        <v>469.33221486480466</v>
      </c>
      <c r="AT87" s="22">
        <f>'Activity data'!AT46*EF!$H$150*CtoCO2*ttoGg</f>
        <v>469.22338609360048</v>
      </c>
      <c r="AU87" s="22">
        <f>'Activity data'!AU46*EF!$H$150*CtoCO2*ttoGg</f>
        <v>469.1143224798808</v>
      </c>
      <c r="AV87" s="22">
        <f>'Activity data'!AV46*EF!$H$150*CtoCO2*ttoGg</f>
        <v>468.99945514504452</v>
      </c>
      <c r="AW87" s="22">
        <f>'Activity data'!AW46*EF!$H$150*CtoCO2*ttoGg</f>
        <v>468.88510018254988</v>
      </c>
      <c r="AX87" s="22">
        <f>'Activity data'!AX46*EF!$H$150*CtoCO2*ttoGg</f>
        <v>468.76112034131472</v>
      </c>
      <c r="AY87" s="22">
        <f>'Activity data'!AY46*EF!$H$150*CtoCO2*ttoGg</f>
        <v>468.64171035885056</v>
      </c>
      <c r="AZ87" s="22">
        <f>'Activity data'!AZ46*EF!$H$150*CtoCO2*ttoGg</f>
        <v>468.5192778972135</v>
      </c>
      <c r="BA87" s="22">
        <f>'Activity data'!BA46*EF!$H$150*CtoCO2*ttoGg</f>
        <v>468.38543050906895</v>
      </c>
      <c r="BB87" s="22">
        <f>'Activity data'!BB46*EF!$H$150*CtoCO2*ttoGg</f>
        <v>468.26096326958111</v>
      </c>
      <c r="BC87" s="22">
        <f>'Activity data'!BC46*EF!$H$150*CtoCO2*ttoGg</f>
        <v>468.13316035307253</v>
      </c>
      <c r="BD87" s="22">
        <f>'Activity data'!BD46*EF!$H$150*CtoCO2*ttoGg</f>
        <v>468.00059449527834</v>
      </c>
      <c r="BE87" s="22">
        <f>'Activity data'!BE46*EF!$H$150*CtoCO2*ttoGg</f>
        <v>467.87875859797629</v>
      </c>
      <c r="BF87" s="22">
        <f>'Activity data'!BF46*EF!$H$150*CtoCO2*ttoGg</f>
        <v>467.76030934271449</v>
      </c>
      <c r="BG87" s="22">
        <f>'Activity data'!BG46*EF!$H$150*CtoCO2*ttoGg</f>
        <v>467.64478875019984</v>
      </c>
      <c r="BH87" s="22">
        <f>'Activity data'!BH46*EF!$H$150*CtoCO2*ttoGg</f>
        <v>467.52289759506942</v>
      </c>
      <c r="BI87" s="22">
        <f>'Activity data'!BI46*EF!$H$150*CtoCO2*ttoGg</f>
        <v>467.40805152931154</v>
      </c>
      <c r="BJ87" s="22">
        <f>'Activity data'!BJ46*EF!$H$150*CtoCO2*ttoGg</f>
        <v>467.29173895425197</v>
      </c>
      <c r="BK87" s="22">
        <f>'Activity data'!BK46*EF!$H$150*CtoCO2*ttoGg</f>
        <v>467.17361896772775</v>
      </c>
      <c r="BL87" s="22">
        <f>'Activity data'!BL46*EF!$H$150*CtoCO2*ttoGg</f>
        <v>467.05310815725005</v>
      </c>
      <c r="BM87" s="22">
        <f>'Activity data'!BM46*EF!$H$150*CtoCO2*ttoGg</f>
        <v>466.93070929624412</v>
      </c>
      <c r="BN87" s="22">
        <f>'Activity data'!BN46*EF!$H$150*CtoCO2*ttoGg</f>
        <v>466.89310047907219</v>
      </c>
      <c r="BO87" s="22">
        <f>'Activity data'!BO46*EF!$H$150*CtoCO2*ttoGg</f>
        <v>466.86339554083878</v>
      </c>
      <c r="BP87" s="22">
        <f>'Activity data'!BP46*EF!$H$150*CtoCO2*ttoGg</f>
        <v>466.8448893669817</v>
      </c>
    </row>
    <row r="88" spans="1:68" x14ac:dyDescent="0.3">
      <c r="A88" t="str">
        <f>A87</f>
        <v>3C Aggregated and non-CO2 emissions on land</v>
      </c>
      <c r="B88" t="str">
        <f>'IPCC Categories'!B73</f>
        <v>3C4 Direct N2O from managed soils (N2O)</v>
      </c>
      <c r="E88" t="s">
        <v>419</v>
      </c>
      <c r="F88" t="s">
        <v>139</v>
      </c>
      <c r="G88" t="s">
        <v>287</v>
      </c>
      <c r="H88" s="22">
        <f>'Activity data'!H47*ttokg*SNEF*NtoN2O*kgtoGg</f>
        <v>5.4008271428571426</v>
      </c>
      <c r="I88" s="22">
        <f>'Activity data'!I47*ttokg*SNEF*NtoN2O*kgtoGg</f>
        <v>5.7362642857142854</v>
      </c>
      <c r="J88" s="22">
        <f>'Activity data'!J47*ttokg*SNEF*NtoN2O*kgtoGg</f>
        <v>5.4611071428571423</v>
      </c>
      <c r="K88" s="22">
        <f>'Activity data'!K47*ttokg*SNEF*NtoN2O*kgtoGg</f>
        <v>6.4186414285714282</v>
      </c>
      <c r="L88" s="22">
        <f>'Activity data'!L47*ttokg*SNEF*NtoN2O*kgtoGg</f>
        <v>5.8938942857142855</v>
      </c>
      <c r="M88" s="22">
        <f>'Activity data'!M47*ttokg*SNEF*NtoN2O*kgtoGg</f>
        <v>5.8377157142857143</v>
      </c>
      <c r="N88" s="22">
        <f>'Activity data'!N47*ttokg*SNEF*NtoN2O*kgtoGg</f>
        <v>6.5227485714285702</v>
      </c>
      <c r="O88" s="22">
        <f>'Activity data'!O47*ttokg*SNEF*NtoN2O*kgtoGg</f>
        <v>6.3943628571428572</v>
      </c>
      <c r="P88" s="22">
        <f>'Activity data'!P47*ttokg*SNEF*NtoN2O*kgtoGg</f>
        <v>6.5296157142857139</v>
      </c>
      <c r="Q88" s="22">
        <f>'Activity data'!Q47*ttokg*SNEF*NtoN2O*kgtoGg</f>
        <v>6.4907071428571426</v>
      </c>
      <c r="R88" s="22">
        <f>'Activity data'!R47*ttokg*SNEF*NtoN2O*kgtoGg</f>
        <v>6.5360899999999997</v>
      </c>
      <c r="S88" s="22">
        <f>'Activity data'!S47*ttokg*SNEF*NtoN2O*kgtoGg</f>
        <v>6.219918571428571</v>
      </c>
      <c r="T88" s="22">
        <f>'Activity data'!T47*ttokg*SNEF*NtoN2O*kgtoGg</f>
        <v>7.4968457142857146</v>
      </c>
      <c r="U88" s="22">
        <f>'Activity data'!U47*ttokg*SNEF*NtoN2O*kgtoGg</f>
        <v>6.6129957142857139</v>
      </c>
      <c r="V88" s="22">
        <f>'Activity data'!V47*ttokg*SNEF*NtoN2O*kgtoGg</f>
        <v>6.7189728571428571</v>
      </c>
      <c r="W88" s="22">
        <f>'Activity data'!W47*ttokg*SNEF*NtoN2O*kgtoGg</f>
        <v>5.4569428571428569</v>
      </c>
      <c r="X88" s="22">
        <f>'Activity data'!X47*ttokg*SNEF*NtoN2O*kgtoGg</f>
        <v>6.7370128571428571</v>
      </c>
      <c r="Y88" s="22">
        <f>'Activity data'!Y47*ttokg*SNEF*NtoN2O*kgtoGg</f>
        <v>6.9061142857142848</v>
      </c>
      <c r="Z88" s="22">
        <f>'Activity data'!Z47*ttokg*SNEF*NtoN2O*kgtoGg</f>
        <v>6.66479</v>
      </c>
      <c r="AA88" s="22">
        <f>'Activity data'!AA47*ttokg*SNEF*NtoN2O*kgtoGg</f>
        <v>7.1307814285714279</v>
      </c>
      <c r="AB88" s="22">
        <f>'Activity data'!AB47*ttokg*SNEF*NtoN2O*kgtoGg</f>
        <v>6.2071428571428573</v>
      </c>
      <c r="AC88" s="22">
        <f>'Activity data'!AC47*ttokg*SNEF*NtoN2O*kgtoGg</f>
        <v>6.5842857142857145</v>
      </c>
      <c r="AD88" s="22">
        <f>'Activity data'!AD47*ttokg*SNEF*NtoN2O*kgtoGg</f>
        <v>6.6064812063358538</v>
      </c>
      <c r="AE88" s="22">
        <f>'Activity data'!AE47*ttokg*SNEF*NtoN2O*kgtoGg</f>
        <v>6.6058242184852958</v>
      </c>
      <c r="AF88" s="22">
        <f>'Activity data'!AF47*ttokg*SNEF*NtoN2O*kgtoGg</f>
        <v>6.6046196765835479</v>
      </c>
      <c r="AG88" s="22">
        <f>'Activity data'!AG47*ttokg*SNEF*NtoN2O*kgtoGg</f>
        <v>6.6031799495417181</v>
      </c>
      <c r="AH88" s="22">
        <f>'Activity data'!AH47*ttokg*SNEF*NtoN2O*kgtoGg</f>
        <v>6.6022073532502725</v>
      </c>
      <c r="AI88" s="22">
        <f>'Activity data'!AI47*ttokg*SNEF*NtoN2O*kgtoGg</f>
        <v>6.6015380384919204</v>
      </c>
      <c r="AJ88" s="22">
        <f>'Activity data'!AJ47*ttokg*SNEF*NtoN2O*kgtoGg</f>
        <v>6.6011715236312982</v>
      </c>
      <c r="AK88" s="22">
        <f>'Activity data'!AK47*ttokg*SNEF*NtoN2O*kgtoGg</f>
        <v>6.6005785698707236</v>
      </c>
      <c r="AL88" s="22">
        <f>'Activity data'!AL47*ttokg*SNEF*NtoN2O*kgtoGg</f>
        <v>6.599955716072432</v>
      </c>
      <c r="AM88" s="22">
        <f>'Activity data'!AM47*ttokg*SNEF*NtoN2O*kgtoGg</f>
        <v>6.6042852126323481</v>
      </c>
      <c r="AN88" s="22">
        <f>'Activity data'!AN47*ttokg*SNEF*NtoN2O*kgtoGg</f>
        <v>6.6025684208058211</v>
      </c>
      <c r="AO88" s="22">
        <f>'Activity data'!AO47*ttokg*SNEF*NtoN2O*kgtoGg</f>
        <v>6.6002252909433183</v>
      </c>
      <c r="AP88" s="22">
        <f>'Activity data'!AP47*ttokg*SNEF*NtoN2O*kgtoGg</f>
        <v>6.598966168189885</v>
      </c>
      <c r="AQ88" s="22">
        <f>'Activity data'!AQ47*ttokg*SNEF*NtoN2O*kgtoGg</f>
        <v>6.597589047711292</v>
      </c>
      <c r="AR88" s="22">
        <f>'Activity data'!AR47*ttokg*SNEF*NtoN2O*kgtoGg</f>
        <v>6.5960579609281904</v>
      </c>
      <c r="AS88" s="22">
        <f>'Activity data'!AS47*ttokg*SNEF*NtoN2O*kgtoGg</f>
        <v>6.5944507555305236</v>
      </c>
      <c r="AT88" s="22">
        <f>'Activity data'!AT47*ttokg*SNEF*NtoN2O*kgtoGg</f>
        <v>6.5927354812209922</v>
      </c>
      <c r="AU88" s="22">
        <f>'Activity data'!AU47*ttokg*SNEF*NtoN2O*kgtoGg</f>
        <v>6.5910165055066825</v>
      </c>
      <c r="AV88" s="22">
        <f>'Activity data'!AV47*ttokg*SNEF*NtoN2O*kgtoGg</f>
        <v>6.589206056061478</v>
      </c>
      <c r="AW88" s="22">
        <f>'Activity data'!AW47*ttokg*SNEF*NtoN2O*kgtoGg</f>
        <v>6.5874036822299606</v>
      </c>
      <c r="AX88" s="22">
        <f>'Activity data'!AX47*ttokg*SNEF*NtoN2O*kgtoGg</f>
        <v>6.5854496085579246</v>
      </c>
      <c r="AY88" s="22">
        <f>'Activity data'!AY47*ttokg*SNEF*NtoN2O*kgtoGg</f>
        <v>6.5835675614397218</v>
      </c>
      <c r="AZ88" s="22">
        <f>'Activity data'!AZ47*ttokg*SNEF*NtoN2O*kgtoGg</f>
        <v>6.5816378763594336</v>
      </c>
      <c r="BA88" s="22">
        <f>'Activity data'!BA47*ttokg*SNEF*NtoN2O*kgtoGg</f>
        <v>6.5795282781002431</v>
      </c>
      <c r="BB88" s="22">
        <f>'Activity data'!BB47*ttokg*SNEF*NtoN2O*kgtoGg</f>
        <v>6.5775665224366495</v>
      </c>
      <c r="BC88" s="22">
        <f>'Activity data'!BC47*ttokg*SNEF*NtoN2O*kgtoGg</f>
        <v>6.5755521924304867</v>
      </c>
      <c r="BD88" s="22">
        <f>'Activity data'!BD47*ttokg*SNEF*NtoN2O*kgtoGg</f>
        <v>6.573462792654313</v>
      </c>
      <c r="BE88" s="22">
        <f>'Activity data'!BE47*ttokg*SNEF*NtoN2O*kgtoGg</f>
        <v>6.5715425101563261</v>
      </c>
      <c r="BF88" s="22">
        <f>'Activity data'!BF47*ttokg*SNEF*NtoN2O*kgtoGg</f>
        <v>6.5696756052718408</v>
      </c>
      <c r="BG88" s="22">
        <f>'Activity data'!BG47*ttokg*SNEF*NtoN2O*kgtoGg</f>
        <v>6.5678548596880235</v>
      </c>
      <c r="BH88" s="22">
        <f>'Activity data'!BH47*ttokg*SNEF*NtoN2O*kgtoGg</f>
        <v>6.5659337062591927</v>
      </c>
      <c r="BI88" s="22">
        <f>'Activity data'!BI47*ttokg*SNEF*NtoN2O*kgtoGg</f>
        <v>6.564123592040632</v>
      </c>
      <c r="BJ88" s="22">
        <f>'Activity data'!BJ47*ttokg*SNEF*NtoN2O*kgtoGg</f>
        <v>6.5622903638449301</v>
      </c>
      <c r="BK88" s="22">
        <f>'Activity data'!BK47*ttokg*SNEF*NtoN2O*kgtoGg</f>
        <v>6.5604286486377719</v>
      </c>
      <c r="BL88" s="22">
        <f>'Activity data'!BL47*ttokg*SNEF*NtoN2O*kgtoGg</f>
        <v>6.5585292511260116</v>
      </c>
      <c r="BM88" s="22">
        <f>'Activity data'!BM47*ttokg*SNEF*NtoN2O*kgtoGg</f>
        <v>6.5566000956326942</v>
      </c>
      <c r="BN88" s="22">
        <f>'Activity data'!BN47*ttokg*SNEF*NtoN2O*kgtoGg</f>
        <v>6.5560073347552805</v>
      </c>
      <c r="BO88" s="22">
        <f>'Activity data'!BO47*ttokg*SNEF*NtoN2O*kgtoGg</f>
        <v>6.5555391486602428</v>
      </c>
      <c r="BP88" s="22">
        <f>'Activity data'!BP47*ttokg*SNEF*NtoN2O*kgtoGg</f>
        <v>6.5552474687649953</v>
      </c>
    </row>
    <row r="89" spans="1:68" x14ac:dyDescent="0.3">
      <c r="A89" t="str">
        <f t="shared" ref="A89:A138" si="29">A88</f>
        <v>3C Aggregated and non-CO2 emissions on land</v>
      </c>
      <c r="B89" t="str">
        <f>B88</f>
        <v>3C4 Direct N2O from managed soils (N2O)</v>
      </c>
      <c r="E89" t="s">
        <v>420</v>
      </c>
      <c r="F89" t="str">
        <f>F88</f>
        <v>N2O</v>
      </c>
      <c r="G89" t="str">
        <f>G88</f>
        <v>Gg N2O</v>
      </c>
      <c r="H89" s="22">
        <f>'Activity data'!H48*ttokg*ONEF*NtoN2O*kgtoGg</f>
        <v>3.5645459142857133E-2</v>
      </c>
      <c r="I89" s="22">
        <f>'Activity data'!I48*ttokg*ONEF*NtoN2O*kgtoGg</f>
        <v>3.7859344285714289E-2</v>
      </c>
      <c r="J89" s="22">
        <f>'Activity data'!J48*ttokg*ONEF*NtoN2O*kgtoGg</f>
        <v>3.6043307142857146E-2</v>
      </c>
      <c r="K89" s="22">
        <f>'Activity data'!K48*ttokg*ONEF*NtoN2O*kgtoGg</f>
        <v>4.236303342857143E-2</v>
      </c>
      <c r="L89" s="22">
        <f>'Activity data'!L48*ttokg*ONEF*NtoN2O*kgtoGg</f>
        <v>3.8899702285714287E-2</v>
      </c>
      <c r="M89" s="22">
        <f>'Activity data'!M48*ttokg*ONEF*NtoN2O*kgtoGg</f>
        <v>3.8528923714285714E-2</v>
      </c>
      <c r="N89" s="22">
        <f>'Activity data'!N48*ttokg*ONEF*NtoN2O*kgtoGg</f>
        <v>4.3050140571428579E-2</v>
      </c>
      <c r="O89" s="22">
        <f>'Activity data'!O48*ttokg*ONEF*NtoN2O*kgtoGg</f>
        <v>4.2202794857142865E-2</v>
      </c>
      <c r="P89" s="22">
        <f>'Activity data'!P48*ttokg*ONEF*NtoN2O*kgtoGg</f>
        <v>4.3095463714285728E-2</v>
      </c>
      <c r="Q89" s="22">
        <f>'Activity data'!Q48*ttokg*ONEF*NtoN2O*kgtoGg</f>
        <v>4.283866714285714E-2</v>
      </c>
      <c r="R89" s="22">
        <f>'Activity data'!R48*ttokg*ONEF*NtoN2O*kgtoGg</f>
        <v>4.3138194000000012E-2</v>
      </c>
      <c r="S89" s="22">
        <f>'Activity data'!S48*ttokg*ONEF*NtoN2O*kgtoGg</f>
        <v>4.1051462571428568E-2</v>
      </c>
      <c r="T89" s="22">
        <f>'Activity data'!T48*ttokg*ONEF*NtoN2O*kgtoGg</f>
        <v>4.9479181714285725E-2</v>
      </c>
      <c r="U89" s="22">
        <f>'Activity data'!U48*ttokg*ONEF*NtoN2O*kgtoGg</f>
        <v>4.3645771714285735E-2</v>
      </c>
      <c r="V89" s="22">
        <f>'Activity data'!V48*ttokg*ONEF*NtoN2O*kgtoGg</f>
        <v>4.4345220857142861E-2</v>
      </c>
      <c r="W89" s="22">
        <f>'Activity data'!W48*ttokg*ONEF*NtoN2O*kgtoGg</f>
        <v>3.6015822857142853E-2</v>
      </c>
      <c r="X89" s="22">
        <f>'Activity data'!X48*ttokg*ONEF*NtoN2O*kgtoGg</f>
        <v>4.4464284857142863E-2</v>
      </c>
      <c r="Y89" s="22">
        <f>'Activity data'!Y48*ttokg*ONEF*NtoN2O*kgtoGg</f>
        <v>4.5580354285714282E-2</v>
      </c>
      <c r="Z89" s="22">
        <f>'Activity data'!Z48*ttokg*ONEF*NtoN2O*kgtoGg</f>
        <v>4.3987614000000001E-2</v>
      </c>
      <c r="AA89" s="22">
        <f>'Activity data'!AA48*ttokg*ONEF*NtoN2O*kgtoGg</f>
        <v>4.706315742857143E-2</v>
      </c>
      <c r="AB89" s="22">
        <f>'Activity data'!AB48*ttokg*ONEF*NtoN2O*kgtoGg</f>
        <v>4.0967142857142855E-2</v>
      </c>
      <c r="AC89" s="22">
        <f>'Activity data'!AC48*ttokg*ONEF*NtoN2O*kgtoGg</f>
        <v>4.3456285714285711E-2</v>
      </c>
      <c r="AD89" s="22">
        <f>'Activity data'!AD48*ttokg*ONEF*NtoN2O*kgtoGg</f>
        <v>4.3602775961816637E-2</v>
      </c>
      <c r="AE89" s="22">
        <f>'Activity data'!AE48*ttokg*ONEF*NtoN2O*kgtoGg</f>
        <v>4.3598439842002956E-2</v>
      </c>
      <c r="AF89" s="22">
        <f>'Activity data'!AF48*ttokg*ONEF*NtoN2O*kgtoGg</f>
        <v>4.3590489865451415E-2</v>
      </c>
      <c r="AG89" s="22">
        <f>'Activity data'!AG48*ttokg*ONEF*NtoN2O*kgtoGg</f>
        <v>4.3580987666975365E-2</v>
      </c>
      <c r="AH89" s="22">
        <f>'Activity data'!AH48*ttokg*ONEF*NtoN2O*kgtoGg</f>
        <v>4.3574568531451807E-2</v>
      </c>
      <c r="AI89" s="22">
        <f>'Activity data'!AI48*ttokg*ONEF*NtoN2O*kgtoGg</f>
        <v>4.3570151054046678E-2</v>
      </c>
      <c r="AJ89" s="22">
        <f>'Activity data'!AJ48*ttokg*ONEF*NtoN2O*kgtoGg</f>
        <v>4.356773205596657E-2</v>
      </c>
      <c r="AK89" s="22">
        <f>'Activity data'!AK48*ttokg*ONEF*NtoN2O*kgtoGg</f>
        <v>4.3563818561146786E-2</v>
      </c>
      <c r="AL89" s="22">
        <f>'Activity data'!AL48*ttokg*ONEF*NtoN2O*kgtoGg</f>
        <v>4.3559707726078062E-2</v>
      </c>
      <c r="AM89" s="22">
        <f>'Activity data'!AM48*ttokg*ONEF*NtoN2O*kgtoGg</f>
        <v>4.3588282403373507E-2</v>
      </c>
      <c r="AN89" s="22">
        <f>'Activity data'!AN48*ttokg*ONEF*NtoN2O*kgtoGg</f>
        <v>4.3576951577318432E-2</v>
      </c>
      <c r="AO89" s="22">
        <f>'Activity data'!AO48*ttokg*ONEF*NtoN2O*kgtoGg</f>
        <v>4.356148692022592E-2</v>
      </c>
      <c r="AP89" s="22">
        <f>'Activity data'!AP48*ttokg*ONEF*NtoN2O*kgtoGg</f>
        <v>4.3553176710053244E-2</v>
      </c>
      <c r="AQ89" s="22">
        <f>'Activity data'!AQ48*ttokg*ONEF*NtoN2O*kgtoGg</f>
        <v>4.3544087714894535E-2</v>
      </c>
      <c r="AR89" s="22">
        <f>'Activity data'!AR48*ttokg*ONEF*NtoN2O*kgtoGg</f>
        <v>4.3533982542126072E-2</v>
      </c>
      <c r="AS89" s="22">
        <f>'Activity data'!AS48*ttokg*ONEF*NtoN2O*kgtoGg</f>
        <v>4.3523374986501467E-2</v>
      </c>
      <c r="AT89" s="22">
        <f>'Activity data'!AT48*ttokg*ONEF*NtoN2O*kgtoGg</f>
        <v>4.3512054176058558E-2</v>
      </c>
      <c r="AU89" s="22">
        <f>'Activity data'!AU48*ttokg*ONEF*NtoN2O*kgtoGg</f>
        <v>4.3500708936344119E-2</v>
      </c>
      <c r="AV89" s="22">
        <f>'Activity data'!AV48*ttokg*ONEF*NtoN2O*kgtoGg</f>
        <v>4.3488759970005758E-2</v>
      </c>
      <c r="AW89" s="22">
        <f>'Activity data'!AW48*ttokg*ONEF*NtoN2O*kgtoGg</f>
        <v>4.3476864302717751E-2</v>
      </c>
      <c r="AX89" s="22">
        <f>'Activity data'!AX48*ttokg*ONEF*NtoN2O*kgtoGg</f>
        <v>4.3463967416482306E-2</v>
      </c>
      <c r="AY89" s="22">
        <f>'Activity data'!AY48*ttokg*ONEF*NtoN2O*kgtoGg</f>
        <v>4.3451545905502167E-2</v>
      </c>
      <c r="AZ89" s="22">
        <f>'Activity data'!AZ48*ttokg*ONEF*NtoN2O*kgtoGg</f>
        <v>4.3438809983972274E-2</v>
      </c>
      <c r="BA89" s="22">
        <f>'Activity data'!BA48*ttokg*ONEF*NtoN2O*kgtoGg</f>
        <v>4.342488663546161E-2</v>
      </c>
      <c r="BB89" s="22">
        <f>'Activity data'!BB48*ttokg*ONEF*NtoN2O*kgtoGg</f>
        <v>4.3411939048081889E-2</v>
      </c>
      <c r="BC89" s="22">
        <f>'Activity data'!BC48*ttokg*ONEF*NtoN2O*kgtoGg</f>
        <v>4.3398644470041221E-2</v>
      </c>
      <c r="BD89" s="22">
        <f>'Activity data'!BD48*ttokg*ONEF*NtoN2O*kgtoGg</f>
        <v>4.3384854431518481E-2</v>
      </c>
      <c r="BE89" s="22">
        <f>'Activity data'!BE48*ttokg*ONEF*NtoN2O*kgtoGg</f>
        <v>4.3372180567031765E-2</v>
      </c>
      <c r="BF89" s="22">
        <f>'Activity data'!BF48*ttokg*ONEF*NtoN2O*kgtoGg</f>
        <v>4.3359858994794151E-2</v>
      </c>
      <c r="BG89" s="22">
        <f>'Activity data'!BG48*ttokg*ONEF*NtoN2O*kgtoGg</f>
        <v>4.3347842073940955E-2</v>
      </c>
      <c r="BH89" s="22">
        <f>'Activity data'!BH48*ttokg*ONEF*NtoN2O*kgtoGg</f>
        <v>4.3335162461310681E-2</v>
      </c>
      <c r="BI89" s="22">
        <f>'Activity data'!BI48*ttokg*ONEF*NtoN2O*kgtoGg</f>
        <v>4.3323215707468173E-2</v>
      </c>
      <c r="BJ89" s="22">
        <f>'Activity data'!BJ48*ttokg*ONEF*NtoN2O*kgtoGg</f>
        <v>4.3311116401376547E-2</v>
      </c>
      <c r="BK89" s="22">
        <f>'Activity data'!BK48*ttokg*ONEF*NtoN2O*kgtoGg</f>
        <v>4.32988290810093E-2</v>
      </c>
      <c r="BL89" s="22">
        <f>'Activity data'!BL48*ttokg*ONEF*NtoN2O*kgtoGg</f>
        <v>4.3286293057431681E-2</v>
      </c>
      <c r="BM89" s="22">
        <f>'Activity data'!BM48*ttokg*ONEF*NtoN2O*kgtoGg</f>
        <v>4.3273560631175802E-2</v>
      </c>
      <c r="BN89" s="22">
        <f>'Activity data'!BN48*ttokg*ONEF*NtoN2O*kgtoGg</f>
        <v>4.326964840938486E-2</v>
      </c>
      <c r="BO89" s="22">
        <f>'Activity data'!BO48*ttokg*ONEF*NtoN2O*kgtoGg</f>
        <v>4.3266558381157602E-2</v>
      </c>
      <c r="BP89" s="22">
        <f>'Activity data'!BP48*ttokg*ONEF*NtoN2O*kgtoGg</f>
        <v>4.326463329384897E-2</v>
      </c>
    </row>
    <row r="90" spans="1:68" x14ac:dyDescent="0.3">
      <c r="A90" t="str">
        <f t="shared" ref="A90" si="30">A89</f>
        <v>3C Aggregated and non-CO2 emissions on land</v>
      </c>
      <c r="B90" t="str">
        <f>B89</f>
        <v>3C4 Direct N2O from managed soils (N2O)</v>
      </c>
      <c r="E90" t="s">
        <v>58</v>
      </c>
      <c r="F90" t="str">
        <f>F89</f>
        <v>N2O</v>
      </c>
      <c r="G90" t="str">
        <f>G89</f>
        <v>Gg N2O</v>
      </c>
      <c r="H90" s="22">
        <f>'Activity data'!H85*CREF*NtoN2O*kgtoGg</f>
        <v>4.7572664246993837</v>
      </c>
      <c r="I90" s="22">
        <f>'Activity data'!I85*CREF*NtoN2O*kgtoGg</f>
        <v>4.2403582737669279</v>
      </c>
      <c r="J90" s="22">
        <f>'Activity data'!J85*CREF*NtoN2O*kgtoGg</f>
        <v>4.4153625132445411</v>
      </c>
      <c r="K90" s="22">
        <f>'Activity data'!K85*CREF*NtoN2O*kgtoGg</f>
        <v>4.7418888374800598</v>
      </c>
      <c r="L90" s="22">
        <f>'Activity data'!L85*CREF*NtoN2O*kgtoGg</f>
        <v>5.0009128268356475</v>
      </c>
      <c r="M90" s="22">
        <f>'Activity data'!M85*CREF*NtoN2O*kgtoGg</f>
        <v>3.8892379277011866</v>
      </c>
      <c r="N90" s="22">
        <f>'Activity data'!N85*CREF*NtoN2O*kgtoGg</f>
        <v>4.2839264832658595</v>
      </c>
      <c r="O90" s="22">
        <f>'Activity data'!O85*CREF*NtoN2O*kgtoGg</f>
        <v>4.5049773321420563</v>
      </c>
      <c r="P90" s="22">
        <f>'Activity data'!P85*CREF*NtoN2O*kgtoGg</f>
        <v>3.9255738498283432</v>
      </c>
      <c r="Q90" s="22">
        <f>'Activity data'!Q85*CREF*NtoN2O*kgtoGg</f>
        <v>3.8953932469931241</v>
      </c>
      <c r="R90" s="22">
        <f>'Activity data'!R85*CREF*NtoN2O*kgtoGg</f>
        <v>4.4710787977237265</v>
      </c>
      <c r="S90" s="22">
        <f>'Activity data'!S85*CREF*NtoN2O*kgtoGg</f>
        <v>3.6519029734228816</v>
      </c>
      <c r="T90" s="22">
        <f>'Activity data'!T85*CREF*NtoN2O*kgtoGg</f>
        <v>3.982993252892217</v>
      </c>
      <c r="U90" s="22">
        <f>'Activity data'!U85*CREF*NtoN2O*kgtoGg</f>
        <v>3.9301610630705248</v>
      </c>
      <c r="V90" s="22">
        <f>'Activity data'!V85*CREF*NtoN2O*kgtoGg</f>
        <v>3.5144884547415667</v>
      </c>
      <c r="W90" s="22">
        <f>'Activity data'!W85*CREF*NtoN2O*kgtoGg</f>
        <v>3.5698504074879742</v>
      </c>
      <c r="X90" s="22">
        <f>'Activity data'!X85*CREF*NtoN2O*kgtoGg</f>
        <v>2.4003352875845994</v>
      </c>
      <c r="Y90" s="22">
        <f>'Activity data'!Y85*CREF*NtoN2O*kgtoGg</f>
        <v>3.2539877539471691</v>
      </c>
      <c r="Z90" s="22">
        <f>'Activity data'!Z85*CREF*NtoN2O*kgtoGg</f>
        <v>3.7163492663367288</v>
      </c>
      <c r="AA90" s="22">
        <f>'Activity data'!AA85*CREF*NtoN2O*kgtoGg</f>
        <v>3.3020035495326421</v>
      </c>
      <c r="AB90" s="22">
        <f>'Activity data'!AB85*CREF*NtoN2O*kgtoGg</f>
        <v>3.605306989206821</v>
      </c>
      <c r="AC90" s="22">
        <f>'Activity data'!AC85*CREF*NtoN2O*kgtoGg</f>
        <v>3.3383236984964055</v>
      </c>
      <c r="AD90" s="22">
        <f>'Activity data'!AD85*CREF*NtoN2O*kgtoGg</f>
        <v>2.94930909510781</v>
      </c>
      <c r="AE90" s="22">
        <f>'Activity data'!AE85*CREF*NtoN2O*kgtoGg</f>
        <v>2.9542138952234782</v>
      </c>
      <c r="AF90" s="22">
        <f>'Activity data'!AF85*CREF*NtoN2O*kgtoGg</f>
        <v>2.9632065078783478</v>
      </c>
      <c r="AG90" s="22">
        <f>'Activity data'!AG85*CREF*NtoN2O*kgtoGg</f>
        <v>2.9739549157146588</v>
      </c>
      <c r="AH90" s="22">
        <f>'Activity data'!AH85*CREF*NtoN2O*kgtoGg</f>
        <v>2.9812159181802835</v>
      </c>
      <c r="AI90" s="22">
        <f>'Activity data'!AI85*CREF*NtoN2O*kgtoGg</f>
        <v>2.9862127459015309</v>
      </c>
      <c r="AJ90" s="22">
        <f>'Activity data'!AJ85*CREF*NtoN2O*kgtoGg</f>
        <v>2.9889489945692191</v>
      </c>
      <c r="AK90" s="22">
        <f>'Activity data'!AK85*CREF*NtoN2O*kgtoGg</f>
        <v>2.993375742599615</v>
      </c>
      <c r="AL90" s="22">
        <f>'Activity data'!AL85*CREF*NtoN2O*kgtoGg</f>
        <v>2.9980257119701434</v>
      </c>
      <c r="AM90" s="22">
        <f>'Activity data'!AM85*CREF*NtoN2O*kgtoGg</f>
        <v>2.9657034776855355</v>
      </c>
      <c r="AN90" s="22">
        <f>'Activity data'!AN85*CREF*NtoN2O*kgtoGg</f>
        <v>2.9785203368438653</v>
      </c>
      <c r="AO90" s="22">
        <f>'Activity data'!AO85*CREF*NtoN2O*kgtoGg</f>
        <v>2.9960131772531153</v>
      </c>
      <c r="AP90" s="22">
        <f>'Activity data'!AP85*CREF*NtoN2O*kgtoGg</f>
        <v>3.0054132680180357</v>
      </c>
      <c r="AQ90" s="22">
        <f>'Activity data'!AQ85*CREF*NtoN2O*kgtoGg</f>
        <v>3.0156942810945373</v>
      </c>
      <c r="AR90" s="22">
        <f>'Activity data'!AR85*CREF*NtoN2O*kgtoGg</f>
        <v>3.0271247430497872</v>
      </c>
      <c r="AS90" s="22">
        <f>'Activity data'!AS85*CREF*NtoN2O*kgtoGg</f>
        <v>3.0391234751628531</v>
      </c>
      <c r="AT90" s="22">
        <f>'Activity data'!AT85*CREF*NtoN2O*kgtoGg</f>
        <v>3.0519290051656554</v>
      </c>
      <c r="AU90" s="22">
        <f>'Activity data'!AU85*CREF*NtoN2O*kgtoGg</f>
        <v>3.0647621683287483</v>
      </c>
      <c r="AV90" s="22">
        <f>'Activity data'!AV85*CREF*NtoN2O*kgtoGg</f>
        <v>3.078278236610247</v>
      </c>
      <c r="AW90" s="22">
        <f>'Activity data'!AW85*CREF*NtoN2O*kgtoGg</f>
        <v>3.0917340156932256</v>
      </c>
      <c r="AX90" s="22">
        <f>'Activity data'!AX85*CREF*NtoN2O*kgtoGg</f>
        <v>3.1063223231702981</v>
      </c>
      <c r="AY90" s="22">
        <f>'Activity data'!AY85*CREF*NtoN2O*kgtoGg</f>
        <v>3.1203729101259317</v>
      </c>
      <c r="AZ90" s="22">
        <f>'Activity data'!AZ85*CREF*NtoN2O*kgtoGg</f>
        <v>3.1347791424435716</v>
      </c>
      <c r="BA90" s="22">
        <f>'Activity data'!BA85*CREF*NtoN2O*kgtoGg</f>
        <v>3.1505285322943979</v>
      </c>
      <c r="BB90" s="22">
        <f>'Activity data'!BB85*CREF*NtoN2O*kgtoGg</f>
        <v>3.165174190349632</v>
      </c>
      <c r="BC90" s="22">
        <f>'Activity data'!BC85*CREF*NtoN2O*kgtoGg</f>
        <v>3.1802123467460328</v>
      </c>
      <c r="BD90" s="22">
        <f>'Activity data'!BD85*CREF*NtoN2O*kgtoGg</f>
        <v>3.1958109430597368</v>
      </c>
      <c r="BE90" s="22">
        <f>'Activity data'!BE85*CREF*NtoN2O*kgtoGg</f>
        <v>3.2101469795788988</v>
      </c>
      <c r="BF90" s="22">
        <f>'Activity data'!BF85*CREF*NtoN2O*kgtoGg</f>
        <v>3.2240845208676738</v>
      </c>
      <c r="BG90" s="22">
        <f>'Activity data'!BG85*CREF*NtoN2O*kgtoGg</f>
        <v>3.2376774558702412</v>
      </c>
      <c r="BH90" s="22">
        <f>'Activity data'!BH85*CREF*NtoN2O*kgtoGg</f>
        <v>3.2520199943996095</v>
      </c>
      <c r="BI90" s="22">
        <f>'Activity data'!BI85*CREF*NtoN2O*kgtoGg</f>
        <v>3.2655335600173556</v>
      </c>
      <c r="BJ90" s="22">
        <f>'Activity data'!BJ85*CREF*NtoN2O*kgtoGg</f>
        <v>3.2792196850479614</v>
      </c>
      <c r="BK90" s="22">
        <f>'Activity data'!BK85*CREF*NtoN2O*kgtoGg</f>
        <v>3.2931184823478818</v>
      </c>
      <c r="BL90" s="22">
        <f>'Activity data'!BL85*CREF*NtoN2O*kgtoGg</f>
        <v>3.3072986001803124</v>
      </c>
      <c r="BM90" s="22">
        <f>'Activity data'!BM85*CREF*NtoN2O*kgtoGg</f>
        <v>3.3217008788202178</v>
      </c>
      <c r="BN90" s="22">
        <f>'Activity data'!BN85*CREF*NtoN2O*kgtoGg</f>
        <v>3.3261261868645517</v>
      </c>
      <c r="BO90" s="22">
        <f>'Activity data'!BO85*CREF*NtoN2O*kgtoGg</f>
        <v>3.3296214710028345</v>
      </c>
      <c r="BP90" s="22">
        <f>'Activity data'!BP85*CREF*NtoN2O*kgtoGg</f>
        <v>3.3317990327077256</v>
      </c>
    </row>
    <row r="91" spans="1:68" x14ac:dyDescent="0.3">
      <c r="A91" t="str">
        <f>A89</f>
        <v>3C Aggregated and non-CO2 emissions on land</v>
      </c>
      <c r="B91" t="str">
        <f>B89</f>
        <v>3C4 Direct N2O from managed soils (N2O)</v>
      </c>
      <c r="C91" t="s">
        <v>421</v>
      </c>
      <c r="D91" t="str">
        <f>'Activity data'!D50</f>
        <v xml:space="preserve"> - TMR</v>
      </c>
      <c r="E91" t="str">
        <f>C91&amp;D91</f>
        <v>MM emissions - TMR</v>
      </c>
      <c r="F91" t="str">
        <f>F89</f>
        <v>N2O</v>
      </c>
      <c r="G91" t="str">
        <f>G89</f>
        <v>Gg N2O</v>
      </c>
      <c r="H91" s="22">
        <f>'Activity data'!H50*ManureNEF*NtoN2O*kgtoGg</f>
        <v>0.26350583749371725</v>
      </c>
      <c r="I91" s="22">
        <f>'Activity data'!I50*ManureNEF*NtoN2O*kgtoGg</f>
        <v>0.30336366372659757</v>
      </c>
      <c r="J91" s="22">
        <f>'Activity data'!J50*ManureNEF*NtoN2O*kgtoGg</f>
        <v>0.26244882124379881</v>
      </c>
      <c r="K91" s="22">
        <f>'Activity data'!K50*ManureNEF*NtoN2O*kgtoGg</f>
        <v>0.27835157134088651</v>
      </c>
      <c r="L91" s="22">
        <f>'Activity data'!L50*ManureNEF*NtoN2O*kgtoGg</f>
        <v>0.25822075624412494</v>
      </c>
      <c r="M91" s="22">
        <f>'Activity data'!M50*ManureNEF*NtoN2O*kgtoGg</f>
        <v>0.27623753884104962</v>
      </c>
      <c r="N91" s="22">
        <f>'Activity data'!N50*ManureNEF*NtoN2O*kgtoGg</f>
        <v>0.27729455509096812</v>
      </c>
      <c r="O91" s="22">
        <f>'Activity data'!O50*ManureNEF*NtoN2O*kgtoGg</f>
        <v>0.26733009853274803</v>
      </c>
      <c r="P91" s="22">
        <f>'Activity data'!P50*ManureNEF*NtoN2O*kgtoGg</f>
        <v>0.26415904978299276</v>
      </c>
      <c r="Q91" s="22">
        <f>'Activity data'!Q50*ManureNEF*NtoN2O*kgtoGg</f>
        <v>0.25947967447436493</v>
      </c>
      <c r="R91" s="22">
        <f>'Activity data'!R50*ManureNEF*NtoN2O*kgtoGg</f>
        <v>0.33411214767085473</v>
      </c>
      <c r="S91" s="22">
        <f>'Activity data'!S50*ManureNEF*NtoN2O*kgtoGg</f>
        <v>0.33305513142093623</v>
      </c>
      <c r="T91" s="22">
        <f>'Activity data'!T50*ManureNEF*NtoN2O*kgtoGg</f>
        <v>0.29043006039894359</v>
      </c>
      <c r="U91" s="22">
        <f>'Activity data'!U50*ManureNEF*NtoN2O*kgtoGg</f>
        <v>0.26415904978299276</v>
      </c>
      <c r="V91" s="22">
        <f>'Activity data'!V50*ManureNEF*NtoN2O*kgtoGg</f>
        <v>0.25504970749436956</v>
      </c>
      <c r="W91" s="22">
        <f>'Activity data'!W50*ManureNEF*NtoN2O*kgtoGg</f>
        <v>0.27306649009129436</v>
      </c>
      <c r="X91" s="22">
        <f>'Activity data'!X50*ManureNEF*NtoN2O*kgtoGg</f>
        <v>0.26712819655242653</v>
      </c>
      <c r="Y91" s="22">
        <f>'Activity data'!Y50*ManureNEF*NtoN2O*kgtoGg</f>
        <v>0.26521606603291115</v>
      </c>
      <c r="Z91" s="22">
        <f>'Activity data'!Z50*ManureNEF*NtoN2O*kgtoGg</f>
        <v>0.32480090340191009</v>
      </c>
      <c r="AA91" s="22">
        <f>'Activity data'!AA50*ManureNEF*NtoN2O*kgtoGg</f>
        <v>0.33285322944061474</v>
      </c>
      <c r="AB91" s="22">
        <f>'Activity data'!AB50*ManureNEF*NtoN2O*kgtoGg</f>
        <v>0.33285322944061474</v>
      </c>
      <c r="AC91" s="22">
        <f>'Activity data'!AC50*ManureNEF*NtoN2O*kgtoGg</f>
        <v>0.32077474038255771</v>
      </c>
      <c r="AD91" s="22">
        <f>'Activity data'!AD50*ManureNEF*NtoN2O*kgtoGg</f>
        <v>0.31878106382562998</v>
      </c>
      <c r="AE91" s="22">
        <f>'Activity data'!AE50*ManureNEF*NtoN2O*kgtoGg</f>
        <v>0.32056321299147905</v>
      </c>
      <c r="AF91" s="22">
        <f>'Activity data'!AF50*ManureNEF*NtoN2O*kgtoGg</f>
        <v>0.32309177745176459</v>
      </c>
      <c r="AG91" s="22">
        <f>'Activity data'!AG50*ManureNEF*NtoN2O*kgtoGg</f>
        <v>0.32471664946511047</v>
      </c>
      <c r="AH91" s="22">
        <f>'Activity data'!AH50*ManureNEF*NtoN2O*kgtoGg</f>
        <v>0.32579638434951874</v>
      </c>
      <c r="AI91" s="22">
        <f>'Activity data'!AI50*ManureNEF*NtoN2O*kgtoGg</f>
        <v>0.32632035510276458</v>
      </c>
      <c r="AJ91" s="22">
        <f>'Activity data'!AJ50*ManureNEF*NtoN2O*kgtoGg</f>
        <v>0.32747800149861978</v>
      </c>
      <c r="AK91" s="22">
        <f>'Activity data'!AK50*ManureNEF*NtoN2O*kgtoGg</f>
        <v>0.32880601635823298</v>
      </c>
      <c r="AL91" s="22">
        <f>'Activity data'!AL50*ManureNEF*NtoN2O*kgtoGg</f>
        <v>0.31892223916812396</v>
      </c>
      <c r="AM91" s="22">
        <f>'Activity data'!AM50*ManureNEF*NtoN2O*kgtoGg</f>
        <v>0.32227574446012153</v>
      </c>
      <c r="AN91" s="22">
        <f>'Activity data'!AN50*ManureNEF*NtoN2O*kgtoGg</f>
        <v>0.32718438885789924</v>
      </c>
      <c r="AO91" s="22">
        <f>'Activity data'!AO50*ManureNEF*NtoN2O*kgtoGg</f>
        <v>0.3297286573308299</v>
      </c>
      <c r="AP91" s="22">
        <f>'Activity data'!AP50*ManureNEF*NtoN2O*kgtoGg</f>
        <v>0.33263641751266398</v>
      </c>
      <c r="AQ91" s="22">
        <f>'Activity data'!AQ50*ManureNEF*NtoN2O*kgtoGg</f>
        <v>0.3360018452717824</v>
      </c>
      <c r="AR91" s="22">
        <f>'Activity data'!AR50*ManureNEF*NtoN2O*kgtoGg</f>
        <v>0.33943858200235472</v>
      </c>
      <c r="AS91" s="22">
        <f>'Activity data'!AS50*ManureNEF*NtoN2O*kgtoGg</f>
        <v>0.34324260633991188</v>
      </c>
      <c r="AT91" s="22">
        <f>'Activity data'!AT50*ManureNEF*NtoN2O*kgtoGg</f>
        <v>0.34716446895122904</v>
      </c>
      <c r="AU91" s="22">
        <f>'Activity data'!AU50*ManureNEF*NtoN2O*kgtoGg</f>
        <v>0.35142933015547478</v>
      </c>
      <c r="AV91" s="22">
        <f>'Activity data'!AV50*ManureNEF*NtoN2O*kgtoGg</f>
        <v>0.3557903986539287</v>
      </c>
      <c r="AW91" s="22">
        <f>'Activity data'!AW50*ManureNEF*NtoN2O*kgtoGg</f>
        <v>0.36050179142942168</v>
      </c>
      <c r="AX91" s="22">
        <f>'Activity data'!AX50*ManureNEF*NtoN2O*kgtoGg</f>
        <v>0.36514941854093586</v>
      </c>
      <c r="AY91" s="22">
        <f>'Activity data'!AY50*ManureNEF*NtoN2O*kgtoGg</f>
        <v>0.37005495430435736</v>
      </c>
      <c r="AZ91" s="22">
        <f>'Activity data'!AZ50*ManureNEF*NtoN2O*kgtoGg</f>
        <v>0.37560392620070809</v>
      </c>
      <c r="BA91" s="22">
        <f>'Activity data'!BA50*ManureNEF*NtoN2O*kgtoGg</f>
        <v>0.38087972226770728</v>
      </c>
      <c r="BB91" s="22">
        <f>'Activity data'!BB50*ManureNEF*NtoN2O*kgtoGg</f>
        <v>0.38629002318967742</v>
      </c>
      <c r="BC91" s="22">
        <f>'Activity data'!BC50*ManureNEF*NtoN2O*kgtoGg</f>
        <v>0.39207609513939878</v>
      </c>
      <c r="BD91" s="22">
        <f>'Activity data'!BD50*ManureNEF*NtoN2O*kgtoGg</f>
        <v>0.39749694724838469</v>
      </c>
      <c r="BE91" s="22">
        <f>'Activity data'!BE50*ManureNEF*NtoN2O*kgtoGg</f>
        <v>0.4028883818835427</v>
      </c>
      <c r="BF91" s="22">
        <f>'Activity data'!BF50*ManureNEF*NtoN2O*kgtoGg</f>
        <v>0.40826539528750555</v>
      </c>
      <c r="BG91" s="22">
        <f>'Activity data'!BG50*ManureNEF*NtoN2O*kgtoGg</f>
        <v>0.41395411425770406</v>
      </c>
      <c r="BH91" s="22">
        <f>'Activity data'!BH50*ManureNEF*NtoN2O*kgtoGg</f>
        <v>0.41941402149436835</v>
      </c>
      <c r="BI91" s="22">
        <f>'Activity data'!BI50*ManureNEF*NtoN2O*kgtoGg</f>
        <v>0.4250859445304776</v>
      </c>
      <c r="BJ91" s="22">
        <f>'Activity data'!BJ50*ManureNEF*NtoN2O*kgtoGg</f>
        <v>0.43099575197279355</v>
      </c>
      <c r="BK91" s="22">
        <f>'Activity data'!BK50*ManureNEF*NtoN2O*kgtoGg</f>
        <v>0.43718504328373597</v>
      </c>
      <c r="BL91" s="22">
        <f>'Activity data'!BL50*ManureNEF*NtoN2O*kgtoGg</f>
        <v>0.44348381500621098</v>
      </c>
      <c r="BM91" s="22">
        <f>'Activity data'!BM50*ManureNEF*NtoN2O*kgtoGg</f>
        <v>0.44497720344404595</v>
      </c>
      <c r="BN91" s="22">
        <f>'Activity data'!BN50*ManureNEF*NtoN2O*kgtoGg</f>
        <v>0.44604004342695891</v>
      </c>
      <c r="BO91" s="22">
        <f>'Activity data'!BO50*ManureNEF*NtoN2O*kgtoGg</f>
        <v>0.44647550838656064</v>
      </c>
      <c r="BP91" s="22">
        <f>'Activity data'!BP50*ManureNEF*NtoN2O*kgtoGg</f>
        <v>0.44673845388478889</v>
      </c>
    </row>
    <row r="92" spans="1:68" x14ac:dyDescent="0.3">
      <c r="A92" t="str">
        <f t="shared" si="29"/>
        <v>3C Aggregated and non-CO2 emissions on land</v>
      </c>
      <c r="B92" t="str">
        <f t="shared" ref="B92:B134" si="31">B91</f>
        <v>3C4 Direct N2O from managed soils (N2O)</v>
      </c>
      <c r="C92" t="str">
        <f>C91</f>
        <v>MM emissions</v>
      </c>
      <c r="D92" t="str">
        <f>'Activity data'!D51</f>
        <v xml:space="preserve"> - Pasture</v>
      </c>
      <c r="E92" t="str">
        <f t="shared" ref="E92:E138" si="32">C92&amp;D92</f>
        <v>MM emissions - Pasture</v>
      </c>
      <c r="F92" t="str">
        <f t="shared" ref="F92:F106" si="33">F91</f>
        <v>N2O</v>
      </c>
      <c r="G92" t="str">
        <f t="shared" ref="G92:G106" si="34">G91</f>
        <v>Gg N2O</v>
      </c>
      <c r="H92" s="22">
        <f>'Activity data'!H51*ManureNEF*NtoN2O*kgtoGg</f>
        <v>0.76209725247791893</v>
      </c>
      <c r="I92" s="22">
        <f>'Activity data'!I51*ManureNEF*NtoN2O*kgtoGg</f>
        <v>0.87737188984736481</v>
      </c>
      <c r="J92" s="22">
        <f>'Activity data'!J51*ManureNEF*NtoN2O*kgtoGg</f>
        <v>0.75904020756555868</v>
      </c>
      <c r="K92" s="22">
        <f>'Activity data'!K51*ManureNEF*NtoN2O*kgtoGg</f>
        <v>0.80503327652792112</v>
      </c>
      <c r="L92" s="22">
        <f>'Activity data'!L51*ManureNEF*NtoN2O*kgtoGg</f>
        <v>0.74681202791611823</v>
      </c>
      <c r="M92" s="22">
        <f>'Activity data'!M51*ManureNEF*NtoN2O*kgtoGg</f>
        <v>0.79891918670320072</v>
      </c>
      <c r="N92" s="22">
        <f>'Activity data'!N51*ManureNEF*NtoN2O*kgtoGg</f>
        <v>0.80197623161556097</v>
      </c>
      <c r="O92" s="22">
        <f>'Activity data'!O51*ManureNEF*NtoN2O*kgtoGg</f>
        <v>0.77315757227319948</v>
      </c>
      <c r="P92" s="22">
        <f>'Activity data'!P51*ManureNEF*NtoN2O*kgtoGg</f>
        <v>0.76398643753611906</v>
      </c>
      <c r="Q92" s="22">
        <f>'Activity data'!Q51*ManureNEF*NtoN2O*kgtoGg</f>
        <v>0.75045300275555815</v>
      </c>
      <c r="R92" s="22">
        <f>'Activity data'!R51*ManureNEF*NtoN2O*kgtoGg</f>
        <v>0.96630098285972954</v>
      </c>
      <c r="S92" s="22">
        <f>'Activity data'!S51*ManureNEF*NtoN2O*kgtoGg</f>
        <v>0.9632439379473694</v>
      </c>
      <c r="T92" s="22">
        <f>'Activity data'!T51*ManureNEF*NtoN2O*kgtoGg</f>
        <v>0.83996602569500267</v>
      </c>
      <c r="U92" s="22">
        <f>'Activity data'!U51*ManureNEF*NtoN2O*kgtoGg</f>
        <v>0.76398643753611906</v>
      </c>
      <c r="V92" s="22">
        <f>'Activity data'!V51*ManureNEF*NtoN2O*kgtoGg</f>
        <v>0.73764089317903758</v>
      </c>
      <c r="W92" s="22">
        <f>'Activity data'!W51*ManureNEF*NtoN2O*kgtoGg</f>
        <v>0.78974805196612041</v>
      </c>
      <c r="X92" s="22">
        <f>'Activity data'!X51*ManureNEF*NtoN2O*kgtoGg</f>
        <v>0.77257364234611936</v>
      </c>
      <c r="Y92" s="22">
        <f>'Activity data'!Y51*ManureNEF*NtoN2O*kgtoGg</f>
        <v>0.7670434824484792</v>
      </c>
      <c r="Z92" s="22">
        <f>'Activity data'!Z51*ManureNEF*NtoN2O*kgtoGg</f>
        <v>0.93937150857556795</v>
      </c>
      <c r="AA92" s="22">
        <f>'Activity data'!AA51*ManureNEF*NtoN2O*kgtoGg</f>
        <v>0.96266000802028917</v>
      </c>
      <c r="AB92" s="22">
        <f>'Activity data'!AB51*ManureNEF*NtoN2O*kgtoGg</f>
        <v>0.96266000802028917</v>
      </c>
      <c r="AC92" s="22">
        <f>'Activity data'!AC51*ManureNEF*NtoN2O*kgtoGg</f>
        <v>0.92772725885320717</v>
      </c>
      <c r="AD92" s="22">
        <f>'Activity data'!AD51*ManureNEF*NtoN2O*kgtoGg</f>
        <v>0.93210651077804862</v>
      </c>
      <c r="AE92" s="22">
        <f>'Activity data'!AE51*ManureNEF*NtoN2O*kgtoGg</f>
        <v>0.93731746283627471</v>
      </c>
      <c r="AF92" s="22">
        <f>'Activity data'!AF51*ManureNEF*NtoN2O*kgtoGg</f>
        <v>0.94471091139331731</v>
      </c>
      <c r="AG92" s="22">
        <f>'Activity data'!AG51*ManureNEF*NtoN2O*kgtoGg</f>
        <v>0.94946198965576145</v>
      </c>
      <c r="AH92" s="22">
        <f>'Activity data'!AH51*ManureNEF*NtoN2O*kgtoGg</f>
        <v>0.95261910289076079</v>
      </c>
      <c r="AI92" s="22">
        <f>'Activity data'!AI51*ManureNEF*NtoN2O*kgtoGg</f>
        <v>0.95415117805450056</v>
      </c>
      <c r="AJ92" s="22">
        <f>'Activity data'!AJ51*ManureNEF*NtoN2O*kgtoGg</f>
        <v>0.95753610227115837</v>
      </c>
      <c r="AK92" s="22">
        <f>'Activity data'!AK51*ManureNEF*NtoN2O*kgtoGg</f>
        <v>0.96141917889497119</v>
      </c>
      <c r="AL92" s="22">
        <f>'Activity data'!AL51*ManureNEF*NtoN2O*kgtoGg</f>
        <v>0.93251930335211441</v>
      </c>
      <c r="AM92" s="22">
        <f>'Activity data'!AM51*ManureNEF*NtoN2O*kgtoGg</f>
        <v>0.94232485478320349</v>
      </c>
      <c r="AN92" s="22">
        <f>'Activity data'!AN51*ManureNEF*NtoN2O*kgtoGg</f>
        <v>0.95667758749371812</v>
      </c>
      <c r="AO92" s="22">
        <f>'Activity data'!AO51*ManureNEF*NtoN2O*kgtoGg</f>
        <v>0.96411695412461496</v>
      </c>
      <c r="AP92" s="22">
        <f>'Activity data'!AP51*ManureNEF*NtoN2O*kgtoGg</f>
        <v>0.97261915988534076</v>
      </c>
      <c r="AQ92" s="22">
        <f>'Activity data'!AQ51*ManureNEF*NtoN2O*kgtoGg</f>
        <v>0.98245957226172753</v>
      </c>
      <c r="AR92" s="22">
        <f>'Activity data'!AR51*ManureNEF*NtoN2O*kgtoGg</f>
        <v>0.99250848998586416</v>
      </c>
      <c r="AS92" s="22">
        <f>'Activity data'!AS51*ManureNEF*NtoN2O*kgtoGg</f>
        <v>1.0036313459348443</v>
      </c>
      <c r="AT92" s="22">
        <f>'Activity data'!AT51*ManureNEF*NtoN2O*kgtoGg</f>
        <v>1.0150987575511923</v>
      </c>
      <c r="AU92" s="22">
        <f>'Activity data'!AU51*ManureNEF*NtoN2O*kgtoGg</f>
        <v>1.0275690870253942</v>
      </c>
      <c r="AV92" s="22">
        <f>'Activity data'!AV51*ManureNEF*NtoN2O*kgtoGg</f>
        <v>1.0403207238151548</v>
      </c>
      <c r="AW92" s="22">
        <f>'Activity data'!AW51*ManureNEF*NtoN2O*kgtoGg</f>
        <v>1.054096698548936</v>
      </c>
      <c r="AX92" s="22">
        <f>'Activity data'!AX51*ManureNEF*NtoN2O*kgtoGg</f>
        <v>1.0676862243454883</v>
      </c>
      <c r="AY92" s="22">
        <f>'Activity data'!AY51*ManureNEF*NtoN2O*kgtoGg</f>
        <v>1.0820298675000297</v>
      </c>
      <c r="AZ92" s="22">
        <f>'Activity data'!AZ51*ManureNEF*NtoN2O*kgtoGg</f>
        <v>1.0982548990958272</v>
      </c>
      <c r="BA92" s="22">
        <f>'Activity data'!BA51*ManureNEF*NtoN2O*kgtoGg</f>
        <v>1.1136811725531401</v>
      </c>
      <c r="BB92" s="22">
        <f>'Activity data'!BB51*ManureNEF*NtoN2O*kgtoGg</f>
        <v>1.1295007342740186</v>
      </c>
      <c r="BC92" s="22">
        <f>'Activity data'!BC51*ManureNEF*NtoN2O*kgtoGg</f>
        <v>1.146419039494041</v>
      </c>
      <c r="BD92" s="22">
        <f>'Activity data'!BD51*ManureNEF*NtoN2O*kgtoGg</f>
        <v>1.1622694525772803</v>
      </c>
      <c r="BE92" s="22">
        <f>'Activity data'!BE51*ManureNEF*NtoN2O*kgtoGg</f>
        <v>1.1780338498270926</v>
      </c>
      <c r="BF92" s="22">
        <f>'Activity data'!BF51*ManureNEF*NtoN2O*kgtoGg</f>
        <v>1.1937560798185081</v>
      </c>
      <c r="BG92" s="22">
        <f>'Activity data'!BG51*ManureNEF*NtoN2O*kgtoGg</f>
        <v>1.2103897277726068</v>
      </c>
      <c r="BH92" s="22">
        <f>'Activity data'!BH51*ManureNEF*NtoN2O*kgtoGg</f>
        <v>1.2263543369073659</v>
      </c>
      <c r="BI92" s="22">
        <f>'Activity data'!BI51*ManureNEF*NtoN2O*kgtoGg</f>
        <v>1.2429388740412319</v>
      </c>
      <c r="BJ92" s="22">
        <f>'Activity data'!BJ51*ManureNEF*NtoN2O*kgtoGg</f>
        <v>1.260218978224084</v>
      </c>
      <c r="BK92" s="22">
        <f>'Activity data'!BK51*ManureNEF*NtoN2O*kgtoGg</f>
        <v>1.2783162850678402</v>
      </c>
      <c r="BL92" s="22">
        <f>'Activity data'!BL51*ManureNEF*NtoN2O*kgtoGg</f>
        <v>1.2967337094341598</v>
      </c>
      <c r="BM92" s="22">
        <f>'Activity data'!BM51*ManureNEF*NtoN2O*kgtoGg</f>
        <v>1.3011003335658498</v>
      </c>
      <c r="BN92" s="22">
        <f>'Activity data'!BN51*ManureNEF*NtoN2O*kgtoGg</f>
        <v>1.3042080466028143</v>
      </c>
      <c r="BO92" s="22">
        <f>'Activity data'!BO51*ManureNEF*NtoN2O*kgtoGg</f>
        <v>1.3054813334134847</v>
      </c>
      <c r="BP92" s="22">
        <f>'Activity data'!BP51*ManureNEF*NtoN2O*kgtoGg</f>
        <v>1.3062501783628579</v>
      </c>
    </row>
    <row r="93" spans="1:68" x14ac:dyDescent="0.3">
      <c r="A93" t="str">
        <f t="shared" si="29"/>
        <v>3C Aggregated and non-CO2 emissions on land</v>
      </c>
      <c r="B93" t="str">
        <f t="shared" si="31"/>
        <v>3C4 Direct N2O from managed soils (N2O)</v>
      </c>
      <c r="C93" t="str">
        <f t="shared" ref="C93:C106" si="35">C92</f>
        <v>MM emissions</v>
      </c>
      <c r="D93" t="str">
        <f>'Activity data'!D52</f>
        <v xml:space="preserve"> - Non-lactating</v>
      </c>
      <c r="E93" t="str">
        <f t="shared" si="32"/>
        <v>MM emissions - Non-lactating</v>
      </c>
      <c r="F93" t="str">
        <f t="shared" si="33"/>
        <v>N2O</v>
      </c>
      <c r="G93" t="str">
        <f t="shared" si="34"/>
        <v>Gg N2O</v>
      </c>
      <c r="H93" s="22">
        <f>'Activity data'!H52*ManureNEF*NtoN2O*kgtoGg</f>
        <v>4.8126809955822768E-2</v>
      </c>
      <c r="I93" s="22">
        <f>'Activity data'!I52*ManureNEF*NtoN2O*kgtoGg</f>
        <v>5.4703801917722318E-2</v>
      </c>
      <c r="J93" s="22">
        <f>'Activity data'!J52*ManureNEF*NtoN2O*kgtoGg</f>
        <v>4.73189311103272E-2</v>
      </c>
      <c r="K93" s="22">
        <f>'Activity data'!K52*ManureNEF*NtoN2O*kgtoGg</f>
        <v>4.9520758530788335E-2</v>
      </c>
      <c r="L93" s="22">
        <f>'Activity data'!L52*ManureNEF*NtoN2O*kgtoGg</f>
        <v>4.4087415728345042E-2</v>
      </c>
      <c r="M93" s="22">
        <f>'Activity data'!M52*ManureNEF*NtoN2O*kgtoGg</f>
        <v>4.7905000839797235E-2</v>
      </c>
      <c r="N93" s="22">
        <f>'Activity data'!N52*ManureNEF*NtoN2O*kgtoGg</f>
        <v>4.8712879685292768E-2</v>
      </c>
      <c r="O93" s="22">
        <f>'Activity data'!O52*ManureNEF*NtoN2O*kgtoGg</f>
        <v>4.7068631694817883E-2</v>
      </c>
      <c r="P93" s="22">
        <f>'Activity data'!P52*ManureNEF*NtoN2O*kgtoGg</f>
        <v>4.4644995158331258E-2</v>
      </c>
      <c r="Q93" s="22">
        <f>'Activity data'!Q52*ManureNEF*NtoN2O*kgtoGg</f>
        <v>4.7040141395334092E-2</v>
      </c>
      <c r="R93" s="22">
        <f>'Activity data'!R52*ManureNEF*NtoN2O*kgtoGg</f>
        <v>5.8299577913148978E-2</v>
      </c>
      <c r="S93" s="22">
        <f>'Activity data'!S52*ManureNEF*NtoN2O*kgtoGg</f>
        <v>5.7491699067653446E-2</v>
      </c>
      <c r="T93" s="22">
        <f>'Activity data'!T52*ManureNEF*NtoN2O*kgtoGg</f>
        <v>5.2780764212254298E-2</v>
      </c>
      <c r="U93" s="22">
        <f>'Activity data'!U52*ManureNEF*NtoN2O*kgtoGg</f>
        <v>4.4644995158331258E-2</v>
      </c>
      <c r="V93" s="22">
        <f>'Activity data'!V52*ManureNEF*NtoN2O*kgtoGg</f>
        <v>4.1663779191858388E-2</v>
      </c>
      <c r="W93" s="22">
        <f>'Activity data'!W52*ManureNEF*NtoN2O*kgtoGg</f>
        <v>4.5481364303310602E-2</v>
      </c>
      <c r="X93" s="22">
        <f>'Activity data'!X52*ManureNEF*NtoN2O*kgtoGg</f>
        <v>4.4923784873324366E-2</v>
      </c>
      <c r="Y93" s="22">
        <f>'Activity data'!Y52*ManureNEF*NtoN2O*kgtoGg</f>
        <v>4.5452874003826804E-2</v>
      </c>
      <c r="Z93" s="22">
        <f>'Activity data'!Z52*ManureNEF*NtoN2O*kgtoGg</f>
        <v>5.3173515125182619E-2</v>
      </c>
      <c r="AA93" s="22">
        <f>'Activity data'!AA52*ManureNEF*NtoN2O*kgtoGg</f>
        <v>5.5346852246159921E-2</v>
      </c>
      <c r="AB93" s="22">
        <f>'Activity data'!AB52*ManureNEF*NtoN2O*kgtoGg</f>
        <v>5.5346852246159921E-2</v>
      </c>
      <c r="AC93" s="22">
        <f>'Activity data'!AC52*ManureNEF*NtoN2O*kgtoGg</f>
        <v>5.2086846564693957E-2</v>
      </c>
      <c r="AD93" s="22">
        <f>'Activity data'!AD52*ManureNEF*NtoN2O*kgtoGg</f>
        <v>4.9862442750846919E-2</v>
      </c>
      <c r="AE93" s="22">
        <f>'Activity data'!AE52*ManureNEF*NtoN2O*kgtoGg</f>
        <v>5.0141199304605803E-2</v>
      </c>
      <c r="AF93" s="22">
        <f>'Activity data'!AF52*ManureNEF*NtoN2O*kgtoGg</f>
        <v>5.0536707115294892E-2</v>
      </c>
      <c r="AG93" s="22">
        <f>'Activity data'!AG52*ManureNEF*NtoN2O*kgtoGg</f>
        <v>5.0790863013925151E-2</v>
      </c>
      <c r="AH93" s="22">
        <f>'Activity data'!AH52*ManureNEF*NtoN2O*kgtoGg</f>
        <v>5.0959750770976316E-2</v>
      </c>
      <c r="AI93" s="22">
        <f>'Activity data'!AI52*ManureNEF*NtoN2O*kgtoGg</f>
        <v>5.1041708153806091E-2</v>
      </c>
      <c r="AJ93" s="22">
        <f>'Activity data'!AJ52*ManureNEF*NtoN2O*kgtoGg</f>
        <v>5.122278251388987E-2</v>
      </c>
      <c r="AK93" s="22">
        <f>'Activity data'!AK52*ManureNEF*NtoN2O*kgtoGg</f>
        <v>5.1430505218981168E-2</v>
      </c>
      <c r="AL93" s="22">
        <f>'Activity data'!AL52*ManureNEF*NtoN2O*kgtoGg</f>
        <v>4.9884524826075798E-2</v>
      </c>
      <c r="AM93" s="22">
        <f>'Activity data'!AM52*ManureNEF*NtoN2O*kgtoGg</f>
        <v>5.0409066540160655E-2</v>
      </c>
      <c r="AN93" s="22">
        <f>'Activity data'!AN52*ManureNEF*NtoN2O*kgtoGg</f>
        <v>5.1176856813934052E-2</v>
      </c>
      <c r="AO93" s="22">
        <f>'Activity data'!AO52*ManureNEF*NtoN2O*kgtoGg</f>
        <v>5.1574820982670536E-2</v>
      </c>
      <c r="AP93" s="22">
        <f>'Activity data'!AP52*ManureNEF*NtoN2O*kgtoGg</f>
        <v>5.2029641052156198E-2</v>
      </c>
      <c r="AQ93" s="22">
        <f>'Activity data'!AQ52*ManureNEF*NtoN2O*kgtoGg</f>
        <v>5.255604763025503E-2</v>
      </c>
      <c r="AR93" s="22">
        <f>'Activity data'!AR52*ManureNEF*NtoN2O*kgtoGg</f>
        <v>5.3093608068824946E-2</v>
      </c>
      <c r="AS93" s="22">
        <f>'Activity data'!AS52*ManureNEF*NtoN2O*kgtoGg</f>
        <v>5.3688618147146365E-2</v>
      </c>
      <c r="AT93" s="22">
        <f>'Activity data'!AT52*ManureNEF*NtoN2O*kgtoGg</f>
        <v>5.4302060010934287E-2</v>
      </c>
      <c r="AU93" s="22">
        <f>'Activity data'!AU52*ManureNEF*NtoN2O*kgtoGg</f>
        <v>5.4969152325279956E-2</v>
      </c>
      <c r="AV93" s="22">
        <f>'Activity data'!AV52*ManureNEF*NtoN2O*kgtoGg</f>
        <v>5.5651292994888926E-2</v>
      </c>
      <c r="AW93" s="22">
        <f>'Activity data'!AW52*ManureNEF*NtoN2O*kgtoGg</f>
        <v>5.6388229968890861E-2</v>
      </c>
      <c r="AX93" s="22">
        <f>'Activity data'!AX52*ManureNEF*NtoN2O*kgtoGg</f>
        <v>5.711519297602205E-2</v>
      </c>
      <c r="AY93" s="22">
        <f>'Activity data'!AY52*ManureNEF*NtoN2O*kgtoGg</f>
        <v>5.7882497009801276E-2</v>
      </c>
      <c r="AZ93" s="22">
        <f>'Activity data'!AZ52*ManureNEF*NtoN2O*kgtoGg</f>
        <v>5.8750444717194539E-2</v>
      </c>
      <c r="BA93" s="22">
        <f>'Activity data'!BA52*ManureNEF*NtoN2O*kgtoGg</f>
        <v>5.9575663367885126E-2</v>
      </c>
      <c r="BB93" s="22">
        <f>'Activity data'!BB52*ManureNEF*NtoN2O*kgtoGg</f>
        <v>6.0421920723165649E-2</v>
      </c>
      <c r="BC93" s="22">
        <f>'Activity data'!BC52*ManureNEF*NtoN2O*kgtoGg</f>
        <v>6.1326954660511038E-2</v>
      </c>
      <c r="BD93" s="22">
        <f>'Activity data'!BD52*ManureNEF*NtoN2O*kgtoGg</f>
        <v>6.2174862389725999E-2</v>
      </c>
      <c r="BE93" s="22">
        <f>'Activity data'!BE52*ManureNEF*NtoN2O*kgtoGg</f>
        <v>6.3018168756843018E-2</v>
      </c>
      <c r="BF93" s="22">
        <f>'Activity data'!BF52*ManureNEF*NtoN2O*kgtoGg</f>
        <v>6.3859219413391094E-2</v>
      </c>
      <c r="BG93" s="22">
        <f>'Activity data'!BG52*ManureNEF*NtoN2O*kgtoGg</f>
        <v>6.4749025792016954E-2</v>
      </c>
      <c r="BH93" s="22">
        <f>'Activity data'!BH52*ManureNEF*NtoN2O*kgtoGg</f>
        <v>6.5603042366106867E-2</v>
      </c>
      <c r="BI93" s="22">
        <f>'Activity data'!BI52*ManureNEF*NtoN2O*kgtoGg</f>
        <v>6.6490221592755999E-2</v>
      </c>
      <c r="BJ93" s="22">
        <f>'Activity data'!BJ52*ManureNEF*NtoN2O*kgtoGg</f>
        <v>6.7414609734650743E-2</v>
      </c>
      <c r="BK93" s="22">
        <f>'Activity data'!BK52*ManureNEF*NtoN2O*kgtoGg</f>
        <v>6.8382713611200324E-2</v>
      </c>
      <c r="BL93" s="22">
        <f>'Activity data'!BL52*ManureNEF*NtoN2O*kgtoGg</f>
        <v>6.9367941970261027E-2</v>
      </c>
      <c r="BM93" s="22">
        <f>'Activity data'!BM52*ManureNEF*NtoN2O*kgtoGg</f>
        <v>6.9601531740596523E-2</v>
      </c>
      <c r="BN93" s="22">
        <f>'Activity data'!BN52*ManureNEF*NtoN2O*kgtoGg</f>
        <v>6.9767776865590186E-2</v>
      </c>
      <c r="BO93" s="22">
        <f>'Activity data'!BO52*ManureNEF*NtoN2O*kgtoGg</f>
        <v>6.983589053067922E-2</v>
      </c>
      <c r="BP93" s="22">
        <f>'Activity data'!BP52*ManureNEF*NtoN2O*kgtoGg</f>
        <v>6.9877019400426524E-2</v>
      </c>
    </row>
    <row r="94" spans="1:68" x14ac:dyDescent="0.3">
      <c r="A94" t="str">
        <f t="shared" si="29"/>
        <v>3C Aggregated and non-CO2 emissions on land</v>
      </c>
      <c r="B94" t="str">
        <f t="shared" si="31"/>
        <v>3C4 Direct N2O from managed soils (N2O)</v>
      </c>
      <c r="C94" t="str">
        <f t="shared" si="35"/>
        <v>MM emissions</v>
      </c>
      <c r="D94" t="str">
        <f>'Activity data'!D53</f>
        <v xml:space="preserve"> - Commercial cattle</v>
      </c>
      <c r="E94" t="str">
        <f t="shared" si="32"/>
        <v>MM emissions - Commercial cattle</v>
      </c>
      <c r="F94" t="str">
        <f t="shared" si="33"/>
        <v>N2O</v>
      </c>
      <c r="G94" t="str">
        <f t="shared" si="34"/>
        <v>Gg N2O</v>
      </c>
      <c r="H94" s="22">
        <f>'Activity data'!H53*ManureNEF*NtoN2O*kgtoGg</f>
        <v>0.45791661524455107</v>
      </c>
      <c r="I94" s="22">
        <f>'Activity data'!I53*ManureNEF*NtoN2O*kgtoGg</f>
        <v>0.43815199614411882</v>
      </c>
      <c r="J94" s="22">
        <f>'Activity data'!J53*ManureNEF*NtoN2O*kgtoGg</f>
        <v>0.43799279906939059</v>
      </c>
      <c r="K94" s="22">
        <f>'Activity data'!K53*ManureNEF*NtoN2O*kgtoGg</f>
        <v>0.40975782084523449</v>
      </c>
      <c r="L94" s="22">
        <f>'Activity data'!L53*ManureNEF*NtoN2O*kgtoGg</f>
        <v>0.42211070778300469</v>
      </c>
      <c r="M94" s="22">
        <f>'Activity data'!M53*ManureNEF*NtoN2O*kgtoGg</f>
        <v>0.43170820906450869</v>
      </c>
      <c r="N94" s="22">
        <f>'Activity data'!N53*ManureNEF*NtoN2O*kgtoGg</f>
        <v>0.44961687239500847</v>
      </c>
      <c r="O94" s="22">
        <f>'Activity data'!O53*ManureNEF*NtoN2O*kgtoGg</f>
        <v>0.46664894423808073</v>
      </c>
      <c r="P94" s="22">
        <f>'Activity data'!P53*ManureNEF*NtoN2O*kgtoGg</f>
        <v>0.47069066912685531</v>
      </c>
      <c r="Q94" s="22">
        <f>'Activity data'!Q53*ManureNEF*NtoN2O*kgtoGg</f>
        <v>0.46307406309165272</v>
      </c>
      <c r="R94" s="22">
        <f>'Activity data'!R53*ManureNEF*NtoN2O*kgtoGg</f>
        <v>0.43161685546888418</v>
      </c>
      <c r="S94" s="22">
        <f>'Activity data'!S53*ManureNEF*NtoN2O*kgtoGg</f>
        <v>0.43385972058499156</v>
      </c>
      <c r="T94" s="22">
        <f>'Activity data'!T53*ManureNEF*NtoN2O*kgtoGg</f>
        <v>0.40436124152723313</v>
      </c>
      <c r="U94" s="22">
        <f>'Activity data'!U53*ManureNEF*NtoN2O*kgtoGg</f>
        <v>0.41493810709124229</v>
      </c>
      <c r="V94" s="22">
        <f>'Activity data'!V53*ManureNEF*NtoN2O*kgtoGg</f>
        <v>0.41876353890802326</v>
      </c>
      <c r="W94" s="22">
        <f>'Activity data'!W53*ManureNEF*NtoN2O*kgtoGg</f>
        <v>0.42231558165554511</v>
      </c>
      <c r="X94" s="22">
        <f>'Activity data'!X53*ManureNEF*NtoN2O*kgtoGg</f>
        <v>0.41269524197513491</v>
      </c>
      <c r="Y94" s="22">
        <f>'Activity data'!Y53*ManureNEF*NtoN2O*kgtoGg</f>
        <v>0.42478615904309913</v>
      </c>
      <c r="Z94" s="22">
        <f>'Activity data'!Z53*ManureNEF*NtoN2O*kgtoGg</f>
        <v>0.41298221653315503</v>
      </c>
      <c r="AA94" s="22">
        <f>'Activity data'!AA53*ManureNEF*NtoN2O*kgtoGg</f>
        <v>0.40604796364174167</v>
      </c>
      <c r="AB94" s="22">
        <f>'Activity data'!AB53*ManureNEF*NtoN2O*kgtoGg</f>
        <v>0.40477150425581887</v>
      </c>
      <c r="AC94" s="22">
        <f>'Activity data'!AC53*ManureNEF*NtoN2O*kgtoGg</f>
        <v>0.40331805287602013</v>
      </c>
      <c r="AD94" s="22">
        <f>'Activity data'!AD53*ManureNEF*NtoN2O*kgtoGg</f>
        <v>0.3999997899835232</v>
      </c>
      <c r="AE94" s="22">
        <f>'Activity data'!AE53*ManureNEF*NtoN2O*kgtoGg</f>
        <v>0.39653071954810187</v>
      </c>
      <c r="AF94" s="22">
        <f>'Activity data'!AF53*ManureNEF*NtoN2O*kgtoGg</f>
        <v>0.39521014945095023</v>
      </c>
      <c r="AG94" s="22">
        <f>'Activity data'!AG53*ManureNEF*NtoN2O*kgtoGg</f>
        <v>0.38993263522397309</v>
      </c>
      <c r="AH94" s="22">
        <f>'Activity data'!AH53*ManureNEF*NtoN2O*kgtoGg</f>
        <v>0.382272194437701</v>
      </c>
      <c r="AI94" s="22">
        <f>'Activity data'!AI53*ManureNEF*NtoN2O*kgtoGg</f>
        <v>0.37238723301511378</v>
      </c>
      <c r="AJ94" s="22">
        <f>'Activity data'!AJ53*ManureNEF*NtoN2O*kgtoGg</f>
        <v>0.36459067483623875</v>
      </c>
      <c r="AK94" s="22">
        <f>'Activity data'!AK53*ManureNEF*NtoN2O*kgtoGg</f>
        <v>0.3572142444544395</v>
      </c>
      <c r="AL94" s="22">
        <f>'Activity data'!AL53*ManureNEF*NtoN2O*kgtoGg</f>
        <v>0.31424439964767104</v>
      </c>
      <c r="AM94" s="22">
        <f>'Activity data'!AM53*ManureNEF*NtoN2O*kgtoGg</f>
        <v>0.31934867566353531</v>
      </c>
      <c r="AN94" s="22">
        <f>'Activity data'!AN53*ManureNEF*NtoN2O*kgtoGg</f>
        <v>0.32887086359473244</v>
      </c>
      <c r="AO94" s="22">
        <f>'Activity data'!AO53*ManureNEF*NtoN2O*kgtoGg</f>
        <v>0.33077255450985388</v>
      </c>
      <c r="AP94" s="22">
        <f>'Activity data'!AP53*ManureNEF*NtoN2O*kgtoGg</f>
        <v>0.33351533974002295</v>
      </c>
      <c r="AQ94" s="22">
        <f>'Activity data'!AQ53*ManureNEF*NtoN2O*kgtoGg</f>
        <v>0.33734158563652278</v>
      </c>
      <c r="AR94" s="22">
        <f>'Activity data'!AR53*ManureNEF*NtoN2O*kgtoGg</f>
        <v>0.34173046425936165</v>
      </c>
      <c r="AS94" s="22">
        <f>'Activity data'!AS53*ManureNEF*NtoN2O*kgtoGg</f>
        <v>0.34687619399861491</v>
      </c>
      <c r="AT94" s="22">
        <f>'Activity data'!AT53*ManureNEF*NtoN2O*kgtoGg</f>
        <v>0.35204565699464252</v>
      </c>
      <c r="AU94" s="22">
        <f>'Activity data'!AU53*ManureNEF*NtoN2O*kgtoGg</f>
        <v>0.35785970773870229</v>
      </c>
      <c r="AV94" s="22">
        <f>'Activity data'!AV53*ManureNEF*NtoN2O*kgtoGg</f>
        <v>0.36361606039285416</v>
      </c>
      <c r="AW94" s="22">
        <f>'Activity data'!AW53*ManureNEF*NtoN2O*kgtoGg</f>
        <v>0.36736576480920718</v>
      </c>
      <c r="AX94" s="22">
        <f>'Activity data'!AX53*ManureNEF*NtoN2O*kgtoGg</f>
        <v>0.37044453344609923</v>
      </c>
      <c r="AY94" s="22">
        <f>'Activity data'!AY53*ManureNEF*NtoN2O*kgtoGg</f>
        <v>0.37369707806666508</v>
      </c>
      <c r="AZ94" s="22">
        <f>'Activity data'!AZ53*ManureNEF*NtoN2O*kgtoGg</f>
        <v>0.37804894622531426</v>
      </c>
      <c r="BA94" s="22">
        <f>'Activity data'!BA53*ManureNEF*NtoN2O*kgtoGg</f>
        <v>0.38117866346584023</v>
      </c>
      <c r="BB94" s="22">
        <f>'Activity data'!BB53*ManureNEF*NtoN2O*kgtoGg</f>
        <v>0.38451417084428363</v>
      </c>
      <c r="BC94" s="22">
        <f>'Activity data'!BC53*ManureNEF*NtoN2O*kgtoGg</f>
        <v>0.38818587422632583</v>
      </c>
      <c r="BD94" s="22">
        <f>'Activity data'!BD53*ManureNEF*NtoN2O*kgtoGg</f>
        <v>0.39047383423356319</v>
      </c>
      <c r="BE94" s="22">
        <f>'Activity data'!BE53*ManureNEF*NtoN2O*kgtoGg</f>
        <v>0.39219030360024004</v>
      </c>
      <c r="BF94" s="22">
        <f>'Activity data'!BF53*ManureNEF*NtoN2O*kgtoGg</f>
        <v>0.39338421797559098</v>
      </c>
      <c r="BG94" s="22">
        <f>'Activity data'!BG53*ManureNEF*NtoN2O*kgtoGg</f>
        <v>0.39709578221714281</v>
      </c>
      <c r="BH94" s="22">
        <f>'Activity data'!BH53*ManureNEF*NtoN2O*kgtoGg</f>
        <v>0.39991704090429331</v>
      </c>
      <c r="BI94" s="22">
        <f>'Activity data'!BI53*ManureNEF*NtoN2O*kgtoGg</f>
        <v>0.40277391205281804</v>
      </c>
      <c r="BJ94" s="22">
        <f>'Activity data'!BJ53*ManureNEF*NtoN2O*kgtoGg</f>
        <v>0.40569907697718249</v>
      </c>
      <c r="BK94" s="22">
        <f>'Activity data'!BK53*ManureNEF*NtoN2O*kgtoGg</f>
        <v>0.40875152256691355</v>
      </c>
      <c r="BL94" s="22">
        <f>'Activity data'!BL53*ManureNEF*NtoN2O*kgtoGg</f>
        <v>0.41188557339004239</v>
      </c>
      <c r="BM94" s="22">
        <f>'Activity data'!BM53*ManureNEF*NtoN2O*kgtoGg</f>
        <v>0.4057032930761475</v>
      </c>
      <c r="BN94" s="22">
        <f>'Activity data'!BN53*ManureNEF*NtoN2O*kgtoGg</f>
        <v>0.3986998092121265</v>
      </c>
      <c r="BO94" s="22">
        <f>'Activity data'!BO53*ManureNEF*NtoN2O*kgtoGg</f>
        <v>0.39058052493607326</v>
      </c>
      <c r="BP94" s="22">
        <f>'Activity data'!BP53*ManureNEF*NtoN2O*kgtoGg</f>
        <v>0.38220678819508502</v>
      </c>
    </row>
    <row r="95" spans="1:68" x14ac:dyDescent="0.3">
      <c r="A95" t="str">
        <f t="shared" si="29"/>
        <v>3C Aggregated and non-CO2 emissions on land</v>
      </c>
      <c r="B95" t="str">
        <f t="shared" si="31"/>
        <v>3C4 Direct N2O from managed soils (N2O)</v>
      </c>
      <c r="C95" t="str">
        <f t="shared" si="35"/>
        <v>MM emissions</v>
      </c>
      <c r="D95" t="str">
        <f>'Activity data'!D54</f>
        <v xml:space="preserve"> - Subsistence cattle</v>
      </c>
      <c r="E95" t="str">
        <f t="shared" si="32"/>
        <v>MM emissions - Subsistence cattle</v>
      </c>
      <c r="F95" t="str">
        <f t="shared" si="33"/>
        <v>N2O</v>
      </c>
      <c r="G95" t="str">
        <f t="shared" si="34"/>
        <v>Gg N2O</v>
      </c>
      <c r="H95" s="22">
        <f>'Activity data'!H54*ManureNEF*NtoN2O*kgtoGg</f>
        <v>2.3123208692915074</v>
      </c>
      <c r="I95" s="22">
        <f>'Activity data'!I54*ManureNEF*NtoN2O*kgtoGg</f>
        <v>2.4533774800543875</v>
      </c>
      <c r="J95" s="22">
        <f>'Activity data'!J54*ManureNEF*NtoN2O*kgtoGg</f>
        <v>2.5692454103238966</v>
      </c>
      <c r="K95" s="22">
        <f>'Activity data'!K54*ManureNEF*NtoN2O*kgtoGg</f>
        <v>2.5390189937318506</v>
      </c>
      <c r="L95" s="22">
        <f>'Activity data'!L54*ManureNEF*NtoN2O*kgtoGg</f>
        <v>2.2115661473180213</v>
      </c>
      <c r="M95" s="22">
        <f>'Activity data'!M54*ManureNEF*NtoN2O*kgtoGg</f>
        <v>2.1360001058379061</v>
      </c>
      <c r="N95" s="22">
        <f>'Activity data'!N54*ManureNEF*NtoN2O*kgtoGg</f>
        <v>2.1964529390219978</v>
      </c>
      <c r="O95" s="22">
        <f>'Activity data'!O54*ManureNEF*NtoN2O*kgtoGg</f>
        <v>2.2972076609954839</v>
      </c>
      <c r="P95" s="22">
        <f>'Activity data'!P54*ManureNEF*NtoN2O*kgtoGg</f>
        <v>2.4382642717583649</v>
      </c>
      <c r="Q95" s="22">
        <f>'Activity data'!Q54*ManureNEF*NtoN2O*kgtoGg</f>
        <v>2.5390189937318506</v>
      </c>
      <c r="R95" s="22">
        <f>'Activity data'!R54*ManureNEF*NtoN2O*kgtoGg</f>
        <v>2.4785661605477589</v>
      </c>
      <c r="S95" s="22">
        <f>'Activity data'!S54*ManureNEF*NtoN2O*kgtoGg</f>
        <v>2.4181133273636677</v>
      </c>
      <c r="T95" s="22">
        <f>'Activity data'!T54*ManureNEF*NtoN2O*kgtoGg</f>
        <v>2.7405284376788228</v>
      </c>
      <c r="U95" s="22">
        <f>'Activity data'!U54*ManureNEF*NtoN2O*kgtoGg</f>
        <v>2.8060190069615891</v>
      </c>
      <c r="V95" s="22">
        <f>'Activity data'!V54*ManureNEF*NtoN2O*kgtoGg</f>
        <v>2.7606793820735205</v>
      </c>
      <c r="W95" s="22">
        <f>'Activity data'!W54*ManureNEF*NtoN2O*kgtoGg</f>
        <v>2.6800756044947311</v>
      </c>
      <c r="X95" s="22">
        <f>'Activity data'!X54*ManureNEF*NtoN2O*kgtoGg</f>
        <v>2.7657171181721947</v>
      </c>
      <c r="Y95" s="22">
        <f>'Activity data'!Y54*ManureNEF*NtoN2O*kgtoGg</f>
        <v>2.8765473123430296</v>
      </c>
      <c r="Z95" s="22">
        <f>'Activity data'!Z54*ManureNEF*NtoN2O*kgtoGg</f>
        <v>2.8312076874549605</v>
      </c>
      <c r="AA95" s="22">
        <f>'Activity data'!AA54*ManureNEF*NtoN2O*kgtoGg</f>
        <v>2.8009812708629149</v>
      </c>
      <c r="AB95" s="22">
        <f>'Activity data'!AB54*ManureNEF*NtoN2O*kgtoGg</f>
        <v>2.7606793820735205</v>
      </c>
      <c r="AC95" s="22">
        <f>'Activity data'!AC54*ManureNEF*NtoN2O*kgtoGg</f>
        <v>2.7808303264682173</v>
      </c>
      <c r="AD95" s="22">
        <f>'Activity data'!AD54*ManureNEF*NtoN2O*kgtoGg</f>
        <v>2.6602988559851246</v>
      </c>
      <c r="AE95" s="22">
        <f>'Activity data'!AE54*ManureNEF*NtoN2O*kgtoGg</f>
        <v>2.6372269335947083</v>
      </c>
      <c r="AF95" s="22">
        <f>'Activity data'!AF54*ManureNEF*NtoN2O*kgtoGg</f>
        <v>2.6284441511866339</v>
      </c>
      <c r="AG95" s="22">
        <f>'Activity data'!AG54*ManureNEF*NtoN2O*kgtoGg</f>
        <v>2.5933447201068058</v>
      </c>
      <c r="AH95" s="22">
        <f>'Activity data'!AH54*ManureNEF*NtoN2O*kgtoGg</f>
        <v>2.5423970387070201</v>
      </c>
      <c r="AI95" s="22">
        <f>'Activity data'!AI54*ManureNEF*NtoN2O*kgtoGg</f>
        <v>2.4766546252796311</v>
      </c>
      <c r="AJ95" s="22">
        <f>'Activity data'!AJ54*ManureNEF*NtoN2O*kgtoGg</f>
        <v>2.4248016610449818</v>
      </c>
      <c r="AK95" s="22">
        <f>'Activity data'!AK54*ManureNEF*NtoN2O*kgtoGg</f>
        <v>2.3757428620222045</v>
      </c>
      <c r="AL95" s="22">
        <f>'Activity data'!AL54*ManureNEF*NtoN2O*kgtoGg</f>
        <v>2.0899611395217677</v>
      </c>
      <c r="AM95" s="22">
        <f>'Activity data'!AM54*ManureNEF*NtoN2O*kgtoGg</f>
        <v>2.123908406459571</v>
      </c>
      <c r="AN95" s="22">
        <f>'Activity data'!AN54*ManureNEF*NtoN2O*kgtoGg</f>
        <v>2.1872381038598681</v>
      </c>
      <c r="AO95" s="22">
        <f>'Activity data'!AO54*ManureNEF*NtoN2O*kgtoGg</f>
        <v>2.1998857759152552</v>
      </c>
      <c r="AP95" s="22">
        <f>'Activity data'!AP54*ManureNEF*NtoN2O*kgtoGg</f>
        <v>2.2181273565179156</v>
      </c>
      <c r="AQ95" s="22">
        <f>'Activity data'!AQ54*ManureNEF*NtoN2O*kgtoGg</f>
        <v>2.2435747638317936</v>
      </c>
      <c r="AR95" s="22">
        <f>'Activity data'!AR54*ManureNEF*NtoN2O*kgtoGg</f>
        <v>2.2727641011058872</v>
      </c>
      <c r="AS95" s="22">
        <f>'Activity data'!AS54*ManureNEF*NtoN2O*kgtoGg</f>
        <v>2.3069870664207133</v>
      </c>
      <c r="AT95" s="22">
        <f>'Activity data'!AT54*ManureNEF*NtoN2O*kgtoGg</f>
        <v>2.3413678757080296</v>
      </c>
      <c r="AU95" s="22">
        <f>'Activity data'!AU54*ManureNEF*NtoN2O*kgtoGg</f>
        <v>2.380035677367871</v>
      </c>
      <c r="AV95" s="22">
        <f>'Activity data'!AV54*ManureNEF*NtoN2O*kgtoGg</f>
        <v>2.4183197434198012</v>
      </c>
      <c r="AW95" s="22">
        <f>'Activity data'!AW54*ManureNEF*NtoN2O*kgtoGg</f>
        <v>2.4432580924362282</v>
      </c>
      <c r="AX95" s="22">
        <f>'Activity data'!AX54*ManureNEF*NtoN2O*kgtoGg</f>
        <v>2.4637342148934525</v>
      </c>
      <c r="AY95" s="22">
        <f>'Activity data'!AY54*ManureNEF*NtoN2O*kgtoGg</f>
        <v>2.4853660780839015</v>
      </c>
      <c r="AZ95" s="22">
        <f>'Activity data'!AZ54*ManureNEF*NtoN2O*kgtoGg</f>
        <v>2.5143092679899</v>
      </c>
      <c r="BA95" s="22">
        <f>'Activity data'!BA54*ManureNEF*NtoN2O*kgtoGg</f>
        <v>2.5351242369049363</v>
      </c>
      <c r="BB95" s="22">
        <f>'Activity data'!BB54*ManureNEF*NtoN2O*kgtoGg</f>
        <v>2.5573078647097613</v>
      </c>
      <c r="BC95" s="22">
        <f>'Activity data'!BC54*ManureNEF*NtoN2O*kgtoGg</f>
        <v>2.5817274482979573</v>
      </c>
      <c r="BD95" s="22">
        <f>'Activity data'!BD54*ManureNEF*NtoN2O*kgtoGg</f>
        <v>2.5969440997618101</v>
      </c>
      <c r="BE95" s="22">
        <f>'Activity data'!BE54*ManureNEF*NtoN2O*kgtoGg</f>
        <v>2.6083599094868397</v>
      </c>
      <c r="BF95" s="22">
        <f>'Activity data'!BF54*ManureNEF*NtoN2O*kgtoGg</f>
        <v>2.6163003362731181</v>
      </c>
      <c r="BG95" s="22">
        <f>'Activity data'!BG54*ManureNEF*NtoN2O*kgtoGg</f>
        <v>2.6409850244978843</v>
      </c>
      <c r="BH95" s="22">
        <f>'Activity data'!BH54*ManureNEF*NtoN2O*kgtoGg</f>
        <v>2.6597485124941493</v>
      </c>
      <c r="BI95" s="22">
        <f>'Activity data'!BI54*ManureNEF*NtoN2O*kgtoGg</f>
        <v>2.6787488500904026</v>
      </c>
      <c r="BJ95" s="22">
        <f>'Activity data'!BJ54*ManureNEF*NtoN2O*kgtoGg</f>
        <v>2.6982033925594746</v>
      </c>
      <c r="BK95" s="22">
        <f>'Activity data'!BK54*ManureNEF*NtoN2O*kgtoGg</f>
        <v>2.7185044469941606</v>
      </c>
      <c r="BL95" s="22">
        <f>'Activity data'!BL54*ManureNEF*NtoN2O*kgtoGg</f>
        <v>2.739348237486432</v>
      </c>
      <c r="BM95" s="22">
        <f>'Activity data'!BM54*ManureNEF*NtoN2O*kgtoGg</f>
        <v>2.6982314327823316</v>
      </c>
      <c r="BN95" s="22">
        <f>'Activity data'!BN54*ManureNEF*NtoN2O*kgtoGg</f>
        <v>2.6516530080483269</v>
      </c>
      <c r="BO95" s="22">
        <f>'Activity data'!BO54*ManureNEF*NtoN2O*kgtoGg</f>
        <v>2.5976536730189443</v>
      </c>
      <c r="BP95" s="22">
        <f>'Activity data'!BP54*ManureNEF*NtoN2O*kgtoGg</f>
        <v>2.5419620380976129</v>
      </c>
    </row>
    <row r="96" spans="1:68" x14ac:dyDescent="0.3">
      <c r="A96" t="str">
        <f t="shared" si="29"/>
        <v>3C Aggregated and non-CO2 emissions on land</v>
      </c>
      <c r="B96" t="str">
        <f t="shared" si="31"/>
        <v>3C4 Direct N2O from managed soils (N2O)</v>
      </c>
      <c r="C96" t="str">
        <f t="shared" si="35"/>
        <v>MM emissions</v>
      </c>
      <c r="D96" t="str">
        <f>'Activity data'!D55</f>
        <v xml:space="preserve"> - Feedlot</v>
      </c>
      <c r="E96" t="str">
        <f t="shared" si="32"/>
        <v>MM emissions - Feedlot</v>
      </c>
      <c r="F96" t="str">
        <f t="shared" si="33"/>
        <v>N2O</v>
      </c>
      <c r="G96" t="str">
        <f t="shared" si="34"/>
        <v>Gg N2O</v>
      </c>
      <c r="H96" s="22">
        <f>'Activity data'!H55*ManureNEF*NtoN2O*kgtoGg</f>
        <v>0.26650892267999993</v>
      </c>
      <c r="I96" s="22">
        <f>'Activity data'!I55*ManureNEF*NtoN2O*kgtoGg</f>
        <v>0.26650892267999993</v>
      </c>
      <c r="J96" s="22">
        <f>'Activity data'!J55*ManureNEF*NtoN2O*kgtoGg</f>
        <v>0.26650892267999993</v>
      </c>
      <c r="K96" s="22">
        <f>'Activity data'!K55*ManureNEF*NtoN2O*kgtoGg</f>
        <v>0.26650892267999993</v>
      </c>
      <c r="L96" s="22">
        <f>'Activity data'!L55*ManureNEF*NtoN2O*kgtoGg</f>
        <v>0.26650892267999993</v>
      </c>
      <c r="M96" s="22">
        <f>'Activity data'!M55*ManureNEF*NtoN2O*kgtoGg</f>
        <v>0.26650892267999993</v>
      </c>
      <c r="N96" s="22">
        <f>'Activity data'!N55*ManureNEF*NtoN2O*kgtoGg</f>
        <v>0.26650892267999993</v>
      </c>
      <c r="O96" s="22">
        <f>'Activity data'!O55*ManureNEF*NtoN2O*kgtoGg</f>
        <v>0.26650892267999993</v>
      </c>
      <c r="P96" s="22">
        <f>'Activity data'!P55*ManureNEF*NtoN2O*kgtoGg</f>
        <v>0.26650892267999993</v>
      </c>
      <c r="Q96" s="22">
        <f>'Activity data'!Q55*ManureNEF*NtoN2O*kgtoGg</f>
        <v>0.26650892267999993</v>
      </c>
      <c r="R96" s="22">
        <f>'Activity data'!R55*ManureNEF*NtoN2O*kgtoGg</f>
        <v>0.26650892267999993</v>
      </c>
      <c r="S96" s="22">
        <f>'Activity data'!S55*ManureNEF*NtoN2O*kgtoGg</f>
        <v>0.26650892267999993</v>
      </c>
      <c r="T96" s="22">
        <f>'Activity data'!T55*ManureNEF*NtoN2O*kgtoGg</f>
        <v>0.26650892267999993</v>
      </c>
      <c r="U96" s="22">
        <f>'Activity data'!U55*ManureNEF*NtoN2O*kgtoGg</f>
        <v>0.26650892267999993</v>
      </c>
      <c r="V96" s="22">
        <f>'Activity data'!V55*ManureNEF*NtoN2O*kgtoGg</f>
        <v>0.26650892267999993</v>
      </c>
      <c r="W96" s="22">
        <f>'Activity data'!W55*ManureNEF*NtoN2O*kgtoGg</f>
        <v>0.26650892267999993</v>
      </c>
      <c r="X96" s="22">
        <f>'Activity data'!X55*ManureNEF*NtoN2O*kgtoGg</f>
        <v>0.26650892267999993</v>
      </c>
      <c r="Y96" s="22">
        <f>'Activity data'!Y55*ManureNEF*NtoN2O*kgtoGg</f>
        <v>0.26650892267999993</v>
      </c>
      <c r="Z96" s="22">
        <f>'Activity data'!Z55*ManureNEF*NtoN2O*kgtoGg</f>
        <v>0.24820087014572845</v>
      </c>
      <c r="AA96" s="22">
        <f>'Activity data'!AA55*ManureNEF*NtoN2O*kgtoGg</f>
        <v>0.25433797839299843</v>
      </c>
      <c r="AB96" s="22">
        <f>'Activity data'!AB55*ManureNEF*NtoN2O*kgtoGg</f>
        <v>0.25370528409540599</v>
      </c>
      <c r="AC96" s="22">
        <f>'Activity data'!AC55*ManureNEF*NtoN2O*kgtoGg</f>
        <v>0.29303301169470902</v>
      </c>
      <c r="AD96" s="22">
        <f>'Activity data'!AD55*ManureNEF*NtoN2O*kgtoGg</f>
        <v>0.34358078636628736</v>
      </c>
      <c r="AE96" s="22">
        <f>'Activity data'!AE55*ManureNEF*NtoN2O*kgtoGg</f>
        <v>0.35516571939691499</v>
      </c>
      <c r="AF96" s="22">
        <f>'Activity data'!AF55*ManureNEF*NtoN2O*kgtoGg</f>
        <v>0.36891582276573964</v>
      </c>
      <c r="AG96" s="22">
        <f>'Activity data'!AG55*ManureNEF*NtoN2O*kgtoGg</f>
        <v>0.37917034791782095</v>
      </c>
      <c r="AH96" s="22">
        <f>'Activity data'!AH55*ManureNEF*NtoN2O*kgtoGg</f>
        <v>0.38707850955818851</v>
      </c>
      <c r="AI96" s="22">
        <f>'Activity data'!AI55*ManureNEF*NtoN2O*kgtoGg</f>
        <v>0.39252728601928993</v>
      </c>
      <c r="AJ96" s="22">
        <f>'Activity data'!AJ55*ManureNEF*NtoN2O*kgtoGg</f>
        <v>0.39996713645364929</v>
      </c>
      <c r="AK96" s="22">
        <f>'Activity data'!AK55*ManureNEF*NtoN2O*kgtoGg</f>
        <v>0.40776627193753145</v>
      </c>
      <c r="AL96" s="22">
        <f>'Activity data'!AL55*ManureNEF*NtoN2O*kgtoGg</f>
        <v>0.37321314104522196</v>
      </c>
      <c r="AM96" s="22">
        <f>'Activity data'!AM55*ManureNEF*NtoN2O*kgtoGg</f>
        <v>0.3884130094850205</v>
      </c>
      <c r="AN96" s="22">
        <f>'Activity data'!AN55*ManureNEF*NtoN2O*kgtoGg</f>
        <v>0.40949913684353023</v>
      </c>
      <c r="AO96" s="22">
        <f>'Activity data'!AO55*ManureNEF*NtoN2O*kgtoGg</f>
        <v>0.4215293985273969</v>
      </c>
      <c r="AP96" s="22">
        <f>'Activity data'!AP55*ManureNEF*NtoN2O*kgtoGg</f>
        <v>0.43487839572409737</v>
      </c>
      <c r="AQ96" s="22">
        <f>'Activity data'!AQ55*ManureNEF*NtoN2O*kgtoGg</f>
        <v>0.4499540833261832</v>
      </c>
      <c r="AR96" s="22">
        <f>'Activity data'!AR55*ManureNEF*NtoN2O*kgtoGg</f>
        <v>0.46615455433442204</v>
      </c>
      <c r="AS96" s="22">
        <f>'Activity data'!AS55*ManureNEF*NtoN2O*kgtoGg</f>
        <v>0.48381398189083635</v>
      </c>
      <c r="AT96" s="22">
        <f>'Activity data'!AT55*ManureNEF*NtoN2O*kgtoGg</f>
        <v>0.50197004484830632</v>
      </c>
      <c r="AU96" s="22">
        <f>'Activity data'!AU55*ManureNEF*NtoN2O*kgtoGg</f>
        <v>0.52154350048929543</v>
      </c>
      <c r="AV96" s="22">
        <f>'Activity data'!AV55*ManureNEF*NtoN2O*kgtoGg</f>
        <v>0.5415643129229577</v>
      </c>
      <c r="AW96" s="22">
        <f>'Activity data'!AW55*ManureNEF*NtoN2O*kgtoGg</f>
        <v>0.56529401193420392</v>
      </c>
      <c r="AX96" s="22">
        <f>'Activity data'!AX55*ManureNEF*NtoN2O*kgtoGg</f>
        <v>0.58897158069089917</v>
      </c>
      <c r="AY96" s="22">
        <f>'Activity data'!AY55*ManureNEF*NtoN2O*kgtoGg</f>
        <v>0.61393439377098979</v>
      </c>
      <c r="AZ96" s="22">
        <f>'Activity data'!AZ55*ManureNEF*NtoN2O*kgtoGg</f>
        <v>0.64183870134182519</v>
      </c>
      <c r="BA96" s="22">
        <f>'Activity data'!BA55*ManureNEF*NtoN2O*kgtoGg</f>
        <v>0.66886013669524935</v>
      </c>
      <c r="BB96" s="22">
        <f>'Activity data'!BB55*ManureNEF*NtoN2O*kgtoGg</f>
        <v>0.6974449623138369</v>
      </c>
      <c r="BC96" s="22">
        <f>'Activity data'!BC55*ManureNEF*NtoN2O*kgtoGg</f>
        <v>0.72794565179733817</v>
      </c>
      <c r="BD96" s="22">
        <f>'Activity data'!BD55*ManureNEF*NtoN2O*kgtoGg</f>
        <v>0.75716831024556897</v>
      </c>
      <c r="BE96" s="22">
        <f>'Activity data'!BE55*ManureNEF*NtoN2O*kgtoGg</f>
        <v>0.78655158010344739</v>
      </c>
      <c r="BF96" s="22">
        <f>'Activity data'!BF55*ManureNEF*NtoN2O*kgtoGg</f>
        <v>0.81615922006003327</v>
      </c>
      <c r="BG96" s="22">
        <f>'Activity data'!BG55*ManureNEF*NtoN2O*kgtoGg</f>
        <v>0.84710504325273028</v>
      </c>
      <c r="BH96" s="22">
        <f>'Activity data'!BH55*ManureNEF*NtoN2O*kgtoGg</f>
        <v>0.8772777887183536</v>
      </c>
      <c r="BI96" s="22">
        <f>'Activity data'!BI55*ManureNEF*NtoN2O*kgtoGg</f>
        <v>0.90865780083615855</v>
      </c>
      <c r="BJ96" s="22">
        <f>'Activity data'!BJ55*ManureNEF*NtoN2O*kgtoGg</f>
        <v>0.94138400089523855</v>
      </c>
      <c r="BK96" s="22">
        <f>'Activity data'!BK55*ManureNEF*NtoN2O*kgtoGg</f>
        <v>0.9756708685083213</v>
      </c>
      <c r="BL96" s="22">
        <f>'Activity data'!BL55*ManureNEF*NtoN2O*kgtoGg</f>
        <v>1.0114969469202602</v>
      </c>
      <c r="BM96" s="22">
        <f>'Activity data'!BM55*ManureNEF*NtoN2O*kgtoGg</f>
        <v>1.0252009760930854</v>
      </c>
      <c r="BN96" s="22">
        <f>'Activity data'!BN55*ManureNEF*NtoN2O*kgtoGg</f>
        <v>1.0368909620314641</v>
      </c>
      <c r="BO96" s="22">
        <f>'Activity data'!BO55*ManureNEF*NtoN2O*kgtoGg</f>
        <v>1.0455964615277633</v>
      </c>
      <c r="BP96" s="22">
        <f>'Activity data'!BP55*ManureNEF*NtoN2O*kgtoGg</f>
        <v>1.0534263177729573</v>
      </c>
    </row>
    <row r="97" spans="1:68" x14ac:dyDescent="0.3">
      <c r="A97" t="str">
        <f t="shared" si="29"/>
        <v>3C Aggregated and non-CO2 emissions on land</v>
      </c>
      <c r="B97" t="str">
        <f t="shared" si="31"/>
        <v>3C4 Direct N2O from managed soils (N2O)</v>
      </c>
      <c r="C97" t="str">
        <f t="shared" si="35"/>
        <v>MM emissions</v>
      </c>
      <c r="D97" t="str">
        <f>'Activity data'!D56</f>
        <v xml:space="preserve"> - Commercial sheep</v>
      </c>
      <c r="E97" t="str">
        <f t="shared" si="32"/>
        <v>MM emissions - Commercial sheep</v>
      </c>
      <c r="F97" t="str">
        <f t="shared" si="33"/>
        <v>N2O</v>
      </c>
      <c r="G97" t="str">
        <f t="shared" si="34"/>
        <v>Gg N2O</v>
      </c>
      <c r="H97" s="22">
        <f>'Activity data'!H56*ManureNEF*NtoN2O*kgtoGg</f>
        <v>9.1991860386242574E-2</v>
      </c>
      <c r="I97" s="22">
        <f>'Activity data'!I56*ManureNEF*NtoN2O*kgtoGg</f>
        <v>8.7855463982071155E-2</v>
      </c>
      <c r="J97" s="22">
        <f>'Activity data'!J56*ManureNEF*NtoN2O*kgtoGg</f>
        <v>8.4225377226778267E-2</v>
      </c>
      <c r="K97" s="22">
        <f>'Activity data'!K56*ManureNEF*NtoN2O*kgtoGg</f>
        <v>7.8769507192196109E-2</v>
      </c>
      <c r="L97" s="22">
        <f>'Activity data'!L56*ManureNEF*NtoN2O*kgtoGg</f>
        <v>7.9324913534299213E-2</v>
      </c>
      <c r="M97" s="22">
        <f>'Activity data'!M56*ManureNEF*NtoN2O*kgtoGg</f>
        <v>7.8189552503480655E-2</v>
      </c>
      <c r="N97" s="22">
        <f>'Activity data'!N56*ManureNEF*NtoN2O*kgtoGg</f>
        <v>7.8450378686236291E-2</v>
      </c>
      <c r="O97" s="22">
        <f>'Activity data'!O56*ManureNEF*NtoN2O*kgtoGg</f>
        <v>7.6744268596681903E-2</v>
      </c>
      <c r="P97" s="22">
        <f>'Activity data'!P56*ManureNEF*NtoN2O*kgtoGg</f>
        <v>7.6955998086212937E-2</v>
      </c>
      <c r="Q97" s="22">
        <f>'Activity data'!Q56*ManureNEF*NtoN2O*kgtoGg</f>
        <v>7.5065775397066339E-2</v>
      </c>
      <c r="R97" s="22">
        <f>'Activity data'!R56*ManureNEF*NtoN2O*kgtoGg</f>
        <v>7.2374662899693701E-2</v>
      </c>
      <c r="S97" s="22">
        <f>'Activity data'!S56*ManureNEF*NtoN2O*kgtoGg</f>
        <v>7.0570359423690138E-2</v>
      </c>
      <c r="T97" s="22">
        <f>'Activity data'!T56*ManureNEF*NtoN2O*kgtoGg</f>
        <v>6.9392038786300056E-2</v>
      </c>
      <c r="U97" s="22">
        <f>'Activity data'!U56*ManureNEF*NtoN2O*kgtoGg</f>
        <v>6.9634453709096461E-2</v>
      </c>
      <c r="V97" s="22">
        <f>'Activity data'!V56*ManureNEF*NtoN2O*kgtoGg</f>
        <v>6.8394762205175638E-2</v>
      </c>
      <c r="W97" s="22">
        <f>'Activity data'!W56*ManureNEF*NtoN2O*kgtoGg</f>
        <v>6.8232129408869205E-2</v>
      </c>
      <c r="X97" s="22">
        <f>'Activity data'!X56*ManureNEF*NtoN2O*kgtoGg</f>
        <v>6.7339183300847025E-2</v>
      </c>
      <c r="Y97" s="22">
        <f>'Activity data'!Y56*ManureNEF*NtoN2O*kgtoGg</f>
        <v>6.7274743890989752E-2</v>
      </c>
      <c r="Z97" s="22">
        <f>'Activity data'!Z56*ManureNEF*NtoN2O*kgtoGg</f>
        <v>6.7492610467173877E-2</v>
      </c>
      <c r="AA97" s="22">
        <f>'Activity data'!AA56*ManureNEF*NtoN2O*kgtoGg</f>
        <v>6.7253264087704004E-2</v>
      </c>
      <c r="AB97" s="22">
        <f>'Activity data'!AB56*ManureNEF*NtoN2O*kgtoGg</f>
        <v>6.5952201717252468E-2</v>
      </c>
      <c r="AC97" s="22">
        <f>'Activity data'!AC56*ManureNEF*NtoN2O*kgtoGg</f>
        <v>6.5436686438394301E-2</v>
      </c>
      <c r="AD97" s="22">
        <f>'Activity data'!AD56*ManureNEF*NtoN2O*kgtoGg</f>
        <v>5.8359782740747899E-2</v>
      </c>
      <c r="AE97" s="22">
        <f>'Activity data'!AE56*ManureNEF*NtoN2O*kgtoGg</f>
        <v>5.8391337689573865E-2</v>
      </c>
      <c r="AF97" s="22">
        <f>'Activity data'!AF56*ManureNEF*NtoN2O*kgtoGg</f>
        <v>5.8466784388382168E-2</v>
      </c>
      <c r="AG97" s="22">
        <f>'Activity data'!AG56*ManureNEF*NtoN2O*kgtoGg</f>
        <v>5.857803115055428E-2</v>
      </c>
      <c r="AH97" s="22">
        <f>'Activity data'!AH56*ManureNEF*NtoN2O*kgtoGg</f>
        <v>5.872437103691365E-2</v>
      </c>
      <c r="AI97" s="22">
        <f>'Activity data'!AI56*ManureNEF*NtoN2O*kgtoGg</f>
        <v>5.890425875881948E-2</v>
      </c>
      <c r="AJ97" s="22">
        <f>'Activity data'!AJ56*ManureNEF*NtoN2O*kgtoGg</f>
        <v>5.9106297224497076E-2</v>
      </c>
      <c r="AK97" s="22">
        <f>'Activity data'!AK56*ManureNEF*NtoN2O*kgtoGg</f>
        <v>5.932921089397071E-2</v>
      </c>
      <c r="AL97" s="22">
        <f>'Activity data'!AL56*ManureNEF*NtoN2O*kgtoGg</f>
        <v>5.9533053172061867E-2</v>
      </c>
      <c r="AM97" s="22">
        <f>'Activity data'!AM56*ManureNEF*NtoN2O*kgtoGg</f>
        <v>5.9622626403998236E-2</v>
      </c>
      <c r="AN97" s="22">
        <f>'Activity data'!AN56*ManureNEF*NtoN2O*kgtoGg</f>
        <v>5.9732014563410027E-2</v>
      </c>
      <c r="AO97" s="22">
        <f>'Activity data'!AO56*ManureNEF*NtoN2O*kgtoGg</f>
        <v>5.9846990057404043E-2</v>
      </c>
      <c r="AP97" s="22">
        <f>'Activity data'!AP56*ManureNEF*NtoN2O*kgtoGg</f>
        <v>5.9976074595492208E-2</v>
      </c>
      <c r="AQ97" s="22">
        <f>'Activity data'!AQ56*ManureNEF*NtoN2O*kgtoGg</f>
        <v>6.0118906996584121E-2</v>
      </c>
      <c r="AR97" s="22">
        <f>'Activity data'!AR56*ManureNEF*NtoN2O*kgtoGg</f>
        <v>6.0208109427104674E-2</v>
      </c>
      <c r="AS97" s="22">
        <f>'Activity data'!AS56*ManureNEF*NtoN2O*kgtoGg</f>
        <v>6.0308885561081285E-2</v>
      </c>
      <c r="AT97" s="22">
        <f>'Activity data'!AT56*ManureNEF*NtoN2O*kgtoGg</f>
        <v>6.0419873689415794E-2</v>
      </c>
      <c r="AU97" s="22">
        <f>'Activity data'!AU56*ManureNEF*NtoN2O*kgtoGg</f>
        <v>6.0541378990392976E-2</v>
      </c>
      <c r="AV97" s="22">
        <f>'Activity data'!AV56*ManureNEF*NtoN2O*kgtoGg</f>
        <v>6.0672147346661598E-2</v>
      </c>
      <c r="AW97" s="22">
        <f>'Activity data'!AW56*ManureNEF*NtoN2O*kgtoGg</f>
        <v>6.075986875735849E-2</v>
      </c>
      <c r="AX97" s="22">
        <f>'Activity data'!AX56*ManureNEF*NtoN2O*kgtoGg</f>
        <v>6.0855100315135816E-2</v>
      </c>
      <c r="AY97" s="22">
        <f>'Activity data'!AY56*ManureNEF*NtoN2O*kgtoGg</f>
        <v>6.095860752574931E-2</v>
      </c>
      <c r="AZ97" s="22">
        <f>'Activity data'!AZ56*ManureNEF*NtoN2O*kgtoGg</f>
        <v>6.1071400786534412E-2</v>
      </c>
      <c r="BA97" s="22">
        <f>'Activity data'!BA56*ManureNEF*NtoN2O*kgtoGg</f>
        <v>6.1190093146373289E-2</v>
      </c>
      <c r="BB97" s="22">
        <f>'Activity data'!BB56*ManureNEF*NtoN2O*kgtoGg</f>
        <v>6.1265960925417272E-2</v>
      </c>
      <c r="BC97" s="22">
        <f>'Activity data'!BC56*ManureNEF*NtoN2O*kgtoGg</f>
        <v>6.1349061452671098E-2</v>
      </c>
      <c r="BD97" s="22">
        <f>'Activity data'!BD56*ManureNEF*NtoN2O*kgtoGg</f>
        <v>6.1436653899188148E-2</v>
      </c>
      <c r="BE97" s="22">
        <f>'Activity data'!BE56*ManureNEF*NtoN2O*kgtoGg</f>
        <v>6.152967077586103E-2</v>
      </c>
      <c r="BF97" s="22">
        <f>'Activity data'!BF56*ManureNEF*NtoN2O*kgtoGg</f>
        <v>6.1627971048734624E-2</v>
      </c>
      <c r="BG97" s="22">
        <f>'Activity data'!BG56*ManureNEF*NtoN2O*kgtoGg</f>
        <v>6.1686054121935154E-2</v>
      </c>
      <c r="BH97" s="22">
        <f>'Activity data'!BH56*ManureNEF*NtoN2O*kgtoGg</f>
        <v>6.1748058507407479E-2</v>
      </c>
      <c r="BI97" s="22">
        <f>'Activity data'!BI56*ManureNEF*NtoN2O*kgtoGg</f>
        <v>6.1815315922285695E-2</v>
      </c>
      <c r="BJ97" s="22">
        <f>'Activity data'!BJ56*ManureNEF*NtoN2O*kgtoGg</f>
        <v>6.1887761342917867E-2</v>
      </c>
      <c r="BK97" s="22">
        <f>'Activity data'!BK56*ManureNEF*NtoN2O*kgtoGg</f>
        <v>6.1965393268001254E-2</v>
      </c>
      <c r="BL97" s="22">
        <f>'Activity data'!BL56*ManureNEF*NtoN2O*kgtoGg</f>
        <v>6.2000613011444994E-2</v>
      </c>
      <c r="BM97" s="22">
        <f>'Activity data'!BM56*ManureNEF*NtoN2O*kgtoGg</f>
        <v>6.2023309807671526E-2</v>
      </c>
      <c r="BN97" s="22">
        <f>'Activity data'!BN56*ManureNEF*NtoN2O*kgtoGg</f>
        <v>6.2048189785904866E-2</v>
      </c>
      <c r="BO97" s="22">
        <f>'Activity data'!BO56*ManureNEF*NtoN2O*kgtoGg</f>
        <v>6.2074469713562223E-2</v>
      </c>
      <c r="BP97" s="22">
        <f>'Activity data'!BP56*ManureNEF*NtoN2O*kgtoGg</f>
        <v>6.2103581129763968E-2</v>
      </c>
    </row>
    <row r="98" spans="1:68" x14ac:dyDescent="0.3">
      <c r="A98" t="str">
        <f t="shared" si="29"/>
        <v>3C Aggregated and non-CO2 emissions on land</v>
      </c>
      <c r="B98" t="str">
        <f t="shared" si="31"/>
        <v>3C4 Direct N2O from managed soils (N2O)</v>
      </c>
      <c r="C98" t="str">
        <f t="shared" si="35"/>
        <v>MM emissions</v>
      </c>
      <c r="D98" t="str">
        <f>'Activity data'!D57</f>
        <v xml:space="preserve"> - Subsistence sheep</v>
      </c>
      <c r="E98" t="str">
        <f t="shared" si="32"/>
        <v>MM emissions - Subsistence sheep</v>
      </c>
      <c r="F98" t="str">
        <f t="shared" si="33"/>
        <v>N2O</v>
      </c>
      <c r="G98" t="str">
        <f t="shared" si="34"/>
        <v>Gg N2O</v>
      </c>
      <c r="H98" s="22">
        <f>'Activity data'!H57*ManureNEF*NtoN2O*kgtoGg</f>
        <v>6.9925803620037946E-2</v>
      </c>
      <c r="I98" s="22">
        <f>'Activity data'!I57*ManureNEF*NtoN2O*kgtoGg</f>
        <v>6.6781603237109521E-2</v>
      </c>
      <c r="J98" s="22">
        <f>'Activity data'!J57*ManureNEF*NtoN2O*kgtoGg</f>
        <v>6.4022264177017271E-2</v>
      </c>
      <c r="K98" s="22">
        <f>'Activity data'!K57*ManureNEF*NtoN2O*kgtoGg</f>
        <v>5.9875091861849083E-2</v>
      </c>
      <c r="L98" s="22">
        <f>'Activity data'!L57*ManureNEF*NtoN2O*kgtoGg</f>
        <v>6.0297273070536055E-2</v>
      </c>
      <c r="M98" s="22">
        <f>'Activity data'!M57*ManureNEF*NtoN2O*kgtoGg</f>
        <v>5.9434250710236718E-2</v>
      </c>
      <c r="N98" s="22">
        <f>'Activity data'!N57*ManureNEF*NtoN2O*kgtoGg</f>
        <v>5.9632512603818993E-2</v>
      </c>
      <c r="O98" s="22">
        <f>'Activity data'!O57*ManureNEF*NtoN2O*kgtoGg</f>
        <v>5.8335646570504315E-2</v>
      </c>
      <c r="P98" s="22">
        <f>'Activity data'!P57*ManureNEF*NtoN2O*kgtoGg</f>
        <v>5.8496588578235996E-2</v>
      </c>
      <c r="Q98" s="22">
        <f>'Activity data'!Q57*ManureNEF*NtoN2O*kgtoGg</f>
        <v>5.7059772972980871E-2</v>
      </c>
      <c r="R98" s="22">
        <f>'Activity data'!R57*ManureNEF*NtoN2O*kgtoGg</f>
        <v>5.5014176729784849E-2</v>
      </c>
      <c r="S98" s="22">
        <f>'Activity data'!S57*ManureNEF*NtoN2O*kgtoGg</f>
        <v>5.3642670924768585E-2</v>
      </c>
      <c r="T98" s="22">
        <f>'Activity data'!T57*ManureNEF*NtoN2O*kgtoGg</f>
        <v>5.2746993664349803E-2</v>
      </c>
      <c r="U98" s="22">
        <f>'Activity data'!U57*ManureNEF*NtoN2O*kgtoGg</f>
        <v>5.2931260600738043E-2</v>
      </c>
      <c r="V98" s="22">
        <f>'Activity data'!V57*ManureNEF*NtoN2O*kgtoGg</f>
        <v>5.1988933483005775E-2</v>
      </c>
      <c r="W98" s="22">
        <f>'Activity data'!W57*ManureNEF*NtoN2O*kgtoGg</f>
        <v>5.1865311361125072E-2</v>
      </c>
      <c r="X98" s="22">
        <f>'Activity data'!X57*ManureNEF*NtoN2O*kgtoGg</f>
        <v>5.1186555937213961E-2</v>
      </c>
      <c r="Y98" s="22">
        <f>'Activity data'!Y57*ManureNEF*NtoN2O*kgtoGg</f>
        <v>5.1137573587034801E-2</v>
      </c>
      <c r="Z98" s="22">
        <f>'Activity data'!Z57*ManureNEF*NtoN2O*kgtoGg</f>
        <v>5.1303180580497661E-2</v>
      </c>
      <c r="AA98" s="22">
        <f>'Activity data'!AA57*ManureNEF*NtoN2O*kgtoGg</f>
        <v>5.1121246136975086E-2</v>
      </c>
      <c r="AB98" s="22">
        <f>'Activity data'!AB57*ManureNEF*NtoN2O*kgtoGg</f>
        <v>5.0132269161929359E-2</v>
      </c>
      <c r="AC98" s="22">
        <f>'Activity data'!AC57*ManureNEF*NtoN2O*kgtoGg</f>
        <v>4.9740410360496132E-2</v>
      </c>
      <c r="AD98" s="22">
        <f>'Activity data'!AD57*ManureNEF*NtoN2O*kgtoGg</f>
        <v>4.7496930236945983E-2</v>
      </c>
      <c r="AE98" s="22">
        <f>'Activity data'!AE57*ManureNEF*NtoN2O*kgtoGg</f>
        <v>4.7522611675988952E-2</v>
      </c>
      <c r="AF98" s="22">
        <f>'Activity data'!AF57*ManureNEF*NtoN2O*kgtoGg</f>
        <v>4.7584015033260249E-2</v>
      </c>
      <c r="AG98" s="22">
        <f>'Activity data'!AG57*ManureNEF*NtoN2O*kgtoGg</f>
        <v>4.7674554775764919E-2</v>
      </c>
      <c r="AH98" s="22">
        <f>'Activity data'!AH57*ManureNEF*NtoN2O*kgtoGg</f>
        <v>4.7793655551108268E-2</v>
      </c>
      <c r="AI98" s="22">
        <f>'Activity data'!AI57*ManureNEF*NtoN2O*kgtoGg</f>
        <v>4.7940059704389672E-2</v>
      </c>
      <c r="AJ98" s="22">
        <f>'Activity data'!AJ57*ManureNEF*NtoN2O*kgtoGg</f>
        <v>4.8104491552124547E-2</v>
      </c>
      <c r="AK98" s="22">
        <f>'Activity data'!AK57*ManureNEF*NtoN2O*kgtoGg</f>
        <v>4.8285912978158388E-2</v>
      </c>
      <c r="AL98" s="22">
        <f>'Activity data'!AL57*ManureNEF*NtoN2O*kgtoGg</f>
        <v>4.8451812884003569E-2</v>
      </c>
      <c r="AM98" s="22">
        <f>'Activity data'!AM57*ManureNEF*NtoN2O*kgtoGg</f>
        <v>4.8524713319004827E-2</v>
      </c>
      <c r="AN98" s="22">
        <f>'Activity data'!AN57*ManureNEF*NtoN2O*kgtoGg</f>
        <v>4.8613740411504645E-2</v>
      </c>
      <c r="AO98" s="22">
        <f>'Activity data'!AO57*ManureNEF*NtoN2O*kgtoGg</f>
        <v>4.8707314834861425E-2</v>
      </c>
      <c r="AP98" s="22">
        <f>'Activity data'!AP57*ManureNEF*NtoN2O*kgtoGg</f>
        <v>4.8812372102251839E-2</v>
      </c>
      <c r="AQ98" s="22">
        <f>'Activity data'!AQ57*ManureNEF*NtoN2O*kgtoGg</f>
        <v>4.8928618261364118E-2</v>
      </c>
      <c r="AR98" s="22">
        <f>'Activity data'!AR57*ManureNEF*NtoN2O*kgtoGg</f>
        <v>4.9001216914416376E-2</v>
      </c>
      <c r="AS98" s="22">
        <f>'Activity data'!AS57*ManureNEF*NtoN2O*kgtoGg</f>
        <v>4.908323498885471E-2</v>
      </c>
      <c r="AT98" s="22">
        <f>'Activity data'!AT57*ManureNEF*NtoN2O*kgtoGg</f>
        <v>4.9173564238571964E-2</v>
      </c>
      <c r="AU98" s="22">
        <f>'Activity data'!AU57*ManureNEF*NtoN2O*kgtoGg</f>
        <v>4.9272453037208674E-2</v>
      </c>
      <c r="AV98" s="22">
        <f>'Activity data'!AV57*ManureNEF*NtoN2O*kgtoGg</f>
        <v>4.9378880703714607E-2</v>
      </c>
      <c r="AW98" s="22">
        <f>'Activity data'!AW57*ManureNEF*NtoN2O*kgtoGg</f>
        <v>4.9450274007947166E-2</v>
      </c>
      <c r="AX98" s="22">
        <f>'Activity data'!AX57*ManureNEF*NtoN2O*kgtoGg</f>
        <v>4.9527779551040076E-2</v>
      </c>
      <c r="AY98" s="22">
        <f>'Activity data'!AY57*ManureNEF*NtoN2O*kgtoGg</f>
        <v>4.9612020350622385E-2</v>
      </c>
      <c r="AZ98" s="22">
        <f>'Activity data'!AZ57*ManureNEF*NtoN2O*kgtoGg</f>
        <v>4.9703818732780645E-2</v>
      </c>
      <c r="BA98" s="22">
        <f>'Activity data'!BA57*ManureNEF*NtoN2O*kgtoGg</f>
        <v>4.9800418179697173E-2</v>
      </c>
      <c r="BB98" s="22">
        <f>'Activity data'!BB57*ManureNEF*NtoN2O*kgtoGg</f>
        <v>4.9862164239042377E-2</v>
      </c>
      <c r="BC98" s="22">
        <f>'Activity data'!BC57*ManureNEF*NtoN2O*kgtoGg</f>
        <v>4.992979677227443E-2</v>
      </c>
      <c r="BD98" s="22">
        <f>'Activity data'!BD57*ManureNEF*NtoN2O*kgtoGg</f>
        <v>5.0001085117194859E-2</v>
      </c>
      <c r="BE98" s="22">
        <f>'Activity data'!BE57*ManureNEF*NtoN2O*kgtoGg</f>
        <v>5.0076788210912958E-2</v>
      </c>
      <c r="BF98" s="22">
        <f>'Activity data'!BF57*ManureNEF*NtoN2O*kgtoGg</f>
        <v>5.0156791270960163E-2</v>
      </c>
      <c r="BG98" s="22">
        <f>'Activity data'!BG57*ManureNEF*NtoN2O*kgtoGg</f>
        <v>5.0204062997244822E-2</v>
      </c>
      <c r="BH98" s="22">
        <f>'Activity data'!BH57*ManureNEF*NtoN2O*kgtoGg</f>
        <v>5.0254526138690123E-2</v>
      </c>
      <c r="BI98" s="22">
        <f>'Activity data'!BI57*ManureNEF*NtoN2O*kgtoGg</f>
        <v>5.0309264532021343E-2</v>
      </c>
      <c r="BJ98" s="22">
        <f>'Activity data'!BJ57*ManureNEF*NtoN2O*kgtoGg</f>
        <v>5.036822525682455E-2</v>
      </c>
      <c r="BK98" s="22">
        <f>'Activity data'!BK57*ManureNEF*NtoN2O*kgtoGg</f>
        <v>5.0431407091243406E-2</v>
      </c>
      <c r="BL98" s="22">
        <f>'Activity data'!BL57*ManureNEF*NtoN2O*kgtoGg</f>
        <v>5.0460071174945387E-2</v>
      </c>
      <c r="BM98" s="22">
        <f>'Activity data'!BM57*ManureNEF*NtoN2O*kgtoGg</f>
        <v>5.0478543281871534E-2</v>
      </c>
      <c r="BN98" s="22">
        <f>'Activity data'!BN57*ManureNEF*NtoN2O*kgtoGg</f>
        <v>5.0498792202188725E-2</v>
      </c>
      <c r="BO98" s="22">
        <f>'Activity data'!BO57*ManureNEF*NtoN2O*kgtoGg</f>
        <v>5.0520180491040283E-2</v>
      </c>
      <c r="BP98" s="22">
        <f>'Activity data'!BP57*ManureNEF*NtoN2O*kgtoGg</f>
        <v>5.0543873226679401E-2</v>
      </c>
    </row>
    <row r="99" spans="1:68" x14ac:dyDescent="0.3">
      <c r="A99" t="str">
        <f t="shared" si="29"/>
        <v>3C Aggregated and non-CO2 emissions on land</v>
      </c>
      <c r="B99" t="str">
        <f t="shared" si="31"/>
        <v>3C4 Direct N2O from managed soils (N2O)</v>
      </c>
      <c r="C99" t="str">
        <f t="shared" si="35"/>
        <v>MM emissions</v>
      </c>
      <c r="D99" t="str">
        <f>'Activity data'!D58</f>
        <v xml:space="preserve"> - Commercial goats</v>
      </c>
      <c r="E99" t="str">
        <f t="shared" si="32"/>
        <v>MM emissions - Commercial goats</v>
      </c>
      <c r="F99" t="str">
        <f t="shared" si="33"/>
        <v>N2O</v>
      </c>
      <c r="G99" t="str">
        <f t="shared" si="34"/>
        <v>Gg N2O</v>
      </c>
      <c r="H99" s="22">
        <f>'Activity data'!H58*ManureNEF*NtoN2O*kgtoGg</f>
        <v>9.6765143377954225E-3</v>
      </c>
      <c r="I99" s="22">
        <f>'Activity data'!I58*ManureNEF*NtoN2O*kgtoGg</f>
        <v>8.5567734933713682E-3</v>
      </c>
      <c r="J99" s="22">
        <f>'Activity data'!J58*ManureNEF*NtoN2O*kgtoGg</f>
        <v>7.9707409018970922E-3</v>
      </c>
      <c r="K99" s="22">
        <f>'Activity data'!K58*ManureNEF*NtoN2O*kgtoGg</f>
        <v>7.5312164582913869E-3</v>
      </c>
      <c r="L99" s="22">
        <f>'Activity data'!L58*ManureNEF*NtoN2O*kgtoGg</f>
        <v>8.152131942115318E-3</v>
      </c>
      <c r="M99" s="22">
        <f>'Activity data'!M58*ManureNEF*NtoN2O*kgtoGg</f>
        <v>8.2637571976342285E-3</v>
      </c>
      <c r="N99" s="22">
        <f>'Activity data'!N58*ManureNEF*NtoN2O*kgtoGg</f>
        <v>8.3928238993279686E-3</v>
      </c>
      <c r="O99" s="22">
        <f>'Activity data'!O58*ManureNEF*NtoN2O*kgtoGg</f>
        <v>8.350964428508377E-3</v>
      </c>
      <c r="P99" s="22">
        <f>'Activity data'!P58*ManureNEF*NtoN2O*kgtoGg</f>
        <v>8.232362594519536E-3</v>
      </c>
      <c r="Q99" s="22">
        <f>'Activity data'!Q58*ManureNEF*NtoN2O*kgtoGg</f>
        <v>8.1102724712957298E-3</v>
      </c>
      <c r="R99" s="22">
        <f>'Activity data'!R58*ManureNEF*NtoN2O*kgtoGg</f>
        <v>8.2149211483447063E-3</v>
      </c>
      <c r="S99" s="22">
        <f>'Activity data'!S58*ManureNEF*NtoN2O*kgtoGg</f>
        <v>8.4660779732622544E-3</v>
      </c>
      <c r="T99" s="22">
        <f>'Activity data'!T58*ManureNEF*NtoN2O*kgtoGg</f>
        <v>7.7300489446844476E-3</v>
      </c>
      <c r="U99" s="22">
        <f>'Activity data'!U58*ManureNEF*NtoN2O*kgtoGg</f>
        <v>7.5347047475263548E-3</v>
      </c>
      <c r="V99" s="22">
        <f>'Activity data'!V58*ManureNEF*NtoN2O*kgtoGg</f>
        <v>7.548657904466221E-3</v>
      </c>
      <c r="W99" s="22">
        <f>'Activity data'!W58*ManureNEF*NtoN2O*kgtoGg</f>
        <v>7.4509858058871732E-3</v>
      </c>
      <c r="X99" s="22">
        <f>'Activity data'!X58*ManureNEF*NtoN2O*kgtoGg</f>
        <v>7.6079588214606388E-3</v>
      </c>
      <c r="Y99" s="22">
        <f>'Activity data'!Y58*ManureNEF*NtoN2O*kgtoGg</f>
        <v>7.3812200211878561E-3</v>
      </c>
      <c r="Z99" s="22">
        <f>'Activity data'!Z58*ManureNEF*NtoN2O*kgtoGg</f>
        <v>7.3742434427179256E-3</v>
      </c>
      <c r="AA99" s="22">
        <f>'Activity data'!AA58*ManureNEF*NtoN2O*kgtoGg</f>
        <v>7.2451767410241855E-3</v>
      </c>
      <c r="AB99" s="22">
        <f>'Activity data'!AB58*ManureNEF*NtoN2O*kgtoGg</f>
        <v>7.1579695101500369E-3</v>
      </c>
      <c r="AC99" s="22">
        <f>'Activity data'!AC58*ManureNEF*NtoN2O*kgtoGg</f>
        <v>7.0916920146856851E-3</v>
      </c>
      <c r="AD99" s="22">
        <f>'Activity data'!AD58*ManureNEF*NtoN2O*kgtoGg</f>
        <v>7.214092738049376E-3</v>
      </c>
      <c r="AE99" s="22">
        <f>'Activity data'!AE58*ManureNEF*NtoN2O*kgtoGg</f>
        <v>7.2328458969643655E-3</v>
      </c>
      <c r="AF99" s="22">
        <f>'Activity data'!AF58*ManureNEF*NtoN2O*kgtoGg</f>
        <v>7.2587152169743185E-3</v>
      </c>
      <c r="AG99" s="22">
        <f>'Activity data'!AG58*ManureNEF*NtoN2O*kgtoGg</f>
        <v>7.2902308808567374E-3</v>
      </c>
      <c r="AH99" s="22">
        <f>'Activity data'!AH58*ManureNEF*NtoN2O*kgtoGg</f>
        <v>7.3273479389297461E-3</v>
      </c>
      <c r="AI99" s="22">
        <f>'Activity data'!AI58*ManureNEF*NtoN2O*kgtoGg</f>
        <v>7.3698404773103405E-3</v>
      </c>
      <c r="AJ99" s="22">
        <f>'Activity data'!AJ58*ManureNEF*NtoN2O*kgtoGg</f>
        <v>7.4155715935563154E-3</v>
      </c>
      <c r="AK99" s="22">
        <f>'Activity data'!AK58*ManureNEF*NtoN2O*kgtoGg</f>
        <v>7.4643602602570466E-3</v>
      </c>
      <c r="AL99" s="22">
        <f>'Activity data'!AL58*ManureNEF*NtoN2O*kgtoGg</f>
        <v>7.508606055628168E-3</v>
      </c>
      <c r="AM99" s="22">
        <f>'Activity data'!AM58*ManureNEF*NtoN2O*kgtoGg</f>
        <v>7.530218392894506E-3</v>
      </c>
      <c r="AN99" s="22">
        <f>'Activity data'!AN58*ManureNEF*NtoN2O*kgtoGg</f>
        <v>7.5549909541397786E-3</v>
      </c>
      <c r="AO99" s="22">
        <f>'Activity data'!AO58*ManureNEF*NtoN2O*kgtoGg</f>
        <v>7.5802429112896688E-3</v>
      </c>
      <c r="AP99" s="22">
        <f>'Activity data'!AP58*ManureNEF*NtoN2O*kgtoGg</f>
        <v>7.6076305558180233E-3</v>
      </c>
      <c r="AQ99" s="22">
        <f>'Activity data'!AQ58*ManureNEF*NtoN2O*kgtoGg</f>
        <v>7.6371086242101958E-3</v>
      </c>
      <c r="AR99" s="22">
        <f>'Activity data'!AR58*ManureNEF*NtoN2O*kgtoGg</f>
        <v>7.6559732990994986E-3</v>
      </c>
      <c r="AS99" s="22">
        <f>'Activity data'!AS58*ManureNEF*NtoN2O*kgtoGg</f>
        <v>7.6766122997346123E-3</v>
      </c>
      <c r="AT99" s="22">
        <f>'Activity data'!AT58*ManureNEF*NtoN2O*kgtoGg</f>
        <v>7.6987842276677087E-3</v>
      </c>
      <c r="AU99" s="22">
        <f>'Activity data'!AU58*ManureNEF*NtoN2O*kgtoGg</f>
        <v>7.7225602786557407E-3</v>
      </c>
      <c r="AV99" s="22">
        <f>'Activity data'!AV58*ManureNEF*NtoN2O*kgtoGg</f>
        <v>7.7477172000671966E-3</v>
      </c>
      <c r="AW99" s="22">
        <f>'Activity data'!AW58*ManureNEF*NtoN2O*kgtoGg</f>
        <v>7.7644940114083667E-3</v>
      </c>
      <c r="AX99" s="22">
        <f>'Activity data'!AX58*ManureNEF*NtoN2O*kgtoGg</f>
        <v>7.7823854824558272E-3</v>
      </c>
      <c r="AY99" s="22">
        <f>'Activity data'!AY58*ManureNEF*NtoN2O*kgtoGg</f>
        <v>7.8015430548696758E-3</v>
      </c>
      <c r="AZ99" s="22">
        <f>'Activity data'!AZ58*ManureNEF*NtoN2O*kgtoGg</f>
        <v>7.8221613065677827E-3</v>
      </c>
      <c r="BA99" s="22">
        <f>'Activity data'!BA58*ManureNEF*NtoN2O*kgtoGg</f>
        <v>7.8436173383695379E-3</v>
      </c>
      <c r="BB99" s="22">
        <f>'Activity data'!BB58*ManureNEF*NtoN2O*kgtoGg</f>
        <v>7.8569056109017259E-3</v>
      </c>
      <c r="BC99" s="22">
        <f>'Activity data'!BC58*ManureNEF*NtoN2O*kgtoGg</f>
        <v>7.8713258060749292E-3</v>
      </c>
      <c r="BD99" s="22">
        <f>'Activity data'!BD58*ManureNEF*NtoN2O*kgtoGg</f>
        <v>7.8863764085469988E-3</v>
      </c>
      <c r="BE99" s="22">
        <f>'Activity data'!BE58*ManureNEF*NtoN2O*kgtoGg</f>
        <v>7.9022347099283879E-3</v>
      </c>
      <c r="BF99" s="22">
        <f>'Activity data'!BF58*ManureNEF*NtoN2O*kgtoGg</f>
        <v>7.9188789980088534E-3</v>
      </c>
      <c r="BG99" s="22">
        <f>'Activity data'!BG58*ManureNEF*NtoN2O*kgtoGg</f>
        <v>7.927972418898541E-3</v>
      </c>
      <c r="BH99" s="22">
        <f>'Activity data'!BH58*ManureNEF*NtoN2O*kgtoGg</f>
        <v>7.9376387015817219E-3</v>
      </c>
      <c r="BI99" s="22">
        <f>'Activity data'!BI58*ManureNEF*NtoN2O*kgtoGg</f>
        <v>7.9481245993818089E-3</v>
      </c>
      <c r="BJ99" s="22">
        <f>'Activity data'!BJ58*ManureNEF*NtoN2O*kgtoGg</f>
        <v>7.9594200977915561E-3</v>
      </c>
      <c r="BK99" s="22">
        <f>'Activity data'!BK58*ManureNEF*NtoN2O*kgtoGg</f>
        <v>7.9715264998755E-3</v>
      </c>
      <c r="BL99" s="22">
        <f>'Activity data'!BL58*ManureNEF*NtoN2O*kgtoGg</f>
        <v>7.9757936370942299E-3</v>
      </c>
      <c r="BM99" s="22">
        <f>'Activity data'!BM58*ManureNEF*NtoN2O*kgtoGg</f>
        <v>7.9776886737032964E-3</v>
      </c>
      <c r="BN99" s="22">
        <f>'Activity data'!BN58*ManureNEF*NtoN2O*kgtoGg</f>
        <v>7.979891666850529E-3</v>
      </c>
      <c r="BO99" s="22">
        <f>'Activity data'!BO58*ManureNEF*NtoN2O*kgtoGg</f>
        <v>7.9822633621210899E-3</v>
      </c>
      <c r="BP99" s="22">
        <f>'Activity data'!BP58*ManureNEF*NtoN2O*kgtoGg</f>
        <v>7.9850651414760491E-3</v>
      </c>
    </row>
    <row r="100" spans="1:68" x14ac:dyDescent="0.3">
      <c r="A100" t="str">
        <f t="shared" si="29"/>
        <v>3C Aggregated and non-CO2 emissions on land</v>
      </c>
      <c r="B100" t="str">
        <f t="shared" si="31"/>
        <v>3C4 Direct N2O from managed soils (N2O)</v>
      </c>
      <c r="C100" t="str">
        <f t="shared" si="35"/>
        <v>MM emissions</v>
      </c>
      <c r="D100" t="str">
        <f>'Activity data'!D59</f>
        <v xml:space="preserve"> - Subsistence goats</v>
      </c>
      <c r="E100" t="str">
        <f t="shared" si="32"/>
        <v>MM emissions - Subsistence goats</v>
      </c>
      <c r="F100" t="str">
        <f t="shared" si="33"/>
        <v>N2O</v>
      </c>
      <c r="G100" t="str">
        <f t="shared" si="34"/>
        <v>Gg N2O</v>
      </c>
      <c r="H100" s="22">
        <f>'Activity data'!H59*ManureNEF*NtoN2O*kgtoGg</f>
        <v>0.11880557253341303</v>
      </c>
      <c r="I100" s="22">
        <f>'Activity data'!I59*ManureNEF*NtoN2O*kgtoGg</f>
        <v>0.10505770346952495</v>
      </c>
      <c r="J100" s="22">
        <f>'Activity data'!J59*ManureNEF*NtoN2O*kgtoGg</f>
        <v>9.7862557043564835E-2</v>
      </c>
      <c r="K100" s="22">
        <f>'Activity data'!K59*ManureNEF*NtoN2O*kgtoGg</f>
        <v>9.2466197224094729E-2</v>
      </c>
      <c r="L100" s="22">
        <f>'Activity data'!L59*ManureNEF*NtoN2O*kgtoGg</f>
        <v>0.10008962617540962</v>
      </c>
      <c r="M100" s="22">
        <f>'Activity data'!M59*ManureNEF*NtoN2O*kgtoGg</f>
        <v>0.10146013025654488</v>
      </c>
      <c r="N100" s="22">
        <f>'Activity data'!N59*ManureNEF*NtoN2O*kgtoGg</f>
        <v>0.10304477560035755</v>
      </c>
      <c r="O100" s="22">
        <f>'Activity data'!O59*ManureNEF*NtoN2O*kgtoGg</f>
        <v>0.10253083656993182</v>
      </c>
      <c r="P100" s="22">
        <f>'Activity data'!P59*ManureNEF*NtoN2O*kgtoGg</f>
        <v>0.1010746759837256</v>
      </c>
      <c r="Q100" s="22">
        <f>'Activity data'!Q59*ManureNEF*NtoN2O*kgtoGg</f>
        <v>9.9575687144983924E-2</v>
      </c>
      <c r="R100" s="22">
        <f>'Activity data'!R59*ManureNEF*NtoN2O*kgtoGg</f>
        <v>0.10086053472104822</v>
      </c>
      <c r="S100" s="22">
        <f>'Activity data'!S59*ManureNEF*NtoN2O*kgtoGg</f>
        <v>0.10394416890360253</v>
      </c>
      <c r="T100" s="22">
        <f>'Activity data'!T59*ManureNEF*NtoN2O*kgtoGg</f>
        <v>9.4907407618616907E-2</v>
      </c>
      <c r="U100" s="22">
        <f>'Activity data'!U59*ManureNEF*NtoN2O*kgtoGg</f>
        <v>9.2509025476630202E-2</v>
      </c>
      <c r="V100" s="22">
        <f>'Activity data'!V59*ManureNEF*NtoN2O*kgtoGg</f>
        <v>9.268033848677211E-2</v>
      </c>
      <c r="W100" s="22">
        <f>'Activity data'!W59*ManureNEF*NtoN2O*kgtoGg</f>
        <v>9.1481147415778757E-2</v>
      </c>
      <c r="X100" s="22">
        <f>'Activity data'!X59*ManureNEF*NtoN2O*kgtoGg</f>
        <v>9.3408418779875241E-2</v>
      </c>
      <c r="Y100" s="22">
        <f>'Activity data'!Y59*ManureNEF*NtoN2O*kgtoGg</f>
        <v>9.0624582365069234E-2</v>
      </c>
      <c r="Z100" s="22">
        <f>'Activity data'!Z59*ManureNEF*NtoN2O*kgtoGg</f>
        <v>9.0538925859998259E-2</v>
      </c>
      <c r="AA100" s="22">
        <f>'Activity data'!AA59*ManureNEF*NtoN2O*kgtoGg</f>
        <v>8.8954280516185633E-2</v>
      </c>
      <c r="AB100" s="22">
        <f>'Activity data'!AB59*ManureNEF*NtoN2O*kgtoGg</f>
        <v>8.7883574202798714E-2</v>
      </c>
      <c r="AC100" s="22">
        <f>'Activity data'!AC59*ManureNEF*NtoN2O*kgtoGg</f>
        <v>8.7069837404624637E-2</v>
      </c>
      <c r="AD100" s="22">
        <f>'Activity data'!AD59*ManureNEF*NtoN2O*kgtoGg</f>
        <v>8.7045671471293537E-2</v>
      </c>
      <c r="AE100" s="22">
        <f>'Activity data'!AE59*ManureNEF*NtoN2O*kgtoGg</f>
        <v>8.7271948200639354E-2</v>
      </c>
      <c r="AF100" s="22">
        <f>'Activity data'!AF59*ManureNEF*NtoN2O*kgtoGg</f>
        <v>8.7584088952434122E-2</v>
      </c>
      <c r="AG100" s="22">
        <f>'Activity data'!AG59*ManureNEF*NtoN2O*kgtoGg</f>
        <v>8.7964358824768829E-2</v>
      </c>
      <c r="AH100" s="22">
        <f>'Activity data'!AH59*ManureNEF*NtoN2O*kgtoGg</f>
        <v>8.8412215452112072E-2</v>
      </c>
      <c r="AI100" s="22">
        <f>'Activity data'!AI59*ManureNEF*NtoN2O*kgtoGg</f>
        <v>8.8924932944132923E-2</v>
      </c>
      <c r="AJ100" s="22">
        <f>'Activity data'!AJ59*ManureNEF*NtoN2O*kgtoGg</f>
        <v>8.9476727309038592E-2</v>
      </c>
      <c r="AK100" s="22">
        <f>'Activity data'!AK59*ManureNEF*NtoN2O*kgtoGg</f>
        <v>9.0065414259340087E-2</v>
      </c>
      <c r="AL100" s="22">
        <f>'Activity data'!AL59*ManureNEF*NtoN2O*kgtoGg</f>
        <v>9.0599286654346481E-2</v>
      </c>
      <c r="AM100" s="22">
        <f>'Activity data'!AM59*ManureNEF*NtoN2O*kgtoGg</f>
        <v>9.0860062399505684E-2</v>
      </c>
      <c r="AN100" s="22">
        <f>'Activity data'!AN59*ManureNEF*NtoN2O*kgtoGg</f>
        <v>9.1158969594901898E-2</v>
      </c>
      <c r="AO100" s="22">
        <f>'Activity data'!AO59*ManureNEF*NtoN2O*kgtoGg</f>
        <v>9.146366120975781E-2</v>
      </c>
      <c r="AP100" s="22">
        <f>'Activity data'!AP59*ManureNEF*NtoN2O*kgtoGg</f>
        <v>9.1794122155375246E-2</v>
      </c>
      <c r="AQ100" s="22">
        <f>'Activity data'!AQ59*ManureNEF*NtoN2O*kgtoGg</f>
        <v>9.2149806279498009E-2</v>
      </c>
      <c r="AR100" s="22">
        <f>'Activity data'!AR59*ManureNEF*NtoN2O*kgtoGg</f>
        <v>9.2377428567213551E-2</v>
      </c>
      <c r="AS100" s="22">
        <f>'Activity data'!AS59*ManureNEF*NtoN2O*kgtoGg</f>
        <v>9.2626459974767344E-2</v>
      </c>
      <c r="AT100" s="22">
        <f>'Activity data'!AT59*ManureNEF*NtoN2O*kgtoGg</f>
        <v>9.289398777414952E-2</v>
      </c>
      <c r="AU100" s="22">
        <f>'Activity data'!AU59*ManureNEF*NtoN2O*kgtoGg</f>
        <v>9.3180871017592357E-2</v>
      </c>
      <c r="AV100" s="22">
        <f>'Activity data'!AV59*ManureNEF*NtoN2O*kgtoGg</f>
        <v>9.34844159255835E-2</v>
      </c>
      <c r="AW100" s="22">
        <f>'Activity data'!AW59*ManureNEF*NtoN2O*kgtoGg</f>
        <v>9.368684592771491E-2</v>
      </c>
      <c r="AX100" s="22">
        <f>'Activity data'!AX59*ManureNEF*NtoN2O*kgtoGg</f>
        <v>9.3902725480069615E-2</v>
      </c>
      <c r="AY100" s="22">
        <f>'Activity data'!AY59*ManureNEF*NtoN2O*kgtoGg</f>
        <v>9.4133881886713511E-2</v>
      </c>
      <c r="AZ100" s="22">
        <f>'Activity data'!AZ59*ManureNEF*NtoN2O*kgtoGg</f>
        <v>9.4382662936360925E-2</v>
      </c>
      <c r="BA100" s="22">
        <f>'Activity data'!BA59*ManureNEF*NtoN2O*kgtoGg</f>
        <v>9.4641552690500438E-2</v>
      </c>
      <c r="BB100" s="22">
        <f>'Activity data'!BB59*ManureNEF*NtoN2O*kgtoGg</f>
        <v>9.4801889776154655E-2</v>
      </c>
      <c r="BC100" s="22">
        <f>'Activity data'!BC59*ManureNEF*NtoN2O*kgtoGg</f>
        <v>9.4975884707627883E-2</v>
      </c>
      <c r="BD100" s="22">
        <f>'Activity data'!BD59*ManureNEF*NtoN2O*kgtoGg</f>
        <v>9.5157486171013425E-2</v>
      </c>
      <c r="BE100" s="22">
        <f>'Activity data'!BE59*ManureNEF*NtoN2O*kgtoGg</f>
        <v>9.534883337741358E-2</v>
      </c>
      <c r="BF100" s="22">
        <f>'Activity data'!BF59*ManureNEF*NtoN2O*kgtoGg</f>
        <v>9.5549664346009811E-2</v>
      </c>
      <c r="BG100" s="22">
        <f>'Activity data'!BG59*ManureNEF*NtoN2O*kgtoGg</f>
        <v>9.5659386102584815E-2</v>
      </c>
      <c r="BH100" s="22">
        <f>'Activity data'!BH59*ManureNEF*NtoN2O*kgtoGg</f>
        <v>9.5776020043586318E-2</v>
      </c>
      <c r="BI100" s="22">
        <f>'Activity data'!BI59*ManureNEF*NtoN2O*kgtoGg</f>
        <v>9.5902543509270868E-2</v>
      </c>
      <c r="BJ100" s="22">
        <f>'Activity data'!BJ59*ManureNEF*NtoN2O*kgtoGg</f>
        <v>9.6038835663999289E-2</v>
      </c>
      <c r="BK100" s="22">
        <f>'Activity data'!BK59*ManureNEF*NtoN2O*kgtoGg</f>
        <v>9.6184912230625655E-2</v>
      </c>
      <c r="BL100" s="22">
        <f>'Activity data'!BL59*ManureNEF*NtoN2O*kgtoGg</f>
        <v>9.6236399761761113E-2</v>
      </c>
      <c r="BM100" s="22">
        <f>'Activity data'!BM59*ManureNEF*NtoN2O*kgtoGg</f>
        <v>9.625926538604522E-2</v>
      </c>
      <c r="BN100" s="22">
        <f>'Activity data'!BN59*ManureNEF*NtoN2O*kgtoGg</f>
        <v>9.6285846832210489E-2</v>
      </c>
      <c r="BO100" s="22">
        <f>'Activity data'!BO59*ManureNEF*NtoN2O*kgtoGg</f>
        <v>9.6314463848216167E-2</v>
      </c>
      <c r="BP100" s="22">
        <f>'Activity data'!BP59*ManureNEF*NtoN2O*kgtoGg</f>
        <v>9.6348270284329823E-2</v>
      </c>
    </row>
    <row r="101" spans="1:68" x14ac:dyDescent="0.3">
      <c r="A101" t="str">
        <f t="shared" si="29"/>
        <v>3C Aggregated and non-CO2 emissions on land</v>
      </c>
      <c r="B101" t="str">
        <f t="shared" si="31"/>
        <v>3C4 Direct N2O from managed soils (N2O)</v>
      </c>
      <c r="C101" t="str">
        <f t="shared" si="35"/>
        <v>MM emissions</v>
      </c>
      <c r="D101" t="str">
        <f>'Activity data'!D60</f>
        <v xml:space="preserve"> - Horses</v>
      </c>
      <c r="E101" t="str">
        <f t="shared" si="32"/>
        <v>MM emissions - Horses</v>
      </c>
      <c r="F101" t="str">
        <f t="shared" si="33"/>
        <v>N2O</v>
      </c>
      <c r="G101" t="str">
        <f t="shared" si="34"/>
        <v>Gg N2O</v>
      </c>
      <c r="H101" s="22">
        <f>'Activity data'!H60*ManureNEF*NtoN2O*kgtoGg</f>
        <v>0</v>
      </c>
      <c r="I101" s="22">
        <f>'Activity data'!I60*ManureNEF*NtoN2O*kgtoGg</f>
        <v>0</v>
      </c>
      <c r="J101" s="22">
        <f>'Activity data'!J60*ManureNEF*NtoN2O*kgtoGg</f>
        <v>0</v>
      </c>
      <c r="K101" s="22">
        <f>'Activity data'!K60*ManureNEF*NtoN2O*kgtoGg</f>
        <v>0</v>
      </c>
      <c r="L101" s="22">
        <f>'Activity data'!L60*ManureNEF*NtoN2O*kgtoGg</f>
        <v>0</v>
      </c>
      <c r="M101" s="22">
        <f>'Activity data'!M60*ManureNEF*NtoN2O*kgtoGg</f>
        <v>0</v>
      </c>
      <c r="N101" s="22">
        <f>'Activity data'!N60*ManureNEF*NtoN2O*kgtoGg</f>
        <v>0</v>
      </c>
      <c r="O101" s="22">
        <f>'Activity data'!O60*ManureNEF*NtoN2O*kgtoGg</f>
        <v>0</v>
      </c>
      <c r="P101" s="22">
        <f>'Activity data'!P60*ManureNEF*NtoN2O*kgtoGg</f>
        <v>0</v>
      </c>
      <c r="Q101" s="22">
        <f>'Activity data'!Q60*ManureNEF*NtoN2O*kgtoGg</f>
        <v>0</v>
      </c>
      <c r="R101" s="22">
        <f>'Activity data'!R60*ManureNEF*NtoN2O*kgtoGg</f>
        <v>0</v>
      </c>
      <c r="S101" s="22">
        <f>'Activity data'!S60*ManureNEF*NtoN2O*kgtoGg</f>
        <v>0</v>
      </c>
      <c r="T101" s="22">
        <f>'Activity data'!T60*ManureNEF*NtoN2O*kgtoGg</f>
        <v>0</v>
      </c>
      <c r="U101" s="22">
        <f>'Activity data'!U60*ManureNEF*NtoN2O*kgtoGg</f>
        <v>0</v>
      </c>
      <c r="V101" s="22">
        <f>'Activity data'!V60*ManureNEF*NtoN2O*kgtoGg</f>
        <v>0</v>
      </c>
      <c r="W101" s="22">
        <f>'Activity data'!W60*ManureNEF*NtoN2O*kgtoGg</f>
        <v>0</v>
      </c>
      <c r="X101" s="22">
        <f>'Activity data'!X60*ManureNEF*NtoN2O*kgtoGg</f>
        <v>0</v>
      </c>
      <c r="Y101" s="22">
        <f>'Activity data'!Y60*ManureNEF*NtoN2O*kgtoGg</f>
        <v>0</v>
      </c>
      <c r="Z101" s="22">
        <f>'Activity data'!Z60*ManureNEF*NtoN2O*kgtoGg</f>
        <v>0</v>
      </c>
      <c r="AA101" s="22">
        <f>'Activity data'!AA60*ManureNEF*NtoN2O*kgtoGg</f>
        <v>0</v>
      </c>
      <c r="AB101" s="22">
        <f>'Activity data'!AB60*ManureNEF*NtoN2O*kgtoGg</f>
        <v>0</v>
      </c>
      <c r="AC101" s="22">
        <f>'Activity data'!AC60*ManureNEF*NtoN2O*kgtoGg</f>
        <v>0</v>
      </c>
      <c r="AD101" s="22">
        <f>'Activity data'!AD60*ManureNEF*NtoN2O*kgtoGg</f>
        <v>0</v>
      </c>
      <c r="AE101" s="22">
        <f>'Activity data'!AE60*ManureNEF*NtoN2O*kgtoGg</f>
        <v>0</v>
      </c>
      <c r="AF101" s="22">
        <f>'Activity data'!AF60*ManureNEF*NtoN2O*kgtoGg</f>
        <v>0</v>
      </c>
      <c r="AG101" s="22">
        <f>'Activity data'!AG60*ManureNEF*NtoN2O*kgtoGg</f>
        <v>0</v>
      </c>
      <c r="AH101" s="22">
        <f>'Activity data'!AH60*ManureNEF*NtoN2O*kgtoGg</f>
        <v>0</v>
      </c>
      <c r="AI101" s="22">
        <f>'Activity data'!AI60*ManureNEF*NtoN2O*kgtoGg</f>
        <v>0</v>
      </c>
      <c r="AJ101" s="22">
        <f>'Activity data'!AJ60*ManureNEF*NtoN2O*kgtoGg</f>
        <v>0</v>
      </c>
      <c r="AK101" s="22">
        <f>'Activity data'!AK60*ManureNEF*NtoN2O*kgtoGg</f>
        <v>0</v>
      </c>
      <c r="AL101" s="22">
        <f>'Activity data'!AL60*ManureNEF*NtoN2O*kgtoGg</f>
        <v>0</v>
      </c>
      <c r="AM101" s="22">
        <f>'Activity data'!AM60*ManureNEF*NtoN2O*kgtoGg</f>
        <v>0</v>
      </c>
      <c r="AN101" s="22">
        <f>'Activity data'!AN60*ManureNEF*NtoN2O*kgtoGg</f>
        <v>0</v>
      </c>
      <c r="AO101" s="22">
        <f>'Activity data'!AO60*ManureNEF*NtoN2O*kgtoGg</f>
        <v>0</v>
      </c>
      <c r="AP101" s="22">
        <f>'Activity data'!AP60*ManureNEF*NtoN2O*kgtoGg</f>
        <v>0</v>
      </c>
      <c r="AQ101" s="22">
        <f>'Activity data'!AQ60*ManureNEF*NtoN2O*kgtoGg</f>
        <v>0</v>
      </c>
      <c r="AR101" s="22">
        <f>'Activity data'!AR60*ManureNEF*NtoN2O*kgtoGg</f>
        <v>0</v>
      </c>
      <c r="AS101" s="22">
        <f>'Activity data'!AS60*ManureNEF*NtoN2O*kgtoGg</f>
        <v>0</v>
      </c>
      <c r="AT101" s="22">
        <f>'Activity data'!AT60*ManureNEF*NtoN2O*kgtoGg</f>
        <v>0</v>
      </c>
      <c r="AU101" s="22">
        <f>'Activity data'!AU60*ManureNEF*NtoN2O*kgtoGg</f>
        <v>0</v>
      </c>
      <c r="AV101" s="22">
        <f>'Activity data'!AV60*ManureNEF*NtoN2O*kgtoGg</f>
        <v>0</v>
      </c>
      <c r="AW101" s="22">
        <f>'Activity data'!AW60*ManureNEF*NtoN2O*kgtoGg</f>
        <v>0</v>
      </c>
      <c r="AX101" s="22">
        <f>'Activity data'!AX60*ManureNEF*NtoN2O*kgtoGg</f>
        <v>0</v>
      </c>
      <c r="AY101" s="22">
        <f>'Activity data'!AY60*ManureNEF*NtoN2O*kgtoGg</f>
        <v>0</v>
      </c>
      <c r="AZ101" s="22">
        <f>'Activity data'!AZ60*ManureNEF*NtoN2O*kgtoGg</f>
        <v>0</v>
      </c>
      <c r="BA101" s="22">
        <f>'Activity data'!BA60*ManureNEF*NtoN2O*kgtoGg</f>
        <v>0</v>
      </c>
      <c r="BB101" s="22">
        <f>'Activity data'!BB60*ManureNEF*NtoN2O*kgtoGg</f>
        <v>0</v>
      </c>
      <c r="BC101" s="22">
        <f>'Activity data'!BC60*ManureNEF*NtoN2O*kgtoGg</f>
        <v>0</v>
      </c>
      <c r="BD101" s="22">
        <f>'Activity data'!BD60*ManureNEF*NtoN2O*kgtoGg</f>
        <v>0</v>
      </c>
      <c r="BE101" s="22">
        <f>'Activity data'!BE60*ManureNEF*NtoN2O*kgtoGg</f>
        <v>0</v>
      </c>
      <c r="BF101" s="22">
        <f>'Activity data'!BF60*ManureNEF*NtoN2O*kgtoGg</f>
        <v>0</v>
      </c>
      <c r="BG101" s="22">
        <f>'Activity data'!BG60*ManureNEF*NtoN2O*kgtoGg</f>
        <v>0</v>
      </c>
      <c r="BH101" s="22">
        <f>'Activity data'!BH60*ManureNEF*NtoN2O*kgtoGg</f>
        <v>0</v>
      </c>
      <c r="BI101" s="22">
        <f>'Activity data'!BI60*ManureNEF*NtoN2O*kgtoGg</f>
        <v>0</v>
      </c>
      <c r="BJ101" s="22">
        <f>'Activity data'!BJ60*ManureNEF*NtoN2O*kgtoGg</f>
        <v>0</v>
      </c>
      <c r="BK101" s="22">
        <f>'Activity data'!BK60*ManureNEF*NtoN2O*kgtoGg</f>
        <v>0</v>
      </c>
      <c r="BL101" s="22">
        <f>'Activity data'!BL60*ManureNEF*NtoN2O*kgtoGg</f>
        <v>0</v>
      </c>
      <c r="BM101" s="22">
        <f>'Activity data'!BM60*ManureNEF*NtoN2O*kgtoGg</f>
        <v>0</v>
      </c>
      <c r="BN101" s="22">
        <f>'Activity data'!BN60*ManureNEF*NtoN2O*kgtoGg</f>
        <v>0</v>
      </c>
      <c r="BO101" s="22">
        <f>'Activity data'!BO60*ManureNEF*NtoN2O*kgtoGg</f>
        <v>0</v>
      </c>
      <c r="BP101" s="22">
        <f>'Activity data'!BP60*ManureNEF*NtoN2O*kgtoGg</f>
        <v>0</v>
      </c>
    </row>
    <row r="102" spans="1:68" x14ac:dyDescent="0.3">
      <c r="A102" t="str">
        <f t="shared" si="29"/>
        <v>3C Aggregated and non-CO2 emissions on land</v>
      </c>
      <c r="B102" t="str">
        <f t="shared" si="31"/>
        <v>3C4 Direct N2O from managed soils (N2O)</v>
      </c>
      <c r="C102" t="str">
        <f t="shared" si="35"/>
        <v>MM emissions</v>
      </c>
      <c r="D102" t="str">
        <f>'Activity data'!D61</f>
        <v xml:space="preserve"> - Mules &amp; Asses</v>
      </c>
      <c r="E102" t="str">
        <f t="shared" si="32"/>
        <v>MM emissions - Mules &amp; Asses</v>
      </c>
      <c r="F102" t="str">
        <f t="shared" si="33"/>
        <v>N2O</v>
      </c>
      <c r="G102" t="str">
        <f t="shared" si="34"/>
        <v>Gg N2O</v>
      </c>
      <c r="H102" s="22">
        <f>'Activity data'!H61*ManureNEF*NtoN2O*kgtoGg</f>
        <v>0</v>
      </c>
      <c r="I102" s="22">
        <f>'Activity data'!I61*ManureNEF*NtoN2O*kgtoGg</f>
        <v>0</v>
      </c>
      <c r="J102" s="22">
        <f>'Activity data'!J61*ManureNEF*NtoN2O*kgtoGg</f>
        <v>0</v>
      </c>
      <c r="K102" s="22">
        <f>'Activity data'!K61*ManureNEF*NtoN2O*kgtoGg</f>
        <v>0</v>
      </c>
      <c r="L102" s="22">
        <f>'Activity data'!L61*ManureNEF*NtoN2O*kgtoGg</f>
        <v>0</v>
      </c>
      <c r="M102" s="22">
        <f>'Activity data'!M61*ManureNEF*NtoN2O*kgtoGg</f>
        <v>0</v>
      </c>
      <c r="N102" s="22">
        <f>'Activity data'!N61*ManureNEF*NtoN2O*kgtoGg</f>
        <v>0</v>
      </c>
      <c r="O102" s="22">
        <f>'Activity data'!O61*ManureNEF*NtoN2O*kgtoGg</f>
        <v>0</v>
      </c>
      <c r="P102" s="22">
        <f>'Activity data'!P61*ManureNEF*NtoN2O*kgtoGg</f>
        <v>0</v>
      </c>
      <c r="Q102" s="22">
        <f>'Activity data'!Q61*ManureNEF*NtoN2O*kgtoGg</f>
        <v>0</v>
      </c>
      <c r="R102" s="22">
        <f>'Activity data'!R61*ManureNEF*NtoN2O*kgtoGg</f>
        <v>0</v>
      </c>
      <c r="S102" s="22">
        <f>'Activity data'!S61*ManureNEF*NtoN2O*kgtoGg</f>
        <v>0</v>
      </c>
      <c r="T102" s="22">
        <f>'Activity data'!T61*ManureNEF*NtoN2O*kgtoGg</f>
        <v>0</v>
      </c>
      <c r="U102" s="22">
        <f>'Activity data'!U61*ManureNEF*NtoN2O*kgtoGg</f>
        <v>0</v>
      </c>
      <c r="V102" s="22">
        <f>'Activity data'!V61*ManureNEF*NtoN2O*kgtoGg</f>
        <v>0</v>
      </c>
      <c r="W102" s="22">
        <f>'Activity data'!W61*ManureNEF*NtoN2O*kgtoGg</f>
        <v>0</v>
      </c>
      <c r="X102" s="22">
        <f>'Activity data'!X61*ManureNEF*NtoN2O*kgtoGg</f>
        <v>0</v>
      </c>
      <c r="Y102" s="22">
        <f>'Activity data'!Y61*ManureNEF*NtoN2O*kgtoGg</f>
        <v>0</v>
      </c>
      <c r="Z102" s="22">
        <f>'Activity data'!Z61*ManureNEF*NtoN2O*kgtoGg</f>
        <v>0</v>
      </c>
      <c r="AA102" s="22">
        <f>'Activity data'!AA61*ManureNEF*NtoN2O*kgtoGg</f>
        <v>0</v>
      </c>
      <c r="AB102" s="22">
        <f>'Activity data'!AB61*ManureNEF*NtoN2O*kgtoGg</f>
        <v>0</v>
      </c>
      <c r="AC102" s="22">
        <f>'Activity data'!AC61*ManureNEF*NtoN2O*kgtoGg</f>
        <v>0</v>
      </c>
      <c r="AD102" s="22">
        <f>'Activity data'!AD61*ManureNEF*NtoN2O*kgtoGg</f>
        <v>0</v>
      </c>
      <c r="AE102" s="22">
        <f>'Activity data'!AE61*ManureNEF*NtoN2O*kgtoGg</f>
        <v>0</v>
      </c>
      <c r="AF102" s="22">
        <f>'Activity data'!AF61*ManureNEF*NtoN2O*kgtoGg</f>
        <v>0</v>
      </c>
      <c r="AG102" s="22">
        <f>'Activity data'!AG61*ManureNEF*NtoN2O*kgtoGg</f>
        <v>0</v>
      </c>
      <c r="AH102" s="22">
        <f>'Activity data'!AH61*ManureNEF*NtoN2O*kgtoGg</f>
        <v>0</v>
      </c>
      <c r="AI102" s="22">
        <f>'Activity data'!AI61*ManureNEF*NtoN2O*kgtoGg</f>
        <v>0</v>
      </c>
      <c r="AJ102" s="22">
        <f>'Activity data'!AJ61*ManureNEF*NtoN2O*kgtoGg</f>
        <v>0</v>
      </c>
      <c r="AK102" s="22">
        <f>'Activity data'!AK61*ManureNEF*NtoN2O*kgtoGg</f>
        <v>0</v>
      </c>
      <c r="AL102" s="22">
        <f>'Activity data'!AL61*ManureNEF*NtoN2O*kgtoGg</f>
        <v>0</v>
      </c>
      <c r="AM102" s="22">
        <f>'Activity data'!AM61*ManureNEF*NtoN2O*kgtoGg</f>
        <v>0</v>
      </c>
      <c r="AN102" s="22">
        <f>'Activity data'!AN61*ManureNEF*NtoN2O*kgtoGg</f>
        <v>0</v>
      </c>
      <c r="AO102" s="22">
        <f>'Activity data'!AO61*ManureNEF*NtoN2O*kgtoGg</f>
        <v>0</v>
      </c>
      <c r="AP102" s="22">
        <f>'Activity data'!AP61*ManureNEF*NtoN2O*kgtoGg</f>
        <v>0</v>
      </c>
      <c r="AQ102" s="22">
        <f>'Activity data'!AQ61*ManureNEF*NtoN2O*kgtoGg</f>
        <v>0</v>
      </c>
      <c r="AR102" s="22">
        <f>'Activity data'!AR61*ManureNEF*NtoN2O*kgtoGg</f>
        <v>0</v>
      </c>
      <c r="AS102" s="22">
        <f>'Activity data'!AS61*ManureNEF*NtoN2O*kgtoGg</f>
        <v>0</v>
      </c>
      <c r="AT102" s="22">
        <f>'Activity data'!AT61*ManureNEF*NtoN2O*kgtoGg</f>
        <v>0</v>
      </c>
      <c r="AU102" s="22">
        <f>'Activity data'!AU61*ManureNEF*NtoN2O*kgtoGg</f>
        <v>0</v>
      </c>
      <c r="AV102" s="22">
        <f>'Activity data'!AV61*ManureNEF*NtoN2O*kgtoGg</f>
        <v>0</v>
      </c>
      <c r="AW102" s="22">
        <f>'Activity data'!AW61*ManureNEF*NtoN2O*kgtoGg</f>
        <v>0</v>
      </c>
      <c r="AX102" s="22">
        <f>'Activity data'!AX61*ManureNEF*NtoN2O*kgtoGg</f>
        <v>0</v>
      </c>
      <c r="AY102" s="22">
        <f>'Activity data'!AY61*ManureNEF*NtoN2O*kgtoGg</f>
        <v>0</v>
      </c>
      <c r="AZ102" s="22">
        <f>'Activity data'!AZ61*ManureNEF*NtoN2O*kgtoGg</f>
        <v>0</v>
      </c>
      <c r="BA102" s="22">
        <f>'Activity data'!BA61*ManureNEF*NtoN2O*kgtoGg</f>
        <v>0</v>
      </c>
      <c r="BB102" s="22">
        <f>'Activity data'!BB61*ManureNEF*NtoN2O*kgtoGg</f>
        <v>0</v>
      </c>
      <c r="BC102" s="22">
        <f>'Activity data'!BC61*ManureNEF*NtoN2O*kgtoGg</f>
        <v>0</v>
      </c>
      <c r="BD102" s="22">
        <f>'Activity data'!BD61*ManureNEF*NtoN2O*kgtoGg</f>
        <v>0</v>
      </c>
      <c r="BE102" s="22">
        <f>'Activity data'!BE61*ManureNEF*NtoN2O*kgtoGg</f>
        <v>0</v>
      </c>
      <c r="BF102" s="22">
        <f>'Activity data'!BF61*ManureNEF*NtoN2O*kgtoGg</f>
        <v>0</v>
      </c>
      <c r="BG102" s="22">
        <f>'Activity data'!BG61*ManureNEF*NtoN2O*kgtoGg</f>
        <v>0</v>
      </c>
      <c r="BH102" s="22">
        <f>'Activity data'!BH61*ManureNEF*NtoN2O*kgtoGg</f>
        <v>0</v>
      </c>
      <c r="BI102" s="22">
        <f>'Activity data'!BI61*ManureNEF*NtoN2O*kgtoGg</f>
        <v>0</v>
      </c>
      <c r="BJ102" s="22">
        <f>'Activity data'!BJ61*ManureNEF*NtoN2O*kgtoGg</f>
        <v>0</v>
      </c>
      <c r="BK102" s="22">
        <f>'Activity data'!BK61*ManureNEF*NtoN2O*kgtoGg</f>
        <v>0</v>
      </c>
      <c r="BL102" s="22">
        <f>'Activity data'!BL61*ManureNEF*NtoN2O*kgtoGg</f>
        <v>0</v>
      </c>
      <c r="BM102" s="22">
        <f>'Activity data'!BM61*ManureNEF*NtoN2O*kgtoGg</f>
        <v>0</v>
      </c>
      <c r="BN102" s="22">
        <f>'Activity data'!BN61*ManureNEF*NtoN2O*kgtoGg</f>
        <v>0</v>
      </c>
      <c r="BO102" s="22">
        <f>'Activity data'!BO61*ManureNEF*NtoN2O*kgtoGg</f>
        <v>0</v>
      </c>
      <c r="BP102" s="22">
        <f>'Activity data'!BP61*ManureNEF*NtoN2O*kgtoGg</f>
        <v>0</v>
      </c>
    </row>
    <row r="103" spans="1:68" x14ac:dyDescent="0.3">
      <c r="A103" t="str">
        <f t="shared" si="29"/>
        <v>3C Aggregated and non-CO2 emissions on land</v>
      </c>
      <c r="B103" t="str">
        <f t="shared" si="31"/>
        <v>3C4 Direct N2O from managed soils (N2O)</v>
      </c>
      <c r="C103" t="str">
        <f t="shared" si="35"/>
        <v>MM emissions</v>
      </c>
      <c r="D103" t="str">
        <f>'Activity data'!D62</f>
        <v xml:space="preserve"> - Commercial swine</v>
      </c>
      <c r="E103" t="str">
        <f t="shared" si="32"/>
        <v>MM emissions - Commercial swine</v>
      </c>
      <c r="F103" t="str">
        <f t="shared" si="33"/>
        <v>N2O</v>
      </c>
      <c r="G103" t="str">
        <f t="shared" si="34"/>
        <v>Gg N2O</v>
      </c>
      <c r="H103" s="22">
        <f>'Activity data'!H62*ManureNEF*NtoN2O*kgtoGg</f>
        <v>0.11469131025188571</v>
      </c>
      <c r="I103" s="22">
        <f>'Activity data'!I62*ManureNEF*NtoN2O*kgtoGg</f>
        <v>0.12530251415314284</v>
      </c>
      <c r="J103" s="22">
        <f>'Activity data'!J62*ManureNEF*NtoN2O*kgtoGg</f>
        <v>0.1244746897353143</v>
      </c>
      <c r="K103" s="22">
        <f>'Activity data'!K62*ManureNEF*NtoN2O*kgtoGg</f>
        <v>0.12439943297005714</v>
      </c>
      <c r="L103" s="22">
        <f>'Activity data'!L62*ManureNEF*NtoN2O*kgtoGg</f>
        <v>0.11815312145371427</v>
      </c>
      <c r="M103" s="22">
        <f>'Activity data'!M62*ManureNEF*NtoN2O*kgtoGg</f>
        <v>0.11928197293257144</v>
      </c>
      <c r="N103" s="22">
        <f>'Activity data'!N62*ManureNEF*NtoN2O*kgtoGg</f>
        <v>0.12846329829394287</v>
      </c>
      <c r="O103" s="22">
        <f>'Activity data'!O62*ManureNEF*NtoN2O*kgtoGg</f>
        <v>0.12786124417188571</v>
      </c>
      <c r="P103" s="22">
        <f>'Activity data'!P62*ManureNEF*NtoN2O*kgtoGg</f>
        <v>0.13064574448639998</v>
      </c>
      <c r="Q103" s="22">
        <f>'Activity data'!Q62*ManureNEF*NtoN2O*kgtoGg</f>
        <v>0.13395704215771428</v>
      </c>
      <c r="R103" s="22">
        <f>'Activity data'!R62*ManureNEF*NtoN2O*kgtoGg</f>
        <v>0.12394789237851427</v>
      </c>
      <c r="S103" s="22">
        <f>'Activity data'!S62*ManureNEF*NtoN2O*kgtoGg</f>
        <v>0.12628085210148574</v>
      </c>
      <c r="T103" s="22">
        <f>'Activity data'!T62*ManureNEF*NtoN2O*kgtoGg</f>
        <v>0.12868906858971427</v>
      </c>
      <c r="U103" s="22">
        <f>'Activity data'!U62*ManureNEF*NtoN2O*kgtoGg</f>
        <v>0.12515200062262857</v>
      </c>
      <c r="V103" s="22">
        <f>'Activity data'!V62*ManureNEF*NtoN2O*kgtoGg</f>
        <v>0.12515200062262857</v>
      </c>
      <c r="W103" s="22">
        <f>'Activity data'!W62*ManureNEF*NtoN2O*kgtoGg</f>
        <v>0.12424891943954286</v>
      </c>
      <c r="X103" s="22">
        <f>'Activity data'!X62*ManureNEF*NtoN2O*kgtoGg</f>
        <v>0.12206647324708569</v>
      </c>
      <c r="Y103" s="22">
        <f>'Activity data'!Y62*ManureNEF*NtoN2O*kgtoGg</f>
        <v>0.12424891943954286</v>
      </c>
      <c r="Z103" s="22">
        <f>'Activity data'!Z62*ManureNEF*NtoN2O*kgtoGg</f>
        <v>0.12153967589028571</v>
      </c>
      <c r="AA103" s="22">
        <f>'Activity data'!AA62*ManureNEF*NtoN2O*kgtoGg</f>
        <v>0.12138916235977143</v>
      </c>
      <c r="AB103" s="22">
        <f>'Activity data'!AB62*ManureNEF*NtoN2O*kgtoGg</f>
        <v>0.11995928381988573</v>
      </c>
      <c r="AC103" s="22">
        <f>'Activity data'!AC62*ManureNEF*NtoN2O*kgtoGg</f>
        <v>0.11920671616731429</v>
      </c>
      <c r="AD103" s="22">
        <f>'Activity data'!AD62*ManureNEF*NtoN2O*kgtoGg</f>
        <v>0.12462873299340151</v>
      </c>
      <c r="AE103" s="22">
        <f>'Activity data'!AE62*ManureNEF*NtoN2O*kgtoGg</f>
        <v>0.1239512929347177</v>
      </c>
      <c r="AF103" s="22">
        <f>'Activity data'!AF62*ManureNEF*NtoN2O*kgtoGg</f>
        <v>0.12400689511310994</v>
      </c>
      <c r="AG103" s="22">
        <f>'Activity data'!AG62*ManureNEF*NtoN2O*kgtoGg</f>
        <v>0.12286841678965586</v>
      </c>
      <c r="AH103" s="22">
        <f>'Activity data'!AH62*ManureNEF*NtoN2O*kgtoGg</f>
        <v>0.12100901910044999</v>
      </c>
      <c r="AI103" s="22">
        <f>'Activity data'!AI62*ManureNEF*NtoN2O*kgtoGg</f>
        <v>0.11845842648899828</v>
      </c>
      <c r="AJ103" s="22">
        <f>'Activity data'!AJ62*ManureNEF*NtoN2O*kgtoGg</f>
        <v>0.11660641339960404</v>
      </c>
      <c r="AK103" s="22">
        <f>'Activity data'!AK62*ManureNEF*NtoN2O*kgtoGg</f>
        <v>0.1149182786313902</v>
      </c>
      <c r="AL103" s="22">
        <f>'Activity data'!AL62*ManureNEF*NtoN2O*kgtoGg</f>
        <v>0.10146708298993465</v>
      </c>
      <c r="AM103" s="22">
        <f>'Activity data'!AM62*ManureNEF*NtoN2O*kgtoGg</f>
        <v>0.10275020296586759</v>
      </c>
      <c r="AN103" s="22">
        <f>'Activity data'!AN62*ManureNEF*NtoN2O*kgtoGg</f>
        <v>0.10550352655141972</v>
      </c>
      <c r="AO103" s="22">
        <f>'Activity data'!AO62*ManureNEF*NtoN2O*kgtoGg</f>
        <v>0.10575351402910073</v>
      </c>
      <c r="AP103" s="22">
        <f>'Activity data'!AP62*ManureNEF*NtoN2O*kgtoGg</f>
        <v>0.10629487580237802</v>
      </c>
      <c r="AQ103" s="22">
        <f>'Activity data'!AQ62*ManureNEF*NtoN2O*kgtoGg</f>
        <v>0.10720509536861222</v>
      </c>
      <c r="AR103" s="22">
        <f>'Activity data'!AR62*ManureNEF*NtoN2O*kgtoGg</f>
        <v>0.10834723898966528</v>
      </c>
      <c r="AS103" s="22">
        <f>'Activity data'!AS62*ManureNEF*NtoN2O*kgtoGg</f>
        <v>0.10974683917126901</v>
      </c>
      <c r="AT103" s="22">
        <f>'Activity data'!AT62*ManureNEF*NtoN2O*kgtoGg</f>
        <v>0.1111628062750292</v>
      </c>
      <c r="AU103" s="22">
        <f>'Activity data'!AU62*ManureNEF*NtoN2O*kgtoGg</f>
        <v>0.11279760688156307</v>
      </c>
      <c r="AV103" s="22">
        <f>'Activity data'!AV62*ManureNEF*NtoN2O*kgtoGg</f>
        <v>0.11442112413234014</v>
      </c>
      <c r="AW103" s="22">
        <f>'Activity data'!AW62*ManureNEF*NtoN2O*kgtoGg</f>
        <v>0.11643957996744059</v>
      </c>
      <c r="AX103" s="22">
        <f>'Activity data'!AX62*ManureNEF*NtoN2O*kgtoGg</f>
        <v>0.11829771598770626</v>
      </c>
      <c r="AY103" s="22">
        <f>'Activity data'!AY62*ManureNEF*NtoN2O*kgtoGg</f>
        <v>0.12027492127071612</v>
      </c>
      <c r="AZ103" s="22">
        <f>'Activity data'!AZ62*ManureNEF*NtoN2O*kgtoGg</f>
        <v>0.12268685377616716</v>
      </c>
      <c r="BA103" s="22">
        <f>'Activity data'!BA62*ManureNEF*NtoN2O*kgtoGg</f>
        <v>0.12475791099342097</v>
      </c>
      <c r="BB103" s="22">
        <f>'Activity data'!BB62*ManureNEF*NtoN2O*kgtoGg</f>
        <v>0.12699329856497024</v>
      </c>
      <c r="BC103" s="22">
        <f>'Activity data'!BC62*ManureNEF*NtoN2O*kgtoGg</f>
        <v>0.12941943299405728</v>
      </c>
      <c r="BD103" s="22">
        <f>'Activity data'!BD62*ManureNEF*NtoN2O*kgtoGg</f>
        <v>0.13144337900700456</v>
      </c>
      <c r="BE103" s="22">
        <f>'Activity data'!BE62*ManureNEF*NtoN2O*kgtoGg</f>
        <v>0.13334140591601026</v>
      </c>
      <c r="BF103" s="22">
        <f>'Activity data'!BF62*ManureNEF*NtoN2O*kgtoGg</f>
        <v>0.13512882169953486</v>
      </c>
      <c r="BG103" s="22">
        <f>'Activity data'!BG62*ManureNEF*NtoN2O*kgtoGg</f>
        <v>0.13719268069693955</v>
      </c>
      <c r="BH103" s="22">
        <f>'Activity data'!BH62*ManureNEF*NtoN2O*kgtoGg</f>
        <v>0.13898281232646292</v>
      </c>
      <c r="BI103" s="22">
        <f>'Activity data'!BI62*ManureNEF*NtoN2O*kgtoGg</f>
        <v>0.140830682916952</v>
      </c>
      <c r="BJ103" s="22">
        <f>'Activity data'!BJ62*ManureNEF*NtoN2O*kgtoGg</f>
        <v>0.14275023053200411</v>
      </c>
      <c r="BK103" s="22">
        <f>'Activity data'!BK62*ManureNEF*NtoN2O*kgtoGg</f>
        <v>0.14476547350370239</v>
      </c>
      <c r="BL103" s="22">
        <f>'Activity data'!BL62*ManureNEF*NtoN2O*kgtoGg</f>
        <v>0.14688161225730581</v>
      </c>
      <c r="BM103" s="22">
        <f>'Activity data'!BM62*ManureNEF*NtoN2O*kgtoGg</f>
        <v>0.14559391276445241</v>
      </c>
      <c r="BN103" s="22">
        <f>'Activity data'!BN62*ManureNEF*NtoN2O*kgtoGg</f>
        <v>0.14400863154663293</v>
      </c>
      <c r="BO103" s="22">
        <f>'Activity data'!BO62*ManureNEF*NtoN2O*kgtoGg</f>
        <v>0.1420082821543816</v>
      </c>
      <c r="BP103" s="22">
        <f>'Activity data'!BP62*ManureNEF*NtoN2O*kgtoGg</f>
        <v>0.13990982914905775</v>
      </c>
    </row>
    <row r="104" spans="1:68" x14ac:dyDescent="0.3">
      <c r="A104" t="str">
        <f t="shared" si="29"/>
        <v>3C Aggregated and non-CO2 emissions on land</v>
      </c>
      <c r="B104" t="str">
        <f t="shared" si="31"/>
        <v>3C4 Direct N2O from managed soils (N2O)</v>
      </c>
      <c r="C104" t="str">
        <f t="shared" si="35"/>
        <v>MM emissions</v>
      </c>
      <c r="D104" t="str">
        <f>'Activity data'!D63</f>
        <v xml:space="preserve"> - Subsistence swine</v>
      </c>
      <c r="E104" t="str">
        <f t="shared" si="32"/>
        <v>MM emissions - Subsistence swine</v>
      </c>
      <c r="F104" t="str">
        <f t="shared" si="33"/>
        <v>N2O</v>
      </c>
      <c r="G104" t="str">
        <f t="shared" si="34"/>
        <v>Gg N2O</v>
      </c>
      <c r="H104" s="22">
        <f>'Activity data'!H63*ManureNEF*NtoN2O*kgtoGg</f>
        <v>2.7864346310359195E-2</v>
      </c>
      <c r="I104" s="22">
        <f>'Activity data'!I63*ManureNEF*NtoN2O*kgtoGg</f>
        <v>3.0442346854821566E-2</v>
      </c>
      <c r="J104" s="22">
        <f>'Activity data'!J63*ManureNEF*NtoN2O*kgtoGg</f>
        <v>3.0241226244969888E-2</v>
      </c>
      <c r="K104" s="22">
        <f>'Activity data'!K63*ManureNEF*NtoN2O*kgtoGg</f>
        <v>3.0222942553165193E-2</v>
      </c>
      <c r="L104" s="22">
        <f>'Activity data'!L63*ManureNEF*NtoN2O*kgtoGg</f>
        <v>2.8705396133375288E-2</v>
      </c>
      <c r="M104" s="22">
        <f>'Activity data'!M63*ManureNEF*NtoN2O*kgtoGg</f>
        <v>2.8979651510445754E-2</v>
      </c>
      <c r="N104" s="22">
        <f>'Activity data'!N63*ManureNEF*NtoN2O*kgtoGg</f>
        <v>3.1210261910618868E-2</v>
      </c>
      <c r="O104" s="22">
        <f>'Activity data'!O63*ManureNEF*NtoN2O*kgtoGg</f>
        <v>3.1063992376181286E-2</v>
      </c>
      <c r="P104" s="22">
        <f>'Activity data'!P63*ManureNEF*NtoN2O*kgtoGg</f>
        <v>3.1740488972955096E-2</v>
      </c>
      <c r="Q104" s="22">
        <f>'Activity data'!Q63*ManureNEF*NtoN2O*kgtoGg</f>
        <v>3.2544971412361789E-2</v>
      </c>
      <c r="R104" s="22">
        <f>'Activity data'!R63*ManureNEF*NtoN2O*kgtoGg</f>
        <v>3.011324040233701E-2</v>
      </c>
      <c r="S104" s="22">
        <f>'Activity data'!S63*ManureNEF*NtoN2O*kgtoGg</f>
        <v>3.0680034848282637E-2</v>
      </c>
      <c r="T104" s="22">
        <f>'Activity data'!T63*ManureNEF*NtoN2O*kgtoGg</f>
        <v>3.1265112986032961E-2</v>
      </c>
      <c r="U104" s="22">
        <f>'Activity data'!U63*ManureNEF*NtoN2O*kgtoGg</f>
        <v>3.0405779471212167E-2</v>
      </c>
      <c r="V104" s="22">
        <f>'Activity data'!V63*ManureNEF*NtoN2O*kgtoGg</f>
        <v>3.0405779471212167E-2</v>
      </c>
      <c r="W104" s="22">
        <f>'Activity data'!W63*ManureNEF*NtoN2O*kgtoGg</f>
        <v>3.0186375169555798E-2</v>
      </c>
      <c r="X104" s="22">
        <f>'Activity data'!X63*ManureNEF*NtoN2O*kgtoGg</f>
        <v>2.9656148107219563E-2</v>
      </c>
      <c r="Y104" s="22">
        <f>'Activity data'!Y63*ManureNEF*NtoN2O*kgtoGg</f>
        <v>3.0186375169555798E-2</v>
      </c>
      <c r="Z104" s="22">
        <f>'Activity data'!Z63*ManureNEF*NtoN2O*kgtoGg</f>
        <v>2.9528162264586686E-2</v>
      </c>
      <c r="AA104" s="22">
        <f>'Activity data'!AA63*ManureNEF*NtoN2O*kgtoGg</f>
        <v>2.9491594880977284E-2</v>
      </c>
      <c r="AB104" s="22">
        <f>'Activity data'!AB63*ManureNEF*NtoN2O*kgtoGg</f>
        <v>2.9144204736688033E-2</v>
      </c>
      <c r="AC104" s="22">
        <f>'Activity data'!AC63*ManureNEF*NtoN2O*kgtoGg</f>
        <v>2.8961367818641053E-2</v>
      </c>
      <c r="AD104" s="22">
        <f>'Activity data'!AD63*ManureNEF*NtoN2O*kgtoGg</f>
        <v>3.1618785484610064E-2</v>
      </c>
      <c r="AE104" s="22">
        <f>'Activity data'!AE63*ManureNEF*NtoN2O*kgtoGg</f>
        <v>3.1446916354757486E-2</v>
      </c>
      <c r="AF104" s="22">
        <f>'Activity data'!AF63*ManureNEF*NtoN2O*kgtoGg</f>
        <v>3.1461022839745618E-2</v>
      </c>
      <c r="AG104" s="22">
        <f>'Activity data'!AG63*ManureNEF*NtoN2O*kgtoGg</f>
        <v>3.1172186541537576E-2</v>
      </c>
      <c r="AH104" s="22">
        <f>'Activity data'!AH63*ManureNEF*NtoN2O*kgtoGg</f>
        <v>3.0700450247237825E-2</v>
      </c>
      <c r="AI104" s="22">
        <f>'Activity data'!AI63*ManureNEF*NtoN2O*kgtoGg</f>
        <v>3.0053355161673623E-2</v>
      </c>
      <c r="AJ104" s="22">
        <f>'Activity data'!AJ63*ManureNEF*NtoN2O*kgtoGg</f>
        <v>2.9583492368545915E-2</v>
      </c>
      <c r="AK104" s="22">
        <f>'Activity data'!AK63*ManureNEF*NtoN2O*kgtoGg</f>
        <v>2.9155206131309674E-2</v>
      </c>
      <c r="AL104" s="22">
        <f>'Activity data'!AL63*ManureNEF*NtoN2O*kgtoGg</f>
        <v>2.5742586430512242E-2</v>
      </c>
      <c r="AM104" s="22">
        <f>'Activity data'!AM63*ManureNEF*NtoN2O*kgtoGg</f>
        <v>2.6068118868302407E-2</v>
      </c>
      <c r="AN104" s="22">
        <f>'Activity data'!AN63*ManureNEF*NtoN2O*kgtoGg</f>
        <v>2.6766647576171875E-2</v>
      </c>
      <c r="AO104" s="22">
        <f>'Activity data'!AO63*ManureNEF*NtoN2O*kgtoGg</f>
        <v>2.6830070353895639E-2</v>
      </c>
      <c r="AP104" s="22">
        <f>'Activity data'!AP63*ManureNEF*NtoN2O*kgtoGg</f>
        <v>2.6967415903093594E-2</v>
      </c>
      <c r="AQ104" s="22">
        <f>'Activity data'!AQ63*ManureNEF*NtoN2O*kgtoGg</f>
        <v>2.7198342082935097E-2</v>
      </c>
      <c r="AR104" s="22">
        <f>'Activity data'!AR63*ManureNEF*NtoN2O*kgtoGg</f>
        <v>2.7488108281140813E-2</v>
      </c>
      <c r="AS104" s="22">
        <f>'Activity data'!AS63*ManureNEF*NtoN2O*kgtoGg</f>
        <v>2.7843192191916763E-2</v>
      </c>
      <c r="AT104" s="22">
        <f>'Activity data'!AT63*ManureNEF*NtoN2O*kgtoGg</f>
        <v>2.8202428453344759E-2</v>
      </c>
      <c r="AU104" s="22">
        <f>'Activity data'!AU63*ManureNEF*NtoN2O*kgtoGg</f>
        <v>2.8617183610093744E-2</v>
      </c>
      <c r="AV104" s="22">
        <f>'Activity data'!AV63*ManureNEF*NtoN2O*kgtoGg</f>
        <v>2.902907613639907E-2</v>
      </c>
      <c r="AW104" s="22">
        <f>'Activity data'!AW63*ManureNEF*NtoN2O*kgtoGg</f>
        <v>2.9541166089713286E-2</v>
      </c>
      <c r="AX104" s="22">
        <f>'Activity data'!AX63*ManureNEF*NtoN2O*kgtoGg</f>
        <v>3.0012582293784919E-2</v>
      </c>
      <c r="AY104" s="22">
        <f>'Activity data'!AY63*ManureNEF*NtoN2O*kgtoGg</f>
        <v>3.05142068245088E-2</v>
      </c>
      <c r="AZ104" s="22">
        <f>'Activity data'!AZ63*ManureNEF*NtoN2O*kgtoGg</f>
        <v>3.1126123311674345E-2</v>
      </c>
      <c r="BA104" s="22">
        <f>'Activity data'!BA63*ManureNEF*NtoN2O*kgtoGg</f>
        <v>3.1651558436511636E-2</v>
      </c>
      <c r="BB104" s="22">
        <f>'Activity data'!BB63*ManureNEF*NtoN2O*kgtoGg</f>
        <v>3.2218684799767874E-2</v>
      </c>
      <c r="BC104" s="22">
        <f>'Activity data'!BC63*ManureNEF*NtoN2O*kgtoGg</f>
        <v>3.2834204369193265E-2</v>
      </c>
      <c r="BD104" s="22">
        <f>'Activity data'!BD63*ManureNEF*NtoN2O*kgtoGg</f>
        <v>3.334768720159275E-2</v>
      </c>
      <c r="BE104" s="22">
        <f>'Activity data'!BE63*ManureNEF*NtoN2O*kgtoGg</f>
        <v>3.3829223876470492E-2</v>
      </c>
      <c r="BF104" s="22">
        <f>'Activity data'!BF63*ManureNEF*NtoN2O*kgtoGg</f>
        <v>3.4282698086419032E-2</v>
      </c>
      <c r="BG104" s="22">
        <f>'Activity data'!BG63*ManureNEF*NtoN2O*kgtoGg</f>
        <v>3.4806306995392507E-2</v>
      </c>
      <c r="BH104" s="22">
        <f>'Activity data'!BH63*ManureNEF*NtoN2O*kgtoGg</f>
        <v>3.5260470225842028E-2</v>
      </c>
      <c r="BI104" s="22">
        <f>'Activity data'!BI63*ManureNEF*NtoN2O*kgtoGg</f>
        <v>3.5729282051178403E-2</v>
      </c>
      <c r="BJ104" s="22">
        <f>'Activity data'!BJ63*ManureNEF*NtoN2O*kgtoGg</f>
        <v>3.6216278611362E-2</v>
      </c>
      <c r="BK104" s="22">
        <f>'Activity data'!BK63*ManureNEF*NtoN2O*kgtoGg</f>
        <v>3.672755344896201E-2</v>
      </c>
      <c r="BL104" s="22">
        <f>'Activity data'!BL63*ManureNEF*NtoN2O*kgtoGg</f>
        <v>3.7264425931725673E-2</v>
      </c>
      <c r="BM104" s="22">
        <f>'Activity data'!BM63*ManureNEF*NtoN2O*kgtoGg</f>
        <v>3.6937731653004804E-2</v>
      </c>
      <c r="BN104" s="22">
        <f>'Activity data'!BN63*ManureNEF*NtoN2O*kgtoGg</f>
        <v>3.6535539754274135E-2</v>
      </c>
      <c r="BO104" s="22">
        <f>'Activity data'!BO63*ManureNEF*NtoN2O*kgtoGg</f>
        <v>3.6028043474654464E-2</v>
      </c>
      <c r="BP104" s="22">
        <f>'Activity data'!BP63*ManureNEF*NtoN2O*kgtoGg</f>
        <v>3.5495657933766529E-2</v>
      </c>
    </row>
    <row r="105" spans="1:68" x14ac:dyDescent="0.3">
      <c r="A105" t="str">
        <f t="shared" si="29"/>
        <v>3C Aggregated and non-CO2 emissions on land</v>
      </c>
      <c r="B105" t="str">
        <f t="shared" si="31"/>
        <v>3C4 Direct N2O from managed soils (N2O)</v>
      </c>
      <c r="C105" t="str">
        <f t="shared" si="35"/>
        <v>MM emissions</v>
      </c>
      <c r="D105" t="str">
        <f>'Activity data'!D64</f>
        <v xml:space="preserve"> - Commercial layers</v>
      </c>
      <c r="E105" t="str">
        <f t="shared" si="32"/>
        <v>MM emissions - Commercial layers</v>
      </c>
      <c r="F105" t="str">
        <f t="shared" si="33"/>
        <v>N2O</v>
      </c>
      <c r="G105" t="str">
        <f t="shared" si="34"/>
        <v>Gg N2O</v>
      </c>
      <c r="H105" s="22">
        <f>'Activity data'!H64*ManureNEF*NtoN2O*kgtoGg</f>
        <v>9.7200530286632988E-2</v>
      </c>
      <c r="I105" s="22">
        <f>'Activity data'!I64*ManureNEF*NtoN2O*kgtoGg</f>
        <v>9.4428858969144991E-2</v>
      </c>
      <c r="J105" s="22">
        <f>'Activity data'!J64*ManureNEF*NtoN2O*kgtoGg</f>
        <v>8.9559204193753711E-2</v>
      </c>
      <c r="K105" s="22">
        <f>'Activity data'!K64*ManureNEF*NtoN2O*kgtoGg</f>
        <v>8.8151043346442318E-2</v>
      </c>
      <c r="L105" s="22">
        <f>'Activity data'!L64*ManureNEF*NtoN2O*kgtoGg</f>
        <v>8.4316790348484383E-2</v>
      </c>
      <c r="M105" s="22">
        <f>'Activity data'!M64*ManureNEF*NtoN2O*kgtoGg</f>
        <v>9.2000112653199614E-2</v>
      </c>
      <c r="N105" s="22">
        <f>'Activity data'!N64*ManureNEF*NtoN2O*kgtoGg</f>
        <v>9.7180196522010265E-2</v>
      </c>
      <c r="O105" s="22">
        <f>'Activity data'!O64*ManureNEF*NtoN2O*kgtoGg</f>
        <v>9.7499760881509301E-2</v>
      </c>
      <c r="P105" s="22">
        <f>'Activity data'!P64*ManureNEF*NtoN2O*kgtoGg</f>
        <v>0.10977650358290812</v>
      </c>
      <c r="Q105" s="22">
        <f>'Activity data'!Q64*ManureNEF*NtoN2O*kgtoGg</f>
        <v>0.11769142781513957</v>
      </c>
      <c r="R105" s="22">
        <f>'Activity data'!R64*ManureNEF*NtoN2O*kgtoGg</f>
        <v>0.11519773530237168</v>
      </c>
      <c r="S105" s="22">
        <f>'Activity data'!S64*ManureNEF*NtoN2O*kgtoGg</f>
        <v>0.11827079994576317</v>
      </c>
      <c r="T105" s="22">
        <f>'Activity data'!T64*ManureNEF*NtoN2O*kgtoGg</f>
        <v>0.11734254390212158</v>
      </c>
      <c r="U105" s="22">
        <f>'Activity data'!U64*ManureNEF*NtoN2O*kgtoGg</f>
        <v>0.11265793599714678</v>
      </c>
      <c r="V105" s="22">
        <f>'Activity data'!V64*ManureNEF*NtoN2O*kgtoGg</f>
        <v>0.11674302954549233</v>
      </c>
      <c r="W105" s="22">
        <f>'Activity data'!W64*ManureNEF*NtoN2O*kgtoGg</f>
        <v>0.12378269546779383</v>
      </c>
      <c r="X105" s="22">
        <f>'Activity data'!X64*ManureNEF*NtoN2O*kgtoGg</f>
        <v>0.136608752009132</v>
      </c>
      <c r="Y105" s="22">
        <f>'Activity data'!Y64*ManureNEF*NtoN2O*kgtoGg</f>
        <v>0.15118112258886537</v>
      </c>
      <c r="Z105" s="22">
        <f>'Activity data'!Z64*ManureNEF*NtoN2O*kgtoGg</f>
        <v>0.15317215945854146</v>
      </c>
      <c r="AA105" s="22">
        <f>'Activity data'!AA64*ManureNEF*NtoN2O*kgtoGg</f>
        <v>0.14752524872712022</v>
      </c>
      <c r="AB105" s="22">
        <f>'Activity data'!AB64*ManureNEF*NtoN2O*kgtoGg</f>
        <v>0.1532718669032935</v>
      </c>
      <c r="AC105" s="22">
        <f>'Activity data'!AC64*ManureNEF*NtoN2O*kgtoGg</f>
        <v>0.16034648531014095</v>
      </c>
      <c r="AD105" s="22">
        <f>'Activity data'!AD64*ManureNEF*NtoN2O*kgtoGg</f>
        <v>0.15700744358616764</v>
      </c>
      <c r="AE105" s="22">
        <f>'Activity data'!AE64*ManureNEF*NtoN2O*kgtoGg</f>
        <v>0.16019971617730658</v>
      </c>
      <c r="AF105" s="22">
        <f>'Activity data'!AF64*ManureNEF*NtoN2O*kgtoGg</f>
        <v>0.16393118028621728</v>
      </c>
      <c r="AG105" s="22">
        <f>'Activity data'!AG64*ManureNEF*NtoN2O*kgtoGg</f>
        <v>0.1667959170810015</v>
      </c>
      <c r="AH105" s="22">
        <f>'Activity data'!AH64*ManureNEF*NtoN2O*kgtoGg</f>
        <v>0.16909558154641685</v>
      </c>
      <c r="AI105" s="22">
        <f>'Activity data'!AI64*ManureNEF*NtoN2O*kgtoGg</f>
        <v>0.17081649742586277</v>
      </c>
      <c r="AJ105" s="22">
        <f>'Activity data'!AJ64*ManureNEF*NtoN2O*kgtoGg</f>
        <v>0.17302318661183388</v>
      </c>
      <c r="AK105" s="22">
        <f>'Activity data'!AK64*ManureNEF*NtoN2O*kgtoGg</f>
        <v>0.17531753251219051</v>
      </c>
      <c r="AL105" s="22">
        <f>'Activity data'!AL64*ManureNEF*NtoN2O*kgtoGg</f>
        <v>0.16751439680213853</v>
      </c>
      <c r="AM105" s="22">
        <f>'Activity data'!AM64*ManureNEF*NtoN2O*kgtoGg</f>
        <v>0.17168380366965671</v>
      </c>
      <c r="AN105" s="22">
        <f>'Activity data'!AN64*ManureNEF*NtoN2O*kgtoGg</f>
        <v>0.17724022876298692</v>
      </c>
      <c r="AO105" s="22">
        <f>'Activity data'!AO64*ManureNEF*NtoN2O*kgtoGg</f>
        <v>0.18063841613712966</v>
      </c>
      <c r="AP105" s="22">
        <f>'Activity data'!AP64*ManureNEF*NtoN2O*kgtoGg</f>
        <v>0.18434318641003919</v>
      </c>
      <c r="AQ105" s="22">
        <f>'Activity data'!AQ64*ManureNEF*NtoN2O*kgtoGg</f>
        <v>0.188448281864291</v>
      </c>
      <c r="AR105" s="22">
        <f>'Activity data'!AR64*ManureNEF*NtoN2O*kgtoGg</f>
        <v>0.19268830884381843</v>
      </c>
      <c r="AS105" s="22">
        <f>'Activity data'!AS64*ManureNEF*NtoN2O*kgtoGg</f>
        <v>0.19725821874244767</v>
      </c>
      <c r="AT105" s="22">
        <f>'Activity data'!AT64*ManureNEF*NtoN2O*kgtoGg</f>
        <v>0.20193089933116126</v>
      </c>
      <c r="AU105" s="22">
        <f>'Activity data'!AU64*ManureNEF*NtoN2O*kgtoGg</f>
        <v>0.20692004706096712</v>
      </c>
      <c r="AV105" s="22">
        <f>'Activity data'!AV64*ManureNEF*NtoN2O*kgtoGg</f>
        <v>0.21199804978928341</v>
      </c>
      <c r="AW105" s="22">
        <f>'Activity data'!AW64*ManureNEF*NtoN2O*kgtoGg</f>
        <v>0.21747687739173732</v>
      </c>
      <c r="AX105" s="22">
        <f>'Activity data'!AX64*ManureNEF*NtoN2O*kgtoGg</f>
        <v>0.22289913009362322</v>
      </c>
      <c r="AY105" s="22">
        <f>'Activity data'!AY64*ManureNEF*NtoN2O*kgtoGg</f>
        <v>0.22857157153008073</v>
      </c>
      <c r="AZ105" s="22">
        <f>'Activity data'!AZ64*ManureNEF*NtoN2O*kgtoGg</f>
        <v>0.23486719230657463</v>
      </c>
      <c r="BA105" s="22">
        <f>'Activity data'!BA64*ManureNEF*NtoN2O*kgtoGg</f>
        <v>0.24091117160634945</v>
      </c>
      <c r="BB105" s="22">
        <f>'Activity data'!BB64*ManureNEF*NtoN2O*kgtoGg</f>
        <v>0.24716162450629867</v>
      </c>
      <c r="BC105" s="22">
        <f>'Activity data'!BC64*ManureNEF*NtoN2O*kgtoGg</f>
        <v>0.25378810388351081</v>
      </c>
      <c r="BD105" s="22">
        <f>'Activity data'!BD64*ManureNEF*NtoN2O*kgtoGg</f>
        <v>0.26007320548130258</v>
      </c>
      <c r="BE105" s="22">
        <f>'Activity data'!BE64*ManureNEF*NtoN2O*kgtoGg</f>
        <v>0.26634117713838401</v>
      </c>
      <c r="BF105" s="22">
        <f>'Activity data'!BF64*ManureNEF*NtoN2O*kgtoGg</f>
        <v>0.27260643897493425</v>
      </c>
      <c r="BG105" s="22">
        <f>'Activity data'!BG64*ManureNEF*NtoN2O*kgtoGg</f>
        <v>0.2792535835644861</v>
      </c>
      <c r="BH105" s="22">
        <f>'Activity data'!BH64*ManureNEF*NtoN2O*kgtoGg</f>
        <v>0.2856890752327706</v>
      </c>
      <c r="BI105" s="22">
        <f>'Activity data'!BI64*ManureNEF*NtoN2O*kgtoGg</f>
        <v>0.29234742990941948</v>
      </c>
      <c r="BJ105" s="22">
        <f>'Activity data'!BJ64*ManureNEF*NtoN2O*kgtoGg</f>
        <v>0.29925644298376841</v>
      </c>
      <c r="BK105" s="22">
        <f>'Activity data'!BK64*ManureNEF*NtoN2O*kgtoGg</f>
        <v>0.30645986851598017</v>
      </c>
      <c r="BL105" s="22">
        <f>'Activity data'!BL64*ManureNEF*NtoN2O*kgtoGg</f>
        <v>0.31385566843275581</v>
      </c>
      <c r="BM105" s="22">
        <f>'Activity data'!BM64*ManureNEF*NtoN2O*kgtoGg</f>
        <v>0.31644615504224521</v>
      </c>
      <c r="BN105" s="22">
        <f>'Activity data'!BN64*ManureNEF*NtoN2O*kgtoGg</f>
        <v>0.31859170882360827</v>
      </c>
      <c r="BO105" s="22">
        <f>'Activity data'!BO64*ManureNEF*NtoN2O*kgtoGg</f>
        <v>0.32009002936003406</v>
      </c>
      <c r="BP105" s="22">
        <f>'Activity data'!BP64*ManureNEF*NtoN2O*kgtoGg</f>
        <v>0.3213967030603942</v>
      </c>
    </row>
    <row r="106" spans="1:68" x14ac:dyDescent="0.3">
      <c r="A106" t="str">
        <f t="shared" si="29"/>
        <v>3C Aggregated and non-CO2 emissions on land</v>
      </c>
      <c r="B106" t="str">
        <f t="shared" si="31"/>
        <v>3C4 Direct N2O from managed soils (N2O)</v>
      </c>
      <c r="C106" t="str">
        <f t="shared" si="35"/>
        <v>MM emissions</v>
      </c>
      <c r="D106" t="str">
        <f>'Activity data'!D65</f>
        <v xml:space="preserve"> - Commercial broilers</v>
      </c>
      <c r="E106" t="str">
        <f t="shared" si="32"/>
        <v>MM emissions - Commercial broilers</v>
      </c>
      <c r="F106" t="str">
        <f t="shared" si="33"/>
        <v>N2O</v>
      </c>
      <c r="G106" t="str">
        <f t="shared" si="34"/>
        <v>Gg N2O</v>
      </c>
      <c r="H106" s="22">
        <f>'Activity data'!H65*ManureNEF*NtoN2O*kgtoGg</f>
        <v>0.33694552073148476</v>
      </c>
      <c r="I106" s="22">
        <f>'Activity data'!I65*ManureNEF*NtoN2O*kgtoGg</f>
        <v>0.31672878989639686</v>
      </c>
      <c r="J106" s="22">
        <f>'Activity data'!J65*ManureNEF*NtoN2O*kgtoGg</f>
        <v>0.29933136362353469</v>
      </c>
      <c r="K106" s="22">
        <f>'Activity data'!K65*ManureNEF*NtoN2O*kgtoGg</f>
        <v>0.33664137760432367</v>
      </c>
      <c r="L106" s="22">
        <f>'Activity data'!L65*ManureNEF*NtoN2O*kgtoGg</f>
        <v>0.33348410598324085</v>
      </c>
      <c r="M106" s="22">
        <f>'Activity data'!M65*ManureNEF*NtoN2O*kgtoGg</f>
        <v>0.3817213101364974</v>
      </c>
      <c r="N106" s="22">
        <f>'Activity data'!N65*ManureNEF*NtoN2O*kgtoGg</f>
        <v>0.44384349237162696</v>
      </c>
      <c r="O106" s="22">
        <f>'Activity data'!O65*ManureNEF*NtoN2O*kgtoGg</f>
        <v>0.45178194059776339</v>
      </c>
      <c r="P106" s="22">
        <f>'Activity data'!P65*ManureNEF*NtoN2O*kgtoGg</f>
        <v>0.49503233967174015</v>
      </c>
      <c r="Q106" s="22">
        <f>'Activity data'!Q65*ManureNEF*NtoN2O*kgtoGg</f>
        <v>0.51680820971951225</v>
      </c>
      <c r="R106" s="22">
        <f>'Activity data'!R65*ManureNEF*NtoN2O*kgtoGg</f>
        <v>0.55604755062988331</v>
      </c>
      <c r="S106" s="22">
        <f>'Activity data'!S65*ManureNEF*NtoN2O*kgtoGg</f>
        <v>0.53692233734035788</v>
      </c>
      <c r="T106" s="22">
        <f>'Activity data'!T65*ManureNEF*NtoN2O*kgtoGg</f>
        <v>0.59508410809033618</v>
      </c>
      <c r="U106" s="22">
        <f>'Activity data'!U65*ManureNEF*NtoN2O*kgtoGg</f>
        <v>0.56601482196260933</v>
      </c>
      <c r="V106" s="22">
        <f>'Activity data'!V65*ManureNEF*NtoN2O*kgtoGg</f>
        <v>0.57967891352922574</v>
      </c>
      <c r="W106" s="22">
        <f>'Activity data'!W65*ManureNEF*NtoN2O*kgtoGg</f>
        <v>0.64140005161544356</v>
      </c>
      <c r="X106" s="22">
        <f>'Activity data'!X65*ManureNEF*NtoN2O*kgtoGg</f>
        <v>0.68603730264816176</v>
      </c>
      <c r="Y106" s="22">
        <f>'Activity data'!Y65*ManureNEF*NtoN2O*kgtoGg</f>
        <v>0.71778306696636274</v>
      </c>
      <c r="Z106" s="22">
        <f>'Activity data'!Z65*ManureNEF*NtoN2O*kgtoGg</f>
        <v>0.76424406737632311</v>
      </c>
      <c r="AA106" s="22">
        <f>'Activity data'!AA65*ManureNEF*NtoN2O*kgtoGg</f>
        <v>0.7211479440293127</v>
      </c>
      <c r="AB106" s="22">
        <f>'Activity data'!AB65*ManureNEF*NtoN2O*kgtoGg</f>
        <v>0.73928538984856018</v>
      </c>
      <c r="AC106" s="22">
        <f>'Activity data'!AC65*ManureNEF*NtoN2O*kgtoGg</f>
        <v>0.76461491186701336</v>
      </c>
      <c r="AD106" s="22">
        <f>'Activity data'!AD65*ManureNEF*NtoN2O*kgtoGg</f>
        <v>0.78620275218739033</v>
      </c>
      <c r="AE106" s="22">
        <f>'Activity data'!AE65*ManureNEF*NtoN2O*kgtoGg</f>
        <v>0.79655563720176326</v>
      </c>
      <c r="AF106" s="22">
        <f>'Activity data'!AF65*ManureNEF*NtoN2O*kgtoGg</f>
        <v>0.8131853402467214</v>
      </c>
      <c r="AG106" s="22">
        <f>'Activity data'!AG65*ManureNEF*NtoN2O*kgtoGg</f>
        <v>0.81796021384654038</v>
      </c>
      <c r="AH106" s="22">
        <f>'Activity data'!AH65*ManureNEF*NtoN2O*kgtoGg</f>
        <v>0.81503229757580642</v>
      </c>
      <c r="AI106" s="22">
        <f>'Activity data'!AI65*ManureNEF*NtoN2O*kgtoGg</f>
        <v>0.80443274266431908</v>
      </c>
      <c r="AJ106" s="22">
        <f>'Activity data'!AJ65*ManureNEF*NtoN2O*kgtoGg</f>
        <v>0.79997057217510736</v>
      </c>
      <c r="AK106" s="22">
        <f>'Activity data'!AK65*ManureNEF*NtoN2O*kgtoGg</f>
        <v>0.79652072541357855</v>
      </c>
      <c r="AL106" s="22">
        <f>'Activity data'!AL65*ManureNEF*NtoN2O*kgtoGg</f>
        <v>0.6714256257710044</v>
      </c>
      <c r="AM106" s="22">
        <f>'Activity data'!AM65*ManureNEF*NtoN2O*kgtoGg</f>
        <v>0.69801734564768969</v>
      </c>
      <c r="AN106" s="22">
        <f>'Activity data'!AN65*ManureNEF*NtoN2O*kgtoGg</f>
        <v>0.74045602078801331</v>
      </c>
      <c r="AO106" s="22">
        <f>'Activity data'!AO65*ManureNEF*NtoN2O*kgtoGg</f>
        <v>0.75681661805559275</v>
      </c>
      <c r="AP106" s="22">
        <f>'Activity data'!AP65*ManureNEF*NtoN2O*kgtoGg</f>
        <v>0.77639522353149193</v>
      </c>
      <c r="AQ106" s="22">
        <f>'Activity data'!AQ65*ManureNEF*NtoN2O*kgtoGg</f>
        <v>0.8001865286543951</v>
      </c>
      <c r="AR106" s="22">
        <f>'Activity data'!AR65*ManureNEF*NtoN2O*kgtoGg</f>
        <v>0.82750602154681474</v>
      </c>
      <c r="AS106" s="22">
        <f>'Activity data'!AS65*ManureNEF*NtoN2O*kgtoGg</f>
        <v>0.85809975414422934</v>
      </c>
      <c r="AT106" s="22">
        <f>'Activity data'!AT65*ManureNEF*NtoN2O*kgtoGg</f>
        <v>0.88934316122776869</v>
      </c>
      <c r="AU106" s="22">
        <f>'Activity data'!AU65*ManureNEF*NtoN2O*kgtoGg</f>
        <v>0.92360761628524812</v>
      </c>
      <c r="AV106" s="22">
        <f>'Activity data'!AV65*ManureNEF*NtoN2O*kgtoGg</f>
        <v>0.95831140706580387</v>
      </c>
      <c r="AW106" s="22">
        <f>'Activity data'!AW65*ManureNEF*NtoN2O*kgtoGg</f>
        <v>0.99882396760608316</v>
      </c>
      <c r="AX106" s="22">
        <f>'Activity data'!AX65*ManureNEF*NtoN2O*kgtoGg</f>
        <v>1.0381393848215872</v>
      </c>
      <c r="AY106" s="22">
        <f>'Activity data'!AY65*ManureNEF*NtoN2O*kgtoGg</f>
        <v>1.079611123684572</v>
      </c>
      <c r="AZ106" s="22">
        <f>'Activity data'!AZ65*ManureNEF*NtoN2O*kgtoGg</f>
        <v>1.1272124079778039</v>
      </c>
      <c r="BA106" s="22">
        <f>'Activity data'!BA65*ManureNEF*NtoN2O*kgtoGg</f>
        <v>1.1714796676080013</v>
      </c>
      <c r="BB106" s="22">
        <f>'Activity data'!BB65*ManureNEF*NtoN2O*kgtoGg</f>
        <v>1.2191635190702683</v>
      </c>
      <c r="BC106" s="22">
        <f>'Activity data'!BC65*ManureNEF*NtoN2O*kgtoGg</f>
        <v>1.2702163053795446</v>
      </c>
      <c r="BD106" s="22">
        <f>'Activity data'!BD65*ManureNEF*NtoN2O*kgtoGg</f>
        <v>1.3170629000720371</v>
      </c>
      <c r="BE106" s="22">
        <f>'Activity data'!BE65*ManureNEF*NtoN2O*kgtoGg</f>
        <v>1.3631650010384939</v>
      </c>
      <c r="BF106" s="22">
        <f>'Activity data'!BF65*ManureNEF*NtoN2O*kgtoGg</f>
        <v>1.4086909019769458</v>
      </c>
      <c r="BG106" s="22">
        <f>'Activity data'!BG65*ManureNEF*NtoN2O*kgtoGg</f>
        <v>1.4592838015136291</v>
      </c>
      <c r="BH106" s="22">
        <f>'Activity data'!BH65*ManureNEF*NtoN2O*kgtoGg</f>
        <v>1.5071494225223063</v>
      </c>
      <c r="BI106" s="22">
        <f>'Activity data'!BI65*ManureNEF*NtoN2O*kgtoGg</f>
        <v>1.5567592089604327</v>
      </c>
      <c r="BJ106" s="22">
        <f>'Activity data'!BJ65*ManureNEF*NtoN2O*kgtoGg</f>
        <v>1.6083690614713202</v>
      </c>
      <c r="BK106" s="22">
        <f>'Activity data'!BK65*ManureNEF*NtoN2O*kgtoGg</f>
        <v>1.6623899573120902</v>
      </c>
      <c r="BL106" s="22">
        <f>'Activity data'!BL65*ManureNEF*NtoN2O*kgtoGg</f>
        <v>1.7194351847901206</v>
      </c>
      <c r="BM106" s="22">
        <f>'Activity data'!BM65*ManureNEF*NtoN2O*kgtoGg</f>
        <v>1.7281200285400726</v>
      </c>
      <c r="BN106" s="22">
        <f>'Activity data'!BN65*ManureNEF*NtoN2O*kgtoGg</f>
        <v>1.7323570747934378</v>
      </c>
      <c r="BO106" s="22">
        <f>'Activity data'!BO65*ManureNEF*NtoN2O*kgtoGg</f>
        <v>1.7302245779661751</v>
      </c>
      <c r="BP106" s="22">
        <f>'Activity data'!BP65*ManureNEF*NtoN2O*kgtoGg</f>
        <v>1.7262788410170404</v>
      </c>
    </row>
    <row r="107" spans="1:68" x14ac:dyDescent="0.3">
      <c r="A107" t="str">
        <f t="shared" si="29"/>
        <v>3C Aggregated and non-CO2 emissions on land</v>
      </c>
      <c r="B107" t="str">
        <f t="shared" si="31"/>
        <v>3C4 Direct N2O from managed soils (N2O)</v>
      </c>
      <c r="C107" t="s">
        <v>422</v>
      </c>
      <c r="D107" t="str">
        <f>D91</f>
        <v xml:space="preserve"> - TMR</v>
      </c>
      <c r="E107" t="str">
        <f t="shared" si="32"/>
        <v>U&amp;D emissions - TMR</v>
      </c>
      <c r="F107" t="str">
        <f t="shared" ref="F107:F138" si="36">F106</f>
        <v>N2O</v>
      </c>
      <c r="G107" t="str">
        <f t="shared" ref="G107:G138" si="37">G106</f>
        <v>Gg N2O</v>
      </c>
      <c r="H107" s="22">
        <f>'Activity data'!H66*UDCPPEF*NtoN2O*kgtoGg</f>
        <v>0</v>
      </c>
      <c r="I107" s="22">
        <f>'Activity data'!I66*UDCPPEF*NtoN2O*kgtoGg</f>
        <v>0</v>
      </c>
      <c r="J107" s="22">
        <f>'Activity data'!J66*UDCPPEF*NtoN2O*kgtoGg</f>
        <v>0</v>
      </c>
      <c r="K107" s="22">
        <f>'Activity data'!K66*UDCPPEF*NtoN2O*kgtoGg</f>
        <v>0</v>
      </c>
      <c r="L107" s="22">
        <f>'Activity data'!L66*UDCPPEF*NtoN2O*kgtoGg</f>
        <v>0</v>
      </c>
      <c r="M107" s="22">
        <f>'Activity data'!M66*UDCPPEF*NtoN2O*kgtoGg</f>
        <v>0</v>
      </c>
      <c r="N107" s="22">
        <f>'Activity data'!N66*UDCPPEF*NtoN2O*kgtoGg</f>
        <v>0</v>
      </c>
      <c r="O107" s="22">
        <f>'Activity data'!O66*UDCPPEF*NtoN2O*kgtoGg</f>
        <v>0</v>
      </c>
      <c r="P107" s="22">
        <f>'Activity data'!P66*UDCPPEF*NtoN2O*kgtoGg</f>
        <v>0</v>
      </c>
      <c r="Q107" s="22">
        <f>'Activity data'!Q66*UDCPPEF*NtoN2O*kgtoGg</f>
        <v>0</v>
      </c>
      <c r="R107" s="22">
        <f>'Activity data'!R66*UDCPPEF*NtoN2O*kgtoGg</f>
        <v>0</v>
      </c>
      <c r="S107" s="22">
        <f>'Activity data'!S66*UDCPPEF*NtoN2O*kgtoGg</f>
        <v>0</v>
      </c>
      <c r="T107" s="22">
        <f>'Activity data'!T66*UDCPPEF*NtoN2O*kgtoGg</f>
        <v>0</v>
      </c>
      <c r="U107" s="22">
        <f>'Activity data'!U66*UDCPPEF*NtoN2O*kgtoGg</f>
        <v>0</v>
      </c>
      <c r="V107" s="22">
        <f>'Activity data'!V66*UDCPPEF*NtoN2O*kgtoGg</f>
        <v>0</v>
      </c>
      <c r="W107" s="22">
        <f>'Activity data'!W66*UDCPPEF*NtoN2O*kgtoGg</f>
        <v>0</v>
      </c>
      <c r="X107" s="22">
        <f>'Activity data'!X66*UDCPPEF*NtoN2O*kgtoGg</f>
        <v>0</v>
      </c>
      <c r="Y107" s="22">
        <f>'Activity data'!Y66*UDCPPEF*NtoN2O*kgtoGg</f>
        <v>0</v>
      </c>
      <c r="Z107" s="22">
        <f>'Activity data'!Z66*UDCPPEF*NtoN2O*kgtoGg</f>
        <v>0</v>
      </c>
      <c r="AA107" s="22">
        <f>'Activity data'!AA66*UDCPPEF*NtoN2O*kgtoGg</f>
        <v>0</v>
      </c>
      <c r="AB107" s="22">
        <f>'Activity data'!AB66*UDCPPEF*NtoN2O*kgtoGg</f>
        <v>0</v>
      </c>
      <c r="AC107" s="22">
        <f>'Activity data'!AC66*UDCPPEF*NtoN2O*kgtoGg</f>
        <v>0</v>
      </c>
      <c r="AD107" s="22">
        <f>'Activity data'!AD66*UDCPPEF*NtoN2O*kgtoGg</f>
        <v>0</v>
      </c>
      <c r="AE107" s="22">
        <f>'Activity data'!AE66*UDCPPEF*NtoN2O*kgtoGg</f>
        <v>0</v>
      </c>
      <c r="AF107" s="22">
        <f>'Activity data'!AF66*UDCPPEF*NtoN2O*kgtoGg</f>
        <v>0</v>
      </c>
      <c r="AG107" s="22">
        <f>'Activity data'!AG66*UDCPPEF*NtoN2O*kgtoGg</f>
        <v>0</v>
      </c>
      <c r="AH107" s="22">
        <f>'Activity data'!AH66*UDCPPEF*NtoN2O*kgtoGg</f>
        <v>0</v>
      </c>
      <c r="AI107" s="22">
        <f>'Activity data'!AI66*UDCPPEF*NtoN2O*kgtoGg</f>
        <v>0</v>
      </c>
      <c r="AJ107" s="22">
        <f>'Activity data'!AJ66*UDCPPEF*NtoN2O*kgtoGg</f>
        <v>0</v>
      </c>
      <c r="AK107" s="22">
        <f>'Activity data'!AK66*UDCPPEF*NtoN2O*kgtoGg</f>
        <v>0</v>
      </c>
      <c r="AL107" s="22">
        <f>'Activity data'!AL66*UDCPPEF*NtoN2O*kgtoGg</f>
        <v>0</v>
      </c>
      <c r="AM107" s="22">
        <f>'Activity data'!AM66*UDCPPEF*NtoN2O*kgtoGg</f>
        <v>0</v>
      </c>
      <c r="AN107" s="22">
        <f>'Activity data'!AN66*UDCPPEF*NtoN2O*kgtoGg</f>
        <v>0</v>
      </c>
      <c r="AO107" s="22">
        <f>'Activity data'!AO66*UDCPPEF*NtoN2O*kgtoGg</f>
        <v>0</v>
      </c>
      <c r="AP107" s="22">
        <f>'Activity data'!AP66*UDCPPEF*NtoN2O*kgtoGg</f>
        <v>0</v>
      </c>
      <c r="AQ107" s="22">
        <f>'Activity data'!AQ66*UDCPPEF*NtoN2O*kgtoGg</f>
        <v>0</v>
      </c>
      <c r="AR107" s="22">
        <f>'Activity data'!AR66*UDCPPEF*NtoN2O*kgtoGg</f>
        <v>0</v>
      </c>
      <c r="AS107" s="22">
        <f>'Activity data'!AS66*UDCPPEF*NtoN2O*kgtoGg</f>
        <v>0</v>
      </c>
      <c r="AT107" s="22">
        <f>'Activity data'!AT66*UDCPPEF*NtoN2O*kgtoGg</f>
        <v>0</v>
      </c>
      <c r="AU107" s="22">
        <f>'Activity data'!AU66*UDCPPEF*NtoN2O*kgtoGg</f>
        <v>0</v>
      </c>
      <c r="AV107" s="22">
        <f>'Activity data'!AV66*UDCPPEF*NtoN2O*kgtoGg</f>
        <v>0</v>
      </c>
      <c r="AW107" s="22">
        <f>'Activity data'!AW66*UDCPPEF*NtoN2O*kgtoGg</f>
        <v>0</v>
      </c>
      <c r="AX107" s="22">
        <f>'Activity data'!AX66*UDCPPEF*NtoN2O*kgtoGg</f>
        <v>0</v>
      </c>
      <c r="AY107" s="22">
        <f>'Activity data'!AY66*UDCPPEF*NtoN2O*kgtoGg</f>
        <v>0</v>
      </c>
      <c r="AZ107" s="22">
        <f>'Activity data'!AZ66*UDCPPEF*NtoN2O*kgtoGg</f>
        <v>0</v>
      </c>
      <c r="BA107" s="22">
        <f>'Activity data'!BA66*UDCPPEF*NtoN2O*kgtoGg</f>
        <v>0</v>
      </c>
      <c r="BB107" s="22">
        <f>'Activity data'!BB66*UDCPPEF*NtoN2O*kgtoGg</f>
        <v>0</v>
      </c>
      <c r="BC107" s="22">
        <f>'Activity data'!BC66*UDCPPEF*NtoN2O*kgtoGg</f>
        <v>0</v>
      </c>
      <c r="BD107" s="22">
        <f>'Activity data'!BD66*UDCPPEF*NtoN2O*kgtoGg</f>
        <v>0</v>
      </c>
      <c r="BE107" s="22">
        <f>'Activity data'!BE66*UDCPPEF*NtoN2O*kgtoGg</f>
        <v>0</v>
      </c>
      <c r="BF107" s="22">
        <f>'Activity data'!BF66*UDCPPEF*NtoN2O*kgtoGg</f>
        <v>0</v>
      </c>
      <c r="BG107" s="22">
        <f>'Activity data'!BG66*UDCPPEF*NtoN2O*kgtoGg</f>
        <v>0</v>
      </c>
      <c r="BH107" s="22">
        <f>'Activity data'!BH66*UDCPPEF*NtoN2O*kgtoGg</f>
        <v>0</v>
      </c>
      <c r="BI107" s="22">
        <f>'Activity data'!BI66*UDCPPEF*NtoN2O*kgtoGg</f>
        <v>0</v>
      </c>
      <c r="BJ107" s="22">
        <f>'Activity data'!BJ66*UDCPPEF*NtoN2O*kgtoGg</f>
        <v>0</v>
      </c>
      <c r="BK107" s="22">
        <f>'Activity data'!BK66*UDCPPEF*NtoN2O*kgtoGg</f>
        <v>0</v>
      </c>
      <c r="BL107" s="22">
        <f>'Activity data'!BL66*UDCPPEF*NtoN2O*kgtoGg</f>
        <v>0</v>
      </c>
      <c r="BM107" s="22">
        <f>'Activity data'!BM66*UDCPPEF*NtoN2O*kgtoGg</f>
        <v>0</v>
      </c>
      <c r="BN107" s="22">
        <f>'Activity data'!BN66*UDCPPEF*NtoN2O*kgtoGg</f>
        <v>0</v>
      </c>
      <c r="BO107" s="22">
        <f>'Activity data'!BO66*UDCPPEF*NtoN2O*kgtoGg</f>
        <v>0</v>
      </c>
      <c r="BP107" s="22">
        <f>'Activity data'!BP66*UDCPPEF*NtoN2O*kgtoGg</f>
        <v>0</v>
      </c>
    </row>
    <row r="108" spans="1:68" x14ac:dyDescent="0.3">
      <c r="A108" t="str">
        <f t="shared" si="29"/>
        <v>3C Aggregated and non-CO2 emissions on land</v>
      </c>
      <c r="B108" t="str">
        <f t="shared" si="31"/>
        <v>3C4 Direct N2O from managed soils (N2O)</v>
      </c>
      <c r="C108" t="s">
        <v>422</v>
      </c>
      <c r="D108" t="str">
        <f t="shared" ref="D108:D122" si="38">D92</f>
        <v xml:space="preserve"> - Pasture</v>
      </c>
      <c r="E108" t="str">
        <f t="shared" si="32"/>
        <v>U&amp;D emissions - Pasture</v>
      </c>
      <c r="F108" t="str">
        <f t="shared" si="36"/>
        <v>N2O</v>
      </c>
      <c r="G108" t="str">
        <f t="shared" si="37"/>
        <v>Gg N2O</v>
      </c>
      <c r="H108" s="22">
        <f>'Activity data'!H67*UDCPPEF*NtoN2O*kgtoGg</f>
        <v>0.88103728610164056</v>
      </c>
      <c r="I108" s="22">
        <f>'Activity data'!I67*UDCPPEF*NtoN2O*kgtoGg</f>
        <v>1.0143027628293235</v>
      </c>
      <c r="J108" s="22">
        <f>'Activity data'!J67*UDCPPEF*NtoN2O*kgtoGg</f>
        <v>0.87750313013359393</v>
      </c>
      <c r="K108" s="22">
        <f>'Activity data'!K67*UDCPPEF*NtoN2O*kgtoGg</f>
        <v>0.93067430812476426</v>
      </c>
      <c r="L108" s="22">
        <f>'Activity data'!L67*UDCPPEF*NtoN2O*kgtoGg</f>
        <v>0.86336650626140843</v>
      </c>
      <c r="M108" s="22">
        <f>'Activity data'!M67*UDCPPEF*NtoN2O*kgtoGg</f>
        <v>0.92360599618867145</v>
      </c>
      <c r="N108" s="22">
        <f>'Activity data'!N67*UDCPPEF*NtoN2O*kgtoGg</f>
        <v>0.92714015215671775</v>
      </c>
      <c r="O108" s="22">
        <f>'Activity data'!O67*UDCPPEF*NtoN2O*kgtoGg</f>
        <v>0.89382378297479725</v>
      </c>
      <c r="P108" s="22">
        <f>'Activity data'!P67*UDCPPEF*NtoN2O*kgtoGg</f>
        <v>0.88322131507065782</v>
      </c>
      <c r="Q108" s="22">
        <f>'Activity data'!Q67*UDCPPEF*NtoN2O*kgtoGg</f>
        <v>0.86757572572896902</v>
      </c>
      <c r="R108" s="22">
        <f>'Activity data'!R67*UDCPPEF*NtoN2O*kgtoGg</f>
        <v>1.1171109628436178</v>
      </c>
      <c r="S108" s="22">
        <f>'Activity data'!S67*UDCPPEF*NtoN2O*kgtoGg</f>
        <v>1.1135768068755714</v>
      </c>
      <c r="T108" s="22">
        <f>'Activity data'!T67*UDCPPEF*NtoN2O*kgtoGg</f>
        <v>0.97105898924277778</v>
      </c>
      <c r="U108" s="22">
        <f>'Activity data'!U67*UDCPPEF*NtoN2O*kgtoGg</f>
        <v>0.88322131507065782</v>
      </c>
      <c r="V108" s="22">
        <f>'Activity data'!V67*UDCPPEF*NtoN2O*kgtoGg</f>
        <v>0.85276403835726899</v>
      </c>
      <c r="W108" s="22">
        <f>'Activity data'!W67*UDCPPEF*NtoN2O*kgtoGg</f>
        <v>0.91300352828453224</v>
      </c>
      <c r="X108" s="22">
        <f>'Activity data'!X67*UDCPPEF*NtoN2O*kgtoGg</f>
        <v>0.89314871947528263</v>
      </c>
      <c r="Y108" s="22">
        <f>'Activity data'!Y67*UDCPPEF*NtoN2O*kgtoGg</f>
        <v>0.88675547103870456</v>
      </c>
      <c r="Z108" s="22">
        <f>'Activity data'!Z67*UDCPPEF*NtoN2O*kgtoGg</f>
        <v>1.0859786226307144</v>
      </c>
      <c r="AA108" s="22">
        <f>'Activity data'!AA67*UDCPPEF*NtoN2O*kgtoGg</f>
        <v>1.1129017433760566</v>
      </c>
      <c r="AB108" s="22">
        <f>'Activity data'!AB67*UDCPPEF*NtoN2O*kgtoGg</f>
        <v>1.1129017433760566</v>
      </c>
      <c r="AC108" s="22">
        <f>'Activity data'!AC67*UDCPPEF*NtoN2O*kgtoGg</f>
        <v>1.0725170622580433</v>
      </c>
      <c r="AD108" s="22">
        <f>'Activity data'!AD67*UDCPPEF*NtoN2O*kgtoGg</f>
        <v>1.0775797812462991</v>
      </c>
      <c r="AE108" s="22">
        <f>'Activity data'!AE67*UDCPPEF*NtoN2O*kgtoGg</f>
        <v>1.0836040032789305</v>
      </c>
      <c r="AF108" s="22">
        <f>'Activity data'!AF67*UDCPPEF*NtoN2O*kgtoGg</f>
        <v>1.0921513426512339</v>
      </c>
      <c r="AG108" s="22">
        <f>'Activity data'!AG67*UDCPPEF*NtoN2O*kgtoGg</f>
        <v>1.0976439186771809</v>
      </c>
      <c r="AH108" s="22">
        <f>'Activity data'!AH67*UDCPPEF*NtoN2O*kgtoGg</f>
        <v>1.1012937605673538</v>
      </c>
      <c r="AI108" s="22">
        <f>'Activity data'!AI67*UDCPPEF*NtoN2O*kgtoGg</f>
        <v>1.1030649457277464</v>
      </c>
      <c r="AJ108" s="22">
        <f>'Activity data'!AJ67*UDCPPEF*NtoN2O*kgtoGg</f>
        <v>1.1069781529146336</v>
      </c>
      <c r="AK108" s="22">
        <f>'Activity data'!AK67*UDCPPEF*NtoN2O*kgtoGg</f>
        <v>1.1114672588381171</v>
      </c>
      <c r="AL108" s="22">
        <f>'Activity data'!AL67*UDCPPEF*NtoN2O*kgtoGg</f>
        <v>1.0780569980949297</v>
      </c>
      <c r="AM108" s="22">
        <f>'Activity data'!AM67*UDCPPEF*NtoN2O*kgtoGg</f>
        <v>1.0893928957031254</v>
      </c>
      <c r="AN108" s="22">
        <f>'Activity data'!AN67*UDCPPEF*NtoN2O*kgtoGg</f>
        <v>1.1059856502817549</v>
      </c>
      <c r="AO108" s="22">
        <f>'Activity data'!AO67*UDCPPEF*NtoN2O*kgtoGg</f>
        <v>1.1145860741325027</v>
      </c>
      <c r="AP108" s="22">
        <f>'Activity data'!AP67*UDCPPEF*NtoN2O*kgtoGg</f>
        <v>1.1244152137402783</v>
      </c>
      <c r="AQ108" s="22">
        <f>'Activity data'!AQ67*UDCPPEF*NtoN2O*kgtoGg</f>
        <v>1.1357914130193381</v>
      </c>
      <c r="AR108" s="22">
        <f>'Activity data'!AR67*UDCPPEF*NtoN2O*kgtoGg</f>
        <v>1.1474086589431955</v>
      </c>
      <c r="AS108" s="22">
        <f>'Activity data'!AS67*UDCPPEF*NtoN2O*kgtoGg</f>
        <v>1.1602674519477969</v>
      </c>
      <c r="AT108" s="22">
        <f>'Activity data'!AT67*UDCPPEF*NtoN2O*kgtoGg</f>
        <v>1.1735245752036907</v>
      </c>
      <c r="AU108" s="22">
        <f>'Activity data'!AU67*UDCPPEF*NtoN2O*kgtoGg</f>
        <v>1.18794114106982</v>
      </c>
      <c r="AV108" s="22">
        <f>'Activity data'!AV67*UDCPPEF*NtoN2O*kgtoGg</f>
        <v>1.2026829177053815</v>
      </c>
      <c r="AW108" s="22">
        <f>'Activity data'!AW67*UDCPPEF*NtoN2O*kgtoGg</f>
        <v>1.218608900056573</v>
      </c>
      <c r="AX108" s="22">
        <f>'Activity data'!AX67*UDCPPEF*NtoN2O*kgtoGg</f>
        <v>1.2343193345034551</v>
      </c>
      <c r="AY108" s="22">
        <f>'Activity data'!AY67*UDCPPEF*NtoN2O*kgtoGg</f>
        <v>1.2509015809248898</v>
      </c>
      <c r="AZ108" s="22">
        <f>'Activity data'!AZ67*UDCPPEF*NtoN2O*kgtoGg</f>
        <v>1.2696588428853492</v>
      </c>
      <c r="BA108" s="22">
        <f>'Activity data'!BA67*UDCPPEF*NtoN2O*kgtoGg</f>
        <v>1.2874926850325319</v>
      </c>
      <c r="BB108" s="22">
        <f>'Activity data'!BB67*UDCPPEF*NtoN2O*kgtoGg</f>
        <v>1.3057811956925069</v>
      </c>
      <c r="BC108" s="22">
        <f>'Activity data'!BC67*UDCPPEF*NtoN2O*kgtoGg</f>
        <v>1.3253399300509145</v>
      </c>
      <c r="BD108" s="22">
        <f>'Activity data'!BD67*UDCPPEF*NtoN2O*kgtoGg</f>
        <v>1.3436641070257576</v>
      </c>
      <c r="BE108" s="22">
        <f>'Activity data'!BE67*UDCPPEF*NtoN2O*kgtoGg</f>
        <v>1.361888843730743</v>
      </c>
      <c r="BF108" s="22">
        <f>'Activity data'!BF67*UDCPPEF*NtoN2O*kgtoGg</f>
        <v>1.380064832160125</v>
      </c>
      <c r="BG108" s="22">
        <f>'Activity data'!BG67*UDCPPEF*NtoN2O*kgtoGg</f>
        <v>1.3992944829741121</v>
      </c>
      <c r="BH108" s="22">
        <f>'Activity data'!BH67*UDCPPEF*NtoN2O*kgtoGg</f>
        <v>1.4177506785056255</v>
      </c>
      <c r="BI108" s="22">
        <f>'Activity data'!BI67*UDCPPEF*NtoN2O*kgtoGg</f>
        <v>1.4369235538048923</v>
      </c>
      <c r="BJ108" s="22">
        <f>'Activity data'!BJ67*UDCPPEF*NtoN2O*kgtoGg</f>
        <v>1.4569005528602124</v>
      </c>
      <c r="BK108" s="22">
        <f>'Activity data'!BK67*UDCPPEF*NtoN2O*kgtoGg</f>
        <v>1.4778222948761157</v>
      </c>
      <c r="BL108" s="22">
        <f>'Activity data'!BL67*UDCPPEF*NtoN2O*kgtoGg</f>
        <v>1.499114114952786</v>
      </c>
      <c r="BM108" s="22">
        <f>'Activity data'!BM67*UDCPPEF*NtoN2O*kgtoGg</f>
        <v>1.5041622353362427</v>
      </c>
      <c r="BN108" s="22">
        <f>'Activity data'!BN67*UDCPPEF*NtoN2O*kgtoGg</f>
        <v>1.5077549671708836</v>
      </c>
      <c r="BO108" s="22">
        <f>'Activity data'!BO67*UDCPPEF*NtoN2O*kgtoGg</f>
        <v>1.5092269750444909</v>
      </c>
      <c r="BP108" s="22">
        <f>'Activity data'!BP67*UDCPPEF*NtoN2O*kgtoGg</f>
        <v>1.5101158131362518</v>
      </c>
    </row>
    <row r="109" spans="1:68" x14ac:dyDescent="0.3">
      <c r="A109" t="str">
        <f t="shared" si="29"/>
        <v>3C Aggregated and non-CO2 emissions on land</v>
      </c>
      <c r="B109" t="str">
        <f t="shared" si="31"/>
        <v>3C4 Direct N2O from managed soils (N2O)</v>
      </c>
      <c r="C109" t="s">
        <v>422</v>
      </c>
      <c r="D109" t="str">
        <f t="shared" si="38"/>
        <v xml:space="preserve"> - Non-lactating</v>
      </c>
      <c r="E109" t="str">
        <f t="shared" si="32"/>
        <v>U&amp;D emissions - Non-lactating</v>
      </c>
      <c r="F109" t="str">
        <f t="shared" si="36"/>
        <v>N2O</v>
      </c>
      <c r="G109" t="str">
        <f t="shared" si="37"/>
        <v>Gg N2O</v>
      </c>
      <c r="H109" s="22">
        <f>'Activity data'!H68*UDCPPEF*NtoN2O*kgtoGg</f>
        <v>0.70829542150320102</v>
      </c>
      <c r="I109" s="22">
        <f>'Activity data'!I68*UDCPPEF*NtoN2O*kgtoGg</f>
        <v>0.80509081056291543</v>
      </c>
      <c r="J109" s="22">
        <f>'Activity data'!J68*UDCPPEF*NtoN2O*kgtoGg</f>
        <v>0.69640564763455981</v>
      </c>
      <c r="K109" s="22">
        <f>'Activity data'!K68*UDCPPEF*NtoN2O*kgtoGg</f>
        <v>0.72881054383034738</v>
      </c>
      <c r="L109" s="22">
        <f>'Activity data'!L68*UDCPPEF*NtoN2O*kgtoGg</f>
        <v>0.64884655215999665</v>
      </c>
      <c r="M109" s="22">
        <f>'Activity data'!M68*UDCPPEF*NtoN2O*kgtoGg</f>
        <v>0.7050309960930653</v>
      </c>
      <c r="N109" s="22">
        <f>'Activity data'!N68*UDCPPEF*NtoN2O*kgtoGg</f>
        <v>0.71692076996170606</v>
      </c>
      <c r="O109" s="22">
        <f>'Activity data'!O68*UDCPPEF*NtoN2O*kgtoGg</f>
        <v>0.69272192269677746</v>
      </c>
      <c r="P109" s="22">
        <f>'Activity data'!P68*UDCPPEF*NtoN2O*kgtoGg</f>
        <v>0.65705260109085506</v>
      </c>
      <c r="Q109" s="22">
        <f>'Activity data'!Q68*UDCPPEF*NtoN2O*kgtoGg</f>
        <v>0.69230262316913072</v>
      </c>
      <c r="R109" s="22">
        <f>'Activity data'!R68*UDCPPEF*NtoN2O*kgtoGg</f>
        <v>0.85801082908584869</v>
      </c>
      <c r="S109" s="22">
        <f>'Activity data'!S68*UDCPPEF*NtoN2O*kgtoGg</f>
        <v>0.84612105521720782</v>
      </c>
      <c r="T109" s="22">
        <f>'Activity data'!T68*UDCPPEF*NtoN2O*kgtoGg</f>
        <v>0.77678893883255762</v>
      </c>
      <c r="U109" s="22">
        <f>'Activity data'!U68*UDCPPEF*NtoN2O*kgtoGg</f>
        <v>0.65705260109085506</v>
      </c>
      <c r="V109" s="22">
        <f>'Activity data'!V68*UDCPPEF*NtoN2O*kgtoGg</f>
        <v>0.6131772305540738</v>
      </c>
      <c r="W109" s="22">
        <f>'Activity data'!W68*UDCPPEF*NtoN2O*kgtoGg</f>
        <v>0.66936167448714268</v>
      </c>
      <c r="X109" s="22">
        <f>'Activity data'!X68*UDCPPEF*NtoN2O*kgtoGg</f>
        <v>0.66115562555628415</v>
      </c>
      <c r="Y109" s="22">
        <f>'Activity data'!Y68*UDCPPEF*NtoN2O*kgtoGg</f>
        <v>0.66894237495949582</v>
      </c>
      <c r="Z109" s="22">
        <f>'Activity data'!Z68*UDCPPEF*NtoN2O*kgtoGg</f>
        <v>0.78256916140857435</v>
      </c>
      <c r="AA109" s="22">
        <f>'Activity data'!AA68*UDCPPEF*NtoN2O*kgtoGg</f>
        <v>0.8145547580767144</v>
      </c>
      <c r="AB109" s="22">
        <f>'Activity data'!AB68*UDCPPEF*NtoN2O*kgtoGg</f>
        <v>0.8145547580767144</v>
      </c>
      <c r="AC109" s="22">
        <f>'Activity data'!AC68*UDCPPEF*NtoN2O*kgtoGg</f>
        <v>0.76657636307450427</v>
      </c>
      <c r="AD109" s="22">
        <f>'Activity data'!AD68*UDCPPEF*NtoN2O*kgtoGg</f>
        <v>0.73383920392416069</v>
      </c>
      <c r="AE109" s="22">
        <f>'Activity data'!AE68*UDCPPEF*NtoN2O*kgtoGg</f>
        <v>0.7379417403466384</v>
      </c>
      <c r="AF109" s="22">
        <f>'Activity data'!AF68*UDCPPEF*NtoN2O*kgtoGg</f>
        <v>0.74376253694082328</v>
      </c>
      <c r="AG109" s="22">
        <f>'Activity data'!AG68*UDCPPEF*NtoN2O*kgtoGg</f>
        <v>0.74750301879518044</v>
      </c>
      <c r="AH109" s="22">
        <f>'Activity data'!AH68*UDCPPEF*NtoN2O*kgtoGg</f>
        <v>0.74998858609492636</v>
      </c>
      <c r="AI109" s="22">
        <f>'Activity data'!AI68*UDCPPEF*NtoN2O*kgtoGg</f>
        <v>0.75119477530775824</v>
      </c>
      <c r="AJ109" s="22">
        <f>'Activity data'!AJ68*UDCPPEF*NtoN2O*kgtoGg</f>
        <v>0.7538596961765357</v>
      </c>
      <c r="AK109" s="22">
        <f>'Activity data'!AK68*UDCPPEF*NtoN2O*kgtoGg</f>
        <v>0.75691680802528427</v>
      </c>
      <c r="AL109" s="22">
        <f>'Activity data'!AL68*UDCPPEF*NtoN2O*kgtoGg</f>
        <v>0.73416419186323789</v>
      </c>
      <c r="AM109" s="22">
        <f>'Activity data'!AM68*UDCPPEF*NtoN2O*kgtoGg</f>
        <v>0.74188401569562545</v>
      </c>
      <c r="AN109" s="22">
        <f>'Activity data'!AN68*UDCPPEF*NtoN2O*kgtoGg</f>
        <v>0.75318379509275502</v>
      </c>
      <c r="AO109" s="22">
        <f>'Activity data'!AO68*UDCPPEF*NtoN2O*kgtoGg</f>
        <v>0.75904074257996901</v>
      </c>
      <c r="AP109" s="22">
        <f>'Activity data'!AP68*UDCPPEF*NtoN2O*kgtoGg</f>
        <v>0.76573445390469996</v>
      </c>
      <c r="AQ109" s="22">
        <f>'Activity data'!AQ68*UDCPPEF*NtoN2O*kgtoGg</f>
        <v>0.77348172345069344</v>
      </c>
      <c r="AR109" s="22">
        <f>'Activity data'!AR68*UDCPPEF*NtoN2O*kgtoGg</f>
        <v>0.78139314741105659</v>
      </c>
      <c r="AS109" s="22">
        <f>'Activity data'!AS68*UDCPPEF*NtoN2O*kgtoGg</f>
        <v>0.79015007342818022</v>
      </c>
      <c r="AT109" s="22">
        <f>'Activity data'!AT68*UDCPPEF*NtoN2O*kgtoGg</f>
        <v>0.79917826507184453</v>
      </c>
      <c r="AU109" s="22">
        <f>'Activity data'!AU68*UDCPPEF*NtoN2O*kgtoGg</f>
        <v>0.80899604506608758</v>
      </c>
      <c r="AV109" s="22">
        <f>'Activity data'!AV68*UDCPPEF*NtoN2O*kgtoGg</f>
        <v>0.81903529581943424</v>
      </c>
      <c r="AW109" s="22">
        <f>'Activity data'!AW68*UDCPPEF*NtoN2O*kgtoGg</f>
        <v>0.82988099876756494</v>
      </c>
      <c r="AX109" s="22">
        <f>'Activity data'!AX68*UDCPPEF*NtoN2O*kgtoGg</f>
        <v>0.84057991211806271</v>
      </c>
      <c r="AY109" s="22">
        <f>'Activity data'!AY68*UDCPPEF*NtoN2O*kgtoGg</f>
        <v>0.8518725353882447</v>
      </c>
      <c r="AZ109" s="22">
        <f>'Activity data'!AZ68*UDCPPEF*NtoN2O*kgtoGg</f>
        <v>0.86464635912215038</v>
      </c>
      <c r="BA109" s="22">
        <f>'Activity data'!BA68*UDCPPEF*NtoN2O*kgtoGg</f>
        <v>0.87679132764509471</v>
      </c>
      <c r="BB109" s="22">
        <f>'Activity data'!BB68*UDCPPEF*NtoN2O*kgtoGg</f>
        <v>0.88924592853613249</v>
      </c>
      <c r="BC109" s="22">
        <f>'Activity data'!BC68*UDCPPEF*NtoN2O*kgtoGg</f>
        <v>0.90256556045678527</v>
      </c>
      <c r="BD109" s="22">
        <f>'Activity data'!BD68*UDCPPEF*NtoN2O*kgtoGg</f>
        <v>0.91504445035228033</v>
      </c>
      <c r="BE109" s="22">
        <f>'Activity data'!BE68*UDCPPEF*NtoN2O*kgtoGg</f>
        <v>0.92745562074362309</v>
      </c>
      <c r="BF109" s="22">
        <f>'Activity data'!BF68*UDCPPEF*NtoN2O*kgtoGg</f>
        <v>0.93983359322574034</v>
      </c>
      <c r="BG109" s="22">
        <f>'Activity data'!BG68*UDCPPEF*NtoN2O*kgtoGg</f>
        <v>0.95292911700102378</v>
      </c>
      <c r="BH109" s="22">
        <f>'Activity data'!BH68*UDCPPEF*NtoN2O*kgtoGg</f>
        <v>0.9654979124368942</v>
      </c>
      <c r="BI109" s="22">
        <f>'Activity data'!BI68*UDCPPEF*NtoN2O*kgtoGg</f>
        <v>0.97855477169819061</v>
      </c>
      <c r="BJ109" s="22">
        <f>'Activity data'!BJ68*UDCPPEF*NtoN2O*kgtoGg</f>
        <v>0.99215924473924411</v>
      </c>
      <c r="BK109" s="22">
        <f>'Activity data'!BK68*UDCPPEF*NtoN2O*kgtoGg</f>
        <v>1.0064070942004693</v>
      </c>
      <c r="BL109" s="22">
        <f>'Activity data'!BL68*UDCPPEF*NtoN2O*kgtoGg</f>
        <v>1.0209069693531829</v>
      </c>
      <c r="BM109" s="22">
        <f>'Activity data'!BM68*UDCPPEF*NtoN2O*kgtoGg</f>
        <v>1.0243447738739997</v>
      </c>
      <c r="BN109" s="22">
        <f>'Activity data'!BN68*UDCPPEF*NtoN2O*kgtoGg</f>
        <v>1.0267914488351768</v>
      </c>
      <c r="BO109" s="22">
        <f>'Activity data'!BO68*UDCPPEF*NtoN2O*kgtoGg</f>
        <v>1.0277938962687103</v>
      </c>
      <c r="BP109" s="22">
        <f>'Activity data'!BP68*UDCPPEF*NtoN2O*kgtoGg</f>
        <v>1.0283992010907079</v>
      </c>
    </row>
    <row r="110" spans="1:68" x14ac:dyDescent="0.3">
      <c r="A110" t="str">
        <f t="shared" si="29"/>
        <v>3C Aggregated and non-CO2 emissions on land</v>
      </c>
      <c r="B110" t="str">
        <f t="shared" si="31"/>
        <v>3C4 Direct N2O from managed soils (N2O)</v>
      </c>
      <c r="C110" t="s">
        <v>422</v>
      </c>
      <c r="D110" t="str">
        <f t="shared" si="38"/>
        <v xml:space="preserve"> - Commercial cattle</v>
      </c>
      <c r="E110" t="str">
        <f t="shared" si="32"/>
        <v>U&amp;D emissions - Commercial cattle</v>
      </c>
      <c r="F110" t="str">
        <f t="shared" si="36"/>
        <v>N2O</v>
      </c>
      <c r="G110" t="str">
        <f t="shared" si="37"/>
        <v>Gg N2O</v>
      </c>
      <c r="H110" s="22">
        <f>'Activity data'!H69*UDCPPEF*NtoN2O*kgtoGg</f>
        <v>17.576597352821153</v>
      </c>
      <c r="I110" s="22">
        <f>'Activity data'!I69*UDCPPEF*NtoN2O*kgtoGg</f>
        <v>16.817955407552034</v>
      </c>
      <c r="J110" s="22">
        <f>'Activity data'!J69*UDCPPEF*NtoN2O*kgtoGg</f>
        <v>16.811844812764484</v>
      </c>
      <c r="K110" s="22">
        <f>'Activity data'!K69*UDCPPEF*NtoN2O*kgtoGg</f>
        <v>15.728077971837282</v>
      </c>
      <c r="L110" s="22">
        <f>'Activity data'!L69*UDCPPEF*NtoN2O*kgtoGg</f>
        <v>16.202229187630483</v>
      </c>
      <c r="M110" s="22">
        <f>'Activity data'!M69*UDCPPEF*NtoN2O*kgtoGg</f>
        <v>16.570618125708414</v>
      </c>
      <c r="N110" s="22">
        <f>'Activity data'!N69*UDCPPEF*NtoN2O*kgtoGg</f>
        <v>17.258021364656891</v>
      </c>
      <c r="O110" s="22">
        <f>'Activity data'!O69*UDCPPEF*NtoN2O*kgtoGg</f>
        <v>17.911777657623301</v>
      </c>
      <c r="P110" s="22">
        <f>'Activity data'!P69*UDCPPEF*NtoN2O*kgtoGg</f>
        <v>18.066914572545961</v>
      </c>
      <c r="Q110" s="22">
        <f>'Activity data'!Q69*UDCPPEF*NtoN2O*kgtoGg</f>
        <v>17.774559997457377</v>
      </c>
      <c r="R110" s="22">
        <f>'Activity data'!R69*UDCPPEF*NtoN2O*kgtoGg</f>
        <v>16.567111624058178</v>
      </c>
      <c r="S110" s="22">
        <f>'Activity data'!S69*UDCPPEF*NtoN2O*kgtoGg</f>
        <v>16.653201396191591</v>
      </c>
      <c r="T110" s="22">
        <f>'Activity data'!T69*UDCPPEF*NtoN2O*kgtoGg</f>
        <v>15.520936543469553</v>
      </c>
      <c r="U110" s="22">
        <f>'Activity data'!U69*UDCPPEF*NtoN2O*kgtoGg</f>
        <v>15.926917241886068</v>
      </c>
      <c r="V110" s="22">
        <f>'Activity data'!V69*UDCPPEF*NtoN2O*kgtoGg</f>
        <v>16.073751998489783</v>
      </c>
      <c r="W110" s="22">
        <f>'Activity data'!W69*UDCPPEF*NtoN2O*kgtoGg</f>
        <v>16.210093033243147</v>
      </c>
      <c r="X110" s="22">
        <f>'Activity data'!X69*UDCPPEF*NtoN2O*kgtoGg</f>
        <v>15.840827469752652</v>
      </c>
      <c r="Y110" s="22">
        <f>'Activity data'!Y69*UDCPPEF*NtoN2O*kgtoGg</f>
        <v>16.304923276401787</v>
      </c>
      <c r="Z110" s="22">
        <f>'Activity data'!Z69*UDCPPEF*NtoN2O*kgtoGg</f>
        <v>15.851842654807969</v>
      </c>
      <c r="AA110" s="22">
        <f>'Activity data'!AA69*UDCPPEF*NtoN2O*kgtoGg</f>
        <v>15.585679412511292</v>
      </c>
      <c r="AB110" s="22">
        <f>'Activity data'!AB69*UDCPPEF*NtoN2O*kgtoGg</f>
        <v>15.5366840017385</v>
      </c>
      <c r="AC110" s="22">
        <f>'Activity data'!AC69*UDCPPEF*NtoN2O*kgtoGg</f>
        <v>15.48089495887754</v>
      </c>
      <c r="AD110" s="22">
        <f>'Activity data'!AD69*UDCPPEF*NtoN2O*kgtoGg</f>
        <v>15.353527292296844</v>
      </c>
      <c r="AE110" s="22">
        <f>'Activity data'!AE69*UDCPPEF*NtoN2O*kgtoGg</f>
        <v>15.220371053361486</v>
      </c>
      <c r="AF110" s="22">
        <f>'Activity data'!AF69*UDCPPEF*NtoN2O*kgtoGg</f>
        <v>15.169682504177887</v>
      </c>
      <c r="AG110" s="22">
        <f>'Activity data'!AG69*UDCPPEF*NtoN2O*kgtoGg</f>
        <v>14.967111251021189</v>
      </c>
      <c r="AH110" s="22">
        <f>'Activity data'!AH69*UDCPPEF*NtoN2O*kgtoGg</f>
        <v>14.673074129931953</v>
      </c>
      <c r="AI110" s="22">
        <f>'Activity data'!AI69*UDCPPEF*NtoN2O*kgtoGg</f>
        <v>14.293651368256896</v>
      </c>
      <c r="AJ110" s="22">
        <f>'Activity data'!AJ69*UDCPPEF*NtoN2O*kgtoGg</f>
        <v>13.994389539168758</v>
      </c>
      <c r="AK110" s="22">
        <f>'Activity data'!AK69*UDCPPEF*NtoN2O*kgtoGg</f>
        <v>13.711253827544139</v>
      </c>
      <c r="AL110" s="22">
        <f>'Activity data'!AL69*UDCPPEF*NtoN2O*kgtoGg</f>
        <v>12.061906249102522</v>
      </c>
      <c r="AM110" s="22">
        <f>'Activity data'!AM69*UDCPPEF*NtoN2O*kgtoGg</f>
        <v>12.257827954761961</v>
      </c>
      <c r="AN110" s="22">
        <f>'Activity data'!AN69*UDCPPEF*NtoN2O*kgtoGg</f>
        <v>12.623326077373568</v>
      </c>
      <c r="AO110" s="22">
        <f>'Activity data'!AO69*UDCPPEF*NtoN2O*kgtoGg</f>
        <v>12.696320274115601</v>
      </c>
      <c r="AP110" s="22">
        <f>'Activity data'!AP69*UDCPPEF*NtoN2O*kgtoGg</f>
        <v>12.80159889911199</v>
      </c>
      <c r="AQ110" s="22">
        <f>'Activity data'!AQ69*UDCPPEF*NtoN2O*kgtoGg</f>
        <v>12.948464903220069</v>
      </c>
      <c r="AR110" s="22">
        <f>'Activity data'!AR69*UDCPPEF*NtoN2O*kgtoGg</f>
        <v>13.116926910965395</v>
      </c>
      <c r="AS110" s="22">
        <f>'Activity data'!AS69*UDCPPEF*NtoN2O*kgtoGg</f>
        <v>13.314439769643803</v>
      </c>
      <c r="AT110" s="22">
        <f>'Activity data'!AT69*UDCPPEF*NtoN2O*kgtoGg</f>
        <v>13.51286360181456</v>
      </c>
      <c r="AU110" s="22">
        <f>'Activity data'!AU69*UDCPPEF*NtoN2O*kgtoGg</f>
        <v>13.736029185929986</v>
      </c>
      <c r="AV110" s="22">
        <f>'Activity data'!AV69*UDCPPEF*NtoN2O*kgtoGg</f>
        <v>13.956980095887328</v>
      </c>
      <c r="AW110" s="22">
        <f>'Activity data'!AW69*UDCPPEF*NtoN2O*kgtoGg</f>
        <v>14.10090814419179</v>
      </c>
      <c r="AX110" s="22">
        <f>'Activity data'!AX69*UDCPPEF*NtoN2O*kgtoGg</f>
        <v>14.219083101971489</v>
      </c>
      <c r="AY110" s="22">
        <f>'Activity data'!AY69*UDCPPEF*NtoN2O*kgtoGg</f>
        <v>14.343928249023508</v>
      </c>
      <c r="AZ110" s="22">
        <f>'Activity data'!AZ69*UDCPPEF*NtoN2O*kgtoGg</f>
        <v>14.51096965309287</v>
      </c>
      <c r="BA110" s="22">
        <f>'Activity data'!BA69*UDCPPEF*NtoN2O*kgtoGg</f>
        <v>14.631100213840327</v>
      </c>
      <c r="BB110" s="22">
        <f>'Activity data'!BB69*UDCPPEF*NtoN2O*kgtoGg</f>
        <v>14.759129789982603</v>
      </c>
      <c r="BC110" s="22">
        <f>'Activity data'!BC69*UDCPPEF*NtoN2O*kgtoGg</f>
        <v>14.900063859192302</v>
      </c>
      <c r="BD110" s="22">
        <f>'Activity data'!BD69*UDCPPEF*NtoN2O*kgtoGg</f>
        <v>14.987884546338787</v>
      </c>
      <c r="BE110" s="22">
        <f>'Activity data'!BE69*UDCPPEF*NtoN2O*kgtoGg</f>
        <v>15.053769229100121</v>
      </c>
      <c r="BF110" s="22">
        <f>'Activity data'!BF69*UDCPPEF*NtoN2O*kgtoGg</f>
        <v>15.099596245527735</v>
      </c>
      <c r="BG110" s="22">
        <f>'Activity data'!BG69*UDCPPEF*NtoN2O*kgtoGg</f>
        <v>15.242060327526691</v>
      </c>
      <c r="BH110" s="22">
        <f>'Activity data'!BH69*UDCPPEF*NtoN2O*kgtoGg</f>
        <v>15.350351065013276</v>
      </c>
      <c r="BI110" s="22">
        <f>'Activity data'!BI69*UDCPPEF*NtoN2O*kgtoGg</f>
        <v>15.4600087454617</v>
      </c>
      <c r="BJ110" s="22">
        <f>'Activity data'!BJ69*UDCPPEF*NtoN2O*kgtoGg</f>
        <v>15.572287803164578</v>
      </c>
      <c r="BK110" s="22">
        <f>'Activity data'!BK69*UDCPPEF*NtoN2O*kgtoGg</f>
        <v>15.689452381356277</v>
      </c>
      <c r="BL110" s="22">
        <f>'Activity data'!BL69*UDCPPEF*NtoN2O*kgtoGg</f>
        <v>15.809749281637989</v>
      </c>
      <c r="BM110" s="22">
        <f>'Activity data'!BM69*UDCPPEF*NtoN2O*kgtoGg</f>
        <v>15.572449633225865</v>
      </c>
      <c r="BN110" s="22">
        <f>'Activity data'!BN69*UDCPPEF*NtoN2O*kgtoGg</f>
        <v>15.303629040465463</v>
      </c>
      <c r="BO110" s="22">
        <f>'Activity data'!BO69*UDCPPEF*NtoN2O*kgtoGg</f>
        <v>14.991979745020995</v>
      </c>
      <c r="BP110" s="22">
        <f>'Activity data'!BP69*UDCPPEF*NtoN2O*kgtoGg</f>
        <v>14.670563587286086</v>
      </c>
    </row>
    <row r="111" spans="1:68" x14ac:dyDescent="0.3">
      <c r="A111" t="str">
        <f t="shared" si="29"/>
        <v>3C Aggregated and non-CO2 emissions on land</v>
      </c>
      <c r="B111" t="str">
        <f t="shared" si="31"/>
        <v>3C4 Direct N2O from managed soils (N2O)</v>
      </c>
      <c r="C111" t="s">
        <v>422</v>
      </c>
      <c r="D111" t="str">
        <f t="shared" si="38"/>
        <v xml:space="preserve"> - Subsistence cattle</v>
      </c>
      <c r="E111" t="str">
        <f t="shared" si="32"/>
        <v>U&amp;D emissions - Subsistence cattle</v>
      </c>
      <c r="F111" t="str">
        <f t="shared" si="36"/>
        <v>N2O</v>
      </c>
      <c r="G111" t="str">
        <f t="shared" si="37"/>
        <v>Gg N2O</v>
      </c>
      <c r="H111" s="22">
        <f>'Activity data'!H70*UDCPPEF*NtoN2O*kgtoGg</f>
        <v>8.3914870256546639</v>
      </c>
      <c r="I111" s="22">
        <f>'Activity data'!I70*UDCPPEF*NtoN2O*kgtoGg</f>
        <v>8.9033860163264062</v>
      </c>
      <c r="J111" s="22">
        <f>'Activity data'!J70*UDCPPEF*NtoN2O*kgtoGg</f>
        <v>9.3238744729496261</v>
      </c>
      <c r="K111" s="22">
        <f>'Activity data'!K70*UDCPPEF*NtoN2O*kgtoGg</f>
        <v>9.2141818320913931</v>
      </c>
      <c r="L111" s="22">
        <f>'Activity data'!L70*UDCPPEF*NtoN2O*kgtoGg</f>
        <v>8.0258448894605596</v>
      </c>
      <c r="M111" s="22">
        <f>'Activity data'!M70*UDCPPEF*NtoN2O*kgtoGg</f>
        <v>7.7516132873149823</v>
      </c>
      <c r="N111" s="22">
        <f>'Activity data'!N70*UDCPPEF*NtoN2O*kgtoGg</f>
        <v>7.970998569031444</v>
      </c>
      <c r="O111" s="22">
        <f>'Activity data'!O70*UDCPPEF*NtoN2O*kgtoGg</f>
        <v>8.3366407052255465</v>
      </c>
      <c r="P111" s="22">
        <f>'Activity data'!P70*UDCPPEF*NtoN2O*kgtoGg</f>
        <v>8.8485396958972924</v>
      </c>
      <c r="Q111" s="22">
        <f>'Activity data'!Q70*UDCPPEF*NtoN2O*kgtoGg</f>
        <v>9.2141818320913931</v>
      </c>
      <c r="R111" s="22">
        <f>'Activity data'!R70*UDCPPEF*NtoN2O*kgtoGg</f>
        <v>8.9947965503749323</v>
      </c>
      <c r="S111" s="22">
        <f>'Activity data'!S70*UDCPPEF*NtoN2O*kgtoGg</f>
        <v>8.7754112686584715</v>
      </c>
      <c r="T111" s="22">
        <f>'Activity data'!T70*UDCPPEF*NtoN2O*kgtoGg</f>
        <v>9.9454661044795998</v>
      </c>
      <c r="U111" s="22">
        <f>'Activity data'!U70*UDCPPEF*NtoN2O*kgtoGg</f>
        <v>10.183133493005768</v>
      </c>
      <c r="V111" s="22">
        <f>'Activity data'!V70*UDCPPEF*NtoN2O*kgtoGg</f>
        <v>10.018594531718419</v>
      </c>
      <c r="W111" s="22">
        <f>'Activity data'!W70*UDCPPEF*NtoN2O*kgtoGg</f>
        <v>9.726080822763139</v>
      </c>
      <c r="X111" s="22">
        <f>'Activity data'!X70*UDCPPEF*NtoN2O*kgtoGg</f>
        <v>10.036876638528124</v>
      </c>
      <c r="Y111" s="22">
        <f>'Activity data'!Y70*UDCPPEF*NtoN2O*kgtoGg</f>
        <v>10.439082988341639</v>
      </c>
      <c r="Z111" s="22">
        <f>'Activity data'!Z70*UDCPPEF*NtoN2O*kgtoGg</f>
        <v>10.274544027054292</v>
      </c>
      <c r="AA111" s="22">
        <f>'Activity data'!AA70*UDCPPEF*NtoN2O*kgtoGg</f>
        <v>10.164851386196062</v>
      </c>
      <c r="AB111" s="22">
        <f>'Activity data'!AB70*UDCPPEF*NtoN2O*kgtoGg</f>
        <v>10.018594531718419</v>
      </c>
      <c r="AC111" s="22">
        <f>'Activity data'!AC70*UDCPPEF*NtoN2O*kgtoGg</f>
        <v>10.091722958957241</v>
      </c>
      <c r="AD111" s="22">
        <f>'Activity data'!AD70*UDCPPEF*NtoN2O*kgtoGg</f>
        <v>9.6543103644621464</v>
      </c>
      <c r="AE111" s="22">
        <f>'Activity data'!AE70*UDCPPEF*NtoN2O*kgtoGg</f>
        <v>9.570581613851763</v>
      </c>
      <c r="AF111" s="22">
        <f>'Activity data'!AF70*UDCPPEF*NtoN2O*kgtoGg</f>
        <v>9.5387086131773007</v>
      </c>
      <c r="AG111" s="22">
        <f>'Activity data'!AG70*UDCPPEF*NtoN2O*kgtoGg</f>
        <v>9.4113316455488931</v>
      </c>
      <c r="AH111" s="22">
        <f>'Activity data'!AH70*UDCPPEF*NtoN2O*kgtoGg</f>
        <v>9.2264408662754782</v>
      </c>
      <c r="AI111" s="22">
        <f>'Activity data'!AI70*UDCPPEF*NtoN2O*kgtoGg</f>
        <v>8.9878595272244652</v>
      </c>
      <c r="AJ111" s="22">
        <f>'Activity data'!AJ70*UDCPPEF*NtoN2O*kgtoGg</f>
        <v>8.7996834473406587</v>
      </c>
      <c r="AK111" s="22">
        <f>'Activity data'!AK70*UDCPPEF*NtoN2O*kgtoGg</f>
        <v>8.6216474831450967</v>
      </c>
      <c r="AL111" s="22">
        <f>'Activity data'!AL70*UDCPPEF*NtoN2O*kgtoGg</f>
        <v>7.5845363934257692</v>
      </c>
      <c r="AM111" s="22">
        <f>'Activity data'!AM70*UDCPPEF*NtoN2O*kgtoGg</f>
        <v>7.7077321202161873</v>
      </c>
      <c r="AN111" s="22">
        <f>'Activity data'!AN70*UDCPPEF*NtoN2O*kgtoGg</f>
        <v>7.9375576349753283</v>
      </c>
      <c r="AO111" s="22">
        <f>'Activity data'!AO70*UDCPPEF*NtoN2O*kgtoGg</f>
        <v>7.9834564448537479</v>
      </c>
      <c r="AP111" s="22">
        <f>'Activity data'!AP70*UDCPPEF*NtoN2O*kgtoGg</f>
        <v>8.0496557292988875</v>
      </c>
      <c r="AQ111" s="22">
        <f>'Activity data'!AQ70*UDCPPEF*NtoN2O*kgtoGg</f>
        <v>8.1420051913250582</v>
      </c>
      <c r="AR111" s="22">
        <f>'Activity data'!AR70*UDCPPEF*NtoN2O*kgtoGg</f>
        <v>8.2479342378842677</v>
      </c>
      <c r="AS111" s="22">
        <f>'Activity data'!AS70*UDCPPEF*NtoN2O*kgtoGg</f>
        <v>8.3721304829783953</v>
      </c>
      <c r="AT111" s="22">
        <f>'Activity data'!AT70*UDCPPEF*NtoN2O*kgtoGg</f>
        <v>8.4968995489404282</v>
      </c>
      <c r="AU111" s="22">
        <f>'Activity data'!AU70*UDCPPEF*NtoN2O*kgtoGg</f>
        <v>8.6372262485124356</v>
      </c>
      <c r="AV111" s="22">
        <f>'Activity data'!AV70*UDCPPEF*NtoN2O*kgtoGg</f>
        <v>8.7761603591847646</v>
      </c>
      <c r="AW111" s="22">
        <f>'Activity data'!AW70*UDCPPEF*NtoN2O*kgtoGg</f>
        <v>8.8666624322282459</v>
      </c>
      <c r="AX111" s="22">
        <f>'Activity data'!AX70*UDCPPEF*NtoN2O*kgtoGg</f>
        <v>8.9409709411455953</v>
      </c>
      <c r="AY111" s="22">
        <f>'Activity data'!AY70*UDCPPEF*NtoN2O*kgtoGg</f>
        <v>9.0194736704657732</v>
      </c>
      <c r="AZ111" s="22">
        <f>'Activity data'!AZ70*UDCPPEF*NtoN2O*kgtoGg</f>
        <v>9.1245094402859266</v>
      </c>
      <c r="BA111" s="22">
        <f>'Activity data'!BA70*UDCPPEF*NtoN2O*kgtoGg</f>
        <v>9.2000476339292057</v>
      </c>
      <c r="BB111" s="22">
        <f>'Activity data'!BB70*UDCPPEF*NtoN2O*kgtoGg</f>
        <v>9.2805527348338117</v>
      </c>
      <c r="BC111" s="22">
        <f>'Activity data'!BC70*UDCPPEF*NtoN2O*kgtoGg</f>
        <v>9.3691721914038766</v>
      </c>
      <c r="BD111" s="22">
        <f>'Activity data'!BD70*UDCPPEF*NtoN2O*kgtoGg</f>
        <v>9.4243939104259251</v>
      </c>
      <c r="BE111" s="22">
        <f>'Activity data'!BE70*UDCPPEF*NtoN2O*kgtoGg</f>
        <v>9.4658222521699837</v>
      </c>
      <c r="BF111" s="22">
        <f>'Activity data'!BF70*UDCPPEF*NtoN2O*kgtoGg</f>
        <v>9.4946383171201845</v>
      </c>
      <c r="BG111" s="22">
        <f>'Activity data'!BG70*UDCPPEF*NtoN2O*kgtoGg</f>
        <v>9.5842198469681268</v>
      </c>
      <c r="BH111" s="22">
        <f>'Activity data'!BH70*UDCPPEF*NtoN2O*kgtoGg</f>
        <v>9.6523131501803814</v>
      </c>
      <c r="BI111" s="22">
        <f>'Activity data'!BI70*UDCPPEF*NtoN2O*kgtoGg</f>
        <v>9.7212659882312984</v>
      </c>
      <c r="BJ111" s="22">
        <f>'Activity data'!BJ70*UDCPPEF*NtoN2O*kgtoGg</f>
        <v>9.7918671504174508</v>
      </c>
      <c r="BK111" s="22">
        <f>'Activity data'!BK70*UDCPPEF*NtoN2O*kgtoGg</f>
        <v>9.8655403318336496</v>
      </c>
      <c r="BL111" s="22">
        <f>'Activity data'!BL70*UDCPPEF*NtoN2O*kgtoGg</f>
        <v>9.9411831199104377</v>
      </c>
      <c r="BM111" s="22">
        <f>'Activity data'!BM70*UDCPPEF*NtoN2O*kgtoGg</f>
        <v>9.7919689092907181</v>
      </c>
      <c r="BN111" s="22">
        <f>'Activity data'!BN70*UDCPPEF*NtoN2O*kgtoGg</f>
        <v>9.6229343034011841</v>
      </c>
      <c r="BO111" s="22">
        <f>'Activity data'!BO70*UDCPPEF*NtoN2O*kgtoGg</f>
        <v>9.4269689746655256</v>
      </c>
      <c r="BP111" s="22">
        <f>'Activity data'!BP70*UDCPPEF*NtoN2O*kgtoGg</f>
        <v>9.2248622350316598</v>
      </c>
    </row>
    <row r="112" spans="1:68" x14ac:dyDescent="0.3">
      <c r="A112" t="str">
        <f t="shared" si="29"/>
        <v>3C Aggregated and non-CO2 emissions on land</v>
      </c>
      <c r="B112" t="str">
        <f t="shared" si="31"/>
        <v>3C4 Direct N2O from managed soils (N2O)</v>
      </c>
      <c r="C112" t="s">
        <v>422</v>
      </c>
      <c r="D112" t="str">
        <f t="shared" si="38"/>
        <v xml:space="preserve"> - Feedlot</v>
      </c>
      <c r="E112" t="str">
        <f t="shared" si="32"/>
        <v>U&amp;D emissions - Feedlot</v>
      </c>
      <c r="F112" t="str">
        <f t="shared" si="36"/>
        <v>N2O</v>
      </c>
      <c r="G112" t="str">
        <f t="shared" si="37"/>
        <v>Gg N2O</v>
      </c>
      <c r="H112" s="22">
        <f>'Activity data'!H71*UDCPPEF*NtoN2O*kgtoGg</f>
        <v>0</v>
      </c>
      <c r="I112" s="22">
        <f>'Activity data'!I71*UDCPPEF*NtoN2O*kgtoGg</f>
        <v>0</v>
      </c>
      <c r="J112" s="22">
        <f>'Activity data'!J71*UDCPPEF*NtoN2O*kgtoGg</f>
        <v>0</v>
      </c>
      <c r="K112" s="22">
        <f>'Activity data'!K71*UDCPPEF*NtoN2O*kgtoGg</f>
        <v>0</v>
      </c>
      <c r="L112" s="22">
        <f>'Activity data'!L71*UDCPPEF*NtoN2O*kgtoGg</f>
        <v>0</v>
      </c>
      <c r="M112" s="22">
        <f>'Activity data'!M71*UDCPPEF*NtoN2O*kgtoGg</f>
        <v>0</v>
      </c>
      <c r="N112" s="22">
        <f>'Activity data'!N71*UDCPPEF*NtoN2O*kgtoGg</f>
        <v>0</v>
      </c>
      <c r="O112" s="22">
        <f>'Activity data'!O71*UDCPPEF*NtoN2O*kgtoGg</f>
        <v>0</v>
      </c>
      <c r="P112" s="22">
        <f>'Activity data'!P71*UDCPPEF*NtoN2O*kgtoGg</f>
        <v>0</v>
      </c>
      <c r="Q112" s="22">
        <f>'Activity data'!Q71*UDCPPEF*NtoN2O*kgtoGg</f>
        <v>0</v>
      </c>
      <c r="R112" s="22">
        <f>'Activity data'!R71*UDCPPEF*NtoN2O*kgtoGg</f>
        <v>0</v>
      </c>
      <c r="S112" s="22">
        <f>'Activity data'!S71*UDCPPEF*NtoN2O*kgtoGg</f>
        <v>0</v>
      </c>
      <c r="T112" s="22">
        <f>'Activity data'!T71*UDCPPEF*NtoN2O*kgtoGg</f>
        <v>0</v>
      </c>
      <c r="U112" s="22">
        <f>'Activity data'!U71*UDCPPEF*NtoN2O*kgtoGg</f>
        <v>0</v>
      </c>
      <c r="V112" s="22">
        <f>'Activity data'!V71*UDCPPEF*NtoN2O*kgtoGg</f>
        <v>0</v>
      </c>
      <c r="W112" s="22">
        <f>'Activity data'!W71*UDCPPEF*NtoN2O*kgtoGg</f>
        <v>0</v>
      </c>
      <c r="X112" s="22">
        <f>'Activity data'!X71*UDCPPEF*NtoN2O*kgtoGg</f>
        <v>0</v>
      </c>
      <c r="Y112" s="22">
        <f>'Activity data'!Y71*UDCPPEF*NtoN2O*kgtoGg</f>
        <v>0</v>
      </c>
      <c r="Z112" s="22">
        <f>'Activity data'!Z71*UDCPPEF*NtoN2O*kgtoGg</f>
        <v>0</v>
      </c>
      <c r="AA112" s="22">
        <f>'Activity data'!AA71*UDCPPEF*NtoN2O*kgtoGg</f>
        <v>0</v>
      </c>
      <c r="AB112" s="22">
        <f>'Activity data'!AB71*UDCPPEF*NtoN2O*kgtoGg</f>
        <v>0</v>
      </c>
      <c r="AC112" s="22">
        <f>'Activity data'!AC71*UDCPPEF*NtoN2O*kgtoGg</f>
        <v>0</v>
      </c>
      <c r="AD112" s="22">
        <f>'Activity data'!AD71*UDCPPEF*NtoN2O*kgtoGg</f>
        <v>0</v>
      </c>
      <c r="AE112" s="22">
        <f>'Activity data'!AE71*UDCPPEF*NtoN2O*kgtoGg</f>
        <v>0</v>
      </c>
      <c r="AF112" s="22">
        <f>'Activity data'!AF71*UDCPPEF*NtoN2O*kgtoGg</f>
        <v>0</v>
      </c>
      <c r="AG112" s="22">
        <f>'Activity data'!AG71*UDCPPEF*NtoN2O*kgtoGg</f>
        <v>0</v>
      </c>
      <c r="AH112" s="22">
        <f>'Activity data'!AH71*UDCPPEF*NtoN2O*kgtoGg</f>
        <v>0</v>
      </c>
      <c r="AI112" s="22">
        <f>'Activity data'!AI71*UDCPPEF*NtoN2O*kgtoGg</f>
        <v>0</v>
      </c>
      <c r="AJ112" s="22">
        <f>'Activity data'!AJ71*UDCPPEF*NtoN2O*kgtoGg</f>
        <v>0</v>
      </c>
      <c r="AK112" s="22">
        <f>'Activity data'!AK71*UDCPPEF*NtoN2O*kgtoGg</f>
        <v>0</v>
      </c>
      <c r="AL112" s="22">
        <f>'Activity data'!AL71*UDCPPEF*NtoN2O*kgtoGg</f>
        <v>0</v>
      </c>
      <c r="AM112" s="22">
        <f>'Activity data'!AM71*UDCPPEF*NtoN2O*kgtoGg</f>
        <v>0</v>
      </c>
      <c r="AN112" s="22">
        <f>'Activity data'!AN71*UDCPPEF*NtoN2O*kgtoGg</f>
        <v>0</v>
      </c>
      <c r="AO112" s="22">
        <f>'Activity data'!AO71*UDCPPEF*NtoN2O*kgtoGg</f>
        <v>0</v>
      </c>
      <c r="AP112" s="22">
        <f>'Activity data'!AP71*UDCPPEF*NtoN2O*kgtoGg</f>
        <v>0</v>
      </c>
      <c r="AQ112" s="22">
        <f>'Activity data'!AQ71*UDCPPEF*NtoN2O*kgtoGg</f>
        <v>0</v>
      </c>
      <c r="AR112" s="22">
        <f>'Activity data'!AR71*UDCPPEF*NtoN2O*kgtoGg</f>
        <v>0</v>
      </c>
      <c r="AS112" s="22">
        <f>'Activity data'!AS71*UDCPPEF*NtoN2O*kgtoGg</f>
        <v>0</v>
      </c>
      <c r="AT112" s="22">
        <f>'Activity data'!AT71*UDCPPEF*NtoN2O*kgtoGg</f>
        <v>0</v>
      </c>
      <c r="AU112" s="22">
        <f>'Activity data'!AU71*UDCPPEF*NtoN2O*kgtoGg</f>
        <v>0</v>
      </c>
      <c r="AV112" s="22">
        <f>'Activity data'!AV71*UDCPPEF*NtoN2O*kgtoGg</f>
        <v>0</v>
      </c>
      <c r="AW112" s="22">
        <f>'Activity data'!AW71*UDCPPEF*NtoN2O*kgtoGg</f>
        <v>0</v>
      </c>
      <c r="AX112" s="22">
        <f>'Activity data'!AX71*UDCPPEF*NtoN2O*kgtoGg</f>
        <v>0</v>
      </c>
      <c r="AY112" s="22">
        <f>'Activity data'!AY71*UDCPPEF*NtoN2O*kgtoGg</f>
        <v>0</v>
      </c>
      <c r="AZ112" s="22">
        <f>'Activity data'!AZ71*UDCPPEF*NtoN2O*kgtoGg</f>
        <v>0</v>
      </c>
      <c r="BA112" s="22">
        <f>'Activity data'!BA71*UDCPPEF*NtoN2O*kgtoGg</f>
        <v>0</v>
      </c>
      <c r="BB112" s="22">
        <f>'Activity data'!BB71*UDCPPEF*NtoN2O*kgtoGg</f>
        <v>0</v>
      </c>
      <c r="BC112" s="22">
        <f>'Activity data'!BC71*UDCPPEF*NtoN2O*kgtoGg</f>
        <v>0</v>
      </c>
      <c r="BD112" s="22">
        <f>'Activity data'!BD71*UDCPPEF*NtoN2O*kgtoGg</f>
        <v>0</v>
      </c>
      <c r="BE112" s="22">
        <f>'Activity data'!BE71*UDCPPEF*NtoN2O*kgtoGg</f>
        <v>0</v>
      </c>
      <c r="BF112" s="22">
        <f>'Activity data'!BF71*UDCPPEF*NtoN2O*kgtoGg</f>
        <v>0</v>
      </c>
      <c r="BG112" s="22">
        <f>'Activity data'!BG71*UDCPPEF*NtoN2O*kgtoGg</f>
        <v>0</v>
      </c>
      <c r="BH112" s="22">
        <f>'Activity data'!BH71*UDCPPEF*NtoN2O*kgtoGg</f>
        <v>0</v>
      </c>
      <c r="BI112" s="22">
        <f>'Activity data'!BI71*UDCPPEF*NtoN2O*kgtoGg</f>
        <v>0</v>
      </c>
      <c r="BJ112" s="22">
        <f>'Activity data'!BJ71*UDCPPEF*NtoN2O*kgtoGg</f>
        <v>0</v>
      </c>
      <c r="BK112" s="22">
        <f>'Activity data'!BK71*UDCPPEF*NtoN2O*kgtoGg</f>
        <v>0</v>
      </c>
      <c r="BL112" s="22">
        <f>'Activity data'!BL71*UDCPPEF*NtoN2O*kgtoGg</f>
        <v>0</v>
      </c>
      <c r="BM112" s="22">
        <f>'Activity data'!BM71*UDCPPEF*NtoN2O*kgtoGg</f>
        <v>0</v>
      </c>
      <c r="BN112" s="22">
        <f>'Activity data'!BN71*UDCPPEF*NtoN2O*kgtoGg</f>
        <v>0</v>
      </c>
      <c r="BO112" s="22">
        <f>'Activity data'!BO71*UDCPPEF*NtoN2O*kgtoGg</f>
        <v>0</v>
      </c>
      <c r="BP112" s="22">
        <f>'Activity data'!BP71*UDCPPEF*NtoN2O*kgtoGg</f>
        <v>0</v>
      </c>
    </row>
    <row r="113" spans="1:68" x14ac:dyDescent="0.3">
      <c r="A113" t="str">
        <f t="shared" si="29"/>
        <v>3C Aggregated and non-CO2 emissions on land</v>
      </c>
      <c r="B113" t="str">
        <f t="shared" si="31"/>
        <v>3C4 Direct N2O from managed soils (N2O)</v>
      </c>
      <c r="C113" t="s">
        <v>422</v>
      </c>
      <c r="D113" t="str">
        <f t="shared" si="38"/>
        <v xml:space="preserve"> - Commercial sheep</v>
      </c>
      <c r="E113" t="str">
        <f t="shared" si="32"/>
        <v>U&amp;D emissions - Commercial sheep</v>
      </c>
      <c r="F113" t="str">
        <f t="shared" si="36"/>
        <v>N2O</v>
      </c>
      <c r="G113" t="str">
        <f t="shared" si="37"/>
        <v>Gg N2O</v>
      </c>
      <c r="H113" s="22">
        <f>'Activity data'!H72*UDSOEF*NtoN2O*kgtoGg</f>
        <v>9.1437692552590502</v>
      </c>
      <c r="I113" s="22">
        <f>'Activity data'!I72*UDSOEF*NtoN2O*kgtoGg</f>
        <v>8.7326214199046639</v>
      </c>
      <c r="J113" s="22">
        <f>'Activity data'!J72*UDSOEF*NtoN2O*kgtoGg</f>
        <v>8.371799543625551</v>
      </c>
      <c r="K113" s="22">
        <f>'Activity data'!K72*UDSOEF*NtoN2O*kgtoGg</f>
        <v>7.8294992088628641</v>
      </c>
      <c r="L113" s="22">
        <f>'Activity data'!L72*UDSOEF*NtoN2O*kgtoGg</f>
        <v>7.8847052609393824</v>
      </c>
      <c r="M113" s="22">
        <f>'Activity data'!M72*UDSOEF*NtoN2O*kgtoGg</f>
        <v>7.7718531102857282</v>
      </c>
      <c r="N113" s="22">
        <f>'Activity data'!N72*UDSOEF*NtoN2O*kgtoGg</f>
        <v>7.7977786043548116</v>
      </c>
      <c r="O113" s="22">
        <f>'Activity data'!O72*UDSOEF*NtoN2O*kgtoGg</f>
        <v>7.6281953725617546</v>
      </c>
      <c r="P113" s="22">
        <f>'Activity data'!P72*UDSOEF*NtoN2O*kgtoGg</f>
        <v>7.6492407736295975</v>
      </c>
      <c r="Q113" s="22">
        <f>'Activity data'!Q72*UDSOEF*NtoN2O*kgtoGg</f>
        <v>7.4613571930818949</v>
      </c>
      <c r="R113" s="22">
        <f>'Activity data'!R72*UDSOEF*NtoN2O*kgtoGg</f>
        <v>7.1938670954514805</v>
      </c>
      <c r="S113" s="22">
        <f>'Activity data'!S72*UDSOEF*NtoN2O*kgtoGg</f>
        <v>7.0145236776559479</v>
      </c>
      <c r="T113" s="22">
        <f>'Activity data'!T72*UDSOEF*NtoN2O*kgtoGg</f>
        <v>6.89740144562621</v>
      </c>
      <c r="U113" s="22">
        <f>'Activity data'!U72*UDSOEF*NtoN2O*kgtoGg</f>
        <v>6.9214969048198283</v>
      </c>
      <c r="V113" s="22">
        <f>'Activity data'!V72*UDSOEF*NtoN2O*kgtoGg</f>
        <v>6.7982745565385434</v>
      </c>
      <c r="W113" s="22">
        <f>'Activity data'!W72*UDSOEF*NtoN2O*kgtoGg</f>
        <v>6.7821092484719374</v>
      </c>
      <c r="X113" s="22">
        <f>'Activity data'!X72*UDSOEF*NtoN2O*kgtoGg</f>
        <v>6.6933525570119041</v>
      </c>
      <c r="Y113" s="22">
        <f>'Activity data'!Y72*UDSOEF*NtoN2O*kgtoGg</f>
        <v>6.6869474349477782</v>
      </c>
      <c r="Z113" s="22">
        <f>'Activity data'!Z72*UDSOEF*NtoN2O*kgtoGg</f>
        <v>6.7086028476407771</v>
      </c>
      <c r="AA113" s="22">
        <f>'Activity data'!AA72*UDSOEF*NtoN2O*kgtoGg</f>
        <v>6.6848123942597351</v>
      </c>
      <c r="AB113" s="22">
        <f>'Activity data'!AB72*UDSOEF*NtoN2O*kgtoGg</f>
        <v>6.5554899297269005</v>
      </c>
      <c r="AC113" s="22">
        <f>'Activity data'!AC72*UDSOEF*NtoN2O*kgtoGg</f>
        <v>6.5042489532138905</v>
      </c>
      <c r="AD113" s="22">
        <f>'Activity data'!AD72*UDSOEF*NtoN2O*kgtoGg</f>
        <v>5.8008217784478333</v>
      </c>
      <c r="AE113" s="22">
        <f>'Activity data'!AE72*UDSOEF*NtoN2O*kgtoGg</f>
        <v>5.8039582643251126</v>
      </c>
      <c r="AF113" s="22">
        <f>'Activity data'!AF72*UDSOEF*NtoN2O*kgtoGg</f>
        <v>5.8114574843873825</v>
      </c>
      <c r="AG113" s="22">
        <f>'Activity data'!AG72*UDSOEF*NtoN2O*kgtoGg</f>
        <v>5.8225151444828054</v>
      </c>
      <c r="AH113" s="22">
        <f>'Activity data'!AH72*UDSOEF*NtoN2O*kgtoGg</f>
        <v>5.8370609765606929</v>
      </c>
      <c r="AI113" s="22">
        <f>'Activity data'!AI72*UDSOEF*NtoN2O*kgtoGg</f>
        <v>5.8549413826537444</v>
      </c>
      <c r="AJ113" s="22">
        <f>'Activity data'!AJ72*UDSOEF*NtoN2O*kgtoGg</f>
        <v>5.8750235193024203</v>
      </c>
      <c r="AK113" s="22">
        <f>'Activity data'!AK72*UDSOEF*NtoN2O*kgtoGg</f>
        <v>5.8971806009067276</v>
      </c>
      <c r="AL113" s="22">
        <f>'Activity data'!AL72*UDSOEF*NtoN2O*kgtoGg</f>
        <v>5.917442032162775</v>
      </c>
      <c r="AM113" s="22">
        <f>'Activity data'!AM72*UDSOEF*NtoN2O*kgtoGg</f>
        <v>5.9263453955781369</v>
      </c>
      <c r="AN113" s="22">
        <f>'Activity data'!AN72*UDSOEF*NtoN2O*kgtoGg</f>
        <v>5.9372183150377431</v>
      </c>
      <c r="AO113" s="22">
        <f>'Activity data'!AO72*UDSOEF*NtoN2O*kgtoGg</f>
        <v>5.9486466020913653</v>
      </c>
      <c r="AP113" s="22">
        <f>'Activity data'!AP72*UDSOEF*NtoN2O*kgtoGg</f>
        <v>5.9614772941302494</v>
      </c>
      <c r="AQ113" s="22">
        <f>'Activity data'!AQ72*UDSOEF*NtoN2O*kgtoGg</f>
        <v>5.975674490624324</v>
      </c>
      <c r="AR113" s="22">
        <f>'Activity data'!AR72*UDSOEF*NtoN2O*kgtoGg</f>
        <v>5.984540997272453</v>
      </c>
      <c r="AS113" s="22">
        <f>'Activity data'!AS72*UDSOEF*NtoN2O*kgtoGg</f>
        <v>5.9945579021556687</v>
      </c>
      <c r="AT113" s="22">
        <f>'Activity data'!AT72*UDSOEF*NtoN2O*kgtoGg</f>
        <v>6.0055898546708475</v>
      </c>
      <c r="AU113" s="22">
        <f>'Activity data'!AU72*UDSOEF*NtoN2O*kgtoGg</f>
        <v>6.0176671888041211</v>
      </c>
      <c r="AV113" s="22">
        <f>'Activity data'!AV72*UDSOEF*NtoN2O*kgtoGg</f>
        <v>6.030665248312749</v>
      </c>
      <c r="AW113" s="22">
        <f>'Activity data'!AW72*UDSOEF*NtoN2O*kgtoGg</f>
        <v>6.0393845451591259</v>
      </c>
      <c r="AX113" s="22">
        <f>'Activity data'!AX72*UDSOEF*NtoN2O*kgtoGg</f>
        <v>6.0488503325285592</v>
      </c>
      <c r="AY113" s="22">
        <f>'Activity data'!AY72*UDSOEF*NtoN2O*kgtoGg</f>
        <v>6.0591386998485763</v>
      </c>
      <c r="AZ113" s="22">
        <f>'Activity data'!AZ72*UDSOEF*NtoN2O*kgtoGg</f>
        <v>6.0703500781796258</v>
      </c>
      <c r="BA113" s="22">
        <f>'Activity data'!BA72*UDSOEF*NtoN2O*kgtoGg</f>
        <v>6.0821478127419235</v>
      </c>
      <c r="BB113" s="22">
        <f>'Activity data'!BB72*UDSOEF*NtoN2O*kgtoGg</f>
        <v>6.0896888871649706</v>
      </c>
      <c r="BC113" s="22">
        <f>'Activity data'!BC72*UDSOEF*NtoN2O*kgtoGg</f>
        <v>6.0979488793317644</v>
      </c>
      <c r="BD113" s="22">
        <f>'Activity data'!BD72*UDSOEF*NtoN2O*kgtoGg</f>
        <v>6.1066553574494229</v>
      </c>
      <c r="BE113" s="22">
        <f>'Activity data'!BE72*UDSOEF*NtoN2O*kgtoGg</f>
        <v>6.1159010108536567</v>
      </c>
      <c r="BF113" s="22">
        <f>'Activity data'!BF72*UDSOEF*NtoN2O*kgtoGg</f>
        <v>6.1256718211091643</v>
      </c>
      <c r="BG113" s="22">
        <f>'Activity data'!BG72*UDSOEF*NtoN2O*kgtoGg</f>
        <v>6.1314451386260842</v>
      </c>
      <c r="BH113" s="22">
        <f>'Activity data'!BH72*UDSOEF*NtoN2O*kgtoGg</f>
        <v>6.1376082251338753</v>
      </c>
      <c r="BI113" s="22">
        <f>'Activity data'!BI72*UDSOEF*NtoN2O*kgtoGg</f>
        <v>6.1442934501067121</v>
      </c>
      <c r="BJ113" s="22">
        <f>'Activity data'!BJ72*UDSOEF*NtoN2O*kgtoGg</f>
        <v>6.1514943503502693</v>
      </c>
      <c r="BK113" s="22">
        <f>'Activity data'!BK72*UDSOEF*NtoN2O*kgtoGg</f>
        <v>6.1592107766386786</v>
      </c>
      <c r="BL113" s="22">
        <f>'Activity data'!BL72*UDSOEF*NtoN2O*kgtoGg</f>
        <v>6.1627115342701337</v>
      </c>
      <c r="BM113" s="22">
        <f>'Activity data'!BM72*UDSOEF*NtoN2O*kgtoGg</f>
        <v>6.1649675411239766</v>
      </c>
      <c r="BN113" s="22">
        <f>'Activity data'!BN72*UDSOEF*NtoN2O*kgtoGg</f>
        <v>6.1674405510086165</v>
      </c>
      <c r="BO113" s="22">
        <f>'Activity data'!BO72*UDSOEF*NtoN2O*kgtoGg</f>
        <v>6.1700527124926303</v>
      </c>
      <c r="BP113" s="22">
        <f>'Activity data'!BP72*UDSOEF*NtoN2O*kgtoGg</f>
        <v>6.1729463171150929</v>
      </c>
    </row>
    <row r="114" spans="1:68" x14ac:dyDescent="0.3">
      <c r="A114" t="str">
        <f t="shared" si="29"/>
        <v>3C Aggregated and non-CO2 emissions on land</v>
      </c>
      <c r="B114" t="str">
        <f t="shared" si="31"/>
        <v>3C4 Direct N2O from managed soils (N2O)</v>
      </c>
      <c r="C114" t="s">
        <v>422</v>
      </c>
      <c r="D114" t="str">
        <f t="shared" si="38"/>
        <v xml:space="preserve"> - Subsistence sheep</v>
      </c>
      <c r="E114" t="str">
        <f t="shared" si="32"/>
        <v>U&amp;D emissions - Subsistence sheep</v>
      </c>
      <c r="F114" t="str">
        <f t="shared" si="36"/>
        <v>N2O</v>
      </c>
      <c r="G114" t="str">
        <f t="shared" si="37"/>
        <v>Gg N2O</v>
      </c>
      <c r="H114" s="22">
        <f>'Activity data'!H73*UDSOEF*NtoN2O*kgtoGg</f>
        <v>0.95332401035894265</v>
      </c>
      <c r="I114" s="22">
        <f>'Activity data'!I73*UDSOEF*NtoN2O*kgtoGg</f>
        <v>0.9104579786045861</v>
      </c>
      <c r="J114" s="22">
        <f>'Activity data'!J73*UDSOEF*NtoN2O*kgtoGg</f>
        <v>0.87283890177565138</v>
      </c>
      <c r="K114" s="22">
        <f>'Activity data'!K73*UDSOEF*NtoN2O*kgtoGg</f>
        <v>0.81629898748837704</v>
      </c>
      <c r="L114" s="22">
        <f>'Activity data'!L73*UDSOEF*NtoN2O*kgtoGg</f>
        <v>0.82205473804293083</v>
      </c>
      <c r="M114" s="22">
        <f>'Activity data'!M73*UDSOEF*NtoN2O*kgtoGg</f>
        <v>0.8102888391192572</v>
      </c>
      <c r="N114" s="22">
        <f>'Activity data'!N73*UDSOEF*NtoN2O*kgtoGg</f>
        <v>0.81299181589902014</v>
      </c>
      <c r="O114" s="22">
        <f>'Activity data'!O73*UDSOEF*NtoN2O*kgtoGg</f>
        <v>0.79531116778668909</v>
      </c>
      <c r="P114" s="22">
        <f>'Activity data'!P73*UDSOEF*NtoN2O*kgtoGg</f>
        <v>0.79750534893732261</v>
      </c>
      <c r="Q114" s="22">
        <f>'Activity data'!Q73*UDSOEF*NtoN2O*kgtoGg</f>
        <v>0.77791671721574718</v>
      </c>
      <c r="R114" s="22">
        <f>'Activity data'!R73*UDSOEF*NtoN2O*kgtoGg</f>
        <v>0.75002835679395885</v>
      </c>
      <c r="S114" s="22">
        <f>'Activity data'!S73*UDSOEF*NtoN2O*kgtoGg</f>
        <v>0.73133011742336396</v>
      </c>
      <c r="T114" s="22">
        <f>'Activity data'!T73*UDSOEF*NtoN2O*kgtoGg</f>
        <v>0.71911902232420011</v>
      </c>
      <c r="U114" s="22">
        <f>'Activity data'!U73*UDSOEF*NtoN2O*kgtoGg</f>
        <v>0.72163120074303855</v>
      </c>
      <c r="V114" s="22">
        <f>'Activity data'!V73*UDSOEF*NtoN2O*kgtoGg</f>
        <v>0.70878411110745976</v>
      </c>
      <c r="W114" s="22">
        <f>'Activity data'!W73*UDSOEF*NtoN2O*kgtoGg</f>
        <v>0.70709872558596065</v>
      </c>
      <c r="X114" s="22">
        <f>'Activity data'!X73*UDSOEF*NtoN2O*kgtoGg</f>
        <v>0.69784500508112535</v>
      </c>
      <c r="Y114" s="22">
        <f>'Activity data'!Y73*UDSOEF*NtoN2O*kgtoGg</f>
        <v>0.69717721081788997</v>
      </c>
      <c r="Z114" s="22">
        <f>'Activity data'!Z73*UDSOEF*NtoN2O*kgtoGg</f>
        <v>0.69943499142216237</v>
      </c>
      <c r="AA114" s="22">
        <f>'Activity data'!AA73*UDSOEF*NtoN2O*kgtoGg</f>
        <v>0.6969546127301447</v>
      </c>
      <c r="AB114" s="22">
        <f>'Activity data'!AB73*UDSOEF*NtoN2O*kgtoGg</f>
        <v>0.68347152855815141</v>
      </c>
      <c r="AC114" s="22">
        <f>'Activity data'!AC73*UDSOEF*NtoN2O*kgtoGg</f>
        <v>0.67812917445226706</v>
      </c>
      <c r="AD114" s="22">
        <f>'Activity data'!AD73*UDSOEF*NtoN2O*kgtoGg</f>
        <v>0.6475429908430661</v>
      </c>
      <c r="AE114" s="22">
        <f>'Activity data'!AE73*UDSOEF*NtoN2O*kgtoGg</f>
        <v>0.64789311527772075</v>
      </c>
      <c r="AF114" s="22">
        <f>'Activity data'!AF73*UDSOEF*NtoN2O*kgtoGg</f>
        <v>0.64873024966549919</v>
      </c>
      <c r="AG114" s="22">
        <f>'Activity data'!AG73*UDSOEF*NtoN2O*kgtoGg</f>
        <v>0.64996461103073178</v>
      </c>
      <c r="AH114" s="22">
        <f>'Activity data'!AH73*UDSOEF*NtoN2O*kgtoGg</f>
        <v>0.65158835538416293</v>
      </c>
      <c r="AI114" s="22">
        <f>'Activity data'!AI73*UDSOEF*NtoN2O*kgtoGg</f>
        <v>0.65358433665736837</v>
      </c>
      <c r="AJ114" s="22">
        <f>'Activity data'!AJ73*UDSOEF*NtoN2O*kgtoGg</f>
        <v>0.65582609607089082</v>
      </c>
      <c r="AK114" s="22">
        <f>'Activity data'!AK73*UDSOEF*NtoN2O*kgtoGg</f>
        <v>0.65829948060818433</v>
      </c>
      <c r="AL114" s="22">
        <f>'Activity data'!AL73*UDSOEF*NtoN2O*kgtoGg</f>
        <v>0.66056125459390613</v>
      </c>
      <c r="AM114" s="22">
        <f>'Activity data'!AM73*UDSOEF*NtoN2O*kgtoGg</f>
        <v>0.6615551328399103</v>
      </c>
      <c r="AN114" s="22">
        <f>'Activity data'!AN73*UDSOEF*NtoN2O*kgtoGg</f>
        <v>0.6627688716953648</v>
      </c>
      <c r="AO114" s="22">
        <f>'Activity data'!AO73*UDSOEF*NtoN2O*kgtoGg</f>
        <v>0.66404460597260306</v>
      </c>
      <c r="AP114" s="22">
        <f>'Activity data'!AP73*UDSOEF*NtoN2O*kgtoGg</f>
        <v>0.6654768900548883</v>
      </c>
      <c r="AQ114" s="22">
        <f>'Activity data'!AQ73*UDSOEF*NtoN2O*kgtoGg</f>
        <v>0.66706171638303324</v>
      </c>
      <c r="AR114" s="22">
        <f>'Activity data'!AR73*UDSOEF*NtoN2O*kgtoGg</f>
        <v>0.66805148032554751</v>
      </c>
      <c r="AS114" s="22">
        <f>'Activity data'!AS73*UDSOEF*NtoN2O*kgtoGg</f>
        <v>0.66916966267880784</v>
      </c>
      <c r="AT114" s="22">
        <f>'Activity data'!AT73*UDSOEF*NtoN2O*kgtoGg</f>
        <v>0.67040115431901948</v>
      </c>
      <c r="AU114" s="22">
        <f>'Activity data'!AU73*UDSOEF*NtoN2O*kgtoGg</f>
        <v>0.67174934141470444</v>
      </c>
      <c r="AV114" s="22">
        <f>'Activity data'!AV73*UDSOEF*NtoN2O*kgtoGg</f>
        <v>0.67320030864845803</v>
      </c>
      <c r="AW114" s="22">
        <f>'Activity data'!AW73*UDSOEF*NtoN2O*kgtoGg</f>
        <v>0.67417363963044585</v>
      </c>
      <c r="AX114" s="22">
        <f>'Activity data'!AX73*UDSOEF*NtoN2O*kgtoGg</f>
        <v>0.67523030099636827</v>
      </c>
      <c r="AY114" s="22">
        <f>'Activity data'!AY73*UDSOEF*NtoN2O*kgtoGg</f>
        <v>0.67637878657302375</v>
      </c>
      <c r="AZ114" s="22">
        <f>'Activity data'!AZ73*UDSOEF*NtoN2O*kgtoGg</f>
        <v>0.67763030743217745</v>
      </c>
      <c r="BA114" s="22">
        <f>'Activity data'!BA73*UDSOEF*NtoN2O*kgtoGg</f>
        <v>0.67894728296002871</v>
      </c>
      <c r="BB114" s="22">
        <f>'Activity data'!BB73*UDSOEF*NtoN2O*kgtoGg</f>
        <v>0.67978908953029982</v>
      </c>
      <c r="BC114" s="22">
        <f>'Activity data'!BC73*UDSOEF*NtoN2O*kgtoGg</f>
        <v>0.68071114854819625</v>
      </c>
      <c r="BD114" s="22">
        <f>'Activity data'!BD73*UDSOEF*NtoN2O*kgtoGg</f>
        <v>0.68168304858156126</v>
      </c>
      <c r="BE114" s="22">
        <f>'Activity data'!BE73*UDSOEF*NtoN2O*kgtoGg</f>
        <v>0.68271513649709059</v>
      </c>
      <c r="BF114" s="22">
        <f>'Activity data'!BF73*UDSOEF*NtoN2O*kgtoGg</f>
        <v>0.68380584742348371</v>
      </c>
      <c r="BG114" s="22">
        <f>'Activity data'!BG73*UDSOEF*NtoN2O*kgtoGg</f>
        <v>0.68445032012662432</v>
      </c>
      <c r="BH114" s="22">
        <f>'Activity data'!BH73*UDSOEF*NtoN2O*kgtoGg</f>
        <v>0.68513830255782171</v>
      </c>
      <c r="BI114" s="22">
        <f>'Activity data'!BI73*UDSOEF*NtoN2O*kgtoGg</f>
        <v>0.6858845710588557</v>
      </c>
      <c r="BJ114" s="22">
        <f>'Activity data'!BJ73*UDSOEF*NtoN2O*kgtoGg</f>
        <v>0.6866884041464022</v>
      </c>
      <c r="BK114" s="22">
        <f>'Activity data'!BK73*UDSOEF*NtoN2O*kgtoGg</f>
        <v>0.68754978516244758</v>
      </c>
      <c r="BL114" s="22">
        <f>'Activity data'!BL73*UDSOEF*NtoN2O*kgtoGg</f>
        <v>0.6879405730806889</v>
      </c>
      <c r="BM114" s="22">
        <f>'Activity data'!BM73*UDSOEF*NtoN2O*kgtoGg</f>
        <v>0.68819241005849918</v>
      </c>
      <c r="BN114" s="22">
        <f>'Activity data'!BN73*UDSOEF*NtoN2O*kgtoGg</f>
        <v>0.68846847098197617</v>
      </c>
      <c r="BO114" s="22">
        <f>'Activity data'!BO73*UDSOEF*NtoN2O*kgtoGg</f>
        <v>0.68876006533266065</v>
      </c>
      <c r="BP114" s="22">
        <f>'Activity data'!BP73*UDSOEF*NtoN2O*kgtoGg</f>
        <v>0.68908307704774374</v>
      </c>
    </row>
    <row r="115" spans="1:68" x14ac:dyDescent="0.3">
      <c r="A115" t="str">
        <f t="shared" si="29"/>
        <v>3C Aggregated and non-CO2 emissions on land</v>
      </c>
      <c r="B115" t="str">
        <f t="shared" si="31"/>
        <v>3C4 Direct N2O from managed soils (N2O)</v>
      </c>
      <c r="C115" t="s">
        <v>422</v>
      </c>
      <c r="D115" t="str">
        <f t="shared" si="38"/>
        <v xml:space="preserve"> - Commercial goats</v>
      </c>
      <c r="E115" t="str">
        <f t="shared" si="32"/>
        <v>U&amp;D emissions - Commercial goats</v>
      </c>
      <c r="F115" t="str">
        <f t="shared" si="36"/>
        <v>N2O</v>
      </c>
      <c r="G115" t="str">
        <f t="shared" si="37"/>
        <v>Gg N2O</v>
      </c>
      <c r="H115" s="22">
        <f>'Activity data'!H74*UDSOEF*NtoN2O*kgtoGg</f>
        <v>0.9618222082748461</v>
      </c>
      <c r="I115" s="22">
        <f>'Activity data'!I74*UDSOEF*NtoN2O*kgtoGg</f>
        <v>0.85052266650980479</v>
      </c>
      <c r="J115" s="22">
        <f>'Activity data'!J74*UDSOEF*NtoN2O*kgtoGg</f>
        <v>0.79227243904398814</v>
      </c>
      <c r="K115" s="22">
        <f>'Activity data'!K74*UDSOEF*NtoN2O*kgtoGg</f>
        <v>0.74858476844462585</v>
      </c>
      <c r="L115" s="22">
        <f>'Activity data'!L74*UDSOEF*NtoN2O*kgtoGg</f>
        <v>0.81030227135483579</v>
      </c>
      <c r="M115" s="22">
        <f>'Activity data'!M74*UDSOEF*NtoN2O*kgtoGg</f>
        <v>0.82139755277689641</v>
      </c>
      <c r="N115" s="22">
        <f>'Activity data'!N74*UDSOEF*NtoN2O*kgtoGg</f>
        <v>0.83422647192115318</v>
      </c>
      <c r="O115" s="22">
        <f>'Activity data'!O74*UDSOEF*NtoN2O*kgtoGg</f>
        <v>0.83006574138788081</v>
      </c>
      <c r="P115" s="22">
        <f>'Activity data'!P74*UDSOEF*NtoN2O*kgtoGg</f>
        <v>0.81827700487694188</v>
      </c>
      <c r="Q115" s="22">
        <f>'Activity data'!Q74*UDSOEF*NtoN2O*kgtoGg</f>
        <v>0.80614154082156364</v>
      </c>
      <c r="R115" s="22">
        <f>'Activity data'!R74*UDSOEF*NtoN2O*kgtoGg</f>
        <v>0.81654336715474485</v>
      </c>
      <c r="S115" s="22">
        <f>'Activity data'!S74*UDSOEF*NtoN2O*kgtoGg</f>
        <v>0.84150775035438052</v>
      </c>
      <c r="T115" s="22">
        <f>'Activity data'!T74*UDSOEF*NtoN2O*kgtoGg</f>
        <v>0.76834823847767098</v>
      </c>
      <c r="U115" s="22">
        <f>'Activity data'!U74*UDSOEF*NtoN2O*kgtoGg</f>
        <v>0.7489314959890655</v>
      </c>
      <c r="V115" s="22">
        <f>'Activity data'!V74*UDSOEF*NtoN2O*kgtoGg</f>
        <v>0.75031840616682322</v>
      </c>
      <c r="W115" s="22">
        <f>'Activity data'!W74*UDSOEF*NtoN2O*kgtoGg</f>
        <v>0.74061003492252009</v>
      </c>
      <c r="X115" s="22">
        <f>'Activity data'!X74*UDSOEF*NtoN2O*kgtoGg</f>
        <v>0.75621277442229229</v>
      </c>
      <c r="Y115" s="22">
        <f>'Activity data'!Y74*UDSOEF*NtoN2O*kgtoGg</f>
        <v>0.73367548403373262</v>
      </c>
      <c r="Z115" s="22">
        <f>'Activity data'!Z74*UDSOEF*NtoN2O*kgtoGg</f>
        <v>0.73298202894485398</v>
      </c>
      <c r="AA115" s="22">
        <f>'Activity data'!AA74*UDSOEF*NtoN2O*kgtoGg</f>
        <v>0.72015310980059655</v>
      </c>
      <c r="AB115" s="22">
        <f>'Activity data'!AB74*UDSOEF*NtoN2O*kgtoGg</f>
        <v>0.71148492118961226</v>
      </c>
      <c r="AC115" s="22">
        <f>'Activity data'!AC74*UDSOEF*NtoN2O*kgtoGg</f>
        <v>0.704897097845264</v>
      </c>
      <c r="AD115" s="22">
        <f>'Activity data'!AD74*UDSOEF*NtoN2O*kgtoGg</f>
        <v>0.71706343480611268</v>
      </c>
      <c r="AE115" s="22">
        <f>'Activity data'!AE74*UDSOEF*NtoN2O*kgtoGg</f>
        <v>0.71892745361392807</v>
      </c>
      <c r="AF115" s="22">
        <f>'Activity data'!AF74*UDSOEF*NtoN2O*kgtoGg</f>
        <v>0.72149880168720626</v>
      </c>
      <c r="AG115" s="22">
        <f>'Activity data'!AG74*UDSOEF*NtoN2O*kgtoGg</f>
        <v>0.72463138273575978</v>
      </c>
      <c r="AH115" s="22">
        <f>'Activity data'!AH74*UDSOEF*NtoN2O*kgtoGg</f>
        <v>0.72832072886952293</v>
      </c>
      <c r="AI115" s="22">
        <f>'Activity data'!AI74*UDSOEF*NtoN2O*kgtoGg</f>
        <v>0.7325443847928953</v>
      </c>
      <c r="AJ115" s="22">
        <f>'Activity data'!AJ74*UDSOEF*NtoN2O*kgtoGg</f>
        <v>0.73708994755228441</v>
      </c>
      <c r="AK115" s="22">
        <f>'Activity data'!AK74*UDSOEF*NtoN2O*kgtoGg</f>
        <v>0.74193942345928476</v>
      </c>
      <c r="AL115" s="22">
        <f>'Activity data'!AL74*UDSOEF*NtoN2O*kgtoGg</f>
        <v>0.74633734890279979</v>
      </c>
      <c r="AM115" s="22">
        <f>'Activity data'!AM74*UDSOEF*NtoN2O*kgtoGg</f>
        <v>0.7484855631491526</v>
      </c>
      <c r="AN115" s="22">
        <f>'Activity data'!AN74*UDSOEF*NtoN2O*kgtoGg</f>
        <v>0.75094789604401424</v>
      </c>
      <c r="AO115" s="22">
        <f>'Activity data'!AO74*UDSOEF*NtoN2O*kgtoGg</f>
        <v>0.7534578797366237</v>
      </c>
      <c r="AP115" s="22">
        <f>'Activity data'!AP74*UDSOEF*NtoN2O*kgtoGg</f>
        <v>0.75618014560841795</v>
      </c>
      <c r="AQ115" s="22">
        <f>'Activity data'!AQ74*UDSOEF*NtoN2O*kgtoGg</f>
        <v>0.75911019457510998</v>
      </c>
      <c r="AR115" s="22">
        <f>'Activity data'!AR74*UDSOEF*NtoN2O*kgtoGg</f>
        <v>0.76098529780205848</v>
      </c>
      <c r="AS115" s="22">
        <f>'Activity data'!AS74*UDSOEF*NtoN2O*kgtoGg</f>
        <v>0.76303676473265736</v>
      </c>
      <c r="AT115" s="22">
        <f>'Activity data'!AT74*UDSOEF*NtoN2O*kgtoGg</f>
        <v>0.7652406009428746</v>
      </c>
      <c r="AU115" s="22">
        <f>'Activity data'!AU74*UDSOEF*NtoN2O*kgtoGg</f>
        <v>0.76760388311939587</v>
      </c>
      <c r="AV115" s="22">
        <f>'Activity data'!AV74*UDSOEF*NtoN2O*kgtoGg</f>
        <v>0.77010442048860683</v>
      </c>
      <c r="AW115" s="22">
        <f>'Activity data'!AW74*UDSOEF*NtoN2O*kgtoGg</f>
        <v>0.77177199510986771</v>
      </c>
      <c r="AX115" s="22">
        <f>'Activity data'!AX74*UDSOEF*NtoN2O*kgtoGg</f>
        <v>0.773550364220007</v>
      </c>
      <c r="AY115" s="22">
        <f>'Activity data'!AY74*UDSOEF*NtoN2O*kgtoGg</f>
        <v>0.77545458075511842</v>
      </c>
      <c r="AZ115" s="22">
        <f>'Activity data'!AZ74*UDSOEF*NtoN2O*kgtoGg</f>
        <v>0.77750398529137599</v>
      </c>
      <c r="BA115" s="22">
        <f>'Activity data'!BA74*UDSOEF*NtoN2O*kgtoGg</f>
        <v>0.77963666315118907</v>
      </c>
      <c r="BB115" s="22">
        <f>'Activity data'!BB74*UDSOEF*NtoN2O*kgtoGg</f>
        <v>0.78095748542095478</v>
      </c>
      <c r="BC115" s="22">
        <f>'Activity data'!BC74*UDSOEF*NtoN2O*kgtoGg</f>
        <v>0.78239081807371291</v>
      </c>
      <c r="BD115" s="22">
        <f>'Activity data'!BD74*UDSOEF*NtoN2O*kgtoGg</f>
        <v>0.78388681169292429</v>
      </c>
      <c r="BE115" s="22">
        <f>'Activity data'!BE74*UDSOEF*NtoN2O*kgtoGg</f>
        <v>0.78546308863746028</v>
      </c>
      <c r="BF115" s="22">
        <f>'Activity data'!BF74*UDSOEF*NtoN2O*kgtoGg</f>
        <v>0.78711749076594029</v>
      </c>
      <c r="BG115" s="22">
        <f>'Activity data'!BG74*UDSOEF*NtoN2O*kgtoGg</f>
        <v>0.7880213548905175</v>
      </c>
      <c r="BH115" s="22">
        <f>'Activity data'!BH74*UDSOEF*NtoN2O*kgtoGg</f>
        <v>0.7889821600969783</v>
      </c>
      <c r="BI115" s="22">
        <f>'Activity data'!BI74*UDSOEF*NtoN2O*kgtoGg</f>
        <v>0.7900244330710835</v>
      </c>
      <c r="BJ115" s="22">
        <f>'Activity data'!BJ74*UDSOEF*NtoN2O*kgtoGg</f>
        <v>0.79114717839494386</v>
      </c>
      <c r="BK115" s="22">
        <f>'Activity data'!BK74*UDSOEF*NtoN2O*kgtoGg</f>
        <v>0.79235052559003472</v>
      </c>
      <c r="BL115" s="22">
        <f>'Activity data'!BL74*UDSOEF*NtoN2O*kgtoGg</f>
        <v>0.79277466874731783</v>
      </c>
      <c r="BM115" s="22">
        <f>'Activity data'!BM74*UDSOEF*NtoN2O*kgtoGg</f>
        <v>0.79296303081990593</v>
      </c>
      <c r="BN115" s="22">
        <f>'Activity data'!BN74*UDSOEF*NtoN2O*kgtoGg</f>
        <v>0.79318200303032371</v>
      </c>
      <c r="BO115" s="22">
        <f>'Activity data'!BO74*UDSOEF*NtoN2O*kgtoGg</f>
        <v>0.79341774382528896</v>
      </c>
      <c r="BP115" s="22">
        <f>'Activity data'!BP74*UDSOEF*NtoN2O*kgtoGg</f>
        <v>0.79369623394189648</v>
      </c>
    </row>
    <row r="116" spans="1:68" x14ac:dyDescent="0.3">
      <c r="A116" t="str">
        <f t="shared" si="29"/>
        <v>3C Aggregated and non-CO2 emissions on land</v>
      </c>
      <c r="B116" t="str">
        <f t="shared" si="31"/>
        <v>3C4 Direct N2O from managed soils (N2O)</v>
      </c>
      <c r="C116" t="s">
        <v>422</v>
      </c>
      <c r="D116" t="str">
        <f t="shared" si="38"/>
        <v xml:space="preserve"> - Subsistence goats</v>
      </c>
      <c r="E116" t="str">
        <f t="shared" si="32"/>
        <v>U&amp;D emissions - Subsistence goats</v>
      </c>
      <c r="F116" t="str">
        <f t="shared" si="36"/>
        <v>N2O</v>
      </c>
      <c r="G116" t="str">
        <f t="shared" si="37"/>
        <v>Gg N2O</v>
      </c>
      <c r="H116" s="22">
        <f>'Activity data'!H75*UDSOEF*NtoN2O*kgtoGg</f>
        <v>1.619719745746157</v>
      </c>
      <c r="I116" s="22">
        <f>'Activity data'!I75*UDSOEF*NtoN2O*kgtoGg</f>
        <v>1.4322900275109314</v>
      </c>
      <c r="J116" s="22">
        <f>'Activity data'!J75*UDSOEF*NtoN2O*kgtoGg</f>
        <v>1.334195969369131</v>
      </c>
      <c r="K116" s="22">
        <f>'Activity data'!K75*UDSOEF*NtoN2O*kgtoGg</f>
        <v>1.2606254257627807</v>
      </c>
      <c r="L116" s="22">
        <f>'Activity data'!L75*UDSOEF*NtoN2O*kgtoGg</f>
        <v>1.3645584159368309</v>
      </c>
      <c r="M116" s="22">
        <f>'Activity data'!M75*UDSOEF*NtoN2O*kgtoGg</f>
        <v>1.3832429984400314</v>
      </c>
      <c r="N116" s="22">
        <f>'Activity data'!N75*UDSOEF*NtoN2O*kgtoGg</f>
        <v>1.4048470469593564</v>
      </c>
      <c r="O116" s="22">
        <f>'Activity data'!O75*UDSOEF*NtoN2O*kgtoGg</f>
        <v>1.3978403285206562</v>
      </c>
      <c r="P116" s="22">
        <f>'Activity data'!P75*UDSOEF*NtoN2O*kgtoGg</f>
        <v>1.3779879596110063</v>
      </c>
      <c r="Q116" s="22">
        <f>'Activity data'!Q75*UDSOEF*NtoN2O*kgtoGg</f>
        <v>1.3575516974981312</v>
      </c>
      <c r="R116" s="22">
        <f>'Activity data'!R75*UDSOEF*NtoN2O*kgtoGg</f>
        <v>1.3750684935948814</v>
      </c>
      <c r="S116" s="22">
        <f>'Activity data'!S75*UDSOEF*NtoN2O*kgtoGg</f>
        <v>1.4171088042270812</v>
      </c>
      <c r="T116" s="22">
        <f>'Activity data'!T75*UDSOEF*NtoN2O*kgtoGg</f>
        <v>1.2939073383466055</v>
      </c>
      <c r="U116" s="22">
        <f>'Activity data'!U75*UDSOEF*NtoN2O*kgtoGg</f>
        <v>1.2612093189660056</v>
      </c>
      <c r="V116" s="22">
        <f>'Activity data'!V75*UDSOEF*NtoN2O*kgtoGg</f>
        <v>1.2635448917789056</v>
      </c>
      <c r="W116" s="22">
        <f>'Activity data'!W75*UDSOEF*NtoN2O*kgtoGg</f>
        <v>1.2471958820886055</v>
      </c>
      <c r="X116" s="22">
        <f>'Activity data'!X75*UDSOEF*NtoN2O*kgtoGg</f>
        <v>1.2734710762337309</v>
      </c>
      <c r="Y116" s="22">
        <f>'Activity data'!Y75*UDSOEF*NtoN2O*kgtoGg</f>
        <v>1.2355180180241057</v>
      </c>
      <c r="Z116" s="22">
        <f>'Activity data'!Z75*UDSOEF*NtoN2O*kgtoGg</f>
        <v>1.2343502316176553</v>
      </c>
      <c r="AA116" s="22">
        <f>'Activity data'!AA75*UDSOEF*NtoN2O*kgtoGg</f>
        <v>1.2127461830983304</v>
      </c>
      <c r="AB116" s="22">
        <f>'Activity data'!AB75*UDSOEF*NtoN2O*kgtoGg</f>
        <v>1.1981488530177054</v>
      </c>
      <c r="AC116" s="22">
        <f>'Activity data'!AC75*UDSOEF*NtoN2O*kgtoGg</f>
        <v>1.1870548821564302</v>
      </c>
      <c r="AD116" s="22">
        <f>'Activity data'!AD75*UDSOEF*NtoN2O*kgtoGg</f>
        <v>1.1867254191644503</v>
      </c>
      <c r="AE116" s="22">
        <f>'Activity data'!AE75*UDSOEF*NtoN2O*kgtoGg</f>
        <v>1.1898103324282718</v>
      </c>
      <c r="AF116" s="22">
        <f>'Activity data'!AF75*UDSOEF*NtoN2O*kgtoGg</f>
        <v>1.194065861258722</v>
      </c>
      <c r="AG116" s="22">
        <f>'Activity data'!AG75*UDSOEF*NtoN2O*kgtoGg</f>
        <v>1.1992502192631385</v>
      </c>
      <c r="AH116" s="22">
        <f>'Activity data'!AH75*UDSOEF*NtoN2O*kgtoGg</f>
        <v>1.2053560121742171</v>
      </c>
      <c r="AI116" s="22">
        <f>'Activity data'!AI75*UDSOEF*NtoN2O*kgtoGg</f>
        <v>1.212346076933865</v>
      </c>
      <c r="AJ116" s="22">
        <f>'Activity data'!AJ75*UDSOEF*NtoN2O*kgtoGg</f>
        <v>1.2198688909683484</v>
      </c>
      <c r="AK116" s="22">
        <f>'Activity data'!AK75*UDSOEF*NtoN2O*kgtoGg</f>
        <v>1.2278946750888551</v>
      </c>
      <c r="AL116" s="22">
        <f>'Activity data'!AL75*UDSOEF*NtoN2O*kgtoGg</f>
        <v>1.2351731523644685</v>
      </c>
      <c r="AM116" s="22">
        <f>'Activity data'!AM75*UDSOEF*NtoN2O*kgtoGg</f>
        <v>1.2387284033063148</v>
      </c>
      <c r="AN116" s="22">
        <f>'Activity data'!AN75*UDSOEF*NtoN2O*kgtoGg</f>
        <v>1.2428035142308693</v>
      </c>
      <c r="AO116" s="22">
        <f>'Activity data'!AO75*UDSOEF*NtoN2O*kgtoGg</f>
        <v>1.2469574862577844</v>
      </c>
      <c r="AP116" s="22">
        <f>'Activity data'!AP75*UDSOEF*NtoN2O*kgtoGg</f>
        <v>1.2514627809792418</v>
      </c>
      <c r="AQ116" s="22">
        <f>'Activity data'!AQ75*UDSOEF*NtoN2O*kgtoGg</f>
        <v>1.2563119525021347</v>
      </c>
      <c r="AR116" s="22">
        <f>'Activity data'!AR75*UDSOEF*NtoN2O*kgtoGg</f>
        <v>1.2594152102544689</v>
      </c>
      <c r="AS116" s="22">
        <f>'Activity data'!AS75*UDSOEF*NtoN2O*kgtoGg</f>
        <v>1.2628103463539342</v>
      </c>
      <c r="AT116" s="22">
        <f>'Activity data'!AT75*UDSOEF*NtoN2O*kgtoGg</f>
        <v>1.2664576505161484</v>
      </c>
      <c r="AU116" s="22">
        <f>'Activity data'!AU75*UDSOEF*NtoN2O*kgtoGg</f>
        <v>1.2703688345138295</v>
      </c>
      <c r="AV116" s="22">
        <f>'Activity data'!AV75*UDSOEF*NtoN2O*kgtoGg</f>
        <v>1.2745071730673998</v>
      </c>
      <c r="AW116" s="22">
        <f>'Activity data'!AW75*UDSOEF*NtoN2O*kgtoGg</f>
        <v>1.2772669751927705</v>
      </c>
      <c r="AX116" s="22">
        <f>'Activity data'!AX75*UDSOEF*NtoN2O*kgtoGg</f>
        <v>1.2802101399467087</v>
      </c>
      <c r="AY116" s="22">
        <f>'Activity data'!AY75*UDSOEF*NtoN2O*kgtoGg</f>
        <v>1.2833615796326843</v>
      </c>
      <c r="AZ116" s="22">
        <f>'Activity data'!AZ75*UDSOEF*NtoN2O*kgtoGg</f>
        <v>1.2867533025114073</v>
      </c>
      <c r="BA116" s="22">
        <f>'Activity data'!BA75*UDSOEF*NtoN2O*kgtoGg</f>
        <v>1.2902828410491152</v>
      </c>
      <c r="BB116" s="22">
        <f>'Activity data'!BB75*UDSOEF*NtoN2O*kgtoGg</f>
        <v>1.2924687750762118</v>
      </c>
      <c r="BC116" s="22">
        <f>'Activity data'!BC75*UDSOEF*NtoN2O*kgtoGg</f>
        <v>1.2948409115017798</v>
      </c>
      <c r="BD116" s="22">
        <f>'Activity data'!BD75*UDSOEF*NtoN2O*kgtoGg</f>
        <v>1.2973167505540197</v>
      </c>
      <c r="BE116" s="22">
        <f>'Activity data'!BE75*UDSOEF*NtoN2O*kgtoGg</f>
        <v>1.2999254568789065</v>
      </c>
      <c r="BF116" s="22">
        <f>'Activity data'!BF75*UDSOEF*NtoN2O*kgtoGg</f>
        <v>1.3026634587962926</v>
      </c>
      <c r="BG116" s="22">
        <f>'Activity data'!BG75*UDSOEF*NtoN2O*kgtoGg</f>
        <v>1.3041593355626162</v>
      </c>
      <c r="BH116" s="22">
        <f>'Activity data'!BH75*UDSOEF*NtoN2O*kgtoGg</f>
        <v>1.3057494486628347</v>
      </c>
      <c r="BI116" s="22">
        <f>'Activity data'!BI75*UDSOEF*NtoN2O*kgtoGg</f>
        <v>1.3074743892636795</v>
      </c>
      <c r="BJ116" s="22">
        <f>'Activity data'!BJ75*UDSOEF*NtoN2O*kgtoGg</f>
        <v>1.3093325099687654</v>
      </c>
      <c r="BK116" s="22">
        <f>'Activity data'!BK75*UDSOEF*NtoN2O*kgtoGg</f>
        <v>1.3113240251335019</v>
      </c>
      <c r="BL116" s="22">
        <f>'Activity data'!BL75*UDSOEF*NtoN2O*kgtoGg</f>
        <v>1.3120259734433455</v>
      </c>
      <c r="BM116" s="22">
        <f>'Activity data'!BM75*UDSOEF*NtoN2O*kgtoGg</f>
        <v>1.3123377088473509</v>
      </c>
      <c r="BN116" s="22">
        <f>'Activity data'!BN75*UDSOEF*NtoN2O*kgtoGg</f>
        <v>1.3127001034076922</v>
      </c>
      <c r="BO116" s="22">
        <f>'Activity data'!BO75*UDSOEF*NtoN2O*kgtoGg</f>
        <v>1.313090249634846</v>
      </c>
      <c r="BP116" s="22">
        <f>'Activity data'!BP75*UDSOEF*NtoN2O*kgtoGg</f>
        <v>1.3135511451209665</v>
      </c>
    </row>
    <row r="117" spans="1:68" x14ac:dyDescent="0.3">
      <c r="A117" t="str">
        <f t="shared" si="29"/>
        <v>3C Aggregated and non-CO2 emissions on land</v>
      </c>
      <c r="B117" t="str">
        <f t="shared" si="31"/>
        <v>3C4 Direct N2O from managed soils (N2O)</v>
      </c>
      <c r="C117" t="s">
        <v>422</v>
      </c>
      <c r="D117" t="str">
        <f t="shared" si="38"/>
        <v xml:space="preserve"> - Horses</v>
      </c>
      <c r="E117" t="str">
        <f t="shared" si="32"/>
        <v>U&amp;D emissions - Horses</v>
      </c>
      <c r="F117" t="str">
        <f t="shared" si="36"/>
        <v>N2O</v>
      </c>
      <c r="G117" t="str">
        <f t="shared" si="37"/>
        <v>Gg N2O</v>
      </c>
      <c r="H117" s="22">
        <f>'Activity data'!H76*UDSOEF*NtoN2O*kgtoGg</f>
        <v>0.1427642857142857</v>
      </c>
      <c r="I117" s="22">
        <f>'Activity data'!I76*UDSOEF*NtoN2O*kgtoGg</f>
        <v>0.1427642857142857</v>
      </c>
      <c r="J117" s="22">
        <f>'Activity data'!J76*UDSOEF*NtoN2O*kgtoGg</f>
        <v>0.1427642857142857</v>
      </c>
      <c r="K117" s="22">
        <f>'Activity data'!K76*UDSOEF*NtoN2O*kgtoGg</f>
        <v>0.14586785714285713</v>
      </c>
      <c r="L117" s="22">
        <f>'Activity data'!L76*UDSOEF*NtoN2O*kgtoGg</f>
        <v>0.14897142857142856</v>
      </c>
      <c r="M117" s="22">
        <f>'Activity data'!M76*UDSOEF*NtoN2O*kgtoGg</f>
        <v>0.15207499999999999</v>
      </c>
      <c r="N117" s="22">
        <f>'Activity data'!N76*UDSOEF*NtoN2O*kgtoGg</f>
        <v>0.15517857142857142</v>
      </c>
      <c r="O117" s="22">
        <f>'Activity data'!O76*UDSOEF*NtoN2O*kgtoGg</f>
        <v>0.15828214285714284</v>
      </c>
      <c r="P117" s="22">
        <f>'Activity data'!P76*UDSOEF*NtoN2O*kgtoGg</f>
        <v>0.16138571428571427</v>
      </c>
      <c r="Q117" s="22">
        <f>'Activity data'!Q76*UDSOEF*NtoN2O*kgtoGg</f>
        <v>0.16014428571428571</v>
      </c>
      <c r="R117" s="22">
        <f>'Activity data'!R76*UDSOEF*NtoN2O*kgtoGg</f>
        <v>0.16759285714285713</v>
      </c>
      <c r="S117" s="22">
        <f>'Activity data'!S76*UDSOEF*NtoN2O*kgtoGg</f>
        <v>0.16759285714285713</v>
      </c>
      <c r="T117" s="22">
        <f>'Activity data'!T76*UDSOEF*NtoN2O*kgtoGg</f>
        <v>0.16759285714285713</v>
      </c>
      <c r="U117" s="22">
        <f>'Activity data'!U76*UDSOEF*NtoN2O*kgtoGg</f>
        <v>0.16759285714285713</v>
      </c>
      <c r="V117" s="22">
        <f>'Activity data'!V76*UDSOEF*NtoN2O*kgtoGg</f>
        <v>0.16759285714285713</v>
      </c>
      <c r="W117" s="22">
        <f>'Activity data'!W76*UDSOEF*NtoN2O*kgtoGg</f>
        <v>0.16759285714285713</v>
      </c>
      <c r="X117" s="22">
        <f>'Activity data'!X76*UDSOEF*NtoN2O*kgtoGg</f>
        <v>0.17379999999999998</v>
      </c>
      <c r="Y117" s="22">
        <f>'Activity data'!Y76*UDSOEF*NtoN2O*kgtoGg</f>
        <v>0.18000714285714284</v>
      </c>
      <c r="Z117" s="22">
        <f>'Activity data'!Z76*UDSOEF*NtoN2O*kgtoGg</f>
        <v>0.18497285714285713</v>
      </c>
      <c r="AA117" s="22">
        <f>'Activity data'!AA76*UDSOEF*NtoN2O*kgtoGg</f>
        <v>0.18621428571428569</v>
      </c>
      <c r="AB117" s="22">
        <f>'Activity data'!AB76*UDSOEF*NtoN2O*kgtoGg</f>
        <v>0.18621428571428569</v>
      </c>
      <c r="AC117" s="22">
        <f>'Activity data'!AC76*UDSOEF*NtoN2O*kgtoGg</f>
        <v>0.18931785714285712</v>
      </c>
      <c r="AD117" s="22">
        <f>'Activity data'!AD76*UDSOEF*NtoN2O*kgtoGg</f>
        <v>0.19147730421375916</v>
      </c>
      <c r="AE117" s="22">
        <f>'Activity data'!AE76*UDSOEF*NtoN2O*kgtoGg</f>
        <v>0.19240499933397132</v>
      </c>
      <c r="AF117" s="22">
        <f>'Activity data'!AF76*UDSOEF*NtoN2O*kgtoGg</f>
        <v>0.19381280191845887</v>
      </c>
      <c r="AG117" s="22">
        <f>'Activity data'!AG76*UDSOEF*NtoN2O*kgtoGg</f>
        <v>0.19411375969056655</v>
      </c>
      <c r="AH117" s="22">
        <f>'Activity data'!AH76*UDSOEF*NtoN2O*kgtoGg</f>
        <v>0.19368291106027893</v>
      </c>
      <c r="AI117" s="22">
        <f>'Activity data'!AI76*UDSOEF*NtoN2O*kgtoGg</f>
        <v>0.19253602379697463</v>
      </c>
      <c r="AJ117" s="22">
        <f>'Activity data'!AJ76*UDSOEF*NtoN2O*kgtoGg</f>
        <v>0.19190012409058904</v>
      </c>
      <c r="AK117" s="22">
        <f>'Activity data'!AK76*UDSOEF*NtoN2O*kgtoGg</f>
        <v>0.19132863754616405</v>
      </c>
      <c r="AL117" s="22">
        <f>'Activity data'!AL76*UDSOEF*NtoN2O*kgtoGg</f>
        <v>0.1803905818810948</v>
      </c>
      <c r="AM117" s="22">
        <f>'Activity data'!AM76*UDSOEF*NtoN2O*kgtoGg</f>
        <v>0.18262456774024571</v>
      </c>
      <c r="AN117" s="22">
        <f>'Activity data'!AN76*UDSOEF*NtoN2O*kgtoGg</f>
        <v>0.18617292598676535</v>
      </c>
      <c r="AO117" s="22">
        <f>'Activity data'!AO76*UDSOEF*NtoN2O*kgtoGg</f>
        <v>0.1874827131948397</v>
      </c>
      <c r="AP117" s="22">
        <f>'Activity data'!AP76*UDSOEF*NtoN2O*kgtoGg</f>
        <v>0.18903918513554135</v>
      </c>
      <c r="AQ117" s="22">
        <f>'Activity data'!AQ76*UDSOEF*NtoN2O*kgtoGg</f>
        <v>0.19092374052200031</v>
      </c>
      <c r="AR117" s="22">
        <f>'Activity data'!AR76*UDSOEF*NtoN2O*kgtoGg</f>
        <v>0.19317866485257018</v>
      </c>
      <c r="AS117" s="22">
        <f>'Activity data'!AS76*UDSOEF*NtoN2O*kgtoGg</f>
        <v>0.19568472941200174</v>
      </c>
      <c r="AT117" s="22">
        <f>'Activity data'!AT76*UDSOEF*NtoN2O*kgtoGg</f>
        <v>0.19822057353598227</v>
      </c>
      <c r="AU117" s="22">
        <f>'Activity data'!AU76*UDSOEF*NtoN2O*kgtoGg</f>
        <v>0.20098305885598644</v>
      </c>
      <c r="AV117" s="22">
        <f>'Activity data'!AV76*UDSOEF*NtoN2O*kgtoGg</f>
        <v>0.20375514589644325</v>
      </c>
      <c r="AW117" s="22">
        <f>'Activity data'!AW76*UDSOEF*NtoN2O*kgtoGg</f>
        <v>0.20708073603212976</v>
      </c>
      <c r="AX117" s="22">
        <f>'Activity data'!AX76*UDSOEF*NtoN2O*kgtoGg</f>
        <v>0.21028463440230635</v>
      </c>
      <c r="AY117" s="22">
        <f>'Activity data'!AY76*UDSOEF*NtoN2O*kgtoGg</f>
        <v>0.2136443220754487</v>
      </c>
      <c r="AZ117" s="22">
        <f>'Activity data'!AZ76*UDSOEF*NtoN2O*kgtoGg</f>
        <v>0.21748682395851593</v>
      </c>
      <c r="BA117" s="22">
        <f>'Activity data'!BA76*UDSOEF*NtoN2O*kgtoGg</f>
        <v>0.22102739700732632</v>
      </c>
      <c r="BB117" s="22">
        <f>'Activity data'!BB76*UDSOEF*NtoN2O*kgtoGg</f>
        <v>0.22493633340985938</v>
      </c>
      <c r="BC117" s="22">
        <f>'Activity data'!BC76*UDSOEF*NtoN2O*kgtoGg</f>
        <v>0.22910386680533321</v>
      </c>
      <c r="BD117" s="22">
        <f>'Activity data'!BD76*UDSOEF*NtoN2O*kgtoGg</f>
        <v>0.2329046036438828</v>
      </c>
      <c r="BE117" s="22">
        <f>'Activity data'!BE76*UDSOEF*NtoN2O*kgtoGg</f>
        <v>0.23662356544971794</v>
      </c>
      <c r="BF117" s="22">
        <f>'Activity data'!BF76*UDSOEF*NtoN2O*kgtoGg</f>
        <v>0.24027411251375713</v>
      </c>
      <c r="BG117" s="22">
        <f>'Activity data'!BG76*UDSOEF*NtoN2O*kgtoGg</f>
        <v>0.24444413665938144</v>
      </c>
      <c r="BH117" s="22">
        <f>'Activity data'!BH76*UDSOEF*NtoN2O*kgtoGg</f>
        <v>0.2483759174868751</v>
      </c>
      <c r="BI117" s="22">
        <f>'Activity data'!BI76*UDSOEF*NtoN2O*kgtoGg</f>
        <v>0.25243602460510989</v>
      </c>
      <c r="BJ117" s="22">
        <f>'Activity data'!BJ76*UDSOEF*NtoN2O*kgtoGg</f>
        <v>0.25664462657697379</v>
      </c>
      <c r="BK117" s="22">
        <f>'Activity data'!BK76*UDSOEF*NtoN2O*kgtoGg</f>
        <v>0.26103451555954071</v>
      </c>
      <c r="BL117" s="22">
        <f>'Activity data'!BL76*UDSOEF*NtoN2O*kgtoGg</f>
        <v>0.26580339289786814</v>
      </c>
      <c r="BM117" s="22">
        <f>'Activity data'!BM76*UDSOEF*NtoN2O*kgtoGg</f>
        <v>0.26659601183855292</v>
      </c>
      <c r="BN117" s="22">
        <f>'Activity data'!BN76*UDSOEF*NtoN2O*kgtoGg</f>
        <v>0.26701268168020675</v>
      </c>
      <c r="BO117" s="22">
        <f>'Activity data'!BO76*UDSOEF*NtoN2O*kgtoGg</f>
        <v>0.26689564753163691</v>
      </c>
      <c r="BP117" s="22">
        <f>'Activity data'!BP76*UDSOEF*NtoN2O*kgtoGg</f>
        <v>0.2666191038621068</v>
      </c>
    </row>
    <row r="118" spans="1:68" x14ac:dyDescent="0.3">
      <c r="A118" t="str">
        <f t="shared" si="29"/>
        <v>3C Aggregated and non-CO2 emissions on land</v>
      </c>
      <c r="B118" t="str">
        <f t="shared" si="31"/>
        <v>3C4 Direct N2O from managed soils (N2O)</v>
      </c>
      <c r="C118" t="s">
        <v>422</v>
      </c>
      <c r="D118" t="str">
        <f t="shared" si="38"/>
        <v xml:space="preserve"> - Mules &amp; Asses</v>
      </c>
      <c r="E118" t="str">
        <f t="shared" si="32"/>
        <v>U&amp;D emissions - Mules &amp; Asses</v>
      </c>
      <c r="F118" t="str">
        <f t="shared" si="36"/>
        <v>N2O</v>
      </c>
      <c r="G118" t="str">
        <f t="shared" si="37"/>
        <v>Gg N2O</v>
      </c>
      <c r="H118" s="22">
        <f>'Activity data'!H77*UDSOEF*NtoN2O*kgtoGg</f>
        <v>4.6463999999999998E-2</v>
      </c>
      <c r="I118" s="22">
        <f>'Activity data'!I77*UDSOEF*NtoN2O*kgtoGg</f>
        <v>4.6463999999999998E-2</v>
      </c>
      <c r="J118" s="22">
        <f>'Activity data'!J77*UDSOEF*NtoN2O*kgtoGg</f>
        <v>4.6463999999999998E-2</v>
      </c>
      <c r="K118" s="22">
        <f>'Activity data'!K77*UDSOEF*NtoN2O*kgtoGg</f>
        <v>4.6463999999999998E-2</v>
      </c>
      <c r="L118" s="22">
        <f>'Activity data'!L77*UDSOEF*NtoN2O*kgtoGg</f>
        <v>4.6463999999999998E-2</v>
      </c>
      <c r="M118" s="22">
        <f>'Activity data'!M77*UDSOEF*NtoN2O*kgtoGg</f>
        <v>4.6463999999999998E-2</v>
      </c>
      <c r="N118" s="22">
        <f>'Activity data'!N77*UDSOEF*NtoN2O*kgtoGg</f>
        <v>4.6463999999999998E-2</v>
      </c>
      <c r="O118" s="22">
        <f>'Activity data'!O77*UDSOEF*NtoN2O*kgtoGg</f>
        <v>4.6463999999999998E-2</v>
      </c>
      <c r="P118" s="22">
        <f>'Activity data'!P77*UDSOEF*NtoN2O*kgtoGg</f>
        <v>4.6463999999999998E-2</v>
      </c>
      <c r="Q118" s="22">
        <f>'Activity data'!Q77*UDSOEF*NtoN2O*kgtoGg</f>
        <v>4.6463999999999998E-2</v>
      </c>
      <c r="R118" s="22">
        <f>'Activity data'!R77*UDSOEF*NtoN2O*kgtoGg</f>
        <v>3.4018285714285709E-2</v>
      </c>
      <c r="S118" s="22">
        <f>'Activity data'!S77*UDSOEF*NtoN2O*kgtoGg</f>
        <v>3.4018285714285709E-2</v>
      </c>
      <c r="T118" s="22">
        <f>'Activity data'!T77*UDSOEF*NtoN2O*kgtoGg</f>
        <v>3.4018285714285709E-2</v>
      </c>
      <c r="U118" s="22">
        <f>'Activity data'!U77*UDSOEF*NtoN2O*kgtoGg</f>
        <v>3.4018285714285709E-2</v>
      </c>
      <c r="V118" s="22">
        <f>'Activity data'!V77*UDSOEF*NtoN2O*kgtoGg</f>
        <v>3.4018285714285709E-2</v>
      </c>
      <c r="W118" s="22">
        <f>'Activity data'!W77*UDSOEF*NtoN2O*kgtoGg</f>
        <v>3.4018285714285709E-2</v>
      </c>
      <c r="X118" s="22">
        <f>'Activity data'!X77*UDSOEF*NtoN2O*kgtoGg</f>
        <v>3.4028657142857147E-2</v>
      </c>
      <c r="Y118" s="22">
        <f>'Activity data'!Y77*UDSOEF*NtoN2O*kgtoGg</f>
        <v>3.414274285714286E-2</v>
      </c>
      <c r="Z118" s="22">
        <f>'Activity data'!Z77*UDSOEF*NtoN2O*kgtoGg</f>
        <v>3.4163485714285714E-2</v>
      </c>
      <c r="AA118" s="22">
        <f>'Activity data'!AA77*UDSOEF*NtoN2O*kgtoGg</f>
        <v>3.4184228571428575E-2</v>
      </c>
      <c r="AB118" s="22">
        <f>'Activity data'!AB77*UDSOEF*NtoN2O*kgtoGg</f>
        <v>3.4495371428571432E-2</v>
      </c>
      <c r="AC118" s="22">
        <f>'Activity data'!AC77*UDSOEF*NtoN2O*kgtoGg</f>
        <v>3.4640571428571423E-2</v>
      </c>
      <c r="AD118" s="22">
        <f>'Activity data'!AD77*UDSOEF*NtoN2O*kgtoGg</f>
        <v>3.4640571428571423E-2</v>
      </c>
      <c r="AE118" s="22">
        <f>'Activity data'!AE77*UDSOEF*NtoN2O*kgtoGg</f>
        <v>3.4640571428571423E-2</v>
      </c>
      <c r="AF118" s="22">
        <f>'Activity data'!AF77*UDSOEF*NtoN2O*kgtoGg</f>
        <v>3.4640571428571423E-2</v>
      </c>
      <c r="AG118" s="22">
        <f>'Activity data'!AG77*UDSOEF*NtoN2O*kgtoGg</f>
        <v>3.4640571428571423E-2</v>
      </c>
      <c r="AH118" s="22">
        <f>'Activity data'!AH77*UDSOEF*NtoN2O*kgtoGg</f>
        <v>3.4640571428571423E-2</v>
      </c>
      <c r="AI118" s="22">
        <f>'Activity data'!AI77*UDSOEF*NtoN2O*kgtoGg</f>
        <v>3.4640571428571423E-2</v>
      </c>
      <c r="AJ118" s="22">
        <f>'Activity data'!AJ77*UDSOEF*NtoN2O*kgtoGg</f>
        <v>3.4640571428571423E-2</v>
      </c>
      <c r="AK118" s="22">
        <f>'Activity data'!AK77*UDSOEF*NtoN2O*kgtoGg</f>
        <v>3.4640571428571423E-2</v>
      </c>
      <c r="AL118" s="22">
        <f>'Activity data'!AL77*UDSOEF*NtoN2O*kgtoGg</f>
        <v>3.4640571428571423E-2</v>
      </c>
      <c r="AM118" s="22">
        <f>'Activity data'!AM77*UDSOEF*NtoN2O*kgtoGg</f>
        <v>3.4640571428571423E-2</v>
      </c>
      <c r="AN118" s="22">
        <f>'Activity data'!AN77*UDSOEF*NtoN2O*kgtoGg</f>
        <v>3.4640571428571423E-2</v>
      </c>
      <c r="AO118" s="22">
        <f>'Activity data'!AO77*UDSOEF*NtoN2O*kgtoGg</f>
        <v>3.4640571428571423E-2</v>
      </c>
      <c r="AP118" s="22">
        <f>'Activity data'!AP77*UDSOEF*NtoN2O*kgtoGg</f>
        <v>3.4640571428571423E-2</v>
      </c>
      <c r="AQ118" s="22">
        <f>'Activity data'!AQ77*UDSOEF*NtoN2O*kgtoGg</f>
        <v>3.4640571428571423E-2</v>
      </c>
      <c r="AR118" s="22">
        <f>'Activity data'!AR77*UDSOEF*NtoN2O*kgtoGg</f>
        <v>3.4640571428571423E-2</v>
      </c>
      <c r="AS118" s="22">
        <f>'Activity data'!AS77*UDSOEF*NtoN2O*kgtoGg</f>
        <v>3.4640571428571423E-2</v>
      </c>
      <c r="AT118" s="22">
        <f>'Activity data'!AT77*UDSOEF*NtoN2O*kgtoGg</f>
        <v>3.4640571428571423E-2</v>
      </c>
      <c r="AU118" s="22">
        <f>'Activity data'!AU77*UDSOEF*NtoN2O*kgtoGg</f>
        <v>3.4640571428571423E-2</v>
      </c>
      <c r="AV118" s="22">
        <f>'Activity data'!AV77*UDSOEF*NtoN2O*kgtoGg</f>
        <v>3.4640571428571423E-2</v>
      </c>
      <c r="AW118" s="22">
        <f>'Activity data'!AW77*UDSOEF*NtoN2O*kgtoGg</f>
        <v>3.4640571428571423E-2</v>
      </c>
      <c r="AX118" s="22">
        <f>'Activity data'!AX77*UDSOEF*NtoN2O*kgtoGg</f>
        <v>3.4640571428571423E-2</v>
      </c>
      <c r="AY118" s="22">
        <f>'Activity data'!AY77*UDSOEF*NtoN2O*kgtoGg</f>
        <v>3.4640571428571423E-2</v>
      </c>
      <c r="AZ118" s="22">
        <f>'Activity data'!AZ77*UDSOEF*NtoN2O*kgtoGg</f>
        <v>3.4640571428571423E-2</v>
      </c>
      <c r="BA118" s="22">
        <f>'Activity data'!BA77*UDSOEF*NtoN2O*kgtoGg</f>
        <v>3.4640571428571423E-2</v>
      </c>
      <c r="BB118" s="22">
        <f>'Activity data'!BB77*UDSOEF*NtoN2O*kgtoGg</f>
        <v>3.4640571428571423E-2</v>
      </c>
      <c r="BC118" s="22">
        <f>'Activity data'!BC77*UDSOEF*NtoN2O*kgtoGg</f>
        <v>3.4640571428571423E-2</v>
      </c>
      <c r="BD118" s="22">
        <f>'Activity data'!BD77*UDSOEF*NtoN2O*kgtoGg</f>
        <v>3.4640571428571423E-2</v>
      </c>
      <c r="BE118" s="22">
        <f>'Activity data'!BE77*UDSOEF*NtoN2O*kgtoGg</f>
        <v>3.4640571428571423E-2</v>
      </c>
      <c r="BF118" s="22">
        <f>'Activity data'!BF77*UDSOEF*NtoN2O*kgtoGg</f>
        <v>3.4640571428571423E-2</v>
      </c>
      <c r="BG118" s="22">
        <f>'Activity data'!BG77*UDSOEF*NtoN2O*kgtoGg</f>
        <v>3.4640571428571423E-2</v>
      </c>
      <c r="BH118" s="22">
        <f>'Activity data'!BH77*UDSOEF*NtoN2O*kgtoGg</f>
        <v>3.4640571428571423E-2</v>
      </c>
      <c r="BI118" s="22">
        <f>'Activity data'!BI77*UDSOEF*NtoN2O*kgtoGg</f>
        <v>3.4640571428571423E-2</v>
      </c>
      <c r="BJ118" s="22">
        <f>'Activity data'!BJ77*UDSOEF*NtoN2O*kgtoGg</f>
        <v>3.4640571428571423E-2</v>
      </c>
      <c r="BK118" s="22">
        <f>'Activity data'!BK77*UDSOEF*NtoN2O*kgtoGg</f>
        <v>3.4640571428571423E-2</v>
      </c>
      <c r="BL118" s="22">
        <f>'Activity data'!BL77*UDSOEF*NtoN2O*kgtoGg</f>
        <v>3.4640571428571423E-2</v>
      </c>
      <c r="BM118" s="22">
        <f>'Activity data'!BM77*UDSOEF*NtoN2O*kgtoGg</f>
        <v>3.4640571428571423E-2</v>
      </c>
      <c r="BN118" s="22">
        <f>'Activity data'!BN77*UDSOEF*NtoN2O*kgtoGg</f>
        <v>3.4640571428571423E-2</v>
      </c>
      <c r="BO118" s="22">
        <f>'Activity data'!BO77*UDSOEF*NtoN2O*kgtoGg</f>
        <v>3.4640571428571423E-2</v>
      </c>
      <c r="BP118" s="22">
        <f>'Activity data'!BP77*UDSOEF*NtoN2O*kgtoGg</f>
        <v>3.4640571428571423E-2</v>
      </c>
    </row>
    <row r="119" spans="1:68" x14ac:dyDescent="0.3">
      <c r="A119" t="str">
        <f t="shared" si="29"/>
        <v>3C Aggregated and non-CO2 emissions on land</v>
      </c>
      <c r="B119" t="str">
        <f t="shared" si="31"/>
        <v>3C4 Direct N2O from managed soils (N2O)</v>
      </c>
      <c r="C119" t="s">
        <v>422</v>
      </c>
      <c r="D119" t="str">
        <f t="shared" si="38"/>
        <v xml:space="preserve"> - Commercial swine</v>
      </c>
      <c r="E119" t="str">
        <f t="shared" si="32"/>
        <v>U&amp;D emissions - Commercial swine</v>
      </c>
      <c r="F119" t="str">
        <f t="shared" si="36"/>
        <v>N2O</v>
      </c>
      <c r="G119" t="str">
        <f t="shared" si="37"/>
        <v>Gg N2O</v>
      </c>
      <c r="H119" s="22">
        <f>'Activity data'!H78*UDCPPEF*NtoN2O*kgtoGg</f>
        <v>0</v>
      </c>
      <c r="I119" s="22">
        <f>'Activity data'!I78*UDCPPEF*NtoN2O*kgtoGg</f>
        <v>0</v>
      </c>
      <c r="J119" s="22">
        <f>'Activity data'!J78*UDCPPEF*NtoN2O*kgtoGg</f>
        <v>0</v>
      </c>
      <c r="K119" s="22">
        <f>'Activity data'!K78*UDCPPEF*NtoN2O*kgtoGg</f>
        <v>0</v>
      </c>
      <c r="L119" s="22">
        <f>'Activity data'!L78*UDCPPEF*NtoN2O*kgtoGg</f>
        <v>0</v>
      </c>
      <c r="M119" s="22">
        <f>'Activity data'!M78*UDCPPEF*NtoN2O*kgtoGg</f>
        <v>0</v>
      </c>
      <c r="N119" s="22">
        <f>'Activity data'!N78*UDCPPEF*NtoN2O*kgtoGg</f>
        <v>0</v>
      </c>
      <c r="O119" s="22">
        <f>'Activity data'!O78*UDCPPEF*NtoN2O*kgtoGg</f>
        <v>0</v>
      </c>
      <c r="P119" s="22">
        <f>'Activity data'!P78*UDCPPEF*NtoN2O*kgtoGg</f>
        <v>0</v>
      </c>
      <c r="Q119" s="22">
        <f>'Activity data'!Q78*UDCPPEF*NtoN2O*kgtoGg</f>
        <v>0</v>
      </c>
      <c r="R119" s="22">
        <f>'Activity data'!R78*UDCPPEF*NtoN2O*kgtoGg</f>
        <v>0</v>
      </c>
      <c r="S119" s="22">
        <f>'Activity data'!S78*UDCPPEF*NtoN2O*kgtoGg</f>
        <v>0</v>
      </c>
      <c r="T119" s="22">
        <f>'Activity data'!T78*UDCPPEF*NtoN2O*kgtoGg</f>
        <v>0</v>
      </c>
      <c r="U119" s="22">
        <f>'Activity data'!U78*UDCPPEF*NtoN2O*kgtoGg</f>
        <v>0</v>
      </c>
      <c r="V119" s="22">
        <f>'Activity data'!V78*UDCPPEF*NtoN2O*kgtoGg</f>
        <v>0</v>
      </c>
      <c r="W119" s="22">
        <f>'Activity data'!W78*UDCPPEF*NtoN2O*kgtoGg</f>
        <v>0</v>
      </c>
      <c r="X119" s="22">
        <f>'Activity data'!X78*UDCPPEF*NtoN2O*kgtoGg</f>
        <v>0</v>
      </c>
      <c r="Y119" s="22">
        <f>'Activity data'!Y78*UDCPPEF*NtoN2O*kgtoGg</f>
        <v>0</v>
      </c>
      <c r="Z119" s="22">
        <f>'Activity data'!Z78*UDCPPEF*NtoN2O*kgtoGg</f>
        <v>0</v>
      </c>
      <c r="AA119" s="22">
        <f>'Activity data'!AA78*UDCPPEF*NtoN2O*kgtoGg</f>
        <v>0</v>
      </c>
      <c r="AB119" s="22">
        <f>'Activity data'!AB78*UDCPPEF*NtoN2O*kgtoGg</f>
        <v>0</v>
      </c>
      <c r="AC119" s="22">
        <f>'Activity data'!AC78*UDCPPEF*NtoN2O*kgtoGg</f>
        <v>0</v>
      </c>
      <c r="AD119" s="22">
        <f>'Activity data'!AD78*UDCPPEF*NtoN2O*kgtoGg</f>
        <v>0</v>
      </c>
      <c r="AE119" s="22">
        <f>'Activity data'!AE78*UDCPPEF*NtoN2O*kgtoGg</f>
        <v>0</v>
      </c>
      <c r="AF119" s="22">
        <f>'Activity data'!AF78*UDCPPEF*NtoN2O*kgtoGg</f>
        <v>0</v>
      </c>
      <c r="AG119" s="22">
        <f>'Activity data'!AG78*UDCPPEF*NtoN2O*kgtoGg</f>
        <v>0</v>
      </c>
      <c r="AH119" s="22">
        <f>'Activity data'!AH78*UDCPPEF*NtoN2O*kgtoGg</f>
        <v>0</v>
      </c>
      <c r="AI119" s="22">
        <f>'Activity data'!AI78*UDCPPEF*NtoN2O*kgtoGg</f>
        <v>0</v>
      </c>
      <c r="AJ119" s="22">
        <f>'Activity data'!AJ78*UDCPPEF*NtoN2O*kgtoGg</f>
        <v>0</v>
      </c>
      <c r="AK119" s="22">
        <f>'Activity data'!AK78*UDCPPEF*NtoN2O*kgtoGg</f>
        <v>0</v>
      </c>
      <c r="AL119" s="22">
        <f>'Activity data'!AL78*UDCPPEF*NtoN2O*kgtoGg</f>
        <v>0</v>
      </c>
      <c r="AM119" s="22">
        <f>'Activity data'!AM78*UDCPPEF*NtoN2O*kgtoGg</f>
        <v>0</v>
      </c>
      <c r="AN119" s="22">
        <f>'Activity data'!AN78*UDCPPEF*NtoN2O*kgtoGg</f>
        <v>0</v>
      </c>
      <c r="AO119" s="22">
        <f>'Activity data'!AO78*UDCPPEF*NtoN2O*kgtoGg</f>
        <v>0</v>
      </c>
      <c r="AP119" s="22">
        <f>'Activity data'!AP78*UDCPPEF*NtoN2O*kgtoGg</f>
        <v>0</v>
      </c>
      <c r="AQ119" s="22">
        <f>'Activity data'!AQ78*UDCPPEF*NtoN2O*kgtoGg</f>
        <v>0</v>
      </c>
      <c r="AR119" s="22">
        <f>'Activity data'!AR78*UDCPPEF*NtoN2O*kgtoGg</f>
        <v>0</v>
      </c>
      <c r="AS119" s="22">
        <f>'Activity data'!AS78*UDCPPEF*NtoN2O*kgtoGg</f>
        <v>0</v>
      </c>
      <c r="AT119" s="22">
        <f>'Activity data'!AT78*UDCPPEF*NtoN2O*kgtoGg</f>
        <v>0</v>
      </c>
      <c r="AU119" s="22">
        <f>'Activity data'!AU78*UDCPPEF*NtoN2O*kgtoGg</f>
        <v>0</v>
      </c>
      <c r="AV119" s="22">
        <f>'Activity data'!AV78*UDCPPEF*NtoN2O*kgtoGg</f>
        <v>0</v>
      </c>
      <c r="AW119" s="22">
        <f>'Activity data'!AW78*UDCPPEF*NtoN2O*kgtoGg</f>
        <v>0</v>
      </c>
      <c r="AX119" s="22">
        <f>'Activity data'!AX78*UDCPPEF*NtoN2O*kgtoGg</f>
        <v>0</v>
      </c>
      <c r="AY119" s="22">
        <f>'Activity data'!AY78*UDCPPEF*NtoN2O*kgtoGg</f>
        <v>0</v>
      </c>
      <c r="AZ119" s="22">
        <f>'Activity data'!AZ78*UDCPPEF*NtoN2O*kgtoGg</f>
        <v>0</v>
      </c>
      <c r="BA119" s="22">
        <f>'Activity data'!BA78*UDCPPEF*NtoN2O*kgtoGg</f>
        <v>0</v>
      </c>
      <c r="BB119" s="22">
        <f>'Activity data'!BB78*UDCPPEF*NtoN2O*kgtoGg</f>
        <v>0</v>
      </c>
      <c r="BC119" s="22">
        <f>'Activity data'!BC78*UDCPPEF*NtoN2O*kgtoGg</f>
        <v>0</v>
      </c>
      <c r="BD119" s="22">
        <f>'Activity data'!BD78*UDCPPEF*NtoN2O*kgtoGg</f>
        <v>0</v>
      </c>
      <c r="BE119" s="22">
        <f>'Activity data'!BE78*UDCPPEF*NtoN2O*kgtoGg</f>
        <v>0</v>
      </c>
      <c r="BF119" s="22">
        <f>'Activity data'!BF78*UDCPPEF*NtoN2O*kgtoGg</f>
        <v>0</v>
      </c>
      <c r="BG119" s="22">
        <f>'Activity data'!BG78*UDCPPEF*NtoN2O*kgtoGg</f>
        <v>0</v>
      </c>
      <c r="BH119" s="22">
        <f>'Activity data'!BH78*UDCPPEF*NtoN2O*kgtoGg</f>
        <v>0</v>
      </c>
      <c r="BI119" s="22">
        <f>'Activity data'!BI78*UDCPPEF*NtoN2O*kgtoGg</f>
        <v>0</v>
      </c>
      <c r="BJ119" s="22">
        <f>'Activity data'!BJ78*UDCPPEF*NtoN2O*kgtoGg</f>
        <v>0</v>
      </c>
      <c r="BK119" s="22">
        <f>'Activity data'!BK78*UDCPPEF*NtoN2O*kgtoGg</f>
        <v>0</v>
      </c>
      <c r="BL119" s="22">
        <f>'Activity data'!BL78*UDCPPEF*NtoN2O*kgtoGg</f>
        <v>0</v>
      </c>
      <c r="BM119" s="22">
        <f>'Activity data'!BM78*UDCPPEF*NtoN2O*kgtoGg</f>
        <v>0</v>
      </c>
      <c r="BN119" s="22">
        <f>'Activity data'!BN78*UDCPPEF*NtoN2O*kgtoGg</f>
        <v>0</v>
      </c>
      <c r="BO119" s="22">
        <f>'Activity data'!BO78*UDCPPEF*NtoN2O*kgtoGg</f>
        <v>0</v>
      </c>
      <c r="BP119" s="22">
        <f>'Activity data'!BP78*UDCPPEF*NtoN2O*kgtoGg</f>
        <v>0</v>
      </c>
    </row>
    <row r="120" spans="1:68" x14ac:dyDescent="0.3">
      <c r="A120" t="str">
        <f t="shared" si="29"/>
        <v>3C Aggregated and non-CO2 emissions on land</v>
      </c>
      <c r="B120" t="str">
        <f t="shared" si="31"/>
        <v>3C4 Direct N2O from managed soils (N2O)</v>
      </c>
      <c r="C120" t="s">
        <v>422</v>
      </c>
      <c r="D120" t="str">
        <f t="shared" si="38"/>
        <v xml:space="preserve"> - Subsistence swine</v>
      </c>
      <c r="E120" t="str">
        <f t="shared" si="32"/>
        <v>U&amp;D emissions - Subsistence swine</v>
      </c>
      <c r="F120" t="str">
        <f t="shared" si="36"/>
        <v>N2O</v>
      </c>
      <c r="G120" t="str">
        <f t="shared" si="37"/>
        <v>Gg N2O</v>
      </c>
      <c r="H120" s="22">
        <f>'Activity data'!H79*UDCPPEF*NtoN2O*kgtoGg</f>
        <v>0</v>
      </c>
      <c r="I120" s="22">
        <f>'Activity data'!I79*UDCPPEF*NtoN2O*kgtoGg</f>
        <v>0</v>
      </c>
      <c r="J120" s="22">
        <f>'Activity data'!J79*UDCPPEF*NtoN2O*kgtoGg</f>
        <v>0</v>
      </c>
      <c r="K120" s="22">
        <f>'Activity data'!K79*UDCPPEF*NtoN2O*kgtoGg</f>
        <v>0</v>
      </c>
      <c r="L120" s="22">
        <f>'Activity data'!L79*UDCPPEF*NtoN2O*kgtoGg</f>
        <v>0</v>
      </c>
      <c r="M120" s="22">
        <f>'Activity data'!M79*UDCPPEF*NtoN2O*kgtoGg</f>
        <v>0</v>
      </c>
      <c r="N120" s="22">
        <f>'Activity data'!N79*UDCPPEF*NtoN2O*kgtoGg</f>
        <v>0</v>
      </c>
      <c r="O120" s="22">
        <f>'Activity data'!O79*UDCPPEF*NtoN2O*kgtoGg</f>
        <v>0</v>
      </c>
      <c r="P120" s="22">
        <f>'Activity data'!P79*UDCPPEF*NtoN2O*kgtoGg</f>
        <v>0</v>
      </c>
      <c r="Q120" s="22">
        <f>'Activity data'!Q79*UDCPPEF*NtoN2O*kgtoGg</f>
        <v>0</v>
      </c>
      <c r="R120" s="22">
        <f>'Activity data'!R79*UDCPPEF*NtoN2O*kgtoGg</f>
        <v>0</v>
      </c>
      <c r="S120" s="22">
        <f>'Activity data'!S79*UDCPPEF*NtoN2O*kgtoGg</f>
        <v>0</v>
      </c>
      <c r="T120" s="22">
        <f>'Activity data'!T79*UDCPPEF*NtoN2O*kgtoGg</f>
        <v>0</v>
      </c>
      <c r="U120" s="22">
        <f>'Activity data'!U79*UDCPPEF*NtoN2O*kgtoGg</f>
        <v>0</v>
      </c>
      <c r="V120" s="22">
        <f>'Activity data'!V79*UDCPPEF*NtoN2O*kgtoGg</f>
        <v>0</v>
      </c>
      <c r="W120" s="22">
        <f>'Activity data'!W79*UDCPPEF*NtoN2O*kgtoGg</f>
        <v>0</v>
      </c>
      <c r="X120" s="22">
        <f>'Activity data'!X79*UDCPPEF*NtoN2O*kgtoGg</f>
        <v>0</v>
      </c>
      <c r="Y120" s="22">
        <f>'Activity data'!Y79*UDCPPEF*NtoN2O*kgtoGg</f>
        <v>0</v>
      </c>
      <c r="Z120" s="22">
        <f>'Activity data'!Z79*UDCPPEF*NtoN2O*kgtoGg</f>
        <v>0</v>
      </c>
      <c r="AA120" s="22">
        <f>'Activity data'!AA79*UDCPPEF*NtoN2O*kgtoGg</f>
        <v>0</v>
      </c>
      <c r="AB120" s="22">
        <f>'Activity data'!AB79*UDCPPEF*NtoN2O*kgtoGg</f>
        <v>0</v>
      </c>
      <c r="AC120" s="22">
        <f>'Activity data'!AC79*UDCPPEF*NtoN2O*kgtoGg</f>
        <v>0</v>
      </c>
      <c r="AD120" s="22">
        <f>'Activity data'!AD79*UDCPPEF*NtoN2O*kgtoGg</f>
        <v>0</v>
      </c>
      <c r="AE120" s="22">
        <f>'Activity data'!AE79*UDCPPEF*NtoN2O*kgtoGg</f>
        <v>0</v>
      </c>
      <c r="AF120" s="22">
        <f>'Activity data'!AF79*UDCPPEF*NtoN2O*kgtoGg</f>
        <v>0</v>
      </c>
      <c r="AG120" s="22">
        <f>'Activity data'!AG79*UDCPPEF*NtoN2O*kgtoGg</f>
        <v>0</v>
      </c>
      <c r="AH120" s="22">
        <f>'Activity data'!AH79*UDCPPEF*NtoN2O*kgtoGg</f>
        <v>0</v>
      </c>
      <c r="AI120" s="22">
        <f>'Activity data'!AI79*UDCPPEF*NtoN2O*kgtoGg</f>
        <v>0</v>
      </c>
      <c r="AJ120" s="22">
        <f>'Activity data'!AJ79*UDCPPEF*NtoN2O*kgtoGg</f>
        <v>0</v>
      </c>
      <c r="AK120" s="22">
        <f>'Activity data'!AK79*UDCPPEF*NtoN2O*kgtoGg</f>
        <v>0</v>
      </c>
      <c r="AL120" s="22">
        <f>'Activity data'!AL79*UDCPPEF*NtoN2O*kgtoGg</f>
        <v>0</v>
      </c>
      <c r="AM120" s="22">
        <f>'Activity data'!AM79*UDCPPEF*NtoN2O*kgtoGg</f>
        <v>0</v>
      </c>
      <c r="AN120" s="22">
        <f>'Activity data'!AN79*UDCPPEF*NtoN2O*kgtoGg</f>
        <v>0</v>
      </c>
      <c r="AO120" s="22">
        <f>'Activity data'!AO79*UDCPPEF*NtoN2O*kgtoGg</f>
        <v>0</v>
      </c>
      <c r="AP120" s="22">
        <f>'Activity data'!AP79*UDCPPEF*NtoN2O*kgtoGg</f>
        <v>0</v>
      </c>
      <c r="AQ120" s="22">
        <f>'Activity data'!AQ79*UDCPPEF*NtoN2O*kgtoGg</f>
        <v>0</v>
      </c>
      <c r="AR120" s="22">
        <f>'Activity data'!AR79*UDCPPEF*NtoN2O*kgtoGg</f>
        <v>0</v>
      </c>
      <c r="AS120" s="22">
        <f>'Activity data'!AS79*UDCPPEF*NtoN2O*kgtoGg</f>
        <v>0</v>
      </c>
      <c r="AT120" s="22">
        <f>'Activity data'!AT79*UDCPPEF*NtoN2O*kgtoGg</f>
        <v>0</v>
      </c>
      <c r="AU120" s="22">
        <f>'Activity data'!AU79*UDCPPEF*NtoN2O*kgtoGg</f>
        <v>0</v>
      </c>
      <c r="AV120" s="22">
        <f>'Activity data'!AV79*UDCPPEF*NtoN2O*kgtoGg</f>
        <v>0</v>
      </c>
      <c r="AW120" s="22">
        <f>'Activity data'!AW79*UDCPPEF*NtoN2O*kgtoGg</f>
        <v>0</v>
      </c>
      <c r="AX120" s="22">
        <f>'Activity data'!AX79*UDCPPEF*NtoN2O*kgtoGg</f>
        <v>0</v>
      </c>
      <c r="AY120" s="22">
        <f>'Activity data'!AY79*UDCPPEF*NtoN2O*kgtoGg</f>
        <v>0</v>
      </c>
      <c r="AZ120" s="22">
        <f>'Activity data'!AZ79*UDCPPEF*NtoN2O*kgtoGg</f>
        <v>0</v>
      </c>
      <c r="BA120" s="22">
        <f>'Activity data'!BA79*UDCPPEF*NtoN2O*kgtoGg</f>
        <v>0</v>
      </c>
      <c r="BB120" s="22">
        <f>'Activity data'!BB79*UDCPPEF*NtoN2O*kgtoGg</f>
        <v>0</v>
      </c>
      <c r="BC120" s="22">
        <f>'Activity data'!BC79*UDCPPEF*NtoN2O*kgtoGg</f>
        <v>0</v>
      </c>
      <c r="BD120" s="22">
        <f>'Activity data'!BD79*UDCPPEF*NtoN2O*kgtoGg</f>
        <v>0</v>
      </c>
      <c r="BE120" s="22">
        <f>'Activity data'!BE79*UDCPPEF*NtoN2O*kgtoGg</f>
        <v>0</v>
      </c>
      <c r="BF120" s="22">
        <f>'Activity data'!BF79*UDCPPEF*NtoN2O*kgtoGg</f>
        <v>0</v>
      </c>
      <c r="BG120" s="22">
        <f>'Activity data'!BG79*UDCPPEF*NtoN2O*kgtoGg</f>
        <v>0</v>
      </c>
      <c r="BH120" s="22">
        <f>'Activity data'!BH79*UDCPPEF*NtoN2O*kgtoGg</f>
        <v>0</v>
      </c>
      <c r="BI120" s="22">
        <f>'Activity data'!BI79*UDCPPEF*NtoN2O*kgtoGg</f>
        <v>0</v>
      </c>
      <c r="BJ120" s="22">
        <f>'Activity data'!BJ79*UDCPPEF*NtoN2O*kgtoGg</f>
        <v>0</v>
      </c>
      <c r="BK120" s="22">
        <f>'Activity data'!BK79*UDCPPEF*NtoN2O*kgtoGg</f>
        <v>0</v>
      </c>
      <c r="BL120" s="22">
        <f>'Activity data'!BL79*UDCPPEF*NtoN2O*kgtoGg</f>
        <v>0</v>
      </c>
      <c r="BM120" s="22">
        <f>'Activity data'!BM79*UDCPPEF*NtoN2O*kgtoGg</f>
        <v>0</v>
      </c>
      <c r="BN120" s="22">
        <f>'Activity data'!BN79*UDCPPEF*NtoN2O*kgtoGg</f>
        <v>0</v>
      </c>
      <c r="BO120" s="22">
        <f>'Activity data'!BO79*UDCPPEF*NtoN2O*kgtoGg</f>
        <v>0</v>
      </c>
      <c r="BP120" s="22">
        <f>'Activity data'!BP79*UDCPPEF*NtoN2O*kgtoGg</f>
        <v>0</v>
      </c>
    </row>
    <row r="121" spans="1:68" x14ac:dyDescent="0.3">
      <c r="A121" t="str">
        <f t="shared" si="29"/>
        <v>3C Aggregated and non-CO2 emissions on land</v>
      </c>
      <c r="B121" t="str">
        <f t="shared" si="31"/>
        <v>3C4 Direct N2O from managed soils (N2O)</v>
      </c>
      <c r="C121" t="s">
        <v>422</v>
      </c>
      <c r="D121" t="str">
        <f t="shared" si="38"/>
        <v xml:space="preserve"> - Commercial layers</v>
      </c>
      <c r="E121" t="str">
        <f t="shared" si="32"/>
        <v>U&amp;D emissions - Commercial layers</v>
      </c>
      <c r="F121" t="str">
        <f t="shared" si="36"/>
        <v>N2O</v>
      </c>
      <c r="G121" t="str">
        <f t="shared" si="37"/>
        <v>Gg N2O</v>
      </c>
      <c r="H121" s="22">
        <f>'Activity data'!H80*UDCPPEF*NtoN2O*kgtoGg</f>
        <v>0</v>
      </c>
      <c r="I121" s="22">
        <f>'Activity data'!I80*UDCPPEF*NtoN2O*kgtoGg</f>
        <v>0</v>
      </c>
      <c r="J121" s="22">
        <f>'Activity data'!J80*UDCPPEF*NtoN2O*kgtoGg</f>
        <v>0</v>
      </c>
      <c r="K121" s="22">
        <f>'Activity data'!K80*UDCPPEF*NtoN2O*kgtoGg</f>
        <v>0</v>
      </c>
      <c r="L121" s="22">
        <f>'Activity data'!L80*UDCPPEF*NtoN2O*kgtoGg</f>
        <v>0</v>
      </c>
      <c r="M121" s="22">
        <f>'Activity data'!M80*UDCPPEF*NtoN2O*kgtoGg</f>
        <v>0</v>
      </c>
      <c r="N121" s="22">
        <f>'Activity data'!N80*UDCPPEF*NtoN2O*kgtoGg</f>
        <v>0</v>
      </c>
      <c r="O121" s="22">
        <f>'Activity data'!O80*UDCPPEF*NtoN2O*kgtoGg</f>
        <v>0</v>
      </c>
      <c r="P121" s="22">
        <f>'Activity data'!P80*UDCPPEF*NtoN2O*kgtoGg</f>
        <v>0</v>
      </c>
      <c r="Q121" s="22">
        <f>'Activity data'!Q80*UDCPPEF*NtoN2O*kgtoGg</f>
        <v>0</v>
      </c>
      <c r="R121" s="22">
        <f>'Activity data'!R80*UDCPPEF*NtoN2O*kgtoGg</f>
        <v>0</v>
      </c>
      <c r="S121" s="22">
        <f>'Activity data'!S80*UDCPPEF*NtoN2O*kgtoGg</f>
        <v>0</v>
      </c>
      <c r="T121" s="22">
        <f>'Activity data'!T80*UDCPPEF*NtoN2O*kgtoGg</f>
        <v>0</v>
      </c>
      <c r="U121" s="22">
        <f>'Activity data'!U80*UDCPPEF*NtoN2O*kgtoGg</f>
        <v>0</v>
      </c>
      <c r="V121" s="22">
        <f>'Activity data'!V80*UDCPPEF*NtoN2O*kgtoGg</f>
        <v>0</v>
      </c>
      <c r="W121" s="22">
        <f>'Activity data'!W80*UDCPPEF*NtoN2O*kgtoGg</f>
        <v>0</v>
      </c>
      <c r="X121" s="22">
        <f>'Activity data'!X80*UDCPPEF*NtoN2O*kgtoGg</f>
        <v>0</v>
      </c>
      <c r="Y121" s="22">
        <f>'Activity data'!Y80*UDCPPEF*NtoN2O*kgtoGg</f>
        <v>0</v>
      </c>
      <c r="Z121" s="22">
        <f>'Activity data'!Z80*UDCPPEF*NtoN2O*kgtoGg</f>
        <v>0</v>
      </c>
      <c r="AA121" s="22">
        <f>'Activity data'!AA80*UDCPPEF*NtoN2O*kgtoGg</f>
        <v>0</v>
      </c>
      <c r="AB121" s="22">
        <f>'Activity data'!AB80*UDCPPEF*NtoN2O*kgtoGg</f>
        <v>0</v>
      </c>
      <c r="AC121" s="22">
        <f>'Activity data'!AC80*UDCPPEF*NtoN2O*kgtoGg</f>
        <v>0</v>
      </c>
      <c r="AD121" s="22">
        <f>'Activity data'!AD80*UDCPPEF*NtoN2O*kgtoGg</f>
        <v>0</v>
      </c>
      <c r="AE121" s="22">
        <f>'Activity data'!AE80*UDCPPEF*NtoN2O*kgtoGg</f>
        <v>0</v>
      </c>
      <c r="AF121" s="22">
        <f>'Activity data'!AF80*UDCPPEF*NtoN2O*kgtoGg</f>
        <v>0</v>
      </c>
      <c r="AG121" s="22">
        <f>'Activity data'!AG80*UDCPPEF*NtoN2O*kgtoGg</f>
        <v>0</v>
      </c>
      <c r="AH121" s="22">
        <f>'Activity data'!AH80*UDCPPEF*NtoN2O*kgtoGg</f>
        <v>0</v>
      </c>
      <c r="AI121" s="22">
        <f>'Activity data'!AI80*UDCPPEF*NtoN2O*kgtoGg</f>
        <v>0</v>
      </c>
      <c r="AJ121" s="22">
        <f>'Activity data'!AJ80*UDCPPEF*NtoN2O*kgtoGg</f>
        <v>0</v>
      </c>
      <c r="AK121" s="22">
        <f>'Activity data'!AK80*UDCPPEF*NtoN2O*kgtoGg</f>
        <v>0</v>
      </c>
      <c r="AL121" s="22">
        <f>'Activity data'!AL80*UDCPPEF*NtoN2O*kgtoGg</f>
        <v>0</v>
      </c>
      <c r="AM121" s="22">
        <f>'Activity data'!AM80*UDCPPEF*NtoN2O*kgtoGg</f>
        <v>0</v>
      </c>
      <c r="AN121" s="22">
        <f>'Activity data'!AN80*UDCPPEF*NtoN2O*kgtoGg</f>
        <v>0</v>
      </c>
      <c r="AO121" s="22">
        <f>'Activity data'!AO80*UDCPPEF*NtoN2O*kgtoGg</f>
        <v>0</v>
      </c>
      <c r="AP121" s="22">
        <f>'Activity data'!AP80*UDCPPEF*NtoN2O*kgtoGg</f>
        <v>0</v>
      </c>
      <c r="AQ121" s="22">
        <f>'Activity data'!AQ80*UDCPPEF*NtoN2O*kgtoGg</f>
        <v>0</v>
      </c>
      <c r="AR121" s="22">
        <f>'Activity data'!AR80*UDCPPEF*NtoN2O*kgtoGg</f>
        <v>0</v>
      </c>
      <c r="AS121" s="22">
        <f>'Activity data'!AS80*UDCPPEF*NtoN2O*kgtoGg</f>
        <v>0</v>
      </c>
      <c r="AT121" s="22">
        <f>'Activity data'!AT80*UDCPPEF*NtoN2O*kgtoGg</f>
        <v>0</v>
      </c>
      <c r="AU121" s="22">
        <f>'Activity data'!AU80*UDCPPEF*NtoN2O*kgtoGg</f>
        <v>0</v>
      </c>
      <c r="AV121" s="22">
        <f>'Activity data'!AV80*UDCPPEF*NtoN2O*kgtoGg</f>
        <v>0</v>
      </c>
      <c r="AW121" s="22">
        <f>'Activity data'!AW80*UDCPPEF*NtoN2O*kgtoGg</f>
        <v>0</v>
      </c>
      <c r="AX121" s="22">
        <f>'Activity data'!AX80*UDCPPEF*NtoN2O*kgtoGg</f>
        <v>0</v>
      </c>
      <c r="AY121" s="22">
        <f>'Activity data'!AY80*UDCPPEF*NtoN2O*kgtoGg</f>
        <v>0</v>
      </c>
      <c r="AZ121" s="22">
        <f>'Activity data'!AZ80*UDCPPEF*NtoN2O*kgtoGg</f>
        <v>0</v>
      </c>
      <c r="BA121" s="22">
        <f>'Activity data'!BA80*UDCPPEF*NtoN2O*kgtoGg</f>
        <v>0</v>
      </c>
      <c r="BB121" s="22">
        <f>'Activity data'!BB80*UDCPPEF*NtoN2O*kgtoGg</f>
        <v>0</v>
      </c>
      <c r="BC121" s="22">
        <f>'Activity data'!BC80*UDCPPEF*NtoN2O*kgtoGg</f>
        <v>0</v>
      </c>
      <c r="BD121" s="22">
        <f>'Activity data'!BD80*UDCPPEF*NtoN2O*kgtoGg</f>
        <v>0</v>
      </c>
      <c r="BE121" s="22">
        <f>'Activity data'!BE80*UDCPPEF*NtoN2O*kgtoGg</f>
        <v>0</v>
      </c>
      <c r="BF121" s="22">
        <f>'Activity data'!BF80*UDCPPEF*NtoN2O*kgtoGg</f>
        <v>0</v>
      </c>
      <c r="BG121" s="22">
        <f>'Activity data'!BG80*UDCPPEF*NtoN2O*kgtoGg</f>
        <v>0</v>
      </c>
      <c r="BH121" s="22">
        <f>'Activity data'!BH80*UDCPPEF*NtoN2O*kgtoGg</f>
        <v>0</v>
      </c>
      <c r="BI121" s="22">
        <f>'Activity data'!BI80*UDCPPEF*NtoN2O*kgtoGg</f>
        <v>0</v>
      </c>
      <c r="BJ121" s="22">
        <f>'Activity data'!BJ80*UDCPPEF*NtoN2O*kgtoGg</f>
        <v>0</v>
      </c>
      <c r="BK121" s="22">
        <f>'Activity data'!BK80*UDCPPEF*NtoN2O*kgtoGg</f>
        <v>0</v>
      </c>
      <c r="BL121" s="22">
        <f>'Activity data'!BL80*UDCPPEF*NtoN2O*kgtoGg</f>
        <v>0</v>
      </c>
      <c r="BM121" s="22">
        <f>'Activity data'!BM80*UDCPPEF*NtoN2O*kgtoGg</f>
        <v>0</v>
      </c>
      <c r="BN121" s="22">
        <f>'Activity data'!BN80*UDCPPEF*NtoN2O*kgtoGg</f>
        <v>0</v>
      </c>
      <c r="BO121" s="22">
        <f>'Activity data'!BO80*UDCPPEF*NtoN2O*kgtoGg</f>
        <v>0</v>
      </c>
      <c r="BP121" s="22">
        <f>'Activity data'!BP80*UDCPPEF*NtoN2O*kgtoGg</f>
        <v>0</v>
      </c>
    </row>
    <row r="122" spans="1:68" x14ac:dyDescent="0.3">
      <c r="A122" t="str">
        <f t="shared" si="29"/>
        <v>3C Aggregated and non-CO2 emissions on land</v>
      </c>
      <c r="B122" t="str">
        <f t="shared" si="31"/>
        <v>3C4 Direct N2O from managed soils (N2O)</v>
      </c>
      <c r="C122" t="s">
        <v>422</v>
      </c>
      <c r="D122" t="str">
        <f t="shared" si="38"/>
        <v xml:space="preserve"> - Commercial broilers</v>
      </c>
      <c r="E122" t="str">
        <f t="shared" si="32"/>
        <v>U&amp;D emissions - Commercial broilers</v>
      </c>
      <c r="F122" t="str">
        <f t="shared" si="36"/>
        <v>N2O</v>
      </c>
      <c r="G122" t="str">
        <f t="shared" si="37"/>
        <v>Gg N2O</v>
      </c>
      <c r="H122" s="22">
        <f>'Activity data'!H81*UDCPPEF*NtoN2O*kgtoGg</f>
        <v>0</v>
      </c>
      <c r="I122" s="22">
        <f>'Activity data'!I81*UDCPPEF*NtoN2O*kgtoGg</f>
        <v>0</v>
      </c>
      <c r="J122" s="22">
        <f>'Activity data'!J81*UDCPPEF*NtoN2O*kgtoGg</f>
        <v>0</v>
      </c>
      <c r="K122" s="22">
        <f>'Activity data'!K81*UDCPPEF*NtoN2O*kgtoGg</f>
        <v>0</v>
      </c>
      <c r="L122" s="22">
        <f>'Activity data'!L81*UDCPPEF*NtoN2O*kgtoGg</f>
        <v>0</v>
      </c>
      <c r="M122" s="22">
        <f>'Activity data'!M81*UDCPPEF*NtoN2O*kgtoGg</f>
        <v>0</v>
      </c>
      <c r="N122" s="22">
        <f>'Activity data'!N81*UDCPPEF*NtoN2O*kgtoGg</f>
        <v>0</v>
      </c>
      <c r="O122" s="22">
        <f>'Activity data'!O81*UDCPPEF*NtoN2O*kgtoGg</f>
        <v>0</v>
      </c>
      <c r="P122" s="22">
        <f>'Activity data'!P81*UDCPPEF*NtoN2O*kgtoGg</f>
        <v>0</v>
      </c>
      <c r="Q122" s="22">
        <f>'Activity data'!Q81*UDCPPEF*NtoN2O*kgtoGg</f>
        <v>0</v>
      </c>
      <c r="R122" s="22">
        <f>'Activity data'!R81*UDCPPEF*NtoN2O*kgtoGg</f>
        <v>0</v>
      </c>
      <c r="S122" s="22">
        <f>'Activity data'!S81*UDCPPEF*NtoN2O*kgtoGg</f>
        <v>0</v>
      </c>
      <c r="T122" s="22">
        <f>'Activity data'!T81*UDCPPEF*NtoN2O*kgtoGg</f>
        <v>0</v>
      </c>
      <c r="U122" s="22">
        <f>'Activity data'!U81*UDCPPEF*NtoN2O*kgtoGg</f>
        <v>0</v>
      </c>
      <c r="V122" s="22">
        <f>'Activity data'!V81*UDCPPEF*NtoN2O*kgtoGg</f>
        <v>0</v>
      </c>
      <c r="W122" s="22">
        <f>'Activity data'!W81*UDCPPEF*NtoN2O*kgtoGg</f>
        <v>0</v>
      </c>
      <c r="X122" s="22">
        <f>'Activity data'!X81*UDCPPEF*NtoN2O*kgtoGg</f>
        <v>0</v>
      </c>
      <c r="Y122" s="22">
        <f>'Activity data'!Y81*UDCPPEF*NtoN2O*kgtoGg</f>
        <v>0</v>
      </c>
      <c r="Z122" s="22">
        <f>'Activity data'!Z81*UDCPPEF*NtoN2O*kgtoGg</f>
        <v>0</v>
      </c>
      <c r="AA122" s="22">
        <f>'Activity data'!AA81*UDCPPEF*NtoN2O*kgtoGg</f>
        <v>0</v>
      </c>
      <c r="AB122" s="22">
        <f>'Activity data'!AB81*UDCPPEF*NtoN2O*kgtoGg</f>
        <v>0</v>
      </c>
      <c r="AC122" s="22">
        <f>'Activity data'!AC81*UDCPPEF*NtoN2O*kgtoGg</f>
        <v>0</v>
      </c>
      <c r="AD122" s="22">
        <f>'Activity data'!AD81*UDCPPEF*NtoN2O*kgtoGg</f>
        <v>0</v>
      </c>
      <c r="AE122" s="22">
        <f>'Activity data'!AE81*UDCPPEF*NtoN2O*kgtoGg</f>
        <v>0</v>
      </c>
      <c r="AF122" s="22">
        <f>'Activity data'!AF81*UDCPPEF*NtoN2O*kgtoGg</f>
        <v>0</v>
      </c>
      <c r="AG122" s="22">
        <f>'Activity data'!AG81*UDCPPEF*NtoN2O*kgtoGg</f>
        <v>0</v>
      </c>
      <c r="AH122" s="22">
        <f>'Activity data'!AH81*UDCPPEF*NtoN2O*kgtoGg</f>
        <v>0</v>
      </c>
      <c r="AI122" s="22">
        <f>'Activity data'!AI81*UDCPPEF*NtoN2O*kgtoGg</f>
        <v>0</v>
      </c>
      <c r="AJ122" s="22">
        <f>'Activity data'!AJ81*UDCPPEF*NtoN2O*kgtoGg</f>
        <v>0</v>
      </c>
      <c r="AK122" s="22">
        <f>'Activity data'!AK81*UDCPPEF*NtoN2O*kgtoGg</f>
        <v>0</v>
      </c>
      <c r="AL122" s="22">
        <f>'Activity data'!AL81*UDCPPEF*NtoN2O*kgtoGg</f>
        <v>0</v>
      </c>
      <c r="AM122" s="22">
        <f>'Activity data'!AM81*UDCPPEF*NtoN2O*kgtoGg</f>
        <v>0</v>
      </c>
      <c r="AN122" s="22">
        <f>'Activity data'!AN81*UDCPPEF*NtoN2O*kgtoGg</f>
        <v>0</v>
      </c>
      <c r="AO122" s="22">
        <f>'Activity data'!AO81*UDCPPEF*NtoN2O*kgtoGg</f>
        <v>0</v>
      </c>
      <c r="AP122" s="22">
        <f>'Activity data'!AP81*UDCPPEF*NtoN2O*kgtoGg</f>
        <v>0</v>
      </c>
      <c r="AQ122" s="22">
        <f>'Activity data'!AQ81*UDCPPEF*NtoN2O*kgtoGg</f>
        <v>0</v>
      </c>
      <c r="AR122" s="22">
        <f>'Activity data'!AR81*UDCPPEF*NtoN2O*kgtoGg</f>
        <v>0</v>
      </c>
      <c r="AS122" s="22">
        <f>'Activity data'!AS81*UDCPPEF*NtoN2O*kgtoGg</f>
        <v>0</v>
      </c>
      <c r="AT122" s="22">
        <f>'Activity data'!AT81*UDCPPEF*NtoN2O*kgtoGg</f>
        <v>0</v>
      </c>
      <c r="AU122" s="22">
        <f>'Activity data'!AU81*UDCPPEF*NtoN2O*kgtoGg</f>
        <v>0</v>
      </c>
      <c r="AV122" s="22">
        <f>'Activity data'!AV81*UDCPPEF*NtoN2O*kgtoGg</f>
        <v>0</v>
      </c>
      <c r="AW122" s="22">
        <f>'Activity data'!AW81*UDCPPEF*NtoN2O*kgtoGg</f>
        <v>0</v>
      </c>
      <c r="AX122" s="22">
        <f>'Activity data'!AX81*UDCPPEF*NtoN2O*kgtoGg</f>
        <v>0</v>
      </c>
      <c r="AY122" s="22">
        <f>'Activity data'!AY81*UDCPPEF*NtoN2O*kgtoGg</f>
        <v>0</v>
      </c>
      <c r="AZ122" s="22">
        <f>'Activity data'!AZ81*UDCPPEF*NtoN2O*kgtoGg</f>
        <v>0</v>
      </c>
      <c r="BA122" s="22">
        <f>'Activity data'!BA81*UDCPPEF*NtoN2O*kgtoGg</f>
        <v>0</v>
      </c>
      <c r="BB122" s="22">
        <f>'Activity data'!BB81*UDCPPEF*NtoN2O*kgtoGg</f>
        <v>0</v>
      </c>
      <c r="BC122" s="22">
        <f>'Activity data'!BC81*UDCPPEF*NtoN2O*kgtoGg</f>
        <v>0</v>
      </c>
      <c r="BD122" s="22">
        <f>'Activity data'!BD81*UDCPPEF*NtoN2O*kgtoGg</f>
        <v>0</v>
      </c>
      <c r="BE122" s="22">
        <f>'Activity data'!BE81*UDCPPEF*NtoN2O*kgtoGg</f>
        <v>0</v>
      </c>
      <c r="BF122" s="22">
        <f>'Activity data'!BF81*UDCPPEF*NtoN2O*kgtoGg</f>
        <v>0</v>
      </c>
      <c r="BG122" s="22">
        <f>'Activity data'!BG81*UDCPPEF*NtoN2O*kgtoGg</f>
        <v>0</v>
      </c>
      <c r="BH122" s="22">
        <f>'Activity data'!BH81*UDCPPEF*NtoN2O*kgtoGg</f>
        <v>0</v>
      </c>
      <c r="BI122" s="22">
        <f>'Activity data'!BI81*UDCPPEF*NtoN2O*kgtoGg</f>
        <v>0</v>
      </c>
      <c r="BJ122" s="22">
        <f>'Activity data'!BJ81*UDCPPEF*NtoN2O*kgtoGg</f>
        <v>0</v>
      </c>
      <c r="BK122" s="22">
        <f>'Activity data'!BK81*UDCPPEF*NtoN2O*kgtoGg</f>
        <v>0</v>
      </c>
      <c r="BL122" s="22">
        <f>'Activity data'!BL81*UDCPPEF*NtoN2O*kgtoGg</f>
        <v>0</v>
      </c>
      <c r="BM122" s="22">
        <f>'Activity data'!BM81*UDCPPEF*NtoN2O*kgtoGg</f>
        <v>0</v>
      </c>
      <c r="BN122" s="22">
        <f>'Activity data'!BN81*UDCPPEF*NtoN2O*kgtoGg</f>
        <v>0</v>
      </c>
      <c r="BO122" s="22">
        <f>'Activity data'!BO81*UDCPPEF*NtoN2O*kgtoGg</f>
        <v>0</v>
      </c>
      <c r="BP122" s="22">
        <f>'Activity data'!BP81*UDCPPEF*NtoN2O*kgtoGg</f>
        <v>0</v>
      </c>
    </row>
    <row r="123" spans="1:68" x14ac:dyDescent="0.3">
      <c r="A123" t="str">
        <f>A122</f>
        <v>3C Aggregated and non-CO2 emissions on land</v>
      </c>
      <c r="B123" t="str">
        <f t="shared" si="31"/>
        <v>3C4 Direct N2O from managed soils (N2O)</v>
      </c>
      <c r="C123" t="s">
        <v>60</v>
      </c>
      <c r="D123" t="str">
        <f>" - "&amp;'Activity data'!D87</f>
        <v xml:space="preserve"> - Forest remaining forest land</v>
      </c>
      <c r="E123" t="str">
        <f t="shared" si="32"/>
        <v>FSOM - Forest remaining forest land</v>
      </c>
      <c r="G123" t="str">
        <f t="shared" si="37"/>
        <v>Gg N2O</v>
      </c>
      <c r="H123" s="22" t="str">
        <f>IFERROR((('Activity data'!H87*(1/Constants!$H$135))*ttokg)*FSOMEF*NtoN2O*kgtoGg,"NO")</f>
        <v>NO</v>
      </c>
      <c r="I123" s="22" t="str">
        <f>IFERROR((('Activity data'!I87*(1/Constants!$H$135))*ttokg)*FSOMEF*NtoN2O*kgtoGg,"NO")</f>
        <v>NO</v>
      </c>
      <c r="J123" s="22" t="str">
        <f>IFERROR((('Activity data'!J87*(1/Constants!$H$135))*ttokg)*FSOMEF*NtoN2O*kgtoGg,"NO")</f>
        <v>NO</v>
      </c>
      <c r="K123" s="22" t="str">
        <f>IFERROR((('Activity data'!K87*(1/Constants!$H$135))*ttokg)*FSOMEF*NtoN2O*kgtoGg,"NO")</f>
        <v>NO</v>
      </c>
      <c r="L123" s="22" t="str">
        <f>IFERROR((('Activity data'!L87*(1/Constants!$H$135))*ttokg)*FSOMEF*NtoN2O*kgtoGg,"NO")</f>
        <v>NO</v>
      </c>
      <c r="M123" s="22" t="str">
        <f>IFERROR((('Activity data'!M87*(1/Constants!$H$135))*ttokg)*FSOMEF*NtoN2O*kgtoGg,"NO")</f>
        <v>NO</v>
      </c>
      <c r="N123" s="22" t="str">
        <f>IFERROR((('Activity data'!N87*(1/Constants!$H$135))*ttokg)*FSOMEF*NtoN2O*kgtoGg,"NO")</f>
        <v>NO</v>
      </c>
      <c r="O123" s="22" t="str">
        <f>IFERROR((('Activity data'!O87*(1/Constants!$H$135))*ttokg)*FSOMEF*NtoN2O*kgtoGg,"NO")</f>
        <v>NO</v>
      </c>
      <c r="P123" s="22" t="str">
        <f>IFERROR((('Activity data'!P87*(1/Constants!$H$135))*ttokg)*FSOMEF*NtoN2O*kgtoGg,"NO")</f>
        <v>NO</v>
      </c>
      <c r="Q123" s="22" t="str">
        <f>IFERROR((('Activity data'!Q87*(1/Constants!$H$135))*ttokg)*FSOMEF*NtoN2O*kgtoGg,"NO")</f>
        <v>NO</v>
      </c>
      <c r="R123" s="22" t="str">
        <f>IFERROR((('Activity data'!R87*(1/Constants!$H$135))*ttokg)*FSOMEF*NtoN2O*kgtoGg,"NO")</f>
        <v>NO</v>
      </c>
      <c r="S123" s="22" t="str">
        <f>IFERROR((('Activity data'!S87*(1/Constants!$H$135))*ttokg)*FSOMEF*NtoN2O*kgtoGg,"NO")</f>
        <v>NO</v>
      </c>
      <c r="T123" s="22" t="str">
        <f>IFERROR((('Activity data'!T87*(1/Constants!$H$135))*ttokg)*FSOMEF*NtoN2O*kgtoGg,"NO")</f>
        <v>NO</v>
      </c>
      <c r="U123" s="22" t="str">
        <f>IFERROR((('Activity data'!U87*(1/Constants!$H$135))*ttokg)*FSOMEF*NtoN2O*kgtoGg,"NO")</f>
        <v>NO</v>
      </c>
      <c r="V123" s="22" t="str">
        <f>IFERROR((('Activity data'!V87*(1/Constants!$H$135))*ttokg)*FSOMEF*NtoN2O*kgtoGg,"NO")</f>
        <v>NO</v>
      </c>
      <c r="W123" s="22" t="str">
        <f>IFERROR((('Activity data'!W87*(1/Constants!$H$135))*ttokg)*FSOMEF*NtoN2O*kgtoGg,"NO")</f>
        <v>NO</v>
      </c>
      <c r="X123" s="22" t="str">
        <f>IFERROR((('Activity data'!X87*(1/Constants!$H$135))*ttokg)*FSOMEF*NtoN2O*kgtoGg,"NO")</f>
        <v>NO</v>
      </c>
      <c r="Y123" s="22" t="str">
        <f>IFERROR((('Activity data'!Y87*(1/Constants!$H$135))*ttokg)*FSOMEF*NtoN2O*kgtoGg,"NO")</f>
        <v>NO</v>
      </c>
      <c r="Z123" s="22" t="str">
        <f>IFERROR((('Activity data'!Z87*(1/Constants!$H$135))*ttokg)*FSOMEF*NtoN2O*kgtoGg,"NO")</f>
        <v>NO</v>
      </c>
      <c r="AA123" s="22" t="str">
        <f>IFERROR((('Activity data'!AA87*(1/Constants!$H$135))*ttokg)*FSOMEF*NtoN2O*kgtoGg,"NO")</f>
        <v>NO</v>
      </c>
      <c r="AB123" s="22" t="str">
        <f>IFERROR((('Activity data'!AB87*(1/Constants!$H$135))*ttokg)*FSOMEF*NtoN2O*kgtoGg,"NO")</f>
        <v>NO</v>
      </c>
      <c r="AC123" s="22" t="str">
        <f>IFERROR((('Activity data'!AC87*(1/Constants!$H$135))*ttokg)*FSOMEF*NtoN2O*kgtoGg,"NO")</f>
        <v>NO</v>
      </c>
      <c r="AD123" s="22" t="str">
        <f>IFERROR((('Activity data'!AD87*(1/Constants!$H$135))*ttokg)*FSOMEF*NtoN2O*kgtoGg,"NO")</f>
        <v>NO</v>
      </c>
      <c r="AE123" s="22" t="str">
        <f>IFERROR((('Activity data'!AE87*(1/Constants!$H$135))*ttokg)*FSOMEF*NtoN2O*kgtoGg,"NO")</f>
        <v>NO</v>
      </c>
      <c r="AF123" s="22" t="str">
        <f>IFERROR((('Activity data'!AF87*(1/Constants!$H$135))*ttokg)*FSOMEF*NtoN2O*kgtoGg,"NO")</f>
        <v>NO</v>
      </c>
      <c r="AG123" s="22" t="str">
        <f>IFERROR((('Activity data'!AG87*(1/Constants!$H$135))*ttokg)*FSOMEF*NtoN2O*kgtoGg,"NO")</f>
        <v>NO</v>
      </c>
      <c r="AH123" s="22" t="str">
        <f>IFERROR((('Activity data'!AH87*(1/Constants!$H$135))*ttokg)*FSOMEF*NtoN2O*kgtoGg,"NO")</f>
        <v>NO</v>
      </c>
      <c r="AI123" s="22" t="str">
        <f>IFERROR((('Activity data'!AI87*(1/Constants!$H$135))*ttokg)*FSOMEF*NtoN2O*kgtoGg,"NO")</f>
        <v>NO</v>
      </c>
      <c r="AJ123" s="22" t="str">
        <f>IFERROR((('Activity data'!AJ87*(1/Constants!$H$135))*ttokg)*FSOMEF*NtoN2O*kgtoGg,"NO")</f>
        <v>NO</v>
      </c>
      <c r="AK123" s="22" t="str">
        <f>IFERROR((('Activity data'!AK87*(1/Constants!$H$135))*ttokg)*FSOMEF*NtoN2O*kgtoGg,"NO")</f>
        <v>NO</v>
      </c>
      <c r="AL123" s="22" t="str">
        <f>IFERROR((('Activity data'!AL87*(1/Constants!$H$135))*ttokg)*FSOMEF*NtoN2O*kgtoGg,"NO")</f>
        <v>NO</v>
      </c>
      <c r="AM123" s="22" t="str">
        <f>IFERROR((('Activity data'!AM87*(1/Constants!$H$135))*ttokg)*FSOMEF*NtoN2O*kgtoGg,"NO")</f>
        <v>NO</v>
      </c>
      <c r="AN123" s="22" t="str">
        <f>IFERROR((('Activity data'!AN87*(1/Constants!$H$135))*ttokg)*FSOMEF*NtoN2O*kgtoGg,"NO")</f>
        <v>NO</v>
      </c>
      <c r="AO123" s="22" t="str">
        <f>IFERROR((('Activity data'!AO87*(1/Constants!$H$135))*ttokg)*FSOMEF*NtoN2O*kgtoGg,"NO")</f>
        <v>NO</v>
      </c>
      <c r="AP123" s="22" t="str">
        <f>IFERROR((('Activity data'!AP87*(1/Constants!$H$135))*ttokg)*FSOMEF*NtoN2O*kgtoGg,"NO")</f>
        <v>NO</v>
      </c>
      <c r="AQ123" s="22" t="str">
        <f>IFERROR((('Activity data'!AQ87*(1/Constants!$H$135))*ttokg)*FSOMEF*NtoN2O*kgtoGg,"NO")</f>
        <v>NO</v>
      </c>
      <c r="AR123" s="22" t="str">
        <f>IFERROR((('Activity data'!AR87*(1/Constants!$H$135))*ttokg)*FSOMEF*NtoN2O*kgtoGg,"NO")</f>
        <v>NO</v>
      </c>
      <c r="AS123" s="22" t="str">
        <f>IFERROR((('Activity data'!AS87*(1/Constants!$H$135))*ttokg)*FSOMEF*NtoN2O*kgtoGg,"NO")</f>
        <v>NO</v>
      </c>
      <c r="AT123" s="22" t="str">
        <f>IFERROR((('Activity data'!AT87*(1/Constants!$H$135))*ttokg)*FSOMEF*NtoN2O*kgtoGg,"NO")</f>
        <v>NO</v>
      </c>
      <c r="AU123" s="22" t="str">
        <f>IFERROR((('Activity data'!AU87*(1/Constants!$H$135))*ttokg)*FSOMEF*NtoN2O*kgtoGg,"NO")</f>
        <v>NO</v>
      </c>
      <c r="AV123" s="22" t="str">
        <f>IFERROR((('Activity data'!AV87*(1/Constants!$H$135))*ttokg)*FSOMEF*NtoN2O*kgtoGg,"NO")</f>
        <v>NO</v>
      </c>
      <c r="AW123" s="22" t="str">
        <f>IFERROR((('Activity data'!AW87*(1/Constants!$H$135))*ttokg)*FSOMEF*NtoN2O*kgtoGg,"NO")</f>
        <v>NO</v>
      </c>
      <c r="AX123" s="22" t="str">
        <f>IFERROR((('Activity data'!AX87*(1/Constants!$H$135))*ttokg)*FSOMEF*NtoN2O*kgtoGg,"NO")</f>
        <v>NO</v>
      </c>
      <c r="AY123" s="22" t="str">
        <f>IFERROR((('Activity data'!AY87*(1/Constants!$H$135))*ttokg)*FSOMEF*NtoN2O*kgtoGg,"NO")</f>
        <v>NO</v>
      </c>
      <c r="AZ123" s="22" t="str">
        <f>IFERROR((('Activity data'!AZ87*(1/Constants!$H$135))*ttokg)*FSOMEF*NtoN2O*kgtoGg,"NO")</f>
        <v>NO</v>
      </c>
      <c r="BA123" s="22" t="str">
        <f>IFERROR((('Activity data'!BA87*(1/Constants!$H$135))*ttokg)*FSOMEF*NtoN2O*kgtoGg,"NO")</f>
        <v>NO</v>
      </c>
      <c r="BB123" s="22" t="str">
        <f>IFERROR((('Activity data'!BB87*(1/Constants!$H$135))*ttokg)*FSOMEF*NtoN2O*kgtoGg,"NO")</f>
        <v>NO</v>
      </c>
      <c r="BC123" s="22" t="str">
        <f>IFERROR((('Activity data'!BC87*(1/Constants!$H$135))*ttokg)*FSOMEF*NtoN2O*kgtoGg,"NO")</f>
        <v>NO</v>
      </c>
      <c r="BD123" s="22" t="str">
        <f>IFERROR((('Activity data'!BD87*(1/Constants!$H$135))*ttokg)*FSOMEF*NtoN2O*kgtoGg,"NO")</f>
        <v>NO</v>
      </c>
      <c r="BE123" s="22" t="str">
        <f>IFERROR((('Activity data'!BE87*(1/Constants!$H$135))*ttokg)*FSOMEF*NtoN2O*kgtoGg,"NO")</f>
        <v>NO</v>
      </c>
      <c r="BF123" s="22" t="str">
        <f>IFERROR((('Activity data'!BF87*(1/Constants!$H$135))*ttokg)*FSOMEF*NtoN2O*kgtoGg,"NO")</f>
        <v>NO</v>
      </c>
      <c r="BG123" s="22" t="str">
        <f>IFERROR((('Activity data'!BG87*(1/Constants!$H$135))*ttokg)*FSOMEF*NtoN2O*kgtoGg,"NO")</f>
        <v>NO</v>
      </c>
      <c r="BH123" s="22" t="str">
        <f>IFERROR((('Activity data'!BH87*(1/Constants!$H$135))*ttokg)*FSOMEF*NtoN2O*kgtoGg,"NO")</f>
        <v>NO</v>
      </c>
      <c r="BI123" s="22" t="str">
        <f>IFERROR((('Activity data'!BI87*(1/Constants!$H$135))*ttokg)*FSOMEF*NtoN2O*kgtoGg,"NO")</f>
        <v>NO</v>
      </c>
      <c r="BJ123" s="22" t="str">
        <f>IFERROR((('Activity data'!BJ87*(1/Constants!$H$135))*ttokg)*FSOMEF*NtoN2O*kgtoGg,"NO")</f>
        <v>NO</v>
      </c>
      <c r="BK123" s="22" t="str">
        <f>IFERROR((('Activity data'!BK87*(1/Constants!$H$135))*ttokg)*FSOMEF*NtoN2O*kgtoGg,"NO")</f>
        <v>NO</v>
      </c>
      <c r="BL123" s="22" t="str">
        <f>IFERROR((('Activity data'!BL87*(1/Constants!$H$135))*ttokg)*FSOMEF*NtoN2O*kgtoGg,"NO")</f>
        <v>NO</v>
      </c>
      <c r="BM123" s="22" t="str">
        <f>IFERROR((('Activity data'!BM87*(1/Constants!$H$135))*ttokg)*FSOMEF*NtoN2O*kgtoGg,"NO")</f>
        <v>NO</v>
      </c>
      <c r="BN123" s="22" t="str">
        <f>IFERROR((('Activity data'!BN87*(1/Constants!$H$135))*ttokg)*FSOMEF*NtoN2O*kgtoGg,"NO")</f>
        <v>NO</v>
      </c>
      <c r="BO123" s="22" t="str">
        <f>IFERROR((('Activity data'!BO87*(1/Constants!$H$135))*ttokg)*FSOMEF*NtoN2O*kgtoGg,"NO")</f>
        <v>NO</v>
      </c>
      <c r="BP123" s="22" t="str">
        <f>IFERROR((('Activity data'!BP87*(1/Constants!$H$135))*ttokg)*FSOMEF*NtoN2O*kgtoGg,"NO")</f>
        <v>NO</v>
      </c>
    </row>
    <row r="124" spans="1:68" x14ac:dyDescent="0.3">
      <c r="A124" t="str">
        <f t="shared" ref="A124:A134" si="39">A123</f>
        <v>3C Aggregated and non-CO2 emissions on land</v>
      </c>
      <c r="B124" t="str">
        <f t="shared" si="31"/>
        <v>3C4 Direct N2O from managed soils (N2O)</v>
      </c>
      <c r="C124" t="s">
        <v>60</v>
      </c>
      <c r="D124" t="str">
        <f>" - "&amp;'Activity data'!D88</f>
        <v xml:space="preserve"> - Land converted to forest land</v>
      </c>
      <c r="E124" t="str">
        <f t="shared" ref="E124:E128" si="40">C124&amp;D124</f>
        <v>FSOM - Land converted to forest land</v>
      </c>
      <c r="G124" t="str">
        <f t="shared" si="37"/>
        <v>Gg N2O</v>
      </c>
      <c r="H124" s="22" t="str">
        <f>IFERROR(('Activity data'!H88*(1/Constants!$H$135))*ttokg*FSOMEF*NtoN2O*kgtoGg,"NO")</f>
        <v>NO</v>
      </c>
      <c r="I124" s="22" t="str">
        <f>IFERROR(('Activity data'!I88*(1/Constants!$H$135))*ttokg*FSOMEF*NtoN2O*kgtoGg,"NO")</f>
        <v>NO</v>
      </c>
      <c r="J124" s="22" t="str">
        <f>IFERROR(('Activity data'!J88*(1/Constants!$H$135))*ttokg*FSOMEF*NtoN2O*kgtoGg,"NO")</f>
        <v>NO</v>
      </c>
      <c r="K124" s="22" t="str">
        <f>IFERROR(('Activity data'!K88*(1/Constants!$H$135))*ttokg*FSOMEF*NtoN2O*kgtoGg,"NO")</f>
        <v>NO</v>
      </c>
      <c r="L124" s="22" t="str">
        <f>IFERROR(('Activity data'!L88*(1/Constants!$H$135))*ttokg*FSOMEF*NtoN2O*kgtoGg,"NO")</f>
        <v>NO</v>
      </c>
      <c r="M124" s="22" t="str">
        <f>IFERROR(('Activity data'!M88*(1/Constants!$H$135))*ttokg*FSOMEF*NtoN2O*kgtoGg,"NO")</f>
        <v>NO</v>
      </c>
      <c r="N124" s="22" t="str">
        <f>IFERROR(('Activity data'!N88*(1/Constants!$H$135))*ttokg*FSOMEF*NtoN2O*kgtoGg,"NO")</f>
        <v>NO</v>
      </c>
      <c r="O124" s="22" t="str">
        <f>IFERROR(('Activity data'!O88*(1/Constants!$H$135))*ttokg*FSOMEF*NtoN2O*kgtoGg,"NO")</f>
        <v>NO</v>
      </c>
      <c r="P124" s="22" t="str">
        <f>IFERROR(('Activity data'!P88*(1/Constants!$H$135))*ttokg*FSOMEF*NtoN2O*kgtoGg,"NO")</f>
        <v>NO</v>
      </c>
      <c r="Q124" s="22" t="str">
        <f>IFERROR(('Activity data'!Q88*(1/Constants!$H$135))*ttokg*FSOMEF*NtoN2O*kgtoGg,"NO")</f>
        <v>NO</v>
      </c>
      <c r="R124" s="22" t="str">
        <f>IFERROR(('Activity data'!R88*(1/Constants!$H$135))*ttokg*FSOMEF*NtoN2O*kgtoGg,"NO")</f>
        <v>NO</v>
      </c>
      <c r="S124" s="22" t="str">
        <f>IFERROR(('Activity data'!S88*(1/Constants!$H$135))*ttokg*FSOMEF*NtoN2O*kgtoGg,"NO")</f>
        <v>NO</v>
      </c>
      <c r="T124" s="22" t="str">
        <f>IFERROR(('Activity data'!T88*(1/Constants!$H$135))*ttokg*FSOMEF*NtoN2O*kgtoGg,"NO")</f>
        <v>NO</v>
      </c>
      <c r="U124" s="22" t="str">
        <f>IFERROR(('Activity data'!U88*(1/Constants!$H$135))*ttokg*FSOMEF*NtoN2O*kgtoGg,"NO")</f>
        <v>NO</v>
      </c>
      <c r="V124" s="22" t="str">
        <f>IFERROR(('Activity data'!V88*(1/Constants!$H$135))*ttokg*FSOMEF*NtoN2O*kgtoGg,"NO")</f>
        <v>NO</v>
      </c>
      <c r="W124" s="22" t="str">
        <f>IFERROR(('Activity data'!W88*(1/Constants!$H$135))*ttokg*FSOMEF*NtoN2O*kgtoGg,"NO")</f>
        <v>NO</v>
      </c>
      <c r="X124" s="22" t="str">
        <f>IFERROR(('Activity data'!X88*(1/Constants!$H$135))*ttokg*FSOMEF*NtoN2O*kgtoGg,"NO")</f>
        <v>NO</v>
      </c>
      <c r="Y124" s="22" t="str">
        <f>IFERROR(('Activity data'!Y88*(1/Constants!$H$135))*ttokg*FSOMEF*NtoN2O*kgtoGg,"NO")</f>
        <v>NO</v>
      </c>
      <c r="Z124" s="22" t="str">
        <f>IFERROR(('Activity data'!Z88*(1/Constants!$H$135))*ttokg*FSOMEF*NtoN2O*kgtoGg,"NO")</f>
        <v>NO</v>
      </c>
      <c r="AA124" s="22" t="str">
        <f>IFERROR(('Activity data'!AA88*(1/Constants!$H$135))*ttokg*FSOMEF*NtoN2O*kgtoGg,"NO")</f>
        <v>NO</v>
      </c>
      <c r="AB124" s="22" t="str">
        <f>IFERROR(('Activity data'!AB88*(1/Constants!$H$135))*ttokg*FSOMEF*NtoN2O*kgtoGg,"NO")</f>
        <v>NO</v>
      </c>
      <c r="AC124" s="22" t="str">
        <f>IFERROR(('Activity data'!AC88*(1/Constants!$H$135))*ttokg*FSOMEF*NtoN2O*kgtoGg,"NO")</f>
        <v>NO</v>
      </c>
      <c r="AD124" s="22" t="str">
        <f>IFERROR(('Activity data'!AD88*(1/Constants!$H$135))*ttokg*FSOMEF*NtoN2O*kgtoGg,"NO")</f>
        <v>NO</v>
      </c>
      <c r="AE124" s="22" t="str">
        <f>IFERROR(('Activity data'!AE88*(1/Constants!$H$135))*ttokg*FSOMEF*NtoN2O*kgtoGg,"NO")</f>
        <v>NO</v>
      </c>
      <c r="AF124" s="22" t="str">
        <f>IFERROR(('Activity data'!AF88*(1/Constants!$H$135))*ttokg*FSOMEF*NtoN2O*kgtoGg,"NO")</f>
        <v>NO</v>
      </c>
      <c r="AG124" s="22" t="str">
        <f>IFERROR(('Activity data'!AG88*(1/Constants!$H$135))*ttokg*FSOMEF*NtoN2O*kgtoGg,"NO")</f>
        <v>NO</v>
      </c>
      <c r="AH124" s="22" t="str">
        <f>IFERROR(('Activity data'!AH88*(1/Constants!$H$135))*ttokg*FSOMEF*NtoN2O*kgtoGg,"NO")</f>
        <v>NO</v>
      </c>
      <c r="AI124" s="22" t="str">
        <f>IFERROR(('Activity data'!AI88*(1/Constants!$H$135))*ttokg*FSOMEF*NtoN2O*kgtoGg,"NO")</f>
        <v>NO</v>
      </c>
      <c r="AJ124" s="22" t="str">
        <f>IFERROR(('Activity data'!AJ88*(1/Constants!$H$135))*ttokg*FSOMEF*NtoN2O*kgtoGg,"NO")</f>
        <v>NO</v>
      </c>
      <c r="AK124" s="22" t="str">
        <f>IFERROR(('Activity data'!AK88*(1/Constants!$H$135))*ttokg*FSOMEF*NtoN2O*kgtoGg,"NO")</f>
        <v>NO</v>
      </c>
      <c r="AL124" s="22" t="str">
        <f>IFERROR(('Activity data'!AL88*(1/Constants!$H$135))*ttokg*FSOMEF*NtoN2O*kgtoGg,"NO")</f>
        <v>NO</v>
      </c>
      <c r="AM124" s="22" t="str">
        <f>IFERROR(('Activity data'!AM88*(1/Constants!$H$135))*ttokg*FSOMEF*NtoN2O*kgtoGg,"NO")</f>
        <v>NO</v>
      </c>
      <c r="AN124" s="22" t="str">
        <f>IFERROR(('Activity data'!AN88*(1/Constants!$H$135))*ttokg*FSOMEF*NtoN2O*kgtoGg,"NO")</f>
        <v>NO</v>
      </c>
      <c r="AO124" s="22" t="str">
        <f>IFERROR(('Activity data'!AO88*(1/Constants!$H$135))*ttokg*FSOMEF*NtoN2O*kgtoGg,"NO")</f>
        <v>NO</v>
      </c>
      <c r="AP124" s="22" t="str">
        <f>IFERROR(('Activity data'!AP88*(1/Constants!$H$135))*ttokg*FSOMEF*NtoN2O*kgtoGg,"NO")</f>
        <v>NO</v>
      </c>
      <c r="AQ124" s="22" t="str">
        <f>IFERROR(('Activity data'!AQ88*(1/Constants!$H$135))*ttokg*FSOMEF*NtoN2O*kgtoGg,"NO")</f>
        <v>NO</v>
      </c>
      <c r="AR124" s="22" t="str">
        <f>IFERROR(('Activity data'!AR88*(1/Constants!$H$135))*ttokg*FSOMEF*NtoN2O*kgtoGg,"NO")</f>
        <v>NO</v>
      </c>
      <c r="AS124" s="22" t="str">
        <f>IFERROR(('Activity data'!AS88*(1/Constants!$H$135))*ttokg*FSOMEF*NtoN2O*kgtoGg,"NO")</f>
        <v>NO</v>
      </c>
      <c r="AT124" s="22" t="str">
        <f>IFERROR(('Activity data'!AT88*(1/Constants!$H$135))*ttokg*FSOMEF*NtoN2O*kgtoGg,"NO")</f>
        <v>NO</v>
      </c>
      <c r="AU124" s="22" t="str">
        <f>IFERROR(('Activity data'!AU88*(1/Constants!$H$135))*ttokg*FSOMEF*NtoN2O*kgtoGg,"NO")</f>
        <v>NO</v>
      </c>
      <c r="AV124" s="22" t="str">
        <f>IFERROR(('Activity data'!AV88*(1/Constants!$H$135))*ttokg*FSOMEF*NtoN2O*kgtoGg,"NO")</f>
        <v>NO</v>
      </c>
      <c r="AW124" s="22" t="str">
        <f>IFERROR(('Activity data'!AW88*(1/Constants!$H$135))*ttokg*FSOMEF*NtoN2O*kgtoGg,"NO")</f>
        <v>NO</v>
      </c>
      <c r="AX124" s="22" t="str">
        <f>IFERROR(('Activity data'!AX88*(1/Constants!$H$135))*ttokg*FSOMEF*NtoN2O*kgtoGg,"NO")</f>
        <v>NO</v>
      </c>
      <c r="AY124" s="22" t="str">
        <f>IFERROR(('Activity data'!AY88*(1/Constants!$H$135))*ttokg*FSOMEF*NtoN2O*kgtoGg,"NO")</f>
        <v>NO</v>
      </c>
      <c r="AZ124" s="22" t="str">
        <f>IFERROR(('Activity data'!AZ88*(1/Constants!$H$135))*ttokg*FSOMEF*NtoN2O*kgtoGg,"NO")</f>
        <v>NO</v>
      </c>
      <c r="BA124" s="22" t="str">
        <f>IFERROR(('Activity data'!BA88*(1/Constants!$H$135))*ttokg*FSOMEF*NtoN2O*kgtoGg,"NO")</f>
        <v>NO</v>
      </c>
      <c r="BB124" s="22" t="str">
        <f>IFERROR(('Activity data'!BB88*(1/Constants!$H$135))*ttokg*FSOMEF*NtoN2O*kgtoGg,"NO")</f>
        <v>NO</v>
      </c>
      <c r="BC124" s="22" t="str">
        <f>IFERROR(('Activity data'!BC88*(1/Constants!$H$135))*ttokg*FSOMEF*NtoN2O*kgtoGg,"NO")</f>
        <v>NO</v>
      </c>
      <c r="BD124" s="22" t="str">
        <f>IFERROR(('Activity data'!BD88*(1/Constants!$H$135))*ttokg*FSOMEF*NtoN2O*kgtoGg,"NO")</f>
        <v>NO</v>
      </c>
      <c r="BE124" s="22" t="str">
        <f>IFERROR(('Activity data'!BE88*(1/Constants!$H$135))*ttokg*FSOMEF*NtoN2O*kgtoGg,"NO")</f>
        <v>NO</v>
      </c>
      <c r="BF124" s="22" t="str">
        <f>IFERROR(('Activity data'!BF88*(1/Constants!$H$135))*ttokg*FSOMEF*NtoN2O*kgtoGg,"NO")</f>
        <v>NO</v>
      </c>
      <c r="BG124" s="22" t="str">
        <f>IFERROR(('Activity data'!BG88*(1/Constants!$H$135))*ttokg*FSOMEF*NtoN2O*kgtoGg,"NO")</f>
        <v>NO</v>
      </c>
      <c r="BH124" s="22" t="str">
        <f>IFERROR(('Activity data'!BH88*(1/Constants!$H$135))*ttokg*FSOMEF*NtoN2O*kgtoGg,"NO")</f>
        <v>NO</v>
      </c>
      <c r="BI124" s="22" t="str">
        <f>IFERROR(('Activity data'!BI88*(1/Constants!$H$135))*ttokg*FSOMEF*NtoN2O*kgtoGg,"NO")</f>
        <v>NO</v>
      </c>
      <c r="BJ124" s="22" t="str">
        <f>IFERROR(('Activity data'!BJ88*(1/Constants!$H$135))*ttokg*FSOMEF*NtoN2O*kgtoGg,"NO")</f>
        <v>NO</v>
      </c>
      <c r="BK124" s="22" t="str">
        <f>IFERROR(('Activity data'!BK88*(1/Constants!$H$135))*ttokg*FSOMEF*NtoN2O*kgtoGg,"NO")</f>
        <v>NO</v>
      </c>
      <c r="BL124" s="22" t="str">
        <f>IFERROR(('Activity data'!BL88*(1/Constants!$H$135))*ttokg*FSOMEF*NtoN2O*kgtoGg,"NO")</f>
        <v>NO</v>
      </c>
      <c r="BM124" s="22" t="str">
        <f>IFERROR(('Activity data'!BM88*(1/Constants!$H$135))*ttokg*FSOMEF*NtoN2O*kgtoGg,"NO")</f>
        <v>NO</v>
      </c>
      <c r="BN124" s="22" t="str">
        <f>IFERROR(('Activity data'!BN88*(1/Constants!$H$135))*ttokg*FSOMEF*NtoN2O*kgtoGg,"NO")</f>
        <v>NO</v>
      </c>
      <c r="BO124" s="22" t="str">
        <f>IFERROR(('Activity data'!BO88*(1/Constants!$H$135))*ttokg*FSOMEF*NtoN2O*kgtoGg,"NO")</f>
        <v>NO</v>
      </c>
      <c r="BP124" s="22" t="str">
        <f>IFERROR(('Activity data'!BP88*(1/Constants!$H$135))*ttokg*FSOMEF*NtoN2O*kgtoGg,"NO")</f>
        <v>NO</v>
      </c>
    </row>
    <row r="125" spans="1:68" x14ac:dyDescent="0.3">
      <c r="A125" t="str">
        <f t="shared" si="39"/>
        <v>3C Aggregated and non-CO2 emissions on land</v>
      </c>
      <c r="B125" t="str">
        <f t="shared" si="31"/>
        <v>3C4 Direct N2O from managed soils (N2O)</v>
      </c>
      <c r="C125" t="s">
        <v>60</v>
      </c>
      <c r="D125" t="str">
        <f>" - "&amp;'Activity data'!D89</f>
        <v xml:space="preserve"> - Cropland remaining cropland</v>
      </c>
      <c r="E125" t="str">
        <f t="shared" si="40"/>
        <v>FSOM - Cropland remaining cropland</v>
      </c>
      <c r="G125" t="str">
        <f t="shared" si="37"/>
        <v>Gg N2O</v>
      </c>
      <c r="H125" s="22" t="str">
        <f>IFERROR(('Activity data'!H89*(1/Constants!$H$135))*ttokg*FSOMEF*NtoN2O*kgtoGg,"NO")</f>
        <v>NO</v>
      </c>
      <c r="I125" s="22">
        <f>IFERROR(('Activity data'!I89*(1/Constants!$H$135))*ttokg*FSOMEF*NtoN2O*kgtoGg,"NO")</f>
        <v>4.4409793738676062E-4</v>
      </c>
      <c r="J125" s="22">
        <f>IFERROR(('Activity data'!J89*(1/Constants!$H$135))*ttokg*FSOMEF*NtoN2O*kgtoGg,"NO")</f>
        <v>4.4409793738676062E-4</v>
      </c>
      <c r="K125" s="22">
        <f>IFERROR(('Activity data'!K89*(1/Constants!$H$135))*ttokg*FSOMEF*NtoN2O*kgtoGg,"NO")</f>
        <v>4.4409793738676062E-4</v>
      </c>
      <c r="L125" s="22">
        <f>IFERROR(('Activity data'!L89*(1/Constants!$H$135))*ttokg*FSOMEF*NtoN2O*kgtoGg,"NO")</f>
        <v>4.4409793738676062E-4</v>
      </c>
      <c r="M125" s="22">
        <f>IFERROR(('Activity data'!M89*(1/Constants!$H$135))*ttokg*FSOMEF*NtoN2O*kgtoGg,"NO")</f>
        <v>4.4409793738676062E-4</v>
      </c>
      <c r="N125" s="22">
        <f>IFERROR(('Activity data'!N89*(1/Constants!$H$135))*ttokg*FSOMEF*NtoN2O*kgtoGg,"NO")</f>
        <v>4.4409793738676062E-4</v>
      </c>
      <c r="O125" s="22">
        <f>IFERROR(('Activity data'!O89*(1/Constants!$H$135))*ttokg*FSOMEF*NtoN2O*kgtoGg,"NO")</f>
        <v>4.4409793738676062E-4</v>
      </c>
      <c r="P125" s="22">
        <f>IFERROR(('Activity data'!P89*(1/Constants!$H$135))*ttokg*FSOMEF*NtoN2O*kgtoGg,"NO")</f>
        <v>4.4409793738676062E-4</v>
      </c>
      <c r="Q125" s="22">
        <f>IFERROR(('Activity data'!Q89*(1/Constants!$H$135))*ttokg*FSOMEF*NtoN2O*kgtoGg,"NO")</f>
        <v>4.4409793738676062E-4</v>
      </c>
      <c r="R125" s="22">
        <f>IFERROR(('Activity data'!R89*(1/Constants!$H$135))*ttokg*FSOMEF*NtoN2O*kgtoGg,"NO")</f>
        <v>4.4409793738676062E-4</v>
      </c>
      <c r="S125" s="22">
        <f>IFERROR(('Activity data'!S89*(1/Constants!$H$135))*ttokg*FSOMEF*NtoN2O*kgtoGg,"NO")</f>
        <v>4.4409793738676062E-4</v>
      </c>
      <c r="T125" s="22">
        <f>IFERROR(('Activity data'!T89*(1/Constants!$H$135))*ttokg*FSOMEF*NtoN2O*kgtoGg,"NO")</f>
        <v>4.4409793738676062E-4</v>
      </c>
      <c r="U125" s="22">
        <f>IFERROR(('Activity data'!U89*(1/Constants!$H$135))*ttokg*FSOMEF*NtoN2O*kgtoGg,"NO")</f>
        <v>4.4409793738676062E-4</v>
      </c>
      <c r="V125" s="22">
        <f>IFERROR(('Activity data'!V89*(1/Constants!$H$135))*ttokg*FSOMEF*NtoN2O*kgtoGg,"NO")</f>
        <v>4.4409793738676062E-4</v>
      </c>
      <c r="W125" s="22">
        <f>IFERROR(('Activity data'!W89*(1/Constants!$H$135))*ttokg*FSOMEF*NtoN2O*kgtoGg,"NO")</f>
        <v>4.4409793738676062E-4</v>
      </c>
      <c r="X125" s="22">
        <f>IFERROR(('Activity data'!X89*(1/Constants!$H$135))*ttokg*FSOMEF*NtoN2O*kgtoGg,"NO")</f>
        <v>4.4409793738676062E-4</v>
      </c>
      <c r="Y125" s="22">
        <f>IFERROR(('Activity data'!Y89*(1/Constants!$H$135))*ttokg*FSOMEF*NtoN2O*kgtoGg,"NO")</f>
        <v>4.4409793738676062E-4</v>
      </c>
      <c r="Z125" s="22">
        <f>IFERROR(('Activity data'!Z89*(1/Constants!$H$135))*ttokg*FSOMEF*NtoN2O*kgtoGg,"NO")</f>
        <v>4.4409793738676062E-4</v>
      </c>
      <c r="AA125" s="22">
        <f>IFERROR(('Activity data'!AA89*(1/Constants!$H$135))*ttokg*FSOMEF*NtoN2O*kgtoGg,"NO")</f>
        <v>4.4409793738676062E-4</v>
      </c>
      <c r="AB125" s="22">
        <f>IFERROR(('Activity data'!AB89*(1/Constants!$H$135))*ttokg*FSOMEF*NtoN2O*kgtoGg,"NO")</f>
        <v>4.4409793738676062E-4</v>
      </c>
      <c r="AC125" s="22">
        <f>IFERROR(('Activity data'!AC89*(1/Constants!$H$135))*ttokg*FSOMEF*NtoN2O*kgtoGg,"NO")</f>
        <v>4.4409793738676062E-4</v>
      </c>
      <c r="AD125" s="22">
        <f>IFERROR(('Activity data'!AD89*(1/Constants!$H$135))*ttokg*FSOMEF*NtoN2O*kgtoGg,"NO")</f>
        <v>3.4398813895090996E-3</v>
      </c>
      <c r="AE125" s="22">
        <f>IFERROR(('Activity data'!AE89*(1/Constants!$H$135))*ttokg*FSOMEF*NtoN2O*kgtoGg,"NO")</f>
        <v>3.4358310252377683E-3</v>
      </c>
      <c r="AF125" s="22">
        <f>IFERROR(('Activity data'!AF89*(1/Constants!$H$135))*ttokg*FSOMEF*NtoN2O*kgtoGg,"NO")</f>
        <v>3.4317806609664363E-3</v>
      </c>
      <c r="AG125" s="22">
        <f>IFERROR(('Activity data'!AG89*(1/Constants!$H$135))*ttokg*FSOMEF*NtoN2O*kgtoGg,"NO")</f>
        <v>3.4277302966951037E-3</v>
      </c>
      <c r="AH125" s="22">
        <f>IFERROR(('Activity data'!AH89*(1/Constants!$H$135))*ttokg*FSOMEF*NtoN2O*kgtoGg,"NO")</f>
        <v>3.4236799324237725E-3</v>
      </c>
      <c r="AI125" s="22">
        <f>IFERROR(('Activity data'!AI89*(1/Constants!$H$135))*ttokg*FSOMEF*NtoN2O*kgtoGg,"NO")</f>
        <v>3.4196295681524396E-3</v>
      </c>
      <c r="AJ125" s="22">
        <f>IFERROR(('Activity data'!AJ89*(1/Constants!$H$135))*ttokg*FSOMEF*NtoN2O*kgtoGg,"NO")</f>
        <v>3.4155792038811079E-3</v>
      </c>
      <c r="AK125" s="22">
        <f>IFERROR(('Activity data'!AK89*(1/Constants!$H$135))*ttokg*FSOMEF*NtoN2O*kgtoGg,"NO")</f>
        <v>3.4115288396097763E-3</v>
      </c>
      <c r="AL125" s="22">
        <f>IFERROR(('Activity data'!AL89*(1/Constants!$H$135))*ttokg*FSOMEF*NtoN2O*kgtoGg,"NO")</f>
        <v>3.4074784753384451E-3</v>
      </c>
      <c r="AM125" s="22">
        <f>IFERROR(('Activity data'!AM89*(1/Constants!$H$135))*ttokg*FSOMEF*NtoN2O*kgtoGg,"NO")</f>
        <v>3.4034281110671134E-3</v>
      </c>
      <c r="AN125" s="22">
        <f>IFERROR(('Activity data'!AN89*(1/Constants!$H$135))*ttokg*FSOMEF*NtoN2O*kgtoGg,"NO")</f>
        <v>3.39937774679578E-3</v>
      </c>
      <c r="AO125" s="22">
        <f>IFERROR(('Activity data'!AO89*(1/Constants!$H$135))*ttokg*FSOMEF*NtoN2O*kgtoGg,"NO")</f>
        <v>3.3953273825244488E-3</v>
      </c>
      <c r="AP125" s="22">
        <f>IFERROR(('Activity data'!AP89*(1/Constants!$H$135))*ttokg*FSOMEF*NtoN2O*kgtoGg,"NO")</f>
        <v>3.3912770182531172E-3</v>
      </c>
      <c r="AQ125" s="22">
        <f>IFERROR(('Activity data'!AQ89*(1/Constants!$H$135))*ttokg*FSOMEF*NtoN2O*kgtoGg,"NO")</f>
        <v>3.387226653981786E-3</v>
      </c>
      <c r="AR125" s="22">
        <f>IFERROR(('Activity data'!AR89*(1/Constants!$H$135))*ttokg*FSOMEF*NtoN2O*kgtoGg,"NO")</f>
        <v>3.3831762897104547E-3</v>
      </c>
      <c r="AS125" s="22">
        <f>IFERROR(('Activity data'!AS89*(1/Constants!$H$135))*ttokg*FSOMEF*NtoN2O*kgtoGg,"NO")</f>
        <v>3.3791259254391218E-3</v>
      </c>
      <c r="AT125" s="22">
        <f>IFERROR(('Activity data'!AT89*(1/Constants!$H$135))*ttokg*FSOMEF*NtoN2O*kgtoGg,"NO")</f>
        <v>3.375075561167791E-3</v>
      </c>
      <c r="AU125" s="22">
        <f>IFERROR(('Activity data'!AU89*(1/Constants!$H$135))*ttokg*FSOMEF*NtoN2O*kgtoGg,"NO")</f>
        <v>3.3710251968964585E-3</v>
      </c>
      <c r="AV125" s="22">
        <f>IFERROR(('Activity data'!AV89*(1/Constants!$H$135))*ttokg*FSOMEF*NtoN2O*kgtoGg,"NO")</f>
        <v>3.3669748326251273E-3</v>
      </c>
      <c r="AW125" s="22">
        <f>IFERROR(('Activity data'!AW89*(1/Constants!$H$135))*ttokg*FSOMEF*NtoN2O*kgtoGg,"NO")</f>
        <v>3.3629244683537943E-3</v>
      </c>
      <c r="AX125" s="22">
        <f>IFERROR(('Activity data'!AX89*(1/Constants!$H$135))*ttokg*FSOMEF*NtoN2O*kgtoGg,"NO")</f>
        <v>3.358874104082464E-3</v>
      </c>
      <c r="AY125" s="22">
        <f>IFERROR(('Activity data'!AY89*(1/Constants!$H$135))*ttokg*FSOMEF*NtoN2O*kgtoGg,"NO")</f>
        <v>3.3548237398111319E-3</v>
      </c>
      <c r="AZ125" s="22">
        <f>IFERROR(('Activity data'!AZ89*(1/Constants!$H$135))*ttokg*FSOMEF*NtoN2O*kgtoGg,"NO")</f>
        <v>3.3507733755397998E-3</v>
      </c>
      <c r="BA125" s="22">
        <f>IFERROR(('Activity data'!BA89*(1/Constants!$H$135))*ttokg*FSOMEF*NtoN2O*kgtoGg,"NO")</f>
        <v>3.3467230112684673E-3</v>
      </c>
      <c r="BB125" s="22">
        <f>IFERROR(('Activity data'!BB89*(1/Constants!$H$135))*ttokg*FSOMEF*NtoN2O*kgtoGg,"NO")</f>
        <v>3.3426726469971361E-3</v>
      </c>
      <c r="BC125" s="22">
        <f>IFERROR(('Activity data'!BC89*(1/Constants!$H$135))*ttokg*FSOMEF*NtoN2O*kgtoGg,"NO")</f>
        <v>3.3386222827258044E-3</v>
      </c>
      <c r="BD125" s="22">
        <f>IFERROR(('Activity data'!BD89*(1/Constants!$H$135))*ttokg*FSOMEF*NtoN2O*kgtoGg,"NO")</f>
        <v>3.3345719184544728E-3</v>
      </c>
      <c r="BE125" s="22">
        <f>IFERROR(('Activity data'!BE89*(1/Constants!$H$135))*ttokg*FSOMEF*NtoN2O*kgtoGg,"NO")</f>
        <v>3.3305215541831416E-3</v>
      </c>
      <c r="BF125" s="22">
        <f>IFERROR(('Activity data'!BF89*(1/Constants!$H$135))*ttokg*FSOMEF*NtoN2O*kgtoGg,"NO")</f>
        <v>3.3264711899118095E-3</v>
      </c>
      <c r="BG125" s="22">
        <f>IFERROR(('Activity data'!BG89*(1/Constants!$H$135))*ttokg*FSOMEF*NtoN2O*kgtoGg,"NO")</f>
        <v>3.3224208256404765E-3</v>
      </c>
      <c r="BH125" s="22">
        <f>IFERROR(('Activity data'!BH89*(1/Constants!$H$135))*ttokg*FSOMEF*NtoN2O*kgtoGg,"NO")</f>
        <v>3.3183704613691458E-3</v>
      </c>
      <c r="BI125" s="22">
        <f>IFERROR(('Activity data'!BI89*(1/Constants!$H$135))*ttokg*FSOMEF*NtoN2O*kgtoGg,"NO")</f>
        <v>3.3143200970978137E-3</v>
      </c>
      <c r="BJ125" s="22">
        <f>IFERROR(('Activity data'!BJ89*(1/Constants!$H$135))*ttokg*FSOMEF*NtoN2O*kgtoGg,"NO")</f>
        <v>3.3102697328264833E-3</v>
      </c>
      <c r="BK125" s="22">
        <f>IFERROR(('Activity data'!BK89*(1/Constants!$H$135))*ttokg*FSOMEF*NtoN2O*kgtoGg,"NO")</f>
        <v>3.3062193685551499E-3</v>
      </c>
      <c r="BL125" s="22">
        <f>IFERROR(('Activity data'!BL89*(1/Constants!$H$135))*ttokg*FSOMEF*NtoN2O*kgtoGg,"NO")</f>
        <v>3.3021690042838187E-3</v>
      </c>
      <c r="BM125" s="22">
        <f>IFERROR(('Activity data'!BM89*(1/Constants!$H$135))*ttokg*FSOMEF*NtoN2O*kgtoGg,"NO")</f>
        <v>3.2981186400124866E-3</v>
      </c>
      <c r="BN125" s="22">
        <f>IFERROR(('Activity data'!BN89*(1/Constants!$H$135))*ttokg*FSOMEF*NtoN2O*kgtoGg,"NO")</f>
        <v>3.2940682757411541E-3</v>
      </c>
      <c r="BO125" s="22">
        <f>IFERROR(('Activity data'!BO89*(1/Constants!$H$135))*ttokg*FSOMEF*NtoN2O*kgtoGg,"NO")</f>
        <v>3.2900179114698229E-3</v>
      </c>
      <c r="BP125" s="22">
        <f>IFERROR(('Activity data'!BP89*(1/Constants!$H$135))*ttokg*FSOMEF*NtoN2O*kgtoGg,"NO")</f>
        <v>3.2859675471984908E-3</v>
      </c>
    </row>
    <row r="126" spans="1:68" x14ac:dyDescent="0.3">
      <c r="A126" t="str">
        <f t="shared" si="39"/>
        <v>3C Aggregated and non-CO2 emissions on land</v>
      </c>
      <c r="B126" t="str">
        <f t="shared" si="31"/>
        <v>3C4 Direct N2O from managed soils (N2O)</v>
      </c>
      <c r="C126" t="s">
        <v>60</v>
      </c>
      <c r="D126" t="str">
        <f>" - "&amp;'Activity data'!D90</f>
        <v xml:space="preserve"> - Land converted to cropland</v>
      </c>
      <c r="E126" t="str">
        <f t="shared" si="40"/>
        <v>FSOM - Land converted to cropland</v>
      </c>
      <c r="G126" t="str">
        <f t="shared" si="37"/>
        <v>Gg N2O</v>
      </c>
      <c r="H126" s="22" t="str">
        <f>IFERROR(('Activity data'!H90*(1/Constants!$H$135))*ttokg*FSOMEF*NtoN2O*kgtoGg,"NO")</f>
        <v>NO</v>
      </c>
      <c r="I126" s="22">
        <f>IFERROR(('Activity data'!I90*(1/Constants!$H$135))*ttokg*FSOMEF*NtoN2O*kgtoGg,"NO")</f>
        <v>4.6331887587896581E-2</v>
      </c>
      <c r="J126" s="22">
        <f>IFERROR(('Activity data'!J90*(1/Constants!$H$135))*ttokg*FSOMEF*NtoN2O*kgtoGg,"NO")</f>
        <v>4.6331887587896581E-2</v>
      </c>
      <c r="K126" s="22">
        <f>IFERROR(('Activity data'!K90*(1/Constants!$H$135))*ttokg*FSOMEF*NtoN2O*kgtoGg,"NO")</f>
        <v>4.6331887587896581E-2</v>
      </c>
      <c r="L126" s="22">
        <f>IFERROR(('Activity data'!L90*(1/Constants!$H$135))*ttokg*FSOMEF*NtoN2O*kgtoGg,"NO")</f>
        <v>4.6331887587896581E-2</v>
      </c>
      <c r="M126" s="22">
        <f>IFERROR(('Activity data'!M90*(1/Constants!$H$135))*ttokg*FSOMEF*NtoN2O*kgtoGg,"NO")</f>
        <v>4.6331887587896581E-2</v>
      </c>
      <c r="N126" s="22">
        <f>IFERROR(('Activity data'!N90*(1/Constants!$H$135))*ttokg*FSOMEF*NtoN2O*kgtoGg,"NO")</f>
        <v>4.6331887587896581E-2</v>
      </c>
      <c r="O126" s="22">
        <f>IFERROR(('Activity data'!O90*(1/Constants!$H$135))*ttokg*FSOMEF*NtoN2O*kgtoGg,"NO")</f>
        <v>4.6331887587896581E-2</v>
      </c>
      <c r="P126" s="22">
        <f>IFERROR(('Activity data'!P90*(1/Constants!$H$135))*ttokg*FSOMEF*NtoN2O*kgtoGg,"NO")</f>
        <v>4.6331887587896581E-2</v>
      </c>
      <c r="Q126" s="22">
        <f>IFERROR(('Activity data'!Q90*(1/Constants!$H$135))*ttokg*FSOMEF*NtoN2O*kgtoGg,"NO")</f>
        <v>4.6331887587896581E-2</v>
      </c>
      <c r="R126" s="22">
        <f>IFERROR(('Activity data'!R90*(1/Constants!$H$135))*ttokg*FSOMEF*NtoN2O*kgtoGg,"NO")</f>
        <v>4.6331887587896581E-2</v>
      </c>
      <c r="S126" s="22">
        <f>IFERROR(('Activity data'!S90*(1/Constants!$H$135))*ttokg*FSOMEF*NtoN2O*kgtoGg,"NO")</f>
        <v>4.6331887587896581E-2</v>
      </c>
      <c r="T126" s="22">
        <f>IFERROR(('Activity data'!T90*(1/Constants!$H$135))*ttokg*FSOMEF*NtoN2O*kgtoGg,"NO")</f>
        <v>4.6331887587896581E-2</v>
      </c>
      <c r="U126" s="22">
        <f>IFERROR(('Activity data'!U90*(1/Constants!$H$135))*ttokg*FSOMEF*NtoN2O*kgtoGg,"NO")</f>
        <v>4.6331887587896581E-2</v>
      </c>
      <c r="V126" s="22">
        <f>IFERROR(('Activity data'!V90*(1/Constants!$H$135))*ttokg*FSOMEF*NtoN2O*kgtoGg,"NO")</f>
        <v>4.6331887587896581E-2</v>
      </c>
      <c r="W126" s="22">
        <f>IFERROR(('Activity data'!W90*(1/Constants!$H$135))*ttokg*FSOMEF*NtoN2O*kgtoGg,"NO")</f>
        <v>4.6331887587896581E-2</v>
      </c>
      <c r="X126" s="22">
        <f>IFERROR(('Activity data'!X90*(1/Constants!$H$135))*ttokg*FSOMEF*NtoN2O*kgtoGg,"NO")</f>
        <v>4.6331887587896581E-2</v>
      </c>
      <c r="Y126" s="22">
        <f>IFERROR(('Activity data'!Y90*(1/Constants!$H$135))*ttokg*FSOMEF*NtoN2O*kgtoGg,"NO")</f>
        <v>4.6331887587896581E-2</v>
      </c>
      <c r="Z126" s="22">
        <f>IFERROR(('Activity data'!Z90*(1/Constants!$H$135))*ttokg*FSOMEF*NtoN2O*kgtoGg,"NO")</f>
        <v>4.6331887587896581E-2</v>
      </c>
      <c r="AA126" s="22">
        <f>IFERROR(('Activity data'!AA90*(1/Constants!$H$135))*ttokg*FSOMEF*NtoN2O*kgtoGg,"NO")</f>
        <v>4.6331887587896581E-2</v>
      </c>
      <c r="AB126" s="22">
        <f>IFERROR(('Activity data'!AB90*(1/Constants!$H$135))*ttokg*FSOMEF*NtoN2O*kgtoGg,"NO")</f>
        <v>4.6331887587896581E-2</v>
      </c>
      <c r="AC126" s="22">
        <f>IFERROR(('Activity data'!AC90*(1/Constants!$H$135))*ttokg*FSOMEF*NtoN2O*kgtoGg,"NO")</f>
        <v>4.6331887587896581E-2</v>
      </c>
      <c r="AD126" s="22">
        <f>IFERROR(('Activity data'!AD90*(1/Constants!$H$135))*ttokg*FSOMEF*NtoN2O*kgtoGg,"NO")</f>
        <v>0.49020960547040615</v>
      </c>
      <c r="AE126" s="22">
        <f>IFERROR(('Activity data'!AE90*(1/Constants!$H$135))*ttokg*FSOMEF*NtoN2O*kgtoGg,"NO")</f>
        <v>0.49134551154341793</v>
      </c>
      <c r="AF126" s="22">
        <f>IFERROR(('Activity data'!AF90*(1/Constants!$H$135))*ttokg*FSOMEF*NtoN2O*kgtoGg,"NO")</f>
        <v>0.49248141761642988</v>
      </c>
      <c r="AG126" s="22">
        <f>IFERROR(('Activity data'!AG90*(1/Constants!$H$135))*ttokg*FSOMEF*NtoN2O*kgtoGg,"NO")</f>
        <v>0.49361732368944172</v>
      </c>
      <c r="AH126" s="22">
        <f>IFERROR(('Activity data'!AH90*(1/Constants!$H$135))*ttokg*FSOMEF*NtoN2O*kgtoGg,"NO")</f>
        <v>0.49475322976245356</v>
      </c>
      <c r="AI126" s="22">
        <f>IFERROR(('Activity data'!AI90*(1/Constants!$H$135))*ttokg*FSOMEF*NtoN2O*kgtoGg,"NO")</f>
        <v>0.49588913583546534</v>
      </c>
      <c r="AJ126" s="22">
        <f>IFERROR(('Activity data'!AJ90*(1/Constants!$H$135))*ttokg*FSOMEF*NtoN2O*kgtoGg,"NO")</f>
        <v>0.49702504190847724</v>
      </c>
      <c r="AK126" s="22">
        <f>IFERROR(('Activity data'!AK90*(1/Constants!$H$135))*ttokg*FSOMEF*NtoN2O*kgtoGg,"NO")</f>
        <v>0.49816094798148913</v>
      </c>
      <c r="AL126" s="22">
        <f>IFERROR(('Activity data'!AL90*(1/Constants!$H$135))*ttokg*FSOMEF*NtoN2O*kgtoGg,"NO")</f>
        <v>0.49929685405450086</v>
      </c>
      <c r="AM126" s="22">
        <f>IFERROR(('Activity data'!AM90*(1/Constants!$H$135))*ttokg*FSOMEF*NtoN2O*kgtoGg,"NO")</f>
        <v>0.50043276012751292</v>
      </c>
      <c r="AN126" s="22">
        <f>IFERROR(('Activity data'!AN90*(1/Constants!$H$135))*ttokg*FSOMEF*NtoN2O*kgtoGg,"NO")</f>
        <v>0.50156866620052454</v>
      </c>
      <c r="AO126" s="22">
        <f>IFERROR(('Activity data'!AO90*(1/Constants!$H$135))*ttokg*FSOMEF*NtoN2O*kgtoGg,"NO")</f>
        <v>0.50270457227353649</v>
      </c>
      <c r="AP126" s="22">
        <f>IFERROR(('Activity data'!AP90*(1/Constants!$H$135))*ttokg*FSOMEF*NtoN2O*kgtoGg,"NO")</f>
        <v>0.50384047834654833</v>
      </c>
      <c r="AQ126" s="22">
        <f>IFERROR(('Activity data'!AQ90*(1/Constants!$H$135))*ttokg*FSOMEF*NtoN2O*kgtoGg,"NO")</f>
        <v>0.50497638441956039</v>
      </c>
      <c r="AR126" s="22">
        <f>IFERROR(('Activity data'!AR90*(1/Constants!$H$135))*ttokg*FSOMEF*NtoN2O*kgtoGg,"NO")</f>
        <v>0.506112290492572</v>
      </c>
      <c r="AS126" s="22">
        <f>IFERROR(('Activity data'!AS90*(1/Constants!$H$135))*ttokg*FSOMEF*NtoN2O*kgtoGg,"NO")</f>
        <v>0.50724819656558406</v>
      </c>
      <c r="AT126" s="22">
        <f>IFERROR(('Activity data'!AT90*(1/Constants!$H$135))*ttokg*FSOMEF*NtoN2O*kgtoGg,"NO")</f>
        <v>0.50838410263859568</v>
      </c>
      <c r="AU126" s="22">
        <f>IFERROR(('Activity data'!AU90*(1/Constants!$H$135))*ttokg*FSOMEF*NtoN2O*kgtoGg,"NO")</f>
        <v>0.50952000871160763</v>
      </c>
      <c r="AV126" s="22">
        <f>IFERROR(('Activity data'!AV90*(1/Constants!$H$135))*ttokg*FSOMEF*NtoN2O*kgtoGg,"NO")</f>
        <v>0.51065591478461958</v>
      </c>
      <c r="AW126" s="22">
        <f>IFERROR(('Activity data'!AW90*(1/Constants!$H$135))*ttokg*FSOMEF*NtoN2O*kgtoGg,"NO")</f>
        <v>0.51179182085763142</v>
      </c>
      <c r="AX126" s="22">
        <f>IFERROR(('Activity data'!AX90*(1/Constants!$H$135))*ttokg*FSOMEF*NtoN2O*kgtoGg,"NO")</f>
        <v>0.51292772693064326</v>
      </c>
      <c r="AY126" s="22">
        <f>IFERROR(('Activity data'!AY90*(1/Constants!$H$135))*ttokg*FSOMEF*NtoN2O*kgtoGg,"NO")</f>
        <v>0.5140636330036551</v>
      </c>
      <c r="AZ126" s="22">
        <f>IFERROR(('Activity data'!AZ90*(1/Constants!$H$135))*ttokg*FSOMEF*NtoN2O*kgtoGg,"NO")</f>
        <v>0.51519953907666705</v>
      </c>
      <c r="BA126" s="22">
        <f>IFERROR(('Activity data'!BA90*(1/Constants!$H$135))*ttokg*FSOMEF*NtoN2O*kgtoGg,"NO")</f>
        <v>0.51633544514967877</v>
      </c>
      <c r="BB126" s="22">
        <f>IFERROR(('Activity data'!BB90*(1/Constants!$H$135))*ttokg*FSOMEF*NtoN2O*kgtoGg,"NO")</f>
        <v>0.51747135122269072</v>
      </c>
      <c r="BC126" s="22">
        <f>IFERROR(('Activity data'!BC90*(1/Constants!$H$135))*ttokg*FSOMEF*NtoN2O*kgtoGg,"NO")</f>
        <v>0.51860725729570256</v>
      </c>
      <c r="BD126" s="22">
        <f>IFERROR(('Activity data'!BD90*(1/Constants!$H$135))*ttokg*FSOMEF*NtoN2O*kgtoGg,"NO")</f>
        <v>0.5197431633687144</v>
      </c>
      <c r="BE126" s="22">
        <f>IFERROR(('Activity data'!BE90*(1/Constants!$H$135))*ttokg*FSOMEF*NtoN2O*kgtoGg,"NO")</f>
        <v>0.52087906944172624</v>
      </c>
      <c r="BF126" s="22">
        <f>IFERROR(('Activity data'!BF90*(1/Constants!$H$135))*ttokg*FSOMEF*NtoN2O*kgtoGg,"NO")</f>
        <v>0.52201497551473808</v>
      </c>
      <c r="BG126" s="22">
        <f>IFERROR(('Activity data'!BG90*(1/Constants!$H$135))*ttokg*FSOMEF*NtoN2O*kgtoGg,"NO")</f>
        <v>0.52315088158774992</v>
      </c>
      <c r="BH126" s="22">
        <f>IFERROR(('Activity data'!BH90*(1/Constants!$H$135))*ttokg*FSOMEF*NtoN2O*kgtoGg,"NO")</f>
        <v>0.52428678766076187</v>
      </c>
      <c r="BI126" s="22">
        <f>IFERROR(('Activity data'!BI90*(1/Constants!$H$135))*ttokg*FSOMEF*NtoN2O*kgtoGg,"NO")</f>
        <v>0.52542269373377359</v>
      </c>
      <c r="BJ126" s="22">
        <f>IFERROR(('Activity data'!BJ90*(1/Constants!$H$135))*ttokg*FSOMEF*NtoN2O*kgtoGg,"NO")</f>
        <v>0.52655859980678543</v>
      </c>
      <c r="BK126" s="22">
        <f>IFERROR(('Activity data'!BK90*(1/Constants!$H$135))*ttokg*FSOMEF*NtoN2O*kgtoGg,"NO")</f>
        <v>0.52769450587979749</v>
      </c>
      <c r="BL126" s="22">
        <f>IFERROR(('Activity data'!BL90*(1/Constants!$H$135))*ttokg*FSOMEF*NtoN2O*kgtoGg,"NO")</f>
        <v>0.52883041195280922</v>
      </c>
      <c r="BM126" s="22">
        <f>IFERROR(('Activity data'!BM90*(1/Constants!$H$135))*ttokg*FSOMEF*NtoN2O*kgtoGg,"NO")</f>
        <v>0.52996631802582106</v>
      </c>
      <c r="BN126" s="22">
        <f>IFERROR(('Activity data'!BN90*(1/Constants!$H$135))*ttokg*FSOMEF*NtoN2O*kgtoGg,"NO")</f>
        <v>0.53110222409883301</v>
      </c>
      <c r="BO126" s="22">
        <f>IFERROR(('Activity data'!BO90*(1/Constants!$H$135))*ttokg*FSOMEF*NtoN2O*kgtoGg,"NO")</f>
        <v>0.53223813017184474</v>
      </c>
      <c r="BP126" s="22">
        <f>IFERROR(('Activity data'!BP90*(1/Constants!$H$135))*ttokg*FSOMEF*NtoN2O*kgtoGg,"NO")</f>
        <v>0.5333740362448568</v>
      </c>
    </row>
    <row r="127" spans="1:68" x14ac:dyDescent="0.3">
      <c r="A127" t="str">
        <f t="shared" si="39"/>
        <v>3C Aggregated and non-CO2 emissions on land</v>
      </c>
      <c r="B127" t="str">
        <f t="shared" si="31"/>
        <v>3C4 Direct N2O from managed soils (N2O)</v>
      </c>
      <c r="C127" t="s">
        <v>60</v>
      </c>
      <c r="D127" t="str">
        <f>" - "&amp;'Activity data'!D91</f>
        <v xml:space="preserve"> - Grassland remaining grassland</v>
      </c>
      <c r="E127" t="str">
        <f t="shared" si="40"/>
        <v>FSOM - Grassland remaining grassland</v>
      </c>
      <c r="G127" t="str">
        <f t="shared" si="37"/>
        <v>Gg N2O</v>
      </c>
      <c r="H127" s="22" t="str">
        <f>IFERROR(('Activity data'!H91*(1/Constants!$H$135))*ttokg*FSOMEF*NtoN2O*kgtoGg,"NO")</f>
        <v>NO</v>
      </c>
      <c r="I127" s="22">
        <f>IFERROR(('Activity data'!I91*(1/Constants!$H$135))*ttokg*FSOMEF*NtoN2O*kgtoGg,"NO")</f>
        <v>5.1014681376878313E-2</v>
      </c>
      <c r="J127" s="22">
        <f>IFERROR(('Activity data'!J91*(1/Constants!$H$135))*ttokg*FSOMEF*NtoN2O*kgtoGg,"NO")</f>
        <v>5.1014681376878313E-2</v>
      </c>
      <c r="K127" s="22">
        <f>IFERROR(('Activity data'!K91*(1/Constants!$H$135))*ttokg*FSOMEF*NtoN2O*kgtoGg,"NO")</f>
        <v>5.1014681376878313E-2</v>
      </c>
      <c r="L127" s="22">
        <f>IFERROR(('Activity data'!L91*(1/Constants!$H$135))*ttokg*FSOMEF*NtoN2O*kgtoGg,"NO")</f>
        <v>5.1014681376878313E-2</v>
      </c>
      <c r="M127" s="22">
        <f>IFERROR(('Activity data'!M91*(1/Constants!$H$135))*ttokg*FSOMEF*NtoN2O*kgtoGg,"NO")</f>
        <v>5.1014681376878313E-2</v>
      </c>
      <c r="N127" s="22">
        <f>IFERROR(('Activity data'!N91*(1/Constants!$H$135))*ttokg*FSOMEF*NtoN2O*kgtoGg,"NO")</f>
        <v>5.1014681376878313E-2</v>
      </c>
      <c r="O127" s="22">
        <f>IFERROR(('Activity data'!O91*(1/Constants!$H$135))*ttokg*FSOMEF*NtoN2O*kgtoGg,"NO")</f>
        <v>5.1014681376878313E-2</v>
      </c>
      <c r="P127" s="22">
        <f>IFERROR(('Activity data'!P91*(1/Constants!$H$135))*ttokg*FSOMEF*NtoN2O*kgtoGg,"NO")</f>
        <v>5.1014681376878313E-2</v>
      </c>
      <c r="Q127" s="22">
        <f>IFERROR(('Activity data'!Q91*(1/Constants!$H$135))*ttokg*FSOMEF*NtoN2O*kgtoGg,"NO")</f>
        <v>5.1014681376878313E-2</v>
      </c>
      <c r="R127" s="22">
        <f>IFERROR(('Activity data'!R91*(1/Constants!$H$135))*ttokg*FSOMEF*NtoN2O*kgtoGg,"NO")</f>
        <v>5.1014681376878313E-2</v>
      </c>
      <c r="S127" s="22">
        <f>IFERROR(('Activity data'!S91*(1/Constants!$H$135))*ttokg*FSOMEF*NtoN2O*kgtoGg,"NO")</f>
        <v>5.1014681376878313E-2</v>
      </c>
      <c r="T127" s="22">
        <f>IFERROR(('Activity data'!T91*(1/Constants!$H$135))*ttokg*FSOMEF*NtoN2O*kgtoGg,"NO")</f>
        <v>5.1014681376878313E-2</v>
      </c>
      <c r="U127" s="22">
        <f>IFERROR(('Activity data'!U91*(1/Constants!$H$135))*ttokg*FSOMEF*NtoN2O*kgtoGg,"NO")</f>
        <v>5.1014681376878313E-2</v>
      </c>
      <c r="V127" s="22">
        <f>IFERROR(('Activity data'!V91*(1/Constants!$H$135))*ttokg*FSOMEF*NtoN2O*kgtoGg,"NO")</f>
        <v>5.1014681376878313E-2</v>
      </c>
      <c r="W127" s="22">
        <f>IFERROR(('Activity data'!W91*(1/Constants!$H$135))*ttokg*FSOMEF*NtoN2O*kgtoGg,"NO")</f>
        <v>5.1014681376878313E-2</v>
      </c>
      <c r="X127" s="22">
        <f>IFERROR(('Activity data'!X91*(1/Constants!$H$135))*ttokg*FSOMEF*NtoN2O*kgtoGg,"NO")</f>
        <v>5.1014681376878313E-2</v>
      </c>
      <c r="Y127" s="22">
        <f>IFERROR(('Activity data'!Y91*(1/Constants!$H$135))*ttokg*FSOMEF*NtoN2O*kgtoGg,"NO")</f>
        <v>5.1014681376878313E-2</v>
      </c>
      <c r="Z127" s="22">
        <f>IFERROR(('Activity data'!Z91*(1/Constants!$H$135))*ttokg*FSOMEF*NtoN2O*kgtoGg,"NO")</f>
        <v>5.1014681376878313E-2</v>
      </c>
      <c r="AA127" s="22">
        <f>IFERROR(('Activity data'!AA91*(1/Constants!$H$135))*ttokg*FSOMEF*NtoN2O*kgtoGg,"NO")</f>
        <v>5.1014681376878313E-2</v>
      </c>
      <c r="AB127" s="22">
        <f>IFERROR(('Activity data'!AB91*(1/Constants!$H$135))*ttokg*FSOMEF*NtoN2O*kgtoGg,"NO")</f>
        <v>5.1014681376878313E-2</v>
      </c>
      <c r="AC127" s="22">
        <f>IFERROR(('Activity data'!AC91*(1/Constants!$H$135))*ttokg*FSOMEF*NtoN2O*kgtoGg,"NO")</f>
        <v>5.1014681376878313E-2</v>
      </c>
      <c r="AD127" s="22">
        <f>IFERROR(('Activity data'!AD91*(1/Constants!$H$135))*ttokg*FSOMEF*NtoN2O*kgtoGg,"NO")</f>
        <v>0.57597220909378744</v>
      </c>
      <c r="AE127" s="22">
        <f>IFERROR(('Activity data'!AE91*(1/Constants!$H$135))*ttokg*FSOMEF*NtoN2O*kgtoGg,"NO")</f>
        <v>0.57597220909378744</v>
      </c>
      <c r="AF127" s="22">
        <f>IFERROR(('Activity data'!AF91*(1/Constants!$H$135))*ttokg*FSOMEF*NtoN2O*kgtoGg,"NO")</f>
        <v>0.57597220909378744</v>
      </c>
      <c r="AG127" s="22">
        <f>IFERROR(('Activity data'!AG91*(1/Constants!$H$135))*ttokg*FSOMEF*NtoN2O*kgtoGg,"NO")</f>
        <v>0.57597220909378744</v>
      </c>
      <c r="AH127" s="22">
        <f>IFERROR(('Activity data'!AH91*(1/Constants!$H$135))*ttokg*FSOMEF*NtoN2O*kgtoGg,"NO")</f>
        <v>0.57597220909378744</v>
      </c>
      <c r="AI127" s="22">
        <f>IFERROR(('Activity data'!AI91*(1/Constants!$H$135))*ttokg*FSOMEF*NtoN2O*kgtoGg,"NO")</f>
        <v>0.57597220909378744</v>
      </c>
      <c r="AJ127" s="22">
        <f>IFERROR(('Activity data'!AJ91*(1/Constants!$H$135))*ttokg*FSOMEF*NtoN2O*kgtoGg,"NO")</f>
        <v>0.57597220909378744</v>
      </c>
      <c r="AK127" s="22">
        <f>IFERROR(('Activity data'!AK91*(1/Constants!$H$135))*ttokg*FSOMEF*NtoN2O*kgtoGg,"NO")</f>
        <v>0.57597220909378744</v>
      </c>
      <c r="AL127" s="22">
        <f>IFERROR(('Activity data'!AL91*(1/Constants!$H$135))*ttokg*FSOMEF*NtoN2O*kgtoGg,"NO")</f>
        <v>0.57597220909378744</v>
      </c>
      <c r="AM127" s="22">
        <f>IFERROR(('Activity data'!AM91*(1/Constants!$H$135))*ttokg*FSOMEF*NtoN2O*kgtoGg,"NO")</f>
        <v>0.57597220909378744</v>
      </c>
      <c r="AN127" s="22">
        <f>IFERROR(('Activity data'!AN91*(1/Constants!$H$135))*ttokg*FSOMEF*NtoN2O*kgtoGg,"NO")</f>
        <v>0.57597220909378744</v>
      </c>
      <c r="AO127" s="22">
        <f>IFERROR(('Activity data'!AO91*(1/Constants!$H$135))*ttokg*FSOMEF*NtoN2O*kgtoGg,"NO")</f>
        <v>0.57597220909378744</v>
      </c>
      <c r="AP127" s="22">
        <f>IFERROR(('Activity data'!AP91*(1/Constants!$H$135))*ttokg*FSOMEF*NtoN2O*kgtoGg,"NO")</f>
        <v>0.57597220909378744</v>
      </c>
      <c r="AQ127" s="22">
        <f>IFERROR(('Activity data'!AQ91*(1/Constants!$H$135))*ttokg*FSOMEF*NtoN2O*kgtoGg,"NO")</f>
        <v>0.57597220909378744</v>
      </c>
      <c r="AR127" s="22">
        <f>IFERROR(('Activity data'!AR91*(1/Constants!$H$135))*ttokg*FSOMEF*NtoN2O*kgtoGg,"NO")</f>
        <v>0.57597220909378744</v>
      </c>
      <c r="AS127" s="22">
        <f>IFERROR(('Activity data'!AS91*(1/Constants!$H$135))*ttokg*FSOMEF*NtoN2O*kgtoGg,"NO")</f>
        <v>0.57597220909378744</v>
      </c>
      <c r="AT127" s="22">
        <f>IFERROR(('Activity data'!AT91*(1/Constants!$H$135))*ttokg*FSOMEF*NtoN2O*kgtoGg,"NO")</f>
        <v>0.57597220909378744</v>
      </c>
      <c r="AU127" s="22">
        <f>IFERROR(('Activity data'!AU91*(1/Constants!$H$135))*ttokg*FSOMEF*NtoN2O*kgtoGg,"NO")</f>
        <v>0.57597220909378744</v>
      </c>
      <c r="AV127" s="22">
        <f>IFERROR(('Activity data'!AV91*(1/Constants!$H$135))*ttokg*FSOMEF*NtoN2O*kgtoGg,"NO")</f>
        <v>0.57597220909378744</v>
      </c>
      <c r="AW127" s="22">
        <f>IFERROR(('Activity data'!AW91*(1/Constants!$H$135))*ttokg*FSOMEF*NtoN2O*kgtoGg,"NO")</f>
        <v>0.57597220909378744</v>
      </c>
      <c r="AX127" s="22">
        <f>IFERROR(('Activity data'!AX91*(1/Constants!$H$135))*ttokg*FSOMEF*NtoN2O*kgtoGg,"NO")</f>
        <v>0.57597220909378744</v>
      </c>
      <c r="AY127" s="22">
        <f>IFERROR(('Activity data'!AY91*(1/Constants!$H$135))*ttokg*FSOMEF*NtoN2O*kgtoGg,"NO")</f>
        <v>0.57597220909378744</v>
      </c>
      <c r="AZ127" s="22">
        <f>IFERROR(('Activity data'!AZ91*(1/Constants!$H$135))*ttokg*FSOMEF*NtoN2O*kgtoGg,"NO")</f>
        <v>0.57597220909378744</v>
      </c>
      <c r="BA127" s="22">
        <f>IFERROR(('Activity data'!BA91*(1/Constants!$H$135))*ttokg*FSOMEF*NtoN2O*kgtoGg,"NO")</f>
        <v>0.57597220909378744</v>
      </c>
      <c r="BB127" s="22">
        <f>IFERROR(('Activity data'!BB91*(1/Constants!$H$135))*ttokg*FSOMEF*NtoN2O*kgtoGg,"NO")</f>
        <v>0.57597220909378744</v>
      </c>
      <c r="BC127" s="22">
        <f>IFERROR(('Activity data'!BC91*(1/Constants!$H$135))*ttokg*FSOMEF*NtoN2O*kgtoGg,"NO")</f>
        <v>0.57597220909378744</v>
      </c>
      <c r="BD127" s="22">
        <f>IFERROR(('Activity data'!BD91*(1/Constants!$H$135))*ttokg*FSOMEF*NtoN2O*kgtoGg,"NO")</f>
        <v>0.57597220909378744</v>
      </c>
      <c r="BE127" s="22">
        <f>IFERROR(('Activity data'!BE91*(1/Constants!$H$135))*ttokg*FSOMEF*NtoN2O*kgtoGg,"NO")</f>
        <v>0.57597220909378744</v>
      </c>
      <c r="BF127" s="22">
        <f>IFERROR(('Activity data'!BF91*(1/Constants!$H$135))*ttokg*FSOMEF*NtoN2O*kgtoGg,"NO")</f>
        <v>0.57597220909378744</v>
      </c>
      <c r="BG127" s="22">
        <f>IFERROR(('Activity data'!BG91*(1/Constants!$H$135))*ttokg*FSOMEF*NtoN2O*kgtoGg,"NO")</f>
        <v>0.57597220909378744</v>
      </c>
      <c r="BH127" s="22">
        <f>IFERROR(('Activity data'!BH91*(1/Constants!$H$135))*ttokg*FSOMEF*NtoN2O*kgtoGg,"NO")</f>
        <v>0.57597220909378744</v>
      </c>
      <c r="BI127" s="22">
        <f>IFERROR(('Activity data'!BI91*(1/Constants!$H$135))*ttokg*FSOMEF*NtoN2O*kgtoGg,"NO")</f>
        <v>0.57597220909378744</v>
      </c>
      <c r="BJ127" s="22">
        <f>IFERROR(('Activity data'!BJ91*(1/Constants!$H$135))*ttokg*FSOMEF*NtoN2O*kgtoGg,"NO")</f>
        <v>0.57597220909378744</v>
      </c>
      <c r="BK127" s="22">
        <f>IFERROR(('Activity data'!BK91*(1/Constants!$H$135))*ttokg*FSOMEF*NtoN2O*kgtoGg,"NO")</f>
        <v>0.57597220909378744</v>
      </c>
      <c r="BL127" s="22">
        <f>IFERROR(('Activity data'!BL91*(1/Constants!$H$135))*ttokg*FSOMEF*NtoN2O*kgtoGg,"NO")</f>
        <v>0.57597220909378744</v>
      </c>
      <c r="BM127" s="22">
        <f>IFERROR(('Activity data'!BM91*(1/Constants!$H$135))*ttokg*FSOMEF*NtoN2O*kgtoGg,"NO")</f>
        <v>0.57597220909378744</v>
      </c>
      <c r="BN127" s="22">
        <f>IFERROR(('Activity data'!BN91*(1/Constants!$H$135))*ttokg*FSOMEF*NtoN2O*kgtoGg,"NO")</f>
        <v>0.57597220909378744</v>
      </c>
      <c r="BO127" s="22">
        <f>IFERROR(('Activity data'!BO91*(1/Constants!$H$135))*ttokg*FSOMEF*NtoN2O*kgtoGg,"NO")</f>
        <v>0.57597220909378744</v>
      </c>
      <c r="BP127" s="22">
        <f>IFERROR(('Activity data'!BP91*(1/Constants!$H$135))*ttokg*FSOMEF*NtoN2O*kgtoGg,"NO")</f>
        <v>0.57597220909378744</v>
      </c>
    </row>
    <row r="128" spans="1:68" x14ac:dyDescent="0.3">
      <c r="A128" t="str">
        <f t="shared" si="39"/>
        <v>3C Aggregated and non-CO2 emissions on land</v>
      </c>
      <c r="B128" t="str">
        <f t="shared" si="31"/>
        <v>3C4 Direct N2O from managed soils (N2O)</v>
      </c>
      <c r="C128" t="s">
        <v>60</v>
      </c>
      <c r="D128" t="str">
        <f>" - "&amp;'Activity data'!D92</f>
        <v xml:space="preserve"> - Land converted to grassland</v>
      </c>
      <c r="E128" t="str">
        <f t="shared" si="40"/>
        <v>FSOM - Land converted to grassland</v>
      </c>
      <c r="G128" t="str">
        <f t="shared" si="37"/>
        <v>Gg N2O</v>
      </c>
      <c r="H128" s="22">
        <f>IFERROR(('Activity data'!H92*(1/Constants!$H$135))*ttokg*FSOMEF*NtoN2O*kgtoGg,"NO")</f>
        <v>0</v>
      </c>
      <c r="I128" s="22">
        <f>IFERROR(('Activity data'!I92*(1/Constants!$H$135))*ttokg*FSOMEF*NtoN2O*kgtoGg,"NO")</f>
        <v>5.6957876987639012E-4</v>
      </c>
      <c r="J128" s="22">
        <f>IFERROR(('Activity data'!J92*(1/Constants!$H$135))*ttokg*FSOMEF*NtoN2O*kgtoGg,"NO")</f>
        <v>5.6957876987639012E-4</v>
      </c>
      <c r="K128" s="22">
        <f>IFERROR(('Activity data'!K92*(1/Constants!$H$135))*ttokg*FSOMEF*NtoN2O*kgtoGg,"NO")</f>
        <v>5.6957876987639012E-4</v>
      </c>
      <c r="L128" s="22">
        <f>IFERROR(('Activity data'!L92*(1/Constants!$H$135))*ttokg*FSOMEF*NtoN2O*kgtoGg,"NO")</f>
        <v>5.6957876987639012E-4</v>
      </c>
      <c r="M128" s="22">
        <f>IFERROR(('Activity data'!M92*(1/Constants!$H$135))*ttokg*FSOMEF*NtoN2O*kgtoGg,"NO")</f>
        <v>5.6957876987639012E-4</v>
      </c>
      <c r="N128" s="22">
        <f>IFERROR(('Activity data'!N92*(1/Constants!$H$135))*ttokg*FSOMEF*NtoN2O*kgtoGg,"NO")</f>
        <v>5.6957876987639012E-4</v>
      </c>
      <c r="O128" s="22">
        <f>IFERROR(('Activity data'!O92*(1/Constants!$H$135))*ttokg*FSOMEF*NtoN2O*kgtoGg,"NO")</f>
        <v>5.6957876987639012E-4</v>
      </c>
      <c r="P128" s="22">
        <f>IFERROR(('Activity data'!P92*(1/Constants!$H$135))*ttokg*FSOMEF*NtoN2O*kgtoGg,"NO")</f>
        <v>5.6957876987639012E-4</v>
      </c>
      <c r="Q128" s="22">
        <f>IFERROR(('Activity data'!Q92*(1/Constants!$H$135))*ttokg*FSOMEF*NtoN2O*kgtoGg,"NO")</f>
        <v>5.6957876987639012E-4</v>
      </c>
      <c r="R128" s="22">
        <f>IFERROR(('Activity data'!R92*(1/Constants!$H$135))*ttokg*FSOMEF*NtoN2O*kgtoGg,"NO")</f>
        <v>5.6957876987639012E-4</v>
      </c>
      <c r="S128" s="22">
        <f>IFERROR(('Activity data'!S92*(1/Constants!$H$135))*ttokg*FSOMEF*NtoN2O*kgtoGg,"NO")</f>
        <v>5.6957876987639012E-4</v>
      </c>
      <c r="T128" s="22">
        <f>IFERROR(('Activity data'!T92*(1/Constants!$H$135))*ttokg*FSOMEF*NtoN2O*kgtoGg,"NO")</f>
        <v>5.6957876987639012E-4</v>
      </c>
      <c r="U128" s="22">
        <f>IFERROR(('Activity data'!U92*(1/Constants!$H$135))*ttokg*FSOMEF*NtoN2O*kgtoGg,"NO")</f>
        <v>5.6957876987639012E-4</v>
      </c>
      <c r="V128" s="22">
        <f>IFERROR(('Activity data'!V92*(1/Constants!$H$135))*ttokg*FSOMEF*NtoN2O*kgtoGg,"NO")</f>
        <v>5.6957876987639012E-4</v>
      </c>
      <c r="W128" s="22">
        <f>IFERROR(('Activity data'!W92*(1/Constants!$H$135))*ttokg*FSOMEF*NtoN2O*kgtoGg,"NO")</f>
        <v>5.6957876987639012E-4</v>
      </c>
      <c r="X128" s="22">
        <f>IFERROR(('Activity data'!X92*(1/Constants!$H$135))*ttokg*FSOMEF*NtoN2O*kgtoGg,"NO")</f>
        <v>5.6957876987639012E-4</v>
      </c>
      <c r="Y128" s="22">
        <f>IFERROR(('Activity data'!Y92*(1/Constants!$H$135))*ttokg*FSOMEF*NtoN2O*kgtoGg,"NO")</f>
        <v>5.6957876987639012E-4</v>
      </c>
      <c r="Z128" s="22">
        <f>IFERROR(('Activity data'!Z92*(1/Constants!$H$135))*ttokg*FSOMEF*NtoN2O*kgtoGg,"NO")</f>
        <v>5.6957876987639012E-4</v>
      </c>
      <c r="AA128" s="22">
        <f>IFERROR(('Activity data'!AA92*(1/Constants!$H$135))*ttokg*FSOMEF*NtoN2O*kgtoGg,"NO")</f>
        <v>5.6957876987639012E-4</v>
      </c>
      <c r="AB128" s="22">
        <f>IFERROR(('Activity data'!AB92*(1/Constants!$H$135))*ttokg*FSOMEF*NtoN2O*kgtoGg,"NO")</f>
        <v>5.6957876987639012E-4</v>
      </c>
      <c r="AC128" s="22">
        <f>IFERROR(('Activity data'!AC92*(1/Constants!$H$135))*ttokg*FSOMEF*NtoN2O*kgtoGg,"NO")</f>
        <v>5.6957876987639012E-4</v>
      </c>
      <c r="AD128" s="22" t="str">
        <f>IFERROR(('Activity data'!AD92*(1/Constants!$H$135))*ttokg*FSOMEF*NtoN2O*kgtoGg,"NO")</f>
        <v>NO</v>
      </c>
      <c r="AE128" s="22" t="str">
        <f>IFERROR(('Activity data'!AE92*(1/Constants!$H$135))*ttokg*FSOMEF*NtoN2O*kgtoGg,"NO")</f>
        <v>NO</v>
      </c>
      <c r="AF128" s="22" t="str">
        <f>IFERROR(('Activity data'!AF92*(1/Constants!$H$135))*ttokg*FSOMEF*NtoN2O*kgtoGg,"NO")</f>
        <v>NO</v>
      </c>
      <c r="AG128" s="22" t="str">
        <f>IFERROR(('Activity data'!AG92*(1/Constants!$H$135))*ttokg*FSOMEF*NtoN2O*kgtoGg,"NO")</f>
        <v>NO</v>
      </c>
      <c r="AH128" s="22" t="str">
        <f>IFERROR(('Activity data'!AH92*(1/Constants!$H$135))*ttokg*FSOMEF*NtoN2O*kgtoGg,"NO")</f>
        <v>NO</v>
      </c>
      <c r="AI128" s="22" t="str">
        <f>IFERROR(('Activity data'!AI92*(1/Constants!$H$135))*ttokg*FSOMEF*NtoN2O*kgtoGg,"NO")</f>
        <v>NO</v>
      </c>
      <c r="AJ128" s="22" t="str">
        <f>IFERROR(('Activity data'!AJ92*(1/Constants!$H$135))*ttokg*FSOMEF*NtoN2O*kgtoGg,"NO")</f>
        <v>NO</v>
      </c>
      <c r="AK128" s="22" t="str">
        <f>IFERROR(('Activity data'!AK92*(1/Constants!$H$135))*ttokg*FSOMEF*NtoN2O*kgtoGg,"NO")</f>
        <v>NO</v>
      </c>
      <c r="AL128" s="22" t="str">
        <f>IFERROR(('Activity data'!AL92*(1/Constants!$H$135))*ttokg*FSOMEF*NtoN2O*kgtoGg,"NO")</f>
        <v>NO</v>
      </c>
      <c r="AM128" s="22" t="str">
        <f>IFERROR(('Activity data'!AM92*(1/Constants!$H$135))*ttokg*FSOMEF*NtoN2O*kgtoGg,"NO")</f>
        <v>NO</v>
      </c>
      <c r="AN128" s="22" t="str">
        <f>IFERROR(('Activity data'!AN92*(1/Constants!$H$135))*ttokg*FSOMEF*NtoN2O*kgtoGg,"NO")</f>
        <v>NO</v>
      </c>
      <c r="AO128" s="22" t="str">
        <f>IFERROR(('Activity data'!AO92*(1/Constants!$H$135))*ttokg*FSOMEF*NtoN2O*kgtoGg,"NO")</f>
        <v>NO</v>
      </c>
      <c r="AP128" s="22" t="str">
        <f>IFERROR(('Activity data'!AP92*(1/Constants!$H$135))*ttokg*FSOMEF*NtoN2O*kgtoGg,"NO")</f>
        <v>NO</v>
      </c>
      <c r="AQ128" s="22" t="str">
        <f>IFERROR(('Activity data'!AQ92*(1/Constants!$H$135))*ttokg*FSOMEF*NtoN2O*kgtoGg,"NO")</f>
        <v>NO</v>
      </c>
      <c r="AR128" s="22" t="str">
        <f>IFERROR(('Activity data'!AR92*(1/Constants!$H$135))*ttokg*FSOMEF*NtoN2O*kgtoGg,"NO")</f>
        <v>NO</v>
      </c>
      <c r="AS128" s="22" t="str">
        <f>IFERROR(('Activity data'!AS92*(1/Constants!$H$135))*ttokg*FSOMEF*NtoN2O*kgtoGg,"NO")</f>
        <v>NO</v>
      </c>
      <c r="AT128" s="22" t="str">
        <f>IFERROR(('Activity data'!AT92*(1/Constants!$H$135))*ttokg*FSOMEF*NtoN2O*kgtoGg,"NO")</f>
        <v>NO</v>
      </c>
      <c r="AU128" s="22" t="str">
        <f>IFERROR(('Activity data'!AU92*(1/Constants!$H$135))*ttokg*FSOMEF*NtoN2O*kgtoGg,"NO")</f>
        <v>NO</v>
      </c>
      <c r="AV128" s="22" t="str">
        <f>IFERROR(('Activity data'!AV92*(1/Constants!$H$135))*ttokg*FSOMEF*NtoN2O*kgtoGg,"NO")</f>
        <v>NO</v>
      </c>
      <c r="AW128" s="22" t="str">
        <f>IFERROR(('Activity data'!AW92*(1/Constants!$H$135))*ttokg*FSOMEF*NtoN2O*kgtoGg,"NO")</f>
        <v>NO</v>
      </c>
      <c r="AX128" s="22" t="str">
        <f>IFERROR(('Activity data'!AX92*(1/Constants!$H$135))*ttokg*FSOMEF*NtoN2O*kgtoGg,"NO")</f>
        <v>NO</v>
      </c>
      <c r="AY128" s="22" t="str">
        <f>IFERROR(('Activity data'!AY92*(1/Constants!$H$135))*ttokg*FSOMEF*NtoN2O*kgtoGg,"NO")</f>
        <v>NO</v>
      </c>
      <c r="AZ128" s="22" t="str">
        <f>IFERROR(('Activity data'!AZ92*(1/Constants!$H$135))*ttokg*FSOMEF*NtoN2O*kgtoGg,"NO")</f>
        <v>NO</v>
      </c>
      <c r="BA128" s="22" t="str">
        <f>IFERROR(('Activity data'!BA92*(1/Constants!$H$135))*ttokg*FSOMEF*NtoN2O*kgtoGg,"NO")</f>
        <v>NO</v>
      </c>
      <c r="BB128" s="22" t="str">
        <f>IFERROR(('Activity data'!BB92*(1/Constants!$H$135))*ttokg*FSOMEF*NtoN2O*kgtoGg,"NO")</f>
        <v>NO</v>
      </c>
      <c r="BC128" s="22" t="str">
        <f>IFERROR(('Activity data'!BC92*(1/Constants!$H$135))*ttokg*FSOMEF*NtoN2O*kgtoGg,"NO")</f>
        <v>NO</v>
      </c>
      <c r="BD128" s="22" t="str">
        <f>IFERROR(('Activity data'!BD92*(1/Constants!$H$135))*ttokg*FSOMEF*NtoN2O*kgtoGg,"NO")</f>
        <v>NO</v>
      </c>
      <c r="BE128" s="22" t="str">
        <f>IFERROR(('Activity data'!BE92*(1/Constants!$H$135))*ttokg*FSOMEF*NtoN2O*kgtoGg,"NO")</f>
        <v>NO</v>
      </c>
      <c r="BF128" s="22" t="str">
        <f>IFERROR(('Activity data'!BF92*(1/Constants!$H$135))*ttokg*FSOMEF*NtoN2O*kgtoGg,"NO")</f>
        <v>NO</v>
      </c>
      <c r="BG128" s="22" t="str">
        <f>IFERROR(('Activity data'!BG92*(1/Constants!$H$135))*ttokg*FSOMEF*NtoN2O*kgtoGg,"NO")</f>
        <v>NO</v>
      </c>
      <c r="BH128" s="22" t="str">
        <f>IFERROR(('Activity data'!BH92*(1/Constants!$H$135))*ttokg*FSOMEF*NtoN2O*kgtoGg,"NO")</f>
        <v>NO</v>
      </c>
      <c r="BI128" s="22" t="str">
        <f>IFERROR(('Activity data'!BI92*(1/Constants!$H$135))*ttokg*FSOMEF*NtoN2O*kgtoGg,"NO")</f>
        <v>NO</v>
      </c>
      <c r="BJ128" s="22" t="str">
        <f>IFERROR(('Activity data'!BJ92*(1/Constants!$H$135))*ttokg*FSOMEF*NtoN2O*kgtoGg,"NO")</f>
        <v>NO</v>
      </c>
      <c r="BK128" s="22" t="str">
        <f>IFERROR(('Activity data'!BK92*(1/Constants!$H$135))*ttokg*FSOMEF*NtoN2O*kgtoGg,"NO")</f>
        <v>NO</v>
      </c>
      <c r="BL128" s="22" t="str">
        <f>IFERROR(('Activity data'!BL92*(1/Constants!$H$135))*ttokg*FSOMEF*NtoN2O*kgtoGg,"NO")</f>
        <v>NO</v>
      </c>
      <c r="BM128" s="22" t="str">
        <f>IFERROR(('Activity data'!BM92*(1/Constants!$H$135))*ttokg*FSOMEF*NtoN2O*kgtoGg,"NO")</f>
        <v>NO</v>
      </c>
      <c r="BN128" s="22" t="str">
        <f>IFERROR(('Activity data'!BN92*(1/Constants!$H$135))*ttokg*FSOMEF*NtoN2O*kgtoGg,"NO")</f>
        <v>NO</v>
      </c>
      <c r="BO128" s="22" t="str">
        <f>IFERROR(('Activity data'!BO92*(1/Constants!$H$135))*ttokg*FSOMEF*NtoN2O*kgtoGg,"NO")</f>
        <v>NO</v>
      </c>
      <c r="BP128" s="22" t="str">
        <f>IFERROR(('Activity data'!BP92*(1/Constants!$H$135))*ttokg*FSOMEF*NtoN2O*kgtoGg,"NO")</f>
        <v>NO</v>
      </c>
    </row>
    <row r="129" spans="1:68" x14ac:dyDescent="0.3">
      <c r="A129" t="str">
        <f t="shared" si="39"/>
        <v>3C Aggregated and non-CO2 emissions on land</v>
      </c>
      <c r="B129" t="str">
        <f t="shared" si="31"/>
        <v>3C4 Direct N2O from managed soils (N2O)</v>
      </c>
      <c r="C129" t="s">
        <v>60</v>
      </c>
      <c r="D129" t="str">
        <f>" - "&amp;'Activity data'!D93</f>
        <v xml:space="preserve"> - Wetland remaining wetland</v>
      </c>
      <c r="E129" t="str">
        <f t="shared" si="32"/>
        <v>FSOM - Wetland remaining wetland</v>
      </c>
      <c r="G129" t="str">
        <f t="shared" si="37"/>
        <v>Gg N2O</v>
      </c>
      <c r="H129" s="22" t="str">
        <f>IFERROR(('Activity data'!H93*(1/Constants!$H$134))*ttokg*FSOMEF*NtoN2O*kgtoGg,"NO")</f>
        <v>NO</v>
      </c>
      <c r="I129" s="22" t="str">
        <f>IFERROR(('Activity data'!I93*(1/Constants!$H$134))*ttokg*FSOMEF*NtoN2O*kgtoGg,"NO")</f>
        <v>NO</v>
      </c>
      <c r="J129" s="22" t="str">
        <f>IFERROR(('Activity data'!J93*(1/Constants!$H$134))*ttokg*FSOMEF*NtoN2O*kgtoGg,"NO")</f>
        <v>NO</v>
      </c>
      <c r="K129" s="22" t="str">
        <f>IFERROR(('Activity data'!K93*(1/Constants!$H$134))*ttokg*FSOMEF*NtoN2O*kgtoGg,"NO")</f>
        <v>NO</v>
      </c>
      <c r="L129" s="22" t="str">
        <f>IFERROR(('Activity data'!L93*(1/Constants!$H$134))*ttokg*FSOMEF*NtoN2O*kgtoGg,"NO")</f>
        <v>NO</v>
      </c>
      <c r="M129" s="22" t="str">
        <f>IFERROR(('Activity data'!M93*(1/Constants!$H$134))*ttokg*FSOMEF*NtoN2O*kgtoGg,"NO")</f>
        <v>NO</v>
      </c>
      <c r="N129" s="22" t="str">
        <f>IFERROR(('Activity data'!N93*(1/Constants!$H$134))*ttokg*FSOMEF*NtoN2O*kgtoGg,"NO")</f>
        <v>NO</v>
      </c>
      <c r="O129" s="22" t="str">
        <f>IFERROR(('Activity data'!O93*(1/Constants!$H$134))*ttokg*FSOMEF*NtoN2O*kgtoGg,"NO")</f>
        <v>NO</v>
      </c>
      <c r="P129" s="22" t="str">
        <f>IFERROR(('Activity data'!P93*(1/Constants!$H$134))*ttokg*FSOMEF*NtoN2O*kgtoGg,"NO")</f>
        <v>NO</v>
      </c>
      <c r="Q129" s="22" t="str">
        <f>IFERROR(('Activity data'!Q93*(1/Constants!$H$134))*ttokg*FSOMEF*NtoN2O*kgtoGg,"NO")</f>
        <v>NO</v>
      </c>
      <c r="R129" s="22" t="str">
        <f>IFERROR(('Activity data'!R93*(1/Constants!$H$134))*ttokg*FSOMEF*NtoN2O*kgtoGg,"NO")</f>
        <v>NO</v>
      </c>
      <c r="S129" s="22" t="str">
        <f>IFERROR(('Activity data'!S93*(1/Constants!$H$134))*ttokg*FSOMEF*NtoN2O*kgtoGg,"NO")</f>
        <v>NO</v>
      </c>
      <c r="T129" s="22" t="str">
        <f>IFERROR(('Activity data'!T93*(1/Constants!$H$134))*ttokg*FSOMEF*NtoN2O*kgtoGg,"NO")</f>
        <v>NO</v>
      </c>
      <c r="U129" s="22" t="str">
        <f>IFERROR(('Activity data'!U93*(1/Constants!$H$134))*ttokg*FSOMEF*NtoN2O*kgtoGg,"NO")</f>
        <v>NO</v>
      </c>
      <c r="V129" s="22" t="str">
        <f>IFERROR(('Activity data'!V93*(1/Constants!$H$134))*ttokg*FSOMEF*NtoN2O*kgtoGg,"NO")</f>
        <v>NO</v>
      </c>
      <c r="W129" s="22" t="str">
        <f>IFERROR(('Activity data'!W93*(1/Constants!$H$134))*ttokg*FSOMEF*NtoN2O*kgtoGg,"NO")</f>
        <v>NO</v>
      </c>
      <c r="X129" s="22" t="str">
        <f>IFERROR(('Activity data'!X93*(1/Constants!$H$134))*ttokg*FSOMEF*NtoN2O*kgtoGg,"NO")</f>
        <v>NO</v>
      </c>
      <c r="Y129" s="22" t="str">
        <f>IFERROR(('Activity data'!Y93*(1/Constants!$H$134))*ttokg*FSOMEF*NtoN2O*kgtoGg,"NO")</f>
        <v>NO</v>
      </c>
      <c r="Z129" s="22" t="str">
        <f>IFERROR(('Activity data'!Z93*(1/Constants!$H$134))*ttokg*FSOMEF*NtoN2O*kgtoGg,"NO")</f>
        <v>NO</v>
      </c>
      <c r="AA129" s="22" t="str">
        <f>IFERROR(('Activity data'!AA93*(1/Constants!$H$134))*ttokg*FSOMEF*NtoN2O*kgtoGg,"NO")</f>
        <v>NO</v>
      </c>
      <c r="AB129" s="22" t="str">
        <f>IFERROR(('Activity data'!AB93*(1/Constants!$H$134))*ttokg*FSOMEF*NtoN2O*kgtoGg,"NO")</f>
        <v>NO</v>
      </c>
      <c r="AC129" s="22" t="str">
        <f>IFERROR(('Activity data'!AC93*(1/Constants!$H$134))*ttokg*FSOMEF*NtoN2O*kgtoGg,"NO")</f>
        <v>NO</v>
      </c>
      <c r="AD129" s="22" t="str">
        <f>IFERROR(('Activity data'!AD93*(1/Constants!$H$134))*ttokg*FSOMEF*NtoN2O*kgtoGg,"NO")</f>
        <v>NO</v>
      </c>
      <c r="AE129" s="22" t="str">
        <f>IFERROR(('Activity data'!AE93*(1/Constants!$H$134))*ttokg*FSOMEF*NtoN2O*kgtoGg,"NO")</f>
        <v>NO</v>
      </c>
      <c r="AF129" s="22" t="str">
        <f>IFERROR(('Activity data'!AF93*(1/Constants!$H$134))*ttokg*FSOMEF*NtoN2O*kgtoGg,"NO")</f>
        <v>NO</v>
      </c>
      <c r="AG129" s="22" t="str">
        <f>IFERROR(('Activity data'!AG93*(1/Constants!$H$134))*ttokg*FSOMEF*NtoN2O*kgtoGg,"NO")</f>
        <v>NO</v>
      </c>
      <c r="AH129" s="22" t="str">
        <f>IFERROR(('Activity data'!AH93*(1/Constants!$H$134))*ttokg*FSOMEF*NtoN2O*kgtoGg,"NO")</f>
        <v>NO</v>
      </c>
      <c r="AI129" s="22" t="str">
        <f>IFERROR(('Activity data'!AI93*(1/Constants!$H$134))*ttokg*FSOMEF*NtoN2O*kgtoGg,"NO")</f>
        <v>NO</v>
      </c>
      <c r="AJ129" s="22" t="str">
        <f>IFERROR(('Activity data'!AJ93*(1/Constants!$H$134))*ttokg*FSOMEF*NtoN2O*kgtoGg,"NO")</f>
        <v>NO</v>
      </c>
      <c r="AK129" s="22" t="str">
        <f>IFERROR(('Activity data'!AK93*(1/Constants!$H$134))*ttokg*FSOMEF*NtoN2O*kgtoGg,"NO")</f>
        <v>NO</v>
      </c>
      <c r="AL129" s="22" t="str">
        <f>IFERROR(('Activity data'!AL93*(1/Constants!$H$134))*ttokg*FSOMEF*NtoN2O*kgtoGg,"NO")</f>
        <v>NO</v>
      </c>
      <c r="AM129" s="22" t="str">
        <f>IFERROR(('Activity data'!AM93*(1/Constants!$H$134))*ttokg*FSOMEF*NtoN2O*kgtoGg,"NO")</f>
        <v>NO</v>
      </c>
      <c r="AN129" s="22" t="str">
        <f>IFERROR(('Activity data'!AN93*(1/Constants!$H$134))*ttokg*FSOMEF*NtoN2O*kgtoGg,"NO")</f>
        <v>NO</v>
      </c>
      <c r="AO129" s="22" t="str">
        <f>IFERROR(('Activity data'!AO93*(1/Constants!$H$134))*ttokg*FSOMEF*NtoN2O*kgtoGg,"NO")</f>
        <v>NO</v>
      </c>
      <c r="AP129" s="22" t="str">
        <f>IFERROR(('Activity data'!AP93*(1/Constants!$H$134))*ttokg*FSOMEF*NtoN2O*kgtoGg,"NO")</f>
        <v>NO</v>
      </c>
      <c r="AQ129" s="22" t="str">
        <f>IFERROR(('Activity data'!AQ93*(1/Constants!$H$134))*ttokg*FSOMEF*NtoN2O*kgtoGg,"NO")</f>
        <v>NO</v>
      </c>
      <c r="AR129" s="22" t="str">
        <f>IFERROR(('Activity data'!AR93*(1/Constants!$H$134))*ttokg*FSOMEF*NtoN2O*kgtoGg,"NO")</f>
        <v>NO</v>
      </c>
      <c r="AS129" s="22" t="str">
        <f>IFERROR(('Activity data'!AS93*(1/Constants!$H$134))*ttokg*FSOMEF*NtoN2O*kgtoGg,"NO")</f>
        <v>NO</v>
      </c>
      <c r="AT129" s="22" t="str">
        <f>IFERROR(('Activity data'!AT93*(1/Constants!$H$134))*ttokg*FSOMEF*NtoN2O*kgtoGg,"NO")</f>
        <v>NO</v>
      </c>
      <c r="AU129" s="22" t="str">
        <f>IFERROR(('Activity data'!AU93*(1/Constants!$H$134))*ttokg*FSOMEF*NtoN2O*kgtoGg,"NO")</f>
        <v>NO</v>
      </c>
      <c r="AV129" s="22" t="str">
        <f>IFERROR(('Activity data'!AV93*(1/Constants!$H$134))*ttokg*FSOMEF*NtoN2O*kgtoGg,"NO")</f>
        <v>NO</v>
      </c>
      <c r="AW129" s="22" t="str">
        <f>IFERROR(('Activity data'!AW93*(1/Constants!$H$134))*ttokg*FSOMEF*NtoN2O*kgtoGg,"NO")</f>
        <v>NO</v>
      </c>
      <c r="AX129" s="22" t="str">
        <f>IFERROR(('Activity data'!AX93*(1/Constants!$H$134))*ttokg*FSOMEF*NtoN2O*kgtoGg,"NO")</f>
        <v>NO</v>
      </c>
      <c r="AY129" s="22" t="str">
        <f>IFERROR(('Activity data'!AY93*(1/Constants!$H$134))*ttokg*FSOMEF*NtoN2O*kgtoGg,"NO")</f>
        <v>NO</v>
      </c>
      <c r="AZ129" s="22" t="str">
        <f>IFERROR(('Activity data'!AZ93*(1/Constants!$H$134))*ttokg*FSOMEF*NtoN2O*kgtoGg,"NO")</f>
        <v>NO</v>
      </c>
      <c r="BA129" s="22" t="str">
        <f>IFERROR(('Activity data'!BA93*(1/Constants!$H$134))*ttokg*FSOMEF*NtoN2O*kgtoGg,"NO")</f>
        <v>NO</v>
      </c>
      <c r="BB129" s="22" t="str">
        <f>IFERROR(('Activity data'!BB93*(1/Constants!$H$134))*ttokg*FSOMEF*NtoN2O*kgtoGg,"NO")</f>
        <v>NO</v>
      </c>
      <c r="BC129" s="22" t="str">
        <f>IFERROR(('Activity data'!BC93*(1/Constants!$H$134))*ttokg*FSOMEF*NtoN2O*kgtoGg,"NO")</f>
        <v>NO</v>
      </c>
      <c r="BD129" s="22" t="str">
        <f>IFERROR(('Activity data'!BD93*(1/Constants!$H$134))*ttokg*FSOMEF*NtoN2O*kgtoGg,"NO")</f>
        <v>NO</v>
      </c>
      <c r="BE129" s="22" t="str">
        <f>IFERROR(('Activity data'!BE93*(1/Constants!$H$134))*ttokg*FSOMEF*NtoN2O*kgtoGg,"NO")</f>
        <v>NO</v>
      </c>
      <c r="BF129" s="22" t="str">
        <f>IFERROR(('Activity data'!BF93*(1/Constants!$H$134))*ttokg*FSOMEF*NtoN2O*kgtoGg,"NO")</f>
        <v>NO</v>
      </c>
      <c r="BG129" s="22" t="str">
        <f>IFERROR(('Activity data'!BG93*(1/Constants!$H$134))*ttokg*FSOMEF*NtoN2O*kgtoGg,"NO")</f>
        <v>NO</v>
      </c>
      <c r="BH129" s="22" t="str">
        <f>IFERROR(('Activity data'!BH93*(1/Constants!$H$134))*ttokg*FSOMEF*NtoN2O*kgtoGg,"NO")</f>
        <v>NO</v>
      </c>
      <c r="BI129" s="22" t="str">
        <f>IFERROR(('Activity data'!BI93*(1/Constants!$H$134))*ttokg*FSOMEF*NtoN2O*kgtoGg,"NO")</f>
        <v>NO</v>
      </c>
      <c r="BJ129" s="22" t="str">
        <f>IFERROR(('Activity data'!BJ93*(1/Constants!$H$134))*ttokg*FSOMEF*NtoN2O*kgtoGg,"NO")</f>
        <v>NO</v>
      </c>
      <c r="BK129" s="22" t="str">
        <f>IFERROR(('Activity data'!BK93*(1/Constants!$H$134))*ttokg*FSOMEF*NtoN2O*kgtoGg,"NO")</f>
        <v>NO</v>
      </c>
      <c r="BL129" s="22" t="str">
        <f>IFERROR(('Activity data'!BL93*(1/Constants!$H$134))*ttokg*FSOMEF*NtoN2O*kgtoGg,"NO")</f>
        <v>NO</v>
      </c>
      <c r="BM129" s="22" t="str">
        <f>IFERROR(('Activity data'!BM93*(1/Constants!$H$134))*ttokg*FSOMEF*NtoN2O*kgtoGg,"NO")</f>
        <v>NO</v>
      </c>
      <c r="BN129" s="22" t="str">
        <f>IFERROR(('Activity data'!BN93*(1/Constants!$H$134))*ttokg*FSOMEF*NtoN2O*kgtoGg,"NO")</f>
        <v>NO</v>
      </c>
      <c r="BO129" s="22" t="str">
        <f>IFERROR(('Activity data'!BO93*(1/Constants!$H$134))*ttokg*FSOMEF*NtoN2O*kgtoGg,"NO")</f>
        <v>NO</v>
      </c>
      <c r="BP129" s="22" t="str">
        <f>IFERROR(('Activity data'!BP93*(1/Constants!$H$134))*ttokg*FSOMEF*NtoN2O*kgtoGg,"NO")</f>
        <v>NO</v>
      </c>
    </row>
    <row r="130" spans="1:68" x14ac:dyDescent="0.3">
      <c r="A130" t="str">
        <f t="shared" si="39"/>
        <v>3C Aggregated and non-CO2 emissions on land</v>
      </c>
      <c r="B130" t="str">
        <f t="shared" si="31"/>
        <v>3C4 Direct N2O from managed soils (N2O)</v>
      </c>
      <c r="C130" t="s">
        <v>60</v>
      </c>
      <c r="D130" t="str">
        <f>" - "&amp;'Activity data'!D94</f>
        <v xml:space="preserve"> - Land converted to wetland</v>
      </c>
      <c r="E130" t="str">
        <f t="shared" ref="E130:E134" si="41">C130&amp;D130</f>
        <v>FSOM - Land converted to wetland</v>
      </c>
      <c r="G130" t="str">
        <f t="shared" si="37"/>
        <v>Gg N2O</v>
      </c>
      <c r="H130" s="22" t="str">
        <f>IFERROR(('Activity data'!H94*(1/Constants!$H$132))*ttokg*FSOMEF*NtoN2O*kgtoGg,"NO")</f>
        <v>NO</v>
      </c>
      <c r="I130" s="22" t="str">
        <f>IFERROR(('Activity data'!I94*(1/Constants!$H$132))*ttokg*FSOMEF*NtoN2O*kgtoGg,"NO")</f>
        <v>NO</v>
      </c>
      <c r="J130" s="22" t="str">
        <f>IFERROR(('Activity data'!J94*(1/Constants!$H$132))*ttokg*FSOMEF*NtoN2O*kgtoGg,"NO")</f>
        <v>NO</v>
      </c>
      <c r="K130" s="22" t="str">
        <f>IFERROR(('Activity data'!K94*(1/Constants!$H$132))*ttokg*FSOMEF*NtoN2O*kgtoGg,"NO")</f>
        <v>NO</v>
      </c>
      <c r="L130" s="22" t="str">
        <f>IFERROR(('Activity data'!L94*(1/Constants!$H$132))*ttokg*FSOMEF*NtoN2O*kgtoGg,"NO")</f>
        <v>NO</v>
      </c>
      <c r="M130" s="22" t="str">
        <f>IFERROR(('Activity data'!M94*(1/Constants!$H$132))*ttokg*FSOMEF*NtoN2O*kgtoGg,"NO")</f>
        <v>NO</v>
      </c>
      <c r="N130" s="22" t="str">
        <f>IFERROR(('Activity data'!N94*(1/Constants!$H$132))*ttokg*FSOMEF*NtoN2O*kgtoGg,"NO")</f>
        <v>NO</v>
      </c>
      <c r="O130" s="22" t="str">
        <f>IFERROR(('Activity data'!O94*(1/Constants!$H$132))*ttokg*FSOMEF*NtoN2O*kgtoGg,"NO")</f>
        <v>NO</v>
      </c>
      <c r="P130" s="22" t="str">
        <f>IFERROR(('Activity data'!P94*(1/Constants!$H$132))*ttokg*FSOMEF*NtoN2O*kgtoGg,"NO")</f>
        <v>NO</v>
      </c>
      <c r="Q130" s="22" t="str">
        <f>IFERROR(('Activity data'!Q94*(1/Constants!$H$132))*ttokg*FSOMEF*NtoN2O*kgtoGg,"NO")</f>
        <v>NO</v>
      </c>
      <c r="R130" s="22" t="str">
        <f>IFERROR(('Activity data'!R94*(1/Constants!$H$132))*ttokg*FSOMEF*NtoN2O*kgtoGg,"NO")</f>
        <v>NO</v>
      </c>
      <c r="S130" s="22" t="str">
        <f>IFERROR(('Activity data'!S94*(1/Constants!$H$132))*ttokg*FSOMEF*NtoN2O*kgtoGg,"NO")</f>
        <v>NO</v>
      </c>
      <c r="T130" s="22" t="str">
        <f>IFERROR(('Activity data'!T94*(1/Constants!$H$132))*ttokg*FSOMEF*NtoN2O*kgtoGg,"NO")</f>
        <v>NO</v>
      </c>
      <c r="U130" s="22" t="str">
        <f>IFERROR(('Activity data'!U94*(1/Constants!$H$132))*ttokg*FSOMEF*NtoN2O*kgtoGg,"NO")</f>
        <v>NO</v>
      </c>
      <c r="V130" s="22" t="str">
        <f>IFERROR(('Activity data'!V94*(1/Constants!$H$132))*ttokg*FSOMEF*NtoN2O*kgtoGg,"NO")</f>
        <v>NO</v>
      </c>
      <c r="W130" s="22" t="str">
        <f>IFERROR(('Activity data'!W94*(1/Constants!$H$132))*ttokg*FSOMEF*NtoN2O*kgtoGg,"NO")</f>
        <v>NO</v>
      </c>
      <c r="X130" s="22" t="str">
        <f>IFERROR(('Activity data'!X94*(1/Constants!$H$132))*ttokg*FSOMEF*NtoN2O*kgtoGg,"NO")</f>
        <v>NO</v>
      </c>
      <c r="Y130" s="22" t="str">
        <f>IFERROR(('Activity data'!Y94*(1/Constants!$H$132))*ttokg*FSOMEF*NtoN2O*kgtoGg,"NO")</f>
        <v>NO</v>
      </c>
      <c r="Z130" s="22" t="str">
        <f>IFERROR(('Activity data'!Z94*(1/Constants!$H$132))*ttokg*FSOMEF*NtoN2O*kgtoGg,"NO")</f>
        <v>NO</v>
      </c>
      <c r="AA130" s="22" t="str">
        <f>IFERROR(('Activity data'!AA94*(1/Constants!$H$132))*ttokg*FSOMEF*NtoN2O*kgtoGg,"NO")</f>
        <v>NO</v>
      </c>
      <c r="AB130" s="22" t="str">
        <f>IFERROR(('Activity data'!AB94*(1/Constants!$H$132))*ttokg*FSOMEF*NtoN2O*kgtoGg,"NO")</f>
        <v>NO</v>
      </c>
      <c r="AC130" s="22" t="str">
        <f>IFERROR(('Activity data'!AC94*(1/Constants!$H$132))*ttokg*FSOMEF*NtoN2O*kgtoGg,"NO")</f>
        <v>NO</v>
      </c>
      <c r="AD130" s="22" t="str">
        <f>IFERROR(('Activity data'!AD94*(1/Constants!$H$132))*ttokg*FSOMEF*NtoN2O*kgtoGg,"NO")</f>
        <v>NO</v>
      </c>
      <c r="AE130" s="22" t="str">
        <f>IFERROR(('Activity data'!AE94*(1/Constants!$H$132))*ttokg*FSOMEF*NtoN2O*kgtoGg,"NO")</f>
        <v>NO</v>
      </c>
      <c r="AF130" s="22" t="str">
        <f>IFERROR(('Activity data'!AF94*(1/Constants!$H$132))*ttokg*FSOMEF*NtoN2O*kgtoGg,"NO")</f>
        <v>NO</v>
      </c>
      <c r="AG130" s="22" t="str">
        <f>IFERROR(('Activity data'!AG94*(1/Constants!$H$132))*ttokg*FSOMEF*NtoN2O*kgtoGg,"NO")</f>
        <v>NO</v>
      </c>
      <c r="AH130" s="22" t="str">
        <f>IFERROR(('Activity data'!AH94*(1/Constants!$H$132))*ttokg*FSOMEF*NtoN2O*kgtoGg,"NO")</f>
        <v>NO</v>
      </c>
      <c r="AI130" s="22" t="str">
        <f>IFERROR(('Activity data'!AI94*(1/Constants!$H$132))*ttokg*FSOMEF*NtoN2O*kgtoGg,"NO")</f>
        <v>NO</v>
      </c>
      <c r="AJ130" s="22" t="str">
        <f>IFERROR(('Activity data'!AJ94*(1/Constants!$H$132))*ttokg*FSOMEF*NtoN2O*kgtoGg,"NO")</f>
        <v>NO</v>
      </c>
      <c r="AK130" s="22" t="str">
        <f>IFERROR(('Activity data'!AK94*(1/Constants!$H$132))*ttokg*FSOMEF*NtoN2O*kgtoGg,"NO")</f>
        <v>NO</v>
      </c>
      <c r="AL130" s="22" t="str">
        <f>IFERROR(('Activity data'!AL94*(1/Constants!$H$132))*ttokg*FSOMEF*NtoN2O*kgtoGg,"NO")</f>
        <v>NO</v>
      </c>
      <c r="AM130" s="22" t="str">
        <f>IFERROR(('Activity data'!AM94*(1/Constants!$H$132))*ttokg*FSOMEF*NtoN2O*kgtoGg,"NO")</f>
        <v>NO</v>
      </c>
      <c r="AN130" s="22" t="str">
        <f>IFERROR(('Activity data'!AN94*(1/Constants!$H$132))*ttokg*FSOMEF*NtoN2O*kgtoGg,"NO")</f>
        <v>NO</v>
      </c>
      <c r="AO130" s="22" t="str">
        <f>IFERROR(('Activity data'!AO94*(1/Constants!$H$132))*ttokg*FSOMEF*NtoN2O*kgtoGg,"NO")</f>
        <v>NO</v>
      </c>
      <c r="AP130" s="22" t="str">
        <f>IFERROR(('Activity data'!AP94*(1/Constants!$H$132))*ttokg*FSOMEF*NtoN2O*kgtoGg,"NO")</f>
        <v>NO</v>
      </c>
      <c r="AQ130" s="22" t="str">
        <f>IFERROR(('Activity data'!AQ94*(1/Constants!$H$132))*ttokg*FSOMEF*NtoN2O*kgtoGg,"NO")</f>
        <v>NO</v>
      </c>
      <c r="AR130" s="22" t="str">
        <f>IFERROR(('Activity data'!AR94*(1/Constants!$H$132))*ttokg*FSOMEF*NtoN2O*kgtoGg,"NO")</f>
        <v>NO</v>
      </c>
      <c r="AS130" s="22" t="str">
        <f>IFERROR(('Activity data'!AS94*(1/Constants!$H$132))*ttokg*FSOMEF*NtoN2O*kgtoGg,"NO")</f>
        <v>NO</v>
      </c>
      <c r="AT130" s="22" t="str">
        <f>IFERROR(('Activity data'!AT94*(1/Constants!$H$132))*ttokg*FSOMEF*NtoN2O*kgtoGg,"NO")</f>
        <v>NO</v>
      </c>
      <c r="AU130" s="22" t="str">
        <f>IFERROR(('Activity data'!AU94*(1/Constants!$H$132))*ttokg*FSOMEF*NtoN2O*kgtoGg,"NO")</f>
        <v>NO</v>
      </c>
      <c r="AV130" s="22" t="str">
        <f>IFERROR(('Activity data'!AV94*(1/Constants!$H$132))*ttokg*FSOMEF*NtoN2O*kgtoGg,"NO")</f>
        <v>NO</v>
      </c>
      <c r="AW130" s="22" t="str">
        <f>IFERROR(('Activity data'!AW94*(1/Constants!$H$132))*ttokg*FSOMEF*NtoN2O*kgtoGg,"NO")</f>
        <v>NO</v>
      </c>
      <c r="AX130" s="22" t="str">
        <f>IFERROR(('Activity data'!AX94*(1/Constants!$H$132))*ttokg*FSOMEF*NtoN2O*kgtoGg,"NO")</f>
        <v>NO</v>
      </c>
      <c r="AY130" s="22" t="str">
        <f>IFERROR(('Activity data'!AY94*(1/Constants!$H$132))*ttokg*FSOMEF*NtoN2O*kgtoGg,"NO")</f>
        <v>NO</v>
      </c>
      <c r="AZ130" s="22" t="str">
        <f>IFERROR(('Activity data'!AZ94*(1/Constants!$H$132))*ttokg*FSOMEF*NtoN2O*kgtoGg,"NO")</f>
        <v>NO</v>
      </c>
      <c r="BA130" s="22" t="str">
        <f>IFERROR(('Activity data'!BA94*(1/Constants!$H$132))*ttokg*FSOMEF*NtoN2O*kgtoGg,"NO")</f>
        <v>NO</v>
      </c>
      <c r="BB130" s="22" t="str">
        <f>IFERROR(('Activity data'!BB94*(1/Constants!$H$132))*ttokg*FSOMEF*NtoN2O*kgtoGg,"NO")</f>
        <v>NO</v>
      </c>
      <c r="BC130" s="22" t="str">
        <f>IFERROR(('Activity data'!BC94*(1/Constants!$H$132))*ttokg*FSOMEF*NtoN2O*kgtoGg,"NO")</f>
        <v>NO</v>
      </c>
      <c r="BD130" s="22" t="str">
        <f>IFERROR(('Activity data'!BD94*(1/Constants!$H$132))*ttokg*FSOMEF*NtoN2O*kgtoGg,"NO")</f>
        <v>NO</v>
      </c>
      <c r="BE130" s="22" t="str">
        <f>IFERROR(('Activity data'!BE94*(1/Constants!$H$132))*ttokg*FSOMEF*NtoN2O*kgtoGg,"NO")</f>
        <v>NO</v>
      </c>
      <c r="BF130" s="22" t="str">
        <f>IFERROR(('Activity data'!BF94*(1/Constants!$H$132))*ttokg*FSOMEF*NtoN2O*kgtoGg,"NO")</f>
        <v>NO</v>
      </c>
      <c r="BG130" s="22" t="str">
        <f>IFERROR(('Activity data'!BG94*(1/Constants!$H$132))*ttokg*FSOMEF*NtoN2O*kgtoGg,"NO")</f>
        <v>NO</v>
      </c>
      <c r="BH130" s="22" t="str">
        <f>IFERROR(('Activity data'!BH94*(1/Constants!$H$132))*ttokg*FSOMEF*NtoN2O*kgtoGg,"NO")</f>
        <v>NO</v>
      </c>
      <c r="BI130" s="22" t="str">
        <f>IFERROR(('Activity data'!BI94*(1/Constants!$H$132))*ttokg*FSOMEF*NtoN2O*kgtoGg,"NO")</f>
        <v>NO</v>
      </c>
      <c r="BJ130" s="22" t="str">
        <f>IFERROR(('Activity data'!BJ94*(1/Constants!$H$132))*ttokg*FSOMEF*NtoN2O*kgtoGg,"NO")</f>
        <v>NO</v>
      </c>
      <c r="BK130" s="22" t="str">
        <f>IFERROR(('Activity data'!BK94*(1/Constants!$H$132))*ttokg*FSOMEF*NtoN2O*kgtoGg,"NO")</f>
        <v>NO</v>
      </c>
      <c r="BL130" s="22" t="str">
        <f>IFERROR(('Activity data'!BL94*(1/Constants!$H$132))*ttokg*FSOMEF*NtoN2O*kgtoGg,"NO")</f>
        <v>NO</v>
      </c>
      <c r="BM130" s="22" t="str">
        <f>IFERROR(('Activity data'!BM94*(1/Constants!$H$132))*ttokg*FSOMEF*NtoN2O*kgtoGg,"NO")</f>
        <v>NO</v>
      </c>
      <c r="BN130" s="22" t="str">
        <f>IFERROR(('Activity data'!BN94*(1/Constants!$H$132))*ttokg*FSOMEF*NtoN2O*kgtoGg,"NO")</f>
        <v>NO</v>
      </c>
      <c r="BO130" s="22" t="str">
        <f>IFERROR(('Activity data'!BO94*(1/Constants!$H$132))*ttokg*FSOMEF*NtoN2O*kgtoGg,"NO")</f>
        <v>NO</v>
      </c>
      <c r="BP130" s="22" t="str">
        <f>IFERROR(('Activity data'!BP94*(1/Constants!$H$132))*ttokg*FSOMEF*NtoN2O*kgtoGg,"NO")</f>
        <v>NO</v>
      </c>
    </row>
    <row r="131" spans="1:68" x14ac:dyDescent="0.3">
      <c r="A131" t="str">
        <f t="shared" si="39"/>
        <v>3C Aggregated and non-CO2 emissions on land</v>
      </c>
      <c r="B131" t="str">
        <f t="shared" si="31"/>
        <v>3C4 Direct N2O from managed soils (N2O)</v>
      </c>
      <c r="C131" t="s">
        <v>60</v>
      </c>
      <c r="D131" t="str">
        <f>" - "&amp;'Activity data'!D95</f>
        <v xml:space="preserve"> - Settlements remaining settlements</v>
      </c>
      <c r="E131" t="str">
        <f t="shared" si="41"/>
        <v>FSOM - Settlements remaining settlements</v>
      </c>
      <c r="G131" t="str">
        <f t="shared" si="37"/>
        <v>Gg N2O</v>
      </c>
      <c r="H131" s="22" t="str">
        <f>IFERROR(('Activity data'!H95*(1/Constants!$H$133))*ttokg*FSOMEF*NtoN2O*kgtoGg,"NO")</f>
        <v>NO</v>
      </c>
      <c r="I131" s="22">
        <f>IFERROR(('Activity data'!I95*(1/Constants!$H$133))*ttokg*FSOMEF*NtoN2O*kgtoGg,"NO")</f>
        <v>4.963559447138258E-6</v>
      </c>
      <c r="J131" s="22">
        <f>IFERROR(('Activity data'!J95*(1/Constants!$H$133))*ttokg*FSOMEF*NtoN2O*kgtoGg,"NO")</f>
        <v>4.963559447138258E-6</v>
      </c>
      <c r="K131" s="22">
        <f>IFERROR(('Activity data'!K95*(1/Constants!$H$133))*ttokg*FSOMEF*NtoN2O*kgtoGg,"NO")</f>
        <v>4.963559447138258E-6</v>
      </c>
      <c r="L131" s="22">
        <f>IFERROR(('Activity data'!L95*(1/Constants!$H$133))*ttokg*FSOMEF*NtoN2O*kgtoGg,"NO")</f>
        <v>4.963559447138258E-6</v>
      </c>
      <c r="M131" s="22">
        <f>IFERROR(('Activity data'!M95*(1/Constants!$H$133))*ttokg*FSOMEF*NtoN2O*kgtoGg,"NO")</f>
        <v>4.963559447138258E-6</v>
      </c>
      <c r="N131" s="22">
        <f>IFERROR(('Activity data'!N95*(1/Constants!$H$133))*ttokg*FSOMEF*NtoN2O*kgtoGg,"NO")</f>
        <v>4.963559447138258E-6</v>
      </c>
      <c r="O131" s="22">
        <f>IFERROR(('Activity data'!O95*(1/Constants!$H$133))*ttokg*FSOMEF*NtoN2O*kgtoGg,"NO")</f>
        <v>4.963559447138258E-6</v>
      </c>
      <c r="P131" s="22">
        <f>IFERROR(('Activity data'!P95*(1/Constants!$H$133))*ttokg*FSOMEF*NtoN2O*kgtoGg,"NO")</f>
        <v>4.963559447138258E-6</v>
      </c>
      <c r="Q131" s="22">
        <f>IFERROR(('Activity data'!Q95*(1/Constants!$H$133))*ttokg*FSOMEF*NtoN2O*kgtoGg,"NO")</f>
        <v>4.963559447138258E-6</v>
      </c>
      <c r="R131" s="22">
        <f>IFERROR(('Activity data'!R95*(1/Constants!$H$133))*ttokg*FSOMEF*NtoN2O*kgtoGg,"NO")</f>
        <v>4.963559447138258E-6</v>
      </c>
      <c r="S131" s="22">
        <f>IFERROR(('Activity data'!S95*(1/Constants!$H$133))*ttokg*FSOMEF*NtoN2O*kgtoGg,"NO")</f>
        <v>4.963559447138258E-6</v>
      </c>
      <c r="T131" s="22">
        <f>IFERROR(('Activity data'!T95*(1/Constants!$H$133))*ttokg*FSOMEF*NtoN2O*kgtoGg,"NO")</f>
        <v>4.963559447138258E-6</v>
      </c>
      <c r="U131" s="22">
        <f>IFERROR(('Activity data'!U95*(1/Constants!$H$133))*ttokg*FSOMEF*NtoN2O*kgtoGg,"NO")</f>
        <v>4.963559447138258E-6</v>
      </c>
      <c r="V131" s="22">
        <f>IFERROR(('Activity data'!V95*(1/Constants!$H$133))*ttokg*FSOMEF*NtoN2O*kgtoGg,"NO")</f>
        <v>4.963559447138258E-6</v>
      </c>
      <c r="W131" s="22">
        <f>IFERROR(('Activity data'!W95*(1/Constants!$H$133))*ttokg*FSOMEF*NtoN2O*kgtoGg,"NO")</f>
        <v>4.963559447138258E-6</v>
      </c>
      <c r="X131" s="22">
        <f>IFERROR(('Activity data'!X95*(1/Constants!$H$133))*ttokg*FSOMEF*NtoN2O*kgtoGg,"NO")</f>
        <v>4.963559447138258E-6</v>
      </c>
      <c r="Y131" s="22">
        <f>IFERROR(('Activity data'!Y95*(1/Constants!$H$133))*ttokg*FSOMEF*NtoN2O*kgtoGg,"NO")</f>
        <v>4.963559447138258E-6</v>
      </c>
      <c r="Z131" s="22">
        <f>IFERROR(('Activity data'!Z95*(1/Constants!$H$133))*ttokg*FSOMEF*NtoN2O*kgtoGg,"NO")</f>
        <v>4.963559447138258E-6</v>
      </c>
      <c r="AA131" s="22">
        <f>IFERROR(('Activity data'!AA95*(1/Constants!$H$133))*ttokg*FSOMEF*NtoN2O*kgtoGg,"NO")</f>
        <v>4.963559447138258E-6</v>
      </c>
      <c r="AB131" s="22">
        <f>IFERROR(('Activity data'!AB95*(1/Constants!$H$133))*ttokg*FSOMEF*NtoN2O*kgtoGg,"NO")</f>
        <v>4.963559447138258E-6</v>
      </c>
      <c r="AC131" s="22">
        <f>IFERROR(('Activity data'!AC95*(1/Constants!$H$133))*ttokg*FSOMEF*NtoN2O*kgtoGg,"NO")</f>
        <v>4.963559447138258E-6</v>
      </c>
      <c r="AD131" s="22">
        <f>IFERROR(('Activity data'!AD95*(1/Constants!$H$133))*ttokg*FSOMEF*NtoN2O*kgtoGg,"NO")</f>
        <v>5.604018730639919E-5</v>
      </c>
      <c r="AE131" s="22">
        <f>IFERROR(('Activity data'!AE95*(1/Constants!$H$133))*ttokg*FSOMEF*NtoN2O*kgtoGg,"NO")</f>
        <v>5.604018730639919E-5</v>
      </c>
      <c r="AF131" s="22">
        <f>IFERROR(('Activity data'!AF95*(1/Constants!$H$133))*ttokg*FSOMEF*NtoN2O*kgtoGg,"NO")</f>
        <v>5.604018730639919E-5</v>
      </c>
      <c r="AG131" s="22">
        <f>IFERROR(('Activity data'!AG95*(1/Constants!$H$133))*ttokg*FSOMEF*NtoN2O*kgtoGg,"NO")</f>
        <v>5.604018730639919E-5</v>
      </c>
      <c r="AH131" s="22">
        <f>IFERROR(('Activity data'!AH95*(1/Constants!$H$133))*ttokg*FSOMEF*NtoN2O*kgtoGg,"NO")</f>
        <v>5.604018730639919E-5</v>
      </c>
      <c r="AI131" s="22">
        <f>IFERROR(('Activity data'!AI95*(1/Constants!$H$133))*ttokg*FSOMEF*NtoN2O*kgtoGg,"NO")</f>
        <v>5.604018730639919E-5</v>
      </c>
      <c r="AJ131" s="22">
        <f>IFERROR(('Activity data'!AJ95*(1/Constants!$H$133))*ttokg*FSOMEF*NtoN2O*kgtoGg,"NO")</f>
        <v>5.604018730639919E-5</v>
      </c>
      <c r="AK131" s="22">
        <f>IFERROR(('Activity data'!AK95*(1/Constants!$H$133))*ttokg*FSOMEF*NtoN2O*kgtoGg,"NO")</f>
        <v>5.604018730639919E-5</v>
      </c>
      <c r="AL131" s="22">
        <f>IFERROR(('Activity data'!AL95*(1/Constants!$H$133))*ttokg*FSOMEF*NtoN2O*kgtoGg,"NO")</f>
        <v>5.604018730639919E-5</v>
      </c>
      <c r="AM131" s="22">
        <f>IFERROR(('Activity data'!AM95*(1/Constants!$H$133))*ttokg*FSOMEF*NtoN2O*kgtoGg,"NO")</f>
        <v>5.604018730639919E-5</v>
      </c>
      <c r="AN131" s="22">
        <f>IFERROR(('Activity data'!AN95*(1/Constants!$H$133))*ttokg*FSOMEF*NtoN2O*kgtoGg,"NO")</f>
        <v>5.604018730639919E-5</v>
      </c>
      <c r="AO131" s="22">
        <f>IFERROR(('Activity data'!AO95*(1/Constants!$H$133))*ttokg*FSOMEF*NtoN2O*kgtoGg,"NO")</f>
        <v>5.604018730639919E-5</v>
      </c>
      <c r="AP131" s="22">
        <f>IFERROR(('Activity data'!AP95*(1/Constants!$H$133))*ttokg*FSOMEF*NtoN2O*kgtoGg,"NO")</f>
        <v>5.604018730639919E-5</v>
      </c>
      <c r="AQ131" s="22">
        <f>IFERROR(('Activity data'!AQ95*(1/Constants!$H$133))*ttokg*FSOMEF*NtoN2O*kgtoGg,"NO")</f>
        <v>5.604018730639919E-5</v>
      </c>
      <c r="AR131" s="22">
        <f>IFERROR(('Activity data'!AR95*(1/Constants!$H$133))*ttokg*FSOMEF*NtoN2O*kgtoGg,"NO")</f>
        <v>5.604018730639919E-5</v>
      </c>
      <c r="AS131" s="22">
        <f>IFERROR(('Activity data'!AS95*(1/Constants!$H$133))*ttokg*FSOMEF*NtoN2O*kgtoGg,"NO")</f>
        <v>5.604018730639919E-5</v>
      </c>
      <c r="AT131" s="22">
        <f>IFERROR(('Activity data'!AT95*(1/Constants!$H$133))*ttokg*FSOMEF*NtoN2O*kgtoGg,"NO")</f>
        <v>5.604018730639919E-5</v>
      </c>
      <c r="AU131" s="22">
        <f>IFERROR(('Activity data'!AU95*(1/Constants!$H$133))*ttokg*FSOMEF*NtoN2O*kgtoGg,"NO")</f>
        <v>5.604018730639919E-5</v>
      </c>
      <c r="AV131" s="22">
        <f>IFERROR(('Activity data'!AV95*(1/Constants!$H$133))*ttokg*FSOMEF*NtoN2O*kgtoGg,"NO")</f>
        <v>5.604018730639919E-5</v>
      </c>
      <c r="AW131" s="22">
        <f>IFERROR(('Activity data'!AW95*(1/Constants!$H$133))*ttokg*FSOMEF*NtoN2O*kgtoGg,"NO")</f>
        <v>5.604018730639919E-5</v>
      </c>
      <c r="AX131" s="22">
        <f>IFERROR(('Activity data'!AX95*(1/Constants!$H$133))*ttokg*FSOMEF*NtoN2O*kgtoGg,"NO")</f>
        <v>5.604018730639919E-5</v>
      </c>
      <c r="AY131" s="22">
        <f>IFERROR(('Activity data'!AY95*(1/Constants!$H$133))*ttokg*FSOMEF*NtoN2O*kgtoGg,"NO")</f>
        <v>5.604018730639919E-5</v>
      </c>
      <c r="AZ131" s="22">
        <f>IFERROR(('Activity data'!AZ95*(1/Constants!$H$133))*ttokg*FSOMEF*NtoN2O*kgtoGg,"NO")</f>
        <v>5.604018730639919E-5</v>
      </c>
      <c r="BA131" s="22">
        <f>IFERROR(('Activity data'!BA95*(1/Constants!$H$133))*ttokg*FSOMEF*NtoN2O*kgtoGg,"NO")</f>
        <v>5.604018730639919E-5</v>
      </c>
      <c r="BB131" s="22">
        <f>IFERROR(('Activity data'!BB95*(1/Constants!$H$133))*ttokg*FSOMEF*NtoN2O*kgtoGg,"NO")</f>
        <v>5.604018730639919E-5</v>
      </c>
      <c r="BC131" s="22">
        <f>IFERROR(('Activity data'!BC95*(1/Constants!$H$133))*ttokg*FSOMEF*NtoN2O*kgtoGg,"NO")</f>
        <v>5.604018730639919E-5</v>
      </c>
      <c r="BD131" s="22">
        <f>IFERROR(('Activity data'!BD95*(1/Constants!$H$133))*ttokg*FSOMEF*NtoN2O*kgtoGg,"NO")</f>
        <v>5.604018730639919E-5</v>
      </c>
      <c r="BE131" s="22">
        <f>IFERROR(('Activity data'!BE95*(1/Constants!$H$133))*ttokg*FSOMEF*NtoN2O*kgtoGg,"NO")</f>
        <v>5.604018730639919E-5</v>
      </c>
      <c r="BF131" s="22">
        <f>IFERROR(('Activity data'!BF95*(1/Constants!$H$133))*ttokg*FSOMEF*NtoN2O*kgtoGg,"NO")</f>
        <v>5.604018730639919E-5</v>
      </c>
      <c r="BG131" s="22">
        <f>IFERROR(('Activity data'!BG95*(1/Constants!$H$133))*ttokg*FSOMEF*NtoN2O*kgtoGg,"NO")</f>
        <v>5.604018730639919E-5</v>
      </c>
      <c r="BH131" s="22">
        <f>IFERROR(('Activity data'!BH95*(1/Constants!$H$133))*ttokg*FSOMEF*NtoN2O*kgtoGg,"NO")</f>
        <v>5.604018730639919E-5</v>
      </c>
      <c r="BI131" s="22">
        <f>IFERROR(('Activity data'!BI95*(1/Constants!$H$133))*ttokg*FSOMEF*NtoN2O*kgtoGg,"NO")</f>
        <v>5.604018730639919E-5</v>
      </c>
      <c r="BJ131" s="22">
        <f>IFERROR(('Activity data'!BJ95*(1/Constants!$H$133))*ttokg*FSOMEF*NtoN2O*kgtoGg,"NO")</f>
        <v>5.604018730639919E-5</v>
      </c>
      <c r="BK131" s="22">
        <f>IFERROR(('Activity data'!BK95*(1/Constants!$H$133))*ttokg*FSOMEF*NtoN2O*kgtoGg,"NO")</f>
        <v>5.604018730639919E-5</v>
      </c>
      <c r="BL131" s="22">
        <f>IFERROR(('Activity data'!BL95*(1/Constants!$H$133))*ttokg*FSOMEF*NtoN2O*kgtoGg,"NO")</f>
        <v>5.604018730639919E-5</v>
      </c>
      <c r="BM131" s="22">
        <f>IFERROR(('Activity data'!BM95*(1/Constants!$H$133))*ttokg*FSOMEF*NtoN2O*kgtoGg,"NO")</f>
        <v>5.604018730639919E-5</v>
      </c>
      <c r="BN131" s="22">
        <f>IFERROR(('Activity data'!BN95*(1/Constants!$H$133))*ttokg*FSOMEF*NtoN2O*kgtoGg,"NO")</f>
        <v>5.604018730639919E-5</v>
      </c>
      <c r="BO131" s="22">
        <f>IFERROR(('Activity data'!BO95*(1/Constants!$H$133))*ttokg*FSOMEF*NtoN2O*kgtoGg,"NO")</f>
        <v>5.604018730639919E-5</v>
      </c>
      <c r="BP131" s="22">
        <f>IFERROR(('Activity data'!BP95*(1/Constants!$H$133))*ttokg*FSOMEF*NtoN2O*kgtoGg,"NO")</f>
        <v>5.604018730639919E-5</v>
      </c>
    </row>
    <row r="132" spans="1:68" x14ac:dyDescent="0.3">
      <c r="A132" t="str">
        <f t="shared" si="39"/>
        <v>3C Aggregated and non-CO2 emissions on land</v>
      </c>
      <c r="B132" t="str">
        <f t="shared" si="31"/>
        <v>3C4 Direct N2O from managed soils (N2O)</v>
      </c>
      <c r="C132" t="s">
        <v>60</v>
      </c>
      <c r="D132" t="str">
        <f>" - "&amp;'Activity data'!D96</f>
        <v xml:space="preserve"> - Land converted to settlements</v>
      </c>
      <c r="E132" t="str">
        <f t="shared" si="41"/>
        <v>FSOM - Land converted to settlements</v>
      </c>
      <c r="G132" t="str">
        <f t="shared" si="37"/>
        <v>Gg N2O</v>
      </c>
      <c r="H132" s="22">
        <f>IFERROR(('Activity data'!H96*(1/Constants!$H$135))*ttokg*FSOMEF*NtoN2O*kgtoGg,"NO")</f>
        <v>0</v>
      </c>
      <c r="I132" s="22">
        <f>IFERROR(('Activity data'!I96*(1/Constants!$H$135))*ttokg*FSOMEF*NtoN2O*kgtoGg,"NO")</f>
        <v>6.2257171325729504E-3</v>
      </c>
      <c r="J132" s="22">
        <f>IFERROR(('Activity data'!J96*(1/Constants!$H$135))*ttokg*FSOMEF*NtoN2O*kgtoGg,"NO")</f>
        <v>6.2257171325729504E-3</v>
      </c>
      <c r="K132" s="22">
        <f>IFERROR(('Activity data'!K96*(1/Constants!$H$135))*ttokg*FSOMEF*NtoN2O*kgtoGg,"NO")</f>
        <v>6.2257171325729504E-3</v>
      </c>
      <c r="L132" s="22">
        <f>IFERROR(('Activity data'!L96*(1/Constants!$H$135))*ttokg*FSOMEF*NtoN2O*kgtoGg,"NO")</f>
        <v>6.2257171325729504E-3</v>
      </c>
      <c r="M132" s="22">
        <f>IFERROR(('Activity data'!M96*(1/Constants!$H$135))*ttokg*FSOMEF*NtoN2O*kgtoGg,"NO")</f>
        <v>6.2257171325729504E-3</v>
      </c>
      <c r="N132" s="22">
        <f>IFERROR(('Activity data'!N96*(1/Constants!$H$135))*ttokg*FSOMEF*NtoN2O*kgtoGg,"NO")</f>
        <v>6.2257171325729504E-3</v>
      </c>
      <c r="O132" s="22">
        <f>IFERROR(('Activity data'!O96*(1/Constants!$H$135))*ttokg*FSOMEF*NtoN2O*kgtoGg,"NO")</f>
        <v>6.2257171325729504E-3</v>
      </c>
      <c r="P132" s="22">
        <f>IFERROR(('Activity data'!P96*(1/Constants!$H$135))*ttokg*FSOMEF*NtoN2O*kgtoGg,"NO")</f>
        <v>6.2257171325729504E-3</v>
      </c>
      <c r="Q132" s="22">
        <f>IFERROR(('Activity data'!Q96*(1/Constants!$H$135))*ttokg*FSOMEF*NtoN2O*kgtoGg,"NO")</f>
        <v>6.2257171325729504E-3</v>
      </c>
      <c r="R132" s="22">
        <f>IFERROR(('Activity data'!R96*(1/Constants!$H$135))*ttokg*FSOMEF*NtoN2O*kgtoGg,"NO")</f>
        <v>6.2257171325729504E-3</v>
      </c>
      <c r="S132" s="22">
        <f>IFERROR(('Activity data'!S96*(1/Constants!$H$135))*ttokg*FSOMEF*NtoN2O*kgtoGg,"NO")</f>
        <v>6.2257171325729504E-3</v>
      </c>
      <c r="T132" s="22">
        <f>IFERROR(('Activity data'!T96*(1/Constants!$H$135))*ttokg*FSOMEF*NtoN2O*kgtoGg,"NO")</f>
        <v>6.2257171325729504E-3</v>
      </c>
      <c r="U132" s="22">
        <f>IFERROR(('Activity data'!U96*(1/Constants!$H$135))*ttokg*FSOMEF*NtoN2O*kgtoGg,"NO")</f>
        <v>6.2257171325729504E-3</v>
      </c>
      <c r="V132" s="22">
        <f>IFERROR(('Activity data'!V96*(1/Constants!$H$135))*ttokg*FSOMEF*NtoN2O*kgtoGg,"NO")</f>
        <v>6.2257171325729504E-3</v>
      </c>
      <c r="W132" s="22">
        <f>IFERROR(('Activity data'!W96*(1/Constants!$H$135))*ttokg*FSOMEF*NtoN2O*kgtoGg,"NO")</f>
        <v>6.2257171325729504E-3</v>
      </c>
      <c r="X132" s="22">
        <f>IFERROR(('Activity data'!X96*(1/Constants!$H$135))*ttokg*FSOMEF*NtoN2O*kgtoGg,"NO")</f>
        <v>6.2257171325729504E-3</v>
      </c>
      <c r="Y132" s="22">
        <f>IFERROR(('Activity data'!Y96*(1/Constants!$H$135))*ttokg*FSOMEF*NtoN2O*kgtoGg,"NO")</f>
        <v>6.2257171325729504E-3</v>
      </c>
      <c r="Z132" s="22">
        <f>IFERROR(('Activity data'!Z96*(1/Constants!$H$135))*ttokg*FSOMEF*NtoN2O*kgtoGg,"NO")</f>
        <v>6.2257171325729504E-3</v>
      </c>
      <c r="AA132" s="22">
        <f>IFERROR(('Activity data'!AA96*(1/Constants!$H$135))*ttokg*FSOMEF*NtoN2O*kgtoGg,"NO")</f>
        <v>6.2257171325729504E-3</v>
      </c>
      <c r="AB132" s="22">
        <f>IFERROR(('Activity data'!AB96*(1/Constants!$H$135))*ttokg*FSOMEF*NtoN2O*kgtoGg,"NO")</f>
        <v>6.2257171325729504E-3</v>
      </c>
      <c r="AC132" s="22">
        <f>IFERROR(('Activity data'!AC96*(1/Constants!$H$135))*ttokg*FSOMEF*NtoN2O*kgtoGg,"NO")</f>
        <v>6.2257171325729504E-3</v>
      </c>
      <c r="AD132" s="22">
        <f>IFERROR(('Activity data'!AD96*(1/Constants!$H$135))*ttokg*FSOMEF*NtoN2O*kgtoGg,"NO")</f>
        <v>6.110857899094551E-2</v>
      </c>
      <c r="AE132" s="22">
        <f>IFERROR(('Activity data'!AE96*(1/Constants!$H$135))*ttokg*FSOMEF*NtoN2O*kgtoGg,"NO")</f>
        <v>6.110857899094551E-2</v>
      </c>
      <c r="AF132" s="22">
        <f>IFERROR(('Activity data'!AF96*(1/Constants!$H$135))*ttokg*FSOMEF*NtoN2O*kgtoGg,"NO")</f>
        <v>6.110857899094551E-2</v>
      </c>
      <c r="AG132" s="22">
        <f>IFERROR(('Activity data'!AG96*(1/Constants!$H$135))*ttokg*FSOMEF*NtoN2O*kgtoGg,"NO")</f>
        <v>6.110857899094551E-2</v>
      </c>
      <c r="AH132" s="22">
        <f>IFERROR(('Activity data'!AH96*(1/Constants!$H$135))*ttokg*FSOMEF*NtoN2O*kgtoGg,"NO")</f>
        <v>6.110857899094551E-2</v>
      </c>
      <c r="AI132" s="22">
        <f>IFERROR(('Activity data'!AI96*(1/Constants!$H$135))*ttokg*FSOMEF*NtoN2O*kgtoGg,"NO")</f>
        <v>6.110857899094551E-2</v>
      </c>
      <c r="AJ132" s="22">
        <f>IFERROR(('Activity data'!AJ96*(1/Constants!$H$135))*ttokg*FSOMEF*NtoN2O*kgtoGg,"NO")</f>
        <v>6.110857899094551E-2</v>
      </c>
      <c r="AK132" s="22">
        <f>IFERROR(('Activity data'!AK96*(1/Constants!$H$135))*ttokg*FSOMEF*NtoN2O*kgtoGg,"NO")</f>
        <v>6.110857899094551E-2</v>
      </c>
      <c r="AL132" s="22">
        <f>IFERROR(('Activity data'!AL96*(1/Constants!$H$135))*ttokg*FSOMEF*NtoN2O*kgtoGg,"NO")</f>
        <v>6.110857899094551E-2</v>
      </c>
      <c r="AM132" s="22">
        <f>IFERROR(('Activity data'!AM96*(1/Constants!$H$135))*ttokg*FSOMEF*NtoN2O*kgtoGg,"NO")</f>
        <v>6.110857899094551E-2</v>
      </c>
      <c r="AN132" s="22">
        <f>IFERROR(('Activity data'!AN96*(1/Constants!$H$135))*ttokg*FSOMEF*NtoN2O*kgtoGg,"NO")</f>
        <v>6.110857899094551E-2</v>
      </c>
      <c r="AO132" s="22">
        <f>IFERROR(('Activity data'!AO96*(1/Constants!$H$135))*ttokg*FSOMEF*NtoN2O*kgtoGg,"NO")</f>
        <v>6.110857899094551E-2</v>
      </c>
      <c r="AP132" s="22">
        <f>IFERROR(('Activity data'!AP96*(1/Constants!$H$135))*ttokg*FSOMEF*NtoN2O*kgtoGg,"NO")</f>
        <v>6.110857899094551E-2</v>
      </c>
      <c r="AQ132" s="22">
        <f>IFERROR(('Activity data'!AQ96*(1/Constants!$H$135))*ttokg*FSOMEF*NtoN2O*kgtoGg,"NO")</f>
        <v>6.110857899094551E-2</v>
      </c>
      <c r="AR132" s="22">
        <f>IFERROR(('Activity data'!AR96*(1/Constants!$H$135))*ttokg*FSOMEF*NtoN2O*kgtoGg,"NO")</f>
        <v>6.110857899094551E-2</v>
      </c>
      <c r="AS132" s="22">
        <f>IFERROR(('Activity data'!AS96*(1/Constants!$H$135))*ttokg*FSOMEF*NtoN2O*kgtoGg,"NO")</f>
        <v>6.110857899094551E-2</v>
      </c>
      <c r="AT132" s="22">
        <f>IFERROR(('Activity data'!AT96*(1/Constants!$H$135))*ttokg*FSOMEF*NtoN2O*kgtoGg,"NO")</f>
        <v>6.110857899094551E-2</v>
      </c>
      <c r="AU132" s="22">
        <f>IFERROR(('Activity data'!AU96*(1/Constants!$H$135))*ttokg*FSOMEF*NtoN2O*kgtoGg,"NO")</f>
        <v>6.110857899094551E-2</v>
      </c>
      <c r="AV132" s="22">
        <f>IFERROR(('Activity data'!AV96*(1/Constants!$H$135))*ttokg*FSOMEF*NtoN2O*kgtoGg,"NO")</f>
        <v>6.110857899094551E-2</v>
      </c>
      <c r="AW132" s="22">
        <f>IFERROR(('Activity data'!AW96*(1/Constants!$H$135))*ttokg*FSOMEF*NtoN2O*kgtoGg,"NO")</f>
        <v>6.110857899094551E-2</v>
      </c>
      <c r="AX132" s="22">
        <f>IFERROR(('Activity data'!AX96*(1/Constants!$H$135))*ttokg*FSOMEF*NtoN2O*kgtoGg,"NO")</f>
        <v>6.110857899094551E-2</v>
      </c>
      <c r="AY132" s="22">
        <f>IFERROR(('Activity data'!AY96*(1/Constants!$H$135))*ttokg*FSOMEF*NtoN2O*kgtoGg,"NO")</f>
        <v>6.110857899094551E-2</v>
      </c>
      <c r="AZ132" s="22">
        <f>IFERROR(('Activity data'!AZ96*(1/Constants!$H$135))*ttokg*FSOMEF*NtoN2O*kgtoGg,"NO")</f>
        <v>6.110857899094551E-2</v>
      </c>
      <c r="BA132" s="22">
        <f>IFERROR(('Activity data'!BA96*(1/Constants!$H$135))*ttokg*FSOMEF*NtoN2O*kgtoGg,"NO")</f>
        <v>6.110857899094551E-2</v>
      </c>
      <c r="BB132" s="22">
        <f>IFERROR(('Activity data'!BB96*(1/Constants!$H$135))*ttokg*FSOMEF*NtoN2O*kgtoGg,"NO")</f>
        <v>6.110857899094551E-2</v>
      </c>
      <c r="BC132" s="22">
        <f>IFERROR(('Activity data'!BC96*(1/Constants!$H$135))*ttokg*FSOMEF*NtoN2O*kgtoGg,"NO")</f>
        <v>6.110857899094551E-2</v>
      </c>
      <c r="BD132" s="22">
        <f>IFERROR(('Activity data'!BD96*(1/Constants!$H$135))*ttokg*FSOMEF*NtoN2O*kgtoGg,"NO")</f>
        <v>6.110857899094551E-2</v>
      </c>
      <c r="BE132" s="22">
        <f>IFERROR(('Activity data'!BE96*(1/Constants!$H$135))*ttokg*FSOMEF*NtoN2O*kgtoGg,"NO")</f>
        <v>6.110857899094551E-2</v>
      </c>
      <c r="BF132" s="22">
        <f>IFERROR(('Activity data'!BF96*(1/Constants!$H$135))*ttokg*FSOMEF*NtoN2O*kgtoGg,"NO")</f>
        <v>6.110857899094551E-2</v>
      </c>
      <c r="BG132" s="22">
        <f>IFERROR(('Activity data'!BG96*(1/Constants!$H$135))*ttokg*FSOMEF*NtoN2O*kgtoGg,"NO")</f>
        <v>6.110857899094551E-2</v>
      </c>
      <c r="BH132" s="22">
        <f>IFERROR(('Activity data'!BH96*(1/Constants!$H$135))*ttokg*FSOMEF*NtoN2O*kgtoGg,"NO")</f>
        <v>6.110857899094551E-2</v>
      </c>
      <c r="BI132" s="22">
        <f>IFERROR(('Activity data'!BI96*(1/Constants!$H$135))*ttokg*FSOMEF*NtoN2O*kgtoGg,"NO")</f>
        <v>6.110857899094551E-2</v>
      </c>
      <c r="BJ132" s="22">
        <f>IFERROR(('Activity data'!BJ96*(1/Constants!$H$135))*ttokg*FSOMEF*NtoN2O*kgtoGg,"NO")</f>
        <v>6.110857899094551E-2</v>
      </c>
      <c r="BK132" s="22">
        <f>IFERROR(('Activity data'!BK96*(1/Constants!$H$135))*ttokg*FSOMEF*NtoN2O*kgtoGg,"NO")</f>
        <v>6.110857899094551E-2</v>
      </c>
      <c r="BL132" s="22">
        <f>IFERROR(('Activity data'!BL96*(1/Constants!$H$135))*ttokg*FSOMEF*NtoN2O*kgtoGg,"NO")</f>
        <v>6.110857899094551E-2</v>
      </c>
      <c r="BM132" s="22">
        <f>IFERROR(('Activity data'!BM96*(1/Constants!$H$135))*ttokg*FSOMEF*NtoN2O*kgtoGg,"NO")</f>
        <v>6.110857899094551E-2</v>
      </c>
      <c r="BN132" s="22">
        <f>IFERROR(('Activity data'!BN96*(1/Constants!$H$135))*ttokg*FSOMEF*NtoN2O*kgtoGg,"NO")</f>
        <v>6.110857899094551E-2</v>
      </c>
      <c r="BO132" s="22">
        <f>IFERROR(('Activity data'!BO96*(1/Constants!$H$135))*ttokg*FSOMEF*NtoN2O*kgtoGg,"NO")</f>
        <v>6.110857899094551E-2</v>
      </c>
      <c r="BP132" s="22">
        <f>IFERROR(('Activity data'!BP96*(1/Constants!$H$135))*ttokg*FSOMEF*NtoN2O*kgtoGg,"NO")</f>
        <v>6.110857899094551E-2</v>
      </c>
    </row>
    <row r="133" spans="1:68" x14ac:dyDescent="0.3">
      <c r="A133" t="str">
        <f t="shared" si="39"/>
        <v>3C Aggregated and non-CO2 emissions on land</v>
      </c>
      <c r="B133" t="str">
        <f t="shared" si="31"/>
        <v>3C4 Direct N2O from managed soils (N2O)</v>
      </c>
      <c r="C133" t="s">
        <v>60</v>
      </c>
      <c r="D133" t="str">
        <f>" - "&amp;'Activity data'!D97</f>
        <v xml:space="preserve"> - Other land remaining other land</v>
      </c>
      <c r="E133" t="str">
        <f t="shared" si="41"/>
        <v>FSOM - Other land remaining other land</v>
      </c>
      <c r="G133" t="str">
        <f t="shared" si="37"/>
        <v>Gg N2O</v>
      </c>
      <c r="H133" s="22" t="str">
        <f>IFERROR(('Activity data'!H97*(1/Constants!$H$135))*ttokg*FSOMEF*NtoN2O*kgtoGg,"NO")</f>
        <v>NO</v>
      </c>
      <c r="I133" s="22" t="str">
        <f>IFERROR(('Activity data'!I97*(1/Constants!$H$135))*ttokg*FSOMEF*NtoN2O*kgtoGg,"NO")</f>
        <v>NO</v>
      </c>
      <c r="J133" s="22" t="str">
        <f>IFERROR(('Activity data'!J97*(1/Constants!$H$135))*ttokg*FSOMEF*NtoN2O*kgtoGg,"NO")</f>
        <v>NO</v>
      </c>
      <c r="K133" s="22" t="str">
        <f>IFERROR(('Activity data'!K97*(1/Constants!$H$135))*ttokg*FSOMEF*NtoN2O*kgtoGg,"NO")</f>
        <v>NO</v>
      </c>
      <c r="L133" s="22" t="str">
        <f>IFERROR(('Activity data'!L97*(1/Constants!$H$135))*ttokg*FSOMEF*NtoN2O*kgtoGg,"NO")</f>
        <v>NO</v>
      </c>
      <c r="M133" s="22" t="str">
        <f>IFERROR(('Activity data'!M97*(1/Constants!$H$135))*ttokg*FSOMEF*NtoN2O*kgtoGg,"NO")</f>
        <v>NO</v>
      </c>
      <c r="N133" s="22" t="str">
        <f>IFERROR(('Activity data'!N97*(1/Constants!$H$135))*ttokg*FSOMEF*NtoN2O*kgtoGg,"NO")</f>
        <v>NO</v>
      </c>
      <c r="O133" s="22" t="str">
        <f>IFERROR(('Activity data'!O97*(1/Constants!$H$135))*ttokg*FSOMEF*NtoN2O*kgtoGg,"NO")</f>
        <v>NO</v>
      </c>
      <c r="P133" s="22" t="str">
        <f>IFERROR(('Activity data'!P97*(1/Constants!$H$135))*ttokg*FSOMEF*NtoN2O*kgtoGg,"NO")</f>
        <v>NO</v>
      </c>
      <c r="Q133" s="22" t="str">
        <f>IFERROR(('Activity data'!Q97*(1/Constants!$H$135))*ttokg*FSOMEF*NtoN2O*kgtoGg,"NO")</f>
        <v>NO</v>
      </c>
      <c r="R133" s="22" t="str">
        <f>IFERROR(('Activity data'!R97*(1/Constants!$H$135))*ttokg*FSOMEF*NtoN2O*kgtoGg,"NO")</f>
        <v>NO</v>
      </c>
      <c r="S133" s="22" t="str">
        <f>IFERROR(('Activity data'!S97*(1/Constants!$H$135))*ttokg*FSOMEF*NtoN2O*kgtoGg,"NO")</f>
        <v>NO</v>
      </c>
      <c r="T133" s="22" t="str">
        <f>IFERROR(('Activity data'!T97*(1/Constants!$H$135))*ttokg*FSOMEF*NtoN2O*kgtoGg,"NO")</f>
        <v>NO</v>
      </c>
      <c r="U133" s="22" t="str">
        <f>IFERROR(('Activity data'!U97*(1/Constants!$H$135))*ttokg*FSOMEF*NtoN2O*kgtoGg,"NO")</f>
        <v>NO</v>
      </c>
      <c r="V133" s="22" t="str">
        <f>IFERROR(('Activity data'!V97*(1/Constants!$H$135))*ttokg*FSOMEF*NtoN2O*kgtoGg,"NO")</f>
        <v>NO</v>
      </c>
      <c r="W133" s="22" t="str">
        <f>IFERROR(('Activity data'!W97*(1/Constants!$H$135))*ttokg*FSOMEF*NtoN2O*kgtoGg,"NO")</f>
        <v>NO</v>
      </c>
      <c r="X133" s="22" t="str">
        <f>IFERROR(('Activity data'!X97*(1/Constants!$H$135))*ttokg*FSOMEF*NtoN2O*kgtoGg,"NO")</f>
        <v>NO</v>
      </c>
      <c r="Y133" s="22" t="str">
        <f>IFERROR(('Activity data'!Y97*(1/Constants!$H$135))*ttokg*FSOMEF*NtoN2O*kgtoGg,"NO")</f>
        <v>NO</v>
      </c>
      <c r="Z133" s="22" t="str">
        <f>IFERROR(('Activity data'!Z97*(1/Constants!$H$135))*ttokg*FSOMEF*NtoN2O*kgtoGg,"NO")</f>
        <v>NO</v>
      </c>
      <c r="AA133" s="22" t="str">
        <f>IFERROR(('Activity data'!AA97*(1/Constants!$H$135))*ttokg*FSOMEF*NtoN2O*kgtoGg,"NO")</f>
        <v>NO</v>
      </c>
      <c r="AB133" s="22" t="str">
        <f>IFERROR(('Activity data'!AB97*(1/Constants!$H$135))*ttokg*FSOMEF*NtoN2O*kgtoGg,"NO")</f>
        <v>NO</v>
      </c>
      <c r="AC133" s="22" t="str">
        <f>IFERROR(('Activity data'!AC97*(1/Constants!$H$135))*ttokg*FSOMEF*NtoN2O*kgtoGg,"NO")</f>
        <v>NO</v>
      </c>
      <c r="AD133" s="22" t="str">
        <f>IFERROR(('Activity data'!AD97*(1/Constants!$H$135))*ttokg*FSOMEF*NtoN2O*kgtoGg,"NO")</f>
        <v>NO</v>
      </c>
      <c r="AE133" s="22" t="str">
        <f>IFERROR(('Activity data'!AE97*(1/Constants!$H$135))*ttokg*FSOMEF*NtoN2O*kgtoGg,"NO")</f>
        <v>NO</v>
      </c>
      <c r="AF133" s="22" t="str">
        <f>IFERROR(('Activity data'!AF97*(1/Constants!$H$135))*ttokg*FSOMEF*NtoN2O*kgtoGg,"NO")</f>
        <v>NO</v>
      </c>
      <c r="AG133" s="22" t="str">
        <f>IFERROR(('Activity data'!AG97*(1/Constants!$H$135))*ttokg*FSOMEF*NtoN2O*kgtoGg,"NO")</f>
        <v>NO</v>
      </c>
      <c r="AH133" s="22" t="str">
        <f>IFERROR(('Activity data'!AH97*(1/Constants!$H$135))*ttokg*FSOMEF*NtoN2O*kgtoGg,"NO")</f>
        <v>NO</v>
      </c>
      <c r="AI133" s="22" t="str">
        <f>IFERROR(('Activity data'!AI97*(1/Constants!$H$135))*ttokg*FSOMEF*NtoN2O*kgtoGg,"NO")</f>
        <v>NO</v>
      </c>
      <c r="AJ133" s="22" t="str">
        <f>IFERROR(('Activity data'!AJ97*(1/Constants!$H$135))*ttokg*FSOMEF*NtoN2O*kgtoGg,"NO")</f>
        <v>NO</v>
      </c>
      <c r="AK133" s="22" t="str">
        <f>IFERROR(('Activity data'!AK97*(1/Constants!$H$135))*ttokg*FSOMEF*NtoN2O*kgtoGg,"NO")</f>
        <v>NO</v>
      </c>
      <c r="AL133" s="22" t="str">
        <f>IFERROR(('Activity data'!AL97*(1/Constants!$H$135))*ttokg*FSOMEF*NtoN2O*kgtoGg,"NO")</f>
        <v>NO</v>
      </c>
      <c r="AM133" s="22" t="str">
        <f>IFERROR(('Activity data'!AM97*(1/Constants!$H$135))*ttokg*FSOMEF*NtoN2O*kgtoGg,"NO")</f>
        <v>NO</v>
      </c>
      <c r="AN133" s="22" t="str">
        <f>IFERROR(('Activity data'!AN97*(1/Constants!$H$135))*ttokg*FSOMEF*NtoN2O*kgtoGg,"NO")</f>
        <v>NO</v>
      </c>
      <c r="AO133" s="22" t="str">
        <f>IFERROR(('Activity data'!AO97*(1/Constants!$H$135))*ttokg*FSOMEF*NtoN2O*kgtoGg,"NO")</f>
        <v>NO</v>
      </c>
      <c r="AP133" s="22" t="str">
        <f>IFERROR(('Activity data'!AP97*(1/Constants!$H$135))*ttokg*FSOMEF*NtoN2O*kgtoGg,"NO")</f>
        <v>NO</v>
      </c>
      <c r="AQ133" s="22" t="str">
        <f>IFERROR(('Activity data'!AQ97*(1/Constants!$H$135))*ttokg*FSOMEF*NtoN2O*kgtoGg,"NO")</f>
        <v>NO</v>
      </c>
      <c r="AR133" s="22" t="str">
        <f>IFERROR(('Activity data'!AR97*(1/Constants!$H$135))*ttokg*FSOMEF*NtoN2O*kgtoGg,"NO")</f>
        <v>NO</v>
      </c>
      <c r="AS133" s="22" t="str">
        <f>IFERROR(('Activity data'!AS97*(1/Constants!$H$135))*ttokg*FSOMEF*NtoN2O*kgtoGg,"NO")</f>
        <v>NO</v>
      </c>
      <c r="AT133" s="22" t="str">
        <f>IFERROR(('Activity data'!AT97*(1/Constants!$H$135))*ttokg*FSOMEF*NtoN2O*kgtoGg,"NO")</f>
        <v>NO</v>
      </c>
      <c r="AU133" s="22" t="str">
        <f>IFERROR(('Activity data'!AU97*(1/Constants!$H$135))*ttokg*FSOMEF*NtoN2O*kgtoGg,"NO")</f>
        <v>NO</v>
      </c>
      <c r="AV133" s="22" t="str">
        <f>IFERROR(('Activity data'!AV97*(1/Constants!$H$135))*ttokg*FSOMEF*NtoN2O*kgtoGg,"NO")</f>
        <v>NO</v>
      </c>
      <c r="AW133" s="22" t="str">
        <f>IFERROR(('Activity data'!AW97*(1/Constants!$H$135))*ttokg*FSOMEF*NtoN2O*kgtoGg,"NO")</f>
        <v>NO</v>
      </c>
      <c r="AX133" s="22" t="str">
        <f>IFERROR(('Activity data'!AX97*(1/Constants!$H$135))*ttokg*FSOMEF*NtoN2O*kgtoGg,"NO")</f>
        <v>NO</v>
      </c>
      <c r="AY133" s="22" t="str">
        <f>IFERROR(('Activity data'!AY97*(1/Constants!$H$135))*ttokg*FSOMEF*NtoN2O*kgtoGg,"NO")</f>
        <v>NO</v>
      </c>
      <c r="AZ133" s="22" t="str">
        <f>IFERROR(('Activity data'!AZ97*(1/Constants!$H$135))*ttokg*FSOMEF*NtoN2O*kgtoGg,"NO")</f>
        <v>NO</v>
      </c>
      <c r="BA133" s="22" t="str">
        <f>IFERROR(('Activity data'!BA97*(1/Constants!$H$135))*ttokg*FSOMEF*NtoN2O*kgtoGg,"NO")</f>
        <v>NO</v>
      </c>
      <c r="BB133" s="22" t="str">
        <f>IFERROR(('Activity data'!BB97*(1/Constants!$H$135))*ttokg*FSOMEF*NtoN2O*kgtoGg,"NO")</f>
        <v>NO</v>
      </c>
      <c r="BC133" s="22" t="str">
        <f>IFERROR(('Activity data'!BC97*(1/Constants!$H$135))*ttokg*FSOMEF*NtoN2O*kgtoGg,"NO")</f>
        <v>NO</v>
      </c>
      <c r="BD133" s="22" t="str">
        <f>IFERROR(('Activity data'!BD97*(1/Constants!$H$135))*ttokg*FSOMEF*NtoN2O*kgtoGg,"NO")</f>
        <v>NO</v>
      </c>
      <c r="BE133" s="22" t="str">
        <f>IFERROR(('Activity data'!BE97*(1/Constants!$H$135))*ttokg*FSOMEF*NtoN2O*kgtoGg,"NO")</f>
        <v>NO</v>
      </c>
      <c r="BF133" s="22" t="str">
        <f>IFERROR(('Activity data'!BF97*(1/Constants!$H$135))*ttokg*FSOMEF*NtoN2O*kgtoGg,"NO")</f>
        <v>NO</v>
      </c>
      <c r="BG133" s="22" t="str">
        <f>IFERROR(('Activity data'!BG97*(1/Constants!$H$135))*ttokg*FSOMEF*NtoN2O*kgtoGg,"NO")</f>
        <v>NO</v>
      </c>
      <c r="BH133" s="22" t="str">
        <f>IFERROR(('Activity data'!BH97*(1/Constants!$H$135))*ttokg*FSOMEF*NtoN2O*kgtoGg,"NO")</f>
        <v>NO</v>
      </c>
      <c r="BI133" s="22" t="str">
        <f>IFERROR(('Activity data'!BI97*(1/Constants!$H$135))*ttokg*FSOMEF*NtoN2O*kgtoGg,"NO")</f>
        <v>NO</v>
      </c>
      <c r="BJ133" s="22" t="str">
        <f>IFERROR(('Activity data'!BJ97*(1/Constants!$H$135))*ttokg*FSOMEF*NtoN2O*kgtoGg,"NO")</f>
        <v>NO</v>
      </c>
      <c r="BK133" s="22" t="str">
        <f>IFERROR(('Activity data'!BK97*(1/Constants!$H$135))*ttokg*FSOMEF*NtoN2O*kgtoGg,"NO")</f>
        <v>NO</v>
      </c>
      <c r="BL133" s="22" t="str">
        <f>IFERROR(('Activity data'!BL97*(1/Constants!$H$135))*ttokg*FSOMEF*NtoN2O*kgtoGg,"NO")</f>
        <v>NO</v>
      </c>
      <c r="BM133" s="22" t="str">
        <f>IFERROR(('Activity data'!BM97*(1/Constants!$H$135))*ttokg*FSOMEF*NtoN2O*kgtoGg,"NO")</f>
        <v>NO</v>
      </c>
      <c r="BN133" s="22" t="str">
        <f>IFERROR(('Activity data'!BN97*(1/Constants!$H$135))*ttokg*FSOMEF*NtoN2O*kgtoGg,"NO")</f>
        <v>NO</v>
      </c>
      <c r="BO133" s="22" t="str">
        <f>IFERROR(('Activity data'!BO97*(1/Constants!$H$135))*ttokg*FSOMEF*NtoN2O*kgtoGg,"NO")</f>
        <v>NO</v>
      </c>
      <c r="BP133" s="22" t="str">
        <f>IFERROR(('Activity data'!BP97*(1/Constants!$H$135))*ttokg*FSOMEF*NtoN2O*kgtoGg,"NO")</f>
        <v>NO</v>
      </c>
    </row>
    <row r="134" spans="1:68" x14ac:dyDescent="0.3">
      <c r="A134" t="str">
        <f t="shared" si="39"/>
        <v>3C Aggregated and non-CO2 emissions on land</v>
      </c>
      <c r="B134" t="str">
        <f t="shared" si="31"/>
        <v>3C4 Direct N2O from managed soils (N2O)</v>
      </c>
      <c r="C134" t="s">
        <v>60</v>
      </c>
      <c r="D134" t="str">
        <f>" - "&amp;'Activity data'!D98</f>
        <v xml:space="preserve"> - Land converted to other lands</v>
      </c>
      <c r="E134" t="str">
        <f t="shared" si="41"/>
        <v>FSOM - Land converted to other lands</v>
      </c>
      <c r="G134" t="str">
        <f t="shared" si="37"/>
        <v>Gg N2O</v>
      </c>
      <c r="H134" s="22">
        <f>IFERROR(('Activity data'!H98*(1/Constants!$H$135))*ttokg*FSOMEF*NtoN2O*kgtoGg,"NO")</f>
        <v>0</v>
      </c>
      <c r="I134" s="22">
        <f>IFERROR(('Activity data'!I98*(1/Constants!$H$135))*ttokg*FSOMEF*NtoN2O*kgtoGg,"NO")</f>
        <v>0.28277997448453884</v>
      </c>
      <c r="J134" s="22">
        <f>IFERROR(('Activity data'!J98*(1/Constants!$H$135))*ttokg*FSOMEF*NtoN2O*kgtoGg,"NO")</f>
        <v>0.28277997448453884</v>
      </c>
      <c r="K134" s="22">
        <f>IFERROR(('Activity data'!K98*(1/Constants!$H$135))*ttokg*FSOMEF*NtoN2O*kgtoGg,"NO")</f>
        <v>0.28277997448453884</v>
      </c>
      <c r="L134" s="22">
        <f>IFERROR(('Activity data'!L98*(1/Constants!$H$135))*ttokg*FSOMEF*NtoN2O*kgtoGg,"NO")</f>
        <v>0.28277997448453884</v>
      </c>
      <c r="M134" s="22">
        <f>IFERROR(('Activity data'!M98*(1/Constants!$H$135))*ttokg*FSOMEF*NtoN2O*kgtoGg,"NO")</f>
        <v>0.28277997448453884</v>
      </c>
      <c r="N134" s="22">
        <f>IFERROR(('Activity data'!N98*(1/Constants!$H$135))*ttokg*FSOMEF*NtoN2O*kgtoGg,"NO")</f>
        <v>0.28277997448453884</v>
      </c>
      <c r="O134" s="22">
        <f>IFERROR(('Activity data'!O98*(1/Constants!$H$135))*ttokg*FSOMEF*NtoN2O*kgtoGg,"NO")</f>
        <v>0.28277997448453884</v>
      </c>
      <c r="P134" s="22">
        <f>IFERROR(('Activity data'!P98*(1/Constants!$H$135))*ttokg*FSOMEF*NtoN2O*kgtoGg,"NO")</f>
        <v>0.28277997448453884</v>
      </c>
      <c r="Q134" s="22">
        <f>IFERROR(('Activity data'!Q98*(1/Constants!$H$135))*ttokg*FSOMEF*NtoN2O*kgtoGg,"NO")</f>
        <v>0.28277997448453884</v>
      </c>
      <c r="R134" s="22">
        <f>IFERROR(('Activity data'!R98*(1/Constants!$H$135))*ttokg*FSOMEF*NtoN2O*kgtoGg,"NO")</f>
        <v>0.28277997448453884</v>
      </c>
      <c r="S134" s="22">
        <f>IFERROR(('Activity data'!S98*(1/Constants!$H$135))*ttokg*FSOMEF*NtoN2O*kgtoGg,"NO")</f>
        <v>0.28277997448453884</v>
      </c>
      <c r="T134" s="22">
        <f>IFERROR(('Activity data'!T98*(1/Constants!$H$135))*ttokg*FSOMEF*NtoN2O*kgtoGg,"NO")</f>
        <v>0.28277997448453884</v>
      </c>
      <c r="U134" s="22">
        <f>IFERROR(('Activity data'!U98*(1/Constants!$H$135))*ttokg*FSOMEF*NtoN2O*kgtoGg,"NO")</f>
        <v>0.28277997448453884</v>
      </c>
      <c r="V134" s="22">
        <f>IFERROR(('Activity data'!V98*(1/Constants!$H$135))*ttokg*FSOMEF*NtoN2O*kgtoGg,"NO")</f>
        <v>0.28277997448453884</v>
      </c>
      <c r="W134" s="22">
        <f>IFERROR(('Activity data'!W98*(1/Constants!$H$135))*ttokg*FSOMEF*NtoN2O*kgtoGg,"NO")</f>
        <v>0.28277997448453884</v>
      </c>
      <c r="X134" s="22">
        <f>IFERROR(('Activity data'!X98*(1/Constants!$H$135))*ttokg*FSOMEF*NtoN2O*kgtoGg,"NO")</f>
        <v>0.28277997448453884</v>
      </c>
      <c r="Y134" s="22">
        <f>IFERROR(('Activity data'!Y98*(1/Constants!$H$135))*ttokg*FSOMEF*NtoN2O*kgtoGg,"NO")</f>
        <v>0.28277997448453884</v>
      </c>
      <c r="Z134" s="22">
        <f>IFERROR(('Activity data'!Z98*(1/Constants!$H$135))*ttokg*FSOMEF*NtoN2O*kgtoGg,"NO")</f>
        <v>0.28277997448453884</v>
      </c>
      <c r="AA134" s="22">
        <f>IFERROR(('Activity data'!AA98*(1/Constants!$H$135))*ttokg*FSOMEF*NtoN2O*kgtoGg,"NO")</f>
        <v>0.28277997448453884</v>
      </c>
      <c r="AB134" s="22">
        <f>IFERROR(('Activity data'!AB98*(1/Constants!$H$135))*ttokg*FSOMEF*NtoN2O*kgtoGg,"NO")</f>
        <v>0.28277997448453884</v>
      </c>
      <c r="AC134" s="22">
        <f>IFERROR(('Activity data'!AC98*(1/Constants!$H$135))*ttokg*FSOMEF*NtoN2O*kgtoGg,"NO")</f>
        <v>0.28277997448453884</v>
      </c>
      <c r="AD134" s="22">
        <f>IFERROR(('Activity data'!AD98*(1/Constants!$H$135))*ttokg*FSOMEF*NtoN2O*kgtoGg,"NO")</f>
        <v>3.1961717215001131</v>
      </c>
      <c r="AE134" s="22">
        <f>IFERROR(('Activity data'!AE98*(1/Constants!$H$135))*ttokg*FSOMEF*NtoN2O*kgtoGg,"NO")</f>
        <v>3.1961717215001131</v>
      </c>
      <c r="AF134" s="22">
        <f>IFERROR(('Activity data'!AF98*(1/Constants!$H$135))*ttokg*FSOMEF*NtoN2O*kgtoGg,"NO")</f>
        <v>3.1961717215001131</v>
      </c>
      <c r="AG134" s="22">
        <f>IFERROR(('Activity data'!AG98*(1/Constants!$H$135))*ttokg*FSOMEF*NtoN2O*kgtoGg,"NO")</f>
        <v>3.1961717215001131</v>
      </c>
      <c r="AH134" s="22">
        <f>IFERROR(('Activity data'!AH98*(1/Constants!$H$135))*ttokg*FSOMEF*NtoN2O*kgtoGg,"NO")</f>
        <v>3.1961717215001131</v>
      </c>
      <c r="AI134" s="22">
        <f>IFERROR(('Activity data'!AI98*(1/Constants!$H$135))*ttokg*FSOMEF*NtoN2O*kgtoGg,"NO")</f>
        <v>3.1961717215001131</v>
      </c>
      <c r="AJ134" s="22">
        <f>IFERROR(('Activity data'!AJ98*(1/Constants!$H$135))*ttokg*FSOMEF*NtoN2O*kgtoGg,"NO")</f>
        <v>3.1961717215001131</v>
      </c>
      <c r="AK134" s="22">
        <f>IFERROR(('Activity data'!AK98*(1/Constants!$H$135))*ttokg*FSOMEF*NtoN2O*kgtoGg,"NO")</f>
        <v>3.1961717215001131</v>
      </c>
      <c r="AL134" s="22">
        <f>IFERROR(('Activity data'!AL98*(1/Constants!$H$135))*ttokg*FSOMEF*NtoN2O*kgtoGg,"NO")</f>
        <v>3.1961717215001131</v>
      </c>
      <c r="AM134" s="22">
        <f>IFERROR(('Activity data'!AM98*(1/Constants!$H$135))*ttokg*FSOMEF*NtoN2O*kgtoGg,"NO")</f>
        <v>3.1961717215001131</v>
      </c>
      <c r="AN134" s="22">
        <f>IFERROR(('Activity data'!AN98*(1/Constants!$H$135))*ttokg*FSOMEF*NtoN2O*kgtoGg,"NO")</f>
        <v>3.1961717215001131</v>
      </c>
      <c r="AO134" s="22">
        <f>IFERROR(('Activity data'!AO98*(1/Constants!$H$135))*ttokg*FSOMEF*NtoN2O*kgtoGg,"NO")</f>
        <v>3.1961717215001131</v>
      </c>
      <c r="AP134" s="22">
        <f>IFERROR(('Activity data'!AP98*(1/Constants!$H$135))*ttokg*FSOMEF*NtoN2O*kgtoGg,"NO")</f>
        <v>3.1961717215001131</v>
      </c>
      <c r="AQ134" s="22">
        <f>IFERROR(('Activity data'!AQ98*(1/Constants!$H$135))*ttokg*FSOMEF*NtoN2O*kgtoGg,"NO")</f>
        <v>3.1961717215001131</v>
      </c>
      <c r="AR134" s="22">
        <f>IFERROR(('Activity data'!AR98*(1/Constants!$H$135))*ttokg*FSOMEF*NtoN2O*kgtoGg,"NO")</f>
        <v>3.1961717215001131</v>
      </c>
      <c r="AS134" s="22">
        <f>IFERROR(('Activity data'!AS98*(1/Constants!$H$135))*ttokg*FSOMEF*NtoN2O*kgtoGg,"NO")</f>
        <v>3.1961717215001131</v>
      </c>
      <c r="AT134" s="22">
        <f>IFERROR(('Activity data'!AT98*(1/Constants!$H$135))*ttokg*FSOMEF*NtoN2O*kgtoGg,"NO")</f>
        <v>3.1961717215001131</v>
      </c>
      <c r="AU134" s="22">
        <f>IFERROR(('Activity data'!AU98*(1/Constants!$H$135))*ttokg*FSOMEF*NtoN2O*kgtoGg,"NO")</f>
        <v>3.1961717215001131</v>
      </c>
      <c r="AV134" s="22">
        <f>IFERROR(('Activity data'!AV98*(1/Constants!$H$135))*ttokg*FSOMEF*NtoN2O*kgtoGg,"NO")</f>
        <v>3.1961717215001131</v>
      </c>
      <c r="AW134" s="22">
        <f>IFERROR(('Activity data'!AW98*(1/Constants!$H$135))*ttokg*FSOMEF*NtoN2O*kgtoGg,"NO")</f>
        <v>3.1961717215001131</v>
      </c>
      <c r="AX134" s="22">
        <f>IFERROR(('Activity data'!AX98*(1/Constants!$H$135))*ttokg*FSOMEF*NtoN2O*kgtoGg,"NO")</f>
        <v>3.1961717215001131</v>
      </c>
      <c r="AY134" s="22">
        <f>IFERROR(('Activity data'!AY98*(1/Constants!$H$135))*ttokg*FSOMEF*NtoN2O*kgtoGg,"NO")</f>
        <v>3.1961717215001131</v>
      </c>
      <c r="AZ134" s="22">
        <f>IFERROR(('Activity data'!AZ98*(1/Constants!$H$135))*ttokg*FSOMEF*NtoN2O*kgtoGg,"NO")</f>
        <v>3.1961717215001131</v>
      </c>
      <c r="BA134" s="22">
        <f>IFERROR(('Activity data'!BA98*(1/Constants!$H$135))*ttokg*FSOMEF*NtoN2O*kgtoGg,"NO")</f>
        <v>3.1961717215001131</v>
      </c>
      <c r="BB134" s="22">
        <f>IFERROR(('Activity data'!BB98*(1/Constants!$H$135))*ttokg*FSOMEF*NtoN2O*kgtoGg,"NO")</f>
        <v>3.1961717215001131</v>
      </c>
      <c r="BC134" s="22">
        <f>IFERROR(('Activity data'!BC98*(1/Constants!$H$135))*ttokg*FSOMEF*NtoN2O*kgtoGg,"NO")</f>
        <v>3.1961717215001131</v>
      </c>
      <c r="BD134" s="22">
        <f>IFERROR(('Activity data'!BD98*(1/Constants!$H$135))*ttokg*FSOMEF*NtoN2O*kgtoGg,"NO")</f>
        <v>3.1961717215001131</v>
      </c>
      <c r="BE134" s="22">
        <f>IFERROR(('Activity data'!BE98*(1/Constants!$H$135))*ttokg*FSOMEF*NtoN2O*kgtoGg,"NO")</f>
        <v>3.1961717215001131</v>
      </c>
      <c r="BF134" s="22">
        <f>IFERROR(('Activity data'!BF98*(1/Constants!$H$135))*ttokg*FSOMEF*NtoN2O*kgtoGg,"NO")</f>
        <v>3.1961717215001131</v>
      </c>
      <c r="BG134" s="22">
        <f>IFERROR(('Activity data'!BG98*(1/Constants!$H$135))*ttokg*FSOMEF*NtoN2O*kgtoGg,"NO")</f>
        <v>3.1961717215001131</v>
      </c>
      <c r="BH134" s="22">
        <f>IFERROR(('Activity data'!BH98*(1/Constants!$H$135))*ttokg*FSOMEF*NtoN2O*kgtoGg,"NO")</f>
        <v>3.1961717215001131</v>
      </c>
      <c r="BI134" s="22">
        <f>IFERROR(('Activity data'!BI98*(1/Constants!$H$135))*ttokg*FSOMEF*NtoN2O*kgtoGg,"NO")</f>
        <v>3.1961717215001131</v>
      </c>
      <c r="BJ134" s="22">
        <f>IFERROR(('Activity data'!BJ98*(1/Constants!$H$135))*ttokg*FSOMEF*NtoN2O*kgtoGg,"NO")</f>
        <v>3.1961717215001131</v>
      </c>
      <c r="BK134" s="22">
        <f>IFERROR(('Activity data'!BK98*(1/Constants!$H$135))*ttokg*FSOMEF*NtoN2O*kgtoGg,"NO")</f>
        <v>3.1961717215001131</v>
      </c>
      <c r="BL134" s="22">
        <f>IFERROR(('Activity data'!BL98*(1/Constants!$H$135))*ttokg*FSOMEF*NtoN2O*kgtoGg,"NO")</f>
        <v>3.1961717215001131</v>
      </c>
      <c r="BM134" s="22">
        <f>IFERROR(('Activity data'!BM98*(1/Constants!$H$135))*ttokg*FSOMEF*NtoN2O*kgtoGg,"NO")</f>
        <v>3.1961717215001131</v>
      </c>
      <c r="BN134" s="22">
        <f>IFERROR(('Activity data'!BN98*(1/Constants!$H$135))*ttokg*FSOMEF*NtoN2O*kgtoGg,"NO")</f>
        <v>3.1961717215001131</v>
      </c>
      <c r="BO134" s="22">
        <f>IFERROR(('Activity data'!BO98*(1/Constants!$H$135))*ttokg*FSOMEF*NtoN2O*kgtoGg,"NO")</f>
        <v>3.1961717215001131</v>
      </c>
      <c r="BP134" s="22">
        <f>IFERROR(('Activity data'!BP98*(1/Constants!$H$135))*ttokg*FSOMEF*NtoN2O*kgtoGg,"NO")</f>
        <v>3.1961717215001131</v>
      </c>
    </row>
    <row r="135" spans="1:68" x14ac:dyDescent="0.3">
      <c r="A135" t="str">
        <f>A122</f>
        <v>3C Aggregated and non-CO2 emissions on land</v>
      </c>
      <c r="B135" t="str">
        <f>'IPCC Categories'!B78</f>
        <v>3C5 Indirect N2O from managed soils (N2O)</v>
      </c>
      <c r="C135" t="str">
        <f>'IPCC Categories'!C78</f>
        <v>Volatilisation</v>
      </c>
      <c r="D135" t="s">
        <v>435</v>
      </c>
      <c r="E135" t="str">
        <f t="shared" si="32"/>
        <v>Volatilisation - Synthetic fertlisers</v>
      </c>
      <c r="F135" t="str">
        <f>F122</f>
        <v>N2O</v>
      </c>
      <c r="G135" t="str">
        <f>G122</f>
        <v>Gg N2O</v>
      </c>
      <c r="H135" s="22">
        <f>'Activity data'!H47*ttokg*FracGASF*MSVolatEF*NtoN2O*kgtoGg</f>
        <v>0.5400827142857143</v>
      </c>
      <c r="I135" s="22">
        <f>'Activity data'!I47*ttokg*FracGASF*MSVolatEF*NtoN2O*kgtoGg</f>
        <v>0.57362642857142854</v>
      </c>
      <c r="J135" s="22">
        <f>'Activity data'!J47*ttokg*FracGASF*MSVolatEF*NtoN2O*kgtoGg</f>
        <v>0.54611071428571434</v>
      </c>
      <c r="K135" s="22">
        <f>'Activity data'!K47*ttokg*FracGASF*MSVolatEF*NtoN2O*kgtoGg</f>
        <v>0.64186414285714277</v>
      </c>
      <c r="L135" s="22">
        <f>'Activity data'!L47*ttokg*FracGASF*MSVolatEF*NtoN2O*kgtoGg</f>
        <v>0.58938942857142851</v>
      </c>
      <c r="M135" s="22">
        <f>'Activity data'!M47*ttokg*FracGASF*MSVolatEF*NtoN2O*kgtoGg</f>
        <v>0.58377157142857139</v>
      </c>
      <c r="N135" s="22">
        <f>'Activity data'!N47*ttokg*FracGASF*MSVolatEF*NtoN2O*kgtoGg</f>
        <v>0.65227485714285716</v>
      </c>
      <c r="O135" s="22">
        <f>'Activity data'!O47*ttokg*FracGASF*MSVolatEF*NtoN2O*kgtoGg</f>
        <v>0.63943628571428568</v>
      </c>
      <c r="P135" s="22">
        <f>'Activity data'!P47*ttokg*FracGASF*MSVolatEF*NtoN2O*kgtoGg</f>
        <v>0.65296157142857136</v>
      </c>
      <c r="Q135" s="22">
        <f>'Activity data'!Q47*ttokg*FracGASF*MSVolatEF*NtoN2O*kgtoGg</f>
        <v>0.64907071428571428</v>
      </c>
      <c r="R135" s="22">
        <f>'Activity data'!R47*ttokg*FracGASF*MSVolatEF*NtoN2O*kgtoGg</f>
        <v>0.653609</v>
      </c>
      <c r="S135" s="22">
        <f>'Activity data'!S47*ttokg*FracGASF*MSVolatEF*NtoN2O*kgtoGg</f>
        <v>0.6219918571428571</v>
      </c>
      <c r="T135" s="22">
        <f>'Activity data'!T47*ttokg*FracGASF*MSVolatEF*NtoN2O*kgtoGg</f>
        <v>0.74968457142857137</v>
      </c>
      <c r="U135" s="22">
        <f>'Activity data'!U47*ttokg*FracGASF*MSVolatEF*NtoN2O*kgtoGg</f>
        <v>0.66129957142857132</v>
      </c>
      <c r="V135" s="22">
        <f>'Activity data'!V47*ttokg*FracGASF*MSVolatEF*NtoN2O*kgtoGg</f>
        <v>0.67189728571428564</v>
      </c>
      <c r="W135" s="22">
        <f>'Activity data'!W47*ttokg*FracGASF*MSVolatEF*NtoN2O*kgtoGg</f>
        <v>0.54569428571428569</v>
      </c>
      <c r="X135" s="22">
        <f>'Activity data'!X47*ttokg*FracGASF*MSVolatEF*NtoN2O*kgtoGg</f>
        <v>0.67370128571428567</v>
      </c>
      <c r="Y135" s="22">
        <f>'Activity data'!Y47*ttokg*FracGASF*MSVolatEF*NtoN2O*kgtoGg</f>
        <v>0.69061142857142854</v>
      </c>
      <c r="Z135" s="22">
        <f>'Activity data'!Z47*ttokg*FracGASF*MSVolatEF*NtoN2O*kgtoGg</f>
        <v>0.66647899999999993</v>
      </c>
      <c r="AA135" s="22">
        <f>'Activity data'!AA47*ttokg*FracGASF*MSVolatEF*NtoN2O*kgtoGg</f>
        <v>0.71307814285714277</v>
      </c>
      <c r="AB135" s="22">
        <f>'Activity data'!AB47*ttokg*FracGASF*MSVolatEF*NtoN2O*kgtoGg</f>
        <v>0.62071428571428566</v>
      </c>
      <c r="AC135" s="22">
        <f>'Activity data'!AC47*ttokg*FracGASF*MSVolatEF*NtoN2O*kgtoGg</f>
        <v>0.65842857142857136</v>
      </c>
      <c r="AD135" s="22">
        <f>'Activity data'!AD47*ttokg*FracGASF*MSVolatEF*NtoN2O*kgtoGg</f>
        <v>0.66064812063358536</v>
      </c>
      <c r="AE135" s="22">
        <f>'Activity data'!AE47*ttokg*FracGASF*MSVolatEF*NtoN2O*kgtoGg</f>
        <v>0.66058242184852956</v>
      </c>
      <c r="AF135" s="22">
        <f>'Activity data'!AF47*ttokg*FracGASF*MSVolatEF*NtoN2O*kgtoGg</f>
        <v>0.66046196765835474</v>
      </c>
      <c r="AG135" s="22">
        <f>'Activity data'!AG47*ttokg*FracGASF*MSVolatEF*NtoN2O*kgtoGg</f>
        <v>0.66031799495417198</v>
      </c>
      <c r="AH135" s="22">
        <f>'Activity data'!AH47*ttokg*FracGASF*MSVolatEF*NtoN2O*kgtoGg</f>
        <v>0.66022073532502734</v>
      </c>
      <c r="AI135" s="22">
        <f>'Activity data'!AI47*ttokg*FracGASF*MSVolatEF*NtoN2O*kgtoGg</f>
        <v>0.66015380384919209</v>
      </c>
      <c r="AJ135" s="22">
        <f>'Activity data'!AJ47*ttokg*FracGASF*MSVolatEF*NtoN2O*kgtoGg</f>
        <v>0.66011715236312984</v>
      </c>
      <c r="AK135" s="22">
        <f>'Activity data'!AK47*ttokg*FracGASF*MSVolatEF*NtoN2O*kgtoGg</f>
        <v>0.66005785698707231</v>
      </c>
      <c r="AL135" s="22">
        <f>'Activity data'!AL47*ttokg*FracGASF*MSVolatEF*NtoN2O*kgtoGg</f>
        <v>0.65999557160724309</v>
      </c>
      <c r="AM135" s="22">
        <f>'Activity data'!AM47*ttokg*FracGASF*MSVolatEF*NtoN2O*kgtoGg</f>
        <v>0.66042852126323504</v>
      </c>
      <c r="AN135" s="22">
        <f>'Activity data'!AN47*ttokg*FracGASF*MSVolatEF*NtoN2O*kgtoGg</f>
        <v>0.660256842080582</v>
      </c>
      <c r="AO135" s="22">
        <f>'Activity data'!AO47*ttokg*FracGASF*MSVolatEF*NtoN2O*kgtoGg</f>
        <v>0.66002252909433212</v>
      </c>
      <c r="AP135" s="22">
        <f>'Activity data'!AP47*ttokg*FracGASF*MSVolatEF*NtoN2O*kgtoGg</f>
        <v>0.65989661681898848</v>
      </c>
      <c r="AQ135" s="22">
        <f>'Activity data'!AQ47*ttokg*FracGASF*MSVolatEF*NtoN2O*kgtoGg</f>
        <v>0.6597589047711292</v>
      </c>
      <c r="AR135" s="22">
        <f>'Activity data'!AR47*ttokg*FracGASF*MSVolatEF*NtoN2O*kgtoGg</f>
        <v>0.659605796092819</v>
      </c>
      <c r="AS135" s="22">
        <f>'Activity data'!AS47*ttokg*FracGASF*MSVolatEF*NtoN2O*kgtoGg</f>
        <v>0.65944507555305243</v>
      </c>
      <c r="AT135" s="22">
        <f>'Activity data'!AT47*ttokg*FracGASF*MSVolatEF*NtoN2O*kgtoGg</f>
        <v>0.65927354812209926</v>
      </c>
      <c r="AU135" s="22">
        <f>'Activity data'!AU47*ttokg*FracGASF*MSVolatEF*NtoN2O*kgtoGg</f>
        <v>0.65910165055066838</v>
      </c>
      <c r="AV135" s="22">
        <f>'Activity data'!AV47*ttokg*FracGASF*MSVolatEF*NtoN2O*kgtoGg</f>
        <v>0.65892060560614785</v>
      </c>
      <c r="AW135" s="22">
        <f>'Activity data'!AW47*ttokg*FracGASF*MSVolatEF*NtoN2O*kgtoGg</f>
        <v>0.6587403682229962</v>
      </c>
      <c r="AX135" s="22">
        <f>'Activity data'!AX47*ttokg*FracGASF*MSVolatEF*NtoN2O*kgtoGg</f>
        <v>0.6585449608557925</v>
      </c>
      <c r="AY135" s="22">
        <f>'Activity data'!AY47*ttokg*FracGASF*MSVolatEF*NtoN2O*kgtoGg</f>
        <v>0.65835675614397215</v>
      </c>
      <c r="AZ135" s="22">
        <f>'Activity data'!AZ47*ttokg*FracGASF*MSVolatEF*NtoN2O*kgtoGg</f>
        <v>0.65816378763594341</v>
      </c>
      <c r="BA135" s="22">
        <f>'Activity data'!BA47*ttokg*FracGASF*MSVolatEF*NtoN2O*kgtoGg</f>
        <v>0.6579528278100244</v>
      </c>
      <c r="BB135" s="22">
        <f>'Activity data'!BB47*ttokg*FracGASF*MSVolatEF*NtoN2O*kgtoGg</f>
        <v>0.65775665224366497</v>
      </c>
      <c r="BC135" s="22">
        <f>'Activity data'!BC47*ttokg*FracGASF*MSVolatEF*NtoN2O*kgtoGg</f>
        <v>0.65755521924304883</v>
      </c>
      <c r="BD135" s="22">
        <f>'Activity data'!BD47*ttokg*FracGASF*MSVolatEF*NtoN2O*kgtoGg</f>
        <v>0.65734627926543143</v>
      </c>
      <c r="BE135" s="22">
        <f>'Activity data'!BE47*ttokg*FracGASF*MSVolatEF*NtoN2O*kgtoGg</f>
        <v>0.65715425101563263</v>
      </c>
      <c r="BF135" s="22">
        <f>'Activity data'!BF47*ttokg*FracGASF*MSVolatEF*NtoN2O*kgtoGg</f>
        <v>0.65696756052718408</v>
      </c>
      <c r="BG135" s="22">
        <f>'Activity data'!BG47*ttokg*FracGASF*MSVolatEF*NtoN2O*kgtoGg</f>
        <v>0.65678548596880248</v>
      </c>
      <c r="BH135" s="22">
        <f>'Activity data'!BH47*ttokg*FracGASF*MSVolatEF*NtoN2O*kgtoGg</f>
        <v>0.65659337062591927</v>
      </c>
      <c r="BI135" s="22">
        <f>'Activity data'!BI47*ttokg*FracGASF*MSVolatEF*NtoN2O*kgtoGg</f>
        <v>0.65641235920406316</v>
      </c>
      <c r="BJ135" s="22">
        <f>'Activity data'!BJ47*ttokg*FracGASF*MSVolatEF*NtoN2O*kgtoGg</f>
        <v>0.65622903638449304</v>
      </c>
      <c r="BK135" s="22">
        <f>'Activity data'!BK47*ttokg*FracGASF*MSVolatEF*NtoN2O*kgtoGg</f>
        <v>0.65604286486377728</v>
      </c>
      <c r="BL135" s="22">
        <f>'Activity data'!BL47*ttokg*FracGASF*MSVolatEF*NtoN2O*kgtoGg</f>
        <v>0.65585292511260118</v>
      </c>
      <c r="BM135" s="22">
        <f>'Activity data'!BM47*ttokg*FracGASF*MSVolatEF*NtoN2O*kgtoGg</f>
        <v>0.65566000956326953</v>
      </c>
      <c r="BN135" s="22">
        <f>'Activity data'!BN47*ttokg*FracGASF*MSVolatEF*NtoN2O*kgtoGg</f>
        <v>0.65560073347552816</v>
      </c>
      <c r="BO135" s="22">
        <f>'Activity data'!BO47*ttokg*FracGASF*MSVolatEF*NtoN2O*kgtoGg</f>
        <v>0.65555391486602432</v>
      </c>
      <c r="BP135" s="22">
        <f>'Activity data'!BP47*ttokg*FracGASF*MSVolatEF*NtoN2O*kgtoGg</f>
        <v>0.65552474687649953</v>
      </c>
    </row>
    <row r="136" spans="1:68" x14ac:dyDescent="0.3">
      <c r="A136" t="str">
        <f t="shared" si="29"/>
        <v>3C Aggregated and non-CO2 emissions on land</v>
      </c>
      <c r="B136" t="str">
        <f>B135</f>
        <v>3C5 Indirect N2O from managed soils (N2O)</v>
      </c>
      <c r="C136" t="str">
        <f>C135</f>
        <v>Volatilisation</v>
      </c>
      <c r="D136" t="s">
        <v>436</v>
      </c>
      <c r="E136" t="str">
        <f t="shared" si="32"/>
        <v>Volatilisation - Organic fertilisers</v>
      </c>
      <c r="F136" t="str">
        <f t="shared" si="36"/>
        <v>N2O</v>
      </c>
      <c r="G136" t="str">
        <f t="shared" si="37"/>
        <v>Gg N2O</v>
      </c>
      <c r="H136" s="22">
        <f>'Activity data'!H48*ttokg*FracGASM*MSVolatEF*NtoN2O*kgtoGg</f>
        <v>7.1290918285714282E-3</v>
      </c>
      <c r="I136" s="22">
        <f>'Activity data'!I48*ttokg*FracGASM*MSVolatEF*NtoN2O*kgtoGg</f>
        <v>7.5718688571428574E-3</v>
      </c>
      <c r="J136" s="22">
        <f>'Activity data'!J48*ttokg*FracGASM*MSVolatEF*NtoN2O*kgtoGg</f>
        <v>7.2086614285714291E-3</v>
      </c>
      <c r="K136" s="22">
        <f>'Activity data'!K48*ttokg*FracGASM*MSVolatEF*NtoN2O*kgtoGg</f>
        <v>8.4726066857142863E-3</v>
      </c>
      <c r="L136" s="22">
        <f>'Activity data'!L48*ttokg*FracGASM*MSVolatEF*NtoN2O*kgtoGg</f>
        <v>7.7799404571428574E-3</v>
      </c>
      <c r="M136" s="22">
        <f>'Activity data'!M48*ttokg*FracGASM*MSVolatEF*NtoN2O*kgtoGg</f>
        <v>7.7057847428571432E-3</v>
      </c>
      <c r="N136" s="22">
        <f>'Activity data'!N48*ttokg*FracGASM*MSVolatEF*NtoN2O*kgtoGg</f>
        <v>8.610028114285715E-3</v>
      </c>
      <c r="O136" s="22">
        <f>'Activity data'!O48*ttokg*FracGASM*MSVolatEF*NtoN2O*kgtoGg</f>
        <v>8.440558971428572E-3</v>
      </c>
      <c r="P136" s="22">
        <f>'Activity data'!P48*ttokg*FracGASM*MSVolatEF*NtoN2O*kgtoGg</f>
        <v>8.6190927428571439E-3</v>
      </c>
      <c r="Q136" s="22">
        <f>'Activity data'!Q48*ttokg*FracGASM*MSVolatEF*NtoN2O*kgtoGg</f>
        <v>8.5677334285714293E-3</v>
      </c>
      <c r="R136" s="22">
        <f>'Activity data'!R48*ttokg*FracGASM*MSVolatEF*NtoN2O*kgtoGg</f>
        <v>8.627638800000002E-3</v>
      </c>
      <c r="S136" s="22">
        <f>'Activity data'!S48*ttokg*FracGASM*MSVolatEF*NtoN2O*kgtoGg</f>
        <v>8.210292514285714E-3</v>
      </c>
      <c r="T136" s="22">
        <f>'Activity data'!T48*ttokg*FracGASM*MSVolatEF*NtoN2O*kgtoGg</f>
        <v>9.8958363428571453E-3</v>
      </c>
      <c r="U136" s="22">
        <f>'Activity data'!U48*ttokg*FracGASM*MSVolatEF*NtoN2O*kgtoGg</f>
        <v>8.7291543428571466E-3</v>
      </c>
      <c r="V136" s="22">
        <f>'Activity data'!V48*ttokg*FracGASM*MSVolatEF*NtoN2O*kgtoGg</f>
        <v>8.8690441714285723E-3</v>
      </c>
      <c r="W136" s="22">
        <f>'Activity data'!W48*ttokg*FracGASM*MSVolatEF*NtoN2O*kgtoGg</f>
        <v>7.2031645714285709E-3</v>
      </c>
      <c r="X136" s="22">
        <f>'Activity data'!X48*ttokg*FracGASM*MSVolatEF*NtoN2O*kgtoGg</f>
        <v>8.8928569714285723E-3</v>
      </c>
      <c r="Y136" s="22">
        <f>'Activity data'!Y48*ttokg*FracGASM*MSVolatEF*NtoN2O*kgtoGg</f>
        <v>9.1160708571428571E-3</v>
      </c>
      <c r="Z136" s="22">
        <f>'Activity data'!Z48*ttokg*FracGASM*MSVolatEF*NtoN2O*kgtoGg</f>
        <v>8.7975228000000006E-3</v>
      </c>
      <c r="AA136" s="22">
        <f>'Activity data'!AA48*ttokg*FracGASM*MSVolatEF*NtoN2O*kgtoGg</f>
        <v>9.4126314857142859E-3</v>
      </c>
      <c r="AB136" s="22">
        <f>'Activity data'!AB48*ttokg*FracGASM*MSVolatEF*NtoN2O*kgtoGg</f>
        <v>8.1934285714285703E-3</v>
      </c>
      <c r="AC136" s="22">
        <f>'Activity data'!AC48*ttokg*FracGASM*MSVolatEF*NtoN2O*kgtoGg</f>
        <v>8.6912571428571419E-3</v>
      </c>
      <c r="AD136" s="22">
        <f>'Activity data'!AD48*ttokg*FracGASM*MSVolatEF*NtoN2O*kgtoGg</f>
        <v>8.720555192363328E-3</v>
      </c>
      <c r="AE136" s="22">
        <f>'Activity data'!AE48*ttokg*FracGASM*MSVolatEF*NtoN2O*kgtoGg</f>
        <v>8.7196879684005926E-3</v>
      </c>
      <c r="AF136" s="22">
        <f>'Activity data'!AF48*ttokg*FracGASM*MSVolatEF*NtoN2O*kgtoGg</f>
        <v>8.7180979730902847E-3</v>
      </c>
      <c r="AG136" s="22">
        <f>'Activity data'!AG48*ttokg*FracGASM*MSVolatEF*NtoN2O*kgtoGg</f>
        <v>8.7161975333950713E-3</v>
      </c>
      <c r="AH136" s="22">
        <f>'Activity data'!AH48*ttokg*FracGASM*MSVolatEF*NtoN2O*kgtoGg</f>
        <v>8.7149137062903607E-3</v>
      </c>
      <c r="AI136" s="22">
        <f>'Activity data'!AI48*ttokg*FracGASM*MSVolatEF*NtoN2O*kgtoGg</f>
        <v>8.7140302108093363E-3</v>
      </c>
      <c r="AJ136" s="22">
        <f>'Activity data'!AJ48*ttokg*FracGASM*MSVolatEF*NtoN2O*kgtoGg</f>
        <v>8.7135464111933163E-3</v>
      </c>
      <c r="AK136" s="22">
        <f>'Activity data'!AK48*ttokg*FracGASM*MSVolatEF*NtoN2O*kgtoGg</f>
        <v>8.7127637122293555E-3</v>
      </c>
      <c r="AL136" s="22">
        <f>'Activity data'!AL48*ttokg*FracGASM*MSVolatEF*NtoN2O*kgtoGg</f>
        <v>8.7119415452156113E-3</v>
      </c>
      <c r="AM136" s="22">
        <f>'Activity data'!AM48*ttokg*FracGASM*MSVolatEF*NtoN2O*kgtoGg</f>
        <v>8.7176564806747021E-3</v>
      </c>
      <c r="AN136" s="22">
        <f>'Activity data'!AN48*ttokg*FracGASM*MSVolatEF*NtoN2O*kgtoGg</f>
        <v>8.7153903154636864E-3</v>
      </c>
      <c r="AO136" s="22">
        <f>'Activity data'!AO48*ttokg*FracGASM*MSVolatEF*NtoN2O*kgtoGg</f>
        <v>8.7122973840451836E-3</v>
      </c>
      <c r="AP136" s="22">
        <f>'Activity data'!AP48*ttokg*FracGASM*MSVolatEF*NtoN2O*kgtoGg</f>
        <v>8.7106353420106468E-3</v>
      </c>
      <c r="AQ136" s="22">
        <f>'Activity data'!AQ48*ttokg*FracGASM*MSVolatEF*NtoN2O*kgtoGg</f>
        <v>8.7088175429789073E-3</v>
      </c>
      <c r="AR136" s="22">
        <f>'Activity data'!AR48*ttokg*FracGASM*MSVolatEF*NtoN2O*kgtoGg</f>
        <v>8.7067965084252144E-3</v>
      </c>
      <c r="AS136" s="22">
        <f>'Activity data'!AS48*ttokg*FracGASM*MSVolatEF*NtoN2O*kgtoGg</f>
        <v>8.7046749973002935E-3</v>
      </c>
      <c r="AT136" s="22">
        <f>'Activity data'!AT48*ttokg*FracGASM*MSVolatEF*NtoN2O*kgtoGg</f>
        <v>8.702410835211713E-3</v>
      </c>
      <c r="AU136" s="22">
        <f>'Activity data'!AU48*ttokg*FracGASM*MSVolatEF*NtoN2O*kgtoGg</f>
        <v>8.7001417872688246E-3</v>
      </c>
      <c r="AV136" s="22">
        <f>'Activity data'!AV48*ttokg*FracGASM*MSVolatEF*NtoN2O*kgtoGg</f>
        <v>8.6977519940011523E-3</v>
      </c>
      <c r="AW136" s="22">
        <f>'Activity data'!AW48*ttokg*FracGASM*MSVolatEF*NtoN2O*kgtoGg</f>
        <v>8.6953728605435512E-3</v>
      </c>
      <c r="AX136" s="22">
        <f>'Activity data'!AX48*ttokg*FracGASM*MSVolatEF*NtoN2O*kgtoGg</f>
        <v>8.6927934832964609E-3</v>
      </c>
      <c r="AY136" s="22">
        <f>'Activity data'!AY48*ttokg*FracGASM*MSVolatEF*NtoN2O*kgtoGg</f>
        <v>8.6903091811004352E-3</v>
      </c>
      <c r="AZ136" s="22">
        <f>'Activity data'!AZ48*ttokg*FracGASM*MSVolatEF*NtoN2O*kgtoGg</f>
        <v>8.6877619967944547E-3</v>
      </c>
      <c r="BA136" s="22">
        <f>'Activity data'!BA48*ttokg*FracGASM*MSVolatEF*NtoN2O*kgtoGg</f>
        <v>8.6849773270923237E-3</v>
      </c>
      <c r="BB136" s="22">
        <f>'Activity data'!BB48*ttokg*FracGASM*MSVolatEF*NtoN2O*kgtoGg</f>
        <v>8.6823878096163789E-3</v>
      </c>
      <c r="BC136" s="22">
        <f>'Activity data'!BC48*ttokg*FracGASM*MSVolatEF*NtoN2O*kgtoGg</f>
        <v>8.6797288940082453E-3</v>
      </c>
      <c r="BD136" s="22">
        <f>'Activity data'!BD48*ttokg*FracGASM*MSVolatEF*NtoN2O*kgtoGg</f>
        <v>8.6769708863036962E-3</v>
      </c>
      <c r="BE136" s="22">
        <f>'Activity data'!BE48*ttokg*FracGASM*MSVolatEF*NtoN2O*kgtoGg</f>
        <v>8.6744361134063527E-3</v>
      </c>
      <c r="BF136" s="22">
        <f>'Activity data'!BF48*ttokg*FracGASM*MSVolatEF*NtoN2O*kgtoGg</f>
        <v>8.6719717989588319E-3</v>
      </c>
      <c r="BG136" s="22">
        <f>'Activity data'!BG48*ttokg*FracGASM*MSVolatEF*NtoN2O*kgtoGg</f>
        <v>8.6695684147881907E-3</v>
      </c>
      <c r="BH136" s="22">
        <f>'Activity data'!BH48*ttokg*FracGASM*MSVolatEF*NtoN2O*kgtoGg</f>
        <v>8.6670324922621354E-3</v>
      </c>
      <c r="BI136" s="22">
        <f>'Activity data'!BI48*ttokg*FracGASM*MSVolatEF*NtoN2O*kgtoGg</f>
        <v>8.6646431414936359E-3</v>
      </c>
      <c r="BJ136" s="22">
        <f>'Activity data'!BJ48*ttokg*FracGASM*MSVolatEF*NtoN2O*kgtoGg</f>
        <v>8.6622232802753101E-3</v>
      </c>
      <c r="BK136" s="22">
        <f>'Activity data'!BK48*ttokg*FracGASM*MSVolatEF*NtoN2O*kgtoGg</f>
        <v>8.6597658162018594E-3</v>
      </c>
      <c r="BL136" s="22">
        <f>'Activity data'!BL48*ttokg*FracGASM*MSVolatEF*NtoN2O*kgtoGg</f>
        <v>8.6572586114863365E-3</v>
      </c>
      <c r="BM136" s="22">
        <f>'Activity data'!BM48*ttokg*FracGASM*MSVolatEF*NtoN2O*kgtoGg</f>
        <v>8.6547121262351596E-3</v>
      </c>
      <c r="BN136" s="22">
        <f>'Activity data'!BN48*ttokg*FracGASM*MSVolatEF*NtoN2O*kgtoGg</f>
        <v>8.6539296818769745E-3</v>
      </c>
      <c r="BO136" s="22">
        <f>'Activity data'!BO48*ttokg*FracGASM*MSVolatEF*NtoN2O*kgtoGg</f>
        <v>8.6533116762315225E-3</v>
      </c>
      <c r="BP136" s="22">
        <f>'Activity data'!BP48*ttokg*FracGASM*MSVolatEF*NtoN2O*kgtoGg</f>
        <v>8.6529266587697939E-3</v>
      </c>
    </row>
    <row r="137" spans="1:68" x14ac:dyDescent="0.3">
      <c r="A137" t="str">
        <f t="shared" si="29"/>
        <v>3C Aggregated and non-CO2 emissions on land</v>
      </c>
      <c r="B137" t="str">
        <f t="shared" ref="B137:B138" si="42">B136</f>
        <v>3C5 Indirect N2O from managed soils (N2O)</v>
      </c>
      <c r="C137" t="str">
        <f t="shared" ref="C137:C138" si="43">C136</f>
        <v>Volatilisation</v>
      </c>
      <c r="D137" t="s">
        <v>437</v>
      </c>
      <c r="E137" t="str">
        <f t="shared" si="32"/>
        <v>Volatilisation - Managed manure</v>
      </c>
      <c r="F137" t="str">
        <f t="shared" si="36"/>
        <v>N2O</v>
      </c>
      <c r="G137" t="str">
        <f t="shared" si="37"/>
        <v>Gg N2O</v>
      </c>
      <c r="H137" s="22">
        <f>SUM('Activity data'!H50:H65)*FracGASM*MSVolatEF*NtoN2O*kgtoGg</f>
        <v>0.99551555312027373</v>
      </c>
      <c r="I137" s="22">
        <f>SUM('Activity data'!I50:I65)*FracGASM*MSVolatEF*NtoN2O*kgtoGg</f>
        <v>1.0457263616851549</v>
      </c>
      <c r="J137" s="22">
        <f>SUM('Activity data'!J50:J65)*FracGASM*MSVolatEF*NtoN2O*kgtoGg</f>
        <v>1.0280485030279605</v>
      </c>
      <c r="K137" s="22">
        <f>SUM('Activity data'!K50:K65)*FracGASM*MSVolatEF*NtoN2O*kgtoGg</f>
        <v>1.03324963057342</v>
      </c>
      <c r="L137" s="22">
        <f>SUM('Activity data'!L50:L65)*FracGASM*MSVolatEF*NtoN2O*kgtoGg</f>
        <v>0.95236586726215788</v>
      </c>
      <c r="M137" s="22">
        <f>SUM('Activity data'!M50:M65)*FracGASM*MSVolatEF*NtoN2O*kgtoGg</f>
        <v>0.9653219403734149</v>
      </c>
      <c r="N137" s="22">
        <f>SUM('Activity data'!N50:N65)*FracGASM*MSVolatEF*NtoN2O*kgtoGg</f>
        <v>0.99815602807535353</v>
      </c>
      <c r="O137" s="22">
        <f>SUM('Activity data'!O50:O65)*FracGASM*MSVolatEF*NtoN2O*kgtoGg</f>
        <v>1.0144180969214591</v>
      </c>
      <c r="P137" s="22">
        <f>SUM('Activity data'!P50:P65)*FracGASM*MSVolatEF*NtoN2O*kgtoGg</f>
        <v>1.0520418095998723</v>
      </c>
      <c r="Q137" s="22">
        <f>SUM('Activity data'!Q50:Q65)*FracGASM*MSVolatEF*NtoN2O*kgtoGg</f>
        <v>1.0732775914439636</v>
      </c>
      <c r="R137" s="22">
        <f>SUM('Activity data'!R50:R65)*FracGASM*MSVolatEF*NtoN2O*kgtoGg</f>
        <v>1.1194350722704709</v>
      </c>
      <c r="S137" s="22">
        <f>SUM('Activity data'!S50:S65)*FracGASM*MSVolatEF*NtoN2O*kgtoGg</f>
        <v>1.1042100081051662</v>
      </c>
      <c r="T137" s="22">
        <f>SUM('Activity data'!T50:T65)*FracGASM*MSVolatEF*NtoN2O*kgtoGg</f>
        <v>1.1383465549548826</v>
      </c>
      <c r="U137" s="22">
        <f>SUM('Activity data'!U50:U65)*FracGASM*MSVolatEF*NtoN2O*kgtoGg</f>
        <v>1.1234193003595725</v>
      </c>
      <c r="V137" s="22">
        <f>SUM('Activity data'!V50:V65)*FracGASM*MSVolatEF*NtoN2O*kgtoGg</f>
        <v>1.1105797277549578</v>
      </c>
      <c r="W137" s="22">
        <f>SUM('Activity data'!W50:W65)*FracGASM*MSVolatEF*NtoN2O*kgtoGg</f>
        <v>1.1231687261749999</v>
      </c>
      <c r="X137" s="22">
        <f>SUM('Activity data'!X50:X65)*FracGASM*MSVolatEF*NtoN2O*kgtoGg</f>
        <v>1.1446915398900395</v>
      </c>
      <c r="Y137" s="22">
        <f>SUM('Activity data'!Y50:Y65)*FracGASM*MSVolatEF*NtoN2O*kgtoGg</f>
        <v>1.1770744841159908</v>
      </c>
      <c r="Z137" s="22">
        <f>SUM('Activity data'!Z50:Z65)*FracGASM*MSVolatEF*NtoN2O*kgtoGg</f>
        <v>1.218985945315326</v>
      </c>
      <c r="AA137" s="22">
        <f>SUM('Activity data'!AA50:AA65)*FracGASM*MSVolatEF*NtoN2O*kgtoGg</f>
        <v>1.2092710440167578</v>
      </c>
      <c r="AB137" s="22">
        <f>SUM('Activity data'!AB50:AB65)*FracGASM*MSVolatEF*NtoN2O*kgtoGg</f>
        <v>1.2045606040064729</v>
      </c>
      <c r="AC137" s="22">
        <f>SUM('Activity data'!AC50:AC65)*FracGASM*MSVolatEF*NtoN2O*kgtoGg</f>
        <v>1.2120476688441433</v>
      </c>
      <c r="AD137" s="22">
        <f>SUM('Activity data'!AD50:AD65)*FracGASM*MSVolatEF*NtoN2O*kgtoGg</f>
        <v>1.2008407282256135</v>
      </c>
      <c r="AE137" s="22">
        <f>SUM('Activity data'!AE50:AE65)*FracGASM*MSVolatEF*NtoN2O*kgtoGg</f>
        <v>1.201903510760759</v>
      </c>
      <c r="AF137" s="22">
        <f>SUM('Activity data'!AF50:AF65)*FracGASM*MSVolatEF*NtoN2O*kgtoGg</f>
        <v>1.2088775122881088</v>
      </c>
      <c r="AG137" s="22">
        <f>SUM('Activity data'!AG50:AG65)*FracGASM*MSVolatEF*NtoN2O*kgtoGg</f>
        <v>1.2055442230548155</v>
      </c>
      <c r="AH137" s="22">
        <f>SUM('Activity data'!AH50:AH65)*FracGASM*MSVolatEF*NtoN2O*kgtoGg</f>
        <v>1.195843583832628</v>
      </c>
      <c r="AI137" s="22">
        <f>SUM('Activity data'!AI50:AI65)*FracGASM*MSVolatEF*NtoN2O*kgtoGg</f>
        <v>1.1799964998501222</v>
      </c>
      <c r="AJ137" s="22">
        <f>SUM('Activity data'!AJ50:AJ65)*FracGASM*MSVolatEF*NtoN2O*kgtoGg</f>
        <v>1.169776622170569</v>
      </c>
      <c r="AK137" s="22">
        <f>SUM('Activity data'!AK50:AK65)*FracGASM*MSVolatEF*NtoN2O*kgtoGg</f>
        <v>1.1606871439933113</v>
      </c>
      <c r="AL137" s="22">
        <f>SUM('Activity data'!AL50:AL65)*FracGASM*MSVolatEF*NtoN2O*kgtoGg</f>
        <v>1.0501974396641209</v>
      </c>
      <c r="AM137" s="22">
        <f>SUM('Activity data'!AM50:AM65)*FracGASM*MSVolatEF*NtoN2O*kgtoGg</f>
        <v>1.0703473698117068</v>
      </c>
      <c r="AN137" s="22">
        <f>SUM('Activity data'!AN50:AN65)*FracGASM*MSVolatEF*NtoN2O*kgtoGg</f>
        <v>1.1035346153332457</v>
      </c>
      <c r="AO137" s="22">
        <f>SUM('Activity data'!AO50:AO65)*FracGASM*MSVolatEF*NtoN2O*kgtoGg</f>
        <v>1.1150489977959306</v>
      </c>
      <c r="AP137" s="22">
        <f>SUM('Activity data'!AP50:AP65)*FracGASM*MSVolatEF*NtoN2O*kgtoGg</f>
        <v>1.1291994422976275</v>
      </c>
      <c r="AQ137" s="22">
        <f>SUM('Activity data'!AQ50:AQ65)*FracGASM*MSVolatEF*NtoN2O*kgtoGg</f>
        <v>1.1467521172180308</v>
      </c>
      <c r="AR137" s="22">
        <f>SUM('Activity data'!AR50:AR65)*FracGASM*MSVolatEF*NtoN2O*kgtoGg</f>
        <v>1.1661924411251976</v>
      </c>
      <c r="AS137" s="22">
        <f>SUM('Activity data'!AS50:AS65)*FracGASM*MSVolatEF*NtoN2O*kgtoGg</f>
        <v>1.1881766019612736</v>
      </c>
      <c r="AT137" s="22">
        <f>SUM('Activity data'!AT50:AT65)*FracGASM*MSVolatEF*NtoN2O*kgtoGg</f>
        <v>1.2105548738562886</v>
      </c>
      <c r="AU137" s="22">
        <f>SUM('Activity data'!AU50:AU65)*FracGASM*MSVolatEF*NtoN2O*kgtoGg</f>
        <v>1.2352132344527478</v>
      </c>
      <c r="AV137" s="22">
        <f>SUM('Activity data'!AV50:AV65)*FracGASM*MSVolatEF*NtoN2O*kgtoGg</f>
        <v>1.2600610700998878</v>
      </c>
      <c r="AW137" s="22">
        <f>SUM('Activity data'!AW50:AW65)*FracGASM*MSVolatEF*NtoN2O*kgtoGg</f>
        <v>1.2841695325772586</v>
      </c>
      <c r="AX137" s="22">
        <f>SUM('Activity data'!AX50:AX65)*FracGASM*MSVolatEF*NtoN2O*kgtoGg</f>
        <v>1.3069035937836597</v>
      </c>
      <c r="AY137" s="22">
        <f>SUM('Activity data'!AY50:AY65)*FracGASM*MSVolatEF*NtoN2O*kgtoGg</f>
        <v>1.3308885489727156</v>
      </c>
      <c r="AZ137" s="22">
        <f>SUM('Activity data'!AZ50:AZ65)*FracGASM*MSVolatEF*NtoN2O*kgtoGg</f>
        <v>1.3591357613410466</v>
      </c>
      <c r="BA137" s="22">
        <f>SUM('Activity data'!BA50:BA65)*FracGASM*MSVolatEF*NtoN2O*kgtoGg</f>
        <v>1.3843151170507964</v>
      </c>
      <c r="BB137" s="22">
        <f>SUM('Activity data'!BB50:BB65)*FracGASM*MSVolatEF*NtoN2O*kgtoGg</f>
        <v>1.4109607447095132</v>
      </c>
      <c r="BC137" s="22">
        <f>SUM('Activity data'!BC50:BC65)*FracGASM*MSVolatEF*NtoN2O*kgtoGg</f>
        <v>1.439613035796105</v>
      </c>
      <c r="BD137" s="22">
        <f>SUM('Activity data'!BD50:BD65)*FracGASM*MSVolatEF*NtoN2O*kgtoGg</f>
        <v>1.4645872559628428</v>
      </c>
      <c r="BE137" s="22">
        <f>SUM('Activity data'!BE50:BE65)*FracGASM*MSVolatEF*NtoN2O*kgtoGg</f>
        <v>1.4885153057402958</v>
      </c>
      <c r="BF137" s="22">
        <f>SUM('Activity data'!BF50:BF65)*FracGASM*MSVolatEF*NtoN2O*kgtoGg</f>
        <v>1.5115373270459393</v>
      </c>
      <c r="BG137" s="22">
        <f>SUM('Activity data'!BG50:BG65)*FracGASM*MSVolatEF*NtoN2O*kgtoGg</f>
        <v>1.5400585132402391</v>
      </c>
      <c r="BH137" s="22">
        <f>SUM('Activity data'!BH50:BH65)*FracGASM*MSVolatEF*NtoN2O*kgtoGg</f>
        <v>1.5662225533166572</v>
      </c>
      <c r="BI137" s="22">
        <f>SUM('Activity data'!BI50:BI65)*FracGASM*MSVolatEF*NtoN2O*kgtoGg</f>
        <v>1.593267491108957</v>
      </c>
      <c r="BJ137" s="22">
        <f>SUM('Activity data'!BJ50:BJ65)*FracGASM*MSVolatEF*NtoN2O*kgtoGg</f>
        <v>1.6213524132646824</v>
      </c>
      <c r="BK137" s="22">
        <f>SUM('Activity data'!BK50:BK65)*FracGASM*MSVolatEF*NtoN2O*kgtoGg</f>
        <v>1.6507413943805305</v>
      </c>
      <c r="BL137" s="22">
        <f>SUM('Activity data'!BL50:BL65)*FracGASM*MSVolatEF*NtoN2O*kgtoGg</f>
        <v>1.6812851986409043</v>
      </c>
      <c r="BM137" s="22">
        <f>SUM('Activity data'!BM50:BM65)*FracGASM*MSVolatEF*NtoN2O*kgtoGg</f>
        <v>1.6777302811702246</v>
      </c>
      <c r="BN137" s="22">
        <f>SUM('Activity data'!BN50:BN65)*FracGASM*MSVolatEF*NtoN2O*kgtoGg</f>
        <v>1.6711130643184777</v>
      </c>
      <c r="BO137" s="22">
        <f>SUM('Activity data'!BO50:BO65)*FracGASM*MSVolatEF*NtoN2O*kgtoGg</f>
        <v>1.6601731404367381</v>
      </c>
      <c r="BP137" s="22">
        <f>SUM('Activity data'!BP50:BP65)*FracGASM*MSVolatEF*NtoN2O*kgtoGg</f>
        <v>1.6481045233312475</v>
      </c>
    </row>
    <row r="138" spans="1:68" x14ac:dyDescent="0.3">
      <c r="A138" t="str">
        <f t="shared" si="29"/>
        <v>3C Aggregated and non-CO2 emissions on land</v>
      </c>
      <c r="B138" t="str">
        <f t="shared" si="42"/>
        <v>3C5 Indirect N2O from managed soils (N2O)</v>
      </c>
      <c r="C138" t="str">
        <f t="shared" si="43"/>
        <v>Volatilisation</v>
      </c>
      <c r="D138" t="s">
        <v>438</v>
      </c>
      <c r="E138" t="str">
        <f t="shared" si="32"/>
        <v>Volatilisation - Urine &amp; dung</v>
      </c>
      <c r="F138" t="str">
        <f t="shared" si="36"/>
        <v>N2O</v>
      </c>
      <c r="G138" t="str">
        <f t="shared" si="37"/>
        <v>Gg N2O</v>
      </c>
      <c r="H138" s="22">
        <f>SUM('Activity data'!H66:H81)*FracGASM*MSVolatEF*NtoN2O*kgtoGg</f>
        <v>5.3293144096787222</v>
      </c>
      <c r="I138" s="22">
        <f>SUM('Activity data'!I66:I81)*FracGASM*MSVolatEF*NtoN2O*kgtoGg</f>
        <v>5.1770975753759236</v>
      </c>
      <c r="J138" s="22">
        <f>SUM('Activity data'!J66:J81)*FracGASM*MSVolatEF*NtoN2O*kgtoGg</f>
        <v>5.0830298342539484</v>
      </c>
      <c r="K138" s="22">
        <f>SUM('Activity data'!K66:K81)*FracGASM*MSVolatEF*NtoN2O*kgtoGg</f>
        <v>4.829642515128679</v>
      </c>
      <c r="L138" s="22">
        <f>SUM('Activity data'!L66:L81)*FracGASM*MSVolatEF*NtoN2O*kgtoGg</f>
        <v>4.7894399365203268</v>
      </c>
      <c r="M138" s="22">
        <f>SUM('Activity data'!M66:M81)*FracGASM*MSVolatEF*NtoN2O*kgtoGg</f>
        <v>4.7921511406548962</v>
      </c>
      <c r="N138" s="22">
        <f>SUM('Activity data'!N66:N81)*FracGASM*MSVolatEF*NtoN2O*kgtoGg</f>
        <v>4.8976053876932584</v>
      </c>
      <c r="O138" s="22">
        <f>SUM('Activity data'!O66:O81)*FracGASM*MSVolatEF*NtoN2O*kgtoGg</f>
        <v>4.9547281574748672</v>
      </c>
      <c r="P138" s="22">
        <f>SUM('Activity data'!P66:P81)*FracGASM*MSVolatEF*NtoN2O*kgtoGg</f>
        <v>5.0157449787285939</v>
      </c>
      <c r="Q138" s="22">
        <f>SUM('Activity data'!Q66:Q81)*FracGASM*MSVolatEF*NtoN2O*kgtoGg</f>
        <v>4.9767771047110116</v>
      </c>
      <c r="R138" s="22">
        <f>SUM('Activity data'!R66:R81)*FracGASM*MSVolatEF*NtoN2O*kgtoGg</f>
        <v>4.8211266878067001</v>
      </c>
      <c r="S138" s="22">
        <f>SUM('Activity data'!S66:S81)*FracGASM*MSVolatEF*NtoN2O*kgtoGg</f>
        <v>4.7800473511978687</v>
      </c>
      <c r="T138" s="22">
        <f>SUM('Activity data'!T66:T81)*FracGASM*MSVolatEF*NtoN2O*kgtoGg</f>
        <v>4.6975024951288153</v>
      </c>
      <c r="U138" s="22">
        <f>SUM('Activity data'!U66:U81)*FracGASM*MSVolatEF*NtoN2O*kgtoGg</f>
        <v>4.7360084777803504</v>
      </c>
      <c r="V138" s="22">
        <f>SUM('Activity data'!V66:V81)*FracGASM*MSVolatEF*NtoN2O*kgtoGg</f>
        <v>4.7003354016017305</v>
      </c>
      <c r="W138" s="22">
        <f>SUM('Activity data'!W66:W81)*FracGASM*MSVolatEF*NtoN2O*kgtoGg</f>
        <v>4.687578912663029</v>
      </c>
      <c r="X138" s="22">
        <f>SUM('Activity data'!X66:X81)*FracGASM*MSVolatEF*NtoN2O*kgtoGg</f>
        <v>4.6689428593096167</v>
      </c>
      <c r="Y138" s="22">
        <f>SUM('Activity data'!Y66:Y81)*FracGASM*MSVolatEF*NtoN2O*kgtoGg</f>
        <v>4.7434640177817213</v>
      </c>
      <c r="Z138" s="22">
        <f>SUM('Activity data'!Z66:Z81)*FracGASM*MSVolatEF*NtoN2O*kgtoGg</f>
        <v>4.7183947350866733</v>
      </c>
      <c r="AA138" s="22">
        <f>SUM('Activity data'!AA66:AA81)*FracGASM*MSVolatEF*NtoN2O*kgtoGg</f>
        <v>4.674811692850918</v>
      </c>
      <c r="AB138" s="22">
        <f>SUM('Activity data'!AB66:AB81)*FracGASM*MSVolatEF*NtoN2O*kgtoGg</f>
        <v>4.622134481418013</v>
      </c>
      <c r="AC138" s="22">
        <f>SUM('Activity data'!AC66:AC81)*FracGASM*MSVolatEF*NtoN2O*kgtoGg</f>
        <v>4.6008288415645895</v>
      </c>
      <c r="AD138" s="22">
        <f>SUM('Activity data'!AD66:AD81)*FracGASM*MSVolatEF*NtoN2O*kgtoGg</f>
        <v>4.3975799639737048</v>
      </c>
      <c r="AE138" s="22">
        <f>SUM('Activity data'!AE66:AE81)*FracGASM*MSVolatEF*NtoN2O*kgtoGg</f>
        <v>4.3787767883653972</v>
      </c>
      <c r="AF138" s="22">
        <f>SUM('Activity data'!AF66:AF81)*FracGASM*MSVolatEF*NtoN2O*kgtoGg</f>
        <v>4.3752716537638934</v>
      </c>
      <c r="AG138" s="22">
        <f>SUM('Activity data'!AG66:AG81)*FracGASM*MSVolatEF*NtoN2O*kgtoGg</f>
        <v>4.3473821211305594</v>
      </c>
      <c r="AH138" s="22">
        <f>SUM('Activity data'!AH66:AH81)*FracGASM*MSVolatEF*NtoN2O*kgtoGg</f>
        <v>4.3052096453824609</v>
      </c>
      <c r="AI138" s="22">
        <f>SUM('Activity data'!AI66:AI81)*FracGASM*MSVolatEF*NtoN2O*kgtoGg</f>
        <v>4.2496956169043703</v>
      </c>
      <c r="AJ138" s="22">
        <f>SUM('Activity data'!AJ66:AJ81)*FracGASM*MSVolatEF*NtoN2O*kgtoGg</f>
        <v>4.2083609134426787</v>
      </c>
      <c r="AK138" s="22">
        <f>SUM('Activity data'!AK66:AK81)*FracGASM*MSVolatEF*NtoN2O*kgtoGg</f>
        <v>4.1703852155628214</v>
      </c>
      <c r="AL138" s="22">
        <f>SUM('Activity data'!AL66:AL81)*FracGASM*MSVolatEF*NtoN2O*kgtoGg</f>
        <v>3.900775371515369</v>
      </c>
      <c r="AM138" s="22">
        <f>SUM('Activity data'!AM66:AM81)*FracGASM*MSVolatEF*NtoN2O*kgtoGg</f>
        <v>3.9381596254461564</v>
      </c>
      <c r="AN138" s="22">
        <f>SUM('Activity data'!AN66:AN81)*FracGASM*MSVolatEF*NtoN2O*kgtoGg</f>
        <v>4.0049157346570068</v>
      </c>
      <c r="AO138" s="22">
        <f>SUM('Activity data'!AO66:AO81)*FracGASM*MSVolatEF*NtoN2O*kgtoGg</f>
        <v>4.0223863253045398</v>
      </c>
      <c r="AP138" s="22">
        <f>SUM('Activity data'!AP66:AP81)*FracGASM*MSVolatEF*NtoN2O*kgtoGg</f>
        <v>4.045795803072969</v>
      </c>
      <c r="AQ138" s="22">
        <f>SUM('Activity data'!AQ66:AQ81)*FracGASM*MSVolatEF*NtoN2O*kgtoGg</f>
        <v>4.0767188563085508</v>
      </c>
      <c r="AR138" s="22">
        <f>SUM('Activity data'!AR66:AR81)*FracGASM*MSVolatEF*NtoN2O*kgtoGg</f>
        <v>4.1095287399075264</v>
      </c>
      <c r="AS138" s="22">
        <f>SUM('Activity data'!AS66:AS81)*FracGASM*MSVolatEF*NtoN2O*kgtoGg</f>
        <v>4.1476787731521458</v>
      </c>
      <c r="AT138" s="22">
        <f>SUM('Activity data'!AT66:AT81)*FracGASM*MSVolatEF*NtoN2O*kgtoGg</f>
        <v>4.1863566801857406</v>
      </c>
      <c r="AU138" s="22">
        <f>SUM('Activity data'!AU66:AU81)*FracGASM*MSVolatEF*NtoN2O*kgtoGg</f>
        <v>4.2296218376851549</v>
      </c>
      <c r="AV138" s="22">
        <f>SUM('Activity data'!AV66:AV81)*FracGASM*MSVolatEF*NtoN2O*kgtoGg</f>
        <v>4.2728604404281354</v>
      </c>
      <c r="AW138" s="22">
        <f>SUM('Activity data'!AW66:AW81)*FracGASM*MSVolatEF*NtoN2O*kgtoGg</f>
        <v>4.3024697400350007</v>
      </c>
      <c r="AX138" s="22">
        <f>SUM('Activity data'!AX66:AX81)*FracGASM*MSVolatEF*NtoN2O*kgtoGg</f>
        <v>4.3280485976783627</v>
      </c>
      <c r="AY138" s="22">
        <f>SUM('Activity data'!AY66:AY81)*FracGASM*MSVolatEF*NtoN2O*kgtoGg</f>
        <v>4.3551413116429245</v>
      </c>
      <c r="AZ138" s="22">
        <f>SUM('Activity data'!AZ66:AZ81)*FracGASM*MSVolatEF*NtoN2O*kgtoGg</f>
        <v>4.3898514432989648</v>
      </c>
      <c r="BA138" s="22">
        <f>SUM('Activity data'!BA66:BA81)*FracGASM*MSVolatEF*NtoN2O*kgtoGg</f>
        <v>4.4168796997123483</v>
      </c>
      <c r="BB138" s="22">
        <f>SUM('Activity data'!BB66:BB81)*FracGASM*MSVolatEF*NtoN2O*kgtoGg</f>
        <v>4.4439671933106792</v>
      </c>
      <c r="BC138" s="22">
        <f>SUM('Activity data'!BC66:BC81)*FracGASM*MSVolatEF*NtoN2O*kgtoGg</f>
        <v>4.4736413932482595</v>
      </c>
      <c r="BD138" s="22">
        <f>SUM('Activity data'!BD66:BD81)*FracGASM*MSVolatEF*NtoN2O*kgtoGg</f>
        <v>4.4945161300843504</v>
      </c>
      <c r="BE138" s="22">
        <f>SUM('Activity data'!BE66:BE81)*FracGASM*MSVolatEF*NtoN2O*kgtoGg</f>
        <v>4.5119473605235276</v>
      </c>
      <c r="BF138" s="22">
        <f>SUM('Activity data'!BF66:BF81)*FracGASM*MSVolatEF*NtoN2O*kgtoGg</f>
        <v>4.5262479592108207</v>
      </c>
      <c r="BG138" s="22">
        <f>SUM('Activity data'!BG66:BG81)*FracGASM*MSVolatEF*NtoN2O*kgtoGg</f>
        <v>4.5552825489057529</v>
      </c>
      <c r="BH138" s="22">
        <f>SUM('Activity data'!BH66:BH81)*FracGASM*MSVolatEF*NtoN2O*kgtoGg</f>
        <v>4.5786902056870105</v>
      </c>
      <c r="BI138" s="22">
        <f>SUM('Activity data'!BI66:BI81)*FracGASM*MSVolatEF*NtoN2O*kgtoGg</f>
        <v>4.6026259938264094</v>
      </c>
      <c r="BJ138" s="22">
        <f>SUM('Activity data'!BJ66:BJ81)*FracGASM*MSVolatEF*NtoN2O*kgtoGg</f>
        <v>4.6273110032913349</v>
      </c>
      <c r="BK138" s="22">
        <f>SUM('Activity data'!BK66:BK81)*FracGASM*MSVolatEF*NtoN2O*kgtoGg</f>
        <v>4.6531442501292055</v>
      </c>
      <c r="BL138" s="22">
        <f>SUM('Activity data'!BL66:BL81)*FracGASM*MSVolatEF*NtoN2O*kgtoGg</f>
        <v>4.6782746913590252</v>
      </c>
      <c r="BM138" s="22">
        <f>SUM('Activity data'!BM66:BM81)*FracGASM*MSVolatEF*NtoN2O*kgtoGg</f>
        <v>4.6412320099960542</v>
      </c>
      <c r="BN138" s="22">
        <f>SUM('Activity data'!BN66:BN81)*FracGASM*MSVolatEF*NtoN2O*kgtoGg</f>
        <v>4.5987998522947482</v>
      </c>
      <c r="BO138" s="22">
        <f>SUM('Activity data'!BO66:BO81)*FracGASM*MSVolatEF*NtoN2O*kgtoGg</f>
        <v>4.5489683571490982</v>
      </c>
      <c r="BP138" s="22">
        <f>SUM('Activity data'!BP66:BP81)*FracGASM*MSVolatEF*NtoN2O*kgtoGg</f>
        <v>4.4975013733577454</v>
      </c>
    </row>
    <row r="139" spans="1:68" x14ac:dyDescent="0.3">
      <c r="A139" t="str">
        <f t="shared" ref="A139" si="44">A138</f>
        <v>3C Aggregated and non-CO2 emissions on land</v>
      </c>
      <c r="B139" t="str">
        <f t="shared" ref="B139" si="45">B138</f>
        <v>3C5 Indirect N2O from managed soils (N2O)</v>
      </c>
      <c r="C139" t="str">
        <f>'IPCC Categories'!C79</f>
        <v>Leaching/runoff</v>
      </c>
      <c r="D139" t="str">
        <f>D135</f>
        <v xml:space="preserve"> - Synthetic fertlisers</v>
      </c>
      <c r="E139" t="str">
        <f t="shared" ref="E139:E143" si="46">C139&amp;D139</f>
        <v>Leaching/runoff - Synthetic fertlisers</v>
      </c>
      <c r="F139" t="str">
        <f t="shared" ref="F139:F187" si="47">F138</f>
        <v>N2O</v>
      </c>
      <c r="G139" t="str">
        <f t="shared" ref="G139:G187" si="48">G138</f>
        <v>Gg N2O</v>
      </c>
      <c r="H139" s="22">
        <f>'Activity data'!H47*FracLEACH*MSLeachEF*NtoN2O*kgtoGg</f>
        <v>1.8632853642857139E-4</v>
      </c>
      <c r="I139" s="22">
        <f>'Activity data'!I47*FracLEACH*MSLeachEF*NtoN2O*kgtoGg</f>
        <v>1.9790111785714283E-4</v>
      </c>
      <c r="J139" s="22">
        <f>'Activity data'!J47*FracLEACH*MSLeachEF*NtoN2O*kgtoGg</f>
        <v>1.884081964285714E-4</v>
      </c>
      <c r="K139" s="22">
        <f>'Activity data'!K47*FracLEACH*MSLeachEF*NtoN2O*kgtoGg</f>
        <v>2.2144312928571426E-4</v>
      </c>
      <c r="L139" s="22">
        <f>'Activity data'!L47*FracLEACH*MSLeachEF*NtoN2O*kgtoGg</f>
        <v>2.0333935285714286E-4</v>
      </c>
      <c r="M139" s="22">
        <f>'Activity data'!M47*FracLEACH*MSLeachEF*NtoN2O*kgtoGg</f>
        <v>2.0140119214285713E-4</v>
      </c>
      <c r="N139" s="22">
        <f>'Activity data'!N47*FracLEACH*MSLeachEF*NtoN2O*kgtoGg</f>
        <v>2.250348257142857E-4</v>
      </c>
      <c r="O139" s="22">
        <f>'Activity data'!O47*FracLEACH*MSLeachEF*NtoN2O*kgtoGg</f>
        <v>2.2060551857142855E-4</v>
      </c>
      <c r="P139" s="22">
        <f>'Activity data'!P47*FracLEACH*MSLeachEF*NtoN2O*kgtoGg</f>
        <v>2.2527174214285716E-4</v>
      </c>
      <c r="Q139" s="22">
        <f>'Activity data'!Q47*FracLEACH*MSLeachEF*NtoN2O*kgtoGg</f>
        <v>2.2392939642857141E-4</v>
      </c>
      <c r="R139" s="22">
        <f>'Activity data'!R47*FracLEACH*MSLeachEF*NtoN2O*kgtoGg</f>
        <v>2.25495105E-4</v>
      </c>
      <c r="S139" s="22">
        <f>'Activity data'!S47*FracLEACH*MSLeachEF*NtoN2O*kgtoGg</f>
        <v>2.1458719071428572E-4</v>
      </c>
      <c r="T139" s="22">
        <f>'Activity data'!T47*FracLEACH*MSLeachEF*NtoN2O*kgtoGg</f>
        <v>2.5864117714285707E-4</v>
      </c>
      <c r="U139" s="22">
        <f>'Activity data'!U47*FracLEACH*MSLeachEF*NtoN2O*kgtoGg</f>
        <v>2.2814835214285712E-4</v>
      </c>
      <c r="V139" s="22">
        <f>'Activity data'!V47*FracLEACH*MSLeachEF*NtoN2O*kgtoGg</f>
        <v>2.3180456357142852E-4</v>
      </c>
      <c r="W139" s="22">
        <f>'Activity data'!W47*FracLEACH*MSLeachEF*NtoN2O*kgtoGg</f>
        <v>1.8826452857142854E-4</v>
      </c>
      <c r="X139" s="22">
        <f>'Activity data'!X47*FracLEACH*MSLeachEF*NtoN2O*kgtoGg</f>
        <v>2.3242694357142855E-4</v>
      </c>
      <c r="Y139" s="22">
        <f>'Activity data'!Y47*FracLEACH*MSLeachEF*NtoN2O*kgtoGg</f>
        <v>2.382609428571428E-4</v>
      </c>
      <c r="Z139" s="22">
        <f>'Activity data'!Z47*FracLEACH*MSLeachEF*NtoN2O*kgtoGg</f>
        <v>2.2993525499999997E-4</v>
      </c>
      <c r="AA139" s="22">
        <f>'Activity data'!AA47*FracLEACH*MSLeachEF*NtoN2O*kgtoGg</f>
        <v>2.4601195928571426E-4</v>
      </c>
      <c r="AB139" s="22">
        <f>'Activity data'!AB47*FracLEACH*MSLeachEF*NtoN2O*kgtoGg</f>
        <v>2.1414642857142856E-4</v>
      </c>
      <c r="AC139" s="22">
        <f>'Activity data'!AC47*FracLEACH*MSLeachEF*NtoN2O*kgtoGg</f>
        <v>2.2715785714285715E-4</v>
      </c>
      <c r="AD139" s="22">
        <f>'Activity data'!AD47*FracLEACH*MSLeachEF*NtoN2O*kgtoGg</f>
        <v>2.2792360161858692E-4</v>
      </c>
      <c r="AE139" s="22">
        <f>'Activity data'!AE47*FracLEACH*MSLeachEF*NtoN2O*kgtoGg</f>
        <v>2.2790093553774266E-4</v>
      </c>
      <c r="AF139" s="22">
        <f>'Activity data'!AF47*FracLEACH*MSLeachEF*NtoN2O*kgtoGg</f>
        <v>2.278593788421324E-4</v>
      </c>
      <c r="AG139" s="22">
        <f>'Activity data'!AG47*FracLEACH*MSLeachEF*NtoN2O*kgtoGg</f>
        <v>2.2780970825918929E-4</v>
      </c>
      <c r="AH139" s="22">
        <f>'Activity data'!AH47*FracLEACH*MSLeachEF*NtoN2O*kgtoGg</f>
        <v>2.277761536871344E-4</v>
      </c>
      <c r="AI139" s="22">
        <f>'Activity data'!AI47*FracLEACH*MSLeachEF*NtoN2O*kgtoGg</f>
        <v>2.2775306232797126E-4</v>
      </c>
      <c r="AJ139" s="22">
        <f>'Activity data'!AJ47*FracLEACH*MSLeachEF*NtoN2O*kgtoGg</f>
        <v>2.2774041756527976E-4</v>
      </c>
      <c r="AK139" s="22">
        <f>'Activity data'!AK47*FracLEACH*MSLeachEF*NtoN2O*kgtoGg</f>
        <v>2.2771996066053992E-4</v>
      </c>
      <c r="AL139" s="22">
        <f>'Activity data'!AL47*FracLEACH*MSLeachEF*NtoN2O*kgtoGg</f>
        <v>2.2769847220449889E-4</v>
      </c>
      <c r="AM139" s="22">
        <f>'Activity data'!AM47*FracLEACH*MSLeachEF*NtoN2O*kgtoGg</f>
        <v>2.2784783983581601E-4</v>
      </c>
      <c r="AN139" s="22">
        <f>'Activity data'!AN47*FracLEACH*MSLeachEF*NtoN2O*kgtoGg</f>
        <v>2.2778861051780079E-4</v>
      </c>
      <c r="AO139" s="22">
        <f>'Activity data'!AO47*FracLEACH*MSLeachEF*NtoN2O*kgtoGg</f>
        <v>2.2770777253754449E-4</v>
      </c>
      <c r="AP139" s="22">
        <f>'Activity data'!AP47*FracLEACH*MSLeachEF*NtoN2O*kgtoGg</f>
        <v>2.2766433280255099E-4</v>
      </c>
      <c r="AQ139" s="22">
        <f>'Activity data'!AQ47*FracLEACH*MSLeachEF*NtoN2O*kgtoGg</f>
        <v>2.2761682214603963E-4</v>
      </c>
      <c r="AR139" s="22">
        <f>'Activity data'!AR47*FracLEACH*MSLeachEF*NtoN2O*kgtoGg</f>
        <v>2.2756399965202255E-4</v>
      </c>
      <c r="AS139" s="22">
        <f>'Activity data'!AS47*FracLEACH*MSLeachEF*NtoN2O*kgtoGg</f>
        <v>2.2750855106580306E-4</v>
      </c>
      <c r="AT139" s="22">
        <f>'Activity data'!AT47*FracLEACH*MSLeachEF*NtoN2O*kgtoGg</f>
        <v>2.2744937410212421E-4</v>
      </c>
      <c r="AU139" s="22">
        <f>'Activity data'!AU47*FracLEACH*MSLeachEF*NtoN2O*kgtoGg</f>
        <v>2.273900694399806E-4</v>
      </c>
      <c r="AV139" s="22">
        <f>'Activity data'!AV47*FracLEACH*MSLeachEF*NtoN2O*kgtoGg</f>
        <v>2.27327608934121E-4</v>
      </c>
      <c r="AW139" s="22">
        <f>'Activity data'!AW47*FracLEACH*MSLeachEF*NtoN2O*kgtoGg</f>
        <v>2.2726542703693366E-4</v>
      </c>
      <c r="AX139" s="22">
        <f>'Activity data'!AX47*FracLEACH*MSLeachEF*NtoN2O*kgtoGg</f>
        <v>2.2719801149524835E-4</v>
      </c>
      <c r="AY139" s="22">
        <f>'Activity data'!AY47*FracLEACH*MSLeachEF*NtoN2O*kgtoGg</f>
        <v>2.2713308086967036E-4</v>
      </c>
      <c r="AZ139" s="22">
        <f>'Activity data'!AZ47*FracLEACH*MSLeachEF*NtoN2O*kgtoGg</f>
        <v>2.2706650673440042E-4</v>
      </c>
      <c r="BA139" s="22">
        <f>'Activity data'!BA47*FracLEACH*MSLeachEF*NtoN2O*kgtoGg</f>
        <v>2.2699372559445836E-4</v>
      </c>
      <c r="BB139" s="22">
        <f>'Activity data'!BB47*FracLEACH*MSLeachEF*NtoN2O*kgtoGg</f>
        <v>2.2692604502406438E-4</v>
      </c>
      <c r="BC139" s="22">
        <f>'Activity data'!BC47*FracLEACH*MSLeachEF*NtoN2O*kgtoGg</f>
        <v>2.2685655063885179E-4</v>
      </c>
      <c r="BD139" s="22">
        <f>'Activity data'!BD47*FracLEACH*MSLeachEF*NtoN2O*kgtoGg</f>
        <v>2.2678446634657377E-4</v>
      </c>
      <c r="BE139" s="22">
        <f>'Activity data'!BE47*FracLEACH*MSLeachEF*NtoN2O*kgtoGg</f>
        <v>2.2671821660039324E-4</v>
      </c>
      <c r="BF139" s="22">
        <f>'Activity data'!BF47*FracLEACH*MSLeachEF*NtoN2O*kgtoGg</f>
        <v>2.2665380838187847E-4</v>
      </c>
      <c r="BG139" s="22">
        <f>'Activity data'!BG47*FracLEACH*MSLeachEF*NtoN2O*kgtoGg</f>
        <v>2.2659099265923683E-4</v>
      </c>
      <c r="BH139" s="22">
        <f>'Activity data'!BH47*FracLEACH*MSLeachEF*NtoN2O*kgtoGg</f>
        <v>2.2652471286594214E-4</v>
      </c>
      <c r="BI139" s="22">
        <f>'Activity data'!BI47*FracLEACH*MSLeachEF*NtoN2O*kgtoGg</f>
        <v>2.2646226392540174E-4</v>
      </c>
      <c r="BJ139" s="22">
        <f>'Activity data'!BJ47*FracLEACH*MSLeachEF*NtoN2O*kgtoGg</f>
        <v>2.2639901755265007E-4</v>
      </c>
      <c r="BK139" s="22">
        <f>'Activity data'!BK47*FracLEACH*MSLeachEF*NtoN2O*kgtoGg</f>
        <v>2.2633478837800309E-4</v>
      </c>
      <c r="BL139" s="22">
        <f>'Activity data'!BL47*FracLEACH*MSLeachEF*NtoN2O*kgtoGg</f>
        <v>2.2626925916384739E-4</v>
      </c>
      <c r="BM139" s="22">
        <f>'Activity data'!BM47*FracLEACH*MSLeachEF*NtoN2O*kgtoGg</f>
        <v>2.2620270329932796E-4</v>
      </c>
      <c r="BN139" s="22">
        <f>'Activity data'!BN47*FracLEACH*MSLeachEF*NtoN2O*kgtoGg</f>
        <v>2.261822530490572E-4</v>
      </c>
      <c r="BO139" s="22">
        <f>'Activity data'!BO47*FracLEACH*MSLeachEF*NtoN2O*kgtoGg</f>
        <v>2.2616610062877842E-4</v>
      </c>
      <c r="BP139" s="22">
        <f>'Activity data'!BP47*FracLEACH*MSLeachEF*NtoN2O*kgtoGg</f>
        <v>2.2615603767239231E-4</v>
      </c>
    </row>
    <row r="140" spans="1:68" x14ac:dyDescent="0.3">
      <c r="A140" t="str">
        <f t="shared" ref="A140" si="49">A139</f>
        <v>3C Aggregated and non-CO2 emissions on land</v>
      </c>
      <c r="B140" t="str">
        <f t="shared" ref="B140:C140" si="50">B139</f>
        <v>3C5 Indirect N2O from managed soils (N2O)</v>
      </c>
      <c r="C140" t="str">
        <f t="shared" si="50"/>
        <v>Leaching/runoff</v>
      </c>
      <c r="D140" t="str">
        <f t="shared" ref="D140:D142" si="51">D136</f>
        <v xml:space="preserve"> - Organic fertilisers</v>
      </c>
      <c r="E140" t="str">
        <f t="shared" si="46"/>
        <v>Leaching/runoff - Organic fertilisers</v>
      </c>
      <c r="F140" t="str">
        <f t="shared" si="47"/>
        <v>N2O</v>
      </c>
      <c r="G140" t="str">
        <f t="shared" si="48"/>
        <v>Gg N2O</v>
      </c>
      <c r="H140" s="22">
        <f>'Activity data'!H48*FracLEACH*MSLeachEF*NtoN2O*kgtoGg</f>
        <v>1.2297683404285713E-6</v>
      </c>
      <c r="I140" s="22">
        <f>'Activity data'!I48*FracLEACH*MSLeachEF*NtoN2O*kgtoGg</f>
        <v>1.3061473778571428E-6</v>
      </c>
      <c r="J140" s="22">
        <f>'Activity data'!J48*FracLEACH*MSLeachEF*NtoN2O*kgtoGg</f>
        <v>1.2434940964285714E-6</v>
      </c>
      <c r="K140" s="22">
        <f>'Activity data'!K48*FracLEACH*MSLeachEF*NtoN2O*kgtoGg</f>
        <v>1.4615246532857147E-6</v>
      </c>
      <c r="L140" s="22">
        <f>'Activity data'!L48*FracLEACH*MSLeachEF*NtoN2O*kgtoGg</f>
        <v>1.3420397288571429E-6</v>
      </c>
      <c r="M140" s="22">
        <f>'Activity data'!M48*FracLEACH*MSLeachEF*NtoN2O*kgtoGg</f>
        <v>1.3292478681428569E-6</v>
      </c>
      <c r="N140" s="22">
        <f>'Activity data'!N48*FracLEACH*MSLeachEF*NtoN2O*kgtoGg</f>
        <v>1.4852298497142859E-6</v>
      </c>
      <c r="O140" s="22">
        <f>'Activity data'!O48*FracLEACH*MSLeachEF*NtoN2O*kgtoGg</f>
        <v>1.4559964225714286E-6</v>
      </c>
      <c r="P140" s="22">
        <f>'Activity data'!P48*FracLEACH*MSLeachEF*NtoN2O*kgtoGg</f>
        <v>1.4867934981428574E-6</v>
      </c>
      <c r="Q140" s="22">
        <f>'Activity data'!Q48*FracLEACH*MSLeachEF*NtoN2O*kgtoGg</f>
        <v>1.4779340164285714E-6</v>
      </c>
      <c r="R140" s="22">
        <f>'Activity data'!R48*FracLEACH*MSLeachEF*NtoN2O*kgtoGg</f>
        <v>1.4882676930000004E-6</v>
      </c>
      <c r="S140" s="22">
        <f>'Activity data'!S48*FracLEACH*MSLeachEF*NtoN2O*kgtoGg</f>
        <v>1.4162754587142857E-6</v>
      </c>
      <c r="T140" s="22">
        <f>'Activity data'!T48*FracLEACH*MSLeachEF*NtoN2O*kgtoGg</f>
        <v>1.7070317691428573E-6</v>
      </c>
      <c r="U140" s="22">
        <f>'Activity data'!U48*FracLEACH*MSLeachEF*NtoN2O*kgtoGg</f>
        <v>1.5057791241428575E-6</v>
      </c>
      <c r="V140" s="22">
        <f>'Activity data'!V48*FracLEACH*MSLeachEF*NtoN2O*kgtoGg</f>
        <v>1.5299101195714285E-6</v>
      </c>
      <c r="W140" s="22">
        <f>'Activity data'!W48*FracLEACH*MSLeachEF*NtoN2O*kgtoGg</f>
        <v>1.2425458885714285E-6</v>
      </c>
      <c r="X140" s="22">
        <f>'Activity data'!X48*FracLEACH*MSLeachEF*NtoN2O*kgtoGg</f>
        <v>1.5340178275714286E-6</v>
      </c>
      <c r="Y140" s="22">
        <f>'Activity data'!Y48*FracLEACH*MSLeachEF*NtoN2O*kgtoGg</f>
        <v>1.5725222228571428E-6</v>
      </c>
      <c r="Z140" s="22">
        <f>'Activity data'!Z48*FracLEACH*MSLeachEF*NtoN2O*kgtoGg</f>
        <v>1.5175726830000002E-6</v>
      </c>
      <c r="AA140" s="22">
        <f>'Activity data'!AA48*FracLEACH*MSLeachEF*NtoN2O*kgtoGg</f>
        <v>1.6236789312857143E-6</v>
      </c>
      <c r="AB140" s="22">
        <f>'Activity data'!AB48*FracLEACH*MSLeachEF*NtoN2O*kgtoGg</f>
        <v>1.4133664285714284E-6</v>
      </c>
      <c r="AC140" s="22">
        <f>'Activity data'!AC48*FracLEACH*MSLeachEF*NtoN2O*kgtoGg</f>
        <v>1.4992418571428571E-6</v>
      </c>
      <c r="AD140" s="22">
        <f>'Activity data'!AD48*FracLEACH*MSLeachEF*NtoN2O*kgtoGg</f>
        <v>1.5042957706826741E-6</v>
      </c>
      <c r="AE140" s="22">
        <f>'Activity data'!AE48*FracLEACH*MSLeachEF*NtoN2O*kgtoGg</f>
        <v>1.5041461745491019E-6</v>
      </c>
      <c r="AF140" s="22">
        <f>'Activity data'!AF48*FracLEACH*MSLeachEF*NtoN2O*kgtoGg</f>
        <v>1.5038719003580737E-6</v>
      </c>
      <c r="AG140" s="22">
        <f>'Activity data'!AG48*FracLEACH*MSLeachEF*NtoN2O*kgtoGg</f>
        <v>1.5035440745106496E-6</v>
      </c>
      <c r="AH140" s="22">
        <f>'Activity data'!AH48*FracLEACH*MSLeachEF*NtoN2O*kgtoGg</f>
        <v>1.5033226143350872E-6</v>
      </c>
      <c r="AI140" s="22">
        <f>'Activity data'!AI48*FracLEACH*MSLeachEF*NtoN2O*kgtoGg</f>
        <v>1.5031702113646103E-6</v>
      </c>
      <c r="AJ140" s="22">
        <f>'Activity data'!AJ48*FracLEACH*MSLeachEF*NtoN2O*kgtoGg</f>
        <v>1.5030867559308466E-6</v>
      </c>
      <c r="AK140" s="22">
        <f>'Activity data'!AK48*FracLEACH*MSLeachEF*NtoN2O*kgtoGg</f>
        <v>1.5029517403595637E-6</v>
      </c>
      <c r="AL140" s="22">
        <f>'Activity data'!AL48*FracLEACH*MSLeachEF*NtoN2O*kgtoGg</f>
        <v>1.5028099165496928E-6</v>
      </c>
      <c r="AM140" s="22">
        <f>'Activity data'!AM48*FracLEACH*MSLeachEF*NtoN2O*kgtoGg</f>
        <v>1.503795742916386E-6</v>
      </c>
      <c r="AN140" s="22">
        <f>'Activity data'!AN48*FracLEACH*MSLeachEF*NtoN2O*kgtoGg</f>
        <v>1.5034048294174857E-6</v>
      </c>
      <c r="AO140" s="22">
        <f>'Activity data'!AO48*FracLEACH*MSLeachEF*NtoN2O*kgtoGg</f>
        <v>1.502871298747794E-6</v>
      </c>
      <c r="AP140" s="22">
        <f>'Activity data'!AP48*FracLEACH*MSLeachEF*NtoN2O*kgtoGg</f>
        <v>1.5025845964968368E-6</v>
      </c>
      <c r="AQ140" s="22">
        <f>'Activity data'!AQ48*FracLEACH*MSLeachEF*NtoN2O*kgtoGg</f>
        <v>1.5022710261638614E-6</v>
      </c>
      <c r="AR140" s="22">
        <f>'Activity data'!AR48*FracLEACH*MSLeachEF*NtoN2O*kgtoGg</f>
        <v>1.5019223977033493E-6</v>
      </c>
      <c r="AS140" s="22">
        <f>'Activity data'!AS48*FracLEACH*MSLeachEF*NtoN2O*kgtoGg</f>
        <v>1.5015564370343004E-6</v>
      </c>
      <c r="AT140" s="22">
        <f>'Activity data'!AT48*FracLEACH*MSLeachEF*NtoN2O*kgtoGg</f>
        <v>1.5011658690740202E-6</v>
      </c>
      <c r="AU140" s="22">
        <f>'Activity data'!AU48*FracLEACH*MSLeachEF*NtoN2O*kgtoGg</f>
        <v>1.500774458303872E-6</v>
      </c>
      <c r="AV140" s="22">
        <f>'Activity data'!AV48*FracLEACH*MSLeachEF*NtoN2O*kgtoGg</f>
        <v>1.5003622189651987E-6</v>
      </c>
      <c r="AW140" s="22">
        <f>'Activity data'!AW48*FracLEACH*MSLeachEF*NtoN2O*kgtoGg</f>
        <v>1.4999518184437622E-6</v>
      </c>
      <c r="AX140" s="22">
        <f>'Activity data'!AX48*FracLEACH*MSLeachEF*NtoN2O*kgtoGg</f>
        <v>1.4995068758686393E-6</v>
      </c>
      <c r="AY140" s="22">
        <f>'Activity data'!AY48*FracLEACH*MSLeachEF*NtoN2O*kgtoGg</f>
        <v>1.4990783337398247E-6</v>
      </c>
      <c r="AZ140" s="22">
        <f>'Activity data'!AZ48*FracLEACH*MSLeachEF*NtoN2O*kgtoGg</f>
        <v>1.498638944447043E-6</v>
      </c>
      <c r="BA140" s="22">
        <f>'Activity data'!BA48*FracLEACH*MSLeachEF*NtoN2O*kgtoGg</f>
        <v>1.4981585889234254E-6</v>
      </c>
      <c r="BB140" s="22">
        <f>'Activity data'!BB48*FracLEACH*MSLeachEF*NtoN2O*kgtoGg</f>
        <v>1.497711897158825E-6</v>
      </c>
      <c r="BC140" s="22">
        <f>'Activity data'!BC48*FracLEACH*MSLeachEF*NtoN2O*kgtoGg</f>
        <v>1.4972532342164218E-6</v>
      </c>
      <c r="BD140" s="22">
        <f>'Activity data'!BD48*FracLEACH*MSLeachEF*NtoN2O*kgtoGg</f>
        <v>1.4967774778873874E-6</v>
      </c>
      <c r="BE140" s="22">
        <f>'Activity data'!BE48*FracLEACH*MSLeachEF*NtoN2O*kgtoGg</f>
        <v>1.4963402295625958E-6</v>
      </c>
      <c r="BF140" s="22">
        <f>'Activity data'!BF48*FracLEACH*MSLeachEF*NtoN2O*kgtoGg</f>
        <v>1.4959151353203979E-6</v>
      </c>
      <c r="BG140" s="22">
        <f>'Activity data'!BG48*FracLEACH*MSLeachEF*NtoN2O*kgtoGg</f>
        <v>1.4955005515509629E-6</v>
      </c>
      <c r="BH140" s="22">
        <f>'Activity data'!BH48*FracLEACH*MSLeachEF*NtoN2O*kgtoGg</f>
        <v>1.4950631049152183E-6</v>
      </c>
      <c r="BI140" s="22">
        <f>'Activity data'!BI48*FracLEACH*MSLeachEF*NtoN2O*kgtoGg</f>
        <v>1.4946509419076516E-6</v>
      </c>
      <c r="BJ140" s="22">
        <f>'Activity data'!BJ48*FracLEACH*MSLeachEF*NtoN2O*kgtoGg</f>
        <v>1.4942335158474905E-6</v>
      </c>
      <c r="BK140" s="22">
        <f>'Activity data'!BK48*FracLEACH*MSLeachEF*NtoN2O*kgtoGg</f>
        <v>1.4938096032948206E-6</v>
      </c>
      <c r="BL140" s="22">
        <f>'Activity data'!BL48*FracLEACH*MSLeachEF*NtoN2O*kgtoGg</f>
        <v>1.4933771104813929E-6</v>
      </c>
      <c r="BM140" s="22">
        <f>'Activity data'!BM48*FracLEACH*MSLeachEF*NtoN2O*kgtoGg</f>
        <v>1.4929378417755646E-6</v>
      </c>
      <c r="BN140" s="22">
        <f>'Activity data'!BN48*FracLEACH*MSLeachEF*NtoN2O*kgtoGg</f>
        <v>1.4928028701237777E-6</v>
      </c>
      <c r="BO140" s="22">
        <f>'Activity data'!BO48*FracLEACH*MSLeachEF*NtoN2O*kgtoGg</f>
        <v>1.4926962641499375E-6</v>
      </c>
      <c r="BP140" s="22">
        <f>'Activity data'!BP48*FracLEACH*MSLeachEF*NtoN2O*kgtoGg</f>
        <v>1.4926298486377895E-6</v>
      </c>
    </row>
    <row r="141" spans="1:68" x14ac:dyDescent="0.3">
      <c r="A141" t="str">
        <f t="shared" ref="A141:A144" si="52">A140</f>
        <v>3C Aggregated and non-CO2 emissions on land</v>
      </c>
      <c r="B141" t="str">
        <f t="shared" ref="B141:B143" si="53">B140</f>
        <v>3C5 Indirect N2O from managed soils (N2O)</v>
      </c>
      <c r="C141" t="str">
        <f t="shared" ref="C141:C155" si="54">C140</f>
        <v>Leaching/runoff</v>
      </c>
      <c r="D141" t="str">
        <f t="shared" si="51"/>
        <v xml:space="preserve"> - Managed manure</v>
      </c>
      <c r="E141" t="str">
        <f t="shared" si="46"/>
        <v>Leaching/runoff - Managed manure</v>
      </c>
      <c r="F141" t="str">
        <f t="shared" si="47"/>
        <v>N2O</v>
      </c>
      <c r="G141" t="str">
        <f t="shared" si="48"/>
        <v>Gg N2O</v>
      </c>
      <c r="H141" s="22">
        <f>SUM('Activity data'!H50:H65)*FracLEACH*MSLeachEF*NtoN2O*kgtoGg</f>
        <v>0.17172643291324718</v>
      </c>
      <c r="I141" s="22">
        <f>SUM('Activity data'!I50:I65)*FracLEACH*MSLeachEF*NtoN2O*kgtoGg</f>
        <v>0.18038779739068919</v>
      </c>
      <c r="J141" s="22">
        <f>SUM('Activity data'!J50:J65)*FracLEACH*MSLeachEF*NtoN2O*kgtoGg</f>
        <v>0.17733836677232317</v>
      </c>
      <c r="K141" s="22">
        <f>SUM('Activity data'!K50:K65)*FracLEACH*MSLeachEF*NtoN2O*kgtoGg</f>
        <v>0.17823556127391493</v>
      </c>
      <c r="L141" s="22">
        <f>SUM('Activity data'!L50:L65)*FracLEACH*MSLeachEF*NtoN2O*kgtoGg</f>
        <v>0.16428311210272223</v>
      </c>
      <c r="M141" s="22">
        <f>SUM('Activity data'!M50:M65)*FracLEACH*MSLeachEF*NtoN2O*kgtoGg</f>
        <v>0.16651803471441404</v>
      </c>
      <c r="N141" s="22">
        <f>SUM('Activity data'!N50:N65)*FracLEACH*MSLeachEF*NtoN2O*kgtoGg</f>
        <v>0.17218191484299847</v>
      </c>
      <c r="O141" s="22">
        <f>SUM('Activity data'!O50:O65)*FracLEACH*MSLeachEF*NtoN2O*kgtoGg</f>
        <v>0.1749871217189517</v>
      </c>
      <c r="P141" s="22">
        <f>SUM('Activity data'!P50:P65)*FracLEACH*MSLeachEF*NtoN2O*kgtoGg</f>
        <v>0.18147721215597795</v>
      </c>
      <c r="Q141" s="22">
        <f>SUM('Activity data'!Q50:Q65)*FracLEACH*MSLeachEF*NtoN2O*kgtoGg</f>
        <v>0.18514038452408368</v>
      </c>
      <c r="R141" s="22">
        <f>SUM('Activity data'!R50:R65)*FracLEACH*MSLeachEF*NtoN2O*kgtoGg</f>
        <v>0.19310254996665621</v>
      </c>
      <c r="S141" s="22">
        <f>SUM('Activity data'!S50:S65)*FracLEACH*MSLeachEF*NtoN2O*kgtoGg</f>
        <v>0.1904762263981411</v>
      </c>
      <c r="T141" s="22">
        <f>SUM('Activity data'!T50:T65)*FracLEACH*MSLeachEF*NtoN2O*kgtoGg</f>
        <v>0.19636478072971722</v>
      </c>
      <c r="U141" s="22">
        <f>SUM('Activity data'!U50:U65)*FracLEACH*MSLeachEF*NtoN2O*kgtoGg</f>
        <v>0.19378982931202623</v>
      </c>
      <c r="V141" s="22">
        <f>SUM('Activity data'!V50:V65)*FracLEACH*MSLeachEF*NtoN2O*kgtoGg</f>
        <v>0.1915750030377302</v>
      </c>
      <c r="W141" s="22">
        <f>SUM('Activity data'!W50:W65)*FracLEACH*MSLeachEF*NtoN2O*kgtoGg</f>
        <v>0.19374660526518744</v>
      </c>
      <c r="X141" s="22">
        <f>SUM('Activity data'!X50:X65)*FracLEACH*MSLeachEF*NtoN2O*kgtoGg</f>
        <v>0.19745929063103176</v>
      </c>
      <c r="Y141" s="22">
        <f>SUM('Activity data'!Y50:Y65)*FracLEACH*MSLeachEF*NtoN2O*kgtoGg</f>
        <v>0.20304534851000838</v>
      </c>
      <c r="Z141" s="22">
        <f>SUM('Activity data'!Z50:Z65)*FracLEACH*MSLeachEF*NtoN2O*kgtoGg</f>
        <v>0.2102750755668937</v>
      </c>
      <c r="AA141" s="22">
        <f>SUM('Activity data'!AA50:AA65)*FracLEACH*MSLeachEF*NtoN2O*kgtoGg</f>
        <v>0.20859925509289065</v>
      </c>
      <c r="AB141" s="22">
        <f>SUM('Activity data'!AB50:AB65)*FracLEACH*MSLeachEF*NtoN2O*kgtoGg</f>
        <v>0.20778670419111658</v>
      </c>
      <c r="AC141" s="22">
        <f>SUM('Activity data'!AC50:AC65)*FracLEACH*MSLeachEF*NtoN2O*kgtoGg</f>
        <v>0.2090782228756147</v>
      </c>
      <c r="AD141" s="22">
        <f>SUM('Activity data'!AD50:AD65)*FracLEACH*MSLeachEF*NtoN2O*kgtoGg</f>
        <v>0.20714502561891829</v>
      </c>
      <c r="AE141" s="22">
        <f>SUM('Activity data'!AE50:AE65)*FracLEACH*MSLeachEF*NtoN2O*kgtoGg</f>
        <v>0.20732835560623092</v>
      </c>
      <c r="AF141" s="22">
        <f>SUM('Activity data'!AF50:AF65)*FracLEACH*MSLeachEF*NtoN2O*kgtoGg</f>
        <v>0.20853137086969875</v>
      </c>
      <c r="AG141" s="22">
        <f>SUM('Activity data'!AG50:AG65)*FracLEACH*MSLeachEF*NtoN2O*kgtoGg</f>
        <v>0.20795637847695567</v>
      </c>
      <c r="AH141" s="22">
        <f>SUM('Activity data'!AH50:AH65)*FracLEACH*MSLeachEF*NtoN2O*kgtoGg</f>
        <v>0.20628301821112832</v>
      </c>
      <c r="AI141" s="22">
        <f>SUM('Activity data'!AI50:AI65)*FracLEACH*MSLeachEF*NtoN2O*kgtoGg</f>
        <v>0.20354939622414608</v>
      </c>
      <c r="AJ141" s="22">
        <f>SUM('Activity data'!AJ50:AJ65)*FracLEACH*MSLeachEF*NtoN2O*kgtoGg</f>
        <v>0.20178646732442315</v>
      </c>
      <c r="AK141" s="22">
        <f>SUM('Activity data'!AK50:AK65)*FracLEACH*MSLeachEF*NtoN2O*kgtoGg</f>
        <v>0.20021853233884618</v>
      </c>
      <c r="AL141" s="22">
        <f>SUM('Activity data'!AL50:AL65)*FracLEACH*MSLeachEF*NtoN2O*kgtoGg</f>
        <v>0.18115905834206086</v>
      </c>
      <c r="AM141" s="22">
        <f>SUM('Activity data'!AM50:AM65)*FracLEACH*MSLeachEF*NtoN2O*kgtoGg</f>
        <v>0.1846349212925194</v>
      </c>
      <c r="AN141" s="22">
        <f>SUM('Activity data'!AN50:AN65)*FracLEACH*MSLeachEF*NtoN2O*kgtoGg</f>
        <v>0.19035972114498487</v>
      </c>
      <c r="AO141" s="22">
        <f>SUM('Activity data'!AO50:AO65)*FracLEACH*MSLeachEF*NtoN2O*kgtoGg</f>
        <v>0.19234595211979802</v>
      </c>
      <c r="AP141" s="22">
        <f>SUM('Activity data'!AP50:AP65)*FracLEACH*MSLeachEF*NtoN2O*kgtoGg</f>
        <v>0.1947869037963407</v>
      </c>
      <c r="AQ141" s="22">
        <f>SUM('Activity data'!AQ50:AQ65)*FracLEACH*MSLeachEF*NtoN2O*kgtoGg</f>
        <v>0.19781474022011031</v>
      </c>
      <c r="AR141" s="22">
        <f>SUM('Activity data'!AR50:AR65)*FracLEACH*MSLeachEF*NtoN2O*kgtoGg</f>
        <v>0.20116819609409653</v>
      </c>
      <c r="AS141" s="22">
        <f>SUM('Activity data'!AS50:AS65)*FracLEACH*MSLeachEF*NtoN2O*kgtoGg</f>
        <v>0.20496046383831973</v>
      </c>
      <c r="AT141" s="22">
        <f>SUM('Activity data'!AT50:AT65)*FracLEACH*MSLeachEF*NtoN2O*kgtoGg</f>
        <v>0.20882071574020974</v>
      </c>
      <c r="AU141" s="22">
        <f>SUM('Activity data'!AU50:AU65)*FracLEACH*MSLeachEF*NtoN2O*kgtoGg</f>
        <v>0.21307428294309891</v>
      </c>
      <c r="AV141" s="22">
        <f>SUM('Activity data'!AV50:AV65)*FracLEACH*MSLeachEF*NtoN2O*kgtoGg</f>
        <v>0.21736053459223065</v>
      </c>
      <c r="AW141" s="22">
        <f>SUM('Activity data'!AW50:AW65)*FracLEACH*MSLeachEF*NtoN2O*kgtoGg</f>
        <v>0.2215192443695771</v>
      </c>
      <c r="AX141" s="22">
        <f>SUM('Activity data'!AX50:AX65)*FracLEACH*MSLeachEF*NtoN2O*kgtoGg</f>
        <v>0.22544086992768131</v>
      </c>
      <c r="AY141" s="22">
        <f>SUM('Activity data'!AY50:AY65)*FracLEACH*MSLeachEF*NtoN2O*kgtoGg</f>
        <v>0.22957827469779338</v>
      </c>
      <c r="AZ141" s="22">
        <f>SUM('Activity data'!AZ50:AZ65)*FracLEACH*MSLeachEF*NtoN2O*kgtoGg</f>
        <v>0.23445091883133051</v>
      </c>
      <c r="BA141" s="22">
        <f>SUM('Activity data'!BA50:BA65)*FracLEACH*MSLeachEF*NtoN2O*kgtoGg</f>
        <v>0.23879435769126237</v>
      </c>
      <c r="BB141" s="22">
        <f>SUM('Activity data'!BB50:BB65)*FracLEACH*MSLeachEF*NtoN2O*kgtoGg</f>
        <v>0.24339072846239099</v>
      </c>
      <c r="BC141" s="22">
        <f>SUM('Activity data'!BC50:BC65)*FracLEACH*MSLeachEF*NtoN2O*kgtoGg</f>
        <v>0.24833324867482812</v>
      </c>
      <c r="BD141" s="22">
        <f>SUM('Activity data'!BD50:BD65)*FracLEACH*MSLeachEF*NtoN2O*kgtoGg</f>
        <v>0.25264130165359039</v>
      </c>
      <c r="BE141" s="22">
        <f>SUM('Activity data'!BE50:BE65)*FracLEACH*MSLeachEF*NtoN2O*kgtoGg</f>
        <v>0.256768890240201</v>
      </c>
      <c r="BF141" s="22">
        <f>SUM('Activity data'!BF50:BF65)*FracLEACH*MSLeachEF*NtoN2O*kgtoGg</f>
        <v>0.26074018891542444</v>
      </c>
      <c r="BG141" s="22">
        <f>SUM('Activity data'!BG50:BG65)*FracLEACH*MSLeachEF*NtoN2O*kgtoGg</f>
        <v>0.26566009353394121</v>
      </c>
      <c r="BH141" s="22">
        <f>SUM('Activity data'!BH50:BH65)*FracLEACH*MSLeachEF*NtoN2O*kgtoGg</f>
        <v>0.2701733904471233</v>
      </c>
      <c r="BI141" s="22">
        <f>SUM('Activity data'!BI50:BI65)*FracLEACH*MSLeachEF*NtoN2O*kgtoGg</f>
        <v>0.27483864221629506</v>
      </c>
      <c r="BJ141" s="22">
        <f>SUM('Activity data'!BJ50:BJ65)*FracLEACH*MSLeachEF*NtoN2O*kgtoGg</f>
        <v>0.27968329128815766</v>
      </c>
      <c r="BK141" s="22">
        <f>SUM('Activity data'!BK50:BK65)*FracLEACH*MSLeachEF*NtoN2O*kgtoGg</f>
        <v>0.28475289053064146</v>
      </c>
      <c r="BL141" s="22">
        <f>SUM('Activity data'!BL50:BL65)*FracLEACH*MSLeachEF*NtoN2O*kgtoGg</f>
        <v>0.29002169676555595</v>
      </c>
      <c r="BM141" s="22">
        <f>SUM('Activity data'!BM50:BM65)*FracLEACH*MSLeachEF*NtoN2O*kgtoGg</f>
        <v>0.28940847350186372</v>
      </c>
      <c r="BN141" s="22">
        <f>SUM('Activity data'!BN50:BN65)*FracLEACH*MSLeachEF*NtoN2O*kgtoGg</f>
        <v>0.2882670035949374</v>
      </c>
      <c r="BO141" s="22">
        <f>SUM('Activity data'!BO50:BO65)*FracLEACH*MSLeachEF*NtoN2O*kgtoGg</f>
        <v>0.28637986672533733</v>
      </c>
      <c r="BP141" s="22">
        <f>SUM('Activity data'!BP50:BP65)*FracLEACH*MSLeachEF*NtoN2O*kgtoGg</f>
        <v>0.28429803027464012</v>
      </c>
    </row>
    <row r="142" spans="1:68" x14ac:dyDescent="0.3">
      <c r="A142" t="str">
        <f t="shared" si="52"/>
        <v>3C Aggregated and non-CO2 emissions on land</v>
      </c>
      <c r="B142" t="str">
        <f t="shared" si="53"/>
        <v>3C5 Indirect N2O from managed soils (N2O)</v>
      </c>
      <c r="C142" t="str">
        <f t="shared" si="54"/>
        <v>Leaching/runoff</v>
      </c>
      <c r="D142" t="str">
        <f t="shared" si="51"/>
        <v xml:space="preserve"> - Urine &amp; dung</v>
      </c>
      <c r="E142" t="str">
        <f t="shared" si="46"/>
        <v>Leaching/runoff - Urine &amp; dung</v>
      </c>
      <c r="F142" t="str">
        <f t="shared" si="47"/>
        <v>N2O</v>
      </c>
      <c r="G142" t="str">
        <f t="shared" si="48"/>
        <v>Gg N2O</v>
      </c>
      <c r="H142" s="22">
        <f>SUM('Activity data'!H66:H81)*FracLEACHUD*MSLeachEF*NtoN2O*kgtoGg</f>
        <v>0</v>
      </c>
      <c r="I142" s="22">
        <f>SUM('Activity data'!I66:I81)*FracLEACHUD*MSLeachEF*NtoN2O*kgtoGg</f>
        <v>0</v>
      </c>
      <c r="J142" s="22">
        <f>SUM('Activity data'!J66:J81)*FracLEACHUD*MSLeachEF*NtoN2O*kgtoGg</f>
        <v>0</v>
      </c>
      <c r="K142" s="22">
        <f>SUM('Activity data'!K66:K81)*FracLEACHUD*MSLeachEF*NtoN2O*kgtoGg</f>
        <v>0</v>
      </c>
      <c r="L142" s="22">
        <f>SUM('Activity data'!L66:L81)*FracLEACHUD*MSLeachEF*NtoN2O*kgtoGg</f>
        <v>0</v>
      </c>
      <c r="M142" s="22">
        <f>SUM('Activity data'!M66:M81)*FracLEACHUD*MSLeachEF*NtoN2O*kgtoGg</f>
        <v>0</v>
      </c>
      <c r="N142" s="22">
        <f>SUM('Activity data'!N66:N81)*FracLEACHUD*MSLeachEF*NtoN2O*kgtoGg</f>
        <v>0</v>
      </c>
      <c r="O142" s="22">
        <f>SUM('Activity data'!O66:O81)*FracLEACHUD*MSLeachEF*NtoN2O*kgtoGg</f>
        <v>0</v>
      </c>
      <c r="P142" s="22">
        <f>SUM('Activity data'!P66:P81)*FracLEACHUD*MSLeachEF*NtoN2O*kgtoGg</f>
        <v>0</v>
      </c>
      <c r="Q142" s="22">
        <f>SUM('Activity data'!Q66:Q81)*FracLEACHUD*MSLeachEF*NtoN2O*kgtoGg</f>
        <v>0</v>
      </c>
      <c r="R142" s="22">
        <f>SUM('Activity data'!R66:R81)*FracLEACHUD*MSLeachEF*NtoN2O*kgtoGg</f>
        <v>0</v>
      </c>
      <c r="S142" s="22">
        <f>SUM('Activity data'!S66:S81)*FracLEACHUD*MSLeachEF*NtoN2O*kgtoGg</f>
        <v>0</v>
      </c>
      <c r="T142" s="22">
        <f>SUM('Activity data'!T66:T81)*FracLEACHUD*MSLeachEF*NtoN2O*kgtoGg</f>
        <v>0</v>
      </c>
      <c r="U142" s="22">
        <f>SUM('Activity data'!U66:U81)*FracLEACHUD*MSLeachEF*NtoN2O*kgtoGg</f>
        <v>0</v>
      </c>
      <c r="V142" s="22">
        <f>SUM('Activity data'!V66:V81)*FracLEACHUD*MSLeachEF*NtoN2O*kgtoGg</f>
        <v>0</v>
      </c>
      <c r="W142" s="22">
        <f>SUM('Activity data'!W66:W81)*FracLEACHUD*MSLeachEF*NtoN2O*kgtoGg</f>
        <v>0</v>
      </c>
      <c r="X142" s="22">
        <f>SUM('Activity data'!X66:X81)*FracLEACHUD*MSLeachEF*NtoN2O*kgtoGg</f>
        <v>0</v>
      </c>
      <c r="Y142" s="22">
        <f>SUM('Activity data'!Y66:Y81)*FracLEACHUD*MSLeachEF*NtoN2O*kgtoGg</f>
        <v>0</v>
      </c>
      <c r="Z142" s="22">
        <f>SUM('Activity data'!Z66:Z81)*FracLEACHUD*MSLeachEF*NtoN2O*kgtoGg</f>
        <v>0</v>
      </c>
      <c r="AA142" s="22">
        <f>SUM('Activity data'!AA66:AA81)*FracLEACHUD*MSLeachEF*NtoN2O*kgtoGg</f>
        <v>0</v>
      </c>
      <c r="AB142" s="22">
        <f>SUM('Activity data'!AB66:AB81)*FracLEACHUD*MSLeachEF*NtoN2O*kgtoGg</f>
        <v>0</v>
      </c>
      <c r="AC142" s="22">
        <f>SUM('Activity data'!AC66:AC81)*FracLEACHUD*MSLeachEF*NtoN2O*kgtoGg</f>
        <v>0</v>
      </c>
      <c r="AD142" s="22">
        <f>SUM('Activity data'!AD66:AD81)*FracLEACHUD*MSLeachEF*NtoN2O*kgtoGg</f>
        <v>0</v>
      </c>
      <c r="AE142" s="22">
        <f>SUM('Activity data'!AE66:AE81)*FracLEACHUD*MSLeachEF*NtoN2O*kgtoGg</f>
        <v>0</v>
      </c>
      <c r="AF142" s="22">
        <f>SUM('Activity data'!AF66:AF81)*FracLEACHUD*MSLeachEF*NtoN2O*kgtoGg</f>
        <v>0</v>
      </c>
      <c r="AG142" s="22">
        <f>SUM('Activity data'!AG66:AG81)*FracLEACHUD*MSLeachEF*NtoN2O*kgtoGg</f>
        <v>0</v>
      </c>
      <c r="AH142" s="22">
        <f>SUM('Activity data'!AH66:AH81)*FracLEACHUD*MSLeachEF*NtoN2O*kgtoGg</f>
        <v>0</v>
      </c>
      <c r="AI142" s="22">
        <f>SUM('Activity data'!AI66:AI81)*FracLEACHUD*MSLeachEF*NtoN2O*kgtoGg</f>
        <v>0</v>
      </c>
      <c r="AJ142" s="22">
        <f>SUM('Activity data'!AJ66:AJ81)*FracLEACHUD*MSLeachEF*NtoN2O*kgtoGg</f>
        <v>0</v>
      </c>
      <c r="AK142" s="22">
        <f>SUM('Activity data'!AK66:AK81)*FracLEACHUD*MSLeachEF*NtoN2O*kgtoGg</f>
        <v>0</v>
      </c>
      <c r="AL142" s="22">
        <f>SUM('Activity data'!AL66:AL81)*FracLEACHUD*MSLeachEF*NtoN2O*kgtoGg</f>
        <v>0</v>
      </c>
      <c r="AM142" s="22">
        <f>SUM('Activity data'!AM66:AM81)*FracLEACHUD*MSLeachEF*NtoN2O*kgtoGg</f>
        <v>0</v>
      </c>
      <c r="AN142" s="22">
        <f>SUM('Activity data'!AN66:AN81)*FracLEACHUD*MSLeachEF*NtoN2O*kgtoGg</f>
        <v>0</v>
      </c>
      <c r="AO142" s="22">
        <f>SUM('Activity data'!AO66:AO81)*FracLEACHUD*MSLeachEF*NtoN2O*kgtoGg</f>
        <v>0</v>
      </c>
      <c r="AP142" s="22">
        <f>SUM('Activity data'!AP66:AP81)*FracLEACHUD*MSLeachEF*NtoN2O*kgtoGg</f>
        <v>0</v>
      </c>
      <c r="AQ142" s="22">
        <f>SUM('Activity data'!AQ66:AQ81)*FracLEACHUD*MSLeachEF*NtoN2O*kgtoGg</f>
        <v>0</v>
      </c>
      <c r="AR142" s="22">
        <f>SUM('Activity data'!AR66:AR81)*FracLEACHUD*MSLeachEF*NtoN2O*kgtoGg</f>
        <v>0</v>
      </c>
      <c r="AS142" s="22">
        <f>SUM('Activity data'!AS66:AS81)*FracLEACHUD*MSLeachEF*NtoN2O*kgtoGg</f>
        <v>0</v>
      </c>
      <c r="AT142" s="22">
        <f>SUM('Activity data'!AT66:AT81)*FracLEACHUD*MSLeachEF*NtoN2O*kgtoGg</f>
        <v>0</v>
      </c>
      <c r="AU142" s="22">
        <f>SUM('Activity data'!AU66:AU81)*FracLEACHUD*MSLeachEF*NtoN2O*kgtoGg</f>
        <v>0</v>
      </c>
      <c r="AV142" s="22">
        <f>SUM('Activity data'!AV66:AV81)*FracLEACHUD*MSLeachEF*NtoN2O*kgtoGg</f>
        <v>0</v>
      </c>
      <c r="AW142" s="22">
        <f>SUM('Activity data'!AW66:AW81)*FracLEACHUD*MSLeachEF*NtoN2O*kgtoGg</f>
        <v>0</v>
      </c>
      <c r="AX142" s="22">
        <f>SUM('Activity data'!AX66:AX81)*FracLEACHUD*MSLeachEF*NtoN2O*kgtoGg</f>
        <v>0</v>
      </c>
      <c r="AY142" s="22">
        <f>SUM('Activity data'!AY66:AY81)*FracLEACHUD*MSLeachEF*NtoN2O*kgtoGg</f>
        <v>0</v>
      </c>
      <c r="AZ142" s="22">
        <f>SUM('Activity data'!AZ66:AZ81)*FracLEACHUD*MSLeachEF*NtoN2O*kgtoGg</f>
        <v>0</v>
      </c>
      <c r="BA142" s="22">
        <f>SUM('Activity data'!BA66:BA81)*FracLEACHUD*MSLeachEF*NtoN2O*kgtoGg</f>
        <v>0</v>
      </c>
      <c r="BB142" s="22">
        <f>SUM('Activity data'!BB66:BB81)*FracLEACHUD*MSLeachEF*NtoN2O*kgtoGg</f>
        <v>0</v>
      </c>
      <c r="BC142" s="22">
        <f>SUM('Activity data'!BC66:BC81)*FracLEACHUD*MSLeachEF*NtoN2O*kgtoGg</f>
        <v>0</v>
      </c>
      <c r="BD142" s="22">
        <f>SUM('Activity data'!BD66:BD81)*FracLEACHUD*MSLeachEF*NtoN2O*kgtoGg</f>
        <v>0</v>
      </c>
      <c r="BE142" s="22">
        <f>SUM('Activity data'!BE66:BE81)*FracLEACHUD*MSLeachEF*NtoN2O*kgtoGg</f>
        <v>0</v>
      </c>
      <c r="BF142" s="22">
        <f>SUM('Activity data'!BF66:BF81)*FracLEACHUD*MSLeachEF*NtoN2O*kgtoGg</f>
        <v>0</v>
      </c>
      <c r="BG142" s="22">
        <f>SUM('Activity data'!BG66:BG81)*FracLEACHUD*MSLeachEF*NtoN2O*kgtoGg</f>
        <v>0</v>
      </c>
      <c r="BH142" s="22">
        <f>SUM('Activity data'!BH66:BH81)*FracLEACHUD*MSLeachEF*NtoN2O*kgtoGg</f>
        <v>0</v>
      </c>
      <c r="BI142" s="22">
        <f>SUM('Activity data'!BI66:BI81)*FracLEACHUD*MSLeachEF*NtoN2O*kgtoGg</f>
        <v>0</v>
      </c>
      <c r="BJ142" s="22">
        <f>SUM('Activity data'!BJ66:BJ81)*FracLEACHUD*MSLeachEF*NtoN2O*kgtoGg</f>
        <v>0</v>
      </c>
      <c r="BK142" s="22">
        <f>SUM('Activity data'!BK66:BK81)*FracLEACHUD*MSLeachEF*NtoN2O*kgtoGg</f>
        <v>0</v>
      </c>
      <c r="BL142" s="22">
        <f>SUM('Activity data'!BL66:BL81)*FracLEACHUD*MSLeachEF*NtoN2O*kgtoGg</f>
        <v>0</v>
      </c>
      <c r="BM142" s="22">
        <f>SUM('Activity data'!BM66:BM81)*FracLEACHUD*MSLeachEF*NtoN2O*kgtoGg</f>
        <v>0</v>
      </c>
      <c r="BN142" s="22">
        <f>SUM('Activity data'!BN66:BN81)*FracLEACHUD*MSLeachEF*NtoN2O*kgtoGg</f>
        <v>0</v>
      </c>
      <c r="BO142" s="22">
        <f>SUM('Activity data'!BO66:BO81)*FracLEACHUD*MSLeachEF*NtoN2O*kgtoGg</f>
        <v>0</v>
      </c>
      <c r="BP142" s="22">
        <f>SUM('Activity data'!BP66:BP81)*FracLEACHUD*MSLeachEF*NtoN2O*kgtoGg</f>
        <v>0</v>
      </c>
    </row>
    <row r="143" spans="1:68" x14ac:dyDescent="0.3">
      <c r="A143" t="str">
        <f t="shared" si="52"/>
        <v>3C Aggregated and non-CO2 emissions on land</v>
      </c>
      <c r="B143" t="str">
        <f t="shared" si="53"/>
        <v>3C5 Indirect N2O from managed soils (N2O)</v>
      </c>
      <c r="C143" t="str">
        <f t="shared" si="54"/>
        <v>Leaching/runoff</v>
      </c>
      <c r="D143" t="s">
        <v>439</v>
      </c>
      <c r="E143" t="str">
        <f t="shared" si="46"/>
        <v>Leaching/runoff - crop residues</v>
      </c>
      <c r="F143" t="str">
        <f t="shared" si="47"/>
        <v>N2O</v>
      </c>
      <c r="G143" t="str">
        <f t="shared" si="48"/>
        <v>Gg N2O</v>
      </c>
      <c r="H143" s="22">
        <f>'Activity data'!H85*FracLEACH*MSLeachEF*NtoN2O*kgtoGg</f>
        <v>0.16412569165212873</v>
      </c>
      <c r="I143" s="22">
        <f>'Activity data'!I85*FracLEACH*MSLeachEF*NtoN2O*kgtoGg</f>
        <v>0.14629236044495902</v>
      </c>
      <c r="J143" s="22">
        <f>'Activity data'!J85*FracLEACH*MSLeachEF*NtoN2O*kgtoGg</f>
        <v>0.15233000670693667</v>
      </c>
      <c r="K143" s="22">
        <f>'Activity data'!K85*FracLEACH*MSLeachEF*NtoN2O*kgtoGg</f>
        <v>0.16359516489306206</v>
      </c>
      <c r="L143" s="22">
        <f>'Activity data'!L85*FracLEACH*MSLeachEF*NtoN2O*kgtoGg</f>
        <v>0.17253149252582983</v>
      </c>
      <c r="M143" s="22">
        <f>'Activity data'!M85*FracLEACH*MSLeachEF*NtoN2O*kgtoGg</f>
        <v>0.13417870850569094</v>
      </c>
      <c r="N143" s="22">
        <f>'Activity data'!N85*FracLEACH*MSLeachEF*NtoN2O*kgtoGg</f>
        <v>0.14779546367267218</v>
      </c>
      <c r="O143" s="22">
        <f>'Activity data'!O85*FracLEACH*MSLeachEF*NtoN2O*kgtoGg</f>
        <v>0.15542171795890092</v>
      </c>
      <c r="P143" s="22">
        <f>'Activity data'!P85*FracLEACH*MSLeachEF*NtoN2O*kgtoGg</f>
        <v>0.13543229781907784</v>
      </c>
      <c r="Q143" s="22">
        <f>'Activity data'!Q85*FracLEACH*MSLeachEF*NtoN2O*kgtoGg</f>
        <v>0.13439106702126277</v>
      </c>
      <c r="R143" s="22">
        <f>'Activity data'!R85*FracLEACH*MSLeachEF*NtoN2O*kgtoGg</f>
        <v>0.15425221852146853</v>
      </c>
      <c r="S143" s="22">
        <f>'Activity data'!S85*FracLEACH*MSLeachEF*NtoN2O*kgtoGg</f>
        <v>0.12599065258308942</v>
      </c>
      <c r="T143" s="22">
        <f>'Activity data'!T85*FracLEACH*MSLeachEF*NtoN2O*kgtoGg</f>
        <v>0.13741326722478148</v>
      </c>
      <c r="U143" s="22">
        <f>'Activity data'!U85*FracLEACH*MSLeachEF*NtoN2O*kgtoGg</f>
        <v>0.13559055667593309</v>
      </c>
      <c r="V143" s="22">
        <f>'Activity data'!V85*FracLEACH*MSLeachEF*NtoN2O*kgtoGg</f>
        <v>0.12124985168858403</v>
      </c>
      <c r="W143" s="22">
        <f>'Activity data'!W85*FracLEACH*MSLeachEF*NtoN2O*kgtoGg</f>
        <v>0.12315983905833512</v>
      </c>
      <c r="X143" s="22">
        <f>'Activity data'!X85*FracLEACH*MSLeachEF*NtoN2O*kgtoGg</f>
        <v>8.2811567421668675E-2</v>
      </c>
      <c r="Y143" s="22">
        <f>'Activity data'!Y85*FracLEACH*MSLeachEF*NtoN2O*kgtoGg</f>
        <v>0.11226257751117734</v>
      </c>
      <c r="Z143" s="22">
        <f>'Activity data'!Z85*FracLEACH*MSLeachEF*NtoN2O*kgtoGg</f>
        <v>0.12821404968861716</v>
      </c>
      <c r="AA143" s="22">
        <f>'Activity data'!AA85*FracLEACH*MSLeachEF*NtoN2O*kgtoGg</f>
        <v>0.11391912245887616</v>
      </c>
      <c r="AB143" s="22">
        <f>'Activity data'!AB85*FracLEACH*MSLeachEF*NtoN2O*kgtoGg</f>
        <v>0.12438309112763533</v>
      </c>
      <c r="AC143" s="22">
        <f>'Activity data'!AC85*FracLEACH*MSLeachEF*NtoN2O*kgtoGg</f>
        <v>0.11517216759812599</v>
      </c>
      <c r="AD143" s="22">
        <f>'Activity data'!AD85*FracLEACH*MSLeachEF*NtoN2O*kgtoGg</f>
        <v>0.10175116378121943</v>
      </c>
      <c r="AE143" s="22">
        <f>'Activity data'!AE85*FracLEACH*MSLeachEF*NtoN2O*kgtoGg</f>
        <v>0.10192037938520998</v>
      </c>
      <c r="AF143" s="22">
        <f>'Activity data'!AF85*FracLEACH*MSLeachEF*NtoN2O*kgtoGg</f>
        <v>0.102230624521803</v>
      </c>
      <c r="AG143" s="22">
        <f>'Activity data'!AG85*FracLEACH*MSLeachEF*NtoN2O*kgtoGg</f>
        <v>0.10260144459215571</v>
      </c>
      <c r="AH143" s="22">
        <f>'Activity data'!AH85*FracLEACH*MSLeachEF*NtoN2O*kgtoGg</f>
        <v>0.10285194917721978</v>
      </c>
      <c r="AI143" s="22">
        <f>'Activity data'!AI85*FracLEACH*MSLeachEF*NtoN2O*kgtoGg</f>
        <v>0.10302433973360284</v>
      </c>
      <c r="AJ143" s="22">
        <f>'Activity data'!AJ85*FracLEACH*MSLeachEF*NtoN2O*kgtoGg</f>
        <v>0.10311874031263807</v>
      </c>
      <c r="AK143" s="22">
        <f>'Activity data'!AK85*FracLEACH*MSLeachEF*NtoN2O*kgtoGg</f>
        <v>0.10327146311968674</v>
      </c>
      <c r="AL143" s="22">
        <f>'Activity data'!AL85*FracLEACH*MSLeachEF*NtoN2O*kgtoGg</f>
        <v>0.10343188706296993</v>
      </c>
      <c r="AM143" s="22">
        <f>'Activity data'!AM85*FracLEACH*MSLeachEF*NtoN2O*kgtoGg</f>
        <v>0.10231676998015095</v>
      </c>
      <c r="AN143" s="22">
        <f>'Activity data'!AN85*FracLEACH*MSLeachEF*NtoN2O*kgtoGg</f>
        <v>0.10275895162111336</v>
      </c>
      <c r="AO143" s="22">
        <f>'Activity data'!AO85*FracLEACH*MSLeachEF*NtoN2O*kgtoGg</f>
        <v>0.10336245461523248</v>
      </c>
      <c r="AP143" s="22">
        <f>'Activity data'!AP85*FracLEACH*MSLeachEF*NtoN2O*kgtoGg</f>
        <v>0.10368675774662221</v>
      </c>
      <c r="AQ143" s="22">
        <f>'Activity data'!AQ85*FracLEACH*MSLeachEF*NtoN2O*kgtoGg</f>
        <v>0.10404145269776151</v>
      </c>
      <c r="AR143" s="22">
        <f>'Activity data'!AR85*FracLEACH*MSLeachEF*NtoN2O*kgtoGg</f>
        <v>0.10443580363521765</v>
      </c>
      <c r="AS143" s="22">
        <f>'Activity data'!AS85*FracLEACH*MSLeachEF*NtoN2O*kgtoGg</f>
        <v>0.1048497598931184</v>
      </c>
      <c r="AT143" s="22">
        <f>'Activity data'!AT85*FracLEACH*MSLeachEF*NtoN2O*kgtoGg</f>
        <v>0.10529155067821512</v>
      </c>
      <c r="AU143" s="22">
        <f>'Activity data'!AU85*FracLEACH*MSLeachEF*NtoN2O*kgtoGg</f>
        <v>0.10573429480734184</v>
      </c>
      <c r="AV143" s="22">
        <f>'Activity data'!AV85*FracLEACH*MSLeachEF*NtoN2O*kgtoGg</f>
        <v>0.10620059916305352</v>
      </c>
      <c r="AW143" s="22">
        <f>'Activity data'!AW85*FracLEACH*MSLeachEF*NtoN2O*kgtoGg</f>
        <v>0.10666482354141628</v>
      </c>
      <c r="AX143" s="22">
        <f>'Activity data'!AX85*FracLEACH*MSLeachEF*NtoN2O*kgtoGg</f>
        <v>0.10716812014937527</v>
      </c>
      <c r="AY143" s="22">
        <f>'Activity data'!AY85*FracLEACH*MSLeachEF*NtoN2O*kgtoGg</f>
        <v>0.10765286539934465</v>
      </c>
      <c r="AZ143" s="22">
        <f>'Activity data'!AZ85*FracLEACH*MSLeachEF*NtoN2O*kgtoGg</f>
        <v>0.10814988041430322</v>
      </c>
      <c r="BA143" s="22">
        <f>'Activity data'!BA85*FracLEACH*MSLeachEF*NtoN2O*kgtoGg</f>
        <v>0.1086932343641567</v>
      </c>
      <c r="BB143" s="22">
        <f>'Activity data'!BB85*FracLEACH*MSLeachEF*NtoN2O*kgtoGg</f>
        <v>0.1091985095670623</v>
      </c>
      <c r="BC143" s="22">
        <f>'Activity data'!BC85*FracLEACH*MSLeachEF*NtoN2O*kgtoGg</f>
        <v>0.10971732596273812</v>
      </c>
      <c r="BD143" s="22">
        <f>'Activity data'!BD85*FracLEACH*MSLeachEF*NtoN2O*kgtoGg</f>
        <v>0.11025547753556091</v>
      </c>
      <c r="BE143" s="22">
        <f>'Activity data'!BE85*FracLEACH*MSLeachEF*NtoN2O*kgtoGg</f>
        <v>0.11075007079547201</v>
      </c>
      <c r="BF143" s="22">
        <f>'Activity data'!BF85*FracLEACH*MSLeachEF*NtoN2O*kgtoGg</f>
        <v>0.11123091596993474</v>
      </c>
      <c r="BG143" s="22">
        <f>'Activity data'!BG85*FracLEACH*MSLeachEF*NtoN2O*kgtoGg</f>
        <v>0.11169987222752331</v>
      </c>
      <c r="BH143" s="22">
        <f>'Activity data'!BH85*FracLEACH*MSLeachEF*NtoN2O*kgtoGg</f>
        <v>0.11219468980678651</v>
      </c>
      <c r="BI143" s="22">
        <f>'Activity data'!BI85*FracLEACH*MSLeachEF*NtoN2O*kgtoGg</f>
        <v>0.11266090782059876</v>
      </c>
      <c r="BJ143" s="22">
        <f>'Activity data'!BJ85*FracLEACH*MSLeachEF*NtoN2O*kgtoGg</f>
        <v>0.11313307913415467</v>
      </c>
      <c r="BK143" s="22">
        <f>'Activity data'!BK85*FracLEACH*MSLeachEF*NtoN2O*kgtoGg</f>
        <v>0.11361258764100189</v>
      </c>
      <c r="BL143" s="22">
        <f>'Activity data'!BL85*FracLEACH*MSLeachEF*NtoN2O*kgtoGg</f>
        <v>0.11410180170622075</v>
      </c>
      <c r="BM143" s="22">
        <f>'Activity data'!BM85*FracLEACH*MSLeachEF*NtoN2O*kgtoGg</f>
        <v>0.1145986803192975</v>
      </c>
      <c r="BN143" s="22">
        <f>'Activity data'!BN85*FracLEACH*MSLeachEF*NtoN2O*kgtoGg</f>
        <v>0.11475135344682705</v>
      </c>
      <c r="BO143" s="22">
        <f>'Activity data'!BO85*FracLEACH*MSLeachEF*NtoN2O*kgtoGg</f>
        <v>0.11487194074959778</v>
      </c>
      <c r="BP143" s="22">
        <f>'Activity data'!BP85*FracLEACH*MSLeachEF*NtoN2O*kgtoGg</f>
        <v>0.11494706662841653</v>
      </c>
    </row>
    <row r="144" spans="1:68" x14ac:dyDescent="0.3">
      <c r="A144" t="str">
        <f t="shared" si="52"/>
        <v>3C Aggregated and non-CO2 emissions on land</v>
      </c>
      <c r="B144" t="str">
        <f>'IPCC Categories'!B78</f>
        <v>3C5 Indirect N2O from managed soils (N2O)</v>
      </c>
      <c r="C144" t="str">
        <f t="shared" si="54"/>
        <v>Leaching/runoff</v>
      </c>
      <c r="D144" t="str">
        <f>" - FSOM - "&amp;'Activity data'!D87</f>
        <v xml:space="preserve"> - FSOM - Forest remaining forest land</v>
      </c>
      <c r="E144" t="str">
        <f t="shared" ref="E144" si="55">C144&amp;D144</f>
        <v>Leaching/runoff - FSOM - Forest remaining forest land</v>
      </c>
      <c r="F144" t="str">
        <f t="shared" si="47"/>
        <v>N2O</v>
      </c>
      <c r="G144" t="str">
        <f t="shared" si="48"/>
        <v>Gg N2O</v>
      </c>
      <c r="H144" s="22" t="str">
        <f>IFERROR(('Activity data'!H87*(1/Constants!$H$135))*ttokg*FracLEACH*MSLeachEF*NtoN2O*kgtoGg,"NO")</f>
        <v>NO</v>
      </c>
      <c r="I144" s="22" t="str">
        <f>IFERROR(('Activity data'!I87*(1/Constants!$H$135))*ttokg*FracLEACH*MSLeachEF*NtoN2O*kgtoGg,"NO")</f>
        <v>NO</v>
      </c>
      <c r="J144" s="22" t="str">
        <f>IFERROR(('Activity data'!J87*(1/Constants!$H$135))*ttokg*FracLEACH*MSLeachEF*NtoN2O*kgtoGg,"NO")</f>
        <v>NO</v>
      </c>
      <c r="K144" s="22" t="str">
        <f>IFERROR(('Activity data'!K87*(1/Constants!$H$135))*ttokg*FracLEACH*MSLeachEF*NtoN2O*kgtoGg,"NO")</f>
        <v>NO</v>
      </c>
      <c r="L144" s="22" t="str">
        <f>IFERROR(('Activity data'!L87*(1/Constants!$H$135))*ttokg*FracLEACH*MSLeachEF*NtoN2O*kgtoGg,"NO")</f>
        <v>NO</v>
      </c>
      <c r="M144" s="22" t="str">
        <f>IFERROR(('Activity data'!M87*(1/Constants!$H$135))*ttokg*FracLEACH*MSLeachEF*NtoN2O*kgtoGg,"NO")</f>
        <v>NO</v>
      </c>
      <c r="N144" s="22" t="str">
        <f>IFERROR(('Activity data'!N87*(1/Constants!$H$135))*ttokg*FracLEACH*MSLeachEF*NtoN2O*kgtoGg,"NO")</f>
        <v>NO</v>
      </c>
      <c r="O144" s="22" t="str">
        <f>IFERROR(('Activity data'!O87*(1/Constants!$H$135))*ttokg*FracLEACH*MSLeachEF*NtoN2O*kgtoGg,"NO")</f>
        <v>NO</v>
      </c>
      <c r="P144" s="22" t="str">
        <f>IFERROR(('Activity data'!P87*(1/Constants!$H$135))*ttokg*FracLEACH*MSLeachEF*NtoN2O*kgtoGg,"NO")</f>
        <v>NO</v>
      </c>
      <c r="Q144" s="22" t="str">
        <f>IFERROR(('Activity data'!Q87*(1/Constants!$H$135))*ttokg*FracLEACH*MSLeachEF*NtoN2O*kgtoGg,"NO")</f>
        <v>NO</v>
      </c>
      <c r="R144" s="22" t="str">
        <f>IFERROR(('Activity data'!R87*(1/Constants!$H$135))*ttokg*FracLEACH*MSLeachEF*NtoN2O*kgtoGg,"NO")</f>
        <v>NO</v>
      </c>
      <c r="S144" s="22" t="str">
        <f>IFERROR(('Activity data'!S87*(1/Constants!$H$135))*ttokg*FracLEACH*MSLeachEF*NtoN2O*kgtoGg,"NO")</f>
        <v>NO</v>
      </c>
      <c r="T144" s="22" t="str">
        <f>IFERROR(('Activity data'!T87*(1/Constants!$H$135))*ttokg*FracLEACH*MSLeachEF*NtoN2O*kgtoGg,"NO")</f>
        <v>NO</v>
      </c>
      <c r="U144" s="22" t="str">
        <f>IFERROR(('Activity data'!U87*(1/Constants!$H$135))*ttokg*FracLEACH*MSLeachEF*NtoN2O*kgtoGg,"NO")</f>
        <v>NO</v>
      </c>
      <c r="V144" s="22" t="str">
        <f>IFERROR(('Activity data'!V87*(1/Constants!$H$135))*ttokg*FracLEACH*MSLeachEF*NtoN2O*kgtoGg,"NO")</f>
        <v>NO</v>
      </c>
      <c r="W144" s="22" t="str">
        <f>IFERROR(('Activity data'!W87*(1/Constants!$H$135))*ttokg*FracLEACH*MSLeachEF*NtoN2O*kgtoGg,"NO")</f>
        <v>NO</v>
      </c>
      <c r="X144" s="22" t="str">
        <f>IFERROR(('Activity data'!X87*(1/Constants!$H$135))*ttokg*FracLEACH*MSLeachEF*NtoN2O*kgtoGg,"NO")</f>
        <v>NO</v>
      </c>
      <c r="Y144" s="22" t="str">
        <f>IFERROR(('Activity data'!Y87*(1/Constants!$H$135))*ttokg*FracLEACH*MSLeachEF*NtoN2O*kgtoGg,"NO")</f>
        <v>NO</v>
      </c>
      <c r="Z144" s="22" t="str">
        <f>IFERROR(('Activity data'!Z87*(1/Constants!$H$135))*ttokg*FracLEACH*MSLeachEF*NtoN2O*kgtoGg,"NO")</f>
        <v>NO</v>
      </c>
      <c r="AA144" s="22" t="str">
        <f>IFERROR(('Activity data'!AA87*(1/Constants!$H$135))*ttokg*FracLEACH*MSLeachEF*NtoN2O*kgtoGg,"NO")</f>
        <v>NO</v>
      </c>
      <c r="AB144" s="22" t="str">
        <f>IFERROR(('Activity data'!AB87*(1/Constants!$H$135))*ttokg*FracLEACH*MSLeachEF*NtoN2O*kgtoGg,"NO")</f>
        <v>NO</v>
      </c>
      <c r="AC144" s="22" t="str">
        <f>IFERROR(('Activity data'!AC87*(1/Constants!$H$135))*ttokg*FracLEACH*MSLeachEF*NtoN2O*kgtoGg,"NO")</f>
        <v>NO</v>
      </c>
      <c r="AD144" s="22" t="str">
        <f>IFERROR(('Activity data'!AD87*(1/Constants!$H$135))*ttokg*FracLEACH*MSLeachEF*NtoN2O*kgtoGg,"NO")</f>
        <v>NO</v>
      </c>
      <c r="AE144" s="22" t="str">
        <f>IFERROR(('Activity data'!AE87*(1/Constants!$H$135))*ttokg*FracLEACH*MSLeachEF*NtoN2O*kgtoGg,"NO")</f>
        <v>NO</v>
      </c>
      <c r="AF144" s="22" t="str">
        <f>IFERROR(('Activity data'!AF87*(1/Constants!$H$135))*ttokg*FracLEACH*MSLeachEF*NtoN2O*kgtoGg,"NO")</f>
        <v>NO</v>
      </c>
      <c r="AG144" s="22" t="str">
        <f>IFERROR(('Activity data'!AG87*(1/Constants!$H$135))*ttokg*FracLEACH*MSLeachEF*NtoN2O*kgtoGg,"NO")</f>
        <v>NO</v>
      </c>
      <c r="AH144" s="22" t="str">
        <f>IFERROR(('Activity data'!AH87*(1/Constants!$H$135))*ttokg*FracLEACH*MSLeachEF*NtoN2O*kgtoGg,"NO")</f>
        <v>NO</v>
      </c>
      <c r="AI144" s="22" t="str">
        <f>IFERROR(('Activity data'!AI87*(1/Constants!$H$135))*ttokg*FracLEACH*MSLeachEF*NtoN2O*kgtoGg,"NO")</f>
        <v>NO</v>
      </c>
      <c r="AJ144" s="22" t="str">
        <f>IFERROR(('Activity data'!AJ87*(1/Constants!$H$135))*ttokg*FracLEACH*MSLeachEF*NtoN2O*kgtoGg,"NO")</f>
        <v>NO</v>
      </c>
      <c r="AK144" s="22" t="str">
        <f>IFERROR(('Activity data'!AK87*(1/Constants!$H$135))*ttokg*FracLEACH*MSLeachEF*NtoN2O*kgtoGg,"NO")</f>
        <v>NO</v>
      </c>
      <c r="AL144" s="22" t="str">
        <f>IFERROR(('Activity data'!AL87*(1/Constants!$H$135))*ttokg*FracLEACH*MSLeachEF*NtoN2O*kgtoGg,"NO")</f>
        <v>NO</v>
      </c>
      <c r="AM144" s="22" t="str">
        <f>IFERROR(('Activity data'!AM87*(1/Constants!$H$135))*ttokg*FracLEACH*MSLeachEF*NtoN2O*kgtoGg,"NO")</f>
        <v>NO</v>
      </c>
      <c r="AN144" s="22" t="str">
        <f>IFERROR(('Activity data'!AN87*(1/Constants!$H$135))*ttokg*FracLEACH*MSLeachEF*NtoN2O*kgtoGg,"NO")</f>
        <v>NO</v>
      </c>
      <c r="AO144" s="22" t="str">
        <f>IFERROR(('Activity data'!AO87*(1/Constants!$H$135))*ttokg*FracLEACH*MSLeachEF*NtoN2O*kgtoGg,"NO")</f>
        <v>NO</v>
      </c>
      <c r="AP144" s="22" t="str">
        <f>IFERROR(('Activity data'!AP87*(1/Constants!$H$135))*ttokg*FracLEACH*MSLeachEF*NtoN2O*kgtoGg,"NO")</f>
        <v>NO</v>
      </c>
      <c r="AQ144" s="22" t="str">
        <f>IFERROR(('Activity data'!AQ87*(1/Constants!$H$135))*ttokg*FracLEACH*MSLeachEF*NtoN2O*kgtoGg,"NO")</f>
        <v>NO</v>
      </c>
      <c r="AR144" s="22" t="str">
        <f>IFERROR(('Activity data'!AR87*(1/Constants!$H$135))*ttokg*FracLEACH*MSLeachEF*NtoN2O*kgtoGg,"NO")</f>
        <v>NO</v>
      </c>
      <c r="AS144" s="22" t="str">
        <f>IFERROR(('Activity data'!AS87*(1/Constants!$H$135))*ttokg*FracLEACH*MSLeachEF*NtoN2O*kgtoGg,"NO")</f>
        <v>NO</v>
      </c>
      <c r="AT144" s="22" t="str">
        <f>IFERROR(('Activity data'!AT87*(1/Constants!$H$135))*ttokg*FracLEACH*MSLeachEF*NtoN2O*kgtoGg,"NO")</f>
        <v>NO</v>
      </c>
      <c r="AU144" s="22" t="str">
        <f>IFERROR(('Activity data'!AU87*(1/Constants!$H$135))*ttokg*FracLEACH*MSLeachEF*NtoN2O*kgtoGg,"NO")</f>
        <v>NO</v>
      </c>
      <c r="AV144" s="22" t="str">
        <f>IFERROR(('Activity data'!AV87*(1/Constants!$H$135))*ttokg*FracLEACH*MSLeachEF*NtoN2O*kgtoGg,"NO")</f>
        <v>NO</v>
      </c>
      <c r="AW144" s="22" t="str">
        <f>IFERROR(('Activity data'!AW87*(1/Constants!$H$135))*ttokg*FracLEACH*MSLeachEF*NtoN2O*kgtoGg,"NO")</f>
        <v>NO</v>
      </c>
      <c r="AX144" s="22" t="str">
        <f>IFERROR(('Activity data'!AX87*(1/Constants!$H$135))*ttokg*FracLEACH*MSLeachEF*NtoN2O*kgtoGg,"NO")</f>
        <v>NO</v>
      </c>
      <c r="AY144" s="22" t="str">
        <f>IFERROR(('Activity data'!AY87*(1/Constants!$H$135))*ttokg*FracLEACH*MSLeachEF*NtoN2O*kgtoGg,"NO")</f>
        <v>NO</v>
      </c>
      <c r="AZ144" s="22" t="str">
        <f>IFERROR(('Activity data'!AZ87*(1/Constants!$H$135))*ttokg*FracLEACH*MSLeachEF*NtoN2O*kgtoGg,"NO")</f>
        <v>NO</v>
      </c>
      <c r="BA144" s="22" t="str">
        <f>IFERROR(('Activity data'!BA87*(1/Constants!$H$135))*ttokg*FracLEACH*MSLeachEF*NtoN2O*kgtoGg,"NO")</f>
        <v>NO</v>
      </c>
      <c r="BB144" s="22" t="str">
        <f>IFERROR(('Activity data'!BB87*(1/Constants!$H$135))*ttokg*FracLEACH*MSLeachEF*NtoN2O*kgtoGg,"NO")</f>
        <v>NO</v>
      </c>
      <c r="BC144" s="22" t="str">
        <f>IFERROR(('Activity data'!BC87*(1/Constants!$H$135))*ttokg*FracLEACH*MSLeachEF*NtoN2O*kgtoGg,"NO")</f>
        <v>NO</v>
      </c>
      <c r="BD144" s="22" t="str">
        <f>IFERROR(('Activity data'!BD87*(1/Constants!$H$135))*ttokg*FracLEACH*MSLeachEF*NtoN2O*kgtoGg,"NO")</f>
        <v>NO</v>
      </c>
      <c r="BE144" s="22" t="str">
        <f>IFERROR(('Activity data'!BE87*(1/Constants!$H$135))*ttokg*FracLEACH*MSLeachEF*NtoN2O*kgtoGg,"NO")</f>
        <v>NO</v>
      </c>
      <c r="BF144" s="22" t="str">
        <f>IFERROR(('Activity data'!BF87*(1/Constants!$H$135))*ttokg*FracLEACH*MSLeachEF*NtoN2O*kgtoGg,"NO")</f>
        <v>NO</v>
      </c>
      <c r="BG144" s="22" t="str">
        <f>IFERROR(('Activity data'!BG87*(1/Constants!$H$135))*ttokg*FracLEACH*MSLeachEF*NtoN2O*kgtoGg,"NO")</f>
        <v>NO</v>
      </c>
      <c r="BH144" s="22" t="str">
        <f>IFERROR(('Activity data'!BH87*(1/Constants!$H$135))*ttokg*FracLEACH*MSLeachEF*NtoN2O*kgtoGg,"NO")</f>
        <v>NO</v>
      </c>
      <c r="BI144" s="22" t="str">
        <f>IFERROR(('Activity data'!BI87*(1/Constants!$H$135))*ttokg*FracLEACH*MSLeachEF*NtoN2O*kgtoGg,"NO")</f>
        <v>NO</v>
      </c>
      <c r="BJ144" s="22" t="str">
        <f>IFERROR(('Activity data'!BJ87*(1/Constants!$H$135))*ttokg*FracLEACH*MSLeachEF*NtoN2O*kgtoGg,"NO")</f>
        <v>NO</v>
      </c>
      <c r="BK144" s="22" t="str">
        <f>IFERROR(('Activity data'!BK87*(1/Constants!$H$135))*ttokg*FracLEACH*MSLeachEF*NtoN2O*kgtoGg,"NO")</f>
        <v>NO</v>
      </c>
      <c r="BL144" s="22" t="str">
        <f>IFERROR(('Activity data'!BL87*(1/Constants!$H$135))*ttokg*FracLEACH*MSLeachEF*NtoN2O*kgtoGg,"NO")</f>
        <v>NO</v>
      </c>
      <c r="BM144" s="22" t="str">
        <f>IFERROR(('Activity data'!BM87*(1/Constants!$H$135))*ttokg*FracLEACH*MSLeachEF*NtoN2O*kgtoGg,"NO")</f>
        <v>NO</v>
      </c>
      <c r="BN144" s="22" t="str">
        <f>IFERROR(('Activity data'!BN87*(1/Constants!$H$135))*ttokg*FracLEACH*MSLeachEF*NtoN2O*kgtoGg,"NO")</f>
        <v>NO</v>
      </c>
      <c r="BO144" s="22" t="str">
        <f>IFERROR(('Activity data'!BO87*(1/Constants!$H$135))*ttokg*FracLEACH*MSLeachEF*NtoN2O*kgtoGg,"NO")</f>
        <v>NO</v>
      </c>
      <c r="BP144" s="22" t="str">
        <f>IFERROR(('Activity data'!BP87*(1/Constants!$H$135))*ttokg*FracLEACH*MSLeachEF*NtoN2O*kgtoGg,"NO")</f>
        <v>NO</v>
      </c>
    </row>
    <row r="145" spans="1:68" x14ac:dyDescent="0.3">
      <c r="A145" t="str">
        <f>A144</f>
        <v>3C Aggregated and non-CO2 emissions on land</v>
      </c>
      <c r="B145" t="str">
        <f t="shared" ref="B145" si="56">B144</f>
        <v>3C5 Indirect N2O from managed soils (N2O)</v>
      </c>
      <c r="C145" t="str">
        <f t="shared" si="54"/>
        <v>Leaching/runoff</v>
      </c>
      <c r="D145" t="str">
        <f>" - FSOM - "&amp;'Activity data'!D88</f>
        <v xml:space="preserve"> - FSOM - Land converted to forest land</v>
      </c>
      <c r="E145" t="str">
        <f t="shared" ref="E145" si="57">C145&amp;D145</f>
        <v>Leaching/runoff - FSOM - Land converted to forest land</v>
      </c>
      <c r="F145" t="str">
        <f t="shared" si="47"/>
        <v>N2O</v>
      </c>
      <c r="G145" t="str">
        <f t="shared" si="48"/>
        <v>Gg N2O</v>
      </c>
      <c r="H145" s="22" t="str">
        <f>IFERROR(('Activity data'!H88*(1/Constants!$H$135))*ttokg*FracLEACH*MSLeachEF*NtoN2O*kgtoGg,"NO")</f>
        <v>NO</v>
      </c>
      <c r="I145" s="22" t="str">
        <f>IFERROR(('Activity data'!I88*(1/Constants!$H$135))*ttokg*FracLEACH*MSLeachEF*NtoN2O*kgtoGg,"NO")</f>
        <v>NO</v>
      </c>
      <c r="J145" s="22" t="str">
        <f>IFERROR(('Activity data'!J88*(1/Constants!$H$135))*ttokg*FracLEACH*MSLeachEF*NtoN2O*kgtoGg,"NO")</f>
        <v>NO</v>
      </c>
      <c r="K145" s="22" t="str">
        <f>IFERROR(('Activity data'!K88*(1/Constants!$H$135))*ttokg*FracLEACH*MSLeachEF*NtoN2O*kgtoGg,"NO")</f>
        <v>NO</v>
      </c>
      <c r="L145" s="22" t="str">
        <f>IFERROR(('Activity data'!L88*(1/Constants!$H$135))*ttokg*FracLEACH*MSLeachEF*NtoN2O*kgtoGg,"NO")</f>
        <v>NO</v>
      </c>
      <c r="M145" s="22" t="str">
        <f>IFERROR(('Activity data'!M88*(1/Constants!$H$135))*ttokg*FracLEACH*MSLeachEF*NtoN2O*kgtoGg,"NO")</f>
        <v>NO</v>
      </c>
      <c r="N145" s="22" t="str">
        <f>IFERROR(('Activity data'!N88*(1/Constants!$H$135))*ttokg*FracLEACH*MSLeachEF*NtoN2O*kgtoGg,"NO")</f>
        <v>NO</v>
      </c>
      <c r="O145" s="22" t="str">
        <f>IFERROR(('Activity data'!O88*(1/Constants!$H$135))*ttokg*FracLEACH*MSLeachEF*NtoN2O*kgtoGg,"NO")</f>
        <v>NO</v>
      </c>
      <c r="P145" s="22" t="str">
        <f>IFERROR(('Activity data'!P88*(1/Constants!$H$135))*ttokg*FracLEACH*MSLeachEF*NtoN2O*kgtoGg,"NO")</f>
        <v>NO</v>
      </c>
      <c r="Q145" s="22" t="str">
        <f>IFERROR(('Activity data'!Q88*(1/Constants!$H$135))*ttokg*FracLEACH*MSLeachEF*NtoN2O*kgtoGg,"NO")</f>
        <v>NO</v>
      </c>
      <c r="R145" s="22" t="str">
        <f>IFERROR(('Activity data'!R88*(1/Constants!$H$135))*ttokg*FracLEACH*MSLeachEF*NtoN2O*kgtoGg,"NO")</f>
        <v>NO</v>
      </c>
      <c r="S145" s="22" t="str">
        <f>IFERROR(('Activity data'!S88*(1/Constants!$H$135))*ttokg*FracLEACH*MSLeachEF*NtoN2O*kgtoGg,"NO")</f>
        <v>NO</v>
      </c>
      <c r="T145" s="22" t="str">
        <f>IFERROR(('Activity data'!T88*(1/Constants!$H$135))*ttokg*FracLEACH*MSLeachEF*NtoN2O*kgtoGg,"NO")</f>
        <v>NO</v>
      </c>
      <c r="U145" s="22" t="str">
        <f>IFERROR(('Activity data'!U88*(1/Constants!$H$135))*ttokg*FracLEACH*MSLeachEF*NtoN2O*kgtoGg,"NO")</f>
        <v>NO</v>
      </c>
      <c r="V145" s="22" t="str">
        <f>IFERROR(('Activity data'!V88*(1/Constants!$H$135))*ttokg*FracLEACH*MSLeachEF*NtoN2O*kgtoGg,"NO")</f>
        <v>NO</v>
      </c>
      <c r="W145" s="22" t="str">
        <f>IFERROR(('Activity data'!W88*(1/Constants!$H$135))*ttokg*FracLEACH*MSLeachEF*NtoN2O*kgtoGg,"NO")</f>
        <v>NO</v>
      </c>
      <c r="X145" s="22" t="str">
        <f>IFERROR(('Activity data'!X88*(1/Constants!$H$135))*ttokg*FracLEACH*MSLeachEF*NtoN2O*kgtoGg,"NO")</f>
        <v>NO</v>
      </c>
      <c r="Y145" s="22" t="str">
        <f>IFERROR(('Activity data'!Y88*(1/Constants!$H$135))*ttokg*FracLEACH*MSLeachEF*NtoN2O*kgtoGg,"NO")</f>
        <v>NO</v>
      </c>
      <c r="Z145" s="22" t="str">
        <f>IFERROR(('Activity data'!Z88*(1/Constants!$H$135))*ttokg*FracLEACH*MSLeachEF*NtoN2O*kgtoGg,"NO")</f>
        <v>NO</v>
      </c>
      <c r="AA145" s="22" t="str">
        <f>IFERROR(('Activity data'!AA88*(1/Constants!$H$135))*ttokg*FracLEACH*MSLeachEF*NtoN2O*kgtoGg,"NO")</f>
        <v>NO</v>
      </c>
      <c r="AB145" s="22" t="str">
        <f>IFERROR(('Activity data'!AB88*(1/Constants!$H$135))*ttokg*FracLEACH*MSLeachEF*NtoN2O*kgtoGg,"NO")</f>
        <v>NO</v>
      </c>
      <c r="AC145" s="22" t="str">
        <f>IFERROR(('Activity data'!AC88*(1/Constants!$H$135))*ttokg*FracLEACH*MSLeachEF*NtoN2O*kgtoGg,"NO")</f>
        <v>NO</v>
      </c>
      <c r="AD145" s="22" t="str">
        <f>IFERROR(('Activity data'!AD88*(1/Constants!$H$135))*ttokg*FracLEACH*MSLeachEF*NtoN2O*kgtoGg,"NO")</f>
        <v>NO</v>
      </c>
      <c r="AE145" s="22" t="str">
        <f>IFERROR(('Activity data'!AE88*(1/Constants!$H$135))*ttokg*FracLEACH*MSLeachEF*NtoN2O*kgtoGg,"NO")</f>
        <v>NO</v>
      </c>
      <c r="AF145" s="22" t="str">
        <f>IFERROR(('Activity data'!AF88*(1/Constants!$H$135))*ttokg*FracLEACH*MSLeachEF*NtoN2O*kgtoGg,"NO")</f>
        <v>NO</v>
      </c>
      <c r="AG145" s="22" t="str">
        <f>IFERROR(('Activity data'!AG88*(1/Constants!$H$135))*ttokg*FracLEACH*MSLeachEF*NtoN2O*kgtoGg,"NO")</f>
        <v>NO</v>
      </c>
      <c r="AH145" s="22" t="str">
        <f>IFERROR(('Activity data'!AH88*(1/Constants!$H$135))*ttokg*FracLEACH*MSLeachEF*NtoN2O*kgtoGg,"NO")</f>
        <v>NO</v>
      </c>
      <c r="AI145" s="22" t="str">
        <f>IFERROR(('Activity data'!AI88*(1/Constants!$H$135))*ttokg*FracLEACH*MSLeachEF*NtoN2O*kgtoGg,"NO")</f>
        <v>NO</v>
      </c>
      <c r="AJ145" s="22" t="str">
        <f>IFERROR(('Activity data'!AJ88*(1/Constants!$H$135))*ttokg*FracLEACH*MSLeachEF*NtoN2O*kgtoGg,"NO")</f>
        <v>NO</v>
      </c>
      <c r="AK145" s="22" t="str">
        <f>IFERROR(('Activity data'!AK88*(1/Constants!$H$135))*ttokg*FracLEACH*MSLeachEF*NtoN2O*kgtoGg,"NO")</f>
        <v>NO</v>
      </c>
      <c r="AL145" s="22" t="str">
        <f>IFERROR(('Activity data'!AL88*(1/Constants!$H$135))*ttokg*FracLEACH*MSLeachEF*NtoN2O*kgtoGg,"NO")</f>
        <v>NO</v>
      </c>
      <c r="AM145" s="22" t="str">
        <f>IFERROR(('Activity data'!AM88*(1/Constants!$H$135))*ttokg*FracLEACH*MSLeachEF*NtoN2O*kgtoGg,"NO")</f>
        <v>NO</v>
      </c>
      <c r="AN145" s="22" t="str">
        <f>IFERROR(('Activity data'!AN88*(1/Constants!$H$135))*ttokg*FracLEACH*MSLeachEF*NtoN2O*kgtoGg,"NO")</f>
        <v>NO</v>
      </c>
      <c r="AO145" s="22" t="str">
        <f>IFERROR(('Activity data'!AO88*(1/Constants!$H$135))*ttokg*FracLEACH*MSLeachEF*NtoN2O*kgtoGg,"NO")</f>
        <v>NO</v>
      </c>
      <c r="AP145" s="22" t="str">
        <f>IFERROR(('Activity data'!AP88*(1/Constants!$H$135))*ttokg*FracLEACH*MSLeachEF*NtoN2O*kgtoGg,"NO")</f>
        <v>NO</v>
      </c>
      <c r="AQ145" s="22" t="str">
        <f>IFERROR(('Activity data'!AQ88*(1/Constants!$H$135))*ttokg*FracLEACH*MSLeachEF*NtoN2O*kgtoGg,"NO")</f>
        <v>NO</v>
      </c>
      <c r="AR145" s="22" t="str">
        <f>IFERROR(('Activity data'!AR88*(1/Constants!$H$135))*ttokg*FracLEACH*MSLeachEF*NtoN2O*kgtoGg,"NO")</f>
        <v>NO</v>
      </c>
      <c r="AS145" s="22" t="str">
        <f>IFERROR(('Activity data'!AS88*(1/Constants!$H$135))*ttokg*FracLEACH*MSLeachEF*NtoN2O*kgtoGg,"NO")</f>
        <v>NO</v>
      </c>
      <c r="AT145" s="22" t="str">
        <f>IFERROR(('Activity data'!AT88*(1/Constants!$H$135))*ttokg*FracLEACH*MSLeachEF*NtoN2O*kgtoGg,"NO")</f>
        <v>NO</v>
      </c>
      <c r="AU145" s="22" t="str">
        <f>IFERROR(('Activity data'!AU88*(1/Constants!$H$135))*ttokg*FracLEACH*MSLeachEF*NtoN2O*kgtoGg,"NO")</f>
        <v>NO</v>
      </c>
      <c r="AV145" s="22" t="str">
        <f>IFERROR(('Activity data'!AV88*(1/Constants!$H$135))*ttokg*FracLEACH*MSLeachEF*NtoN2O*kgtoGg,"NO")</f>
        <v>NO</v>
      </c>
      <c r="AW145" s="22" t="str">
        <f>IFERROR(('Activity data'!AW88*(1/Constants!$H$135))*ttokg*FracLEACH*MSLeachEF*NtoN2O*kgtoGg,"NO")</f>
        <v>NO</v>
      </c>
      <c r="AX145" s="22" t="str">
        <f>IFERROR(('Activity data'!AX88*(1/Constants!$H$135))*ttokg*FracLEACH*MSLeachEF*NtoN2O*kgtoGg,"NO")</f>
        <v>NO</v>
      </c>
      <c r="AY145" s="22" t="str">
        <f>IFERROR(('Activity data'!AY88*(1/Constants!$H$135))*ttokg*FracLEACH*MSLeachEF*NtoN2O*kgtoGg,"NO")</f>
        <v>NO</v>
      </c>
      <c r="AZ145" s="22" t="str">
        <f>IFERROR(('Activity data'!AZ88*(1/Constants!$H$135))*ttokg*FracLEACH*MSLeachEF*NtoN2O*kgtoGg,"NO")</f>
        <v>NO</v>
      </c>
      <c r="BA145" s="22" t="str">
        <f>IFERROR(('Activity data'!BA88*(1/Constants!$H$135))*ttokg*FracLEACH*MSLeachEF*NtoN2O*kgtoGg,"NO")</f>
        <v>NO</v>
      </c>
      <c r="BB145" s="22" t="str">
        <f>IFERROR(('Activity data'!BB88*(1/Constants!$H$135))*ttokg*FracLEACH*MSLeachEF*NtoN2O*kgtoGg,"NO")</f>
        <v>NO</v>
      </c>
      <c r="BC145" s="22" t="str">
        <f>IFERROR(('Activity data'!BC88*(1/Constants!$H$135))*ttokg*FracLEACH*MSLeachEF*NtoN2O*kgtoGg,"NO")</f>
        <v>NO</v>
      </c>
      <c r="BD145" s="22" t="str">
        <f>IFERROR(('Activity data'!BD88*(1/Constants!$H$135))*ttokg*FracLEACH*MSLeachEF*NtoN2O*kgtoGg,"NO")</f>
        <v>NO</v>
      </c>
      <c r="BE145" s="22" t="str">
        <f>IFERROR(('Activity data'!BE88*(1/Constants!$H$135))*ttokg*FracLEACH*MSLeachEF*NtoN2O*kgtoGg,"NO")</f>
        <v>NO</v>
      </c>
      <c r="BF145" s="22" t="str">
        <f>IFERROR(('Activity data'!BF88*(1/Constants!$H$135))*ttokg*FracLEACH*MSLeachEF*NtoN2O*kgtoGg,"NO")</f>
        <v>NO</v>
      </c>
      <c r="BG145" s="22" t="str">
        <f>IFERROR(('Activity data'!BG88*(1/Constants!$H$135))*ttokg*FracLEACH*MSLeachEF*NtoN2O*kgtoGg,"NO")</f>
        <v>NO</v>
      </c>
      <c r="BH145" s="22" t="str">
        <f>IFERROR(('Activity data'!BH88*(1/Constants!$H$135))*ttokg*FracLEACH*MSLeachEF*NtoN2O*kgtoGg,"NO")</f>
        <v>NO</v>
      </c>
      <c r="BI145" s="22" t="str">
        <f>IFERROR(('Activity data'!BI88*(1/Constants!$H$135))*ttokg*FracLEACH*MSLeachEF*NtoN2O*kgtoGg,"NO")</f>
        <v>NO</v>
      </c>
      <c r="BJ145" s="22" t="str">
        <f>IFERROR(('Activity data'!BJ88*(1/Constants!$H$135))*ttokg*FracLEACH*MSLeachEF*NtoN2O*kgtoGg,"NO")</f>
        <v>NO</v>
      </c>
      <c r="BK145" s="22" t="str">
        <f>IFERROR(('Activity data'!BK88*(1/Constants!$H$135))*ttokg*FracLEACH*MSLeachEF*NtoN2O*kgtoGg,"NO")</f>
        <v>NO</v>
      </c>
      <c r="BL145" s="22" t="str">
        <f>IFERROR(('Activity data'!BL88*(1/Constants!$H$135))*ttokg*FracLEACH*MSLeachEF*NtoN2O*kgtoGg,"NO")</f>
        <v>NO</v>
      </c>
      <c r="BM145" s="22" t="str">
        <f>IFERROR(('Activity data'!BM88*(1/Constants!$H$135))*ttokg*FracLEACH*MSLeachEF*NtoN2O*kgtoGg,"NO")</f>
        <v>NO</v>
      </c>
      <c r="BN145" s="22" t="str">
        <f>IFERROR(('Activity data'!BN88*(1/Constants!$H$135))*ttokg*FracLEACH*MSLeachEF*NtoN2O*kgtoGg,"NO")</f>
        <v>NO</v>
      </c>
      <c r="BO145" s="22" t="str">
        <f>IFERROR(('Activity data'!BO88*(1/Constants!$H$135))*ttokg*FracLEACH*MSLeachEF*NtoN2O*kgtoGg,"NO")</f>
        <v>NO</v>
      </c>
      <c r="BP145" s="22" t="str">
        <f>IFERROR(('Activity data'!BP88*(1/Constants!$H$135))*ttokg*FracLEACH*MSLeachEF*NtoN2O*kgtoGg,"NO")</f>
        <v>NO</v>
      </c>
    </row>
    <row r="146" spans="1:68" x14ac:dyDescent="0.3">
      <c r="A146" t="str">
        <f t="shared" ref="A146:A187" si="58">A145</f>
        <v>3C Aggregated and non-CO2 emissions on land</v>
      </c>
      <c r="B146" t="str">
        <f t="shared" ref="B146:B155" si="59">B145</f>
        <v>3C5 Indirect N2O from managed soils (N2O)</v>
      </c>
      <c r="C146" t="str">
        <f t="shared" si="54"/>
        <v>Leaching/runoff</v>
      </c>
      <c r="D146" t="str">
        <f>" - FSOM - "&amp;'Activity data'!D89</f>
        <v xml:space="preserve"> - FSOM - Cropland remaining cropland</v>
      </c>
      <c r="E146" t="str">
        <f t="shared" ref="E146:E155" si="60">C146&amp;D146</f>
        <v>Leaching/runoff - FSOM - Cropland remaining cropland</v>
      </c>
      <c r="F146" t="str">
        <f t="shared" si="47"/>
        <v>N2O</v>
      </c>
      <c r="G146" t="str">
        <f t="shared" si="48"/>
        <v>Gg N2O</v>
      </c>
      <c r="H146" s="22" t="str">
        <f>IFERROR(('Activity data'!H89*(1/Constants!$H$135))*ttokg*FracLEACH*MSLeachEF*NtoN2O*kgtoGg,"NO")</f>
        <v>NO</v>
      </c>
      <c r="I146" s="22">
        <f>IFERROR(('Activity data'!I89*(1/Constants!$H$135))*ttokg*FracLEACH*MSLeachEF*NtoN2O*kgtoGg,"NO")</f>
        <v>1.5321378839843239E-5</v>
      </c>
      <c r="J146" s="22">
        <f>IFERROR(('Activity data'!J89*(1/Constants!$H$135))*ttokg*FracLEACH*MSLeachEF*NtoN2O*kgtoGg,"NO")</f>
        <v>1.5321378839843239E-5</v>
      </c>
      <c r="K146" s="22">
        <f>IFERROR(('Activity data'!K89*(1/Constants!$H$135))*ttokg*FracLEACH*MSLeachEF*NtoN2O*kgtoGg,"NO")</f>
        <v>1.5321378839843239E-5</v>
      </c>
      <c r="L146" s="22">
        <f>IFERROR(('Activity data'!L89*(1/Constants!$H$135))*ttokg*FracLEACH*MSLeachEF*NtoN2O*kgtoGg,"NO")</f>
        <v>1.5321378839843239E-5</v>
      </c>
      <c r="M146" s="22">
        <f>IFERROR(('Activity data'!M89*(1/Constants!$H$135))*ttokg*FracLEACH*MSLeachEF*NtoN2O*kgtoGg,"NO")</f>
        <v>1.5321378839843239E-5</v>
      </c>
      <c r="N146" s="22">
        <f>IFERROR(('Activity data'!N89*(1/Constants!$H$135))*ttokg*FracLEACH*MSLeachEF*NtoN2O*kgtoGg,"NO")</f>
        <v>1.5321378839843239E-5</v>
      </c>
      <c r="O146" s="22">
        <f>IFERROR(('Activity data'!O89*(1/Constants!$H$135))*ttokg*FracLEACH*MSLeachEF*NtoN2O*kgtoGg,"NO")</f>
        <v>1.5321378839843239E-5</v>
      </c>
      <c r="P146" s="22">
        <f>IFERROR(('Activity data'!P89*(1/Constants!$H$135))*ttokg*FracLEACH*MSLeachEF*NtoN2O*kgtoGg,"NO")</f>
        <v>1.5321378839843239E-5</v>
      </c>
      <c r="Q146" s="22">
        <f>IFERROR(('Activity data'!Q89*(1/Constants!$H$135))*ttokg*FracLEACH*MSLeachEF*NtoN2O*kgtoGg,"NO")</f>
        <v>1.5321378839843239E-5</v>
      </c>
      <c r="R146" s="22">
        <f>IFERROR(('Activity data'!R89*(1/Constants!$H$135))*ttokg*FracLEACH*MSLeachEF*NtoN2O*kgtoGg,"NO")</f>
        <v>1.5321378839843239E-5</v>
      </c>
      <c r="S146" s="22">
        <f>IFERROR(('Activity data'!S89*(1/Constants!$H$135))*ttokg*FracLEACH*MSLeachEF*NtoN2O*kgtoGg,"NO")</f>
        <v>1.5321378839843239E-5</v>
      </c>
      <c r="T146" s="22">
        <f>IFERROR(('Activity data'!T89*(1/Constants!$H$135))*ttokg*FracLEACH*MSLeachEF*NtoN2O*kgtoGg,"NO")</f>
        <v>1.5321378839843239E-5</v>
      </c>
      <c r="U146" s="22">
        <f>IFERROR(('Activity data'!U89*(1/Constants!$H$135))*ttokg*FracLEACH*MSLeachEF*NtoN2O*kgtoGg,"NO")</f>
        <v>1.5321378839843239E-5</v>
      </c>
      <c r="V146" s="22">
        <f>IFERROR(('Activity data'!V89*(1/Constants!$H$135))*ttokg*FracLEACH*MSLeachEF*NtoN2O*kgtoGg,"NO")</f>
        <v>1.5321378839843239E-5</v>
      </c>
      <c r="W146" s="22">
        <f>IFERROR(('Activity data'!W89*(1/Constants!$H$135))*ttokg*FracLEACH*MSLeachEF*NtoN2O*kgtoGg,"NO")</f>
        <v>1.5321378839843239E-5</v>
      </c>
      <c r="X146" s="22">
        <f>IFERROR(('Activity data'!X89*(1/Constants!$H$135))*ttokg*FracLEACH*MSLeachEF*NtoN2O*kgtoGg,"NO")</f>
        <v>1.5321378839843239E-5</v>
      </c>
      <c r="Y146" s="22">
        <f>IFERROR(('Activity data'!Y89*(1/Constants!$H$135))*ttokg*FracLEACH*MSLeachEF*NtoN2O*kgtoGg,"NO")</f>
        <v>1.5321378839843239E-5</v>
      </c>
      <c r="Z146" s="22">
        <f>IFERROR(('Activity data'!Z89*(1/Constants!$H$135))*ttokg*FracLEACH*MSLeachEF*NtoN2O*kgtoGg,"NO")</f>
        <v>1.5321378839843239E-5</v>
      </c>
      <c r="AA146" s="22">
        <f>IFERROR(('Activity data'!AA89*(1/Constants!$H$135))*ttokg*FracLEACH*MSLeachEF*NtoN2O*kgtoGg,"NO")</f>
        <v>1.5321378839843239E-5</v>
      </c>
      <c r="AB146" s="22">
        <f>IFERROR(('Activity data'!AB89*(1/Constants!$H$135))*ttokg*FracLEACH*MSLeachEF*NtoN2O*kgtoGg,"NO")</f>
        <v>1.5321378839843239E-5</v>
      </c>
      <c r="AC146" s="22">
        <f>IFERROR(('Activity data'!AC89*(1/Constants!$H$135))*ttokg*FracLEACH*MSLeachEF*NtoN2O*kgtoGg,"NO")</f>
        <v>1.5321378839843239E-5</v>
      </c>
      <c r="AD146" s="22">
        <f>IFERROR(('Activity data'!AD89*(1/Constants!$H$135))*ttokg*FracLEACH*MSLeachEF*NtoN2O*kgtoGg,"NO")</f>
        <v>1.1867590793806392E-4</v>
      </c>
      <c r="AE146" s="22">
        <f>IFERROR(('Activity data'!AE89*(1/Constants!$H$135))*ttokg*FracLEACH*MSLeachEF*NtoN2O*kgtoGg,"NO")</f>
        <v>1.1853617037070301E-4</v>
      </c>
      <c r="AF146" s="22">
        <f>IFERROR(('Activity data'!AF89*(1/Constants!$H$135))*ttokg*FracLEACH*MSLeachEF*NtoN2O*kgtoGg,"NO")</f>
        <v>1.1839643280334203E-4</v>
      </c>
      <c r="AG146" s="22">
        <f>IFERROR(('Activity data'!AG89*(1/Constants!$H$135))*ttokg*FracLEACH*MSLeachEF*NtoN2O*kgtoGg,"NO")</f>
        <v>1.1825669523598106E-4</v>
      </c>
      <c r="AH146" s="22">
        <f>IFERROR(('Activity data'!AH89*(1/Constants!$H$135))*ttokg*FracLEACH*MSLeachEF*NtoN2O*kgtoGg,"NO")</f>
        <v>1.1811695766862012E-4</v>
      </c>
      <c r="AI146" s="22">
        <f>IFERROR(('Activity data'!AI89*(1/Constants!$H$135))*ttokg*FracLEACH*MSLeachEF*NtoN2O*kgtoGg,"NO")</f>
        <v>1.1797722010125916E-4</v>
      </c>
      <c r="AJ146" s="22">
        <f>IFERROR(('Activity data'!AJ89*(1/Constants!$H$135))*ttokg*FracLEACH*MSLeachEF*NtoN2O*kgtoGg,"NO")</f>
        <v>1.178374825338982E-4</v>
      </c>
      <c r="AK146" s="22">
        <f>IFERROR(('Activity data'!AK89*(1/Constants!$H$135))*ttokg*FracLEACH*MSLeachEF*NtoN2O*kgtoGg,"NO")</f>
        <v>1.1769774496653728E-4</v>
      </c>
      <c r="AL146" s="22">
        <f>IFERROR(('Activity data'!AL89*(1/Constants!$H$135))*ttokg*FracLEACH*MSLeachEF*NtoN2O*kgtoGg,"NO")</f>
        <v>1.1755800739917633E-4</v>
      </c>
      <c r="AM146" s="22">
        <f>IFERROR(('Activity data'!AM89*(1/Constants!$H$135))*ttokg*FracLEACH*MSLeachEF*NtoN2O*kgtoGg,"NO")</f>
        <v>1.174182698318154E-4</v>
      </c>
      <c r="AN146" s="22">
        <f>IFERROR(('Activity data'!AN89*(1/Constants!$H$135))*ttokg*FracLEACH*MSLeachEF*NtoN2O*kgtoGg,"NO")</f>
        <v>1.1727853226445441E-4</v>
      </c>
      <c r="AO146" s="22">
        <f>IFERROR(('Activity data'!AO89*(1/Constants!$H$135))*ttokg*FracLEACH*MSLeachEF*NtoN2O*kgtoGg,"NO")</f>
        <v>1.1713879469709348E-4</v>
      </c>
      <c r="AP146" s="22">
        <f>IFERROR(('Activity data'!AP89*(1/Constants!$H$135))*ttokg*FracLEACH*MSLeachEF*NtoN2O*kgtoGg,"NO")</f>
        <v>1.1699905712973254E-4</v>
      </c>
      <c r="AQ146" s="22">
        <f>IFERROR(('Activity data'!AQ89*(1/Constants!$H$135))*ttokg*FracLEACH*MSLeachEF*NtoN2O*kgtoGg,"NO")</f>
        <v>1.168593195623716E-4</v>
      </c>
      <c r="AR146" s="22">
        <f>IFERROR(('Activity data'!AR89*(1/Constants!$H$135))*ttokg*FracLEACH*MSLeachEF*NtoN2O*kgtoGg,"NO")</f>
        <v>1.1671958199501069E-4</v>
      </c>
      <c r="AS146" s="22">
        <f>IFERROR(('Activity data'!AS89*(1/Constants!$H$135))*ttokg*FracLEACH*MSLeachEF*NtoN2O*kgtoGg,"NO")</f>
        <v>1.1657984442764968E-4</v>
      </c>
      <c r="AT146" s="22">
        <f>IFERROR(('Activity data'!AT89*(1/Constants!$H$135))*ttokg*FracLEACH*MSLeachEF*NtoN2O*kgtoGg,"NO")</f>
        <v>1.1644010686028878E-4</v>
      </c>
      <c r="AU146" s="22">
        <f>IFERROR(('Activity data'!AU89*(1/Constants!$H$135))*ttokg*FracLEACH*MSLeachEF*NtoN2O*kgtoGg,"NO")</f>
        <v>1.1630036929292779E-4</v>
      </c>
      <c r="AV146" s="22">
        <f>IFERROR(('Activity data'!AV89*(1/Constants!$H$135))*ttokg*FracLEACH*MSLeachEF*NtoN2O*kgtoGg,"NO")</f>
        <v>1.1616063172556689E-4</v>
      </c>
      <c r="AW146" s="22">
        <f>IFERROR(('Activity data'!AW89*(1/Constants!$H$135))*ttokg*FracLEACH*MSLeachEF*NtoN2O*kgtoGg,"NO")</f>
        <v>1.1602089415820588E-4</v>
      </c>
      <c r="AX146" s="22">
        <f>IFERROR(('Activity data'!AX89*(1/Constants!$H$135))*ttokg*FracLEACH*MSLeachEF*NtoN2O*kgtoGg,"NO")</f>
        <v>1.1588115659084502E-4</v>
      </c>
      <c r="AY146" s="22">
        <f>IFERROR(('Activity data'!AY89*(1/Constants!$H$135))*ttokg*FracLEACH*MSLeachEF*NtoN2O*kgtoGg,"NO")</f>
        <v>1.1574141902348403E-4</v>
      </c>
      <c r="AZ146" s="22">
        <f>IFERROR(('Activity data'!AZ89*(1/Constants!$H$135))*ttokg*FracLEACH*MSLeachEF*NtoN2O*kgtoGg,"NO")</f>
        <v>1.1560168145612309E-4</v>
      </c>
      <c r="BA146" s="22">
        <f>IFERROR(('Activity data'!BA89*(1/Constants!$H$135))*ttokg*FracLEACH*MSLeachEF*NtoN2O*kgtoGg,"NO")</f>
        <v>1.154619438887621E-4</v>
      </c>
      <c r="BB146" s="22">
        <f>IFERROR(('Activity data'!BB89*(1/Constants!$H$135))*ttokg*FracLEACH*MSLeachEF*NtoN2O*kgtoGg,"NO")</f>
        <v>1.1532220632140118E-4</v>
      </c>
      <c r="BC146" s="22">
        <f>IFERROR(('Activity data'!BC89*(1/Constants!$H$135))*ttokg*FracLEACH*MSLeachEF*NtoN2O*kgtoGg,"NO")</f>
        <v>1.1518246875404022E-4</v>
      </c>
      <c r="BD146" s="22">
        <f>IFERROR(('Activity data'!BD89*(1/Constants!$H$135))*ttokg*FracLEACH*MSLeachEF*NtoN2O*kgtoGg,"NO")</f>
        <v>1.1504273118667928E-4</v>
      </c>
      <c r="BE146" s="22">
        <f>IFERROR(('Activity data'!BE89*(1/Constants!$H$135))*ttokg*FracLEACH*MSLeachEF*NtoN2O*kgtoGg,"NO")</f>
        <v>1.1490299361931835E-4</v>
      </c>
      <c r="BF146" s="22">
        <f>IFERROR(('Activity data'!BF89*(1/Constants!$H$135))*ttokg*FracLEACH*MSLeachEF*NtoN2O*kgtoGg,"NO")</f>
        <v>1.1476325605195744E-4</v>
      </c>
      <c r="BG146" s="22">
        <f>IFERROR(('Activity data'!BG89*(1/Constants!$H$135))*ttokg*FracLEACH*MSLeachEF*NtoN2O*kgtoGg,"NO")</f>
        <v>1.1462351848459642E-4</v>
      </c>
      <c r="BH146" s="22">
        <f>IFERROR(('Activity data'!BH89*(1/Constants!$H$135))*ttokg*FracLEACH*MSLeachEF*NtoN2O*kgtoGg,"NO")</f>
        <v>1.1448378091723552E-4</v>
      </c>
      <c r="BI146" s="22">
        <f>IFERROR(('Activity data'!BI89*(1/Constants!$H$135))*ttokg*FracLEACH*MSLeachEF*NtoN2O*kgtoGg,"NO")</f>
        <v>1.1434404334987458E-4</v>
      </c>
      <c r="BJ146" s="22">
        <f>IFERROR(('Activity data'!BJ89*(1/Constants!$H$135))*ttokg*FracLEACH*MSLeachEF*NtoN2O*kgtoGg,"NO")</f>
        <v>1.1420430578251366E-4</v>
      </c>
      <c r="BK146" s="22">
        <f>IFERROR(('Activity data'!BK89*(1/Constants!$H$135))*ttokg*FracLEACH*MSLeachEF*NtoN2O*kgtoGg,"NO")</f>
        <v>1.1406456821515268E-4</v>
      </c>
      <c r="BL146" s="22">
        <f>IFERROR(('Activity data'!BL89*(1/Constants!$H$135))*ttokg*FracLEACH*MSLeachEF*NtoN2O*kgtoGg,"NO")</f>
        <v>1.1392483064779174E-4</v>
      </c>
      <c r="BM146" s="22">
        <f>IFERROR(('Activity data'!BM89*(1/Constants!$H$135))*ttokg*FracLEACH*MSLeachEF*NtoN2O*kgtoGg,"NO")</f>
        <v>1.1378509308043078E-4</v>
      </c>
      <c r="BN146" s="22">
        <f>IFERROR(('Activity data'!BN89*(1/Constants!$H$135))*ttokg*FracLEACH*MSLeachEF*NtoN2O*kgtoGg,"NO")</f>
        <v>1.136453555130698E-4</v>
      </c>
      <c r="BO146" s="22">
        <f>IFERROR(('Activity data'!BO89*(1/Constants!$H$135))*ttokg*FracLEACH*MSLeachEF*NtoN2O*kgtoGg,"NO")</f>
        <v>1.1350561794570888E-4</v>
      </c>
      <c r="BP146" s="22">
        <f>IFERROR(('Activity data'!BP89*(1/Constants!$H$135))*ttokg*FracLEACH*MSLeachEF*NtoN2O*kgtoGg,"NO")</f>
        <v>1.1336588037834792E-4</v>
      </c>
    </row>
    <row r="147" spans="1:68" x14ac:dyDescent="0.3">
      <c r="A147" t="str">
        <f t="shared" si="58"/>
        <v>3C Aggregated and non-CO2 emissions on land</v>
      </c>
      <c r="B147" t="str">
        <f t="shared" si="59"/>
        <v>3C5 Indirect N2O from managed soils (N2O)</v>
      </c>
      <c r="C147" t="str">
        <f t="shared" si="54"/>
        <v>Leaching/runoff</v>
      </c>
      <c r="D147" t="str">
        <f>" - FSOM - "&amp;'Activity data'!D90</f>
        <v xml:space="preserve"> - FSOM - Land converted to cropland</v>
      </c>
      <c r="E147" t="str">
        <f t="shared" si="60"/>
        <v>Leaching/runoff - FSOM - Land converted to cropland</v>
      </c>
      <c r="F147" t="str">
        <f t="shared" si="47"/>
        <v>N2O</v>
      </c>
      <c r="G147" t="str">
        <f t="shared" si="48"/>
        <v>Gg N2O</v>
      </c>
      <c r="H147" s="22" t="str">
        <f>IFERROR(('Activity data'!H90*(1/Constants!$H$135))*ttokg*FracLEACH*MSLeachEF*NtoN2O*kgtoGg,"NO")</f>
        <v>NO</v>
      </c>
      <c r="I147" s="22">
        <f>IFERROR(('Activity data'!I90*(1/Constants!$H$135))*ttokg*FracLEACH*MSLeachEF*NtoN2O*kgtoGg,"NO")</f>
        <v>1.598450121782432E-3</v>
      </c>
      <c r="J147" s="22">
        <f>IFERROR(('Activity data'!J90*(1/Constants!$H$135))*ttokg*FracLEACH*MSLeachEF*NtoN2O*kgtoGg,"NO")</f>
        <v>1.598450121782432E-3</v>
      </c>
      <c r="K147" s="22">
        <f>IFERROR(('Activity data'!K90*(1/Constants!$H$135))*ttokg*FracLEACH*MSLeachEF*NtoN2O*kgtoGg,"NO")</f>
        <v>1.598450121782432E-3</v>
      </c>
      <c r="L147" s="22">
        <f>IFERROR(('Activity data'!L90*(1/Constants!$H$135))*ttokg*FracLEACH*MSLeachEF*NtoN2O*kgtoGg,"NO")</f>
        <v>1.598450121782432E-3</v>
      </c>
      <c r="M147" s="22">
        <f>IFERROR(('Activity data'!M90*(1/Constants!$H$135))*ttokg*FracLEACH*MSLeachEF*NtoN2O*kgtoGg,"NO")</f>
        <v>1.598450121782432E-3</v>
      </c>
      <c r="N147" s="22">
        <f>IFERROR(('Activity data'!N90*(1/Constants!$H$135))*ttokg*FracLEACH*MSLeachEF*NtoN2O*kgtoGg,"NO")</f>
        <v>1.598450121782432E-3</v>
      </c>
      <c r="O147" s="22">
        <f>IFERROR(('Activity data'!O90*(1/Constants!$H$135))*ttokg*FracLEACH*MSLeachEF*NtoN2O*kgtoGg,"NO")</f>
        <v>1.598450121782432E-3</v>
      </c>
      <c r="P147" s="22">
        <f>IFERROR(('Activity data'!P90*(1/Constants!$H$135))*ttokg*FracLEACH*MSLeachEF*NtoN2O*kgtoGg,"NO")</f>
        <v>1.598450121782432E-3</v>
      </c>
      <c r="Q147" s="22">
        <f>IFERROR(('Activity data'!Q90*(1/Constants!$H$135))*ttokg*FracLEACH*MSLeachEF*NtoN2O*kgtoGg,"NO")</f>
        <v>1.598450121782432E-3</v>
      </c>
      <c r="R147" s="22">
        <f>IFERROR(('Activity data'!R90*(1/Constants!$H$135))*ttokg*FracLEACH*MSLeachEF*NtoN2O*kgtoGg,"NO")</f>
        <v>1.598450121782432E-3</v>
      </c>
      <c r="S147" s="22">
        <f>IFERROR(('Activity data'!S90*(1/Constants!$H$135))*ttokg*FracLEACH*MSLeachEF*NtoN2O*kgtoGg,"NO")</f>
        <v>1.598450121782432E-3</v>
      </c>
      <c r="T147" s="22">
        <f>IFERROR(('Activity data'!T90*(1/Constants!$H$135))*ttokg*FracLEACH*MSLeachEF*NtoN2O*kgtoGg,"NO")</f>
        <v>1.598450121782432E-3</v>
      </c>
      <c r="U147" s="22">
        <f>IFERROR(('Activity data'!U90*(1/Constants!$H$135))*ttokg*FracLEACH*MSLeachEF*NtoN2O*kgtoGg,"NO")</f>
        <v>1.598450121782432E-3</v>
      </c>
      <c r="V147" s="22">
        <f>IFERROR(('Activity data'!V90*(1/Constants!$H$135))*ttokg*FracLEACH*MSLeachEF*NtoN2O*kgtoGg,"NO")</f>
        <v>1.598450121782432E-3</v>
      </c>
      <c r="W147" s="22">
        <f>IFERROR(('Activity data'!W90*(1/Constants!$H$135))*ttokg*FracLEACH*MSLeachEF*NtoN2O*kgtoGg,"NO")</f>
        <v>1.598450121782432E-3</v>
      </c>
      <c r="X147" s="22">
        <f>IFERROR(('Activity data'!X90*(1/Constants!$H$135))*ttokg*FracLEACH*MSLeachEF*NtoN2O*kgtoGg,"NO")</f>
        <v>1.598450121782432E-3</v>
      </c>
      <c r="Y147" s="22">
        <f>IFERROR(('Activity data'!Y90*(1/Constants!$H$135))*ttokg*FracLEACH*MSLeachEF*NtoN2O*kgtoGg,"NO")</f>
        <v>1.598450121782432E-3</v>
      </c>
      <c r="Z147" s="22">
        <f>IFERROR(('Activity data'!Z90*(1/Constants!$H$135))*ttokg*FracLEACH*MSLeachEF*NtoN2O*kgtoGg,"NO")</f>
        <v>1.598450121782432E-3</v>
      </c>
      <c r="AA147" s="22">
        <f>IFERROR(('Activity data'!AA90*(1/Constants!$H$135))*ttokg*FracLEACH*MSLeachEF*NtoN2O*kgtoGg,"NO")</f>
        <v>1.598450121782432E-3</v>
      </c>
      <c r="AB147" s="22">
        <f>IFERROR(('Activity data'!AB90*(1/Constants!$H$135))*ttokg*FracLEACH*MSLeachEF*NtoN2O*kgtoGg,"NO")</f>
        <v>1.598450121782432E-3</v>
      </c>
      <c r="AC147" s="22">
        <f>IFERROR(('Activity data'!AC90*(1/Constants!$H$135))*ttokg*FracLEACH*MSLeachEF*NtoN2O*kgtoGg,"NO")</f>
        <v>1.598450121782432E-3</v>
      </c>
      <c r="AD147" s="22">
        <f>IFERROR(('Activity data'!AD90*(1/Constants!$H$135))*ttokg*FracLEACH*MSLeachEF*NtoN2O*kgtoGg,"NO")</f>
        <v>1.6912231388729011E-2</v>
      </c>
      <c r="AE147" s="22">
        <f>IFERROR(('Activity data'!AE90*(1/Constants!$H$135))*ttokg*FracLEACH*MSLeachEF*NtoN2O*kgtoGg,"NO")</f>
        <v>1.6951420148247919E-2</v>
      </c>
      <c r="AF147" s="22">
        <f>IFERROR(('Activity data'!AF90*(1/Constants!$H$135))*ttokg*FracLEACH*MSLeachEF*NtoN2O*kgtoGg,"NO")</f>
        <v>1.6990608907766828E-2</v>
      </c>
      <c r="AG147" s="22">
        <f>IFERROR(('Activity data'!AG90*(1/Constants!$H$135))*ttokg*FracLEACH*MSLeachEF*NtoN2O*kgtoGg,"NO")</f>
        <v>1.702979766728574E-2</v>
      </c>
      <c r="AH147" s="22">
        <f>IFERROR(('Activity data'!AH90*(1/Constants!$H$135))*ttokg*FracLEACH*MSLeachEF*NtoN2O*kgtoGg,"NO")</f>
        <v>1.7068986426804648E-2</v>
      </c>
      <c r="AI147" s="22">
        <f>IFERROR(('Activity data'!AI90*(1/Constants!$H$135))*ttokg*FracLEACH*MSLeachEF*NtoN2O*kgtoGg,"NO")</f>
        <v>1.7108175186323554E-2</v>
      </c>
      <c r="AJ147" s="22">
        <f>IFERROR(('Activity data'!AJ90*(1/Constants!$H$135))*ttokg*FracLEACH*MSLeachEF*NtoN2O*kgtoGg,"NO")</f>
        <v>1.7147363945842466E-2</v>
      </c>
      <c r="AK147" s="22">
        <f>IFERROR(('Activity data'!AK90*(1/Constants!$H$135))*ttokg*FracLEACH*MSLeachEF*NtoN2O*kgtoGg,"NO")</f>
        <v>1.7186552705361371E-2</v>
      </c>
      <c r="AL147" s="22">
        <f>IFERROR(('Activity data'!AL90*(1/Constants!$H$135))*ttokg*FracLEACH*MSLeachEF*NtoN2O*kgtoGg,"NO")</f>
        <v>1.7225741464880276E-2</v>
      </c>
      <c r="AM147" s="22">
        <f>IFERROR(('Activity data'!AM90*(1/Constants!$H$135))*ttokg*FracLEACH*MSLeachEF*NtoN2O*kgtoGg,"NO")</f>
        <v>1.7264930224399191E-2</v>
      </c>
      <c r="AN147" s="22">
        <f>IFERROR(('Activity data'!AN90*(1/Constants!$H$135))*ttokg*FracLEACH*MSLeachEF*NtoN2O*kgtoGg,"NO")</f>
        <v>1.7304118983918097E-2</v>
      </c>
      <c r="AO147" s="22">
        <f>IFERROR(('Activity data'!AO90*(1/Constants!$H$135))*ttokg*FracLEACH*MSLeachEF*NtoN2O*kgtoGg,"NO")</f>
        <v>1.7343307743437009E-2</v>
      </c>
      <c r="AP147" s="22">
        <f>IFERROR(('Activity data'!AP90*(1/Constants!$H$135))*ttokg*FracLEACH*MSLeachEF*NtoN2O*kgtoGg,"NO")</f>
        <v>1.7382496502955917E-2</v>
      </c>
      <c r="AQ147" s="22">
        <f>IFERROR(('Activity data'!AQ90*(1/Constants!$H$135))*ttokg*FracLEACH*MSLeachEF*NtoN2O*kgtoGg,"NO")</f>
        <v>1.7421685262474829E-2</v>
      </c>
      <c r="AR147" s="22">
        <f>IFERROR(('Activity data'!AR90*(1/Constants!$H$135))*ttokg*FracLEACH*MSLeachEF*NtoN2O*kgtoGg,"NO")</f>
        <v>1.7460874021993734E-2</v>
      </c>
      <c r="AS147" s="22">
        <f>IFERROR(('Activity data'!AS90*(1/Constants!$H$135))*ttokg*FracLEACH*MSLeachEF*NtoN2O*kgtoGg,"NO")</f>
        <v>1.750006278151265E-2</v>
      </c>
      <c r="AT147" s="22">
        <f>IFERROR(('Activity data'!AT90*(1/Constants!$H$135))*ttokg*FracLEACH*MSLeachEF*NtoN2O*kgtoGg,"NO")</f>
        <v>1.7539251541031548E-2</v>
      </c>
      <c r="AU147" s="22">
        <f>IFERROR(('Activity data'!AU90*(1/Constants!$H$135))*ttokg*FracLEACH*MSLeachEF*NtoN2O*kgtoGg,"NO")</f>
        <v>1.7578440300550464E-2</v>
      </c>
      <c r="AV147" s="22">
        <f>IFERROR(('Activity data'!AV90*(1/Constants!$H$135))*ttokg*FracLEACH*MSLeachEF*NtoN2O*kgtoGg,"NO")</f>
        <v>1.7617629060069376E-2</v>
      </c>
      <c r="AW147" s="22">
        <f>IFERROR(('Activity data'!AW90*(1/Constants!$H$135))*ttokg*FracLEACH*MSLeachEF*NtoN2O*kgtoGg,"NO")</f>
        <v>1.7656817819588281E-2</v>
      </c>
      <c r="AX147" s="22">
        <f>IFERROR(('Activity data'!AX90*(1/Constants!$H$135))*ttokg*FracLEACH*MSLeachEF*NtoN2O*kgtoGg,"NO")</f>
        <v>1.769600657910719E-2</v>
      </c>
      <c r="AY147" s="22">
        <f>IFERROR(('Activity data'!AY90*(1/Constants!$H$135))*ttokg*FracLEACH*MSLeachEF*NtoN2O*kgtoGg,"NO")</f>
        <v>1.7735195338626102E-2</v>
      </c>
      <c r="AZ147" s="22">
        <f>IFERROR(('Activity data'!AZ90*(1/Constants!$H$135))*ttokg*FracLEACH*MSLeachEF*NtoN2O*kgtoGg,"NO")</f>
        <v>1.777438409814501E-2</v>
      </c>
      <c r="BA147" s="22">
        <f>IFERROR(('Activity data'!BA90*(1/Constants!$H$135))*ttokg*FracLEACH*MSLeachEF*NtoN2O*kgtoGg,"NO")</f>
        <v>1.7813572857663919E-2</v>
      </c>
      <c r="BB147" s="22">
        <f>IFERROR(('Activity data'!BB90*(1/Constants!$H$135))*ttokg*FracLEACH*MSLeachEF*NtoN2O*kgtoGg,"NO")</f>
        <v>1.7852761617182831E-2</v>
      </c>
      <c r="BC147" s="22">
        <f>IFERROR(('Activity data'!BC90*(1/Constants!$H$135))*ttokg*FracLEACH*MSLeachEF*NtoN2O*kgtoGg,"NO")</f>
        <v>1.7891950376701736E-2</v>
      </c>
      <c r="BD147" s="22">
        <f>IFERROR(('Activity data'!BD90*(1/Constants!$H$135))*ttokg*FracLEACH*MSLeachEF*NtoN2O*kgtoGg,"NO")</f>
        <v>1.7931139136220645E-2</v>
      </c>
      <c r="BE147" s="22">
        <f>IFERROR(('Activity data'!BE90*(1/Constants!$H$135))*ttokg*FracLEACH*MSLeachEF*NtoN2O*kgtoGg,"NO")</f>
        <v>1.7970327895739557E-2</v>
      </c>
      <c r="BF147" s="22">
        <f>IFERROR(('Activity data'!BF90*(1/Constants!$H$135))*ttokg*FracLEACH*MSLeachEF*NtoN2O*kgtoGg,"NO")</f>
        <v>1.8009516655258465E-2</v>
      </c>
      <c r="BG147" s="22">
        <f>IFERROR(('Activity data'!BG90*(1/Constants!$H$135))*ttokg*FracLEACH*MSLeachEF*NtoN2O*kgtoGg,"NO")</f>
        <v>1.8048705414777374E-2</v>
      </c>
      <c r="BH147" s="22">
        <f>IFERROR(('Activity data'!BH90*(1/Constants!$H$135))*ttokg*FracLEACH*MSLeachEF*NtoN2O*kgtoGg,"NO")</f>
        <v>1.8087894174296286E-2</v>
      </c>
      <c r="BI147" s="22">
        <f>IFERROR(('Activity data'!BI90*(1/Constants!$H$135))*ttokg*FracLEACH*MSLeachEF*NtoN2O*kgtoGg,"NO")</f>
        <v>1.8127082933815188E-2</v>
      </c>
      <c r="BJ147" s="22">
        <f>IFERROR(('Activity data'!BJ90*(1/Constants!$H$135))*ttokg*FracLEACH*MSLeachEF*NtoN2O*kgtoGg,"NO")</f>
        <v>1.8166271693334096E-2</v>
      </c>
      <c r="BK147" s="22">
        <f>IFERROR(('Activity data'!BK90*(1/Constants!$H$135))*ttokg*FracLEACH*MSLeachEF*NtoN2O*kgtoGg,"NO")</f>
        <v>1.8205460452853015E-2</v>
      </c>
      <c r="BL147" s="22">
        <f>IFERROR(('Activity data'!BL90*(1/Constants!$H$135))*ttokg*FracLEACH*MSLeachEF*NtoN2O*kgtoGg,"NO")</f>
        <v>1.8244649212371917E-2</v>
      </c>
      <c r="BM147" s="22">
        <f>IFERROR(('Activity data'!BM90*(1/Constants!$H$135))*ttokg*FracLEACH*MSLeachEF*NtoN2O*kgtoGg,"NO")</f>
        <v>1.8283837971890825E-2</v>
      </c>
      <c r="BN147" s="22">
        <f>IFERROR(('Activity data'!BN90*(1/Constants!$H$135))*ttokg*FracLEACH*MSLeachEF*NtoN2O*kgtoGg,"NO")</f>
        <v>1.8323026731409734E-2</v>
      </c>
      <c r="BO147" s="22">
        <f>IFERROR(('Activity data'!BO90*(1/Constants!$H$135))*ttokg*FracLEACH*MSLeachEF*NtoN2O*kgtoGg,"NO")</f>
        <v>1.8362215490928643E-2</v>
      </c>
      <c r="BP147" s="22">
        <f>IFERROR(('Activity data'!BP90*(1/Constants!$H$135))*ttokg*FracLEACH*MSLeachEF*NtoN2O*kgtoGg,"NO")</f>
        <v>1.8401404250447555E-2</v>
      </c>
    </row>
    <row r="148" spans="1:68" x14ac:dyDescent="0.3">
      <c r="A148" t="str">
        <f t="shared" si="58"/>
        <v>3C Aggregated and non-CO2 emissions on land</v>
      </c>
      <c r="B148" t="str">
        <f t="shared" si="59"/>
        <v>3C5 Indirect N2O from managed soils (N2O)</v>
      </c>
      <c r="C148" t="str">
        <f t="shared" si="54"/>
        <v>Leaching/runoff</v>
      </c>
      <c r="D148" t="str">
        <f>" - FSOM - "&amp;'Activity data'!D91</f>
        <v xml:space="preserve"> - FSOM - Grassland remaining grassland</v>
      </c>
      <c r="E148" t="str">
        <f t="shared" si="60"/>
        <v>Leaching/runoff - FSOM - Grassland remaining grassland</v>
      </c>
      <c r="F148" t="str">
        <f t="shared" si="47"/>
        <v>N2O</v>
      </c>
      <c r="G148" t="str">
        <f t="shared" si="48"/>
        <v>Gg N2O</v>
      </c>
      <c r="H148" s="22" t="str">
        <f>IFERROR(('Activity data'!H91*(1/Constants!$H$135))*ttokg*FracLEACH*MSLeachEF*NtoN2O*kgtoGg,"NO")</f>
        <v>NO</v>
      </c>
      <c r="I148" s="22">
        <f>IFERROR(('Activity data'!I91*(1/Constants!$H$135))*ttokg*FracLEACH*MSLeachEF*NtoN2O*kgtoGg,"NO")</f>
        <v>1.7600065075023016E-3</v>
      </c>
      <c r="J148" s="22">
        <f>IFERROR(('Activity data'!J91*(1/Constants!$H$135))*ttokg*FracLEACH*MSLeachEF*NtoN2O*kgtoGg,"NO")</f>
        <v>1.7600065075023016E-3</v>
      </c>
      <c r="K148" s="22">
        <f>IFERROR(('Activity data'!K91*(1/Constants!$H$135))*ttokg*FracLEACH*MSLeachEF*NtoN2O*kgtoGg,"NO")</f>
        <v>1.7600065075023016E-3</v>
      </c>
      <c r="L148" s="22">
        <f>IFERROR(('Activity data'!L91*(1/Constants!$H$135))*ttokg*FracLEACH*MSLeachEF*NtoN2O*kgtoGg,"NO")</f>
        <v>1.7600065075023016E-3</v>
      </c>
      <c r="M148" s="22">
        <f>IFERROR(('Activity data'!M91*(1/Constants!$H$135))*ttokg*FracLEACH*MSLeachEF*NtoN2O*kgtoGg,"NO")</f>
        <v>1.7600065075023016E-3</v>
      </c>
      <c r="N148" s="22">
        <f>IFERROR(('Activity data'!N91*(1/Constants!$H$135))*ttokg*FracLEACH*MSLeachEF*NtoN2O*kgtoGg,"NO")</f>
        <v>1.7600065075023016E-3</v>
      </c>
      <c r="O148" s="22">
        <f>IFERROR(('Activity data'!O91*(1/Constants!$H$135))*ttokg*FracLEACH*MSLeachEF*NtoN2O*kgtoGg,"NO")</f>
        <v>1.7600065075023016E-3</v>
      </c>
      <c r="P148" s="22">
        <f>IFERROR(('Activity data'!P91*(1/Constants!$H$135))*ttokg*FracLEACH*MSLeachEF*NtoN2O*kgtoGg,"NO")</f>
        <v>1.7600065075023016E-3</v>
      </c>
      <c r="Q148" s="22">
        <f>IFERROR(('Activity data'!Q91*(1/Constants!$H$135))*ttokg*FracLEACH*MSLeachEF*NtoN2O*kgtoGg,"NO")</f>
        <v>1.7600065075023016E-3</v>
      </c>
      <c r="R148" s="22">
        <f>IFERROR(('Activity data'!R91*(1/Constants!$H$135))*ttokg*FracLEACH*MSLeachEF*NtoN2O*kgtoGg,"NO")</f>
        <v>1.7600065075023016E-3</v>
      </c>
      <c r="S148" s="22">
        <f>IFERROR(('Activity data'!S91*(1/Constants!$H$135))*ttokg*FracLEACH*MSLeachEF*NtoN2O*kgtoGg,"NO")</f>
        <v>1.7600065075023016E-3</v>
      </c>
      <c r="T148" s="22">
        <f>IFERROR(('Activity data'!T91*(1/Constants!$H$135))*ttokg*FracLEACH*MSLeachEF*NtoN2O*kgtoGg,"NO")</f>
        <v>1.7600065075023016E-3</v>
      </c>
      <c r="U148" s="22">
        <f>IFERROR(('Activity data'!U91*(1/Constants!$H$135))*ttokg*FracLEACH*MSLeachEF*NtoN2O*kgtoGg,"NO")</f>
        <v>1.7600065075023016E-3</v>
      </c>
      <c r="V148" s="22">
        <f>IFERROR(('Activity data'!V91*(1/Constants!$H$135))*ttokg*FracLEACH*MSLeachEF*NtoN2O*kgtoGg,"NO")</f>
        <v>1.7600065075023016E-3</v>
      </c>
      <c r="W148" s="22">
        <f>IFERROR(('Activity data'!W91*(1/Constants!$H$135))*ttokg*FracLEACH*MSLeachEF*NtoN2O*kgtoGg,"NO")</f>
        <v>1.7600065075023016E-3</v>
      </c>
      <c r="X148" s="22">
        <f>IFERROR(('Activity data'!X91*(1/Constants!$H$135))*ttokg*FracLEACH*MSLeachEF*NtoN2O*kgtoGg,"NO")</f>
        <v>1.7600065075023016E-3</v>
      </c>
      <c r="Y148" s="22">
        <f>IFERROR(('Activity data'!Y91*(1/Constants!$H$135))*ttokg*FracLEACH*MSLeachEF*NtoN2O*kgtoGg,"NO")</f>
        <v>1.7600065075023016E-3</v>
      </c>
      <c r="Z148" s="22">
        <f>IFERROR(('Activity data'!Z91*(1/Constants!$H$135))*ttokg*FracLEACH*MSLeachEF*NtoN2O*kgtoGg,"NO")</f>
        <v>1.7600065075023016E-3</v>
      </c>
      <c r="AA148" s="22">
        <f>IFERROR(('Activity data'!AA91*(1/Constants!$H$135))*ttokg*FracLEACH*MSLeachEF*NtoN2O*kgtoGg,"NO")</f>
        <v>1.7600065075023016E-3</v>
      </c>
      <c r="AB148" s="22">
        <f>IFERROR(('Activity data'!AB91*(1/Constants!$H$135))*ttokg*FracLEACH*MSLeachEF*NtoN2O*kgtoGg,"NO")</f>
        <v>1.7600065075023016E-3</v>
      </c>
      <c r="AC148" s="22">
        <f>IFERROR(('Activity data'!AC91*(1/Constants!$H$135))*ttokg*FracLEACH*MSLeachEF*NtoN2O*kgtoGg,"NO")</f>
        <v>1.7600065075023016E-3</v>
      </c>
      <c r="AD148" s="22">
        <f>IFERROR(('Activity data'!AD91*(1/Constants!$H$135))*ttokg*FracLEACH*MSLeachEF*NtoN2O*kgtoGg,"NO")</f>
        <v>1.9871041213735664E-2</v>
      </c>
      <c r="AE148" s="22">
        <f>IFERROR(('Activity data'!AE91*(1/Constants!$H$135))*ttokg*FracLEACH*MSLeachEF*NtoN2O*kgtoGg,"NO")</f>
        <v>1.9871041213735664E-2</v>
      </c>
      <c r="AF148" s="22">
        <f>IFERROR(('Activity data'!AF91*(1/Constants!$H$135))*ttokg*FracLEACH*MSLeachEF*NtoN2O*kgtoGg,"NO")</f>
        <v>1.9871041213735664E-2</v>
      </c>
      <c r="AG148" s="22">
        <f>IFERROR(('Activity data'!AG91*(1/Constants!$H$135))*ttokg*FracLEACH*MSLeachEF*NtoN2O*kgtoGg,"NO")</f>
        <v>1.9871041213735664E-2</v>
      </c>
      <c r="AH148" s="22">
        <f>IFERROR(('Activity data'!AH91*(1/Constants!$H$135))*ttokg*FracLEACH*MSLeachEF*NtoN2O*kgtoGg,"NO")</f>
        <v>1.9871041213735664E-2</v>
      </c>
      <c r="AI148" s="22">
        <f>IFERROR(('Activity data'!AI91*(1/Constants!$H$135))*ttokg*FracLEACH*MSLeachEF*NtoN2O*kgtoGg,"NO")</f>
        <v>1.9871041213735664E-2</v>
      </c>
      <c r="AJ148" s="22">
        <f>IFERROR(('Activity data'!AJ91*(1/Constants!$H$135))*ttokg*FracLEACH*MSLeachEF*NtoN2O*kgtoGg,"NO")</f>
        <v>1.9871041213735664E-2</v>
      </c>
      <c r="AK148" s="22">
        <f>IFERROR(('Activity data'!AK91*(1/Constants!$H$135))*ttokg*FracLEACH*MSLeachEF*NtoN2O*kgtoGg,"NO")</f>
        <v>1.9871041213735664E-2</v>
      </c>
      <c r="AL148" s="22">
        <f>IFERROR(('Activity data'!AL91*(1/Constants!$H$135))*ttokg*FracLEACH*MSLeachEF*NtoN2O*kgtoGg,"NO")</f>
        <v>1.9871041213735664E-2</v>
      </c>
      <c r="AM148" s="22">
        <f>IFERROR(('Activity data'!AM91*(1/Constants!$H$135))*ttokg*FracLEACH*MSLeachEF*NtoN2O*kgtoGg,"NO")</f>
        <v>1.9871041213735664E-2</v>
      </c>
      <c r="AN148" s="22">
        <f>IFERROR(('Activity data'!AN91*(1/Constants!$H$135))*ttokg*FracLEACH*MSLeachEF*NtoN2O*kgtoGg,"NO")</f>
        <v>1.9871041213735664E-2</v>
      </c>
      <c r="AO148" s="22">
        <f>IFERROR(('Activity data'!AO91*(1/Constants!$H$135))*ttokg*FracLEACH*MSLeachEF*NtoN2O*kgtoGg,"NO")</f>
        <v>1.9871041213735664E-2</v>
      </c>
      <c r="AP148" s="22">
        <f>IFERROR(('Activity data'!AP91*(1/Constants!$H$135))*ttokg*FracLEACH*MSLeachEF*NtoN2O*kgtoGg,"NO")</f>
        <v>1.9871041213735664E-2</v>
      </c>
      <c r="AQ148" s="22">
        <f>IFERROR(('Activity data'!AQ91*(1/Constants!$H$135))*ttokg*FracLEACH*MSLeachEF*NtoN2O*kgtoGg,"NO")</f>
        <v>1.9871041213735664E-2</v>
      </c>
      <c r="AR148" s="22">
        <f>IFERROR(('Activity data'!AR91*(1/Constants!$H$135))*ttokg*FracLEACH*MSLeachEF*NtoN2O*kgtoGg,"NO")</f>
        <v>1.9871041213735664E-2</v>
      </c>
      <c r="AS148" s="22">
        <f>IFERROR(('Activity data'!AS91*(1/Constants!$H$135))*ttokg*FracLEACH*MSLeachEF*NtoN2O*kgtoGg,"NO")</f>
        <v>1.9871041213735664E-2</v>
      </c>
      <c r="AT148" s="22">
        <f>IFERROR(('Activity data'!AT91*(1/Constants!$H$135))*ttokg*FracLEACH*MSLeachEF*NtoN2O*kgtoGg,"NO")</f>
        <v>1.9871041213735664E-2</v>
      </c>
      <c r="AU148" s="22">
        <f>IFERROR(('Activity data'!AU91*(1/Constants!$H$135))*ttokg*FracLEACH*MSLeachEF*NtoN2O*kgtoGg,"NO")</f>
        <v>1.9871041213735664E-2</v>
      </c>
      <c r="AV148" s="22">
        <f>IFERROR(('Activity data'!AV91*(1/Constants!$H$135))*ttokg*FracLEACH*MSLeachEF*NtoN2O*kgtoGg,"NO")</f>
        <v>1.9871041213735664E-2</v>
      </c>
      <c r="AW148" s="22">
        <f>IFERROR(('Activity data'!AW91*(1/Constants!$H$135))*ttokg*FracLEACH*MSLeachEF*NtoN2O*kgtoGg,"NO")</f>
        <v>1.9871041213735664E-2</v>
      </c>
      <c r="AX148" s="22">
        <f>IFERROR(('Activity data'!AX91*(1/Constants!$H$135))*ttokg*FracLEACH*MSLeachEF*NtoN2O*kgtoGg,"NO")</f>
        <v>1.9871041213735664E-2</v>
      </c>
      <c r="AY148" s="22">
        <f>IFERROR(('Activity data'!AY91*(1/Constants!$H$135))*ttokg*FracLEACH*MSLeachEF*NtoN2O*kgtoGg,"NO")</f>
        <v>1.9871041213735664E-2</v>
      </c>
      <c r="AZ148" s="22">
        <f>IFERROR(('Activity data'!AZ91*(1/Constants!$H$135))*ttokg*FracLEACH*MSLeachEF*NtoN2O*kgtoGg,"NO")</f>
        <v>1.9871041213735664E-2</v>
      </c>
      <c r="BA148" s="22">
        <f>IFERROR(('Activity data'!BA91*(1/Constants!$H$135))*ttokg*FracLEACH*MSLeachEF*NtoN2O*kgtoGg,"NO")</f>
        <v>1.9871041213735664E-2</v>
      </c>
      <c r="BB148" s="22">
        <f>IFERROR(('Activity data'!BB91*(1/Constants!$H$135))*ttokg*FracLEACH*MSLeachEF*NtoN2O*kgtoGg,"NO")</f>
        <v>1.9871041213735664E-2</v>
      </c>
      <c r="BC148" s="22">
        <f>IFERROR(('Activity data'!BC91*(1/Constants!$H$135))*ttokg*FracLEACH*MSLeachEF*NtoN2O*kgtoGg,"NO")</f>
        <v>1.9871041213735664E-2</v>
      </c>
      <c r="BD148" s="22">
        <f>IFERROR(('Activity data'!BD91*(1/Constants!$H$135))*ttokg*FracLEACH*MSLeachEF*NtoN2O*kgtoGg,"NO")</f>
        <v>1.9871041213735664E-2</v>
      </c>
      <c r="BE148" s="22">
        <f>IFERROR(('Activity data'!BE91*(1/Constants!$H$135))*ttokg*FracLEACH*MSLeachEF*NtoN2O*kgtoGg,"NO")</f>
        <v>1.9871041213735664E-2</v>
      </c>
      <c r="BF148" s="22">
        <f>IFERROR(('Activity data'!BF91*(1/Constants!$H$135))*ttokg*FracLEACH*MSLeachEF*NtoN2O*kgtoGg,"NO")</f>
        <v>1.9871041213735664E-2</v>
      </c>
      <c r="BG148" s="22">
        <f>IFERROR(('Activity data'!BG91*(1/Constants!$H$135))*ttokg*FracLEACH*MSLeachEF*NtoN2O*kgtoGg,"NO")</f>
        <v>1.9871041213735664E-2</v>
      </c>
      <c r="BH148" s="22">
        <f>IFERROR(('Activity data'!BH91*(1/Constants!$H$135))*ttokg*FracLEACH*MSLeachEF*NtoN2O*kgtoGg,"NO")</f>
        <v>1.9871041213735664E-2</v>
      </c>
      <c r="BI148" s="22">
        <f>IFERROR(('Activity data'!BI91*(1/Constants!$H$135))*ttokg*FracLEACH*MSLeachEF*NtoN2O*kgtoGg,"NO")</f>
        <v>1.9871041213735664E-2</v>
      </c>
      <c r="BJ148" s="22">
        <f>IFERROR(('Activity data'!BJ91*(1/Constants!$H$135))*ttokg*FracLEACH*MSLeachEF*NtoN2O*kgtoGg,"NO")</f>
        <v>1.9871041213735664E-2</v>
      </c>
      <c r="BK148" s="22">
        <f>IFERROR(('Activity data'!BK91*(1/Constants!$H$135))*ttokg*FracLEACH*MSLeachEF*NtoN2O*kgtoGg,"NO")</f>
        <v>1.9871041213735664E-2</v>
      </c>
      <c r="BL148" s="22">
        <f>IFERROR(('Activity data'!BL91*(1/Constants!$H$135))*ttokg*FracLEACH*MSLeachEF*NtoN2O*kgtoGg,"NO")</f>
        <v>1.9871041213735664E-2</v>
      </c>
      <c r="BM148" s="22">
        <f>IFERROR(('Activity data'!BM91*(1/Constants!$H$135))*ttokg*FracLEACH*MSLeachEF*NtoN2O*kgtoGg,"NO")</f>
        <v>1.9871041213735664E-2</v>
      </c>
      <c r="BN148" s="22">
        <f>IFERROR(('Activity data'!BN91*(1/Constants!$H$135))*ttokg*FracLEACH*MSLeachEF*NtoN2O*kgtoGg,"NO")</f>
        <v>1.9871041213735664E-2</v>
      </c>
      <c r="BO148" s="22">
        <f>IFERROR(('Activity data'!BO91*(1/Constants!$H$135))*ttokg*FracLEACH*MSLeachEF*NtoN2O*kgtoGg,"NO")</f>
        <v>1.9871041213735664E-2</v>
      </c>
      <c r="BP148" s="22">
        <f>IFERROR(('Activity data'!BP91*(1/Constants!$H$135))*ttokg*FracLEACH*MSLeachEF*NtoN2O*kgtoGg,"NO")</f>
        <v>1.9871041213735664E-2</v>
      </c>
    </row>
    <row r="149" spans="1:68" x14ac:dyDescent="0.3">
      <c r="A149" t="str">
        <f t="shared" si="58"/>
        <v>3C Aggregated and non-CO2 emissions on land</v>
      </c>
      <c r="B149" t="str">
        <f t="shared" si="59"/>
        <v>3C5 Indirect N2O from managed soils (N2O)</v>
      </c>
      <c r="C149" t="str">
        <f t="shared" si="54"/>
        <v>Leaching/runoff</v>
      </c>
      <c r="D149" t="str">
        <f>" - FSOM - "&amp;'Activity data'!D92</f>
        <v xml:space="preserve"> - FSOM - Land converted to grassland</v>
      </c>
      <c r="E149" t="str">
        <f t="shared" si="60"/>
        <v>Leaching/runoff - FSOM - Land converted to grassland</v>
      </c>
      <c r="F149" t="str">
        <f t="shared" si="47"/>
        <v>N2O</v>
      </c>
      <c r="G149" t="str">
        <f t="shared" si="48"/>
        <v>Gg N2O</v>
      </c>
      <c r="H149" s="22">
        <f>IFERROR(('Activity data'!H92*(1/Constants!$H$135))*ttokg*FracLEACH*MSLeachEF*NtoN2O*kgtoGg,"NO")</f>
        <v>0</v>
      </c>
      <c r="I149" s="22">
        <f>IFERROR(('Activity data'!I92*(1/Constants!$H$135))*ttokg*FracLEACH*MSLeachEF*NtoN2O*kgtoGg,"NO")</f>
        <v>1.9650467560735459E-5</v>
      </c>
      <c r="J149" s="22">
        <f>IFERROR(('Activity data'!J92*(1/Constants!$H$135))*ttokg*FracLEACH*MSLeachEF*NtoN2O*kgtoGg,"NO")</f>
        <v>1.9650467560735459E-5</v>
      </c>
      <c r="K149" s="22">
        <f>IFERROR(('Activity data'!K92*(1/Constants!$H$135))*ttokg*FracLEACH*MSLeachEF*NtoN2O*kgtoGg,"NO")</f>
        <v>1.9650467560735459E-5</v>
      </c>
      <c r="L149" s="22">
        <f>IFERROR(('Activity data'!L92*(1/Constants!$H$135))*ttokg*FracLEACH*MSLeachEF*NtoN2O*kgtoGg,"NO")</f>
        <v>1.9650467560735459E-5</v>
      </c>
      <c r="M149" s="22">
        <f>IFERROR(('Activity data'!M92*(1/Constants!$H$135))*ttokg*FracLEACH*MSLeachEF*NtoN2O*kgtoGg,"NO")</f>
        <v>1.9650467560735459E-5</v>
      </c>
      <c r="N149" s="22">
        <f>IFERROR(('Activity data'!N92*(1/Constants!$H$135))*ttokg*FracLEACH*MSLeachEF*NtoN2O*kgtoGg,"NO")</f>
        <v>1.9650467560735459E-5</v>
      </c>
      <c r="O149" s="22">
        <f>IFERROR(('Activity data'!O92*(1/Constants!$H$135))*ttokg*FracLEACH*MSLeachEF*NtoN2O*kgtoGg,"NO")</f>
        <v>1.9650467560735459E-5</v>
      </c>
      <c r="P149" s="22">
        <f>IFERROR(('Activity data'!P92*(1/Constants!$H$135))*ttokg*FracLEACH*MSLeachEF*NtoN2O*kgtoGg,"NO")</f>
        <v>1.9650467560735459E-5</v>
      </c>
      <c r="Q149" s="22">
        <f>IFERROR(('Activity data'!Q92*(1/Constants!$H$135))*ttokg*FracLEACH*MSLeachEF*NtoN2O*kgtoGg,"NO")</f>
        <v>1.9650467560735459E-5</v>
      </c>
      <c r="R149" s="22">
        <f>IFERROR(('Activity data'!R92*(1/Constants!$H$135))*ttokg*FracLEACH*MSLeachEF*NtoN2O*kgtoGg,"NO")</f>
        <v>1.9650467560735459E-5</v>
      </c>
      <c r="S149" s="22">
        <f>IFERROR(('Activity data'!S92*(1/Constants!$H$135))*ttokg*FracLEACH*MSLeachEF*NtoN2O*kgtoGg,"NO")</f>
        <v>1.9650467560735459E-5</v>
      </c>
      <c r="T149" s="22">
        <f>IFERROR(('Activity data'!T92*(1/Constants!$H$135))*ttokg*FracLEACH*MSLeachEF*NtoN2O*kgtoGg,"NO")</f>
        <v>1.9650467560735459E-5</v>
      </c>
      <c r="U149" s="22">
        <f>IFERROR(('Activity data'!U92*(1/Constants!$H$135))*ttokg*FracLEACH*MSLeachEF*NtoN2O*kgtoGg,"NO")</f>
        <v>1.9650467560735459E-5</v>
      </c>
      <c r="V149" s="22">
        <f>IFERROR(('Activity data'!V92*(1/Constants!$H$135))*ttokg*FracLEACH*MSLeachEF*NtoN2O*kgtoGg,"NO")</f>
        <v>1.9650467560735459E-5</v>
      </c>
      <c r="W149" s="22">
        <f>IFERROR(('Activity data'!W92*(1/Constants!$H$135))*ttokg*FracLEACH*MSLeachEF*NtoN2O*kgtoGg,"NO")</f>
        <v>1.9650467560735459E-5</v>
      </c>
      <c r="X149" s="22">
        <f>IFERROR(('Activity data'!X92*(1/Constants!$H$135))*ttokg*FracLEACH*MSLeachEF*NtoN2O*kgtoGg,"NO")</f>
        <v>1.9650467560735459E-5</v>
      </c>
      <c r="Y149" s="22">
        <f>IFERROR(('Activity data'!Y92*(1/Constants!$H$135))*ttokg*FracLEACH*MSLeachEF*NtoN2O*kgtoGg,"NO")</f>
        <v>1.9650467560735459E-5</v>
      </c>
      <c r="Z149" s="22">
        <f>IFERROR(('Activity data'!Z92*(1/Constants!$H$135))*ttokg*FracLEACH*MSLeachEF*NtoN2O*kgtoGg,"NO")</f>
        <v>1.9650467560735459E-5</v>
      </c>
      <c r="AA149" s="22">
        <f>IFERROR(('Activity data'!AA92*(1/Constants!$H$135))*ttokg*FracLEACH*MSLeachEF*NtoN2O*kgtoGg,"NO")</f>
        <v>1.9650467560735459E-5</v>
      </c>
      <c r="AB149" s="22">
        <f>IFERROR(('Activity data'!AB92*(1/Constants!$H$135))*ttokg*FracLEACH*MSLeachEF*NtoN2O*kgtoGg,"NO")</f>
        <v>1.9650467560735459E-5</v>
      </c>
      <c r="AC149" s="22">
        <f>IFERROR(('Activity data'!AC92*(1/Constants!$H$135))*ttokg*FracLEACH*MSLeachEF*NtoN2O*kgtoGg,"NO")</f>
        <v>1.9650467560735459E-5</v>
      </c>
      <c r="AD149" s="22" t="str">
        <f>IFERROR(('Activity data'!AD92*(1/Constants!$H$135))*ttokg*FracLEACH*MSLeachEF*NtoN2O*kgtoGg,"NO")</f>
        <v>NO</v>
      </c>
      <c r="AE149" s="22" t="str">
        <f>IFERROR(('Activity data'!AE92*(1/Constants!$H$135))*ttokg*FracLEACH*MSLeachEF*NtoN2O*kgtoGg,"NO")</f>
        <v>NO</v>
      </c>
      <c r="AF149" s="22" t="str">
        <f>IFERROR(('Activity data'!AF92*(1/Constants!$H$135))*ttokg*FracLEACH*MSLeachEF*NtoN2O*kgtoGg,"NO")</f>
        <v>NO</v>
      </c>
      <c r="AG149" s="22" t="str">
        <f>IFERROR(('Activity data'!AG92*(1/Constants!$H$135))*ttokg*FracLEACH*MSLeachEF*NtoN2O*kgtoGg,"NO")</f>
        <v>NO</v>
      </c>
      <c r="AH149" s="22" t="str">
        <f>IFERROR(('Activity data'!AH92*(1/Constants!$H$135))*ttokg*FracLEACH*MSLeachEF*NtoN2O*kgtoGg,"NO")</f>
        <v>NO</v>
      </c>
      <c r="AI149" s="22" t="str">
        <f>IFERROR(('Activity data'!AI92*(1/Constants!$H$135))*ttokg*FracLEACH*MSLeachEF*NtoN2O*kgtoGg,"NO")</f>
        <v>NO</v>
      </c>
      <c r="AJ149" s="22" t="str">
        <f>IFERROR(('Activity data'!AJ92*(1/Constants!$H$135))*ttokg*FracLEACH*MSLeachEF*NtoN2O*kgtoGg,"NO")</f>
        <v>NO</v>
      </c>
      <c r="AK149" s="22" t="str">
        <f>IFERROR(('Activity data'!AK92*(1/Constants!$H$135))*ttokg*FracLEACH*MSLeachEF*NtoN2O*kgtoGg,"NO")</f>
        <v>NO</v>
      </c>
      <c r="AL149" s="22" t="str">
        <f>IFERROR(('Activity data'!AL92*(1/Constants!$H$135))*ttokg*FracLEACH*MSLeachEF*NtoN2O*kgtoGg,"NO")</f>
        <v>NO</v>
      </c>
      <c r="AM149" s="22" t="str">
        <f>IFERROR(('Activity data'!AM92*(1/Constants!$H$135))*ttokg*FracLEACH*MSLeachEF*NtoN2O*kgtoGg,"NO")</f>
        <v>NO</v>
      </c>
      <c r="AN149" s="22" t="str">
        <f>IFERROR(('Activity data'!AN92*(1/Constants!$H$135))*ttokg*FracLEACH*MSLeachEF*NtoN2O*kgtoGg,"NO")</f>
        <v>NO</v>
      </c>
      <c r="AO149" s="22" t="str">
        <f>IFERROR(('Activity data'!AO92*(1/Constants!$H$135))*ttokg*FracLEACH*MSLeachEF*NtoN2O*kgtoGg,"NO")</f>
        <v>NO</v>
      </c>
      <c r="AP149" s="22" t="str">
        <f>IFERROR(('Activity data'!AP92*(1/Constants!$H$135))*ttokg*FracLEACH*MSLeachEF*NtoN2O*kgtoGg,"NO")</f>
        <v>NO</v>
      </c>
      <c r="AQ149" s="22" t="str">
        <f>IFERROR(('Activity data'!AQ92*(1/Constants!$H$135))*ttokg*FracLEACH*MSLeachEF*NtoN2O*kgtoGg,"NO")</f>
        <v>NO</v>
      </c>
      <c r="AR149" s="22" t="str">
        <f>IFERROR(('Activity data'!AR92*(1/Constants!$H$135))*ttokg*FracLEACH*MSLeachEF*NtoN2O*kgtoGg,"NO")</f>
        <v>NO</v>
      </c>
      <c r="AS149" s="22" t="str">
        <f>IFERROR(('Activity data'!AS92*(1/Constants!$H$135))*ttokg*FracLEACH*MSLeachEF*NtoN2O*kgtoGg,"NO")</f>
        <v>NO</v>
      </c>
      <c r="AT149" s="22" t="str">
        <f>IFERROR(('Activity data'!AT92*(1/Constants!$H$135))*ttokg*FracLEACH*MSLeachEF*NtoN2O*kgtoGg,"NO")</f>
        <v>NO</v>
      </c>
      <c r="AU149" s="22" t="str">
        <f>IFERROR(('Activity data'!AU92*(1/Constants!$H$135))*ttokg*FracLEACH*MSLeachEF*NtoN2O*kgtoGg,"NO")</f>
        <v>NO</v>
      </c>
      <c r="AV149" s="22" t="str">
        <f>IFERROR(('Activity data'!AV92*(1/Constants!$H$135))*ttokg*FracLEACH*MSLeachEF*NtoN2O*kgtoGg,"NO")</f>
        <v>NO</v>
      </c>
      <c r="AW149" s="22" t="str">
        <f>IFERROR(('Activity data'!AW92*(1/Constants!$H$135))*ttokg*FracLEACH*MSLeachEF*NtoN2O*kgtoGg,"NO")</f>
        <v>NO</v>
      </c>
      <c r="AX149" s="22" t="str">
        <f>IFERROR(('Activity data'!AX92*(1/Constants!$H$135))*ttokg*FracLEACH*MSLeachEF*NtoN2O*kgtoGg,"NO")</f>
        <v>NO</v>
      </c>
      <c r="AY149" s="22" t="str">
        <f>IFERROR(('Activity data'!AY92*(1/Constants!$H$135))*ttokg*FracLEACH*MSLeachEF*NtoN2O*kgtoGg,"NO")</f>
        <v>NO</v>
      </c>
      <c r="AZ149" s="22" t="str">
        <f>IFERROR(('Activity data'!AZ92*(1/Constants!$H$135))*ttokg*FracLEACH*MSLeachEF*NtoN2O*kgtoGg,"NO")</f>
        <v>NO</v>
      </c>
      <c r="BA149" s="22" t="str">
        <f>IFERROR(('Activity data'!BA92*(1/Constants!$H$135))*ttokg*FracLEACH*MSLeachEF*NtoN2O*kgtoGg,"NO")</f>
        <v>NO</v>
      </c>
      <c r="BB149" s="22" t="str">
        <f>IFERROR(('Activity data'!BB92*(1/Constants!$H$135))*ttokg*FracLEACH*MSLeachEF*NtoN2O*kgtoGg,"NO")</f>
        <v>NO</v>
      </c>
      <c r="BC149" s="22" t="str">
        <f>IFERROR(('Activity data'!BC92*(1/Constants!$H$135))*ttokg*FracLEACH*MSLeachEF*NtoN2O*kgtoGg,"NO")</f>
        <v>NO</v>
      </c>
      <c r="BD149" s="22" t="str">
        <f>IFERROR(('Activity data'!BD92*(1/Constants!$H$135))*ttokg*FracLEACH*MSLeachEF*NtoN2O*kgtoGg,"NO")</f>
        <v>NO</v>
      </c>
      <c r="BE149" s="22" t="str">
        <f>IFERROR(('Activity data'!BE92*(1/Constants!$H$135))*ttokg*FracLEACH*MSLeachEF*NtoN2O*kgtoGg,"NO")</f>
        <v>NO</v>
      </c>
      <c r="BF149" s="22" t="str">
        <f>IFERROR(('Activity data'!BF92*(1/Constants!$H$135))*ttokg*FracLEACH*MSLeachEF*NtoN2O*kgtoGg,"NO")</f>
        <v>NO</v>
      </c>
      <c r="BG149" s="22" t="str">
        <f>IFERROR(('Activity data'!BG92*(1/Constants!$H$135))*ttokg*FracLEACH*MSLeachEF*NtoN2O*kgtoGg,"NO")</f>
        <v>NO</v>
      </c>
      <c r="BH149" s="22" t="str">
        <f>IFERROR(('Activity data'!BH92*(1/Constants!$H$135))*ttokg*FracLEACH*MSLeachEF*NtoN2O*kgtoGg,"NO")</f>
        <v>NO</v>
      </c>
      <c r="BI149" s="22" t="str">
        <f>IFERROR(('Activity data'!BI92*(1/Constants!$H$135))*ttokg*FracLEACH*MSLeachEF*NtoN2O*kgtoGg,"NO")</f>
        <v>NO</v>
      </c>
      <c r="BJ149" s="22" t="str">
        <f>IFERROR(('Activity data'!BJ92*(1/Constants!$H$135))*ttokg*FracLEACH*MSLeachEF*NtoN2O*kgtoGg,"NO")</f>
        <v>NO</v>
      </c>
      <c r="BK149" s="22" t="str">
        <f>IFERROR(('Activity data'!BK92*(1/Constants!$H$135))*ttokg*FracLEACH*MSLeachEF*NtoN2O*kgtoGg,"NO")</f>
        <v>NO</v>
      </c>
      <c r="BL149" s="22" t="str">
        <f>IFERROR(('Activity data'!BL92*(1/Constants!$H$135))*ttokg*FracLEACH*MSLeachEF*NtoN2O*kgtoGg,"NO")</f>
        <v>NO</v>
      </c>
      <c r="BM149" s="22" t="str">
        <f>IFERROR(('Activity data'!BM92*(1/Constants!$H$135))*ttokg*FracLEACH*MSLeachEF*NtoN2O*kgtoGg,"NO")</f>
        <v>NO</v>
      </c>
      <c r="BN149" s="22" t="str">
        <f>IFERROR(('Activity data'!BN92*(1/Constants!$H$135))*ttokg*FracLEACH*MSLeachEF*NtoN2O*kgtoGg,"NO")</f>
        <v>NO</v>
      </c>
      <c r="BO149" s="22" t="str">
        <f>IFERROR(('Activity data'!BO92*(1/Constants!$H$135))*ttokg*FracLEACH*MSLeachEF*NtoN2O*kgtoGg,"NO")</f>
        <v>NO</v>
      </c>
      <c r="BP149" s="22" t="str">
        <f>IFERROR(('Activity data'!BP92*(1/Constants!$H$135))*ttokg*FracLEACH*MSLeachEF*NtoN2O*kgtoGg,"NO")</f>
        <v>NO</v>
      </c>
    </row>
    <row r="150" spans="1:68" x14ac:dyDescent="0.3">
      <c r="A150" t="str">
        <f t="shared" si="58"/>
        <v>3C Aggregated and non-CO2 emissions on land</v>
      </c>
      <c r="B150" t="str">
        <f t="shared" si="59"/>
        <v>3C5 Indirect N2O from managed soils (N2O)</v>
      </c>
      <c r="C150" t="str">
        <f t="shared" si="54"/>
        <v>Leaching/runoff</v>
      </c>
      <c r="D150" t="str">
        <f>" - FSOM - "&amp;'Activity data'!D93</f>
        <v xml:space="preserve"> - FSOM - Wetland remaining wetland</v>
      </c>
      <c r="E150" t="str">
        <f t="shared" si="60"/>
        <v>Leaching/runoff - FSOM - Wetland remaining wetland</v>
      </c>
      <c r="F150" t="str">
        <f t="shared" si="47"/>
        <v>N2O</v>
      </c>
      <c r="G150" t="str">
        <f t="shared" si="48"/>
        <v>Gg N2O</v>
      </c>
      <c r="H150" s="22" t="str">
        <f>IFERROR(('Activity data'!H93*(1/Constants!$H$135))*ttokg*FracLEACH*MSLeachEF*NtoN2O*kgtoGg,"NO")</f>
        <v>NO</v>
      </c>
      <c r="I150" s="22" t="str">
        <f>IFERROR(('Activity data'!I93*(1/Constants!$H$135))*ttokg*FracLEACH*MSLeachEF*NtoN2O*kgtoGg,"NO")</f>
        <v>NO</v>
      </c>
      <c r="J150" s="22" t="str">
        <f>IFERROR(('Activity data'!J93*(1/Constants!$H$135))*ttokg*FracLEACH*MSLeachEF*NtoN2O*kgtoGg,"NO")</f>
        <v>NO</v>
      </c>
      <c r="K150" s="22" t="str">
        <f>IFERROR(('Activity data'!K93*(1/Constants!$H$135))*ttokg*FracLEACH*MSLeachEF*NtoN2O*kgtoGg,"NO")</f>
        <v>NO</v>
      </c>
      <c r="L150" s="22" t="str">
        <f>IFERROR(('Activity data'!L93*(1/Constants!$H$135))*ttokg*FracLEACH*MSLeachEF*NtoN2O*kgtoGg,"NO")</f>
        <v>NO</v>
      </c>
      <c r="M150" s="22" t="str">
        <f>IFERROR(('Activity data'!M93*(1/Constants!$H$135))*ttokg*FracLEACH*MSLeachEF*NtoN2O*kgtoGg,"NO")</f>
        <v>NO</v>
      </c>
      <c r="N150" s="22" t="str">
        <f>IFERROR(('Activity data'!N93*(1/Constants!$H$135))*ttokg*FracLEACH*MSLeachEF*NtoN2O*kgtoGg,"NO")</f>
        <v>NO</v>
      </c>
      <c r="O150" s="22" t="str">
        <f>IFERROR(('Activity data'!O93*(1/Constants!$H$135))*ttokg*FracLEACH*MSLeachEF*NtoN2O*kgtoGg,"NO")</f>
        <v>NO</v>
      </c>
      <c r="P150" s="22" t="str">
        <f>IFERROR(('Activity data'!P93*(1/Constants!$H$135))*ttokg*FracLEACH*MSLeachEF*NtoN2O*kgtoGg,"NO")</f>
        <v>NO</v>
      </c>
      <c r="Q150" s="22" t="str">
        <f>IFERROR(('Activity data'!Q93*(1/Constants!$H$135))*ttokg*FracLEACH*MSLeachEF*NtoN2O*kgtoGg,"NO")</f>
        <v>NO</v>
      </c>
      <c r="R150" s="22" t="str">
        <f>IFERROR(('Activity data'!R93*(1/Constants!$H$135))*ttokg*FracLEACH*MSLeachEF*NtoN2O*kgtoGg,"NO")</f>
        <v>NO</v>
      </c>
      <c r="S150" s="22" t="str">
        <f>IFERROR(('Activity data'!S93*(1/Constants!$H$135))*ttokg*FracLEACH*MSLeachEF*NtoN2O*kgtoGg,"NO")</f>
        <v>NO</v>
      </c>
      <c r="T150" s="22" t="str">
        <f>IFERROR(('Activity data'!T93*(1/Constants!$H$135))*ttokg*FracLEACH*MSLeachEF*NtoN2O*kgtoGg,"NO")</f>
        <v>NO</v>
      </c>
      <c r="U150" s="22" t="str">
        <f>IFERROR(('Activity data'!U93*(1/Constants!$H$135))*ttokg*FracLEACH*MSLeachEF*NtoN2O*kgtoGg,"NO")</f>
        <v>NO</v>
      </c>
      <c r="V150" s="22" t="str">
        <f>IFERROR(('Activity data'!V93*(1/Constants!$H$135))*ttokg*FracLEACH*MSLeachEF*NtoN2O*kgtoGg,"NO")</f>
        <v>NO</v>
      </c>
      <c r="W150" s="22" t="str">
        <f>IFERROR(('Activity data'!W93*(1/Constants!$H$135))*ttokg*FracLEACH*MSLeachEF*NtoN2O*kgtoGg,"NO")</f>
        <v>NO</v>
      </c>
      <c r="X150" s="22" t="str">
        <f>IFERROR(('Activity data'!X93*(1/Constants!$H$135))*ttokg*FracLEACH*MSLeachEF*NtoN2O*kgtoGg,"NO")</f>
        <v>NO</v>
      </c>
      <c r="Y150" s="22" t="str">
        <f>IFERROR(('Activity data'!Y93*(1/Constants!$H$135))*ttokg*FracLEACH*MSLeachEF*NtoN2O*kgtoGg,"NO")</f>
        <v>NO</v>
      </c>
      <c r="Z150" s="22" t="str">
        <f>IFERROR(('Activity data'!Z93*(1/Constants!$H$135))*ttokg*FracLEACH*MSLeachEF*NtoN2O*kgtoGg,"NO")</f>
        <v>NO</v>
      </c>
      <c r="AA150" s="22" t="str">
        <f>IFERROR(('Activity data'!AA93*(1/Constants!$H$135))*ttokg*FracLEACH*MSLeachEF*NtoN2O*kgtoGg,"NO")</f>
        <v>NO</v>
      </c>
      <c r="AB150" s="22" t="str">
        <f>IFERROR(('Activity data'!AB93*(1/Constants!$H$135))*ttokg*FracLEACH*MSLeachEF*NtoN2O*kgtoGg,"NO")</f>
        <v>NO</v>
      </c>
      <c r="AC150" s="22" t="str">
        <f>IFERROR(('Activity data'!AC93*(1/Constants!$H$135))*ttokg*FracLEACH*MSLeachEF*NtoN2O*kgtoGg,"NO")</f>
        <v>NO</v>
      </c>
      <c r="AD150" s="22" t="str">
        <f>IFERROR(('Activity data'!AD93*(1/Constants!$H$135))*ttokg*FracLEACH*MSLeachEF*NtoN2O*kgtoGg,"NO")</f>
        <v>NO</v>
      </c>
      <c r="AE150" s="22" t="str">
        <f>IFERROR(('Activity data'!AE93*(1/Constants!$H$135))*ttokg*FracLEACH*MSLeachEF*NtoN2O*kgtoGg,"NO")</f>
        <v>NO</v>
      </c>
      <c r="AF150" s="22" t="str">
        <f>IFERROR(('Activity data'!AF93*(1/Constants!$H$135))*ttokg*FracLEACH*MSLeachEF*NtoN2O*kgtoGg,"NO")</f>
        <v>NO</v>
      </c>
      <c r="AG150" s="22" t="str">
        <f>IFERROR(('Activity data'!AG93*(1/Constants!$H$135))*ttokg*FracLEACH*MSLeachEF*NtoN2O*kgtoGg,"NO")</f>
        <v>NO</v>
      </c>
      <c r="AH150" s="22" t="str">
        <f>IFERROR(('Activity data'!AH93*(1/Constants!$H$135))*ttokg*FracLEACH*MSLeachEF*NtoN2O*kgtoGg,"NO")</f>
        <v>NO</v>
      </c>
      <c r="AI150" s="22" t="str">
        <f>IFERROR(('Activity data'!AI93*(1/Constants!$H$135))*ttokg*FracLEACH*MSLeachEF*NtoN2O*kgtoGg,"NO")</f>
        <v>NO</v>
      </c>
      <c r="AJ150" s="22" t="str">
        <f>IFERROR(('Activity data'!AJ93*(1/Constants!$H$135))*ttokg*FracLEACH*MSLeachEF*NtoN2O*kgtoGg,"NO")</f>
        <v>NO</v>
      </c>
      <c r="AK150" s="22" t="str">
        <f>IFERROR(('Activity data'!AK93*(1/Constants!$H$135))*ttokg*FracLEACH*MSLeachEF*NtoN2O*kgtoGg,"NO")</f>
        <v>NO</v>
      </c>
      <c r="AL150" s="22" t="str">
        <f>IFERROR(('Activity data'!AL93*(1/Constants!$H$135))*ttokg*FracLEACH*MSLeachEF*NtoN2O*kgtoGg,"NO")</f>
        <v>NO</v>
      </c>
      <c r="AM150" s="22" t="str">
        <f>IFERROR(('Activity data'!AM93*(1/Constants!$H$135))*ttokg*FracLEACH*MSLeachEF*NtoN2O*kgtoGg,"NO")</f>
        <v>NO</v>
      </c>
      <c r="AN150" s="22" t="str">
        <f>IFERROR(('Activity data'!AN93*(1/Constants!$H$135))*ttokg*FracLEACH*MSLeachEF*NtoN2O*kgtoGg,"NO")</f>
        <v>NO</v>
      </c>
      <c r="AO150" s="22" t="str">
        <f>IFERROR(('Activity data'!AO93*(1/Constants!$H$135))*ttokg*FracLEACH*MSLeachEF*NtoN2O*kgtoGg,"NO")</f>
        <v>NO</v>
      </c>
      <c r="AP150" s="22" t="str">
        <f>IFERROR(('Activity data'!AP93*(1/Constants!$H$135))*ttokg*FracLEACH*MSLeachEF*NtoN2O*kgtoGg,"NO")</f>
        <v>NO</v>
      </c>
      <c r="AQ150" s="22" t="str">
        <f>IFERROR(('Activity data'!AQ93*(1/Constants!$H$135))*ttokg*FracLEACH*MSLeachEF*NtoN2O*kgtoGg,"NO")</f>
        <v>NO</v>
      </c>
      <c r="AR150" s="22" t="str">
        <f>IFERROR(('Activity data'!AR93*(1/Constants!$H$135))*ttokg*FracLEACH*MSLeachEF*NtoN2O*kgtoGg,"NO")</f>
        <v>NO</v>
      </c>
      <c r="AS150" s="22" t="str">
        <f>IFERROR(('Activity data'!AS93*(1/Constants!$H$135))*ttokg*FracLEACH*MSLeachEF*NtoN2O*kgtoGg,"NO")</f>
        <v>NO</v>
      </c>
      <c r="AT150" s="22" t="str">
        <f>IFERROR(('Activity data'!AT93*(1/Constants!$H$135))*ttokg*FracLEACH*MSLeachEF*NtoN2O*kgtoGg,"NO")</f>
        <v>NO</v>
      </c>
      <c r="AU150" s="22" t="str">
        <f>IFERROR(('Activity data'!AU93*(1/Constants!$H$135))*ttokg*FracLEACH*MSLeachEF*NtoN2O*kgtoGg,"NO")</f>
        <v>NO</v>
      </c>
      <c r="AV150" s="22" t="str">
        <f>IFERROR(('Activity data'!AV93*(1/Constants!$H$135))*ttokg*FracLEACH*MSLeachEF*NtoN2O*kgtoGg,"NO")</f>
        <v>NO</v>
      </c>
      <c r="AW150" s="22" t="str">
        <f>IFERROR(('Activity data'!AW93*(1/Constants!$H$135))*ttokg*FracLEACH*MSLeachEF*NtoN2O*kgtoGg,"NO")</f>
        <v>NO</v>
      </c>
      <c r="AX150" s="22" t="str">
        <f>IFERROR(('Activity data'!AX93*(1/Constants!$H$135))*ttokg*FracLEACH*MSLeachEF*NtoN2O*kgtoGg,"NO")</f>
        <v>NO</v>
      </c>
      <c r="AY150" s="22" t="str">
        <f>IFERROR(('Activity data'!AY93*(1/Constants!$H$135))*ttokg*FracLEACH*MSLeachEF*NtoN2O*kgtoGg,"NO")</f>
        <v>NO</v>
      </c>
      <c r="AZ150" s="22" t="str">
        <f>IFERROR(('Activity data'!AZ93*(1/Constants!$H$135))*ttokg*FracLEACH*MSLeachEF*NtoN2O*kgtoGg,"NO")</f>
        <v>NO</v>
      </c>
      <c r="BA150" s="22" t="str">
        <f>IFERROR(('Activity data'!BA93*(1/Constants!$H$135))*ttokg*FracLEACH*MSLeachEF*NtoN2O*kgtoGg,"NO")</f>
        <v>NO</v>
      </c>
      <c r="BB150" s="22" t="str">
        <f>IFERROR(('Activity data'!BB93*(1/Constants!$H$135))*ttokg*FracLEACH*MSLeachEF*NtoN2O*kgtoGg,"NO")</f>
        <v>NO</v>
      </c>
      <c r="BC150" s="22" t="str">
        <f>IFERROR(('Activity data'!BC93*(1/Constants!$H$135))*ttokg*FracLEACH*MSLeachEF*NtoN2O*kgtoGg,"NO")</f>
        <v>NO</v>
      </c>
      <c r="BD150" s="22" t="str">
        <f>IFERROR(('Activity data'!BD93*(1/Constants!$H$135))*ttokg*FracLEACH*MSLeachEF*NtoN2O*kgtoGg,"NO")</f>
        <v>NO</v>
      </c>
      <c r="BE150" s="22" t="str">
        <f>IFERROR(('Activity data'!BE93*(1/Constants!$H$135))*ttokg*FracLEACH*MSLeachEF*NtoN2O*kgtoGg,"NO")</f>
        <v>NO</v>
      </c>
      <c r="BF150" s="22" t="str">
        <f>IFERROR(('Activity data'!BF93*(1/Constants!$H$135))*ttokg*FracLEACH*MSLeachEF*NtoN2O*kgtoGg,"NO")</f>
        <v>NO</v>
      </c>
      <c r="BG150" s="22" t="str">
        <f>IFERROR(('Activity data'!BG93*(1/Constants!$H$135))*ttokg*FracLEACH*MSLeachEF*NtoN2O*kgtoGg,"NO")</f>
        <v>NO</v>
      </c>
      <c r="BH150" s="22" t="str">
        <f>IFERROR(('Activity data'!BH93*(1/Constants!$H$135))*ttokg*FracLEACH*MSLeachEF*NtoN2O*kgtoGg,"NO")</f>
        <v>NO</v>
      </c>
      <c r="BI150" s="22" t="str">
        <f>IFERROR(('Activity data'!BI93*(1/Constants!$H$135))*ttokg*FracLEACH*MSLeachEF*NtoN2O*kgtoGg,"NO")</f>
        <v>NO</v>
      </c>
      <c r="BJ150" s="22" t="str">
        <f>IFERROR(('Activity data'!BJ93*(1/Constants!$H$135))*ttokg*FracLEACH*MSLeachEF*NtoN2O*kgtoGg,"NO")</f>
        <v>NO</v>
      </c>
      <c r="BK150" s="22" t="str">
        <f>IFERROR(('Activity data'!BK93*(1/Constants!$H$135))*ttokg*FracLEACH*MSLeachEF*NtoN2O*kgtoGg,"NO")</f>
        <v>NO</v>
      </c>
      <c r="BL150" s="22" t="str">
        <f>IFERROR(('Activity data'!BL93*(1/Constants!$H$135))*ttokg*FracLEACH*MSLeachEF*NtoN2O*kgtoGg,"NO")</f>
        <v>NO</v>
      </c>
      <c r="BM150" s="22" t="str">
        <f>IFERROR(('Activity data'!BM93*(1/Constants!$H$135))*ttokg*FracLEACH*MSLeachEF*NtoN2O*kgtoGg,"NO")</f>
        <v>NO</v>
      </c>
      <c r="BN150" s="22" t="str">
        <f>IFERROR(('Activity data'!BN93*(1/Constants!$H$135))*ttokg*FracLEACH*MSLeachEF*NtoN2O*kgtoGg,"NO")</f>
        <v>NO</v>
      </c>
      <c r="BO150" s="22" t="str">
        <f>IFERROR(('Activity data'!BO93*(1/Constants!$H$135))*ttokg*FracLEACH*MSLeachEF*NtoN2O*kgtoGg,"NO")</f>
        <v>NO</v>
      </c>
      <c r="BP150" s="22" t="str">
        <f>IFERROR(('Activity data'!BP93*(1/Constants!$H$135))*ttokg*FracLEACH*MSLeachEF*NtoN2O*kgtoGg,"NO")</f>
        <v>NO</v>
      </c>
    </row>
    <row r="151" spans="1:68" x14ac:dyDescent="0.3">
      <c r="A151" t="str">
        <f t="shared" si="58"/>
        <v>3C Aggregated and non-CO2 emissions on land</v>
      </c>
      <c r="B151" t="str">
        <f t="shared" si="59"/>
        <v>3C5 Indirect N2O from managed soils (N2O)</v>
      </c>
      <c r="C151" t="str">
        <f t="shared" si="54"/>
        <v>Leaching/runoff</v>
      </c>
      <c r="D151" t="str">
        <f>" - FSOM - "&amp;'Activity data'!D94</f>
        <v xml:space="preserve"> - FSOM - Land converted to wetland</v>
      </c>
      <c r="E151" t="str">
        <f t="shared" si="60"/>
        <v>Leaching/runoff - FSOM - Land converted to wetland</v>
      </c>
      <c r="F151" t="str">
        <f t="shared" si="47"/>
        <v>N2O</v>
      </c>
      <c r="G151" t="str">
        <f t="shared" si="48"/>
        <v>Gg N2O</v>
      </c>
      <c r="H151" s="22" t="str">
        <f>IFERROR(('Activity data'!H94*(1/Constants!$H$135))*ttokg*FracLEACH*MSLeachEF*NtoN2O*kgtoGg,"NO")</f>
        <v>NO</v>
      </c>
      <c r="I151" s="22" t="str">
        <f>IFERROR(('Activity data'!I94*(1/Constants!$H$135))*ttokg*FracLEACH*MSLeachEF*NtoN2O*kgtoGg,"NO")</f>
        <v>NO</v>
      </c>
      <c r="J151" s="22" t="str">
        <f>IFERROR(('Activity data'!J94*(1/Constants!$H$135))*ttokg*FracLEACH*MSLeachEF*NtoN2O*kgtoGg,"NO")</f>
        <v>NO</v>
      </c>
      <c r="K151" s="22" t="str">
        <f>IFERROR(('Activity data'!K94*(1/Constants!$H$135))*ttokg*FracLEACH*MSLeachEF*NtoN2O*kgtoGg,"NO")</f>
        <v>NO</v>
      </c>
      <c r="L151" s="22" t="str">
        <f>IFERROR(('Activity data'!L94*(1/Constants!$H$135))*ttokg*FracLEACH*MSLeachEF*NtoN2O*kgtoGg,"NO")</f>
        <v>NO</v>
      </c>
      <c r="M151" s="22" t="str">
        <f>IFERROR(('Activity data'!M94*(1/Constants!$H$135))*ttokg*FracLEACH*MSLeachEF*NtoN2O*kgtoGg,"NO")</f>
        <v>NO</v>
      </c>
      <c r="N151" s="22" t="str">
        <f>IFERROR(('Activity data'!N94*(1/Constants!$H$135))*ttokg*FracLEACH*MSLeachEF*NtoN2O*kgtoGg,"NO")</f>
        <v>NO</v>
      </c>
      <c r="O151" s="22" t="str">
        <f>IFERROR(('Activity data'!O94*(1/Constants!$H$135))*ttokg*FracLEACH*MSLeachEF*NtoN2O*kgtoGg,"NO")</f>
        <v>NO</v>
      </c>
      <c r="P151" s="22" t="str">
        <f>IFERROR(('Activity data'!P94*(1/Constants!$H$135))*ttokg*FracLEACH*MSLeachEF*NtoN2O*kgtoGg,"NO")</f>
        <v>NO</v>
      </c>
      <c r="Q151" s="22" t="str">
        <f>IFERROR(('Activity data'!Q94*(1/Constants!$H$135))*ttokg*FracLEACH*MSLeachEF*NtoN2O*kgtoGg,"NO")</f>
        <v>NO</v>
      </c>
      <c r="R151" s="22" t="str">
        <f>IFERROR(('Activity data'!R94*(1/Constants!$H$135))*ttokg*FracLEACH*MSLeachEF*NtoN2O*kgtoGg,"NO")</f>
        <v>NO</v>
      </c>
      <c r="S151" s="22" t="str">
        <f>IFERROR(('Activity data'!S94*(1/Constants!$H$135))*ttokg*FracLEACH*MSLeachEF*NtoN2O*kgtoGg,"NO")</f>
        <v>NO</v>
      </c>
      <c r="T151" s="22" t="str">
        <f>IFERROR(('Activity data'!T94*(1/Constants!$H$135))*ttokg*FracLEACH*MSLeachEF*NtoN2O*kgtoGg,"NO")</f>
        <v>NO</v>
      </c>
      <c r="U151" s="22" t="str">
        <f>IFERROR(('Activity data'!U94*(1/Constants!$H$135))*ttokg*FracLEACH*MSLeachEF*NtoN2O*kgtoGg,"NO")</f>
        <v>NO</v>
      </c>
      <c r="V151" s="22" t="str">
        <f>IFERROR(('Activity data'!V94*(1/Constants!$H$135))*ttokg*FracLEACH*MSLeachEF*NtoN2O*kgtoGg,"NO")</f>
        <v>NO</v>
      </c>
      <c r="W151" s="22" t="str">
        <f>IFERROR(('Activity data'!W94*(1/Constants!$H$135))*ttokg*FracLEACH*MSLeachEF*NtoN2O*kgtoGg,"NO")</f>
        <v>NO</v>
      </c>
      <c r="X151" s="22" t="str">
        <f>IFERROR(('Activity data'!X94*(1/Constants!$H$135))*ttokg*FracLEACH*MSLeachEF*NtoN2O*kgtoGg,"NO")</f>
        <v>NO</v>
      </c>
      <c r="Y151" s="22" t="str">
        <f>IFERROR(('Activity data'!Y94*(1/Constants!$H$135))*ttokg*FracLEACH*MSLeachEF*NtoN2O*kgtoGg,"NO")</f>
        <v>NO</v>
      </c>
      <c r="Z151" s="22" t="str">
        <f>IFERROR(('Activity data'!Z94*(1/Constants!$H$135))*ttokg*FracLEACH*MSLeachEF*NtoN2O*kgtoGg,"NO")</f>
        <v>NO</v>
      </c>
      <c r="AA151" s="22" t="str">
        <f>IFERROR(('Activity data'!AA94*(1/Constants!$H$135))*ttokg*FracLEACH*MSLeachEF*NtoN2O*kgtoGg,"NO")</f>
        <v>NO</v>
      </c>
      <c r="AB151" s="22" t="str">
        <f>IFERROR(('Activity data'!AB94*(1/Constants!$H$135))*ttokg*FracLEACH*MSLeachEF*NtoN2O*kgtoGg,"NO")</f>
        <v>NO</v>
      </c>
      <c r="AC151" s="22" t="str">
        <f>IFERROR(('Activity data'!AC94*(1/Constants!$H$135))*ttokg*FracLEACH*MSLeachEF*NtoN2O*kgtoGg,"NO")</f>
        <v>NO</v>
      </c>
      <c r="AD151" s="22" t="str">
        <f>IFERROR(('Activity data'!AD94*(1/Constants!$H$135))*ttokg*FracLEACH*MSLeachEF*NtoN2O*kgtoGg,"NO")</f>
        <v>NO</v>
      </c>
      <c r="AE151" s="22" t="str">
        <f>IFERROR(('Activity data'!AE94*(1/Constants!$H$135))*ttokg*FracLEACH*MSLeachEF*NtoN2O*kgtoGg,"NO")</f>
        <v>NO</v>
      </c>
      <c r="AF151" s="22" t="str">
        <f>IFERROR(('Activity data'!AF94*(1/Constants!$H$135))*ttokg*FracLEACH*MSLeachEF*NtoN2O*kgtoGg,"NO")</f>
        <v>NO</v>
      </c>
      <c r="AG151" s="22" t="str">
        <f>IFERROR(('Activity data'!AG94*(1/Constants!$H$135))*ttokg*FracLEACH*MSLeachEF*NtoN2O*kgtoGg,"NO")</f>
        <v>NO</v>
      </c>
      <c r="AH151" s="22" t="str">
        <f>IFERROR(('Activity data'!AH94*(1/Constants!$H$135))*ttokg*FracLEACH*MSLeachEF*NtoN2O*kgtoGg,"NO")</f>
        <v>NO</v>
      </c>
      <c r="AI151" s="22" t="str">
        <f>IFERROR(('Activity data'!AI94*(1/Constants!$H$135))*ttokg*FracLEACH*MSLeachEF*NtoN2O*kgtoGg,"NO")</f>
        <v>NO</v>
      </c>
      <c r="AJ151" s="22" t="str">
        <f>IFERROR(('Activity data'!AJ94*(1/Constants!$H$135))*ttokg*FracLEACH*MSLeachEF*NtoN2O*kgtoGg,"NO")</f>
        <v>NO</v>
      </c>
      <c r="AK151" s="22" t="str">
        <f>IFERROR(('Activity data'!AK94*(1/Constants!$H$135))*ttokg*FracLEACH*MSLeachEF*NtoN2O*kgtoGg,"NO")</f>
        <v>NO</v>
      </c>
      <c r="AL151" s="22" t="str">
        <f>IFERROR(('Activity data'!AL94*(1/Constants!$H$135))*ttokg*FracLEACH*MSLeachEF*NtoN2O*kgtoGg,"NO")</f>
        <v>NO</v>
      </c>
      <c r="AM151" s="22" t="str">
        <f>IFERROR(('Activity data'!AM94*(1/Constants!$H$135))*ttokg*FracLEACH*MSLeachEF*NtoN2O*kgtoGg,"NO")</f>
        <v>NO</v>
      </c>
      <c r="AN151" s="22" t="str">
        <f>IFERROR(('Activity data'!AN94*(1/Constants!$H$135))*ttokg*FracLEACH*MSLeachEF*NtoN2O*kgtoGg,"NO")</f>
        <v>NO</v>
      </c>
      <c r="AO151" s="22" t="str">
        <f>IFERROR(('Activity data'!AO94*(1/Constants!$H$135))*ttokg*FracLEACH*MSLeachEF*NtoN2O*kgtoGg,"NO")</f>
        <v>NO</v>
      </c>
      <c r="AP151" s="22" t="str">
        <f>IFERROR(('Activity data'!AP94*(1/Constants!$H$135))*ttokg*FracLEACH*MSLeachEF*NtoN2O*kgtoGg,"NO")</f>
        <v>NO</v>
      </c>
      <c r="AQ151" s="22" t="str">
        <f>IFERROR(('Activity data'!AQ94*(1/Constants!$H$135))*ttokg*FracLEACH*MSLeachEF*NtoN2O*kgtoGg,"NO")</f>
        <v>NO</v>
      </c>
      <c r="AR151" s="22" t="str">
        <f>IFERROR(('Activity data'!AR94*(1/Constants!$H$135))*ttokg*FracLEACH*MSLeachEF*NtoN2O*kgtoGg,"NO")</f>
        <v>NO</v>
      </c>
      <c r="AS151" s="22" t="str">
        <f>IFERROR(('Activity data'!AS94*(1/Constants!$H$135))*ttokg*FracLEACH*MSLeachEF*NtoN2O*kgtoGg,"NO")</f>
        <v>NO</v>
      </c>
      <c r="AT151" s="22" t="str">
        <f>IFERROR(('Activity data'!AT94*(1/Constants!$H$135))*ttokg*FracLEACH*MSLeachEF*NtoN2O*kgtoGg,"NO")</f>
        <v>NO</v>
      </c>
      <c r="AU151" s="22" t="str">
        <f>IFERROR(('Activity data'!AU94*(1/Constants!$H$135))*ttokg*FracLEACH*MSLeachEF*NtoN2O*kgtoGg,"NO")</f>
        <v>NO</v>
      </c>
      <c r="AV151" s="22" t="str">
        <f>IFERROR(('Activity data'!AV94*(1/Constants!$H$135))*ttokg*FracLEACH*MSLeachEF*NtoN2O*kgtoGg,"NO")</f>
        <v>NO</v>
      </c>
      <c r="AW151" s="22" t="str">
        <f>IFERROR(('Activity data'!AW94*(1/Constants!$H$135))*ttokg*FracLEACH*MSLeachEF*NtoN2O*kgtoGg,"NO")</f>
        <v>NO</v>
      </c>
      <c r="AX151" s="22" t="str">
        <f>IFERROR(('Activity data'!AX94*(1/Constants!$H$135))*ttokg*FracLEACH*MSLeachEF*NtoN2O*kgtoGg,"NO")</f>
        <v>NO</v>
      </c>
      <c r="AY151" s="22" t="str">
        <f>IFERROR(('Activity data'!AY94*(1/Constants!$H$135))*ttokg*FracLEACH*MSLeachEF*NtoN2O*kgtoGg,"NO")</f>
        <v>NO</v>
      </c>
      <c r="AZ151" s="22" t="str">
        <f>IFERROR(('Activity data'!AZ94*(1/Constants!$H$135))*ttokg*FracLEACH*MSLeachEF*NtoN2O*kgtoGg,"NO")</f>
        <v>NO</v>
      </c>
      <c r="BA151" s="22" t="str">
        <f>IFERROR(('Activity data'!BA94*(1/Constants!$H$135))*ttokg*FracLEACH*MSLeachEF*NtoN2O*kgtoGg,"NO")</f>
        <v>NO</v>
      </c>
      <c r="BB151" s="22" t="str">
        <f>IFERROR(('Activity data'!BB94*(1/Constants!$H$135))*ttokg*FracLEACH*MSLeachEF*NtoN2O*kgtoGg,"NO")</f>
        <v>NO</v>
      </c>
      <c r="BC151" s="22" t="str">
        <f>IFERROR(('Activity data'!BC94*(1/Constants!$H$135))*ttokg*FracLEACH*MSLeachEF*NtoN2O*kgtoGg,"NO")</f>
        <v>NO</v>
      </c>
      <c r="BD151" s="22" t="str">
        <f>IFERROR(('Activity data'!BD94*(1/Constants!$H$135))*ttokg*FracLEACH*MSLeachEF*NtoN2O*kgtoGg,"NO")</f>
        <v>NO</v>
      </c>
      <c r="BE151" s="22" t="str">
        <f>IFERROR(('Activity data'!BE94*(1/Constants!$H$135))*ttokg*FracLEACH*MSLeachEF*NtoN2O*kgtoGg,"NO")</f>
        <v>NO</v>
      </c>
      <c r="BF151" s="22" t="str">
        <f>IFERROR(('Activity data'!BF94*(1/Constants!$H$135))*ttokg*FracLEACH*MSLeachEF*NtoN2O*kgtoGg,"NO")</f>
        <v>NO</v>
      </c>
      <c r="BG151" s="22" t="str">
        <f>IFERROR(('Activity data'!BG94*(1/Constants!$H$135))*ttokg*FracLEACH*MSLeachEF*NtoN2O*kgtoGg,"NO")</f>
        <v>NO</v>
      </c>
      <c r="BH151" s="22" t="str">
        <f>IFERROR(('Activity data'!BH94*(1/Constants!$H$135))*ttokg*FracLEACH*MSLeachEF*NtoN2O*kgtoGg,"NO")</f>
        <v>NO</v>
      </c>
      <c r="BI151" s="22" t="str">
        <f>IFERROR(('Activity data'!BI94*(1/Constants!$H$135))*ttokg*FracLEACH*MSLeachEF*NtoN2O*kgtoGg,"NO")</f>
        <v>NO</v>
      </c>
      <c r="BJ151" s="22" t="str">
        <f>IFERROR(('Activity data'!BJ94*(1/Constants!$H$135))*ttokg*FracLEACH*MSLeachEF*NtoN2O*kgtoGg,"NO")</f>
        <v>NO</v>
      </c>
      <c r="BK151" s="22" t="str">
        <f>IFERROR(('Activity data'!BK94*(1/Constants!$H$135))*ttokg*FracLEACH*MSLeachEF*NtoN2O*kgtoGg,"NO")</f>
        <v>NO</v>
      </c>
      <c r="BL151" s="22" t="str">
        <f>IFERROR(('Activity data'!BL94*(1/Constants!$H$135))*ttokg*FracLEACH*MSLeachEF*NtoN2O*kgtoGg,"NO")</f>
        <v>NO</v>
      </c>
      <c r="BM151" s="22" t="str">
        <f>IFERROR(('Activity data'!BM94*(1/Constants!$H$135))*ttokg*FracLEACH*MSLeachEF*NtoN2O*kgtoGg,"NO")</f>
        <v>NO</v>
      </c>
      <c r="BN151" s="22" t="str">
        <f>IFERROR(('Activity data'!BN94*(1/Constants!$H$135))*ttokg*FracLEACH*MSLeachEF*NtoN2O*kgtoGg,"NO")</f>
        <v>NO</v>
      </c>
      <c r="BO151" s="22" t="str">
        <f>IFERROR(('Activity data'!BO94*(1/Constants!$H$135))*ttokg*FracLEACH*MSLeachEF*NtoN2O*kgtoGg,"NO")</f>
        <v>NO</v>
      </c>
      <c r="BP151" s="22" t="str">
        <f>IFERROR(('Activity data'!BP94*(1/Constants!$H$135))*ttokg*FracLEACH*MSLeachEF*NtoN2O*kgtoGg,"NO")</f>
        <v>NO</v>
      </c>
    </row>
    <row r="152" spans="1:68" x14ac:dyDescent="0.3">
      <c r="A152" t="str">
        <f t="shared" si="58"/>
        <v>3C Aggregated and non-CO2 emissions on land</v>
      </c>
      <c r="B152" t="str">
        <f t="shared" si="59"/>
        <v>3C5 Indirect N2O from managed soils (N2O)</v>
      </c>
      <c r="C152" t="str">
        <f t="shared" si="54"/>
        <v>Leaching/runoff</v>
      </c>
      <c r="D152" t="str">
        <f>" - FSOM - "&amp;'Activity data'!D95</f>
        <v xml:space="preserve"> - FSOM - Settlements remaining settlements</v>
      </c>
      <c r="E152" t="str">
        <f t="shared" si="60"/>
        <v>Leaching/runoff - FSOM - Settlements remaining settlements</v>
      </c>
      <c r="F152" t="str">
        <f t="shared" si="47"/>
        <v>N2O</v>
      </c>
      <c r="G152" t="str">
        <f t="shared" si="48"/>
        <v>Gg N2O</v>
      </c>
      <c r="H152" s="22" t="str">
        <f>IFERROR(('Activity data'!H95*(1/Constants!$H$135))*ttokg*FracLEACH*MSLeachEF*NtoN2O*kgtoGg,"NO")</f>
        <v>NO</v>
      </c>
      <c r="I152" s="22">
        <f>IFERROR(('Activity data'!I95*(1/Constants!$H$135))*ttokg*FracLEACH*MSLeachEF*NtoN2O*kgtoGg,"NO")</f>
        <v>1.712428009262699E-7</v>
      </c>
      <c r="J152" s="22">
        <f>IFERROR(('Activity data'!J95*(1/Constants!$H$135))*ttokg*FracLEACH*MSLeachEF*NtoN2O*kgtoGg,"NO")</f>
        <v>1.712428009262699E-7</v>
      </c>
      <c r="K152" s="22">
        <f>IFERROR(('Activity data'!K95*(1/Constants!$H$135))*ttokg*FracLEACH*MSLeachEF*NtoN2O*kgtoGg,"NO")</f>
        <v>1.712428009262699E-7</v>
      </c>
      <c r="L152" s="22">
        <f>IFERROR(('Activity data'!L95*(1/Constants!$H$135))*ttokg*FracLEACH*MSLeachEF*NtoN2O*kgtoGg,"NO")</f>
        <v>1.712428009262699E-7</v>
      </c>
      <c r="M152" s="22">
        <f>IFERROR(('Activity data'!M95*(1/Constants!$H$135))*ttokg*FracLEACH*MSLeachEF*NtoN2O*kgtoGg,"NO")</f>
        <v>1.712428009262699E-7</v>
      </c>
      <c r="N152" s="22">
        <f>IFERROR(('Activity data'!N95*(1/Constants!$H$135))*ttokg*FracLEACH*MSLeachEF*NtoN2O*kgtoGg,"NO")</f>
        <v>1.712428009262699E-7</v>
      </c>
      <c r="O152" s="22">
        <f>IFERROR(('Activity data'!O95*(1/Constants!$H$135))*ttokg*FracLEACH*MSLeachEF*NtoN2O*kgtoGg,"NO")</f>
        <v>1.712428009262699E-7</v>
      </c>
      <c r="P152" s="22">
        <f>IFERROR(('Activity data'!P95*(1/Constants!$H$135))*ttokg*FracLEACH*MSLeachEF*NtoN2O*kgtoGg,"NO")</f>
        <v>1.712428009262699E-7</v>
      </c>
      <c r="Q152" s="22">
        <f>IFERROR(('Activity data'!Q95*(1/Constants!$H$135))*ttokg*FracLEACH*MSLeachEF*NtoN2O*kgtoGg,"NO")</f>
        <v>1.712428009262699E-7</v>
      </c>
      <c r="R152" s="22">
        <f>IFERROR(('Activity data'!R95*(1/Constants!$H$135))*ttokg*FracLEACH*MSLeachEF*NtoN2O*kgtoGg,"NO")</f>
        <v>1.712428009262699E-7</v>
      </c>
      <c r="S152" s="22">
        <f>IFERROR(('Activity data'!S95*(1/Constants!$H$135))*ttokg*FracLEACH*MSLeachEF*NtoN2O*kgtoGg,"NO")</f>
        <v>1.712428009262699E-7</v>
      </c>
      <c r="T152" s="22">
        <f>IFERROR(('Activity data'!T95*(1/Constants!$H$135))*ttokg*FracLEACH*MSLeachEF*NtoN2O*kgtoGg,"NO")</f>
        <v>1.712428009262699E-7</v>
      </c>
      <c r="U152" s="22">
        <f>IFERROR(('Activity data'!U95*(1/Constants!$H$135))*ttokg*FracLEACH*MSLeachEF*NtoN2O*kgtoGg,"NO")</f>
        <v>1.712428009262699E-7</v>
      </c>
      <c r="V152" s="22">
        <f>IFERROR(('Activity data'!V95*(1/Constants!$H$135))*ttokg*FracLEACH*MSLeachEF*NtoN2O*kgtoGg,"NO")</f>
        <v>1.712428009262699E-7</v>
      </c>
      <c r="W152" s="22">
        <f>IFERROR(('Activity data'!W95*(1/Constants!$H$135))*ttokg*FracLEACH*MSLeachEF*NtoN2O*kgtoGg,"NO")</f>
        <v>1.712428009262699E-7</v>
      </c>
      <c r="X152" s="22">
        <f>IFERROR(('Activity data'!X95*(1/Constants!$H$135))*ttokg*FracLEACH*MSLeachEF*NtoN2O*kgtoGg,"NO")</f>
        <v>1.712428009262699E-7</v>
      </c>
      <c r="Y152" s="22">
        <f>IFERROR(('Activity data'!Y95*(1/Constants!$H$135))*ttokg*FracLEACH*MSLeachEF*NtoN2O*kgtoGg,"NO")</f>
        <v>1.712428009262699E-7</v>
      </c>
      <c r="Z152" s="22">
        <f>IFERROR(('Activity data'!Z95*(1/Constants!$H$135))*ttokg*FracLEACH*MSLeachEF*NtoN2O*kgtoGg,"NO")</f>
        <v>1.712428009262699E-7</v>
      </c>
      <c r="AA152" s="22">
        <f>IFERROR(('Activity data'!AA95*(1/Constants!$H$135))*ttokg*FracLEACH*MSLeachEF*NtoN2O*kgtoGg,"NO")</f>
        <v>1.712428009262699E-7</v>
      </c>
      <c r="AB152" s="22">
        <f>IFERROR(('Activity data'!AB95*(1/Constants!$H$135))*ttokg*FracLEACH*MSLeachEF*NtoN2O*kgtoGg,"NO")</f>
        <v>1.712428009262699E-7</v>
      </c>
      <c r="AC152" s="22">
        <f>IFERROR(('Activity data'!AC95*(1/Constants!$H$135))*ttokg*FracLEACH*MSLeachEF*NtoN2O*kgtoGg,"NO")</f>
        <v>1.712428009262699E-7</v>
      </c>
      <c r="AD152" s="22">
        <f>IFERROR(('Activity data'!AD95*(1/Constants!$H$135))*ttokg*FracLEACH*MSLeachEF*NtoN2O*kgtoGg,"NO")</f>
        <v>1.9333864620707719E-6</v>
      </c>
      <c r="AE152" s="22">
        <f>IFERROR(('Activity data'!AE95*(1/Constants!$H$135))*ttokg*FracLEACH*MSLeachEF*NtoN2O*kgtoGg,"NO")</f>
        <v>1.9333864620707719E-6</v>
      </c>
      <c r="AF152" s="22">
        <f>IFERROR(('Activity data'!AF95*(1/Constants!$H$135))*ttokg*FracLEACH*MSLeachEF*NtoN2O*kgtoGg,"NO")</f>
        <v>1.9333864620707719E-6</v>
      </c>
      <c r="AG152" s="22">
        <f>IFERROR(('Activity data'!AG95*(1/Constants!$H$135))*ttokg*FracLEACH*MSLeachEF*NtoN2O*kgtoGg,"NO")</f>
        <v>1.9333864620707719E-6</v>
      </c>
      <c r="AH152" s="22">
        <f>IFERROR(('Activity data'!AH95*(1/Constants!$H$135))*ttokg*FracLEACH*MSLeachEF*NtoN2O*kgtoGg,"NO")</f>
        <v>1.9333864620707719E-6</v>
      </c>
      <c r="AI152" s="22">
        <f>IFERROR(('Activity data'!AI95*(1/Constants!$H$135))*ttokg*FracLEACH*MSLeachEF*NtoN2O*kgtoGg,"NO")</f>
        <v>1.9333864620707719E-6</v>
      </c>
      <c r="AJ152" s="22">
        <f>IFERROR(('Activity data'!AJ95*(1/Constants!$H$135))*ttokg*FracLEACH*MSLeachEF*NtoN2O*kgtoGg,"NO")</f>
        <v>1.9333864620707719E-6</v>
      </c>
      <c r="AK152" s="22">
        <f>IFERROR(('Activity data'!AK95*(1/Constants!$H$135))*ttokg*FracLEACH*MSLeachEF*NtoN2O*kgtoGg,"NO")</f>
        <v>1.9333864620707719E-6</v>
      </c>
      <c r="AL152" s="22">
        <f>IFERROR(('Activity data'!AL95*(1/Constants!$H$135))*ttokg*FracLEACH*MSLeachEF*NtoN2O*kgtoGg,"NO")</f>
        <v>1.9333864620707719E-6</v>
      </c>
      <c r="AM152" s="22">
        <f>IFERROR(('Activity data'!AM95*(1/Constants!$H$135))*ttokg*FracLEACH*MSLeachEF*NtoN2O*kgtoGg,"NO")</f>
        <v>1.9333864620707719E-6</v>
      </c>
      <c r="AN152" s="22">
        <f>IFERROR(('Activity data'!AN95*(1/Constants!$H$135))*ttokg*FracLEACH*MSLeachEF*NtoN2O*kgtoGg,"NO")</f>
        <v>1.9333864620707719E-6</v>
      </c>
      <c r="AO152" s="22">
        <f>IFERROR(('Activity data'!AO95*(1/Constants!$H$135))*ttokg*FracLEACH*MSLeachEF*NtoN2O*kgtoGg,"NO")</f>
        <v>1.9333864620707719E-6</v>
      </c>
      <c r="AP152" s="22">
        <f>IFERROR(('Activity data'!AP95*(1/Constants!$H$135))*ttokg*FracLEACH*MSLeachEF*NtoN2O*kgtoGg,"NO")</f>
        <v>1.9333864620707719E-6</v>
      </c>
      <c r="AQ152" s="22">
        <f>IFERROR(('Activity data'!AQ95*(1/Constants!$H$135))*ttokg*FracLEACH*MSLeachEF*NtoN2O*kgtoGg,"NO")</f>
        <v>1.9333864620707719E-6</v>
      </c>
      <c r="AR152" s="22">
        <f>IFERROR(('Activity data'!AR95*(1/Constants!$H$135))*ttokg*FracLEACH*MSLeachEF*NtoN2O*kgtoGg,"NO")</f>
        <v>1.9333864620707719E-6</v>
      </c>
      <c r="AS152" s="22">
        <f>IFERROR(('Activity data'!AS95*(1/Constants!$H$135))*ttokg*FracLEACH*MSLeachEF*NtoN2O*kgtoGg,"NO")</f>
        <v>1.9333864620707719E-6</v>
      </c>
      <c r="AT152" s="22">
        <f>IFERROR(('Activity data'!AT95*(1/Constants!$H$135))*ttokg*FracLEACH*MSLeachEF*NtoN2O*kgtoGg,"NO")</f>
        <v>1.9333864620707719E-6</v>
      </c>
      <c r="AU152" s="22">
        <f>IFERROR(('Activity data'!AU95*(1/Constants!$H$135))*ttokg*FracLEACH*MSLeachEF*NtoN2O*kgtoGg,"NO")</f>
        <v>1.9333864620707719E-6</v>
      </c>
      <c r="AV152" s="22">
        <f>IFERROR(('Activity data'!AV95*(1/Constants!$H$135))*ttokg*FracLEACH*MSLeachEF*NtoN2O*kgtoGg,"NO")</f>
        <v>1.9333864620707719E-6</v>
      </c>
      <c r="AW152" s="22">
        <f>IFERROR(('Activity data'!AW95*(1/Constants!$H$135))*ttokg*FracLEACH*MSLeachEF*NtoN2O*kgtoGg,"NO")</f>
        <v>1.9333864620707719E-6</v>
      </c>
      <c r="AX152" s="22">
        <f>IFERROR(('Activity data'!AX95*(1/Constants!$H$135))*ttokg*FracLEACH*MSLeachEF*NtoN2O*kgtoGg,"NO")</f>
        <v>1.9333864620707719E-6</v>
      </c>
      <c r="AY152" s="22">
        <f>IFERROR(('Activity data'!AY95*(1/Constants!$H$135))*ttokg*FracLEACH*MSLeachEF*NtoN2O*kgtoGg,"NO")</f>
        <v>1.9333864620707719E-6</v>
      </c>
      <c r="AZ152" s="22">
        <f>IFERROR(('Activity data'!AZ95*(1/Constants!$H$135))*ttokg*FracLEACH*MSLeachEF*NtoN2O*kgtoGg,"NO")</f>
        <v>1.9333864620707719E-6</v>
      </c>
      <c r="BA152" s="22">
        <f>IFERROR(('Activity data'!BA95*(1/Constants!$H$135))*ttokg*FracLEACH*MSLeachEF*NtoN2O*kgtoGg,"NO")</f>
        <v>1.9333864620707719E-6</v>
      </c>
      <c r="BB152" s="22">
        <f>IFERROR(('Activity data'!BB95*(1/Constants!$H$135))*ttokg*FracLEACH*MSLeachEF*NtoN2O*kgtoGg,"NO")</f>
        <v>1.9333864620707719E-6</v>
      </c>
      <c r="BC152" s="22">
        <f>IFERROR(('Activity data'!BC95*(1/Constants!$H$135))*ttokg*FracLEACH*MSLeachEF*NtoN2O*kgtoGg,"NO")</f>
        <v>1.9333864620707719E-6</v>
      </c>
      <c r="BD152" s="22">
        <f>IFERROR(('Activity data'!BD95*(1/Constants!$H$135))*ttokg*FracLEACH*MSLeachEF*NtoN2O*kgtoGg,"NO")</f>
        <v>1.9333864620707719E-6</v>
      </c>
      <c r="BE152" s="22">
        <f>IFERROR(('Activity data'!BE95*(1/Constants!$H$135))*ttokg*FracLEACH*MSLeachEF*NtoN2O*kgtoGg,"NO")</f>
        <v>1.9333864620707719E-6</v>
      </c>
      <c r="BF152" s="22">
        <f>IFERROR(('Activity data'!BF95*(1/Constants!$H$135))*ttokg*FracLEACH*MSLeachEF*NtoN2O*kgtoGg,"NO")</f>
        <v>1.9333864620707719E-6</v>
      </c>
      <c r="BG152" s="22">
        <f>IFERROR(('Activity data'!BG95*(1/Constants!$H$135))*ttokg*FracLEACH*MSLeachEF*NtoN2O*kgtoGg,"NO")</f>
        <v>1.9333864620707719E-6</v>
      </c>
      <c r="BH152" s="22">
        <f>IFERROR(('Activity data'!BH95*(1/Constants!$H$135))*ttokg*FracLEACH*MSLeachEF*NtoN2O*kgtoGg,"NO")</f>
        <v>1.9333864620707719E-6</v>
      </c>
      <c r="BI152" s="22">
        <f>IFERROR(('Activity data'!BI95*(1/Constants!$H$135))*ttokg*FracLEACH*MSLeachEF*NtoN2O*kgtoGg,"NO")</f>
        <v>1.9333864620707719E-6</v>
      </c>
      <c r="BJ152" s="22">
        <f>IFERROR(('Activity data'!BJ95*(1/Constants!$H$135))*ttokg*FracLEACH*MSLeachEF*NtoN2O*kgtoGg,"NO")</f>
        <v>1.9333864620707719E-6</v>
      </c>
      <c r="BK152" s="22">
        <f>IFERROR(('Activity data'!BK95*(1/Constants!$H$135))*ttokg*FracLEACH*MSLeachEF*NtoN2O*kgtoGg,"NO")</f>
        <v>1.9333864620707719E-6</v>
      </c>
      <c r="BL152" s="22">
        <f>IFERROR(('Activity data'!BL95*(1/Constants!$H$135))*ttokg*FracLEACH*MSLeachEF*NtoN2O*kgtoGg,"NO")</f>
        <v>1.9333864620707719E-6</v>
      </c>
      <c r="BM152" s="22">
        <f>IFERROR(('Activity data'!BM95*(1/Constants!$H$135))*ttokg*FracLEACH*MSLeachEF*NtoN2O*kgtoGg,"NO")</f>
        <v>1.9333864620707719E-6</v>
      </c>
      <c r="BN152" s="22">
        <f>IFERROR(('Activity data'!BN95*(1/Constants!$H$135))*ttokg*FracLEACH*MSLeachEF*NtoN2O*kgtoGg,"NO")</f>
        <v>1.9333864620707719E-6</v>
      </c>
      <c r="BO152" s="22">
        <f>IFERROR(('Activity data'!BO95*(1/Constants!$H$135))*ttokg*FracLEACH*MSLeachEF*NtoN2O*kgtoGg,"NO")</f>
        <v>1.9333864620707719E-6</v>
      </c>
      <c r="BP152" s="22">
        <f>IFERROR(('Activity data'!BP95*(1/Constants!$H$135))*ttokg*FracLEACH*MSLeachEF*NtoN2O*kgtoGg,"NO")</f>
        <v>1.9333864620707719E-6</v>
      </c>
    </row>
    <row r="153" spans="1:68" x14ac:dyDescent="0.3">
      <c r="A153" t="str">
        <f t="shared" si="58"/>
        <v>3C Aggregated and non-CO2 emissions on land</v>
      </c>
      <c r="B153" t="str">
        <f t="shared" si="59"/>
        <v>3C5 Indirect N2O from managed soils (N2O)</v>
      </c>
      <c r="C153" t="str">
        <f t="shared" si="54"/>
        <v>Leaching/runoff</v>
      </c>
      <c r="D153" t="str">
        <f>" - FSOM - "&amp;'Activity data'!D96</f>
        <v xml:space="preserve"> - FSOM - Land converted to settlements</v>
      </c>
      <c r="E153" t="str">
        <f t="shared" si="60"/>
        <v>Leaching/runoff - FSOM - Land converted to settlements</v>
      </c>
      <c r="F153" t="str">
        <f t="shared" si="47"/>
        <v>N2O</v>
      </c>
      <c r="G153" t="str">
        <f t="shared" si="48"/>
        <v>Gg N2O</v>
      </c>
      <c r="H153" s="22">
        <f>IFERROR(('Activity data'!H96*(1/Constants!$H$135))*ttokg*FracLEACH*MSLeachEF*NtoN2O*kgtoGg,"NO")</f>
        <v>0</v>
      </c>
      <c r="I153" s="22">
        <f>IFERROR(('Activity data'!I96*(1/Constants!$H$135))*ttokg*FracLEACH*MSLeachEF*NtoN2O*kgtoGg,"NO")</f>
        <v>2.1478724107376677E-4</v>
      </c>
      <c r="J153" s="22">
        <f>IFERROR(('Activity data'!J96*(1/Constants!$H$135))*ttokg*FracLEACH*MSLeachEF*NtoN2O*kgtoGg,"NO")</f>
        <v>2.1478724107376677E-4</v>
      </c>
      <c r="K153" s="22">
        <f>IFERROR(('Activity data'!K96*(1/Constants!$H$135))*ttokg*FracLEACH*MSLeachEF*NtoN2O*kgtoGg,"NO")</f>
        <v>2.1478724107376677E-4</v>
      </c>
      <c r="L153" s="22">
        <f>IFERROR(('Activity data'!L96*(1/Constants!$H$135))*ttokg*FracLEACH*MSLeachEF*NtoN2O*kgtoGg,"NO")</f>
        <v>2.1478724107376677E-4</v>
      </c>
      <c r="M153" s="22">
        <f>IFERROR(('Activity data'!M96*(1/Constants!$H$135))*ttokg*FracLEACH*MSLeachEF*NtoN2O*kgtoGg,"NO")</f>
        <v>2.1478724107376677E-4</v>
      </c>
      <c r="N153" s="22">
        <f>IFERROR(('Activity data'!N96*(1/Constants!$H$135))*ttokg*FracLEACH*MSLeachEF*NtoN2O*kgtoGg,"NO")</f>
        <v>2.1478724107376677E-4</v>
      </c>
      <c r="O153" s="22">
        <f>IFERROR(('Activity data'!O96*(1/Constants!$H$135))*ttokg*FracLEACH*MSLeachEF*NtoN2O*kgtoGg,"NO")</f>
        <v>2.1478724107376677E-4</v>
      </c>
      <c r="P153" s="22">
        <f>IFERROR(('Activity data'!P96*(1/Constants!$H$135))*ttokg*FracLEACH*MSLeachEF*NtoN2O*kgtoGg,"NO")</f>
        <v>2.1478724107376677E-4</v>
      </c>
      <c r="Q153" s="22">
        <f>IFERROR(('Activity data'!Q96*(1/Constants!$H$135))*ttokg*FracLEACH*MSLeachEF*NtoN2O*kgtoGg,"NO")</f>
        <v>2.1478724107376677E-4</v>
      </c>
      <c r="R153" s="22">
        <f>IFERROR(('Activity data'!R96*(1/Constants!$H$135))*ttokg*FracLEACH*MSLeachEF*NtoN2O*kgtoGg,"NO")</f>
        <v>2.1478724107376677E-4</v>
      </c>
      <c r="S153" s="22">
        <f>IFERROR(('Activity data'!S96*(1/Constants!$H$135))*ttokg*FracLEACH*MSLeachEF*NtoN2O*kgtoGg,"NO")</f>
        <v>2.1478724107376677E-4</v>
      </c>
      <c r="T153" s="22">
        <f>IFERROR(('Activity data'!T96*(1/Constants!$H$135))*ttokg*FracLEACH*MSLeachEF*NtoN2O*kgtoGg,"NO")</f>
        <v>2.1478724107376677E-4</v>
      </c>
      <c r="U153" s="22">
        <f>IFERROR(('Activity data'!U96*(1/Constants!$H$135))*ttokg*FracLEACH*MSLeachEF*NtoN2O*kgtoGg,"NO")</f>
        <v>2.1478724107376677E-4</v>
      </c>
      <c r="V153" s="22">
        <f>IFERROR(('Activity data'!V96*(1/Constants!$H$135))*ttokg*FracLEACH*MSLeachEF*NtoN2O*kgtoGg,"NO")</f>
        <v>2.1478724107376677E-4</v>
      </c>
      <c r="W153" s="22">
        <f>IFERROR(('Activity data'!W96*(1/Constants!$H$135))*ttokg*FracLEACH*MSLeachEF*NtoN2O*kgtoGg,"NO")</f>
        <v>2.1478724107376677E-4</v>
      </c>
      <c r="X153" s="22">
        <f>IFERROR(('Activity data'!X96*(1/Constants!$H$135))*ttokg*FracLEACH*MSLeachEF*NtoN2O*kgtoGg,"NO")</f>
        <v>2.1478724107376677E-4</v>
      </c>
      <c r="Y153" s="22">
        <f>IFERROR(('Activity data'!Y96*(1/Constants!$H$135))*ttokg*FracLEACH*MSLeachEF*NtoN2O*kgtoGg,"NO")</f>
        <v>2.1478724107376677E-4</v>
      </c>
      <c r="Z153" s="22">
        <f>IFERROR(('Activity data'!Z96*(1/Constants!$H$135))*ttokg*FracLEACH*MSLeachEF*NtoN2O*kgtoGg,"NO")</f>
        <v>2.1478724107376677E-4</v>
      </c>
      <c r="AA153" s="22">
        <f>IFERROR(('Activity data'!AA96*(1/Constants!$H$135))*ttokg*FracLEACH*MSLeachEF*NtoN2O*kgtoGg,"NO")</f>
        <v>2.1478724107376677E-4</v>
      </c>
      <c r="AB153" s="22">
        <f>IFERROR(('Activity data'!AB96*(1/Constants!$H$135))*ttokg*FracLEACH*MSLeachEF*NtoN2O*kgtoGg,"NO")</f>
        <v>2.1478724107376677E-4</v>
      </c>
      <c r="AC153" s="22">
        <f>IFERROR(('Activity data'!AC96*(1/Constants!$H$135))*ttokg*FracLEACH*MSLeachEF*NtoN2O*kgtoGg,"NO")</f>
        <v>2.1478724107376677E-4</v>
      </c>
      <c r="AD153" s="22">
        <f>IFERROR(('Activity data'!AD96*(1/Constants!$H$135))*ttokg*FracLEACH*MSLeachEF*NtoN2O*kgtoGg,"NO")</f>
        <v>2.1082459751876198E-3</v>
      </c>
      <c r="AE153" s="22">
        <f>IFERROR(('Activity data'!AE96*(1/Constants!$H$135))*ttokg*FracLEACH*MSLeachEF*NtoN2O*kgtoGg,"NO")</f>
        <v>2.1082459751876198E-3</v>
      </c>
      <c r="AF153" s="22">
        <f>IFERROR(('Activity data'!AF96*(1/Constants!$H$135))*ttokg*FracLEACH*MSLeachEF*NtoN2O*kgtoGg,"NO")</f>
        <v>2.1082459751876198E-3</v>
      </c>
      <c r="AG153" s="22">
        <f>IFERROR(('Activity data'!AG96*(1/Constants!$H$135))*ttokg*FracLEACH*MSLeachEF*NtoN2O*kgtoGg,"NO")</f>
        <v>2.1082459751876198E-3</v>
      </c>
      <c r="AH153" s="22">
        <f>IFERROR(('Activity data'!AH96*(1/Constants!$H$135))*ttokg*FracLEACH*MSLeachEF*NtoN2O*kgtoGg,"NO")</f>
        <v>2.1082459751876198E-3</v>
      </c>
      <c r="AI153" s="22">
        <f>IFERROR(('Activity data'!AI96*(1/Constants!$H$135))*ttokg*FracLEACH*MSLeachEF*NtoN2O*kgtoGg,"NO")</f>
        <v>2.1082459751876198E-3</v>
      </c>
      <c r="AJ153" s="22">
        <f>IFERROR(('Activity data'!AJ96*(1/Constants!$H$135))*ttokg*FracLEACH*MSLeachEF*NtoN2O*kgtoGg,"NO")</f>
        <v>2.1082459751876198E-3</v>
      </c>
      <c r="AK153" s="22">
        <f>IFERROR(('Activity data'!AK96*(1/Constants!$H$135))*ttokg*FracLEACH*MSLeachEF*NtoN2O*kgtoGg,"NO")</f>
        <v>2.1082459751876198E-3</v>
      </c>
      <c r="AL153" s="22">
        <f>IFERROR(('Activity data'!AL96*(1/Constants!$H$135))*ttokg*FracLEACH*MSLeachEF*NtoN2O*kgtoGg,"NO")</f>
        <v>2.1082459751876198E-3</v>
      </c>
      <c r="AM153" s="22">
        <f>IFERROR(('Activity data'!AM96*(1/Constants!$H$135))*ttokg*FracLEACH*MSLeachEF*NtoN2O*kgtoGg,"NO")</f>
        <v>2.1082459751876198E-3</v>
      </c>
      <c r="AN153" s="22">
        <f>IFERROR(('Activity data'!AN96*(1/Constants!$H$135))*ttokg*FracLEACH*MSLeachEF*NtoN2O*kgtoGg,"NO")</f>
        <v>2.1082459751876198E-3</v>
      </c>
      <c r="AO153" s="22">
        <f>IFERROR(('Activity data'!AO96*(1/Constants!$H$135))*ttokg*FracLEACH*MSLeachEF*NtoN2O*kgtoGg,"NO")</f>
        <v>2.1082459751876198E-3</v>
      </c>
      <c r="AP153" s="22">
        <f>IFERROR(('Activity data'!AP96*(1/Constants!$H$135))*ttokg*FracLEACH*MSLeachEF*NtoN2O*kgtoGg,"NO")</f>
        <v>2.1082459751876198E-3</v>
      </c>
      <c r="AQ153" s="22">
        <f>IFERROR(('Activity data'!AQ96*(1/Constants!$H$135))*ttokg*FracLEACH*MSLeachEF*NtoN2O*kgtoGg,"NO")</f>
        <v>2.1082459751876198E-3</v>
      </c>
      <c r="AR153" s="22">
        <f>IFERROR(('Activity data'!AR96*(1/Constants!$H$135))*ttokg*FracLEACH*MSLeachEF*NtoN2O*kgtoGg,"NO")</f>
        <v>2.1082459751876198E-3</v>
      </c>
      <c r="AS153" s="22">
        <f>IFERROR(('Activity data'!AS96*(1/Constants!$H$135))*ttokg*FracLEACH*MSLeachEF*NtoN2O*kgtoGg,"NO")</f>
        <v>2.1082459751876198E-3</v>
      </c>
      <c r="AT153" s="22">
        <f>IFERROR(('Activity data'!AT96*(1/Constants!$H$135))*ttokg*FracLEACH*MSLeachEF*NtoN2O*kgtoGg,"NO")</f>
        <v>2.1082459751876198E-3</v>
      </c>
      <c r="AU153" s="22">
        <f>IFERROR(('Activity data'!AU96*(1/Constants!$H$135))*ttokg*FracLEACH*MSLeachEF*NtoN2O*kgtoGg,"NO")</f>
        <v>2.1082459751876198E-3</v>
      </c>
      <c r="AV153" s="22">
        <f>IFERROR(('Activity data'!AV96*(1/Constants!$H$135))*ttokg*FracLEACH*MSLeachEF*NtoN2O*kgtoGg,"NO")</f>
        <v>2.1082459751876198E-3</v>
      </c>
      <c r="AW153" s="22">
        <f>IFERROR(('Activity data'!AW96*(1/Constants!$H$135))*ttokg*FracLEACH*MSLeachEF*NtoN2O*kgtoGg,"NO")</f>
        <v>2.1082459751876198E-3</v>
      </c>
      <c r="AX153" s="22">
        <f>IFERROR(('Activity data'!AX96*(1/Constants!$H$135))*ttokg*FracLEACH*MSLeachEF*NtoN2O*kgtoGg,"NO")</f>
        <v>2.1082459751876198E-3</v>
      </c>
      <c r="AY153" s="22">
        <f>IFERROR(('Activity data'!AY96*(1/Constants!$H$135))*ttokg*FracLEACH*MSLeachEF*NtoN2O*kgtoGg,"NO")</f>
        <v>2.1082459751876198E-3</v>
      </c>
      <c r="AZ153" s="22">
        <f>IFERROR(('Activity data'!AZ96*(1/Constants!$H$135))*ttokg*FracLEACH*MSLeachEF*NtoN2O*kgtoGg,"NO")</f>
        <v>2.1082459751876198E-3</v>
      </c>
      <c r="BA153" s="22">
        <f>IFERROR(('Activity data'!BA96*(1/Constants!$H$135))*ttokg*FracLEACH*MSLeachEF*NtoN2O*kgtoGg,"NO")</f>
        <v>2.1082459751876198E-3</v>
      </c>
      <c r="BB153" s="22">
        <f>IFERROR(('Activity data'!BB96*(1/Constants!$H$135))*ttokg*FracLEACH*MSLeachEF*NtoN2O*kgtoGg,"NO")</f>
        <v>2.1082459751876198E-3</v>
      </c>
      <c r="BC153" s="22">
        <f>IFERROR(('Activity data'!BC96*(1/Constants!$H$135))*ttokg*FracLEACH*MSLeachEF*NtoN2O*kgtoGg,"NO")</f>
        <v>2.1082459751876198E-3</v>
      </c>
      <c r="BD153" s="22">
        <f>IFERROR(('Activity data'!BD96*(1/Constants!$H$135))*ttokg*FracLEACH*MSLeachEF*NtoN2O*kgtoGg,"NO")</f>
        <v>2.1082459751876198E-3</v>
      </c>
      <c r="BE153" s="22">
        <f>IFERROR(('Activity data'!BE96*(1/Constants!$H$135))*ttokg*FracLEACH*MSLeachEF*NtoN2O*kgtoGg,"NO")</f>
        <v>2.1082459751876198E-3</v>
      </c>
      <c r="BF153" s="22">
        <f>IFERROR(('Activity data'!BF96*(1/Constants!$H$135))*ttokg*FracLEACH*MSLeachEF*NtoN2O*kgtoGg,"NO")</f>
        <v>2.1082459751876198E-3</v>
      </c>
      <c r="BG153" s="22">
        <f>IFERROR(('Activity data'!BG96*(1/Constants!$H$135))*ttokg*FracLEACH*MSLeachEF*NtoN2O*kgtoGg,"NO")</f>
        <v>2.1082459751876198E-3</v>
      </c>
      <c r="BH153" s="22">
        <f>IFERROR(('Activity data'!BH96*(1/Constants!$H$135))*ttokg*FracLEACH*MSLeachEF*NtoN2O*kgtoGg,"NO")</f>
        <v>2.1082459751876198E-3</v>
      </c>
      <c r="BI153" s="22">
        <f>IFERROR(('Activity data'!BI96*(1/Constants!$H$135))*ttokg*FracLEACH*MSLeachEF*NtoN2O*kgtoGg,"NO")</f>
        <v>2.1082459751876198E-3</v>
      </c>
      <c r="BJ153" s="22">
        <f>IFERROR(('Activity data'!BJ96*(1/Constants!$H$135))*ttokg*FracLEACH*MSLeachEF*NtoN2O*kgtoGg,"NO")</f>
        <v>2.1082459751876198E-3</v>
      </c>
      <c r="BK153" s="22">
        <f>IFERROR(('Activity data'!BK96*(1/Constants!$H$135))*ttokg*FracLEACH*MSLeachEF*NtoN2O*kgtoGg,"NO")</f>
        <v>2.1082459751876198E-3</v>
      </c>
      <c r="BL153" s="22">
        <f>IFERROR(('Activity data'!BL96*(1/Constants!$H$135))*ttokg*FracLEACH*MSLeachEF*NtoN2O*kgtoGg,"NO")</f>
        <v>2.1082459751876198E-3</v>
      </c>
      <c r="BM153" s="22">
        <f>IFERROR(('Activity data'!BM96*(1/Constants!$H$135))*ttokg*FracLEACH*MSLeachEF*NtoN2O*kgtoGg,"NO")</f>
        <v>2.1082459751876198E-3</v>
      </c>
      <c r="BN153" s="22">
        <f>IFERROR(('Activity data'!BN96*(1/Constants!$H$135))*ttokg*FracLEACH*MSLeachEF*NtoN2O*kgtoGg,"NO")</f>
        <v>2.1082459751876198E-3</v>
      </c>
      <c r="BO153" s="22">
        <f>IFERROR(('Activity data'!BO96*(1/Constants!$H$135))*ttokg*FracLEACH*MSLeachEF*NtoN2O*kgtoGg,"NO")</f>
        <v>2.1082459751876198E-3</v>
      </c>
      <c r="BP153" s="22">
        <f>IFERROR(('Activity data'!BP96*(1/Constants!$H$135))*ttokg*FracLEACH*MSLeachEF*NtoN2O*kgtoGg,"NO")</f>
        <v>2.1082459751876198E-3</v>
      </c>
    </row>
    <row r="154" spans="1:68" x14ac:dyDescent="0.3">
      <c r="A154" t="str">
        <f t="shared" si="58"/>
        <v>3C Aggregated and non-CO2 emissions on land</v>
      </c>
      <c r="B154" t="str">
        <f t="shared" si="59"/>
        <v>3C5 Indirect N2O from managed soils (N2O)</v>
      </c>
      <c r="C154" t="str">
        <f t="shared" si="54"/>
        <v>Leaching/runoff</v>
      </c>
      <c r="D154" t="str">
        <f>" - FSOM - "&amp;'Activity data'!D97</f>
        <v xml:space="preserve"> - FSOM - Other land remaining other land</v>
      </c>
      <c r="E154" t="str">
        <f t="shared" si="60"/>
        <v>Leaching/runoff - FSOM - Other land remaining other land</v>
      </c>
      <c r="F154" t="str">
        <f t="shared" si="47"/>
        <v>N2O</v>
      </c>
      <c r="G154" t="str">
        <f t="shared" si="48"/>
        <v>Gg N2O</v>
      </c>
      <c r="H154" s="22" t="str">
        <f>IFERROR(('Activity data'!H97*(1/Constants!$H$135))*ttokg*FracLEACH*MSLeachEF*NtoN2O*kgtoGg,"NO")</f>
        <v>NO</v>
      </c>
      <c r="I154" s="22" t="str">
        <f>IFERROR(('Activity data'!I97*(1/Constants!$H$135))*ttokg*FracLEACH*MSLeachEF*NtoN2O*kgtoGg,"NO")</f>
        <v>NO</v>
      </c>
      <c r="J154" s="22" t="str">
        <f>IFERROR(('Activity data'!J97*(1/Constants!$H$135))*ttokg*FracLEACH*MSLeachEF*NtoN2O*kgtoGg,"NO")</f>
        <v>NO</v>
      </c>
      <c r="K154" s="22" t="str">
        <f>IFERROR(('Activity data'!K97*(1/Constants!$H$135))*ttokg*FracLEACH*MSLeachEF*NtoN2O*kgtoGg,"NO")</f>
        <v>NO</v>
      </c>
      <c r="L154" s="22" t="str">
        <f>IFERROR(('Activity data'!L97*(1/Constants!$H$135))*ttokg*FracLEACH*MSLeachEF*NtoN2O*kgtoGg,"NO")</f>
        <v>NO</v>
      </c>
      <c r="M154" s="22" t="str">
        <f>IFERROR(('Activity data'!M97*(1/Constants!$H$135))*ttokg*FracLEACH*MSLeachEF*NtoN2O*kgtoGg,"NO")</f>
        <v>NO</v>
      </c>
      <c r="N154" s="22" t="str">
        <f>IFERROR(('Activity data'!N97*(1/Constants!$H$135))*ttokg*FracLEACH*MSLeachEF*NtoN2O*kgtoGg,"NO")</f>
        <v>NO</v>
      </c>
      <c r="O154" s="22" t="str">
        <f>IFERROR(('Activity data'!O97*(1/Constants!$H$135))*ttokg*FracLEACH*MSLeachEF*NtoN2O*kgtoGg,"NO")</f>
        <v>NO</v>
      </c>
      <c r="P154" s="22" t="str">
        <f>IFERROR(('Activity data'!P97*(1/Constants!$H$135))*ttokg*FracLEACH*MSLeachEF*NtoN2O*kgtoGg,"NO")</f>
        <v>NO</v>
      </c>
      <c r="Q154" s="22" t="str">
        <f>IFERROR(('Activity data'!Q97*(1/Constants!$H$135))*ttokg*FracLEACH*MSLeachEF*NtoN2O*kgtoGg,"NO")</f>
        <v>NO</v>
      </c>
      <c r="R154" s="22" t="str">
        <f>IFERROR(('Activity data'!R97*(1/Constants!$H$135))*ttokg*FracLEACH*MSLeachEF*NtoN2O*kgtoGg,"NO")</f>
        <v>NO</v>
      </c>
      <c r="S154" s="22" t="str">
        <f>IFERROR(('Activity data'!S97*(1/Constants!$H$135))*ttokg*FracLEACH*MSLeachEF*NtoN2O*kgtoGg,"NO")</f>
        <v>NO</v>
      </c>
      <c r="T154" s="22" t="str">
        <f>IFERROR(('Activity data'!T97*(1/Constants!$H$135))*ttokg*FracLEACH*MSLeachEF*NtoN2O*kgtoGg,"NO")</f>
        <v>NO</v>
      </c>
      <c r="U154" s="22" t="str">
        <f>IFERROR(('Activity data'!U97*(1/Constants!$H$135))*ttokg*FracLEACH*MSLeachEF*NtoN2O*kgtoGg,"NO")</f>
        <v>NO</v>
      </c>
      <c r="V154" s="22" t="str">
        <f>IFERROR(('Activity data'!V97*(1/Constants!$H$135))*ttokg*FracLEACH*MSLeachEF*NtoN2O*kgtoGg,"NO")</f>
        <v>NO</v>
      </c>
      <c r="W154" s="22" t="str">
        <f>IFERROR(('Activity data'!W97*(1/Constants!$H$135))*ttokg*FracLEACH*MSLeachEF*NtoN2O*kgtoGg,"NO")</f>
        <v>NO</v>
      </c>
      <c r="X154" s="22" t="str">
        <f>IFERROR(('Activity data'!X97*(1/Constants!$H$135))*ttokg*FracLEACH*MSLeachEF*NtoN2O*kgtoGg,"NO")</f>
        <v>NO</v>
      </c>
      <c r="Y154" s="22" t="str">
        <f>IFERROR(('Activity data'!Y97*(1/Constants!$H$135))*ttokg*FracLEACH*MSLeachEF*NtoN2O*kgtoGg,"NO")</f>
        <v>NO</v>
      </c>
      <c r="Z154" s="22" t="str">
        <f>IFERROR(('Activity data'!Z97*(1/Constants!$H$135))*ttokg*FracLEACH*MSLeachEF*NtoN2O*kgtoGg,"NO")</f>
        <v>NO</v>
      </c>
      <c r="AA154" s="22" t="str">
        <f>IFERROR(('Activity data'!AA97*(1/Constants!$H$135))*ttokg*FracLEACH*MSLeachEF*NtoN2O*kgtoGg,"NO")</f>
        <v>NO</v>
      </c>
      <c r="AB154" s="22" t="str">
        <f>IFERROR(('Activity data'!AB97*(1/Constants!$H$135))*ttokg*FracLEACH*MSLeachEF*NtoN2O*kgtoGg,"NO")</f>
        <v>NO</v>
      </c>
      <c r="AC154" s="22" t="str">
        <f>IFERROR(('Activity data'!AC97*(1/Constants!$H$135))*ttokg*FracLEACH*MSLeachEF*NtoN2O*kgtoGg,"NO")</f>
        <v>NO</v>
      </c>
      <c r="AD154" s="22" t="str">
        <f>IFERROR(('Activity data'!AD97*(1/Constants!$H$135))*ttokg*FracLEACH*MSLeachEF*NtoN2O*kgtoGg,"NO")</f>
        <v>NO</v>
      </c>
      <c r="AE154" s="22" t="str">
        <f>IFERROR(('Activity data'!AE97*(1/Constants!$H$135))*ttokg*FracLEACH*MSLeachEF*NtoN2O*kgtoGg,"NO")</f>
        <v>NO</v>
      </c>
      <c r="AF154" s="22" t="str">
        <f>IFERROR(('Activity data'!AF97*(1/Constants!$H$135))*ttokg*FracLEACH*MSLeachEF*NtoN2O*kgtoGg,"NO")</f>
        <v>NO</v>
      </c>
      <c r="AG154" s="22" t="str">
        <f>IFERROR(('Activity data'!AG97*(1/Constants!$H$135))*ttokg*FracLEACH*MSLeachEF*NtoN2O*kgtoGg,"NO")</f>
        <v>NO</v>
      </c>
      <c r="AH154" s="22" t="str">
        <f>IFERROR(('Activity data'!AH97*(1/Constants!$H$135))*ttokg*FracLEACH*MSLeachEF*NtoN2O*kgtoGg,"NO")</f>
        <v>NO</v>
      </c>
      <c r="AI154" s="22" t="str">
        <f>IFERROR(('Activity data'!AI97*(1/Constants!$H$135))*ttokg*FracLEACH*MSLeachEF*NtoN2O*kgtoGg,"NO")</f>
        <v>NO</v>
      </c>
      <c r="AJ154" s="22" t="str">
        <f>IFERROR(('Activity data'!AJ97*(1/Constants!$H$135))*ttokg*FracLEACH*MSLeachEF*NtoN2O*kgtoGg,"NO")</f>
        <v>NO</v>
      </c>
      <c r="AK154" s="22" t="str">
        <f>IFERROR(('Activity data'!AK97*(1/Constants!$H$135))*ttokg*FracLEACH*MSLeachEF*NtoN2O*kgtoGg,"NO")</f>
        <v>NO</v>
      </c>
      <c r="AL154" s="22" t="str">
        <f>IFERROR(('Activity data'!AL97*(1/Constants!$H$135))*ttokg*FracLEACH*MSLeachEF*NtoN2O*kgtoGg,"NO")</f>
        <v>NO</v>
      </c>
      <c r="AM154" s="22" t="str">
        <f>IFERROR(('Activity data'!AM97*(1/Constants!$H$135))*ttokg*FracLEACH*MSLeachEF*NtoN2O*kgtoGg,"NO")</f>
        <v>NO</v>
      </c>
      <c r="AN154" s="22" t="str">
        <f>IFERROR(('Activity data'!AN97*(1/Constants!$H$135))*ttokg*FracLEACH*MSLeachEF*NtoN2O*kgtoGg,"NO")</f>
        <v>NO</v>
      </c>
      <c r="AO154" s="22" t="str">
        <f>IFERROR(('Activity data'!AO97*(1/Constants!$H$135))*ttokg*FracLEACH*MSLeachEF*NtoN2O*kgtoGg,"NO")</f>
        <v>NO</v>
      </c>
      <c r="AP154" s="22" t="str">
        <f>IFERROR(('Activity data'!AP97*(1/Constants!$H$135))*ttokg*FracLEACH*MSLeachEF*NtoN2O*kgtoGg,"NO")</f>
        <v>NO</v>
      </c>
      <c r="AQ154" s="22" t="str">
        <f>IFERROR(('Activity data'!AQ97*(1/Constants!$H$135))*ttokg*FracLEACH*MSLeachEF*NtoN2O*kgtoGg,"NO")</f>
        <v>NO</v>
      </c>
      <c r="AR154" s="22" t="str">
        <f>IFERROR(('Activity data'!AR97*(1/Constants!$H$135))*ttokg*FracLEACH*MSLeachEF*NtoN2O*kgtoGg,"NO")</f>
        <v>NO</v>
      </c>
      <c r="AS154" s="22" t="str">
        <f>IFERROR(('Activity data'!AS97*(1/Constants!$H$135))*ttokg*FracLEACH*MSLeachEF*NtoN2O*kgtoGg,"NO")</f>
        <v>NO</v>
      </c>
      <c r="AT154" s="22" t="str">
        <f>IFERROR(('Activity data'!AT97*(1/Constants!$H$135))*ttokg*FracLEACH*MSLeachEF*NtoN2O*kgtoGg,"NO")</f>
        <v>NO</v>
      </c>
      <c r="AU154" s="22" t="str">
        <f>IFERROR(('Activity data'!AU97*(1/Constants!$H$135))*ttokg*FracLEACH*MSLeachEF*NtoN2O*kgtoGg,"NO")</f>
        <v>NO</v>
      </c>
      <c r="AV154" s="22" t="str">
        <f>IFERROR(('Activity data'!AV97*(1/Constants!$H$135))*ttokg*FracLEACH*MSLeachEF*NtoN2O*kgtoGg,"NO")</f>
        <v>NO</v>
      </c>
      <c r="AW154" s="22" t="str">
        <f>IFERROR(('Activity data'!AW97*(1/Constants!$H$135))*ttokg*FracLEACH*MSLeachEF*NtoN2O*kgtoGg,"NO")</f>
        <v>NO</v>
      </c>
      <c r="AX154" s="22" t="str">
        <f>IFERROR(('Activity data'!AX97*(1/Constants!$H$135))*ttokg*FracLEACH*MSLeachEF*NtoN2O*kgtoGg,"NO")</f>
        <v>NO</v>
      </c>
      <c r="AY154" s="22" t="str">
        <f>IFERROR(('Activity data'!AY97*(1/Constants!$H$135))*ttokg*FracLEACH*MSLeachEF*NtoN2O*kgtoGg,"NO")</f>
        <v>NO</v>
      </c>
      <c r="AZ154" s="22" t="str">
        <f>IFERROR(('Activity data'!AZ97*(1/Constants!$H$135))*ttokg*FracLEACH*MSLeachEF*NtoN2O*kgtoGg,"NO")</f>
        <v>NO</v>
      </c>
      <c r="BA154" s="22" t="str">
        <f>IFERROR(('Activity data'!BA97*(1/Constants!$H$135))*ttokg*FracLEACH*MSLeachEF*NtoN2O*kgtoGg,"NO")</f>
        <v>NO</v>
      </c>
      <c r="BB154" s="22" t="str">
        <f>IFERROR(('Activity data'!BB97*(1/Constants!$H$135))*ttokg*FracLEACH*MSLeachEF*NtoN2O*kgtoGg,"NO")</f>
        <v>NO</v>
      </c>
      <c r="BC154" s="22" t="str">
        <f>IFERROR(('Activity data'!BC97*(1/Constants!$H$135))*ttokg*FracLEACH*MSLeachEF*NtoN2O*kgtoGg,"NO")</f>
        <v>NO</v>
      </c>
      <c r="BD154" s="22" t="str">
        <f>IFERROR(('Activity data'!BD97*(1/Constants!$H$135))*ttokg*FracLEACH*MSLeachEF*NtoN2O*kgtoGg,"NO")</f>
        <v>NO</v>
      </c>
      <c r="BE154" s="22" t="str">
        <f>IFERROR(('Activity data'!BE97*(1/Constants!$H$135))*ttokg*FracLEACH*MSLeachEF*NtoN2O*kgtoGg,"NO")</f>
        <v>NO</v>
      </c>
      <c r="BF154" s="22" t="str">
        <f>IFERROR(('Activity data'!BF97*(1/Constants!$H$135))*ttokg*FracLEACH*MSLeachEF*NtoN2O*kgtoGg,"NO")</f>
        <v>NO</v>
      </c>
      <c r="BG154" s="22" t="str">
        <f>IFERROR(('Activity data'!BG97*(1/Constants!$H$135))*ttokg*FracLEACH*MSLeachEF*NtoN2O*kgtoGg,"NO")</f>
        <v>NO</v>
      </c>
      <c r="BH154" s="22" t="str">
        <f>IFERROR(('Activity data'!BH97*(1/Constants!$H$135))*ttokg*FracLEACH*MSLeachEF*NtoN2O*kgtoGg,"NO")</f>
        <v>NO</v>
      </c>
      <c r="BI154" s="22" t="str">
        <f>IFERROR(('Activity data'!BI97*(1/Constants!$H$135))*ttokg*FracLEACH*MSLeachEF*NtoN2O*kgtoGg,"NO")</f>
        <v>NO</v>
      </c>
      <c r="BJ154" s="22" t="str">
        <f>IFERROR(('Activity data'!BJ97*(1/Constants!$H$135))*ttokg*FracLEACH*MSLeachEF*NtoN2O*kgtoGg,"NO")</f>
        <v>NO</v>
      </c>
      <c r="BK154" s="22" t="str">
        <f>IFERROR(('Activity data'!BK97*(1/Constants!$H$135))*ttokg*FracLEACH*MSLeachEF*NtoN2O*kgtoGg,"NO")</f>
        <v>NO</v>
      </c>
      <c r="BL154" s="22" t="str">
        <f>IFERROR(('Activity data'!BL97*(1/Constants!$H$135))*ttokg*FracLEACH*MSLeachEF*NtoN2O*kgtoGg,"NO")</f>
        <v>NO</v>
      </c>
      <c r="BM154" s="22" t="str">
        <f>IFERROR(('Activity data'!BM97*(1/Constants!$H$135))*ttokg*FracLEACH*MSLeachEF*NtoN2O*kgtoGg,"NO")</f>
        <v>NO</v>
      </c>
      <c r="BN154" s="22" t="str">
        <f>IFERROR(('Activity data'!BN97*(1/Constants!$H$135))*ttokg*FracLEACH*MSLeachEF*NtoN2O*kgtoGg,"NO")</f>
        <v>NO</v>
      </c>
      <c r="BO154" s="22" t="str">
        <f>IFERROR(('Activity data'!BO97*(1/Constants!$H$135))*ttokg*FracLEACH*MSLeachEF*NtoN2O*kgtoGg,"NO")</f>
        <v>NO</v>
      </c>
      <c r="BP154" s="22" t="str">
        <f>IFERROR(('Activity data'!BP97*(1/Constants!$H$135))*ttokg*FracLEACH*MSLeachEF*NtoN2O*kgtoGg,"NO")</f>
        <v>NO</v>
      </c>
    </row>
    <row r="155" spans="1:68" x14ac:dyDescent="0.3">
      <c r="A155" t="str">
        <f t="shared" si="58"/>
        <v>3C Aggregated and non-CO2 emissions on land</v>
      </c>
      <c r="B155" t="str">
        <f t="shared" si="59"/>
        <v>3C5 Indirect N2O from managed soils (N2O)</v>
      </c>
      <c r="C155" t="str">
        <f t="shared" si="54"/>
        <v>Leaching/runoff</v>
      </c>
      <c r="D155" t="str">
        <f>" - FSOM - "&amp;'Activity data'!D98</f>
        <v xml:space="preserve"> - FSOM - Land converted to other lands</v>
      </c>
      <c r="E155" t="str">
        <f t="shared" si="60"/>
        <v>Leaching/runoff - FSOM - Land converted to other lands</v>
      </c>
      <c r="F155" t="str">
        <f t="shared" si="47"/>
        <v>N2O</v>
      </c>
      <c r="G155" t="str">
        <f t="shared" si="48"/>
        <v>Gg N2O</v>
      </c>
      <c r="H155" s="22">
        <f>IFERROR(('Activity data'!H98*(1/Constants!$H$135))*ttokg*FracLEACH*MSLeachEF*NtoN2O*kgtoGg,"NO")</f>
        <v>0</v>
      </c>
      <c r="I155" s="22">
        <f>IFERROR(('Activity data'!I98*(1/Constants!$H$135))*ttokg*FracLEACH*MSLeachEF*NtoN2O*kgtoGg,"NO")</f>
        <v>9.7559091197165892E-3</v>
      </c>
      <c r="J155" s="22">
        <f>IFERROR(('Activity data'!J98*(1/Constants!$H$135))*ttokg*FracLEACH*MSLeachEF*NtoN2O*kgtoGg,"NO")</f>
        <v>9.7559091197165892E-3</v>
      </c>
      <c r="K155" s="22">
        <f>IFERROR(('Activity data'!K98*(1/Constants!$H$135))*ttokg*FracLEACH*MSLeachEF*NtoN2O*kgtoGg,"NO")</f>
        <v>9.7559091197165892E-3</v>
      </c>
      <c r="L155" s="22">
        <f>IFERROR(('Activity data'!L98*(1/Constants!$H$135))*ttokg*FracLEACH*MSLeachEF*NtoN2O*kgtoGg,"NO")</f>
        <v>9.7559091197165892E-3</v>
      </c>
      <c r="M155" s="22">
        <f>IFERROR(('Activity data'!M98*(1/Constants!$H$135))*ttokg*FracLEACH*MSLeachEF*NtoN2O*kgtoGg,"NO")</f>
        <v>9.7559091197165892E-3</v>
      </c>
      <c r="N155" s="22">
        <f>IFERROR(('Activity data'!N98*(1/Constants!$H$135))*ttokg*FracLEACH*MSLeachEF*NtoN2O*kgtoGg,"NO")</f>
        <v>9.7559091197165892E-3</v>
      </c>
      <c r="O155" s="22">
        <f>IFERROR(('Activity data'!O98*(1/Constants!$H$135))*ttokg*FracLEACH*MSLeachEF*NtoN2O*kgtoGg,"NO")</f>
        <v>9.7559091197165892E-3</v>
      </c>
      <c r="P155" s="22">
        <f>IFERROR(('Activity data'!P98*(1/Constants!$H$135))*ttokg*FracLEACH*MSLeachEF*NtoN2O*kgtoGg,"NO")</f>
        <v>9.7559091197165892E-3</v>
      </c>
      <c r="Q155" s="22">
        <f>IFERROR(('Activity data'!Q98*(1/Constants!$H$135))*ttokg*FracLEACH*MSLeachEF*NtoN2O*kgtoGg,"NO")</f>
        <v>9.7559091197165892E-3</v>
      </c>
      <c r="R155" s="22">
        <f>IFERROR(('Activity data'!R98*(1/Constants!$H$135))*ttokg*FracLEACH*MSLeachEF*NtoN2O*kgtoGg,"NO")</f>
        <v>9.7559091197165892E-3</v>
      </c>
      <c r="S155" s="22">
        <f>IFERROR(('Activity data'!S98*(1/Constants!$H$135))*ttokg*FracLEACH*MSLeachEF*NtoN2O*kgtoGg,"NO")</f>
        <v>9.7559091197165892E-3</v>
      </c>
      <c r="T155" s="22">
        <f>IFERROR(('Activity data'!T98*(1/Constants!$H$135))*ttokg*FracLEACH*MSLeachEF*NtoN2O*kgtoGg,"NO")</f>
        <v>9.7559091197165892E-3</v>
      </c>
      <c r="U155" s="22">
        <f>IFERROR(('Activity data'!U98*(1/Constants!$H$135))*ttokg*FracLEACH*MSLeachEF*NtoN2O*kgtoGg,"NO")</f>
        <v>9.7559091197165892E-3</v>
      </c>
      <c r="V155" s="22">
        <f>IFERROR(('Activity data'!V98*(1/Constants!$H$135))*ttokg*FracLEACH*MSLeachEF*NtoN2O*kgtoGg,"NO")</f>
        <v>9.7559091197165892E-3</v>
      </c>
      <c r="W155" s="22">
        <f>IFERROR(('Activity data'!W98*(1/Constants!$H$135))*ttokg*FracLEACH*MSLeachEF*NtoN2O*kgtoGg,"NO")</f>
        <v>9.7559091197165892E-3</v>
      </c>
      <c r="X155" s="22">
        <f>IFERROR(('Activity data'!X98*(1/Constants!$H$135))*ttokg*FracLEACH*MSLeachEF*NtoN2O*kgtoGg,"NO")</f>
        <v>9.7559091197165892E-3</v>
      </c>
      <c r="Y155" s="22">
        <f>IFERROR(('Activity data'!Y98*(1/Constants!$H$135))*ttokg*FracLEACH*MSLeachEF*NtoN2O*kgtoGg,"NO")</f>
        <v>9.7559091197165892E-3</v>
      </c>
      <c r="Z155" s="22">
        <f>IFERROR(('Activity data'!Z98*(1/Constants!$H$135))*ttokg*FracLEACH*MSLeachEF*NtoN2O*kgtoGg,"NO")</f>
        <v>9.7559091197165892E-3</v>
      </c>
      <c r="AA155" s="22">
        <f>IFERROR(('Activity data'!AA98*(1/Constants!$H$135))*ttokg*FracLEACH*MSLeachEF*NtoN2O*kgtoGg,"NO")</f>
        <v>9.7559091197165892E-3</v>
      </c>
      <c r="AB155" s="22">
        <f>IFERROR(('Activity data'!AB98*(1/Constants!$H$135))*ttokg*FracLEACH*MSLeachEF*NtoN2O*kgtoGg,"NO")</f>
        <v>9.7559091197165892E-3</v>
      </c>
      <c r="AC155" s="22">
        <f>IFERROR(('Activity data'!AC98*(1/Constants!$H$135))*ttokg*FracLEACH*MSLeachEF*NtoN2O*kgtoGg,"NO")</f>
        <v>9.7559091197165892E-3</v>
      </c>
      <c r="AD155" s="22">
        <f>IFERROR(('Activity data'!AD98*(1/Constants!$H$135))*ttokg*FracLEACH*MSLeachEF*NtoN2O*kgtoGg,"NO")</f>
        <v>0.11026792439175388</v>
      </c>
      <c r="AE155" s="22">
        <f>IFERROR(('Activity data'!AE98*(1/Constants!$H$135))*ttokg*FracLEACH*MSLeachEF*NtoN2O*kgtoGg,"NO")</f>
        <v>0.11026792439175388</v>
      </c>
      <c r="AF155" s="22">
        <f>IFERROR(('Activity data'!AF98*(1/Constants!$H$135))*ttokg*FracLEACH*MSLeachEF*NtoN2O*kgtoGg,"NO")</f>
        <v>0.11026792439175388</v>
      </c>
      <c r="AG155" s="22">
        <f>IFERROR(('Activity data'!AG98*(1/Constants!$H$135))*ttokg*FracLEACH*MSLeachEF*NtoN2O*kgtoGg,"NO")</f>
        <v>0.11026792439175388</v>
      </c>
      <c r="AH155" s="22">
        <f>IFERROR(('Activity data'!AH98*(1/Constants!$H$135))*ttokg*FracLEACH*MSLeachEF*NtoN2O*kgtoGg,"NO")</f>
        <v>0.11026792439175388</v>
      </c>
      <c r="AI155" s="22">
        <f>IFERROR(('Activity data'!AI98*(1/Constants!$H$135))*ttokg*FracLEACH*MSLeachEF*NtoN2O*kgtoGg,"NO")</f>
        <v>0.11026792439175388</v>
      </c>
      <c r="AJ155" s="22">
        <f>IFERROR(('Activity data'!AJ98*(1/Constants!$H$135))*ttokg*FracLEACH*MSLeachEF*NtoN2O*kgtoGg,"NO")</f>
        <v>0.11026792439175388</v>
      </c>
      <c r="AK155" s="22">
        <f>IFERROR(('Activity data'!AK98*(1/Constants!$H$135))*ttokg*FracLEACH*MSLeachEF*NtoN2O*kgtoGg,"NO")</f>
        <v>0.11026792439175388</v>
      </c>
      <c r="AL155" s="22">
        <f>IFERROR(('Activity data'!AL98*(1/Constants!$H$135))*ttokg*FracLEACH*MSLeachEF*NtoN2O*kgtoGg,"NO")</f>
        <v>0.11026792439175388</v>
      </c>
      <c r="AM155" s="22">
        <f>IFERROR(('Activity data'!AM98*(1/Constants!$H$135))*ttokg*FracLEACH*MSLeachEF*NtoN2O*kgtoGg,"NO")</f>
        <v>0.11026792439175388</v>
      </c>
      <c r="AN155" s="22">
        <f>IFERROR(('Activity data'!AN98*(1/Constants!$H$135))*ttokg*FracLEACH*MSLeachEF*NtoN2O*kgtoGg,"NO")</f>
        <v>0.11026792439175388</v>
      </c>
      <c r="AO155" s="22">
        <f>IFERROR(('Activity data'!AO98*(1/Constants!$H$135))*ttokg*FracLEACH*MSLeachEF*NtoN2O*kgtoGg,"NO")</f>
        <v>0.11026792439175388</v>
      </c>
      <c r="AP155" s="22">
        <f>IFERROR(('Activity data'!AP98*(1/Constants!$H$135))*ttokg*FracLEACH*MSLeachEF*NtoN2O*kgtoGg,"NO")</f>
        <v>0.11026792439175388</v>
      </c>
      <c r="AQ155" s="22">
        <f>IFERROR(('Activity data'!AQ98*(1/Constants!$H$135))*ttokg*FracLEACH*MSLeachEF*NtoN2O*kgtoGg,"NO")</f>
        <v>0.11026792439175388</v>
      </c>
      <c r="AR155" s="22">
        <f>IFERROR(('Activity data'!AR98*(1/Constants!$H$135))*ttokg*FracLEACH*MSLeachEF*NtoN2O*kgtoGg,"NO")</f>
        <v>0.11026792439175388</v>
      </c>
      <c r="AS155" s="22">
        <f>IFERROR(('Activity data'!AS98*(1/Constants!$H$135))*ttokg*FracLEACH*MSLeachEF*NtoN2O*kgtoGg,"NO")</f>
        <v>0.11026792439175388</v>
      </c>
      <c r="AT155" s="22">
        <f>IFERROR(('Activity data'!AT98*(1/Constants!$H$135))*ttokg*FracLEACH*MSLeachEF*NtoN2O*kgtoGg,"NO")</f>
        <v>0.11026792439175388</v>
      </c>
      <c r="AU155" s="22">
        <f>IFERROR(('Activity data'!AU98*(1/Constants!$H$135))*ttokg*FracLEACH*MSLeachEF*NtoN2O*kgtoGg,"NO")</f>
        <v>0.11026792439175388</v>
      </c>
      <c r="AV155" s="22">
        <f>IFERROR(('Activity data'!AV98*(1/Constants!$H$135))*ttokg*FracLEACH*MSLeachEF*NtoN2O*kgtoGg,"NO")</f>
        <v>0.11026792439175388</v>
      </c>
      <c r="AW155" s="22">
        <f>IFERROR(('Activity data'!AW98*(1/Constants!$H$135))*ttokg*FracLEACH*MSLeachEF*NtoN2O*kgtoGg,"NO")</f>
        <v>0.11026792439175388</v>
      </c>
      <c r="AX155" s="22">
        <f>IFERROR(('Activity data'!AX98*(1/Constants!$H$135))*ttokg*FracLEACH*MSLeachEF*NtoN2O*kgtoGg,"NO")</f>
        <v>0.11026792439175388</v>
      </c>
      <c r="AY155" s="22">
        <f>IFERROR(('Activity data'!AY98*(1/Constants!$H$135))*ttokg*FracLEACH*MSLeachEF*NtoN2O*kgtoGg,"NO")</f>
        <v>0.11026792439175388</v>
      </c>
      <c r="AZ155" s="22">
        <f>IFERROR(('Activity data'!AZ98*(1/Constants!$H$135))*ttokg*FracLEACH*MSLeachEF*NtoN2O*kgtoGg,"NO")</f>
        <v>0.11026792439175388</v>
      </c>
      <c r="BA155" s="22">
        <f>IFERROR(('Activity data'!BA98*(1/Constants!$H$135))*ttokg*FracLEACH*MSLeachEF*NtoN2O*kgtoGg,"NO")</f>
        <v>0.11026792439175388</v>
      </c>
      <c r="BB155" s="22">
        <f>IFERROR(('Activity data'!BB98*(1/Constants!$H$135))*ttokg*FracLEACH*MSLeachEF*NtoN2O*kgtoGg,"NO")</f>
        <v>0.11026792439175388</v>
      </c>
      <c r="BC155" s="22">
        <f>IFERROR(('Activity data'!BC98*(1/Constants!$H$135))*ttokg*FracLEACH*MSLeachEF*NtoN2O*kgtoGg,"NO")</f>
        <v>0.11026792439175388</v>
      </c>
      <c r="BD155" s="22">
        <f>IFERROR(('Activity data'!BD98*(1/Constants!$H$135))*ttokg*FracLEACH*MSLeachEF*NtoN2O*kgtoGg,"NO")</f>
        <v>0.11026792439175388</v>
      </c>
      <c r="BE155" s="22">
        <f>IFERROR(('Activity data'!BE98*(1/Constants!$H$135))*ttokg*FracLEACH*MSLeachEF*NtoN2O*kgtoGg,"NO")</f>
        <v>0.11026792439175388</v>
      </c>
      <c r="BF155" s="22">
        <f>IFERROR(('Activity data'!BF98*(1/Constants!$H$135))*ttokg*FracLEACH*MSLeachEF*NtoN2O*kgtoGg,"NO")</f>
        <v>0.11026792439175388</v>
      </c>
      <c r="BG155" s="22">
        <f>IFERROR(('Activity data'!BG98*(1/Constants!$H$135))*ttokg*FracLEACH*MSLeachEF*NtoN2O*kgtoGg,"NO")</f>
        <v>0.11026792439175388</v>
      </c>
      <c r="BH155" s="22">
        <f>IFERROR(('Activity data'!BH98*(1/Constants!$H$135))*ttokg*FracLEACH*MSLeachEF*NtoN2O*kgtoGg,"NO")</f>
        <v>0.11026792439175388</v>
      </c>
      <c r="BI155" s="22">
        <f>IFERROR(('Activity data'!BI98*(1/Constants!$H$135))*ttokg*FracLEACH*MSLeachEF*NtoN2O*kgtoGg,"NO")</f>
        <v>0.11026792439175388</v>
      </c>
      <c r="BJ155" s="22">
        <f>IFERROR(('Activity data'!BJ98*(1/Constants!$H$135))*ttokg*FracLEACH*MSLeachEF*NtoN2O*kgtoGg,"NO")</f>
        <v>0.11026792439175388</v>
      </c>
      <c r="BK155" s="22">
        <f>IFERROR(('Activity data'!BK98*(1/Constants!$H$135))*ttokg*FracLEACH*MSLeachEF*NtoN2O*kgtoGg,"NO")</f>
        <v>0.11026792439175388</v>
      </c>
      <c r="BL155" s="22">
        <f>IFERROR(('Activity data'!BL98*(1/Constants!$H$135))*ttokg*FracLEACH*MSLeachEF*NtoN2O*kgtoGg,"NO")</f>
        <v>0.11026792439175388</v>
      </c>
      <c r="BM155" s="22">
        <f>IFERROR(('Activity data'!BM98*(1/Constants!$H$135))*ttokg*FracLEACH*MSLeachEF*NtoN2O*kgtoGg,"NO")</f>
        <v>0.11026792439175388</v>
      </c>
      <c r="BN155" s="22">
        <f>IFERROR(('Activity data'!BN98*(1/Constants!$H$135))*ttokg*FracLEACH*MSLeachEF*NtoN2O*kgtoGg,"NO")</f>
        <v>0.11026792439175388</v>
      </c>
      <c r="BO155" s="22">
        <f>IFERROR(('Activity data'!BO98*(1/Constants!$H$135))*ttokg*FracLEACH*MSLeachEF*NtoN2O*kgtoGg,"NO")</f>
        <v>0.11026792439175388</v>
      </c>
      <c r="BP155" s="22">
        <f>IFERROR(('Activity data'!BP98*(1/Constants!$H$135))*ttokg*FracLEACH*MSLeachEF*NtoN2O*kgtoGg,"NO")</f>
        <v>0.11026792439175388</v>
      </c>
    </row>
    <row r="156" spans="1:68" x14ac:dyDescent="0.3">
      <c r="A156" t="str">
        <f t="shared" si="58"/>
        <v>3C Aggregated and non-CO2 emissions on land</v>
      </c>
      <c r="B156" t="str">
        <f>'IPCC Categories'!B80</f>
        <v>3C6 Indirect N2O from manure management (N2O)</v>
      </c>
      <c r="C156" t="str">
        <f>'IPCC Categories'!C80</f>
        <v>Volatilisation</v>
      </c>
      <c r="D156" t="str">
        <f>'Activity data'!D66</f>
        <v xml:space="preserve"> - TMR</v>
      </c>
      <c r="E156" t="str">
        <f t="shared" ref="E156:E171" si="61">C156&amp;D156</f>
        <v>Volatilisation - TMR</v>
      </c>
      <c r="F156" t="str">
        <f t="shared" si="47"/>
        <v>N2O</v>
      </c>
      <c r="G156" t="str">
        <f t="shared" si="48"/>
        <v>Gg N2O</v>
      </c>
      <c r="H156" s="22">
        <f>Constants!$H63*'Activity data'!H5*Constants!$H81*EF!$H206*MMVolatEF*NtoN2O*kgtoGg</f>
        <v>0.32741583539331282</v>
      </c>
      <c r="I156" s="22">
        <f>Constants!$H63*'Activity data'!I5*Constants!$H81*EF!$H206*MMVolatEF*NtoN2O*kgtoGg</f>
        <v>0.3769406717199888</v>
      </c>
      <c r="J156" s="22">
        <f>Constants!$H63*'Activity data'!J5*Constants!$H81*EF!$H206*MMVolatEF*NtoN2O*kgtoGg</f>
        <v>0.32610245326188425</v>
      </c>
      <c r="K156" s="22">
        <f>Constants!$H63*'Activity data'!K5*Constants!$H81*EF!$H206*MMVolatEF*NtoN2O*kgtoGg</f>
        <v>0.3458622136437135</v>
      </c>
      <c r="L156" s="22">
        <f>Constants!$H63*'Activity data'!L5*Constants!$H81*EF!$H206*MMVolatEF*NtoN2O*kgtoGg</f>
        <v>0.32084892473617016</v>
      </c>
      <c r="M156" s="22">
        <f>Constants!$H63*'Activity data'!M5*Constants!$H81*EF!$H206*MMVolatEF*NtoN2O*kgtoGg</f>
        <v>0.34323544938085654</v>
      </c>
      <c r="N156" s="22">
        <f>Constants!$H63*'Activity data'!N5*Constants!$H81*EF!$H206*MMVolatEF*NtoN2O*kgtoGg</f>
        <v>0.34454883151228505</v>
      </c>
      <c r="O156" s="22">
        <f>Constants!$H63*'Activity data'!O5*Constants!$H81*EF!$H206*MMVolatEF*NtoN2O*kgtoGg</f>
        <v>0.33216762243061609</v>
      </c>
      <c r="P156" s="22">
        <f>Constants!$H63*'Activity data'!P5*Constants!$H81*EF!$H206*MMVolatEF*NtoN2O*kgtoGg</f>
        <v>0.32822747603633051</v>
      </c>
      <c r="Q156" s="22">
        <f>Constants!$H63*'Activity data'!Q5*Constants!$H81*EF!$H206*MMVolatEF*NtoN2O*kgtoGg</f>
        <v>0.32241317761180416</v>
      </c>
      <c r="R156" s="22">
        <f>Constants!$H63*'Activity data'!R5*Constants!$H81*EF!$H206*MMVolatEF*NtoN2O*kgtoGg</f>
        <v>0.41514681035221879</v>
      </c>
      <c r="S156" s="22">
        <f>Constants!$H63*'Activity data'!S5*Constants!$H81*EF!$H206*MMVolatEF*NtoN2O*kgtoGg</f>
        <v>0.41383342822079017</v>
      </c>
      <c r="T156" s="22">
        <f>Constants!$H63*'Activity data'!T5*Constants!$H81*EF!$H206*MMVolatEF*NtoN2O*kgtoGg</f>
        <v>0.36087018698823964</v>
      </c>
      <c r="U156" s="22">
        <f>Constants!$H63*'Activity data'!U5*Constants!$H81*EF!$H206*MMVolatEF*NtoN2O*kgtoGg</f>
        <v>0.32822747603633051</v>
      </c>
      <c r="V156" s="22">
        <f>Constants!$H63*'Activity data'!V5*Constants!$H81*EF!$H206*MMVolatEF*NtoN2O*kgtoGg</f>
        <v>0.31690877834188452</v>
      </c>
      <c r="W156" s="22">
        <f>Constants!$H63*'Activity data'!W5*Constants!$H81*EF!$H206*MMVolatEF*NtoN2O*kgtoGg</f>
        <v>0.33929530298657085</v>
      </c>
      <c r="X156" s="22">
        <f>Constants!$H63*'Activity data'!X5*Constants!$H81*EF!$H206*MMVolatEF*NtoN2O*kgtoGg</f>
        <v>0.33191675168641066</v>
      </c>
      <c r="Y156" s="22">
        <f>Constants!$H63*'Activity data'!Y5*Constants!$H81*EF!$H206*MMVolatEF*NtoN2O*kgtoGg</f>
        <v>0.32954085816775908</v>
      </c>
      <c r="Z156" s="22">
        <f>Constants!$H63*'Activity data'!Z5*Constants!$H81*EF!$H206*MMVolatEF*NtoN2O*kgtoGg</f>
        <v>0.40357724191356736</v>
      </c>
      <c r="AA156" s="22">
        <f>Constants!$H63*'Activity data'!AA5*Constants!$H81*EF!$H206*MMVolatEF*NtoN2O*kgtoGg</f>
        <v>0.41358255747658468</v>
      </c>
      <c r="AB156" s="22">
        <f>Constants!$H63*'Activity data'!AB5*Constants!$H81*EF!$H206*MMVolatEF*NtoN2O*kgtoGg</f>
        <v>0.41358255747658468</v>
      </c>
      <c r="AC156" s="22">
        <f>Constants!$H63*'Activity data'!AC5*Constants!$H81*EF!$H206*MMVolatEF*NtoN2O*kgtoGg</f>
        <v>0.39857458413205865</v>
      </c>
      <c r="AD156" s="22">
        <f>Constants!$H63*'Activity data'!AD5*Constants!$H81*EF!$H206*MMVolatEF*NtoN2O*kgtoGg</f>
        <v>0.39609736661915962</v>
      </c>
      <c r="AE156" s="22">
        <f>Constants!$H63*'Activity data'!AE5*Constants!$H81*EF!$H206*MMVolatEF*NtoN2O*kgtoGg</f>
        <v>0.39831175345583031</v>
      </c>
      <c r="AF156" s="22">
        <f>Constants!$H63*'Activity data'!AF5*Constants!$H81*EF!$H206*MMVolatEF*NtoN2O*kgtoGg</f>
        <v>0.40145358914715529</v>
      </c>
      <c r="AG156" s="22">
        <f>Constants!$H63*'Activity data'!AG5*Constants!$H81*EF!$H206*MMVolatEF*NtoN2O*kgtoGg</f>
        <v>0.40347255325329029</v>
      </c>
      <c r="AH156" s="22">
        <f>Constants!$H63*'Activity data'!AH5*Constants!$H81*EF!$H206*MMVolatEF*NtoN2O*kgtoGg</f>
        <v>0.40481416413578264</v>
      </c>
      <c r="AI156" s="22">
        <f>Constants!$H63*'Activity data'!AI5*Constants!$H81*EF!$H206*MMVolatEF*NtoN2O*kgtoGg</f>
        <v>0.40546521734783814</v>
      </c>
      <c r="AJ156" s="22">
        <f>Constants!$H63*'Activity data'!AJ5*Constants!$H81*EF!$H206*MMVolatEF*NtoN2O*kgtoGg</f>
        <v>0.40690363619044922</v>
      </c>
      <c r="AK156" s="22">
        <f>Constants!$H63*'Activity data'!AK5*Constants!$H81*EF!$H206*MMVolatEF*NtoN2O*kgtoGg</f>
        <v>0.40855374420631185</v>
      </c>
      <c r="AL156" s="22">
        <f>Constants!$H63*'Activity data'!AL5*Constants!$H81*EF!$H206*MMVolatEF*NtoN2O*kgtoGg</f>
        <v>0.39627278224994505</v>
      </c>
      <c r="AM156" s="22">
        <f>Constants!$H63*'Activity data'!AM5*Constants!$H81*EF!$H206*MMVolatEF*NtoN2O*kgtoGg</f>
        <v>0.40043963770604657</v>
      </c>
      <c r="AN156" s="22">
        <f>Constants!$H63*'Activity data'!AN5*Constants!$H81*EF!$H206*MMVolatEF*NtoN2O*kgtoGg</f>
        <v>0.40653881152865828</v>
      </c>
      <c r="AO156" s="22">
        <f>Constants!$H63*'Activity data'!AO5*Constants!$H81*EF!$H206*MMVolatEF*NtoN2O*kgtoGg</f>
        <v>0.4097001600416656</v>
      </c>
      <c r="AP156" s="22">
        <f>Constants!$H63*'Activity data'!AP5*Constants!$H81*EF!$H206*MMVolatEF*NtoN2O*kgtoGg</f>
        <v>0.41331316056610856</v>
      </c>
      <c r="AQ156" s="22">
        <f>Constants!$H63*'Activity data'!AQ5*Constants!$H81*EF!$H206*MMVolatEF*NtoN2O*kgtoGg</f>
        <v>0.41749483013247579</v>
      </c>
      <c r="AR156" s="22">
        <f>Constants!$H63*'Activity data'!AR5*Constants!$H81*EF!$H206*MMVolatEF*NtoN2O*kgtoGg</f>
        <v>0.42176510375665716</v>
      </c>
      <c r="AS156" s="22">
        <f>Constants!$H63*'Activity data'!AS5*Constants!$H81*EF!$H206*MMVolatEF*NtoN2O*kgtoGg</f>
        <v>0.42649174593727851</v>
      </c>
      <c r="AT156" s="22">
        <f>Constants!$H63*'Activity data'!AT5*Constants!$H81*EF!$H206*MMVolatEF*NtoN2O*kgtoGg</f>
        <v>0.43136480656999721</v>
      </c>
      <c r="AU156" s="22">
        <f>Constants!$H63*'Activity data'!AU5*Constants!$H81*EF!$H206*MMVolatEF*NtoN2O*kgtoGg</f>
        <v>0.43666405575288475</v>
      </c>
      <c r="AV156" s="22">
        <f>Constants!$H63*'Activity data'!AV5*Constants!$H81*EF!$H206*MMVolatEF*NtoN2O*kgtoGg</f>
        <v>0.44208284608865023</v>
      </c>
      <c r="AW156" s="22">
        <f>Constants!$H63*'Activity data'!AW5*Constants!$H81*EF!$H206*MMVolatEF*NtoN2O*kgtoGg</f>
        <v>0.44793692741043817</v>
      </c>
      <c r="AX156" s="22">
        <f>Constants!$H63*'Activity data'!AX5*Constants!$H81*EF!$H206*MMVolatEF*NtoN2O*kgtoGg</f>
        <v>0.45371177751541658</v>
      </c>
      <c r="AY156" s="22">
        <f>Constants!$H63*'Activity data'!AY5*Constants!$H81*EF!$H206*MMVolatEF*NtoN2O*kgtoGg</f>
        <v>0.45980708874384696</v>
      </c>
      <c r="AZ156" s="22">
        <f>Constants!$H63*'Activity data'!AZ5*Constants!$H81*EF!$H206*MMVolatEF*NtoN2O*kgtoGg</f>
        <v>0.4667018933762529</v>
      </c>
      <c r="BA156" s="22">
        <f>Constants!$H63*'Activity data'!BA5*Constants!$H81*EF!$H206*MMVolatEF*NtoN2O*kgtoGg</f>
        <v>0.47325726684756153</v>
      </c>
      <c r="BB156" s="22">
        <f>Constants!$H63*'Activity data'!BB5*Constants!$H81*EF!$H206*MMVolatEF*NtoN2O*kgtoGg</f>
        <v>0.47997976762000966</v>
      </c>
      <c r="BC156" s="22">
        <f>Constants!$H63*'Activity data'!BC5*Constants!$H81*EF!$H206*MMVolatEF*NtoN2O*kgtoGg</f>
        <v>0.48716917791574549</v>
      </c>
      <c r="BD156" s="22">
        <f>Constants!$H63*'Activity data'!BD5*Constants!$H81*EF!$H206*MMVolatEF*NtoN2O*kgtoGg</f>
        <v>0.49390478893176154</v>
      </c>
      <c r="BE156" s="22">
        <f>Constants!$H63*'Activity data'!BE5*Constants!$H81*EF!$H206*MMVolatEF*NtoN2O*kgtoGg</f>
        <v>0.50060384763887944</v>
      </c>
      <c r="BF156" s="22">
        <f>Constants!$H63*'Activity data'!BF5*Constants!$H81*EF!$H206*MMVolatEF*NtoN2O*kgtoGg</f>
        <v>0.50728498742813199</v>
      </c>
      <c r="BG156" s="22">
        <f>Constants!$H63*'Activity data'!BG5*Constants!$H81*EF!$H206*MMVolatEF*NtoN2O*kgtoGg</f>
        <v>0.51435343301423675</v>
      </c>
      <c r="BH156" s="22">
        <f>Constants!$H63*'Activity data'!BH5*Constants!$H81*EF!$H206*MMVolatEF*NtoN2O*kgtoGg</f>
        <v>0.52113757148367401</v>
      </c>
      <c r="BI156" s="22">
        <f>Constants!$H63*'Activity data'!BI5*Constants!$H81*EF!$H206*MMVolatEF*NtoN2O*kgtoGg</f>
        <v>0.52818514749495915</v>
      </c>
      <c r="BJ156" s="22">
        <f>Constants!$H63*'Activity data'!BJ5*Constants!$H81*EF!$H206*MMVolatEF*NtoN2O*kgtoGg</f>
        <v>0.5355283037572397</v>
      </c>
      <c r="BK156" s="22">
        <f>Constants!$H63*'Activity data'!BK5*Constants!$H81*EF!$H206*MMVolatEF*NtoN2O*kgtoGg</f>
        <v>0.5432187291547913</v>
      </c>
      <c r="BL156" s="22">
        <f>Constants!$H63*'Activity data'!BL5*Constants!$H81*EF!$H206*MMVolatEF*NtoN2O*kgtoGg</f>
        <v>0.55104518804876201</v>
      </c>
      <c r="BM156" s="22">
        <f>Constants!$H63*'Activity data'!BM5*Constants!$H81*EF!$H206*MMVolatEF*NtoN2O*kgtoGg</f>
        <v>0.55290077890622136</v>
      </c>
      <c r="BN156" s="22">
        <f>Constants!$H63*'Activity data'!BN5*Constants!$H81*EF!$H206*MMVolatEF*NtoN2O*kgtoGg</f>
        <v>0.55422139724319897</v>
      </c>
      <c r="BO156" s="22">
        <f>Constants!$H63*'Activity data'!BO5*Constants!$H81*EF!$H206*MMVolatEF*NtoN2O*kgtoGg</f>
        <v>0.55476247870419659</v>
      </c>
      <c r="BP156" s="22">
        <f>Constants!$H63*'Activity data'!BP5*Constants!$H81*EF!$H206*MMVolatEF*NtoN2O*kgtoGg</f>
        <v>0.55508919829714432</v>
      </c>
    </row>
    <row r="157" spans="1:68" x14ac:dyDescent="0.3">
      <c r="A157" t="str">
        <f t="shared" si="58"/>
        <v>3C Aggregated and non-CO2 emissions on land</v>
      </c>
      <c r="B157" t="str">
        <f>B156</f>
        <v>3C6 Indirect N2O from manure management (N2O)</v>
      </c>
      <c r="C157" t="str">
        <f>C156</f>
        <v>Volatilisation</v>
      </c>
      <c r="D157" t="str">
        <f>'Activity data'!D67</f>
        <v xml:space="preserve"> - Pasture</v>
      </c>
      <c r="E157" t="str">
        <f t="shared" si="61"/>
        <v>Volatilisation - Pasture</v>
      </c>
      <c r="F157" t="str">
        <f t="shared" si="47"/>
        <v>N2O</v>
      </c>
      <c r="G157" t="str">
        <f t="shared" si="48"/>
        <v>Gg N2O</v>
      </c>
      <c r="H157" s="22">
        <f>Constants!$H64*'Activity data'!H6*Constants!$H82*EF!$H207*MMVolatEF*NtoN2O*kgtoGg</f>
        <v>2.5550081296947576E-2</v>
      </c>
      <c r="I157" s="22">
        <f>Constants!$H64*'Activity data'!I6*Constants!$H82*EF!$H207*MMVolatEF*NtoN2O*kgtoGg</f>
        <v>2.9414780122050389E-2</v>
      </c>
      <c r="J157" s="22">
        <f>Constants!$H64*'Activity data'!J6*Constants!$H82*EF!$H207*MMVolatEF*NtoN2O*kgtoGg</f>
        <v>2.5447590773874224E-2</v>
      </c>
      <c r="K157" s="22">
        <f>Constants!$H64*'Activity data'!K6*Constants!$H82*EF!$H207*MMVolatEF*NtoN2O*kgtoGg</f>
        <v>2.6989554935618165E-2</v>
      </c>
      <c r="L157" s="22">
        <f>Constants!$H64*'Activity data'!L6*Constants!$H82*EF!$H207*MMVolatEF*NtoN2O*kgtoGg</f>
        <v>2.5037628681580843E-2</v>
      </c>
      <c r="M157" s="22">
        <f>Constants!$H64*'Activity data'!M6*Constants!$H82*EF!$H207*MMVolatEF*NtoN2O*kgtoGg</f>
        <v>2.6784573889471471E-2</v>
      </c>
      <c r="N157" s="22">
        <f>Constants!$H64*'Activity data'!N6*Constants!$H82*EF!$H207*MMVolatEF*NtoN2O*kgtoGg</f>
        <v>2.6887064412544823E-2</v>
      </c>
      <c r="O157" s="22">
        <f>Constants!$H64*'Activity data'!O6*Constants!$H82*EF!$H207*MMVolatEF*NtoN2O*kgtoGg</f>
        <v>2.5920889706269115E-2</v>
      </c>
      <c r="P157" s="22">
        <f>Constants!$H64*'Activity data'!P6*Constants!$H82*EF!$H207*MMVolatEF*NtoN2O*kgtoGg</f>
        <v>2.5613418137049079E-2</v>
      </c>
      <c r="Q157" s="22">
        <f>Constants!$H64*'Activity data'!Q6*Constants!$H82*EF!$H207*MMVolatEF*NtoN2O*kgtoGg</f>
        <v>2.5159696046140104E-2</v>
      </c>
      <c r="R157" s="22">
        <f>Constants!$H64*'Activity data'!R6*Constants!$H82*EF!$H207*MMVolatEF*NtoN2O*kgtoGg</f>
        <v>3.2396217922464922E-2</v>
      </c>
      <c r="S157" s="22">
        <f>Constants!$H64*'Activity data'!S6*Constants!$H82*EF!$H207*MMVolatEF*NtoN2O*kgtoGg</f>
        <v>3.2293727399391577E-2</v>
      </c>
      <c r="T157" s="22">
        <f>Constants!$H64*'Activity data'!T6*Constants!$H82*EF!$H207*MMVolatEF*NtoN2O*kgtoGg</f>
        <v>2.8160710688040554E-2</v>
      </c>
      <c r="U157" s="22">
        <f>Constants!$H64*'Activity data'!U6*Constants!$H82*EF!$H207*MMVolatEF*NtoN2O*kgtoGg</f>
        <v>2.5613418137049079E-2</v>
      </c>
      <c r="V157" s="22">
        <f>Constants!$H64*'Activity data'!V6*Constants!$H82*EF!$H207*MMVolatEF*NtoN2O*kgtoGg</f>
        <v>2.47301571123608E-2</v>
      </c>
      <c r="W157" s="22">
        <f>Constants!$H64*'Activity data'!W6*Constants!$H82*EF!$H207*MMVolatEF*NtoN2O*kgtoGg</f>
        <v>2.6477102320251435E-2</v>
      </c>
      <c r="X157" s="22">
        <f>Constants!$H64*'Activity data'!X6*Constants!$H82*EF!$H207*MMVolatEF*NtoN2O*kgtoGg</f>
        <v>2.5901312864783189E-2</v>
      </c>
      <c r="Y157" s="22">
        <f>Constants!$H64*'Activity data'!Y6*Constants!$H82*EF!$H207*MMVolatEF*NtoN2O*kgtoGg</f>
        <v>2.5715908660122428E-2</v>
      </c>
      <c r="Z157" s="22">
        <f>Constants!$H64*'Activity data'!Z6*Constants!$H82*EF!$H207*MMVolatEF*NtoN2O*kgtoGg</f>
        <v>3.1493380056290717E-2</v>
      </c>
      <c r="AA157" s="22">
        <f>Constants!$H64*'Activity data'!AA6*Constants!$H82*EF!$H207*MMVolatEF*NtoN2O*kgtoGg</f>
        <v>3.2274150557905647E-2</v>
      </c>
      <c r="AB157" s="22">
        <f>Constants!$H64*'Activity data'!AB6*Constants!$H82*EF!$H207*MMVolatEF*NtoN2O*kgtoGg</f>
        <v>3.2274150557905647E-2</v>
      </c>
      <c r="AC157" s="22">
        <f>Constants!$H64*'Activity data'!AC6*Constants!$H82*EF!$H207*MMVolatEF*NtoN2O*kgtoGg</f>
        <v>3.1102994805483251E-2</v>
      </c>
      <c r="AD157" s="22">
        <f>Constants!$H64*'Activity data'!AD6*Constants!$H82*EF!$H207*MMVolatEF*NtoN2O*kgtoGg</f>
        <v>3.1249813656142676E-2</v>
      </c>
      <c r="AE157" s="22">
        <f>Constants!$H64*'Activity data'!AE6*Constants!$H82*EF!$H207*MMVolatEF*NtoN2O*kgtoGg</f>
        <v>3.1424516095088978E-2</v>
      </c>
      <c r="AF157" s="22">
        <f>Constants!$H64*'Activity data'!AF6*Constants!$H82*EF!$H207*MMVolatEF*NtoN2O*kgtoGg</f>
        <v>3.1672388936885787E-2</v>
      </c>
      <c r="AG157" s="22">
        <f>Constants!$H64*'Activity data'!AG6*Constants!$H82*EF!$H207*MMVolatEF*NtoN2O*kgtoGg</f>
        <v>3.1831673641638247E-2</v>
      </c>
      <c r="AH157" s="22">
        <f>Constants!$H64*'Activity data'!AH6*Constants!$H82*EF!$H207*MMVolatEF*NtoN2O*kgtoGg</f>
        <v>3.1937519056453256E-2</v>
      </c>
      <c r="AI157" s="22">
        <f>Constants!$H64*'Activity data'!AI6*Constants!$H82*EF!$H207*MMVolatEF*NtoN2O*kgtoGg</f>
        <v>3.198888342610464E-2</v>
      </c>
      <c r="AJ157" s="22">
        <f>Constants!$H64*'Activity data'!AJ6*Constants!$H82*EF!$H207*MMVolatEF*NtoN2O*kgtoGg</f>
        <v>3.2102366434524382E-2</v>
      </c>
      <c r="AK157" s="22">
        <f>Constants!$H64*'Activity data'!AK6*Constants!$H82*EF!$H207*MMVolatEF*NtoN2O*kgtoGg</f>
        <v>3.2232550506305392E-2</v>
      </c>
      <c r="AL157" s="22">
        <f>Constants!$H64*'Activity data'!AL6*Constants!$H82*EF!$H207*MMVolatEF*NtoN2O*kgtoGg</f>
        <v>3.1263652944752973E-2</v>
      </c>
      <c r="AM157" s="22">
        <f>Constants!$H64*'Activity data'!AM6*Constants!$H82*EF!$H207*MMVolatEF*NtoN2O*kgtoGg</f>
        <v>3.1592393975390647E-2</v>
      </c>
      <c r="AN157" s="22">
        <f>Constants!$H64*'Activity data'!AN6*Constants!$H82*EF!$H207*MMVolatEF*NtoN2O*kgtoGg</f>
        <v>3.2073583858170898E-2</v>
      </c>
      <c r="AO157" s="22">
        <f>Constants!$H64*'Activity data'!AO6*Constants!$H82*EF!$H207*MMVolatEF*NtoN2O*kgtoGg</f>
        <v>3.2322996149842582E-2</v>
      </c>
      <c r="AP157" s="22">
        <f>Constants!$H64*'Activity data'!AP6*Constants!$H82*EF!$H207*MMVolatEF*NtoN2O*kgtoGg</f>
        <v>3.2608041198468073E-2</v>
      </c>
      <c r="AQ157" s="22">
        <f>Constants!$H64*'Activity data'!AQ6*Constants!$H82*EF!$H207*MMVolatEF*NtoN2O*kgtoGg</f>
        <v>3.2937950977560811E-2</v>
      </c>
      <c r="AR157" s="22">
        <f>Constants!$H64*'Activity data'!AR6*Constants!$H82*EF!$H207*MMVolatEF*NtoN2O*kgtoGg</f>
        <v>3.3274851109352674E-2</v>
      </c>
      <c r="AS157" s="22">
        <f>Constants!$H64*'Activity data'!AS6*Constants!$H82*EF!$H207*MMVolatEF*NtoN2O*kgtoGg</f>
        <v>3.3647756106486112E-2</v>
      </c>
      <c r="AT157" s="22">
        <f>Constants!$H64*'Activity data'!AT6*Constants!$H82*EF!$H207*MMVolatEF*NtoN2O*kgtoGg</f>
        <v>3.4032212680907031E-2</v>
      </c>
      <c r="AU157" s="22">
        <f>Constants!$H64*'Activity data'!AU6*Constants!$H82*EF!$H207*MMVolatEF*NtoN2O*kgtoGg</f>
        <v>3.4450293091024778E-2</v>
      </c>
      <c r="AV157" s="22">
        <f>Constants!$H64*'Activity data'!AV6*Constants!$H82*EF!$H207*MMVolatEF*NtoN2O*kgtoGg</f>
        <v>3.4877804613456062E-2</v>
      </c>
      <c r="AW157" s="22">
        <f>Constants!$H64*'Activity data'!AW6*Constants!$H82*EF!$H207*MMVolatEF*NtoN2O*kgtoGg</f>
        <v>3.5339658101640622E-2</v>
      </c>
      <c r="AX157" s="22">
        <f>Constants!$H64*'Activity data'!AX6*Constants!$H82*EF!$H207*MMVolatEF*NtoN2O*kgtoGg</f>
        <v>3.5795260700600191E-2</v>
      </c>
      <c r="AY157" s="22">
        <f>Constants!$H64*'Activity data'!AY6*Constants!$H82*EF!$H207*MMVolatEF*NtoN2O*kgtoGg</f>
        <v>3.6276145846821803E-2</v>
      </c>
      <c r="AZ157" s="22">
        <f>Constants!$H64*'Activity data'!AZ6*Constants!$H82*EF!$H207*MMVolatEF*NtoN2O*kgtoGg</f>
        <v>3.682010644367513E-2</v>
      </c>
      <c r="BA157" s="22">
        <f>Constants!$H64*'Activity data'!BA6*Constants!$H82*EF!$H207*MMVolatEF*NtoN2O*kgtoGg</f>
        <v>3.7337287865943425E-2</v>
      </c>
      <c r="BB157" s="22">
        <f>Constants!$H64*'Activity data'!BB6*Constants!$H82*EF!$H207*MMVolatEF*NtoN2O*kgtoGg</f>
        <v>3.7867654675082699E-2</v>
      </c>
      <c r="BC157" s="22">
        <f>Constants!$H64*'Activity data'!BC6*Constants!$H82*EF!$H207*MMVolatEF*NtoN2O*kgtoGg</f>
        <v>3.843485797147652E-2</v>
      </c>
      <c r="BD157" s="22">
        <f>Constants!$H64*'Activity data'!BD6*Constants!$H82*EF!$H207*MMVolatEF*NtoN2O*kgtoGg</f>
        <v>3.8966259103746965E-2</v>
      </c>
      <c r="BE157" s="22">
        <f>Constants!$H64*'Activity data'!BE6*Constants!$H82*EF!$H207*MMVolatEF*NtoN2O*kgtoGg</f>
        <v>3.9494776468191543E-2</v>
      </c>
      <c r="BF157" s="22">
        <f>Constants!$H64*'Activity data'!BF6*Constants!$H82*EF!$H207*MMVolatEF*NtoN2O*kgtoGg</f>
        <v>4.0021880132643621E-2</v>
      </c>
      <c r="BG157" s="22">
        <f>Constants!$H64*'Activity data'!BG6*Constants!$H82*EF!$H207*MMVolatEF*NtoN2O*kgtoGg</f>
        <v>4.0579540006249255E-2</v>
      </c>
      <c r="BH157" s="22">
        <f>Constants!$H64*'Activity data'!BH6*Constants!$H82*EF!$H207*MMVolatEF*NtoN2O*kgtoGg</f>
        <v>4.1114769676663131E-2</v>
      </c>
      <c r="BI157" s="22">
        <f>Constants!$H64*'Activity data'!BI6*Constants!$H82*EF!$H207*MMVolatEF*NtoN2O*kgtoGg</f>
        <v>4.167078306034188E-2</v>
      </c>
      <c r="BJ157" s="22">
        <f>Constants!$H64*'Activity data'!BJ6*Constants!$H82*EF!$H207*MMVolatEF*NtoN2O*kgtoGg</f>
        <v>4.2250116032946157E-2</v>
      </c>
      <c r="BK157" s="22">
        <f>Constants!$H64*'Activity data'!BK6*Constants!$H82*EF!$H207*MMVolatEF*NtoN2O*kgtoGg</f>
        <v>4.2856846551407354E-2</v>
      </c>
      <c r="BL157" s="22">
        <f>Constants!$H64*'Activity data'!BL6*Constants!$H82*EF!$H207*MMVolatEF*NtoN2O*kgtoGg</f>
        <v>4.3474309333630792E-2</v>
      </c>
      <c r="BM157" s="22">
        <f>Constants!$H64*'Activity data'!BM6*Constants!$H82*EF!$H207*MMVolatEF*NtoN2O*kgtoGg</f>
        <v>4.3620704824751035E-2</v>
      </c>
      <c r="BN157" s="22">
        <f>Constants!$H64*'Activity data'!BN6*Constants!$H82*EF!$H207*MMVolatEF*NtoN2O*kgtoGg</f>
        <v>4.3724894047955633E-2</v>
      </c>
      <c r="BO157" s="22">
        <f>Constants!$H64*'Activity data'!BO6*Constants!$H82*EF!$H207*MMVolatEF*NtoN2O*kgtoGg</f>
        <v>4.376758227629024E-2</v>
      </c>
      <c r="BP157" s="22">
        <f>Constants!$H64*'Activity data'!BP6*Constants!$H82*EF!$H207*MMVolatEF*NtoN2O*kgtoGg</f>
        <v>4.3793358580951298E-2</v>
      </c>
    </row>
    <row r="158" spans="1:68" x14ac:dyDescent="0.3">
      <c r="A158" t="str">
        <f t="shared" si="58"/>
        <v>3C Aggregated and non-CO2 emissions on land</v>
      </c>
      <c r="B158" t="str">
        <f t="shared" ref="B158:B171" si="62">B157</f>
        <v>3C6 Indirect N2O from manure management (N2O)</v>
      </c>
      <c r="C158" t="str">
        <f t="shared" ref="C158:C171" si="63">C157</f>
        <v>Volatilisation</v>
      </c>
      <c r="D158" t="str">
        <f>'Activity data'!D68</f>
        <v xml:space="preserve"> - Non-lactating</v>
      </c>
      <c r="E158" t="str">
        <f t="shared" si="61"/>
        <v>Volatilisation - Non-lactating</v>
      </c>
      <c r="F158" t="str">
        <f t="shared" si="47"/>
        <v>N2O</v>
      </c>
      <c r="G158" t="str">
        <f t="shared" si="48"/>
        <v>Gg N2O</v>
      </c>
      <c r="H158" s="22">
        <f>Constants!$H65*'Activity data'!H7*Constants!$H83*EF!$H208*MMVolatEF*NtoN2O*kgtoGg</f>
        <v>2.7959029796178987E-4</v>
      </c>
      <c r="I158" s="22">
        <f>Constants!$H65*'Activity data'!I7*Constants!$H83*EF!$H208*MMVolatEF*NtoN2O*kgtoGg</f>
        <v>3.1779900416957193E-4</v>
      </c>
      <c r="J158" s="22">
        <f>Constants!$H65*'Activity data'!J7*Constants!$H83*EF!$H208*MMVolatEF*NtoN2O*kgtoGg</f>
        <v>2.7489696617153677E-4</v>
      </c>
      <c r="K158" s="22">
        <f>Constants!$H65*'Activity data'!K7*Constants!$H83*EF!$H208*MMVolatEF*NtoN2O*kgtoGg</f>
        <v>2.8768837256461081E-4</v>
      </c>
      <c r="L158" s="22">
        <f>Constants!$H65*'Activity data'!L7*Constants!$H83*EF!$H208*MMVolatEF*NtoN2O*kgtoGg</f>
        <v>2.5612363901052502E-4</v>
      </c>
      <c r="M158" s="22">
        <f>Constants!$H65*'Activity data'!M7*Constants!$H83*EF!$H208*MMVolatEF*NtoN2O*kgtoGg</f>
        <v>2.7830170898410472E-4</v>
      </c>
      <c r="N158" s="22">
        <f>Constants!$H65*'Activity data'!N7*Constants!$H83*EF!$H208*MMVolatEF*NtoN2O*kgtoGg</f>
        <v>2.8299504077435766E-4</v>
      </c>
      <c r="O158" s="22">
        <f>Constants!$H65*'Activity data'!O7*Constants!$H83*EF!$H208*MMVolatEF*NtoN2O*kgtoGg</f>
        <v>2.7344286422241221E-4</v>
      </c>
      <c r="P158" s="22">
        <f>Constants!$H65*'Activity data'!P7*Constants!$H83*EF!$H208*MMVolatEF*NtoN2O*kgtoGg</f>
        <v>2.5936286885165324E-4</v>
      </c>
      <c r="Q158" s="22">
        <f>Constants!$H65*'Activity data'!Q7*Constants!$H83*EF!$H208*MMVolatEF*NtoN2O*kgtoGg</f>
        <v>2.7327735125097269E-4</v>
      </c>
      <c r="R158" s="22">
        <f>Constants!$H65*'Activity data'!R7*Constants!$H83*EF!$H208*MMVolatEF*NtoN2O*kgtoGg</f>
        <v>3.3868848516546658E-4</v>
      </c>
      <c r="S158" s="22">
        <f>Constants!$H65*'Activity data'!S7*Constants!$H83*EF!$H208*MMVolatEF*NtoN2O*kgtoGg</f>
        <v>3.3399515337521364E-4</v>
      </c>
      <c r="T158" s="22">
        <f>Constants!$H65*'Activity data'!T7*Constants!$H83*EF!$H208*MMVolatEF*NtoN2O*kgtoGg</f>
        <v>3.0662721269706218E-4</v>
      </c>
      <c r="U158" s="22">
        <f>Constants!$H65*'Activity data'!U7*Constants!$H83*EF!$H208*MMVolatEF*NtoN2O*kgtoGg</f>
        <v>2.5936286885165324E-4</v>
      </c>
      <c r="V158" s="22">
        <f>Constants!$H65*'Activity data'!V7*Constants!$H83*EF!$H208*MMVolatEF*NtoN2O*kgtoGg</f>
        <v>2.4204364363976597E-4</v>
      </c>
      <c r="W158" s="22">
        <f>Constants!$H65*'Activity data'!W7*Constants!$H83*EF!$H208*MMVolatEF*NtoN2O*kgtoGg</f>
        <v>2.6422171361334585E-4</v>
      </c>
      <c r="X158" s="22">
        <f>Constants!$H65*'Activity data'!X7*Constants!$H83*EF!$H208*MMVolatEF*NtoN2O*kgtoGg</f>
        <v>2.6098248377221742E-4</v>
      </c>
      <c r="Y158" s="22">
        <f>Constants!$H65*'Activity data'!Y7*Constants!$H83*EF!$H208*MMVolatEF*NtoN2O*kgtoGg</f>
        <v>2.6405620064190628E-4</v>
      </c>
      <c r="Z158" s="22">
        <f>Constants!$H65*'Activity data'!Z7*Constants!$H83*EF!$H208*MMVolatEF*NtoN2O*kgtoGg</f>
        <v>3.0890887950338466E-4</v>
      </c>
      <c r="AA158" s="22">
        <f>Constants!$H65*'Activity data'!AA7*Constants!$H83*EF!$H208*MMVolatEF*NtoN2O*kgtoGg</f>
        <v>3.2153477292501886E-4</v>
      </c>
      <c r="AB158" s="22">
        <f>Constants!$H65*'Activity data'!AB7*Constants!$H83*EF!$H208*MMVolatEF*NtoN2O*kgtoGg</f>
        <v>3.2153477292501886E-4</v>
      </c>
      <c r="AC158" s="22">
        <f>Constants!$H65*'Activity data'!AC7*Constants!$H83*EF!$H208*MMVolatEF*NtoN2O*kgtoGg</f>
        <v>3.0259593279256748E-4</v>
      </c>
      <c r="AD158" s="22">
        <f>Constants!$H65*'Activity data'!AD7*Constants!$H83*EF!$H208*MMVolatEF*NtoN2O*kgtoGg</f>
        <v>2.8967336997006343E-4</v>
      </c>
      <c r="AE158" s="22">
        <f>Constants!$H65*'Activity data'!AE7*Constants!$H83*EF!$H208*MMVolatEF*NtoN2O*kgtoGg</f>
        <v>2.9129279224209415E-4</v>
      </c>
      <c r="AF158" s="22">
        <f>Constants!$H65*'Activity data'!AF7*Constants!$H83*EF!$H208*MMVolatEF*NtoN2O*kgtoGg</f>
        <v>2.9359047510821973E-4</v>
      </c>
      <c r="AG158" s="22">
        <f>Constants!$H65*'Activity data'!AG7*Constants!$H83*EF!$H208*MMVolatEF*NtoN2O*kgtoGg</f>
        <v>2.9506698110336069E-4</v>
      </c>
      <c r="AH158" s="22">
        <f>Constants!$H65*'Activity data'!AH7*Constants!$H83*EF!$H208*MMVolatEF*NtoN2O*kgtoGg</f>
        <v>2.9604812609010248E-4</v>
      </c>
      <c r="AI158" s="22">
        <f>Constants!$H65*'Activity data'!AI7*Constants!$H83*EF!$H208*MMVolatEF*NtoN2O*kgtoGg</f>
        <v>2.9652425341095714E-4</v>
      </c>
      <c r="AJ158" s="22">
        <f>Constants!$H65*'Activity data'!AJ7*Constants!$H83*EF!$H208*MMVolatEF*NtoN2O*kgtoGg</f>
        <v>2.9757619585915883E-4</v>
      </c>
      <c r="AK158" s="22">
        <f>Constants!$H65*'Activity data'!AK7*Constants!$H83*EF!$H208*MMVolatEF*NtoN2O*kgtoGg</f>
        <v>2.9878295053629647E-4</v>
      </c>
      <c r="AL158" s="22">
        <f>Constants!$H65*'Activity data'!AL7*Constants!$H83*EF!$H208*MMVolatEF*NtoN2O*kgtoGg</f>
        <v>2.8980165468285715E-4</v>
      </c>
      <c r="AM158" s="22">
        <f>Constants!$H65*'Activity data'!AM7*Constants!$H83*EF!$H208*MMVolatEF*NtoN2O*kgtoGg</f>
        <v>2.9284895356406268E-4</v>
      </c>
      <c r="AN158" s="22">
        <f>Constants!$H65*'Activity data'!AN7*Constants!$H83*EF!$H208*MMVolatEF*NtoN2O*kgtoGg</f>
        <v>2.9730939279977176E-4</v>
      </c>
      <c r="AO158" s="22">
        <f>Constants!$H65*'Activity data'!AO7*Constants!$H83*EF!$H208*MMVolatEF*NtoN2O*kgtoGg</f>
        <v>2.996213457552509E-4</v>
      </c>
      <c r="AP158" s="22">
        <f>Constants!$H65*'Activity data'!AP7*Constants!$H83*EF!$H208*MMVolatEF*NtoN2O*kgtoGg</f>
        <v>3.0226360022553945E-4</v>
      </c>
      <c r="AQ158" s="22">
        <f>Constants!$H65*'Activity data'!AQ7*Constants!$H83*EF!$H208*MMVolatEF*NtoN2O*kgtoGg</f>
        <v>3.0532173294106326E-4</v>
      </c>
      <c r="AR158" s="22">
        <f>Constants!$H65*'Activity data'!AR7*Constants!$H83*EF!$H208*MMVolatEF*NtoN2O*kgtoGg</f>
        <v>3.084446634517329E-4</v>
      </c>
      <c r="AS158" s="22">
        <f>Constants!$H65*'Activity data'!AS7*Constants!$H83*EF!$H208*MMVolatEF*NtoN2O*kgtoGg</f>
        <v>3.1190134477428172E-4</v>
      </c>
      <c r="AT158" s="22">
        <f>Constants!$H65*'Activity data'!AT7*Constants!$H83*EF!$H208*MMVolatEF*NtoN2O*kgtoGg</f>
        <v>3.1546510463362291E-4</v>
      </c>
      <c r="AU158" s="22">
        <f>Constants!$H65*'Activity data'!AU7*Constants!$H83*EF!$H208*MMVolatEF*NtoN2O*kgtoGg</f>
        <v>3.1934054410503462E-4</v>
      </c>
      <c r="AV158" s="22">
        <f>Constants!$H65*'Activity data'!AV7*Constants!$H83*EF!$H208*MMVolatEF*NtoN2O*kgtoGg</f>
        <v>3.2330340624451355E-4</v>
      </c>
      <c r="AW158" s="22">
        <f>Constants!$H65*'Activity data'!AW7*Constants!$H83*EF!$H208*MMVolatEF*NtoN2O*kgtoGg</f>
        <v>3.2758460477667038E-4</v>
      </c>
      <c r="AX158" s="22">
        <f>Constants!$H65*'Activity data'!AX7*Constants!$H83*EF!$H208*MMVolatEF*NtoN2O*kgtoGg</f>
        <v>3.3180786004660364E-4</v>
      </c>
      <c r="AY158" s="22">
        <f>Constants!$H65*'Activity data'!AY7*Constants!$H83*EF!$H208*MMVolatEF*NtoN2O*kgtoGg</f>
        <v>3.3626547449535976E-4</v>
      </c>
      <c r="AZ158" s="22">
        <f>Constants!$H65*'Activity data'!AZ7*Constants!$H83*EF!$H208*MMVolatEF*NtoN2O*kgtoGg</f>
        <v>3.4130777333769093E-4</v>
      </c>
      <c r="BA158" s="22">
        <f>Constants!$H65*'Activity data'!BA7*Constants!$H83*EF!$H208*MMVolatEF*NtoN2O*kgtoGg</f>
        <v>3.4610183985990577E-4</v>
      </c>
      <c r="BB158" s="22">
        <f>Constants!$H65*'Activity data'!BB7*Constants!$H83*EF!$H208*MMVolatEF*NtoN2O*kgtoGg</f>
        <v>3.5101812968531553E-4</v>
      </c>
      <c r="BC158" s="22">
        <f>Constants!$H65*'Activity data'!BC7*Constants!$H83*EF!$H208*MMVolatEF*NtoN2O*kgtoGg</f>
        <v>3.5627587912767834E-4</v>
      </c>
      <c r="BD158" s="22">
        <f>Constants!$H65*'Activity data'!BD7*Constants!$H83*EF!$H208*MMVolatEF*NtoN2O*kgtoGg</f>
        <v>3.6120175671800533E-4</v>
      </c>
      <c r="BE158" s="22">
        <f>Constants!$H65*'Activity data'!BE7*Constants!$H83*EF!$H208*MMVolatEF*NtoN2O*kgtoGg</f>
        <v>3.661009029251144E-4</v>
      </c>
      <c r="BF158" s="22">
        <f>Constants!$H65*'Activity data'!BF7*Constants!$H83*EF!$H208*MMVolatEF*NtoN2O*kgtoGg</f>
        <v>3.7098694469437114E-4</v>
      </c>
      <c r="BG158" s="22">
        <f>Constants!$H65*'Activity data'!BG7*Constants!$H83*EF!$H208*MMVolatEF*NtoN2O*kgtoGg</f>
        <v>3.7615623039514106E-4</v>
      </c>
      <c r="BH158" s="22">
        <f>Constants!$H65*'Activity data'!BH7*Constants!$H83*EF!$H208*MMVolatEF*NtoN2O*kgtoGg</f>
        <v>3.8111759701456354E-4</v>
      </c>
      <c r="BI158" s="22">
        <f>Constants!$H65*'Activity data'!BI7*Constants!$H83*EF!$H208*MMVolatEF*NtoN2O*kgtoGg</f>
        <v>3.8627162040718048E-4</v>
      </c>
      <c r="BJ158" s="22">
        <f>Constants!$H65*'Activity data'!BJ7*Constants!$H83*EF!$H208*MMVolatEF*NtoN2O*kgtoGg</f>
        <v>3.916418071339122E-4</v>
      </c>
      <c r="BK158" s="22">
        <f>Constants!$H65*'Activity data'!BK7*Constants!$H83*EF!$H208*MMVolatEF*NtoN2O*kgtoGg</f>
        <v>3.9726595823702738E-4</v>
      </c>
      <c r="BL158" s="22">
        <f>Constants!$H65*'Activity data'!BL7*Constants!$H83*EF!$H208*MMVolatEF*NtoN2O*kgtoGg</f>
        <v>4.0298959316573016E-4</v>
      </c>
      <c r="BM158" s="22">
        <f>Constants!$H65*'Activity data'!BM7*Constants!$H83*EF!$H208*MMVolatEF*NtoN2O*kgtoGg</f>
        <v>4.0434662126605264E-4</v>
      </c>
      <c r="BN158" s="22">
        <f>Constants!$H65*'Activity data'!BN7*Constants!$H83*EF!$H208*MMVolatEF*NtoN2O*kgtoGg</f>
        <v>4.0531241401388569E-4</v>
      </c>
      <c r="BO158" s="22">
        <f>Constants!$H65*'Activity data'!BO7*Constants!$H83*EF!$H208*MMVolatEF*NtoN2O*kgtoGg</f>
        <v>4.0570811694817522E-4</v>
      </c>
      <c r="BP158" s="22">
        <f>Constants!$H65*'Activity data'!BP7*Constants!$H83*EF!$H208*MMVolatEF*NtoN2O*kgtoGg</f>
        <v>4.0594705306212152E-4</v>
      </c>
    </row>
    <row r="159" spans="1:68" x14ac:dyDescent="0.3">
      <c r="A159" t="str">
        <f t="shared" si="58"/>
        <v>3C Aggregated and non-CO2 emissions on land</v>
      </c>
      <c r="B159" t="str">
        <f t="shared" si="62"/>
        <v>3C6 Indirect N2O from manure management (N2O)</v>
      </c>
      <c r="C159" t="str">
        <f t="shared" si="63"/>
        <v>Volatilisation</v>
      </c>
      <c r="D159" t="str">
        <f>'Activity data'!D69</f>
        <v xml:space="preserve"> - Commercial cattle</v>
      </c>
      <c r="E159" t="str">
        <f t="shared" si="61"/>
        <v>Volatilisation - Commercial cattle</v>
      </c>
      <c r="F159" t="str">
        <f t="shared" si="47"/>
        <v>N2O</v>
      </c>
      <c r="G159" t="str">
        <f t="shared" si="48"/>
        <v>Gg N2O</v>
      </c>
      <c r="H159" s="22">
        <f>Constants!$H66*'Activity data'!H8*Constants!$H84*EF!$H209*MMVolatEF*NtoN2O*kgtoGg</f>
        <v>3.7003362848044533E-3</v>
      </c>
      <c r="I159" s="22">
        <f>Constants!$H66*'Activity data'!I8*Constants!$H84*EF!$H209*MMVolatEF*NtoN2O*kgtoGg</f>
        <v>3.5406221910635866E-3</v>
      </c>
      <c r="J159" s="22">
        <f>Constants!$H66*'Activity data'!J8*Constants!$H84*EF!$H209*MMVolatEF*NtoN2O*kgtoGg</f>
        <v>3.5393357500556814E-3</v>
      </c>
      <c r="K159" s="22">
        <f>Constants!$H66*'Activity data'!K8*Constants!$H84*EF!$H209*MMVolatEF*NtoN2O*kgtoGg</f>
        <v>3.3111743098604807E-3</v>
      </c>
      <c r="L159" s="22">
        <f>Constants!$H66*'Activity data'!L8*Constants!$H84*EF!$H209*MMVolatEF*NtoN2O*kgtoGg</f>
        <v>3.4109956184485233E-3</v>
      </c>
      <c r="M159" s="22">
        <f>Constants!$H66*'Activity data'!M8*Constants!$H84*EF!$H209*MMVolatEF*NtoN2O*kgtoGg</f>
        <v>3.4885511843596667E-3</v>
      </c>
      <c r="N159" s="22">
        <f>Constants!$H66*'Activity data'!N8*Constants!$H84*EF!$H209*MMVolatEF*NtoN2O*kgtoGg</f>
        <v>3.6332676557172408E-3</v>
      </c>
      <c r="O159" s="22">
        <f>Constants!$H66*'Activity data'!O8*Constants!$H84*EF!$H209*MMVolatEF*NtoN2O*kgtoGg</f>
        <v>3.7709005594996426E-3</v>
      </c>
      <c r="P159" s="22">
        <f>Constants!$H66*'Activity data'!P8*Constants!$H84*EF!$H209*MMVolatEF*NtoN2O*kgtoGg</f>
        <v>3.8035609626412554E-3</v>
      </c>
      <c r="Q159" s="22">
        <f>Constants!$H66*'Activity data'!Q8*Constants!$H84*EF!$H209*MMVolatEF*NtoN2O*kgtoGg</f>
        <v>3.742012631043659E-3</v>
      </c>
      <c r="R159" s="22">
        <f>Constants!$H66*'Activity data'!R8*Constants!$H84*EF!$H209*MMVolatEF*NtoN2O*kgtoGg</f>
        <v>3.4878129734859328E-3</v>
      </c>
      <c r="S159" s="22">
        <f>Constants!$H66*'Activity data'!S8*Constants!$H84*EF!$H209*MMVolatEF*NtoN2O*kgtoGg</f>
        <v>3.5059371360403354E-3</v>
      </c>
      <c r="T159" s="22">
        <f>Constants!$H66*'Activity data'!T8*Constants!$H84*EF!$H209*MMVolatEF*NtoN2O*kgtoGg</f>
        <v>3.267565588098854E-3</v>
      </c>
      <c r="U159" s="22">
        <f>Constants!$H66*'Activity data'!U8*Constants!$H84*EF!$H209*MMVolatEF*NtoN2O*kgtoGg</f>
        <v>3.3530352088181202E-3</v>
      </c>
      <c r="V159" s="22">
        <f>Constants!$H66*'Activity data'!V8*Constants!$H84*EF!$H209*MMVolatEF*NtoN2O*kgtoGg</f>
        <v>3.3839477891557434E-3</v>
      </c>
      <c r="W159" s="22">
        <f>Constants!$H66*'Activity data'!W8*Constants!$H84*EF!$H209*MMVolatEF*NtoN2O*kgtoGg</f>
        <v>3.4126511648932944E-3</v>
      </c>
      <c r="X159" s="22">
        <f>Constants!$H66*'Activity data'!X8*Constants!$H84*EF!$H209*MMVolatEF*NtoN2O*kgtoGg</f>
        <v>3.3349110462637175E-3</v>
      </c>
      <c r="Y159" s="22">
        <f>Constants!$H66*'Activity data'!Y8*Constants!$H84*EF!$H209*MMVolatEF*NtoN2O*kgtoGg</f>
        <v>3.4326154266109024E-3</v>
      </c>
      <c r="Z159" s="22">
        <f>Constants!$H66*'Activity data'!Z8*Constants!$H84*EF!$H209*MMVolatEF*NtoN2O*kgtoGg</f>
        <v>3.3372300325911516E-3</v>
      </c>
      <c r="AA159" s="22">
        <f>Constants!$H66*'Activity data'!AA8*Constants!$H84*EF!$H209*MMVolatEF*NtoN2O*kgtoGg</f>
        <v>3.281195665791852E-3</v>
      </c>
      <c r="AB159" s="22">
        <f>Constants!$H66*'Activity data'!AB8*Constants!$H84*EF!$H209*MMVolatEF*NtoN2O*kgtoGg</f>
        <v>3.2708808424712636E-3</v>
      </c>
      <c r="AC159" s="22">
        <f>Constants!$H66*'Activity data'!AC8*Constants!$H84*EF!$H209*MMVolatEF*NtoN2O*kgtoGg</f>
        <v>3.2591357808163246E-3</v>
      </c>
      <c r="AD159" s="22">
        <f>Constants!$H66*'Activity data'!AD8*Constants!$H84*EF!$H209*MMVolatEF*NtoN2O*kgtoGg</f>
        <v>3.2323215352203891E-3</v>
      </c>
      <c r="AE159" s="22">
        <f>Constants!$H66*'Activity data'!AE8*Constants!$H84*EF!$H209*MMVolatEF*NtoN2O*kgtoGg</f>
        <v>3.2042886428129448E-3</v>
      </c>
      <c r="AF159" s="22">
        <f>Constants!$H66*'Activity data'!AF8*Constants!$H84*EF!$H209*MMVolatEF*NtoN2O*kgtoGg</f>
        <v>3.193617369300608E-3</v>
      </c>
      <c r="AG159" s="22">
        <f>Constants!$H66*'Activity data'!AG8*Constants!$H84*EF!$H209*MMVolatEF*NtoN2O*kgtoGg</f>
        <v>3.150970789688672E-3</v>
      </c>
      <c r="AH159" s="22">
        <f>Constants!$H66*'Activity data'!AH8*Constants!$H84*EF!$H209*MMVolatEF*NtoN2O*kgtoGg</f>
        <v>3.0890682378804119E-3</v>
      </c>
      <c r="AI159" s="22">
        <f>Constants!$H66*'Activity data'!AI8*Constants!$H84*EF!$H209*MMVolatEF*NtoN2O*kgtoGg</f>
        <v>3.0091897617382942E-3</v>
      </c>
      <c r="AJ159" s="22">
        <f>Constants!$H66*'Activity data'!AJ8*Constants!$H84*EF!$H209*MMVolatEF*NtoN2O*kgtoGg</f>
        <v>2.9461872714039495E-3</v>
      </c>
      <c r="AK159" s="22">
        <f>Constants!$H66*'Activity data'!AK8*Constants!$H84*EF!$H209*MMVolatEF*NtoN2O*kgtoGg</f>
        <v>2.8865797531671877E-3</v>
      </c>
      <c r="AL159" s="22">
        <f>Constants!$H66*'Activity data'!AL8*Constants!$H84*EF!$H209*MMVolatEF*NtoN2O*kgtoGg</f>
        <v>2.5393486840215836E-3</v>
      </c>
      <c r="AM159" s="22">
        <f>Constants!$H66*'Activity data'!AM8*Constants!$H84*EF!$H209*MMVolatEF*NtoN2O*kgtoGg</f>
        <v>2.580595358897255E-3</v>
      </c>
      <c r="AN159" s="22">
        <f>Constants!$H66*'Activity data'!AN8*Constants!$H84*EF!$H209*MMVolatEF*NtoN2O*kgtoGg</f>
        <v>2.657542332078646E-3</v>
      </c>
      <c r="AO159" s="22">
        <f>Constants!$H66*'Activity data'!AO8*Constants!$H84*EF!$H209*MMVolatEF*NtoN2O*kgtoGg</f>
        <v>2.672909531392759E-3</v>
      </c>
      <c r="AP159" s="22">
        <f>Constants!$H66*'Activity data'!AP8*Constants!$H84*EF!$H209*MMVolatEF*NtoN2O*kgtoGg</f>
        <v>2.69507345244463E-3</v>
      </c>
      <c r="AQ159" s="22">
        <f>Constants!$H66*'Activity data'!AQ8*Constants!$H84*EF!$H209*MMVolatEF*NtoN2O*kgtoGg</f>
        <v>2.7259926112042248E-3</v>
      </c>
      <c r="AR159" s="22">
        <f>Constants!$H66*'Activity data'!AR8*Constants!$H84*EF!$H209*MMVolatEF*NtoN2O*kgtoGg</f>
        <v>2.7614582970453471E-3</v>
      </c>
      <c r="AS159" s="22">
        <f>Constants!$H66*'Activity data'!AS8*Constants!$H84*EF!$H209*MMVolatEF*NtoN2O*kgtoGg</f>
        <v>2.8030399515039583E-3</v>
      </c>
      <c r="AT159" s="22">
        <f>Constants!$H66*'Activity data'!AT8*Constants!$H84*EF!$H209*MMVolatEF*NtoN2O*kgtoGg</f>
        <v>2.8448133898556971E-3</v>
      </c>
      <c r="AU159" s="22">
        <f>Constants!$H66*'Activity data'!AU8*Constants!$H84*EF!$H209*MMVolatEF*NtoN2O*kgtoGg</f>
        <v>2.8917956180905236E-3</v>
      </c>
      <c r="AV159" s="22">
        <f>Constants!$H66*'Activity data'!AV8*Constants!$H84*EF!$H209*MMVolatEF*NtoN2O*kgtoGg</f>
        <v>2.9383115991341744E-3</v>
      </c>
      <c r="AW159" s="22">
        <f>Constants!$H66*'Activity data'!AW8*Constants!$H84*EF!$H209*MMVolatEF*NtoN2O*kgtoGg</f>
        <v>2.9686122408824826E-3</v>
      </c>
      <c r="AX159" s="22">
        <f>Constants!$H66*'Activity data'!AX8*Constants!$H84*EF!$H209*MMVolatEF*NtoN2O*kgtoGg</f>
        <v>2.9934911793624186E-3</v>
      </c>
      <c r="AY159" s="22">
        <f>Constants!$H66*'Activity data'!AY8*Constants!$H84*EF!$H209*MMVolatEF*NtoN2O*kgtoGg</f>
        <v>3.0197743682154753E-3</v>
      </c>
      <c r="AZ159" s="22">
        <f>Constants!$H66*'Activity data'!AZ8*Constants!$H84*EF!$H209*MMVolatEF*NtoN2O*kgtoGg</f>
        <v>3.0549409795984986E-3</v>
      </c>
      <c r="BA159" s="22">
        <f>Constants!$H66*'Activity data'!BA8*Constants!$H84*EF!$H209*MMVolatEF*NtoN2O*kgtoGg</f>
        <v>3.0802316239663852E-3</v>
      </c>
      <c r="BB159" s="22">
        <f>Constants!$H66*'Activity data'!BB8*Constants!$H84*EF!$H209*MMVolatEF*NtoN2O*kgtoGg</f>
        <v>3.1071852189437066E-3</v>
      </c>
      <c r="BC159" s="22">
        <f>Constants!$H66*'Activity data'!BC8*Constants!$H84*EF!$H209*MMVolatEF*NtoN2O*kgtoGg</f>
        <v>3.1368555493036434E-3</v>
      </c>
      <c r="BD159" s="22">
        <f>Constants!$H66*'Activity data'!BD8*Constants!$H84*EF!$H209*MMVolatEF*NtoN2O*kgtoGg</f>
        <v>3.1553441150186925E-3</v>
      </c>
      <c r="BE159" s="22">
        <f>Constants!$H66*'Activity data'!BE8*Constants!$H84*EF!$H209*MMVolatEF*NtoN2O*kgtoGg</f>
        <v>3.1692145745473945E-3</v>
      </c>
      <c r="BF159" s="22">
        <f>Constants!$H66*'Activity data'!BF8*Constants!$H84*EF!$H209*MMVolatEF*NtoN2O*kgtoGg</f>
        <v>3.1788623674795236E-3</v>
      </c>
      <c r="BG159" s="22">
        <f>Constants!$H66*'Activity data'!BG8*Constants!$H84*EF!$H209*MMVolatEF*NtoN2O*kgtoGg</f>
        <v>3.2088548057950931E-3</v>
      </c>
      <c r="BH159" s="22">
        <f>Constants!$H66*'Activity data'!BH8*Constants!$H84*EF!$H209*MMVolatEF*NtoN2O*kgtoGg</f>
        <v>3.2316528557922693E-3</v>
      </c>
      <c r="BI159" s="22">
        <f>Constants!$H66*'Activity data'!BI8*Constants!$H84*EF!$H209*MMVolatEF*NtoN2O*kgtoGg</f>
        <v>3.2547386832550949E-3</v>
      </c>
      <c r="BJ159" s="22">
        <f>Constants!$H66*'Activity data'!BJ8*Constants!$H84*EF!$H209*MMVolatEF*NtoN2O*kgtoGg</f>
        <v>3.2783763796135966E-3</v>
      </c>
      <c r="BK159" s="22">
        <f>Constants!$H66*'Activity data'!BK8*Constants!$H84*EF!$H209*MMVolatEF*NtoN2O*kgtoGg</f>
        <v>3.3030426066013221E-3</v>
      </c>
      <c r="BL159" s="22">
        <f>Constants!$H66*'Activity data'!BL8*Constants!$H84*EF!$H209*MMVolatEF*NtoN2O*kgtoGg</f>
        <v>3.3283682698185247E-3</v>
      </c>
      <c r="BM159" s="22">
        <f>Constants!$H66*'Activity data'!BM8*Constants!$H84*EF!$H209*MMVolatEF*NtoN2O*kgtoGg</f>
        <v>3.2784104491001818E-3</v>
      </c>
      <c r="BN159" s="22">
        <f>Constants!$H66*'Activity data'!BN8*Constants!$H84*EF!$H209*MMVolatEF*NtoN2O*kgtoGg</f>
        <v>3.2218166400979921E-3</v>
      </c>
      <c r="BO159" s="22">
        <f>Constants!$H66*'Activity data'!BO8*Constants!$H84*EF!$H209*MMVolatEF*NtoN2O*kgtoGg</f>
        <v>3.1562062621096833E-3</v>
      </c>
      <c r="BP159" s="22">
        <f>Constants!$H66*'Activity data'!BP8*Constants!$H84*EF!$H209*MMVolatEF*NtoN2O*kgtoGg</f>
        <v>3.0885397025865453E-3</v>
      </c>
    </row>
    <row r="160" spans="1:68" x14ac:dyDescent="0.3">
      <c r="A160" t="str">
        <f t="shared" si="58"/>
        <v>3C Aggregated and non-CO2 emissions on land</v>
      </c>
      <c r="B160" t="str">
        <f t="shared" si="62"/>
        <v>3C6 Indirect N2O from manure management (N2O)</v>
      </c>
      <c r="C160" t="str">
        <f t="shared" si="63"/>
        <v>Volatilisation</v>
      </c>
      <c r="D160" t="str">
        <f>'Activity data'!D70</f>
        <v xml:space="preserve"> - Subsistence cattle</v>
      </c>
      <c r="E160" t="str">
        <f t="shared" si="61"/>
        <v>Volatilisation - Subsistence cattle</v>
      </c>
      <c r="F160" t="str">
        <f t="shared" si="47"/>
        <v>N2O</v>
      </c>
      <c r="G160" t="str">
        <f t="shared" si="48"/>
        <v>Gg N2O</v>
      </c>
      <c r="H160" s="22">
        <f>Constants!$H67*'Activity data'!H9*Constants!$H85*EF!$H210*MMVolatEF*NtoN2O*kgtoGg</f>
        <v>1.3985811709424438E-2</v>
      </c>
      <c r="I160" s="22">
        <f>Constants!$H67*'Activity data'!I9*Constants!$H85*EF!$H210*MMVolatEF*NtoN2O*kgtoGg</f>
        <v>1.4838976693877345E-2</v>
      </c>
      <c r="J160" s="22">
        <f>Constants!$H67*'Activity data'!J9*Constants!$H85*EF!$H210*MMVolatEF*NtoN2O*kgtoGg</f>
        <v>1.5539790788249377E-2</v>
      </c>
      <c r="K160" s="22">
        <f>Constants!$H67*'Activity data'!K9*Constants!$H85*EF!$H210*MMVolatEF*NtoN2O*kgtoGg</f>
        <v>1.5356969720152323E-2</v>
      </c>
      <c r="L160" s="22">
        <f>Constants!$H67*'Activity data'!L9*Constants!$H85*EF!$H210*MMVolatEF*NtoN2O*kgtoGg</f>
        <v>1.3376408149100934E-2</v>
      </c>
      <c r="M160" s="22">
        <f>Constants!$H67*'Activity data'!M9*Constants!$H85*EF!$H210*MMVolatEF*NtoN2O*kgtoGg</f>
        <v>1.2919355478858304E-2</v>
      </c>
      <c r="N160" s="22">
        <f>Constants!$H67*'Activity data'!N9*Constants!$H85*EF!$H210*MMVolatEF*NtoN2O*kgtoGg</f>
        <v>1.3284997615052406E-2</v>
      </c>
      <c r="O160" s="22">
        <f>Constants!$H67*'Activity data'!O9*Constants!$H85*EF!$H210*MMVolatEF*NtoN2O*kgtoGg</f>
        <v>1.3894401175375911E-2</v>
      </c>
      <c r="P160" s="22">
        <f>Constants!$H67*'Activity data'!P9*Constants!$H85*EF!$H210*MMVolatEF*NtoN2O*kgtoGg</f>
        <v>1.4747566159828822E-2</v>
      </c>
      <c r="Q160" s="22">
        <f>Constants!$H67*'Activity data'!Q9*Constants!$H85*EF!$H210*MMVolatEF*NtoN2O*kgtoGg</f>
        <v>1.5356969720152323E-2</v>
      </c>
      <c r="R160" s="22">
        <f>Constants!$H67*'Activity data'!R9*Constants!$H85*EF!$H210*MMVolatEF*NtoN2O*kgtoGg</f>
        <v>1.4991327583958221E-2</v>
      </c>
      <c r="S160" s="22">
        <f>Constants!$H67*'Activity data'!S9*Constants!$H85*EF!$H210*MMVolatEF*NtoN2O*kgtoGg</f>
        <v>1.4625685447764119E-2</v>
      </c>
      <c r="T160" s="22">
        <f>Constants!$H67*'Activity data'!T9*Constants!$H85*EF!$H210*MMVolatEF*NtoN2O*kgtoGg</f>
        <v>1.657577684079933E-2</v>
      </c>
      <c r="U160" s="22">
        <f>Constants!$H67*'Activity data'!U9*Constants!$H85*EF!$H210*MMVolatEF*NtoN2O*kgtoGg</f>
        <v>1.6971889155009613E-2</v>
      </c>
      <c r="V160" s="22">
        <f>Constants!$H67*'Activity data'!V9*Constants!$H85*EF!$H210*MMVolatEF*NtoN2O*kgtoGg</f>
        <v>1.6697657552864033E-2</v>
      </c>
      <c r="W160" s="22">
        <f>Constants!$H67*'Activity data'!W9*Constants!$H85*EF!$H210*MMVolatEF*NtoN2O*kgtoGg</f>
        <v>1.6210134704605229E-2</v>
      </c>
      <c r="X160" s="22">
        <f>Constants!$H67*'Activity data'!X9*Constants!$H85*EF!$H210*MMVolatEF*NtoN2O*kgtoGg</f>
        <v>1.6728127730880213E-2</v>
      </c>
      <c r="Y160" s="22">
        <f>Constants!$H67*'Activity data'!Y9*Constants!$H85*EF!$H210*MMVolatEF*NtoN2O*kgtoGg</f>
        <v>1.7398471647236066E-2</v>
      </c>
      <c r="Z160" s="22">
        <f>Constants!$H67*'Activity data'!Z9*Constants!$H85*EF!$H210*MMVolatEF*NtoN2O*kgtoGg</f>
        <v>1.7124240045090489E-2</v>
      </c>
      <c r="AA160" s="22">
        <f>Constants!$H67*'Activity data'!AA9*Constants!$H85*EF!$H210*MMVolatEF*NtoN2O*kgtoGg</f>
        <v>1.6941418976993437E-2</v>
      </c>
      <c r="AB160" s="22">
        <f>Constants!$H67*'Activity data'!AB9*Constants!$H85*EF!$H210*MMVolatEF*NtoN2O*kgtoGg</f>
        <v>1.6697657552864033E-2</v>
      </c>
      <c r="AC160" s="22">
        <f>Constants!$H67*'Activity data'!AC9*Constants!$H85*EF!$H210*MMVolatEF*NtoN2O*kgtoGg</f>
        <v>1.6819538264928734E-2</v>
      </c>
      <c r="AD160" s="22">
        <f>Constants!$H67*'Activity data'!AD9*Constants!$H85*EF!$H210*MMVolatEF*NtoN2O*kgtoGg</f>
        <v>1.6090517274103575E-2</v>
      </c>
      <c r="AE160" s="22">
        <f>Constants!$H67*'Activity data'!AE9*Constants!$H85*EF!$H210*MMVolatEF*NtoN2O*kgtoGg</f>
        <v>1.5950969356419605E-2</v>
      </c>
      <c r="AF160" s="22">
        <f>Constants!$H67*'Activity data'!AF9*Constants!$H85*EF!$H210*MMVolatEF*NtoN2O*kgtoGg</f>
        <v>1.5897847688628834E-2</v>
      </c>
      <c r="AG160" s="22">
        <f>Constants!$H67*'Activity data'!AG9*Constants!$H85*EF!$H210*MMVolatEF*NtoN2O*kgtoGg</f>
        <v>1.5685552742581484E-2</v>
      </c>
      <c r="AH160" s="22">
        <f>Constants!$H67*'Activity data'!AH9*Constants!$H85*EF!$H210*MMVolatEF*NtoN2O*kgtoGg</f>
        <v>1.5377401443792458E-2</v>
      </c>
      <c r="AI160" s="22">
        <f>Constants!$H67*'Activity data'!AI9*Constants!$H85*EF!$H210*MMVolatEF*NtoN2O*kgtoGg</f>
        <v>1.4979765878707444E-2</v>
      </c>
      <c r="AJ160" s="22">
        <f>Constants!$H67*'Activity data'!AJ9*Constants!$H85*EF!$H210*MMVolatEF*NtoN2O*kgtoGg</f>
        <v>1.4666139078901097E-2</v>
      </c>
      <c r="AK160" s="22">
        <f>Constants!$H67*'Activity data'!AK9*Constants!$H85*EF!$H210*MMVolatEF*NtoN2O*kgtoGg</f>
        <v>1.4369412471908495E-2</v>
      </c>
      <c r="AL160" s="22">
        <f>Constants!$H67*'Activity data'!AL9*Constants!$H85*EF!$H210*MMVolatEF*NtoN2O*kgtoGg</f>
        <v>1.2640893989042949E-2</v>
      </c>
      <c r="AM160" s="22">
        <f>Constants!$H67*'Activity data'!AM9*Constants!$H85*EF!$H210*MMVolatEF*NtoN2O*kgtoGg</f>
        <v>1.284622020036031E-2</v>
      </c>
      <c r="AN160" s="22">
        <f>Constants!$H67*'Activity data'!AN9*Constants!$H85*EF!$H210*MMVolatEF*NtoN2O*kgtoGg</f>
        <v>1.322926272495888E-2</v>
      </c>
      <c r="AO160" s="22">
        <f>Constants!$H67*'Activity data'!AO9*Constants!$H85*EF!$H210*MMVolatEF*NtoN2O*kgtoGg</f>
        <v>1.3305760741422912E-2</v>
      </c>
      <c r="AP160" s="22">
        <f>Constants!$H67*'Activity data'!AP9*Constants!$H85*EF!$H210*MMVolatEF*NtoN2O*kgtoGg</f>
        <v>1.3416092882164809E-2</v>
      </c>
      <c r="AQ160" s="22">
        <f>Constants!$H67*'Activity data'!AQ9*Constants!$H85*EF!$H210*MMVolatEF*NtoN2O*kgtoGg</f>
        <v>1.3570008652208428E-2</v>
      </c>
      <c r="AR160" s="22">
        <f>Constants!$H67*'Activity data'!AR9*Constants!$H85*EF!$H210*MMVolatEF*NtoN2O*kgtoGg</f>
        <v>1.3746557063140447E-2</v>
      </c>
      <c r="AS160" s="22">
        <f>Constants!$H67*'Activity data'!AS9*Constants!$H85*EF!$H210*MMVolatEF*NtoN2O*kgtoGg</f>
        <v>1.3953550804963992E-2</v>
      </c>
      <c r="AT160" s="22">
        <f>Constants!$H67*'Activity data'!AT9*Constants!$H85*EF!$H210*MMVolatEF*NtoN2O*kgtoGg</f>
        <v>1.4161499248234047E-2</v>
      </c>
      <c r="AU160" s="22">
        <f>Constants!$H67*'Activity data'!AU9*Constants!$H85*EF!$H210*MMVolatEF*NtoN2O*kgtoGg</f>
        <v>1.439537708085406E-2</v>
      </c>
      <c r="AV160" s="22">
        <f>Constants!$H67*'Activity data'!AV9*Constants!$H85*EF!$H210*MMVolatEF*NtoN2O*kgtoGg</f>
        <v>1.4626933931974607E-2</v>
      </c>
      <c r="AW160" s="22">
        <f>Constants!$H67*'Activity data'!AW9*Constants!$H85*EF!$H210*MMVolatEF*NtoN2O*kgtoGg</f>
        <v>1.4777770720380409E-2</v>
      </c>
      <c r="AX160" s="22">
        <f>Constants!$H67*'Activity data'!AX9*Constants!$H85*EF!$H210*MMVolatEF*NtoN2O*kgtoGg</f>
        <v>1.4901618235242655E-2</v>
      </c>
      <c r="AY160" s="22">
        <f>Constants!$H67*'Activity data'!AY9*Constants!$H85*EF!$H210*MMVolatEF*NtoN2O*kgtoGg</f>
        <v>1.5032456117442953E-2</v>
      </c>
      <c r="AZ160" s="22">
        <f>Constants!$H67*'Activity data'!AZ9*Constants!$H85*EF!$H210*MMVolatEF*NtoN2O*kgtoGg</f>
        <v>1.5207515733809875E-2</v>
      </c>
      <c r="BA160" s="22">
        <f>Constants!$H67*'Activity data'!BA9*Constants!$H85*EF!$H210*MMVolatEF*NtoN2O*kgtoGg</f>
        <v>1.5333412723215338E-2</v>
      </c>
      <c r="BB160" s="22">
        <f>Constants!$H67*'Activity data'!BB9*Constants!$H85*EF!$H210*MMVolatEF*NtoN2O*kgtoGg</f>
        <v>1.5467587891389686E-2</v>
      </c>
      <c r="BC160" s="22">
        <f>Constants!$H67*'Activity data'!BC9*Constants!$H85*EF!$H210*MMVolatEF*NtoN2O*kgtoGg</f>
        <v>1.5615286985673127E-2</v>
      </c>
      <c r="BD160" s="22">
        <f>Constants!$H67*'Activity data'!BD9*Constants!$H85*EF!$H210*MMVolatEF*NtoN2O*kgtoGg</f>
        <v>1.5707323184043206E-2</v>
      </c>
      <c r="BE160" s="22">
        <f>Constants!$H67*'Activity data'!BE9*Constants!$H85*EF!$H210*MMVolatEF*NtoN2O*kgtoGg</f>
        <v>1.5776370420283306E-2</v>
      </c>
      <c r="BF160" s="22">
        <f>Constants!$H67*'Activity data'!BF9*Constants!$H85*EF!$H210*MMVolatEF*NtoN2O*kgtoGg</f>
        <v>1.5824397195200308E-2</v>
      </c>
      <c r="BG160" s="22">
        <f>Constants!$H67*'Activity data'!BG9*Constants!$H85*EF!$H210*MMVolatEF*NtoN2O*kgtoGg</f>
        <v>1.5973699744946876E-2</v>
      </c>
      <c r="BH160" s="22">
        <f>Constants!$H67*'Activity data'!BH9*Constants!$H85*EF!$H210*MMVolatEF*NtoN2O*kgtoGg</f>
        <v>1.608718858363397E-2</v>
      </c>
      <c r="BI160" s="22">
        <f>Constants!$H67*'Activity data'!BI9*Constants!$H85*EF!$H210*MMVolatEF*NtoN2O*kgtoGg</f>
        <v>1.6202109980385494E-2</v>
      </c>
      <c r="BJ160" s="22">
        <f>Constants!$H67*'Activity data'!BJ9*Constants!$H85*EF!$H210*MMVolatEF*NtoN2O*kgtoGg</f>
        <v>1.6319778584029082E-2</v>
      </c>
      <c r="BK160" s="22">
        <f>Constants!$H67*'Activity data'!BK9*Constants!$H85*EF!$H210*MMVolatEF*NtoN2O*kgtoGg</f>
        <v>1.6442567219722745E-2</v>
      </c>
      <c r="BL160" s="22">
        <f>Constants!$H67*'Activity data'!BL9*Constants!$H85*EF!$H210*MMVolatEF*NtoN2O*kgtoGg</f>
        <v>1.6568638533184063E-2</v>
      </c>
      <c r="BM160" s="22">
        <f>Constants!$H67*'Activity data'!BM9*Constants!$H85*EF!$H210*MMVolatEF*NtoN2O*kgtoGg</f>
        <v>1.6319948182151194E-2</v>
      </c>
      <c r="BN160" s="22">
        <f>Constants!$H67*'Activity data'!BN9*Constants!$H85*EF!$H210*MMVolatEF*NtoN2O*kgtoGg</f>
        <v>1.603822383900198E-2</v>
      </c>
      <c r="BO160" s="22">
        <f>Constants!$H67*'Activity data'!BO9*Constants!$H85*EF!$H210*MMVolatEF*NtoN2O*kgtoGg</f>
        <v>1.5711614957775871E-2</v>
      </c>
      <c r="BP160" s="22">
        <f>Constants!$H67*'Activity data'!BP9*Constants!$H85*EF!$H210*MMVolatEF*NtoN2O*kgtoGg</f>
        <v>1.5374770391719434E-2</v>
      </c>
    </row>
    <row r="161" spans="1:68" x14ac:dyDescent="0.3">
      <c r="A161" t="str">
        <f t="shared" si="58"/>
        <v>3C Aggregated and non-CO2 emissions on land</v>
      </c>
      <c r="B161" t="str">
        <f t="shared" si="62"/>
        <v>3C6 Indirect N2O from manure management (N2O)</v>
      </c>
      <c r="C161" t="str">
        <f t="shared" si="63"/>
        <v>Volatilisation</v>
      </c>
      <c r="D161" t="str">
        <f>'Activity data'!D71</f>
        <v xml:space="preserve"> - Feedlot</v>
      </c>
      <c r="E161" t="str">
        <f t="shared" si="61"/>
        <v>Volatilisation - Feedlot</v>
      </c>
      <c r="F161" t="str">
        <f t="shared" si="47"/>
        <v>N2O</v>
      </c>
      <c r="G161" t="str">
        <f t="shared" si="48"/>
        <v>Gg N2O</v>
      </c>
      <c r="H161" s="22">
        <f>Constants!$H68*'Activity data'!H10*Constants!$H86*EF!$H211*MMVolatEF*NtoN2O*kgtoGg</f>
        <v>0.12283717445999996</v>
      </c>
      <c r="I161" s="22">
        <f>Constants!$H68*'Activity data'!I10*Constants!$H86*EF!$H211*MMVolatEF*NtoN2O*kgtoGg</f>
        <v>0.12283717445999996</v>
      </c>
      <c r="J161" s="22">
        <f>Constants!$H68*'Activity data'!J10*Constants!$H86*EF!$H211*MMVolatEF*NtoN2O*kgtoGg</f>
        <v>0.12283717445999996</v>
      </c>
      <c r="K161" s="22">
        <f>Constants!$H68*'Activity data'!K10*Constants!$H86*EF!$H211*MMVolatEF*NtoN2O*kgtoGg</f>
        <v>0.12283717445999996</v>
      </c>
      <c r="L161" s="22">
        <f>Constants!$H68*'Activity data'!L10*Constants!$H86*EF!$H211*MMVolatEF*NtoN2O*kgtoGg</f>
        <v>0.12283717445999996</v>
      </c>
      <c r="M161" s="22">
        <f>Constants!$H68*'Activity data'!M10*Constants!$H86*EF!$H211*MMVolatEF*NtoN2O*kgtoGg</f>
        <v>0.12283717445999996</v>
      </c>
      <c r="N161" s="22">
        <f>Constants!$H68*'Activity data'!N10*Constants!$H86*EF!$H211*MMVolatEF*NtoN2O*kgtoGg</f>
        <v>0.12283717445999996</v>
      </c>
      <c r="O161" s="22">
        <f>Constants!$H68*'Activity data'!O10*Constants!$H86*EF!$H211*MMVolatEF*NtoN2O*kgtoGg</f>
        <v>0.12283717445999996</v>
      </c>
      <c r="P161" s="22">
        <f>Constants!$H68*'Activity data'!P10*Constants!$H86*EF!$H211*MMVolatEF*NtoN2O*kgtoGg</f>
        <v>0.12283717445999996</v>
      </c>
      <c r="Q161" s="22">
        <f>Constants!$H68*'Activity data'!Q10*Constants!$H86*EF!$H211*MMVolatEF*NtoN2O*kgtoGg</f>
        <v>0.12283717445999996</v>
      </c>
      <c r="R161" s="22">
        <f>Constants!$H68*'Activity data'!R10*Constants!$H86*EF!$H211*MMVolatEF*NtoN2O*kgtoGg</f>
        <v>0.12283717445999996</v>
      </c>
      <c r="S161" s="22">
        <f>Constants!$H68*'Activity data'!S10*Constants!$H86*EF!$H211*MMVolatEF*NtoN2O*kgtoGg</f>
        <v>0.12283717445999996</v>
      </c>
      <c r="T161" s="22">
        <f>Constants!$H68*'Activity data'!T10*Constants!$H86*EF!$H211*MMVolatEF*NtoN2O*kgtoGg</f>
        <v>0.12283717445999996</v>
      </c>
      <c r="U161" s="22">
        <f>Constants!$H68*'Activity data'!U10*Constants!$H86*EF!$H211*MMVolatEF*NtoN2O*kgtoGg</f>
        <v>0.12283717445999996</v>
      </c>
      <c r="V161" s="22">
        <f>Constants!$H68*'Activity data'!V10*Constants!$H86*EF!$H211*MMVolatEF*NtoN2O*kgtoGg</f>
        <v>0.12283717445999996</v>
      </c>
      <c r="W161" s="22">
        <f>Constants!$H68*'Activity data'!W10*Constants!$H86*EF!$H211*MMVolatEF*NtoN2O*kgtoGg</f>
        <v>0.12283717445999996</v>
      </c>
      <c r="X161" s="22">
        <f>Constants!$H68*'Activity data'!X10*Constants!$H86*EF!$H211*MMVolatEF*NtoN2O*kgtoGg</f>
        <v>0.12283717445999996</v>
      </c>
      <c r="Y161" s="22">
        <f>Constants!$H68*'Activity data'!Y10*Constants!$H86*EF!$H211*MMVolatEF*NtoN2O*kgtoGg</f>
        <v>0.12283717445999996</v>
      </c>
      <c r="Z161" s="22">
        <f>Constants!$H68*'Activity data'!Z10*Constants!$H86*EF!$H211*MMVolatEF*NtoN2O*kgtoGg</f>
        <v>0.11439877239615821</v>
      </c>
      <c r="AA161" s="22">
        <f>Constants!$H68*'Activity data'!AA10*Constants!$H86*EF!$H211*MMVolatEF*NtoN2O*kgtoGg</f>
        <v>0.11722743955247324</v>
      </c>
      <c r="AB161" s="22">
        <f>Constants!$H68*'Activity data'!AB10*Constants!$H86*EF!$H211*MMVolatEF*NtoN2O*kgtoGg</f>
        <v>0.116935823125407</v>
      </c>
      <c r="AC161" s="22">
        <f>Constants!$H68*'Activity data'!AC10*Constants!$H86*EF!$H211*MMVolatEF*NtoN2O*kgtoGg</f>
        <v>0.13506244675831047</v>
      </c>
      <c r="AD161" s="22">
        <f>Constants!$H68*'Activity data'!AD10*Constants!$H86*EF!$H211*MMVolatEF*NtoN2O*kgtoGg</f>
        <v>0.15836052531214873</v>
      </c>
      <c r="AE161" s="22">
        <f>Constants!$H68*'Activity data'!AE10*Constants!$H86*EF!$H211*MMVolatEF*NtoN2O*kgtoGg</f>
        <v>0.16370016056893641</v>
      </c>
      <c r="AF161" s="22">
        <f>Constants!$H68*'Activity data'!AF10*Constants!$H86*EF!$H211*MMVolatEF*NtoN2O*kgtoGg</f>
        <v>0.17003774892948584</v>
      </c>
      <c r="AG161" s="22">
        <f>Constants!$H68*'Activity data'!AG10*Constants!$H86*EF!$H211*MMVolatEF*NtoN2O*kgtoGg</f>
        <v>0.17476418316081974</v>
      </c>
      <c r="AH161" s="22">
        <f>Constants!$H68*'Activity data'!AH10*Constants!$H86*EF!$H211*MMVolatEF*NtoN2O*kgtoGg</f>
        <v>0.1784091501709566</v>
      </c>
      <c r="AI161" s="22">
        <f>Constants!$H68*'Activity data'!AI10*Constants!$H86*EF!$H211*MMVolatEF*NtoN2O*kgtoGg</f>
        <v>0.18092055691117107</v>
      </c>
      <c r="AJ161" s="22">
        <f>Constants!$H68*'Activity data'!AJ10*Constants!$H86*EF!$H211*MMVolatEF*NtoN2O*kgtoGg</f>
        <v>0.18434967364231716</v>
      </c>
      <c r="AK161" s="22">
        <f>Constants!$H68*'Activity data'!AK10*Constants!$H86*EF!$H211*MMVolatEF*NtoN2O*kgtoGg</f>
        <v>0.18794438918293385</v>
      </c>
      <c r="AL161" s="22">
        <f>Constants!$H68*'Activity data'!AL10*Constants!$H86*EF!$H211*MMVolatEF*NtoN2O*kgtoGg</f>
        <v>0.17201843471628311</v>
      </c>
      <c r="AM161" s="22">
        <f>Constants!$H68*'Activity data'!AM10*Constants!$H86*EF!$H211*MMVolatEF*NtoN2O*kgtoGg</f>
        <v>0.17902423727078304</v>
      </c>
      <c r="AN161" s="22">
        <f>Constants!$H68*'Activity data'!AN10*Constants!$H86*EF!$H211*MMVolatEF*NtoN2O*kgtoGg</f>
        <v>0.18874308750279975</v>
      </c>
      <c r="AO161" s="22">
        <f>Constants!$H68*'Activity data'!AO10*Constants!$H86*EF!$H211*MMVolatEF*NtoN2O*kgtoGg</f>
        <v>0.19428798010301845</v>
      </c>
      <c r="AP161" s="22">
        <f>Constants!$H68*'Activity data'!AP10*Constants!$H86*EF!$H211*MMVolatEF*NtoN2O*kgtoGg</f>
        <v>0.20044069379465723</v>
      </c>
      <c r="AQ161" s="22">
        <f>Constants!$H68*'Activity data'!AQ10*Constants!$H86*EF!$H211*MMVolatEF*NtoN2O*kgtoGg</f>
        <v>0.20738925990441343</v>
      </c>
      <c r="AR161" s="22">
        <f>Constants!$H68*'Activity data'!AR10*Constants!$H86*EF!$H211*MMVolatEF*NtoN2O*kgtoGg</f>
        <v>0.21485625224208699</v>
      </c>
      <c r="AS161" s="22">
        <f>Constants!$H68*'Activity data'!AS10*Constants!$H86*EF!$H211*MMVolatEF*NtoN2O*kgtoGg</f>
        <v>0.22299569523633012</v>
      </c>
      <c r="AT161" s="22">
        <f>Constants!$H68*'Activity data'!AT10*Constants!$H86*EF!$H211*MMVolatEF*NtoN2O*kgtoGg</f>
        <v>0.23136404347242787</v>
      </c>
      <c r="AU161" s="22">
        <f>Constants!$H68*'Activity data'!AU10*Constants!$H86*EF!$H211*MMVolatEF*NtoN2O*kgtoGg</f>
        <v>0.24038568507894228</v>
      </c>
      <c r="AV161" s="22">
        <f>Constants!$H68*'Activity data'!AV10*Constants!$H86*EF!$H211*MMVolatEF*NtoN2O*kgtoGg</f>
        <v>0.24961351882279642</v>
      </c>
      <c r="AW161" s="22">
        <f>Constants!$H68*'Activity data'!AW10*Constants!$H86*EF!$H211*MMVolatEF*NtoN2O*kgtoGg</f>
        <v>0.26055082309019489</v>
      </c>
      <c r="AX161" s="22">
        <f>Constants!$H68*'Activity data'!AX10*Constants!$H86*EF!$H211*MMVolatEF*NtoN2O*kgtoGg</f>
        <v>0.27146409989499087</v>
      </c>
      <c r="AY161" s="22">
        <f>Constants!$H68*'Activity data'!AY10*Constants!$H86*EF!$H211*MMVolatEF*NtoN2O*kgtoGg</f>
        <v>0.28296976129835516</v>
      </c>
      <c r="AZ161" s="22">
        <f>Constants!$H68*'Activity data'!AZ10*Constants!$H86*EF!$H211*MMVolatEF*NtoN2O*kgtoGg</f>
        <v>0.29583119296374027</v>
      </c>
      <c r="BA161" s="22">
        <f>Constants!$H68*'Activity data'!BA10*Constants!$H86*EF!$H211*MMVolatEF*NtoN2O*kgtoGg</f>
        <v>0.30828569818364093</v>
      </c>
      <c r="BB161" s="22">
        <f>Constants!$H68*'Activity data'!BB10*Constants!$H86*EF!$H211*MMVolatEF*NtoN2O*kgtoGg</f>
        <v>0.32146078881891821</v>
      </c>
      <c r="BC161" s="22">
        <f>Constants!$H68*'Activity data'!BC10*Constants!$H86*EF!$H211*MMVolatEF*NtoN2O*kgtoGg</f>
        <v>0.33551892419975027</v>
      </c>
      <c r="BD161" s="22">
        <f>Constants!$H68*'Activity data'!BD10*Constants!$H86*EF!$H211*MMVolatEF*NtoN2O*kgtoGg</f>
        <v>0.34898799967344624</v>
      </c>
      <c r="BE161" s="22">
        <f>Constants!$H68*'Activity data'!BE10*Constants!$H86*EF!$H211*MMVolatEF*NtoN2O*kgtoGg</f>
        <v>0.36253110288155638</v>
      </c>
      <c r="BF161" s="22">
        <f>Constants!$H68*'Activity data'!BF10*Constants!$H86*EF!$H211*MMVolatEF*NtoN2O*kgtoGg</f>
        <v>0.3761776209722954</v>
      </c>
      <c r="BG161" s="22">
        <f>Constants!$H68*'Activity data'!BG10*Constants!$H86*EF!$H211*MMVolatEF*NtoN2O*kgtoGg</f>
        <v>0.39044092384449941</v>
      </c>
      <c r="BH161" s="22">
        <f>Constants!$H68*'Activity data'!BH10*Constants!$H86*EF!$H211*MMVolatEF*NtoN2O*kgtoGg</f>
        <v>0.40434790587507169</v>
      </c>
      <c r="BI161" s="22">
        <f>Constants!$H68*'Activity data'!BI10*Constants!$H86*EF!$H211*MMVolatEF*NtoN2O*kgtoGg</f>
        <v>0.41881133165575385</v>
      </c>
      <c r="BJ161" s="22">
        <f>Constants!$H68*'Activity data'!BJ10*Constants!$H86*EF!$H211*MMVolatEF*NtoN2O*kgtoGg</f>
        <v>0.43389523168298461</v>
      </c>
      <c r="BK161" s="22">
        <f>Constants!$H68*'Activity data'!BK10*Constants!$H86*EF!$H211*MMVolatEF*NtoN2O*kgtoGg</f>
        <v>0.44969846219520337</v>
      </c>
      <c r="BL161" s="22">
        <f>Constants!$H68*'Activity data'!BL10*Constants!$H86*EF!$H211*MMVolatEF*NtoN2O*kgtoGg</f>
        <v>0.46621113351536414</v>
      </c>
      <c r="BM161" s="22">
        <f>Constants!$H68*'Activity data'!BM10*Constants!$H86*EF!$H211*MMVolatEF*NtoN2O*kgtoGg</f>
        <v>0.47252748572368597</v>
      </c>
      <c r="BN161" s="22">
        <f>Constants!$H68*'Activity data'!BN10*Constants!$H86*EF!$H211*MMVolatEF*NtoN2O*kgtoGg</f>
        <v>0.47791554113176593</v>
      </c>
      <c r="BO161" s="22">
        <f>Constants!$H68*'Activity data'!BO10*Constants!$H86*EF!$H211*MMVolatEF*NtoN2O*kgtoGg</f>
        <v>0.48192801076931108</v>
      </c>
      <c r="BP161" s="22">
        <f>Constants!$H68*'Activity data'!BP10*Constants!$H86*EF!$H211*MMVolatEF*NtoN2O*kgtoGg</f>
        <v>0.48553688587906652</v>
      </c>
    </row>
    <row r="162" spans="1:68" x14ac:dyDescent="0.3">
      <c r="A162" t="str">
        <f t="shared" si="58"/>
        <v>3C Aggregated and non-CO2 emissions on land</v>
      </c>
      <c r="B162" t="str">
        <f t="shared" si="62"/>
        <v>3C6 Indirect N2O from manure management (N2O)</v>
      </c>
      <c r="C162" t="str">
        <f t="shared" si="63"/>
        <v>Volatilisation</v>
      </c>
      <c r="D162" t="str">
        <f>'Activity data'!D72</f>
        <v xml:space="preserve"> - Commercial sheep</v>
      </c>
      <c r="E162" t="str">
        <f t="shared" si="61"/>
        <v>Volatilisation - Commercial sheep</v>
      </c>
      <c r="F162" t="str">
        <f t="shared" si="47"/>
        <v>N2O</v>
      </c>
      <c r="G162" t="str">
        <f t="shared" si="48"/>
        <v>Gg N2O</v>
      </c>
      <c r="H162" s="22">
        <f>Constants!$H69*'Activity data'!H11*Constants!$H87*EF!$H212*MMVolatEF*NtoN2O*kgtoGg</f>
        <v>1.8472261121735457E-4</v>
      </c>
      <c r="I162" s="22">
        <f>Constants!$H69*'Activity data'!I11*Constants!$H87*EF!$H212*MMVolatEF*NtoN2O*kgtoGg</f>
        <v>1.7641659434150834E-4</v>
      </c>
      <c r="J162" s="22">
        <f>Constants!$H69*'Activity data'!J11*Constants!$H87*EF!$H212*MMVolatEF*NtoN2O*kgtoGg</f>
        <v>1.6912726350758691E-4</v>
      </c>
      <c r="K162" s="22">
        <f>Constants!$H69*'Activity data'!K11*Constants!$H87*EF!$H212*MMVolatEF*NtoN2O*kgtoGg</f>
        <v>1.5817170118914879E-4</v>
      </c>
      <c r="L162" s="22">
        <f>Constants!$H69*'Activity data'!L11*Constants!$H87*EF!$H212*MMVolatEF*NtoN2O*kgtoGg</f>
        <v>1.5928697496847238E-4</v>
      </c>
      <c r="M162" s="22">
        <f>Constants!$H69*'Activity data'!M11*Constants!$H87*EF!$H212*MMVolatEF*NtoN2O*kgtoGg</f>
        <v>1.5700713354112583E-4</v>
      </c>
      <c r="N162" s="22">
        <f>Constants!$H69*'Activity data'!N11*Constants!$H87*EF!$H212*MMVolatEF*NtoN2O*kgtoGg</f>
        <v>1.575308808960568E-4</v>
      </c>
      <c r="O162" s="22">
        <f>Constants!$H69*'Activity data'!O11*Constants!$H87*EF!$H212*MMVolatEF*NtoN2O*kgtoGg</f>
        <v>1.541049570214496E-4</v>
      </c>
      <c r="P162" s="22">
        <f>Constants!$H69*'Activity data'!P11*Constants!$H87*EF!$H212*MMVolatEF*NtoN2O*kgtoGg</f>
        <v>1.5453011663898181E-4</v>
      </c>
      <c r="Q162" s="22">
        <f>Constants!$H69*'Activity data'!Q11*Constants!$H87*EF!$H212*MMVolatEF*NtoN2O*kgtoGg</f>
        <v>1.5073448874912916E-4</v>
      </c>
      <c r="R162" s="22">
        <f>Constants!$H69*'Activity data'!R11*Constants!$H87*EF!$H212*MMVolatEF*NtoN2O*kgtoGg</f>
        <v>1.4533064839295922E-4</v>
      </c>
      <c r="S162" s="22">
        <f>Constants!$H69*'Activity data'!S11*Constants!$H87*EF!$H212*MMVolatEF*NtoN2O*kgtoGg</f>
        <v>1.4170754904355447E-4</v>
      </c>
      <c r="T162" s="22">
        <f>Constants!$H69*'Activity data'!T11*Constants!$H87*EF!$H212*MMVolatEF*NtoN2O*kgtoGg</f>
        <v>1.3934144334598408E-4</v>
      </c>
      <c r="U162" s="22">
        <f>Constants!$H69*'Activity data'!U11*Constants!$H87*EF!$H212*MMVolatEF*NtoN2O*kgtoGg</f>
        <v>1.3982822029939045E-4</v>
      </c>
      <c r="V162" s="22">
        <f>Constants!$H69*'Activity data'!V11*Constants!$H87*EF!$H212*MMVolatEF*NtoN2O*kgtoGg</f>
        <v>1.3733887993007157E-4</v>
      </c>
      <c r="W162" s="22">
        <f>Constants!$H69*'Activity data'!W11*Constants!$H87*EF!$H212*MMVolatEF*NtoN2O*kgtoGg</f>
        <v>1.3701230804993817E-4</v>
      </c>
      <c r="X162" s="22">
        <f>Constants!$H69*'Activity data'!X11*Constants!$H87*EF!$H212*MMVolatEF*NtoN2O*kgtoGg</f>
        <v>1.3521924357599806E-4</v>
      </c>
      <c r="Y162" s="22">
        <f>Constants!$H69*'Activity data'!Y11*Constants!$H87*EF!$H212*MMVolatEF*NtoN2O*kgtoGg</f>
        <v>1.3508984717066217E-4</v>
      </c>
      <c r="Z162" s="22">
        <f>Constants!$H69*'Activity data'!Z11*Constants!$H87*EF!$H212*MMVolatEF*NtoN2O*kgtoGg</f>
        <v>1.3552733025536923E-4</v>
      </c>
      <c r="AA162" s="22">
        <f>Constants!$H69*'Activity data'!AA11*Constants!$H87*EF!$H212*MMVolatEF*NtoN2O*kgtoGg</f>
        <v>1.3504671503555021E-4</v>
      </c>
      <c r="AB162" s="22">
        <f>Constants!$H69*'Activity data'!AB11*Constants!$H87*EF!$H212*MMVolatEF*NtoN2O*kgtoGg</f>
        <v>1.3243413999448287E-4</v>
      </c>
      <c r="AC162" s="22">
        <f>Constants!$H69*'Activity data'!AC11*Constants!$H87*EF!$H212*MMVolatEF*NtoN2O*kgtoGg</f>
        <v>1.3139896875179576E-4</v>
      </c>
      <c r="AD162" s="22">
        <f>Constants!$H69*'Activity data'!AD11*Constants!$H87*EF!$H212*MMVolatEF*NtoN2O*kgtoGg</f>
        <v>1.1718831875652189E-4</v>
      </c>
      <c r="AE162" s="22">
        <f>Constants!$H69*'Activity data'!AE11*Constants!$H87*EF!$H212*MMVolatEF*NtoN2O*kgtoGg</f>
        <v>1.1725168210757805E-4</v>
      </c>
      <c r="AF162" s="22">
        <f>Constants!$H69*'Activity data'!AF11*Constants!$H87*EF!$H212*MMVolatEF*NtoN2O*kgtoGg</f>
        <v>1.1740318150277543E-4</v>
      </c>
      <c r="AG162" s="22">
        <f>Constants!$H69*'Activity data'!AG11*Constants!$H87*EF!$H212*MMVolatEF*NtoN2O*kgtoGg</f>
        <v>1.1762656857541023E-4</v>
      </c>
      <c r="AH162" s="22">
        <f>Constants!$H69*'Activity data'!AH11*Constants!$H87*EF!$H212*MMVolatEF*NtoN2O*kgtoGg</f>
        <v>1.179204237689029E-4</v>
      </c>
      <c r="AI162" s="22">
        <f>Constants!$H69*'Activity data'!AI11*Constants!$H87*EF!$H212*MMVolatEF*NtoN2O*kgtoGg</f>
        <v>1.1828164409401504E-4</v>
      </c>
      <c r="AJ162" s="22">
        <f>Constants!$H69*'Activity data'!AJ11*Constants!$H87*EF!$H212*MMVolatEF*NtoN2O*kgtoGg</f>
        <v>1.1868734382429133E-4</v>
      </c>
      <c r="AK162" s="22">
        <f>Constants!$H69*'Activity data'!AK11*Constants!$H87*EF!$H212*MMVolatEF*NtoN2O*kgtoGg</f>
        <v>1.1913496163447935E-4</v>
      </c>
      <c r="AL162" s="22">
        <f>Constants!$H69*'Activity data'!AL11*Constants!$H87*EF!$H212*MMVolatEF*NtoN2O*kgtoGg</f>
        <v>1.1954428347803586E-4</v>
      </c>
      <c r="AM162" s="22">
        <f>Constants!$H69*'Activity data'!AM11*Constants!$H87*EF!$H212*MMVolatEF*NtoN2O*kgtoGg</f>
        <v>1.1972414940561896E-4</v>
      </c>
      <c r="AN162" s="22">
        <f>Constants!$H69*'Activity data'!AN11*Constants!$H87*EF!$H212*MMVolatEF*NtoN2O*kgtoGg</f>
        <v>1.1994380434419684E-4</v>
      </c>
      <c r="AO162" s="22">
        <f>Constants!$H69*'Activity data'!AO11*Constants!$H87*EF!$H212*MMVolatEF*NtoN2O*kgtoGg</f>
        <v>1.201746788301286E-4</v>
      </c>
      <c r="AP162" s="22">
        <f>Constants!$H69*'Activity data'!AP11*Constants!$H87*EF!$H212*MMVolatEF*NtoN2O*kgtoGg</f>
        <v>1.2043388472990403E-4</v>
      </c>
      <c r="AQ162" s="22">
        <f>Constants!$H69*'Activity data'!AQ11*Constants!$H87*EF!$H212*MMVolatEF*NtoN2O*kgtoGg</f>
        <v>1.207206967802894E-4</v>
      </c>
      <c r="AR162" s="22">
        <f>Constants!$H69*'Activity data'!AR11*Constants!$H87*EF!$H212*MMVolatEF*NtoN2O*kgtoGg</f>
        <v>1.2089981812671622E-4</v>
      </c>
      <c r="AS162" s="22">
        <f>Constants!$H69*'Activity data'!AS11*Constants!$H87*EF!$H212*MMVolatEF*NtoN2O*kgtoGg</f>
        <v>1.2110217984152869E-4</v>
      </c>
      <c r="AT162" s="22">
        <f>Constants!$H69*'Activity data'!AT11*Constants!$H87*EF!$H212*MMVolatEF*NtoN2O*kgtoGg</f>
        <v>1.2132504756910802E-4</v>
      </c>
      <c r="AU162" s="22">
        <f>Constants!$H69*'Activity data'!AU11*Constants!$H87*EF!$H212*MMVolatEF*NtoN2O*kgtoGg</f>
        <v>1.2156903411725496E-4</v>
      </c>
      <c r="AV162" s="22">
        <f>Constants!$H69*'Activity data'!AV11*Constants!$H87*EF!$H212*MMVolatEF*NtoN2O*kgtoGg</f>
        <v>1.2183162117803533E-4</v>
      </c>
      <c r="AW162" s="22">
        <f>Constants!$H69*'Activity data'!AW11*Constants!$H87*EF!$H212*MMVolatEF*NtoN2O*kgtoGg</f>
        <v>1.2200776858907327E-4</v>
      </c>
      <c r="AX162" s="22">
        <f>Constants!$H69*'Activity data'!AX11*Constants!$H87*EF!$H212*MMVolatEF*NtoN2O*kgtoGg</f>
        <v>1.2219899661673858E-4</v>
      </c>
      <c r="AY162" s="22">
        <f>Constants!$H69*'Activity data'!AY11*Constants!$H87*EF!$H212*MMVolatEF*NtoN2O*kgtoGg</f>
        <v>1.2240684242118336E-4</v>
      </c>
      <c r="AZ162" s="22">
        <f>Constants!$H69*'Activity data'!AZ11*Constants!$H87*EF!$H212*MMVolatEF*NtoN2O*kgtoGg</f>
        <v>1.2263333491271974E-4</v>
      </c>
      <c r="BA162" s="22">
        <f>Constants!$H69*'Activity data'!BA11*Constants!$H87*EF!$H212*MMVolatEF*NtoN2O*kgtoGg</f>
        <v>1.2287167298468532E-4</v>
      </c>
      <c r="BB162" s="22">
        <f>Constants!$H69*'Activity data'!BB11*Constants!$H87*EF!$H212*MMVolatEF*NtoN2O*kgtoGg</f>
        <v>1.2302401792252464E-4</v>
      </c>
      <c r="BC162" s="22">
        <f>Constants!$H69*'Activity data'!BC11*Constants!$H87*EF!$H212*MMVolatEF*NtoN2O*kgtoGg</f>
        <v>1.2319088645114677E-4</v>
      </c>
      <c r="BD162" s="22">
        <f>Constants!$H69*'Activity data'!BD11*Constants!$H87*EF!$H212*MMVolatEF*NtoN2O*kgtoGg</f>
        <v>1.2336677489796816E-4</v>
      </c>
      <c r="BE162" s="22">
        <f>Constants!$H69*'Activity data'!BE11*Constants!$H87*EF!$H212*MMVolatEF*NtoN2O*kgtoGg</f>
        <v>1.2355355577482136E-4</v>
      </c>
      <c r="BF162" s="22">
        <f>Constants!$H69*'Activity data'!BF11*Constants!$H87*EF!$H212*MMVolatEF*NtoN2O*kgtoGg</f>
        <v>1.2375094588099321E-4</v>
      </c>
      <c r="BG162" s="22">
        <f>Constants!$H69*'Activity data'!BG11*Constants!$H87*EF!$H212*MMVolatEF*NtoN2O*kgtoGg</f>
        <v>1.2386757855810271E-4</v>
      </c>
      <c r="BH162" s="22">
        <f>Constants!$H69*'Activity data'!BH11*Constants!$H87*EF!$H212*MMVolatEF*NtoN2O*kgtoGg</f>
        <v>1.2399208535623994E-4</v>
      </c>
      <c r="BI162" s="22">
        <f>Constants!$H69*'Activity data'!BI11*Constants!$H87*EF!$H212*MMVolatEF*NtoN2O*kgtoGg</f>
        <v>1.2412714040619619E-4</v>
      </c>
      <c r="BJ162" s="22">
        <f>Constants!$H69*'Activity data'!BJ11*Constants!$H87*EF!$H212*MMVolatEF*NtoN2O*kgtoGg</f>
        <v>1.242726131383893E-4</v>
      </c>
      <c r="BK162" s="22">
        <f>Constants!$H69*'Activity data'!BK11*Constants!$H87*EF!$H212*MMVolatEF*NtoN2O*kgtoGg</f>
        <v>1.2442850053815514E-4</v>
      </c>
      <c r="BL162" s="22">
        <f>Constants!$H69*'Activity data'!BL11*Constants!$H87*EF!$H212*MMVolatEF*NtoN2O*kgtoGg</f>
        <v>1.2449922291454818E-4</v>
      </c>
      <c r="BM162" s="22">
        <f>Constants!$H69*'Activity data'!BM11*Constants!$H87*EF!$H212*MMVolatEF*NtoN2O*kgtoGg</f>
        <v>1.2454479881058539E-4</v>
      </c>
      <c r="BN162" s="22">
        <f>Constants!$H69*'Activity data'!BN11*Constants!$H87*EF!$H212*MMVolatEF*NtoN2O*kgtoGg</f>
        <v>1.2459475860623469E-4</v>
      </c>
      <c r="BO162" s="22">
        <f>Constants!$H69*'Activity data'!BO11*Constants!$H87*EF!$H212*MMVolatEF*NtoN2O*kgtoGg</f>
        <v>1.2464752954530566E-4</v>
      </c>
      <c r="BP162" s="22">
        <f>Constants!$H69*'Activity data'!BP11*Constants!$H87*EF!$H212*MMVolatEF*NtoN2O*kgtoGg</f>
        <v>1.2470598620434531E-4</v>
      </c>
    </row>
    <row r="163" spans="1:68" x14ac:dyDescent="0.3">
      <c r="A163" t="str">
        <f t="shared" si="58"/>
        <v>3C Aggregated and non-CO2 emissions on land</v>
      </c>
      <c r="B163" t="str">
        <f t="shared" si="62"/>
        <v>3C6 Indirect N2O from manure management (N2O)</v>
      </c>
      <c r="C163" t="str">
        <f t="shared" si="63"/>
        <v>Volatilisation</v>
      </c>
      <c r="D163" t="str">
        <f>'Activity data'!D73</f>
        <v xml:space="preserve"> - Subsistence sheep</v>
      </c>
      <c r="E163" t="str">
        <f t="shared" si="61"/>
        <v>Volatilisation - Subsistence sheep</v>
      </c>
      <c r="F163" t="str">
        <f t="shared" si="47"/>
        <v>N2O</v>
      </c>
      <c r="G163" t="str">
        <f t="shared" si="48"/>
        <v>Gg N2O</v>
      </c>
      <c r="H163" s="22">
        <f>Constants!$H70*'Activity data'!H12*Constants!$H88*EF!$H213*MMVolatEF*NtoN2O*kgtoGg</f>
        <v>1.1839669160909449E-3</v>
      </c>
      <c r="I163" s="22">
        <f>Constants!$H70*'Activity data'!I12*Constants!$H88*EF!$H213*MMVolatEF*NtoN2O*kgtoGg</f>
        <v>1.1307300702024701E-3</v>
      </c>
      <c r="J163" s="22">
        <f>Constants!$H70*'Activity data'!J12*Constants!$H88*EF!$H213*MMVolatEF*NtoN2O*kgtoGg</f>
        <v>1.0840096038181478E-3</v>
      </c>
      <c r="K163" s="22">
        <f>Constants!$H70*'Activity data'!K12*Constants!$H88*EF!$H213*MMVolatEF*NtoN2O*kgtoGg</f>
        <v>1.0137906780097589E-3</v>
      </c>
      <c r="L163" s="22">
        <f>Constants!$H70*'Activity data'!L12*Constants!$H88*EF!$H213*MMVolatEF*NtoN2O*kgtoGg</f>
        <v>1.0209389488597691E-3</v>
      </c>
      <c r="M163" s="22">
        <f>Constants!$H70*'Activity data'!M12*Constants!$H88*EF!$H213*MMVolatEF*NtoN2O*kgtoGg</f>
        <v>1.0063264614868198E-3</v>
      </c>
      <c r="N163" s="22">
        <f>Constants!$H70*'Activity data'!N12*Constants!$H88*EF!$H213*MMVolatEF*NtoN2O*kgtoGg</f>
        <v>1.0096833842616864E-3</v>
      </c>
      <c r="O163" s="22">
        <f>Constants!$H70*'Activity data'!O12*Constants!$H88*EF!$H213*MMVolatEF*NtoN2O*kgtoGg</f>
        <v>9.877251599931464E-4</v>
      </c>
      <c r="P163" s="22">
        <f>Constants!$H70*'Activity data'!P12*Constants!$H88*EF!$H213*MMVolatEF*NtoN2O*kgtoGg</f>
        <v>9.9045019142215908E-4</v>
      </c>
      <c r="Q163" s="22">
        <f>Constants!$H70*'Activity data'!Q12*Constants!$H88*EF!$H213*MMVolatEF*NtoN2O*kgtoGg</f>
        <v>9.66122374606654E-4</v>
      </c>
      <c r="R163" s="22">
        <f>Constants!$H70*'Activity data'!R12*Constants!$H88*EF!$H213*MMVolatEF*NtoN2O*kgtoGg</f>
        <v>9.3148683021185221E-4</v>
      </c>
      <c r="S163" s="22">
        <f>Constants!$H70*'Activity data'!S12*Constants!$H88*EF!$H213*MMVolatEF*NtoN2O*kgtoGg</f>
        <v>9.0826482325159742E-4</v>
      </c>
      <c r="T163" s="22">
        <f>Constants!$H70*'Activity data'!T12*Constants!$H88*EF!$H213*MMVolatEF*NtoN2O*kgtoGg</f>
        <v>8.9309943095102287E-4</v>
      </c>
      <c r="U163" s="22">
        <f>Constants!$H70*'Activity data'!U12*Constants!$H88*EF!$H213*MMVolatEF*NtoN2O*kgtoGg</f>
        <v>8.962193944711932E-4</v>
      </c>
      <c r="V163" s="22">
        <f>Constants!$H70*'Activity data'!V12*Constants!$H88*EF!$H213*MMVolatEF*NtoN2O*kgtoGg</f>
        <v>8.8026413798829686E-4</v>
      </c>
      <c r="W163" s="22">
        <f>Constants!$H70*'Activity data'!W12*Constants!$H88*EF!$H213*MMVolatEF*NtoN2O*kgtoGg</f>
        <v>8.7817099790514486E-4</v>
      </c>
      <c r="X163" s="22">
        <f>Constants!$H70*'Activity data'!X12*Constants!$H88*EF!$H213*MMVolatEF*NtoN2O*kgtoGg</f>
        <v>8.6667847405236557E-4</v>
      </c>
      <c r="Y163" s="22">
        <f>Constants!$H70*'Activity data'!Y12*Constants!$H88*EF!$H213*MMVolatEF*NtoN2O*kgtoGg</f>
        <v>8.658491166609279E-4</v>
      </c>
      <c r="Z163" s="22">
        <f>Constants!$H70*'Activity data'!Z12*Constants!$H88*EF!$H213*MMVolatEF*NtoN2O*kgtoGg</f>
        <v>8.6865313450816973E-4</v>
      </c>
      <c r="AA163" s="22">
        <f>Constants!$H70*'Activity data'!AA12*Constants!$H88*EF!$H213*MMVolatEF*NtoN2O*kgtoGg</f>
        <v>8.6557266419711528E-4</v>
      </c>
      <c r="AB163" s="22">
        <f>Constants!$H70*'Activity data'!AB12*Constants!$H88*EF!$H213*MMVolatEF*NtoN2O*kgtoGg</f>
        <v>8.4882754353189779E-4</v>
      </c>
      <c r="AC163" s="22">
        <f>Constants!$H70*'Activity data'!AC12*Constants!$H88*EF!$H213*MMVolatEF*NtoN2O*kgtoGg</f>
        <v>8.4219268440039634E-4</v>
      </c>
      <c r="AD163" s="22">
        <f>Constants!$H70*'Activity data'!AD12*Constants!$H88*EF!$H213*MMVolatEF*NtoN2O*kgtoGg</f>
        <v>8.042066176599371E-4</v>
      </c>
      <c r="AE163" s="22">
        <f>Constants!$H70*'Activity data'!AE12*Constants!$H88*EF!$H213*MMVolatEF*NtoN2O*kgtoGg</f>
        <v>8.046414496191049E-4</v>
      </c>
      <c r="AF163" s="22">
        <f>Constants!$H70*'Activity data'!AF12*Constants!$H88*EF!$H213*MMVolatEF*NtoN2O*kgtoGg</f>
        <v>8.0568111652005547E-4</v>
      </c>
      <c r="AG163" s="22">
        <f>Constants!$H70*'Activity data'!AG12*Constants!$H88*EF!$H213*MMVolatEF*NtoN2O*kgtoGg</f>
        <v>8.0721411369945729E-4</v>
      </c>
      <c r="AH163" s="22">
        <f>Constants!$H70*'Activity data'!AH12*Constants!$H88*EF!$H213*MMVolatEF*NtoN2O*kgtoGg</f>
        <v>8.0923069942871869E-4</v>
      </c>
      <c r="AI163" s="22">
        <f>Constants!$H70*'Activity data'!AI12*Constants!$H88*EF!$H213*MMVolatEF*NtoN2O*kgtoGg</f>
        <v>8.117095793970544E-4</v>
      </c>
      <c r="AJ163" s="22">
        <f>Constants!$H70*'Activity data'!AJ12*Constants!$H88*EF!$H213*MMVolatEF*NtoN2O*kgtoGg</f>
        <v>8.1449369995900982E-4</v>
      </c>
      <c r="AK163" s="22">
        <f>Constants!$H70*'Activity data'!AK12*Constants!$H88*EF!$H213*MMVolatEF*NtoN2O*kgtoGg</f>
        <v>8.1756548398113221E-4</v>
      </c>
      <c r="AL163" s="22">
        <f>Constants!$H70*'Activity data'!AL12*Constants!$H88*EF!$H213*MMVolatEF*NtoN2O*kgtoGg</f>
        <v>8.2037446135049667E-4</v>
      </c>
      <c r="AM163" s="22">
        <f>Constants!$H70*'Activity data'!AM12*Constants!$H88*EF!$H213*MMVolatEF*NtoN2O*kgtoGg</f>
        <v>8.2160879401085645E-4</v>
      </c>
      <c r="AN163" s="22">
        <f>Constants!$H70*'Activity data'!AN12*Constants!$H88*EF!$H213*MMVolatEF*NtoN2O*kgtoGg</f>
        <v>8.2311617936359845E-4</v>
      </c>
      <c r="AO163" s="22">
        <f>Constants!$H70*'Activity data'!AO12*Constants!$H88*EF!$H213*MMVolatEF*NtoN2O*kgtoGg</f>
        <v>8.2470055903049121E-4</v>
      </c>
      <c r="AP163" s="22">
        <f>Constants!$H70*'Activity data'!AP12*Constants!$H88*EF!$H213*MMVolatEF*NtoN2O*kgtoGg</f>
        <v>8.2647936345526477E-4</v>
      </c>
      <c r="AQ163" s="22">
        <f>Constants!$H70*'Activity data'!AQ12*Constants!$H88*EF!$H213*MMVolatEF*NtoN2O*kgtoGg</f>
        <v>8.2844761550796096E-4</v>
      </c>
      <c r="AR163" s="22">
        <f>Constants!$H70*'Activity data'!AR12*Constants!$H88*EF!$H213*MMVolatEF*NtoN2O*kgtoGg</f>
        <v>8.2967683846882541E-4</v>
      </c>
      <c r="AS163" s="22">
        <f>Constants!$H70*'Activity data'!AS12*Constants!$H88*EF!$H213*MMVolatEF*NtoN2O*kgtoGg</f>
        <v>8.3106554881077761E-4</v>
      </c>
      <c r="AT163" s="22">
        <f>Constants!$H70*'Activity data'!AT12*Constants!$H88*EF!$H213*MMVolatEF*NtoN2O*kgtoGg</f>
        <v>8.3259498197684714E-4</v>
      </c>
      <c r="AU163" s="22">
        <f>Constants!$H70*'Activity data'!AU12*Constants!$H88*EF!$H213*MMVolatEF*NtoN2O*kgtoGg</f>
        <v>8.3426934336987486E-4</v>
      </c>
      <c r="AV163" s="22">
        <f>Constants!$H70*'Activity data'!AV12*Constants!$H88*EF!$H213*MMVolatEF*NtoN2O*kgtoGg</f>
        <v>8.3607135106340792E-4</v>
      </c>
      <c r="AW163" s="22">
        <f>Constants!$H70*'Activity data'!AW12*Constants!$H88*EF!$H213*MMVolatEF*NtoN2O*kgtoGg</f>
        <v>8.3728016534748921E-4</v>
      </c>
      <c r="AX163" s="22">
        <f>Constants!$H70*'Activity data'!AX12*Constants!$H88*EF!$H213*MMVolatEF*NtoN2O*kgtoGg</f>
        <v>8.3859247059226414E-4</v>
      </c>
      <c r="AY163" s="22">
        <f>Constants!$H70*'Activity data'!AY12*Constants!$H88*EF!$H213*MMVolatEF*NtoN2O*kgtoGg</f>
        <v>8.4001881558262628E-4</v>
      </c>
      <c r="AZ163" s="22">
        <f>Constants!$H70*'Activity data'!AZ12*Constants!$H88*EF!$H213*MMVolatEF*NtoN2O*kgtoGg</f>
        <v>8.4157312374641413E-4</v>
      </c>
      <c r="BA163" s="22">
        <f>Constants!$H70*'Activity data'!BA12*Constants!$H88*EF!$H213*MMVolatEF*NtoN2O*kgtoGg</f>
        <v>8.4320872238584225E-4</v>
      </c>
      <c r="BB163" s="22">
        <f>Constants!$H70*'Activity data'!BB12*Constants!$H88*EF!$H213*MMVolatEF*NtoN2O*kgtoGg</f>
        <v>8.4425419183601768E-4</v>
      </c>
      <c r="BC163" s="22">
        <f>Constants!$H70*'Activity data'!BC12*Constants!$H88*EF!$H213*MMVolatEF*NtoN2O*kgtoGg</f>
        <v>8.4539932964856662E-4</v>
      </c>
      <c r="BD163" s="22">
        <f>Constants!$H70*'Activity data'!BD12*Constants!$H88*EF!$H213*MMVolatEF*NtoN2O*kgtoGg</f>
        <v>8.4660636678677789E-4</v>
      </c>
      <c r="BE163" s="22">
        <f>Constants!$H70*'Activity data'!BE12*Constants!$H88*EF!$H213*MMVolatEF*NtoN2O*kgtoGg</f>
        <v>8.4788815339154825E-4</v>
      </c>
      <c r="BF163" s="22">
        <f>Constants!$H70*'Activity data'!BF12*Constants!$H88*EF!$H213*MMVolatEF*NtoN2O*kgtoGg</f>
        <v>8.4924274599368159E-4</v>
      </c>
      <c r="BG163" s="22">
        <f>Constants!$H70*'Activity data'!BG12*Constants!$H88*EF!$H213*MMVolatEF*NtoN2O*kgtoGg</f>
        <v>8.5004313951209814E-4</v>
      </c>
      <c r="BH163" s="22">
        <f>Constants!$H70*'Activity data'!BH12*Constants!$H88*EF!$H213*MMVolatEF*NtoN2O*kgtoGg</f>
        <v>8.5089756930568201E-4</v>
      </c>
      <c r="BI163" s="22">
        <f>Constants!$H70*'Activity data'!BI12*Constants!$H88*EF!$H213*MMVolatEF*NtoN2O*kgtoGg</f>
        <v>8.5182438663761119E-4</v>
      </c>
      <c r="BJ163" s="22">
        <f>Constants!$H70*'Activity data'!BJ12*Constants!$H88*EF!$H213*MMVolatEF*NtoN2O*kgtoGg</f>
        <v>8.5282269547214476E-4</v>
      </c>
      <c r="BK163" s="22">
        <f>Constants!$H70*'Activity data'!BK12*Constants!$H88*EF!$H213*MMVolatEF*NtoN2O*kgtoGg</f>
        <v>8.5389247512110444E-4</v>
      </c>
      <c r="BL163" s="22">
        <f>Constants!$H70*'Activity data'!BL12*Constants!$H88*EF!$H213*MMVolatEF*NtoN2O*kgtoGg</f>
        <v>8.5437780850343642E-4</v>
      </c>
      <c r="BM163" s="22">
        <f>Constants!$H70*'Activity data'!BM12*Constants!$H88*EF!$H213*MMVolatEF*NtoN2O*kgtoGg</f>
        <v>8.5469057378232966E-4</v>
      </c>
      <c r="BN163" s="22">
        <f>Constants!$H70*'Activity data'!BN12*Constants!$H88*EF!$H213*MMVolatEF*NtoN2O*kgtoGg</f>
        <v>8.5503342363890623E-4</v>
      </c>
      <c r="BO163" s="22">
        <f>Constants!$H70*'Activity data'!BO12*Constants!$H88*EF!$H213*MMVolatEF*NtoN2O*kgtoGg</f>
        <v>8.5539556500991744E-4</v>
      </c>
      <c r="BP163" s="22">
        <f>Constants!$H70*'Activity data'!BP12*Constants!$H88*EF!$H213*MMVolatEF*NtoN2O*kgtoGg</f>
        <v>8.5579672472058501E-4</v>
      </c>
    </row>
    <row r="164" spans="1:68" x14ac:dyDescent="0.3">
      <c r="A164" t="str">
        <f t="shared" si="58"/>
        <v>3C Aggregated and non-CO2 emissions on land</v>
      </c>
      <c r="B164" t="str">
        <f t="shared" si="62"/>
        <v>3C6 Indirect N2O from manure management (N2O)</v>
      </c>
      <c r="C164" t="str">
        <f t="shared" si="63"/>
        <v>Volatilisation</v>
      </c>
      <c r="D164" t="str">
        <f>'Activity data'!D74</f>
        <v xml:space="preserve"> - Commercial goats</v>
      </c>
      <c r="E164" t="str">
        <f t="shared" si="61"/>
        <v>Volatilisation - Commercial goats</v>
      </c>
      <c r="F164" t="str">
        <f t="shared" si="47"/>
        <v>N2O</v>
      </c>
      <c r="G164" t="str">
        <f t="shared" si="48"/>
        <v>Gg N2O</v>
      </c>
      <c r="H164" s="22">
        <f>Constants!$H71*'Activity data'!H13*Constants!$H89*EF!$H214*MMVolatEF*NtoN2O*kgtoGg</f>
        <v>1.9430751682320126E-5</v>
      </c>
      <c r="I164" s="22">
        <f>Constants!$H71*'Activity data'!I13*Constants!$H89*EF!$H214*MMVolatEF*NtoN2O*kgtoGg</f>
        <v>1.7182276091107166E-5</v>
      </c>
      <c r="J164" s="22">
        <f>Constants!$H71*'Activity data'!J13*Constants!$H89*EF!$H214*MMVolatEF*NtoN2O*kgtoGg</f>
        <v>1.6005503819070468E-5</v>
      </c>
      <c r="K164" s="22">
        <f>Constants!$H71*'Activity data'!K13*Constants!$H89*EF!$H214*MMVolatEF*NtoN2O*kgtoGg</f>
        <v>1.5122924615042945E-5</v>
      </c>
      <c r="L164" s="22">
        <f>Constants!$H71*'Activity data'!L13*Constants!$H89*EF!$H214*MMVolatEF*NtoN2O*kgtoGg</f>
        <v>1.6369742855653251E-5</v>
      </c>
      <c r="M164" s="22">
        <f>Constants!$H71*'Activity data'!M13*Constants!$H89*EF!$H214*MMVolatEF*NtoN2O*kgtoGg</f>
        <v>1.6593889955088815E-5</v>
      </c>
      <c r="N164" s="22">
        <f>Constants!$H71*'Activity data'!N13*Constants!$H89*EF!$H214*MMVolatEF*NtoN2O*kgtoGg</f>
        <v>1.6853060038811182E-5</v>
      </c>
      <c r="O164" s="22">
        <f>Constants!$H71*'Activity data'!O13*Constants!$H89*EF!$H214*MMVolatEF*NtoN2O*kgtoGg</f>
        <v>1.6769004876522849E-5</v>
      </c>
      <c r="P164" s="22">
        <f>Constants!$H71*'Activity data'!P13*Constants!$H89*EF!$H214*MMVolatEF*NtoN2O*kgtoGg</f>
        <v>1.6530848583372566E-5</v>
      </c>
      <c r="Q164" s="22">
        <f>Constants!$H71*'Activity data'!Q13*Constants!$H89*EF!$H214*MMVolatEF*NtoN2O*kgtoGg</f>
        <v>1.6285687693364925E-5</v>
      </c>
      <c r="R164" s="22">
        <f>Constants!$H71*'Activity data'!R13*Constants!$H89*EF!$H214*MMVolatEF*NtoN2O*kgtoGg</f>
        <v>1.6495825599085754E-5</v>
      </c>
      <c r="S164" s="22">
        <f>Constants!$H71*'Activity data'!S13*Constants!$H89*EF!$H214*MMVolatEF*NtoN2O*kgtoGg</f>
        <v>1.7000156572815771E-5</v>
      </c>
      <c r="T164" s="22">
        <f>Constants!$H71*'Activity data'!T13*Constants!$H89*EF!$H214*MMVolatEF*NtoN2O*kgtoGg</f>
        <v>1.5522186635912543E-5</v>
      </c>
      <c r="U164" s="22">
        <f>Constants!$H71*'Activity data'!U13*Constants!$H89*EF!$H214*MMVolatEF*NtoN2O*kgtoGg</f>
        <v>1.5129929211900313E-5</v>
      </c>
      <c r="V164" s="22">
        <f>Constants!$H71*'Activity data'!V13*Constants!$H89*EF!$H214*MMVolatEF*NtoN2O*kgtoGg</f>
        <v>1.5157947599329762E-5</v>
      </c>
      <c r="W164" s="22">
        <f>Constants!$H71*'Activity data'!W13*Constants!$H89*EF!$H214*MMVolatEF*NtoN2O*kgtoGg</f>
        <v>1.496181888732364E-5</v>
      </c>
      <c r="X164" s="22">
        <f>Constants!$H71*'Activity data'!X13*Constants!$H89*EF!$H214*MMVolatEF*NtoN2O*kgtoGg</f>
        <v>1.5277025745904899E-5</v>
      </c>
      <c r="Y164" s="22">
        <f>Constants!$H71*'Activity data'!Y13*Constants!$H89*EF!$H214*MMVolatEF*NtoN2O*kgtoGg</f>
        <v>1.4821726950176417E-5</v>
      </c>
      <c r="Z164" s="22">
        <f>Constants!$H71*'Activity data'!Z13*Constants!$H89*EF!$H214*MMVolatEF*NtoN2O*kgtoGg</f>
        <v>1.4807717756461697E-5</v>
      </c>
      <c r="AA164" s="22">
        <f>Constants!$H71*'Activity data'!AA13*Constants!$H89*EF!$H214*MMVolatEF*NtoN2O*kgtoGg</f>
        <v>1.454854767273933E-5</v>
      </c>
      <c r="AB164" s="22">
        <f>Constants!$H71*'Activity data'!AB13*Constants!$H89*EF!$H214*MMVolatEF*NtoN2O*kgtoGg</f>
        <v>1.4373432751305298E-5</v>
      </c>
      <c r="AC164" s="22">
        <f>Constants!$H71*'Activity data'!AC13*Constants!$H89*EF!$H214*MMVolatEF*NtoN2O*kgtoGg</f>
        <v>1.4240345411015434E-5</v>
      </c>
      <c r="AD164" s="22">
        <f>Constants!$H71*'Activity data'!AD13*Constants!$H89*EF!$H214*MMVolatEF*NtoN2O*kgtoGg</f>
        <v>1.4486129996083085E-5</v>
      </c>
      <c r="AE164" s="22">
        <f>Constants!$H71*'Activity data'!AE13*Constants!$H89*EF!$H214*MMVolatEF*NtoN2O*kgtoGg</f>
        <v>1.4523786941695515E-5</v>
      </c>
      <c r="AF164" s="22">
        <f>Constants!$H71*'Activity data'!AF13*Constants!$H89*EF!$H214*MMVolatEF*NtoN2O*kgtoGg</f>
        <v>1.4575733367418309E-5</v>
      </c>
      <c r="AG164" s="22">
        <f>Constants!$H71*'Activity data'!AG13*Constants!$H89*EF!$H214*MMVolatEF*NtoN2O*kgtoGg</f>
        <v>1.4639017833045655E-5</v>
      </c>
      <c r="AH164" s="22">
        <f>Constants!$H71*'Activity data'!AH13*Constants!$H89*EF!$H214*MMVolatEF*NtoN2O*kgtoGg</f>
        <v>1.471355007817218E-5</v>
      </c>
      <c r="AI164" s="22">
        <f>Constants!$H71*'Activity data'!AI13*Constants!$H89*EF!$H214*MMVolatEF*NtoN2O*kgtoGg</f>
        <v>1.4798876460462532E-5</v>
      </c>
      <c r="AJ164" s="22">
        <f>Constants!$H71*'Activity data'!AJ13*Constants!$H89*EF!$H214*MMVolatEF*NtoN2O*kgtoGg</f>
        <v>1.489070601115726E-5</v>
      </c>
      <c r="AK164" s="22">
        <f>Constants!$H71*'Activity data'!AK13*Constants!$H89*EF!$H214*MMVolatEF*NtoN2O*kgtoGg</f>
        <v>1.4988675221399694E-5</v>
      </c>
      <c r="AL164" s="22">
        <f>Constants!$H71*'Activity data'!AL13*Constants!$H89*EF!$H214*MMVolatEF*NtoN2O*kgtoGg</f>
        <v>1.5077522200056562E-5</v>
      </c>
      <c r="AM164" s="22">
        <f>Constants!$H71*'Activity data'!AM13*Constants!$H89*EF!$H214*MMVolatEF*NtoN2O*kgtoGg</f>
        <v>1.5120920467659651E-5</v>
      </c>
      <c r="AN164" s="22">
        <f>Constants!$H71*'Activity data'!AN13*Constants!$H89*EF!$H214*MMVolatEF*NtoN2O*kgtoGg</f>
        <v>1.5170664566545744E-5</v>
      </c>
      <c r="AO164" s="22">
        <f>Constants!$H71*'Activity data'!AO13*Constants!$H89*EF!$H214*MMVolatEF*NtoN2O*kgtoGg</f>
        <v>1.5221371307810579E-5</v>
      </c>
      <c r="AP164" s="22">
        <f>Constants!$H71*'Activity data'!AP13*Constants!$H89*EF!$H214*MMVolatEF*NtoN2O*kgtoGg</f>
        <v>1.5276366577947841E-5</v>
      </c>
      <c r="AQ164" s="22">
        <f>Constants!$H71*'Activity data'!AQ13*Constants!$H89*EF!$H214*MMVolatEF*NtoN2O*kgtoGg</f>
        <v>1.5335559486365855E-5</v>
      </c>
      <c r="AR164" s="22">
        <f>Constants!$H71*'Activity data'!AR13*Constants!$H89*EF!$H214*MMVolatEF*NtoN2O*kgtoGg</f>
        <v>1.5373440359637545E-5</v>
      </c>
      <c r="AS164" s="22">
        <f>Constants!$H71*'Activity data'!AS13*Constants!$H89*EF!$H214*MMVolatEF*NtoN2O*kgtoGg</f>
        <v>1.5414884136013281E-5</v>
      </c>
      <c r="AT164" s="22">
        <f>Constants!$H71*'Activity data'!AT13*Constants!$H89*EF!$H214*MMVolatEF*NtoN2O*kgtoGg</f>
        <v>1.5459406079654033E-5</v>
      </c>
      <c r="AU164" s="22">
        <f>Constants!$H71*'Activity data'!AU13*Constants!$H89*EF!$H214*MMVolatEF*NtoN2O*kgtoGg</f>
        <v>1.5507149153927191E-5</v>
      </c>
      <c r="AV164" s="22">
        <f>Constants!$H71*'Activity data'!AV13*Constants!$H89*EF!$H214*MMVolatEF*NtoN2O*kgtoGg</f>
        <v>1.5557665060375898E-5</v>
      </c>
      <c r="AW164" s="22">
        <f>Constants!$H71*'Activity data'!AW13*Constants!$H89*EF!$H214*MMVolatEF*NtoN2O*kgtoGg</f>
        <v>1.5591353436562986E-5</v>
      </c>
      <c r="AX164" s="22">
        <f>Constants!$H71*'Activity data'!AX13*Constants!$H89*EF!$H214*MMVolatEF*NtoN2O*kgtoGg</f>
        <v>1.5627280085252664E-5</v>
      </c>
      <c r="AY164" s="22">
        <f>Constants!$H71*'Activity data'!AY13*Constants!$H89*EF!$H214*MMVolatEF*NtoN2O*kgtoGg</f>
        <v>1.5665749106164008E-5</v>
      </c>
      <c r="AZ164" s="22">
        <f>Constants!$H71*'Activity data'!AZ13*Constants!$H89*EF!$H214*MMVolatEF*NtoN2O*kgtoGg</f>
        <v>1.5707151218007595E-5</v>
      </c>
      <c r="BA164" s="22">
        <f>Constants!$H71*'Activity data'!BA13*Constants!$H89*EF!$H214*MMVolatEF*NtoN2O*kgtoGg</f>
        <v>1.5750235619215941E-5</v>
      </c>
      <c r="BB164" s="22">
        <f>Constants!$H71*'Activity data'!BB13*Constants!$H89*EF!$H214*MMVolatEF*NtoN2O*kgtoGg</f>
        <v>1.5776918897393027E-5</v>
      </c>
      <c r="BC164" s="22">
        <f>Constants!$H71*'Activity data'!BC13*Constants!$H89*EF!$H214*MMVolatEF*NtoN2O*kgtoGg</f>
        <v>1.5805875112600263E-5</v>
      </c>
      <c r="BD164" s="22">
        <f>Constants!$H71*'Activity data'!BD13*Constants!$H89*EF!$H214*MMVolatEF*NtoN2O*kgtoGg</f>
        <v>1.5836097205917668E-5</v>
      </c>
      <c r="BE164" s="22">
        <f>Constants!$H71*'Activity data'!BE13*Constants!$H89*EF!$H214*MMVolatEF*NtoN2O*kgtoGg</f>
        <v>1.5867941184595161E-5</v>
      </c>
      <c r="BF164" s="22">
        <f>Constants!$H71*'Activity data'!BF13*Constants!$H89*EF!$H214*MMVolatEF*NtoN2O*kgtoGg</f>
        <v>1.5901363449816974E-5</v>
      </c>
      <c r="BG164" s="22">
        <f>Constants!$H71*'Activity data'!BG13*Constants!$H89*EF!$H214*MMVolatEF*NtoN2O*kgtoGg</f>
        <v>1.5919623331121566E-5</v>
      </c>
      <c r="BH164" s="22">
        <f>Constants!$H71*'Activity data'!BH13*Constants!$H89*EF!$H214*MMVolatEF*NtoN2O*kgtoGg</f>
        <v>1.5939033537312695E-5</v>
      </c>
      <c r="BI164" s="22">
        <f>Constants!$H71*'Activity data'!BI13*Constants!$H89*EF!$H214*MMVolatEF*NtoN2O*kgtoGg</f>
        <v>1.5960089556991586E-5</v>
      </c>
      <c r="BJ164" s="22">
        <f>Constants!$H71*'Activity data'!BJ13*Constants!$H89*EF!$H214*MMVolatEF*NtoN2O*kgtoGg</f>
        <v>1.5982771280705936E-5</v>
      </c>
      <c r="BK164" s="22">
        <f>Constants!$H71*'Activity data'!BK13*Constants!$H89*EF!$H214*MMVolatEF*NtoN2O*kgtoGg</f>
        <v>1.6007081325051207E-5</v>
      </c>
      <c r="BL164" s="22">
        <f>Constants!$H71*'Activity data'!BL13*Constants!$H89*EF!$H214*MMVolatEF*NtoN2O*kgtoGg</f>
        <v>1.6015649873683189E-5</v>
      </c>
      <c r="BM164" s="22">
        <f>Constants!$H71*'Activity data'!BM13*Constants!$H89*EF!$H214*MMVolatEF*NtoN2O*kgtoGg</f>
        <v>1.6019455168078908E-5</v>
      </c>
      <c r="BN164" s="22">
        <f>Constants!$H71*'Activity data'!BN13*Constants!$H89*EF!$H214*MMVolatEF*NtoN2O*kgtoGg</f>
        <v>1.6023878849097448E-5</v>
      </c>
      <c r="BO164" s="22">
        <f>Constants!$H71*'Activity data'!BO13*Constants!$H89*EF!$H214*MMVolatEF*NtoN2O*kgtoGg</f>
        <v>1.6028641289399774E-5</v>
      </c>
      <c r="BP164" s="22">
        <f>Constants!$H71*'Activity data'!BP13*Constants!$H89*EF!$H214*MMVolatEF*NtoN2O*kgtoGg</f>
        <v>1.6034267352361545E-5</v>
      </c>
    </row>
    <row r="165" spans="1:68" x14ac:dyDescent="0.3">
      <c r="A165" t="str">
        <f t="shared" si="58"/>
        <v>3C Aggregated and non-CO2 emissions on land</v>
      </c>
      <c r="B165" t="str">
        <f t="shared" si="62"/>
        <v>3C6 Indirect N2O from manure management (N2O)</v>
      </c>
      <c r="C165" t="str">
        <f t="shared" si="63"/>
        <v>Volatilisation</v>
      </c>
      <c r="D165" t="str">
        <f>'Activity data'!D75</f>
        <v xml:space="preserve"> - Subsistence goats</v>
      </c>
      <c r="E165" t="str">
        <f t="shared" si="61"/>
        <v>Volatilisation - Subsistence goats</v>
      </c>
      <c r="F165" t="str">
        <f t="shared" si="47"/>
        <v>N2O</v>
      </c>
      <c r="G165" t="str">
        <f t="shared" si="48"/>
        <v>Gg N2O</v>
      </c>
      <c r="H165" s="22">
        <f>Constants!$H72*'Activity data'!H14*Constants!$H90*EF!$H215*MMVolatEF*NtoN2O*kgtoGg</f>
        <v>2.0115874261686147E-3</v>
      </c>
      <c r="I165" s="22">
        <f>Constants!$H72*'Activity data'!I14*Constants!$H90*EF!$H215*MMVolatEF*NtoN2O*kgtoGg</f>
        <v>1.7788118083603506E-3</v>
      </c>
      <c r="J165" s="22">
        <f>Constants!$H72*'Activity data'!J14*Constants!$H90*EF!$H215*MMVolatEF*NtoN2O*kgtoGg</f>
        <v>1.6569853167971468E-3</v>
      </c>
      <c r="K165" s="22">
        <f>Constants!$H72*'Activity data'!K14*Constants!$H90*EF!$H215*MMVolatEF*NtoN2O*kgtoGg</f>
        <v>1.5656154481247439E-3</v>
      </c>
      <c r="L165" s="22">
        <f>Constants!$H72*'Activity data'!L14*Constants!$H90*EF!$H215*MMVolatEF*NtoN2O*kgtoGg</f>
        <v>1.6946935165667099E-3</v>
      </c>
      <c r="M165" s="22">
        <f>Constants!$H72*'Activity data'!M14*Constants!$H90*EF!$H215*MMVolatEF*NtoN2O*kgtoGg</f>
        <v>1.7178985625787488E-3</v>
      </c>
      <c r="N165" s="22">
        <f>Constants!$H72*'Activity data'!N14*Constants!$H90*EF!$H215*MMVolatEF*NtoN2O*kgtoGg</f>
        <v>1.7447293970301691E-3</v>
      </c>
      <c r="O165" s="22">
        <f>Constants!$H72*'Activity data'!O14*Constants!$H90*EF!$H215*MMVolatEF*NtoN2O*kgtoGg</f>
        <v>1.736027504775654E-3</v>
      </c>
      <c r="P165" s="22">
        <f>Constants!$H72*'Activity data'!P14*Constants!$H90*EF!$H215*MMVolatEF*NtoN2O*kgtoGg</f>
        <v>1.7113721433878628E-3</v>
      </c>
      <c r="Q165" s="22">
        <f>Constants!$H72*'Activity data'!Q14*Constants!$H90*EF!$H215*MMVolatEF*NtoN2O*kgtoGg</f>
        <v>1.6859916243121954E-3</v>
      </c>
      <c r="R165" s="22">
        <f>Constants!$H72*'Activity data'!R14*Constants!$H90*EF!$H215*MMVolatEF*NtoN2O*kgtoGg</f>
        <v>1.7077463549484819E-3</v>
      </c>
      <c r="S165" s="22">
        <f>Constants!$H72*'Activity data'!S14*Constants!$H90*EF!$H215*MMVolatEF*NtoN2O*kgtoGg</f>
        <v>1.7599577084755692E-3</v>
      </c>
      <c r="T165" s="22">
        <f>Constants!$H72*'Activity data'!T14*Constants!$H90*EF!$H215*MMVolatEF*NtoN2O*kgtoGg</f>
        <v>1.6069494363336882E-3</v>
      </c>
      <c r="U165" s="22">
        <f>Constants!$H72*'Activity data'!U14*Constants!$H90*EF!$H215*MMVolatEF*NtoN2O*kgtoGg</f>
        <v>1.5663406058126202E-3</v>
      </c>
      <c r="V165" s="22">
        <f>Constants!$H72*'Activity data'!V14*Constants!$H90*EF!$H215*MMVolatEF*NtoN2O*kgtoGg</f>
        <v>1.5692412365641251E-3</v>
      </c>
      <c r="W165" s="22">
        <f>Constants!$H72*'Activity data'!W14*Constants!$H90*EF!$H215*MMVolatEF*NtoN2O*kgtoGg</f>
        <v>1.5489368213035912E-3</v>
      </c>
      <c r="X165" s="22">
        <f>Constants!$H72*'Activity data'!X14*Constants!$H90*EF!$H215*MMVolatEF*NtoN2O*kgtoGg</f>
        <v>1.5815689172580208E-3</v>
      </c>
      <c r="Y165" s="22">
        <f>Constants!$H72*'Activity data'!Y14*Constants!$H90*EF!$H215*MMVolatEF*NtoN2O*kgtoGg</f>
        <v>1.534433667546067E-3</v>
      </c>
      <c r="Z165" s="22">
        <f>Constants!$H72*'Activity data'!Z14*Constants!$H90*EF!$H215*MMVolatEF*NtoN2O*kgtoGg</f>
        <v>1.5329833521703141E-3</v>
      </c>
      <c r="AA165" s="22">
        <f>Constants!$H72*'Activity data'!AA14*Constants!$H90*EF!$H215*MMVolatEF*NtoN2O*kgtoGg</f>
        <v>1.5061525177188946E-3</v>
      </c>
      <c r="AB165" s="22">
        <f>Constants!$H72*'Activity data'!AB14*Constants!$H90*EF!$H215*MMVolatEF*NtoN2O*kgtoGg</f>
        <v>1.4880235755219894E-3</v>
      </c>
      <c r="AC165" s="22">
        <f>Constants!$H72*'Activity data'!AC14*Constants!$H90*EF!$H215*MMVolatEF*NtoN2O*kgtoGg</f>
        <v>1.4742455794523413E-3</v>
      </c>
      <c r="AD165" s="22">
        <f>Constants!$H72*'Activity data'!AD14*Constants!$H90*EF!$H215*MMVolatEF*NtoN2O*kgtoGg</f>
        <v>1.4738364076719787E-3</v>
      </c>
      <c r="AE165" s="22">
        <f>Constants!$H72*'Activity data'!AE14*Constants!$H90*EF!$H215*MMVolatEF*NtoN2O*kgtoGg</f>
        <v>1.4776676709189833E-3</v>
      </c>
      <c r="AF165" s="22">
        <f>Constants!$H72*'Activity data'!AF14*Constants!$H90*EF!$H215*MMVolatEF*NtoN2O*kgtoGg</f>
        <v>1.4829527631761549E-3</v>
      </c>
      <c r="AG165" s="22">
        <f>Constants!$H72*'Activity data'!AG14*Constants!$H90*EF!$H215*MMVolatEF*NtoN2O*kgtoGg</f>
        <v>1.4893914013429305E-3</v>
      </c>
      <c r="AH165" s="22">
        <f>Constants!$H72*'Activity data'!AH14*Constants!$H90*EF!$H215*MMVolatEF*NtoN2O*kgtoGg</f>
        <v>1.4969744022163664E-3</v>
      </c>
      <c r="AI165" s="22">
        <f>Constants!$H72*'Activity data'!AI14*Constants!$H90*EF!$H215*MMVolatEF*NtoN2O*kgtoGg</f>
        <v>1.5056556116759296E-3</v>
      </c>
      <c r="AJ165" s="22">
        <f>Constants!$H72*'Activity data'!AJ14*Constants!$H90*EF!$H215*MMVolatEF*NtoN2O*kgtoGg</f>
        <v>1.5149984613639169E-3</v>
      </c>
      <c r="AK165" s="22">
        <f>Constants!$H72*'Activity data'!AK14*Constants!$H90*EF!$H215*MMVolatEF*NtoN2O*kgtoGg</f>
        <v>1.5249659674490626E-3</v>
      </c>
      <c r="AL165" s="22">
        <f>Constants!$H72*'Activity data'!AL14*Constants!$H90*EF!$H215*MMVolatEF*NtoN2O*kgtoGg</f>
        <v>1.5340053666461951E-3</v>
      </c>
      <c r="AM165" s="22">
        <f>Constants!$H72*'Activity data'!AM14*Constants!$H90*EF!$H215*MMVolatEF*NtoN2O*kgtoGg</f>
        <v>1.5384207589449399E-3</v>
      </c>
      <c r="AN165" s="22">
        <f>Constants!$H72*'Activity data'!AN14*Constants!$H90*EF!$H215*MMVolatEF*NtoN2O*kgtoGg</f>
        <v>1.5434817838028542E-3</v>
      </c>
      <c r="AO165" s="22">
        <f>Constants!$H72*'Activity data'!AO14*Constants!$H90*EF!$H215*MMVolatEF*NtoN2O*kgtoGg</f>
        <v>1.5486407490620871E-3</v>
      </c>
      <c r="AP165" s="22">
        <f>Constants!$H72*'Activity data'!AP14*Constants!$H90*EF!$H215*MMVolatEF*NtoN2O*kgtoGg</f>
        <v>1.5542360344419619E-3</v>
      </c>
      <c r="AQ165" s="22">
        <f>Constants!$H72*'Activity data'!AQ14*Constants!$H90*EF!$H215*MMVolatEF*NtoN2O*kgtoGg</f>
        <v>1.5602583926236193E-3</v>
      </c>
      <c r="AR165" s="22">
        <f>Constants!$H72*'Activity data'!AR14*Constants!$H90*EF!$H215*MMVolatEF*NtoN2O*kgtoGg</f>
        <v>1.5641124385418405E-3</v>
      </c>
      <c r="AS165" s="22">
        <f>Constants!$H72*'Activity data'!AS14*Constants!$H90*EF!$H215*MMVolatEF*NtoN2O*kgtoGg</f>
        <v>1.5683289785363378E-3</v>
      </c>
      <c r="AT165" s="22">
        <f>Constants!$H72*'Activity data'!AT14*Constants!$H90*EF!$H215*MMVolatEF*NtoN2O*kgtoGg</f>
        <v>1.5728586949958615E-3</v>
      </c>
      <c r="AU165" s="22">
        <f>Constants!$H72*'Activity data'!AU14*Constants!$H90*EF!$H215*MMVolatEF*NtoN2O*kgtoGg</f>
        <v>1.5777161331865307E-3</v>
      </c>
      <c r="AV165" s="22">
        <f>Constants!$H72*'Activity data'!AV14*Constants!$H90*EF!$H215*MMVolatEF*NtoN2O*kgtoGg</f>
        <v>1.5828556826804803E-3</v>
      </c>
      <c r="AW165" s="22">
        <f>Constants!$H72*'Activity data'!AW14*Constants!$H90*EF!$H215*MMVolatEF*NtoN2O*kgtoGg</f>
        <v>1.5862831788684411E-3</v>
      </c>
      <c r="AX165" s="22">
        <f>Constants!$H72*'Activity data'!AX14*Constants!$H90*EF!$H215*MMVolatEF*NtoN2O*kgtoGg</f>
        <v>1.5899383996112353E-3</v>
      </c>
      <c r="AY165" s="22">
        <f>Constants!$H72*'Activity data'!AY14*Constants!$H90*EF!$H215*MMVolatEF*NtoN2O*kgtoGg</f>
        <v>1.5938522843825273E-3</v>
      </c>
      <c r="AZ165" s="22">
        <f>Constants!$H72*'Activity data'!AZ14*Constants!$H90*EF!$H215*MMVolatEF*NtoN2O*kgtoGg</f>
        <v>1.5980645853770706E-3</v>
      </c>
      <c r="BA165" s="22">
        <f>Constants!$H72*'Activity data'!BA14*Constants!$H90*EF!$H215*MMVolatEF*NtoN2O*kgtoGg</f>
        <v>1.6024480445287401E-3</v>
      </c>
      <c r="BB165" s="22">
        <f>Constants!$H72*'Activity data'!BB14*Constants!$H90*EF!$H215*MMVolatEF*NtoN2O*kgtoGg</f>
        <v>1.6051628335623928E-3</v>
      </c>
      <c r="BC165" s="22">
        <f>Constants!$H72*'Activity data'!BC14*Constants!$H90*EF!$H215*MMVolatEF*NtoN2O*kgtoGg</f>
        <v>1.6081088739618883E-3</v>
      </c>
      <c r="BD165" s="22">
        <f>Constants!$H72*'Activity data'!BD14*Constants!$H90*EF!$H215*MMVolatEF*NtoN2O*kgtoGg</f>
        <v>1.611183706333218E-3</v>
      </c>
      <c r="BE165" s="22">
        <f>Constants!$H72*'Activity data'!BE14*Constants!$H90*EF!$H215*MMVolatEF*NtoN2O*kgtoGg</f>
        <v>1.6144235512850938E-3</v>
      </c>
      <c r="BF165" s="22">
        <f>Constants!$H72*'Activity data'!BF14*Constants!$H90*EF!$H215*MMVolatEF*NtoN2O*kgtoGg</f>
        <v>1.6178239730212022E-3</v>
      </c>
      <c r="BG165" s="22">
        <f>Constants!$H72*'Activity data'!BG14*Constants!$H90*EF!$H215*MMVolatEF*NtoN2O*kgtoGg</f>
        <v>1.6196817554567978E-3</v>
      </c>
      <c r="BH165" s="22">
        <f>Constants!$H72*'Activity data'!BH14*Constants!$H90*EF!$H215*MMVolatEF*NtoN2O*kgtoGg</f>
        <v>1.6216565733393274E-3</v>
      </c>
      <c r="BI165" s="22">
        <f>Constants!$H72*'Activity data'!BI14*Constants!$H90*EF!$H215*MMVolatEF*NtoN2O*kgtoGg</f>
        <v>1.623798838279086E-3</v>
      </c>
      <c r="BJ165" s="22">
        <f>Constants!$H72*'Activity data'!BJ14*Constants!$H90*EF!$H215*MMVolatEF*NtoN2O*kgtoGg</f>
        <v>1.6261065043160481E-3</v>
      </c>
      <c r="BK165" s="22">
        <f>Constants!$H72*'Activity data'!BK14*Constants!$H90*EF!$H215*MMVolatEF*NtoN2O*kgtoGg</f>
        <v>1.6285798376658015E-3</v>
      </c>
      <c r="BL165" s="22">
        <f>Constants!$H72*'Activity data'!BL14*Constants!$H90*EF!$H215*MMVolatEF*NtoN2O*kgtoGg</f>
        <v>1.6294516121796393E-3</v>
      </c>
      <c r="BM165" s="22">
        <f>Constants!$H72*'Activity data'!BM14*Constants!$H90*EF!$H215*MMVolatEF*NtoN2O*kgtoGg</f>
        <v>1.6298387674394525E-3</v>
      </c>
      <c r="BN165" s="22">
        <f>Constants!$H72*'Activity data'!BN14*Constants!$H90*EF!$H215*MMVolatEF*NtoN2O*kgtoGg</f>
        <v>1.630288838103102E-3</v>
      </c>
      <c r="BO165" s="22">
        <f>Constants!$H72*'Activity data'!BO14*Constants!$H90*EF!$H215*MMVolatEF*NtoN2O*kgtoGg</f>
        <v>1.6307733745465026E-3</v>
      </c>
      <c r="BP165" s="22">
        <f>Constants!$H72*'Activity data'!BP14*Constants!$H90*EF!$H215*MMVolatEF*NtoN2O*kgtoGg</f>
        <v>1.6313457770050716E-3</v>
      </c>
    </row>
    <row r="166" spans="1:68" x14ac:dyDescent="0.3">
      <c r="A166" t="str">
        <f t="shared" si="58"/>
        <v>3C Aggregated and non-CO2 emissions on land</v>
      </c>
      <c r="B166" t="str">
        <f t="shared" si="62"/>
        <v>3C6 Indirect N2O from manure management (N2O)</v>
      </c>
      <c r="C166" t="str">
        <f t="shared" si="63"/>
        <v>Volatilisation</v>
      </c>
      <c r="D166" t="str">
        <f>'Activity data'!D76</f>
        <v xml:space="preserve"> - Horses</v>
      </c>
      <c r="E166" t="str">
        <f t="shared" si="61"/>
        <v>Volatilisation - Horses</v>
      </c>
      <c r="F166" t="str">
        <f t="shared" si="47"/>
        <v>N2O</v>
      </c>
      <c r="G166" t="str">
        <f t="shared" si="48"/>
        <v>Gg N2O</v>
      </c>
      <c r="H166" s="22">
        <f>Constants!$H73*'Activity data'!H15*Constants!$H91*EF!$H216*MMVolatEF*NtoN2O*kgtoGg</f>
        <v>0</v>
      </c>
      <c r="I166" s="22">
        <f>Constants!$H73*'Activity data'!I15*Constants!$H91*EF!$H216*MMVolatEF*NtoN2O*kgtoGg</f>
        <v>0</v>
      </c>
      <c r="J166" s="22">
        <f>Constants!$H73*'Activity data'!J15*Constants!$H91*EF!$H216*MMVolatEF*NtoN2O*kgtoGg</f>
        <v>0</v>
      </c>
      <c r="K166" s="22">
        <f>Constants!$H73*'Activity data'!K15*Constants!$H91*EF!$H216*MMVolatEF*NtoN2O*kgtoGg</f>
        <v>0</v>
      </c>
      <c r="L166" s="22">
        <f>Constants!$H73*'Activity data'!L15*Constants!$H91*EF!$H216*MMVolatEF*NtoN2O*kgtoGg</f>
        <v>0</v>
      </c>
      <c r="M166" s="22">
        <f>Constants!$H73*'Activity data'!M15*Constants!$H91*EF!$H216*MMVolatEF*NtoN2O*kgtoGg</f>
        <v>0</v>
      </c>
      <c r="N166" s="22">
        <f>Constants!$H73*'Activity data'!N15*Constants!$H91*EF!$H216*MMVolatEF*NtoN2O*kgtoGg</f>
        <v>0</v>
      </c>
      <c r="O166" s="22">
        <f>Constants!$H73*'Activity data'!O15*Constants!$H91*EF!$H216*MMVolatEF*NtoN2O*kgtoGg</f>
        <v>0</v>
      </c>
      <c r="P166" s="22">
        <f>Constants!$H73*'Activity data'!P15*Constants!$H91*EF!$H216*MMVolatEF*NtoN2O*kgtoGg</f>
        <v>0</v>
      </c>
      <c r="Q166" s="22">
        <f>Constants!$H73*'Activity data'!Q15*Constants!$H91*EF!$H216*MMVolatEF*NtoN2O*kgtoGg</f>
        <v>0</v>
      </c>
      <c r="R166" s="22">
        <f>Constants!$H73*'Activity data'!R15*Constants!$H91*EF!$H216*MMVolatEF*NtoN2O*kgtoGg</f>
        <v>0</v>
      </c>
      <c r="S166" s="22">
        <f>Constants!$H73*'Activity data'!S15*Constants!$H91*EF!$H216*MMVolatEF*NtoN2O*kgtoGg</f>
        <v>0</v>
      </c>
      <c r="T166" s="22">
        <f>Constants!$H73*'Activity data'!T15*Constants!$H91*EF!$H216*MMVolatEF*NtoN2O*kgtoGg</f>
        <v>0</v>
      </c>
      <c r="U166" s="22">
        <f>Constants!$H73*'Activity data'!U15*Constants!$H91*EF!$H216*MMVolatEF*NtoN2O*kgtoGg</f>
        <v>0</v>
      </c>
      <c r="V166" s="22">
        <f>Constants!$H73*'Activity data'!V15*Constants!$H91*EF!$H216*MMVolatEF*NtoN2O*kgtoGg</f>
        <v>0</v>
      </c>
      <c r="W166" s="22">
        <f>Constants!$H73*'Activity data'!W15*Constants!$H91*EF!$H216*MMVolatEF*NtoN2O*kgtoGg</f>
        <v>0</v>
      </c>
      <c r="X166" s="22">
        <f>Constants!$H73*'Activity data'!X15*Constants!$H91*EF!$H216*MMVolatEF*NtoN2O*kgtoGg</f>
        <v>0</v>
      </c>
      <c r="Y166" s="22">
        <f>Constants!$H73*'Activity data'!Y15*Constants!$H91*EF!$H216*MMVolatEF*NtoN2O*kgtoGg</f>
        <v>0</v>
      </c>
      <c r="Z166" s="22">
        <f>Constants!$H73*'Activity data'!Z15*Constants!$H91*EF!$H216*MMVolatEF*NtoN2O*kgtoGg</f>
        <v>0</v>
      </c>
      <c r="AA166" s="22">
        <f>Constants!$H73*'Activity data'!AA15*Constants!$H91*EF!$H216*MMVolatEF*NtoN2O*kgtoGg</f>
        <v>0</v>
      </c>
      <c r="AB166" s="22">
        <f>Constants!$H73*'Activity data'!AB15*Constants!$H91*EF!$H216*MMVolatEF*NtoN2O*kgtoGg</f>
        <v>0</v>
      </c>
      <c r="AC166" s="22">
        <f>Constants!$H73*'Activity data'!AC15*Constants!$H91*EF!$H216*MMVolatEF*NtoN2O*kgtoGg</f>
        <v>0</v>
      </c>
      <c r="AD166" s="22">
        <f>Constants!$H73*'Activity data'!AD15*Constants!$H91*EF!$H216*MMVolatEF*NtoN2O*kgtoGg</f>
        <v>0</v>
      </c>
      <c r="AE166" s="22">
        <f>Constants!$H73*'Activity data'!AE15*Constants!$H91*EF!$H216*MMVolatEF*NtoN2O*kgtoGg</f>
        <v>0</v>
      </c>
      <c r="AF166" s="22">
        <f>Constants!$H73*'Activity data'!AF15*Constants!$H91*EF!$H216*MMVolatEF*NtoN2O*kgtoGg</f>
        <v>0</v>
      </c>
      <c r="AG166" s="22">
        <f>Constants!$H73*'Activity data'!AG15*Constants!$H91*EF!$H216*MMVolatEF*NtoN2O*kgtoGg</f>
        <v>0</v>
      </c>
      <c r="AH166" s="22">
        <f>Constants!$H73*'Activity data'!AH15*Constants!$H91*EF!$H216*MMVolatEF*NtoN2O*kgtoGg</f>
        <v>0</v>
      </c>
      <c r="AI166" s="22">
        <f>Constants!$H73*'Activity data'!AI15*Constants!$H91*EF!$H216*MMVolatEF*NtoN2O*kgtoGg</f>
        <v>0</v>
      </c>
      <c r="AJ166" s="22">
        <f>Constants!$H73*'Activity data'!AJ15*Constants!$H91*EF!$H216*MMVolatEF*NtoN2O*kgtoGg</f>
        <v>0</v>
      </c>
      <c r="AK166" s="22">
        <f>Constants!$H73*'Activity data'!AK15*Constants!$H91*EF!$H216*MMVolatEF*NtoN2O*kgtoGg</f>
        <v>0</v>
      </c>
      <c r="AL166" s="22">
        <f>Constants!$H73*'Activity data'!AL15*Constants!$H91*EF!$H216*MMVolatEF*NtoN2O*kgtoGg</f>
        <v>0</v>
      </c>
      <c r="AM166" s="22">
        <f>Constants!$H73*'Activity data'!AM15*Constants!$H91*EF!$H216*MMVolatEF*NtoN2O*kgtoGg</f>
        <v>0</v>
      </c>
      <c r="AN166" s="22">
        <f>Constants!$H73*'Activity data'!AN15*Constants!$H91*EF!$H216*MMVolatEF*NtoN2O*kgtoGg</f>
        <v>0</v>
      </c>
      <c r="AO166" s="22">
        <f>Constants!$H73*'Activity data'!AO15*Constants!$H91*EF!$H216*MMVolatEF*NtoN2O*kgtoGg</f>
        <v>0</v>
      </c>
      <c r="AP166" s="22">
        <f>Constants!$H73*'Activity data'!AP15*Constants!$H91*EF!$H216*MMVolatEF*NtoN2O*kgtoGg</f>
        <v>0</v>
      </c>
      <c r="AQ166" s="22">
        <f>Constants!$H73*'Activity data'!AQ15*Constants!$H91*EF!$H216*MMVolatEF*NtoN2O*kgtoGg</f>
        <v>0</v>
      </c>
      <c r="AR166" s="22">
        <f>Constants!$H73*'Activity data'!AR15*Constants!$H91*EF!$H216*MMVolatEF*NtoN2O*kgtoGg</f>
        <v>0</v>
      </c>
      <c r="AS166" s="22">
        <f>Constants!$H73*'Activity data'!AS15*Constants!$H91*EF!$H216*MMVolatEF*NtoN2O*kgtoGg</f>
        <v>0</v>
      </c>
      <c r="AT166" s="22">
        <f>Constants!$H73*'Activity data'!AT15*Constants!$H91*EF!$H216*MMVolatEF*NtoN2O*kgtoGg</f>
        <v>0</v>
      </c>
      <c r="AU166" s="22">
        <f>Constants!$H73*'Activity data'!AU15*Constants!$H91*EF!$H216*MMVolatEF*NtoN2O*kgtoGg</f>
        <v>0</v>
      </c>
      <c r="AV166" s="22">
        <f>Constants!$H73*'Activity data'!AV15*Constants!$H91*EF!$H216*MMVolatEF*NtoN2O*kgtoGg</f>
        <v>0</v>
      </c>
      <c r="AW166" s="22">
        <f>Constants!$H73*'Activity data'!AW15*Constants!$H91*EF!$H216*MMVolatEF*NtoN2O*kgtoGg</f>
        <v>0</v>
      </c>
      <c r="AX166" s="22">
        <f>Constants!$H73*'Activity data'!AX15*Constants!$H91*EF!$H216*MMVolatEF*NtoN2O*kgtoGg</f>
        <v>0</v>
      </c>
      <c r="AY166" s="22">
        <f>Constants!$H73*'Activity data'!AY15*Constants!$H91*EF!$H216*MMVolatEF*NtoN2O*kgtoGg</f>
        <v>0</v>
      </c>
      <c r="AZ166" s="22">
        <f>Constants!$H73*'Activity data'!AZ15*Constants!$H91*EF!$H216*MMVolatEF*NtoN2O*kgtoGg</f>
        <v>0</v>
      </c>
      <c r="BA166" s="22">
        <f>Constants!$H73*'Activity data'!BA15*Constants!$H91*EF!$H216*MMVolatEF*NtoN2O*kgtoGg</f>
        <v>0</v>
      </c>
      <c r="BB166" s="22">
        <f>Constants!$H73*'Activity data'!BB15*Constants!$H91*EF!$H216*MMVolatEF*NtoN2O*kgtoGg</f>
        <v>0</v>
      </c>
      <c r="BC166" s="22">
        <f>Constants!$H73*'Activity data'!BC15*Constants!$H91*EF!$H216*MMVolatEF*NtoN2O*kgtoGg</f>
        <v>0</v>
      </c>
      <c r="BD166" s="22">
        <f>Constants!$H73*'Activity data'!BD15*Constants!$H91*EF!$H216*MMVolatEF*NtoN2O*kgtoGg</f>
        <v>0</v>
      </c>
      <c r="BE166" s="22">
        <f>Constants!$H73*'Activity data'!BE15*Constants!$H91*EF!$H216*MMVolatEF*NtoN2O*kgtoGg</f>
        <v>0</v>
      </c>
      <c r="BF166" s="22">
        <f>Constants!$H73*'Activity data'!BF15*Constants!$H91*EF!$H216*MMVolatEF*NtoN2O*kgtoGg</f>
        <v>0</v>
      </c>
      <c r="BG166" s="22">
        <f>Constants!$H73*'Activity data'!BG15*Constants!$H91*EF!$H216*MMVolatEF*NtoN2O*kgtoGg</f>
        <v>0</v>
      </c>
      <c r="BH166" s="22">
        <f>Constants!$H73*'Activity data'!BH15*Constants!$H91*EF!$H216*MMVolatEF*NtoN2O*kgtoGg</f>
        <v>0</v>
      </c>
      <c r="BI166" s="22">
        <f>Constants!$H73*'Activity data'!BI15*Constants!$H91*EF!$H216*MMVolatEF*NtoN2O*kgtoGg</f>
        <v>0</v>
      </c>
      <c r="BJ166" s="22">
        <f>Constants!$H73*'Activity data'!BJ15*Constants!$H91*EF!$H216*MMVolatEF*NtoN2O*kgtoGg</f>
        <v>0</v>
      </c>
      <c r="BK166" s="22">
        <f>Constants!$H73*'Activity data'!BK15*Constants!$H91*EF!$H216*MMVolatEF*NtoN2O*kgtoGg</f>
        <v>0</v>
      </c>
      <c r="BL166" s="22">
        <f>Constants!$H73*'Activity data'!BL15*Constants!$H91*EF!$H216*MMVolatEF*NtoN2O*kgtoGg</f>
        <v>0</v>
      </c>
      <c r="BM166" s="22">
        <f>Constants!$H73*'Activity data'!BM15*Constants!$H91*EF!$H216*MMVolatEF*NtoN2O*kgtoGg</f>
        <v>0</v>
      </c>
      <c r="BN166" s="22">
        <f>Constants!$H73*'Activity data'!BN15*Constants!$H91*EF!$H216*MMVolatEF*NtoN2O*kgtoGg</f>
        <v>0</v>
      </c>
      <c r="BO166" s="22">
        <f>Constants!$H73*'Activity data'!BO15*Constants!$H91*EF!$H216*MMVolatEF*NtoN2O*kgtoGg</f>
        <v>0</v>
      </c>
      <c r="BP166" s="22">
        <f>Constants!$H73*'Activity data'!BP15*Constants!$H91*EF!$H216*MMVolatEF*NtoN2O*kgtoGg</f>
        <v>0</v>
      </c>
    </row>
    <row r="167" spans="1:68" x14ac:dyDescent="0.3">
      <c r="A167" t="str">
        <f t="shared" si="58"/>
        <v>3C Aggregated and non-CO2 emissions on land</v>
      </c>
      <c r="B167" t="str">
        <f t="shared" si="62"/>
        <v>3C6 Indirect N2O from manure management (N2O)</v>
      </c>
      <c r="C167" t="str">
        <f t="shared" si="63"/>
        <v>Volatilisation</v>
      </c>
      <c r="D167" t="str">
        <f>'Activity data'!D77</f>
        <v xml:space="preserve"> - Mules &amp; Asses</v>
      </c>
      <c r="E167" t="str">
        <f t="shared" si="61"/>
        <v>Volatilisation - Mules &amp; Asses</v>
      </c>
      <c r="F167" t="str">
        <f t="shared" si="47"/>
        <v>N2O</v>
      </c>
      <c r="G167" t="str">
        <f t="shared" si="48"/>
        <v>Gg N2O</v>
      </c>
      <c r="H167" s="22">
        <f>Constants!$H74*'Activity data'!H16*Constants!$H92*EF!$H217*MMVolatEF*NtoN2O*kgtoGg</f>
        <v>0</v>
      </c>
      <c r="I167" s="22">
        <f>Constants!$H74*'Activity data'!I16*Constants!$H92*EF!$H217*MMVolatEF*NtoN2O*kgtoGg</f>
        <v>0</v>
      </c>
      <c r="J167" s="22">
        <f>Constants!$H74*'Activity data'!J16*Constants!$H92*EF!$H217*MMVolatEF*NtoN2O*kgtoGg</f>
        <v>0</v>
      </c>
      <c r="K167" s="22">
        <f>Constants!$H74*'Activity data'!K16*Constants!$H92*EF!$H217*MMVolatEF*NtoN2O*kgtoGg</f>
        <v>0</v>
      </c>
      <c r="L167" s="22">
        <f>Constants!$H74*'Activity data'!L16*Constants!$H92*EF!$H217*MMVolatEF*NtoN2O*kgtoGg</f>
        <v>0</v>
      </c>
      <c r="M167" s="22">
        <f>Constants!$H74*'Activity data'!M16*Constants!$H92*EF!$H217*MMVolatEF*NtoN2O*kgtoGg</f>
        <v>0</v>
      </c>
      <c r="N167" s="22">
        <f>Constants!$H74*'Activity data'!N16*Constants!$H92*EF!$H217*MMVolatEF*NtoN2O*kgtoGg</f>
        <v>0</v>
      </c>
      <c r="O167" s="22">
        <f>Constants!$H74*'Activity data'!O16*Constants!$H92*EF!$H217*MMVolatEF*NtoN2O*kgtoGg</f>
        <v>0</v>
      </c>
      <c r="P167" s="22">
        <f>Constants!$H74*'Activity data'!P16*Constants!$H92*EF!$H217*MMVolatEF*NtoN2O*kgtoGg</f>
        <v>0</v>
      </c>
      <c r="Q167" s="22">
        <f>Constants!$H74*'Activity data'!Q16*Constants!$H92*EF!$H217*MMVolatEF*NtoN2O*kgtoGg</f>
        <v>0</v>
      </c>
      <c r="R167" s="22">
        <f>Constants!$H74*'Activity data'!R16*Constants!$H92*EF!$H217*MMVolatEF*NtoN2O*kgtoGg</f>
        <v>0</v>
      </c>
      <c r="S167" s="22">
        <f>Constants!$H74*'Activity data'!S16*Constants!$H92*EF!$H217*MMVolatEF*NtoN2O*kgtoGg</f>
        <v>0</v>
      </c>
      <c r="T167" s="22">
        <f>Constants!$H74*'Activity data'!T16*Constants!$H92*EF!$H217*MMVolatEF*NtoN2O*kgtoGg</f>
        <v>0</v>
      </c>
      <c r="U167" s="22">
        <f>Constants!$H74*'Activity data'!U16*Constants!$H92*EF!$H217*MMVolatEF*NtoN2O*kgtoGg</f>
        <v>0</v>
      </c>
      <c r="V167" s="22">
        <f>Constants!$H74*'Activity data'!V16*Constants!$H92*EF!$H217*MMVolatEF*NtoN2O*kgtoGg</f>
        <v>0</v>
      </c>
      <c r="W167" s="22">
        <f>Constants!$H74*'Activity data'!W16*Constants!$H92*EF!$H217*MMVolatEF*NtoN2O*kgtoGg</f>
        <v>0</v>
      </c>
      <c r="X167" s="22">
        <f>Constants!$H74*'Activity data'!X16*Constants!$H92*EF!$H217*MMVolatEF*NtoN2O*kgtoGg</f>
        <v>0</v>
      </c>
      <c r="Y167" s="22">
        <f>Constants!$H74*'Activity data'!Y16*Constants!$H92*EF!$H217*MMVolatEF*NtoN2O*kgtoGg</f>
        <v>0</v>
      </c>
      <c r="Z167" s="22">
        <f>Constants!$H74*'Activity data'!Z16*Constants!$H92*EF!$H217*MMVolatEF*NtoN2O*kgtoGg</f>
        <v>0</v>
      </c>
      <c r="AA167" s="22">
        <f>Constants!$H74*'Activity data'!AA16*Constants!$H92*EF!$H217*MMVolatEF*NtoN2O*kgtoGg</f>
        <v>0</v>
      </c>
      <c r="AB167" s="22">
        <f>Constants!$H74*'Activity data'!AB16*Constants!$H92*EF!$H217*MMVolatEF*NtoN2O*kgtoGg</f>
        <v>0</v>
      </c>
      <c r="AC167" s="22">
        <f>Constants!$H74*'Activity data'!AC16*Constants!$H92*EF!$H217*MMVolatEF*NtoN2O*kgtoGg</f>
        <v>0</v>
      </c>
      <c r="AD167" s="22">
        <f>Constants!$H74*'Activity data'!AD16*Constants!$H92*EF!$H217*MMVolatEF*NtoN2O*kgtoGg</f>
        <v>0</v>
      </c>
      <c r="AE167" s="22">
        <f>Constants!$H74*'Activity data'!AE16*Constants!$H92*EF!$H217*MMVolatEF*NtoN2O*kgtoGg</f>
        <v>0</v>
      </c>
      <c r="AF167" s="22">
        <f>Constants!$H74*'Activity data'!AF16*Constants!$H92*EF!$H217*MMVolatEF*NtoN2O*kgtoGg</f>
        <v>0</v>
      </c>
      <c r="AG167" s="22">
        <f>Constants!$H74*'Activity data'!AG16*Constants!$H92*EF!$H217*MMVolatEF*NtoN2O*kgtoGg</f>
        <v>0</v>
      </c>
      <c r="AH167" s="22">
        <f>Constants!$H74*'Activity data'!AH16*Constants!$H92*EF!$H217*MMVolatEF*NtoN2O*kgtoGg</f>
        <v>0</v>
      </c>
      <c r="AI167" s="22">
        <f>Constants!$H74*'Activity data'!AI16*Constants!$H92*EF!$H217*MMVolatEF*NtoN2O*kgtoGg</f>
        <v>0</v>
      </c>
      <c r="AJ167" s="22">
        <f>Constants!$H74*'Activity data'!AJ16*Constants!$H92*EF!$H217*MMVolatEF*NtoN2O*kgtoGg</f>
        <v>0</v>
      </c>
      <c r="AK167" s="22">
        <f>Constants!$H74*'Activity data'!AK16*Constants!$H92*EF!$H217*MMVolatEF*NtoN2O*kgtoGg</f>
        <v>0</v>
      </c>
      <c r="AL167" s="22">
        <f>Constants!$H74*'Activity data'!AL16*Constants!$H92*EF!$H217*MMVolatEF*NtoN2O*kgtoGg</f>
        <v>0</v>
      </c>
      <c r="AM167" s="22">
        <f>Constants!$H74*'Activity data'!AM16*Constants!$H92*EF!$H217*MMVolatEF*NtoN2O*kgtoGg</f>
        <v>0</v>
      </c>
      <c r="AN167" s="22">
        <f>Constants!$H74*'Activity data'!AN16*Constants!$H92*EF!$H217*MMVolatEF*NtoN2O*kgtoGg</f>
        <v>0</v>
      </c>
      <c r="AO167" s="22">
        <f>Constants!$H74*'Activity data'!AO16*Constants!$H92*EF!$H217*MMVolatEF*NtoN2O*kgtoGg</f>
        <v>0</v>
      </c>
      <c r="AP167" s="22">
        <f>Constants!$H74*'Activity data'!AP16*Constants!$H92*EF!$H217*MMVolatEF*NtoN2O*kgtoGg</f>
        <v>0</v>
      </c>
      <c r="AQ167" s="22">
        <f>Constants!$H74*'Activity data'!AQ16*Constants!$H92*EF!$H217*MMVolatEF*NtoN2O*kgtoGg</f>
        <v>0</v>
      </c>
      <c r="AR167" s="22">
        <f>Constants!$H74*'Activity data'!AR16*Constants!$H92*EF!$H217*MMVolatEF*NtoN2O*kgtoGg</f>
        <v>0</v>
      </c>
      <c r="AS167" s="22">
        <f>Constants!$H74*'Activity data'!AS16*Constants!$H92*EF!$H217*MMVolatEF*NtoN2O*kgtoGg</f>
        <v>0</v>
      </c>
      <c r="AT167" s="22">
        <f>Constants!$H74*'Activity data'!AT16*Constants!$H92*EF!$H217*MMVolatEF*NtoN2O*kgtoGg</f>
        <v>0</v>
      </c>
      <c r="AU167" s="22">
        <f>Constants!$H74*'Activity data'!AU16*Constants!$H92*EF!$H217*MMVolatEF*NtoN2O*kgtoGg</f>
        <v>0</v>
      </c>
      <c r="AV167" s="22">
        <f>Constants!$H74*'Activity data'!AV16*Constants!$H92*EF!$H217*MMVolatEF*NtoN2O*kgtoGg</f>
        <v>0</v>
      </c>
      <c r="AW167" s="22">
        <f>Constants!$H74*'Activity data'!AW16*Constants!$H92*EF!$H217*MMVolatEF*NtoN2O*kgtoGg</f>
        <v>0</v>
      </c>
      <c r="AX167" s="22">
        <f>Constants!$H74*'Activity data'!AX16*Constants!$H92*EF!$H217*MMVolatEF*NtoN2O*kgtoGg</f>
        <v>0</v>
      </c>
      <c r="AY167" s="22">
        <f>Constants!$H74*'Activity data'!AY16*Constants!$H92*EF!$H217*MMVolatEF*NtoN2O*kgtoGg</f>
        <v>0</v>
      </c>
      <c r="AZ167" s="22">
        <f>Constants!$H74*'Activity data'!AZ16*Constants!$H92*EF!$H217*MMVolatEF*NtoN2O*kgtoGg</f>
        <v>0</v>
      </c>
      <c r="BA167" s="22">
        <f>Constants!$H74*'Activity data'!BA16*Constants!$H92*EF!$H217*MMVolatEF*NtoN2O*kgtoGg</f>
        <v>0</v>
      </c>
      <c r="BB167" s="22">
        <f>Constants!$H74*'Activity data'!BB16*Constants!$H92*EF!$H217*MMVolatEF*NtoN2O*kgtoGg</f>
        <v>0</v>
      </c>
      <c r="BC167" s="22">
        <f>Constants!$H74*'Activity data'!BC16*Constants!$H92*EF!$H217*MMVolatEF*NtoN2O*kgtoGg</f>
        <v>0</v>
      </c>
      <c r="BD167" s="22">
        <f>Constants!$H74*'Activity data'!BD16*Constants!$H92*EF!$H217*MMVolatEF*NtoN2O*kgtoGg</f>
        <v>0</v>
      </c>
      <c r="BE167" s="22">
        <f>Constants!$H74*'Activity data'!BE16*Constants!$H92*EF!$H217*MMVolatEF*NtoN2O*kgtoGg</f>
        <v>0</v>
      </c>
      <c r="BF167" s="22">
        <f>Constants!$H74*'Activity data'!BF16*Constants!$H92*EF!$H217*MMVolatEF*NtoN2O*kgtoGg</f>
        <v>0</v>
      </c>
      <c r="BG167" s="22">
        <f>Constants!$H74*'Activity data'!BG16*Constants!$H92*EF!$H217*MMVolatEF*NtoN2O*kgtoGg</f>
        <v>0</v>
      </c>
      <c r="BH167" s="22">
        <f>Constants!$H74*'Activity data'!BH16*Constants!$H92*EF!$H217*MMVolatEF*NtoN2O*kgtoGg</f>
        <v>0</v>
      </c>
      <c r="BI167" s="22">
        <f>Constants!$H74*'Activity data'!BI16*Constants!$H92*EF!$H217*MMVolatEF*NtoN2O*kgtoGg</f>
        <v>0</v>
      </c>
      <c r="BJ167" s="22">
        <f>Constants!$H74*'Activity data'!BJ16*Constants!$H92*EF!$H217*MMVolatEF*NtoN2O*kgtoGg</f>
        <v>0</v>
      </c>
      <c r="BK167" s="22">
        <f>Constants!$H74*'Activity data'!BK16*Constants!$H92*EF!$H217*MMVolatEF*NtoN2O*kgtoGg</f>
        <v>0</v>
      </c>
      <c r="BL167" s="22">
        <f>Constants!$H74*'Activity data'!BL16*Constants!$H92*EF!$H217*MMVolatEF*NtoN2O*kgtoGg</f>
        <v>0</v>
      </c>
      <c r="BM167" s="22">
        <f>Constants!$H74*'Activity data'!BM16*Constants!$H92*EF!$H217*MMVolatEF*NtoN2O*kgtoGg</f>
        <v>0</v>
      </c>
      <c r="BN167" s="22">
        <f>Constants!$H74*'Activity data'!BN16*Constants!$H92*EF!$H217*MMVolatEF*NtoN2O*kgtoGg</f>
        <v>0</v>
      </c>
      <c r="BO167" s="22">
        <f>Constants!$H74*'Activity data'!BO16*Constants!$H92*EF!$H217*MMVolatEF*NtoN2O*kgtoGg</f>
        <v>0</v>
      </c>
      <c r="BP167" s="22">
        <f>Constants!$H74*'Activity data'!BP16*Constants!$H92*EF!$H217*MMVolatEF*NtoN2O*kgtoGg</f>
        <v>0</v>
      </c>
    </row>
    <row r="168" spans="1:68" x14ac:dyDescent="0.3">
      <c r="A168" t="str">
        <f t="shared" si="58"/>
        <v>3C Aggregated and non-CO2 emissions on land</v>
      </c>
      <c r="B168" t="str">
        <f t="shared" si="62"/>
        <v>3C6 Indirect N2O from manure management (N2O)</v>
      </c>
      <c r="C168" t="str">
        <f t="shared" si="63"/>
        <v>Volatilisation</v>
      </c>
      <c r="D168" t="str">
        <f>'Activity data'!D78</f>
        <v xml:space="preserve"> - Commercial swine</v>
      </c>
      <c r="E168" t="str">
        <f t="shared" si="61"/>
        <v>Volatilisation - Commercial swine</v>
      </c>
      <c r="F168" t="str">
        <f t="shared" si="47"/>
        <v>N2O</v>
      </c>
      <c r="G168" t="str">
        <f t="shared" si="48"/>
        <v>Gg N2O</v>
      </c>
      <c r="H168" s="22">
        <f>Constants!$H75*'Activity data'!H17*Constants!$H93*EF!$H218*MMVolatEF*NtoN2O*kgtoGg</f>
        <v>0.12033024471222856</v>
      </c>
      <c r="I168" s="22">
        <f>Constants!$H75*'Activity data'!I17*Constants!$H93*EF!$H218*MMVolatEF*NtoN2O*kgtoGg</f>
        <v>0.13146316105371428</v>
      </c>
      <c r="J168" s="22">
        <f>Constants!$H75*'Activity data'!J17*Constants!$H93*EF!$H218*MMVolatEF*NtoN2O*kgtoGg</f>
        <v>0.13059463566537144</v>
      </c>
      <c r="K168" s="22">
        <f>Constants!$H75*'Activity data'!K17*Constants!$H93*EF!$H218*MMVolatEF*NtoN2O*kgtoGg</f>
        <v>0.13051567881188572</v>
      </c>
      <c r="L168" s="22">
        <f>Constants!$H75*'Activity data'!L17*Constants!$H93*EF!$H218*MMVolatEF*NtoN2O*kgtoGg</f>
        <v>0.12396225997257142</v>
      </c>
      <c r="M168" s="22">
        <f>Constants!$H75*'Activity data'!M17*Constants!$H93*EF!$H218*MMVolatEF*NtoN2O*kgtoGg</f>
        <v>0.12514661277485714</v>
      </c>
      <c r="N168" s="22">
        <f>Constants!$H75*'Activity data'!N17*Constants!$H93*EF!$H218*MMVolatEF*NtoN2O*kgtoGg</f>
        <v>0.13477934890011425</v>
      </c>
      <c r="O168" s="22">
        <f>Constants!$H75*'Activity data'!O17*Constants!$H93*EF!$H218*MMVolatEF*NtoN2O*kgtoGg</f>
        <v>0.1341476940722286</v>
      </c>
      <c r="P168" s="22">
        <f>Constants!$H75*'Activity data'!P17*Constants!$H93*EF!$H218*MMVolatEF*NtoN2O*kgtoGg</f>
        <v>0.13706909765120001</v>
      </c>
      <c r="Q168" s="22">
        <f>Constants!$H75*'Activity data'!Q17*Constants!$H93*EF!$H218*MMVolatEF*NtoN2O*kgtoGg</f>
        <v>0.14054319920457142</v>
      </c>
      <c r="R168" s="22">
        <f>Constants!$H75*'Activity data'!R17*Constants!$H93*EF!$H218*MMVolatEF*NtoN2O*kgtoGg</f>
        <v>0.13004193769097142</v>
      </c>
      <c r="S168" s="22">
        <f>Constants!$H75*'Activity data'!S17*Constants!$H93*EF!$H218*MMVolatEF*NtoN2O*kgtoGg</f>
        <v>0.13248960014902858</v>
      </c>
      <c r="T168" s="22">
        <f>Constants!$H75*'Activity data'!T17*Constants!$H93*EF!$H218*MMVolatEF*NtoN2O*kgtoGg</f>
        <v>0.13501621946057141</v>
      </c>
      <c r="U168" s="22">
        <f>Constants!$H75*'Activity data'!U17*Constants!$H93*EF!$H218*MMVolatEF*NtoN2O*kgtoGg</f>
        <v>0.13130524734674287</v>
      </c>
      <c r="V168" s="22">
        <f>Constants!$H75*'Activity data'!V17*Constants!$H93*EF!$H218*MMVolatEF*NtoN2O*kgtoGg</f>
        <v>0.13130524734674287</v>
      </c>
      <c r="W168" s="22">
        <f>Constants!$H75*'Activity data'!W17*Constants!$H93*EF!$H218*MMVolatEF*NtoN2O*kgtoGg</f>
        <v>0.13035776510491429</v>
      </c>
      <c r="X168" s="22">
        <f>Constants!$H75*'Activity data'!X17*Constants!$H93*EF!$H218*MMVolatEF*NtoN2O*kgtoGg</f>
        <v>0.12806801635382858</v>
      </c>
      <c r="Y168" s="22">
        <f>Constants!$H75*'Activity data'!Y17*Constants!$H93*EF!$H218*MMVolatEF*NtoN2O*kgtoGg</f>
        <v>0.13035776510491429</v>
      </c>
      <c r="Z168" s="22">
        <f>Constants!$H75*'Activity data'!Z17*Constants!$H93*EF!$H218*MMVolatEF*NtoN2O*kgtoGg</f>
        <v>0.12751531837942856</v>
      </c>
      <c r="AA168" s="22">
        <f>Constants!$H75*'Activity data'!AA17*Constants!$H93*EF!$H218*MMVolatEF*NtoN2O*kgtoGg</f>
        <v>0.12735740467245713</v>
      </c>
      <c r="AB168" s="22">
        <f>Constants!$H75*'Activity data'!AB17*Constants!$H93*EF!$H218*MMVolatEF*NtoN2O*kgtoGg</f>
        <v>0.1258572244562286</v>
      </c>
      <c r="AC168" s="22">
        <f>Constants!$H75*'Activity data'!AC17*Constants!$H93*EF!$H218*MMVolatEF*NtoN2O*kgtoGg</f>
        <v>0.12506765592137145</v>
      </c>
      <c r="AD168" s="22">
        <f>Constants!$H75*'Activity data'!AD17*Constants!$H93*EF!$H218*MMVolatEF*NtoN2O*kgtoGg</f>
        <v>0.13075625264316332</v>
      </c>
      <c r="AE168" s="22">
        <f>Constants!$H75*'Activity data'!AE17*Constants!$H93*EF!$H218*MMVolatEF*NtoN2O*kgtoGg</f>
        <v>0.13004550543955862</v>
      </c>
      <c r="AF168" s="22">
        <f>Constants!$H75*'Activity data'!AF17*Constants!$H93*EF!$H218*MMVolatEF*NtoN2O*kgtoGg</f>
        <v>0.13010384136507711</v>
      </c>
      <c r="AG168" s="22">
        <f>Constants!$H75*'Activity data'!AG17*Constants!$H93*EF!$H218*MMVolatEF*NtoN2O*kgtoGg</f>
        <v>0.1289093884029483</v>
      </c>
      <c r="AH168" s="22">
        <f>Constants!$H75*'Activity data'!AH17*Constants!$H93*EF!$H218*MMVolatEF*NtoN2O*kgtoGg</f>
        <v>0.12695857121838472</v>
      </c>
      <c r="AI168" s="22">
        <f>Constants!$H75*'Activity data'!AI17*Constants!$H93*EF!$H218*MMVolatEF*NtoN2O*kgtoGg</f>
        <v>0.12428257569245393</v>
      </c>
      <c r="AJ168" s="22">
        <f>Constants!$H75*'Activity data'!AJ17*Constants!$H93*EF!$H218*MMVolatEF*NtoN2O*kgtoGg</f>
        <v>0.12233950618032063</v>
      </c>
      <c r="AK168" s="22">
        <f>Constants!$H75*'Activity data'!AK17*Constants!$H93*EF!$H218*MMVolatEF*NtoN2O*kgtoGg</f>
        <v>0.1205683722616282</v>
      </c>
      <c r="AL168" s="22">
        <f>Constants!$H75*'Activity data'!AL17*Constants!$H93*EF!$H218*MMVolatEF*NtoN2O*kgtoGg</f>
        <v>0.1064558326136491</v>
      </c>
      <c r="AM168" s="22">
        <f>Constants!$H75*'Activity data'!AM17*Constants!$H93*EF!$H218*MMVolatEF*NtoN2O*kgtoGg</f>
        <v>0.10780203870685764</v>
      </c>
      <c r="AN168" s="22">
        <f>Constants!$H75*'Activity data'!AN17*Constants!$H93*EF!$H218*MMVolatEF*NtoN2O*kgtoGg</f>
        <v>0.11069073271596624</v>
      </c>
      <c r="AO168" s="22">
        <f>Constants!$H75*'Activity data'!AO17*Constants!$H93*EF!$H218*MMVolatEF*NtoN2O*kgtoGg</f>
        <v>0.11095301112483856</v>
      </c>
      <c r="AP168" s="22">
        <f>Constants!$H75*'Activity data'!AP17*Constants!$H93*EF!$H218*MMVolatEF*NtoN2O*kgtoGg</f>
        <v>0.11152098959254672</v>
      </c>
      <c r="AQ168" s="22">
        <f>Constants!$H75*'Activity data'!AQ17*Constants!$H93*EF!$H218*MMVolatEF*NtoN2O*kgtoGg</f>
        <v>0.11247596118460781</v>
      </c>
      <c r="AR168" s="22">
        <f>Constants!$H75*'Activity data'!AR17*Constants!$H93*EF!$H218*MMVolatEF*NtoN2O*kgtoGg</f>
        <v>0.11367425965304444</v>
      </c>
      <c r="AS168" s="22">
        <f>Constants!$H75*'Activity data'!AS17*Constants!$H93*EF!$H218*MMVolatEF*NtoN2O*kgtoGg</f>
        <v>0.11514267283955164</v>
      </c>
      <c r="AT168" s="22">
        <f>Constants!$H75*'Activity data'!AT17*Constants!$H93*EF!$H218*MMVolatEF*NtoN2O*kgtoGg</f>
        <v>0.11662825764737823</v>
      </c>
      <c r="AU168" s="22">
        <f>Constants!$H75*'Activity data'!AU17*Constants!$H93*EF!$H218*MMVolatEF*NtoN2O*kgtoGg</f>
        <v>0.11834343516699931</v>
      </c>
      <c r="AV168" s="22">
        <f>Constants!$H75*'Activity data'!AV17*Constants!$H93*EF!$H218*MMVolatEF*NtoN2O*kgtoGg</f>
        <v>0.12004677457127924</v>
      </c>
      <c r="AW168" s="22">
        <f>Constants!$H75*'Activity data'!AW17*Constants!$H93*EF!$H218*MMVolatEF*NtoN2O*kgtoGg</f>
        <v>0.12216447018435615</v>
      </c>
      <c r="AX168" s="22">
        <f>Constants!$H75*'Activity data'!AX17*Constants!$H93*EF!$H218*MMVolatEF*NtoN2O*kgtoGg</f>
        <v>0.12411396366852792</v>
      </c>
      <c r="AY168" s="22">
        <f>Constants!$H75*'Activity data'!AY17*Constants!$H93*EF!$H218*MMVolatEF*NtoN2O*kgtoGg</f>
        <v>0.12618838059713719</v>
      </c>
      <c r="AZ168" s="22">
        <f>Constants!$H75*'Activity data'!AZ17*Constants!$H93*EF!$H218*MMVolatEF*NtoN2O*kgtoGg</f>
        <v>0.12871889862830188</v>
      </c>
      <c r="BA168" s="22">
        <f>Constants!$H75*'Activity data'!BA17*Constants!$H93*EF!$H218*MMVolatEF*NtoN2O*kgtoGg</f>
        <v>0.13089178183294797</v>
      </c>
      <c r="BB168" s="22">
        <f>Constants!$H75*'Activity data'!BB17*Constants!$H93*EF!$H218*MMVolatEF*NtoN2O*kgtoGg</f>
        <v>0.13323707488889489</v>
      </c>
      <c r="BC168" s="22">
        <f>Constants!$H75*'Activity data'!BC17*Constants!$H93*EF!$H218*MMVolatEF*NtoN2O*kgtoGg</f>
        <v>0.13578249309813545</v>
      </c>
      <c r="BD168" s="22">
        <f>Constants!$H75*'Activity data'!BD17*Constants!$H93*EF!$H218*MMVolatEF*NtoN2O*kgtoGg</f>
        <v>0.13790594882017243</v>
      </c>
      <c r="BE168" s="22">
        <f>Constants!$H75*'Activity data'!BE17*Constants!$H93*EF!$H218*MMVolatEF*NtoN2O*kgtoGg</f>
        <v>0.13989729447599811</v>
      </c>
      <c r="BF168" s="22">
        <f>Constants!$H75*'Activity data'!BF17*Constants!$H93*EF!$H218*MMVolatEF*NtoN2O*kgtoGg</f>
        <v>0.14177259067901168</v>
      </c>
      <c r="BG168" s="22">
        <f>Constants!$H75*'Activity data'!BG17*Constants!$H93*EF!$H218*MMVolatEF*NtoN2O*kgtoGg</f>
        <v>0.14393792175478221</v>
      </c>
      <c r="BH168" s="22">
        <f>Constants!$H75*'Activity data'!BH17*Constants!$H93*EF!$H218*MMVolatEF*NtoN2O*kgtoGg</f>
        <v>0.14581606733158803</v>
      </c>
      <c r="BI168" s="22">
        <f>Constants!$H75*'Activity data'!BI17*Constants!$H93*EF!$H218*MMVolatEF*NtoN2O*kgtoGg</f>
        <v>0.14775479067393846</v>
      </c>
      <c r="BJ168" s="22">
        <f>Constants!$H75*'Activity data'!BJ17*Constants!$H93*EF!$H218*MMVolatEF*NtoN2O*kgtoGg</f>
        <v>0.14976871512687839</v>
      </c>
      <c r="BK168" s="22">
        <f>Constants!$H75*'Activity data'!BK17*Constants!$H93*EF!$H218*MMVolatEF*NtoN2O*kgtoGg</f>
        <v>0.15188303991230881</v>
      </c>
      <c r="BL168" s="22">
        <f>Constants!$H75*'Activity data'!BL17*Constants!$H93*EF!$H218*MMVolatEF*NtoN2O*kgtoGg</f>
        <v>0.15410322114057187</v>
      </c>
      <c r="BM168" s="22">
        <f>Constants!$H75*'Activity data'!BM17*Constants!$H93*EF!$H218*MMVolatEF*NtoN2O*kgtoGg</f>
        <v>0.15275221037305547</v>
      </c>
      <c r="BN168" s="22">
        <f>Constants!$H75*'Activity data'!BN17*Constants!$H93*EF!$H218*MMVolatEF*NtoN2O*kgtoGg</f>
        <v>0.15108898692169739</v>
      </c>
      <c r="BO168" s="22">
        <f>Constants!$H75*'Activity data'!BO17*Constants!$H93*EF!$H218*MMVolatEF*NtoN2O*kgtoGg</f>
        <v>0.14899028797623304</v>
      </c>
      <c r="BP168" s="22">
        <f>Constants!$H75*'Activity data'!BP17*Constants!$H93*EF!$H218*MMVolatEF*NtoN2O*kgtoGg</f>
        <v>0.14678866203706492</v>
      </c>
    </row>
    <row r="169" spans="1:68" x14ac:dyDescent="0.3">
      <c r="A169" t="str">
        <f t="shared" si="58"/>
        <v>3C Aggregated and non-CO2 emissions on land</v>
      </c>
      <c r="B169" t="str">
        <f t="shared" si="62"/>
        <v>3C6 Indirect N2O from manure management (N2O)</v>
      </c>
      <c r="C169" t="str">
        <f t="shared" si="63"/>
        <v>Volatilisation</v>
      </c>
      <c r="D169" t="str">
        <f>'Activity data'!D79</f>
        <v xml:space="preserve"> - Subsistence swine</v>
      </c>
      <c r="E169" t="str">
        <f t="shared" si="61"/>
        <v>Volatilisation - Subsistence swine</v>
      </c>
      <c r="F169" t="str">
        <f t="shared" si="47"/>
        <v>N2O</v>
      </c>
      <c r="G169" t="str">
        <f t="shared" si="48"/>
        <v>Gg N2O</v>
      </c>
      <c r="H169" s="22">
        <f>Constants!$H76*'Activity data'!H18*Constants!$H94*EF!$H219*MMVolatEF*NtoN2O*kgtoGg</f>
        <v>1.1213700344412847E-2</v>
      </c>
      <c r="I169" s="22">
        <f>Constants!$H76*'Activity data'!I18*Constants!$H94*EF!$H219*MMVolatEF*NtoN2O*kgtoGg</f>
        <v>1.2251188368403802E-2</v>
      </c>
      <c r="J169" s="22">
        <f>Constants!$H76*'Activity data'!J18*Constants!$H94*EF!$H219*MMVolatEF*NtoN2O*kgtoGg</f>
        <v>1.2170249586390321E-2</v>
      </c>
      <c r="K169" s="22">
        <f>Constants!$H76*'Activity data'!K18*Constants!$H94*EF!$H219*MMVolatEF*NtoN2O*kgtoGg</f>
        <v>1.2162891515298188E-2</v>
      </c>
      <c r="L169" s="22">
        <f>Constants!$H76*'Activity data'!L18*Constants!$H94*EF!$H219*MMVolatEF*NtoN2O*kgtoGg</f>
        <v>1.1552171614651031E-2</v>
      </c>
      <c r="M169" s="22">
        <f>Constants!$H76*'Activity data'!M18*Constants!$H94*EF!$H219*MMVolatEF*NtoN2O*kgtoGg</f>
        <v>1.1662542681033047E-2</v>
      </c>
      <c r="N169" s="22">
        <f>Constants!$H76*'Activity data'!N18*Constants!$H94*EF!$H219*MMVolatEF*NtoN2O*kgtoGg</f>
        <v>1.2560227354273448E-2</v>
      </c>
      <c r="O169" s="22">
        <f>Constants!$H76*'Activity data'!O18*Constants!$H94*EF!$H219*MMVolatEF*NtoN2O*kgtoGg</f>
        <v>1.2501362785536372E-2</v>
      </c>
      <c r="P169" s="22">
        <f>Constants!$H76*'Activity data'!P18*Constants!$H94*EF!$H219*MMVolatEF*NtoN2O*kgtoGg</f>
        <v>1.2773611415945345E-2</v>
      </c>
      <c r="Q169" s="22">
        <f>Constants!$H76*'Activity data'!Q18*Constants!$H94*EF!$H219*MMVolatEF*NtoN2O*kgtoGg</f>
        <v>1.3097366543999258E-2</v>
      </c>
      <c r="R169" s="22">
        <f>Constants!$H76*'Activity data'!R18*Constants!$H94*EF!$H219*MMVolatEF*NtoN2O*kgtoGg</f>
        <v>1.2118743088745379E-2</v>
      </c>
      <c r="S169" s="22">
        <f>Constants!$H76*'Activity data'!S18*Constants!$H94*EF!$H219*MMVolatEF*NtoN2O*kgtoGg</f>
        <v>1.2346843292601547E-2</v>
      </c>
      <c r="T169" s="22">
        <f>Constants!$H76*'Activity data'!T18*Constants!$H94*EF!$H219*MMVolatEF*NtoN2O*kgtoGg</f>
        <v>1.2582301567549848E-2</v>
      </c>
      <c r="U169" s="22">
        <f>Constants!$H76*'Activity data'!U18*Constants!$H94*EF!$H219*MMVolatEF*NtoN2O*kgtoGg</f>
        <v>1.2236472226219531E-2</v>
      </c>
      <c r="V169" s="22">
        <f>Constants!$H76*'Activity data'!V18*Constants!$H94*EF!$H219*MMVolatEF*NtoN2O*kgtoGg</f>
        <v>1.2236472226219531E-2</v>
      </c>
      <c r="W169" s="22">
        <f>Constants!$H76*'Activity data'!W18*Constants!$H94*EF!$H219*MMVolatEF*NtoN2O*kgtoGg</f>
        <v>1.2148175373113919E-2</v>
      </c>
      <c r="X169" s="22">
        <f>Constants!$H76*'Activity data'!X18*Constants!$H94*EF!$H219*MMVolatEF*NtoN2O*kgtoGg</f>
        <v>1.1934791311442018E-2</v>
      </c>
      <c r="Y169" s="22">
        <f>Constants!$H76*'Activity data'!Y18*Constants!$H94*EF!$H219*MMVolatEF*NtoN2O*kgtoGg</f>
        <v>1.2148175373113919E-2</v>
      </c>
      <c r="Z169" s="22">
        <f>Constants!$H76*'Activity data'!Z18*Constants!$H94*EF!$H219*MMVolatEF*NtoN2O*kgtoGg</f>
        <v>1.1883284813797081E-2</v>
      </c>
      <c r="AA169" s="22">
        <f>Constants!$H76*'Activity data'!AA18*Constants!$H94*EF!$H219*MMVolatEF*NtoN2O*kgtoGg</f>
        <v>1.186856867161281E-2</v>
      </c>
      <c r="AB169" s="22">
        <f>Constants!$H76*'Activity data'!AB18*Constants!$H94*EF!$H219*MMVolatEF*NtoN2O*kgtoGg</f>
        <v>1.1728765320862257E-2</v>
      </c>
      <c r="AC169" s="22">
        <f>Constants!$H76*'Activity data'!AC18*Constants!$H94*EF!$H219*MMVolatEF*NtoN2O*kgtoGg</f>
        <v>1.1655184609940911E-2</v>
      </c>
      <c r="AD169" s="22">
        <f>Constants!$H76*'Activity data'!AD18*Constants!$H94*EF!$H219*MMVolatEF*NtoN2O*kgtoGg</f>
        <v>1.2724633182830876E-2</v>
      </c>
      <c r="AE169" s="22">
        <f>Constants!$H76*'Activity data'!AE18*Constants!$H94*EF!$H219*MMVolatEF*NtoN2O*kgtoGg</f>
        <v>1.2655466337890209E-2</v>
      </c>
      <c r="AF169" s="22">
        <f>Constants!$H76*'Activity data'!AF18*Constants!$H94*EF!$H219*MMVolatEF*NtoN2O*kgtoGg</f>
        <v>1.2661143337946407E-2</v>
      </c>
      <c r="AG169" s="22">
        <f>Constants!$H76*'Activity data'!AG18*Constants!$H94*EF!$H219*MMVolatEF*NtoN2O*kgtoGg</f>
        <v>1.2544904339887072E-2</v>
      </c>
      <c r="AH169" s="22">
        <f>Constants!$H76*'Activity data'!AH18*Constants!$H94*EF!$H219*MMVolatEF*NtoN2O*kgtoGg</f>
        <v>1.2355059245839611E-2</v>
      </c>
      <c r="AI169" s="22">
        <f>Constants!$H76*'Activity data'!AI18*Constants!$H94*EF!$H219*MMVolatEF*NtoN2O*kgtoGg</f>
        <v>1.2094642930917434E-2</v>
      </c>
      <c r="AJ169" s="22">
        <f>Constants!$H76*'Activity data'!AJ18*Constants!$H94*EF!$H219*MMVolatEF*NtoN2O*kgtoGg</f>
        <v>1.1905551806853844E-2</v>
      </c>
      <c r="AK169" s="22">
        <f>Constants!$H76*'Activity data'!AK18*Constants!$H94*EF!$H219*MMVolatEF*NtoN2O*kgtoGg</f>
        <v>1.1733192711380723E-2</v>
      </c>
      <c r="AL169" s="22">
        <f>Constants!$H76*'Activity data'!AL18*Constants!$H94*EF!$H219*MMVolatEF*NtoN2O*kgtoGg</f>
        <v>1.0359821368376874E-2</v>
      </c>
      <c r="AM169" s="22">
        <f>Constants!$H76*'Activity data'!AM18*Constants!$H94*EF!$H219*MMVolatEF*NtoN2O*kgtoGg</f>
        <v>1.049082832504853E-2</v>
      </c>
      <c r="AN169" s="22">
        <f>Constants!$H76*'Activity data'!AN18*Constants!$H94*EF!$H219*MMVolatEF*NtoN2O*kgtoGg</f>
        <v>1.0771943536752097E-2</v>
      </c>
      <c r="AO169" s="22">
        <f>Constants!$H76*'Activity data'!AO18*Constants!$H94*EF!$H219*MMVolatEF*NtoN2O*kgtoGg</f>
        <v>1.0797467337543365E-2</v>
      </c>
      <c r="AP169" s="22">
        <f>Constants!$H76*'Activity data'!AP18*Constants!$H94*EF!$H219*MMVolatEF*NtoN2O*kgtoGg</f>
        <v>1.0852740546366932E-2</v>
      </c>
      <c r="AQ169" s="22">
        <f>Constants!$H76*'Activity data'!AQ18*Constants!$H94*EF!$H219*MMVolatEF*NtoN2O*kgtoGg</f>
        <v>1.0945674252888513E-2</v>
      </c>
      <c r="AR169" s="22">
        <f>Constants!$H76*'Activity data'!AR18*Constants!$H94*EF!$H219*MMVolatEF*NtoN2O*kgtoGg</f>
        <v>1.1062287478995693E-2</v>
      </c>
      <c r="AS169" s="22">
        <f>Constants!$H76*'Activity data'!AS18*Constants!$H94*EF!$H219*MMVolatEF*NtoN2O*kgtoGg</f>
        <v>1.1205187101625038E-2</v>
      </c>
      <c r="AT169" s="22">
        <f>Constants!$H76*'Activity data'!AT18*Constants!$H94*EF!$H219*MMVolatEF*NtoN2O*kgtoGg</f>
        <v>1.1349757792199721E-2</v>
      </c>
      <c r="AU169" s="22">
        <f>Constants!$H76*'Activity data'!AU18*Constants!$H94*EF!$H219*MMVolatEF*NtoN2O*kgtoGg</f>
        <v>1.1516671452842603E-2</v>
      </c>
      <c r="AV169" s="22">
        <f>Constants!$H76*'Activity data'!AV18*Constants!$H94*EF!$H219*MMVolatEF*NtoN2O*kgtoGg</f>
        <v>1.1682433079282552E-2</v>
      </c>
      <c r="AW169" s="22">
        <f>Constants!$H76*'Activity data'!AW18*Constants!$H94*EF!$H219*MMVolatEF*NtoN2O*kgtoGg</f>
        <v>1.1888518060494371E-2</v>
      </c>
      <c r="AX169" s="22">
        <f>Constants!$H76*'Activity data'!AX18*Constants!$H94*EF!$H219*MMVolatEF*NtoN2O*kgtoGg</f>
        <v>1.2078234337742711E-2</v>
      </c>
      <c r="AY169" s="22">
        <f>Constants!$H76*'Activity data'!AY18*Constants!$H94*EF!$H219*MMVolatEF*NtoN2O*kgtoGg</f>
        <v>1.2280107624497444E-2</v>
      </c>
      <c r="AZ169" s="22">
        <f>Constants!$H76*'Activity data'!AZ18*Constants!$H94*EF!$H219*MMVolatEF*NtoN2O*kgtoGg</f>
        <v>1.2526366698600652E-2</v>
      </c>
      <c r="BA169" s="22">
        <f>Constants!$H76*'Activity data'!BA18*Constants!$H94*EF!$H219*MMVolatEF*NtoN2O*kgtoGg</f>
        <v>1.2737822297620535E-2</v>
      </c>
      <c r="BB169" s="22">
        <f>Constants!$H76*'Activity data'!BB18*Constants!$H94*EF!$H219*MMVolatEF*NtoN2O*kgtoGg</f>
        <v>1.2966056077955363E-2</v>
      </c>
      <c r="BC169" s="22">
        <f>Constants!$H76*'Activity data'!BC18*Constants!$H94*EF!$H219*MMVolatEF*NtoN2O*kgtoGg</f>
        <v>1.3213765172968019E-2</v>
      </c>
      <c r="BD169" s="22">
        <f>Constants!$H76*'Activity data'!BD18*Constants!$H94*EF!$H219*MMVolatEF*NtoN2O*kgtoGg</f>
        <v>1.3420410703080012E-2</v>
      </c>
      <c r="BE169" s="22">
        <f>Constants!$H76*'Activity data'!BE18*Constants!$H94*EF!$H219*MMVolatEF*NtoN2O*kgtoGg</f>
        <v>1.3614199852725929E-2</v>
      </c>
      <c r="BF169" s="22">
        <f>Constants!$H76*'Activity data'!BF18*Constants!$H94*EF!$H219*MMVolatEF*NtoN2O*kgtoGg</f>
        <v>1.3796695571363754E-2</v>
      </c>
      <c r="BG169" s="22">
        <f>Constants!$H76*'Activity data'!BG18*Constants!$H94*EF!$H219*MMVolatEF*NtoN2O*kgtoGg</f>
        <v>1.4007416229853083E-2</v>
      </c>
      <c r="BH169" s="22">
        <f>Constants!$H76*'Activity data'!BH18*Constants!$H94*EF!$H219*MMVolatEF*NtoN2O*kgtoGg</f>
        <v>1.419018923722911E-2</v>
      </c>
      <c r="BI169" s="22">
        <f>Constants!$H76*'Activity data'!BI18*Constants!$H94*EF!$H219*MMVolatEF*NtoN2O*kgtoGg</f>
        <v>1.4378857410840086E-2</v>
      </c>
      <c r="BJ169" s="22">
        <f>Constants!$H76*'Activity data'!BJ18*Constants!$H94*EF!$H219*MMVolatEF*NtoN2O*kgtoGg</f>
        <v>1.4574843831401781E-2</v>
      </c>
      <c r="BK169" s="22">
        <f>Constants!$H76*'Activity data'!BK18*Constants!$H94*EF!$H219*MMVolatEF*NtoN2O*kgtoGg</f>
        <v>1.4780600778240808E-2</v>
      </c>
      <c r="BL169" s="22">
        <f>Constants!$H76*'Activity data'!BL18*Constants!$H94*EF!$H219*MMVolatEF*NtoN2O*kgtoGg</f>
        <v>1.4996659216426185E-2</v>
      </c>
      <c r="BM169" s="22">
        <f>Constants!$H76*'Activity data'!BM18*Constants!$H94*EF!$H219*MMVolatEF*NtoN2O*kgtoGg</f>
        <v>1.4865184689623886E-2</v>
      </c>
      <c r="BN169" s="22">
        <f>Constants!$H76*'Activity data'!BN18*Constants!$H94*EF!$H219*MMVolatEF*NtoN2O*kgtoGg</f>
        <v>1.4703326974281053E-2</v>
      </c>
      <c r="BO169" s="22">
        <f>Constants!$H76*'Activity data'!BO18*Constants!$H94*EF!$H219*MMVolatEF*NtoN2O*kgtoGg</f>
        <v>1.4499090666629237E-2</v>
      </c>
      <c r="BP169" s="22">
        <f>Constants!$H76*'Activity data'!BP18*Constants!$H94*EF!$H219*MMVolatEF*NtoN2O*kgtoGg</f>
        <v>1.4284837948954819E-2</v>
      </c>
    </row>
    <row r="170" spans="1:68" x14ac:dyDescent="0.3">
      <c r="A170" t="str">
        <f t="shared" si="58"/>
        <v>3C Aggregated and non-CO2 emissions on land</v>
      </c>
      <c r="B170" t="str">
        <f t="shared" si="62"/>
        <v>3C6 Indirect N2O from manure management (N2O)</v>
      </c>
      <c r="C170" t="str">
        <f t="shared" si="63"/>
        <v>Volatilisation</v>
      </c>
      <c r="D170" t="str">
        <f>'Activity data'!D80</f>
        <v xml:space="preserve"> - Commercial layers</v>
      </c>
      <c r="E170" t="str">
        <f t="shared" si="61"/>
        <v>Volatilisation - Commercial layers</v>
      </c>
      <c r="F170" t="str">
        <f t="shared" si="47"/>
        <v>N2O</v>
      </c>
      <c r="G170" t="str">
        <f t="shared" si="48"/>
        <v>Gg N2O</v>
      </c>
      <c r="H170" s="22">
        <f>Constants!$H77*'Activity data'!H19*Constants!$H95*EF!$H220*MMVolatEF*NtoN2O*kgtoGg</f>
        <v>3.9901922234143378E-2</v>
      </c>
      <c r="I170" s="22">
        <f>Constants!$H77*'Activity data'!I19*Constants!$H95*EF!$H220*MMVolatEF*NtoN2O*kgtoGg</f>
        <v>3.8764119662049575E-2</v>
      </c>
      <c r="J170" s="22">
        <f>Constants!$H77*'Activity data'!J19*Constants!$H95*EF!$H220*MMVolatEF*NtoN2O*kgtoGg</f>
        <v>3.6765071039765375E-2</v>
      </c>
      <c r="K170" s="22">
        <f>Constants!$H77*'Activity data'!K19*Constants!$H95*EF!$H220*MMVolatEF*NtoN2O*kgtoGg</f>
        <v>3.6187005010116235E-2</v>
      </c>
      <c r="L170" s="22">
        <f>Constants!$H77*'Activity data'!L19*Constants!$H95*EF!$H220*MMVolatEF*NtoN2O*kgtoGg</f>
        <v>3.4613000583397703E-2</v>
      </c>
      <c r="M170" s="22">
        <f>Constants!$H77*'Activity data'!M19*Constants!$H95*EF!$H220*MMVolatEF*NtoN2O*kgtoGg</f>
        <v>3.7767091699964048E-2</v>
      </c>
      <c r="N170" s="22">
        <f>Constants!$H77*'Activity data'!N19*Constants!$H95*EF!$H220*MMVolatEF*NtoN2O*kgtoGg</f>
        <v>3.9893574992700236E-2</v>
      </c>
      <c r="O170" s="22">
        <f>Constants!$H77*'Activity data'!O19*Constants!$H95*EF!$H220*MMVolatEF*NtoN2O*kgtoGg</f>
        <v>4.0024759793687768E-2</v>
      </c>
      <c r="P170" s="22">
        <f>Constants!$H77*'Activity data'!P19*Constants!$H95*EF!$H220*MMVolatEF*NtoN2O*kgtoGg</f>
        <v>4.5064502181051763E-2</v>
      </c>
      <c r="Q170" s="22">
        <f>Constants!$H77*'Activity data'!Q19*Constants!$H95*EF!$H220*MMVolatEF*NtoN2O*kgtoGg</f>
        <v>4.8313668520703602E-2</v>
      </c>
      <c r="R170" s="22">
        <f>Constants!$H77*'Activity data'!R19*Constants!$H95*EF!$H220*MMVolatEF*NtoN2O*kgtoGg</f>
        <v>4.7289979406797474E-2</v>
      </c>
      <c r="S170" s="22">
        <f>Constants!$H77*'Activity data'!S19*Constants!$H95*EF!$H220*MMVolatEF*NtoN2O*kgtoGg</f>
        <v>4.8551507364098793E-2</v>
      </c>
      <c r="T170" s="22">
        <f>Constants!$H77*'Activity data'!T19*Constants!$H95*EF!$H220*MMVolatEF*NtoN2O*kgtoGg</f>
        <v>4.8170447709819791E-2</v>
      </c>
      <c r="U170" s="22">
        <f>Constants!$H77*'Activity data'!U19*Constants!$H95*EF!$H220*MMVolatEF*NtoN2O*kgtoGg</f>
        <v>4.6247362930646907E-2</v>
      </c>
      <c r="V170" s="22">
        <f>Constants!$H77*'Activity data'!V19*Constants!$H95*EF!$H220*MMVolatEF*NtoN2O*kgtoGg</f>
        <v>4.7924340253760342E-2</v>
      </c>
      <c r="W170" s="22">
        <f>Constants!$H77*'Activity data'!W19*Constants!$H95*EF!$H220*MMVolatEF*NtoN2O*kgtoGg</f>
        <v>5.0814203111068781E-2</v>
      </c>
      <c r="X170" s="22">
        <f>Constants!$H77*'Activity data'!X19*Constants!$H95*EF!$H220*MMVolatEF*NtoN2O*kgtoGg</f>
        <v>5.6079445071930599E-2</v>
      </c>
      <c r="Y170" s="22">
        <f>Constants!$H77*'Activity data'!Y19*Constants!$H95*EF!$H220*MMVolatEF*NtoN2O*kgtoGg</f>
        <v>6.2061568790031385E-2</v>
      </c>
      <c r="Z170" s="22">
        <f>Constants!$H77*'Activity data'!Z19*Constants!$H95*EF!$H220*MMVolatEF*NtoN2O*kgtoGg</f>
        <v>6.2878912050452387E-2</v>
      </c>
      <c r="AA170" s="22">
        <f>Constants!$H77*'Activity data'!AA19*Constants!$H95*EF!$H220*MMVolatEF*NtoN2O*kgtoGg</f>
        <v>6.0560791025763831E-2</v>
      </c>
      <c r="AB170" s="22">
        <f>Constants!$H77*'Activity data'!AB19*Constants!$H95*EF!$H220*MMVolatEF*NtoN2O*kgtoGg</f>
        <v>6.291984308956225E-2</v>
      </c>
      <c r="AC170" s="22">
        <f>Constants!$H77*'Activity data'!AC19*Constants!$H95*EF!$H220*MMVolatEF*NtoN2O*kgtoGg</f>
        <v>6.5824054338964127E-2</v>
      </c>
      <c r="AD170" s="22">
        <f>Constants!$H77*'Activity data'!AD19*Constants!$H95*EF!$H220*MMVolatEF*NtoN2O*kgtoGg</f>
        <v>6.4453339767617107E-2</v>
      </c>
      <c r="AE170" s="22">
        <f>Constants!$H77*'Activity data'!AE19*Constants!$H95*EF!$H220*MMVolatEF*NtoN2O*kgtoGg</f>
        <v>6.5763803942104543E-2</v>
      </c>
      <c r="AF170" s="22">
        <f>Constants!$H77*'Activity data'!AF19*Constants!$H95*EF!$H220*MMVolatEF*NtoN2O*kgtoGg</f>
        <v>6.7295612361813625E-2</v>
      </c>
      <c r="AG170" s="22">
        <f>Constants!$H77*'Activity data'!AG19*Constants!$H95*EF!$H220*MMVolatEF*NtoN2O*kgtoGg</f>
        <v>6.8471619369899747E-2</v>
      </c>
      <c r="AH170" s="22">
        <f>Constants!$H77*'Activity data'!AH19*Constants!$H95*EF!$H220*MMVolatEF*NtoN2O*kgtoGg</f>
        <v>6.94156577655035E-2</v>
      </c>
      <c r="AI170" s="22">
        <f>Constants!$H77*'Activity data'!AI19*Constants!$H95*EF!$H220*MMVolatEF*NtoN2O*kgtoGg</f>
        <v>7.0122113289878316E-2</v>
      </c>
      <c r="AJ170" s="22">
        <f>Constants!$H77*'Activity data'!AJ19*Constants!$H95*EF!$H220*MMVolatEF*NtoN2O*kgtoGg</f>
        <v>7.1027984276732931E-2</v>
      </c>
      <c r="AK170" s="22">
        <f>Constants!$H77*'Activity data'!AK19*Constants!$H95*EF!$H220*MMVolatEF*NtoN2O*kgtoGg</f>
        <v>7.1969839340941838E-2</v>
      </c>
      <c r="AL170" s="22">
        <f>Constants!$H77*'Activity data'!AL19*Constants!$H95*EF!$H220*MMVolatEF*NtoN2O*kgtoGg</f>
        <v>6.8766563459968802E-2</v>
      </c>
      <c r="AM170" s="22">
        <f>Constants!$H77*'Activity data'!AM19*Constants!$H95*EF!$H220*MMVolatEF*NtoN2O*kgtoGg</f>
        <v>7.0478152358708523E-2</v>
      </c>
      <c r="AN170" s="22">
        <f>Constants!$H77*'Activity data'!AN19*Constants!$H95*EF!$H220*MMVolatEF*NtoN2O*kgtoGg</f>
        <v>7.2759128000714796E-2</v>
      </c>
      <c r="AO170" s="22">
        <f>Constants!$H77*'Activity data'!AO19*Constants!$H95*EF!$H220*MMVolatEF*NtoN2O*kgtoGg</f>
        <v>7.4154122533566028E-2</v>
      </c>
      <c r="AP170" s="22">
        <f>Constants!$H77*'Activity data'!AP19*Constants!$H95*EF!$H220*MMVolatEF*NtoN2O*kgtoGg</f>
        <v>7.5674972830257564E-2</v>
      </c>
      <c r="AQ170" s="22">
        <f>Constants!$H77*'Activity data'!AQ19*Constants!$H95*EF!$H220*MMVolatEF*NtoN2O*kgtoGg</f>
        <v>7.7360161163039912E-2</v>
      </c>
      <c r="AR170" s="22">
        <f>Constants!$H77*'Activity data'!AR19*Constants!$H95*EF!$H220*MMVolatEF*NtoN2O*kgtoGg</f>
        <v>7.9100740420260676E-2</v>
      </c>
      <c r="AS170" s="22">
        <f>Constants!$H77*'Activity data'!AS19*Constants!$H95*EF!$H220*MMVolatEF*NtoN2O*kgtoGg</f>
        <v>8.0976740364442315E-2</v>
      </c>
      <c r="AT170" s="22">
        <f>Constants!$H77*'Activity data'!AT19*Constants!$H95*EF!$H220*MMVolatEF*NtoN2O*kgtoGg</f>
        <v>8.2894928844752261E-2</v>
      </c>
      <c r="AU170" s="22">
        <f>Constants!$H77*'Activity data'!AU19*Constants!$H95*EF!$H220*MMVolatEF*NtoN2O*kgtoGg</f>
        <v>8.4943030682698137E-2</v>
      </c>
      <c r="AV170" s="22">
        <f>Constants!$H77*'Activity data'!AV19*Constants!$H95*EF!$H220*MMVolatEF*NtoN2O*kgtoGg</f>
        <v>8.7027608507248444E-2</v>
      </c>
      <c r="AW170" s="22">
        <f>Constants!$H77*'Activity data'!AW19*Constants!$H95*EF!$H220*MMVolatEF*NtoN2O*kgtoGg</f>
        <v>8.9276729497460336E-2</v>
      </c>
      <c r="AX170" s="22">
        <f>Constants!$H77*'Activity data'!AX19*Constants!$H95*EF!$H220*MMVolatEF*NtoN2O*kgtoGg</f>
        <v>9.1502625848092475E-2</v>
      </c>
      <c r="AY170" s="22">
        <f>Constants!$H77*'Activity data'!AY19*Constants!$H95*EF!$H220*MMVolatEF*NtoN2O*kgtoGg</f>
        <v>9.3831227517320093E-2</v>
      </c>
      <c r="AZ170" s="22">
        <f>Constants!$H77*'Activity data'!AZ19*Constants!$H95*EF!$H220*MMVolatEF*NtoN2O*kgtoGg</f>
        <v>9.6415651387216014E-2</v>
      </c>
      <c r="BA170" s="22">
        <f>Constants!$H77*'Activity data'!BA19*Constants!$H95*EF!$H220*MMVolatEF*NtoN2O*kgtoGg</f>
        <v>9.8896773571356525E-2</v>
      </c>
      <c r="BB170" s="22">
        <f>Constants!$H77*'Activity data'!BB19*Constants!$H95*EF!$H220*MMVolatEF*NtoN2O*kgtoGg</f>
        <v>0.10146265551465955</v>
      </c>
      <c r="BC170" s="22">
        <f>Constants!$H77*'Activity data'!BC19*Constants!$H95*EF!$H220*MMVolatEF*NtoN2O*kgtoGg</f>
        <v>0.10418290059990712</v>
      </c>
      <c r="BD170" s="22">
        <f>Constants!$H77*'Activity data'!BD19*Constants!$H95*EF!$H220*MMVolatEF*NtoN2O*kgtoGg</f>
        <v>0.10676300622740972</v>
      </c>
      <c r="BE170" s="22">
        <f>Constants!$H77*'Activity data'!BE19*Constants!$H95*EF!$H220*MMVolatEF*NtoN2O*kgtoGg</f>
        <v>0.1093360798195923</v>
      </c>
      <c r="BF170" s="22">
        <f>Constants!$H77*'Activity data'!BF19*Constants!$H95*EF!$H220*MMVolatEF*NtoN2O*kgtoGg</f>
        <v>0.11190804099965344</v>
      </c>
      <c r="BG170" s="22">
        <f>Constants!$H77*'Activity data'!BG19*Constants!$H95*EF!$H220*MMVolatEF*NtoN2O*kgtoGg</f>
        <v>0.11463676938939842</v>
      </c>
      <c r="BH170" s="22">
        <f>Constants!$H77*'Activity data'!BH19*Constants!$H95*EF!$H220*MMVolatEF*NtoN2O*kgtoGg</f>
        <v>0.11727861184981632</v>
      </c>
      <c r="BI170" s="22">
        <f>Constants!$H77*'Activity data'!BI19*Constants!$H95*EF!$H220*MMVolatEF*NtoN2O*kgtoGg</f>
        <v>0.12001194210770205</v>
      </c>
      <c r="BJ170" s="22">
        <f>Constants!$H77*'Activity data'!BJ19*Constants!$H95*EF!$H220*MMVolatEF*NtoN2O*kgtoGg</f>
        <v>0.12284817048623448</v>
      </c>
      <c r="BK170" s="22">
        <f>Constants!$H77*'Activity data'!BK19*Constants!$H95*EF!$H220*MMVolatEF*NtoN2O*kgtoGg</f>
        <v>0.12580525852431573</v>
      </c>
      <c r="BL170" s="22">
        <f>Constants!$H77*'Activity data'!BL19*Constants!$H95*EF!$H220*MMVolatEF*NtoN2O*kgtoGg</f>
        <v>0.12884131843333302</v>
      </c>
      <c r="BM170" s="22">
        <f>Constants!$H77*'Activity data'!BM19*Constants!$H95*EF!$H220*MMVolatEF*NtoN2O*kgtoGg</f>
        <v>0.12990474262387622</v>
      </c>
      <c r="BN170" s="22">
        <f>Constants!$H77*'Activity data'!BN19*Constants!$H95*EF!$H220*MMVolatEF*NtoN2O*kgtoGg</f>
        <v>0.13078551683241871</v>
      </c>
      <c r="BO170" s="22">
        <f>Constants!$H77*'Activity data'!BO19*Constants!$H95*EF!$H220*MMVolatEF*NtoN2O*kgtoGg</f>
        <v>0.13140059443899127</v>
      </c>
      <c r="BP170" s="22">
        <f>Constants!$H77*'Activity data'!BP19*Constants!$H95*EF!$H220*MMVolatEF*NtoN2O*kgtoGg</f>
        <v>0.13193699884155385</v>
      </c>
    </row>
    <row r="171" spans="1:68" x14ac:dyDescent="0.3">
      <c r="A171" t="str">
        <f t="shared" si="58"/>
        <v>3C Aggregated and non-CO2 emissions on land</v>
      </c>
      <c r="B171" t="str">
        <f t="shared" si="62"/>
        <v>3C6 Indirect N2O from manure management (N2O)</v>
      </c>
      <c r="C171" t="str">
        <f t="shared" si="63"/>
        <v>Volatilisation</v>
      </c>
      <c r="D171" t="str">
        <f>'Activity data'!D81</f>
        <v xml:space="preserve"> - Commercial broilers</v>
      </c>
      <c r="E171" t="str">
        <f t="shared" si="61"/>
        <v>Volatilisation - Commercial broilers</v>
      </c>
      <c r="F171" t="str">
        <f t="shared" si="47"/>
        <v>N2O</v>
      </c>
      <c r="G171" t="str">
        <f t="shared" si="48"/>
        <v>Gg N2O</v>
      </c>
      <c r="H171" s="22">
        <f>Constants!$H78*'Activity data'!H20*Constants!$H96*EF!$H221*MMVolatEF*NtoN2O*kgtoGg</f>
        <v>0.13300481081505974</v>
      </c>
      <c r="I171" s="22">
        <f>Constants!$H78*'Activity data'!I20*Constants!$H96*EF!$H221*MMVolatEF*NtoN2O*kgtoGg</f>
        <v>0.12502452232752509</v>
      </c>
      <c r="J171" s="22">
        <f>Constants!$H78*'Activity data'!J20*Constants!$H96*EF!$H221*MMVolatEF*NtoN2O*kgtoGg</f>
        <v>0.11815711721981632</v>
      </c>
      <c r="K171" s="22">
        <f>Constants!$H78*'Activity data'!K20*Constants!$H96*EF!$H221*MMVolatEF*NtoN2O*kgtoGg</f>
        <v>0.13288475431749616</v>
      </c>
      <c r="L171" s="22">
        <f>Constants!$H78*'Activity data'!L20*Constants!$H96*EF!$H221*MMVolatEF*NtoN2O*kgtoGg</f>
        <v>0.13163846288812139</v>
      </c>
      <c r="M171" s="22">
        <f>Constants!$H78*'Activity data'!M20*Constants!$H96*EF!$H221*MMVolatEF*NtoN2O*kgtoGg</f>
        <v>0.15067946452756478</v>
      </c>
      <c r="N171" s="22">
        <f>Constants!$H78*'Activity data'!N20*Constants!$H96*EF!$H221*MMVolatEF*NtoN2O*kgtoGg</f>
        <v>0.17520137856774748</v>
      </c>
      <c r="O171" s="22">
        <f>Constants!$H78*'Activity data'!O20*Constants!$H96*EF!$H221*MMVolatEF*NtoN2O*kgtoGg</f>
        <v>0.17833497655174868</v>
      </c>
      <c r="P171" s="22">
        <f>Constants!$H78*'Activity data'!P20*Constants!$H96*EF!$H221*MMVolatEF*NtoN2O*kgtoGg</f>
        <v>0.19540750250200264</v>
      </c>
      <c r="Q171" s="22">
        <f>Constants!$H78*'Activity data'!Q20*Constants!$H96*EF!$H221*MMVolatEF*NtoN2O*kgtoGg</f>
        <v>0.20400324067875486</v>
      </c>
      <c r="R171" s="22">
        <f>Constants!$H78*'Activity data'!R20*Constants!$H96*EF!$H221*MMVolatEF*NtoN2O*kgtoGg</f>
        <v>0.2194924541960066</v>
      </c>
      <c r="S171" s="22">
        <f>Constants!$H78*'Activity data'!S20*Constants!$H96*EF!$H221*MMVolatEF*NtoN2O*kgtoGg</f>
        <v>0.21194302789750966</v>
      </c>
      <c r="T171" s="22">
        <f>Constants!$H78*'Activity data'!T20*Constants!$H96*EF!$H221*MMVolatEF*NtoN2O*kgtoGg</f>
        <v>0.23490162161460634</v>
      </c>
      <c r="U171" s="22">
        <f>Constants!$H78*'Activity data'!U20*Constants!$H96*EF!$H221*MMVolatEF*NtoN2O*kgtoGg</f>
        <v>0.22342690340629309</v>
      </c>
      <c r="V171" s="22">
        <f>Constants!$H78*'Activity data'!V20*Constants!$H96*EF!$H221*MMVolatEF*NtoN2O*kgtoGg</f>
        <v>0.22882062376153647</v>
      </c>
      <c r="W171" s="22">
        <f>Constants!$H78*'Activity data'!W20*Constants!$H96*EF!$H221*MMVolatEF*NtoN2O*kgtoGg</f>
        <v>0.25318423090083292</v>
      </c>
      <c r="X171" s="22">
        <f>Constants!$H78*'Activity data'!X20*Constants!$H96*EF!$H221*MMVolatEF*NtoN2O*kgtoGg</f>
        <v>0.27080419841374809</v>
      </c>
      <c r="Y171" s="22">
        <f>Constants!$H78*'Activity data'!Y20*Constants!$H96*EF!$H221*MMVolatEF*NtoN2O*kgtoGg</f>
        <v>0.28333542117093263</v>
      </c>
      <c r="Z171" s="22">
        <f>Constants!$H78*'Activity data'!Z20*Constants!$H96*EF!$H221*MMVolatEF*NtoN2O*kgtoGg</f>
        <v>0.30167528975381169</v>
      </c>
      <c r="AA171" s="22">
        <f>Constants!$H78*'Activity data'!AA20*Constants!$H96*EF!$H221*MMVolatEF*NtoN2O*kgtoGg</f>
        <v>0.28466366211683397</v>
      </c>
      <c r="AB171" s="22">
        <f>Constants!$H78*'Activity data'!AB20*Constants!$H96*EF!$H221*MMVolatEF*NtoN2O*kgtoGg</f>
        <v>0.29182318020337894</v>
      </c>
      <c r="AC171" s="22">
        <f>Constants!$H78*'Activity data'!AC20*Constants!$H96*EF!$H221*MMVolatEF*NtoN2O*kgtoGg</f>
        <v>0.30182167573697893</v>
      </c>
      <c r="AD171" s="22">
        <f>Constants!$H78*'Activity data'!AD20*Constants!$H96*EF!$H221*MMVolatEF*NtoN2O*kgtoGg</f>
        <v>0.31034319165291718</v>
      </c>
      <c r="AE171" s="22">
        <f>Constants!$H78*'Activity data'!AE20*Constants!$H96*EF!$H221*MMVolatEF*NtoN2O*kgtoGg</f>
        <v>0.31442985679016972</v>
      </c>
      <c r="AF171" s="22">
        <f>Constants!$H78*'Activity data'!AF20*Constants!$H96*EF!$H221*MMVolatEF*NtoN2O*kgtoGg</f>
        <v>0.32099421325528477</v>
      </c>
      <c r="AG171" s="22">
        <f>Constants!$H78*'Activity data'!AG20*Constants!$H96*EF!$H221*MMVolatEF*NtoN2O*kgtoGg</f>
        <v>0.3228790317815291</v>
      </c>
      <c r="AH171" s="22">
        <f>Constants!$H78*'Activity data'!AH20*Constants!$H96*EF!$H221*MMVolatEF*NtoN2O*kgtoGg</f>
        <v>0.32172327535887091</v>
      </c>
      <c r="AI171" s="22">
        <f>Constants!$H78*'Activity data'!AI20*Constants!$H96*EF!$H221*MMVolatEF*NtoN2O*kgtoGg</f>
        <v>0.31753924052538912</v>
      </c>
      <c r="AJ171" s="22">
        <f>Constants!$H78*'Activity data'!AJ20*Constants!$H96*EF!$H221*MMVolatEF*NtoN2O*kgtoGg</f>
        <v>0.31577785743754239</v>
      </c>
      <c r="AK171" s="22">
        <f>Constants!$H78*'Activity data'!AK20*Constants!$H96*EF!$H221*MMVolatEF*NtoN2O*kgtoGg</f>
        <v>0.31441607582114939</v>
      </c>
      <c r="AL171" s="22">
        <f>Constants!$H78*'Activity data'!AL20*Constants!$H96*EF!$H221*MMVolatEF*NtoN2O*kgtoGg</f>
        <v>0.2650364312253965</v>
      </c>
      <c r="AM171" s="22">
        <f>Constants!$H78*'Activity data'!AM20*Constants!$H96*EF!$H221*MMVolatEF*NtoN2O*kgtoGg</f>
        <v>0.27553316275566697</v>
      </c>
      <c r="AN171" s="22">
        <f>Constants!$H78*'Activity data'!AN20*Constants!$H96*EF!$H221*MMVolatEF*NtoN2O*kgtoGg</f>
        <v>0.29228527136368948</v>
      </c>
      <c r="AO171" s="22">
        <f>Constants!$H78*'Activity data'!AO20*Constants!$H96*EF!$H221*MMVolatEF*NtoN2O*kgtoGg</f>
        <v>0.29874340186404968</v>
      </c>
      <c r="AP171" s="22">
        <f>Constants!$H78*'Activity data'!AP20*Constants!$H96*EF!$H221*MMVolatEF*NtoN2O*kgtoGg</f>
        <v>0.30647179876243097</v>
      </c>
      <c r="AQ171" s="22">
        <f>Constants!$H78*'Activity data'!AQ20*Constants!$H96*EF!$H221*MMVolatEF*NtoN2O*kgtoGg</f>
        <v>0.3158631034162086</v>
      </c>
      <c r="AR171" s="22">
        <f>Constants!$H78*'Activity data'!AR20*Constants!$H96*EF!$H221*MMVolatEF*NtoN2O*kgtoGg</f>
        <v>0.32664711376847955</v>
      </c>
      <c r="AS171" s="22">
        <f>Constants!$H78*'Activity data'!AS20*Constants!$H96*EF!$H221*MMVolatEF*NtoN2O*kgtoGg</f>
        <v>0.3387235871621958</v>
      </c>
      <c r="AT171" s="22">
        <f>Constants!$H78*'Activity data'!AT20*Constants!$H96*EF!$H221*MMVolatEF*NtoN2O*kgtoGg</f>
        <v>0.35105651101096136</v>
      </c>
      <c r="AU171" s="22">
        <f>Constants!$H78*'Activity data'!AU20*Constants!$H96*EF!$H221*MMVolatEF*NtoN2O*kgtoGg</f>
        <v>0.36458195379680847</v>
      </c>
      <c r="AV171" s="22">
        <f>Constants!$H78*'Activity data'!AV20*Constants!$H96*EF!$H221*MMVolatEF*NtoN2O*kgtoGg</f>
        <v>0.37828081857860674</v>
      </c>
      <c r="AW171" s="22">
        <f>Constants!$H78*'Activity data'!AW20*Constants!$H96*EF!$H221*MMVolatEF*NtoN2O*kgtoGg</f>
        <v>0.39427261879187497</v>
      </c>
      <c r="AX171" s="22">
        <f>Constants!$H78*'Activity data'!AX20*Constants!$H96*EF!$H221*MMVolatEF*NtoN2O*kgtoGg</f>
        <v>0.40979186242957388</v>
      </c>
      <c r="AY171" s="22">
        <f>Constants!$H78*'Activity data'!AY20*Constants!$H96*EF!$H221*MMVolatEF*NtoN2O*kgtoGg</f>
        <v>0.42616228566496256</v>
      </c>
      <c r="AZ171" s="22">
        <f>Constants!$H78*'Activity data'!AZ20*Constants!$H96*EF!$H221*MMVolatEF*NtoN2O*kgtoGg</f>
        <v>0.44495226630702778</v>
      </c>
      <c r="BA171" s="22">
        <f>Constants!$H78*'Activity data'!BA20*Constants!$H96*EF!$H221*MMVolatEF*NtoN2O*kgtoGg</f>
        <v>0.46242618458210583</v>
      </c>
      <c r="BB171" s="22">
        <f>Constants!$H78*'Activity data'!BB20*Constants!$H96*EF!$H221*MMVolatEF*NtoN2O*kgtoGg</f>
        <v>0.48124875752773738</v>
      </c>
      <c r="BC171" s="22">
        <f>Constants!$H78*'Activity data'!BC20*Constants!$H96*EF!$H221*MMVolatEF*NtoN2O*kgtoGg</f>
        <v>0.50140117317613597</v>
      </c>
      <c r="BD171" s="22">
        <f>Constants!$H78*'Activity data'!BD20*Constants!$H96*EF!$H221*MMVolatEF*NtoN2O*kgtoGg</f>
        <v>0.51989325002843578</v>
      </c>
      <c r="BE171" s="22">
        <f>Constants!$H78*'Activity data'!BE20*Constants!$H96*EF!$H221*MMVolatEF*NtoN2O*kgtoGg</f>
        <v>0.53809144777835283</v>
      </c>
      <c r="BF171" s="22">
        <f>Constants!$H78*'Activity data'!BF20*Constants!$H96*EF!$H221*MMVolatEF*NtoN2O*kgtoGg</f>
        <v>0.55606219814879432</v>
      </c>
      <c r="BG171" s="22">
        <f>Constants!$H78*'Activity data'!BG20*Constants!$H96*EF!$H221*MMVolatEF*NtoN2O*kgtoGg</f>
        <v>0.57603307954485361</v>
      </c>
      <c r="BH171" s="22">
        <f>Constants!$H78*'Activity data'!BH20*Constants!$H96*EF!$H221*MMVolatEF*NtoN2O*kgtoGg</f>
        <v>0.59492740362722618</v>
      </c>
      <c r="BI171" s="22">
        <f>Constants!$H78*'Activity data'!BI20*Constants!$H96*EF!$H221*MMVolatEF*NtoN2O*kgtoGg</f>
        <v>0.61451021406332851</v>
      </c>
      <c r="BJ171" s="22">
        <f>Constants!$H78*'Activity data'!BJ20*Constants!$H96*EF!$H221*MMVolatEF*NtoN2O*kgtoGg</f>
        <v>0.6348825242649947</v>
      </c>
      <c r="BK171" s="22">
        <f>Constants!$H78*'Activity data'!BK20*Constants!$H96*EF!$H221*MMVolatEF*NtoN2O*kgtoGg</f>
        <v>0.65620656209687755</v>
      </c>
      <c r="BL171" s="22">
        <f>Constants!$H78*'Activity data'!BL20*Constants!$H96*EF!$H221*MMVolatEF*NtoN2O*kgtoGg</f>
        <v>0.67872441504873171</v>
      </c>
      <c r="BM171" s="22">
        <f>Constants!$H78*'Activity data'!BM20*Constants!$H96*EF!$H221*MMVolatEF*NtoN2O*kgtoGg</f>
        <v>0.6821526428447654</v>
      </c>
      <c r="BN171" s="22">
        <f>Constants!$H78*'Activity data'!BN20*Constants!$H96*EF!$H221*MMVolatEF*NtoN2O*kgtoGg</f>
        <v>0.68382516110267277</v>
      </c>
      <c r="BO171" s="22">
        <f>Constants!$H78*'Activity data'!BO20*Constants!$H96*EF!$H221*MMVolatEF*NtoN2O*kgtoGg</f>
        <v>0.68298338603927977</v>
      </c>
      <c r="BP171" s="22">
        <f>Constants!$H78*'Activity data'!BP20*Constants!$H96*EF!$H221*MMVolatEF*NtoN2O*kgtoGg</f>
        <v>0.68142585829620028</v>
      </c>
    </row>
    <row r="172" spans="1:68" x14ac:dyDescent="0.3">
      <c r="A172" t="str">
        <f t="shared" si="58"/>
        <v>3C Aggregated and non-CO2 emissions on land</v>
      </c>
      <c r="B172" t="str">
        <f>B171</f>
        <v>3C6 Indirect N2O from manure management (N2O)</v>
      </c>
      <c r="C172" t="str">
        <f>'IPCC Categories'!C81</f>
        <v>Leaching/runoff</v>
      </c>
      <c r="D172" t="str">
        <f>D156</f>
        <v xml:space="preserve"> - TMR</v>
      </c>
      <c r="E172" t="str">
        <f t="shared" ref="E172:E187" si="64">C172&amp;D172</f>
        <v>Leaching/runoff - TMR</v>
      </c>
      <c r="F172" t="str">
        <f t="shared" si="47"/>
        <v>N2O</v>
      </c>
      <c r="G172" t="str">
        <f t="shared" si="48"/>
        <v>Gg N2O</v>
      </c>
      <c r="H172" s="22">
        <f>Constants!$H63*'Activity data'!H5*Constants!$H81*FracLEACHMM*MMLeachEF*NtoN2O*kgtoGg</f>
        <v>7.3742305268764158E-2</v>
      </c>
      <c r="I172" s="22">
        <f>Constants!$H63*'Activity data'!I5*Constants!$H81*FracLEACHMM*MMLeachEF*NtoN2O*kgtoGg</f>
        <v>8.4896547684682147E-2</v>
      </c>
      <c r="J172" s="22">
        <f>Constants!$H63*'Activity data'!J5*Constants!$H81*FracLEACHMM*MMLeachEF*NtoN2O*kgtoGg</f>
        <v>7.3446498482406364E-2</v>
      </c>
      <c r="K172" s="22">
        <f>Constants!$H63*'Activity data'!K5*Constants!$H81*FracLEACHMM*MMLeachEF*NtoN2O*kgtoGg</f>
        <v>7.7896894964800331E-2</v>
      </c>
      <c r="L172" s="22">
        <f>Constants!$H63*'Activity data'!L5*Constants!$H81*FracLEACHMM*MMLeachEF*NtoN2O*kgtoGg</f>
        <v>7.2263271336975257E-2</v>
      </c>
      <c r="M172" s="22">
        <f>Constants!$H63*'Activity data'!M5*Constants!$H81*FracLEACHMM*MMLeachEF*NtoN2O*kgtoGg</f>
        <v>7.7305281392084785E-2</v>
      </c>
      <c r="N172" s="22">
        <f>Constants!$H63*'Activity data'!N5*Constants!$H81*FracLEACHMM*MMLeachEF*NtoN2O*kgtoGg</f>
        <v>7.7601088178442565E-2</v>
      </c>
      <c r="O172" s="22">
        <f>Constants!$H63*'Activity data'!O5*Constants!$H81*FracLEACHMM*MMLeachEF*NtoN2O*kgtoGg</f>
        <v>7.4812527574463092E-2</v>
      </c>
      <c r="P172" s="22">
        <f>Constants!$H63*'Activity data'!P5*Constants!$H81*FracLEACHMM*MMLeachEF*NtoN2O*kgtoGg</f>
        <v>7.3925107215389751E-2</v>
      </c>
      <c r="Q172" s="22">
        <f>Constants!$H63*'Activity data'!Q5*Constants!$H81*FracLEACHMM*MMLeachEF*NtoN2O*kgtoGg</f>
        <v>7.2615580543199124E-2</v>
      </c>
      <c r="R172" s="22">
        <f>Constants!$H63*'Activity data'!R5*Constants!$H81*FracLEACHMM*MMLeachEF*NtoN2O*kgtoGg</f>
        <v>9.3501533863112316E-2</v>
      </c>
      <c r="S172" s="22">
        <f>Constants!$H63*'Activity data'!S5*Constants!$H81*FracLEACHMM*MMLeachEF*NtoN2O*kgtoGg</f>
        <v>9.3205727076754535E-2</v>
      </c>
      <c r="T172" s="22">
        <f>Constants!$H63*'Activity data'!T5*Constants!$H81*FracLEACHMM*MMLeachEF*NtoN2O*kgtoGg</f>
        <v>8.127706914149542E-2</v>
      </c>
      <c r="U172" s="22">
        <f>Constants!$H63*'Activity data'!U5*Constants!$H81*FracLEACHMM*MMLeachEF*NtoN2O*kgtoGg</f>
        <v>7.3925107215389751E-2</v>
      </c>
      <c r="V172" s="22">
        <f>Constants!$H63*'Activity data'!V5*Constants!$H81*FracLEACHMM*MMLeachEF*NtoN2O*kgtoGg</f>
        <v>7.1375850977901931E-2</v>
      </c>
      <c r="W172" s="22">
        <f>Constants!$H63*'Activity data'!W5*Constants!$H81*FracLEACHMM*MMLeachEF*NtoN2O*kgtoGg</f>
        <v>7.6417861033011458E-2</v>
      </c>
      <c r="X172" s="22">
        <f>Constants!$H63*'Activity data'!X5*Constants!$H81*FracLEACHMM*MMLeachEF*NtoN2O*kgtoGg</f>
        <v>7.4756025154596978E-2</v>
      </c>
      <c r="Y172" s="22">
        <f>Constants!$H63*'Activity data'!Y5*Constants!$H81*FracLEACHMM*MMLeachEF*NtoN2O*kgtoGg</f>
        <v>7.4220914001747532E-2</v>
      </c>
      <c r="Z172" s="22">
        <f>Constants!$H63*'Activity data'!Z5*Constants!$H81*FracLEACHMM*MMLeachEF*NtoN2O*kgtoGg</f>
        <v>9.0895775205758408E-2</v>
      </c>
      <c r="AA172" s="22">
        <f>Constants!$H63*'Activity data'!AA5*Constants!$H81*FracLEACHMM*MMLeachEF*NtoN2O*kgtoGg</f>
        <v>9.3149224656888435E-2</v>
      </c>
      <c r="AB172" s="22">
        <f>Constants!$H63*'Activity data'!AB5*Constants!$H81*FracLEACHMM*MMLeachEF*NtoN2O*kgtoGg</f>
        <v>9.3149224656888435E-2</v>
      </c>
      <c r="AC172" s="22">
        <f>Constants!$H63*'Activity data'!AC5*Constants!$H81*FracLEACHMM*MMLeachEF*NtoN2O*kgtoGg</f>
        <v>8.9769050480193388E-2</v>
      </c>
      <c r="AD172" s="22">
        <f>Constants!$H63*'Activity data'!AD5*Constants!$H81*FracLEACHMM*MMLeachEF*NtoN2O*kgtoGg</f>
        <v>8.9211118607918846E-2</v>
      </c>
      <c r="AE172" s="22">
        <f>Constants!$H63*'Activity data'!AE5*Constants!$H81*FracLEACHMM*MMLeachEF*NtoN2O*kgtoGg</f>
        <v>8.9709854381943774E-2</v>
      </c>
      <c r="AF172" s="22">
        <f>Constants!$H63*'Activity data'!AF5*Constants!$H81*FracLEACHMM*MMLeachEF*NtoN2O*kgtoGg</f>
        <v>9.0417475033143083E-2</v>
      </c>
      <c r="AG172" s="22">
        <f>Constants!$H63*'Activity data'!AG5*Constants!$H81*FracLEACHMM*MMLeachEF*NtoN2O*kgtoGg</f>
        <v>9.0872196678668984E-2</v>
      </c>
      <c r="AH172" s="22">
        <f>Constants!$H63*'Activity data'!AH5*Constants!$H81*FracLEACHMM*MMLeachEF*NtoN2O*kgtoGg</f>
        <v>9.1174361291842934E-2</v>
      </c>
      <c r="AI172" s="22">
        <f>Constants!$H63*'Activity data'!AI5*Constants!$H81*FracLEACHMM*MMLeachEF*NtoN2O*kgtoGg</f>
        <v>9.1320994898161728E-2</v>
      </c>
      <c r="AJ172" s="22">
        <f>Constants!$H63*'Activity data'!AJ5*Constants!$H81*FracLEACHMM*MMLeachEF*NtoN2O*kgtoGg</f>
        <v>9.1644963105957017E-2</v>
      </c>
      <c r="AK172" s="22">
        <f>Constants!$H63*'Activity data'!AK5*Constants!$H81*FracLEACHMM*MMLeachEF*NtoN2O*kgtoGg</f>
        <v>9.2016609055475651E-2</v>
      </c>
      <c r="AL172" s="22">
        <f>Constants!$H63*'Activity data'!AL5*Constants!$H81*FracLEACHMM*MMLeachEF*NtoN2O*kgtoGg</f>
        <v>8.9250626632870506E-2</v>
      </c>
      <c r="AM172" s="22">
        <f>Constants!$H63*'Activity data'!AM5*Constants!$H81*FracLEACHMM*MMLeachEF*NtoN2O*kgtoGg</f>
        <v>9.018910759145192E-2</v>
      </c>
      <c r="AN172" s="22">
        <f>Constants!$H63*'Activity data'!AN5*Constants!$H81*FracLEACHMM*MMLeachEF*NtoN2O*kgtoGg</f>
        <v>9.1562795389337467E-2</v>
      </c>
      <c r="AO172" s="22">
        <f>Constants!$H63*'Activity data'!AO5*Constants!$H81*FracLEACHMM*MMLeachEF*NtoN2O*kgtoGg</f>
        <v>9.2274810820194952E-2</v>
      </c>
      <c r="AP172" s="22">
        <f>Constants!$H63*'Activity data'!AP5*Constants!$H81*FracLEACHMM*MMLeachEF*NtoN2O*kgtoGg</f>
        <v>9.3088549677051477E-2</v>
      </c>
      <c r="AQ172" s="22">
        <f>Constants!$H63*'Activity data'!AQ5*Constants!$H81*FracLEACHMM*MMLeachEF*NtoN2O*kgtoGg</f>
        <v>9.4030367146954022E-2</v>
      </c>
      <c r="AR172" s="22">
        <f>Constants!$H63*'Activity data'!AR5*Constants!$H81*FracLEACHMM*MMLeachEF*NtoN2O*kgtoGg</f>
        <v>9.4992140485733595E-2</v>
      </c>
      <c r="AS172" s="22">
        <f>Constants!$H63*'Activity data'!AS5*Constants!$H81*FracLEACHMM*MMLeachEF*NtoN2O*kgtoGg</f>
        <v>9.605669953542309E-2</v>
      </c>
      <c r="AT172" s="22">
        <f>Constants!$H63*'Activity data'!AT5*Constants!$H81*FracLEACHMM*MMLeachEF*NtoN2O*kgtoGg</f>
        <v>9.7154235713963338E-2</v>
      </c>
      <c r="AU172" s="22">
        <f>Constants!$H63*'Activity data'!AU5*Constants!$H81*FracLEACHMM*MMLeachEF*NtoN2O*kgtoGg</f>
        <v>9.8347760304703769E-2</v>
      </c>
      <c r="AV172" s="22">
        <f>Constants!$H63*'Activity data'!AV5*Constants!$H81*FracLEACHMM*MMLeachEF*NtoN2O*kgtoGg</f>
        <v>9.9568208578524817E-2</v>
      </c>
      <c r="AW172" s="22">
        <f>Constants!$H63*'Activity data'!AW5*Constants!$H81*FracLEACHMM*MMLeachEF*NtoN2O*kgtoGg</f>
        <v>0.10088669536271129</v>
      </c>
      <c r="AX172" s="22">
        <f>Constants!$H63*'Activity data'!AX5*Constants!$H81*FracLEACHMM*MMLeachEF*NtoN2O*kgtoGg</f>
        <v>0.10218733727824697</v>
      </c>
      <c r="AY172" s="22">
        <f>Constants!$H63*'Activity data'!AY5*Constants!$H81*FracLEACHMM*MMLeachEF*NtoN2O*kgtoGg</f>
        <v>0.10356015512248805</v>
      </c>
      <c r="AZ172" s="22">
        <f>Constants!$H63*'Activity data'!AZ5*Constants!$H81*FracLEACHMM*MMLeachEF*NtoN2O*kgtoGg</f>
        <v>0.1051130390487056</v>
      </c>
      <c r="BA172" s="22">
        <f>Constants!$H63*'Activity data'!BA5*Constants!$H81*FracLEACHMM*MMLeachEF*NtoN2O*kgtoGg</f>
        <v>0.10658947451521658</v>
      </c>
      <c r="BB172" s="22">
        <f>Constants!$H63*'Activity data'!BB5*Constants!$H81*FracLEACHMM*MMLeachEF*NtoN2O*kgtoGg</f>
        <v>0.10810355126576793</v>
      </c>
      <c r="BC172" s="22">
        <f>Constants!$H63*'Activity data'!BC5*Constants!$H81*FracLEACHMM*MMLeachEF*NtoN2O*kgtoGg</f>
        <v>0.10972278781886159</v>
      </c>
      <c r="BD172" s="22">
        <f>Constants!$H63*'Activity data'!BD5*Constants!$H81*FracLEACHMM*MMLeachEF*NtoN2O*kgtoGg</f>
        <v>0.1112398173269733</v>
      </c>
      <c r="BE172" s="22">
        <f>Constants!$H63*'Activity data'!BE5*Constants!$H81*FracLEACHMM*MMLeachEF*NtoN2O*kgtoGg</f>
        <v>0.11274861433308095</v>
      </c>
      <c r="BF172" s="22">
        <f>Constants!$H63*'Activity data'!BF5*Constants!$H81*FracLEACHMM*MMLeachEF*NtoN2O*kgtoGg</f>
        <v>0.11425337554687653</v>
      </c>
      <c r="BG172" s="22">
        <f>Constants!$H63*'Activity data'!BG5*Constants!$H81*FracLEACHMM*MMLeachEF*NtoN2O*kgtoGg</f>
        <v>0.11584536779599926</v>
      </c>
      <c r="BH172" s="22">
        <f>Constants!$H63*'Activity data'!BH5*Constants!$H81*FracLEACHMM*MMLeachEF*NtoN2O*kgtoGg</f>
        <v>0.11737332691073739</v>
      </c>
      <c r="BI172" s="22">
        <f>Constants!$H63*'Activity data'!BI5*Constants!$H81*FracLEACHMM*MMLeachEF*NtoN2O*kgtoGg</f>
        <v>0.11896061880517098</v>
      </c>
      <c r="BJ172" s="22">
        <f>Constants!$H63*'Activity data'!BJ5*Constants!$H81*FracLEACHMM*MMLeachEF*NtoN2O*kgtoGg</f>
        <v>0.12061448282820714</v>
      </c>
      <c r="BK172" s="22">
        <f>Constants!$H63*'Activity data'!BK5*Constants!$H81*FracLEACHMM*MMLeachEF*NtoN2O*kgtoGg</f>
        <v>0.12234656062044848</v>
      </c>
      <c r="BL172" s="22">
        <f>Constants!$H63*'Activity data'!BL5*Constants!$H81*FracLEACHMM*MMLeachEF*NtoN2O*kgtoGg</f>
        <v>0.12410927658755902</v>
      </c>
      <c r="BM172" s="22">
        <f>Constants!$H63*'Activity data'!BM5*Constants!$H81*FracLEACHMM*MMLeachEF*NtoN2O*kgtoGg</f>
        <v>0.12452720245635615</v>
      </c>
      <c r="BN172" s="22">
        <f>Constants!$H63*'Activity data'!BN5*Constants!$H81*FracLEACHMM*MMLeachEF*NtoN2O*kgtoGg</f>
        <v>0.12482463901873847</v>
      </c>
      <c r="BO172" s="22">
        <f>Constants!$H63*'Activity data'!BO5*Constants!$H81*FracLEACHMM*MMLeachEF*NtoN2O*kgtoGg</f>
        <v>0.12494650421265691</v>
      </c>
      <c r="BP172" s="22">
        <f>Constants!$H63*'Activity data'!BP5*Constants!$H81*FracLEACHMM*MMLeachEF*NtoN2O*kgtoGg</f>
        <v>0.12502008970656403</v>
      </c>
    </row>
    <row r="173" spans="1:68" x14ac:dyDescent="0.3">
      <c r="A173" t="str">
        <f t="shared" si="58"/>
        <v>3C Aggregated and non-CO2 emissions on land</v>
      </c>
      <c r="B173" t="str">
        <f t="shared" ref="B173:B184" si="65">B172</f>
        <v>3C6 Indirect N2O from manure management (N2O)</v>
      </c>
      <c r="C173" t="str">
        <f>C172</f>
        <v>Leaching/runoff</v>
      </c>
      <c r="D173" t="str">
        <f t="shared" ref="D173:D186" si="66">D157</f>
        <v xml:space="preserve"> - Pasture</v>
      </c>
      <c r="E173" t="str">
        <f t="shared" si="64"/>
        <v>Leaching/runoff - Pasture</v>
      </c>
      <c r="F173" t="str">
        <f t="shared" si="47"/>
        <v>N2O</v>
      </c>
      <c r="G173" t="str">
        <f t="shared" si="48"/>
        <v>Gg N2O</v>
      </c>
      <c r="H173" s="22">
        <f>Constants!$H64*'Activity data'!H6*Constants!$H82*FracLEACHMM*MMLeachEF*NtoN2O*kgtoGg</f>
        <v>2.2025932152541016E-2</v>
      </c>
      <c r="I173" s="22">
        <f>Constants!$H64*'Activity data'!I6*Constants!$H82*FracLEACHMM*MMLeachEF*NtoN2O*kgtoGg</f>
        <v>2.5357569070733093E-2</v>
      </c>
      <c r="J173" s="22">
        <f>Constants!$H64*'Activity data'!J6*Constants!$H82*FracLEACHMM*MMLeachEF*NtoN2O*kgtoGg</f>
        <v>2.1937578253339852E-2</v>
      </c>
      <c r="K173" s="22">
        <f>Constants!$H64*'Activity data'!K6*Constants!$H82*FracLEACHMM*MMLeachEF*NtoN2O*kgtoGg</f>
        <v>2.3266857703119107E-2</v>
      </c>
      <c r="L173" s="22">
        <f>Constants!$H64*'Activity data'!L6*Constants!$H82*FracLEACHMM*MMLeachEF*NtoN2O*kgtoGg</f>
        <v>2.1584162656535212E-2</v>
      </c>
      <c r="M173" s="22">
        <f>Constants!$H64*'Activity data'!M6*Constants!$H82*FracLEACHMM*MMLeachEF*NtoN2O*kgtoGg</f>
        <v>2.3090149904716788E-2</v>
      </c>
      <c r="N173" s="22">
        <f>Constants!$H64*'Activity data'!N6*Constants!$H82*FracLEACHMM*MMLeachEF*NtoN2O*kgtoGg</f>
        <v>2.3178503803917949E-2</v>
      </c>
      <c r="O173" s="22">
        <f>Constants!$H64*'Activity data'!O6*Constants!$H82*FracLEACHMM*MMLeachEF*NtoN2O*kgtoGg</f>
        <v>2.234559457436993E-2</v>
      </c>
      <c r="P173" s="22">
        <f>Constants!$H64*'Activity data'!P6*Constants!$H82*FracLEACHMM*MMLeachEF*NtoN2O*kgtoGg</f>
        <v>2.2080532876766451E-2</v>
      </c>
      <c r="Q173" s="22">
        <f>Constants!$H64*'Activity data'!Q6*Constants!$H82*FracLEACHMM*MMLeachEF*NtoN2O*kgtoGg</f>
        <v>2.1689393143224225E-2</v>
      </c>
      <c r="R173" s="22">
        <f>Constants!$H64*'Activity data'!R6*Constants!$H82*FracLEACHMM*MMLeachEF*NtoN2O*kgtoGg</f>
        <v>2.7927774071090448E-2</v>
      </c>
      <c r="S173" s="22">
        <f>Constants!$H64*'Activity data'!S6*Constants!$H82*FracLEACHMM*MMLeachEF*NtoN2O*kgtoGg</f>
        <v>2.7839420171889291E-2</v>
      </c>
      <c r="T173" s="22">
        <f>Constants!$H64*'Activity data'!T6*Constants!$H82*FracLEACHMM*MMLeachEF*NtoN2O*kgtoGg</f>
        <v>2.4276474731069451E-2</v>
      </c>
      <c r="U173" s="22">
        <f>Constants!$H64*'Activity data'!U6*Constants!$H82*FracLEACHMM*MMLeachEF*NtoN2O*kgtoGg</f>
        <v>2.2080532876766451E-2</v>
      </c>
      <c r="V173" s="22">
        <f>Constants!$H64*'Activity data'!V6*Constants!$H82*FracLEACHMM*MMLeachEF*NtoN2O*kgtoGg</f>
        <v>2.1319100958931726E-2</v>
      </c>
      <c r="W173" s="22">
        <f>Constants!$H64*'Activity data'!W6*Constants!$H82*FracLEACHMM*MMLeachEF*NtoN2O*kgtoGg</f>
        <v>2.2825088207113309E-2</v>
      </c>
      <c r="X173" s="22">
        <f>Constants!$H64*'Activity data'!X6*Constants!$H82*FracLEACHMM*MMLeachEF*NtoN2O*kgtoGg</f>
        <v>2.2328717986882064E-2</v>
      </c>
      <c r="Y173" s="22">
        <f>Constants!$H64*'Activity data'!Y6*Constants!$H82*FracLEACHMM*MMLeachEF*NtoN2O*kgtoGg</f>
        <v>2.2168886775967608E-2</v>
      </c>
      <c r="Z173" s="22">
        <f>Constants!$H64*'Activity data'!Z6*Constants!$H82*FracLEACHMM*MMLeachEF*NtoN2O*kgtoGg</f>
        <v>2.7149465565767861E-2</v>
      </c>
      <c r="AA173" s="22">
        <f>Constants!$H64*'Activity data'!AA6*Constants!$H82*FracLEACHMM*MMLeachEF*NtoN2O*kgtoGg</f>
        <v>2.7822543584401425E-2</v>
      </c>
      <c r="AB173" s="22">
        <f>Constants!$H64*'Activity data'!AB6*Constants!$H82*FracLEACHMM*MMLeachEF*NtoN2O*kgtoGg</f>
        <v>2.7822543584401425E-2</v>
      </c>
      <c r="AC173" s="22">
        <f>Constants!$H64*'Activity data'!AC6*Constants!$H82*FracLEACHMM*MMLeachEF*NtoN2O*kgtoGg</f>
        <v>2.681292655645108E-2</v>
      </c>
      <c r="AD173" s="22">
        <f>Constants!$H64*'Activity data'!AD6*Constants!$H82*FracLEACHMM*MMLeachEF*NtoN2O*kgtoGg</f>
        <v>2.6939494531157477E-2</v>
      </c>
      <c r="AE173" s="22">
        <f>Constants!$H64*'Activity data'!AE6*Constants!$H82*FracLEACHMM*MMLeachEF*NtoN2O*kgtoGg</f>
        <v>2.709010008197326E-2</v>
      </c>
      <c r="AF173" s="22">
        <f>Constants!$H64*'Activity data'!AF6*Constants!$H82*FracLEACHMM*MMLeachEF*NtoN2O*kgtoGg</f>
        <v>2.730378356628085E-2</v>
      </c>
      <c r="AG173" s="22">
        <f>Constants!$H64*'Activity data'!AG6*Constants!$H82*FracLEACHMM*MMLeachEF*NtoN2O*kgtoGg</f>
        <v>2.7441097966929517E-2</v>
      </c>
      <c r="AH173" s="22">
        <f>Constants!$H64*'Activity data'!AH6*Constants!$H82*FracLEACHMM*MMLeachEF*NtoN2O*kgtoGg</f>
        <v>2.7532344014183842E-2</v>
      </c>
      <c r="AI173" s="22">
        <f>Constants!$H64*'Activity data'!AI6*Constants!$H82*FracLEACHMM*MMLeachEF*NtoN2O*kgtoGg</f>
        <v>2.757662364319366E-2</v>
      </c>
      <c r="AJ173" s="22">
        <f>Constants!$H64*'Activity data'!AJ6*Constants!$H82*FracLEACHMM*MMLeachEF*NtoN2O*kgtoGg</f>
        <v>2.7674453822865853E-2</v>
      </c>
      <c r="AK173" s="22">
        <f>Constants!$H64*'Activity data'!AK6*Constants!$H82*FracLEACHMM*MMLeachEF*NtoN2O*kgtoGg</f>
        <v>2.7786681470952927E-2</v>
      </c>
      <c r="AL173" s="22">
        <f>Constants!$H64*'Activity data'!AL6*Constants!$H82*FracLEACHMM*MMLeachEF*NtoN2O*kgtoGg</f>
        <v>2.6951424952373251E-2</v>
      </c>
      <c r="AM173" s="22">
        <f>Constants!$H64*'Activity data'!AM6*Constants!$H82*FracLEACHMM*MMLeachEF*NtoN2O*kgtoGg</f>
        <v>2.7234822392578142E-2</v>
      </c>
      <c r="AN173" s="22">
        <f>Constants!$H64*'Activity data'!AN6*Constants!$H82*FracLEACHMM*MMLeachEF*NtoN2O*kgtoGg</f>
        <v>2.7649641257043878E-2</v>
      </c>
      <c r="AO173" s="22">
        <f>Constants!$H64*'Activity data'!AO6*Constants!$H82*FracLEACHMM*MMLeachEF*NtoN2O*kgtoGg</f>
        <v>2.7864651853312578E-2</v>
      </c>
      <c r="AP173" s="22">
        <f>Constants!$H64*'Activity data'!AP6*Constants!$H82*FracLEACHMM*MMLeachEF*NtoN2O*kgtoGg</f>
        <v>2.8110380343506967E-2</v>
      </c>
      <c r="AQ173" s="22">
        <f>Constants!$H64*'Activity data'!AQ6*Constants!$H82*FracLEACHMM*MMLeachEF*NtoN2O*kgtoGg</f>
        <v>2.8394785325483455E-2</v>
      </c>
      <c r="AR173" s="22">
        <f>Constants!$H64*'Activity data'!AR6*Constants!$H82*FracLEACHMM*MMLeachEF*NtoN2O*kgtoGg</f>
        <v>2.8685216473579894E-2</v>
      </c>
      <c r="AS173" s="22">
        <f>Constants!$H64*'Activity data'!AS6*Constants!$H82*FracLEACHMM*MMLeachEF*NtoN2O*kgtoGg</f>
        <v>2.9006686298694923E-2</v>
      </c>
      <c r="AT173" s="22">
        <f>Constants!$H64*'Activity data'!AT6*Constants!$H82*FracLEACHMM*MMLeachEF*NtoN2O*kgtoGg</f>
        <v>2.9338114380092265E-2</v>
      </c>
      <c r="AU173" s="22">
        <f>Constants!$H64*'Activity data'!AU6*Constants!$H82*FracLEACHMM*MMLeachEF*NtoN2O*kgtoGg</f>
        <v>2.9698528526745503E-2</v>
      </c>
      <c r="AV173" s="22">
        <f>Constants!$H64*'Activity data'!AV6*Constants!$H82*FracLEACHMM*MMLeachEF*NtoN2O*kgtoGg</f>
        <v>3.006707294263454E-2</v>
      </c>
      <c r="AW173" s="22">
        <f>Constants!$H64*'Activity data'!AW6*Constants!$H82*FracLEACHMM*MMLeachEF*NtoN2O*kgtoGg</f>
        <v>3.046522250141433E-2</v>
      </c>
      <c r="AX173" s="22">
        <f>Constants!$H64*'Activity data'!AX6*Constants!$H82*FracLEACHMM*MMLeachEF*NtoN2O*kgtoGg</f>
        <v>3.0857983362586373E-2</v>
      </c>
      <c r="AY173" s="22">
        <f>Constants!$H64*'Activity data'!AY6*Constants!$H82*FracLEACHMM*MMLeachEF*NtoN2O*kgtoGg</f>
        <v>3.1272539523122242E-2</v>
      </c>
      <c r="AZ173" s="22">
        <f>Constants!$H64*'Activity data'!AZ6*Constants!$H82*FracLEACHMM*MMLeachEF*NtoN2O*kgtoGg</f>
        <v>3.1741471072133737E-2</v>
      </c>
      <c r="BA173" s="22">
        <f>Constants!$H64*'Activity data'!BA6*Constants!$H82*FracLEACHMM*MMLeachEF*NtoN2O*kgtoGg</f>
        <v>3.2187317125813304E-2</v>
      </c>
      <c r="BB173" s="22">
        <f>Constants!$H64*'Activity data'!BB6*Constants!$H82*FracLEACHMM*MMLeachEF*NtoN2O*kgtoGg</f>
        <v>3.2644529892312681E-2</v>
      </c>
      <c r="BC173" s="22">
        <f>Constants!$H64*'Activity data'!BC6*Constants!$H82*FracLEACHMM*MMLeachEF*NtoN2O*kgtoGg</f>
        <v>3.3133498251272868E-2</v>
      </c>
      <c r="BD173" s="22">
        <f>Constants!$H64*'Activity data'!BD6*Constants!$H82*FracLEACHMM*MMLeachEF*NtoN2O*kgtoGg</f>
        <v>3.3591602675643942E-2</v>
      </c>
      <c r="BE173" s="22">
        <f>Constants!$H64*'Activity data'!BE6*Constants!$H82*FracLEACHMM*MMLeachEF*NtoN2O*kgtoGg</f>
        <v>3.4047221093268576E-2</v>
      </c>
      <c r="BF173" s="22">
        <f>Constants!$H64*'Activity data'!BF6*Constants!$H82*FracLEACHMM*MMLeachEF*NtoN2O*kgtoGg</f>
        <v>3.4501620804003125E-2</v>
      </c>
      <c r="BG173" s="22">
        <f>Constants!$H64*'Activity data'!BG6*Constants!$H82*FracLEACHMM*MMLeachEF*NtoN2O*kgtoGg</f>
        <v>3.4982362074352798E-2</v>
      </c>
      <c r="BH173" s="22">
        <f>Constants!$H64*'Activity data'!BH6*Constants!$H82*FracLEACHMM*MMLeachEF*NtoN2O*kgtoGg</f>
        <v>3.5443766962640642E-2</v>
      </c>
      <c r="BI173" s="22">
        <f>Constants!$H64*'Activity data'!BI6*Constants!$H82*FracLEACHMM*MMLeachEF*NtoN2O*kgtoGg</f>
        <v>3.5923088845122318E-2</v>
      </c>
      <c r="BJ173" s="22">
        <f>Constants!$H64*'Activity data'!BJ6*Constants!$H82*FracLEACHMM*MMLeachEF*NtoN2O*kgtoGg</f>
        <v>3.6422513821505312E-2</v>
      </c>
      <c r="BK173" s="22">
        <f>Constants!$H64*'Activity data'!BK6*Constants!$H82*FracLEACHMM*MMLeachEF*NtoN2O*kgtoGg</f>
        <v>3.6945557371902887E-2</v>
      </c>
      <c r="BL173" s="22">
        <f>Constants!$H64*'Activity data'!BL6*Constants!$H82*FracLEACHMM*MMLeachEF*NtoN2O*kgtoGg</f>
        <v>3.7477852873819655E-2</v>
      </c>
      <c r="BM173" s="22">
        <f>Constants!$H64*'Activity data'!BM6*Constants!$H82*FracLEACHMM*MMLeachEF*NtoN2O*kgtoGg</f>
        <v>3.7604055883406068E-2</v>
      </c>
      <c r="BN173" s="22">
        <f>Constants!$H64*'Activity data'!BN6*Constants!$H82*FracLEACHMM*MMLeachEF*NtoN2O*kgtoGg</f>
        <v>3.7693874179272106E-2</v>
      </c>
      <c r="BO173" s="22">
        <f>Constants!$H64*'Activity data'!BO6*Constants!$H82*FracLEACHMM*MMLeachEF*NtoN2O*kgtoGg</f>
        <v>3.7730674376112279E-2</v>
      </c>
      <c r="BP173" s="22">
        <f>Constants!$H64*'Activity data'!BP6*Constants!$H82*FracLEACHMM*MMLeachEF*NtoN2O*kgtoGg</f>
        <v>3.7752895328406304E-2</v>
      </c>
    </row>
    <row r="174" spans="1:68" x14ac:dyDescent="0.3">
      <c r="A174" t="str">
        <f t="shared" si="58"/>
        <v>3C Aggregated and non-CO2 emissions on land</v>
      </c>
      <c r="B174" t="str">
        <f t="shared" si="65"/>
        <v>3C6 Indirect N2O from manure management (N2O)</v>
      </c>
      <c r="C174" t="str">
        <f t="shared" ref="C174:C187" si="67">C173</f>
        <v>Leaching/runoff</v>
      </c>
      <c r="D174" t="str">
        <f t="shared" si="66"/>
        <v xml:space="preserve"> - Non-lactating</v>
      </c>
      <c r="E174" t="str">
        <f t="shared" si="64"/>
        <v>Leaching/runoff - Non-lactating</v>
      </c>
      <c r="F174" t="str">
        <f t="shared" si="47"/>
        <v>N2O</v>
      </c>
      <c r="G174" t="str">
        <f t="shared" si="48"/>
        <v>Gg N2O</v>
      </c>
      <c r="H174" s="22">
        <f>Constants!$H65*'Activity data'!H7*Constants!$H83*FracLEACHMM*MMLeachEF*NtoN2O*kgtoGg</f>
        <v>1.3979514898089494E-3</v>
      </c>
      <c r="I174" s="22">
        <f>Constants!$H65*'Activity data'!I7*Constants!$H83*FracLEACHMM*MMLeachEF*NtoN2O*kgtoGg</f>
        <v>1.5889950208478596E-3</v>
      </c>
      <c r="J174" s="22">
        <f>Constants!$H65*'Activity data'!J7*Constants!$H83*FracLEACHMM*MMLeachEF*NtoN2O*kgtoGg</f>
        <v>1.3744848308576839E-3</v>
      </c>
      <c r="K174" s="22">
        <f>Constants!$H65*'Activity data'!K7*Constants!$H83*FracLEACHMM*MMLeachEF*NtoN2O*kgtoGg</f>
        <v>1.4384418628230538E-3</v>
      </c>
      <c r="L174" s="22">
        <f>Constants!$H65*'Activity data'!L7*Constants!$H83*FracLEACHMM*MMLeachEF*NtoN2O*kgtoGg</f>
        <v>1.280618195052625E-3</v>
      </c>
      <c r="M174" s="22">
        <f>Constants!$H65*'Activity data'!M7*Constants!$H83*FracLEACHMM*MMLeachEF*NtoN2O*kgtoGg</f>
        <v>1.3915085449205237E-3</v>
      </c>
      <c r="N174" s="22">
        <f>Constants!$H65*'Activity data'!N7*Constants!$H83*FracLEACHMM*MMLeachEF*NtoN2O*kgtoGg</f>
        <v>1.4149752038717883E-3</v>
      </c>
      <c r="O174" s="22">
        <f>Constants!$H65*'Activity data'!O7*Constants!$H83*FracLEACHMM*MMLeachEF*NtoN2O*kgtoGg</f>
        <v>1.367214321112061E-3</v>
      </c>
      <c r="P174" s="22">
        <f>Constants!$H65*'Activity data'!P7*Constants!$H83*FracLEACHMM*MMLeachEF*NtoN2O*kgtoGg</f>
        <v>1.2968143442582665E-3</v>
      </c>
      <c r="Q174" s="22">
        <f>Constants!$H65*'Activity data'!Q7*Constants!$H83*FracLEACHMM*MMLeachEF*NtoN2O*kgtoGg</f>
        <v>1.3663867562548632E-3</v>
      </c>
      <c r="R174" s="22">
        <f>Constants!$H65*'Activity data'!R7*Constants!$H83*FracLEACHMM*MMLeachEF*NtoN2O*kgtoGg</f>
        <v>1.6934424258273329E-3</v>
      </c>
      <c r="S174" s="22">
        <f>Constants!$H65*'Activity data'!S7*Constants!$H83*FracLEACHMM*MMLeachEF*NtoN2O*kgtoGg</f>
        <v>1.669975766876068E-3</v>
      </c>
      <c r="T174" s="22">
        <f>Constants!$H65*'Activity data'!T7*Constants!$H83*FracLEACHMM*MMLeachEF*NtoN2O*kgtoGg</f>
        <v>1.5331360634853108E-3</v>
      </c>
      <c r="U174" s="22">
        <f>Constants!$H65*'Activity data'!U7*Constants!$H83*FracLEACHMM*MMLeachEF*NtoN2O*kgtoGg</f>
        <v>1.2968143442582665E-3</v>
      </c>
      <c r="V174" s="22">
        <f>Constants!$H65*'Activity data'!V7*Constants!$H83*FracLEACHMM*MMLeachEF*NtoN2O*kgtoGg</f>
        <v>1.21021821819883E-3</v>
      </c>
      <c r="W174" s="22">
        <f>Constants!$H65*'Activity data'!W7*Constants!$H83*FracLEACHMM*MMLeachEF*NtoN2O*kgtoGg</f>
        <v>1.3211085680667292E-3</v>
      </c>
      <c r="X174" s="22">
        <f>Constants!$H65*'Activity data'!X7*Constants!$H83*FracLEACHMM*MMLeachEF*NtoN2O*kgtoGg</f>
        <v>1.3049124188610874E-3</v>
      </c>
      <c r="Y174" s="22">
        <f>Constants!$H65*'Activity data'!Y7*Constants!$H83*FracLEACHMM*MMLeachEF*NtoN2O*kgtoGg</f>
        <v>1.3202810032095314E-3</v>
      </c>
      <c r="Z174" s="22">
        <f>Constants!$H65*'Activity data'!Z7*Constants!$H83*FracLEACHMM*MMLeachEF*NtoN2O*kgtoGg</f>
        <v>1.5445443975169234E-3</v>
      </c>
      <c r="AA174" s="22">
        <f>Constants!$H65*'Activity data'!AA7*Constants!$H83*FracLEACHMM*MMLeachEF*NtoN2O*kgtoGg</f>
        <v>1.6076738646250944E-3</v>
      </c>
      <c r="AB174" s="22">
        <f>Constants!$H65*'Activity data'!AB7*Constants!$H83*FracLEACHMM*MMLeachEF*NtoN2O*kgtoGg</f>
        <v>1.6076738646250944E-3</v>
      </c>
      <c r="AC174" s="22">
        <f>Constants!$H65*'Activity data'!AC7*Constants!$H83*FracLEACHMM*MMLeachEF*NtoN2O*kgtoGg</f>
        <v>1.5129796639628376E-3</v>
      </c>
      <c r="AD174" s="22">
        <f>Constants!$H65*'Activity data'!AD7*Constants!$H83*FracLEACHMM*MMLeachEF*NtoN2O*kgtoGg</f>
        <v>1.4483668498503175E-3</v>
      </c>
      <c r="AE174" s="22">
        <f>Constants!$H65*'Activity data'!AE7*Constants!$H83*FracLEACHMM*MMLeachEF*NtoN2O*kgtoGg</f>
        <v>1.4564639612104709E-3</v>
      </c>
      <c r="AF174" s="22">
        <f>Constants!$H65*'Activity data'!AF7*Constants!$H83*FracLEACHMM*MMLeachEF*NtoN2O*kgtoGg</f>
        <v>1.4679523755410987E-3</v>
      </c>
      <c r="AG174" s="22">
        <f>Constants!$H65*'Activity data'!AG7*Constants!$H83*FracLEACHMM*MMLeachEF*NtoN2O*kgtoGg</f>
        <v>1.4753349055168039E-3</v>
      </c>
      <c r="AH174" s="22">
        <f>Constants!$H65*'Activity data'!AH7*Constants!$H83*FracLEACHMM*MMLeachEF*NtoN2O*kgtoGg</f>
        <v>1.4802406304505124E-3</v>
      </c>
      <c r="AI174" s="22">
        <f>Constants!$H65*'Activity data'!AI7*Constants!$H83*FracLEACHMM*MMLeachEF*NtoN2O*kgtoGg</f>
        <v>1.4826212670547858E-3</v>
      </c>
      <c r="AJ174" s="22">
        <f>Constants!$H65*'Activity data'!AJ7*Constants!$H83*FracLEACHMM*MMLeachEF*NtoN2O*kgtoGg</f>
        <v>1.4878809792957942E-3</v>
      </c>
      <c r="AK174" s="22">
        <f>Constants!$H65*'Activity data'!AK7*Constants!$H83*FracLEACHMM*MMLeachEF*NtoN2O*kgtoGg</f>
        <v>1.4939147526814823E-3</v>
      </c>
      <c r="AL174" s="22">
        <f>Constants!$H65*'Activity data'!AL7*Constants!$H83*FracLEACHMM*MMLeachEF*NtoN2O*kgtoGg</f>
        <v>1.4490082734142855E-3</v>
      </c>
      <c r="AM174" s="22">
        <f>Constants!$H65*'Activity data'!AM7*Constants!$H83*FracLEACHMM*MMLeachEF*NtoN2O*kgtoGg</f>
        <v>1.4642447678203134E-3</v>
      </c>
      <c r="AN174" s="22">
        <f>Constants!$H65*'Activity data'!AN7*Constants!$H83*FracLEACHMM*MMLeachEF*NtoN2O*kgtoGg</f>
        <v>1.4865469639988589E-3</v>
      </c>
      <c r="AO174" s="22">
        <f>Constants!$H65*'Activity data'!AO7*Constants!$H83*FracLEACHMM*MMLeachEF*NtoN2O*kgtoGg</f>
        <v>1.4981067287762548E-3</v>
      </c>
      <c r="AP174" s="22">
        <f>Constants!$H65*'Activity data'!AP7*Constants!$H83*FracLEACHMM*MMLeachEF*NtoN2O*kgtoGg</f>
        <v>1.5113180011276973E-3</v>
      </c>
      <c r="AQ174" s="22">
        <f>Constants!$H65*'Activity data'!AQ7*Constants!$H83*FracLEACHMM*MMLeachEF*NtoN2O*kgtoGg</f>
        <v>1.5266086647053162E-3</v>
      </c>
      <c r="AR174" s="22">
        <f>Constants!$H65*'Activity data'!AR7*Constants!$H83*FracLEACHMM*MMLeachEF*NtoN2O*kgtoGg</f>
        <v>1.5422233172586648E-3</v>
      </c>
      <c r="AS174" s="22">
        <f>Constants!$H65*'Activity data'!AS7*Constants!$H83*FracLEACHMM*MMLeachEF*NtoN2O*kgtoGg</f>
        <v>1.5595067238714088E-3</v>
      </c>
      <c r="AT174" s="22">
        <f>Constants!$H65*'Activity data'!AT7*Constants!$H83*FracLEACHMM*MMLeachEF*NtoN2O*kgtoGg</f>
        <v>1.5773255231681144E-3</v>
      </c>
      <c r="AU174" s="22">
        <f>Constants!$H65*'Activity data'!AU7*Constants!$H83*FracLEACHMM*MMLeachEF*NtoN2O*kgtoGg</f>
        <v>1.5967027205251731E-3</v>
      </c>
      <c r="AV174" s="22">
        <f>Constants!$H65*'Activity data'!AV7*Constants!$H83*FracLEACHMM*MMLeachEF*NtoN2O*kgtoGg</f>
        <v>1.6165170312225675E-3</v>
      </c>
      <c r="AW174" s="22">
        <f>Constants!$H65*'Activity data'!AW7*Constants!$H83*FracLEACHMM*MMLeachEF*NtoN2O*kgtoGg</f>
        <v>1.6379230238833516E-3</v>
      </c>
      <c r="AX174" s="22">
        <f>Constants!$H65*'Activity data'!AX7*Constants!$H83*FracLEACHMM*MMLeachEF*NtoN2O*kgtoGg</f>
        <v>1.6590393002330185E-3</v>
      </c>
      <c r="AY174" s="22">
        <f>Constants!$H65*'Activity data'!AY7*Constants!$H83*FracLEACHMM*MMLeachEF*NtoN2O*kgtoGg</f>
        <v>1.6813273724767988E-3</v>
      </c>
      <c r="AZ174" s="22">
        <f>Constants!$H65*'Activity data'!AZ7*Constants!$H83*FracLEACHMM*MMLeachEF*NtoN2O*kgtoGg</f>
        <v>1.7065388666884546E-3</v>
      </c>
      <c r="BA174" s="22">
        <f>Constants!$H65*'Activity data'!BA7*Constants!$H83*FracLEACHMM*MMLeachEF*NtoN2O*kgtoGg</f>
        <v>1.7305091992995292E-3</v>
      </c>
      <c r="BB174" s="22">
        <f>Constants!$H65*'Activity data'!BB7*Constants!$H83*FracLEACHMM*MMLeachEF*NtoN2O*kgtoGg</f>
        <v>1.7550906484265776E-3</v>
      </c>
      <c r="BC174" s="22">
        <f>Constants!$H65*'Activity data'!BC7*Constants!$H83*FracLEACHMM*MMLeachEF*NtoN2O*kgtoGg</f>
        <v>1.7813793956383919E-3</v>
      </c>
      <c r="BD174" s="22">
        <f>Constants!$H65*'Activity data'!BD7*Constants!$H83*FracLEACHMM*MMLeachEF*NtoN2O*kgtoGg</f>
        <v>1.8060087835900271E-3</v>
      </c>
      <c r="BE174" s="22">
        <f>Constants!$H65*'Activity data'!BE7*Constants!$H83*FracLEACHMM*MMLeachEF*NtoN2O*kgtoGg</f>
        <v>1.8305045146255719E-3</v>
      </c>
      <c r="BF174" s="22">
        <f>Constants!$H65*'Activity data'!BF7*Constants!$H83*FracLEACHMM*MMLeachEF*NtoN2O*kgtoGg</f>
        <v>1.8549347234718561E-3</v>
      </c>
      <c r="BG174" s="22">
        <f>Constants!$H65*'Activity data'!BG7*Constants!$H83*FracLEACHMM*MMLeachEF*NtoN2O*kgtoGg</f>
        <v>1.8807811519757052E-3</v>
      </c>
      <c r="BH174" s="22">
        <f>Constants!$H65*'Activity data'!BH7*Constants!$H83*FracLEACHMM*MMLeachEF*NtoN2O*kgtoGg</f>
        <v>1.9055879850728176E-3</v>
      </c>
      <c r="BI174" s="22">
        <f>Constants!$H65*'Activity data'!BI7*Constants!$H83*FracLEACHMM*MMLeachEF*NtoN2O*kgtoGg</f>
        <v>1.9313581020359023E-3</v>
      </c>
      <c r="BJ174" s="22">
        <f>Constants!$H65*'Activity data'!BJ7*Constants!$H83*FracLEACHMM*MMLeachEF*NtoN2O*kgtoGg</f>
        <v>1.9582090356695609E-3</v>
      </c>
      <c r="BK174" s="22">
        <f>Constants!$H65*'Activity data'!BK7*Constants!$H83*FracLEACHMM*MMLeachEF*NtoN2O*kgtoGg</f>
        <v>1.9863297911851367E-3</v>
      </c>
      <c r="BL174" s="22">
        <f>Constants!$H65*'Activity data'!BL7*Constants!$H83*FracLEACHMM*MMLeachEF*NtoN2O*kgtoGg</f>
        <v>2.014947965828651E-3</v>
      </c>
      <c r="BM174" s="22">
        <f>Constants!$H65*'Activity data'!BM7*Constants!$H83*FracLEACHMM*MMLeachEF*NtoN2O*kgtoGg</f>
        <v>2.0217331063302627E-3</v>
      </c>
      <c r="BN174" s="22">
        <f>Constants!$H65*'Activity data'!BN7*Constants!$H83*FracLEACHMM*MMLeachEF*NtoN2O*kgtoGg</f>
        <v>2.0265620700694281E-3</v>
      </c>
      <c r="BO174" s="22">
        <f>Constants!$H65*'Activity data'!BO7*Constants!$H83*FracLEACHMM*MMLeachEF*NtoN2O*kgtoGg</f>
        <v>2.0285405847408761E-3</v>
      </c>
      <c r="BP174" s="22">
        <f>Constants!$H65*'Activity data'!BP7*Constants!$H83*FracLEACHMM*MMLeachEF*NtoN2O*kgtoGg</f>
        <v>2.0297352653106076E-3</v>
      </c>
    </row>
    <row r="175" spans="1:68" x14ac:dyDescent="0.3">
      <c r="A175" t="str">
        <f t="shared" si="58"/>
        <v>3C Aggregated and non-CO2 emissions on land</v>
      </c>
      <c r="B175" t="str">
        <f t="shared" si="65"/>
        <v>3C6 Indirect N2O from manure management (N2O)</v>
      </c>
      <c r="C175" t="str">
        <f t="shared" si="67"/>
        <v>Leaching/runoff</v>
      </c>
      <c r="D175" t="str">
        <f t="shared" si="66"/>
        <v xml:space="preserve"> - Commercial cattle</v>
      </c>
      <c r="E175" t="str">
        <f t="shared" si="64"/>
        <v>Leaching/runoff - Commercial cattle</v>
      </c>
      <c r="F175" t="str">
        <f t="shared" si="47"/>
        <v>N2O</v>
      </c>
      <c r="G175" t="str">
        <f t="shared" si="48"/>
        <v>Gg N2O</v>
      </c>
      <c r="H175" s="22">
        <f>Constants!$H66*'Activity data'!H8*Constants!$H84*FracLEACHMM*MMLeachEF*NtoN2O*kgtoGg</f>
        <v>3.4690652670041754E-2</v>
      </c>
      <c r="I175" s="22">
        <f>Constants!$H66*'Activity data'!I8*Constants!$H84*FracLEACHMM*MMLeachEF*NtoN2O*kgtoGg</f>
        <v>3.3193333041221122E-2</v>
      </c>
      <c r="J175" s="22">
        <f>Constants!$H66*'Activity data'!J8*Constants!$H84*FracLEACHMM*MMLeachEF*NtoN2O*kgtoGg</f>
        <v>3.3181272656772016E-2</v>
      </c>
      <c r="K175" s="22">
        <f>Constants!$H66*'Activity data'!K8*Constants!$H84*FracLEACHMM*MMLeachEF*NtoN2O*kgtoGg</f>
        <v>3.104225915494201E-2</v>
      </c>
      <c r="L175" s="22">
        <f>Constants!$H66*'Activity data'!L8*Constants!$H84*FracLEACHMM*MMLeachEF*NtoN2O*kgtoGg</f>
        <v>3.1978083922954904E-2</v>
      </c>
      <c r="M175" s="22">
        <f>Constants!$H66*'Activity data'!M8*Constants!$H84*FracLEACHMM*MMLeachEF*NtoN2O*kgtoGg</f>
        <v>3.2705167353371874E-2</v>
      </c>
      <c r="N175" s="22">
        <f>Constants!$H66*'Activity data'!N8*Constants!$H84*FracLEACHMM*MMLeachEF*NtoN2O*kgtoGg</f>
        <v>3.4061884272349123E-2</v>
      </c>
      <c r="O175" s="22">
        <f>Constants!$H66*'Activity data'!O8*Constants!$H84*FracLEACHMM*MMLeachEF*NtoN2O*kgtoGg</f>
        <v>3.5352192745309145E-2</v>
      </c>
      <c r="P175" s="22">
        <f>Constants!$H66*'Activity data'!P8*Constants!$H84*FracLEACHMM*MMLeachEF*NtoN2O*kgtoGg</f>
        <v>3.565838402476177E-2</v>
      </c>
      <c r="Q175" s="22">
        <f>Constants!$H66*'Activity data'!Q8*Constants!$H84*FracLEACHMM*MMLeachEF*NtoN2O*kgtoGg</f>
        <v>3.5081368416034292E-2</v>
      </c>
      <c r="R175" s="22">
        <f>Constants!$H66*'Activity data'!R8*Constants!$H84*FracLEACHMM*MMLeachEF*NtoN2O*kgtoGg</f>
        <v>3.2698246626430616E-2</v>
      </c>
      <c r="S175" s="22">
        <f>Constants!$H66*'Activity data'!S8*Constants!$H84*FracLEACHMM*MMLeachEF*NtoN2O*kgtoGg</f>
        <v>3.2868160650378141E-2</v>
      </c>
      <c r="T175" s="22">
        <f>Constants!$H66*'Activity data'!T8*Constants!$H84*FracLEACHMM*MMLeachEF*NtoN2O*kgtoGg</f>
        <v>3.0633427388426761E-2</v>
      </c>
      <c r="U175" s="22">
        <f>Constants!$H66*'Activity data'!U8*Constants!$H84*FracLEACHMM*MMLeachEF*NtoN2O*kgtoGg</f>
        <v>3.1434705082669871E-2</v>
      </c>
      <c r="V175" s="22">
        <f>Constants!$H66*'Activity data'!V8*Constants!$H84*FracLEACHMM*MMLeachEF*NtoN2O*kgtoGg</f>
        <v>3.1724510523335088E-2</v>
      </c>
      <c r="W175" s="22">
        <f>Constants!$H66*'Activity data'!W8*Constants!$H84*FracLEACHMM*MMLeachEF*NtoN2O*kgtoGg</f>
        <v>3.1993604670874635E-2</v>
      </c>
      <c r="X175" s="22">
        <f>Constants!$H66*'Activity data'!X8*Constants!$H84*FracLEACHMM*MMLeachEF*NtoN2O*kgtoGg</f>
        <v>3.1264791058722347E-2</v>
      </c>
      <c r="Y175" s="22">
        <f>Constants!$H66*'Activity data'!Y8*Constants!$H84*FracLEACHMM*MMLeachEF*NtoN2O*kgtoGg</f>
        <v>3.2180769624477204E-2</v>
      </c>
      <c r="Z175" s="22">
        <f>Constants!$H66*'Activity data'!Z8*Constants!$H84*FracLEACHMM*MMLeachEF*NtoN2O*kgtoGg</f>
        <v>3.1286531555542049E-2</v>
      </c>
      <c r="AA175" s="22">
        <f>Constants!$H66*'Activity data'!AA8*Constants!$H84*FracLEACHMM*MMLeachEF*NtoN2O*kgtoGg</f>
        <v>3.0761209366798613E-2</v>
      </c>
      <c r="AB175" s="22">
        <f>Constants!$H66*'Activity data'!AB8*Constants!$H84*FracLEACHMM*MMLeachEF*NtoN2O*kgtoGg</f>
        <v>3.0664507898168103E-2</v>
      </c>
      <c r="AC175" s="22">
        <f>Constants!$H66*'Activity data'!AC8*Constants!$H84*FracLEACHMM*MMLeachEF*NtoN2O*kgtoGg</f>
        <v>3.0554397945153043E-2</v>
      </c>
      <c r="AD175" s="22">
        <f>Constants!$H66*'Activity data'!AD8*Constants!$H84*FracLEACHMM*MMLeachEF*NtoN2O*kgtoGg</f>
        <v>3.030301439269115E-2</v>
      </c>
      <c r="AE175" s="22">
        <f>Constants!$H66*'Activity data'!AE8*Constants!$H84*FracLEACHMM*MMLeachEF*NtoN2O*kgtoGg</f>
        <v>3.0040206026371356E-2</v>
      </c>
      <c r="AF175" s="22">
        <f>Constants!$H66*'Activity data'!AF8*Constants!$H84*FracLEACHMM*MMLeachEF*NtoN2O*kgtoGg</f>
        <v>2.99401628371932E-2</v>
      </c>
      <c r="AG175" s="22">
        <f>Constants!$H66*'Activity data'!AG8*Constants!$H84*FracLEACHMM*MMLeachEF*NtoN2O*kgtoGg</f>
        <v>2.9540351153331298E-2</v>
      </c>
      <c r="AH175" s="22">
        <f>Constants!$H66*'Activity data'!AH8*Constants!$H84*FracLEACHMM*MMLeachEF*NtoN2O*kgtoGg</f>
        <v>2.8960014730128859E-2</v>
      </c>
      <c r="AI175" s="22">
        <f>Constants!$H66*'Activity data'!AI8*Constants!$H84*FracLEACHMM*MMLeachEF*NtoN2O*kgtoGg</f>
        <v>2.8211154016296501E-2</v>
      </c>
      <c r="AJ175" s="22">
        <f>Constants!$H66*'Activity data'!AJ8*Constants!$H84*FracLEACHMM*MMLeachEF*NtoN2O*kgtoGg</f>
        <v>2.7620505669412022E-2</v>
      </c>
      <c r="AK175" s="22">
        <f>Constants!$H66*'Activity data'!AK8*Constants!$H84*FracLEACHMM*MMLeachEF*NtoN2O*kgtoGg</f>
        <v>2.7061685185942385E-2</v>
      </c>
      <c r="AL175" s="22">
        <f>Constants!$H66*'Activity data'!AL8*Constants!$H84*FracLEACHMM*MMLeachEF*NtoN2O*kgtoGg</f>
        <v>2.3806393912702346E-2</v>
      </c>
      <c r="AM175" s="22">
        <f>Constants!$H66*'Activity data'!AM8*Constants!$H84*FracLEACHMM*MMLeachEF*NtoN2O*kgtoGg</f>
        <v>2.4193081489661764E-2</v>
      </c>
      <c r="AN175" s="22">
        <f>Constants!$H66*'Activity data'!AN8*Constants!$H84*FracLEACHMM*MMLeachEF*NtoN2O*kgtoGg</f>
        <v>2.4914459363237305E-2</v>
      </c>
      <c r="AO175" s="22">
        <f>Constants!$H66*'Activity data'!AO8*Constants!$H84*FracLEACHMM*MMLeachEF*NtoN2O*kgtoGg</f>
        <v>2.5058526856807112E-2</v>
      </c>
      <c r="AP175" s="22">
        <f>Constants!$H66*'Activity data'!AP8*Constants!$H84*FracLEACHMM*MMLeachEF*NtoN2O*kgtoGg</f>
        <v>2.5266313616668409E-2</v>
      </c>
      <c r="AQ175" s="22">
        <f>Constants!$H66*'Activity data'!AQ8*Constants!$H84*FracLEACHMM*MMLeachEF*NtoN2O*kgtoGg</f>
        <v>2.5556180730039606E-2</v>
      </c>
      <c r="AR175" s="22">
        <f>Constants!$H66*'Activity data'!AR8*Constants!$H84*FracLEACHMM*MMLeachEF*NtoN2O*kgtoGg</f>
        <v>2.588867153480013E-2</v>
      </c>
      <c r="AS175" s="22">
        <f>Constants!$H66*'Activity data'!AS8*Constants!$H84*FracLEACHMM*MMLeachEF*NtoN2O*kgtoGg</f>
        <v>2.627849954534961E-2</v>
      </c>
      <c r="AT175" s="22">
        <f>Constants!$H66*'Activity data'!AT8*Constants!$H84*FracLEACHMM*MMLeachEF*NtoN2O*kgtoGg</f>
        <v>2.6670125529897157E-2</v>
      </c>
      <c r="AU175" s="22">
        <f>Constants!$H66*'Activity data'!AU8*Constants!$H84*FracLEACHMM*MMLeachEF*NtoN2O*kgtoGg</f>
        <v>2.7110583919598655E-2</v>
      </c>
      <c r="AV175" s="22">
        <f>Constants!$H66*'Activity data'!AV8*Constants!$H84*FracLEACHMM*MMLeachEF*NtoN2O*kgtoGg</f>
        <v>2.7546671241882887E-2</v>
      </c>
      <c r="AW175" s="22">
        <f>Constants!$H66*'Activity data'!AW8*Constants!$H84*FracLEACHMM*MMLeachEF*NtoN2O*kgtoGg</f>
        <v>2.7830739758273274E-2</v>
      </c>
      <c r="AX175" s="22">
        <f>Constants!$H66*'Activity data'!AX8*Constants!$H84*FracLEACHMM*MMLeachEF*NtoN2O*kgtoGg</f>
        <v>2.8063979806522674E-2</v>
      </c>
      <c r="AY175" s="22">
        <f>Constants!$H66*'Activity data'!AY8*Constants!$H84*FracLEACHMM*MMLeachEF*NtoN2O*kgtoGg</f>
        <v>2.8310384702020075E-2</v>
      </c>
      <c r="AZ175" s="22">
        <f>Constants!$H66*'Activity data'!AZ8*Constants!$H84*FracLEACHMM*MMLeachEF*NtoN2O*kgtoGg</f>
        <v>2.8640071683735925E-2</v>
      </c>
      <c r="BA175" s="22">
        <f>Constants!$H66*'Activity data'!BA8*Constants!$H84*FracLEACHMM*MMLeachEF*NtoN2O*kgtoGg</f>
        <v>2.8877171474684857E-2</v>
      </c>
      <c r="BB175" s="22">
        <f>Constants!$H66*'Activity data'!BB8*Constants!$H84*FracLEACHMM*MMLeachEF*NtoN2O*kgtoGg</f>
        <v>2.9129861427597242E-2</v>
      </c>
      <c r="BC175" s="22">
        <f>Constants!$H66*'Activity data'!BC8*Constants!$H84*FracLEACHMM*MMLeachEF*NtoN2O*kgtoGg</f>
        <v>2.9408020774721655E-2</v>
      </c>
      <c r="BD175" s="22">
        <f>Constants!$H66*'Activity data'!BD8*Constants!$H84*FracLEACHMM*MMLeachEF*NtoN2O*kgtoGg</f>
        <v>2.958135107830024E-2</v>
      </c>
      <c r="BE175" s="22">
        <f>Constants!$H66*'Activity data'!BE8*Constants!$H84*FracLEACHMM*MMLeachEF*NtoN2O*kgtoGg</f>
        <v>2.9711386636381822E-2</v>
      </c>
      <c r="BF175" s="22">
        <f>Constants!$H66*'Activity data'!BF8*Constants!$H84*FracLEACHMM*MMLeachEF*NtoN2O*kgtoGg</f>
        <v>2.9801834695120533E-2</v>
      </c>
      <c r="BG175" s="22">
        <f>Constants!$H66*'Activity data'!BG8*Constants!$H84*FracLEACHMM*MMLeachEF*NtoN2O*kgtoGg</f>
        <v>3.0083013804328998E-2</v>
      </c>
      <c r="BH175" s="22">
        <f>Constants!$H66*'Activity data'!BH8*Constants!$H84*FracLEACHMM*MMLeachEF*NtoN2O*kgtoGg</f>
        <v>3.0296745523052525E-2</v>
      </c>
      <c r="BI175" s="22">
        <f>Constants!$H66*'Activity data'!BI8*Constants!$H84*FracLEACHMM*MMLeachEF*NtoN2O*kgtoGg</f>
        <v>3.0513175155516516E-2</v>
      </c>
      <c r="BJ175" s="22">
        <f>Constants!$H66*'Activity data'!BJ8*Constants!$H84*FracLEACHMM*MMLeachEF*NtoN2O*kgtoGg</f>
        <v>3.0734778558877459E-2</v>
      </c>
      <c r="BK175" s="22">
        <f>Constants!$H66*'Activity data'!BK8*Constants!$H84*FracLEACHMM*MMLeachEF*NtoN2O*kgtoGg</f>
        <v>3.0966024436887393E-2</v>
      </c>
      <c r="BL175" s="22">
        <f>Constants!$H66*'Activity data'!BL8*Constants!$H84*FracLEACHMM*MMLeachEF*NtoN2O*kgtoGg</f>
        <v>3.1203452529548665E-2</v>
      </c>
      <c r="BM175" s="22">
        <f>Constants!$H66*'Activity data'!BM8*Constants!$H84*FracLEACHMM*MMLeachEF*NtoN2O*kgtoGg</f>
        <v>3.0735097960314203E-2</v>
      </c>
      <c r="BN175" s="22">
        <f>Constants!$H66*'Activity data'!BN8*Constants!$H84*FracLEACHMM*MMLeachEF*NtoN2O*kgtoGg</f>
        <v>3.0204531000918678E-2</v>
      </c>
      <c r="BO175" s="22">
        <f>Constants!$H66*'Activity data'!BO8*Constants!$H84*FracLEACHMM*MMLeachEF*NtoN2O*kgtoGg</f>
        <v>2.9589433707278279E-2</v>
      </c>
      <c r="BP175" s="22">
        <f>Constants!$H66*'Activity data'!BP8*Constants!$H84*FracLEACHMM*MMLeachEF*NtoN2O*kgtoGg</f>
        <v>2.8955059711748863E-2</v>
      </c>
    </row>
    <row r="176" spans="1:68" x14ac:dyDescent="0.3">
      <c r="A176" t="str">
        <f t="shared" si="58"/>
        <v>3C Aggregated and non-CO2 emissions on land</v>
      </c>
      <c r="B176" t="str">
        <f t="shared" si="65"/>
        <v>3C6 Indirect N2O from manure management (N2O)</v>
      </c>
      <c r="C176" t="str">
        <f t="shared" si="67"/>
        <v>Leaching/runoff</v>
      </c>
      <c r="D176" t="str">
        <f t="shared" si="66"/>
        <v xml:space="preserve"> - Subsistence cattle</v>
      </c>
      <c r="E176" t="str">
        <f t="shared" si="64"/>
        <v>Leaching/runoff - Subsistence cattle</v>
      </c>
      <c r="F176" t="str">
        <f t="shared" si="47"/>
        <v>N2O</v>
      </c>
      <c r="G176" t="str">
        <f t="shared" si="48"/>
        <v>Gg N2O</v>
      </c>
      <c r="H176" s="22">
        <f>Constants!$H67*'Activity data'!H9*Constants!$H85*FracLEACHMM*MMLeachEF*NtoN2O*kgtoGg</f>
        <v>3.4964529273561099E-2</v>
      </c>
      <c r="I176" s="22">
        <f>Constants!$H67*'Activity data'!I9*Constants!$H85*FracLEACHMM*MMLeachEF*NtoN2O*kgtoGg</f>
        <v>3.7097441734693364E-2</v>
      </c>
      <c r="J176" s="22">
        <f>Constants!$H67*'Activity data'!J9*Constants!$H85*FracLEACHMM*MMLeachEF*NtoN2O*kgtoGg</f>
        <v>3.8849476970623444E-2</v>
      </c>
      <c r="K176" s="22">
        <f>Constants!$H67*'Activity data'!K9*Constants!$H85*FracLEACHMM*MMLeachEF*NtoN2O*kgtoGg</f>
        <v>3.8392424300380798E-2</v>
      </c>
      <c r="L176" s="22">
        <f>Constants!$H67*'Activity data'!L9*Constants!$H85*FracLEACHMM*MMLeachEF*NtoN2O*kgtoGg</f>
        <v>3.3441020372752331E-2</v>
      </c>
      <c r="M176" s="22">
        <f>Constants!$H67*'Activity data'!M9*Constants!$H85*FracLEACHMM*MMLeachEF*NtoN2O*kgtoGg</f>
        <v>3.2298388697145762E-2</v>
      </c>
      <c r="N176" s="22">
        <f>Constants!$H67*'Activity data'!N9*Constants!$H85*FracLEACHMM*MMLeachEF*NtoN2O*kgtoGg</f>
        <v>3.3212494037631018E-2</v>
      </c>
      <c r="O176" s="22">
        <f>Constants!$H67*'Activity data'!O9*Constants!$H85*FracLEACHMM*MMLeachEF*NtoN2O*kgtoGg</f>
        <v>3.4736002938439779E-2</v>
      </c>
      <c r="P176" s="22">
        <f>Constants!$H67*'Activity data'!P9*Constants!$H85*FracLEACHMM*MMLeachEF*NtoN2O*kgtoGg</f>
        <v>3.6868915399572051E-2</v>
      </c>
      <c r="Q176" s="22">
        <f>Constants!$H67*'Activity data'!Q9*Constants!$H85*FracLEACHMM*MMLeachEF*NtoN2O*kgtoGg</f>
        <v>3.8392424300380798E-2</v>
      </c>
      <c r="R176" s="22">
        <f>Constants!$H67*'Activity data'!R9*Constants!$H85*FracLEACHMM*MMLeachEF*NtoN2O*kgtoGg</f>
        <v>3.7478318959895555E-2</v>
      </c>
      <c r="S176" s="22">
        <f>Constants!$H67*'Activity data'!S9*Constants!$H85*FracLEACHMM*MMLeachEF*NtoN2O*kgtoGg</f>
        <v>3.6564213619410299E-2</v>
      </c>
      <c r="T176" s="22">
        <f>Constants!$H67*'Activity data'!T9*Constants!$H85*FracLEACHMM*MMLeachEF*NtoN2O*kgtoGg</f>
        <v>4.1439442101998333E-2</v>
      </c>
      <c r="U176" s="22">
        <f>Constants!$H67*'Activity data'!U9*Constants!$H85*FracLEACHMM*MMLeachEF*NtoN2O*kgtoGg</f>
        <v>4.242972288752403E-2</v>
      </c>
      <c r="V176" s="22">
        <f>Constants!$H67*'Activity data'!V9*Constants!$H85*FracLEACHMM*MMLeachEF*NtoN2O*kgtoGg</f>
        <v>4.1744143882160085E-2</v>
      </c>
      <c r="W176" s="22">
        <f>Constants!$H67*'Activity data'!W9*Constants!$H85*FracLEACHMM*MMLeachEF*NtoN2O*kgtoGg</f>
        <v>4.0525336761513077E-2</v>
      </c>
      <c r="X176" s="22">
        <f>Constants!$H67*'Activity data'!X9*Constants!$H85*FracLEACHMM*MMLeachEF*NtoN2O*kgtoGg</f>
        <v>4.1820319327200518E-2</v>
      </c>
      <c r="Y176" s="22">
        <f>Constants!$H67*'Activity data'!Y9*Constants!$H85*FracLEACHMM*MMLeachEF*NtoN2O*kgtoGg</f>
        <v>4.3496179118090159E-2</v>
      </c>
      <c r="Z176" s="22">
        <f>Constants!$H67*'Activity data'!Z9*Constants!$H85*FracLEACHMM*MMLeachEF*NtoN2O*kgtoGg</f>
        <v>4.2810600112726221E-2</v>
      </c>
      <c r="AA176" s="22">
        <f>Constants!$H67*'Activity data'!AA9*Constants!$H85*FracLEACHMM*MMLeachEF*NtoN2O*kgtoGg</f>
        <v>4.235354744248359E-2</v>
      </c>
      <c r="AB176" s="22">
        <f>Constants!$H67*'Activity data'!AB9*Constants!$H85*FracLEACHMM*MMLeachEF*NtoN2O*kgtoGg</f>
        <v>4.1744143882160085E-2</v>
      </c>
      <c r="AC176" s="22">
        <f>Constants!$H67*'Activity data'!AC9*Constants!$H85*FracLEACHMM*MMLeachEF*NtoN2O*kgtoGg</f>
        <v>4.2048845662321838E-2</v>
      </c>
      <c r="AD176" s="22">
        <f>Constants!$H67*'Activity data'!AD9*Constants!$H85*FracLEACHMM*MMLeachEF*NtoN2O*kgtoGg</f>
        <v>4.0226293185258936E-2</v>
      </c>
      <c r="AE176" s="22">
        <f>Constants!$H67*'Activity data'!AE9*Constants!$H85*FracLEACHMM*MMLeachEF*NtoN2O*kgtoGg</f>
        <v>3.9877423391049015E-2</v>
      </c>
      <c r="AF176" s="22">
        <f>Constants!$H67*'Activity data'!AF9*Constants!$H85*FracLEACHMM*MMLeachEF*NtoN2O*kgtoGg</f>
        <v>3.9744619221572089E-2</v>
      </c>
      <c r="AG176" s="22">
        <f>Constants!$H67*'Activity data'!AG9*Constants!$H85*FracLEACHMM*MMLeachEF*NtoN2O*kgtoGg</f>
        <v>3.9213881856453713E-2</v>
      </c>
      <c r="AH176" s="22">
        <f>Constants!$H67*'Activity data'!AH9*Constants!$H85*FracLEACHMM*MMLeachEF*NtoN2O*kgtoGg</f>
        <v>3.8443503609481157E-2</v>
      </c>
      <c r="AI176" s="22">
        <f>Constants!$H67*'Activity data'!AI9*Constants!$H85*FracLEACHMM*MMLeachEF*NtoN2O*kgtoGg</f>
        <v>3.7449414696768608E-2</v>
      </c>
      <c r="AJ176" s="22">
        <f>Constants!$H67*'Activity data'!AJ9*Constants!$H85*FracLEACHMM*MMLeachEF*NtoN2O*kgtoGg</f>
        <v>3.666534769725275E-2</v>
      </c>
      <c r="AK176" s="22">
        <f>Constants!$H67*'Activity data'!AK9*Constants!$H85*FracLEACHMM*MMLeachEF*NtoN2O*kgtoGg</f>
        <v>3.5923531179771241E-2</v>
      </c>
      <c r="AL176" s="22">
        <f>Constants!$H67*'Activity data'!AL9*Constants!$H85*FracLEACHMM*MMLeachEF*NtoN2O*kgtoGg</f>
        <v>3.160223497260737E-2</v>
      </c>
      <c r="AM176" s="22">
        <f>Constants!$H67*'Activity data'!AM9*Constants!$H85*FracLEACHMM*MMLeachEF*NtoN2O*kgtoGg</f>
        <v>3.2115550500900779E-2</v>
      </c>
      <c r="AN176" s="22">
        <f>Constants!$H67*'Activity data'!AN9*Constants!$H85*FracLEACHMM*MMLeachEF*NtoN2O*kgtoGg</f>
        <v>3.3073156812397204E-2</v>
      </c>
      <c r="AO176" s="22">
        <f>Constants!$H67*'Activity data'!AO9*Constants!$H85*FracLEACHMM*MMLeachEF*NtoN2O*kgtoGg</f>
        <v>3.3264401853557279E-2</v>
      </c>
      <c r="AP176" s="22">
        <f>Constants!$H67*'Activity data'!AP9*Constants!$H85*FracLEACHMM*MMLeachEF*NtoN2O*kgtoGg</f>
        <v>3.3540232205412031E-2</v>
      </c>
      <c r="AQ176" s="22">
        <f>Constants!$H67*'Activity data'!AQ9*Constants!$H85*FracLEACHMM*MMLeachEF*NtoN2O*kgtoGg</f>
        <v>3.3925021630521073E-2</v>
      </c>
      <c r="AR176" s="22">
        <f>Constants!$H67*'Activity data'!AR9*Constants!$H85*FracLEACHMM*MMLeachEF*NtoN2O*kgtoGg</f>
        <v>3.4366392657851123E-2</v>
      </c>
      <c r="AS176" s="22">
        <f>Constants!$H67*'Activity data'!AS9*Constants!$H85*FracLEACHMM*MMLeachEF*NtoN2O*kgtoGg</f>
        <v>3.4883877012409983E-2</v>
      </c>
      <c r="AT176" s="22">
        <f>Constants!$H67*'Activity data'!AT9*Constants!$H85*FracLEACHMM*MMLeachEF*NtoN2O*kgtoGg</f>
        <v>3.5403748120585117E-2</v>
      </c>
      <c r="AU176" s="22">
        <f>Constants!$H67*'Activity data'!AU9*Constants!$H85*FracLEACHMM*MMLeachEF*NtoN2O*kgtoGg</f>
        <v>3.5988442702135158E-2</v>
      </c>
      <c r="AV176" s="22">
        <f>Constants!$H67*'Activity data'!AV9*Constants!$H85*FracLEACHMM*MMLeachEF*NtoN2O*kgtoGg</f>
        <v>3.6567334829936515E-2</v>
      </c>
      <c r="AW176" s="22">
        <f>Constants!$H67*'Activity data'!AW9*Constants!$H85*FracLEACHMM*MMLeachEF*NtoN2O*kgtoGg</f>
        <v>3.6944426800951023E-2</v>
      </c>
      <c r="AX176" s="22">
        <f>Constants!$H67*'Activity data'!AX9*Constants!$H85*FracLEACHMM*MMLeachEF*NtoN2O*kgtoGg</f>
        <v>3.7254045588106646E-2</v>
      </c>
      <c r="AY176" s="22">
        <f>Constants!$H67*'Activity data'!AY9*Constants!$H85*FracLEACHMM*MMLeachEF*NtoN2O*kgtoGg</f>
        <v>3.7581140293607394E-2</v>
      </c>
      <c r="AZ176" s="22">
        <f>Constants!$H67*'Activity data'!AZ9*Constants!$H85*FracLEACHMM*MMLeachEF*NtoN2O*kgtoGg</f>
        <v>3.801878933452469E-2</v>
      </c>
      <c r="BA176" s="22">
        <f>Constants!$H67*'Activity data'!BA9*Constants!$H85*FracLEACHMM*MMLeachEF*NtoN2O*kgtoGg</f>
        <v>3.8333531808038356E-2</v>
      </c>
      <c r="BB176" s="22">
        <f>Constants!$H67*'Activity data'!BB9*Constants!$H85*FracLEACHMM*MMLeachEF*NtoN2O*kgtoGg</f>
        <v>3.8668969728474223E-2</v>
      </c>
      <c r="BC176" s="22">
        <f>Constants!$H67*'Activity data'!BC9*Constants!$H85*FracLEACHMM*MMLeachEF*NtoN2O*kgtoGg</f>
        <v>3.9038217464182824E-2</v>
      </c>
      <c r="BD176" s="22">
        <f>Constants!$H67*'Activity data'!BD9*Constants!$H85*FracLEACHMM*MMLeachEF*NtoN2O*kgtoGg</f>
        <v>3.9268307960108023E-2</v>
      </c>
      <c r="BE176" s="22">
        <f>Constants!$H67*'Activity data'!BE9*Constants!$H85*FracLEACHMM*MMLeachEF*NtoN2O*kgtoGg</f>
        <v>3.9440926050708265E-2</v>
      </c>
      <c r="BF176" s="22">
        <f>Constants!$H67*'Activity data'!BF9*Constants!$H85*FracLEACHMM*MMLeachEF*NtoN2O*kgtoGg</f>
        <v>3.9560992988000768E-2</v>
      </c>
      <c r="BG176" s="22">
        <f>Constants!$H67*'Activity data'!BG9*Constants!$H85*FracLEACHMM*MMLeachEF*NtoN2O*kgtoGg</f>
        <v>3.9934249362367197E-2</v>
      </c>
      <c r="BH176" s="22">
        <f>Constants!$H67*'Activity data'!BH9*Constants!$H85*FracLEACHMM*MMLeachEF*NtoN2O*kgtoGg</f>
        <v>4.0217971459084928E-2</v>
      </c>
      <c r="BI176" s="22">
        <f>Constants!$H67*'Activity data'!BI9*Constants!$H85*FracLEACHMM*MMLeachEF*NtoN2O*kgtoGg</f>
        <v>4.0505274950963739E-2</v>
      </c>
      <c r="BJ176" s="22">
        <f>Constants!$H67*'Activity data'!BJ9*Constants!$H85*FracLEACHMM*MMLeachEF*NtoN2O*kgtoGg</f>
        <v>4.0799446460072705E-2</v>
      </c>
      <c r="BK176" s="22">
        <f>Constants!$H67*'Activity data'!BK9*Constants!$H85*FracLEACHMM*MMLeachEF*NtoN2O*kgtoGg</f>
        <v>4.1106418049306863E-2</v>
      </c>
      <c r="BL176" s="22">
        <f>Constants!$H67*'Activity data'!BL9*Constants!$H85*FracLEACHMM*MMLeachEF*NtoN2O*kgtoGg</f>
        <v>4.1421596332960157E-2</v>
      </c>
      <c r="BM176" s="22">
        <f>Constants!$H67*'Activity data'!BM9*Constants!$H85*FracLEACHMM*MMLeachEF*NtoN2O*kgtoGg</f>
        <v>4.0799870455377994E-2</v>
      </c>
      <c r="BN176" s="22">
        <f>Constants!$H67*'Activity data'!BN9*Constants!$H85*FracLEACHMM*MMLeachEF*NtoN2O*kgtoGg</f>
        <v>4.0095559597504944E-2</v>
      </c>
      <c r="BO176" s="22">
        <f>Constants!$H67*'Activity data'!BO9*Constants!$H85*FracLEACHMM*MMLeachEF*NtoN2O*kgtoGg</f>
        <v>3.9279037394439685E-2</v>
      </c>
      <c r="BP176" s="22">
        <f>Constants!$H67*'Activity data'!BP9*Constants!$H85*FracLEACHMM*MMLeachEF*NtoN2O*kgtoGg</f>
        <v>3.843692597929859E-2</v>
      </c>
    </row>
    <row r="177" spans="1:68" x14ac:dyDescent="0.3">
      <c r="A177" t="str">
        <f t="shared" si="58"/>
        <v>3C Aggregated and non-CO2 emissions on land</v>
      </c>
      <c r="B177" t="str">
        <f t="shared" si="65"/>
        <v>3C6 Indirect N2O from manure management (N2O)</v>
      </c>
      <c r="C177" t="str">
        <f t="shared" si="67"/>
        <v>Leaching/runoff</v>
      </c>
      <c r="D177" t="str">
        <f t="shared" si="66"/>
        <v xml:space="preserve"> - Feedlot</v>
      </c>
      <c r="E177" t="str">
        <f t="shared" si="64"/>
        <v>Leaching/runoff - Feedlot</v>
      </c>
      <c r="F177" t="str">
        <f t="shared" si="47"/>
        <v>N2O</v>
      </c>
      <c r="G177" t="str">
        <f t="shared" si="48"/>
        <v>Gg N2O</v>
      </c>
      <c r="H177" s="22">
        <f>Constants!$H68*'Activity data'!H10*Constants!$H86*FracLEACHMM*MMLeachEF*NtoN2O*kgtoGg</f>
        <v>3.2554021499999995E-2</v>
      </c>
      <c r="I177" s="22">
        <f>Constants!$H68*'Activity data'!I10*Constants!$H86*FracLEACHMM*MMLeachEF*NtoN2O*kgtoGg</f>
        <v>3.2554021499999995E-2</v>
      </c>
      <c r="J177" s="22">
        <f>Constants!$H68*'Activity data'!J10*Constants!$H86*FracLEACHMM*MMLeachEF*NtoN2O*kgtoGg</f>
        <v>3.2554021499999995E-2</v>
      </c>
      <c r="K177" s="22">
        <f>Constants!$H68*'Activity data'!K10*Constants!$H86*FracLEACHMM*MMLeachEF*NtoN2O*kgtoGg</f>
        <v>3.2554021499999995E-2</v>
      </c>
      <c r="L177" s="22">
        <f>Constants!$H68*'Activity data'!L10*Constants!$H86*FracLEACHMM*MMLeachEF*NtoN2O*kgtoGg</f>
        <v>3.2554021499999995E-2</v>
      </c>
      <c r="M177" s="22">
        <f>Constants!$H68*'Activity data'!M10*Constants!$H86*FracLEACHMM*MMLeachEF*NtoN2O*kgtoGg</f>
        <v>3.2554021499999995E-2</v>
      </c>
      <c r="N177" s="22">
        <f>Constants!$H68*'Activity data'!N10*Constants!$H86*FracLEACHMM*MMLeachEF*NtoN2O*kgtoGg</f>
        <v>3.2554021499999995E-2</v>
      </c>
      <c r="O177" s="22">
        <f>Constants!$H68*'Activity data'!O10*Constants!$H86*FracLEACHMM*MMLeachEF*NtoN2O*kgtoGg</f>
        <v>3.2554021499999995E-2</v>
      </c>
      <c r="P177" s="22">
        <f>Constants!$H68*'Activity data'!P10*Constants!$H86*FracLEACHMM*MMLeachEF*NtoN2O*kgtoGg</f>
        <v>3.2554021499999995E-2</v>
      </c>
      <c r="Q177" s="22">
        <f>Constants!$H68*'Activity data'!Q10*Constants!$H86*FracLEACHMM*MMLeachEF*NtoN2O*kgtoGg</f>
        <v>3.2554021499999995E-2</v>
      </c>
      <c r="R177" s="22">
        <f>Constants!$H68*'Activity data'!R10*Constants!$H86*FracLEACHMM*MMLeachEF*NtoN2O*kgtoGg</f>
        <v>3.2554021499999995E-2</v>
      </c>
      <c r="S177" s="22">
        <f>Constants!$H68*'Activity data'!S10*Constants!$H86*FracLEACHMM*MMLeachEF*NtoN2O*kgtoGg</f>
        <v>3.2554021499999995E-2</v>
      </c>
      <c r="T177" s="22">
        <f>Constants!$H68*'Activity data'!T10*Constants!$H86*FracLEACHMM*MMLeachEF*NtoN2O*kgtoGg</f>
        <v>3.2554021499999995E-2</v>
      </c>
      <c r="U177" s="22">
        <f>Constants!$H68*'Activity data'!U10*Constants!$H86*FracLEACHMM*MMLeachEF*NtoN2O*kgtoGg</f>
        <v>3.2554021499999995E-2</v>
      </c>
      <c r="V177" s="22">
        <f>Constants!$H68*'Activity data'!V10*Constants!$H86*FracLEACHMM*MMLeachEF*NtoN2O*kgtoGg</f>
        <v>3.2554021499999995E-2</v>
      </c>
      <c r="W177" s="22">
        <f>Constants!$H68*'Activity data'!W10*Constants!$H86*FracLEACHMM*MMLeachEF*NtoN2O*kgtoGg</f>
        <v>3.2554021499999995E-2</v>
      </c>
      <c r="X177" s="22">
        <f>Constants!$H68*'Activity data'!X10*Constants!$H86*FracLEACHMM*MMLeachEF*NtoN2O*kgtoGg</f>
        <v>3.2554021499999995E-2</v>
      </c>
      <c r="Y177" s="22">
        <f>Constants!$H68*'Activity data'!Y10*Constants!$H86*FracLEACHMM*MMLeachEF*NtoN2O*kgtoGg</f>
        <v>3.2554021499999995E-2</v>
      </c>
      <c r="Z177" s="22">
        <f>Constants!$H68*'Activity data'!Z10*Constants!$H86*FracLEACHMM*MMLeachEF*NtoN2O*kgtoGg</f>
        <v>3.0317695864706243E-2</v>
      </c>
      <c r="AA177" s="22">
        <f>Constants!$H68*'Activity data'!AA10*Constants!$H86*FracLEACHMM*MMLeachEF*NtoN2O*kgtoGg</f>
        <v>3.1067342637581243E-2</v>
      </c>
      <c r="AB177" s="22">
        <f>Constants!$H68*'Activity data'!AB10*Constants!$H86*FracLEACHMM*MMLeachEF*NtoN2O*kgtoGg</f>
        <v>3.0990059132174997E-2</v>
      </c>
      <c r="AC177" s="22">
        <f>Constants!$H68*'Activity data'!AC10*Constants!$H86*FracLEACHMM*MMLeachEF*NtoN2O*kgtoGg</f>
        <v>3.5793934653262499E-2</v>
      </c>
      <c r="AD177" s="22">
        <f>Constants!$H68*'Activity data'!AD10*Constants!$H86*FracLEACHMM*MMLeachEF*NtoN2O*kgtoGg</f>
        <v>4.1968337096859203E-2</v>
      </c>
      <c r="AE177" s="22">
        <f>Constants!$H68*'Activity data'!AE10*Constants!$H86*FracLEACHMM*MMLeachEF*NtoN2O*kgtoGg</f>
        <v>4.3383434779753462E-2</v>
      </c>
      <c r="AF177" s="22">
        <f>Constants!$H68*'Activity data'!AF10*Constants!$H86*FracLEACHMM*MMLeachEF*NtoN2O*kgtoGg</f>
        <v>4.5063007666824861E-2</v>
      </c>
      <c r="AG177" s="22">
        <f>Constants!$H68*'Activity data'!AG10*Constants!$H86*FracLEACHMM*MMLeachEF*NtoN2O*kgtoGg</f>
        <v>4.6315596244033502E-2</v>
      </c>
      <c r="AH177" s="22">
        <f>Constants!$H68*'Activity data'!AH10*Constants!$H86*FracLEACHMM*MMLeachEF*NtoN2O*kgtoGg</f>
        <v>4.7281576900430194E-2</v>
      </c>
      <c r="AI177" s="22">
        <f>Constants!$H68*'Activity data'!AI10*Constants!$H86*FracLEACHMM*MMLeachEF*NtoN2O*kgtoGg</f>
        <v>4.7947144057730852E-2</v>
      </c>
      <c r="AJ177" s="22">
        <f>Constants!$H68*'Activity data'!AJ10*Constants!$H86*FracLEACHMM*MMLeachEF*NtoN2O*kgtoGg</f>
        <v>4.8855920576585825E-2</v>
      </c>
      <c r="AK177" s="22">
        <f>Constants!$H68*'Activity data'!AK10*Constants!$H86*FracLEACHMM*MMLeachEF*NtoN2O*kgtoGg</f>
        <v>4.9808583705724517E-2</v>
      </c>
      <c r="AL177" s="22">
        <f>Constants!$H68*'Activity data'!AL10*Constants!$H86*FracLEACHMM*MMLeachEF*NtoN2O*kgtoGg</f>
        <v>4.558792439477468E-2</v>
      </c>
      <c r="AM177" s="22">
        <f>Constants!$H68*'Activity data'!AM10*Constants!$H86*FracLEACHMM*MMLeachEF*NtoN2O*kgtoGg</f>
        <v>4.7444585849147458E-2</v>
      </c>
      <c r="AN177" s="22">
        <f>Constants!$H68*'Activity data'!AN10*Constants!$H86*FracLEACHMM*MMLeachEF*NtoN2O*kgtoGg</f>
        <v>5.0020252871766716E-2</v>
      </c>
      <c r="AO177" s="22">
        <f>Constants!$H68*'Activity data'!AO10*Constants!$H86*FracLEACHMM*MMLeachEF*NtoN2O*kgtoGg</f>
        <v>5.1489747377125035E-2</v>
      </c>
      <c r="AP177" s="22">
        <f>Constants!$H68*'Activity data'!AP10*Constants!$H86*FracLEACHMM*MMLeachEF*NtoN2O*kgtoGg</f>
        <v>5.3120325210598208E-2</v>
      </c>
      <c r="AQ177" s="22">
        <f>Constants!$H68*'Activity data'!AQ10*Constants!$H86*FracLEACHMM*MMLeachEF*NtoN2O*kgtoGg</f>
        <v>5.4961817995869279E-2</v>
      </c>
      <c r="AR177" s="22">
        <f>Constants!$H68*'Activity data'!AR10*Constants!$H86*FracLEACHMM*MMLeachEF*NtoN2O*kgtoGg</f>
        <v>5.6940702891012454E-2</v>
      </c>
      <c r="AS177" s="22">
        <f>Constants!$H68*'Activity data'!AS10*Constants!$H86*FracLEACHMM*MMLeachEF*NtoN2O*kgtoGg</f>
        <v>5.909779909090021E-2</v>
      </c>
      <c r="AT177" s="22">
        <f>Constants!$H68*'Activity data'!AT10*Constants!$H86*FracLEACHMM*MMLeachEF*NtoN2O*kgtoGg</f>
        <v>6.1315559224141662E-2</v>
      </c>
      <c r="AU177" s="22">
        <f>Constants!$H68*'Activity data'!AU10*Constants!$H86*FracLEACHMM*MMLeachEF*NtoN2O*kgtoGg</f>
        <v>6.3706453642829244E-2</v>
      </c>
      <c r="AV177" s="22">
        <f>Constants!$H68*'Activity data'!AV10*Constants!$H86*FracLEACHMM*MMLeachEF*NtoN2O*kgtoGg</f>
        <v>6.6151992620882463E-2</v>
      </c>
      <c r="AW177" s="22">
        <f>Constants!$H68*'Activity data'!AW10*Constants!$H86*FracLEACHMM*MMLeachEF*NtoN2O*kgtoGg</f>
        <v>6.9050571490334375E-2</v>
      </c>
      <c r="AX177" s="22">
        <f>Constants!$H68*'Activity data'!AX10*Constants!$H86*FracLEACHMM*MMLeachEF*NtoN2O*kgtoGg</f>
        <v>7.1942782657683113E-2</v>
      </c>
      <c r="AY177" s="22">
        <f>Constants!$H68*'Activity data'!AY10*Constants!$H86*FracLEACHMM*MMLeachEF*NtoN2O*kgtoGg</f>
        <v>7.499198620981147E-2</v>
      </c>
      <c r="AZ177" s="22">
        <f>Constants!$H68*'Activity data'!AZ10*Constants!$H86*FracLEACHMM*MMLeachEF*NtoN2O*kgtoGg</f>
        <v>7.8400492834913502E-2</v>
      </c>
      <c r="BA177" s="22">
        <f>Constants!$H68*'Activity data'!BA10*Constants!$H86*FracLEACHMM*MMLeachEF*NtoN2O*kgtoGg</f>
        <v>8.1701156762449018E-2</v>
      </c>
      <c r="BB177" s="22">
        <f>Constants!$H68*'Activity data'!BB10*Constants!$H86*FracLEACHMM*MMLeachEF*NtoN2O*kgtoGg</f>
        <v>8.5192788556250426E-2</v>
      </c>
      <c r="BC177" s="22">
        <f>Constants!$H68*'Activity data'!BC10*Constants!$H86*FracLEACHMM*MMLeachEF*NtoN2O*kgtoGg</f>
        <v>8.8918442809121118E-2</v>
      </c>
      <c r="BD177" s="22">
        <f>Constants!$H68*'Activity data'!BD10*Constants!$H86*FracLEACHMM*MMLeachEF*NtoN2O*kgtoGg</f>
        <v>9.248798577918188E-2</v>
      </c>
      <c r="BE177" s="22">
        <f>Constants!$H68*'Activity data'!BE10*Constants!$H86*FracLEACHMM*MMLeachEF*NtoN2O*kgtoGg</f>
        <v>9.6077147406772881E-2</v>
      </c>
      <c r="BF177" s="22">
        <f>Constants!$H68*'Activity data'!BF10*Constants!$H86*FracLEACHMM*MMLeachEF*NtoN2O*kgtoGg</f>
        <v>9.9693715805378641E-2</v>
      </c>
      <c r="BG177" s="22">
        <f>Constants!$H68*'Activity data'!BG10*Constants!$H86*FracLEACHMM*MMLeachEF*NtoN2O*kgtoGg</f>
        <v>0.10347374306833025</v>
      </c>
      <c r="BH177" s="22">
        <f>Constants!$H68*'Activity data'!BH10*Constants!$H86*FracLEACHMM*MMLeachEF*NtoN2O*kgtoGg</f>
        <v>0.1071593390128282</v>
      </c>
      <c r="BI177" s="22">
        <f>Constants!$H68*'Activity data'!BI10*Constants!$H86*FracLEACHMM*MMLeachEF*NtoN2O*kgtoGg</f>
        <v>0.11099240238226693</v>
      </c>
      <c r="BJ177" s="22">
        <f>Constants!$H68*'Activity data'!BJ10*Constants!$H86*FracLEACHMM*MMLeachEF*NtoN2O*kgtoGg</f>
        <v>0.11498990238948355</v>
      </c>
      <c r="BK177" s="22">
        <f>Constants!$H68*'Activity data'!BK10*Constants!$H86*FracLEACHMM*MMLeachEF*NtoN2O*kgtoGg</f>
        <v>0.11917803768424121</v>
      </c>
      <c r="BL177" s="22">
        <f>Constants!$H68*'Activity data'!BL10*Constants!$H86*FracLEACHMM*MMLeachEF*NtoN2O*kgtoGg</f>
        <v>0.12355418732739334</v>
      </c>
      <c r="BM177" s="22">
        <f>Constants!$H68*'Activity data'!BM10*Constants!$H86*FracLEACHMM*MMLeachEF*NtoN2O*kgtoGg</f>
        <v>0.1252281322589274</v>
      </c>
      <c r="BN177" s="22">
        <f>Constants!$H68*'Activity data'!BN10*Constants!$H86*FracLEACHMM*MMLeachEF*NtoN2O*kgtoGg</f>
        <v>0.1266560621373938</v>
      </c>
      <c r="BO177" s="22">
        <f>Constants!$H68*'Activity data'!BO10*Constants!$H86*FracLEACHMM*MMLeachEF*NtoN2O*kgtoGg</f>
        <v>0.12771943748303299</v>
      </c>
      <c r="BP177" s="22">
        <f>Constants!$H68*'Activity data'!BP10*Constants!$H86*FracLEACHMM*MMLeachEF*NtoN2O*kgtoGg</f>
        <v>0.12867585314816252</v>
      </c>
    </row>
    <row r="178" spans="1:68" x14ac:dyDescent="0.3">
      <c r="A178" t="str">
        <f t="shared" si="58"/>
        <v>3C Aggregated and non-CO2 emissions on land</v>
      </c>
      <c r="B178" t="str">
        <f t="shared" si="65"/>
        <v>3C6 Indirect N2O from manure management (N2O)</v>
      </c>
      <c r="C178" t="str">
        <f t="shared" si="67"/>
        <v>Leaching/runoff</v>
      </c>
      <c r="D178" t="str">
        <f t="shared" si="66"/>
        <v xml:space="preserve"> - Commercial sheep</v>
      </c>
      <c r="E178" t="str">
        <f t="shared" si="64"/>
        <v>Leaching/runoff - Commercial sheep</v>
      </c>
      <c r="F178" t="str">
        <f t="shared" si="47"/>
        <v>N2O</v>
      </c>
      <c r="G178" t="str">
        <f t="shared" si="48"/>
        <v>Gg N2O</v>
      </c>
      <c r="H178" s="22">
        <f>Constants!$H69*'Activity data'!H11*Constants!$H87*FracLEACHMM*MMLeachEF*NtoN2O*kgtoGg</f>
        <v>6.9270979206507962E-3</v>
      </c>
      <c r="I178" s="22">
        <f>Constants!$H69*'Activity data'!I11*Constants!$H87*FracLEACHMM*MMLeachEF*NtoN2O*kgtoGg</f>
        <v>6.6156222878065631E-3</v>
      </c>
      <c r="J178" s="22">
        <f>Constants!$H69*'Activity data'!J11*Constants!$H87*FracLEACHMM*MMLeachEF*NtoN2O*kgtoGg</f>
        <v>6.3422723815345083E-3</v>
      </c>
      <c r="K178" s="22">
        <f>Constants!$H69*'Activity data'!K11*Constants!$H87*FracLEACHMM*MMLeachEF*NtoN2O*kgtoGg</f>
        <v>5.9314387945930795E-3</v>
      </c>
      <c r="L178" s="22">
        <f>Constants!$H69*'Activity data'!L11*Constants!$H87*FracLEACHMM*MMLeachEF*NtoN2O*kgtoGg</f>
        <v>5.9732615613177133E-3</v>
      </c>
      <c r="M178" s="22">
        <f>Constants!$H69*'Activity data'!M11*Constants!$H87*FracLEACHMM*MMLeachEF*NtoN2O*kgtoGg</f>
        <v>5.8877675077922183E-3</v>
      </c>
      <c r="N178" s="22">
        <f>Constants!$H69*'Activity data'!N11*Constants!$H87*FracLEACHMM*MMLeachEF*NtoN2O*kgtoGg</f>
        <v>5.90740803360213E-3</v>
      </c>
      <c r="O178" s="22">
        <f>Constants!$H69*'Activity data'!O11*Constants!$H87*FracLEACHMM*MMLeachEF*NtoN2O*kgtoGg</f>
        <v>5.7789358883043596E-3</v>
      </c>
      <c r="P178" s="22">
        <f>Constants!$H69*'Activity data'!P11*Constants!$H87*FracLEACHMM*MMLeachEF*NtoN2O*kgtoGg</f>
        <v>5.7948793739618174E-3</v>
      </c>
      <c r="Q178" s="22">
        <f>Constants!$H69*'Activity data'!Q11*Constants!$H87*FracLEACHMM*MMLeachEF*NtoN2O*kgtoGg</f>
        <v>5.6525433280923453E-3</v>
      </c>
      <c r="R178" s="22">
        <f>Constants!$H69*'Activity data'!R11*Constants!$H87*FracLEACHMM*MMLeachEF*NtoN2O*kgtoGg</f>
        <v>5.449899314735971E-3</v>
      </c>
      <c r="S178" s="22">
        <f>Constants!$H69*'Activity data'!S11*Constants!$H87*FracLEACHMM*MMLeachEF*NtoN2O*kgtoGg</f>
        <v>5.3140330891332929E-3</v>
      </c>
      <c r="T178" s="22">
        <f>Constants!$H69*'Activity data'!T11*Constants!$H87*FracLEACHMM*MMLeachEF*NtoN2O*kgtoGg</f>
        <v>5.2253041254744018E-3</v>
      </c>
      <c r="U178" s="22">
        <f>Constants!$H69*'Activity data'!U11*Constants!$H87*FracLEACHMM*MMLeachEF*NtoN2O*kgtoGg</f>
        <v>5.2435582612271421E-3</v>
      </c>
      <c r="V178" s="22">
        <f>Constants!$H69*'Activity data'!V11*Constants!$H87*FracLEACHMM*MMLeachEF*NtoN2O*kgtoGg</f>
        <v>5.1502079973776843E-3</v>
      </c>
      <c r="W178" s="22">
        <f>Constants!$H69*'Activity data'!W11*Constants!$H87*FracLEACHMM*MMLeachEF*NtoN2O*kgtoGg</f>
        <v>5.1379615518726812E-3</v>
      </c>
      <c r="X178" s="22">
        <f>Constants!$H69*'Activity data'!X11*Constants!$H87*FracLEACHMM*MMLeachEF*NtoN2O*kgtoGg</f>
        <v>5.0707216340999273E-3</v>
      </c>
      <c r="Y178" s="22">
        <f>Constants!$H69*'Activity data'!Y11*Constants!$H87*FracLEACHMM*MMLeachEF*NtoN2O*kgtoGg</f>
        <v>5.0658692688998318E-3</v>
      </c>
      <c r="Z178" s="22">
        <f>Constants!$H69*'Activity data'!Z11*Constants!$H87*FracLEACHMM*MMLeachEF*NtoN2O*kgtoGg</f>
        <v>5.0822748845763448E-3</v>
      </c>
      <c r="AA178" s="22">
        <f>Constants!$H69*'Activity data'!AA11*Constants!$H87*FracLEACHMM*MMLeachEF*NtoN2O*kgtoGg</f>
        <v>5.0642518138331325E-3</v>
      </c>
      <c r="AB178" s="22">
        <f>Constants!$H69*'Activity data'!AB11*Constants!$H87*FracLEACHMM*MMLeachEF*NtoN2O*kgtoGg</f>
        <v>4.9662802497931072E-3</v>
      </c>
      <c r="AC178" s="22">
        <f>Constants!$H69*'Activity data'!AC11*Constants!$H87*FracLEACHMM*MMLeachEF*NtoN2O*kgtoGg</f>
        <v>4.9274613281923407E-3</v>
      </c>
      <c r="AD178" s="22">
        <f>Constants!$H69*'Activity data'!AD11*Constants!$H87*FracLEACHMM*MMLeachEF*NtoN2O*kgtoGg</f>
        <v>4.3945619533695716E-3</v>
      </c>
      <c r="AE178" s="22">
        <f>Constants!$H69*'Activity data'!AE11*Constants!$H87*FracLEACHMM*MMLeachEF*NtoN2O*kgtoGg</f>
        <v>4.3969380790341763E-3</v>
      </c>
      <c r="AF178" s="22">
        <f>Constants!$H69*'Activity data'!AF11*Constants!$H87*FracLEACHMM*MMLeachEF*NtoN2O*kgtoGg</f>
        <v>4.4026193063540784E-3</v>
      </c>
      <c r="AG178" s="22">
        <f>Constants!$H69*'Activity data'!AG11*Constants!$H87*FracLEACHMM*MMLeachEF*NtoN2O*kgtoGg</f>
        <v>4.4109963215778836E-3</v>
      </c>
      <c r="AH178" s="22">
        <f>Constants!$H69*'Activity data'!AH11*Constants!$H87*FracLEACHMM*MMLeachEF*NtoN2O*kgtoGg</f>
        <v>4.4220158913338588E-3</v>
      </c>
      <c r="AI178" s="22">
        <f>Constants!$H69*'Activity data'!AI11*Constants!$H87*FracLEACHMM*MMLeachEF*NtoN2O*kgtoGg</f>
        <v>4.4355616535255637E-3</v>
      </c>
      <c r="AJ178" s="22">
        <f>Constants!$H69*'Activity data'!AJ11*Constants!$H87*FracLEACHMM*MMLeachEF*NtoN2O*kgtoGg</f>
        <v>4.4507753934109251E-3</v>
      </c>
      <c r="AK178" s="22">
        <f>Constants!$H69*'Activity data'!AK11*Constants!$H87*FracLEACHMM*MMLeachEF*NtoN2O*kgtoGg</f>
        <v>4.467561061292976E-3</v>
      </c>
      <c r="AL178" s="22">
        <f>Constants!$H69*'Activity data'!AL11*Constants!$H87*FracLEACHMM*MMLeachEF*NtoN2O*kgtoGg</f>
        <v>4.4829106304263445E-3</v>
      </c>
      <c r="AM178" s="22">
        <f>Constants!$H69*'Activity data'!AM11*Constants!$H87*FracLEACHMM*MMLeachEF*NtoN2O*kgtoGg</f>
        <v>4.4896556027107107E-3</v>
      </c>
      <c r="AN178" s="22">
        <f>Constants!$H69*'Activity data'!AN11*Constants!$H87*FracLEACHMM*MMLeachEF*NtoN2O*kgtoGg</f>
        <v>4.4978926629073816E-3</v>
      </c>
      <c r="AO178" s="22">
        <f>Constants!$H69*'Activity data'!AO11*Constants!$H87*FracLEACHMM*MMLeachEF*NtoN2O*kgtoGg</f>
        <v>4.5065504561298229E-3</v>
      </c>
      <c r="AP178" s="22">
        <f>Constants!$H69*'Activity data'!AP11*Constants!$H87*FracLEACHMM*MMLeachEF*NtoN2O*kgtoGg</f>
        <v>4.5162706773714013E-3</v>
      </c>
      <c r="AQ178" s="22">
        <f>Constants!$H69*'Activity data'!AQ11*Constants!$H87*FracLEACHMM*MMLeachEF*NtoN2O*kgtoGg</f>
        <v>4.527026129260852E-3</v>
      </c>
      <c r="AR178" s="22">
        <f>Constants!$H69*'Activity data'!AR11*Constants!$H87*FracLEACHMM*MMLeachEF*NtoN2O*kgtoGg</f>
        <v>4.5337431797518573E-3</v>
      </c>
      <c r="AS178" s="22">
        <f>Constants!$H69*'Activity data'!AS11*Constants!$H87*FracLEACHMM*MMLeachEF*NtoN2O*kgtoGg</f>
        <v>4.5413317440573253E-3</v>
      </c>
      <c r="AT178" s="22">
        <f>Constants!$H69*'Activity data'!AT11*Constants!$H87*FracLEACHMM*MMLeachEF*NtoN2O*kgtoGg</f>
        <v>4.5496892838415501E-3</v>
      </c>
      <c r="AU178" s="22">
        <f>Constants!$H69*'Activity data'!AU11*Constants!$H87*FracLEACHMM*MMLeachEF*NtoN2O*kgtoGg</f>
        <v>4.5588387793970616E-3</v>
      </c>
      <c r="AV178" s="22">
        <f>Constants!$H69*'Activity data'!AV11*Constants!$H87*FracLEACHMM*MMLeachEF*NtoN2O*kgtoGg</f>
        <v>4.5686857941763257E-3</v>
      </c>
      <c r="AW178" s="22">
        <f>Constants!$H69*'Activity data'!AW11*Constants!$H87*FracLEACHMM*MMLeachEF*NtoN2O*kgtoGg</f>
        <v>4.5752913220902473E-3</v>
      </c>
      <c r="AX178" s="22">
        <f>Constants!$H69*'Activity data'!AX11*Constants!$H87*FracLEACHMM*MMLeachEF*NtoN2O*kgtoGg</f>
        <v>4.582462373127697E-3</v>
      </c>
      <c r="AY178" s="22">
        <f>Constants!$H69*'Activity data'!AY11*Constants!$H87*FracLEACHMM*MMLeachEF*NtoN2O*kgtoGg</f>
        <v>4.5902565907943761E-3</v>
      </c>
      <c r="AZ178" s="22">
        <f>Constants!$H69*'Activity data'!AZ11*Constants!$H87*FracLEACHMM*MMLeachEF*NtoN2O*kgtoGg</f>
        <v>4.59875005922699E-3</v>
      </c>
      <c r="BA178" s="22">
        <f>Constants!$H69*'Activity data'!BA11*Constants!$H87*FracLEACHMM*MMLeachEF*NtoN2O*kgtoGg</f>
        <v>4.6076877369256993E-3</v>
      </c>
      <c r="BB178" s="22">
        <f>Constants!$H69*'Activity data'!BB11*Constants!$H87*FracLEACHMM*MMLeachEF*NtoN2O*kgtoGg</f>
        <v>4.6134006720946743E-3</v>
      </c>
      <c r="BC178" s="22">
        <f>Constants!$H69*'Activity data'!BC11*Constants!$H87*FracLEACHMM*MMLeachEF*NtoN2O*kgtoGg</f>
        <v>4.6196582419180043E-3</v>
      </c>
      <c r="BD178" s="22">
        <f>Constants!$H69*'Activity data'!BD11*Constants!$H87*FracLEACHMM*MMLeachEF*NtoN2O*kgtoGg</f>
        <v>4.626254058673806E-3</v>
      </c>
      <c r="BE178" s="22">
        <f>Constants!$H69*'Activity data'!BE11*Constants!$H87*FracLEACHMM*MMLeachEF*NtoN2O*kgtoGg</f>
        <v>4.6332583415557996E-3</v>
      </c>
      <c r="BF178" s="22">
        <f>Constants!$H69*'Activity data'!BF11*Constants!$H87*FracLEACHMM*MMLeachEF*NtoN2O*kgtoGg</f>
        <v>4.6406604705372459E-3</v>
      </c>
      <c r="BG178" s="22">
        <f>Constants!$H69*'Activity data'!BG11*Constants!$H87*FracLEACHMM*MMLeachEF*NtoN2O*kgtoGg</f>
        <v>4.6450341959288514E-3</v>
      </c>
      <c r="BH178" s="22">
        <f>Constants!$H69*'Activity data'!BH11*Constants!$H87*FracLEACHMM*MMLeachEF*NtoN2O*kgtoGg</f>
        <v>4.6497032008589968E-3</v>
      </c>
      <c r="BI178" s="22">
        <f>Constants!$H69*'Activity data'!BI11*Constants!$H87*FracLEACHMM*MMLeachEF*NtoN2O*kgtoGg</f>
        <v>4.6547677652323564E-3</v>
      </c>
      <c r="BJ178" s="22">
        <f>Constants!$H69*'Activity data'!BJ11*Constants!$H87*FracLEACHMM*MMLeachEF*NtoN2O*kgtoGg</f>
        <v>4.6602229926895984E-3</v>
      </c>
      <c r="BK178" s="22">
        <f>Constants!$H69*'Activity data'!BK11*Constants!$H87*FracLEACHMM*MMLeachEF*NtoN2O*kgtoGg</f>
        <v>4.6660687701808173E-3</v>
      </c>
      <c r="BL178" s="22">
        <f>Constants!$H69*'Activity data'!BL11*Constants!$H87*FracLEACHMM*MMLeachEF*NtoN2O*kgtoGg</f>
        <v>4.6687208592955552E-3</v>
      </c>
      <c r="BM178" s="22">
        <f>Constants!$H69*'Activity data'!BM11*Constants!$H87*FracLEACHMM*MMLeachEF*NtoN2O*kgtoGg</f>
        <v>4.6704299553969519E-3</v>
      </c>
      <c r="BN178" s="22">
        <f>Constants!$H69*'Activity data'!BN11*Constants!$H87*FracLEACHMM*MMLeachEF*NtoN2O*kgtoGg</f>
        <v>4.6723034477338006E-3</v>
      </c>
      <c r="BO178" s="22">
        <f>Constants!$H69*'Activity data'!BO11*Constants!$H87*FracLEACHMM*MMLeachEF*NtoN2O*kgtoGg</f>
        <v>4.6742823579489622E-3</v>
      </c>
      <c r="BP178" s="22">
        <f>Constants!$H69*'Activity data'!BP11*Constants!$H87*FracLEACHMM*MMLeachEF*NtoN2O*kgtoGg</f>
        <v>4.6764744826629494E-3</v>
      </c>
    </row>
    <row r="179" spans="1:68" x14ac:dyDescent="0.3">
      <c r="A179" t="str">
        <f t="shared" si="58"/>
        <v>3C Aggregated and non-CO2 emissions on land</v>
      </c>
      <c r="B179" t="str">
        <f t="shared" si="65"/>
        <v>3C6 Indirect N2O from manure management (N2O)</v>
      </c>
      <c r="C179" t="str">
        <f t="shared" si="67"/>
        <v>Leaching/runoff</v>
      </c>
      <c r="D179" t="str">
        <f t="shared" si="66"/>
        <v xml:space="preserve"> - Subsistence sheep</v>
      </c>
      <c r="E179" t="str">
        <f t="shared" si="64"/>
        <v>Leaching/runoff - Subsistence sheep</v>
      </c>
      <c r="F179" t="str">
        <f t="shared" si="47"/>
        <v>N2O</v>
      </c>
      <c r="G179" t="str">
        <f t="shared" si="48"/>
        <v>Gg N2O</v>
      </c>
      <c r="H179" s="22">
        <f>Constants!$H70*'Activity data'!H12*Constants!$H88*FracLEACHMM*MMLeachEF*NtoN2O*kgtoGg</f>
        <v>5.3816678004133863E-3</v>
      </c>
      <c r="I179" s="22">
        <f>Constants!$H70*'Activity data'!I12*Constants!$H88*FracLEACHMM*MMLeachEF*NtoN2O*kgtoGg</f>
        <v>5.1396821372839546E-3</v>
      </c>
      <c r="J179" s="22">
        <f>Constants!$H70*'Activity data'!J12*Constants!$H88*FracLEACHMM*MMLeachEF*NtoN2O*kgtoGg</f>
        <v>4.9273163809915805E-3</v>
      </c>
      <c r="K179" s="22">
        <f>Constants!$H70*'Activity data'!K12*Constants!$H88*FracLEACHMM*MMLeachEF*NtoN2O*kgtoGg</f>
        <v>4.6081394454989032E-3</v>
      </c>
      <c r="L179" s="22">
        <f>Constants!$H70*'Activity data'!L12*Constants!$H88*FracLEACHMM*MMLeachEF*NtoN2O*kgtoGg</f>
        <v>4.640631585726222E-3</v>
      </c>
      <c r="M179" s="22">
        <f>Constants!$H70*'Activity data'!M12*Constants!$H88*FracLEACHMM*MMLeachEF*NtoN2O*kgtoGg</f>
        <v>4.574211188576453E-3</v>
      </c>
      <c r="N179" s="22">
        <f>Constants!$H70*'Activity data'!N12*Constants!$H88*FracLEACHMM*MMLeachEF*NtoN2O*kgtoGg</f>
        <v>4.5894699284622113E-3</v>
      </c>
      <c r="O179" s="22">
        <f>Constants!$H70*'Activity data'!O12*Constants!$H88*FracLEACHMM*MMLeachEF*NtoN2O*kgtoGg</f>
        <v>4.4896598181506653E-3</v>
      </c>
      <c r="P179" s="22">
        <f>Constants!$H70*'Activity data'!P12*Constants!$H88*FracLEACHMM*MMLeachEF*NtoN2O*kgtoGg</f>
        <v>4.5020463246461771E-3</v>
      </c>
      <c r="Q179" s="22">
        <f>Constants!$H70*'Activity data'!Q12*Constants!$H88*FracLEACHMM*MMLeachEF*NtoN2O*kgtoGg</f>
        <v>4.3914653391211545E-3</v>
      </c>
      <c r="R179" s="22">
        <f>Constants!$H70*'Activity data'!R12*Constants!$H88*FracLEACHMM*MMLeachEF*NtoN2O*kgtoGg</f>
        <v>4.2340310464175105E-3</v>
      </c>
      <c r="S179" s="22">
        <f>Constants!$H70*'Activity data'!S12*Constants!$H88*FracLEACHMM*MMLeachEF*NtoN2O*kgtoGg</f>
        <v>4.1284764693254421E-3</v>
      </c>
      <c r="T179" s="22">
        <f>Constants!$H70*'Activity data'!T12*Constants!$H88*FracLEACHMM*MMLeachEF*NtoN2O*kgtoGg</f>
        <v>4.0595428679591952E-3</v>
      </c>
      <c r="U179" s="22">
        <f>Constants!$H70*'Activity data'!U12*Constants!$H88*FracLEACHMM*MMLeachEF*NtoN2O*kgtoGg</f>
        <v>4.0737245203236053E-3</v>
      </c>
      <c r="V179" s="22">
        <f>Constants!$H70*'Activity data'!V12*Constants!$H88*FracLEACHMM*MMLeachEF*NtoN2O*kgtoGg</f>
        <v>4.0012006272195314E-3</v>
      </c>
      <c r="W179" s="22">
        <f>Constants!$H70*'Activity data'!W12*Constants!$H88*FracLEACHMM*MMLeachEF*NtoN2O*kgtoGg</f>
        <v>3.9916863541142947E-3</v>
      </c>
      <c r="X179" s="22">
        <f>Constants!$H70*'Activity data'!X12*Constants!$H88*FracLEACHMM*MMLeachEF*NtoN2O*kgtoGg</f>
        <v>3.939447609328935E-3</v>
      </c>
      <c r="Y179" s="22">
        <f>Constants!$H70*'Activity data'!Y12*Constants!$H88*FracLEACHMM*MMLeachEF*NtoN2O*kgtoGg</f>
        <v>3.9356778030042172E-3</v>
      </c>
      <c r="Z179" s="22">
        <f>Constants!$H70*'Activity data'!Z12*Constants!$H88*FracLEACHMM*MMLeachEF*NtoN2O*kgtoGg</f>
        <v>3.9484233386734985E-3</v>
      </c>
      <c r="AA179" s="22">
        <f>Constants!$H70*'Activity data'!AA12*Constants!$H88*FracLEACHMM*MMLeachEF*NtoN2O*kgtoGg</f>
        <v>3.9344212008959783E-3</v>
      </c>
      <c r="AB179" s="22">
        <f>Constants!$H70*'Activity data'!AB12*Constants!$H88*FracLEACHMM*MMLeachEF*NtoN2O*kgtoGg</f>
        <v>3.8583070160540809E-3</v>
      </c>
      <c r="AC179" s="22">
        <f>Constants!$H70*'Activity data'!AC12*Constants!$H88*FracLEACHMM*MMLeachEF*NtoN2O*kgtoGg</f>
        <v>3.8281485654563466E-3</v>
      </c>
      <c r="AD179" s="22">
        <f>Constants!$H70*'Activity data'!AD12*Constants!$H88*FracLEACHMM*MMLeachEF*NtoN2O*kgtoGg</f>
        <v>3.6554846257269864E-3</v>
      </c>
      <c r="AE179" s="22">
        <f>Constants!$H70*'Activity data'!AE12*Constants!$H88*FracLEACHMM*MMLeachEF*NtoN2O*kgtoGg</f>
        <v>3.6574611346322943E-3</v>
      </c>
      <c r="AF179" s="22">
        <f>Constants!$H70*'Activity data'!AF12*Constants!$H88*FracLEACHMM*MMLeachEF*NtoN2O*kgtoGg</f>
        <v>3.662186893272979E-3</v>
      </c>
      <c r="AG179" s="22">
        <f>Constants!$H70*'Activity data'!AG12*Constants!$H88*FracLEACHMM*MMLeachEF*NtoN2O*kgtoGg</f>
        <v>3.6691550622702605E-3</v>
      </c>
      <c r="AH179" s="22">
        <f>Constants!$H70*'Activity data'!AH12*Constants!$H88*FracLEACHMM*MMLeachEF*NtoN2O*kgtoGg</f>
        <v>3.6783213610396305E-3</v>
      </c>
      <c r="AI179" s="22">
        <f>Constants!$H70*'Activity data'!AI12*Constants!$H88*FracLEACHMM*MMLeachEF*NtoN2O*kgtoGg</f>
        <v>3.6895889972593382E-3</v>
      </c>
      <c r="AJ179" s="22">
        <f>Constants!$H70*'Activity data'!AJ12*Constants!$H88*FracLEACHMM*MMLeachEF*NtoN2O*kgtoGg</f>
        <v>3.7022440907227717E-3</v>
      </c>
      <c r="AK179" s="22">
        <f>Constants!$H70*'Activity data'!AK12*Constants!$H88*FracLEACHMM*MMLeachEF*NtoN2O*kgtoGg</f>
        <v>3.7162067453687837E-3</v>
      </c>
      <c r="AL179" s="22">
        <f>Constants!$H70*'Activity data'!AL12*Constants!$H88*FracLEACHMM*MMLeachEF*NtoN2O*kgtoGg</f>
        <v>3.7289748243204386E-3</v>
      </c>
      <c r="AM179" s="22">
        <f>Constants!$H70*'Activity data'!AM12*Constants!$H88*FracLEACHMM*MMLeachEF*NtoN2O*kgtoGg</f>
        <v>3.7345854273220752E-3</v>
      </c>
      <c r="AN179" s="22">
        <f>Constants!$H70*'Activity data'!AN12*Constants!$H88*FracLEACHMM*MMLeachEF*NtoN2O*kgtoGg</f>
        <v>3.7414371789254476E-3</v>
      </c>
      <c r="AO179" s="22">
        <f>Constants!$H70*'Activity data'!AO12*Constants!$H88*FracLEACHMM*MMLeachEF*NtoN2O*kgtoGg</f>
        <v>3.7486389046840498E-3</v>
      </c>
      <c r="AP179" s="22">
        <f>Constants!$H70*'Activity data'!AP12*Constants!$H88*FracLEACHMM*MMLeachEF*NtoN2O*kgtoGg</f>
        <v>3.7567243793421119E-3</v>
      </c>
      <c r="AQ179" s="22">
        <f>Constants!$H70*'Activity data'!AQ12*Constants!$H88*FracLEACHMM*MMLeachEF*NtoN2O*kgtoGg</f>
        <v>3.7656709795816407E-3</v>
      </c>
      <c r="AR179" s="22">
        <f>Constants!$H70*'Activity data'!AR12*Constants!$H88*FracLEACHMM*MMLeachEF*NtoN2O*kgtoGg</f>
        <v>3.7712583566764787E-3</v>
      </c>
      <c r="AS179" s="22">
        <f>Constants!$H70*'Activity data'!AS12*Constants!$H88*FracLEACHMM*MMLeachEF*NtoN2O*kgtoGg</f>
        <v>3.7775706764126256E-3</v>
      </c>
      <c r="AT179" s="22">
        <f>Constants!$H70*'Activity data'!AT12*Constants!$H88*FracLEACHMM*MMLeachEF*NtoN2O*kgtoGg</f>
        <v>3.784522645349305E-3</v>
      </c>
      <c r="AU179" s="22">
        <f>Constants!$H70*'Activity data'!AU12*Constants!$H88*FracLEACHMM*MMLeachEF*NtoN2O*kgtoGg</f>
        <v>3.7921333789539768E-3</v>
      </c>
      <c r="AV179" s="22">
        <f>Constants!$H70*'Activity data'!AV12*Constants!$H88*FracLEACHMM*MMLeachEF*NtoN2O*kgtoGg</f>
        <v>3.8003243230154901E-3</v>
      </c>
      <c r="AW179" s="22">
        <f>Constants!$H70*'Activity data'!AW12*Constants!$H88*FracLEACHMM*MMLeachEF*NtoN2O*kgtoGg</f>
        <v>3.805818933397678E-3</v>
      </c>
      <c r="AX179" s="22">
        <f>Constants!$H70*'Activity data'!AX12*Constants!$H88*FracLEACHMM*MMLeachEF*NtoN2O*kgtoGg</f>
        <v>3.8117839572375635E-3</v>
      </c>
      <c r="AY179" s="22">
        <f>Constants!$H70*'Activity data'!AY12*Constants!$H88*FracLEACHMM*MMLeachEF*NtoN2O*kgtoGg</f>
        <v>3.8182673435573919E-3</v>
      </c>
      <c r="AZ179" s="22">
        <f>Constants!$H70*'Activity data'!AZ12*Constants!$H88*FracLEACHMM*MMLeachEF*NtoN2O*kgtoGg</f>
        <v>3.8253323806655189E-3</v>
      </c>
      <c r="BA179" s="22">
        <f>Constants!$H70*'Activity data'!BA12*Constants!$H88*FracLEACHMM*MMLeachEF*NtoN2O*kgtoGg</f>
        <v>3.8327669199356464E-3</v>
      </c>
      <c r="BB179" s="22">
        <f>Constants!$H70*'Activity data'!BB12*Constants!$H88*FracLEACHMM*MMLeachEF*NtoN2O*kgtoGg</f>
        <v>3.8375190538000809E-3</v>
      </c>
      <c r="BC179" s="22">
        <f>Constants!$H70*'Activity data'!BC12*Constants!$H88*FracLEACHMM*MMLeachEF*NtoN2O*kgtoGg</f>
        <v>3.8427242256753023E-3</v>
      </c>
      <c r="BD179" s="22">
        <f>Constants!$H70*'Activity data'!BD12*Constants!$H88*FracLEACHMM*MMLeachEF*NtoN2O*kgtoGg</f>
        <v>3.8482107581217181E-3</v>
      </c>
      <c r="BE179" s="22">
        <f>Constants!$H70*'Activity data'!BE12*Constants!$H88*FracLEACHMM*MMLeachEF*NtoN2O*kgtoGg</f>
        <v>3.8540370608706733E-3</v>
      </c>
      <c r="BF179" s="22">
        <f>Constants!$H70*'Activity data'!BF12*Constants!$H88*FracLEACHMM*MMLeachEF*NtoN2O*kgtoGg</f>
        <v>3.8601942999712795E-3</v>
      </c>
      <c r="BG179" s="22">
        <f>Constants!$H70*'Activity data'!BG12*Constants!$H88*FracLEACHMM*MMLeachEF*NtoN2O*kgtoGg</f>
        <v>3.8638324523277176E-3</v>
      </c>
      <c r="BH179" s="22">
        <f>Constants!$H70*'Activity data'!BH12*Constants!$H88*FracLEACHMM*MMLeachEF*NtoN2O*kgtoGg</f>
        <v>3.8677162241167358E-3</v>
      </c>
      <c r="BI179" s="22">
        <f>Constants!$H70*'Activity data'!BI12*Constants!$H88*FracLEACHMM*MMLeachEF*NtoN2O*kgtoGg</f>
        <v>3.87192903017096E-3</v>
      </c>
      <c r="BJ179" s="22">
        <f>Constants!$H70*'Activity data'!BJ12*Constants!$H88*FracLEACHMM*MMLeachEF*NtoN2O*kgtoGg</f>
        <v>3.8764667976006581E-3</v>
      </c>
      <c r="BK179" s="22">
        <f>Constants!$H70*'Activity data'!BK12*Constants!$H88*FracLEACHMM*MMLeachEF*NtoN2O*kgtoGg</f>
        <v>3.8813294323686563E-3</v>
      </c>
      <c r="BL179" s="22">
        <f>Constants!$H70*'Activity data'!BL12*Constants!$H88*FracLEACHMM*MMLeachEF*NtoN2O*kgtoGg</f>
        <v>3.8835354931974382E-3</v>
      </c>
      <c r="BM179" s="22">
        <f>Constants!$H70*'Activity data'!BM12*Constants!$H88*FracLEACHMM*MMLeachEF*NtoN2O*kgtoGg</f>
        <v>3.8849571535560438E-3</v>
      </c>
      <c r="BN179" s="22">
        <f>Constants!$H70*'Activity data'!BN12*Constants!$H88*FracLEACHMM*MMLeachEF*NtoN2O*kgtoGg</f>
        <v>3.8865155619950283E-3</v>
      </c>
      <c r="BO179" s="22">
        <f>Constants!$H70*'Activity data'!BO12*Constants!$H88*FracLEACHMM*MMLeachEF*NtoN2O*kgtoGg</f>
        <v>3.8881616591359886E-3</v>
      </c>
      <c r="BP179" s="22">
        <f>Constants!$H70*'Activity data'!BP12*Constants!$H88*FracLEACHMM*MMLeachEF*NtoN2O*kgtoGg</f>
        <v>3.8899851123662963E-3</v>
      </c>
    </row>
    <row r="180" spans="1:68" x14ac:dyDescent="0.3">
      <c r="A180" t="str">
        <f t="shared" si="58"/>
        <v>3C Aggregated and non-CO2 emissions on land</v>
      </c>
      <c r="B180" t="str">
        <f t="shared" si="65"/>
        <v>3C6 Indirect N2O from manure management (N2O)</v>
      </c>
      <c r="C180" t="str">
        <f t="shared" si="67"/>
        <v>Leaching/runoff</v>
      </c>
      <c r="D180" t="str">
        <f t="shared" si="66"/>
        <v xml:space="preserve"> - Commercial goats</v>
      </c>
      <c r="E180" t="str">
        <f t="shared" si="64"/>
        <v>Leaching/runoff - Commercial goats</v>
      </c>
      <c r="F180" t="str">
        <f t="shared" si="47"/>
        <v>N2O</v>
      </c>
      <c r="G180" t="str">
        <f t="shared" si="48"/>
        <v>Gg N2O</v>
      </c>
      <c r="H180" s="22">
        <f>Constants!$H71*'Activity data'!H13*Constants!$H89*FracLEACHMM*MMLeachEF*NtoN2O*kgtoGg</f>
        <v>7.2865318808700474E-4</v>
      </c>
      <c r="I180" s="22">
        <f>Constants!$H71*'Activity data'!I13*Constants!$H89*FracLEACHMM*MMLeachEF*NtoN2O*kgtoGg</f>
        <v>6.4433535341651871E-4</v>
      </c>
      <c r="J180" s="22">
        <f>Constants!$H71*'Activity data'!J13*Constants!$H89*FracLEACHMM*MMLeachEF*NtoN2O*kgtoGg</f>
        <v>6.0020639321514246E-4</v>
      </c>
      <c r="K180" s="22">
        <f>Constants!$H71*'Activity data'!K13*Constants!$H89*FracLEACHMM*MMLeachEF*NtoN2O*kgtoGg</f>
        <v>5.6710967306411041E-4</v>
      </c>
      <c r="L180" s="22">
        <f>Constants!$H71*'Activity data'!L13*Constants!$H89*FracLEACHMM*MMLeachEF*NtoN2O*kgtoGg</f>
        <v>6.138653570869968E-4</v>
      </c>
      <c r="M180" s="22">
        <f>Constants!$H71*'Activity data'!M13*Constants!$H89*FracLEACHMM*MMLeachEF*NtoN2O*kgtoGg</f>
        <v>6.2227087331583042E-4</v>
      </c>
      <c r="N180" s="22">
        <f>Constants!$H71*'Activity data'!N13*Constants!$H89*FracLEACHMM*MMLeachEF*NtoN2O*kgtoGg</f>
        <v>6.3198975145541928E-4</v>
      </c>
      <c r="O180" s="22">
        <f>Constants!$H71*'Activity data'!O13*Constants!$H89*FracLEACHMM*MMLeachEF*NtoN2O*kgtoGg</f>
        <v>6.2883768286960682E-4</v>
      </c>
      <c r="P180" s="22">
        <f>Constants!$H71*'Activity data'!P13*Constants!$H89*FracLEACHMM*MMLeachEF*NtoN2O*kgtoGg</f>
        <v>6.1990682187647121E-4</v>
      </c>
      <c r="Q180" s="22">
        <f>Constants!$H71*'Activity data'!Q13*Constants!$H89*FracLEACHMM*MMLeachEF*NtoN2O*kgtoGg</f>
        <v>6.1071328850118467E-4</v>
      </c>
      <c r="R180" s="22">
        <f>Constants!$H71*'Activity data'!R13*Constants!$H89*FracLEACHMM*MMLeachEF*NtoN2O*kgtoGg</f>
        <v>6.1859345996571587E-4</v>
      </c>
      <c r="S180" s="22">
        <f>Constants!$H71*'Activity data'!S13*Constants!$H89*FracLEACHMM*MMLeachEF*NtoN2O*kgtoGg</f>
        <v>6.3750587148059137E-4</v>
      </c>
      <c r="T180" s="22">
        <f>Constants!$H71*'Activity data'!T13*Constants!$H89*FracLEACHMM*MMLeachEF*NtoN2O*kgtoGg</f>
        <v>5.8208199884672053E-4</v>
      </c>
      <c r="U180" s="22">
        <f>Constants!$H71*'Activity data'!U13*Constants!$H89*FracLEACHMM*MMLeachEF*NtoN2O*kgtoGg</f>
        <v>5.6737234544626167E-4</v>
      </c>
      <c r="V180" s="22">
        <f>Constants!$H71*'Activity data'!V13*Constants!$H89*FracLEACHMM*MMLeachEF*NtoN2O*kgtoGg</f>
        <v>5.6842303497486597E-4</v>
      </c>
      <c r="W180" s="22">
        <f>Constants!$H71*'Activity data'!W13*Constants!$H89*FracLEACHMM*MMLeachEF*NtoN2O*kgtoGg</f>
        <v>5.6106820827463643E-4</v>
      </c>
      <c r="X180" s="22">
        <f>Constants!$H71*'Activity data'!X13*Constants!$H89*FracLEACHMM*MMLeachEF*NtoN2O*kgtoGg</f>
        <v>5.7288846547143355E-4</v>
      </c>
      <c r="Y180" s="22">
        <f>Constants!$H71*'Activity data'!Y13*Constants!$H89*FracLEACHMM*MMLeachEF*NtoN2O*kgtoGg</f>
        <v>5.558147606316157E-4</v>
      </c>
      <c r="Z180" s="22">
        <f>Constants!$H71*'Activity data'!Z13*Constants!$H89*FracLEACHMM*MMLeachEF*NtoN2O*kgtoGg</f>
        <v>5.5528941586731361E-4</v>
      </c>
      <c r="AA180" s="22">
        <f>Constants!$H71*'Activity data'!AA13*Constants!$H89*FracLEACHMM*MMLeachEF*NtoN2O*kgtoGg</f>
        <v>5.4557053772772487E-4</v>
      </c>
      <c r="AB180" s="22">
        <f>Constants!$H71*'Activity data'!AB13*Constants!$H89*FracLEACHMM*MMLeachEF*NtoN2O*kgtoGg</f>
        <v>5.3900372817394858E-4</v>
      </c>
      <c r="AC180" s="22">
        <f>Constants!$H71*'Activity data'!AC13*Constants!$H89*FracLEACHMM*MMLeachEF*NtoN2O*kgtoGg</f>
        <v>5.3401295291307879E-4</v>
      </c>
      <c r="AD180" s="22">
        <f>Constants!$H71*'Activity data'!AD13*Constants!$H89*FracLEACHMM*MMLeachEF*NtoN2O*kgtoGg</f>
        <v>5.4322987485311562E-4</v>
      </c>
      <c r="AE180" s="22">
        <f>Constants!$H71*'Activity data'!AE13*Constants!$H89*FracLEACHMM*MMLeachEF*NtoN2O*kgtoGg</f>
        <v>5.4464201031358182E-4</v>
      </c>
      <c r="AF180" s="22">
        <f>Constants!$H71*'Activity data'!AF13*Constants!$H89*FracLEACHMM*MMLeachEF*NtoN2O*kgtoGg</f>
        <v>5.4659000127818655E-4</v>
      </c>
      <c r="AG180" s="22">
        <f>Constants!$H71*'Activity data'!AG13*Constants!$H89*FracLEACHMM*MMLeachEF*NtoN2O*kgtoGg</f>
        <v>5.4896316873921213E-4</v>
      </c>
      <c r="AH180" s="22">
        <f>Constants!$H71*'Activity data'!AH13*Constants!$H89*FracLEACHMM*MMLeachEF*NtoN2O*kgtoGg</f>
        <v>5.5175812793145673E-4</v>
      </c>
      <c r="AI180" s="22">
        <f>Constants!$H71*'Activity data'!AI13*Constants!$H89*FracLEACHMM*MMLeachEF*NtoN2O*kgtoGg</f>
        <v>5.5495786726734487E-4</v>
      </c>
      <c r="AJ180" s="22">
        <f>Constants!$H71*'Activity data'!AJ13*Constants!$H89*FracLEACHMM*MMLeachEF*NtoN2O*kgtoGg</f>
        <v>5.5840147541839718E-4</v>
      </c>
      <c r="AK180" s="22">
        <f>Constants!$H71*'Activity data'!AK13*Constants!$H89*FracLEACHMM*MMLeachEF*NtoN2O*kgtoGg</f>
        <v>5.620753208024884E-4</v>
      </c>
      <c r="AL180" s="22">
        <f>Constants!$H71*'Activity data'!AL13*Constants!$H89*FracLEACHMM*MMLeachEF*NtoN2O*kgtoGg</f>
        <v>5.65407082502121E-4</v>
      </c>
      <c r="AM180" s="22">
        <f>Constants!$H71*'Activity data'!AM13*Constants!$H89*FracLEACHMM*MMLeachEF*NtoN2O*kgtoGg</f>
        <v>5.6703451753723681E-4</v>
      </c>
      <c r="AN180" s="22">
        <f>Constants!$H71*'Activity data'!AN13*Constants!$H89*FracLEACHMM*MMLeachEF*NtoN2O*kgtoGg</f>
        <v>5.6889992124546543E-4</v>
      </c>
      <c r="AO180" s="22">
        <f>Constants!$H71*'Activity data'!AO13*Constants!$H89*FracLEACHMM*MMLeachEF*NtoN2O*kgtoGg</f>
        <v>5.7080142404289684E-4</v>
      </c>
      <c r="AP180" s="22">
        <f>Constants!$H71*'Activity data'!AP13*Constants!$H89*FracLEACHMM*MMLeachEF*NtoN2O*kgtoGg</f>
        <v>5.7286374667304399E-4</v>
      </c>
      <c r="AQ180" s="22">
        <f>Constants!$H71*'Activity data'!AQ13*Constants!$H89*FracLEACHMM*MMLeachEF*NtoN2O*kgtoGg</f>
        <v>5.7508348073871955E-4</v>
      </c>
      <c r="AR180" s="22">
        <f>Constants!$H71*'Activity data'!AR13*Constants!$H89*FracLEACHMM*MMLeachEF*NtoN2O*kgtoGg</f>
        <v>5.765040134864081E-4</v>
      </c>
      <c r="AS180" s="22">
        <f>Constants!$H71*'Activity data'!AS13*Constants!$H89*FracLEACHMM*MMLeachEF*NtoN2O*kgtoGg</f>
        <v>5.7805815510049798E-4</v>
      </c>
      <c r="AT180" s="22">
        <f>Constants!$H71*'Activity data'!AT13*Constants!$H89*FracLEACHMM*MMLeachEF*NtoN2O*kgtoGg</f>
        <v>5.7972772798702628E-4</v>
      </c>
      <c r="AU180" s="22">
        <f>Constants!$H71*'Activity data'!AU13*Constants!$H89*FracLEACHMM*MMLeachEF*NtoN2O*kgtoGg</f>
        <v>5.8151809327226973E-4</v>
      </c>
      <c r="AV180" s="22">
        <f>Constants!$H71*'Activity data'!AV13*Constants!$H89*FracLEACHMM*MMLeachEF*NtoN2O*kgtoGg</f>
        <v>5.8341243976409618E-4</v>
      </c>
      <c r="AW180" s="22">
        <f>Constants!$H71*'Activity data'!AW13*Constants!$H89*FracLEACHMM*MMLeachEF*NtoN2O*kgtoGg</f>
        <v>5.8467575387111191E-4</v>
      </c>
      <c r="AX180" s="22">
        <f>Constants!$H71*'Activity data'!AX13*Constants!$H89*FracLEACHMM*MMLeachEF*NtoN2O*kgtoGg</f>
        <v>5.8602300319697499E-4</v>
      </c>
      <c r="AY180" s="22">
        <f>Constants!$H71*'Activity data'!AY13*Constants!$H89*FracLEACHMM*MMLeachEF*NtoN2O*kgtoGg</f>
        <v>5.8746559148115021E-4</v>
      </c>
      <c r="AZ180" s="22">
        <f>Constants!$H71*'Activity data'!AZ13*Constants!$H89*FracLEACHMM*MMLeachEF*NtoN2O*kgtoGg</f>
        <v>5.8901817067528485E-4</v>
      </c>
      <c r="BA180" s="22">
        <f>Constants!$H71*'Activity data'!BA13*Constants!$H89*FracLEACHMM*MMLeachEF*NtoN2O*kgtoGg</f>
        <v>5.9063383572059778E-4</v>
      </c>
      <c r="BB180" s="22">
        <f>Constants!$H71*'Activity data'!BB13*Constants!$H89*FracLEACHMM*MMLeachEF*NtoN2O*kgtoGg</f>
        <v>5.9163445865223843E-4</v>
      </c>
      <c r="BC180" s="22">
        <f>Constants!$H71*'Activity data'!BC13*Constants!$H89*FracLEACHMM*MMLeachEF*NtoN2O*kgtoGg</f>
        <v>5.927203167225099E-4</v>
      </c>
      <c r="BD180" s="22">
        <f>Constants!$H71*'Activity data'!BD13*Constants!$H89*FracLEACHMM*MMLeachEF*NtoN2O*kgtoGg</f>
        <v>5.9385364522191255E-4</v>
      </c>
      <c r="BE180" s="22">
        <f>Constants!$H71*'Activity data'!BE13*Constants!$H89*FracLEACHMM*MMLeachEF*NtoN2O*kgtoGg</f>
        <v>5.9504779442231843E-4</v>
      </c>
      <c r="BF180" s="22">
        <f>Constants!$H71*'Activity data'!BF13*Constants!$H89*FracLEACHMM*MMLeachEF*NtoN2O*kgtoGg</f>
        <v>5.9630112936813668E-4</v>
      </c>
      <c r="BG180" s="22">
        <f>Constants!$H71*'Activity data'!BG13*Constants!$H89*FracLEACHMM*MMLeachEF*NtoN2O*kgtoGg</f>
        <v>5.9698587491705869E-4</v>
      </c>
      <c r="BH180" s="22">
        <f>Constants!$H71*'Activity data'!BH13*Constants!$H89*FracLEACHMM*MMLeachEF*NtoN2O*kgtoGg</f>
        <v>5.9771375764922606E-4</v>
      </c>
      <c r="BI180" s="22">
        <f>Constants!$H71*'Activity data'!BI13*Constants!$H89*FracLEACHMM*MMLeachEF*NtoN2O*kgtoGg</f>
        <v>5.9850335838718442E-4</v>
      </c>
      <c r="BJ180" s="22">
        <f>Constants!$H71*'Activity data'!BJ13*Constants!$H89*FracLEACHMM*MMLeachEF*NtoN2O*kgtoGg</f>
        <v>5.993539230264727E-4</v>
      </c>
      <c r="BK180" s="22">
        <f>Constants!$H71*'Activity data'!BK13*Constants!$H89*FracLEACHMM*MMLeachEF*NtoN2O*kgtoGg</f>
        <v>6.0026554968942018E-4</v>
      </c>
      <c r="BL180" s="22">
        <f>Constants!$H71*'Activity data'!BL13*Constants!$H89*FracLEACHMM*MMLeachEF*NtoN2O*kgtoGg</f>
        <v>6.0058687026311956E-4</v>
      </c>
      <c r="BM180" s="22">
        <f>Constants!$H71*'Activity data'!BM13*Constants!$H89*FracLEACHMM*MMLeachEF*NtoN2O*kgtoGg</f>
        <v>6.0072956880295909E-4</v>
      </c>
      <c r="BN180" s="22">
        <f>Constants!$H71*'Activity data'!BN13*Constants!$H89*FracLEACHMM*MMLeachEF*NtoN2O*kgtoGg</f>
        <v>6.0089545684115426E-4</v>
      </c>
      <c r="BO180" s="22">
        <f>Constants!$H71*'Activity data'!BO13*Constants!$H89*FracLEACHMM*MMLeachEF*NtoN2O*kgtoGg</f>
        <v>6.0107404835249166E-4</v>
      </c>
      <c r="BP180" s="22">
        <f>Constants!$H71*'Activity data'!BP13*Constants!$H89*FracLEACHMM*MMLeachEF*NtoN2O*kgtoGg</f>
        <v>6.0128502571355803E-4</v>
      </c>
    </row>
    <row r="181" spans="1:68" x14ac:dyDescent="0.3">
      <c r="A181" t="str">
        <f t="shared" si="58"/>
        <v>3C Aggregated and non-CO2 emissions on land</v>
      </c>
      <c r="B181" t="str">
        <f t="shared" si="65"/>
        <v>3C6 Indirect N2O from manure management (N2O)</v>
      </c>
      <c r="C181" t="str">
        <f t="shared" si="67"/>
        <v>Leaching/runoff</v>
      </c>
      <c r="D181" t="str">
        <f t="shared" si="66"/>
        <v xml:space="preserve"> - Subsistence goats</v>
      </c>
      <c r="E181" t="str">
        <f t="shared" si="64"/>
        <v>Leaching/runoff - Subsistence goats</v>
      </c>
      <c r="F181" t="str">
        <f t="shared" si="47"/>
        <v>N2O</v>
      </c>
      <c r="G181" t="str">
        <f t="shared" si="48"/>
        <v>Gg N2O</v>
      </c>
      <c r="H181" s="22">
        <f>Constants!$H72*'Activity data'!H14*Constants!$H90*FracLEACHMM*MMLeachEF*NtoN2O*kgtoGg</f>
        <v>9.1435792098573387E-3</v>
      </c>
      <c r="I181" s="22">
        <f>Constants!$H72*'Activity data'!I14*Constants!$H90*FracLEACHMM*MMLeachEF*NtoN2O*kgtoGg</f>
        <v>8.0855082198197752E-3</v>
      </c>
      <c r="J181" s="22">
        <f>Constants!$H72*'Activity data'!J14*Constants!$H90*FracLEACHMM*MMLeachEF*NtoN2O*kgtoGg</f>
        <v>7.5317514399870309E-3</v>
      </c>
      <c r="K181" s="22">
        <f>Constants!$H72*'Activity data'!K14*Constants!$H90*FracLEACHMM*MMLeachEF*NtoN2O*kgtoGg</f>
        <v>7.1164338551124723E-3</v>
      </c>
      <c r="L181" s="22">
        <f>Constants!$H72*'Activity data'!L14*Constants!$H90*FracLEACHMM*MMLeachEF*NtoN2O*kgtoGg</f>
        <v>7.7031523480304998E-3</v>
      </c>
      <c r="M181" s="22">
        <f>Constants!$H72*'Activity data'!M14*Constants!$H90*FracLEACHMM*MMLeachEF*NtoN2O*kgtoGg</f>
        <v>7.808629829903403E-3</v>
      </c>
      <c r="N181" s="22">
        <f>Constants!$H72*'Activity data'!N14*Constants!$H90*FracLEACHMM*MMLeachEF*NtoN2O*kgtoGg</f>
        <v>7.9305881683189496E-3</v>
      </c>
      <c r="O181" s="22">
        <f>Constants!$H72*'Activity data'!O14*Constants!$H90*FracLEACHMM*MMLeachEF*NtoN2O*kgtoGg</f>
        <v>7.8910341126166086E-3</v>
      </c>
      <c r="P181" s="22">
        <f>Constants!$H72*'Activity data'!P14*Constants!$H90*FracLEACHMM*MMLeachEF*NtoN2O*kgtoGg</f>
        <v>7.7789642881266486E-3</v>
      </c>
      <c r="Q181" s="22">
        <f>Constants!$H72*'Activity data'!Q14*Constants!$H90*FracLEACHMM*MMLeachEF*NtoN2O*kgtoGg</f>
        <v>7.6635982923281606E-3</v>
      </c>
      <c r="R181" s="22">
        <f>Constants!$H72*'Activity data'!R14*Constants!$H90*FracLEACHMM*MMLeachEF*NtoN2O*kgtoGg</f>
        <v>7.7624834315840096E-3</v>
      </c>
      <c r="S181" s="22">
        <f>Constants!$H72*'Activity data'!S14*Constants!$H90*FracLEACHMM*MMLeachEF*NtoN2O*kgtoGg</f>
        <v>7.9998077657980407E-3</v>
      </c>
      <c r="T181" s="22">
        <f>Constants!$H72*'Activity data'!T14*Constants!$H90*FracLEACHMM*MMLeachEF*NtoN2O*kgtoGg</f>
        <v>7.3043156196985837E-3</v>
      </c>
      <c r="U181" s="22">
        <f>Constants!$H72*'Activity data'!U14*Constants!$H90*FracLEACHMM*MMLeachEF*NtoN2O*kgtoGg</f>
        <v>7.1197300264210003E-3</v>
      </c>
      <c r="V181" s="22">
        <f>Constants!$H72*'Activity data'!V14*Constants!$H90*FracLEACHMM*MMLeachEF*NtoN2O*kgtoGg</f>
        <v>7.1329147116551139E-3</v>
      </c>
      <c r="W181" s="22">
        <f>Constants!$H72*'Activity data'!W14*Constants!$H90*FracLEACHMM*MMLeachEF*NtoN2O*kgtoGg</f>
        <v>7.0406219150163226E-3</v>
      </c>
      <c r="X181" s="22">
        <f>Constants!$H72*'Activity data'!X14*Constants!$H90*FracLEACHMM*MMLeachEF*NtoN2O*kgtoGg</f>
        <v>7.1889496239000948E-3</v>
      </c>
      <c r="Y181" s="22">
        <f>Constants!$H72*'Activity data'!Y14*Constants!$H90*FracLEACHMM*MMLeachEF*NtoN2O*kgtoGg</f>
        <v>6.9746984888457595E-3</v>
      </c>
      <c r="Z181" s="22">
        <f>Constants!$H72*'Activity data'!Z14*Constants!$H90*FracLEACHMM*MMLeachEF*NtoN2O*kgtoGg</f>
        <v>6.9681061462287001E-3</v>
      </c>
      <c r="AA181" s="22">
        <f>Constants!$H72*'Activity data'!AA14*Constants!$H90*FracLEACHMM*MMLeachEF*NtoN2O*kgtoGg</f>
        <v>6.846147807813157E-3</v>
      </c>
      <c r="AB181" s="22">
        <f>Constants!$H72*'Activity data'!AB14*Constants!$H90*FracLEACHMM*MMLeachEF*NtoN2O*kgtoGg</f>
        <v>6.7637435250999514E-3</v>
      </c>
      <c r="AC181" s="22">
        <f>Constants!$H72*'Activity data'!AC14*Constants!$H90*FracLEACHMM*MMLeachEF*NtoN2O*kgtoGg</f>
        <v>6.7011162702379145E-3</v>
      </c>
      <c r="AD181" s="22">
        <f>Constants!$H72*'Activity data'!AD14*Constants!$H90*FracLEACHMM*MMLeachEF*NtoN2O*kgtoGg</f>
        <v>6.6992563985089947E-3</v>
      </c>
      <c r="AE181" s="22">
        <f>Constants!$H72*'Activity data'!AE14*Constants!$H90*FracLEACHMM*MMLeachEF*NtoN2O*kgtoGg</f>
        <v>6.716671231449923E-3</v>
      </c>
      <c r="AF181" s="22">
        <f>Constants!$H72*'Activity data'!AF14*Constants!$H90*FracLEACHMM*MMLeachEF*NtoN2O*kgtoGg</f>
        <v>6.7406943780734313E-3</v>
      </c>
      <c r="AG181" s="22">
        <f>Constants!$H72*'Activity data'!AG14*Constants!$H90*FracLEACHMM*MMLeachEF*NtoN2O*kgtoGg</f>
        <v>6.7699609151951386E-3</v>
      </c>
      <c r="AH181" s="22">
        <f>Constants!$H72*'Activity data'!AH14*Constants!$H90*FracLEACHMM*MMLeachEF*NtoN2O*kgtoGg</f>
        <v>6.8044291009834836E-3</v>
      </c>
      <c r="AI181" s="22">
        <f>Constants!$H72*'Activity data'!AI14*Constants!$H90*FracLEACHMM*MMLeachEF*NtoN2O*kgtoGg</f>
        <v>6.8438891439814974E-3</v>
      </c>
      <c r="AJ181" s="22">
        <f>Constants!$H72*'Activity data'!AJ14*Constants!$H90*FracLEACHMM*MMLeachEF*NtoN2O*kgtoGg</f>
        <v>6.8863566425632575E-3</v>
      </c>
      <c r="AK181" s="22">
        <f>Constants!$H72*'Activity data'!AK14*Constants!$H90*FracLEACHMM*MMLeachEF*NtoN2O*kgtoGg</f>
        <v>6.9316634884048298E-3</v>
      </c>
      <c r="AL181" s="22">
        <f>Constants!$H72*'Activity data'!AL14*Constants!$H90*FracLEACHMM*MMLeachEF*NtoN2O*kgtoGg</f>
        <v>6.9727516665736141E-3</v>
      </c>
      <c r="AM181" s="22">
        <f>Constants!$H72*'Activity data'!AM14*Constants!$H90*FracLEACHMM*MMLeachEF*NtoN2O*kgtoGg</f>
        <v>6.9928216315679071E-3</v>
      </c>
      <c r="AN181" s="22">
        <f>Constants!$H72*'Activity data'!AN14*Constants!$H90*FracLEACHMM*MMLeachEF*NtoN2O*kgtoGg</f>
        <v>7.0158262900129739E-3</v>
      </c>
      <c r="AO181" s="22">
        <f>Constants!$H72*'Activity data'!AO14*Constants!$H90*FracLEACHMM*MMLeachEF*NtoN2O*kgtoGg</f>
        <v>7.0392761321003963E-3</v>
      </c>
      <c r="AP181" s="22">
        <f>Constants!$H72*'Activity data'!AP14*Constants!$H90*FracLEACHMM*MMLeachEF*NtoN2O*kgtoGg</f>
        <v>7.0647092474634627E-3</v>
      </c>
      <c r="AQ181" s="22">
        <f>Constants!$H72*'Activity data'!AQ14*Constants!$H90*FracLEACHMM*MMLeachEF*NtoN2O*kgtoGg</f>
        <v>7.0920836028346328E-3</v>
      </c>
      <c r="AR181" s="22">
        <f>Constants!$H72*'Activity data'!AR14*Constants!$H90*FracLEACHMM*MMLeachEF*NtoN2O*kgtoGg</f>
        <v>7.1096019933720011E-3</v>
      </c>
      <c r="AS181" s="22">
        <f>Constants!$H72*'Activity data'!AS14*Constants!$H90*FracLEACHMM*MMLeachEF*NtoN2O*kgtoGg</f>
        <v>7.1287680842560801E-3</v>
      </c>
      <c r="AT181" s="22">
        <f>Constants!$H72*'Activity data'!AT14*Constants!$H90*FracLEACHMM*MMLeachEF*NtoN2O*kgtoGg</f>
        <v>7.1493577045266439E-3</v>
      </c>
      <c r="AU181" s="22">
        <f>Constants!$H72*'Activity data'!AU14*Constants!$H90*FracLEACHMM*MMLeachEF*NtoN2O*kgtoGg</f>
        <v>7.1714369690296844E-3</v>
      </c>
      <c r="AV181" s="22">
        <f>Constants!$H72*'Activity data'!AV14*Constants!$H90*FracLEACHMM*MMLeachEF*NtoN2O*kgtoGg</f>
        <v>7.1947985576385452E-3</v>
      </c>
      <c r="AW181" s="22">
        <f>Constants!$H72*'Activity data'!AW14*Constants!$H90*FracLEACHMM*MMLeachEF*NtoN2O*kgtoGg</f>
        <v>7.2103780857656428E-3</v>
      </c>
      <c r="AX181" s="22">
        <f>Constants!$H72*'Activity data'!AX14*Constants!$H90*FracLEACHMM*MMLeachEF*NtoN2O*kgtoGg</f>
        <v>7.2269927255056137E-3</v>
      </c>
      <c r="AY181" s="22">
        <f>Constants!$H72*'Activity data'!AY14*Constants!$H90*FracLEACHMM*MMLeachEF*NtoN2O*kgtoGg</f>
        <v>7.2447831108296695E-3</v>
      </c>
      <c r="AZ181" s="22">
        <f>Constants!$H72*'Activity data'!AZ14*Constants!$H90*FracLEACHMM*MMLeachEF*NtoN2O*kgtoGg</f>
        <v>7.2639299335321393E-3</v>
      </c>
      <c r="BA181" s="22">
        <f>Constants!$H72*'Activity data'!BA14*Constants!$H90*FracLEACHMM*MMLeachEF*NtoN2O*kgtoGg</f>
        <v>7.2838547478579095E-3</v>
      </c>
      <c r="BB181" s="22">
        <f>Constants!$H72*'Activity data'!BB14*Constants!$H90*FracLEACHMM*MMLeachEF*NtoN2O*kgtoGg</f>
        <v>7.2961946980108746E-3</v>
      </c>
      <c r="BC181" s="22">
        <f>Constants!$H72*'Activity data'!BC14*Constants!$H90*FracLEACHMM*MMLeachEF*NtoN2O*kgtoGg</f>
        <v>7.3095857907358557E-3</v>
      </c>
      <c r="BD181" s="22">
        <f>Constants!$H72*'Activity data'!BD14*Constants!$H90*FracLEACHMM*MMLeachEF*NtoN2O*kgtoGg</f>
        <v>7.3235623015146271E-3</v>
      </c>
      <c r="BE181" s="22">
        <f>Constants!$H72*'Activity data'!BE14*Constants!$H90*FracLEACHMM*MMLeachEF*NtoN2O*kgtoGg</f>
        <v>7.3382888694777E-3</v>
      </c>
      <c r="BF181" s="22">
        <f>Constants!$H72*'Activity data'!BF14*Constants!$H90*FracLEACHMM*MMLeachEF*NtoN2O*kgtoGg</f>
        <v>7.3537453319145558E-3</v>
      </c>
      <c r="BG181" s="22">
        <f>Constants!$H72*'Activity data'!BG14*Constants!$H90*FracLEACHMM*MMLeachEF*NtoN2O*kgtoGg</f>
        <v>7.3621897975308988E-3</v>
      </c>
      <c r="BH181" s="22">
        <f>Constants!$H72*'Activity data'!BH14*Constants!$H90*FracLEACHMM*MMLeachEF*NtoN2O*kgtoGg</f>
        <v>7.3711662424514879E-3</v>
      </c>
      <c r="BI181" s="22">
        <f>Constants!$H72*'Activity data'!BI14*Constants!$H90*FracLEACHMM*MMLeachEF*NtoN2O*kgtoGg</f>
        <v>7.3809038103594829E-3</v>
      </c>
      <c r="BJ181" s="22">
        <f>Constants!$H72*'Activity data'!BJ14*Constants!$H90*FracLEACHMM*MMLeachEF*NtoN2O*kgtoGg</f>
        <v>7.3913932014365797E-3</v>
      </c>
      <c r="BK181" s="22">
        <f>Constants!$H72*'Activity data'!BK14*Constants!$H90*FracLEACHMM*MMLeachEF*NtoN2O*kgtoGg</f>
        <v>7.4026356257536402E-3</v>
      </c>
      <c r="BL181" s="22">
        <f>Constants!$H72*'Activity data'!BL14*Constants!$H90*FracLEACHMM*MMLeachEF*NtoN2O*kgtoGg</f>
        <v>7.4065982371801786E-3</v>
      </c>
      <c r="BM181" s="22">
        <f>Constants!$H72*'Activity data'!BM14*Constants!$H90*FracLEACHMM*MMLeachEF*NtoN2O*kgtoGg</f>
        <v>7.408358033815691E-3</v>
      </c>
      <c r="BN181" s="22">
        <f>Constants!$H72*'Activity data'!BN14*Constants!$H90*FracLEACHMM*MMLeachEF*NtoN2O*kgtoGg</f>
        <v>7.4104038095595542E-3</v>
      </c>
      <c r="BO181" s="22">
        <f>Constants!$H72*'Activity data'!BO14*Constants!$H90*FracLEACHMM*MMLeachEF*NtoN2O*kgtoGg</f>
        <v>7.4126062479386483E-3</v>
      </c>
      <c r="BP181" s="22">
        <f>Constants!$H72*'Activity data'!BP14*Constants!$H90*FracLEACHMM*MMLeachEF*NtoN2O*kgtoGg</f>
        <v>7.4152080772957795E-3</v>
      </c>
    </row>
    <row r="182" spans="1:68" x14ac:dyDescent="0.3">
      <c r="A182" t="str">
        <f t="shared" si="58"/>
        <v>3C Aggregated and non-CO2 emissions on land</v>
      </c>
      <c r="B182" t="str">
        <f t="shared" si="65"/>
        <v>3C6 Indirect N2O from manure management (N2O)</v>
      </c>
      <c r="C182" t="str">
        <f t="shared" si="67"/>
        <v>Leaching/runoff</v>
      </c>
      <c r="D182" t="str">
        <f t="shared" si="66"/>
        <v xml:space="preserve"> - Horses</v>
      </c>
      <c r="E182" t="str">
        <f t="shared" si="64"/>
        <v>Leaching/runoff - Horses</v>
      </c>
      <c r="F182" t="str">
        <f t="shared" si="47"/>
        <v>N2O</v>
      </c>
      <c r="G182" t="str">
        <f t="shared" si="48"/>
        <v>Gg N2O</v>
      </c>
      <c r="H182" s="22">
        <f>Constants!$H73*'Activity data'!H15*Constants!$H91*FracLEACHMM*MMLeachEF*NtoN2O*kgtoGg</f>
        <v>0</v>
      </c>
      <c r="I182" s="22">
        <f>Constants!$H73*'Activity data'!I15*Constants!$H91*FracLEACHMM*MMLeachEF*NtoN2O*kgtoGg</f>
        <v>0</v>
      </c>
      <c r="J182" s="22">
        <f>Constants!$H73*'Activity data'!J15*Constants!$H91*FracLEACHMM*MMLeachEF*NtoN2O*kgtoGg</f>
        <v>0</v>
      </c>
      <c r="K182" s="22">
        <f>Constants!$H73*'Activity data'!K15*Constants!$H91*FracLEACHMM*MMLeachEF*NtoN2O*kgtoGg</f>
        <v>0</v>
      </c>
      <c r="L182" s="22">
        <f>Constants!$H73*'Activity data'!L15*Constants!$H91*FracLEACHMM*MMLeachEF*NtoN2O*kgtoGg</f>
        <v>0</v>
      </c>
      <c r="M182" s="22">
        <f>Constants!$H73*'Activity data'!M15*Constants!$H91*FracLEACHMM*MMLeachEF*NtoN2O*kgtoGg</f>
        <v>0</v>
      </c>
      <c r="N182" s="22">
        <f>Constants!$H73*'Activity data'!N15*Constants!$H91*FracLEACHMM*MMLeachEF*NtoN2O*kgtoGg</f>
        <v>0</v>
      </c>
      <c r="O182" s="22">
        <f>Constants!$H73*'Activity data'!O15*Constants!$H91*FracLEACHMM*MMLeachEF*NtoN2O*kgtoGg</f>
        <v>0</v>
      </c>
      <c r="P182" s="22">
        <f>Constants!$H73*'Activity data'!P15*Constants!$H91*FracLEACHMM*MMLeachEF*NtoN2O*kgtoGg</f>
        <v>0</v>
      </c>
      <c r="Q182" s="22">
        <f>Constants!$H73*'Activity data'!Q15*Constants!$H91*FracLEACHMM*MMLeachEF*NtoN2O*kgtoGg</f>
        <v>0</v>
      </c>
      <c r="R182" s="22">
        <f>Constants!$H73*'Activity data'!R15*Constants!$H91*FracLEACHMM*MMLeachEF*NtoN2O*kgtoGg</f>
        <v>0</v>
      </c>
      <c r="S182" s="22">
        <f>Constants!$H73*'Activity data'!S15*Constants!$H91*FracLEACHMM*MMLeachEF*NtoN2O*kgtoGg</f>
        <v>0</v>
      </c>
      <c r="T182" s="22">
        <f>Constants!$H73*'Activity data'!T15*Constants!$H91*FracLEACHMM*MMLeachEF*NtoN2O*kgtoGg</f>
        <v>0</v>
      </c>
      <c r="U182" s="22">
        <f>Constants!$H73*'Activity data'!U15*Constants!$H91*FracLEACHMM*MMLeachEF*NtoN2O*kgtoGg</f>
        <v>0</v>
      </c>
      <c r="V182" s="22">
        <f>Constants!$H73*'Activity data'!V15*Constants!$H91*FracLEACHMM*MMLeachEF*NtoN2O*kgtoGg</f>
        <v>0</v>
      </c>
      <c r="W182" s="22">
        <f>Constants!$H73*'Activity data'!W15*Constants!$H91*FracLEACHMM*MMLeachEF*NtoN2O*kgtoGg</f>
        <v>0</v>
      </c>
      <c r="X182" s="22">
        <f>Constants!$H73*'Activity data'!X15*Constants!$H91*FracLEACHMM*MMLeachEF*NtoN2O*kgtoGg</f>
        <v>0</v>
      </c>
      <c r="Y182" s="22">
        <f>Constants!$H73*'Activity data'!Y15*Constants!$H91*FracLEACHMM*MMLeachEF*NtoN2O*kgtoGg</f>
        <v>0</v>
      </c>
      <c r="Z182" s="22">
        <f>Constants!$H73*'Activity data'!Z15*Constants!$H91*FracLEACHMM*MMLeachEF*NtoN2O*kgtoGg</f>
        <v>0</v>
      </c>
      <c r="AA182" s="22">
        <f>Constants!$H73*'Activity data'!AA15*Constants!$H91*FracLEACHMM*MMLeachEF*NtoN2O*kgtoGg</f>
        <v>0</v>
      </c>
      <c r="AB182" s="22">
        <f>Constants!$H73*'Activity data'!AB15*Constants!$H91*FracLEACHMM*MMLeachEF*NtoN2O*kgtoGg</f>
        <v>0</v>
      </c>
      <c r="AC182" s="22">
        <f>Constants!$H73*'Activity data'!AC15*Constants!$H91*FracLEACHMM*MMLeachEF*NtoN2O*kgtoGg</f>
        <v>0</v>
      </c>
      <c r="AD182" s="22">
        <f>Constants!$H73*'Activity data'!AD15*Constants!$H91*FracLEACHMM*MMLeachEF*NtoN2O*kgtoGg</f>
        <v>0</v>
      </c>
      <c r="AE182" s="22">
        <f>Constants!$H73*'Activity data'!AE15*Constants!$H91*FracLEACHMM*MMLeachEF*NtoN2O*kgtoGg</f>
        <v>0</v>
      </c>
      <c r="AF182" s="22">
        <f>Constants!$H73*'Activity data'!AF15*Constants!$H91*FracLEACHMM*MMLeachEF*NtoN2O*kgtoGg</f>
        <v>0</v>
      </c>
      <c r="AG182" s="22">
        <f>Constants!$H73*'Activity data'!AG15*Constants!$H91*FracLEACHMM*MMLeachEF*NtoN2O*kgtoGg</f>
        <v>0</v>
      </c>
      <c r="AH182" s="22">
        <f>Constants!$H73*'Activity data'!AH15*Constants!$H91*FracLEACHMM*MMLeachEF*NtoN2O*kgtoGg</f>
        <v>0</v>
      </c>
      <c r="AI182" s="22">
        <f>Constants!$H73*'Activity data'!AI15*Constants!$H91*FracLEACHMM*MMLeachEF*NtoN2O*kgtoGg</f>
        <v>0</v>
      </c>
      <c r="AJ182" s="22">
        <f>Constants!$H73*'Activity data'!AJ15*Constants!$H91*FracLEACHMM*MMLeachEF*NtoN2O*kgtoGg</f>
        <v>0</v>
      </c>
      <c r="AK182" s="22">
        <f>Constants!$H73*'Activity data'!AK15*Constants!$H91*FracLEACHMM*MMLeachEF*NtoN2O*kgtoGg</f>
        <v>0</v>
      </c>
      <c r="AL182" s="22">
        <f>Constants!$H73*'Activity data'!AL15*Constants!$H91*FracLEACHMM*MMLeachEF*NtoN2O*kgtoGg</f>
        <v>0</v>
      </c>
      <c r="AM182" s="22">
        <f>Constants!$H73*'Activity data'!AM15*Constants!$H91*FracLEACHMM*MMLeachEF*NtoN2O*kgtoGg</f>
        <v>0</v>
      </c>
      <c r="AN182" s="22">
        <f>Constants!$H73*'Activity data'!AN15*Constants!$H91*FracLEACHMM*MMLeachEF*NtoN2O*kgtoGg</f>
        <v>0</v>
      </c>
      <c r="AO182" s="22">
        <f>Constants!$H73*'Activity data'!AO15*Constants!$H91*FracLEACHMM*MMLeachEF*NtoN2O*kgtoGg</f>
        <v>0</v>
      </c>
      <c r="AP182" s="22">
        <f>Constants!$H73*'Activity data'!AP15*Constants!$H91*FracLEACHMM*MMLeachEF*NtoN2O*kgtoGg</f>
        <v>0</v>
      </c>
      <c r="AQ182" s="22">
        <f>Constants!$H73*'Activity data'!AQ15*Constants!$H91*FracLEACHMM*MMLeachEF*NtoN2O*kgtoGg</f>
        <v>0</v>
      </c>
      <c r="AR182" s="22">
        <f>Constants!$H73*'Activity data'!AR15*Constants!$H91*FracLEACHMM*MMLeachEF*NtoN2O*kgtoGg</f>
        <v>0</v>
      </c>
      <c r="AS182" s="22">
        <f>Constants!$H73*'Activity data'!AS15*Constants!$H91*FracLEACHMM*MMLeachEF*NtoN2O*kgtoGg</f>
        <v>0</v>
      </c>
      <c r="AT182" s="22">
        <f>Constants!$H73*'Activity data'!AT15*Constants!$H91*FracLEACHMM*MMLeachEF*NtoN2O*kgtoGg</f>
        <v>0</v>
      </c>
      <c r="AU182" s="22">
        <f>Constants!$H73*'Activity data'!AU15*Constants!$H91*FracLEACHMM*MMLeachEF*NtoN2O*kgtoGg</f>
        <v>0</v>
      </c>
      <c r="AV182" s="22">
        <f>Constants!$H73*'Activity data'!AV15*Constants!$H91*FracLEACHMM*MMLeachEF*NtoN2O*kgtoGg</f>
        <v>0</v>
      </c>
      <c r="AW182" s="22">
        <f>Constants!$H73*'Activity data'!AW15*Constants!$H91*FracLEACHMM*MMLeachEF*NtoN2O*kgtoGg</f>
        <v>0</v>
      </c>
      <c r="AX182" s="22">
        <f>Constants!$H73*'Activity data'!AX15*Constants!$H91*FracLEACHMM*MMLeachEF*NtoN2O*kgtoGg</f>
        <v>0</v>
      </c>
      <c r="AY182" s="22">
        <f>Constants!$H73*'Activity data'!AY15*Constants!$H91*FracLEACHMM*MMLeachEF*NtoN2O*kgtoGg</f>
        <v>0</v>
      </c>
      <c r="AZ182" s="22">
        <f>Constants!$H73*'Activity data'!AZ15*Constants!$H91*FracLEACHMM*MMLeachEF*NtoN2O*kgtoGg</f>
        <v>0</v>
      </c>
      <c r="BA182" s="22">
        <f>Constants!$H73*'Activity data'!BA15*Constants!$H91*FracLEACHMM*MMLeachEF*NtoN2O*kgtoGg</f>
        <v>0</v>
      </c>
      <c r="BB182" s="22">
        <f>Constants!$H73*'Activity data'!BB15*Constants!$H91*FracLEACHMM*MMLeachEF*NtoN2O*kgtoGg</f>
        <v>0</v>
      </c>
      <c r="BC182" s="22">
        <f>Constants!$H73*'Activity data'!BC15*Constants!$H91*FracLEACHMM*MMLeachEF*NtoN2O*kgtoGg</f>
        <v>0</v>
      </c>
      <c r="BD182" s="22">
        <f>Constants!$H73*'Activity data'!BD15*Constants!$H91*FracLEACHMM*MMLeachEF*NtoN2O*kgtoGg</f>
        <v>0</v>
      </c>
      <c r="BE182" s="22">
        <f>Constants!$H73*'Activity data'!BE15*Constants!$H91*FracLEACHMM*MMLeachEF*NtoN2O*kgtoGg</f>
        <v>0</v>
      </c>
      <c r="BF182" s="22">
        <f>Constants!$H73*'Activity data'!BF15*Constants!$H91*FracLEACHMM*MMLeachEF*NtoN2O*kgtoGg</f>
        <v>0</v>
      </c>
      <c r="BG182" s="22">
        <f>Constants!$H73*'Activity data'!BG15*Constants!$H91*FracLEACHMM*MMLeachEF*NtoN2O*kgtoGg</f>
        <v>0</v>
      </c>
      <c r="BH182" s="22">
        <f>Constants!$H73*'Activity data'!BH15*Constants!$H91*FracLEACHMM*MMLeachEF*NtoN2O*kgtoGg</f>
        <v>0</v>
      </c>
      <c r="BI182" s="22">
        <f>Constants!$H73*'Activity data'!BI15*Constants!$H91*FracLEACHMM*MMLeachEF*NtoN2O*kgtoGg</f>
        <v>0</v>
      </c>
      <c r="BJ182" s="22">
        <f>Constants!$H73*'Activity data'!BJ15*Constants!$H91*FracLEACHMM*MMLeachEF*NtoN2O*kgtoGg</f>
        <v>0</v>
      </c>
      <c r="BK182" s="22">
        <f>Constants!$H73*'Activity data'!BK15*Constants!$H91*FracLEACHMM*MMLeachEF*NtoN2O*kgtoGg</f>
        <v>0</v>
      </c>
      <c r="BL182" s="22">
        <f>Constants!$H73*'Activity data'!BL15*Constants!$H91*FracLEACHMM*MMLeachEF*NtoN2O*kgtoGg</f>
        <v>0</v>
      </c>
      <c r="BM182" s="22">
        <f>Constants!$H73*'Activity data'!BM15*Constants!$H91*FracLEACHMM*MMLeachEF*NtoN2O*kgtoGg</f>
        <v>0</v>
      </c>
      <c r="BN182" s="22">
        <f>Constants!$H73*'Activity data'!BN15*Constants!$H91*FracLEACHMM*MMLeachEF*NtoN2O*kgtoGg</f>
        <v>0</v>
      </c>
      <c r="BO182" s="22">
        <f>Constants!$H73*'Activity data'!BO15*Constants!$H91*FracLEACHMM*MMLeachEF*NtoN2O*kgtoGg</f>
        <v>0</v>
      </c>
      <c r="BP182" s="22">
        <f>Constants!$H73*'Activity data'!BP15*Constants!$H91*FracLEACHMM*MMLeachEF*NtoN2O*kgtoGg</f>
        <v>0</v>
      </c>
    </row>
    <row r="183" spans="1:68" x14ac:dyDescent="0.3">
      <c r="A183" t="str">
        <f t="shared" si="58"/>
        <v>3C Aggregated and non-CO2 emissions on land</v>
      </c>
      <c r="B183" t="str">
        <f t="shared" si="65"/>
        <v>3C6 Indirect N2O from manure management (N2O)</v>
      </c>
      <c r="C183" t="str">
        <f t="shared" si="67"/>
        <v>Leaching/runoff</v>
      </c>
      <c r="D183" t="str">
        <f t="shared" si="66"/>
        <v xml:space="preserve"> - Mules &amp; Asses</v>
      </c>
      <c r="E183" t="str">
        <f t="shared" si="64"/>
        <v>Leaching/runoff - Mules &amp; Asses</v>
      </c>
      <c r="F183" t="str">
        <f t="shared" si="47"/>
        <v>N2O</v>
      </c>
      <c r="G183" t="str">
        <f t="shared" si="48"/>
        <v>Gg N2O</v>
      </c>
      <c r="H183" s="22">
        <f>Constants!$H74*'Activity data'!H16*Constants!$H92*FracLEACHMM*MMLeachEF*NtoN2O*kgtoGg</f>
        <v>0</v>
      </c>
      <c r="I183" s="22">
        <f>Constants!$H74*'Activity data'!I16*Constants!$H92*FracLEACHMM*MMLeachEF*NtoN2O*kgtoGg</f>
        <v>0</v>
      </c>
      <c r="J183" s="22">
        <f>Constants!$H74*'Activity data'!J16*Constants!$H92*FracLEACHMM*MMLeachEF*NtoN2O*kgtoGg</f>
        <v>0</v>
      </c>
      <c r="K183" s="22">
        <f>Constants!$H74*'Activity data'!K16*Constants!$H92*FracLEACHMM*MMLeachEF*NtoN2O*kgtoGg</f>
        <v>0</v>
      </c>
      <c r="L183" s="22">
        <f>Constants!$H74*'Activity data'!L16*Constants!$H92*FracLEACHMM*MMLeachEF*NtoN2O*kgtoGg</f>
        <v>0</v>
      </c>
      <c r="M183" s="22">
        <f>Constants!$H74*'Activity data'!M16*Constants!$H92*FracLEACHMM*MMLeachEF*NtoN2O*kgtoGg</f>
        <v>0</v>
      </c>
      <c r="N183" s="22">
        <f>Constants!$H74*'Activity data'!N16*Constants!$H92*FracLEACHMM*MMLeachEF*NtoN2O*kgtoGg</f>
        <v>0</v>
      </c>
      <c r="O183" s="22">
        <f>Constants!$H74*'Activity data'!O16*Constants!$H92*FracLEACHMM*MMLeachEF*NtoN2O*kgtoGg</f>
        <v>0</v>
      </c>
      <c r="P183" s="22">
        <f>Constants!$H74*'Activity data'!P16*Constants!$H92*FracLEACHMM*MMLeachEF*NtoN2O*kgtoGg</f>
        <v>0</v>
      </c>
      <c r="Q183" s="22">
        <f>Constants!$H74*'Activity data'!Q16*Constants!$H92*FracLEACHMM*MMLeachEF*NtoN2O*kgtoGg</f>
        <v>0</v>
      </c>
      <c r="R183" s="22">
        <f>Constants!$H74*'Activity data'!R16*Constants!$H92*FracLEACHMM*MMLeachEF*NtoN2O*kgtoGg</f>
        <v>0</v>
      </c>
      <c r="S183" s="22">
        <f>Constants!$H74*'Activity data'!S16*Constants!$H92*FracLEACHMM*MMLeachEF*NtoN2O*kgtoGg</f>
        <v>0</v>
      </c>
      <c r="T183" s="22">
        <f>Constants!$H74*'Activity data'!T16*Constants!$H92*FracLEACHMM*MMLeachEF*NtoN2O*kgtoGg</f>
        <v>0</v>
      </c>
      <c r="U183" s="22">
        <f>Constants!$H74*'Activity data'!U16*Constants!$H92*FracLEACHMM*MMLeachEF*NtoN2O*kgtoGg</f>
        <v>0</v>
      </c>
      <c r="V183" s="22">
        <f>Constants!$H74*'Activity data'!V16*Constants!$H92*FracLEACHMM*MMLeachEF*NtoN2O*kgtoGg</f>
        <v>0</v>
      </c>
      <c r="W183" s="22">
        <f>Constants!$H74*'Activity data'!W16*Constants!$H92*FracLEACHMM*MMLeachEF*NtoN2O*kgtoGg</f>
        <v>0</v>
      </c>
      <c r="X183" s="22">
        <f>Constants!$H74*'Activity data'!X16*Constants!$H92*FracLEACHMM*MMLeachEF*NtoN2O*kgtoGg</f>
        <v>0</v>
      </c>
      <c r="Y183" s="22">
        <f>Constants!$H74*'Activity data'!Y16*Constants!$H92*FracLEACHMM*MMLeachEF*NtoN2O*kgtoGg</f>
        <v>0</v>
      </c>
      <c r="Z183" s="22">
        <f>Constants!$H74*'Activity data'!Z16*Constants!$H92*FracLEACHMM*MMLeachEF*NtoN2O*kgtoGg</f>
        <v>0</v>
      </c>
      <c r="AA183" s="22">
        <f>Constants!$H74*'Activity data'!AA16*Constants!$H92*FracLEACHMM*MMLeachEF*NtoN2O*kgtoGg</f>
        <v>0</v>
      </c>
      <c r="AB183" s="22">
        <f>Constants!$H74*'Activity data'!AB16*Constants!$H92*FracLEACHMM*MMLeachEF*NtoN2O*kgtoGg</f>
        <v>0</v>
      </c>
      <c r="AC183" s="22">
        <f>Constants!$H74*'Activity data'!AC16*Constants!$H92*FracLEACHMM*MMLeachEF*NtoN2O*kgtoGg</f>
        <v>0</v>
      </c>
      <c r="AD183" s="22">
        <f>Constants!$H74*'Activity data'!AD16*Constants!$H92*FracLEACHMM*MMLeachEF*NtoN2O*kgtoGg</f>
        <v>0</v>
      </c>
      <c r="AE183" s="22">
        <f>Constants!$H74*'Activity data'!AE16*Constants!$H92*FracLEACHMM*MMLeachEF*NtoN2O*kgtoGg</f>
        <v>0</v>
      </c>
      <c r="AF183" s="22">
        <f>Constants!$H74*'Activity data'!AF16*Constants!$H92*FracLEACHMM*MMLeachEF*NtoN2O*kgtoGg</f>
        <v>0</v>
      </c>
      <c r="AG183" s="22">
        <f>Constants!$H74*'Activity data'!AG16*Constants!$H92*FracLEACHMM*MMLeachEF*NtoN2O*kgtoGg</f>
        <v>0</v>
      </c>
      <c r="AH183" s="22">
        <f>Constants!$H74*'Activity data'!AH16*Constants!$H92*FracLEACHMM*MMLeachEF*NtoN2O*kgtoGg</f>
        <v>0</v>
      </c>
      <c r="AI183" s="22">
        <f>Constants!$H74*'Activity data'!AI16*Constants!$H92*FracLEACHMM*MMLeachEF*NtoN2O*kgtoGg</f>
        <v>0</v>
      </c>
      <c r="AJ183" s="22">
        <f>Constants!$H74*'Activity data'!AJ16*Constants!$H92*FracLEACHMM*MMLeachEF*NtoN2O*kgtoGg</f>
        <v>0</v>
      </c>
      <c r="AK183" s="22">
        <f>Constants!$H74*'Activity data'!AK16*Constants!$H92*FracLEACHMM*MMLeachEF*NtoN2O*kgtoGg</f>
        <v>0</v>
      </c>
      <c r="AL183" s="22">
        <f>Constants!$H74*'Activity data'!AL16*Constants!$H92*FracLEACHMM*MMLeachEF*NtoN2O*kgtoGg</f>
        <v>0</v>
      </c>
      <c r="AM183" s="22">
        <f>Constants!$H74*'Activity data'!AM16*Constants!$H92*FracLEACHMM*MMLeachEF*NtoN2O*kgtoGg</f>
        <v>0</v>
      </c>
      <c r="AN183" s="22">
        <f>Constants!$H74*'Activity data'!AN16*Constants!$H92*FracLEACHMM*MMLeachEF*NtoN2O*kgtoGg</f>
        <v>0</v>
      </c>
      <c r="AO183" s="22">
        <f>Constants!$H74*'Activity data'!AO16*Constants!$H92*FracLEACHMM*MMLeachEF*NtoN2O*kgtoGg</f>
        <v>0</v>
      </c>
      <c r="AP183" s="22">
        <f>Constants!$H74*'Activity data'!AP16*Constants!$H92*FracLEACHMM*MMLeachEF*NtoN2O*kgtoGg</f>
        <v>0</v>
      </c>
      <c r="AQ183" s="22">
        <f>Constants!$H74*'Activity data'!AQ16*Constants!$H92*FracLEACHMM*MMLeachEF*NtoN2O*kgtoGg</f>
        <v>0</v>
      </c>
      <c r="AR183" s="22">
        <f>Constants!$H74*'Activity data'!AR16*Constants!$H92*FracLEACHMM*MMLeachEF*NtoN2O*kgtoGg</f>
        <v>0</v>
      </c>
      <c r="AS183" s="22">
        <f>Constants!$H74*'Activity data'!AS16*Constants!$H92*FracLEACHMM*MMLeachEF*NtoN2O*kgtoGg</f>
        <v>0</v>
      </c>
      <c r="AT183" s="22">
        <f>Constants!$H74*'Activity data'!AT16*Constants!$H92*FracLEACHMM*MMLeachEF*NtoN2O*kgtoGg</f>
        <v>0</v>
      </c>
      <c r="AU183" s="22">
        <f>Constants!$H74*'Activity data'!AU16*Constants!$H92*FracLEACHMM*MMLeachEF*NtoN2O*kgtoGg</f>
        <v>0</v>
      </c>
      <c r="AV183" s="22">
        <f>Constants!$H74*'Activity data'!AV16*Constants!$H92*FracLEACHMM*MMLeachEF*NtoN2O*kgtoGg</f>
        <v>0</v>
      </c>
      <c r="AW183" s="22">
        <f>Constants!$H74*'Activity data'!AW16*Constants!$H92*FracLEACHMM*MMLeachEF*NtoN2O*kgtoGg</f>
        <v>0</v>
      </c>
      <c r="AX183" s="22">
        <f>Constants!$H74*'Activity data'!AX16*Constants!$H92*FracLEACHMM*MMLeachEF*NtoN2O*kgtoGg</f>
        <v>0</v>
      </c>
      <c r="AY183" s="22">
        <f>Constants!$H74*'Activity data'!AY16*Constants!$H92*FracLEACHMM*MMLeachEF*NtoN2O*kgtoGg</f>
        <v>0</v>
      </c>
      <c r="AZ183" s="22">
        <f>Constants!$H74*'Activity data'!AZ16*Constants!$H92*FracLEACHMM*MMLeachEF*NtoN2O*kgtoGg</f>
        <v>0</v>
      </c>
      <c r="BA183" s="22">
        <f>Constants!$H74*'Activity data'!BA16*Constants!$H92*FracLEACHMM*MMLeachEF*NtoN2O*kgtoGg</f>
        <v>0</v>
      </c>
      <c r="BB183" s="22">
        <f>Constants!$H74*'Activity data'!BB16*Constants!$H92*FracLEACHMM*MMLeachEF*NtoN2O*kgtoGg</f>
        <v>0</v>
      </c>
      <c r="BC183" s="22">
        <f>Constants!$H74*'Activity data'!BC16*Constants!$H92*FracLEACHMM*MMLeachEF*NtoN2O*kgtoGg</f>
        <v>0</v>
      </c>
      <c r="BD183" s="22">
        <f>Constants!$H74*'Activity data'!BD16*Constants!$H92*FracLEACHMM*MMLeachEF*NtoN2O*kgtoGg</f>
        <v>0</v>
      </c>
      <c r="BE183" s="22">
        <f>Constants!$H74*'Activity data'!BE16*Constants!$H92*FracLEACHMM*MMLeachEF*NtoN2O*kgtoGg</f>
        <v>0</v>
      </c>
      <c r="BF183" s="22">
        <f>Constants!$H74*'Activity data'!BF16*Constants!$H92*FracLEACHMM*MMLeachEF*NtoN2O*kgtoGg</f>
        <v>0</v>
      </c>
      <c r="BG183" s="22">
        <f>Constants!$H74*'Activity data'!BG16*Constants!$H92*FracLEACHMM*MMLeachEF*NtoN2O*kgtoGg</f>
        <v>0</v>
      </c>
      <c r="BH183" s="22">
        <f>Constants!$H74*'Activity data'!BH16*Constants!$H92*FracLEACHMM*MMLeachEF*NtoN2O*kgtoGg</f>
        <v>0</v>
      </c>
      <c r="BI183" s="22">
        <f>Constants!$H74*'Activity data'!BI16*Constants!$H92*FracLEACHMM*MMLeachEF*NtoN2O*kgtoGg</f>
        <v>0</v>
      </c>
      <c r="BJ183" s="22">
        <f>Constants!$H74*'Activity data'!BJ16*Constants!$H92*FracLEACHMM*MMLeachEF*NtoN2O*kgtoGg</f>
        <v>0</v>
      </c>
      <c r="BK183" s="22">
        <f>Constants!$H74*'Activity data'!BK16*Constants!$H92*FracLEACHMM*MMLeachEF*NtoN2O*kgtoGg</f>
        <v>0</v>
      </c>
      <c r="BL183" s="22">
        <f>Constants!$H74*'Activity data'!BL16*Constants!$H92*FracLEACHMM*MMLeachEF*NtoN2O*kgtoGg</f>
        <v>0</v>
      </c>
      <c r="BM183" s="22">
        <f>Constants!$H74*'Activity data'!BM16*Constants!$H92*FracLEACHMM*MMLeachEF*NtoN2O*kgtoGg</f>
        <v>0</v>
      </c>
      <c r="BN183" s="22">
        <f>Constants!$H74*'Activity data'!BN16*Constants!$H92*FracLEACHMM*MMLeachEF*NtoN2O*kgtoGg</f>
        <v>0</v>
      </c>
      <c r="BO183" s="22">
        <f>Constants!$H74*'Activity data'!BO16*Constants!$H92*FracLEACHMM*MMLeachEF*NtoN2O*kgtoGg</f>
        <v>0</v>
      </c>
      <c r="BP183" s="22">
        <f>Constants!$H74*'Activity data'!BP16*Constants!$H92*FracLEACHMM*MMLeachEF*NtoN2O*kgtoGg</f>
        <v>0</v>
      </c>
    </row>
    <row r="184" spans="1:68" x14ac:dyDescent="0.3">
      <c r="A184" t="str">
        <f t="shared" si="58"/>
        <v>3C Aggregated and non-CO2 emissions on land</v>
      </c>
      <c r="B184" t="str">
        <f t="shared" si="65"/>
        <v>3C6 Indirect N2O from manure management (N2O)</v>
      </c>
      <c r="C184" t="str">
        <f t="shared" si="67"/>
        <v>Leaching/runoff</v>
      </c>
      <c r="D184" t="str">
        <f t="shared" si="66"/>
        <v xml:space="preserve"> - Commercial swine</v>
      </c>
      <c r="E184" t="str">
        <f t="shared" si="64"/>
        <v>Leaching/runoff - Commercial swine</v>
      </c>
      <c r="F184" t="str">
        <f t="shared" si="47"/>
        <v>N2O</v>
      </c>
      <c r="G184" t="str">
        <f t="shared" si="48"/>
        <v>Gg N2O</v>
      </c>
      <c r="H184" s="22">
        <f>Constants!$H75*'Activity data'!H17*Constants!$H93*FracLEACHMM*MMLeachEF*NtoN2O*kgtoGg</f>
        <v>2.473216868571429E-2</v>
      </c>
      <c r="I184" s="22">
        <f>Constants!$H75*'Activity data'!I17*Constants!$H93*FracLEACHMM*MMLeachEF*NtoN2O*kgtoGg</f>
        <v>2.7020381142857142E-2</v>
      </c>
      <c r="J184" s="22">
        <f>Constants!$H75*'Activity data'!J17*Constants!$H93*FracLEACHMM*MMLeachEF*NtoN2O*kgtoGg</f>
        <v>2.6841868114285718E-2</v>
      </c>
      <c r="K184" s="22">
        <f>Constants!$H75*'Activity data'!K17*Constants!$H93*FracLEACHMM*MMLeachEF*NtoN2O*kgtoGg</f>
        <v>2.6825639657142863E-2</v>
      </c>
      <c r="L184" s="22">
        <f>Constants!$H75*'Activity data'!L17*Constants!$H93*FracLEACHMM*MMLeachEF*NtoN2O*kgtoGg</f>
        <v>2.5478677714285716E-2</v>
      </c>
      <c r="M184" s="22">
        <f>Constants!$H75*'Activity data'!M17*Constants!$H93*FracLEACHMM*MMLeachEF*NtoN2O*kgtoGg</f>
        <v>2.572210457142857E-2</v>
      </c>
      <c r="N184" s="22">
        <f>Constants!$H75*'Activity data'!N17*Constants!$H93*FracLEACHMM*MMLeachEF*NtoN2O*kgtoGg</f>
        <v>2.7701976342857142E-2</v>
      </c>
      <c r="O184" s="22">
        <f>Constants!$H75*'Activity data'!O17*Constants!$H93*FracLEACHMM*MMLeachEF*NtoN2O*kgtoGg</f>
        <v>2.7572148685714289E-2</v>
      </c>
      <c r="P184" s="22">
        <f>Constants!$H75*'Activity data'!P17*Constants!$H93*FracLEACHMM*MMLeachEF*NtoN2O*kgtoGg</f>
        <v>2.8172601599999996E-2</v>
      </c>
      <c r="Q184" s="22">
        <f>Constants!$H75*'Activity data'!Q17*Constants!$H93*FracLEACHMM*MMLeachEF*NtoN2O*kgtoGg</f>
        <v>2.8886653714285716E-2</v>
      </c>
      <c r="R184" s="22">
        <f>Constants!$H75*'Activity data'!R17*Constants!$H93*FracLEACHMM*MMLeachEF*NtoN2O*kgtoGg</f>
        <v>2.6728268914285716E-2</v>
      </c>
      <c r="S184" s="22">
        <f>Constants!$H75*'Activity data'!S17*Constants!$H93*FracLEACHMM*MMLeachEF*NtoN2O*kgtoGg</f>
        <v>2.7231351085714284E-2</v>
      </c>
      <c r="T184" s="22">
        <f>Constants!$H75*'Activity data'!T17*Constants!$H93*FracLEACHMM*MMLeachEF*NtoN2O*kgtoGg</f>
        <v>2.775066171428571E-2</v>
      </c>
      <c r="U184" s="22">
        <f>Constants!$H75*'Activity data'!U17*Constants!$H93*FracLEACHMM*MMLeachEF*NtoN2O*kgtoGg</f>
        <v>2.6987924228571426E-2</v>
      </c>
      <c r="V184" s="22">
        <f>Constants!$H75*'Activity data'!V17*Constants!$H93*FracLEACHMM*MMLeachEF*NtoN2O*kgtoGg</f>
        <v>2.6987924228571426E-2</v>
      </c>
      <c r="W184" s="22">
        <f>Constants!$H75*'Activity data'!W17*Constants!$H93*FracLEACHMM*MMLeachEF*NtoN2O*kgtoGg</f>
        <v>2.6793182742857146E-2</v>
      </c>
      <c r="X184" s="22">
        <f>Constants!$H75*'Activity data'!X17*Constants!$H93*FracLEACHMM*MMLeachEF*NtoN2O*kgtoGg</f>
        <v>2.6322557485714288E-2</v>
      </c>
      <c r="Y184" s="22">
        <f>Constants!$H75*'Activity data'!Y17*Constants!$H93*FracLEACHMM*MMLeachEF*NtoN2O*kgtoGg</f>
        <v>2.6793182742857146E-2</v>
      </c>
      <c r="Z184" s="22">
        <f>Constants!$H75*'Activity data'!Z17*Constants!$H93*FracLEACHMM*MMLeachEF*NtoN2O*kgtoGg</f>
        <v>2.6208958285714283E-2</v>
      </c>
      <c r="AA184" s="22">
        <f>Constants!$H75*'Activity data'!AA17*Constants!$H93*FracLEACHMM*MMLeachEF*NtoN2O*kgtoGg</f>
        <v>2.617650137142857E-2</v>
      </c>
      <c r="AB184" s="22">
        <f>Constants!$H75*'Activity data'!AB17*Constants!$H93*FracLEACHMM*MMLeachEF*NtoN2O*kgtoGg</f>
        <v>2.5868160685714285E-2</v>
      </c>
      <c r="AC184" s="22">
        <f>Constants!$H75*'Activity data'!AC17*Constants!$H93*FracLEACHMM*MMLeachEF*NtoN2O*kgtoGg</f>
        <v>2.5705876114285712E-2</v>
      </c>
      <c r="AD184" s="22">
        <f>Constants!$H75*'Activity data'!AD17*Constants!$H93*FracLEACHMM*MMLeachEF*NtoN2O*kgtoGg</f>
        <v>2.6875086183165937E-2</v>
      </c>
      <c r="AE184" s="22">
        <f>Constants!$H75*'Activity data'!AE17*Constants!$H93*FracLEACHMM*MMLeachEF*NtoN2O*kgtoGg</f>
        <v>2.6729002214214568E-2</v>
      </c>
      <c r="AF184" s="22">
        <f>Constants!$H75*'Activity data'!AF17*Constants!$H93*FracLEACHMM*MMLeachEF*NtoN2O*kgtoGg</f>
        <v>2.6740992333189318E-2</v>
      </c>
      <c r="AG184" s="22">
        <f>Constants!$H75*'Activity data'!AG17*Constants!$H93*FracLEACHMM*MMLeachEF*NtoN2O*kgtoGg</f>
        <v>2.6495489531984443E-2</v>
      </c>
      <c r="AH184" s="22">
        <f>Constants!$H75*'Activity data'!AH17*Constants!$H93*FracLEACHMM*MMLeachEF*NtoN2O*kgtoGg</f>
        <v>2.609452683304701E-2</v>
      </c>
      <c r="AI184" s="22">
        <f>Constants!$H75*'Activity data'!AI17*Constants!$H93*FracLEACHMM*MMLeachEF*NtoN2O*kgtoGg</f>
        <v>2.5544514050244025E-2</v>
      </c>
      <c r="AJ184" s="22">
        <f>Constants!$H75*'Activity data'!AJ17*Constants!$H93*FracLEACHMM*MMLeachEF*NtoN2O*kgtoGg</f>
        <v>2.5145143775072754E-2</v>
      </c>
      <c r="AK184" s="22">
        <f>Constants!$H75*'Activity data'!AK17*Constants!$H93*FracLEACHMM*MMLeachEF*NtoN2O*kgtoGg</f>
        <v>2.4781112413324514E-2</v>
      </c>
      <c r="AL184" s="22">
        <f>Constants!$H75*'Activity data'!AL17*Constants!$H93*FracLEACHMM*MMLeachEF*NtoN2O*kgtoGg</f>
        <v>2.1880480805765091E-2</v>
      </c>
      <c r="AM184" s="22">
        <f>Constants!$H75*'Activity data'!AM17*Constants!$H93*FracLEACHMM*MMLeachEF*NtoN2O*kgtoGg</f>
        <v>2.2157174302587897E-2</v>
      </c>
      <c r="AN184" s="22">
        <f>Constants!$H75*'Activity data'!AN17*Constants!$H93*FracLEACHMM*MMLeachEF*NtoN2O*kgtoGg</f>
        <v>2.2750904230467162E-2</v>
      </c>
      <c r="AO184" s="22">
        <f>Constants!$H75*'Activity data'!AO17*Constants!$H93*FracLEACHMM*MMLeachEF*NtoN2O*kgtoGg</f>
        <v>2.2804811823411601E-2</v>
      </c>
      <c r="AP184" s="22">
        <f>Constants!$H75*'Activity data'!AP17*Constants!$H93*FracLEACHMM*MMLeachEF*NtoN2O*kgtoGg</f>
        <v>2.292155171126611E-2</v>
      </c>
      <c r="AQ184" s="22">
        <f>Constants!$H75*'Activity data'!AQ17*Constants!$H93*FracLEACHMM*MMLeachEF*NtoN2O*kgtoGg</f>
        <v>2.3117832526296487E-2</v>
      </c>
      <c r="AR184" s="22">
        <f>Constants!$H75*'Activity data'!AR17*Constants!$H93*FracLEACHMM*MMLeachEF*NtoN2O*kgtoGg</f>
        <v>2.3364125716575319E-2</v>
      </c>
      <c r="AS184" s="22">
        <f>Constants!$H75*'Activity data'!AS17*Constants!$H93*FracLEACHMM*MMLeachEF*NtoN2O*kgtoGg</f>
        <v>2.3665937141590494E-2</v>
      </c>
      <c r="AT184" s="22">
        <f>Constants!$H75*'Activity data'!AT17*Constants!$H93*FracLEACHMM*MMLeachEF*NtoN2O*kgtoGg</f>
        <v>2.3971277948899337E-2</v>
      </c>
      <c r="AU184" s="22">
        <f>Constants!$H75*'Activity data'!AU17*Constants!$H93*FracLEACHMM*MMLeachEF*NtoN2O*kgtoGg</f>
        <v>2.4323808269457244E-2</v>
      </c>
      <c r="AV184" s="22">
        <f>Constants!$H75*'Activity data'!AV17*Constants!$H93*FracLEACHMM*MMLeachEF*NtoN2O*kgtoGg</f>
        <v>2.4673905433943388E-2</v>
      </c>
      <c r="AW184" s="22">
        <f>Constants!$H75*'Activity data'!AW17*Constants!$H93*FracLEACHMM*MMLeachEF*NtoN2O*kgtoGg</f>
        <v>2.5109167618050737E-2</v>
      </c>
      <c r="AX184" s="22">
        <f>Constants!$H75*'Activity data'!AX17*Constants!$H93*FracLEACHMM*MMLeachEF*NtoN2O*kgtoGg</f>
        <v>2.5509858249217851E-2</v>
      </c>
      <c r="AY184" s="22">
        <f>Constants!$H75*'Activity data'!AY17*Constants!$H93*FracLEACHMM*MMLeachEF*NtoN2O*kgtoGg</f>
        <v>2.5936225115881856E-2</v>
      </c>
      <c r="AZ184" s="22">
        <f>Constants!$H75*'Activity data'!AZ17*Constants!$H93*FracLEACHMM*MMLeachEF*NtoN2O*kgtoGg</f>
        <v>2.6456337070766354E-2</v>
      </c>
      <c r="BA184" s="22">
        <f>Constants!$H75*'Activity data'!BA17*Constants!$H93*FracLEACHMM*MMLeachEF*NtoN2O*kgtoGg</f>
        <v>2.6902942278627297E-2</v>
      </c>
      <c r="BB184" s="22">
        <f>Constants!$H75*'Activity data'!BB17*Constants!$H93*FracLEACHMM*MMLeachEF*NtoN2O*kgtoGg</f>
        <v>2.7384983876862477E-2</v>
      </c>
      <c r="BC184" s="22">
        <f>Constants!$H75*'Activity data'!BC17*Constants!$H93*FracLEACHMM*MMLeachEF*NtoN2O*kgtoGg</f>
        <v>2.7908158351219941E-2</v>
      </c>
      <c r="BD184" s="22">
        <f>Constants!$H75*'Activity data'!BD17*Constants!$H93*FracLEACHMM*MMLeachEF*NtoN2O*kgtoGg</f>
        <v>2.8344604443718637E-2</v>
      </c>
      <c r="BE184" s="22">
        <f>Constants!$H75*'Activity data'!BE17*Constants!$H93*FracLEACHMM*MMLeachEF*NtoN2O*kgtoGg</f>
        <v>2.8753897192929187E-2</v>
      </c>
      <c r="BF184" s="22">
        <f>Constants!$H75*'Activity data'!BF17*Constants!$H93*FracLEACHMM*MMLeachEF*NtoN2O*kgtoGg</f>
        <v>2.9139337629284397E-2</v>
      </c>
      <c r="BG184" s="22">
        <f>Constants!$H75*'Activity data'!BG17*Constants!$H93*FracLEACHMM*MMLeachEF*NtoN2O*kgtoGg</f>
        <v>2.9584390604572932E-2</v>
      </c>
      <c r="BH184" s="22">
        <f>Constants!$H75*'Activity data'!BH17*Constants!$H93*FracLEACHMM*MMLeachEF*NtoN2O*kgtoGg</f>
        <v>2.9970416689145254E-2</v>
      </c>
      <c r="BI184" s="22">
        <f>Constants!$H75*'Activity data'!BI17*Constants!$H93*FracLEACHMM*MMLeachEF*NtoN2O*kgtoGg</f>
        <v>3.0368893670993099E-2</v>
      </c>
      <c r="BJ184" s="22">
        <f>Constants!$H75*'Activity data'!BJ17*Constants!$H93*FracLEACHMM*MMLeachEF*NtoN2O*kgtoGg</f>
        <v>3.0782827170501174E-2</v>
      </c>
      <c r="BK184" s="22">
        <f>Constants!$H75*'Activity data'!BK17*Constants!$H93*FracLEACHMM*MMLeachEF*NtoN2O*kgtoGg</f>
        <v>3.1217396528975507E-2</v>
      </c>
      <c r="BL184" s="22">
        <f>Constants!$H75*'Activity data'!BL17*Constants!$H93*FracLEACHMM*MMLeachEF*NtoN2O*kgtoGg</f>
        <v>3.1673723172219483E-2</v>
      </c>
      <c r="BM184" s="22">
        <f>Constants!$H75*'Activity data'!BM17*Constants!$H93*FracLEACHMM*MMLeachEF*NtoN2O*kgtoGg</f>
        <v>3.1396042142995774E-2</v>
      </c>
      <c r="BN184" s="22">
        <f>Constants!$H75*'Activity data'!BN17*Constants!$H93*FracLEACHMM*MMLeachEF*NtoN2O*kgtoGg</f>
        <v>3.1054190241510845E-2</v>
      </c>
      <c r="BO184" s="22">
        <f>Constants!$H75*'Activity data'!BO17*Constants!$H93*FracLEACHMM*MMLeachEF*NtoN2O*kgtoGg</f>
        <v>3.0622832551979947E-2</v>
      </c>
      <c r="BP184" s="22">
        <f>Constants!$H75*'Activity data'!BP17*Constants!$H93*FracLEACHMM*MMLeachEF*NtoN2O*kgtoGg</f>
        <v>3.01703196842419E-2</v>
      </c>
    </row>
    <row r="185" spans="1:68" x14ac:dyDescent="0.3">
      <c r="A185" t="str">
        <f t="shared" si="58"/>
        <v>3C Aggregated and non-CO2 emissions on land</v>
      </c>
      <c r="B185" t="str">
        <f>B184</f>
        <v>3C6 Indirect N2O from manure management (N2O)</v>
      </c>
      <c r="C185" t="str">
        <f t="shared" si="67"/>
        <v>Leaching/runoff</v>
      </c>
      <c r="D185" t="str">
        <f>D169</f>
        <v xml:space="preserve"> - Subsistence swine</v>
      </c>
      <c r="E185" t="str">
        <f t="shared" si="64"/>
        <v>Leaching/runoff - Subsistence swine</v>
      </c>
      <c r="F185" t="str">
        <f t="shared" si="47"/>
        <v>N2O</v>
      </c>
      <c r="G185" t="str">
        <f t="shared" si="48"/>
        <v>Gg N2O</v>
      </c>
      <c r="H185" s="22">
        <f>Constants!$H76*'Activity data'!H18*Constants!$H94*FracLEACHMM*MMLeachEF*NtoN2O*kgtoGg</f>
        <v>3.5396781390192064E-3</v>
      </c>
      <c r="I185" s="22">
        <f>Constants!$H76*'Activity data'!I18*Constants!$H94*FracLEACHMM*MMLeachEF*NtoN2O*kgtoGg</f>
        <v>3.867168045582008E-3</v>
      </c>
      <c r="J185" s="22">
        <f>Constants!$H76*'Activity data'!J18*Constants!$H94*FracLEACHMM*MMLeachEF*NtoN2O*kgtoGg</f>
        <v>3.8416191876232074E-3</v>
      </c>
      <c r="K185" s="22">
        <f>Constants!$H76*'Activity data'!K18*Constants!$H94*FracLEACHMM*MMLeachEF*NtoN2O*kgtoGg</f>
        <v>3.8392965641724079E-3</v>
      </c>
      <c r="L185" s="22">
        <f>Constants!$H76*'Activity data'!L18*Constants!$H94*FracLEACHMM*MMLeachEF*NtoN2O*kgtoGg</f>
        <v>3.6465188177560062E-3</v>
      </c>
      <c r="M185" s="22">
        <f>Constants!$H76*'Activity data'!M18*Constants!$H94*FracLEACHMM*MMLeachEF*NtoN2O*kgtoGg</f>
        <v>3.6813581695180077E-3</v>
      </c>
      <c r="N185" s="22">
        <f>Constants!$H76*'Activity data'!N18*Constants!$H94*FracLEACHMM*MMLeachEF*NtoN2O*kgtoGg</f>
        <v>3.9647182305156074E-3</v>
      </c>
      <c r="O185" s="22">
        <f>Constants!$H76*'Activity data'!O18*Constants!$H94*FracLEACHMM*MMLeachEF*NtoN2O*kgtoGg</f>
        <v>3.9461372429092081E-3</v>
      </c>
      <c r="P185" s="22">
        <f>Constants!$H76*'Activity data'!P18*Constants!$H94*FracLEACHMM*MMLeachEF*NtoN2O*kgtoGg</f>
        <v>4.0320743105888082E-3</v>
      </c>
      <c r="Q185" s="22">
        <f>Constants!$H76*'Activity data'!Q18*Constants!$H94*FracLEACHMM*MMLeachEF*NtoN2O*kgtoGg</f>
        <v>4.1342697424240071E-3</v>
      </c>
      <c r="R185" s="22">
        <f>Constants!$H76*'Activity data'!R18*Constants!$H94*FracLEACHMM*MMLeachEF*NtoN2O*kgtoGg</f>
        <v>3.8253608234676073E-3</v>
      </c>
      <c r="S185" s="22">
        <f>Constants!$H76*'Activity data'!S18*Constants!$H94*FracLEACHMM*MMLeachEF*NtoN2O*kgtoGg</f>
        <v>3.8973621504424074E-3</v>
      </c>
      <c r="T185" s="22">
        <f>Constants!$H76*'Activity data'!T18*Constants!$H94*FracLEACHMM*MMLeachEF*NtoN2O*kgtoGg</f>
        <v>3.9716861008680087E-3</v>
      </c>
      <c r="U185" s="22">
        <f>Constants!$H76*'Activity data'!U18*Constants!$H94*FracLEACHMM*MMLeachEF*NtoN2O*kgtoGg</f>
        <v>3.8625227986804071E-3</v>
      </c>
      <c r="V185" s="22">
        <f>Constants!$H76*'Activity data'!V18*Constants!$H94*FracLEACHMM*MMLeachEF*NtoN2O*kgtoGg</f>
        <v>3.8625227986804071E-3</v>
      </c>
      <c r="W185" s="22">
        <f>Constants!$H76*'Activity data'!W18*Constants!$H94*FracLEACHMM*MMLeachEF*NtoN2O*kgtoGg</f>
        <v>3.8346513172708078E-3</v>
      </c>
      <c r="X185" s="22">
        <f>Constants!$H76*'Activity data'!X18*Constants!$H94*FracLEACHMM*MMLeachEF*NtoN2O*kgtoGg</f>
        <v>3.7672952371976065E-3</v>
      </c>
      <c r="Y185" s="22">
        <f>Constants!$H76*'Activity data'!Y18*Constants!$H94*FracLEACHMM*MMLeachEF*NtoN2O*kgtoGg</f>
        <v>3.8346513172708078E-3</v>
      </c>
      <c r="Z185" s="22">
        <f>Constants!$H76*'Activity data'!Z18*Constants!$H94*FracLEACHMM*MMLeachEF*NtoN2O*kgtoGg</f>
        <v>3.7510368730420082E-3</v>
      </c>
      <c r="AA185" s="22">
        <f>Constants!$H76*'Activity data'!AA18*Constants!$H94*FracLEACHMM*MMLeachEF*NtoN2O*kgtoGg</f>
        <v>3.7463916261404073E-3</v>
      </c>
      <c r="AB185" s="22">
        <f>Constants!$H76*'Activity data'!AB18*Constants!$H94*FracLEACHMM*MMLeachEF*NtoN2O*kgtoGg</f>
        <v>3.7022617805752074E-3</v>
      </c>
      <c r="AC185" s="22">
        <f>Constants!$H76*'Activity data'!AC18*Constants!$H94*FracLEACHMM*MMLeachEF*NtoN2O*kgtoGg</f>
        <v>3.6790355460672068E-3</v>
      </c>
      <c r="AD185" s="22">
        <f>Constants!$H76*'Activity data'!AD18*Constants!$H94*FracLEACHMM*MMLeachEF*NtoN2O*kgtoGg</f>
        <v>4.0166140097319695E-3</v>
      </c>
      <c r="AE185" s="22">
        <f>Constants!$H76*'Activity data'!AE18*Constants!$H94*FracLEACHMM*MMLeachEF*NtoN2O*kgtoGg</f>
        <v>3.994781041000697E-3</v>
      </c>
      <c r="AF185" s="22">
        <f>Constants!$H76*'Activity data'!AF18*Constants!$H94*FracLEACHMM*MMLeachEF*NtoN2O*kgtoGg</f>
        <v>3.9965730233416695E-3</v>
      </c>
      <c r="AG185" s="22">
        <f>Constants!$H76*'Activity data'!AG18*Constants!$H94*FracLEACHMM*MMLeachEF*NtoN2O*kgtoGg</f>
        <v>3.9598814204188995E-3</v>
      </c>
      <c r="AH185" s="22">
        <f>Constants!$H76*'Activity data'!AH18*Constants!$H94*FracLEACHMM*MMLeachEF*NtoN2O*kgtoGg</f>
        <v>3.8999555700251301E-3</v>
      </c>
      <c r="AI185" s="22">
        <f>Constants!$H76*'Activity data'!AI18*Constants!$H94*FracLEACHMM*MMLeachEF*NtoN2O*kgtoGg</f>
        <v>3.8177534504158571E-3</v>
      </c>
      <c r="AJ185" s="22">
        <f>Constants!$H76*'Activity data'!AJ18*Constants!$H94*FracLEACHMM*MMLeachEF*NtoN2O*kgtoGg</f>
        <v>3.7580655955978047E-3</v>
      </c>
      <c r="AK185" s="22">
        <f>Constants!$H76*'Activity data'!AK18*Constants!$H94*FracLEACHMM*MMLeachEF*NtoN2O*kgtoGg</f>
        <v>3.7036593154610871E-3</v>
      </c>
      <c r="AL185" s="22">
        <f>Constants!$H76*'Activity data'!AL18*Constants!$H94*FracLEACHMM*MMLeachEF*NtoN2O*kgtoGg</f>
        <v>3.2701456339573466E-3</v>
      </c>
      <c r="AM185" s="22">
        <f>Constants!$H76*'Activity data'!AM18*Constants!$H94*FracLEACHMM*MMLeachEF*NtoN2O*kgtoGg</f>
        <v>3.31149883997744E-3</v>
      </c>
      <c r="AN185" s="22">
        <f>Constants!$H76*'Activity data'!AN18*Constants!$H94*FracLEACHMM*MMLeachEF*NtoN2O*kgtoGg</f>
        <v>3.4002347022576052E-3</v>
      </c>
      <c r="AO185" s="22">
        <f>Constants!$H76*'Activity data'!AO18*Constants!$H94*FracLEACHMM*MMLeachEF*NtoN2O*kgtoGg</f>
        <v>3.40829145755788E-3</v>
      </c>
      <c r="AP185" s="22">
        <f>Constants!$H76*'Activity data'!AP18*Constants!$H94*FracLEACHMM*MMLeachEF*NtoN2O*kgtoGg</f>
        <v>3.4257388088279458E-3</v>
      </c>
      <c r="AQ185" s="22">
        <f>Constants!$H76*'Activity data'!AQ18*Constants!$H94*FracLEACHMM*MMLeachEF*NtoN2O*kgtoGg</f>
        <v>3.4550739434622826E-3</v>
      </c>
      <c r="AR185" s="22">
        <f>Constants!$H76*'Activity data'!AR18*Constants!$H94*FracLEACHMM*MMLeachEF*NtoN2O*kgtoGg</f>
        <v>3.491883673925408E-3</v>
      </c>
      <c r="AS185" s="22">
        <f>Constants!$H76*'Activity data'!AS18*Constants!$H94*FracLEACHMM*MMLeachEF*NtoN2O*kgtoGg</f>
        <v>3.5369908780382062E-3</v>
      </c>
      <c r="AT185" s="22">
        <f>Constants!$H76*'Activity data'!AT18*Constants!$H94*FracLEACHMM*MMLeachEF*NtoN2O*kgtoGg</f>
        <v>3.5826255657196082E-3</v>
      </c>
      <c r="AU185" s="22">
        <f>Constants!$H76*'Activity data'!AU18*Constants!$H94*FracLEACHMM*MMLeachEF*NtoN2O*kgtoGg</f>
        <v>3.6353129585993062E-3</v>
      </c>
      <c r="AV185" s="22">
        <f>Constants!$H76*'Activity data'!AV18*Constants!$H94*FracLEACHMM*MMLeachEF*NtoN2O*kgtoGg</f>
        <v>3.6876367043189875E-3</v>
      </c>
      <c r="AW185" s="22">
        <f>Constants!$H76*'Activity data'!AW18*Constants!$H94*FracLEACHMM*MMLeachEF*NtoN2O*kgtoGg</f>
        <v>3.7526887817217083E-3</v>
      </c>
      <c r="AX185" s="22">
        <f>Constants!$H76*'Activity data'!AX18*Constants!$H94*FracLEACHMM*MMLeachEF*NtoN2O*kgtoGg</f>
        <v>3.8125739702470681E-3</v>
      </c>
      <c r="AY185" s="22">
        <f>Constants!$H76*'Activity data'!AY18*Constants!$H94*FracLEACHMM*MMLeachEF*NtoN2O*kgtoGg</f>
        <v>3.87629659864187E-3</v>
      </c>
      <c r="AZ185" s="22">
        <f>Constants!$H76*'Activity data'!AZ18*Constants!$H94*FracLEACHMM*MMLeachEF*NtoN2O*kgtoGg</f>
        <v>3.9540298922350536E-3</v>
      </c>
      <c r="BA185" s="22">
        <f>Constants!$H76*'Activity data'!BA18*Constants!$H94*FracLEACHMM*MMLeachEF*NtoN2O*kgtoGg</f>
        <v>4.0207772404105219E-3</v>
      </c>
      <c r="BB185" s="22">
        <f>Constants!$H76*'Activity data'!BB18*Constants!$H94*FracLEACHMM*MMLeachEF*NtoN2O*kgtoGg</f>
        <v>4.0928207316778291E-3</v>
      </c>
      <c r="BC185" s="22">
        <f>Constants!$H76*'Activity data'!BC18*Constants!$H94*FracLEACHMM*MMLeachEF*NtoN2O*kgtoGg</f>
        <v>4.1710117338914204E-3</v>
      </c>
      <c r="BD185" s="22">
        <f>Constants!$H76*'Activity data'!BD18*Constants!$H94*FracLEACHMM*MMLeachEF*NtoN2O*kgtoGg</f>
        <v>4.2362407522348522E-3</v>
      </c>
      <c r="BE185" s="22">
        <f>Constants!$H76*'Activity data'!BE18*Constants!$H94*FracLEACHMM*MMLeachEF*NtoN2O*kgtoGg</f>
        <v>4.2974115696735888E-3</v>
      </c>
      <c r="BF185" s="22">
        <f>Constants!$H76*'Activity data'!BF18*Constants!$H94*FracLEACHMM*MMLeachEF*NtoN2O*kgtoGg</f>
        <v>4.3550175414658315E-3</v>
      </c>
      <c r="BG185" s="22">
        <f>Constants!$H76*'Activity data'!BG18*Constants!$H94*FracLEACHMM*MMLeachEF*NtoN2O*kgtoGg</f>
        <v>4.4215329008374625E-3</v>
      </c>
      <c r="BH185" s="22">
        <f>Constants!$H76*'Activity data'!BH18*Constants!$H94*FracLEACHMM*MMLeachEF*NtoN2O*kgtoGg</f>
        <v>4.479226400640501E-3</v>
      </c>
      <c r="BI185" s="22">
        <f>Constants!$H76*'Activity data'!BI18*Constants!$H94*FracLEACHMM*MMLeachEF*NtoN2O*kgtoGg</f>
        <v>4.5387807483712392E-3</v>
      </c>
      <c r="BJ185" s="22">
        <f>Constants!$H76*'Activity data'!BJ18*Constants!$H94*FracLEACHMM*MMLeachEF*NtoN2O*kgtoGg</f>
        <v>4.6006451488010665E-3</v>
      </c>
      <c r="BK185" s="22">
        <f>Constants!$H76*'Activity data'!BK18*Constants!$H94*FracLEACHMM*MMLeachEF*NtoN2O*kgtoGg</f>
        <v>4.665593680000254E-3</v>
      </c>
      <c r="BL185" s="22">
        <f>Constants!$H76*'Activity data'!BL18*Constants!$H94*FracLEACHMM*MMLeachEF*NtoN2O*kgtoGg</f>
        <v>4.7337939445789724E-3</v>
      </c>
      <c r="BM185" s="22">
        <f>Constants!$H76*'Activity data'!BM18*Constants!$H94*FracLEACHMM*MMLeachEF*NtoN2O*kgtoGg</f>
        <v>4.6922931469772361E-3</v>
      </c>
      <c r="BN185" s="22">
        <f>Constants!$H76*'Activity data'!BN18*Constants!$H94*FracLEACHMM*MMLeachEF*NtoN2O*kgtoGg</f>
        <v>4.6412016964271002E-3</v>
      </c>
      <c r="BO185" s="22">
        <f>Constants!$H76*'Activity data'!BO18*Constants!$H94*FracLEACHMM*MMLeachEF*NtoN2O*kgtoGg</f>
        <v>4.5767331649713494E-3</v>
      </c>
      <c r="BP185" s="22">
        <f>Constants!$H76*'Activity data'!BP18*Constants!$H94*FracLEACHMM*MMLeachEF*NtoN2O*kgtoGg</f>
        <v>4.5091028879276577E-3</v>
      </c>
    </row>
    <row r="186" spans="1:68" x14ac:dyDescent="0.3">
      <c r="A186" t="str">
        <f t="shared" si="58"/>
        <v>3C Aggregated and non-CO2 emissions on land</v>
      </c>
      <c r="B186" t="str">
        <f t="shared" ref="B186" si="68">B185</f>
        <v>3C6 Indirect N2O from manure management (N2O)</v>
      </c>
      <c r="C186" t="str">
        <f t="shared" si="67"/>
        <v>Leaching/runoff</v>
      </c>
      <c r="D186" t="str">
        <f t="shared" si="66"/>
        <v xml:space="preserve"> - Commercial layers</v>
      </c>
      <c r="E186" t="str">
        <f t="shared" si="64"/>
        <v>Leaching/runoff - Commercial layers</v>
      </c>
      <c r="F186" t="str">
        <f t="shared" si="47"/>
        <v>N2O</v>
      </c>
      <c r="G186" t="str">
        <f t="shared" si="48"/>
        <v>Gg N2O</v>
      </c>
      <c r="H186" s="22">
        <f>Constants!$H77*'Activity data'!H19*Constants!$H95*FracLEACHMM*MMLeachEF*NtoN2O*kgtoGg</f>
        <v>1.0355170129968004E-2</v>
      </c>
      <c r="I186" s="22">
        <f>Constants!$H77*'Activity data'!I19*Constants!$H95*FracLEACHMM*MMLeachEF*NtoN2O*kgtoGg</f>
        <v>1.0059892645860616E-2</v>
      </c>
      <c r="J186" s="22">
        <f>Constants!$H77*'Activity data'!J19*Constants!$H95*FracLEACHMM*MMLeachEF*NtoN2O*kgtoGg</f>
        <v>9.5411084013231947E-3</v>
      </c>
      <c r="K186" s="22">
        <f>Constants!$H77*'Activity data'!K19*Constants!$H95*FracLEACHMM*MMLeachEF*NtoN2O*kgtoGg</f>
        <v>9.3910912656011026E-3</v>
      </c>
      <c r="L186" s="22">
        <f>Constants!$H77*'Activity data'!L19*Constants!$H95*FracLEACHMM*MMLeachEF*NtoN2O*kgtoGg</f>
        <v>8.9826126081481942E-3</v>
      </c>
      <c r="M186" s="22">
        <f>Constants!$H77*'Activity data'!M19*Constants!$H95*FracLEACHMM*MMLeachEF*NtoN2O*kgtoGg</f>
        <v>9.8011483650425734E-3</v>
      </c>
      <c r="N186" s="22">
        <f>Constants!$H77*'Activity data'!N19*Constants!$H95*FracLEACHMM*MMLeachEF*NtoN2O*kgtoGg</f>
        <v>1.0353003890839162E-2</v>
      </c>
      <c r="O186" s="22">
        <f>Constants!$H77*'Activity data'!O19*Constants!$H95*FracLEACHMM*MMLeachEF*NtoN2O*kgtoGg</f>
        <v>1.038704838936534E-2</v>
      </c>
      <c r="P186" s="22">
        <f>Constants!$H77*'Activity data'!P19*Constants!$H95*FracLEACHMM*MMLeachEF*NtoN2O*kgtoGg</f>
        <v>1.1694940012383678E-2</v>
      </c>
      <c r="Q186" s="22">
        <f>Constants!$H77*'Activity data'!Q19*Constants!$H95*FracLEACHMM*MMLeachEF*NtoN2O*kgtoGg</f>
        <v>1.2538149270078789E-2</v>
      </c>
      <c r="R186" s="22">
        <f>Constants!$H77*'Activity data'!R19*Constants!$H95*FracLEACHMM*MMLeachEF*NtoN2O*kgtoGg</f>
        <v>1.2272486005224258E-2</v>
      </c>
      <c r="S186" s="22">
        <f>Constants!$H77*'Activity data'!S19*Constants!$H95*FracLEACHMM*MMLeachEF*NtoN2O*kgtoGg</f>
        <v>1.2599872153312836E-2</v>
      </c>
      <c r="T186" s="22">
        <f>Constants!$H77*'Activity data'!T19*Constants!$H95*FracLEACHMM*MMLeachEF*NtoN2O*kgtoGg</f>
        <v>1.2500981239572611E-2</v>
      </c>
      <c r="U186" s="22">
        <f>Constants!$H77*'Activity data'!U19*Constants!$H95*FracLEACHMM*MMLeachEF*NtoN2O*kgtoGg</f>
        <v>1.2001910795150582E-2</v>
      </c>
      <c r="V186" s="22">
        <f>Constants!$H77*'Activity data'!V19*Constants!$H95*FracLEACHMM*MMLeachEF*NtoN2O*kgtoGg</f>
        <v>1.2437112522602165E-2</v>
      </c>
      <c r="W186" s="22">
        <f>Constants!$H77*'Activity data'!W19*Constants!$H95*FracLEACHMM*MMLeachEF*NtoN2O*kgtoGg</f>
        <v>1.3187076931938265E-2</v>
      </c>
      <c r="X186" s="22">
        <f>Constants!$H77*'Activity data'!X19*Constants!$H95*FracLEACHMM*MMLeachEF*NtoN2O*kgtoGg</f>
        <v>1.4553489205518322E-2</v>
      </c>
      <c r="Y186" s="22">
        <f>Constants!$H77*'Activity data'!Y19*Constants!$H95*FracLEACHMM*MMLeachEF*NtoN2O*kgtoGg</f>
        <v>1.6105943457620602E-2</v>
      </c>
      <c r="Z186" s="22">
        <f>Constants!$H77*'Activity data'!Z19*Constants!$H95*FracLEACHMM*MMLeachEF*NtoN2O*kgtoGg</f>
        <v>1.6318056760498027E-2</v>
      </c>
      <c r="AA186" s="22">
        <f>Constants!$H77*'Activity data'!AA19*Constants!$H95*FracLEACHMM*MMLeachEF*NtoN2O*kgtoGg</f>
        <v>1.5716468259281271E-2</v>
      </c>
      <c r="AB186" s="22">
        <f>Constants!$H77*'Activity data'!AB19*Constants!$H95*FracLEACHMM*MMLeachEF*NtoN2O*kgtoGg</f>
        <v>1.6328679002481555E-2</v>
      </c>
      <c r="AC186" s="22">
        <f>Constants!$H77*'Activity data'!AC19*Constants!$H95*FracLEACHMM*MMLeachEF*NtoN2O*kgtoGg</f>
        <v>1.7082367042983767E-2</v>
      </c>
      <c r="AD186" s="22">
        <f>Constants!$H77*'Activity data'!AD19*Constants!$H95*FracLEACHMM*MMLeachEF*NtoN2O*kgtoGg</f>
        <v>1.6726645268412742E-2</v>
      </c>
      <c r="AE186" s="22">
        <f>Constants!$H77*'Activity data'!AE19*Constants!$H95*FracLEACHMM*MMLeachEF*NtoN2O*kgtoGg</f>
        <v>1.7066731126843739E-2</v>
      </c>
      <c r="AF186" s="22">
        <f>Constants!$H77*'Activity data'!AF19*Constants!$H95*FracLEACHMM*MMLeachEF*NtoN2O*kgtoGg</f>
        <v>1.7464259263446445E-2</v>
      </c>
      <c r="AG186" s="22">
        <f>Constants!$H77*'Activity data'!AG19*Constants!$H95*FracLEACHMM*MMLeachEF*NtoN2O*kgtoGg</f>
        <v>1.77694513935726E-2</v>
      </c>
      <c r="AH186" s="22">
        <f>Constants!$H77*'Activity data'!AH19*Constants!$H95*FracLEACHMM*MMLeachEF*NtoN2O*kgtoGg</f>
        <v>1.8014444056791569E-2</v>
      </c>
      <c r="AI186" s="22">
        <f>Constants!$H77*'Activity data'!AI19*Constants!$H95*FracLEACHMM*MMLeachEF*NtoN2O*kgtoGg</f>
        <v>1.8197780265539362E-2</v>
      </c>
      <c r="AJ186" s="22">
        <f>Constants!$H77*'Activity data'!AJ19*Constants!$H95*FracLEACHMM*MMLeachEF*NtoN2O*kgtoGg</f>
        <v>1.8432867891885713E-2</v>
      </c>
      <c r="AK186" s="22">
        <f>Constants!$H77*'Activity data'!AK19*Constants!$H95*FracLEACHMM*MMLeachEF*NtoN2O*kgtoGg</f>
        <v>1.8677293946611207E-2</v>
      </c>
      <c r="AL186" s="22">
        <f>Constants!$H77*'Activity data'!AL19*Constants!$H95*FracLEACHMM*MMLeachEF*NtoN2O*kgtoGg</f>
        <v>1.7845993977500554E-2</v>
      </c>
      <c r="AM186" s="22">
        <f>Constants!$H77*'Activity data'!AM19*Constants!$H95*FracLEACHMM*MMLeachEF*NtoN2O*kgtoGg</f>
        <v>1.8290177947761724E-2</v>
      </c>
      <c r="AN186" s="22">
        <f>Constants!$H77*'Activity data'!AN19*Constants!$H95*FracLEACHMM*MMLeachEF*NtoN2O*kgtoGg</f>
        <v>1.8882126643784119E-2</v>
      </c>
      <c r="AO186" s="22">
        <f>Constants!$H77*'Activity data'!AO19*Constants!$H95*FracLEACHMM*MMLeachEF*NtoN2O*kgtoGg</f>
        <v>1.9244149446427172E-2</v>
      </c>
      <c r="AP186" s="22">
        <f>Constants!$H77*'Activity data'!AP19*Constants!$H95*FracLEACHMM*MMLeachEF*NtoN2O*kgtoGg</f>
        <v>1.9638833779478608E-2</v>
      </c>
      <c r="AQ186" s="22">
        <f>Constants!$H77*'Activity data'!AQ19*Constants!$H95*FracLEACHMM*MMLeachEF*NtoN2O*kgtoGg</f>
        <v>2.0076166391792365E-2</v>
      </c>
      <c r="AR186" s="22">
        <f>Constants!$H77*'Activity data'!AR19*Constants!$H95*FracLEACHMM*MMLeachEF*NtoN2O*kgtoGg</f>
        <v>2.0527873811486335E-2</v>
      </c>
      <c r="AS186" s="22">
        <f>Constants!$H77*'Activity data'!AS19*Constants!$H95*FracLEACHMM*MMLeachEF*NtoN2O*kgtoGg</f>
        <v>2.1014725008073262E-2</v>
      </c>
      <c r="AT186" s="22">
        <f>Constants!$H77*'Activity data'!AT19*Constants!$H95*FracLEACHMM*MMLeachEF*NtoN2O*kgtoGg</f>
        <v>2.1512524786700418E-2</v>
      </c>
      <c r="AU186" s="22">
        <f>Constants!$H77*'Activity data'!AU19*Constants!$H95*FracLEACHMM*MMLeachEF*NtoN2O*kgtoGg</f>
        <v>2.204403910450644E-2</v>
      </c>
      <c r="AV186" s="22">
        <f>Constants!$H77*'Activity data'!AV19*Constants!$H95*FracLEACHMM*MMLeachEF*NtoN2O*kgtoGg</f>
        <v>2.2585019508801499E-2</v>
      </c>
      <c r="AW186" s="22">
        <f>Constants!$H77*'Activity data'!AW19*Constants!$H95*FracLEACHMM*MMLeachEF*NtoN2O*kgtoGg</f>
        <v>2.3168701426676565E-2</v>
      </c>
      <c r="AX186" s="22">
        <f>Constants!$H77*'Activity data'!AX19*Constants!$H95*FracLEACHMM*MMLeachEF*NtoN2O*kgtoGg</f>
        <v>2.3746356188951337E-2</v>
      </c>
      <c r="AY186" s="22">
        <f>Constants!$H77*'Activity data'!AY19*Constants!$H95*FracLEACHMM*MMLeachEF*NtoN2O*kgtoGg</f>
        <v>2.4350664580619397E-2</v>
      </c>
      <c r="AZ186" s="22">
        <f>Constants!$H77*'Activity data'!AZ19*Constants!$H95*FracLEACHMM*MMLeachEF*NtoN2O*kgtoGg</f>
        <v>2.5021362816751564E-2</v>
      </c>
      <c r="BA186" s="22">
        <f>Constants!$H77*'Activity data'!BA19*Constants!$H95*FracLEACHMM*MMLeachEF*NtoN2O*kgtoGg</f>
        <v>2.5665252656926436E-2</v>
      </c>
      <c r="BB186" s="22">
        <f>Constants!$H77*'Activity data'!BB19*Constants!$H95*FracLEACHMM*MMLeachEF*NtoN2O*kgtoGg</f>
        <v>2.6331138974392616E-2</v>
      </c>
      <c r="BC186" s="22">
        <f>Constants!$H77*'Activity data'!BC19*Constants!$H95*FracLEACHMM*MMLeachEF*NtoN2O*kgtoGg</f>
        <v>2.7037084930771747E-2</v>
      </c>
      <c r="BD186" s="22">
        <f>Constants!$H77*'Activity data'!BD19*Constants!$H95*FracLEACHMM*MMLeachEF*NtoN2O*kgtoGg</f>
        <v>2.7706662515763772E-2</v>
      </c>
      <c r="BE186" s="22">
        <f>Constants!$H77*'Activity data'!BE19*Constants!$H95*FracLEACHMM*MMLeachEF*NtoN2O*kgtoGg</f>
        <v>2.8374415178094886E-2</v>
      </c>
      <c r="BF186" s="22">
        <f>Constants!$H77*'Activity data'!BF19*Constants!$H95*FracLEACHMM*MMLeachEF*NtoN2O*kgtoGg</f>
        <v>2.9041879152159198E-2</v>
      </c>
      <c r="BG186" s="22">
        <f>Constants!$H77*'Activity data'!BG19*Constants!$H95*FracLEACHMM*MMLeachEF*NtoN2O*kgtoGg</f>
        <v>2.9750026658148378E-2</v>
      </c>
      <c r="BH186" s="22">
        <f>Constants!$H77*'Activity data'!BH19*Constants!$H95*FracLEACHMM*MMLeachEF*NtoN2O*kgtoGg</f>
        <v>3.0435625912582094E-2</v>
      </c>
      <c r="BI186" s="22">
        <f>Constants!$H77*'Activity data'!BI19*Constants!$H95*FracLEACHMM*MMLeachEF*NtoN2O*kgtoGg</f>
        <v>3.1144967675009176E-2</v>
      </c>
      <c r="BJ186" s="22">
        <f>Constants!$H77*'Activity data'!BJ19*Constants!$H95*FracLEACHMM*MMLeachEF*NtoN2O*kgtoGg</f>
        <v>3.1881013101963972E-2</v>
      </c>
      <c r="BK186" s="22">
        <f>Constants!$H77*'Activity data'!BK19*Constants!$H95*FracLEACHMM*MMLeachEF*NtoN2O*kgtoGg</f>
        <v>3.2648423492469485E-2</v>
      </c>
      <c r="BL186" s="22">
        <f>Constants!$H77*'Activity data'!BL19*Constants!$H95*FracLEACHMM*MMLeachEF*NtoN2O*kgtoGg</f>
        <v>3.3436328313148703E-2</v>
      </c>
      <c r="BM186" s="22">
        <f>Constants!$H77*'Activity data'!BM19*Constants!$H95*FracLEACHMM*MMLeachEF*NtoN2O*kgtoGg</f>
        <v>3.371230344910283E-2</v>
      </c>
      <c r="BN186" s="22">
        <f>Constants!$H77*'Activity data'!BN19*Constants!$H95*FracLEACHMM*MMLeachEF*NtoN2O*kgtoGg</f>
        <v>3.39408780706969E-2</v>
      </c>
      <c r="BO186" s="22">
        <f>Constants!$H77*'Activity data'!BO19*Constants!$H95*FracLEACHMM*MMLeachEF*NtoN2O*kgtoGg</f>
        <v>3.4100500286935446E-2</v>
      </c>
      <c r="BP186" s="22">
        <f>Constants!$H77*'Activity data'!BP19*Constants!$H95*FracLEACHMM*MMLeachEF*NtoN2O*kgtoGg</f>
        <v>3.4239705581718134E-2</v>
      </c>
    </row>
    <row r="187" spans="1:68" x14ac:dyDescent="0.3">
      <c r="A187" t="str">
        <f t="shared" si="58"/>
        <v>3C Aggregated and non-CO2 emissions on land</v>
      </c>
      <c r="B187" t="str">
        <f>B186</f>
        <v>3C6 Indirect N2O from manure management (N2O)</v>
      </c>
      <c r="C187" t="str">
        <f t="shared" si="67"/>
        <v>Leaching/runoff</v>
      </c>
      <c r="D187" t="str">
        <f>D171</f>
        <v xml:space="preserve"> - Commercial broilers</v>
      </c>
      <c r="E187" t="str">
        <f t="shared" si="64"/>
        <v>Leaching/runoff - Commercial broilers</v>
      </c>
      <c r="F187" t="str">
        <f t="shared" si="47"/>
        <v>N2O</v>
      </c>
      <c r="G187" t="str">
        <f t="shared" si="48"/>
        <v>Gg N2O</v>
      </c>
      <c r="H187" s="22">
        <f>Constants!$H78*'Activity data'!H20*Constants!$H96*FracLEACHMM*MMLeachEF*NtoN2O*kgtoGg</f>
        <v>3.3251202703764936E-2</v>
      </c>
      <c r="I187" s="22">
        <f>Constants!$H78*'Activity data'!I20*Constants!$H96*FracLEACHMM*MMLeachEF*NtoN2O*kgtoGg</f>
        <v>3.1256130581881272E-2</v>
      </c>
      <c r="J187" s="22">
        <f>Constants!$H78*'Activity data'!J20*Constants!$H96*FracLEACHMM*MMLeachEF*NtoN2O*kgtoGg</f>
        <v>2.9539279304954081E-2</v>
      </c>
      <c r="K187" s="22">
        <f>Constants!$H78*'Activity data'!K20*Constants!$H96*FracLEACHMM*MMLeachEF*NtoN2O*kgtoGg</f>
        <v>3.3221188579374041E-2</v>
      </c>
      <c r="L187" s="22">
        <f>Constants!$H78*'Activity data'!L20*Constants!$H96*FracLEACHMM*MMLeachEF*NtoN2O*kgtoGg</f>
        <v>3.2909615722030355E-2</v>
      </c>
      <c r="M187" s="22">
        <f>Constants!$H78*'Activity data'!M20*Constants!$H96*FracLEACHMM*MMLeachEF*NtoN2O*kgtoGg</f>
        <v>3.7669866131891196E-2</v>
      </c>
      <c r="N187" s="22">
        <f>Constants!$H78*'Activity data'!N20*Constants!$H96*FracLEACHMM*MMLeachEF*NtoN2O*kgtoGg</f>
        <v>4.380034464193687E-2</v>
      </c>
      <c r="O187" s="22">
        <f>Constants!$H78*'Activity data'!O20*Constants!$H96*FracLEACHMM*MMLeachEF*NtoN2O*kgtoGg</f>
        <v>4.458374413793717E-2</v>
      </c>
      <c r="P187" s="22">
        <f>Constants!$H78*'Activity data'!P20*Constants!$H96*FracLEACHMM*MMLeachEF*NtoN2O*kgtoGg</f>
        <v>4.8851875625500675E-2</v>
      </c>
      <c r="Q187" s="22">
        <f>Constants!$H78*'Activity data'!Q20*Constants!$H96*FracLEACHMM*MMLeachEF*NtoN2O*kgtoGg</f>
        <v>5.1000810169688715E-2</v>
      </c>
      <c r="R187" s="22">
        <f>Constants!$H78*'Activity data'!R20*Constants!$H96*FracLEACHMM*MMLeachEF*NtoN2O*kgtoGg</f>
        <v>5.4873113549001651E-2</v>
      </c>
      <c r="S187" s="22">
        <f>Constants!$H78*'Activity data'!S20*Constants!$H96*FracLEACHMM*MMLeachEF*NtoN2O*kgtoGg</f>
        <v>5.2985756974377428E-2</v>
      </c>
      <c r="T187" s="22">
        <f>Constants!$H78*'Activity data'!T20*Constants!$H96*FracLEACHMM*MMLeachEF*NtoN2O*kgtoGg</f>
        <v>5.8725405403651593E-2</v>
      </c>
      <c r="U187" s="22">
        <f>Constants!$H78*'Activity data'!U20*Constants!$H96*FracLEACHMM*MMLeachEF*NtoN2O*kgtoGg</f>
        <v>5.5856725851573273E-2</v>
      </c>
      <c r="V187" s="22">
        <f>Constants!$H78*'Activity data'!V20*Constants!$H96*FracLEACHMM*MMLeachEF*NtoN2O*kgtoGg</f>
        <v>5.7205155940384118E-2</v>
      </c>
      <c r="W187" s="22">
        <f>Constants!$H78*'Activity data'!W20*Constants!$H96*FracLEACHMM*MMLeachEF*NtoN2O*kgtoGg</f>
        <v>6.329605772520823E-2</v>
      </c>
      <c r="X187" s="22">
        <f>Constants!$H78*'Activity data'!X20*Constants!$H96*FracLEACHMM*MMLeachEF*NtoN2O*kgtoGg</f>
        <v>6.7701049603437022E-2</v>
      </c>
      <c r="Y187" s="22">
        <f>Constants!$H78*'Activity data'!Y20*Constants!$H96*FracLEACHMM*MMLeachEF*NtoN2O*kgtoGg</f>
        <v>7.0833855292733158E-2</v>
      </c>
      <c r="Z187" s="22">
        <f>Constants!$H78*'Activity data'!Z20*Constants!$H96*FracLEACHMM*MMLeachEF*NtoN2O*kgtoGg</f>
        <v>7.5418822438452923E-2</v>
      </c>
      <c r="AA187" s="22">
        <f>Constants!$H78*'Activity data'!AA20*Constants!$H96*FracLEACHMM*MMLeachEF*NtoN2O*kgtoGg</f>
        <v>7.1165915529208493E-2</v>
      </c>
      <c r="AB187" s="22">
        <f>Constants!$H78*'Activity data'!AB20*Constants!$H96*FracLEACHMM*MMLeachEF*NtoN2O*kgtoGg</f>
        <v>7.2955795050844749E-2</v>
      </c>
      <c r="AC187" s="22">
        <f>Constants!$H78*'Activity data'!AC20*Constants!$H96*FracLEACHMM*MMLeachEF*NtoN2O*kgtoGg</f>
        <v>7.5455418934244733E-2</v>
      </c>
      <c r="AD187" s="22">
        <f>Constants!$H78*'Activity data'!AD20*Constants!$H96*FracLEACHMM*MMLeachEF*NtoN2O*kgtoGg</f>
        <v>7.758579791322931E-2</v>
      </c>
      <c r="AE187" s="22">
        <f>Constants!$H78*'Activity data'!AE20*Constants!$H96*FracLEACHMM*MMLeachEF*NtoN2O*kgtoGg</f>
        <v>7.8607464197542429E-2</v>
      </c>
      <c r="AF187" s="22">
        <f>Constants!$H78*'Activity data'!AF20*Constants!$H96*FracLEACHMM*MMLeachEF*NtoN2O*kgtoGg</f>
        <v>8.0248553313821205E-2</v>
      </c>
      <c r="AG187" s="22">
        <f>Constants!$H78*'Activity data'!AG20*Constants!$H96*FracLEACHMM*MMLeachEF*NtoN2O*kgtoGg</f>
        <v>8.0719757945382262E-2</v>
      </c>
      <c r="AH187" s="22">
        <f>Constants!$H78*'Activity data'!AH20*Constants!$H96*FracLEACHMM*MMLeachEF*NtoN2O*kgtoGg</f>
        <v>8.0430818839717741E-2</v>
      </c>
      <c r="AI187" s="22">
        <f>Constants!$H78*'Activity data'!AI20*Constants!$H96*FracLEACHMM*MMLeachEF*NtoN2O*kgtoGg</f>
        <v>7.938481013134728E-2</v>
      </c>
      <c r="AJ187" s="22">
        <f>Constants!$H78*'Activity data'!AJ20*Constants!$H96*FracLEACHMM*MMLeachEF*NtoN2O*kgtoGg</f>
        <v>7.8944464359385597E-2</v>
      </c>
      <c r="AK187" s="22">
        <f>Constants!$H78*'Activity data'!AK20*Constants!$H96*FracLEACHMM*MMLeachEF*NtoN2O*kgtoGg</f>
        <v>7.8604018955287347E-2</v>
      </c>
      <c r="AL187" s="22">
        <f>Constants!$H78*'Activity data'!AL20*Constants!$H96*FracLEACHMM*MMLeachEF*NtoN2O*kgtoGg</f>
        <v>6.6259107806349124E-2</v>
      </c>
      <c r="AM187" s="22">
        <f>Constants!$H78*'Activity data'!AM20*Constants!$H96*FracLEACHMM*MMLeachEF*NtoN2O*kgtoGg</f>
        <v>6.8883290688916743E-2</v>
      </c>
      <c r="AN187" s="22">
        <f>Constants!$H78*'Activity data'!AN20*Constants!$H96*FracLEACHMM*MMLeachEF*NtoN2O*kgtoGg</f>
        <v>7.307131784092237E-2</v>
      </c>
      <c r="AO187" s="22">
        <f>Constants!$H78*'Activity data'!AO20*Constants!$H96*FracLEACHMM*MMLeachEF*NtoN2O*kgtoGg</f>
        <v>7.4685850466012449E-2</v>
      </c>
      <c r="AP187" s="22">
        <f>Constants!$H78*'Activity data'!AP20*Constants!$H96*FracLEACHMM*MMLeachEF*NtoN2O*kgtoGg</f>
        <v>7.6617949690607756E-2</v>
      </c>
      <c r="AQ187" s="22">
        <f>Constants!$H78*'Activity data'!AQ20*Constants!$H96*FracLEACHMM*MMLeachEF*NtoN2O*kgtoGg</f>
        <v>7.8965775854052137E-2</v>
      </c>
      <c r="AR187" s="22">
        <f>Constants!$H78*'Activity data'!AR20*Constants!$H96*FracLEACHMM*MMLeachEF*NtoN2O*kgtoGg</f>
        <v>8.1661778442119887E-2</v>
      </c>
      <c r="AS187" s="22">
        <f>Constants!$H78*'Activity data'!AS20*Constants!$H96*FracLEACHMM*MMLeachEF*NtoN2O*kgtoGg</f>
        <v>8.4680896790548951E-2</v>
      </c>
      <c r="AT187" s="22">
        <f>Constants!$H78*'Activity data'!AT20*Constants!$H96*FracLEACHMM*MMLeachEF*NtoN2O*kgtoGg</f>
        <v>8.776412775274034E-2</v>
      </c>
      <c r="AU187" s="22">
        <f>Constants!$H78*'Activity data'!AU20*Constants!$H96*FracLEACHMM*MMLeachEF*NtoN2O*kgtoGg</f>
        <v>9.1145488449202117E-2</v>
      </c>
      <c r="AV187" s="22">
        <f>Constants!$H78*'Activity data'!AV20*Constants!$H96*FracLEACHMM*MMLeachEF*NtoN2O*kgtoGg</f>
        <v>9.4570204644651698E-2</v>
      </c>
      <c r="AW187" s="22">
        <f>Constants!$H78*'Activity data'!AW20*Constants!$H96*FracLEACHMM*MMLeachEF*NtoN2O*kgtoGg</f>
        <v>9.8568154697968743E-2</v>
      </c>
      <c r="AX187" s="22">
        <f>Constants!$H78*'Activity data'!AX20*Constants!$H96*FracLEACHMM*MMLeachEF*NtoN2O*kgtoGg</f>
        <v>0.10244796560739347</v>
      </c>
      <c r="AY187" s="22">
        <f>Constants!$H78*'Activity data'!AY20*Constants!$H96*FracLEACHMM*MMLeachEF*NtoN2O*kgtoGg</f>
        <v>0.10654057141624064</v>
      </c>
      <c r="AZ187" s="22">
        <f>Constants!$H78*'Activity data'!AZ20*Constants!$H96*FracLEACHMM*MMLeachEF*NtoN2O*kgtoGg</f>
        <v>0.11123806657675694</v>
      </c>
      <c r="BA187" s="22">
        <f>Constants!$H78*'Activity data'!BA20*Constants!$H96*FracLEACHMM*MMLeachEF*NtoN2O*kgtoGg</f>
        <v>0.11560654614552646</v>
      </c>
      <c r="BB187" s="22">
        <f>Constants!$H78*'Activity data'!BB20*Constants!$H96*FracLEACHMM*MMLeachEF*NtoN2O*kgtoGg</f>
        <v>0.12031218938193437</v>
      </c>
      <c r="BC187" s="22">
        <f>Constants!$H78*'Activity data'!BC20*Constants!$H96*FracLEACHMM*MMLeachEF*NtoN2O*kgtoGg</f>
        <v>0.12535029329403399</v>
      </c>
      <c r="BD187" s="22">
        <f>Constants!$H78*'Activity data'!BD20*Constants!$H96*FracLEACHMM*MMLeachEF*NtoN2O*kgtoGg</f>
        <v>0.12997331250710895</v>
      </c>
      <c r="BE187" s="22">
        <f>Constants!$H78*'Activity data'!BE20*Constants!$H96*FracLEACHMM*MMLeachEF*NtoN2O*kgtoGg</f>
        <v>0.13452286194458821</v>
      </c>
      <c r="BF187" s="22">
        <f>Constants!$H78*'Activity data'!BF20*Constants!$H96*FracLEACHMM*MMLeachEF*NtoN2O*kgtoGg</f>
        <v>0.13901554953719861</v>
      </c>
      <c r="BG187" s="22">
        <f>Constants!$H78*'Activity data'!BG20*Constants!$H96*FracLEACHMM*MMLeachEF*NtoN2O*kgtoGg</f>
        <v>0.1440082698862134</v>
      </c>
      <c r="BH187" s="22">
        <f>Constants!$H78*'Activity data'!BH20*Constants!$H96*FracLEACHMM*MMLeachEF*NtoN2O*kgtoGg</f>
        <v>0.14873185090680655</v>
      </c>
      <c r="BI187" s="22">
        <f>Constants!$H78*'Activity data'!BI20*Constants!$H96*FracLEACHMM*MMLeachEF*NtoN2O*kgtoGg</f>
        <v>0.15362755351583215</v>
      </c>
      <c r="BJ187" s="22">
        <f>Constants!$H78*'Activity data'!BJ20*Constants!$H96*FracLEACHMM*MMLeachEF*NtoN2O*kgtoGg</f>
        <v>0.15872063106624867</v>
      </c>
      <c r="BK187" s="22">
        <f>Constants!$H78*'Activity data'!BK20*Constants!$H96*FracLEACHMM*MMLeachEF*NtoN2O*kgtoGg</f>
        <v>0.16405164052421939</v>
      </c>
      <c r="BL187" s="22">
        <f>Constants!$H78*'Activity data'!BL20*Constants!$H96*FracLEACHMM*MMLeachEF*NtoN2O*kgtoGg</f>
        <v>0.16968110376218293</v>
      </c>
      <c r="BM187" s="22">
        <f>Constants!$H78*'Activity data'!BM20*Constants!$H96*FracLEACHMM*MMLeachEF*NtoN2O*kgtoGg</f>
        <v>0.17053816071119138</v>
      </c>
      <c r="BN187" s="22">
        <f>Constants!$H78*'Activity data'!BN20*Constants!$H96*FracLEACHMM*MMLeachEF*NtoN2O*kgtoGg</f>
        <v>0.17095629027566819</v>
      </c>
      <c r="BO187" s="22">
        <f>Constants!$H78*'Activity data'!BO20*Constants!$H96*FracLEACHMM*MMLeachEF*NtoN2O*kgtoGg</f>
        <v>0.17074584650981994</v>
      </c>
      <c r="BP187" s="22">
        <f>Constants!$H78*'Activity data'!BP20*Constants!$H96*FracLEACHMM*MMLeachEF*NtoN2O*kgtoGg</f>
        <v>0.17035646457405007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9900"/>
  </sheetPr>
  <dimension ref="A1:BT127"/>
  <sheetViews>
    <sheetView workbookViewId="0">
      <pane xSplit="5" ySplit="3" topLeftCell="BD14" activePane="bottomRight" state="frozen"/>
      <selection pane="topRight" activeCell="F1" sqref="F1"/>
      <selection pane="bottomLeft" activeCell="A4" sqref="A4"/>
      <selection pane="bottomRight" activeCell="BN28" sqref="BN28"/>
    </sheetView>
  </sheetViews>
  <sheetFormatPr defaultColWidth="8.77734375" defaultRowHeight="14.4" x14ac:dyDescent="0.3"/>
  <cols>
    <col min="1" max="1" width="34.44140625" customWidth="1"/>
    <col min="2" max="2" width="33.33203125" customWidth="1"/>
    <col min="3" max="3" width="27.44140625" customWidth="1"/>
    <col min="4" max="4" width="7.44140625" customWidth="1"/>
    <col min="5" max="5" width="26.109375" customWidth="1"/>
    <col min="6" max="33" width="9.6640625" customWidth="1"/>
    <col min="34" max="34" width="9.44140625" customWidth="1"/>
    <col min="49" max="50" width="9.44140625" customWidth="1"/>
    <col min="51" max="51" width="9.6640625" customWidth="1"/>
  </cols>
  <sheetData>
    <row r="1" spans="1:72" ht="18" x14ac:dyDescent="0.35">
      <c r="A1" s="1" t="s">
        <v>312</v>
      </c>
    </row>
    <row r="3" spans="1:72" s="19" customFormat="1" ht="15.6" x14ac:dyDescent="0.3">
      <c r="A3" s="17" t="s">
        <v>4</v>
      </c>
      <c r="B3" s="17" t="s">
        <v>313</v>
      </c>
      <c r="C3" s="17" t="s">
        <v>314</v>
      </c>
      <c r="D3" s="17" t="s">
        <v>5</v>
      </c>
      <c r="E3" s="17" t="s">
        <v>0</v>
      </c>
      <c r="F3" s="17">
        <v>1990</v>
      </c>
      <c r="G3" s="17">
        <v>1991</v>
      </c>
      <c r="H3" s="17">
        <v>1992</v>
      </c>
      <c r="I3" s="17">
        <v>1993</v>
      </c>
      <c r="J3" s="17">
        <v>1994</v>
      </c>
      <c r="K3" s="17">
        <v>1995</v>
      </c>
      <c r="L3" s="17">
        <v>1996</v>
      </c>
      <c r="M3" s="17">
        <v>1997</v>
      </c>
      <c r="N3" s="17">
        <v>1998</v>
      </c>
      <c r="O3" s="17">
        <v>1999</v>
      </c>
      <c r="P3" s="17">
        <v>2000</v>
      </c>
      <c r="Q3" s="17">
        <v>2001</v>
      </c>
      <c r="R3" s="17">
        <v>2002</v>
      </c>
      <c r="S3" s="17">
        <v>2003</v>
      </c>
      <c r="T3" s="17">
        <v>2004</v>
      </c>
      <c r="U3" s="17">
        <v>2005</v>
      </c>
      <c r="V3" s="17">
        <v>2006</v>
      </c>
      <c r="W3" s="17">
        <v>2007</v>
      </c>
      <c r="X3" s="17">
        <v>2008</v>
      </c>
      <c r="Y3" s="17">
        <v>2009</v>
      </c>
      <c r="Z3" s="17">
        <v>2010</v>
      </c>
      <c r="AA3" s="17">
        <v>2011</v>
      </c>
      <c r="AB3" s="17">
        <v>2012</v>
      </c>
      <c r="AC3" s="17">
        <v>2013</v>
      </c>
      <c r="AD3" s="17">
        <v>2014</v>
      </c>
      <c r="AE3" s="17">
        <v>2015</v>
      </c>
      <c r="AF3" s="17">
        <v>2016</v>
      </c>
      <c r="AG3" s="17">
        <v>2017</v>
      </c>
      <c r="AH3" s="17">
        <v>2018</v>
      </c>
      <c r="AI3" s="17">
        <v>2019</v>
      </c>
      <c r="AJ3" s="17">
        <v>2020</v>
      </c>
      <c r="AK3" s="17">
        <v>2021</v>
      </c>
      <c r="AL3" s="17">
        <v>2022</v>
      </c>
      <c r="AM3" s="17">
        <v>2023</v>
      </c>
      <c r="AN3" s="17">
        <v>2024</v>
      </c>
      <c r="AO3" s="17">
        <v>2025</v>
      </c>
      <c r="AP3" s="17">
        <v>2026</v>
      </c>
      <c r="AQ3" s="17">
        <v>2027</v>
      </c>
      <c r="AR3" s="17">
        <v>2028</v>
      </c>
      <c r="AS3" s="17">
        <v>2029</v>
      </c>
      <c r="AT3" s="17">
        <v>2030</v>
      </c>
      <c r="AU3" s="17">
        <v>2031</v>
      </c>
      <c r="AV3" s="17">
        <v>2032</v>
      </c>
      <c r="AW3" s="17">
        <v>2033</v>
      </c>
      <c r="AX3" s="17">
        <v>2034</v>
      </c>
      <c r="AY3" s="17">
        <v>2035</v>
      </c>
      <c r="AZ3" s="17">
        <v>2036</v>
      </c>
      <c r="BA3" s="17">
        <v>2037</v>
      </c>
      <c r="BB3" s="17">
        <v>2038</v>
      </c>
      <c r="BC3" s="17">
        <v>2039</v>
      </c>
      <c r="BD3" s="17">
        <v>2040</v>
      </c>
      <c r="BE3" s="17">
        <v>2041</v>
      </c>
      <c r="BF3" s="17">
        <v>2042</v>
      </c>
      <c r="BG3" s="17">
        <v>2043</v>
      </c>
      <c r="BH3" s="17">
        <v>2044</v>
      </c>
      <c r="BI3" s="17">
        <v>2045</v>
      </c>
      <c r="BJ3" s="17">
        <v>2046</v>
      </c>
      <c r="BK3" s="17">
        <v>2047</v>
      </c>
      <c r="BL3" s="17">
        <v>2048</v>
      </c>
      <c r="BM3" s="17">
        <v>2049</v>
      </c>
      <c r="BN3" s="17">
        <v>2050</v>
      </c>
      <c r="BO3" s="17"/>
      <c r="BP3" s="17"/>
      <c r="BQ3" s="17"/>
      <c r="BR3" s="17"/>
      <c r="BS3" s="17"/>
      <c r="BT3" s="17"/>
    </row>
    <row r="4" spans="1:72" s="19" customFormat="1" ht="15.6" x14ac:dyDescent="0.3">
      <c r="A4" s="19" t="str">
        <f>A10</f>
        <v>3A Livestock</v>
      </c>
      <c r="B4" s="19" t="str">
        <f>B10</f>
        <v>3A1 Enteric fermentation (CH4)</v>
      </c>
      <c r="C4" s="19" t="s">
        <v>148</v>
      </c>
      <c r="D4" s="19" t="str">
        <f>D10</f>
        <v>CH4</v>
      </c>
      <c r="E4" s="19" t="str">
        <f>E10</f>
        <v>Gg CH4</v>
      </c>
      <c r="F4" s="40">
        <f t="shared" ref="F4:AK4" si="0">SUM(F5:F10)</f>
        <v>1260.0440510636847</v>
      </c>
      <c r="G4" s="40">
        <f t="shared" si="0"/>
        <v>1258.0226339156723</v>
      </c>
      <c r="H4" s="40">
        <f t="shared" si="0"/>
        <v>1239.3934970469879</v>
      </c>
      <c r="I4" s="40">
        <f t="shared" si="0"/>
        <v>1194.7273149041114</v>
      </c>
      <c r="J4" s="40">
        <f t="shared" si="0"/>
        <v>1162.4999055437097</v>
      </c>
      <c r="K4" s="40">
        <f t="shared" si="0"/>
        <v>1171.5173194915196</v>
      </c>
      <c r="L4" s="40">
        <f t="shared" si="0"/>
        <v>1202.0962242987941</v>
      </c>
      <c r="M4" s="40">
        <f t="shared" si="0"/>
        <v>1224.8603653192843</v>
      </c>
      <c r="N4" s="40">
        <f t="shared" si="0"/>
        <v>1244.3232626994372</v>
      </c>
      <c r="O4" s="40">
        <f t="shared" si="0"/>
        <v>1241.8612496504879</v>
      </c>
      <c r="P4" s="40">
        <f t="shared" si="0"/>
        <v>1227.4784890178826</v>
      </c>
      <c r="Q4" s="40">
        <f t="shared" si="0"/>
        <v>1218.6551420734072</v>
      </c>
      <c r="R4" s="40">
        <f t="shared" si="0"/>
        <v>1197.4820095010721</v>
      </c>
      <c r="S4" s="40">
        <f t="shared" si="0"/>
        <v>1202.3555525159982</v>
      </c>
      <c r="T4" s="40">
        <f t="shared" si="0"/>
        <v>1192.9382386371974</v>
      </c>
      <c r="U4" s="40">
        <f t="shared" si="0"/>
        <v>1195.5469772851111</v>
      </c>
      <c r="V4" s="40">
        <f t="shared" si="0"/>
        <v>1190.9388605207587</v>
      </c>
      <c r="W4" s="40">
        <f t="shared" si="0"/>
        <v>1216.9016959048554</v>
      </c>
      <c r="X4" s="40">
        <f t="shared" si="0"/>
        <v>1224.8132015696788</v>
      </c>
      <c r="Y4" s="40">
        <f t="shared" si="0"/>
        <v>1216.8111130588925</v>
      </c>
      <c r="Z4" s="40">
        <f t="shared" si="0"/>
        <v>1206.6102248317582</v>
      </c>
      <c r="AA4" s="40">
        <f t="shared" si="0"/>
        <v>1202.8837608805554</v>
      </c>
      <c r="AB4" s="40">
        <f t="shared" si="0"/>
        <v>1171.26511604862</v>
      </c>
      <c r="AC4" s="40">
        <f t="shared" si="0"/>
        <v>1166.5593957177307</v>
      </c>
      <c r="AD4" s="40">
        <f t="shared" si="0"/>
        <v>1166.8343107149296</v>
      </c>
      <c r="AE4" s="40">
        <f t="shared" si="0"/>
        <v>1158.6000321770462</v>
      </c>
      <c r="AF4" s="40">
        <f t="shared" si="0"/>
        <v>1145.2621528294474</v>
      </c>
      <c r="AG4" s="40">
        <f t="shared" si="0"/>
        <v>1127.1134954870122</v>
      </c>
      <c r="AH4" s="40">
        <f t="shared" si="0"/>
        <v>1113.6808905305425</v>
      </c>
      <c r="AI4" s="40">
        <f t="shared" si="0"/>
        <v>1101.2673361670934</v>
      </c>
      <c r="AJ4" s="40">
        <f t="shared" si="0"/>
        <v>1008.6136193162066</v>
      </c>
      <c r="AK4" s="40">
        <f t="shared" si="0"/>
        <v>1022.1652490528422</v>
      </c>
      <c r="AL4" s="40">
        <f t="shared" ref="AL4:BN4" si="1">SUM(AL5:AL10)</f>
        <v>1045.8733464390211</v>
      </c>
      <c r="AM4" s="40">
        <f t="shared" si="1"/>
        <v>1052.4524907611742</v>
      </c>
      <c r="AN4" s="40">
        <f t="shared" si="1"/>
        <v>1061.0507593335781</v>
      </c>
      <c r="AO4" s="40">
        <f t="shared" si="1"/>
        <v>1072.2330017073305</v>
      </c>
      <c r="AP4" s="40">
        <f t="shared" si="1"/>
        <v>1084.4893992199181</v>
      </c>
      <c r="AQ4" s="40">
        <f t="shared" si="1"/>
        <v>1098.604830554046</v>
      </c>
      <c r="AR4" s="40">
        <f t="shared" si="1"/>
        <v>1112.9057474917574</v>
      </c>
      <c r="AS4" s="40">
        <f t="shared" si="1"/>
        <v>1128.823475255806</v>
      </c>
      <c r="AT4" s="40">
        <f t="shared" si="1"/>
        <v>1144.7465763655327</v>
      </c>
      <c r="AU4" s="40">
        <f t="shared" si="1"/>
        <v>1157.0959769893807</v>
      </c>
      <c r="AV4" s="40">
        <f t="shared" si="1"/>
        <v>1168.103633837201</v>
      </c>
      <c r="AW4" s="40">
        <f t="shared" si="1"/>
        <v>1179.7338309250813</v>
      </c>
      <c r="AX4" s="40">
        <f t="shared" si="1"/>
        <v>1194.1741537487578</v>
      </c>
      <c r="AY4" s="40">
        <f t="shared" si="1"/>
        <v>1205.9914104943327</v>
      </c>
      <c r="AZ4" s="40">
        <f t="shared" si="1"/>
        <v>1218.2889604793784</v>
      </c>
      <c r="BA4" s="40">
        <f t="shared" si="1"/>
        <v>1231.6467344799937</v>
      </c>
      <c r="BB4" s="40">
        <f t="shared" si="1"/>
        <v>1241.9732242043494</v>
      </c>
      <c r="BC4" s="40">
        <f t="shared" si="1"/>
        <v>1251.1856946193341</v>
      </c>
      <c r="BD4" s="40">
        <f t="shared" si="1"/>
        <v>1259.3941655421349</v>
      </c>
      <c r="BE4" s="40">
        <f t="shared" si="1"/>
        <v>1272.727529588135</v>
      </c>
      <c r="BF4" s="40">
        <f t="shared" si="1"/>
        <v>1284.1212953077591</v>
      </c>
      <c r="BG4" s="40">
        <f t="shared" si="1"/>
        <v>1295.8234443186388</v>
      </c>
      <c r="BH4" s="40">
        <f t="shared" si="1"/>
        <v>1307.9246463103057</v>
      </c>
      <c r="BI4" s="40">
        <f t="shared" si="1"/>
        <v>1320.5829610130415</v>
      </c>
      <c r="BJ4" s="40">
        <f t="shared" si="1"/>
        <v>1333.4639642435948</v>
      </c>
      <c r="BK4" s="40">
        <f t="shared" si="1"/>
        <v>1323.3346067656616</v>
      </c>
      <c r="BL4" s="40">
        <f t="shared" si="1"/>
        <v>1311.1778708116899</v>
      </c>
      <c r="BM4" s="40">
        <f t="shared" si="1"/>
        <v>1296.216602167058</v>
      </c>
      <c r="BN4" s="40">
        <f t="shared" si="1"/>
        <v>1280.5904516295188</v>
      </c>
    </row>
    <row r="5" spans="1:72" x14ac:dyDescent="0.3">
      <c r="A5" t="str">
        <f>'IPCC Categories'!A5</f>
        <v>3A Livestock</v>
      </c>
      <c r="B5" t="str">
        <f>'IPCC Categories'!B5</f>
        <v>3A1 Enteric fermentation (CH4)</v>
      </c>
      <c r="C5" t="str">
        <f>'IPCC Categories'!C5</f>
        <v>3A1a Cattle</v>
      </c>
      <c r="D5" t="s">
        <v>121</v>
      </c>
      <c r="E5" t="s">
        <v>286</v>
      </c>
      <c r="F5" s="27">
        <f>SUM(Emissions!H4:H9)</f>
        <v>970.75783010383884</v>
      </c>
      <c r="G5" s="27">
        <f>SUM(Emissions!I4:I9)</f>
        <v>984.79007914328508</v>
      </c>
      <c r="H5" s="27">
        <f>SUM(Emissions!J4:J9)</f>
        <v>978.33549013594484</v>
      </c>
      <c r="I5" s="27">
        <f>SUM(Emissions!K4:K9)</f>
        <v>949.53957888011155</v>
      </c>
      <c r="J5" s="27">
        <f>SUM(Emissions!L4:L9)</f>
        <v>912.67525621411551</v>
      </c>
      <c r="K5" s="27">
        <f>SUM(Emissions!M4:M9)</f>
        <v>923.83797265176531</v>
      </c>
      <c r="L5" s="27">
        <f>SUM(Emissions!N4:N9)</f>
        <v>952.84275320570532</v>
      </c>
      <c r="M5" s="27">
        <f>SUM(Emissions!O4:O9)</f>
        <v>980.01539424682801</v>
      </c>
      <c r="N5" s="27">
        <f>SUM(Emissions!P4:P9)</f>
        <v>999.43503615113787</v>
      </c>
      <c r="O5" s="27">
        <f>SUM(Emissions!Q4:Q9)</f>
        <v>1002.3241787350501</v>
      </c>
      <c r="P5" s="27">
        <f>SUM(Emissions!R4:R9)</f>
        <v>994.67599031563441</v>
      </c>
      <c r="Q5" s="27">
        <f>SUM(Emissions!S4:S9)</f>
        <v>989.00845450586121</v>
      </c>
      <c r="R5" s="27">
        <f>SUM(Emissions!T4:T9)</f>
        <v>974.60961385984729</v>
      </c>
      <c r="S5" s="27">
        <f>SUM(Emissions!U4:U9)</f>
        <v>979.96199314328828</v>
      </c>
      <c r="T5" s="27">
        <f>SUM(Emissions!V4:V9)</f>
        <v>973.57297774234985</v>
      </c>
      <c r="U5" s="27">
        <f>SUM(Emissions!W4:W9)</f>
        <v>977.1168038510275</v>
      </c>
      <c r="V5" s="27">
        <f>SUM(Emissions!X4:X9)</f>
        <v>973.77414524080291</v>
      </c>
      <c r="W5" s="27">
        <f>SUM(Emissions!Y4:Y9)</f>
        <v>1000.8673096110051</v>
      </c>
      <c r="X5" s="27">
        <f>SUM(Emissions!Z4:Z9)</f>
        <v>1008.1706907272458</v>
      </c>
      <c r="Y5" s="27">
        <f>SUM(Emissions!AA4:AA9)</f>
        <v>1001.4109568206607</v>
      </c>
      <c r="Z5" s="27">
        <f>SUM(Emissions!AB4:AB9)</f>
        <v>994.93224097621089</v>
      </c>
      <c r="AA5" s="27">
        <f>SUM(Emissions!AC4:AC9)</f>
        <v>992.75930538162731</v>
      </c>
      <c r="AB5" s="27">
        <f>SUM(Emissions!AD4:AD9)</f>
        <v>977.48324710494353</v>
      </c>
      <c r="AC5" s="27">
        <f>SUM(Emissions!AE4:AE9)</f>
        <v>972.58505850583742</v>
      </c>
      <c r="AD5" s="27">
        <f>SUM(Emissions!AF4:AF9)</f>
        <v>972.49373775284266</v>
      </c>
      <c r="AE5" s="27">
        <f>SUM(Emissions!AG4:AG9)</f>
        <v>963.82588908536786</v>
      </c>
      <c r="AF5" s="27">
        <f>SUM(Emissions!AH4:AH9)</f>
        <v>949.97028936128629</v>
      </c>
      <c r="AG5" s="27">
        <f>SUM(Emissions!AI4:AI9)</f>
        <v>931.223870238676</v>
      </c>
      <c r="AH5" s="27">
        <f>SUM(Emissions!AJ4:AJ9)</f>
        <v>917.09432606703422</v>
      </c>
      <c r="AI5" s="27">
        <f>SUM(Emissions!AK4:AK9)</f>
        <v>903.9107469187411</v>
      </c>
      <c r="AJ5" s="27">
        <f>SUM(Emissions!AL4:AL9)</f>
        <v>811.05700875819878</v>
      </c>
      <c r="AK5" s="27">
        <f>SUM(Emissions!AM4:AM9)</f>
        <v>824.18436740436607</v>
      </c>
      <c r="AL5" s="27">
        <f>SUM(Emissions!AN4:AN9)</f>
        <v>847.33903698820916</v>
      </c>
      <c r="AM5" s="27">
        <f>SUM(Emissions!AO4:AO9)</f>
        <v>853.45518962464996</v>
      </c>
      <c r="AN5" s="27">
        <f>SUM(Emissions!AP4:AP9)</f>
        <v>861.53178289516325</v>
      </c>
      <c r="AO5" s="27">
        <f>SUM(Emissions!AQ4:AQ9)</f>
        <v>872.13114817755127</v>
      </c>
      <c r="AP5" s="27">
        <f>SUM(Emissions!AR4:AR9)</f>
        <v>883.98025553172408</v>
      </c>
      <c r="AQ5" s="27">
        <f>SUM(Emissions!AS4:AS9)</f>
        <v>897.63841711182533</v>
      </c>
      <c r="AR5" s="27">
        <f>SUM(Emissions!AT4:AT9)</f>
        <v>911.44724072298709</v>
      </c>
      <c r="AS5" s="27">
        <f>SUM(Emissions!AU4:AU9)</f>
        <v>926.82780064820054</v>
      </c>
      <c r="AT5" s="27">
        <f>SUM(Emissions!AV4:AV9)</f>
        <v>942.18314039268819</v>
      </c>
      <c r="AU5" s="27">
        <f>SUM(Emissions!AW4:AW9)</f>
        <v>954.09405537255964</v>
      </c>
      <c r="AV5" s="27">
        <f>SUM(Emissions!AX4:AX9)</f>
        <v>964.64474386988206</v>
      </c>
      <c r="AW5" s="27">
        <f>SUM(Emissions!AY4:AY9)</f>
        <v>975.78403162447353</v>
      </c>
      <c r="AX5" s="27">
        <f>SUM(Emissions!AZ4:AZ9)</f>
        <v>989.68115851069774</v>
      </c>
      <c r="AY5" s="27">
        <f>SUM(Emissions!BA4:BA9)</f>
        <v>1000.9504948267488</v>
      </c>
      <c r="AZ5" s="27">
        <f>SUM(Emissions!BB4:BB9)</f>
        <v>1012.8369816573047</v>
      </c>
      <c r="BA5" s="27">
        <f>SUM(Emissions!BC4:BC9)</f>
        <v>1025.7488890561726</v>
      </c>
      <c r="BB5" s="27">
        <f>SUM(Emissions!BD4:BD9)</f>
        <v>1035.6323210782809</v>
      </c>
      <c r="BC5" s="27">
        <f>SUM(Emissions!BE4:BE9)</f>
        <v>1044.388363259309</v>
      </c>
      <c r="BD5" s="27">
        <f>SUM(Emissions!BF4:BF9)</f>
        <v>1052.1268586732422</v>
      </c>
      <c r="BE5" s="27">
        <f>SUM(Emissions!BG4:BG9)</f>
        <v>1065.1110647820508</v>
      </c>
      <c r="BF5" s="27">
        <f>SUM(Emissions!BH4:BH9)</f>
        <v>1076.1543301280399</v>
      </c>
      <c r="BG5" s="27">
        <f>SUM(Emissions!BI4:BI9)</f>
        <v>1087.483797825013</v>
      </c>
      <c r="BH5" s="27">
        <f>SUM(Emissions!BJ4:BJ9)</f>
        <v>1099.1895341956952</v>
      </c>
      <c r="BI5" s="27">
        <f>SUM(Emissions!BK4:BK9)</f>
        <v>1111.4282412823511</v>
      </c>
      <c r="BJ5" s="27">
        <f>SUM(Emissions!BL4:BL9)</f>
        <v>1124.0245061622404</v>
      </c>
      <c r="BK5" s="27">
        <f>SUM(Emissions!BM4:BM9)</f>
        <v>1113.8268042717291</v>
      </c>
      <c r="BL5" s="27">
        <f>SUM(Emissions!BN4:BN9)</f>
        <v>1101.6105298680593</v>
      </c>
      <c r="BM5" s="27">
        <f>SUM(Emissions!BO4:BO9)</f>
        <v>1086.607774712978</v>
      </c>
      <c r="BN5" s="27">
        <f>SUM(Emissions!BP4:BP9)</f>
        <v>1070.9370463501682</v>
      </c>
    </row>
    <row r="6" spans="1:72" x14ac:dyDescent="0.3">
      <c r="A6" t="str">
        <f>A5</f>
        <v>3A Livestock</v>
      </c>
      <c r="B6" t="str">
        <f>B5</f>
        <v>3A1 Enteric fermentation (CH4)</v>
      </c>
      <c r="C6" t="str">
        <f>'IPCC Categories'!C7</f>
        <v>3A1c Sheep</v>
      </c>
      <c r="D6" t="str">
        <f>D5</f>
        <v>CH4</v>
      </c>
      <c r="E6" t="str">
        <f>E5</f>
        <v>Gg CH4</v>
      </c>
      <c r="F6" s="27">
        <f>SUM(Emissions!H10:H11)</f>
        <v>230.15541038431331</v>
      </c>
      <c r="G6" s="27">
        <f>SUM(Emissions!I10:I11)</f>
        <v>219.80651638524552</v>
      </c>
      <c r="H6" s="27">
        <f>SUM(Emissions!J10:J11)</f>
        <v>210.72436386232471</v>
      </c>
      <c r="I6" s="27">
        <f>SUM(Emissions!K10:K11)</f>
        <v>197.07426480420705</v>
      </c>
      <c r="J6" s="27">
        <f>SUM(Emissions!L10:L11)</f>
        <v>198.463841817435</v>
      </c>
      <c r="K6" s="27">
        <f>SUM(Emissions!M10:M11)</f>
        <v>195.62327002243862</v>
      </c>
      <c r="L6" s="27">
        <f>SUM(Emissions!N10:N11)</f>
        <v>196.27583381318104</v>
      </c>
      <c r="M6" s="27">
        <f>SUM(Emissions!O10:O11)</f>
        <v>192.00729889961895</v>
      </c>
      <c r="N6" s="27">
        <f>SUM(Emissions!P10:P11)</f>
        <v>192.53702715328046</v>
      </c>
      <c r="O6" s="27">
        <f>SUM(Emissions!Q10:Q11)</f>
        <v>187.80785897566491</v>
      </c>
      <c r="P6" s="27">
        <f>SUM(Emissions!R10:R11)</f>
        <v>181.07493609941679</v>
      </c>
      <c r="Q6" s="27">
        <f>SUM(Emissions!S10:S11)</f>
        <v>176.56073011169283</v>
      </c>
      <c r="R6" s="27">
        <f>SUM(Emissions!T10:T11)</f>
        <v>173.61267722175066</v>
      </c>
      <c r="S6" s="27">
        <f>SUM(Emissions!U10:U11)</f>
        <v>174.21917768608773</v>
      </c>
      <c r="T6" s="27">
        <f>SUM(Emissions!V10:V11)</f>
        <v>171.11758037479439</v>
      </c>
      <c r="U6" s="27">
        <f>SUM(Emissions!W10:W11)</f>
        <v>170.71068765821383</v>
      </c>
      <c r="V6" s="27">
        <f>SUM(Emissions!X10:X11)</f>
        <v>168.47661632755455</v>
      </c>
      <c r="W6" s="27">
        <f>SUM(Emissions!Y10:Y11)</f>
        <v>168.31539468513583</v>
      </c>
      <c r="X6" s="27">
        <f>SUM(Emissions!Z10:Z11)</f>
        <v>168.86047738093242</v>
      </c>
      <c r="Y6" s="27">
        <f>SUM(Emissions!AA10:AA11)</f>
        <v>168.26165413766293</v>
      </c>
      <c r="Z6" s="27">
        <f>SUM(Emissions!AB10:AB11)</f>
        <v>165.00651240501841</v>
      </c>
      <c r="AA6" s="27">
        <f>SUM(Emissions!AC10:AC11)</f>
        <v>163.71673926566876</v>
      </c>
      <c r="AB6" s="27">
        <f>SUM(Emissions!AD10:AD11)</f>
        <v>146.95966438340815</v>
      </c>
      <c r="AC6" s="27">
        <f>SUM(Emissions!AE10:AE11)</f>
        <v>147.03912500631182</v>
      </c>
      <c r="AD6" s="27">
        <f>SUM(Emissions!AF10:AF11)</f>
        <v>147.22911237458146</v>
      </c>
      <c r="AE6" s="27">
        <f>SUM(Emissions!AG10:AG11)</f>
        <v>147.50925027203016</v>
      </c>
      <c r="AF6" s="27">
        <f>SUM(Emissions!AH10:AH11)</f>
        <v>147.87775850792974</v>
      </c>
      <c r="AG6" s="27">
        <f>SUM(Emissions!AI10:AI11)</f>
        <v>148.33074578780733</v>
      </c>
      <c r="AH6" s="27">
        <f>SUM(Emissions!AJ10:AJ11)</f>
        <v>148.83951233411912</v>
      </c>
      <c r="AI6" s="27">
        <f>SUM(Emissions!AK10:AK11)</f>
        <v>149.40084612451116</v>
      </c>
      <c r="AJ6" s="27">
        <f>SUM(Emissions!AL10:AL11)</f>
        <v>149.91415497126445</v>
      </c>
      <c r="AK6" s="27">
        <f>SUM(Emissions!AM10:AM11)</f>
        <v>150.13971530553752</v>
      </c>
      <c r="AL6" s="27">
        <f>SUM(Emissions!AN10:AN11)</f>
        <v>150.41517293131534</v>
      </c>
      <c r="AM6" s="27">
        <f>SUM(Emissions!AO10:AO11)</f>
        <v>150.7047003972543</v>
      </c>
      <c r="AN6" s="27">
        <f>SUM(Emissions!AP10:AP11)</f>
        <v>151.02975678889294</v>
      </c>
      <c r="AO6" s="27">
        <f>SUM(Emissions!AQ10:AQ11)</f>
        <v>151.38943259201906</v>
      </c>
      <c r="AP6" s="27">
        <f>SUM(Emissions!AR10:AR11)</f>
        <v>151.61405918649629</v>
      </c>
      <c r="AQ6" s="27">
        <f>SUM(Emissions!AS10:AS11)</f>
        <v>151.86783029618067</v>
      </c>
      <c r="AR6" s="27">
        <f>SUM(Emissions!AT10:AT11)</f>
        <v>152.14731691049928</v>
      </c>
      <c r="AS6" s="27">
        <f>SUM(Emissions!AU10:AU11)</f>
        <v>152.45328751926144</v>
      </c>
      <c r="AT6" s="27">
        <f>SUM(Emissions!AV10:AV11)</f>
        <v>152.7825840458537</v>
      </c>
      <c r="AU6" s="27">
        <f>SUM(Emissions!AW10:AW11)</f>
        <v>153.00348118545617</v>
      </c>
      <c r="AV6" s="27">
        <f>SUM(Emissions!AX10:AX11)</f>
        <v>153.24329012771761</v>
      </c>
      <c r="AW6" s="27">
        <f>SUM(Emissions!AY10:AY11)</f>
        <v>153.5039385437783</v>
      </c>
      <c r="AX6" s="27">
        <f>SUM(Emissions!AZ10:AZ11)</f>
        <v>153.78797078261181</v>
      </c>
      <c r="AY6" s="27">
        <f>SUM(Emissions!BA10:BA11)</f>
        <v>154.08685793653214</v>
      </c>
      <c r="AZ6" s="27">
        <f>SUM(Emissions!BB10:BB11)</f>
        <v>154.27790565505001</v>
      </c>
      <c r="BA6" s="27">
        <f>SUM(Emissions!BC10:BC11)</f>
        <v>154.48716663961466</v>
      </c>
      <c r="BB6" s="27">
        <f>SUM(Emissions!BD10:BD11)</f>
        <v>154.70773902590761</v>
      </c>
      <c r="BC6" s="27">
        <f>SUM(Emissions!BE10:BE11)</f>
        <v>154.94197103185195</v>
      </c>
      <c r="BD6" s="27">
        <f>SUM(Emissions!BF10:BF11)</f>
        <v>155.1895075104313</v>
      </c>
      <c r="BE6" s="27">
        <f>SUM(Emissions!BG10:BG11)</f>
        <v>155.33577037405141</v>
      </c>
      <c r="BF6" s="27">
        <f>SUM(Emissions!BH10:BH11)</f>
        <v>155.49190775584717</v>
      </c>
      <c r="BG6" s="27">
        <f>SUM(Emissions!BI10:BI11)</f>
        <v>155.66127314162503</v>
      </c>
      <c r="BH6" s="27">
        <f>SUM(Emissions!BJ10:BJ11)</f>
        <v>155.8437027909867</v>
      </c>
      <c r="BI6" s="27">
        <f>SUM(Emissions!BK10:BK11)</f>
        <v>156.0391929234016</v>
      </c>
      <c r="BJ6" s="27">
        <f>SUM(Emissions!BL10:BL11)</f>
        <v>156.12788211025401</v>
      </c>
      <c r="BK6" s="27">
        <f>SUM(Emissions!BM10:BM11)</f>
        <v>156.18503642782315</v>
      </c>
      <c r="BL6" s="27">
        <f>SUM(Emissions!BN10:BN11)</f>
        <v>156.24768836172908</v>
      </c>
      <c r="BM6" s="27">
        <f>SUM(Emissions!BO10:BO11)</f>
        <v>156.31386560172501</v>
      </c>
      <c r="BN6" s="27">
        <f>SUM(Emissions!BP10:BP11)</f>
        <v>156.38717300202399</v>
      </c>
    </row>
    <row r="7" spans="1:72" x14ac:dyDescent="0.3">
      <c r="A7" t="str">
        <f t="shared" ref="A7:A26" si="2">A6</f>
        <v>3A Livestock</v>
      </c>
      <c r="B7" t="str">
        <f t="shared" ref="B7:B10" si="3">B6</f>
        <v>3A1 Enteric fermentation (CH4)</v>
      </c>
      <c r="C7" t="str">
        <f>'IPCC Categories'!C8</f>
        <v>3A1d Goats</v>
      </c>
      <c r="D7" t="str">
        <f t="shared" ref="D7:D10" si="4">D6</f>
        <v>CH4</v>
      </c>
      <c r="E7" t="str">
        <f t="shared" ref="E7:E10" si="5">E6</f>
        <v>Gg CH4</v>
      </c>
      <c r="F7" s="27">
        <f>SUM(Emissions!H12:H13)</f>
        <v>50.832740984438615</v>
      </c>
      <c r="G7" s="27">
        <f>SUM(Emissions!I12:I13)</f>
        <v>44.950509601596238</v>
      </c>
      <c r="H7" s="27">
        <f>SUM(Emissions!J12:J13)</f>
        <v>41.871958597491798</v>
      </c>
      <c r="I7" s="27">
        <f>SUM(Emissions!K12:K13)</f>
        <v>39.563045344413474</v>
      </c>
      <c r="J7" s="27">
        <f>SUM(Emissions!L12:L13)</f>
        <v>42.824843432095548</v>
      </c>
      <c r="K7" s="27">
        <f>SUM(Emissions!M12:M13)</f>
        <v>43.411234099544018</v>
      </c>
      <c r="L7" s="27">
        <f>SUM(Emissions!N12:N13)</f>
        <v>44.089248308781293</v>
      </c>
      <c r="M7" s="27">
        <f>SUM(Emissions!O12:O13)</f>
        <v>43.869351808488119</v>
      </c>
      <c r="N7" s="27">
        <f>SUM(Emissions!P12:P13)</f>
        <v>43.24631172432413</v>
      </c>
      <c r="O7" s="27">
        <f>SUM(Emissions!Q12:Q13)</f>
        <v>42.604946931802381</v>
      </c>
      <c r="P7" s="27">
        <f>SUM(Emissions!R12:R13)</f>
        <v>43.15468818253531</v>
      </c>
      <c r="Q7" s="27">
        <f>SUM(Emissions!S12:S13)</f>
        <v>44.474067184294356</v>
      </c>
      <c r="R7" s="27">
        <f>SUM(Emissions!T12:T13)</f>
        <v>40.607553720806052</v>
      </c>
      <c r="S7" s="27">
        <f>SUM(Emissions!U12:U13)</f>
        <v>39.581370052771241</v>
      </c>
      <c r="T7" s="27">
        <f>SUM(Emissions!V12:V13)</f>
        <v>39.654668886202302</v>
      </c>
      <c r="U7" s="27">
        <f>SUM(Emissions!W12:W13)</f>
        <v>39.1415770521849</v>
      </c>
      <c r="V7" s="27">
        <f>SUM(Emissions!X12:X13)</f>
        <v>39.966188928284296</v>
      </c>
      <c r="W7" s="27">
        <f>SUM(Emissions!Y12:Y13)</f>
        <v>38.775082885029605</v>
      </c>
      <c r="X7" s="27">
        <f>SUM(Emissions!Z12:Z13)</f>
        <v>38.738433468314078</v>
      </c>
      <c r="Y7" s="27">
        <f>SUM(Emissions!AA12:AA13)</f>
        <v>38.060419259076795</v>
      </c>
      <c r="Z7" s="27">
        <f>SUM(Emissions!AB12:AB13)</f>
        <v>37.60230155013268</v>
      </c>
      <c r="AA7" s="27">
        <f>SUM(Emissions!AC12:AC13)</f>
        <v>37.254132091335151</v>
      </c>
      <c r="AB7" s="27">
        <f>SUM(Emissions!AD12:AD13)</f>
        <v>37.504515885641105</v>
      </c>
      <c r="AC7" s="27">
        <f>SUM(Emissions!AE12:AE13)</f>
        <v>37.602009523714763</v>
      </c>
      <c r="AD7" s="27">
        <f>SUM(Emissions!AF12:AF13)</f>
        <v>37.736498552133639</v>
      </c>
      <c r="AE7" s="27">
        <f>SUM(Emissions!AG12:AG13)</f>
        <v>37.900341707419201</v>
      </c>
      <c r="AF7" s="27">
        <f>SUM(Emissions!AH12:AH13)</f>
        <v>38.093305305847224</v>
      </c>
      <c r="AG7" s="27">
        <f>SUM(Emissions!AI12:AI13)</f>
        <v>38.314214869749939</v>
      </c>
      <c r="AH7" s="27">
        <f>SUM(Emissions!AJ12:AJ13)</f>
        <v>38.551961103128548</v>
      </c>
      <c r="AI7" s="27">
        <f>SUM(Emissions!AK12:AK13)</f>
        <v>38.805602883426992</v>
      </c>
      <c r="AJ7" s="27">
        <f>SUM(Emissions!AL12:AL13)</f>
        <v>39.035627253174376</v>
      </c>
      <c r="AK7" s="27">
        <f>SUM(Emissions!AM12:AM13)</f>
        <v>39.147985144286039</v>
      </c>
      <c r="AL7" s="27">
        <f>SUM(Emissions!AN12:AN13)</f>
        <v>39.276772359877427</v>
      </c>
      <c r="AM7" s="27">
        <f>SUM(Emissions!AO12:AO13)</f>
        <v>39.408051851625075</v>
      </c>
      <c r="AN7" s="27">
        <f>SUM(Emissions!AP12:AP13)</f>
        <v>39.550434322516594</v>
      </c>
      <c r="AO7" s="27">
        <f>SUM(Emissions!AQ12:AQ13)</f>
        <v>39.703684457278676</v>
      </c>
      <c r="AP7" s="27">
        <f>SUM(Emissions!AR12:AR13)</f>
        <v>39.80175784290784</v>
      </c>
      <c r="AQ7" s="27">
        <f>SUM(Emissions!AS12:AS13)</f>
        <v>39.909055566307046</v>
      </c>
      <c r="AR7" s="27">
        <f>SUM(Emissions!AT12:AT13)</f>
        <v>40.024322648887811</v>
      </c>
      <c r="AS7" s="27">
        <f>SUM(Emissions!AU12:AU13)</f>
        <v>40.14792922207134</v>
      </c>
      <c r="AT7" s="27">
        <f>SUM(Emissions!AV12:AV13)</f>
        <v>40.278714643463765</v>
      </c>
      <c r="AU7" s="27">
        <f>SUM(Emissions!AW12:AW13)</f>
        <v>40.3659336757527</v>
      </c>
      <c r="AV7" s="27">
        <f>SUM(Emissions!AX12:AX13)</f>
        <v>40.458947584012826</v>
      </c>
      <c r="AW7" s="27">
        <f>SUM(Emissions!AY12:AY13)</f>
        <v>40.558543680849226</v>
      </c>
      <c r="AX7" s="27">
        <f>SUM(Emissions!AZ12:AZ13)</f>
        <v>40.665733534989471</v>
      </c>
      <c r="AY7" s="27">
        <f>SUM(Emissions!BA12:BA13)</f>
        <v>40.777278827623093</v>
      </c>
      <c r="AZ7" s="27">
        <f>SUM(Emissions!BB12:BB13)</f>
        <v>40.846361697274546</v>
      </c>
      <c r="BA7" s="27">
        <f>SUM(Emissions!BC12:BC13)</f>
        <v>40.921329189180355</v>
      </c>
      <c r="BB7" s="27">
        <f>SUM(Emissions!BD12:BD13)</f>
        <v>40.999574032987937</v>
      </c>
      <c r="BC7" s="27">
        <f>SUM(Emissions!BE12:BE13)</f>
        <v>41.082017929632187</v>
      </c>
      <c r="BD7" s="27">
        <f>SUM(Emissions!BF12:BF13)</f>
        <v>41.168548002003789</v>
      </c>
      <c r="BE7" s="27">
        <f>SUM(Emissions!BG12:BG13)</f>
        <v>41.215822740573941</v>
      </c>
      <c r="BF7" s="27">
        <f>SUM(Emissions!BH12:BH13)</f>
        <v>41.26607566434555</v>
      </c>
      <c r="BG7" s="27">
        <f>SUM(Emissions!BI12:BI13)</f>
        <v>41.320589590753002</v>
      </c>
      <c r="BH7" s="27">
        <f>SUM(Emissions!BJ12:BJ13)</f>
        <v>41.379312456527963</v>
      </c>
      <c r="BI7" s="27">
        <f>SUM(Emissions!BK12:BK13)</f>
        <v>41.442251036022576</v>
      </c>
      <c r="BJ7" s="27">
        <f>SUM(Emissions!BL12:BL13)</f>
        <v>41.464434964260974</v>
      </c>
      <c r="BK7" s="27">
        <f>SUM(Emissions!BM12:BM13)</f>
        <v>41.474286851835657</v>
      </c>
      <c r="BL7" s="27">
        <f>SUM(Emissions!BN12:BN13)</f>
        <v>41.485739739189128</v>
      </c>
      <c r="BM7" s="27">
        <f>SUM(Emissions!BO12:BO13)</f>
        <v>41.498069672582069</v>
      </c>
      <c r="BN7" s="27">
        <f>SUM(Emissions!BP12:BP13)</f>
        <v>41.512635520588418</v>
      </c>
    </row>
    <row r="8" spans="1:72" x14ac:dyDescent="0.3">
      <c r="A8" t="str">
        <f t="shared" si="2"/>
        <v>3A Livestock</v>
      </c>
      <c r="B8" t="str">
        <f t="shared" si="3"/>
        <v>3A1 Enteric fermentation (CH4)</v>
      </c>
      <c r="C8" t="str">
        <f>'IPCC Categories'!C9</f>
        <v>3A1f Horses</v>
      </c>
      <c r="D8" t="str">
        <f t="shared" si="4"/>
        <v>CH4</v>
      </c>
      <c r="E8" t="str">
        <f t="shared" si="5"/>
        <v>Gg CH4</v>
      </c>
      <c r="F8" s="27">
        <f>Emissions!H14</f>
        <v>4.1399999999999997</v>
      </c>
      <c r="G8" s="27">
        <f>Emissions!I14</f>
        <v>4.1399999999999997</v>
      </c>
      <c r="H8" s="27">
        <f>Emissions!J14</f>
        <v>4.1399999999999997</v>
      </c>
      <c r="I8" s="27">
        <f>Emissions!K14</f>
        <v>4.2299999999999995</v>
      </c>
      <c r="J8" s="27">
        <f>Emissions!L14</f>
        <v>4.3199999999999994</v>
      </c>
      <c r="K8" s="27">
        <f>Emissions!M14</f>
        <v>4.41</v>
      </c>
      <c r="L8" s="27">
        <f>Emissions!N14</f>
        <v>4.5</v>
      </c>
      <c r="M8" s="27">
        <f>Emissions!O14</f>
        <v>4.59</v>
      </c>
      <c r="N8" s="27">
        <f>Emissions!P14</f>
        <v>4.68</v>
      </c>
      <c r="O8" s="27">
        <f>Emissions!Q14</f>
        <v>4.6440000000000001</v>
      </c>
      <c r="P8" s="27">
        <f>Emissions!R14</f>
        <v>4.8599999999999994</v>
      </c>
      <c r="Q8" s="27">
        <f>Emissions!S14</f>
        <v>4.8599999999999994</v>
      </c>
      <c r="R8" s="27">
        <f>Emissions!T14</f>
        <v>4.8599999999999994</v>
      </c>
      <c r="S8" s="27">
        <f>Emissions!U14</f>
        <v>4.8599999999999994</v>
      </c>
      <c r="T8" s="27">
        <f>Emissions!V14</f>
        <v>4.8599999999999994</v>
      </c>
      <c r="U8" s="27">
        <f>Emissions!W14</f>
        <v>4.8599999999999994</v>
      </c>
      <c r="V8" s="27">
        <f>Emissions!X14</f>
        <v>5.04</v>
      </c>
      <c r="W8" s="27">
        <f>Emissions!Y14</f>
        <v>5.22</v>
      </c>
      <c r="X8" s="27">
        <f>Emissions!Z14</f>
        <v>5.3639999999999999</v>
      </c>
      <c r="Y8" s="27">
        <f>Emissions!AA14</f>
        <v>5.3999999999999995</v>
      </c>
      <c r="Z8" s="27">
        <f>Emissions!AB14</f>
        <v>5.3999999999999995</v>
      </c>
      <c r="AA8" s="27">
        <f>Emissions!AC14</f>
        <v>5.4899999999999993</v>
      </c>
      <c r="AB8" s="27">
        <f>Emissions!AD14</f>
        <v>5.5526214800767901</v>
      </c>
      <c r="AC8" s="27">
        <f>Emissions!AE14</f>
        <v>5.5795235710196511</v>
      </c>
      <c r="AD8" s="27">
        <f>Emissions!AF14</f>
        <v>5.6203482259438022</v>
      </c>
      <c r="AE8" s="27">
        <f>Emissions!AG14</f>
        <v>5.629075655008374</v>
      </c>
      <c r="AF8" s="27">
        <f>Emissions!AH14</f>
        <v>5.6165815405282276</v>
      </c>
      <c r="AG8" s="27">
        <f>Emissions!AI14</f>
        <v>5.5833231296706103</v>
      </c>
      <c r="AH8" s="27">
        <f>Emissions!AJ14</f>
        <v>5.5648827699457346</v>
      </c>
      <c r="AI8" s="27">
        <f>Emissions!AK14</f>
        <v>5.5483103177944013</v>
      </c>
      <c r="AJ8" s="27">
        <f>Emissions!AL14</f>
        <v>5.2311192904529218</v>
      </c>
      <c r="AK8" s="27">
        <f>Emissions!AM14</f>
        <v>5.2959023096135693</v>
      </c>
      <c r="AL8" s="27">
        <f>Emissions!AN14</f>
        <v>5.3988006154965325</v>
      </c>
      <c r="AM8" s="27">
        <f>Emissions!AO14</f>
        <v>5.4367829372956962</v>
      </c>
      <c r="AN8" s="27">
        <f>Emissions!AP14</f>
        <v>5.4819188324690939</v>
      </c>
      <c r="AO8" s="27">
        <f>Emissions!AQ14</f>
        <v>5.5365687700280883</v>
      </c>
      <c r="AP8" s="27">
        <f>Emissions!AR14</f>
        <v>5.601958980764981</v>
      </c>
      <c r="AQ8" s="27">
        <f>Emissions!AS14</f>
        <v>5.6746319691397513</v>
      </c>
      <c r="AR8" s="27">
        <f>Emissions!AT14</f>
        <v>5.7481685306176677</v>
      </c>
      <c r="AS8" s="27">
        <f>Emissions!AU14</f>
        <v>5.8282774259733703</v>
      </c>
      <c r="AT8" s="27">
        <f>Emissions!AV14</f>
        <v>5.9086647601730373</v>
      </c>
      <c r="AU8" s="27">
        <f>Emissions!AW14</f>
        <v>6.0051030471917946</v>
      </c>
      <c r="AV8" s="27">
        <f>Emissions!AX14</f>
        <v>6.0980124130473197</v>
      </c>
      <c r="AW8" s="27">
        <f>Emissions!AY14</f>
        <v>6.195439489414623</v>
      </c>
      <c r="AX8" s="27">
        <f>Emissions!AZ14</f>
        <v>6.3068676222722697</v>
      </c>
      <c r="AY8" s="27">
        <f>Emissions!BA14</f>
        <v>6.4095401663804648</v>
      </c>
      <c r="AZ8" s="27">
        <f>Emissions!BB14</f>
        <v>6.5228948238532292</v>
      </c>
      <c r="BA8" s="27">
        <f>Emissions!BC14</f>
        <v>6.6437484965413081</v>
      </c>
      <c r="BB8" s="27">
        <f>Emissions!BD14</f>
        <v>6.7539654911689828</v>
      </c>
      <c r="BC8" s="27">
        <f>Emissions!BE14</f>
        <v>6.8618111039503944</v>
      </c>
      <c r="BD8" s="27">
        <f>Emissions!BF14</f>
        <v>6.9676727679478478</v>
      </c>
      <c r="BE8" s="27">
        <f>Emissions!BG14</f>
        <v>7.0885986695240639</v>
      </c>
      <c r="BF8" s="27">
        <f>Emissions!BH14</f>
        <v>7.202615789032512</v>
      </c>
      <c r="BG8" s="27">
        <f>Emissions!BI14</f>
        <v>7.3203542233012309</v>
      </c>
      <c r="BH8" s="27">
        <f>Emissions!BJ14</f>
        <v>7.4423988374450394</v>
      </c>
      <c r="BI8" s="27">
        <f>Emissions!BK14</f>
        <v>7.5697005662835739</v>
      </c>
      <c r="BJ8" s="27">
        <f>Emissions!BL14</f>
        <v>7.7079925213190776</v>
      </c>
      <c r="BK8" s="27">
        <f>Emissions!BM14</f>
        <v>7.7309775584942866</v>
      </c>
      <c r="BL8" s="27">
        <f>Emissions!BN14</f>
        <v>7.7430605044202654</v>
      </c>
      <c r="BM8" s="27">
        <f>Emissions!BO14</f>
        <v>7.7396666487885506</v>
      </c>
      <c r="BN8" s="27">
        <f>Emissions!BP14</f>
        <v>7.7316472006042485</v>
      </c>
    </row>
    <row r="9" spans="1:72" x14ac:dyDescent="0.3">
      <c r="A9" t="str">
        <f t="shared" si="2"/>
        <v>3A Livestock</v>
      </c>
      <c r="B9" t="str">
        <f t="shared" si="3"/>
        <v>3A1 Enteric fermentation (CH4)</v>
      </c>
      <c r="C9" t="str">
        <f>'IPCC Categories'!C10</f>
        <v>3A1g Mules &amp; asses</v>
      </c>
      <c r="D9" t="str">
        <f t="shared" si="4"/>
        <v>CH4</v>
      </c>
      <c r="E9" t="str">
        <f t="shared" si="5"/>
        <v>Gg CH4</v>
      </c>
      <c r="F9" s="27">
        <f>Emissions!H15</f>
        <v>2.2399999999999998</v>
      </c>
      <c r="G9" s="27">
        <f>Emissions!I15</f>
        <v>2.2399999999999998</v>
      </c>
      <c r="H9" s="27">
        <f>Emissions!J15</f>
        <v>2.2399999999999998</v>
      </c>
      <c r="I9" s="27">
        <f>Emissions!K15</f>
        <v>2.2399999999999998</v>
      </c>
      <c r="J9" s="27">
        <f>Emissions!L15</f>
        <v>2.2399999999999998</v>
      </c>
      <c r="K9" s="27">
        <f>Emissions!M15</f>
        <v>2.2399999999999998</v>
      </c>
      <c r="L9" s="27">
        <f>Emissions!N15</f>
        <v>2.2399999999999998</v>
      </c>
      <c r="M9" s="27">
        <f>Emissions!O15</f>
        <v>2.2399999999999998</v>
      </c>
      <c r="N9" s="27">
        <f>Emissions!P15</f>
        <v>2.2399999999999998</v>
      </c>
      <c r="O9" s="27">
        <f>Emissions!Q15</f>
        <v>2.2399999999999998</v>
      </c>
      <c r="P9" s="27">
        <f>Emissions!R15</f>
        <v>1.64</v>
      </c>
      <c r="Q9" s="27">
        <f>Emissions!S15</f>
        <v>1.64</v>
      </c>
      <c r="R9" s="27">
        <f>Emissions!T15</f>
        <v>1.64</v>
      </c>
      <c r="S9" s="27">
        <f>Emissions!U15</f>
        <v>1.64</v>
      </c>
      <c r="T9" s="27">
        <f>Emissions!V15</f>
        <v>1.64</v>
      </c>
      <c r="U9" s="27">
        <f>Emissions!W15</f>
        <v>1.64</v>
      </c>
      <c r="V9" s="27">
        <f>Emissions!X15</f>
        <v>1.6404999999999998</v>
      </c>
      <c r="W9" s="27">
        <f>Emissions!Y15</f>
        <v>1.6459999999999999</v>
      </c>
      <c r="X9" s="27">
        <f>Emissions!Z15</f>
        <v>1.647</v>
      </c>
      <c r="Y9" s="27">
        <f>Emissions!AA15</f>
        <v>1.6479999999999999</v>
      </c>
      <c r="Z9" s="27">
        <f>Emissions!AB15</f>
        <v>1.663</v>
      </c>
      <c r="AA9" s="27">
        <f>Emissions!AC15</f>
        <v>1.67</v>
      </c>
      <c r="AB9" s="27">
        <f>Emissions!AD15</f>
        <v>1.67</v>
      </c>
      <c r="AC9" s="27">
        <f>Emissions!AE15</f>
        <v>1.67</v>
      </c>
      <c r="AD9" s="27">
        <f>Emissions!AF15</f>
        <v>1.67</v>
      </c>
      <c r="AE9" s="27">
        <f>Emissions!AG15</f>
        <v>1.67</v>
      </c>
      <c r="AF9" s="27">
        <f>Emissions!AH15</f>
        <v>1.67</v>
      </c>
      <c r="AG9" s="27">
        <f>Emissions!AI15</f>
        <v>1.67</v>
      </c>
      <c r="AH9" s="27">
        <f>Emissions!AJ15</f>
        <v>1.67</v>
      </c>
      <c r="AI9" s="27">
        <f>Emissions!AK15</f>
        <v>1.67</v>
      </c>
      <c r="AJ9" s="27">
        <f>Emissions!AL15</f>
        <v>1.67</v>
      </c>
      <c r="AK9" s="27">
        <f>Emissions!AM15</f>
        <v>1.67</v>
      </c>
      <c r="AL9" s="27">
        <f>Emissions!AN15</f>
        <v>1.67</v>
      </c>
      <c r="AM9" s="27">
        <f>Emissions!AO15</f>
        <v>1.67</v>
      </c>
      <c r="AN9" s="27">
        <f>Emissions!AP15</f>
        <v>1.67</v>
      </c>
      <c r="AO9" s="27">
        <f>Emissions!AQ15</f>
        <v>1.67</v>
      </c>
      <c r="AP9" s="27">
        <f>Emissions!AR15</f>
        <v>1.67</v>
      </c>
      <c r="AQ9" s="27">
        <f>Emissions!AS15</f>
        <v>1.67</v>
      </c>
      <c r="AR9" s="27">
        <f>Emissions!AT15</f>
        <v>1.67</v>
      </c>
      <c r="AS9" s="27">
        <f>Emissions!AU15</f>
        <v>1.67</v>
      </c>
      <c r="AT9" s="27">
        <f>Emissions!AV15</f>
        <v>1.67</v>
      </c>
      <c r="AU9" s="27">
        <f>Emissions!AW15</f>
        <v>1.67</v>
      </c>
      <c r="AV9" s="27">
        <f>Emissions!AX15</f>
        <v>1.67</v>
      </c>
      <c r="AW9" s="27">
        <f>Emissions!AY15</f>
        <v>1.67</v>
      </c>
      <c r="AX9" s="27">
        <f>Emissions!AZ15</f>
        <v>1.67</v>
      </c>
      <c r="AY9" s="27">
        <f>Emissions!BA15</f>
        <v>1.67</v>
      </c>
      <c r="AZ9" s="27">
        <f>Emissions!BB15</f>
        <v>1.67</v>
      </c>
      <c r="BA9" s="27">
        <f>Emissions!BC15</f>
        <v>1.67</v>
      </c>
      <c r="BB9" s="27">
        <f>Emissions!BD15</f>
        <v>1.67</v>
      </c>
      <c r="BC9" s="27">
        <f>Emissions!BE15</f>
        <v>1.67</v>
      </c>
      <c r="BD9" s="27">
        <f>Emissions!BF15</f>
        <v>1.67</v>
      </c>
      <c r="BE9" s="27">
        <f>Emissions!BG15</f>
        <v>1.67</v>
      </c>
      <c r="BF9" s="27">
        <f>Emissions!BH15</f>
        <v>1.67</v>
      </c>
      <c r="BG9" s="27">
        <f>Emissions!BI15</f>
        <v>1.67</v>
      </c>
      <c r="BH9" s="27">
        <f>Emissions!BJ15</f>
        <v>1.67</v>
      </c>
      <c r="BI9" s="27">
        <f>Emissions!BK15</f>
        <v>1.67</v>
      </c>
      <c r="BJ9" s="27">
        <f>Emissions!BL15</f>
        <v>1.67</v>
      </c>
      <c r="BK9" s="27">
        <f>Emissions!BM15</f>
        <v>1.67</v>
      </c>
      <c r="BL9" s="27">
        <f>Emissions!BN15</f>
        <v>1.67</v>
      </c>
      <c r="BM9" s="27">
        <f>Emissions!BO15</f>
        <v>1.67</v>
      </c>
      <c r="BN9" s="27">
        <f>Emissions!BP15</f>
        <v>1.67</v>
      </c>
    </row>
    <row r="10" spans="1:72" x14ac:dyDescent="0.3">
      <c r="A10" t="str">
        <f t="shared" si="2"/>
        <v>3A Livestock</v>
      </c>
      <c r="B10" t="str">
        <f t="shared" si="3"/>
        <v>3A1 Enteric fermentation (CH4)</v>
      </c>
      <c r="C10" t="str">
        <f>'IPCC Categories'!C11</f>
        <v>3A1h Swine</v>
      </c>
      <c r="D10" t="str">
        <f t="shared" si="4"/>
        <v>CH4</v>
      </c>
      <c r="E10" t="str">
        <f t="shared" si="5"/>
        <v>Gg CH4</v>
      </c>
      <c r="F10" s="27">
        <f>SUM(Emissions!H16:H17)</f>
        <v>1.9180695910937571</v>
      </c>
      <c r="G10" s="27">
        <f>SUM(Emissions!I16:I17)</f>
        <v>2.0955287855453451</v>
      </c>
      <c r="H10" s="27">
        <f>SUM(Emissions!J16:J17)</f>
        <v>2.0816844512264265</v>
      </c>
      <c r="I10" s="27">
        <f>SUM(Emissions!K16:K17)</f>
        <v>2.0804258753792526</v>
      </c>
      <c r="J10" s="27">
        <f>SUM(Emissions!L16:L17)</f>
        <v>1.9759640800637785</v>
      </c>
      <c r="K10" s="27">
        <f>SUM(Emissions!M16:M17)</f>
        <v>1.9948427177713943</v>
      </c>
      <c r="L10" s="27">
        <f>SUM(Emissions!N16:N17)</f>
        <v>2.148388971126669</v>
      </c>
      <c r="M10" s="27">
        <f>SUM(Emissions!O16:O17)</f>
        <v>2.1383203643492741</v>
      </c>
      <c r="N10" s="27">
        <f>SUM(Emissions!P16:P17)</f>
        <v>2.1848876706947262</v>
      </c>
      <c r="O10" s="27">
        <f>SUM(Emissions!Q16:Q17)</f>
        <v>2.240265007970399</v>
      </c>
      <c r="P10" s="27">
        <f>SUM(Emissions!R16:R17)</f>
        <v>2.0728744202962059</v>
      </c>
      <c r="Q10" s="27">
        <f>SUM(Emissions!S16:S17)</f>
        <v>2.1118902715586119</v>
      </c>
      <c r="R10" s="27">
        <f>SUM(Emissions!T16:T17)</f>
        <v>2.1521646986681922</v>
      </c>
      <c r="S10" s="27">
        <f>SUM(Emissions!U16:U17)</f>
        <v>2.0930116338509963</v>
      </c>
      <c r="T10" s="27">
        <f>SUM(Emissions!V16:V17)</f>
        <v>2.0930116338509963</v>
      </c>
      <c r="U10" s="27">
        <f>SUM(Emissions!W16:W17)</f>
        <v>2.0779087236849034</v>
      </c>
      <c r="V10" s="27">
        <f>SUM(Emissions!X16:X17)</f>
        <v>2.0414100241168467</v>
      </c>
      <c r="W10" s="27">
        <f>SUM(Emissions!Y16:Y17)</f>
        <v>2.0779087236849034</v>
      </c>
      <c r="X10" s="27">
        <f>SUM(Emissions!Z16:Z17)</f>
        <v>2.0325999931866261</v>
      </c>
      <c r="Y10" s="27">
        <f>SUM(Emissions!AA16:AA17)</f>
        <v>2.0300828414922774</v>
      </c>
      <c r="Z10" s="27">
        <f>SUM(Emissions!AB16:AB17)</f>
        <v>2.0061699003959639</v>
      </c>
      <c r="AA10" s="27">
        <f>SUM(Emissions!AC16:AC17)</f>
        <v>1.9935841419242202</v>
      </c>
      <c r="AB10" s="27">
        <f>SUM(Emissions!AD16:AD17)</f>
        <v>2.095067194550456</v>
      </c>
      <c r="AC10" s="27">
        <f>SUM(Emissions!AE16:AE17)</f>
        <v>2.0836791108466937</v>
      </c>
      <c r="AD10" s="27">
        <f>SUM(Emissions!AF16:AF17)</f>
        <v>2.0846138094278084</v>
      </c>
      <c r="AE10" s="27">
        <f>SUM(Emissions!AG16:AG17)</f>
        <v>2.0654754572205234</v>
      </c>
      <c r="AF10" s="27">
        <f>SUM(Emissions!AH16:AH17)</f>
        <v>2.0342181138558564</v>
      </c>
      <c r="AG10" s="27">
        <f>SUM(Emissions!AI16:AI17)</f>
        <v>1.9913414611083862</v>
      </c>
      <c r="AH10" s="27">
        <f>SUM(Emissions!AJ16:AJ17)</f>
        <v>1.9602082563146459</v>
      </c>
      <c r="AI10" s="27">
        <f>SUM(Emissions!AK16:AK17)</f>
        <v>1.931829922619702</v>
      </c>
      <c r="AJ10" s="27">
        <f>SUM(Emissions!AL16:AL17)</f>
        <v>1.7057090431160509</v>
      </c>
      <c r="AK10" s="27">
        <f>SUM(Emissions!AM16:AM17)</f>
        <v>1.7272788890390762</v>
      </c>
      <c r="AL10" s="27">
        <f>SUM(Emissions!AN16:AN17)</f>
        <v>1.773563544122408</v>
      </c>
      <c r="AM10" s="27">
        <f>SUM(Emissions!AO16:AO17)</f>
        <v>1.7777659503489533</v>
      </c>
      <c r="AN10" s="27">
        <f>SUM(Emissions!AP16:AP17)</f>
        <v>1.7868664945359587</v>
      </c>
      <c r="AO10" s="27">
        <f>SUM(Emissions!AQ16:AQ17)</f>
        <v>1.8021677104534481</v>
      </c>
      <c r="AP10" s="27">
        <f>SUM(Emissions!AR16:AR17)</f>
        <v>1.8213676780248109</v>
      </c>
      <c r="AQ10" s="27">
        <f>SUM(Emissions!AS16:AS17)</f>
        <v>1.8448956105932988</v>
      </c>
      <c r="AR10" s="27">
        <f>SUM(Emissions!AT16:AT17)</f>
        <v>1.8686986787654487</v>
      </c>
      <c r="AS10" s="27">
        <f>SUM(Emissions!AU16:AU17)</f>
        <v>1.8961804402992168</v>
      </c>
      <c r="AT10" s="27">
        <f>SUM(Emissions!AV16:AV17)</f>
        <v>1.9234725233541721</v>
      </c>
      <c r="AU10" s="27">
        <f>SUM(Emissions!AW16:AW17)</f>
        <v>1.9574037084203946</v>
      </c>
      <c r="AV10" s="27">
        <f>SUM(Emissions!AX16:AX17)</f>
        <v>1.988639842541065</v>
      </c>
      <c r="AW10" s="27">
        <f>SUM(Emissions!AY16:AY17)</f>
        <v>2.0218775865655121</v>
      </c>
      <c r="AX10" s="27">
        <f>SUM(Emissions!AZ16:AZ17)</f>
        <v>2.0624232981865065</v>
      </c>
      <c r="AY10" s="27">
        <f>SUM(Emissions!BA16:BA17)</f>
        <v>2.0972387370479053</v>
      </c>
      <c r="AZ10" s="27">
        <f>SUM(Emissions!BB16:BB17)</f>
        <v>2.1348166458958326</v>
      </c>
      <c r="BA10" s="27">
        <f>SUM(Emissions!BC16:BC17)</f>
        <v>2.1756010984844565</v>
      </c>
      <c r="BB10" s="27">
        <f>SUM(Emissions!BD16:BD17)</f>
        <v>2.2096245760038147</v>
      </c>
      <c r="BC10" s="27">
        <f>SUM(Emissions!BE16:BE17)</f>
        <v>2.2415312945904695</v>
      </c>
      <c r="BD10" s="27">
        <f>SUM(Emissions!BF16:BF17)</f>
        <v>2.271578588510101</v>
      </c>
      <c r="BE10" s="27">
        <f>SUM(Emissions!BG16:BG17)</f>
        <v>2.3062730219347705</v>
      </c>
      <c r="BF10" s="27">
        <f>SUM(Emissions!BH16:BH17)</f>
        <v>2.3363659704937523</v>
      </c>
      <c r="BG10" s="27">
        <f>SUM(Emissions!BI16:BI17)</f>
        <v>2.3674295379466388</v>
      </c>
      <c r="BH10" s="27">
        <f>SUM(Emissions!BJ16:BJ17)</f>
        <v>2.3996980296506036</v>
      </c>
      <c r="BI10" s="27">
        <f>SUM(Emissions!BK16:BK17)</f>
        <v>2.4335752049828523</v>
      </c>
      <c r="BJ10" s="27">
        <f>SUM(Emissions!BL16:BL17)</f>
        <v>2.4691484855202233</v>
      </c>
      <c r="BK10" s="27">
        <f>SUM(Emissions!BM16:BM17)</f>
        <v>2.4475016557794498</v>
      </c>
      <c r="BL10" s="27">
        <f>SUM(Emissions!BN16:BN17)</f>
        <v>2.4208523382920744</v>
      </c>
      <c r="BM10" s="27">
        <f>SUM(Emissions!BO16:BO17)</f>
        <v>2.3872255309845931</v>
      </c>
      <c r="BN10" s="27">
        <f>SUM(Emissions!BP16:BP17)</f>
        <v>2.3519495561338126</v>
      </c>
    </row>
    <row r="11" spans="1:72" s="19" customFormat="1" ht="15.6" x14ac:dyDescent="0.3">
      <c r="A11" s="19" t="str">
        <f>A18</f>
        <v>3A Livestock</v>
      </c>
      <c r="B11" s="19" t="str">
        <f>B18</f>
        <v>3A2 Manure management (CH4)</v>
      </c>
      <c r="C11" s="19" t="s">
        <v>148</v>
      </c>
      <c r="D11" s="19" t="str">
        <f>D18</f>
        <v>CH4</v>
      </c>
      <c r="E11" s="19" t="str">
        <f>E18</f>
        <v>Gg CH4</v>
      </c>
      <c r="F11" s="40">
        <f t="shared" ref="F11:AK11" si="6">SUM(F12:F18)</f>
        <v>31.702723851583059</v>
      </c>
      <c r="G11" s="40">
        <f t="shared" si="6"/>
        <v>34.846437093745571</v>
      </c>
      <c r="H11" s="40">
        <f t="shared" si="6"/>
        <v>33.34593965991499</v>
      </c>
      <c r="I11" s="40">
        <f t="shared" si="6"/>
        <v>33.911342124246517</v>
      </c>
      <c r="J11" s="40">
        <f t="shared" si="6"/>
        <v>32.073771373963574</v>
      </c>
      <c r="K11" s="40">
        <f t="shared" si="6"/>
        <v>33.020872632281872</v>
      </c>
      <c r="L11" s="40">
        <f t="shared" si="6"/>
        <v>34.987492144761205</v>
      </c>
      <c r="M11" s="40">
        <f t="shared" si="6"/>
        <v>34.595629337012369</v>
      </c>
      <c r="N11" s="40">
        <f t="shared" si="6"/>
        <v>35.178779527916078</v>
      </c>
      <c r="O11" s="40">
        <f t="shared" si="6"/>
        <v>35.773500663635126</v>
      </c>
      <c r="P11" s="40">
        <f t="shared" si="6"/>
        <v>36.297062166313644</v>
      </c>
      <c r="Q11" s="40">
        <f t="shared" si="6"/>
        <v>36.650497115596643</v>
      </c>
      <c r="R11" s="40">
        <f t="shared" si="6"/>
        <v>35.964128838575938</v>
      </c>
      <c r="S11" s="40">
        <f t="shared" si="6"/>
        <v>34.354995245344796</v>
      </c>
      <c r="T11" s="40">
        <f t="shared" si="6"/>
        <v>34.113912838047241</v>
      </c>
      <c r="U11" s="40">
        <f t="shared" si="6"/>
        <v>34.7151680316408</v>
      </c>
      <c r="V11" s="40">
        <f t="shared" si="6"/>
        <v>34.304317583202156</v>
      </c>
      <c r="W11" s="40">
        <f t="shared" si="6"/>
        <v>34.81260712013389</v>
      </c>
      <c r="X11" s="40">
        <f t="shared" si="6"/>
        <v>36.247765210834089</v>
      </c>
      <c r="Y11" s="40">
        <f t="shared" si="6"/>
        <v>36.334449628150963</v>
      </c>
      <c r="Z11" s="40">
        <f t="shared" si="6"/>
        <v>36.137208970848143</v>
      </c>
      <c r="AA11" s="40">
        <f t="shared" si="6"/>
        <v>35.764591312652556</v>
      </c>
      <c r="AB11" s="40">
        <f t="shared" si="6"/>
        <v>36.839564246604859</v>
      </c>
      <c r="AC11" s="40">
        <f t="shared" si="6"/>
        <v>36.824524251577778</v>
      </c>
      <c r="AD11" s="40">
        <f t="shared" si="6"/>
        <v>36.994298181429897</v>
      </c>
      <c r="AE11" s="40">
        <f t="shared" si="6"/>
        <v>36.867987271463186</v>
      </c>
      <c r="AF11" s="40">
        <f t="shared" si="6"/>
        <v>36.560879511524732</v>
      </c>
      <c r="AG11" s="40">
        <f t="shared" si="6"/>
        <v>36.078165266151373</v>
      </c>
      <c r="AH11" s="40">
        <f t="shared" si="6"/>
        <v>35.769406849073363</v>
      </c>
      <c r="AI11" s="40">
        <f t="shared" si="6"/>
        <v>35.500627316217205</v>
      </c>
      <c r="AJ11" s="40">
        <f t="shared" si="6"/>
        <v>32.213465408675646</v>
      </c>
      <c r="AK11" s="40">
        <f t="shared" si="6"/>
        <v>32.674273527131568</v>
      </c>
      <c r="AL11" s="40">
        <f t="shared" ref="AL11:BN11" si="7">SUM(AL12:AL18)</f>
        <v>33.520272578585008</v>
      </c>
      <c r="AM11" s="40">
        <f t="shared" si="7"/>
        <v>33.723935447135545</v>
      </c>
      <c r="AN11" s="40">
        <f t="shared" si="7"/>
        <v>34.006204465949708</v>
      </c>
      <c r="AO11" s="40">
        <f t="shared" si="7"/>
        <v>34.388437917683589</v>
      </c>
      <c r="AP11" s="40">
        <f t="shared" si="7"/>
        <v>34.828857533231258</v>
      </c>
      <c r="AQ11" s="40">
        <f t="shared" si="7"/>
        <v>35.342048716541655</v>
      </c>
      <c r="AR11" s="40">
        <f t="shared" si="7"/>
        <v>35.864947529417357</v>
      </c>
      <c r="AS11" s="40">
        <f t="shared" si="7"/>
        <v>36.451730512307549</v>
      </c>
      <c r="AT11" s="40">
        <f t="shared" si="7"/>
        <v>37.041598548019962</v>
      </c>
      <c r="AU11" s="40">
        <f t="shared" si="7"/>
        <v>37.739018574450782</v>
      </c>
      <c r="AV11" s="40">
        <f t="shared" si="7"/>
        <v>38.400364234500628</v>
      </c>
      <c r="AW11" s="40">
        <f t="shared" si="7"/>
        <v>39.101103830472383</v>
      </c>
      <c r="AX11" s="40">
        <f t="shared" si="7"/>
        <v>39.928012506416337</v>
      </c>
      <c r="AY11" s="40">
        <f t="shared" si="7"/>
        <v>40.670170404966917</v>
      </c>
      <c r="AZ11" s="40">
        <f t="shared" si="7"/>
        <v>41.460218247798323</v>
      </c>
      <c r="BA11" s="40">
        <f t="shared" si="7"/>
        <v>42.311692540393338</v>
      </c>
      <c r="BB11" s="40">
        <f t="shared" si="7"/>
        <v>43.06057633784782</v>
      </c>
      <c r="BC11" s="40">
        <f t="shared" si="7"/>
        <v>43.782698378159566</v>
      </c>
      <c r="BD11" s="40">
        <f t="shared" si="7"/>
        <v>44.482045851188438</v>
      </c>
      <c r="BE11" s="40">
        <f t="shared" si="7"/>
        <v>45.261916227671449</v>
      </c>
      <c r="BF11" s="40">
        <f t="shared" si="7"/>
        <v>45.973204566208182</v>
      </c>
      <c r="BG11" s="40">
        <f t="shared" si="7"/>
        <v>46.709493971757666</v>
      </c>
      <c r="BH11" s="40">
        <f t="shared" si="7"/>
        <v>47.475254291326905</v>
      </c>
      <c r="BI11" s="40">
        <f t="shared" si="7"/>
        <v>48.277959746541889</v>
      </c>
      <c r="BJ11" s="40">
        <f t="shared" si="7"/>
        <v>49.114608866113812</v>
      </c>
      <c r="BK11" s="40">
        <f t="shared" si="7"/>
        <v>48.970828015504772</v>
      </c>
      <c r="BL11" s="40">
        <f t="shared" si="7"/>
        <v>48.740166166358847</v>
      </c>
      <c r="BM11" s="40">
        <f t="shared" si="7"/>
        <v>48.386675945640192</v>
      </c>
      <c r="BN11" s="40">
        <f t="shared" si="7"/>
        <v>48.002133461747533</v>
      </c>
    </row>
    <row r="12" spans="1:72" x14ac:dyDescent="0.3">
      <c r="A12" t="str">
        <f>A10</f>
        <v>3A Livestock</v>
      </c>
      <c r="B12" t="str">
        <f>'IPCC Categories'!B12</f>
        <v>3A2 Manure management (CH4)</v>
      </c>
      <c r="C12" t="str">
        <f>'IPCC Categories'!C20</f>
        <v>3A2a Cattle</v>
      </c>
      <c r="D12" t="str">
        <f>D10</f>
        <v>CH4</v>
      </c>
      <c r="E12" t="str">
        <f>E10</f>
        <v>Gg CH4</v>
      </c>
      <c r="F12" s="27">
        <f>SUM(Emissions!H18:H23)</f>
        <v>8.7411879732159203</v>
      </c>
      <c r="G12" s="27">
        <f>SUM(Emissions!I18:I23)</f>
        <v>9.975428544318282</v>
      </c>
      <c r="H12" s="27">
        <f>SUM(Emissions!J18:J23)</f>
        <v>8.7049393037396534</v>
      </c>
      <c r="I12" s="27">
        <f>SUM(Emissions!K18:K23)</f>
        <v>9.1866288543050949</v>
      </c>
      <c r="J12" s="27">
        <f>SUM(Emissions!L18:L23)</f>
        <v>8.5387883014234216</v>
      </c>
      <c r="K12" s="27">
        <f>SUM(Emissions!M18:M23)</f>
        <v>9.1047703582547079</v>
      </c>
      <c r="L12" s="27">
        <f>SUM(Emissions!N18:N23)</f>
        <v>9.1488551241771336</v>
      </c>
      <c r="M12" s="27">
        <f>SUM(Emissions!O18:O23)</f>
        <v>8.8467258594312526</v>
      </c>
      <c r="N12" s="27">
        <f>SUM(Emissions!P18:P23)</f>
        <v>8.7366188809270806</v>
      </c>
      <c r="O12" s="27">
        <f>SUM(Emissions!Q18:Q23)</f>
        <v>8.6199113361492632</v>
      </c>
      <c r="P12" s="27">
        <f>SUM(Emissions!R18:R23)</f>
        <v>10.914641044652543</v>
      </c>
      <c r="Q12" s="27">
        <f>SUM(Emissions!S18:S23)</f>
        <v>10.875335802478894</v>
      </c>
      <c r="R12" s="27">
        <f>SUM(Emissions!T18:T23)</f>
        <v>9.5759431074378831</v>
      </c>
      <c r="S12" s="27">
        <f>SUM(Emissions!U18:U23)</f>
        <v>8.7330292709988893</v>
      </c>
      <c r="T12" s="27">
        <f>SUM(Emissions!V18:V23)</f>
        <v>8.4376183222193628</v>
      </c>
      <c r="U12" s="27">
        <f>SUM(Emissions!W18:W23)</f>
        <v>9.0020345528971131</v>
      </c>
      <c r="V12" s="27">
        <f>SUM(Emissions!X18:X23)</f>
        <v>8.8216264657665526</v>
      </c>
      <c r="W12" s="27">
        <f>SUM(Emissions!Y18:Y23)</f>
        <v>8.775466165479612</v>
      </c>
      <c r="X12" s="27">
        <f>SUM(Emissions!Z18:Z23)</f>
        <v>10.574651313182118</v>
      </c>
      <c r="Y12" s="27">
        <f>SUM(Emissions!AA18:AA23)</f>
        <v>10.837506153958151</v>
      </c>
      <c r="Z12" s="27">
        <f>SUM(Emissions!AB18:AB23)</f>
        <v>10.835280189588559</v>
      </c>
      <c r="AA12" s="27">
        <f>SUM(Emissions!AC18:AC23)</f>
        <v>10.50406860380672</v>
      </c>
      <c r="AB12" s="27">
        <f>SUM(Emissions!AD18:AD23)</f>
        <v>10.513994827787098</v>
      </c>
      <c r="AC12" s="27">
        <f>SUM(Emissions!AE18:AE23)</f>
        <v>10.583676395984554</v>
      </c>
      <c r="AD12" s="27">
        <f>SUM(Emissions!AF18:AF23)</f>
        <v>10.680340304941298</v>
      </c>
      <c r="AE12" s="27">
        <f>SUM(Emissions!AG18:AG23)</f>
        <v>10.74258011113773</v>
      </c>
      <c r="AF12" s="27">
        <f>SUM(Emissions!AH18:AH23)</f>
        <v>10.783729898618763</v>
      </c>
      <c r="AG12" s="27">
        <f>SUM(Emissions!AI18:AI23)</f>
        <v>10.803370567699297</v>
      </c>
      <c r="AH12" s="27">
        <f>SUM(Emissions!AJ18:AJ23)</f>
        <v>10.846236588865763</v>
      </c>
      <c r="AI12" s="27">
        <f>SUM(Emissions!AK18:AK23)</f>
        <v>10.895047418651057</v>
      </c>
      <c r="AJ12" s="27">
        <f>SUM(Emissions!AL18:AL23)</f>
        <v>10.523717306442997</v>
      </c>
      <c r="AK12" s="27">
        <f>SUM(Emissions!AM18:AM23)</f>
        <v>10.650575336480776</v>
      </c>
      <c r="AL12" s="27">
        <f>SUM(Emissions!AN18:AN23)</f>
        <v>10.835511861767294</v>
      </c>
      <c r="AM12" s="27">
        <f>SUM(Emissions!AO18:AO23)</f>
        <v>10.93163004518863</v>
      </c>
      <c r="AN12" s="27">
        <f>SUM(Emissions!AP18:AP23)</f>
        <v>11.041166177760429</v>
      </c>
      <c r="AO12" s="27">
        <f>SUM(Emissions!AQ18:AQ23)</f>
        <v>11.16769761546005</v>
      </c>
      <c r="AP12" s="27">
        <f>SUM(Emissions!AR18:AR23)</f>
        <v>11.298212385635029</v>
      </c>
      <c r="AQ12" s="27">
        <f>SUM(Emissions!AS18:AS23)</f>
        <v>11.442420325662457</v>
      </c>
      <c r="AR12" s="27">
        <f>SUM(Emissions!AT18:AT23)</f>
        <v>11.590970510590244</v>
      </c>
      <c r="AS12" s="27">
        <f>SUM(Emissions!AU18:AU23)</f>
        <v>11.752358027164293</v>
      </c>
      <c r="AT12" s="27">
        <f>SUM(Emissions!AV18:AV23)</f>
        <v>11.917316424404454</v>
      </c>
      <c r="AU12" s="27">
        <f>SUM(Emissions!AW18:AW23)</f>
        <v>12.097390212770421</v>
      </c>
      <c r="AV12" s="27">
        <f>SUM(Emissions!AX18:AX23)</f>
        <v>12.275140536851968</v>
      </c>
      <c r="AW12" s="27">
        <f>SUM(Emissions!AY18:AY23)</f>
        <v>12.462716555110115</v>
      </c>
      <c r="AX12" s="27">
        <f>SUM(Emissions!AZ18:AZ23)</f>
        <v>12.674716557038966</v>
      </c>
      <c r="AY12" s="27">
        <f>SUM(Emissions!BA18:BA23)</f>
        <v>12.876538138844291</v>
      </c>
      <c r="AZ12" s="27">
        <f>SUM(Emissions!BB18:BB23)</f>
        <v>13.084755913074376</v>
      </c>
      <c r="BA12" s="27">
        <f>SUM(Emissions!BC18:BC23)</f>
        <v>13.307383129830768</v>
      </c>
      <c r="BB12" s="27">
        <f>SUM(Emissions!BD18:BD23)</f>
        <v>13.516371407126377</v>
      </c>
      <c r="BC12" s="27">
        <f>SUM(Emissions!BE18:BE23)</f>
        <v>13.724433193086494</v>
      </c>
      <c r="BD12" s="27">
        <f>SUM(Emissions!BF18:BF23)</f>
        <v>13.932140739468368</v>
      </c>
      <c r="BE12" s="27">
        <f>SUM(Emissions!BG18:BG23)</f>
        <v>14.152377893813137</v>
      </c>
      <c r="BF12" s="27">
        <f>SUM(Emissions!BH18:BH23)</f>
        <v>14.364098436386273</v>
      </c>
      <c r="BG12" s="27">
        <f>SUM(Emissions!BI18:BI23)</f>
        <v>14.584058795867479</v>
      </c>
      <c r="BH12" s="27">
        <f>SUM(Emissions!BJ18:BJ23)</f>
        <v>14.813264501443239</v>
      </c>
      <c r="BI12" s="27">
        <f>SUM(Emissions!BK18:BK23)</f>
        <v>15.053322966130512</v>
      </c>
      <c r="BJ12" s="27">
        <f>SUM(Emissions!BL18:BL23)</f>
        <v>15.298917926122545</v>
      </c>
      <c r="BK12" s="27">
        <f>SUM(Emissions!BM18:BM23)</f>
        <v>15.361440586357919</v>
      </c>
      <c r="BL12" s="27">
        <f>SUM(Emissions!BN18:BN23)</f>
        <v>15.407522221858477</v>
      </c>
      <c r="BM12" s="27">
        <f>SUM(Emissions!BO18:BO23)</f>
        <v>15.429611850915567</v>
      </c>
      <c r="BN12" s="27">
        <f>SUM(Emissions!BP18:BP23)</f>
        <v>15.445050217108401</v>
      </c>
    </row>
    <row r="13" spans="1:72" x14ac:dyDescent="0.3">
      <c r="A13" t="str">
        <f t="shared" si="2"/>
        <v>3A Livestock</v>
      </c>
      <c r="B13" t="str">
        <f>B12</f>
        <v>3A2 Manure management (CH4)</v>
      </c>
      <c r="C13" t="str">
        <f>'IPCC Categories'!C22</f>
        <v>3A2c Sheep</v>
      </c>
      <c r="D13" t="str">
        <f t="shared" ref="D13:D18" si="8">D12</f>
        <v>CH4</v>
      </c>
      <c r="E13" t="str">
        <f t="shared" ref="E13:E18" si="9">E12</f>
        <v>Gg CH4</v>
      </c>
      <c r="F13" s="27">
        <f>SUM(Emissions!H24:H25)</f>
        <v>6.2894599121782607E-2</v>
      </c>
      <c r="G13" s="27">
        <f>SUM(Emissions!I24:I25)</f>
        <v>6.0066555504044758E-2</v>
      </c>
      <c r="H13" s="27">
        <f>SUM(Emissions!J24:J25)</f>
        <v>5.7584674495303009E-2</v>
      </c>
      <c r="I13" s="27">
        <f>SUM(Emissions!K24:K25)</f>
        <v>5.3854510138969261E-2</v>
      </c>
      <c r="J13" s="27">
        <f>SUM(Emissions!L24:L25)</f>
        <v>5.4234240031261954E-2</v>
      </c>
      <c r="K13" s="27">
        <f>SUM(Emissions!M24:M25)</f>
        <v>5.3457996605028271E-2</v>
      </c>
      <c r="L13" s="27">
        <f>SUM(Emissions!N24:N25)</f>
        <v>5.3636322797541415E-2</v>
      </c>
      <c r="M13" s="27">
        <f>SUM(Emissions!O24:O25)</f>
        <v>5.2469859702984858E-2</v>
      </c>
      <c r="N13" s="27">
        <f>SUM(Emissions!P24:P25)</f>
        <v>5.2614618612201423E-2</v>
      </c>
      <c r="O13" s="27">
        <f>SUM(Emissions!Q24:Q25)</f>
        <v>5.1322278205282637E-2</v>
      </c>
      <c r="P13" s="27">
        <f>SUM(Emissions!R24:R25)</f>
        <v>4.9482371489588214E-2</v>
      </c>
      <c r="Q13" s="27">
        <f>SUM(Emissions!S24:S25)</f>
        <v>4.8248773828438465E-2</v>
      </c>
      <c r="R13" s="27">
        <f>SUM(Emissions!T24:T25)</f>
        <v>4.7443159029320267E-2</v>
      </c>
      <c r="S13" s="27">
        <f>SUM(Emissions!U24:U25)</f>
        <v>4.7608897490597185E-2</v>
      </c>
      <c r="T13" s="27">
        <f>SUM(Emissions!V24:V25)</f>
        <v>4.6761323587358246E-2</v>
      </c>
      <c r="U13" s="27">
        <f>SUM(Emissions!W24:W25)</f>
        <v>4.6650131961438294E-2</v>
      </c>
      <c r="V13" s="27">
        <f>SUM(Emissions!X24:X25)</f>
        <v>4.6039626996481529E-2</v>
      </c>
      <c r="W13" s="27">
        <f>SUM(Emissions!Y24:Y25)</f>
        <v>4.5995569937154757E-2</v>
      </c>
      <c r="X13" s="27">
        <f>SUM(Emissions!Z24:Z25)</f>
        <v>4.6144524756783378E-2</v>
      </c>
      <c r="Y13" s="27">
        <f>SUM(Emissions!AA24:AA25)</f>
        <v>4.5980884250712492E-2</v>
      </c>
      <c r="Z13" s="27">
        <f>SUM(Emissions!AB24:AB25)</f>
        <v>4.5091351243352819E-2</v>
      </c>
      <c r="AA13" s="27">
        <f>SUM(Emissions!AC24:AC25)</f>
        <v>4.4738894768738595E-2</v>
      </c>
      <c r="AB13" s="27">
        <f>SUM(Emissions!AD24:AD25)</f>
        <v>4.017229113225361E-2</v>
      </c>
      <c r="AC13" s="27">
        <f>SUM(Emissions!AE24:AE25)</f>
        <v>4.019401216223982E-2</v>
      </c>
      <c r="AD13" s="27">
        <f>SUM(Emissions!AF24:AF25)</f>
        <v>4.0245946330037495E-2</v>
      </c>
      <c r="AE13" s="27">
        <f>SUM(Emissions!AG24:AG25)</f>
        <v>4.0322523676758468E-2</v>
      </c>
      <c r="AF13" s="27">
        <f>SUM(Emissions!AH24:AH25)</f>
        <v>4.0423257576766368E-2</v>
      </c>
      <c r="AG13" s="27">
        <f>SUM(Emissions!AI24:AI25)</f>
        <v>4.0547084321763377E-2</v>
      </c>
      <c r="AH13" s="27">
        <f>SUM(Emissions!AJ24:AJ25)</f>
        <v>4.0686158658266129E-2</v>
      </c>
      <c r="AI13" s="27">
        <f>SUM(Emissions!AK24:AK25)</f>
        <v>4.0839602561017339E-2</v>
      </c>
      <c r="AJ13" s="27">
        <f>SUM(Emissions!AL24:AL25)</f>
        <v>4.0979918562139499E-2</v>
      </c>
      <c r="AK13" s="27">
        <f>SUM(Emissions!AM24:AM25)</f>
        <v>4.1041576810028978E-2</v>
      </c>
      <c r="AL13" s="27">
        <f>SUM(Emissions!AN24:AN25)</f>
        <v>4.1116874776881127E-2</v>
      </c>
      <c r="AM13" s="27">
        <f>SUM(Emissions!AO24:AO25)</f>
        <v>4.1196018817535304E-2</v>
      </c>
      <c r="AN13" s="27">
        <f>SUM(Emissions!AP24:AP25)</f>
        <v>4.1284874899604466E-2</v>
      </c>
      <c r="AO13" s="27">
        <f>SUM(Emissions!AQ24:AQ25)</f>
        <v>4.1383194402013719E-2</v>
      </c>
      <c r="AP13" s="27">
        <f>SUM(Emissions!AR24:AR25)</f>
        <v>4.1444597406622138E-2</v>
      </c>
      <c r="AQ13" s="27">
        <f>SUM(Emissions!AS24:AS25)</f>
        <v>4.1513967236377604E-2</v>
      </c>
      <c r="AR13" s="27">
        <f>SUM(Emissions!AT24:AT25)</f>
        <v>4.1590366551013246E-2</v>
      </c>
      <c r="AS13" s="27">
        <f>SUM(Emissions!AU24:AU25)</f>
        <v>4.1674005421751516E-2</v>
      </c>
      <c r="AT13" s="27">
        <f>SUM(Emissions!AV24:AV25)</f>
        <v>4.1764020569721581E-2</v>
      </c>
      <c r="AU13" s="27">
        <f>SUM(Emissions!AW24:AW25)</f>
        <v>4.1824404105840998E-2</v>
      </c>
      <c r="AV13" s="27">
        <f>SUM(Emissions!AX24:AX25)</f>
        <v>4.1889957294772559E-2</v>
      </c>
      <c r="AW13" s="27">
        <f>SUM(Emissions!AY24:AY25)</f>
        <v>4.1961207076793246E-2</v>
      </c>
      <c r="AX13" s="27">
        <f>SUM(Emissions!AZ24:AZ25)</f>
        <v>4.2038848964703363E-2</v>
      </c>
      <c r="AY13" s="27">
        <f>SUM(Emissions!BA24:BA25)</f>
        <v>4.2120551531277375E-2</v>
      </c>
      <c r="AZ13" s="27">
        <f>SUM(Emissions!BB24:BB25)</f>
        <v>4.2172775552070108E-2</v>
      </c>
      <c r="BA13" s="27">
        <f>SUM(Emissions!BC24:BC25)</f>
        <v>4.2229978276571579E-2</v>
      </c>
      <c r="BB13" s="27">
        <f>SUM(Emissions!BD24:BD25)</f>
        <v>4.2290273039458218E-2</v>
      </c>
      <c r="BC13" s="27">
        <f>SUM(Emissions!BE24:BE25)</f>
        <v>4.2354301739950743E-2</v>
      </c>
      <c r="BD13" s="27">
        <f>SUM(Emissions!BF24:BF25)</f>
        <v>4.2421967296517329E-2</v>
      </c>
      <c r="BE13" s="27">
        <f>SUM(Emissions!BG24:BG25)</f>
        <v>4.2461949113050707E-2</v>
      </c>
      <c r="BF13" s="27">
        <f>SUM(Emissions!BH24:BH25)</f>
        <v>4.2504630187374361E-2</v>
      </c>
      <c r="BG13" s="27">
        <f>SUM(Emissions!BI24:BI25)</f>
        <v>4.2550927214614731E-2</v>
      </c>
      <c r="BH13" s="27">
        <f>SUM(Emissions!BJ24:BJ25)</f>
        <v>4.26007954353681E-2</v>
      </c>
      <c r="BI13" s="27">
        <f>SUM(Emissions!BK24:BK25)</f>
        <v>4.2654233816204118E-2</v>
      </c>
      <c r="BJ13" s="27">
        <f>SUM(Emissions!BL24:BL25)</f>
        <v>4.2678477528582386E-2</v>
      </c>
      <c r="BK13" s="27">
        <f>SUM(Emissions!BM24:BM25)</f>
        <v>4.2694100998426888E-2</v>
      </c>
      <c r="BL13" s="27">
        <f>SUM(Emissions!BN24:BN25)</f>
        <v>4.2711227274125928E-2</v>
      </c>
      <c r="BM13" s="27">
        <f>SUM(Emissions!BO24:BO25)</f>
        <v>4.2729317213039436E-2</v>
      </c>
      <c r="BN13" s="27">
        <f>SUM(Emissions!BP24:BP25)</f>
        <v>4.2749356223330544E-2</v>
      </c>
    </row>
    <row r="14" spans="1:72" x14ac:dyDescent="0.3">
      <c r="A14" t="str">
        <f t="shared" si="2"/>
        <v>3A Livestock</v>
      </c>
      <c r="B14" t="str">
        <f t="shared" ref="B14:B18" si="10">B13</f>
        <v>3A2 Manure management (CH4)</v>
      </c>
      <c r="C14" t="str">
        <f>'IPCC Categories'!C23</f>
        <v>3A2d Goats</v>
      </c>
      <c r="D14" t="str">
        <f t="shared" si="8"/>
        <v>CH4</v>
      </c>
      <c r="E14" t="str">
        <f t="shared" si="9"/>
        <v>Gg CH4</v>
      </c>
      <c r="F14" s="27">
        <f>SUM(Emissions!H26:H27)</f>
        <v>5.7474022342600642E-2</v>
      </c>
      <c r="G14" s="27">
        <f>SUM(Emissions!I26:I27)</f>
        <v>5.0823279310165601E-2</v>
      </c>
      <c r="H14" s="27">
        <f>SUM(Emissions!J26:J27)</f>
        <v>4.7342516601601464E-2</v>
      </c>
      <c r="I14" s="27">
        <f>SUM(Emissions!K26:K27)</f>
        <v>4.4731944570178372E-2</v>
      </c>
      <c r="J14" s="27">
        <f>SUM(Emissions!L26:L27)</f>
        <v>4.8419895535204649E-2</v>
      </c>
      <c r="K14" s="27">
        <f>SUM(Emissions!M26:M27)</f>
        <v>4.9082897955883539E-2</v>
      </c>
      <c r="L14" s="27">
        <f>SUM(Emissions!N26:N27)</f>
        <v>4.9849494504793493E-2</v>
      </c>
      <c r="M14" s="27">
        <f>SUM(Emissions!O26:O27)</f>
        <v>4.9600868597038911E-2</v>
      </c>
      <c r="N14" s="27">
        <f>SUM(Emissions!P26:P27)</f>
        <v>4.8896428525067599E-2</v>
      </c>
      <c r="O14" s="27">
        <f>SUM(Emissions!Q26:Q27)</f>
        <v>4.8171269627450081E-2</v>
      </c>
      <c r="P14" s="27">
        <f>SUM(Emissions!R26:R27)</f>
        <v>4.8792834396836522E-2</v>
      </c>
      <c r="Q14" s="27">
        <f>SUM(Emissions!S26:S27)</f>
        <v>5.0284589843364008E-2</v>
      </c>
      <c r="R14" s="27">
        <f>SUM(Emissions!T26:T27)</f>
        <v>4.5912917632012634E-2</v>
      </c>
      <c r="S14" s="27">
        <f>SUM(Emissions!U26:U27)</f>
        <v>4.475266339582458E-2</v>
      </c>
      <c r="T14" s="27">
        <f>SUM(Emissions!V26:V27)</f>
        <v>4.4835538698409449E-2</v>
      </c>
      <c r="U14" s="27">
        <f>SUM(Emissions!W26:W27)</f>
        <v>4.4255411580315415E-2</v>
      </c>
      <c r="V14" s="27">
        <f>SUM(Emissions!X26:X27)</f>
        <v>4.5187758734395102E-2</v>
      </c>
      <c r="W14" s="27">
        <f>SUM(Emissions!Y26:Y27)</f>
        <v>4.3841035067391121E-2</v>
      </c>
      <c r="X14" s="27">
        <f>SUM(Emissions!Z26:Z27)</f>
        <v>4.3799597416098693E-2</v>
      </c>
      <c r="Y14" s="27">
        <f>SUM(Emissions!AA26:AA27)</f>
        <v>4.3033000867188732E-2</v>
      </c>
      <c r="Z14" s="27">
        <f>SUM(Emissions!AB26:AB27)</f>
        <v>4.2515030226033354E-2</v>
      </c>
      <c r="AA14" s="27">
        <f>SUM(Emissions!AC26:AC27)</f>
        <v>4.2121372538755267E-2</v>
      </c>
      <c r="AB14" s="27">
        <f>SUM(Emissions!AD26:AD27)</f>
        <v>4.23818915638281E-2</v>
      </c>
      <c r="AC14" s="27">
        <f>SUM(Emissions!AE26:AE27)</f>
        <v>4.2492064024381923E-2</v>
      </c>
      <c r="AD14" s="27">
        <f>SUM(Emissions!AF26:AF27)</f>
        <v>4.264404304035839E-2</v>
      </c>
      <c r="AE14" s="27">
        <f>SUM(Emissions!AG26:AG27)</f>
        <v>4.2829193619610281E-2</v>
      </c>
      <c r="AF14" s="27">
        <f>SUM(Emissions!AH26:AH27)</f>
        <v>4.3047251688384705E-2</v>
      </c>
      <c r="AG14" s="27">
        <f>SUM(Emissions!AI26:AI27)</f>
        <v>4.3296890030905533E-2</v>
      </c>
      <c r="AH14" s="27">
        <f>SUM(Emissions!AJ26:AJ27)</f>
        <v>4.3565554612885075E-2</v>
      </c>
      <c r="AI14" s="27">
        <f>SUM(Emissions!AK26:AK27)</f>
        <v>4.3852181920952263E-2</v>
      </c>
      <c r="AJ14" s="27">
        <f>SUM(Emissions!AL26:AL27)</f>
        <v>4.4112120428768178E-2</v>
      </c>
      <c r="AK14" s="27">
        <f>SUM(Emissions!AM26:AM27)</f>
        <v>4.4239090204140158E-2</v>
      </c>
      <c r="AL14" s="27">
        <f>SUM(Emissions!AN26:AN27)</f>
        <v>4.438462589969866E-2</v>
      </c>
      <c r="AM14" s="27">
        <f>SUM(Emissions!AO26:AO27)</f>
        <v>4.4532977986171896E-2</v>
      </c>
      <c r="AN14" s="27">
        <f>SUM(Emissions!AP26:AP27)</f>
        <v>4.469387696858549E-2</v>
      </c>
      <c r="AO14" s="27">
        <f>SUM(Emissions!AQ26:AQ27)</f>
        <v>4.486705692945829E-2</v>
      </c>
      <c r="AP14" s="27">
        <f>SUM(Emissions!AR26:AR27)</f>
        <v>4.4977884532398343E-2</v>
      </c>
      <c r="AQ14" s="27">
        <f>SUM(Emissions!AS26:AS27)</f>
        <v>4.5099136076932785E-2</v>
      </c>
      <c r="AR14" s="27">
        <f>SUM(Emissions!AT26:AT27)</f>
        <v>4.522939337740596E-2</v>
      </c>
      <c r="AS14" s="27">
        <f>SUM(Emissions!AU26:AU27)</f>
        <v>4.5369074699975614E-2</v>
      </c>
      <c r="AT14" s="27">
        <f>SUM(Emissions!AV26:AV27)</f>
        <v>4.551686846338493E-2</v>
      </c>
      <c r="AU14" s="27">
        <f>SUM(Emissions!AW26:AW27)</f>
        <v>4.5615430129399843E-2</v>
      </c>
      <c r="AV14" s="27">
        <f>SUM(Emissions!AX26:AX27)</f>
        <v>4.572054028162334E-2</v>
      </c>
      <c r="AW14" s="27">
        <f>SUM(Emissions!AY26:AY27)</f>
        <v>4.583308862084659E-2</v>
      </c>
      <c r="AX14" s="27">
        <f>SUM(Emissions!AZ26:AZ27)</f>
        <v>4.5954218267974065E-2</v>
      </c>
      <c r="AY14" s="27">
        <f>SUM(Emissions!BA26:BA27)</f>
        <v>4.6080269768312546E-2</v>
      </c>
      <c r="AZ14" s="27">
        <f>SUM(Emissions!BB26:BB27)</f>
        <v>4.6158336705622548E-2</v>
      </c>
      <c r="BA14" s="27">
        <f>SUM(Emissions!BC26:BC27)</f>
        <v>4.6243053546721154E-2</v>
      </c>
      <c r="BB14" s="27">
        <f>SUM(Emissions!BD26:BD27)</f>
        <v>4.6331473951767663E-2</v>
      </c>
      <c r="BC14" s="27">
        <f>SUM(Emissions!BE26:BE27)</f>
        <v>4.6424639486774971E-2</v>
      </c>
      <c r="BD14" s="27">
        <f>SUM(Emissions!BF26:BF27)</f>
        <v>4.652242259522639E-2</v>
      </c>
      <c r="BE14" s="27">
        <f>SUM(Emissions!BG26:BG27)</f>
        <v>4.6575845304371546E-2</v>
      </c>
      <c r="BF14" s="27">
        <f>SUM(Emissions!BH26:BH27)</f>
        <v>4.6632633504825799E-2</v>
      </c>
      <c r="BG14" s="27">
        <f>SUM(Emissions!BI26:BI27)</f>
        <v>4.6694236841468353E-2</v>
      </c>
      <c r="BH14" s="27">
        <f>SUM(Emissions!BJ26:BJ27)</f>
        <v>4.6760596480323054E-2</v>
      </c>
      <c r="BI14" s="27">
        <f>SUM(Emissions!BK26:BK27)</f>
        <v>4.6831720076730907E-2</v>
      </c>
      <c r="BJ14" s="27">
        <f>SUM(Emissions!BL26:BL27)</f>
        <v>4.6856788973605255E-2</v>
      </c>
      <c r="BK14" s="27">
        <f>SUM(Emissions!BM26:BM27)</f>
        <v>4.6867922076407137E-2</v>
      </c>
      <c r="BL14" s="27">
        <f>SUM(Emissions!BN26:BN27)</f>
        <v>4.688086438531168E-2</v>
      </c>
      <c r="BM14" s="27">
        <f>SUM(Emissions!BO26:BO27)</f>
        <v>4.6894797798067683E-2</v>
      </c>
      <c r="BN14" s="27">
        <f>SUM(Emissions!BP26:BP27)</f>
        <v>4.6911257900968964E-2</v>
      </c>
    </row>
    <row r="15" spans="1:72" x14ac:dyDescent="0.3">
      <c r="A15" t="str">
        <f t="shared" si="2"/>
        <v>3A Livestock</v>
      </c>
      <c r="B15" t="str">
        <f t="shared" si="10"/>
        <v>3A2 Manure management (CH4)</v>
      </c>
      <c r="C15" t="str">
        <f>'IPCC Categories'!C24</f>
        <v>3A2f Horses</v>
      </c>
      <c r="D15" t="str">
        <f t="shared" si="8"/>
        <v>CH4</v>
      </c>
      <c r="E15" t="str">
        <f t="shared" si="9"/>
        <v>Gg CH4</v>
      </c>
      <c r="F15" s="27">
        <f>Emissions!H28</f>
        <v>3.0819999999999997E-3</v>
      </c>
      <c r="G15" s="27">
        <f>Emissions!I28</f>
        <v>3.0819999999999997E-3</v>
      </c>
      <c r="H15" s="27">
        <f>Emissions!J28</f>
        <v>3.0819999999999997E-3</v>
      </c>
      <c r="I15" s="27">
        <f>Emissions!K28</f>
        <v>3.1489999999999999E-3</v>
      </c>
      <c r="J15" s="27">
        <f>Emissions!L28</f>
        <v>3.2159999999999997E-3</v>
      </c>
      <c r="K15" s="27">
        <f>Emissions!M28</f>
        <v>3.2829999999999999E-3</v>
      </c>
      <c r="L15" s="27">
        <f>Emissions!N28</f>
        <v>3.3499999999999997E-3</v>
      </c>
      <c r="M15" s="27">
        <f>Emissions!O28</f>
        <v>3.4169999999999999E-3</v>
      </c>
      <c r="N15" s="27">
        <f>Emissions!P28</f>
        <v>3.4839999999999997E-3</v>
      </c>
      <c r="O15" s="27">
        <f>Emissions!Q28</f>
        <v>3.4572000000000001E-3</v>
      </c>
      <c r="P15" s="27">
        <f>Emissions!R28</f>
        <v>3.6179999999999997E-3</v>
      </c>
      <c r="Q15" s="27">
        <f>Emissions!S28</f>
        <v>3.6179999999999997E-3</v>
      </c>
      <c r="R15" s="27">
        <f>Emissions!T28</f>
        <v>3.6179999999999997E-3</v>
      </c>
      <c r="S15" s="27">
        <f>Emissions!U28</f>
        <v>3.6179999999999997E-3</v>
      </c>
      <c r="T15" s="27">
        <f>Emissions!V28</f>
        <v>3.6179999999999997E-3</v>
      </c>
      <c r="U15" s="27">
        <f>Emissions!W28</f>
        <v>3.6179999999999997E-3</v>
      </c>
      <c r="V15" s="27">
        <f>Emissions!X28</f>
        <v>3.7519999999999997E-3</v>
      </c>
      <c r="W15" s="27">
        <f>Emissions!Y28</f>
        <v>3.8859999999999997E-3</v>
      </c>
      <c r="X15" s="27">
        <f>Emissions!Z28</f>
        <v>3.9931999999999997E-3</v>
      </c>
      <c r="Y15" s="27">
        <f>Emissions!AA28</f>
        <v>4.0200000000000001E-3</v>
      </c>
      <c r="Z15" s="27">
        <f>Emissions!AB28</f>
        <v>4.0200000000000001E-3</v>
      </c>
      <c r="AA15" s="27">
        <f>Emissions!AC28</f>
        <v>4.0869999999999995E-3</v>
      </c>
      <c r="AB15" s="27">
        <f>Emissions!AD28</f>
        <v>4.1336182129460552E-3</v>
      </c>
      <c r="AC15" s="27">
        <f>Emissions!AE28</f>
        <v>4.1536453250924071E-3</v>
      </c>
      <c r="AD15" s="27">
        <f>Emissions!AF28</f>
        <v>4.1840370126470534E-3</v>
      </c>
      <c r="AE15" s="27">
        <f>Emissions!AG28</f>
        <v>4.1905340987284569E-3</v>
      </c>
      <c r="AF15" s="27">
        <f>Emissions!AH28</f>
        <v>4.1812329246154589E-3</v>
      </c>
      <c r="AG15" s="27">
        <f>Emissions!AI28</f>
        <v>4.1564738854214548E-3</v>
      </c>
      <c r="AH15" s="27">
        <f>Emissions!AJ28</f>
        <v>4.1427460620707141E-3</v>
      </c>
      <c r="AI15" s="27">
        <f>Emissions!AK28</f>
        <v>4.1304087921358321E-3</v>
      </c>
      <c r="AJ15" s="27">
        <f>Emissions!AL28</f>
        <v>3.8942776940038416E-3</v>
      </c>
      <c r="AK15" s="27">
        <f>Emissions!AM28</f>
        <v>3.9425050527123239E-3</v>
      </c>
      <c r="AL15" s="27">
        <f>Emissions!AN28</f>
        <v>4.0191071248696416E-3</v>
      </c>
      <c r="AM15" s="27">
        <f>Emissions!AO28</f>
        <v>4.0473828533201294E-3</v>
      </c>
      <c r="AN15" s="27">
        <f>Emissions!AP28</f>
        <v>4.0809840197269919E-3</v>
      </c>
      <c r="AO15" s="27">
        <f>Emissions!AQ28</f>
        <v>4.1216678621320202E-3</v>
      </c>
      <c r="AP15" s="27">
        <f>Emissions!AR28</f>
        <v>4.1703472412361522E-3</v>
      </c>
      <c r="AQ15" s="27">
        <f>Emissions!AS28</f>
        <v>4.2244482436929265E-3</v>
      </c>
      <c r="AR15" s="27">
        <f>Emissions!AT28</f>
        <v>4.2791921283487086E-3</v>
      </c>
      <c r="AS15" s="27">
        <f>Emissions!AU28</f>
        <v>4.3388287504468421E-3</v>
      </c>
      <c r="AT15" s="27">
        <f>Emissions!AV28</f>
        <v>4.3986726547954836E-3</v>
      </c>
      <c r="AU15" s="27">
        <f>Emissions!AW28</f>
        <v>4.4704656017983358E-3</v>
      </c>
      <c r="AV15" s="27">
        <f>Emissions!AX28</f>
        <v>4.539631463046338E-3</v>
      </c>
      <c r="AW15" s="27">
        <f>Emissions!AY28</f>
        <v>4.6121605087864415E-3</v>
      </c>
      <c r="AX15" s="27">
        <f>Emissions!AZ28</f>
        <v>4.6951125632471334E-3</v>
      </c>
      <c r="AY15" s="27">
        <f>Emissions!BA28</f>
        <v>4.7715465683054572E-3</v>
      </c>
      <c r="AZ15" s="27">
        <f>Emissions!BB28</f>
        <v>4.855932813312959E-3</v>
      </c>
      <c r="BA15" s="27">
        <f>Emissions!BC28</f>
        <v>4.945901658536307E-3</v>
      </c>
      <c r="BB15" s="27">
        <f>Emissions!BD28</f>
        <v>5.0279520878702428E-3</v>
      </c>
      <c r="BC15" s="27">
        <f>Emissions!BE28</f>
        <v>5.1082371551630715E-3</v>
      </c>
      <c r="BD15" s="27">
        <f>Emissions!BF28</f>
        <v>5.1870452828056204E-3</v>
      </c>
      <c r="BE15" s="27">
        <f>Emissions!BG28</f>
        <v>5.27706789842347E-3</v>
      </c>
      <c r="BF15" s="27">
        <f>Emissions!BH28</f>
        <v>5.3619473096130918E-3</v>
      </c>
      <c r="BG15" s="27">
        <f>Emissions!BI28</f>
        <v>5.4495970329020271E-3</v>
      </c>
      <c r="BH15" s="27">
        <f>Emissions!BJ28</f>
        <v>5.5404524678757516E-3</v>
      </c>
      <c r="BI15" s="27">
        <f>Emissions!BK28</f>
        <v>5.6352215326777718E-3</v>
      </c>
      <c r="BJ15" s="27">
        <f>Emissions!BL28</f>
        <v>5.7381722103153144E-3</v>
      </c>
      <c r="BK15" s="27">
        <f>Emissions!BM28</f>
        <v>5.7552832935457467E-3</v>
      </c>
      <c r="BL15" s="27">
        <f>Emissions!BN28</f>
        <v>5.7642783755128633E-3</v>
      </c>
      <c r="BM15" s="27">
        <f>Emissions!BO28</f>
        <v>5.7617518385425876E-3</v>
      </c>
      <c r="BN15" s="27">
        <f>Emissions!BP28</f>
        <v>5.7557818048942742E-3</v>
      </c>
    </row>
    <row r="16" spans="1:72" x14ac:dyDescent="0.3">
      <c r="A16" t="str">
        <f t="shared" si="2"/>
        <v>3A Livestock</v>
      </c>
      <c r="B16" t="str">
        <f t="shared" si="10"/>
        <v>3A2 Manure management (CH4)</v>
      </c>
      <c r="C16" t="str">
        <f>'IPCC Categories'!C25</f>
        <v>3A2g Mules &amp; asses</v>
      </c>
      <c r="D16" t="str">
        <f t="shared" si="8"/>
        <v>CH4</v>
      </c>
      <c r="E16" t="str">
        <f t="shared" si="9"/>
        <v>Gg CH4</v>
      </c>
      <c r="F16" s="27">
        <f>Emissions!H29</f>
        <v>1.0079999999999998E-3</v>
      </c>
      <c r="G16" s="27">
        <f>Emissions!I29</f>
        <v>1.0079999999999998E-3</v>
      </c>
      <c r="H16" s="27">
        <f>Emissions!J29</f>
        <v>1.0079999999999998E-3</v>
      </c>
      <c r="I16" s="27">
        <f>Emissions!K29</f>
        <v>1.0079999999999998E-3</v>
      </c>
      <c r="J16" s="27">
        <f>Emissions!L29</f>
        <v>1.0079999999999998E-3</v>
      </c>
      <c r="K16" s="27">
        <f>Emissions!M29</f>
        <v>1.0079999999999998E-3</v>
      </c>
      <c r="L16" s="27">
        <f>Emissions!N29</f>
        <v>1.0079999999999998E-3</v>
      </c>
      <c r="M16" s="27">
        <f>Emissions!O29</f>
        <v>1.0079999999999998E-3</v>
      </c>
      <c r="N16" s="27">
        <f>Emissions!P29</f>
        <v>1.0079999999999998E-3</v>
      </c>
      <c r="O16" s="27">
        <f>Emissions!Q29</f>
        <v>1.0079999999999998E-3</v>
      </c>
      <c r="P16" s="27">
        <f>Emissions!R29</f>
        <v>7.3799999999999994E-4</v>
      </c>
      <c r="Q16" s="27">
        <f>Emissions!S29</f>
        <v>7.3799999999999994E-4</v>
      </c>
      <c r="R16" s="27">
        <f>Emissions!T29</f>
        <v>7.3799999999999994E-4</v>
      </c>
      <c r="S16" s="27">
        <f>Emissions!U29</f>
        <v>7.3799999999999994E-4</v>
      </c>
      <c r="T16" s="27">
        <f>Emissions!V29</f>
        <v>7.3799999999999994E-4</v>
      </c>
      <c r="U16" s="27">
        <f>Emissions!W29</f>
        <v>7.3799999999999994E-4</v>
      </c>
      <c r="V16" s="27">
        <f>Emissions!X29</f>
        <v>7.3822499999999991E-4</v>
      </c>
      <c r="W16" s="27">
        <f>Emissions!Y29</f>
        <v>7.4069999999999995E-4</v>
      </c>
      <c r="X16" s="27">
        <f>Emissions!Z29</f>
        <v>7.4114999999999999E-4</v>
      </c>
      <c r="Y16" s="27">
        <f>Emissions!AA29</f>
        <v>7.4159999999999992E-4</v>
      </c>
      <c r="Z16" s="27">
        <f>Emissions!AB29</f>
        <v>7.4834999999999984E-4</v>
      </c>
      <c r="AA16" s="27">
        <f>Emissions!AC29</f>
        <v>7.515E-4</v>
      </c>
      <c r="AB16" s="27">
        <f>Emissions!AD29</f>
        <v>7.515E-4</v>
      </c>
      <c r="AC16" s="27">
        <f>Emissions!AE29</f>
        <v>7.515E-4</v>
      </c>
      <c r="AD16" s="27">
        <f>Emissions!AF29</f>
        <v>7.515E-4</v>
      </c>
      <c r="AE16" s="27">
        <f>Emissions!AG29</f>
        <v>7.515E-4</v>
      </c>
      <c r="AF16" s="27">
        <f>Emissions!AH29</f>
        <v>7.515E-4</v>
      </c>
      <c r="AG16" s="27">
        <f>Emissions!AI29</f>
        <v>7.515E-4</v>
      </c>
      <c r="AH16" s="27">
        <f>Emissions!AJ29</f>
        <v>7.515E-4</v>
      </c>
      <c r="AI16" s="27">
        <f>Emissions!AK29</f>
        <v>7.515E-4</v>
      </c>
      <c r="AJ16" s="27">
        <f>Emissions!AL29</f>
        <v>7.515E-4</v>
      </c>
      <c r="AK16" s="27">
        <f>Emissions!AM29</f>
        <v>7.515E-4</v>
      </c>
      <c r="AL16" s="27">
        <f>Emissions!AN29</f>
        <v>7.515E-4</v>
      </c>
      <c r="AM16" s="27">
        <f>Emissions!AO29</f>
        <v>7.515E-4</v>
      </c>
      <c r="AN16" s="27">
        <f>Emissions!AP29</f>
        <v>7.515E-4</v>
      </c>
      <c r="AO16" s="27">
        <f>Emissions!AQ29</f>
        <v>7.515E-4</v>
      </c>
      <c r="AP16" s="27">
        <f>Emissions!AR29</f>
        <v>7.515E-4</v>
      </c>
      <c r="AQ16" s="27">
        <f>Emissions!AS29</f>
        <v>7.515E-4</v>
      </c>
      <c r="AR16" s="27">
        <f>Emissions!AT29</f>
        <v>7.515E-4</v>
      </c>
      <c r="AS16" s="27">
        <f>Emissions!AU29</f>
        <v>7.515E-4</v>
      </c>
      <c r="AT16" s="27">
        <f>Emissions!AV29</f>
        <v>7.515E-4</v>
      </c>
      <c r="AU16" s="27">
        <f>Emissions!AW29</f>
        <v>7.515E-4</v>
      </c>
      <c r="AV16" s="27">
        <f>Emissions!AX29</f>
        <v>7.515E-4</v>
      </c>
      <c r="AW16" s="27">
        <f>Emissions!AY29</f>
        <v>7.515E-4</v>
      </c>
      <c r="AX16" s="27">
        <f>Emissions!AZ29</f>
        <v>7.515E-4</v>
      </c>
      <c r="AY16" s="27">
        <f>Emissions!BA29</f>
        <v>7.515E-4</v>
      </c>
      <c r="AZ16" s="27">
        <f>Emissions!BB29</f>
        <v>7.515E-4</v>
      </c>
      <c r="BA16" s="27">
        <f>Emissions!BC29</f>
        <v>7.515E-4</v>
      </c>
      <c r="BB16" s="27">
        <f>Emissions!BD29</f>
        <v>7.515E-4</v>
      </c>
      <c r="BC16" s="27">
        <f>Emissions!BE29</f>
        <v>7.515E-4</v>
      </c>
      <c r="BD16" s="27">
        <f>Emissions!BF29</f>
        <v>7.515E-4</v>
      </c>
      <c r="BE16" s="27">
        <f>Emissions!BG29</f>
        <v>7.515E-4</v>
      </c>
      <c r="BF16" s="27">
        <f>Emissions!BH29</f>
        <v>7.515E-4</v>
      </c>
      <c r="BG16" s="27">
        <f>Emissions!BI29</f>
        <v>7.515E-4</v>
      </c>
      <c r="BH16" s="27">
        <f>Emissions!BJ29</f>
        <v>7.515E-4</v>
      </c>
      <c r="BI16" s="27">
        <f>Emissions!BK29</f>
        <v>7.515E-4</v>
      </c>
      <c r="BJ16" s="27">
        <f>Emissions!BL29</f>
        <v>7.515E-4</v>
      </c>
      <c r="BK16" s="27">
        <f>Emissions!BM29</f>
        <v>7.515E-4</v>
      </c>
      <c r="BL16" s="27">
        <f>Emissions!BN29</f>
        <v>7.515E-4</v>
      </c>
      <c r="BM16" s="27">
        <f>Emissions!BO29</f>
        <v>7.515E-4</v>
      </c>
      <c r="BN16" s="27">
        <f>Emissions!BP29</f>
        <v>7.515E-4</v>
      </c>
    </row>
    <row r="17" spans="1:66" x14ac:dyDescent="0.3">
      <c r="A17" t="str">
        <f t="shared" si="2"/>
        <v>3A Livestock</v>
      </c>
      <c r="B17" t="str">
        <f t="shared" si="10"/>
        <v>3A2 Manure management (CH4)</v>
      </c>
      <c r="C17" t="str">
        <f>'IPCC Categories'!C26</f>
        <v>3A2h Swine</v>
      </c>
      <c r="D17" t="str">
        <f t="shared" si="8"/>
        <v>CH4</v>
      </c>
      <c r="E17" t="str">
        <f t="shared" si="9"/>
        <v>Gg CH4</v>
      </c>
      <c r="F17" s="27">
        <f>SUM(Emissions!H30:H31)</f>
        <v>21.491561588124931</v>
      </c>
      <c r="G17" s="27">
        <f>SUM(Emissions!I30:I31)</f>
        <v>23.479954097262475</v>
      </c>
      <c r="H17" s="27">
        <f>SUM(Emissions!J30:J31)</f>
        <v>23.324831277400676</v>
      </c>
      <c r="I17" s="27">
        <f>SUM(Emissions!K30:K31)</f>
        <v>23.310729202867787</v>
      </c>
      <c r="J17" s="27">
        <f>SUM(Emissions!L30:L31)</f>
        <v>22.140257016637882</v>
      </c>
      <c r="K17" s="27">
        <f>SUM(Emissions!M30:M31)</f>
        <v>22.351788134631242</v>
      </c>
      <c r="L17" s="27">
        <f>SUM(Emissions!N30:N31)</f>
        <v>24.072241227643865</v>
      </c>
      <c r="M17" s="27">
        <f>SUM(Emissions!O30:O31)</f>
        <v>23.959424631380745</v>
      </c>
      <c r="N17" s="27">
        <f>SUM(Emissions!P30:P31)</f>
        <v>24.481201389097684</v>
      </c>
      <c r="O17" s="27">
        <f>SUM(Emissions!Q30:Q31)</f>
        <v>25.101692668544864</v>
      </c>
      <c r="P17" s="27">
        <f>SUM(Emissions!R30:R31)</f>
        <v>23.22611675567045</v>
      </c>
      <c r="Q17" s="27">
        <f>SUM(Emissions!S30:S31)</f>
        <v>23.663281066190045</v>
      </c>
      <c r="R17" s="27">
        <f>SUM(Emissions!T30:T31)</f>
        <v>24.11454745124254</v>
      </c>
      <c r="S17" s="27">
        <f>SUM(Emissions!U30:U31)</f>
        <v>23.451749948196689</v>
      </c>
      <c r="T17" s="27">
        <f>SUM(Emissions!V30:V31)</f>
        <v>23.451749948196689</v>
      </c>
      <c r="U17" s="27">
        <f>SUM(Emissions!W30:W31)</f>
        <v>23.282525053802008</v>
      </c>
      <c r="V17" s="27">
        <f>SUM(Emissions!X30:X31)</f>
        <v>22.873564892348188</v>
      </c>
      <c r="W17" s="27">
        <f>SUM(Emissions!Y30:Y31)</f>
        <v>23.282525053802008</v>
      </c>
      <c r="X17" s="27">
        <f>SUM(Emissions!Z30:Z31)</f>
        <v>22.774850370617955</v>
      </c>
      <c r="Y17" s="27">
        <f>SUM(Emissions!AA30:AA31)</f>
        <v>22.746646221552176</v>
      </c>
      <c r="Z17" s="27">
        <f>SUM(Emissions!AB30:AB31)</f>
        <v>22.478706805427255</v>
      </c>
      <c r="AA17" s="27">
        <f>SUM(Emissions!AC30:AC31)</f>
        <v>22.337686060098353</v>
      </c>
      <c r="AB17" s="27">
        <f>SUM(Emissions!AD30:AD31)</f>
        <v>23.356999930110071</v>
      </c>
      <c r="AC17" s="27">
        <f>SUM(Emissions!AE30:AE31)</f>
        <v>23.230039099944456</v>
      </c>
      <c r="AD17" s="27">
        <f>SUM(Emissions!AF30:AF31)</f>
        <v>23.240459651013445</v>
      </c>
      <c r="AE17" s="27">
        <f>SUM(Emissions!AG30:AG31)</f>
        <v>23.027094422284396</v>
      </c>
      <c r="AF17" s="27">
        <f>SUM(Emissions!AH30:AH31)</f>
        <v>22.678619791645833</v>
      </c>
      <c r="AG17" s="27">
        <f>SUM(Emissions!AI30:AI31)</f>
        <v>22.200606495542022</v>
      </c>
      <c r="AH17" s="27">
        <f>SUM(Emissions!AJ30:AJ31)</f>
        <v>21.853515832253049</v>
      </c>
      <c r="AI17" s="27">
        <f>SUM(Emissions!AK30:AK31)</f>
        <v>21.537138037854106</v>
      </c>
      <c r="AJ17" s="27">
        <f>SUM(Emissions!AL30:AL31)</f>
        <v>19.016213945060766</v>
      </c>
      <c r="AK17" s="27">
        <f>SUM(Emissions!AM30:AM31)</f>
        <v>19.256686847804435</v>
      </c>
      <c r="AL17" s="27">
        <f>SUM(Emissions!AN30:AN31)</f>
        <v>19.772694491071707</v>
      </c>
      <c r="AM17" s="27">
        <f>SUM(Emissions!AO30:AO31)</f>
        <v>19.81954530435112</v>
      </c>
      <c r="AN17" s="27">
        <f>SUM(Emissions!AP30:AP31)</f>
        <v>19.921003343736565</v>
      </c>
      <c r="AO17" s="27">
        <f>SUM(Emissions!AQ30:AQ31)</f>
        <v>20.091589996062091</v>
      </c>
      <c r="AP17" s="27">
        <f>SUM(Emissions!AR30:AR31)</f>
        <v>20.305642147892318</v>
      </c>
      <c r="AQ17" s="27">
        <f>SUM(Emissions!AS30:AS31)</f>
        <v>20.56794491354453</v>
      </c>
      <c r="AR17" s="27">
        <f>SUM(Emissions!AT30:AT31)</f>
        <v>20.833315047294629</v>
      </c>
      <c r="AS17" s="27">
        <f>SUM(Emissions!AU30:AU31)</f>
        <v>21.139697345625287</v>
      </c>
      <c r="AT17" s="27">
        <f>SUM(Emissions!AV30:AV31)</f>
        <v>21.443965000460068</v>
      </c>
      <c r="AU17" s="27">
        <f>SUM(Emissions!AW30:AW31)</f>
        <v>21.822249138210772</v>
      </c>
      <c r="AV17" s="27">
        <f>SUM(Emissions!AX30:AX31)</f>
        <v>22.170487316141841</v>
      </c>
      <c r="AW17" s="27">
        <f>SUM(Emissions!AY30:AY31)</f>
        <v>22.541040579003944</v>
      </c>
      <c r="AX17" s="27">
        <f>SUM(Emissions!AZ30:AZ31)</f>
        <v>22.99306721851277</v>
      </c>
      <c r="AY17" s="27">
        <f>SUM(Emissions!BA30:BA31)</f>
        <v>23.381209520185788</v>
      </c>
      <c r="AZ17" s="27">
        <f>SUM(Emissions!BB30:BB31)</f>
        <v>23.800149407468528</v>
      </c>
      <c r="BA17" s="27">
        <f>SUM(Emissions!BC30:BC31)</f>
        <v>24.254837666985885</v>
      </c>
      <c r="BB17" s="27">
        <f>SUM(Emissions!BD30:BD31)</f>
        <v>24.634150733463578</v>
      </c>
      <c r="BC17" s="27">
        <f>SUM(Emissions!BE30:BE31)</f>
        <v>24.989864968184552</v>
      </c>
      <c r="BD17" s="27">
        <f>SUM(Emissions!BF30:BF31)</f>
        <v>25.324849279812526</v>
      </c>
      <c r="BE17" s="27">
        <f>SUM(Emissions!BG30:BG31)</f>
        <v>25.711642544096865</v>
      </c>
      <c r="BF17" s="27">
        <f>SUM(Emissions!BH30:BH31)</f>
        <v>26.04713583959461</v>
      </c>
      <c r="BG17" s="27">
        <f>SUM(Emissions!BI30:BI31)</f>
        <v>26.393450146225582</v>
      </c>
      <c r="BH17" s="27">
        <f>SUM(Emissions!BJ30:BJ31)</f>
        <v>26.753197633291737</v>
      </c>
      <c r="BI17" s="27">
        <f>SUM(Emissions!BK30:BK31)</f>
        <v>27.130879639828738</v>
      </c>
      <c r="BJ17" s="27">
        <f>SUM(Emissions!BL30:BL31)</f>
        <v>27.527470791265984</v>
      </c>
      <c r="BK17" s="27">
        <f>SUM(Emissions!BM30:BM31)</f>
        <v>27.286139629164122</v>
      </c>
      <c r="BL17" s="27">
        <f>SUM(Emissions!BN30:BN31)</f>
        <v>26.989037890227447</v>
      </c>
      <c r="BM17" s="27">
        <f>SUM(Emissions!BO30:BO31)</f>
        <v>26.614147128740825</v>
      </c>
      <c r="BN17" s="27">
        <f>SUM(Emissions!BP30:BP31)</f>
        <v>26.220870510087533</v>
      </c>
    </row>
    <row r="18" spans="1:66" x14ac:dyDescent="0.3">
      <c r="A18" t="str">
        <f t="shared" si="2"/>
        <v>3A Livestock</v>
      </c>
      <c r="B18" t="str">
        <f t="shared" si="10"/>
        <v>3A2 Manure management (CH4)</v>
      </c>
      <c r="C18" t="str">
        <f>'IPCC Categories'!C27</f>
        <v>3A2i Poultry</v>
      </c>
      <c r="D18" t="str">
        <f t="shared" si="8"/>
        <v>CH4</v>
      </c>
      <c r="E18" t="str">
        <f t="shared" si="9"/>
        <v>Gg CH4</v>
      </c>
      <c r="F18" s="27">
        <f>SUM(Emissions!H32:H35)</f>
        <v>1.3455156687778258</v>
      </c>
      <c r="G18" s="27">
        <f>SUM(Emissions!I32:I35)</f>
        <v>1.2760746173506023</v>
      </c>
      <c r="H18" s="27">
        <f>SUM(Emissions!J32:J35)</f>
        <v>1.2071518876777516</v>
      </c>
      <c r="I18" s="27">
        <f>SUM(Emissions!K32:K35)</f>
        <v>1.3112406123644875</v>
      </c>
      <c r="J18" s="27">
        <f>SUM(Emissions!L32:L35)</f>
        <v>1.2878479203358015</v>
      </c>
      <c r="K18" s="27">
        <f>SUM(Emissions!M32:M35)</f>
        <v>1.4574822448350102</v>
      </c>
      <c r="L18" s="27">
        <f>SUM(Emissions!N32:N35)</f>
        <v>1.6585519756378786</v>
      </c>
      <c r="M18" s="27">
        <f>SUM(Emissions!O32:O35)</f>
        <v>1.6829831179003492</v>
      </c>
      <c r="N18" s="27">
        <f>SUM(Emissions!P32:P35)</f>
        <v>1.8549562107540372</v>
      </c>
      <c r="O18" s="27">
        <f>SUM(Emissions!Q32:Q35)</f>
        <v>1.9479379111082711</v>
      </c>
      <c r="P18" s="27">
        <f>SUM(Emissions!R32:R35)</f>
        <v>2.0536731601042231</v>
      </c>
      <c r="Q18" s="27">
        <f>SUM(Emissions!S32:S35)</f>
        <v>2.0089908832558949</v>
      </c>
      <c r="R18" s="27">
        <f>SUM(Emissions!T32:T35)</f>
        <v>2.1759262032341824</v>
      </c>
      <c r="S18" s="27">
        <f>SUM(Emissions!U32:U35)</f>
        <v>2.0734984652627912</v>
      </c>
      <c r="T18" s="27">
        <f>SUM(Emissions!V32:V35)</f>
        <v>2.1285917053454204</v>
      </c>
      <c r="U18" s="27">
        <f>SUM(Emissions!W32:W35)</f>
        <v>2.3353468813999299</v>
      </c>
      <c r="V18" s="27">
        <f>SUM(Emissions!X32:X35)</f>
        <v>2.5134086143565382</v>
      </c>
      <c r="W18" s="27">
        <f>SUM(Emissions!Y32:Y35)</f>
        <v>2.6601525958477232</v>
      </c>
      <c r="X18" s="27">
        <f>SUM(Emissions!Z32:Z35)</f>
        <v>2.8035850548611285</v>
      </c>
      <c r="Y18" s="27">
        <f>SUM(Emissions!AA32:AA35)</f>
        <v>2.6565217675227304</v>
      </c>
      <c r="Z18" s="27">
        <f>SUM(Emissions!AB32:AB35)</f>
        <v>2.7308472443629443</v>
      </c>
      <c r="AA18" s="27">
        <f>SUM(Emissions!AC32:AC35)</f>
        <v>2.8311378814399824</v>
      </c>
      <c r="AB18" s="27">
        <f>SUM(Emissions!AD32:AD35)</f>
        <v>2.8811301877986604</v>
      </c>
      <c r="AC18" s="27">
        <f>SUM(Emissions!AE32:AE35)</f>
        <v>2.9232175341370534</v>
      </c>
      <c r="AD18" s="27">
        <f>SUM(Emissions!AF32:AF35)</f>
        <v>2.9856726990921141</v>
      </c>
      <c r="AE18" s="27">
        <f>SUM(Emissions!AG32:AG35)</f>
        <v>3.0102189866459588</v>
      </c>
      <c r="AF18" s="27">
        <f>SUM(Emissions!AH32:AH35)</f>
        <v>3.010126579070374</v>
      </c>
      <c r="AG18" s="27">
        <f>SUM(Emissions!AI32:AI35)</f>
        <v>2.9854362546719675</v>
      </c>
      <c r="AH18" s="27">
        <f>SUM(Emissions!AJ32:AJ35)</f>
        <v>2.9805084686213323</v>
      </c>
      <c r="AI18" s="27">
        <f>SUM(Emissions!AK32:AK35)</f>
        <v>2.9788681664379335</v>
      </c>
      <c r="AJ18" s="27">
        <f>SUM(Emissions!AL32:AL35)</f>
        <v>2.583796340486967</v>
      </c>
      <c r="AK18" s="27">
        <f>SUM(Emissions!AM32:AM35)</f>
        <v>2.6770366707794757</v>
      </c>
      <c r="AL18" s="27">
        <f>SUM(Emissions!AN32:AN35)</f>
        <v>2.8217941179445583</v>
      </c>
      <c r="AM18" s="27">
        <f>SUM(Emissions!AO32:AO35)</f>
        <v>2.8822322179387672</v>
      </c>
      <c r="AN18" s="27">
        <f>SUM(Emissions!AP32:AP35)</f>
        <v>2.9532237085647988</v>
      </c>
      <c r="AO18" s="27">
        <f>SUM(Emissions!AQ32:AQ35)</f>
        <v>3.0380268869678448</v>
      </c>
      <c r="AP18" s="27">
        <f>SUM(Emissions!AR32:AR35)</f>
        <v>3.1336586705236544</v>
      </c>
      <c r="AQ18" s="27">
        <f>SUM(Emissions!AS32:AS35)</f>
        <v>3.2400944257776629</v>
      </c>
      <c r="AR18" s="27">
        <f>SUM(Emissions!AT32:AT35)</f>
        <v>3.3488115194757166</v>
      </c>
      <c r="AS18" s="27">
        <f>SUM(Emissions!AU32:AU35)</f>
        <v>3.467541730645793</v>
      </c>
      <c r="AT18" s="27">
        <f>SUM(Emissions!AV32:AV35)</f>
        <v>3.5878860614675379</v>
      </c>
      <c r="AU18" s="27">
        <f>SUM(Emissions!AW32:AW35)</f>
        <v>3.726717423632552</v>
      </c>
      <c r="AV18" s="27">
        <f>SUM(Emissions!AX32:AX35)</f>
        <v>3.8618347524673764</v>
      </c>
      <c r="AW18" s="27">
        <f>SUM(Emissions!AY32:AY35)</f>
        <v>4.004188740151899</v>
      </c>
      <c r="AX18" s="27">
        <f>SUM(Emissions!AZ32:AZ35)</f>
        <v>4.1667890510686796</v>
      </c>
      <c r="AY18" s="27">
        <f>SUM(Emissions!BA32:BA35)</f>
        <v>4.318698878068945</v>
      </c>
      <c r="AZ18" s="27">
        <f>SUM(Emissions!BB32:BB35)</f>
        <v>4.4813743821844128</v>
      </c>
      <c r="BA18" s="27">
        <f>SUM(Emissions!BC32:BC35)</f>
        <v>4.6553013100948544</v>
      </c>
      <c r="BB18" s="27">
        <f>SUM(Emissions!BD32:BD35)</f>
        <v>4.8156529981787672</v>
      </c>
      <c r="BC18" s="27">
        <f>SUM(Emissions!BE32:BE35)</f>
        <v>4.9737615385066389</v>
      </c>
      <c r="BD18" s="27">
        <f>SUM(Emissions!BF32:BF35)</f>
        <v>5.1301728967329945</v>
      </c>
      <c r="BE18" s="27">
        <f>SUM(Emissions!BG32:BG35)</f>
        <v>5.3028294274456016</v>
      </c>
      <c r="BF18" s="27">
        <f>SUM(Emissions!BH32:BH35)</f>
        <v>5.4667195792254804</v>
      </c>
      <c r="BG18" s="27">
        <f>SUM(Emissions!BI32:BI35)</f>
        <v>5.6365387685756208</v>
      </c>
      <c r="BH18" s="27">
        <f>SUM(Emissions!BJ32:BJ35)</f>
        <v>5.8131388122083631</v>
      </c>
      <c r="BI18" s="27">
        <f>SUM(Emissions!BK32:BK35)</f>
        <v>5.9978844651570222</v>
      </c>
      <c r="BJ18" s="27">
        <f>SUM(Emissions!BL32:BL35)</f>
        <v>6.1921952100127866</v>
      </c>
      <c r="BK18" s="27">
        <f>SUM(Emissions!BM32:BM35)</f>
        <v>6.227178993614352</v>
      </c>
      <c r="BL18" s="27">
        <f>SUM(Emissions!BN32:BN35)</f>
        <v>6.2474981842379753</v>
      </c>
      <c r="BM18" s="27">
        <f>SUM(Emissions!BO32:BO35)</f>
        <v>6.2467795991341521</v>
      </c>
      <c r="BN18" s="27">
        <f>SUM(Emissions!BP32:BP35)</f>
        <v>6.2400448386224108</v>
      </c>
    </row>
    <row r="19" spans="1:66" s="19" customFormat="1" ht="15.6" x14ac:dyDescent="0.3">
      <c r="A19" s="19" t="str">
        <f>A26</f>
        <v>3A Livestock</v>
      </c>
      <c r="B19" s="19" t="str">
        <f>B26</f>
        <v>3A2 Manure management (N2O)</v>
      </c>
      <c r="C19" s="19" t="s">
        <v>148</v>
      </c>
      <c r="D19" s="19" t="str">
        <f>D26</f>
        <v>N2O</v>
      </c>
      <c r="E19" s="19" t="str">
        <f>E26</f>
        <v>Gg N2O</v>
      </c>
      <c r="F19" s="40">
        <f t="shared" ref="F19:AK19" si="11">SUM(F20:F26)</f>
        <v>3.8813342644172093</v>
      </c>
      <c r="G19" s="40">
        <f t="shared" si="11"/>
        <v>3.8661487301239461</v>
      </c>
      <c r="H19" s="40">
        <f t="shared" si="11"/>
        <v>3.7862483767973956</v>
      </c>
      <c r="I19" s="40">
        <f t="shared" si="11"/>
        <v>3.8129334854284056</v>
      </c>
      <c r="J19" s="40">
        <f t="shared" si="11"/>
        <v>3.6996407314660944</v>
      </c>
      <c r="K19" s="40">
        <f t="shared" si="11"/>
        <v>3.8335350634638918</v>
      </c>
      <c r="L19" s="40">
        <f t="shared" si="11"/>
        <v>4.0409580802685516</v>
      </c>
      <c r="M19" s="40">
        <f t="shared" si="11"/>
        <v>4.0955542331246733</v>
      </c>
      <c r="N19" s="40">
        <f t="shared" si="11"/>
        <v>4.2655318251850405</v>
      </c>
      <c r="O19" s="40">
        <f t="shared" si="11"/>
        <v>4.3438825095880835</v>
      </c>
      <c r="P19" s="40">
        <f t="shared" si="11"/>
        <v>4.4272539945305205</v>
      </c>
      <c r="Q19" s="40">
        <f t="shared" si="11"/>
        <v>4.3758778433663306</v>
      </c>
      <c r="R19" s="40">
        <f t="shared" si="11"/>
        <v>4.5059558233007309</v>
      </c>
      <c r="S19" s="40">
        <f t="shared" si="11"/>
        <v>4.4292467756859457</v>
      </c>
      <c r="T19" s="40">
        <f t="shared" si="11"/>
        <v>4.4470330949647732</v>
      </c>
      <c r="U19" s="40">
        <f t="shared" si="11"/>
        <v>4.5974101613100977</v>
      </c>
      <c r="V19" s="40">
        <f t="shared" si="11"/>
        <v>4.7310450300813258</v>
      </c>
      <c r="W19" s="40">
        <f t="shared" si="11"/>
        <v>4.8799892939067844</v>
      </c>
      <c r="X19" s="40">
        <f t="shared" si="11"/>
        <v>4.9663886389564027</v>
      </c>
      <c r="Y19" s="40">
        <f t="shared" si="11"/>
        <v>4.8614306045888265</v>
      </c>
      <c r="Z19" s="40">
        <f t="shared" si="11"/>
        <v>4.8921309188133044</v>
      </c>
      <c r="AA19" s="40">
        <f t="shared" si="11"/>
        <v>5.064588718240568</v>
      </c>
      <c r="AB19" s="40">
        <f t="shared" si="11"/>
        <v>5.1994200766582486</v>
      </c>
      <c r="AC19" s="40">
        <f t="shared" si="11"/>
        <v>5.2527414367903038</v>
      </c>
      <c r="AD19" s="40">
        <f t="shared" si="11"/>
        <v>5.3365378743462077</v>
      </c>
      <c r="AE19" s="40">
        <f t="shared" si="11"/>
        <v>5.3665755836071112</v>
      </c>
      <c r="AF19" s="40">
        <f t="shared" si="11"/>
        <v>5.3622649672773743</v>
      </c>
      <c r="AG19" s="40">
        <f t="shared" si="11"/>
        <v>5.3238634740042308</v>
      </c>
      <c r="AH19" s="40">
        <f t="shared" si="11"/>
        <v>5.3145192594478212</v>
      </c>
      <c r="AI19" s="40">
        <f t="shared" si="11"/>
        <v>5.3105434668737512</v>
      </c>
      <c r="AJ19" s="40">
        <f t="shared" si="11"/>
        <v>4.7467000593384032</v>
      </c>
      <c r="AK19" s="40">
        <f t="shared" si="11"/>
        <v>4.8815617125738049</v>
      </c>
      <c r="AL19" s="40">
        <f t="shared" ref="AL19:BN19" si="12">SUM(AL20:AL26)</f>
        <v>5.0899680333571213</v>
      </c>
      <c r="AM19" s="40">
        <f t="shared" si="12"/>
        <v>5.178581811597752</v>
      </c>
      <c r="AN19" s="40">
        <f t="shared" si="12"/>
        <v>5.2824494846332097</v>
      </c>
      <c r="AO19" s="40">
        <f t="shared" si="12"/>
        <v>5.4061664166806818</v>
      </c>
      <c r="AP19" s="40">
        <f t="shared" si="12"/>
        <v>5.5431788941057061</v>
      </c>
      <c r="AQ19" s="40">
        <f t="shared" si="12"/>
        <v>5.6956950714617687</v>
      </c>
      <c r="AR19" s="40">
        <f t="shared" si="12"/>
        <v>5.851593260699282</v>
      </c>
      <c r="AS19" s="40">
        <f t="shared" si="12"/>
        <v>6.0218298447764198</v>
      </c>
      <c r="AT19" s="40">
        <f t="shared" si="12"/>
        <v>6.1944745376513684</v>
      </c>
      <c r="AU19" s="40">
        <f t="shared" si="12"/>
        <v>6.3854988676089519</v>
      </c>
      <c r="AV19" s="40">
        <f t="shared" si="12"/>
        <v>6.5711243140321525</v>
      </c>
      <c r="AW19" s="40">
        <f t="shared" si="12"/>
        <v>6.7668425065659488</v>
      </c>
      <c r="AX19" s="40">
        <f t="shared" si="12"/>
        <v>6.9909714355343144</v>
      </c>
      <c r="AY19" s="40">
        <f t="shared" si="12"/>
        <v>7.1998348952413913</v>
      </c>
      <c r="AZ19" s="40">
        <f t="shared" si="12"/>
        <v>7.4220310090051083</v>
      </c>
      <c r="BA19" s="40">
        <f t="shared" si="12"/>
        <v>7.6598598535798654</v>
      </c>
      <c r="BB19" s="40">
        <f t="shared" si="12"/>
        <v>7.8784276599513872</v>
      </c>
      <c r="BC19" s="40">
        <f t="shared" si="12"/>
        <v>8.0937011116143687</v>
      </c>
      <c r="BD19" s="40">
        <f t="shared" si="12"/>
        <v>8.3064668499473377</v>
      </c>
      <c r="BE19" s="40">
        <f t="shared" si="12"/>
        <v>8.5440369873128557</v>
      </c>
      <c r="BF19" s="40">
        <f t="shared" si="12"/>
        <v>8.769321118531991</v>
      </c>
      <c r="BG19" s="40">
        <f t="shared" si="12"/>
        <v>9.0028959535732263</v>
      </c>
      <c r="BH19" s="40">
        <f t="shared" si="12"/>
        <v>9.2459451976482967</v>
      </c>
      <c r="BI19" s="40">
        <f t="shared" si="12"/>
        <v>9.5003674407510061</v>
      </c>
      <c r="BJ19" s="40">
        <f t="shared" si="12"/>
        <v>9.7666376173394429</v>
      </c>
      <c r="BK19" s="40">
        <f t="shared" si="12"/>
        <v>9.810615275731541</v>
      </c>
      <c r="BL19" s="40">
        <f t="shared" si="12"/>
        <v>9.8343672840797662</v>
      </c>
      <c r="BM19" s="40">
        <f t="shared" si="12"/>
        <v>9.8290380463689857</v>
      </c>
      <c r="BN19" s="40">
        <f t="shared" si="12"/>
        <v>9.8155923917407879</v>
      </c>
    </row>
    <row r="20" spans="1:66" x14ac:dyDescent="0.3">
      <c r="A20" t="str">
        <f>A18</f>
        <v>3A Livestock</v>
      </c>
      <c r="B20" t="str">
        <f>'IPCC Categories'!B20</f>
        <v>3A2 Manure management (N2O)</v>
      </c>
      <c r="C20" t="str">
        <f t="shared" ref="C20:C26" si="13">C12</f>
        <v>3A2a Cattle</v>
      </c>
      <c r="D20" t="s">
        <v>139</v>
      </c>
      <c r="E20" t="s">
        <v>287</v>
      </c>
      <c r="F20" s="27">
        <f>SUM(Emissions!H36:H41)</f>
        <v>2.3334515596574898</v>
      </c>
      <c r="G20" s="27">
        <f>SUM(Emissions!I36:I41)</f>
        <v>2.3913266020486907</v>
      </c>
      <c r="H20" s="27">
        <f>SUM(Emissions!J36:J41)</f>
        <v>2.3837489012139343</v>
      </c>
      <c r="I20" s="27">
        <f>SUM(Emissions!K36:K41)</f>
        <v>2.3538599023692135</v>
      </c>
      <c r="J20" s="27">
        <f>SUM(Emissions!L36:L41)</f>
        <v>2.2497683959178429</v>
      </c>
      <c r="K20" s="27">
        <f>SUM(Emissions!M36:M41)</f>
        <v>2.2583248814343775</v>
      </c>
      <c r="L20" s="27">
        <f>SUM(Emissions!N36:N41)</f>
        <v>2.3013624403278148</v>
      </c>
      <c r="M20" s="27">
        <f>SUM(Emissions!O36:O41)</f>
        <v>2.3439053818582685</v>
      </c>
      <c r="N20" s="27">
        <f>SUM(Emissions!P36:P41)</f>
        <v>2.3881538701270464</v>
      </c>
      <c r="O20" s="27">
        <f>SUM(Emissions!Q36:Q41)</f>
        <v>2.4045249883488831</v>
      </c>
      <c r="P20" s="27">
        <f>SUM(Emissions!R36:R41)</f>
        <v>2.4217802003919431</v>
      </c>
      <c r="Q20" s="27">
        <f>SUM(Emissions!S36:S41)</f>
        <v>2.4052042445092017</v>
      </c>
      <c r="R20" s="27">
        <f>SUM(Emissions!T36:T41)</f>
        <v>2.4204844754419144</v>
      </c>
      <c r="S20" s="27">
        <f>SUM(Emissions!U36:U41)</f>
        <v>2.4261595848898265</v>
      </c>
      <c r="T20" s="27">
        <f>SUM(Emissions!V36:V41)</f>
        <v>2.4077185173815416</v>
      </c>
      <c r="U20" s="27">
        <f>SUM(Emissions!W36:W41)</f>
        <v>2.4068130130940584</v>
      </c>
      <c r="V20" s="27">
        <f>SUM(Emissions!X36:X41)</f>
        <v>2.4140441898890113</v>
      </c>
      <c r="W20" s="27">
        <f>SUM(Emissions!Y36:Y41)</f>
        <v>2.4616595203806031</v>
      </c>
      <c r="X20" s="27">
        <f>SUM(Emissions!Z36:Z41)</f>
        <v>2.4413231585134629</v>
      </c>
      <c r="Y20" s="27">
        <f>SUM(Emissions!AA36:AA41)</f>
        <v>2.4490820347552171</v>
      </c>
      <c r="Z20" s="27">
        <f>SUM(Emissions!AB36:AB41)</f>
        <v>2.4334145229663386</v>
      </c>
      <c r="AA20" s="27">
        <f>SUM(Emissions!AC36:AC41)</f>
        <v>2.5369197805494066</v>
      </c>
      <c r="AB20" s="27">
        <f>SUM(Emissions!AD36:AD41)</f>
        <v>2.6405154397771442</v>
      </c>
      <c r="AC20" s="27">
        <f>SUM(Emissions!AE36:AE41)</f>
        <v>2.663854765875719</v>
      </c>
      <c r="AD20" s="27">
        <f>SUM(Emissions!AF36:AF41)</f>
        <v>2.7012838960025101</v>
      </c>
      <c r="AE20" s="27">
        <f>SUM(Emissions!AG36:AG41)</f>
        <v>2.7146557268578313</v>
      </c>
      <c r="AF20" s="27">
        <f>SUM(Emissions!AH36:AH41)</f>
        <v>2.7128512798971713</v>
      </c>
      <c r="AG20" s="27">
        <f>SUM(Emissions!AI36:AI41)</f>
        <v>2.6960639868509828</v>
      </c>
      <c r="AH20" s="27">
        <f>SUM(Emissions!AJ36:AJ41)</f>
        <v>2.6925532758612407</v>
      </c>
      <c r="AI20" s="27">
        <f>SUM(Emissions!AK36:AK41)</f>
        <v>2.6916404315629792</v>
      </c>
      <c r="AJ20" s="27">
        <f>SUM(Emissions!AL36:AL41)</f>
        <v>2.440030021632567</v>
      </c>
      <c r="AK20" s="27">
        <f>SUM(Emissions!AM36:AM41)</f>
        <v>2.5038080719840461</v>
      </c>
      <c r="AL20" s="27">
        <f>SUM(Emissions!AN36:AN41)</f>
        <v>2.6006671036749212</v>
      </c>
      <c r="AM20" s="27">
        <f>SUM(Emissions!AO36:AO41)</f>
        <v>2.6439229703477478</v>
      </c>
      <c r="AN20" s="27">
        <f>SUM(Emissions!AP36:AP41)</f>
        <v>2.6941115888254079</v>
      </c>
      <c r="AO20" s="27">
        <f>SUM(Emissions!AQ36:AQ41)</f>
        <v>2.7532993573966769</v>
      </c>
      <c r="AP20" s="27">
        <f>SUM(Emissions!AR36:AR41)</f>
        <v>2.8176375333236794</v>
      </c>
      <c r="AQ20" s="27">
        <f>SUM(Emissions!AS36:AS41)</f>
        <v>2.8890319988572353</v>
      </c>
      <c r="AR20" s="27">
        <f>SUM(Emissions!AT36:AT41)</f>
        <v>2.9620433871621046</v>
      </c>
      <c r="AS20" s="27">
        <f>SUM(Emissions!AU36:AU41)</f>
        <v>3.041594131374306</v>
      </c>
      <c r="AT20" s="27">
        <f>SUM(Emissions!AV36:AV41)</f>
        <v>3.1223281396928888</v>
      </c>
      <c r="AU20" s="27">
        <f>SUM(Emissions!AW36:AW41)</f>
        <v>3.2073263585501057</v>
      </c>
      <c r="AV20" s="27">
        <f>SUM(Emissions!AX36:AX41)</f>
        <v>3.2898792021801628</v>
      </c>
      <c r="AW20" s="27">
        <f>SUM(Emissions!AY36:AY41)</f>
        <v>3.3769410900544177</v>
      </c>
      <c r="AX20" s="27">
        <f>SUM(Emissions!AZ36:AZ41)</f>
        <v>3.4767104193531688</v>
      </c>
      <c r="AY20" s="27">
        <f>SUM(Emissions!BA36:BA41)</f>
        <v>3.5696163883331842</v>
      </c>
      <c r="AZ20" s="27">
        <f>SUM(Emissions!BB36:BB41)</f>
        <v>3.6678022739506271</v>
      </c>
      <c r="BA20" s="27">
        <f>SUM(Emissions!BC36:BC41)</f>
        <v>3.7729570850649772</v>
      </c>
      <c r="BB20" s="27">
        <f>SUM(Emissions!BD36:BD41)</f>
        <v>3.8694893537582025</v>
      </c>
      <c r="BC20" s="27">
        <f>SUM(Emissions!BE36:BE41)</f>
        <v>3.9645489117768058</v>
      </c>
      <c r="BD20" s="27">
        <f>SUM(Emissions!BF36:BF41)</f>
        <v>4.0584957591919961</v>
      </c>
      <c r="BE20" s="27">
        <f>SUM(Emissions!BG36:BG41)</f>
        <v>4.1649505592486351</v>
      </c>
      <c r="BF20" s="27">
        <f>SUM(Emissions!BH36:BH41)</f>
        <v>4.266004264340534</v>
      </c>
      <c r="BG20" s="27">
        <f>SUM(Emissions!BI36:BI41)</f>
        <v>4.3708377268237069</v>
      </c>
      <c r="BH20" s="27">
        <f>SUM(Emissions!BJ36:BJ41)</f>
        <v>4.4799824410886595</v>
      </c>
      <c r="BI20" s="27">
        <f>SUM(Emissions!BK36:BK41)</f>
        <v>4.5942890638626555</v>
      </c>
      <c r="BJ20" s="27">
        <f>SUM(Emissions!BL36:BL41)</f>
        <v>4.7133678207091503</v>
      </c>
      <c r="BK20" s="27">
        <f>SUM(Emissions!BM36:BM41)</f>
        <v>4.7334267331557829</v>
      </c>
      <c r="BL20" s="27">
        <f>SUM(Emissions!BN36:BN41)</f>
        <v>4.7445675521445558</v>
      </c>
      <c r="BM20" s="27">
        <f>SUM(Emissions!BO36:BO41)</f>
        <v>4.7428403198745039</v>
      </c>
      <c r="BN20" s="27">
        <f>SUM(Emissions!BP36:BP41)</f>
        <v>4.7375920581481985</v>
      </c>
    </row>
    <row r="21" spans="1:66" x14ac:dyDescent="0.3">
      <c r="A21" t="str">
        <f t="shared" si="2"/>
        <v>3A Livestock</v>
      </c>
      <c r="B21" t="str">
        <f>B20</f>
        <v>3A2 Manure management (N2O)</v>
      </c>
      <c r="C21" t="str">
        <f t="shared" si="13"/>
        <v>3A2c Sheep</v>
      </c>
      <c r="D21" t="str">
        <f>D20</f>
        <v>N2O</v>
      </c>
      <c r="E21" t="str">
        <f>E20</f>
        <v>Gg N2O</v>
      </c>
      <c r="F21" s="27">
        <f>SUM(Emissions!H42:H43)</f>
        <v>0.27697977351015546</v>
      </c>
      <c r="G21" s="27">
        <f>SUM(Emissions!I42:I43)</f>
        <v>0.26452543098066184</v>
      </c>
      <c r="H21" s="27">
        <f>SUM(Emissions!J42:J43)</f>
        <v>0.25359554432458542</v>
      </c>
      <c r="I21" s="27">
        <f>SUM(Emissions!K42:K43)</f>
        <v>0.23716837739770139</v>
      </c>
      <c r="J21" s="27">
        <f>SUM(Emissions!L42:L43)</f>
        <v>0.23884065929520765</v>
      </c>
      <c r="K21" s="27">
        <f>SUM(Emissions!M42:M43)</f>
        <v>0.23542218248815072</v>
      </c>
      <c r="L21" s="27">
        <f>SUM(Emissions!N42:N43)</f>
        <v>0.23620750824112324</v>
      </c>
      <c r="M21" s="27">
        <f>SUM(Emissions!O42:O43)</f>
        <v>0.23107055390403242</v>
      </c>
      <c r="N21" s="27">
        <f>SUM(Emissions!P42:P43)</f>
        <v>0.23170805363291622</v>
      </c>
      <c r="O21" s="27">
        <f>SUM(Emissions!Q42:Q43)</f>
        <v>0.22601675170549185</v>
      </c>
      <c r="P21" s="27">
        <f>SUM(Emissions!R42:R43)</f>
        <v>0.21791403776011653</v>
      </c>
      <c r="Q21" s="27">
        <f>SUM(Emissions!S42:S43)</f>
        <v>0.21248143137484779</v>
      </c>
      <c r="R21" s="27">
        <f>SUM(Emissions!T42:T43)</f>
        <v>0.20893360679671308</v>
      </c>
      <c r="S21" s="27">
        <f>SUM(Emissions!U42:U43)</f>
        <v>0.20966349779065224</v>
      </c>
      <c r="T21" s="27">
        <f>SUM(Emissions!V42:V43)</f>
        <v>0.20593089068240639</v>
      </c>
      <c r="U21" s="27">
        <f>SUM(Emissions!W42:W43)</f>
        <v>0.20544121697761175</v>
      </c>
      <c r="V21" s="27">
        <f>SUM(Emissions!X42:X43)</f>
        <v>0.20275263116449405</v>
      </c>
      <c r="W21" s="27">
        <f>SUM(Emissions!Y42:Y43)</f>
        <v>0.20255860950787735</v>
      </c>
      <c r="X21" s="27">
        <f>SUM(Emissions!Z42:Z43)</f>
        <v>0.203214587489772</v>
      </c>
      <c r="Y21" s="27">
        <f>SUM(Emissions!AA42:AA43)</f>
        <v>0.20249393562233842</v>
      </c>
      <c r="Z21" s="27">
        <f>SUM(Emissions!AB42:AB43)</f>
        <v>0.19857654598398133</v>
      </c>
      <c r="AA21" s="27">
        <f>SUM(Emissions!AC42:AC43)</f>
        <v>0.19702437273104745</v>
      </c>
      <c r="AB21" s="27">
        <f>SUM(Emissions!AD42:AD43)</f>
        <v>0.17985376948327025</v>
      </c>
      <c r="AC21" s="27">
        <f>SUM(Emissions!AE42:AE43)</f>
        <v>0.17995101584413165</v>
      </c>
      <c r="AD21" s="27">
        <f>SUM(Emissions!AF42:AF43)</f>
        <v>0.18018352824459791</v>
      </c>
      <c r="AE21" s="27">
        <f>SUM(Emissions!AG42:AG43)</f>
        <v>0.18052636964290036</v>
      </c>
      <c r="AF21" s="27">
        <f>SUM(Emissions!AH42:AH43)</f>
        <v>0.18097736138672513</v>
      </c>
      <c r="AG21" s="27">
        <f>SUM(Emissions!AI42:AI43)</f>
        <v>0.18153174118988938</v>
      </c>
      <c r="AH21" s="27">
        <f>SUM(Emissions!AJ42:AJ43)</f>
        <v>0.18215438537953882</v>
      </c>
      <c r="AI21" s="27">
        <f>SUM(Emissions!AK42:AK43)</f>
        <v>0.18284136298365847</v>
      </c>
      <c r="AJ21" s="27">
        <f>SUM(Emissions!AL42:AL43)</f>
        <v>0.18346956618067195</v>
      </c>
      <c r="AK21" s="27">
        <f>SUM(Emissions!AM42:AM43)</f>
        <v>0.18374561387399735</v>
      </c>
      <c r="AL21" s="27">
        <f>SUM(Emissions!AN42:AN43)</f>
        <v>0.1840827274114902</v>
      </c>
      <c r="AM21" s="27">
        <f>SUM(Emissions!AO42:AO43)</f>
        <v>0.18443706005328375</v>
      </c>
      <c r="AN21" s="27">
        <f>SUM(Emissions!AP42:AP43)</f>
        <v>0.18483487409005453</v>
      </c>
      <c r="AO21" s="27">
        <f>SUM(Emissions!AQ42:AQ43)</f>
        <v>0.18527505643026035</v>
      </c>
      <c r="AP21" s="27">
        <f>SUM(Emissions!AR42:AR43)</f>
        <v>0.18554996138402727</v>
      </c>
      <c r="AQ21" s="27">
        <f>SUM(Emissions!AS42:AS43)</f>
        <v>0.18586053429431654</v>
      </c>
      <c r="AR21" s="27">
        <f>SUM(Emissions!AT42:AT43)</f>
        <v>0.18620257863223894</v>
      </c>
      <c r="AS21" s="27">
        <f>SUM(Emissions!AU42:AU43)</f>
        <v>0.18657703489932315</v>
      </c>
      <c r="AT21" s="27">
        <f>SUM(Emissions!AV42:AV43)</f>
        <v>0.18698003814401515</v>
      </c>
      <c r="AU21" s="27">
        <f>SUM(Emissions!AW42:AW43)</f>
        <v>0.18725037887589061</v>
      </c>
      <c r="AV21" s="27">
        <f>SUM(Emissions!AX42:AX43)</f>
        <v>0.18754386445509683</v>
      </c>
      <c r="AW21" s="27">
        <f>SUM(Emissions!AY42:AY43)</f>
        <v>0.18786285402502434</v>
      </c>
      <c r="AX21" s="27">
        <f>SUM(Emissions!AZ42:AZ43)</f>
        <v>0.1882104614384143</v>
      </c>
      <c r="AY21" s="27">
        <f>SUM(Emissions!BA42:BA43)</f>
        <v>0.18857624875501067</v>
      </c>
      <c r="AZ21" s="27">
        <f>SUM(Emissions!BB42:BB43)</f>
        <v>0.18881005884481172</v>
      </c>
      <c r="BA21" s="27">
        <f>SUM(Emissions!BC42:BC43)</f>
        <v>0.1890661588912948</v>
      </c>
      <c r="BB21" s="27">
        <f>SUM(Emissions!BD42:BD43)</f>
        <v>0.18933610218005476</v>
      </c>
      <c r="BC21" s="27">
        <f>SUM(Emissions!BE42:BE43)</f>
        <v>0.18962276253260429</v>
      </c>
      <c r="BD21" s="27">
        <f>SUM(Emissions!BF42:BF43)</f>
        <v>0.18992570530907227</v>
      </c>
      <c r="BE21" s="27">
        <f>SUM(Emissions!BG42:BG43)</f>
        <v>0.19010470631229215</v>
      </c>
      <c r="BF21" s="27">
        <f>SUM(Emissions!BH42:BH43)</f>
        <v>0.19029579205538394</v>
      </c>
      <c r="BG21" s="27">
        <f>SUM(Emissions!BI42:BI43)</f>
        <v>0.19050306663769834</v>
      </c>
      <c r="BH21" s="27">
        <f>SUM(Emissions!BJ42:BJ43)</f>
        <v>0.1907263296686863</v>
      </c>
      <c r="BI21" s="27">
        <f>SUM(Emissions!BK42:BK43)</f>
        <v>0.1909655765216178</v>
      </c>
      <c r="BJ21" s="27">
        <f>SUM(Emissions!BL42:BL43)</f>
        <v>0.1910741170836471</v>
      </c>
      <c r="BK21" s="27">
        <f>SUM(Emissions!BM42:BM43)</f>
        <v>0.19114406430011754</v>
      </c>
      <c r="BL21" s="27">
        <f>SUM(Emissions!BN42:BN43)</f>
        <v>0.19122073966900657</v>
      </c>
      <c r="BM21" s="27">
        <f>SUM(Emissions!BO42:BO43)</f>
        <v>0.19130172941620832</v>
      </c>
      <c r="BN21" s="27">
        <f>SUM(Emissions!BP42:BP43)</f>
        <v>0.19139144527348179</v>
      </c>
    </row>
    <row r="22" spans="1:66" x14ac:dyDescent="0.3">
      <c r="A22" t="str">
        <f t="shared" si="2"/>
        <v>3A Livestock</v>
      </c>
      <c r="B22" t="str">
        <f t="shared" ref="B22:B26" si="14">B21</f>
        <v>3A2 Manure management (N2O)</v>
      </c>
      <c r="C22" t="str">
        <f t="shared" si="13"/>
        <v>3A2d Goats</v>
      </c>
      <c r="D22" t="str">
        <f t="shared" ref="D22:D26" si="15">D21</f>
        <v>N2O</v>
      </c>
      <c r="E22" t="str">
        <f t="shared" ref="E22:E26" si="16">E21</f>
        <v>Gg N2O</v>
      </c>
      <c r="F22" s="27">
        <f>SUM(Emissions!H44:H45)</f>
        <v>0.17617782385130304</v>
      </c>
      <c r="G22" s="27">
        <f>SUM(Emissions!I44:I45)</f>
        <v>0.15579098843087474</v>
      </c>
      <c r="H22" s="27">
        <f>SUM(Emissions!J44:J45)</f>
        <v>0.14512124279027669</v>
      </c>
      <c r="I22" s="27">
        <f>SUM(Emissions!K44:K45)</f>
        <v>0.13711893355982818</v>
      </c>
      <c r="J22" s="27">
        <f>SUM(Emissions!L44:L45)</f>
        <v>0.14842378310760462</v>
      </c>
      <c r="K22" s="27">
        <f>SUM(Emissions!M44:M45)</f>
        <v>0.1504561156105757</v>
      </c>
      <c r="L22" s="27">
        <f>SUM(Emissions!N44:N45)</f>
        <v>0.15280600006713599</v>
      </c>
      <c r="M22" s="27">
        <f>SUM(Emissions!O44:O45)</f>
        <v>0.15204387537852188</v>
      </c>
      <c r="N22" s="27">
        <f>SUM(Emissions!P44:P45)</f>
        <v>0.1498845220941151</v>
      </c>
      <c r="O22" s="27">
        <f>SUM(Emissions!Q44:Q45)</f>
        <v>0.14766165841899051</v>
      </c>
      <c r="P22" s="27">
        <f>SUM(Emissions!R44:R45)</f>
        <v>0.14956697014052586</v>
      </c>
      <c r="Q22" s="27">
        <f>SUM(Emissions!S44:S45)</f>
        <v>0.15413971827221074</v>
      </c>
      <c r="R22" s="27">
        <f>SUM(Emissions!T44:T45)</f>
        <v>0.14073902583074538</v>
      </c>
      <c r="S22" s="27">
        <f>SUM(Emissions!U44:U45)</f>
        <v>0.13718244395054602</v>
      </c>
      <c r="T22" s="27">
        <f>SUM(Emissions!V44:V45)</f>
        <v>0.13743648551341742</v>
      </c>
      <c r="U22" s="27">
        <f>SUM(Emissions!W44:W45)</f>
        <v>0.13565819457331774</v>
      </c>
      <c r="V22" s="27">
        <f>SUM(Emissions!X44:X45)</f>
        <v>0.13851616215562079</v>
      </c>
      <c r="W22" s="27">
        <f>SUM(Emissions!Y44:Y45)</f>
        <v>0.13438798675896085</v>
      </c>
      <c r="X22" s="27">
        <f>SUM(Emissions!Z44:Z45)</f>
        <v>0.13426096597752513</v>
      </c>
      <c r="Y22" s="27">
        <f>SUM(Emissions!AA44:AA45)</f>
        <v>0.13191108152096487</v>
      </c>
      <c r="Z22" s="27">
        <f>SUM(Emissions!AB44:AB45)</f>
        <v>0.13032332175301872</v>
      </c>
      <c r="AA22" s="27">
        <f>SUM(Emissions!AC44:AC45)</f>
        <v>0.12911662432937968</v>
      </c>
      <c r="AB22" s="27">
        <f>SUM(Emissions!AD44:AD45)</f>
        <v>0.1293305253990944</v>
      </c>
      <c r="AC22" s="27">
        <f>SUM(Emissions!AE44:AE45)</f>
        <v>0.12966672233797991</v>
      </c>
      <c r="AD22" s="27">
        <f>SUM(Emissions!AF44:AF45)</f>
        <v>0.1301304941343914</v>
      </c>
      <c r="AE22" s="27">
        <f>SUM(Emissions!AG44:AG45)</f>
        <v>0.1306954906649623</v>
      </c>
      <c r="AF22" s="27">
        <f>SUM(Emissions!AH44:AH45)</f>
        <v>0.1313609060950319</v>
      </c>
      <c r="AG22" s="27">
        <f>SUM(Emissions!AI44:AI45)</f>
        <v>0.13212269035728819</v>
      </c>
      <c r="AH22" s="27">
        <f>SUM(Emissions!AJ44:AJ45)</f>
        <v>0.13294253416938454</v>
      </c>
      <c r="AI22" s="27">
        <f>SUM(Emissions!AK44:AK45)</f>
        <v>0.13381719216548246</v>
      </c>
      <c r="AJ22" s="27">
        <f>SUM(Emissions!AL44:AL45)</f>
        <v>0.13461040791274703</v>
      </c>
      <c r="AK22" s="27">
        <f>SUM(Emissions!AM44:AM45)</f>
        <v>0.13499786272310949</v>
      </c>
      <c r="AL22" s="27">
        <f>SUM(Emissions!AN44:AN45)</f>
        <v>0.13544197239533959</v>
      </c>
      <c r="AM22" s="27">
        <f>SUM(Emissions!AO44:AO45)</f>
        <v>0.13589467642953162</v>
      </c>
      <c r="AN22" s="27">
        <f>SUM(Emissions!AP44:AP45)</f>
        <v>0.13638566796303572</v>
      </c>
      <c r="AO22" s="27">
        <f>SUM(Emissions!AQ44:AQ45)</f>
        <v>0.13691413553495954</v>
      </c>
      <c r="AP22" s="27">
        <f>SUM(Emissions!AR44:AR45)</f>
        <v>0.13725233167458614</v>
      </c>
      <c r="AQ22" s="27">
        <f>SUM(Emissions!AS44:AS45)</f>
        <v>0.13762233700897464</v>
      </c>
      <c r="AR22" s="27">
        <f>SUM(Emissions!AT44:AT45)</f>
        <v>0.13801982387153933</v>
      </c>
      <c r="AS22" s="27">
        <f>SUM(Emissions!AU44:AU45)</f>
        <v>0.13844606862300748</v>
      </c>
      <c r="AT22" s="27">
        <f>SUM(Emissions!AV44:AV45)</f>
        <v>0.1388970689056081</v>
      </c>
      <c r="AU22" s="27">
        <f>SUM(Emissions!AW44:AW45)</f>
        <v>0.1391978349068311</v>
      </c>
      <c r="AV22" s="27">
        <f>SUM(Emissions!AX44:AX45)</f>
        <v>0.13951858395106317</v>
      </c>
      <c r="AW22" s="27">
        <f>SUM(Emissions!AY44:AY45)</f>
        <v>0.13986203100610117</v>
      </c>
      <c r="AX22" s="27">
        <f>SUM(Emissions!AZ44:AZ45)</f>
        <v>0.14023166436427281</v>
      </c>
      <c r="AY22" s="27">
        <f>SUM(Emissions!BA44:BA45)</f>
        <v>0.14061631701106581</v>
      </c>
      <c r="AZ22" s="27">
        <f>SUM(Emissions!BB44:BB45)</f>
        <v>0.14085454229186514</v>
      </c>
      <c r="BA22" s="27">
        <f>SUM(Emissions!BC44:BC45)</f>
        <v>0.14111306009664348</v>
      </c>
      <c r="BB22" s="27">
        <f>SUM(Emissions!BD44:BD45)</f>
        <v>0.14138287951759698</v>
      </c>
      <c r="BC22" s="27">
        <f>SUM(Emissions!BE44:BE45)</f>
        <v>0.14166717894707001</v>
      </c>
      <c r="BD22" s="27">
        <f>SUM(Emissions!BF44:BF45)</f>
        <v>0.14196556913978078</v>
      </c>
      <c r="BE22" s="27">
        <f>SUM(Emissions!BG44:BG45)</f>
        <v>0.1421285912887941</v>
      </c>
      <c r="BF22" s="27">
        <f>SUM(Emissions!BH44:BH45)</f>
        <v>0.14230188340790959</v>
      </c>
      <c r="BG22" s="27">
        <f>SUM(Emissions!BI44:BI45)</f>
        <v>0.14248986916315412</v>
      </c>
      <c r="BH22" s="27">
        <f>SUM(Emissions!BJ44:BJ45)</f>
        <v>0.14269236901961874</v>
      </c>
      <c r="BI22" s="27">
        <f>SUM(Emissions!BK44:BK45)</f>
        <v>0.14290940633797075</v>
      </c>
      <c r="BJ22" s="27">
        <f>SUM(Emissions!BL44:BL45)</f>
        <v>0.14298590536820052</v>
      </c>
      <c r="BK22" s="27">
        <f>SUM(Emissions!BM44:BM45)</f>
        <v>0.1430198786049193</v>
      </c>
      <c r="BL22" s="27">
        <f>SUM(Emissions!BN44:BN45)</f>
        <v>0.14305937272726121</v>
      </c>
      <c r="BM22" s="27">
        <f>SUM(Emissions!BO44:BO45)</f>
        <v>0.14310189125406225</v>
      </c>
      <c r="BN22" s="27">
        <f>SUM(Emissions!BP44:BP45)</f>
        <v>0.14315212010600345</v>
      </c>
    </row>
    <row r="23" spans="1:66" x14ac:dyDescent="0.3">
      <c r="A23" t="str">
        <f t="shared" si="2"/>
        <v>3A Livestock</v>
      </c>
      <c r="B23" t="str">
        <f t="shared" si="14"/>
        <v>3A2 Manure management (N2O)</v>
      </c>
      <c r="C23" t="str">
        <f t="shared" si="13"/>
        <v>3A2f Horses</v>
      </c>
      <c r="D23" t="str">
        <f t="shared" si="15"/>
        <v>N2O</v>
      </c>
      <c r="E23" t="str">
        <f t="shared" si="16"/>
        <v>Gg N2O</v>
      </c>
      <c r="F23" s="27" t="str">
        <f>Emissions!H46</f>
        <v>NO</v>
      </c>
      <c r="G23" s="27" t="str">
        <f>Emissions!I46</f>
        <v>NO</v>
      </c>
      <c r="H23" s="27" t="str">
        <f>Emissions!J46</f>
        <v>NO</v>
      </c>
      <c r="I23" s="27" t="str">
        <f>Emissions!K46</f>
        <v>NO</v>
      </c>
      <c r="J23" s="27" t="str">
        <f>Emissions!L46</f>
        <v>NO</v>
      </c>
      <c r="K23" s="27" t="str">
        <f>Emissions!M46</f>
        <v>NO</v>
      </c>
      <c r="L23" s="27" t="str">
        <f>Emissions!N46</f>
        <v>NO</v>
      </c>
      <c r="M23" s="27" t="str">
        <f>Emissions!O46</f>
        <v>NO</v>
      </c>
      <c r="N23" s="27" t="str">
        <f>Emissions!P46</f>
        <v>NO</v>
      </c>
      <c r="O23" s="27" t="str">
        <f>Emissions!Q46</f>
        <v>NO</v>
      </c>
      <c r="P23" s="27" t="str">
        <f>Emissions!R46</f>
        <v>NO</v>
      </c>
      <c r="Q23" s="27" t="str">
        <f>Emissions!S46</f>
        <v>NO</v>
      </c>
      <c r="R23" s="27" t="str">
        <f>Emissions!T46</f>
        <v>NO</v>
      </c>
      <c r="S23" s="27" t="str">
        <f>Emissions!U46</f>
        <v>NO</v>
      </c>
      <c r="T23" s="27" t="str">
        <f>Emissions!V46</f>
        <v>NO</v>
      </c>
      <c r="U23" s="27" t="str">
        <f>Emissions!W46</f>
        <v>NO</v>
      </c>
      <c r="V23" s="27" t="str">
        <f>Emissions!X46</f>
        <v>NO</v>
      </c>
      <c r="W23" s="27" t="str">
        <f>Emissions!Y46</f>
        <v>NO</v>
      </c>
      <c r="X23" s="27" t="str">
        <f>Emissions!Z46</f>
        <v>NO</v>
      </c>
      <c r="Y23" s="27" t="str">
        <f>Emissions!AA46</f>
        <v>NO</v>
      </c>
      <c r="Z23" s="27" t="str">
        <f>Emissions!AB46</f>
        <v>NO</v>
      </c>
      <c r="AA23" s="27" t="str">
        <f>Emissions!AC46</f>
        <v>NO</v>
      </c>
      <c r="AB23" s="27" t="str">
        <f>Emissions!AD46</f>
        <v>NO</v>
      </c>
      <c r="AC23" s="27" t="str">
        <f>Emissions!AE46</f>
        <v>NO</v>
      </c>
      <c r="AD23" s="27" t="str">
        <f>Emissions!AF46</f>
        <v>NO</v>
      </c>
      <c r="AE23" s="27" t="str">
        <f>Emissions!AG46</f>
        <v>NO</v>
      </c>
      <c r="AF23" s="27" t="str">
        <f>Emissions!AH46</f>
        <v>NO</v>
      </c>
      <c r="AG23" s="27" t="str">
        <f>Emissions!AI46</f>
        <v>NO</v>
      </c>
      <c r="AH23" s="27" t="str">
        <f>Emissions!AJ46</f>
        <v>NO</v>
      </c>
      <c r="AI23" s="27" t="str">
        <f>Emissions!AK46</f>
        <v>NO</v>
      </c>
      <c r="AJ23" s="27" t="str">
        <f>Emissions!AL46</f>
        <v>NO</v>
      </c>
      <c r="AK23" s="27" t="str">
        <f>Emissions!AM46</f>
        <v>NO</v>
      </c>
      <c r="AL23" s="27" t="str">
        <f>Emissions!AN46</f>
        <v>NO</v>
      </c>
      <c r="AM23" s="27" t="str">
        <f>Emissions!AO46</f>
        <v>NO</v>
      </c>
      <c r="AN23" s="27" t="str">
        <f>Emissions!AP46</f>
        <v>NO</v>
      </c>
      <c r="AO23" s="27" t="str">
        <f>Emissions!AQ46</f>
        <v>NO</v>
      </c>
      <c r="AP23" s="27" t="str">
        <f>Emissions!AR46</f>
        <v>NO</v>
      </c>
      <c r="AQ23" s="27" t="str">
        <f>Emissions!AS46</f>
        <v>NO</v>
      </c>
      <c r="AR23" s="27" t="str">
        <f>Emissions!AT46</f>
        <v>NO</v>
      </c>
      <c r="AS23" s="27" t="str">
        <f>Emissions!AU46</f>
        <v>NO</v>
      </c>
      <c r="AT23" s="27" t="str">
        <f>Emissions!AV46</f>
        <v>NO</v>
      </c>
      <c r="AU23" s="27" t="str">
        <f>Emissions!AW46</f>
        <v>NO</v>
      </c>
      <c r="AV23" s="27" t="str">
        <f>Emissions!AX46</f>
        <v>NO</v>
      </c>
      <c r="AW23" s="27" t="str">
        <f>Emissions!AY46</f>
        <v>NO</v>
      </c>
      <c r="AX23" s="27" t="str">
        <f>Emissions!AZ46</f>
        <v>NO</v>
      </c>
      <c r="AY23" s="27" t="str">
        <f>Emissions!BA46</f>
        <v>NO</v>
      </c>
      <c r="AZ23" s="27" t="str">
        <f>Emissions!BB46</f>
        <v>NO</v>
      </c>
      <c r="BA23" s="27" t="str">
        <f>Emissions!BC46</f>
        <v>NO</v>
      </c>
      <c r="BB23" s="27" t="str">
        <f>Emissions!BD46</f>
        <v>NO</v>
      </c>
      <c r="BC23" s="27" t="str">
        <f>Emissions!BE46</f>
        <v>NO</v>
      </c>
      <c r="BD23" s="27" t="str">
        <f>Emissions!BF46</f>
        <v>NO</v>
      </c>
      <c r="BE23" s="27" t="str">
        <f>Emissions!BG46</f>
        <v>NO</v>
      </c>
      <c r="BF23" s="27" t="str">
        <f>Emissions!BH46</f>
        <v>NO</v>
      </c>
      <c r="BG23" s="27" t="str">
        <f>Emissions!BI46</f>
        <v>NO</v>
      </c>
      <c r="BH23" s="27" t="str">
        <f>Emissions!BJ46</f>
        <v>NO</v>
      </c>
      <c r="BI23" s="27" t="str">
        <f>Emissions!BK46</f>
        <v>NO</v>
      </c>
      <c r="BJ23" s="27" t="str">
        <f>Emissions!BL46</f>
        <v>NO</v>
      </c>
      <c r="BK23" s="27" t="str">
        <f>Emissions!BM46</f>
        <v>NO</v>
      </c>
      <c r="BL23" s="27" t="str">
        <f>Emissions!BN46</f>
        <v>NO</v>
      </c>
      <c r="BM23" s="27" t="str">
        <f>Emissions!BO46</f>
        <v>NO</v>
      </c>
      <c r="BN23" s="27" t="str">
        <f>Emissions!BP46</f>
        <v>NO</v>
      </c>
    </row>
    <row r="24" spans="1:66" x14ac:dyDescent="0.3">
      <c r="A24" t="str">
        <f t="shared" si="2"/>
        <v>3A Livestock</v>
      </c>
      <c r="B24" t="str">
        <f t="shared" si="14"/>
        <v>3A2 Manure management (N2O)</v>
      </c>
      <c r="C24" t="str">
        <f t="shared" si="13"/>
        <v>3A2g Mules &amp; asses</v>
      </c>
      <c r="D24" t="str">
        <f t="shared" si="15"/>
        <v>N2O</v>
      </c>
      <c r="E24" t="str">
        <f t="shared" si="16"/>
        <v>Gg N2O</v>
      </c>
      <c r="F24" s="27" t="str">
        <f>Emissions!H47</f>
        <v>NO</v>
      </c>
      <c r="G24" s="27" t="str">
        <f>Emissions!I47</f>
        <v>NO</v>
      </c>
      <c r="H24" s="27" t="str">
        <f>Emissions!J47</f>
        <v>NO</v>
      </c>
      <c r="I24" s="27" t="str">
        <f>Emissions!K47</f>
        <v>NO</v>
      </c>
      <c r="J24" s="27" t="str">
        <f>Emissions!L47</f>
        <v>NO</v>
      </c>
      <c r="K24" s="27" t="str">
        <f>Emissions!M47</f>
        <v>NO</v>
      </c>
      <c r="L24" s="27" t="str">
        <f>Emissions!N47</f>
        <v>NO</v>
      </c>
      <c r="M24" s="27" t="str">
        <f>Emissions!O47</f>
        <v>NO</v>
      </c>
      <c r="N24" s="27" t="str">
        <f>Emissions!P47</f>
        <v>NO</v>
      </c>
      <c r="O24" s="27" t="str">
        <f>Emissions!Q47</f>
        <v>NO</v>
      </c>
      <c r="P24" s="27" t="str">
        <f>Emissions!R47</f>
        <v>NO</v>
      </c>
      <c r="Q24" s="27" t="str">
        <f>Emissions!S47</f>
        <v>NO</v>
      </c>
      <c r="R24" s="27" t="str">
        <f>Emissions!T47</f>
        <v>NO</v>
      </c>
      <c r="S24" s="27" t="str">
        <f>Emissions!U47</f>
        <v>NO</v>
      </c>
      <c r="T24" s="27" t="str">
        <f>Emissions!V47</f>
        <v>NO</v>
      </c>
      <c r="U24" s="27" t="str">
        <f>Emissions!W47</f>
        <v>NO</v>
      </c>
      <c r="V24" s="27" t="str">
        <f>Emissions!X47</f>
        <v>NO</v>
      </c>
      <c r="W24" s="27" t="str">
        <f>Emissions!Y47</f>
        <v>NO</v>
      </c>
      <c r="X24" s="27" t="str">
        <f>Emissions!Z47</f>
        <v>NO</v>
      </c>
      <c r="Y24" s="27" t="str">
        <f>Emissions!AA47</f>
        <v>NO</v>
      </c>
      <c r="Z24" s="27" t="str">
        <f>Emissions!AB47</f>
        <v>NO</v>
      </c>
      <c r="AA24" s="27" t="str">
        <f>Emissions!AC47</f>
        <v>NO</v>
      </c>
      <c r="AB24" s="27" t="str">
        <f>Emissions!AD47</f>
        <v>NO</v>
      </c>
      <c r="AC24" s="27" t="str">
        <f>Emissions!AE47</f>
        <v>NO</v>
      </c>
      <c r="AD24" s="27" t="str">
        <f>Emissions!AF47</f>
        <v>NO</v>
      </c>
      <c r="AE24" s="27" t="str">
        <f>Emissions!AG47</f>
        <v>NO</v>
      </c>
      <c r="AF24" s="27" t="str">
        <f>Emissions!AH47</f>
        <v>NO</v>
      </c>
      <c r="AG24" s="27" t="str">
        <f>Emissions!AI47</f>
        <v>NO</v>
      </c>
      <c r="AH24" s="27" t="str">
        <f>Emissions!AJ47</f>
        <v>NO</v>
      </c>
      <c r="AI24" s="27" t="str">
        <f>Emissions!AK47</f>
        <v>NO</v>
      </c>
      <c r="AJ24" s="27" t="str">
        <f>Emissions!AL47</f>
        <v>NO</v>
      </c>
      <c r="AK24" s="27" t="str">
        <f>Emissions!AM47</f>
        <v>NO</v>
      </c>
      <c r="AL24" s="27" t="str">
        <f>Emissions!AN47</f>
        <v>NO</v>
      </c>
      <c r="AM24" s="27" t="str">
        <f>Emissions!AO47</f>
        <v>NO</v>
      </c>
      <c r="AN24" s="27" t="str">
        <f>Emissions!AP47</f>
        <v>NO</v>
      </c>
      <c r="AO24" s="27" t="str">
        <f>Emissions!AQ47</f>
        <v>NO</v>
      </c>
      <c r="AP24" s="27" t="str">
        <f>Emissions!AR47</f>
        <v>NO</v>
      </c>
      <c r="AQ24" s="27" t="str">
        <f>Emissions!AS47</f>
        <v>NO</v>
      </c>
      <c r="AR24" s="27" t="str">
        <f>Emissions!AT47</f>
        <v>NO</v>
      </c>
      <c r="AS24" s="27" t="str">
        <f>Emissions!AU47</f>
        <v>NO</v>
      </c>
      <c r="AT24" s="27" t="str">
        <f>Emissions!AV47</f>
        <v>NO</v>
      </c>
      <c r="AU24" s="27" t="str">
        <f>Emissions!AW47</f>
        <v>NO</v>
      </c>
      <c r="AV24" s="27" t="str">
        <f>Emissions!AX47</f>
        <v>NO</v>
      </c>
      <c r="AW24" s="27" t="str">
        <f>Emissions!AY47</f>
        <v>NO</v>
      </c>
      <c r="AX24" s="27" t="str">
        <f>Emissions!AZ47</f>
        <v>NO</v>
      </c>
      <c r="AY24" s="27" t="str">
        <f>Emissions!BA47</f>
        <v>NO</v>
      </c>
      <c r="AZ24" s="27" t="str">
        <f>Emissions!BB47</f>
        <v>NO</v>
      </c>
      <c r="BA24" s="27" t="str">
        <f>Emissions!BC47</f>
        <v>NO</v>
      </c>
      <c r="BB24" s="27" t="str">
        <f>Emissions!BD47</f>
        <v>NO</v>
      </c>
      <c r="BC24" s="27" t="str">
        <f>Emissions!BE47</f>
        <v>NO</v>
      </c>
      <c r="BD24" s="27" t="str">
        <f>Emissions!BF47</f>
        <v>NO</v>
      </c>
      <c r="BE24" s="27" t="str">
        <f>Emissions!BG47</f>
        <v>NO</v>
      </c>
      <c r="BF24" s="27" t="str">
        <f>Emissions!BH47</f>
        <v>NO</v>
      </c>
      <c r="BG24" s="27" t="str">
        <f>Emissions!BI47</f>
        <v>NO</v>
      </c>
      <c r="BH24" s="27" t="str">
        <f>Emissions!BJ47</f>
        <v>NO</v>
      </c>
      <c r="BI24" s="27" t="str">
        <f>Emissions!BK47</f>
        <v>NO</v>
      </c>
      <c r="BJ24" s="27" t="str">
        <f>Emissions!BL47</f>
        <v>NO</v>
      </c>
      <c r="BK24" s="27" t="str">
        <f>Emissions!BM47</f>
        <v>NO</v>
      </c>
      <c r="BL24" s="27" t="str">
        <f>Emissions!BN47</f>
        <v>NO</v>
      </c>
      <c r="BM24" s="27" t="str">
        <f>Emissions!BO47</f>
        <v>NO</v>
      </c>
      <c r="BN24" s="27" t="str">
        <f>Emissions!BP47</f>
        <v>NO</v>
      </c>
    </row>
    <row r="25" spans="1:66" x14ac:dyDescent="0.3">
      <c r="A25" t="str">
        <f t="shared" si="2"/>
        <v>3A Livestock</v>
      </c>
      <c r="B25" t="str">
        <f t="shared" si="14"/>
        <v>3A2 Manure management (N2O)</v>
      </c>
      <c r="C25" t="str">
        <f t="shared" si="13"/>
        <v>3A2h Swine</v>
      </c>
      <c r="D25" t="str">
        <f t="shared" si="15"/>
        <v>N2O</v>
      </c>
      <c r="E25" t="str">
        <f t="shared" si="16"/>
        <v>Gg N2O</v>
      </c>
      <c r="F25" s="27">
        <f>SUM(Emissions!H48:H49)</f>
        <v>0.12329867623327949</v>
      </c>
      <c r="G25" s="27">
        <f>SUM(Emissions!I48:I49)</f>
        <v>0.13470623092415376</v>
      </c>
      <c r="H25" s="27">
        <f>SUM(Emissions!J48:J49)</f>
        <v>0.13381627984897917</v>
      </c>
      <c r="I25" s="27">
        <f>SUM(Emissions!K48:K49)</f>
        <v>0.13373537520578149</v>
      </c>
      <c r="J25" s="27">
        <f>SUM(Emissions!L48:L49)</f>
        <v>0.12702028982037319</v>
      </c>
      <c r="K25" s="27">
        <f>SUM(Emissions!M48:M49)</f>
        <v>0.12823385946833857</v>
      </c>
      <c r="L25" s="27">
        <f>SUM(Emissions!N48:N49)</f>
        <v>0.13810422593845673</v>
      </c>
      <c r="M25" s="27">
        <f>SUM(Emissions!O48:O49)</f>
        <v>0.13745698879287524</v>
      </c>
      <c r="N25" s="27">
        <f>SUM(Emissions!P48:P49)</f>
        <v>0.14045046059118976</v>
      </c>
      <c r="O25" s="27">
        <f>SUM(Emissions!Q48:Q49)</f>
        <v>0.14401026489188812</v>
      </c>
      <c r="P25" s="27">
        <f>SUM(Emissions!R48:R49)</f>
        <v>0.13324994734659534</v>
      </c>
      <c r="Q25" s="27">
        <f>SUM(Emissions!S48:S49)</f>
        <v>0.13575799128572374</v>
      </c>
      <c r="R25" s="27">
        <f>SUM(Emissions!T48:T49)</f>
        <v>0.1383469398680498</v>
      </c>
      <c r="S25" s="27">
        <f>SUM(Emissions!U48:U49)</f>
        <v>0.1345444216377584</v>
      </c>
      <c r="T25" s="27">
        <f>SUM(Emissions!V48:V49)</f>
        <v>0.1345444216377584</v>
      </c>
      <c r="U25" s="27">
        <f>SUM(Emissions!W48:W49)</f>
        <v>0.1335735659193861</v>
      </c>
      <c r="V25" s="27">
        <f>SUM(Emissions!X48:X49)</f>
        <v>0.13122733126665309</v>
      </c>
      <c r="W25" s="27">
        <f>SUM(Emissions!Y48:Y49)</f>
        <v>0.1335735659193861</v>
      </c>
      <c r="X25" s="27">
        <f>SUM(Emissions!Z48:Z49)</f>
        <v>0.13066099876426929</v>
      </c>
      <c r="Y25" s="27">
        <f>SUM(Emissions!AA48:AA49)</f>
        <v>0.13049918947787389</v>
      </c>
      <c r="Z25" s="27">
        <f>SUM(Emissions!AB48:AB49)</f>
        <v>0.12896200125711779</v>
      </c>
      <c r="AA25" s="27">
        <f>SUM(Emissions!AC48:AC49)</f>
        <v>0.12815295482514089</v>
      </c>
      <c r="AB25" s="27">
        <f>SUM(Emissions!AD48:AD49)</f>
        <v>0.13559803489000399</v>
      </c>
      <c r="AC25" s="27">
        <f>SUM(Emissions!AE48:AE49)</f>
        <v>0.13486096937945147</v>
      </c>
      <c r="AD25" s="27">
        <f>SUM(Emissions!AF48:AF49)</f>
        <v>0.13492146542995687</v>
      </c>
      <c r="AE25" s="27">
        <f>SUM(Emissions!AG48:AG49)</f>
        <v>0.13368278298717368</v>
      </c>
      <c r="AF25" s="27">
        <f>SUM(Emissions!AH48:AH49)</f>
        <v>0.13165972885928906</v>
      </c>
      <c r="AG25" s="27">
        <f>SUM(Emissions!AI48:AI49)</f>
        <v>0.12888464371149952</v>
      </c>
      <c r="AH25" s="27">
        <f>SUM(Emissions!AJ48:AJ49)</f>
        <v>0.12686962414513903</v>
      </c>
      <c r="AI25" s="27">
        <f>SUM(Emissions!AK48:AK49)</f>
        <v>0.12503290678710083</v>
      </c>
      <c r="AJ25" s="27">
        <f>SUM(Emissions!AL48:AL49)</f>
        <v>0.11039779294060981</v>
      </c>
      <c r="AK25" s="27">
        <f>SUM(Emissions!AM48:AM49)</f>
        <v>0.11179384779157127</v>
      </c>
      <c r="AL25" s="27">
        <f>SUM(Emissions!AN48:AN49)</f>
        <v>0.11478950744925979</v>
      </c>
      <c r="AM25" s="27">
        <f>SUM(Emissions!AO48:AO49)</f>
        <v>0.11506149778332223</v>
      </c>
      <c r="AN25" s="27">
        <f>SUM(Emissions!AP48:AP49)</f>
        <v>0.11565050796466506</v>
      </c>
      <c r="AO25" s="27">
        <f>SUM(Emissions!AQ48:AQ49)</f>
        <v>0.11664084126530386</v>
      </c>
      <c r="AP25" s="27">
        <f>SUM(Emissions!AR48:AR49)</f>
        <v>0.1178835116099117</v>
      </c>
      <c r="AQ25" s="27">
        <f>SUM(Emissions!AS48:AS49)</f>
        <v>0.11940629876901092</v>
      </c>
      <c r="AR25" s="27">
        <f>SUM(Emissions!AT48:AT49)</f>
        <v>0.12094689339857308</v>
      </c>
      <c r="AS25" s="27">
        <f>SUM(Emissions!AU48:AU49)</f>
        <v>0.12272558234420103</v>
      </c>
      <c r="AT25" s="27">
        <f>SUM(Emissions!AV48:AV49)</f>
        <v>0.12449199482010295</v>
      </c>
      <c r="AU25" s="27">
        <f>SUM(Emissions!AW48:AW49)</f>
        <v>0.12668810672927541</v>
      </c>
      <c r="AV25" s="27">
        <f>SUM(Emissions!AX48:AX49)</f>
        <v>0.12870978814137557</v>
      </c>
      <c r="AW25" s="27">
        <f>SUM(Emissions!AY48:AY49)</f>
        <v>0.13086101879670503</v>
      </c>
      <c r="AX25" s="27">
        <f>SUM(Emissions!AZ48:AZ49)</f>
        <v>0.13348523955359742</v>
      </c>
      <c r="AY25" s="27">
        <f>SUM(Emissions!BA48:BA49)</f>
        <v>0.13573858259945221</v>
      </c>
      <c r="AZ25" s="27">
        <f>SUM(Emissions!BB48:BB49)</f>
        <v>0.13817071967281611</v>
      </c>
      <c r="BA25" s="27">
        <f>SUM(Emissions!BC48:BC49)</f>
        <v>0.1408103923475002</v>
      </c>
      <c r="BB25" s="27">
        <f>SUM(Emissions!BD48:BD49)</f>
        <v>0.14301247765710248</v>
      </c>
      <c r="BC25" s="27">
        <f>SUM(Emissions!BE48:BE49)</f>
        <v>0.14507756098779112</v>
      </c>
      <c r="BD25" s="27">
        <f>SUM(Emissions!BF48:BF49)</f>
        <v>0.14702229766252037</v>
      </c>
      <c r="BE25" s="27">
        <f>SUM(Emissions!BG48:BG49)</f>
        <v>0.14926780893120151</v>
      </c>
      <c r="BF25" s="27">
        <f>SUM(Emissions!BH48:BH49)</f>
        <v>0.15121550048938059</v>
      </c>
      <c r="BG25" s="27">
        <f>SUM(Emissions!BI48:BI49)</f>
        <v>0.15322601295133931</v>
      </c>
      <c r="BH25" s="27">
        <f>SUM(Emissions!BJ48:BJ49)</f>
        <v>0.15531451115096906</v>
      </c>
      <c r="BI25" s="27">
        <f>SUM(Emissions!BK48:BK49)</f>
        <v>0.15750712741388692</v>
      </c>
      <c r="BJ25" s="27">
        <f>SUM(Emissions!BL48:BL49)</f>
        <v>0.15980951988511904</v>
      </c>
      <c r="BK25" s="27">
        <f>SUM(Emissions!BM48:BM49)</f>
        <v>0.15840848244723524</v>
      </c>
      <c r="BL25" s="27">
        <f>SUM(Emissions!BN48:BN49)</f>
        <v>0.15668367138062728</v>
      </c>
      <c r="BM25" s="27">
        <f>SUM(Emissions!BO48:BO49)</f>
        <v>0.15450725956797529</v>
      </c>
      <c r="BN25" s="27">
        <f>SUM(Emissions!BP48:BP49)</f>
        <v>0.15222410947091053</v>
      </c>
    </row>
    <row r="26" spans="1:66" x14ac:dyDescent="0.3">
      <c r="A26" t="str">
        <f t="shared" si="2"/>
        <v>3A Livestock</v>
      </c>
      <c r="B26" t="str">
        <f t="shared" si="14"/>
        <v>3A2 Manure management (N2O)</v>
      </c>
      <c r="C26" t="str">
        <f t="shared" si="13"/>
        <v>3A2i Poultry</v>
      </c>
      <c r="D26" t="str">
        <f t="shared" si="15"/>
        <v>N2O</v>
      </c>
      <c r="E26" t="str">
        <f t="shared" si="16"/>
        <v>Gg N2O</v>
      </c>
      <c r="F26" s="27">
        <f>SUM(Emissions!H50:H53)</f>
        <v>0.97142643116498173</v>
      </c>
      <c r="G26" s="27">
        <f>SUM(Emissions!I50:I53)</f>
        <v>0.91979947773956539</v>
      </c>
      <c r="H26" s="27">
        <f>SUM(Emissions!J50:J53)</f>
        <v>0.86996640861962027</v>
      </c>
      <c r="I26" s="27">
        <f>SUM(Emissions!K50:K53)</f>
        <v>0.95105089689588118</v>
      </c>
      <c r="J26" s="27">
        <f>SUM(Emissions!L50:L53)</f>
        <v>0.93558760332506563</v>
      </c>
      <c r="K26" s="27">
        <f>SUM(Emissions!M50:M53)</f>
        <v>1.0610980244624493</v>
      </c>
      <c r="L26" s="27">
        <f>SUM(Emissions!N50:N53)</f>
        <v>1.2124779056940209</v>
      </c>
      <c r="M26" s="27">
        <f>SUM(Emissions!O50:O53)</f>
        <v>1.2310774331909755</v>
      </c>
      <c r="N26" s="27">
        <f>SUM(Emissions!P50:P53)</f>
        <v>1.3553349187397734</v>
      </c>
      <c r="O26" s="27">
        <f>SUM(Emissions!Q50:Q53)</f>
        <v>1.4216688462228295</v>
      </c>
      <c r="P26" s="27">
        <f>SUM(Emissions!R50:R53)</f>
        <v>1.5047428388913393</v>
      </c>
      <c r="Q26" s="27">
        <f>SUM(Emissions!S50:S53)</f>
        <v>1.4682944579243469</v>
      </c>
      <c r="R26" s="27">
        <f>SUM(Emissions!T50:T53)</f>
        <v>1.5974517753633082</v>
      </c>
      <c r="S26" s="27">
        <f>SUM(Emissions!U50:U53)</f>
        <v>1.5216968274171625</v>
      </c>
      <c r="T26" s="27">
        <f>SUM(Emissions!V50:V53)</f>
        <v>1.561402779749649</v>
      </c>
      <c r="U26" s="27">
        <f>SUM(Emissions!W50:W53)</f>
        <v>1.715924170745724</v>
      </c>
      <c r="V26" s="27">
        <f>SUM(Emissions!X50:X53)</f>
        <v>1.8445047156055465</v>
      </c>
      <c r="W26" s="27">
        <f>SUM(Emissions!Y50:Y53)</f>
        <v>1.9478096113399568</v>
      </c>
      <c r="X26" s="27">
        <f>SUM(Emissions!Z50:Z53)</f>
        <v>2.0569289282113736</v>
      </c>
      <c r="Y26" s="27">
        <f>SUM(Emissions!AA50:AA53)</f>
        <v>1.9474443632124327</v>
      </c>
      <c r="Z26" s="27">
        <f>SUM(Emissions!AB50:AB53)</f>
        <v>2.0008545268528479</v>
      </c>
      <c r="AA26" s="27">
        <f>SUM(Emissions!AC50:AC53)</f>
        <v>2.0733749858055939</v>
      </c>
      <c r="AB26" s="27">
        <f>SUM(Emissions!AD50:AD53)</f>
        <v>2.1141223071087354</v>
      </c>
      <c r="AC26" s="27">
        <f>SUM(Emissions!AE50:AE53)</f>
        <v>2.144407963353022</v>
      </c>
      <c r="AD26" s="27">
        <f>SUM(Emissions!AF50:AF53)</f>
        <v>2.1900184905347517</v>
      </c>
      <c r="AE26" s="27">
        <f>SUM(Emissions!AG50:AG53)</f>
        <v>2.2070152134542438</v>
      </c>
      <c r="AF26" s="27">
        <f>SUM(Emissions!AH50:AH53)</f>
        <v>2.2054156910391569</v>
      </c>
      <c r="AG26" s="27">
        <f>SUM(Emissions!AI50:AI53)</f>
        <v>2.1852604118945709</v>
      </c>
      <c r="AH26" s="27">
        <f>SUM(Emissions!AJ50:AJ53)</f>
        <v>2.1799994398925184</v>
      </c>
      <c r="AI26" s="27">
        <f>SUM(Emissions!AK50:AK53)</f>
        <v>2.1772115733745299</v>
      </c>
      <c r="AJ26" s="27">
        <f>SUM(Emissions!AL50:AL53)</f>
        <v>1.8781922706718073</v>
      </c>
      <c r="AK26" s="27">
        <f>SUM(Emissions!AM50:AM53)</f>
        <v>1.9472163162010805</v>
      </c>
      <c r="AL26" s="27">
        <f>SUM(Emissions!AN50:AN53)</f>
        <v>2.0549867224261105</v>
      </c>
      <c r="AM26" s="27">
        <f>SUM(Emissions!AO50:AO53)</f>
        <v>2.0992656069838667</v>
      </c>
      <c r="AN26" s="27">
        <f>SUM(Emissions!AP50:AP53)</f>
        <v>2.1514668457900461</v>
      </c>
      <c r="AO26" s="27">
        <f>SUM(Emissions!AQ50:AQ53)</f>
        <v>2.2140370260534805</v>
      </c>
      <c r="AP26" s="27">
        <f>SUM(Emissions!AR50:AR53)</f>
        <v>2.2848555561135013</v>
      </c>
      <c r="AQ26" s="27">
        <f>SUM(Emissions!AS50:AS53)</f>
        <v>2.3637739025322317</v>
      </c>
      <c r="AR26" s="27">
        <f>SUM(Emissions!AT50:AT53)</f>
        <v>2.444380577634826</v>
      </c>
      <c r="AS26" s="27">
        <f>SUM(Emissions!AU50:AU53)</f>
        <v>2.532487027535582</v>
      </c>
      <c r="AT26" s="27">
        <f>SUM(Emissions!AV50:AV53)</f>
        <v>2.6217772960887538</v>
      </c>
      <c r="AU26" s="27">
        <f>SUM(Emissions!AW50:AW53)</f>
        <v>2.725036188546849</v>
      </c>
      <c r="AV26" s="27">
        <f>SUM(Emissions!AX50:AX53)</f>
        <v>2.8254728753044538</v>
      </c>
      <c r="AW26" s="27">
        <f>SUM(Emissions!AY50:AY53)</f>
        <v>2.9313155126837001</v>
      </c>
      <c r="AX26" s="27">
        <f>SUM(Emissions!AZ50:AZ53)</f>
        <v>3.0523336508248606</v>
      </c>
      <c r="AY26" s="27">
        <f>SUM(Emissions!BA50:BA53)</f>
        <v>3.1652873585426784</v>
      </c>
      <c r="AZ26" s="27">
        <f>SUM(Emissions!BB50:BB53)</f>
        <v>3.2863934142449875</v>
      </c>
      <c r="BA26" s="27">
        <f>SUM(Emissions!BC50:BC53)</f>
        <v>3.4159131571794497</v>
      </c>
      <c r="BB26" s="27">
        <f>SUM(Emissions!BD50:BD53)</f>
        <v>3.5352068468384301</v>
      </c>
      <c r="BC26" s="27">
        <f>SUM(Emissions!BE50:BE53)</f>
        <v>3.6527846973700986</v>
      </c>
      <c r="BD26" s="27">
        <f>SUM(Emissions!BF50:BF53)</f>
        <v>3.7690575186439688</v>
      </c>
      <c r="BE26" s="27">
        <f>SUM(Emissions!BG50:BG53)</f>
        <v>3.8975853215319325</v>
      </c>
      <c r="BF26" s="27">
        <f>SUM(Emissions!BH50:BH53)</f>
        <v>4.0195036782387836</v>
      </c>
      <c r="BG26" s="27">
        <f>SUM(Emissions!BI50:BI53)</f>
        <v>4.1458392779973261</v>
      </c>
      <c r="BH26" s="27">
        <f>SUM(Emissions!BJ50:BJ53)</f>
        <v>4.2772295467203625</v>
      </c>
      <c r="BI26" s="27">
        <f>SUM(Emissions!BK50:BK53)</f>
        <v>4.4146962666148752</v>
      </c>
      <c r="BJ26" s="27">
        <f>SUM(Emissions!BL50:BL53)</f>
        <v>4.5594002542933261</v>
      </c>
      <c r="BK26" s="27">
        <f>SUM(Emissions!BM50:BM53)</f>
        <v>4.5846161172234856</v>
      </c>
      <c r="BL26" s="27">
        <f>SUM(Emissions!BN50:BN53)</f>
        <v>4.5988359481583148</v>
      </c>
      <c r="BM26" s="27">
        <f>SUM(Emissions!BO50:BO53)</f>
        <v>4.5972868462562344</v>
      </c>
      <c r="BN26" s="27">
        <f>SUM(Emissions!BP50:BP53)</f>
        <v>4.5912326587421939</v>
      </c>
    </row>
    <row r="27" spans="1:66" s="19" customFormat="1" ht="15.6" x14ac:dyDescent="0.3">
      <c r="A27" s="19" t="str">
        <f>'IPCC Categories'!A59</f>
        <v>3C Aggregated and non-CO2 emissions on land</v>
      </c>
      <c r="B27" s="19" t="str">
        <f>'IPCC Categories'!B59</f>
        <v>3C1 Biomass burning (CH4)</v>
      </c>
      <c r="C27" s="19" t="s">
        <v>148</v>
      </c>
      <c r="D27" s="19" t="s">
        <v>121</v>
      </c>
      <c r="E27" s="19" t="s">
        <v>286</v>
      </c>
      <c r="F27" s="41">
        <f>SUM(F28:F33)</f>
        <v>53.0453492171862</v>
      </c>
      <c r="G27" s="41">
        <f t="shared" ref="G27:BN27" si="17">SUM(G28:G33)</f>
        <v>53.0453492171862</v>
      </c>
      <c r="H27" s="41">
        <f t="shared" si="17"/>
        <v>53.0453492171862</v>
      </c>
      <c r="I27" s="41">
        <f t="shared" si="17"/>
        <v>53.0453492171862</v>
      </c>
      <c r="J27" s="41">
        <f t="shared" si="17"/>
        <v>53.0453492171862</v>
      </c>
      <c r="K27" s="41">
        <f t="shared" si="17"/>
        <v>53.0453492171862</v>
      </c>
      <c r="L27" s="41">
        <f t="shared" si="17"/>
        <v>53.0453492171862</v>
      </c>
      <c r="M27" s="41">
        <f t="shared" si="17"/>
        <v>53.0453492171862</v>
      </c>
      <c r="N27" s="41">
        <f t="shared" si="17"/>
        <v>53.0453492171862</v>
      </c>
      <c r="O27" s="41">
        <f t="shared" si="17"/>
        <v>53.0453492171862</v>
      </c>
      <c r="P27" s="41">
        <f t="shared" si="17"/>
        <v>52.546557109309774</v>
      </c>
      <c r="Q27" s="41">
        <f t="shared" si="17"/>
        <v>61.073892579993647</v>
      </c>
      <c r="R27" s="41">
        <f t="shared" si="17"/>
        <v>61.377028794942774</v>
      </c>
      <c r="S27" s="41">
        <f t="shared" si="17"/>
        <v>48.163551471837515</v>
      </c>
      <c r="T27" s="41">
        <f t="shared" si="17"/>
        <v>42.065716129847253</v>
      </c>
      <c r="U27" s="41">
        <f t="shared" si="17"/>
        <v>67.254014225099425</v>
      </c>
      <c r="V27" s="41">
        <f t="shared" si="17"/>
        <v>58.899233231775128</v>
      </c>
      <c r="W27" s="41">
        <f t="shared" si="17"/>
        <v>58.027482006018275</v>
      </c>
      <c r="X27" s="41">
        <f t="shared" si="17"/>
        <v>54.279261632604765</v>
      </c>
      <c r="Y27" s="41">
        <f t="shared" si="17"/>
        <v>51.374827411779322</v>
      </c>
      <c r="Z27" s="41">
        <f t="shared" si="17"/>
        <v>52.716909833999999</v>
      </c>
      <c r="AA27" s="41">
        <f t="shared" si="17"/>
        <v>52.066398634182001</v>
      </c>
      <c r="AB27" s="41">
        <f t="shared" si="17"/>
        <v>43.638049727653843</v>
      </c>
      <c r="AC27" s="41">
        <f t="shared" si="17"/>
        <v>45.605203762152264</v>
      </c>
      <c r="AD27" s="41">
        <f t="shared" si="17"/>
        <v>44.965256516650697</v>
      </c>
      <c r="AE27" s="41">
        <f t="shared" si="17"/>
        <v>44.370632311149102</v>
      </c>
      <c r="AF27" s="41">
        <f t="shared" si="17"/>
        <v>44.847337385647528</v>
      </c>
      <c r="AG27" s="41">
        <f t="shared" si="17"/>
        <v>45.270823420145945</v>
      </c>
      <c r="AH27" s="41">
        <f t="shared" si="17"/>
        <v>45.390629294644363</v>
      </c>
      <c r="AI27" s="41">
        <f t="shared" si="17"/>
        <v>45.56015529937843</v>
      </c>
      <c r="AJ27" s="41">
        <f t="shared" si="17"/>
        <v>45.729681304112475</v>
      </c>
      <c r="AK27" s="41">
        <f t="shared" si="17"/>
        <v>45.899207308846528</v>
      </c>
      <c r="AL27" s="41">
        <f t="shared" si="17"/>
        <v>46.068733313580573</v>
      </c>
      <c r="AM27" s="41">
        <f t="shared" si="17"/>
        <v>46.238259318314633</v>
      </c>
      <c r="AN27" s="41">
        <f t="shared" si="17"/>
        <v>46.407785323048678</v>
      </c>
      <c r="AO27" s="41">
        <f t="shared" si="17"/>
        <v>46.577311327782738</v>
      </c>
      <c r="AP27" s="41">
        <f t="shared" si="17"/>
        <v>46.74683733251679</v>
      </c>
      <c r="AQ27" s="41">
        <f t="shared" si="17"/>
        <v>46.916363337250836</v>
      </c>
      <c r="AR27" s="41">
        <f t="shared" si="17"/>
        <v>47.085889341984888</v>
      </c>
      <c r="AS27" s="41">
        <f t="shared" si="17"/>
        <v>47.255415346718941</v>
      </c>
      <c r="AT27" s="41">
        <f t="shared" si="17"/>
        <v>47.424941351453</v>
      </c>
      <c r="AU27" s="41">
        <f t="shared" si="17"/>
        <v>47.584388215769366</v>
      </c>
      <c r="AV27" s="41">
        <f t="shared" si="17"/>
        <v>47.743835080085738</v>
      </c>
      <c r="AW27" s="41">
        <f t="shared" si="17"/>
        <v>47.90328194440211</v>
      </c>
      <c r="AX27" s="41">
        <f t="shared" si="17"/>
        <v>48.062728808718475</v>
      </c>
      <c r="AY27" s="41">
        <f t="shared" si="17"/>
        <v>48.222175673034847</v>
      </c>
      <c r="AZ27" s="41">
        <f t="shared" si="17"/>
        <v>48.38162253735122</v>
      </c>
      <c r="BA27" s="41">
        <f t="shared" si="17"/>
        <v>48.541069401667592</v>
      </c>
      <c r="BB27" s="41">
        <f t="shared" si="17"/>
        <v>48.700516265983957</v>
      </c>
      <c r="BC27" s="41">
        <f t="shared" si="17"/>
        <v>48.846366490942629</v>
      </c>
      <c r="BD27" s="41">
        <f t="shared" si="17"/>
        <v>48.992216715901286</v>
      </c>
      <c r="BE27" s="41">
        <f t="shared" si="17"/>
        <v>49.138066940859957</v>
      </c>
      <c r="BF27" s="41">
        <f t="shared" si="17"/>
        <v>49.283917165818607</v>
      </c>
      <c r="BG27" s="41">
        <f t="shared" si="17"/>
        <v>49.429767390777279</v>
      </c>
      <c r="BH27" s="41">
        <f t="shared" si="17"/>
        <v>49.575617615735943</v>
      </c>
      <c r="BI27" s="41">
        <f t="shared" si="17"/>
        <v>49.721467840694608</v>
      </c>
      <c r="BJ27" s="41">
        <f t="shared" si="17"/>
        <v>49.867318065653272</v>
      </c>
      <c r="BK27" s="41">
        <f t="shared" si="17"/>
        <v>50.013168290611944</v>
      </c>
      <c r="BL27" s="41">
        <f t="shared" si="17"/>
        <v>50.159018515570601</v>
      </c>
      <c r="BM27" s="41">
        <f t="shared" si="17"/>
        <v>50.304868740529272</v>
      </c>
      <c r="BN27" s="41">
        <f t="shared" si="17"/>
        <v>50.45071896548793</v>
      </c>
    </row>
    <row r="28" spans="1:66" x14ac:dyDescent="0.3">
      <c r="A28" t="str">
        <f>'IPCC Categories'!A59</f>
        <v>3C Aggregated and non-CO2 emissions on land</v>
      </c>
      <c r="B28" t="str">
        <f>'IPCC Categories'!B59</f>
        <v>3C1 Biomass burning (CH4)</v>
      </c>
      <c r="C28" t="str">
        <f>'IPCC Categories'!C59</f>
        <v>3C1a Biomass burning in forest land</v>
      </c>
      <c r="D28" t="s">
        <v>121</v>
      </c>
      <c r="E28" t="s">
        <v>286</v>
      </c>
      <c r="F28" s="22">
        <f>SUMIF(Emissions!$C$54:$C$69,'Emissions summary'!$C28,Emissions!H$54:H$69)</f>
        <v>17.00038365344173</v>
      </c>
      <c r="G28" s="22">
        <f>SUMIF(Emissions!$C$54:$C$69,'Emissions summary'!$C28,Emissions!I$54:I$69)</f>
        <v>17.00038365344173</v>
      </c>
      <c r="H28" s="22">
        <f>SUMIF(Emissions!$C$54:$C$69,'Emissions summary'!$C28,Emissions!J$54:J$69)</f>
        <v>17.00038365344173</v>
      </c>
      <c r="I28" s="22">
        <f>SUMIF(Emissions!$C$54:$C$69,'Emissions summary'!$C28,Emissions!K$54:K$69)</f>
        <v>17.00038365344173</v>
      </c>
      <c r="J28" s="22">
        <f>SUMIF(Emissions!$C$54:$C$69,'Emissions summary'!$C28,Emissions!L$54:L$69)</f>
        <v>17.00038365344173</v>
      </c>
      <c r="K28" s="22">
        <f>SUMIF(Emissions!$C$54:$C$69,'Emissions summary'!$C28,Emissions!M$54:M$69)</f>
        <v>17.00038365344173</v>
      </c>
      <c r="L28" s="22">
        <f>SUMIF(Emissions!$C$54:$C$69,'Emissions summary'!$C28,Emissions!N$54:N$69)</f>
        <v>17.00038365344173</v>
      </c>
      <c r="M28" s="22">
        <f>SUMIF(Emissions!$C$54:$C$69,'Emissions summary'!$C28,Emissions!O$54:O$69)</f>
        <v>17.00038365344173</v>
      </c>
      <c r="N28" s="22">
        <f>SUMIF(Emissions!$C$54:$C$69,'Emissions summary'!$C28,Emissions!P$54:P$69)</f>
        <v>17.00038365344173</v>
      </c>
      <c r="O28" s="22">
        <f>SUMIF(Emissions!$C$54:$C$69,'Emissions summary'!$C28,Emissions!Q$54:Q$69)</f>
        <v>17.00038365344173</v>
      </c>
      <c r="P28" s="22">
        <f>SUMIF(Emissions!$C$54:$C$69,'Emissions summary'!$C28,Emissions!R$54:R$69)</f>
        <v>16.569822193461611</v>
      </c>
      <c r="Q28" s="22">
        <f>SUMIF(Emissions!$C$54:$C$69,'Emissions summary'!$C28,Emissions!S$54:S$69)</f>
        <v>21.58066748690964</v>
      </c>
      <c r="R28" s="22">
        <f>SUMIF(Emissions!$C$54:$C$69,'Emissions summary'!$C28,Emissions!T$54:T$69)</f>
        <v>18.378408970459198</v>
      </c>
      <c r="S28" s="22">
        <f>SUMIF(Emissions!$C$54:$C$69,'Emissions summary'!$C28,Emissions!U$54:U$69)</f>
        <v>14.650554917049229</v>
      </c>
      <c r="T28" s="22">
        <f>SUMIF(Emissions!$C$54:$C$69,'Emissions summary'!$C28,Emissions!V$54:V$69)</f>
        <v>13.82246469932897</v>
      </c>
      <c r="U28" s="22">
        <f>SUMIF(Emissions!$C$54:$C$69,'Emissions summary'!$C28,Emissions!W$54:W$69)</f>
        <v>21.599133953641967</v>
      </c>
      <c r="V28" s="22">
        <f>SUMIF(Emissions!$C$54:$C$69,'Emissions summary'!$C28,Emissions!X$54:X$69)</f>
        <v>17.797777704403263</v>
      </c>
      <c r="W28" s="22">
        <f>SUMIF(Emissions!$C$54:$C$69,'Emissions summary'!$C28,Emissions!Y$54:Y$69)</f>
        <v>21.680359355173707</v>
      </c>
      <c r="X28" s="22">
        <f>SUMIF(Emissions!$C$54:$C$69,'Emissions summary'!$C28,Emissions!Z$54:Z$69)</f>
        <v>20.332068235899591</v>
      </c>
      <c r="Y28" s="22">
        <f>SUMIF(Emissions!$C$54:$C$69,'Emissions summary'!$C28,Emissions!AA$54:AA$69)</f>
        <v>15.730541423024663</v>
      </c>
      <c r="Z28" s="22">
        <f>SUMIF(Emissions!$C$54:$C$69,'Emissions summary'!$C28,Emissions!AB$54:AB$69)</f>
        <v>16.81926023646</v>
      </c>
      <c r="AA28" s="22">
        <f>SUMIF(Emissions!$C$54:$C$69,'Emissions summary'!$C28,Emissions!AC$54:AC$69)</f>
        <v>16.168604044590001</v>
      </c>
      <c r="AB28" s="22">
        <f>SUMIF(Emissions!$C$54:$C$69,'Emissions summary'!$C28,Emissions!AD$54:AD$69)</f>
        <v>11.204575160010251</v>
      </c>
      <c r="AC28" s="22">
        <f>SUMIF(Emissions!$C$54:$C$69,'Emissions summary'!$C28,Emissions!AE$54:AE$69)</f>
        <v>13.05690518017699</v>
      </c>
      <c r="AD28" s="22">
        <f>SUMIF(Emissions!$C$54:$C$69,'Emissions summary'!$C28,Emissions!AF$54:AF$69)</f>
        <v>12.302133920343731</v>
      </c>
      <c r="AE28" s="22">
        <f>SUMIF(Emissions!$C$54:$C$69,'Emissions summary'!$C28,Emissions!AG$54:AG$69)</f>
        <v>11.592685700510469</v>
      </c>
      <c r="AF28" s="22">
        <f>SUMIF(Emissions!$C$54:$C$69,'Emissions summary'!$C28,Emissions!AH$54:AH$69)</f>
        <v>11.954566760677208</v>
      </c>
      <c r="AG28" s="22">
        <f>SUMIF(Emissions!$C$54:$C$69,'Emissions summary'!$C28,Emissions!AI$54:AI$69)</f>
        <v>12.263228780843946</v>
      </c>
      <c r="AH28" s="22">
        <f>SUMIF(Emissions!$C$54:$C$69,'Emissions summary'!$C28,Emissions!AJ$54:AJ$69)</f>
        <v>12.268210641010684</v>
      </c>
      <c r="AI28" s="22">
        <f>SUMIF(Emissions!$C$54:$C$69,'Emissions summary'!$C28,Emissions!AK$54:AK$69)</f>
        <v>12.23948849988569</v>
      </c>
      <c r="AJ28" s="22">
        <f>SUMIF(Emissions!$C$54:$C$69,'Emissions summary'!$C28,Emissions!AL$54:AL$69)</f>
        <v>12.210766358760694</v>
      </c>
      <c r="AK28" s="22">
        <f>SUMIF(Emissions!$C$54:$C$69,'Emissions summary'!$C28,Emissions!AM$54:AM$69)</f>
        <v>12.182044217635699</v>
      </c>
      <c r="AL28" s="22">
        <f>SUMIF(Emissions!$C$54:$C$69,'Emissions summary'!$C28,Emissions!AN$54:AN$69)</f>
        <v>12.153322076510703</v>
      </c>
      <c r="AM28" s="22">
        <f>SUMIF(Emissions!$C$54:$C$69,'Emissions summary'!$C28,Emissions!AO$54:AO$69)</f>
        <v>12.124599935385708</v>
      </c>
      <c r="AN28" s="22">
        <f>SUMIF(Emissions!$C$54:$C$69,'Emissions summary'!$C28,Emissions!AP$54:AP$69)</f>
        <v>12.095877794260716</v>
      </c>
      <c r="AO28" s="22">
        <f>SUMIF(Emissions!$C$54:$C$69,'Emissions summary'!$C28,Emissions!AQ$54:AQ$69)</f>
        <v>12.067155653135719</v>
      </c>
      <c r="AP28" s="22">
        <f>SUMIF(Emissions!$C$54:$C$69,'Emissions summary'!$C28,Emissions!AR$54:AR$69)</f>
        <v>12.038433512010723</v>
      </c>
      <c r="AQ28" s="22">
        <f>SUMIF(Emissions!$C$54:$C$69,'Emissions summary'!$C28,Emissions!AS$54:AS$69)</f>
        <v>12.009711370885729</v>
      </c>
      <c r="AR28" s="22">
        <f>SUMIF(Emissions!$C$54:$C$69,'Emissions summary'!$C28,Emissions!AT$54:AT$69)</f>
        <v>11.980989229760732</v>
      </c>
      <c r="AS28" s="22">
        <f>SUMIF(Emissions!$C$54:$C$69,'Emissions summary'!$C28,Emissions!AU$54:AU$69)</f>
        <v>11.952267088635738</v>
      </c>
      <c r="AT28" s="22">
        <f>SUMIF(Emissions!$C$54:$C$69,'Emissions summary'!$C28,Emissions!AV$54:AV$69)</f>
        <v>11.923544947510743</v>
      </c>
      <c r="AU28" s="22">
        <f>SUMIF(Emissions!$C$54:$C$69,'Emissions summary'!$C28,Emissions!AW$54:AW$69)</f>
        <v>11.881226167028043</v>
      </c>
      <c r="AV28" s="22">
        <f>SUMIF(Emissions!$C$54:$C$69,'Emissions summary'!$C28,Emissions!AX$54:AX$69)</f>
        <v>11.838907386545339</v>
      </c>
      <c r="AW28" s="22">
        <f>SUMIF(Emissions!$C$54:$C$69,'Emissions summary'!$C28,Emissions!AY$54:AY$69)</f>
        <v>11.796588606062636</v>
      </c>
      <c r="AX28" s="22">
        <f>SUMIF(Emissions!$C$54:$C$69,'Emissions summary'!$C28,Emissions!AZ$54:AZ$69)</f>
        <v>11.754269825579936</v>
      </c>
      <c r="AY28" s="22">
        <f>SUMIF(Emissions!$C$54:$C$69,'Emissions summary'!$C28,Emissions!BA$54:BA$69)</f>
        <v>11.711951045097234</v>
      </c>
      <c r="AZ28" s="22">
        <f>SUMIF(Emissions!$C$54:$C$69,'Emissions summary'!$C28,Emissions!BB$54:BB$69)</f>
        <v>11.669632264614533</v>
      </c>
      <c r="BA28" s="22">
        <f>SUMIF(Emissions!$C$54:$C$69,'Emissions summary'!$C28,Emissions!BC$54:BC$69)</f>
        <v>11.627313484131829</v>
      </c>
      <c r="BB28" s="22">
        <f>SUMIF(Emissions!$C$54:$C$69,'Emissions summary'!$C28,Emissions!BD$54:BD$69)</f>
        <v>11.584994703649127</v>
      </c>
      <c r="BC28" s="22">
        <f>SUMIF(Emissions!$C$54:$C$69,'Emissions summary'!$C28,Emissions!BE$54:BE$69)</f>
        <v>11.52907928380872</v>
      </c>
      <c r="BD28" s="22">
        <f>SUMIF(Emissions!$C$54:$C$69,'Emissions summary'!$C28,Emissions!BF$54:BF$69)</f>
        <v>11.473163863968312</v>
      </c>
      <c r="BE28" s="22">
        <f>SUMIF(Emissions!$C$54:$C$69,'Emissions summary'!$C28,Emissions!BG$54:BG$69)</f>
        <v>11.4172484441279</v>
      </c>
      <c r="BF28" s="22">
        <f>SUMIF(Emissions!$C$54:$C$69,'Emissions summary'!$C28,Emissions!BH$54:BH$69)</f>
        <v>11.361333024287493</v>
      </c>
      <c r="BG28" s="22">
        <f>SUMIF(Emissions!$C$54:$C$69,'Emissions summary'!$C28,Emissions!BI$54:BI$69)</f>
        <v>11.305417604447085</v>
      </c>
      <c r="BH28" s="22">
        <f>SUMIF(Emissions!$C$54:$C$69,'Emissions summary'!$C28,Emissions!BJ$54:BJ$69)</f>
        <v>11.249502184606676</v>
      </c>
      <c r="BI28" s="22">
        <f>SUMIF(Emissions!$C$54:$C$69,'Emissions summary'!$C28,Emissions!BK$54:BK$69)</f>
        <v>11.193586764766268</v>
      </c>
      <c r="BJ28" s="22">
        <f>SUMIF(Emissions!$C$54:$C$69,'Emissions summary'!$C28,Emissions!BL$54:BL$69)</f>
        <v>11.13767134492586</v>
      </c>
      <c r="BK28" s="22">
        <f>SUMIF(Emissions!$C$54:$C$69,'Emissions summary'!$C28,Emissions!BM$54:BM$69)</f>
        <v>11.081755925085453</v>
      </c>
      <c r="BL28" s="22">
        <f>SUMIF(Emissions!$C$54:$C$69,'Emissions summary'!$C28,Emissions!BN$54:BN$69)</f>
        <v>11.025840505245043</v>
      </c>
      <c r="BM28" s="22">
        <f>SUMIF(Emissions!$C$54:$C$69,'Emissions summary'!$C28,Emissions!BO$54:BO$69)</f>
        <v>10.969925085404636</v>
      </c>
      <c r="BN28" s="22">
        <f>SUMIF(Emissions!$C$54:$C$69,'Emissions summary'!$C28,Emissions!BP$54:BP$69)</f>
        <v>10.914009665564226</v>
      </c>
    </row>
    <row r="29" spans="1:66" x14ac:dyDescent="0.3">
      <c r="A29" t="str">
        <f>A28</f>
        <v>3C Aggregated and non-CO2 emissions on land</v>
      </c>
      <c r="B29" t="str">
        <f>B28</f>
        <v>3C1 Biomass burning (CH4)</v>
      </c>
      <c r="C29" t="str">
        <f>'IPCC Categories'!C60</f>
        <v>3C1b Biomass burning in Croplands</v>
      </c>
      <c r="D29" t="str">
        <f>D28</f>
        <v>CH4</v>
      </c>
      <c r="E29" t="str">
        <f>E28</f>
        <v>Gg CH4</v>
      </c>
      <c r="F29" s="22">
        <f>SUMIF(Emissions!$C$54:$C$69,'Emissions summary'!$C29,Emissions!H$54:H$69)</f>
        <v>10.116490581610325</v>
      </c>
      <c r="G29" s="22">
        <f>SUMIF(Emissions!$C$54:$C$69,'Emissions summary'!$C29,Emissions!I$54:I$69)</f>
        <v>10.116490581610325</v>
      </c>
      <c r="H29" s="22">
        <f>SUMIF(Emissions!$C$54:$C$69,'Emissions summary'!$C29,Emissions!J$54:J$69)</f>
        <v>10.116490581610325</v>
      </c>
      <c r="I29" s="22">
        <f>SUMIF(Emissions!$C$54:$C$69,'Emissions summary'!$C29,Emissions!K$54:K$69)</f>
        <v>10.116490581610325</v>
      </c>
      <c r="J29" s="22">
        <f>SUMIF(Emissions!$C$54:$C$69,'Emissions summary'!$C29,Emissions!L$54:L$69)</f>
        <v>10.116490581610325</v>
      </c>
      <c r="K29" s="22">
        <f>SUMIF(Emissions!$C$54:$C$69,'Emissions summary'!$C29,Emissions!M$54:M$69)</f>
        <v>10.116490581610325</v>
      </c>
      <c r="L29" s="22">
        <f>SUMIF(Emissions!$C$54:$C$69,'Emissions summary'!$C29,Emissions!N$54:N$69)</f>
        <v>10.116490581610325</v>
      </c>
      <c r="M29" s="22">
        <f>SUMIF(Emissions!$C$54:$C$69,'Emissions summary'!$C29,Emissions!O$54:O$69)</f>
        <v>10.116490581610325</v>
      </c>
      <c r="N29" s="22">
        <f>SUMIF(Emissions!$C$54:$C$69,'Emissions summary'!$C29,Emissions!P$54:P$69)</f>
        <v>10.116490581610325</v>
      </c>
      <c r="O29" s="22">
        <f>SUMIF(Emissions!$C$54:$C$69,'Emissions summary'!$C29,Emissions!Q$54:Q$69)</f>
        <v>10.116490581610325</v>
      </c>
      <c r="P29" s="22">
        <f>SUMIF(Emissions!$C$54:$C$69,'Emissions summary'!$C29,Emissions!R$54:R$69)</f>
        <v>10.51046399228327</v>
      </c>
      <c r="Q29" s="22">
        <f>SUMIF(Emissions!$C$54:$C$69,'Emissions summary'!$C29,Emissions!S$54:S$69)</f>
        <v>10.882894026282271</v>
      </c>
      <c r="R29" s="22">
        <f>SUMIF(Emissions!$C$54:$C$69,'Emissions summary'!$C29,Emissions!T$54:T$69)</f>
        <v>11.945235434738436</v>
      </c>
      <c r="S29" s="22">
        <f>SUMIF(Emissions!$C$54:$C$69,'Emissions summary'!$C29,Emissions!U$54:U$69)</f>
        <v>9.2981039284457765</v>
      </c>
      <c r="T29" s="22">
        <f>SUMIF(Emissions!$C$54:$C$69,'Emissions summary'!$C29,Emissions!V$54:V$69)</f>
        <v>7.9457555263018627</v>
      </c>
      <c r="U29" s="22">
        <f>SUMIF(Emissions!$C$54:$C$69,'Emissions summary'!$C29,Emissions!W$54:W$69)</f>
        <v>13.860153794562336</v>
      </c>
      <c r="V29" s="22">
        <f>SUMIF(Emissions!$C$54:$C$69,'Emissions summary'!$C29,Emissions!X$54:X$69)</f>
        <v>13.058600630053951</v>
      </c>
      <c r="W29" s="22">
        <f>SUMIF(Emissions!$C$54:$C$69,'Emissions summary'!$C29,Emissions!Y$54:Y$69)</f>
        <v>10.476884235119428</v>
      </c>
      <c r="X29" s="22">
        <f>SUMIF(Emissions!$C$54:$C$69,'Emissions summary'!$C29,Emissions!Z$54:Z$69)</f>
        <v>9.4298063526468283</v>
      </c>
      <c r="Y29" s="22">
        <f>SUMIF(Emissions!$C$54:$C$69,'Emissions summary'!$C29,Emissions!AA$54:AA$69)</f>
        <v>9.8044168903577642</v>
      </c>
      <c r="Z29" s="22">
        <f>SUMIF(Emissions!$C$54:$C$69,'Emissions summary'!$C29,Emissions!AB$54:AB$69)</f>
        <v>9.7783617960000022</v>
      </c>
      <c r="AA29" s="22">
        <f>SUMIF(Emissions!$C$54:$C$69,'Emissions summary'!$C29,Emissions!AC$54:AC$69)</f>
        <v>9.4288811400000014</v>
      </c>
      <c r="AB29" s="22">
        <f>SUMIF(Emissions!$C$54:$C$69,'Emissions summary'!$C29,Emissions!AD$54:AD$69)</f>
        <v>8.929388994926228</v>
      </c>
      <c r="AC29" s="22">
        <f>SUMIF(Emissions!$C$54:$C$69,'Emissions summary'!$C29,Emissions!AE$54:AE$69)</f>
        <v>8.9289309923184508</v>
      </c>
      <c r="AD29" s="22">
        <f>SUMIF(Emissions!$C$54:$C$69,'Emissions summary'!$C29,Emissions!AF$54:AF$69)</f>
        <v>8.9284729897106754</v>
      </c>
      <c r="AE29" s="22">
        <f>SUMIF(Emissions!$C$54:$C$69,'Emissions summary'!$C29,Emissions!AG$54:AG$69)</f>
        <v>8.9280149871028947</v>
      </c>
      <c r="AF29" s="22">
        <f>SUMIF(Emissions!$C$54:$C$69,'Emissions summary'!$C29,Emissions!AH$54:AH$69)</f>
        <v>8.9275569844951157</v>
      </c>
      <c r="AG29" s="22">
        <f>SUMIF(Emissions!$C$54:$C$69,'Emissions summary'!$C29,Emissions!AI$54:AI$69)</f>
        <v>8.9270989818873403</v>
      </c>
      <c r="AH29" s="22">
        <f>SUMIF(Emissions!$C$54:$C$69,'Emissions summary'!$C29,Emissions!AJ$54:AJ$69)</f>
        <v>8.9266409792795596</v>
      </c>
      <c r="AI29" s="22">
        <f>SUMIF(Emissions!$C$54:$C$69,'Emissions summary'!$C29,Emissions!AK$54:AK$69)</f>
        <v>8.926182976671786</v>
      </c>
      <c r="AJ29" s="22">
        <f>SUMIF(Emissions!$C$54:$C$69,'Emissions summary'!$C29,Emissions!AL$54:AL$69)</f>
        <v>8.925724974064007</v>
      </c>
      <c r="AK29" s="22">
        <f>SUMIF(Emissions!$C$54:$C$69,'Emissions summary'!$C29,Emissions!AM$54:AM$69)</f>
        <v>8.925266971456228</v>
      </c>
      <c r="AL29" s="22">
        <f>SUMIF(Emissions!$C$54:$C$69,'Emissions summary'!$C29,Emissions!AN$54:AN$69)</f>
        <v>8.9248089688484491</v>
      </c>
      <c r="AM29" s="22">
        <f>SUMIF(Emissions!$C$54:$C$69,'Emissions summary'!$C29,Emissions!AO$54:AO$69)</f>
        <v>8.9243509662406719</v>
      </c>
      <c r="AN29" s="22">
        <f>SUMIF(Emissions!$C$54:$C$69,'Emissions summary'!$C29,Emissions!AP$54:AP$69)</f>
        <v>8.9238929636328947</v>
      </c>
      <c r="AO29" s="22">
        <f>SUMIF(Emissions!$C$54:$C$69,'Emissions summary'!$C29,Emissions!AQ$54:AQ$69)</f>
        <v>8.9234349610251176</v>
      </c>
      <c r="AP29" s="22">
        <f>SUMIF(Emissions!$C$54:$C$69,'Emissions summary'!$C29,Emissions!AR$54:AR$69)</f>
        <v>8.9229769584173386</v>
      </c>
      <c r="AQ29" s="22">
        <f>SUMIF(Emissions!$C$54:$C$69,'Emissions summary'!$C29,Emissions!AS$54:AS$69)</f>
        <v>8.9225189558095614</v>
      </c>
      <c r="AR29" s="22">
        <f>SUMIF(Emissions!$C$54:$C$69,'Emissions summary'!$C29,Emissions!AT$54:AT$69)</f>
        <v>8.9220609532017825</v>
      </c>
      <c r="AS29" s="22">
        <f>SUMIF(Emissions!$C$54:$C$69,'Emissions summary'!$C29,Emissions!AU$54:AU$69)</f>
        <v>8.9216029505940071</v>
      </c>
      <c r="AT29" s="22">
        <f>SUMIF(Emissions!$C$54:$C$69,'Emissions summary'!$C29,Emissions!AV$54:AV$69)</f>
        <v>8.9211449479862281</v>
      </c>
      <c r="AU29" s="22">
        <f>SUMIF(Emissions!$C$54:$C$69,'Emissions summary'!$C29,Emissions!AW$54:AW$69)</f>
        <v>8.9206869453784492</v>
      </c>
      <c r="AV29" s="22">
        <f>SUMIF(Emissions!$C$54:$C$69,'Emissions summary'!$C29,Emissions!AX$54:AX$69)</f>
        <v>8.920228942770672</v>
      </c>
      <c r="AW29" s="22">
        <f>SUMIF(Emissions!$C$54:$C$69,'Emissions summary'!$C29,Emissions!AY$54:AY$69)</f>
        <v>8.9197709401628948</v>
      </c>
      <c r="AX29" s="22">
        <f>SUMIF(Emissions!$C$54:$C$69,'Emissions summary'!$C29,Emissions!AZ$54:AZ$69)</f>
        <v>8.9193129375551177</v>
      </c>
      <c r="AY29" s="22">
        <f>SUMIF(Emissions!$C$54:$C$69,'Emissions summary'!$C29,Emissions!BA$54:BA$69)</f>
        <v>8.9188549349473387</v>
      </c>
      <c r="AZ29" s="22">
        <f>SUMIF(Emissions!$C$54:$C$69,'Emissions summary'!$C29,Emissions!BB$54:BB$69)</f>
        <v>8.9183969323395598</v>
      </c>
      <c r="BA29" s="22">
        <f>SUMIF(Emissions!$C$54:$C$69,'Emissions summary'!$C29,Emissions!BC$54:BC$69)</f>
        <v>8.9179389297317826</v>
      </c>
      <c r="BB29" s="22">
        <f>SUMIF(Emissions!$C$54:$C$69,'Emissions summary'!$C29,Emissions!BD$54:BD$69)</f>
        <v>8.9174809271240072</v>
      </c>
      <c r="BC29" s="22">
        <f>SUMIF(Emissions!$C$54:$C$69,'Emissions summary'!$C29,Emissions!BE$54:BE$69)</f>
        <v>8.9170229245162282</v>
      </c>
      <c r="BD29" s="22">
        <f>SUMIF(Emissions!$C$54:$C$69,'Emissions summary'!$C29,Emissions!BF$54:BF$69)</f>
        <v>8.9165649219084475</v>
      </c>
      <c r="BE29" s="22">
        <f>SUMIF(Emissions!$C$54:$C$69,'Emissions summary'!$C29,Emissions!BG$54:BG$69)</f>
        <v>8.9161069193006721</v>
      </c>
      <c r="BF29" s="22">
        <f>SUMIF(Emissions!$C$54:$C$69,'Emissions summary'!$C29,Emissions!BH$54:BH$69)</f>
        <v>8.9156489166928932</v>
      </c>
      <c r="BG29" s="22">
        <f>SUMIF(Emissions!$C$54:$C$69,'Emissions summary'!$C29,Emissions!BI$54:BI$69)</f>
        <v>8.915190914085116</v>
      </c>
      <c r="BH29" s="22">
        <f>SUMIF(Emissions!$C$54:$C$69,'Emissions summary'!$C29,Emissions!BJ$54:BJ$69)</f>
        <v>8.9147329114773388</v>
      </c>
      <c r="BI29" s="22">
        <f>SUMIF(Emissions!$C$54:$C$69,'Emissions summary'!$C29,Emissions!BK$54:BK$69)</f>
        <v>8.9142749088695599</v>
      </c>
      <c r="BJ29" s="22">
        <f>SUMIF(Emissions!$C$54:$C$69,'Emissions summary'!$C29,Emissions!BL$54:BL$69)</f>
        <v>8.9138169062617827</v>
      </c>
      <c r="BK29" s="22">
        <f>SUMIF(Emissions!$C$54:$C$69,'Emissions summary'!$C29,Emissions!BM$54:BM$69)</f>
        <v>8.9133589036540037</v>
      </c>
      <c r="BL29" s="22">
        <f>SUMIF(Emissions!$C$54:$C$69,'Emissions summary'!$C29,Emissions!BN$54:BN$69)</f>
        <v>8.9129009010462266</v>
      </c>
      <c r="BM29" s="22">
        <f>SUMIF(Emissions!$C$54:$C$69,'Emissions summary'!$C29,Emissions!BO$54:BO$69)</f>
        <v>8.9124428984384494</v>
      </c>
      <c r="BN29" s="22">
        <f>SUMIF(Emissions!$C$54:$C$69,'Emissions summary'!$C29,Emissions!BP$54:BP$69)</f>
        <v>8.9119848958306704</v>
      </c>
    </row>
    <row r="30" spans="1:66" x14ac:dyDescent="0.3">
      <c r="A30" t="str">
        <f t="shared" ref="A30:B46" si="18">A29</f>
        <v>3C Aggregated and non-CO2 emissions on land</v>
      </c>
      <c r="B30" t="str">
        <f t="shared" ref="B30:B33" si="19">B29</f>
        <v>3C1 Biomass burning (CH4)</v>
      </c>
      <c r="C30" t="str">
        <f>'IPCC Categories'!C61</f>
        <v>3C1c Biomass burning in Grasslands</v>
      </c>
      <c r="D30" t="str">
        <f t="shared" ref="D30:E33" si="20">D29</f>
        <v>CH4</v>
      </c>
      <c r="E30" t="str">
        <f t="shared" si="20"/>
        <v>Gg CH4</v>
      </c>
      <c r="F30" s="22">
        <f>SUMIF(Emissions!$C$54:$C$69,'Emissions summary'!$C30,Emissions!H$54:H$69)</f>
        <v>24.633908128575744</v>
      </c>
      <c r="G30" s="22">
        <f>SUMIF(Emissions!$C$54:$C$69,'Emissions summary'!$C30,Emissions!I$54:I$69)</f>
        <v>24.633908128575744</v>
      </c>
      <c r="H30" s="22">
        <f>SUMIF(Emissions!$C$54:$C$69,'Emissions summary'!$C30,Emissions!J$54:J$69)</f>
        <v>24.633908128575744</v>
      </c>
      <c r="I30" s="22">
        <f>SUMIF(Emissions!$C$54:$C$69,'Emissions summary'!$C30,Emissions!K$54:K$69)</f>
        <v>24.633908128575744</v>
      </c>
      <c r="J30" s="22">
        <f>SUMIF(Emissions!$C$54:$C$69,'Emissions summary'!$C30,Emissions!L$54:L$69)</f>
        <v>24.633908128575744</v>
      </c>
      <c r="K30" s="22">
        <f>SUMIF(Emissions!$C$54:$C$69,'Emissions summary'!$C30,Emissions!M$54:M$69)</f>
        <v>24.633908128575744</v>
      </c>
      <c r="L30" s="22">
        <f>SUMIF(Emissions!$C$54:$C$69,'Emissions summary'!$C30,Emissions!N$54:N$69)</f>
        <v>24.633908128575744</v>
      </c>
      <c r="M30" s="22">
        <f>SUMIF(Emissions!$C$54:$C$69,'Emissions summary'!$C30,Emissions!O$54:O$69)</f>
        <v>24.633908128575744</v>
      </c>
      <c r="N30" s="22">
        <f>SUMIF(Emissions!$C$54:$C$69,'Emissions summary'!$C30,Emissions!P$54:P$69)</f>
        <v>24.633908128575744</v>
      </c>
      <c r="O30" s="22">
        <f>SUMIF(Emissions!$C$54:$C$69,'Emissions summary'!$C30,Emissions!Q$54:Q$69)</f>
        <v>24.633908128575744</v>
      </c>
      <c r="P30" s="22">
        <f>SUMIF(Emissions!$C$54:$C$69,'Emissions summary'!$C30,Emissions!R$54:R$69)</f>
        <v>24.22100971223729</v>
      </c>
      <c r="Q30" s="22">
        <f>SUMIF(Emissions!$C$54:$C$69,'Emissions summary'!$C30,Emissions!S$54:S$69)</f>
        <v>27.159665944327305</v>
      </c>
      <c r="R30" s="22">
        <f>SUMIF(Emissions!$C$54:$C$69,'Emissions summary'!$C30,Emissions!T$54:T$69)</f>
        <v>29.557460778373962</v>
      </c>
      <c r="S30" s="22">
        <f>SUMIF(Emissions!$C$54:$C$69,'Emissions summary'!$C30,Emissions!U$54:U$69)</f>
        <v>22.967890703903489</v>
      </c>
      <c r="T30" s="22">
        <f>SUMIF(Emissions!$C$54:$C$69,'Emissions summary'!$C30,Emissions!V$54:V$69)</f>
        <v>19.263513504036663</v>
      </c>
      <c r="U30" s="22">
        <f>SUMIF(Emissions!$C$54:$C$69,'Emissions summary'!$C30,Emissions!W$54:W$69)</f>
        <v>29.989609054359072</v>
      </c>
      <c r="V30" s="22">
        <f>SUMIF(Emissions!$C$54:$C$69,'Emissions summary'!$C30,Emissions!X$54:X$69)</f>
        <v>26.44988664148541</v>
      </c>
      <c r="W30" s="22">
        <f>SUMIF(Emissions!$C$54:$C$69,'Emissions summary'!$C30,Emissions!Y$54:Y$69)</f>
        <v>24.310343671009509</v>
      </c>
      <c r="X30" s="22">
        <f>SUMIF(Emissions!$C$54:$C$69,'Emissions summary'!$C30,Emissions!Z$54:Z$69)</f>
        <v>23.321518510517112</v>
      </c>
      <c r="Y30" s="22">
        <f>SUMIF(Emissions!$C$54:$C$69,'Emissions summary'!$C30,Emissions!AA$54:AA$69)</f>
        <v>24.458614831490095</v>
      </c>
      <c r="Z30" s="22">
        <f>SUMIF(Emissions!$C$54:$C$69,'Emissions summary'!$C30,Emissions!AB$54:AB$69)</f>
        <v>24.608200366439995</v>
      </c>
      <c r="AA30" s="22">
        <f>SUMIF(Emissions!$C$54:$C$69,'Emissions summary'!$C30,Emissions!AC$54:AC$69)</f>
        <v>25.000606435391994</v>
      </c>
      <c r="AB30" s="22">
        <f>SUMIF(Emissions!$C$54:$C$69,'Emissions summary'!$C30,Emissions!AD$54:AD$69)</f>
        <v>22.211168240472922</v>
      </c>
      <c r="AC30" s="22">
        <f>SUMIF(Emissions!$C$54:$C$69,'Emissions summary'!$C30,Emissions!AE$54:AE$69)</f>
        <v>22.3255420719256</v>
      </c>
      <c r="AD30" s="22">
        <f>SUMIF(Emissions!$C$54:$C$69,'Emissions summary'!$C30,Emissions!AF$54:AF$69)</f>
        <v>22.439915903378274</v>
      </c>
      <c r="AE30" s="22">
        <f>SUMIF(Emissions!$C$54:$C$69,'Emissions summary'!$C30,Emissions!AG$54:AG$69)</f>
        <v>22.554289734830945</v>
      </c>
      <c r="AF30" s="22">
        <f>SUMIF(Emissions!$C$54:$C$69,'Emissions summary'!$C30,Emissions!AH$54:AH$69)</f>
        <v>22.668663566283627</v>
      </c>
      <c r="AG30" s="22">
        <f>SUMIF(Emissions!$C$54:$C$69,'Emissions summary'!$C30,Emissions!AI$54:AI$69)</f>
        <v>22.783037397736297</v>
      </c>
      <c r="AH30" s="22">
        <f>SUMIF(Emissions!$C$54:$C$69,'Emissions summary'!$C30,Emissions!AJ$54:AJ$69)</f>
        <v>22.897411229188972</v>
      </c>
      <c r="AI30" s="22">
        <f>SUMIF(Emissions!$C$54:$C$69,'Emissions summary'!$C30,Emissions!AK$54:AK$69)</f>
        <v>23.095209192169019</v>
      </c>
      <c r="AJ30" s="22">
        <f>SUMIF(Emissions!$C$54:$C$69,'Emissions summary'!$C30,Emissions!AL$54:AL$69)</f>
        <v>23.293007155149056</v>
      </c>
      <c r="AK30" s="22">
        <f>SUMIF(Emissions!$C$54:$C$69,'Emissions summary'!$C30,Emissions!AM$54:AM$69)</f>
        <v>23.490805118129099</v>
      </c>
      <c r="AL30" s="22">
        <f>SUMIF(Emissions!$C$54:$C$69,'Emissions summary'!$C30,Emissions!AN$54:AN$69)</f>
        <v>23.688603081109136</v>
      </c>
      <c r="AM30" s="22">
        <f>SUMIF(Emissions!$C$54:$C$69,'Emissions summary'!$C30,Emissions!AO$54:AO$69)</f>
        <v>23.886401044089183</v>
      </c>
      <c r="AN30" s="22">
        <f>SUMIF(Emissions!$C$54:$C$69,'Emissions summary'!$C30,Emissions!AP$54:AP$69)</f>
        <v>24.08419900706922</v>
      </c>
      <c r="AO30" s="22">
        <f>SUMIF(Emissions!$C$54:$C$69,'Emissions summary'!$C30,Emissions!AQ$54:AQ$69)</f>
        <v>24.281996970049263</v>
      </c>
      <c r="AP30" s="22">
        <f>SUMIF(Emissions!$C$54:$C$69,'Emissions summary'!$C30,Emissions!AR$54:AR$69)</f>
        <v>24.479794933029304</v>
      </c>
      <c r="AQ30" s="22">
        <f>SUMIF(Emissions!$C$54:$C$69,'Emissions summary'!$C30,Emissions!AS$54:AS$69)</f>
        <v>24.677592896009344</v>
      </c>
      <c r="AR30" s="22">
        <f>SUMIF(Emissions!$C$54:$C$69,'Emissions summary'!$C30,Emissions!AT$54:AT$69)</f>
        <v>24.875390858989384</v>
      </c>
      <c r="AS30" s="22">
        <f>SUMIF(Emissions!$C$54:$C$69,'Emissions summary'!$C30,Emissions!AU$54:AU$69)</f>
        <v>25.073188821969428</v>
      </c>
      <c r="AT30" s="22">
        <f>SUMIF(Emissions!$C$54:$C$69,'Emissions summary'!$C30,Emissions!AV$54:AV$69)</f>
        <v>25.270986784949468</v>
      </c>
      <c r="AU30" s="22">
        <f>SUMIF(Emissions!$C$54:$C$69,'Emissions summary'!$C30,Emissions!AW$54:AW$69)</f>
        <v>25.472302246869535</v>
      </c>
      <c r="AV30" s="22">
        <f>SUMIF(Emissions!$C$54:$C$69,'Emissions summary'!$C30,Emissions!AX$54:AX$69)</f>
        <v>25.6736177087896</v>
      </c>
      <c r="AW30" s="22">
        <f>SUMIF(Emissions!$C$54:$C$69,'Emissions summary'!$C30,Emissions!AY$54:AY$69)</f>
        <v>25.874933170709671</v>
      </c>
      <c r="AX30" s="22">
        <f>SUMIF(Emissions!$C$54:$C$69,'Emissions summary'!$C30,Emissions!AZ$54:AZ$69)</f>
        <v>26.076248632629738</v>
      </c>
      <c r="AY30" s="22">
        <f>SUMIF(Emissions!$C$54:$C$69,'Emissions summary'!$C30,Emissions!BA$54:BA$69)</f>
        <v>26.277564094549799</v>
      </c>
      <c r="AZ30" s="22">
        <f>SUMIF(Emissions!$C$54:$C$69,'Emissions summary'!$C30,Emissions!BB$54:BB$69)</f>
        <v>26.47887955646987</v>
      </c>
      <c r="BA30" s="22">
        <f>SUMIF(Emissions!$C$54:$C$69,'Emissions summary'!$C30,Emissions!BC$54:BC$69)</f>
        <v>26.680195018389934</v>
      </c>
      <c r="BB30" s="22">
        <f>SUMIF(Emissions!$C$54:$C$69,'Emissions summary'!$C30,Emissions!BD$54:BD$69)</f>
        <v>26.881510480309998</v>
      </c>
      <c r="BC30" s="22">
        <f>SUMIF(Emissions!$C$54:$C$69,'Emissions summary'!$C30,Emissions!BE$54:BE$69)</f>
        <v>27.082825942230066</v>
      </c>
      <c r="BD30" s="22">
        <f>SUMIF(Emissions!$C$54:$C$69,'Emissions summary'!$C30,Emissions!BF$54:BF$69)</f>
        <v>27.28414140415013</v>
      </c>
      <c r="BE30" s="22">
        <f>SUMIF(Emissions!$C$54:$C$69,'Emissions summary'!$C30,Emissions!BG$54:BG$69)</f>
        <v>27.485456866070198</v>
      </c>
      <c r="BF30" s="22">
        <f>SUMIF(Emissions!$C$54:$C$69,'Emissions summary'!$C30,Emissions!BH$54:BH$69)</f>
        <v>27.686772327990262</v>
      </c>
      <c r="BG30" s="22">
        <f>SUMIF(Emissions!$C$54:$C$69,'Emissions summary'!$C30,Emissions!BI$54:BI$69)</f>
        <v>27.88808778991033</v>
      </c>
      <c r="BH30" s="22">
        <f>SUMIF(Emissions!$C$54:$C$69,'Emissions summary'!$C30,Emissions!BJ$54:BJ$69)</f>
        <v>28.089403251830397</v>
      </c>
      <c r="BI30" s="22">
        <f>SUMIF(Emissions!$C$54:$C$69,'Emissions summary'!$C30,Emissions!BK$54:BK$69)</f>
        <v>28.290718713750465</v>
      </c>
      <c r="BJ30" s="22">
        <f>SUMIF(Emissions!$C$54:$C$69,'Emissions summary'!$C30,Emissions!BL$54:BL$69)</f>
        <v>28.492034175670533</v>
      </c>
      <c r="BK30" s="22">
        <f>SUMIF(Emissions!$C$54:$C$69,'Emissions summary'!$C30,Emissions!BM$54:BM$69)</f>
        <v>28.6933496375906</v>
      </c>
      <c r="BL30" s="22">
        <f>SUMIF(Emissions!$C$54:$C$69,'Emissions summary'!$C30,Emissions!BN$54:BN$69)</f>
        <v>28.894665099510664</v>
      </c>
      <c r="BM30" s="22">
        <f>SUMIF(Emissions!$C$54:$C$69,'Emissions summary'!$C30,Emissions!BO$54:BO$69)</f>
        <v>29.095980561430732</v>
      </c>
      <c r="BN30" s="22">
        <f>SUMIF(Emissions!$C$54:$C$69,'Emissions summary'!$C30,Emissions!BP$54:BP$69)</f>
        <v>29.2972960233508</v>
      </c>
    </row>
    <row r="31" spans="1:66" x14ac:dyDescent="0.3">
      <c r="A31" t="str">
        <f t="shared" si="18"/>
        <v>3C Aggregated and non-CO2 emissions on land</v>
      </c>
      <c r="B31" t="str">
        <f t="shared" si="19"/>
        <v>3C1 Biomass burning (CH4)</v>
      </c>
      <c r="C31" t="str">
        <f>'IPCC Categories'!C62</f>
        <v>3C1d Biomass burning in Wetlands</v>
      </c>
      <c r="D31" t="str">
        <f t="shared" si="20"/>
        <v>CH4</v>
      </c>
      <c r="E31" t="str">
        <f t="shared" si="20"/>
        <v>Gg CH4</v>
      </c>
      <c r="F31" s="22">
        <f>SUMIF(Emissions!$C$54:$C$69,'Emissions summary'!$C31,Emissions!H$54:H$69)</f>
        <v>0.80577517347341965</v>
      </c>
      <c r="G31" s="22">
        <f>SUMIF(Emissions!$C$54:$C$69,'Emissions summary'!$C31,Emissions!I$54:I$69)</f>
        <v>0.80577517347341965</v>
      </c>
      <c r="H31" s="22">
        <f>SUMIF(Emissions!$C$54:$C$69,'Emissions summary'!$C31,Emissions!J$54:J$69)</f>
        <v>0.80577517347341965</v>
      </c>
      <c r="I31" s="22">
        <f>SUMIF(Emissions!$C$54:$C$69,'Emissions summary'!$C31,Emissions!K$54:K$69)</f>
        <v>0.80577517347341965</v>
      </c>
      <c r="J31" s="22">
        <f>SUMIF(Emissions!$C$54:$C$69,'Emissions summary'!$C31,Emissions!L$54:L$69)</f>
        <v>0.80577517347341965</v>
      </c>
      <c r="K31" s="22">
        <f>SUMIF(Emissions!$C$54:$C$69,'Emissions summary'!$C31,Emissions!M$54:M$69)</f>
        <v>0.80577517347341965</v>
      </c>
      <c r="L31" s="22">
        <f>SUMIF(Emissions!$C$54:$C$69,'Emissions summary'!$C31,Emissions!N$54:N$69)</f>
        <v>0.80577517347341965</v>
      </c>
      <c r="M31" s="22">
        <f>SUMIF(Emissions!$C$54:$C$69,'Emissions summary'!$C31,Emissions!O$54:O$69)</f>
        <v>0.80577517347341965</v>
      </c>
      <c r="N31" s="22">
        <f>SUMIF(Emissions!$C$54:$C$69,'Emissions summary'!$C31,Emissions!P$54:P$69)</f>
        <v>0.80577517347341965</v>
      </c>
      <c r="O31" s="22">
        <f>SUMIF(Emissions!$C$54:$C$69,'Emissions summary'!$C31,Emissions!Q$54:Q$69)</f>
        <v>0.80577517347341965</v>
      </c>
      <c r="P31" s="22">
        <f>SUMIF(Emissions!$C$54:$C$69,'Emissions summary'!$C31,Emissions!R$54:R$69)</f>
        <v>0.71282120012392636</v>
      </c>
      <c r="Q31" s="22">
        <f>SUMIF(Emissions!$C$54:$C$69,'Emissions summary'!$C31,Emissions!S$54:S$69)</f>
        <v>0.86099923348302065</v>
      </c>
      <c r="R31" s="22">
        <f>SUMIF(Emissions!$C$54:$C$69,'Emissions summary'!$C31,Emissions!T$54:T$69)</f>
        <v>0.97458063350276725</v>
      </c>
      <c r="S31" s="22">
        <f>SUMIF(Emissions!$C$54:$C$69,'Emissions summary'!$C31,Emissions!U$54:U$69)</f>
        <v>0.79724568902749249</v>
      </c>
      <c r="T31" s="22">
        <f>SUMIF(Emissions!$C$54:$C$69,'Emissions summary'!$C31,Emissions!V$54:V$69)</f>
        <v>0.68322911122989261</v>
      </c>
      <c r="U31" s="22">
        <f>SUMIF(Emissions!$C$54:$C$69,'Emissions summary'!$C31,Emissions!W$54:W$69)</f>
        <v>1.0109179779535291</v>
      </c>
      <c r="V31" s="22">
        <f>SUMIF(Emissions!$C$54:$C$69,'Emissions summary'!$C31,Emissions!X$54:X$69)</f>
        <v>0.89733657793378252</v>
      </c>
      <c r="W31" s="22">
        <f>SUMIF(Emissions!$C$54:$C$69,'Emissions summary'!$C31,Emissions!Y$54:Y$69)</f>
        <v>0.79050043347076437</v>
      </c>
      <c r="X31" s="22">
        <f>SUMIF(Emissions!$C$54:$C$69,'Emissions summary'!$C31,Emissions!Z$54:Z$69)</f>
        <v>0.72087198901421468</v>
      </c>
      <c r="Y31" s="22">
        <f>SUMIF(Emissions!$C$54:$C$69,'Emissions summary'!$C31,Emissions!AA$54:AA$69)</f>
        <v>0.80964825569631549</v>
      </c>
      <c r="Z31" s="22">
        <f>SUMIF(Emissions!$C$54:$C$69,'Emissions summary'!$C31,Emissions!AB$54:AB$69)</f>
        <v>1.0836294956999997</v>
      </c>
      <c r="AA31" s="22">
        <f>SUMIF(Emissions!$C$54:$C$69,'Emissions summary'!$C31,Emissions!AC$54:AC$69)</f>
        <v>1.1703623921999995</v>
      </c>
      <c r="AB31" s="22">
        <f>SUMIF(Emissions!$C$54:$C$69,'Emissions summary'!$C31,Emissions!AD$54:AD$69)</f>
        <v>0.86319492850198365</v>
      </c>
      <c r="AC31" s="22">
        <f>SUMIF(Emissions!$C$54:$C$69,'Emissions summary'!$C31,Emissions!AE$54:AE$69)</f>
        <v>0.86319492850198365</v>
      </c>
      <c r="AD31" s="22">
        <f>SUMIF(Emissions!$C$54:$C$69,'Emissions summary'!$C31,Emissions!AF$54:AF$69)</f>
        <v>0.86319492850198365</v>
      </c>
      <c r="AE31" s="22">
        <f>SUMIF(Emissions!$C$54:$C$69,'Emissions summary'!$C31,Emissions!AG$54:AG$69)</f>
        <v>0.86319492850198365</v>
      </c>
      <c r="AF31" s="22">
        <f>SUMIF(Emissions!$C$54:$C$69,'Emissions summary'!$C31,Emissions!AH$54:AH$69)</f>
        <v>0.86319492850198365</v>
      </c>
      <c r="AG31" s="22">
        <f>SUMIF(Emissions!$C$54:$C$69,'Emissions summary'!$C31,Emissions!AI$54:AI$69)</f>
        <v>0.86319492850198365</v>
      </c>
      <c r="AH31" s="22">
        <f>SUMIF(Emissions!$C$54:$C$69,'Emissions summary'!$C31,Emissions!AJ$54:AJ$69)</f>
        <v>0.86319492850198365</v>
      </c>
      <c r="AI31" s="22">
        <f>SUMIF(Emissions!$C$54:$C$69,'Emissions summary'!$C31,Emissions!AK$54:AK$69)</f>
        <v>0.86319492850198365</v>
      </c>
      <c r="AJ31" s="22">
        <f>SUMIF(Emissions!$C$54:$C$69,'Emissions summary'!$C31,Emissions!AL$54:AL$69)</f>
        <v>0.86319492850198365</v>
      </c>
      <c r="AK31" s="22">
        <f>SUMIF(Emissions!$C$54:$C$69,'Emissions summary'!$C31,Emissions!AM$54:AM$69)</f>
        <v>0.86319492850198365</v>
      </c>
      <c r="AL31" s="22">
        <f>SUMIF(Emissions!$C$54:$C$69,'Emissions summary'!$C31,Emissions!AN$54:AN$69)</f>
        <v>0.86319492850198365</v>
      </c>
      <c r="AM31" s="22">
        <f>SUMIF(Emissions!$C$54:$C$69,'Emissions summary'!$C31,Emissions!AO$54:AO$69)</f>
        <v>0.86319492850198365</v>
      </c>
      <c r="AN31" s="22">
        <f>SUMIF(Emissions!$C$54:$C$69,'Emissions summary'!$C31,Emissions!AP$54:AP$69)</f>
        <v>0.86319492850198365</v>
      </c>
      <c r="AO31" s="22">
        <f>SUMIF(Emissions!$C$54:$C$69,'Emissions summary'!$C31,Emissions!AQ$54:AQ$69)</f>
        <v>0.86319492850198365</v>
      </c>
      <c r="AP31" s="22">
        <f>SUMIF(Emissions!$C$54:$C$69,'Emissions summary'!$C31,Emissions!AR$54:AR$69)</f>
        <v>0.86319492850198365</v>
      </c>
      <c r="AQ31" s="22">
        <f>SUMIF(Emissions!$C$54:$C$69,'Emissions summary'!$C31,Emissions!AS$54:AS$69)</f>
        <v>0.86319492850198365</v>
      </c>
      <c r="AR31" s="22">
        <f>SUMIF(Emissions!$C$54:$C$69,'Emissions summary'!$C31,Emissions!AT$54:AT$69)</f>
        <v>0.86319492850198365</v>
      </c>
      <c r="AS31" s="22">
        <f>SUMIF(Emissions!$C$54:$C$69,'Emissions summary'!$C31,Emissions!AU$54:AU$69)</f>
        <v>0.86319492850198365</v>
      </c>
      <c r="AT31" s="22">
        <f>SUMIF(Emissions!$C$54:$C$69,'Emissions summary'!$C31,Emissions!AV$54:AV$69)</f>
        <v>0.86319492850198365</v>
      </c>
      <c r="AU31" s="22">
        <f>SUMIF(Emissions!$C$54:$C$69,'Emissions summary'!$C31,Emissions!AW$54:AW$69)</f>
        <v>0.86319492850198365</v>
      </c>
      <c r="AV31" s="22">
        <f>SUMIF(Emissions!$C$54:$C$69,'Emissions summary'!$C31,Emissions!AX$54:AX$69)</f>
        <v>0.86319492850198365</v>
      </c>
      <c r="AW31" s="22">
        <f>SUMIF(Emissions!$C$54:$C$69,'Emissions summary'!$C31,Emissions!AY$54:AY$69)</f>
        <v>0.86319492850198365</v>
      </c>
      <c r="AX31" s="22">
        <f>SUMIF(Emissions!$C$54:$C$69,'Emissions summary'!$C31,Emissions!AZ$54:AZ$69)</f>
        <v>0.86319492850198365</v>
      </c>
      <c r="AY31" s="22">
        <f>SUMIF(Emissions!$C$54:$C$69,'Emissions summary'!$C31,Emissions!BA$54:BA$69)</f>
        <v>0.86319492850198365</v>
      </c>
      <c r="AZ31" s="22">
        <f>SUMIF(Emissions!$C$54:$C$69,'Emissions summary'!$C31,Emissions!BB$54:BB$69)</f>
        <v>0.86319492850198365</v>
      </c>
      <c r="BA31" s="22">
        <f>SUMIF(Emissions!$C$54:$C$69,'Emissions summary'!$C31,Emissions!BC$54:BC$69)</f>
        <v>0.86319492850198365</v>
      </c>
      <c r="BB31" s="22">
        <f>SUMIF(Emissions!$C$54:$C$69,'Emissions summary'!$C31,Emissions!BD$54:BD$69)</f>
        <v>0.86319492850198365</v>
      </c>
      <c r="BC31" s="22">
        <f>SUMIF(Emissions!$C$54:$C$69,'Emissions summary'!$C31,Emissions!BE$54:BE$69)</f>
        <v>0.86319492850198365</v>
      </c>
      <c r="BD31" s="22">
        <f>SUMIF(Emissions!$C$54:$C$69,'Emissions summary'!$C31,Emissions!BF$54:BF$69)</f>
        <v>0.86319492850198365</v>
      </c>
      <c r="BE31" s="22">
        <f>SUMIF(Emissions!$C$54:$C$69,'Emissions summary'!$C31,Emissions!BG$54:BG$69)</f>
        <v>0.86319492850198365</v>
      </c>
      <c r="BF31" s="22">
        <f>SUMIF(Emissions!$C$54:$C$69,'Emissions summary'!$C31,Emissions!BH$54:BH$69)</f>
        <v>0.86319492850198365</v>
      </c>
      <c r="BG31" s="22">
        <f>SUMIF(Emissions!$C$54:$C$69,'Emissions summary'!$C31,Emissions!BI$54:BI$69)</f>
        <v>0.86319492850198365</v>
      </c>
      <c r="BH31" s="22">
        <f>SUMIF(Emissions!$C$54:$C$69,'Emissions summary'!$C31,Emissions!BJ$54:BJ$69)</f>
        <v>0.86319492850198365</v>
      </c>
      <c r="BI31" s="22">
        <f>SUMIF(Emissions!$C$54:$C$69,'Emissions summary'!$C31,Emissions!BK$54:BK$69)</f>
        <v>0.86319492850198365</v>
      </c>
      <c r="BJ31" s="22">
        <f>SUMIF(Emissions!$C$54:$C$69,'Emissions summary'!$C31,Emissions!BL$54:BL$69)</f>
        <v>0.86319492850198365</v>
      </c>
      <c r="BK31" s="22">
        <f>SUMIF(Emissions!$C$54:$C$69,'Emissions summary'!$C31,Emissions!BM$54:BM$69)</f>
        <v>0.86319492850198365</v>
      </c>
      <c r="BL31" s="22">
        <f>SUMIF(Emissions!$C$54:$C$69,'Emissions summary'!$C31,Emissions!BN$54:BN$69)</f>
        <v>0.86319492850198365</v>
      </c>
      <c r="BM31" s="22">
        <f>SUMIF(Emissions!$C$54:$C$69,'Emissions summary'!$C31,Emissions!BO$54:BO$69)</f>
        <v>0.86319492850198365</v>
      </c>
      <c r="BN31" s="22">
        <f>SUMIF(Emissions!$C$54:$C$69,'Emissions summary'!$C31,Emissions!BP$54:BP$69)</f>
        <v>0.86319492850198365</v>
      </c>
    </row>
    <row r="32" spans="1:66" x14ac:dyDescent="0.3">
      <c r="A32" t="str">
        <f t="shared" si="18"/>
        <v>3C Aggregated and non-CO2 emissions on land</v>
      </c>
      <c r="B32" t="str">
        <f t="shared" si="19"/>
        <v>3C1 Biomass burning (CH4)</v>
      </c>
      <c r="C32" t="str">
        <f>'IPCC Categories'!C63</f>
        <v>3C1e Biomass burning in Settlements</v>
      </c>
      <c r="D32" t="str">
        <f t="shared" si="20"/>
        <v>CH4</v>
      </c>
      <c r="E32" t="str">
        <f t="shared" si="20"/>
        <v>Gg CH4</v>
      </c>
      <c r="F32" s="22">
        <f>SUMIF(Emissions!$C$54:$C$69,'Emissions summary'!$C32,Emissions!H$54:H$69)</f>
        <v>0.48879168008497798</v>
      </c>
      <c r="G32" s="22">
        <f>SUMIF(Emissions!$C$54:$C$69,'Emissions summary'!$C32,Emissions!I$54:I$69)</f>
        <v>0.48879168008497798</v>
      </c>
      <c r="H32" s="22">
        <f>SUMIF(Emissions!$C$54:$C$69,'Emissions summary'!$C32,Emissions!J$54:J$69)</f>
        <v>0.48879168008497798</v>
      </c>
      <c r="I32" s="22">
        <f>SUMIF(Emissions!$C$54:$C$69,'Emissions summary'!$C32,Emissions!K$54:K$69)</f>
        <v>0.48879168008497798</v>
      </c>
      <c r="J32" s="22">
        <f>SUMIF(Emissions!$C$54:$C$69,'Emissions summary'!$C32,Emissions!L$54:L$69)</f>
        <v>0.48879168008497798</v>
      </c>
      <c r="K32" s="22">
        <f>SUMIF(Emissions!$C$54:$C$69,'Emissions summary'!$C32,Emissions!M$54:M$69)</f>
        <v>0.48879168008497798</v>
      </c>
      <c r="L32" s="22">
        <f>SUMIF(Emissions!$C$54:$C$69,'Emissions summary'!$C32,Emissions!N$54:N$69)</f>
        <v>0.48879168008497798</v>
      </c>
      <c r="M32" s="22">
        <f>SUMIF(Emissions!$C$54:$C$69,'Emissions summary'!$C32,Emissions!O$54:O$69)</f>
        <v>0.48879168008497798</v>
      </c>
      <c r="N32" s="22">
        <f>SUMIF(Emissions!$C$54:$C$69,'Emissions summary'!$C32,Emissions!P$54:P$69)</f>
        <v>0.48879168008497798</v>
      </c>
      <c r="O32" s="22">
        <f>SUMIF(Emissions!$C$54:$C$69,'Emissions summary'!$C32,Emissions!Q$54:Q$69)</f>
        <v>0.48879168008497798</v>
      </c>
      <c r="P32" s="22">
        <f>SUMIF(Emissions!$C$54:$C$69,'Emissions summary'!$C32,Emissions!R$54:R$69)</f>
        <v>0.53244001120367745</v>
      </c>
      <c r="Q32" s="22">
        <f>SUMIF(Emissions!$C$54:$C$69,'Emissions summary'!$C32,Emissions!S$54:S$69)</f>
        <v>0.58966588899140415</v>
      </c>
      <c r="R32" s="22">
        <f>SUMIF(Emissions!$C$54:$C$69,'Emissions summary'!$C32,Emissions!T$54:T$69)</f>
        <v>0.52134297786841477</v>
      </c>
      <c r="S32" s="22">
        <f>SUMIF(Emissions!$C$54:$C$69,'Emissions summary'!$C32,Emissions!U$54:U$69)</f>
        <v>0.44975623341152487</v>
      </c>
      <c r="T32" s="22">
        <f>SUMIF(Emissions!$C$54:$C$69,'Emissions summary'!$C32,Emissions!V$54:V$69)</f>
        <v>0.35075328894986846</v>
      </c>
      <c r="U32" s="22">
        <f>SUMIF(Emissions!$C$54:$C$69,'Emissions summary'!$C32,Emissions!W$54:W$69)</f>
        <v>0.79419944458251857</v>
      </c>
      <c r="V32" s="22">
        <f>SUMIF(Emissions!$C$54:$C$69,'Emissions summary'!$C32,Emissions!X$54:X$69)</f>
        <v>0.69563167789871561</v>
      </c>
      <c r="W32" s="22">
        <f>SUMIF(Emissions!$C$54:$C$69,'Emissions summary'!$C32,Emissions!Y$54:Y$69)</f>
        <v>0.76939431124487268</v>
      </c>
      <c r="X32" s="22">
        <f>SUMIF(Emissions!$C$54:$C$69,'Emissions summary'!$C32,Emissions!Z$54:Z$69)</f>
        <v>0.47499654452702411</v>
      </c>
      <c r="Y32" s="22">
        <f>SUMIF(Emissions!$C$54:$C$69,'Emissions summary'!$C32,Emissions!AA$54:AA$69)</f>
        <v>0.5716060112104866</v>
      </c>
      <c r="Z32" s="22">
        <f>SUMIF(Emissions!$C$54:$C$69,'Emissions summary'!$C32,Emissions!AB$54:AB$69)</f>
        <v>0.42745793939999993</v>
      </c>
      <c r="AA32" s="22">
        <f>SUMIF(Emissions!$C$54:$C$69,'Emissions summary'!$C32,Emissions!AC$54:AC$69)</f>
        <v>0.29794462199999994</v>
      </c>
      <c r="AB32" s="22">
        <f>SUMIF(Emissions!$C$54:$C$69,'Emissions summary'!$C32,Emissions!AD$54:AD$69)</f>
        <v>0.42972240374246135</v>
      </c>
      <c r="AC32" s="22">
        <f>SUMIF(Emissions!$C$54:$C$69,'Emissions summary'!$C32,Emissions!AE$54:AE$69)</f>
        <v>0.43063058922924524</v>
      </c>
      <c r="AD32" s="22">
        <f>SUMIF(Emissions!$C$54:$C$69,'Emissions summary'!$C32,Emissions!AF$54:AF$69)</f>
        <v>0.43153877471602919</v>
      </c>
      <c r="AE32" s="22">
        <f>SUMIF(Emissions!$C$54:$C$69,'Emissions summary'!$C32,Emissions!AG$54:AG$69)</f>
        <v>0.43244696020281326</v>
      </c>
      <c r="AF32" s="22">
        <f>SUMIF(Emissions!$C$54:$C$69,'Emissions summary'!$C32,Emissions!AH$54:AH$69)</f>
        <v>0.43335514568959721</v>
      </c>
      <c r="AG32" s="22">
        <f>SUMIF(Emissions!$C$54:$C$69,'Emissions summary'!$C32,Emissions!AI$54:AI$69)</f>
        <v>0.43426333117638116</v>
      </c>
      <c r="AH32" s="22">
        <f>SUMIF(Emissions!$C$54:$C$69,'Emissions summary'!$C32,Emissions!AJ$54:AJ$69)</f>
        <v>0.43517151666316517</v>
      </c>
      <c r="AI32" s="22">
        <f>SUMIF(Emissions!$C$54:$C$69,'Emissions summary'!$C32,Emissions!AK$54:AK$69)</f>
        <v>0.43607970214994918</v>
      </c>
      <c r="AJ32" s="22">
        <f>SUMIF(Emissions!$C$54:$C$69,'Emissions summary'!$C32,Emissions!AL$54:AL$69)</f>
        <v>0.43698788763673319</v>
      </c>
      <c r="AK32" s="22">
        <f>SUMIF(Emissions!$C$54:$C$69,'Emissions summary'!$C32,Emissions!AM$54:AM$69)</f>
        <v>0.43789607312351719</v>
      </c>
      <c r="AL32" s="22">
        <f>SUMIF(Emissions!$C$54:$C$69,'Emissions summary'!$C32,Emissions!AN$54:AN$69)</f>
        <v>0.4388042586103012</v>
      </c>
      <c r="AM32" s="22">
        <f>SUMIF(Emissions!$C$54:$C$69,'Emissions summary'!$C32,Emissions!AO$54:AO$69)</f>
        <v>0.43971244409708521</v>
      </c>
      <c r="AN32" s="22">
        <f>SUMIF(Emissions!$C$54:$C$69,'Emissions summary'!$C32,Emissions!AP$54:AP$69)</f>
        <v>0.44062062958386911</v>
      </c>
      <c r="AO32" s="22">
        <f>SUMIF(Emissions!$C$54:$C$69,'Emissions summary'!$C32,Emissions!AQ$54:AQ$69)</f>
        <v>0.44152881507065311</v>
      </c>
      <c r="AP32" s="22">
        <f>SUMIF(Emissions!$C$54:$C$69,'Emissions summary'!$C32,Emissions!AR$54:AR$69)</f>
        <v>0.44243700055743712</v>
      </c>
      <c r="AQ32" s="22">
        <f>SUMIF(Emissions!$C$54:$C$69,'Emissions summary'!$C32,Emissions!AS$54:AS$69)</f>
        <v>0.44334518604422107</v>
      </c>
      <c r="AR32" s="22">
        <f>SUMIF(Emissions!$C$54:$C$69,'Emissions summary'!$C32,Emissions!AT$54:AT$69)</f>
        <v>0.44425337153100508</v>
      </c>
      <c r="AS32" s="22">
        <f>SUMIF(Emissions!$C$54:$C$69,'Emissions summary'!$C32,Emissions!AU$54:AU$69)</f>
        <v>0.44516155701778909</v>
      </c>
      <c r="AT32" s="22">
        <f>SUMIF(Emissions!$C$54:$C$69,'Emissions summary'!$C32,Emissions!AV$54:AV$69)</f>
        <v>0.44606974250457304</v>
      </c>
      <c r="AU32" s="22">
        <f>SUMIF(Emissions!$C$54:$C$69,'Emissions summary'!$C32,Emissions!AW$54:AW$69)</f>
        <v>0.44697792799135705</v>
      </c>
      <c r="AV32" s="22">
        <f>SUMIF(Emissions!$C$54:$C$69,'Emissions summary'!$C32,Emissions!AX$54:AX$69)</f>
        <v>0.44788611347814106</v>
      </c>
      <c r="AW32" s="22">
        <f>SUMIF(Emissions!$C$54:$C$69,'Emissions summary'!$C32,Emissions!AY$54:AY$69)</f>
        <v>0.44879429896492501</v>
      </c>
      <c r="AX32" s="22">
        <f>SUMIF(Emissions!$C$54:$C$69,'Emissions summary'!$C32,Emissions!AZ$54:AZ$69)</f>
        <v>0.44970248445170896</v>
      </c>
      <c r="AY32" s="22">
        <f>SUMIF(Emissions!$C$54:$C$69,'Emissions summary'!$C32,Emissions!BA$54:BA$69)</f>
        <v>0.45061066993849297</v>
      </c>
      <c r="AZ32" s="22">
        <f>SUMIF(Emissions!$C$54:$C$69,'Emissions summary'!$C32,Emissions!BB$54:BB$69)</f>
        <v>0.45151885542527692</v>
      </c>
      <c r="BA32" s="22">
        <f>SUMIF(Emissions!$C$54:$C$69,'Emissions summary'!$C32,Emissions!BC$54:BC$69)</f>
        <v>0.45242704091206093</v>
      </c>
      <c r="BB32" s="22">
        <f>SUMIF(Emissions!$C$54:$C$69,'Emissions summary'!$C32,Emissions!BD$54:BD$69)</f>
        <v>0.45333522639884494</v>
      </c>
      <c r="BC32" s="22">
        <f>SUMIF(Emissions!$C$54:$C$69,'Emissions summary'!$C32,Emissions!BE$54:BE$69)</f>
        <v>0.454243411885629</v>
      </c>
      <c r="BD32" s="22">
        <f>SUMIF(Emissions!$C$54:$C$69,'Emissions summary'!$C32,Emissions!BF$54:BF$69)</f>
        <v>0.45515159737241295</v>
      </c>
      <c r="BE32" s="22">
        <f>SUMIF(Emissions!$C$54:$C$69,'Emissions summary'!$C32,Emissions!BG$54:BG$69)</f>
        <v>0.4560597828591969</v>
      </c>
      <c r="BF32" s="22">
        <f>SUMIF(Emissions!$C$54:$C$69,'Emissions summary'!$C32,Emissions!BH$54:BH$69)</f>
        <v>0.45696796834598097</v>
      </c>
      <c r="BG32" s="22">
        <f>SUMIF(Emissions!$C$54:$C$69,'Emissions summary'!$C32,Emissions!BI$54:BI$69)</f>
        <v>0.45787615383276492</v>
      </c>
      <c r="BH32" s="22">
        <f>SUMIF(Emissions!$C$54:$C$69,'Emissions summary'!$C32,Emissions!BJ$54:BJ$69)</f>
        <v>0.45878433931954882</v>
      </c>
      <c r="BI32" s="22">
        <f>SUMIF(Emissions!$C$54:$C$69,'Emissions summary'!$C32,Emissions!BK$54:BK$69)</f>
        <v>0.45969252480633288</v>
      </c>
      <c r="BJ32" s="22">
        <f>SUMIF(Emissions!$C$54:$C$69,'Emissions summary'!$C32,Emissions!BL$54:BL$69)</f>
        <v>0.46060071029311683</v>
      </c>
      <c r="BK32" s="22">
        <f>SUMIF(Emissions!$C$54:$C$69,'Emissions summary'!$C32,Emissions!BM$54:BM$69)</f>
        <v>0.46150889577990084</v>
      </c>
      <c r="BL32" s="22">
        <f>SUMIF(Emissions!$C$54:$C$69,'Emissions summary'!$C32,Emissions!BN$54:BN$69)</f>
        <v>0.46241708126668479</v>
      </c>
      <c r="BM32" s="22">
        <f>SUMIF(Emissions!$C$54:$C$69,'Emissions summary'!$C32,Emissions!BO$54:BO$69)</f>
        <v>0.4633252667534688</v>
      </c>
      <c r="BN32" s="22">
        <f>SUMIF(Emissions!$C$54:$C$69,'Emissions summary'!$C32,Emissions!BP$54:BP$69)</f>
        <v>0.46423345224025281</v>
      </c>
    </row>
    <row r="33" spans="1:66" x14ac:dyDescent="0.3">
      <c r="A33" t="str">
        <f t="shared" si="18"/>
        <v>3C Aggregated and non-CO2 emissions on land</v>
      </c>
      <c r="B33" t="str">
        <f t="shared" si="19"/>
        <v>3C1 Biomass burning (CH4)</v>
      </c>
      <c r="C33" t="str">
        <f>'IPCC Categories'!C64</f>
        <v>3C1f Biomass burning in Other lands</v>
      </c>
      <c r="D33" t="str">
        <f t="shared" si="20"/>
        <v>CH4</v>
      </c>
      <c r="E33" t="str">
        <f t="shared" si="20"/>
        <v>Gg CH4</v>
      </c>
      <c r="F33" s="22">
        <f>SUMIF(Emissions!$C$54:$C$69,'Emissions summary'!$C33,Emissions!H$54:H$69)</f>
        <v>0</v>
      </c>
      <c r="G33" s="22">
        <f>SUMIF(Emissions!$C$54:$C$69,'Emissions summary'!$C33,Emissions!I$54:I$69)</f>
        <v>0</v>
      </c>
      <c r="H33" s="22">
        <f>SUMIF(Emissions!$C$54:$C$69,'Emissions summary'!$C33,Emissions!J$54:J$69)</f>
        <v>0</v>
      </c>
      <c r="I33" s="22">
        <f>SUMIF(Emissions!$C$54:$C$69,'Emissions summary'!$C33,Emissions!K$54:K$69)</f>
        <v>0</v>
      </c>
      <c r="J33" s="22">
        <f>SUMIF(Emissions!$C$54:$C$69,'Emissions summary'!$C33,Emissions!L$54:L$69)</f>
        <v>0</v>
      </c>
      <c r="K33" s="22">
        <f>SUMIF(Emissions!$C$54:$C$69,'Emissions summary'!$C33,Emissions!M$54:M$69)</f>
        <v>0</v>
      </c>
      <c r="L33" s="22">
        <f>SUMIF(Emissions!$C$54:$C$69,'Emissions summary'!$C33,Emissions!N$54:N$69)</f>
        <v>0</v>
      </c>
      <c r="M33" s="22">
        <f>SUMIF(Emissions!$C$54:$C$69,'Emissions summary'!$C33,Emissions!O$54:O$69)</f>
        <v>0</v>
      </c>
      <c r="N33" s="22">
        <f>SUMIF(Emissions!$C$54:$C$69,'Emissions summary'!$C33,Emissions!P$54:P$69)</f>
        <v>0</v>
      </c>
      <c r="O33" s="22">
        <f>SUMIF(Emissions!$C$54:$C$69,'Emissions summary'!$C33,Emissions!Q$54:Q$69)</f>
        <v>0</v>
      </c>
      <c r="P33" s="22">
        <f>SUMIF(Emissions!$C$54:$C$69,'Emissions summary'!$C33,Emissions!R$54:R$69)</f>
        <v>0</v>
      </c>
      <c r="Q33" s="22">
        <f>SUMIF(Emissions!$C$54:$C$69,'Emissions summary'!$C33,Emissions!S$54:S$69)</f>
        <v>0</v>
      </c>
      <c r="R33" s="22">
        <f>SUMIF(Emissions!$C$54:$C$69,'Emissions summary'!$C33,Emissions!T$54:T$69)</f>
        <v>0</v>
      </c>
      <c r="S33" s="22">
        <f>SUMIF(Emissions!$C$54:$C$69,'Emissions summary'!$C33,Emissions!U$54:U$69)</f>
        <v>0</v>
      </c>
      <c r="T33" s="22">
        <f>SUMIF(Emissions!$C$54:$C$69,'Emissions summary'!$C33,Emissions!V$54:V$69)</f>
        <v>0</v>
      </c>
      <c r="U33" s="22">
        <f>SUMIF(Emissions!$C$54:$C$69,'Emissions summary'!$C33,Emissions!W$54:W$69)</f>
        <v>0</v>
      </c>
      <c r="V33" s="22">
        <f>SUMIF(Emissions!$C$54:$C$69,'Emissions summary'!$C33,Emissions!X$54:X$69)</f>
        <v>0</v>
      </c>
      <c r="W33" s="22">
        <f>SUMIF(Emissions!$C$54:$C$69,'Emissions summary'!$C33,Emissions!Y$54:Y$69)</f>
        <v>0</v>
      </c>
      <c r="X33" s="22">
        <f>SUMIF(Emissions!$C$54:$C$69,'Emissions summary'!$C33,Emissions!Z$54:Z$69)</f>
        <v>0</v>
      </c>
      <c r="Y33" s="22">
        <f>SUMIF(Emissions!$C$54:$C$69,'Emissions summary'!$C33,Emissions!AA$54:AA$69)</f>
        <v>0</v>
      </c>
      <c r="Z33" s="22">
        <f>SUMIF(Emissions!$C$54:$C$69,'Emissions summary'!$C33,Emissions!AB$54:AB$69)</f>
        <v>0</v>
      </c>
      <c r="AA33" s="22">
        <f>SUMIF(Emissions!$C$54:$C$69,'Emissions summary'!$C33,Emissions!AC$54:AC$69)</f>
        <v>0</v>
      </c>
      <c r="AB33" s="22">
        <f>SUMIF(Emissions!$C$54:$C$69,'Emissions summary'!$C33,Emissions!AD$54:AD$69)</f>
        <v>0</v>
      </c>
      <c r="AC33" s="22">
        <f>SUMIF(Emissions!$C$54:$C$69,'Emissions summary'!$C33,Emissions!AE$54:AE$69)</f>
        <v>0</v>
      </c>
      <c r="AD33" s="22">
        <f>SUMIF(Emissions!$C$54:$C$69,'Emissions summary'!$C33,Emissions!AF$54:AF$69)</f>
        <v>0</v>
      </c>
      <c r="AE33" s="22">
        <f>SUMIF(Emissions!$C$54:$C$69,'Emissions summary'!$C33,Emissions!AG$54:AG$69)</f>
        <v>0</v>
      </c>
      <c r="AF33" s="22">
        <f>SUMIF(Emissions!$C$54:$C$69,'Emissions summary'!$C33,Emissions!AH$54:AH$69)</f>
        <v>0</v>
      </c>
      <c r="AG33" s="22">
        <f>SUMIF(Emissions!$C$54:$C$69,'Emissions summary'!$C33,Emissions!AI$54:AI$69)</f>
        <v>0</v>
      </c>
      <c r="AH33" s="22">
        <f>SUMIF(Emissions!$C$54:$C$69,'Emissions summary'!$C33,Emissions!AJ$54:AJ$69)</f>
        <v>0</v>
      </c>
      <c r="AI33" s="22">
        <f>SUMIF(Emissions!$C$54:$C$69,'Emissions summary'!$C33,Emissions!AK$54:AK$69)</f>
        <v>0</v>
      </c>
      <c r="AJ33" s="22">
        <f>SUMIF(Emissions!$C$54:$C$69,'Emissions summary'!$C33,Emissions!AL$54:AL$69)</f>
        <v>0</v>
      </c>
      <c r="AK33" s="22">
        <f>SUMIF(Emissions!$C$54:$C$69,'Emissions summary'!$C33,Emissions!AM$54:AM$69)</f>
        <v>0</v>
      </c>
      <c r="AL33" s="22">
        <f>SUMIF(Emissions!$C$54:$C$69,'Emissions summary'!$C33,Emissions!AN$54:AN$69)</f>
        <v>0</v>
      </c>
      <c r="AM33" s="22">
        <f>SUMIF(Emissions!$C$54:$C$69,'Emissions summary'!$C33,Emissions!AO$54:AO$69)</f>
        <v>0</v>
      </c>
      <c r="AN33" s="22">
        <f>SUMIF(Emissions!$C$54:$C$69,'Emissions summary'!$C33,Emissions!AP$54:AP$69)</f>
        <v>0</v>
      </c>
      <c r="AO33" s="22">
        <f>SUMIF(Emissions!$C$54:$C$69,'Emissions summary'!$C33,Emissions!AQ$54:AQ$69)</f>
        <v>0</v>
      </c>
      <c r="AP33" s="22">
        <f>SUMIF(Emissions!$C$54:$C$69,'Emissions summary'!$C33,Emissions!AR$54:AR$69)</f>
        <v>0</v>
      </c>
      <c r="AQ33" s="22">
        <f>SUMIF(Emissions!$C$54:$C$69,'Emissions summary'!$C33,Emissions!AS$54:AS$69)</f>
        <v>0</v>
      </c>
      <c r="AR33" s="22">
        <f>SUMIF(Emissions!$C$54:$C$69,'Emissions summary'!$C33,Emissions!AT$54:AT$69)</f>
        <v>0</v>
      </c>
      <c r="AS33" s="22">
        <f>SUMIF(Emissions!$C$54:$C$69,'Emissions summary'!$C33,Emissions!AU$54:AU$69)</f>
        <v>0</v>
      </c>
      <c r="AT33" s="22">
        <f>SUMIF(Emissions!$C$54:$C$69,'Emissions summary'!$C33,Emissions!AV$54:AV$69)</f>
        <v>0</v>
      </c>
      <c r="AU33" s="22">
        <f>SUMIF(Emissions!$C$54:$C$69,'Emissions summary'!$C33,Emissions!AW$54:AW$69)</f>
        <v>0</v>
      </c>
      <c r="AV33" s="22">
        <f>SUMIF(Emissions!$C$54:$C$69,'Emissions summary'!$C33,Emissions!AX$54:AX$69)</f>
        <v>0</v>
      </c>
      <c r="AW33" s="22">
        <f>SUMIF(Emissions!$C$54:$C$69,'Emissions summary'!$C33,Emissions!AY$54:AY$69)</f>
        <v>0</v>
      </c>
      <c r="AX33" s="22">
        <f>SUMIF(Emissions!$C$54:$C$69,'Emissions summary'!$C33,Emissions!AZ$54:AZ$69)</f>
        <v>0</v>
      </c>
      <c r="AY33" s="22">
        <f>SUMIF(Emissions!$C$54:$C$69,'Emissions summary'!$C33,Emissions!BA$54:BA$69)</f>
        <v>0</v>
      </c>
      <c r="AZ33" s="22">
        <f>SUMIF(Emissions!$C$54:$C$69,'Emissions summary'!$C33,Emissions!BB$54:BB$69)</f>
        <v>0</v>
      </c>
      <c r="BA33" s="22">
        <f>SUMIF(Emissions!$C$54:$C$69,'Emissions summary'!$C33,Emissions!BC$54:BC$69)</f>
        <v>0</v>
      </c>
      <c r="BB33" s="22">
        <f>SUMIF(Emissions!$C$54:$C$69,'Emissions summary'!$C33,Emissions!BD$54:BD$69)</f>
        <v>0</v>
      </c>
      <c r="BC33" s="22">
        <f>SUMIF(Emissions!$C$54:$C$69,'Emissions summary'!$C33,Emissions!BE$54:BE$69)</f>
        <v>0</v>
      </c>
      <c r="BD33" s="22">
        <f>SUMIF(Emissions!$C$54:$C$69,'Emissions summary'!$C33,Emissions!BF$54:BF$69)</f>
        <v>0</v>
      </c>
      <c r="BE33" s="22">
        <f>SUMIF(Emissions!$C$54:$C$69,'Emissions summary'!$C33,Emissions!BG$54:BG$69)</f>
        <v>0</v>
      </c>
      <c r="BF33" s="22">
        <f>SUMIF(Emissions!$C$54:$C$69,'Emissions summary'!$C33,Emissions!BH$54:BH$69)</f>
        <v>0</v>
      </c>
      <c r="BG33" s="22">
        <f>SUMIF(Emissions!$C$54:$C$69,'Emissions summary'!$C33,Emissions!BI$54:BI$69)</f>
        <v>0</v>
      </c>
      <c r="BH33" s="22">
        <f>SUMIF(Emissions!$C$54:$C$69,'Emissions summary'!$C33,Emissions!BJ$54:BJ$69)</f>
        <v>0</v>
      </c>
      <c r="BI33" s="22">
        <f>SUMIF(Emissions!$C$54:$C$69,'Emissions summary'!$C33,Emissions!BK$54:BK$69)</f>
        <v>0</v>
      </c>
      <c r="BJ33" s="22">
        <f>SUMIF(Emissions!$C$54:$C$69,'Emissions summary'!$C33,Emissions!BL$54:BL$69)</f>
        <v>0</v>
      </c>
      <c r="BK33" s="22">
        <f>SUMIF(Emissions!$C$54:$C$69,'Emissions summary'!$C33,Emissions!BM$54:BM$69)</f>
        <v>0</v>
      </c>
      <c r="BL33" s="22">
        <f>SUMIF(Emissions!$C$54:$C$69,'Emissions summary'!$C33,Emissions!BN$54:BN$69)</f>
        <v>0</v>
      </c>
      <c r="BM33" s="22">
        <f>SUMIF(Emissions!$C$54:$C$69,'Emissions summary'!$C33,Emissions!BO$54:BO$69)</f>
        <v>0</v>
      </c>
      <c r="BN33" s="22">
        <f>SUMIF(Emissions!$C$54:$C$69,'Emissions summary'!$C33,Emissions!BP$54:BP$69)</f>
        <v>0</v>
      </c>
    </row>
    <row r="34" spans="1:66" s="19" customFormat="1" ht="15.6" x14ac:dyDescent="0.3">
      <c r="A34" s="19" t="str">
        <f t="shared" si="18"/>
        <v>3C Aggregated and non-CO2 emissions on land</v>
      </c>
      <c r="B34" s="19" t="str">
        <f>'IPCC Categories'!B65</f>
        <v>3C1 Biomass burning (N2O)</v>
      </c>
      <c r="C34" s="19" t="s">
        <v>148</v>
      </c>
      <c r="D34" s="19" t="s">
        <v>139</v>
      </c>
      <c r="E34" s="19" t="s">
        <v>287</v>
      </c>
      <c r="F34" s="41">
        <f>SUM(F35:F40)</f>
        <v>3.7075879357894523</v>
      </c>
      <c r="G34" s="41">
        <f t="shared" ref="G34:BN34" si="21">SUM(G35:G40)</f>
        <v>3.7075879357894523</v>
      </c>
      <c r="H34" s="41">
        <f t="shared" si="21"/>
        <v>3.7075879357894523</v>
      </c>
      <c r="I34" s="41">
        <f t="shared" si="21"/>
        <v>3.7075879357894523</v>
      </c>
      <c r="J34" s="41">
        <f t="shared" si="21"/>
        <v>3.7075879357894523</v>
      </c>
      <c r="K34" s="41">
        <f t="shared" si="21"/>
        <v>3.7075879357894523</v>
      </c>
      <c r="L34" s="41">
        <f t="shared" si="21"/>
        <v>3.7075879357894523</v>
      </c>
      <c r="M34" s="41">
        <f t="shared" si="21"/>
        <v>3.7075879357894523</v>
      </c>
      <c r="N34" s="41">
        <f t="shared" si="21"/>
        <v>3.7075879357894523</v>
      </c>
      <c r="O34" s="41">
        <f t="shared" si="21"/>
        <v>3.7075879357894523</v>
      </c>
      <c r="P34" s="41">
        <f t="shared" si="21"/>
        <v>3.6718973949162081</v>
      </c>
      <c r="Q34" s="41">
        <f t="shared" si="21"/>
        <v>4.3479436666429772</v>
      </c>
      <c r="R34" s="41">
        <f t="shared" si="21"/>
        <v>4.2850613259475647</v>
      </c>
      <c r="S34" s="41">
        <f t="shared" si="21"/>
        <v>3.282468107830713</v>
      </c>
      <c r="T34" s="41">
        <f t="shared" si="21"/>
        <v>2.9505691836097965</v>
      </c>
      <c r="U34" s="41">
        <f t="shared" si="21"/>
        <v>4.6706814433352601</v>
      </c>
      <c r="V34" s="41">
        <f t="shared" si="21"/>
        <v>4.0754902880758053</v>
      </c>
      <c r="W34" s="41">
        <f t="shared" si="21"/>
        <v>3.9272122256664277</v>
      </c>
      <c r="X34" s="41">
        <f t="shared" si="21"/>
        <v>3.8070383668685825</v>
      </c>
      <c r="Y34" s="41">
        <f t="shared" si="21"/>
        <v>3.574643820819225</v>
      </c>
      <c r="Z34" s="41">
        <f t="shared" si="21"/>
        <v>3.6185702919300007</v>
      </c>
      <c r="AA34" s="41">
        <f t="shared" si="21"/>
        <v>3.5841393659915992</v>
      </c>
      <c r="AB34" s="41">
        <f t="shared" si="21"/>
        <v>3.090013816562077</v>
      </c>
      <c r="AC34" s="41">
        <f t="shared" si="21"/>
        <v>3.2036391768546908</v>
      </c>
      <c r="AD34" s="41">
        <f t="shared" si="21"/>
        <v>3.1730419131473035</v>
      </c>
      <c r="AE34" s="41">
        <f t="shared" si="21"/>
        <v>3.1449518814399164</v>
      </c>
      <c r="AF34" s="41">
        <f t="shared" si="21"/>
        <v>3.1761268737325303</v>
      </c>
      <c r="AG34" s="41">
        <f t="shared" si="21"/>
        <v>3.2043578340251431</v>
      </c>
      <c r="AH34" s="41">
        <f t="shared" si="21"/>
        <v>3.2157894663177569</v>
      </c>
      <c r="AI34" s="41">
        <f t="shared" si="21"/>
        <v>3.2312714849038415</v>
      </c>
      <c r="AJ34" s="41">
        <f t="shared" si="21"/>
        <v>3.2467535034899253</v>
      </c>
      <c r="AK34" s="41">
        <f t="shared" si="21"/>
        <v>3.26223552207601</v>
      </c>
      <c r="AL34" s="41">
        <f t="shared" si="21"/>
        <v>3.2777175406620933</v>
      </c>
      <c r="AM34" s="41">
        <f t="shared" si="21"/>
        <v>3.2931995592481784</v>
      </c>
      <c r="AN34" s="41">
        <f t="shared" si="21"/>
        <v>3.3086815778342631</v>
      </c>
      <c r="AO34" s="41">
        <f t="shared" si="21"/>
        <v>3.3241635964203464</v>
      </c>
      <c r="AP34" s="41">
        <f t="shared" si="21"/>
        <v>3.3396456150064311</v>
      </c>
      <c r="AQ34" s="41">
        <f t="shared" si="21"/>
        <v>3.3551276335925149</v>
      </c>
      <c r="AR34" s="41">
        <f t="shared" si="21"/>
        <v>3.3706096521785995</v>
      </c>
      <c r="AS34" s="41">
        <f t="shared" si="21"/>
        <v>3.3860916707646842</v>
      </c>
      <c r="AT34" s="41">
        <f t="shared" si="21"/>
        <v>3.4015736893507675</v>
      </c>
      <c r="AU34" s="41">
        <f t="shared" si="21"/>
        <v>3.4166247163658898</v>
      </c>
      <c r="AV34" s="41">
        <f t="shared" si="21"/>
        <v>3.4316757433810112</v>
      </c>
      <c r="AW34" s="41">
        <f t="shared" si="21"/>
        <v>3.4467267703961331</v>
      </c>
      <c r="AX34" s="41">
        <f t="shared" si="21"/>
        <v>3.4617777974112558</v>
      </c>
      <c r="AY34" s="41">
        <f t="shared" si="21"/>
        <v>3.4768288244263776</v>
      </c>
      <c r="AZ34" s="41">
        <f t="shared" si="21"/>
        <v>3.491879851441499</v>
      </c>
      <c r="BA34" s="41">
        <f t="shared" si="21"/>
        <v>3.5069308784566204</v>
      </c>
      <c r="BB34" s="41">
        <f t="shared" si="21"/>
        <v>3.5219819054717427</v>
      </c>
      <c r="BC34" s="41">
        <f t="shared" si="21"/>
        <v>3.5362807779692043</v>
      </c>
      <c r="BD34" s="41">
        <f t="shared" si="21"/>
        <v>3.5505796504666653</v>
      </c>
      <c r="BE34" s="41">
        <f t="shared" si="21"/>
        <v>3.5648785229641264</v>
      </c>
      <c r="BF34" s="41">
        <f t="shared" si="21"/>
        <v>3.5791773954615884</v>
      </c>
      <c r="BG34" s="41">
        <f t="shared" si="21"/>
        <v>3.59347626795905</v>
      </c>
      <c r="BH34" s="41">
        <f t="shared" si="21"/>
        <v>3.6077751404565115</v>
      </c>
      <c r="BI34" s="41">
        <f t="shared" si="21"/>
        <v>3.622074012953973</v>
      </c>
      <c r="BJ34" s="41">
        <f t="shared" si="21"/>
        <v>3.6363728854514346</v>
      </c>
      <c r="BK34" s="41">
        <f t="shared" si="21"/>
        <v>3.6506717579488956</v>
      </c>
      <c r="BL34" s="41">
        <f t="shared" si="21"/>
        <v>3.6649706304463576</v>
      </c>
      <c r="BM34" s="41">
        <f t="shared" si="21"/>
        <v>3.6792695029438187</v>
      </c>
      <c r="BN34" s="41">
        <f t="shared" si="21"/>
        <v>3.6935683754412798</v>
      </c>
    </row>
    <row r="35" spans="1:66" x14ac:dyDescent="0.3">
      <c r="A35" t="str">
        <f>A33</f>
        <v>3C Aggregated and non-CO2 emissions on land</v>
      </c>
      <c r="B35" t="str">
        <f>'IPCC Categories'!B65</f>
        <v>3C1 Biomass burning (N2O)</v>
      </c>
      <c r="C35" t="str">
        <f>'IPCC Categories'!C65</f>
        <v>3C1a Biomass burning in forest land</v>
      </c>
      <c r="D35" t="s">
        <v>139</v>
      </c>
      <c r="E35" t="s">
        <v>287</v>
      </c>
      <c r="F35" s="22">
        <f>SUMIF(Emissions!$C$70:$C$85,'Emissions summary'!$C35,Emissions!H$70:H$85)</f>
        <v>1.1438763741385864</v>
      </c>
      <c r="G35" s="22">
        <f>SUMIF(Emissions!$C$70:$C$85,'Emissions summary'!$C35,Emissions!I$70:I$85)</f>
        <v>1.1438763741385864</v>
      </c>
      <c r="H35" s="22">
        <f>SUMIF(Emissions!$C$70:$C$85,'Emissions summary'!$C35,Emissions!J$70:J$85)</f>
        <v>1.1438763741385864</v>
      </c>
      <c r="I35" s="22">
        <f>SUMIF(Emissions!$C$70:$C$85,'Emissions summary'!$C35,Emissions!K$70:K$85)</f>
        <v>1.1438763741385864</v>
      </c>
      <c r="J35" s="22">
        <f>SUMIF(Emissions!$C$70:$C$85,'Emissions summary'!$C35,Emissions!L$70:L$85)</f>
        <v>1.1438763741385864</v>
      </c>
      <c r="K35" s="22">
        <f>SUMIF(Emissions!$C$70:$C$85,'Emissions summary'!$C35,Emissions!M$70:M$85)</f>
        <v>1.1438763741385864</v>
      </c>
      <c r="L35" s="22">
        <f>SUMIF(Emissions!$C$70:$C$85,'Emissions summary'!$C35,Emissions!N$70:N$85)</f>
        <v>1.1438763741385864</v>
      </c>
      <c r="M35" s="22">
        <f>SUMIF(Emissions!$C$70:$C$85,'Emissions summary'!$C35,Emissions!O$70:O$85)</f>
        <v>1.1438763741385864</v>
      </c>
      <c r="N35" s="22">
        <f>SUMIF(Emissions!$C$70:$C$85,'Emissions summary'!$C35,Emissions!P$70:P$85)</f>
        <v>1.1438763741385864</v>
      </c>
      <c r="O35" s="22">
        <f>SUMIF(Emissions!$C$70:$C$85,'Emissions summary'!$C35,Emissions!Q$70:Q$85)</f>
        <v>1.1438763741385864</v>
      </c>
      <c r="P35" s="22">
        <f>SUMIF(Emissions!$C$70:$C$85,'Emissions summary'!$C35,Emissions!R$70:R$85)</f>
        <v>1.129665625804974</v>
      </c>
      <c r="Q35" s="22">
        <f>SUMIF(Emissions!$C$70:$C$85,'Emissions summary'!$C35,Emissions!S$70:S$85)</f>
        <v>1.5001940667446125</v>
      </c>
      <c r="R35" s="22">
        <f>SUMIF(Emissions!$C$70:$C$85,'Emissions summary'!$C35,Emissions!T$70:T$85)</f>
        <v>1.2536062459262034</v>
      </c>
      <c r="S35" s="22">
        <f>SUMIF(Emissions!$C$70:$C$85,'Emissions summary'!$C35,Emissions!U$70:U$85)</f>
        <v>0.90130843582112352</v>
      </c>
      <c r="T35" s="22">
        <f>SUMIF(Emissions!$C$70:$C$85,'Emissions summary'!$C35,Emissions!V$70:V$85)</f>
        <v>0.93460749639601826</v>
      </c>
      <c r="U35" s="22">
        <f>SUMIF(Emissions!$C$70:$C$85,'Emissions summary'!$C35,Emissions!W$70:W$85)</f>
        <v>1.4818082671125721</v>
      </c>
      <c r="V35" s="22">
        <f>SUMIF(Emissions!$C$70:$C$85,'Emissions summary'!$C35,Emissions!X$70:X$85)</f>
        <v>1.2335191780721162</v>
      </c>
      <c r="W35" s="22">
        <f>SUMIF(Emissions!$C$70:$C$85,'Emissions summary'!$C35,Emissions!Y$70:Y$85)</f>
        <v>1.3425917486681966</v>
      </c>
      <c r="X35" s="22">
        <f>SUMIF(Emissions!$C$70:$C$85,'Emissions summary'!$C35,Emissions!Z$70:Z$85)</f>
        <v>1.3834411759926073</v>
      </c>
      <c r="Y35" s="22">
        <f>SUMIF(Emissions!$C$70:$C$85,'Emissions summary'!$C35,Emissions!AA$70:AA$85)</f>
        <v>1.0406581288181318</v>
      </c>
      <c r="Z35" s="22">
        <f>SUMIF(Emissions!$C$70:$C$85,'Emissions summary'!$C35,Emissions!AB$70:AB$85)</f>
        <v>1.1705685167880002</v>
      </c>
      <c r="AA35" s="22">
        <f>SUMIF(Emissions!$C$70:$C$85,'Emissions summary'!$C35,Emissions!AC$70:AC$85)</f>
        <v>1.1141746509779999</v>
      </c>
      <c r="AB35" s="22">
        <f>SUMIF(Emissions!$C$70:$C$85,'Emissions summary'!$C35,Emissions!AD$70:AD$85)</f>
        <v>0.81337835040550022</v>
      </c>
      <c r="AC35" s="22">
        <f>SUMIF(Emissions!$C$70:$C$85,'Emissions summary'!$C35,Emissions!AE$70:AE$85)</f>
        <v>0.91618667449117541</v>
      </c>
      <c r="AD35" s="22">
        <f>SUMIF(Emissions!$C$70:$C$85,'Emissions summary'!$C35,Emissions!AF$70:AF$85)</f>
        <v>0.87477237457685053</v>
      </c>
      <c r="AE35" s="22">
        <f>SUMIF(Emissions!$C$70:$C$85,'Emissions summary'!$C35,Emissions!AG$70:AG$85)</f>
        <v>0.83586530666252568</v>
      </c>
      <c r="AF35" s="22">
        <f>SUMIF(Emissions!$C$70:$C$85,'Emissions summary'!$C35,Emissions!AH$70:AH$85)</f>
        <v>0.85622326274820093</v>
      </c>
      <c r="AG35" s="22">
        <f>SUMIF(Emissions!$C$70:$C$85,'Emissions summary'!$C35,Emissions!AI$70:AI$85)</f>
        <v>0.87363718683387614</v>
      </c>
      <c r="AH35" s="22">
        <f>SUMIF(Emissions!$C$70:$C$85,'Emissions summary'!$C35,Emissions!AJ$70:AJ$85)</f>
        <v>0.87425178291955141</v>
      </c>
      <c r="AI35" s="22">
        <f>SUMIF(Emissions!$C$70:$C$85,'Emissions summary'!$C35,Emissions!AK$70:AK$85)</f>
        <v>0.87129977937663372</v>
      </c>
      <c r="AJ35" s="22">
        <f>SUMIF(Emissions!$C$70:$C$85,'Emissions summary'!$C35,Emissions!AL$70:AL$85)</f>
        <v>0.86834777583371592</v>
      </c>
      <c r="AK35" s="22">
        <f>SUMIF(Emissions!$C$70:$C$85,'Emissions summary'!$C35,Emissions!AM$70:AM$85)</f>
        <v>0.86539577229079812</v>
      </c>
      <c r="AL35" s="22">
        <f>SUMIF(Emissions!$C$70:$C$85,'Emissions summary'!$C35,Emissions!AN$70:AN$85)</f>
        <v>0.86244376874788042</v>
      </c>
      <c r="AM35" s="22">
        <f>SUMIF(Emissions!$C$70:$C$85,'Emissions summary'!$C35,Emissions!AO$70:AO$85)</f>
        <v>0.85949176520496295</v>
      </c>
      <c r="AN35" s="22">
        <f>SUMIF(Emissions!$C$70:$C$85,'Emissions summary'!$C35,Emissions!AP$70:AP$85)</f>
        <v>0.85653976166204526</v>
      </c>
      <c r="AO35" s="22">
        <f>SUMIF(Emissions!$C$70:$C$85,'Emissions summary'!$C35,Emissions!AQ$70:AQ$85)</f>
        <v>0.85358775811912746</v>
      </c>
      <c r="AP35" s="22">
        <f>SUMIF(Emissions!$C$70:$C$85,'Emissions summary'!$C35,Emissions!AR$70:AR$85)</f>
        <v>0.85063575457620977</v>
      </c>
      <c r="AQ35" s="22">
        <f>SUMIF(Emissions!$C$70:$C$85,'Emissions summary'!$C35,Emissions!AS$70:AS$85)</f>
        <v>0.84768375103329197</v>
      </c>
      <c r="AR35" s="22">
        <f>SUMIF(Emissions!$C$70:$C$85,'Emissions summary'!$C35,Emissions!AT$70:AT$85)</f>
        <v>0.84473174749037416</v>
      </c>
      <c r="AS35" s="22">
        <f>SUMIF(Emissions!$C$70:$C$85,'Emissions summary'!$C35,Emissions!AU$70:AU$85)</f>
        <v>0.84177974394745669</v>
      </c>
      <c r="AT35" s="22">
        <f>SUMIF(Emissions!$C$70:$C$85,'Emissions summary'!$C35,Emissions!AV$70:AV$85)</f>
        <v>0.838827740404539</v>
      </c>
      <c r="AU35" s="22">
        <f>SUMIF(Emissions!$C$70:$C$85,'Emissions summary'!$C35,Emissions!AW$70:AW$85)</f>
        <v>0.83512358234396089</v>
      </c>
      <c r="AV35" s="22">
        <f>SUMIF(Emissions!$C$70:$C$85,'Emissions summary'!$C35,Emissions!AX$70:AX$85)</f>
        <v>0.83141942428338278</v>
      </c>
      <c r="AW35" s="22">
        <f>SUMIF(Emissions!$C$70:$C$85,'Emissions summary'!$C35,Emissions!AY$70:AY$85)</f>
        <v>0.82771526622280467</v>
      </c>
      <c r="AX35" s="22">
        <f>SUMIF(Emissions!$C$70:$C$85,'Emissions summary'!$C35,Emissions!AZ$70:AZ$85)</f>
        <v>0.82401110816222667</v>
      </c>
      <c r="AY35" s="22">
        <f>SUMIF(Emissions!$C$70:$C$85,'Emissions summary'!$C35,Emissions!BA$70:BA$85)</f>
        <v>0.82030695010164856</v>
      </c>
      <c r="AZ35" s="22">
        <f>SUMIF(Emissions!$C$70:$C$85,'Emissions summary'!$C35,Emissions!BB$70:BB$85)</f>
        <v>0.81660279204107056</v>
      </c>
      <c r="BA35" s="22">
        <f>SUMIF(Emissions!$C$70:$C$85,'Emissions summary'!$C35,Emissions!BC$70:BC$85)</f>
        <v>0.81289863398049245</v>
      </c>
      <c r="BB35" s="22">
        <f>SUMIF(Emissions!$C$70:$C$85,'Emissions summary'!$C35,Emissions!BD$70:BD$85)</f>
        <v>0.80919447591991434</v>
      </c>
      <c r="BC35" s="22">
        <f>SUMIF(Emissions!$C$70:$C$85,'Emissions summary'!$C35,Emissions!BE$70:BE$85)</f>
        <v>0.80473816334167581</v>
      </c>
      <c r="BD35" s="22">
        <f>SUMIF(Emissions!$C$70:$C$85,'Emissions summary'!$C35,Emissions!BF$70:BF$85)</f>
        <v>0.80028185076343727</v>
      </c>
      <c r="BE35" s="22">
        <f>SUMIF(Emissions!$C$70:$C$85,'Emissions summary'!$C35,Emissions!BG$70:BG$85)</f>
        <v>0.79582553818519886</v>
      </c>
      <c r="BF35" s="22">
        <f>SUMIF(Emissions!$C$70:$C$85,'Emissions summary'!$C35,Emissions!BH$70:BH$85)</f>
        <v>0.79136922560696055</v>
      </c>
      <c r="BG35" s="22">
        <f>SUMIF(Emissions!$C$70:$C$85,'Emissions summary'!$C35,Emissions!BI$70:BI$85)</f>
        <v>0.78691291302872202</v>
      </c>
      <c r="BH35" s="22">
        <f>SUMIF(Emissions!$C$70:$C$85,'Emissions summary'!$C35,Emissions!BJ$70:BJ$85)</f>
        <v>0.7824566004504836</v>
      </c>
      <c r="BI35" s="22">
        <f>SUMIF(Emissions!$C$70:$C$85,'Emissions summary'!$C35,Emissions!BK$70:BK$85)</f>
        <v>0.77800028787224518</v>
      </c>
      <c r="BJ35" s="22">
        <f>SUMIF(Emissions!$C$70:$C$85,'Emissions summary'!$C35,Emissions!BL$70:BL$85)</f>
        <v>0.77354397529400676</v>
      </c>
      <c r="BK35" s="22">
        <f>SUMIF(Emissions!$C$70:$C$85,'Emissions summary'!$C35,Emissions!BM$70:BM$85)</f>
        <v>0.76908766271576834</v>
      </c>
      <c r="BL35" s="22">
        <f>SUMIF(Emissions!$C$70:$C$85,'Emissions summary'!$C35,Emissions!BN$70:BN$85)</f>
        <v>0.76463135013752992</v>
      </c>
      <c r="BM35" s="22">
        <f>SUMIF(Emissions!$C$70:$C$85,'Emissions summary'!$C35,Emissions!BO$70:BO$85)</f>
        <v>0.76017503755929161</v>
      </c>
      <c r="BN35" s="22">
        <f>SUMIF(Emissions!$C$70:$C$85,'Emissions summary'!$C35,Emissions!BP$70:BP$85)</f>
        <v>0.75571872498105297</v>
      </c>
    </row>
    <row r="36" spans="1:66" x14ac:dyDescent="0.3">
      <c r="A36" t="str">
        <f t="shared" si="18"/>
        <v>3C Aggregated and non-CO2 emissions on land</v>
      </c>
      <c r="B36" t="str">
        <f>B35</f>
        <v>3C1 Biomass burning (N2O)</v>
      </c>
      <c r="C36" t="str">
        <f>'IPCC Categories'!C66</f>
        <v>3C1b Biomass burning in Croplands</v>
      </c>
      <c r="D36" t="str">
        <f>D35</f>
        <v>N2O</v>
      </c>
      <c r="E36" t="str">
        <f>E35</f>
        <v>Gg N2O</v>
      </c>
      <c r="F36" s="22">
        <f>SUMIF(Emissions!$C$70:$C$85,'Emissions summary'!$C36,Emissions!H$70:H$85)</f>
        <v>0.26227938544915658</v>
      </c>
      <c r="G36" s="22">
        <f>SUMIF(Emissions!$C$70:$C$85,'Emissions summary'!$C36,Emissions!I$70:I$85)</f>
        <v>0.26227938544915658</v>
      </c>
      <c r="H36" s="22">
        <f>SUMIF(Emissions!$C$70:$C$85,'Emissions summary'!$C36,Emissions!J$70:J$85)</f>
        <v>0.26227938544915658</v>
      </c>
      <c r="I36" s="22">
        <f>SUMIF(Emissions!$C$70:$C$85,'Emissions summary'!$C36,Emissions!K$70:K$85)</f>
        <v>0.26227938544915658</v>
      </c>
      <c r="J36" s="22">
        <f>SUMIF(Emissions!$C$70:$C$85,'Emissions summary'!$C36,Emissions!L$70:L$85)</f>
        <v>0.26227938544915658</v>
      </c>
      <c r="K36" s="22">
        <f>SUMIF(Emissions!$C$70:$C$85,'Emissions summary'!$C36,Emissions!M$70:M$85)</f>
        <v>0.26227938544915658</v>
      </c>
      <c r="L36" s="22">
        <f>SUMIF(Emissions!$C$70:$C$85,'Emissions summary'!$C36,Emissions!N$70:N$85)</f>
        <v>0.26227938544915658</v>
      </c>
      <c r="M36" s="22">
        <f>SUMIF(Emissions!$C$70:$C$85,'Emissions summary'!$C36,Emissions!O$70:O$85)</f>
        <v>0.26227938544915658</v>
      </c>
      <c r="N36" s="22">
        <f>SUMIF(Emissions!$C$70:$C$85,'Emissions summary'!$C36,Emissions!P$70:P$85)</f>
        <v>0.26227938544915658</v>
      </c>
      <c r="O36" s="22">
        <f>SUMIF(Emissions!$C$70:$C$85,'Emissions summary'!$C36,Emissions!Q$70:Q$85)</f>
        <v>0.26227938544915658</v>
      </c>
      <c r="P36" s="22">
        <f>SUMIF(Emissions!$C$70:$C$85,'Emissions summary'!$C36,Emissions!R$70:R$85)</f>
        <v>0.27249351091104779</v>
      </c>
      <c r="Q36" s="22">
        <f>SUMIF(Emissions!$C$70:$C$85,'Emissions summary'!$C36,Emissions!S$70:S$85)</f>
        <v>0.28214910438509594</v>
      </c>
      <c r="R36" s="22">
        <f>SUMIF(Emissions!$C$70:$C$85,'Emissions summary'!$C36,Emissions!T$70:T$85)</f>
        <v>0.3096912890487743</v>
      </c>
      <c r="S36" s="22">
        <f>SUMIF(Emissions!$C$70:$C$85,'Emissions summary'!$C36,Emissions!U$70:U$85)</f>
        <v>0.24106195370044609</v>
      </c>
      <c r="T36" s="22">
        <f>SUMIF(Emissions!$C$70:$C$85,'Emissions summary'!$C36,Emissions!V$70:V$85)</f>
        <v>0.20600106920041864</v>
      </c>
      <c r="U36" s="22">
        <f>SUMIF(Emissions!$C$70:$C$85,'Emissions summary'!$C36,Emissions!W$70:W$85)</f>
        <v>0.35933732059976431</v>
      </c>
      <c r="V36" s="22">
        <f>SUMIF(Emissions!$C$70:$C$85,'Emissions summary'!$C36,Emissions!X$70:X$85)</f>
        <v>0.33855631263102837</v>
      </c>
      <c r="W36" s="22">
        <f>SUMIF(Emissions!$C$70:$C$85,'Emissions summary'!$C36,Emissions!Y$70:Y$85)</f>
        <v>0.27162292461420739</v>
      </c>
      <c r="X36" s="22">
        <f>SUMIF(Emissions!$C$70:$C$85,'Emissions summary'!$C36,Emissions!Z$70:Z$85)</f>
        <v>0.2444764609945474</v>
      </c>
      <c r="Y36" s="22">
        <f>SUMIF(Emissions!$C$70:$C$85,'Emissions summary'!$C36,Emissions!AA$70:AA$85)</f>
        <v>0.25418858604631245</v>
      </c>
      <c r="Z36" s="22">
        <f>SUMIF(Emissions!$C$70:$C$85,'Emissions summary'!$C36,Emissions!AB$70:AB$85)</f>
        <v>0.25351308360000002</v>
      </c>
      <c r="AA36" s="22">
        <f>SUMIF(Emissions!$C$70:$C$85,'Emissions summary'!$C36,Emissions!AC$70:AC$85)</f>
        <v>0.24445247399999998</v>
      </c>
      <c r="AB36" s="22">
        <f>SUMIF(Emissions!$C$70:$C$85,'Emissions summary'!$C36,Emissions!AD$70:AD$85)</f>
        <v>0.23150267764623561</v>
      </c>
      <c r="AC36" s="22">
        <f>SUMIF(Emissions!$C$70:$C$85,'Emissions summary'!$C36,Emissions!AE$70:AE$85)</f>
        <v>0.23149080350455245</v>
      </c>
      <c r="AD36" s="22">
        <f>SUMIF(Emissions!$C$70:$C$85,'Emissions summary'!$C36,Emissions!AF$70:AF$85)</f>
        <v>0.23147892936286932</v>
      </c>
      <c r="AE36" s="22">
        <f>SUMIF(Emissions!$C$70:$C$85,'Emissions summary'!$C36,Emissions!AG$70:AG$85)</f>
        <v>0.23146705522118621</v>
      </c>
      <c r="AF36" s="22">
        <f>SUMIF(Emissions!$C$70:$C$85,'Emissions summary'!$C36,Emissions!AH$70:AH$85)</f>
        <v>0.23145518107950305</v>
      </c>
      <c r="AG36" s="22">
        <f>SUMIF(Emissions!$C$70:$C$85,'Emissions summary'!$C36,Emissions!AI$70:AI$85)</f>
        <v>0.23144330693781995</v>
      </c>
      <c r="AH36" s="22">
        <f>SUMIF(Emissions!$C$70:$C$85,'Emissions summary'!$C36,Emissions!AJ$70:AJ$85)</f>
        <v>0.23143143279613676</v>
      </c>
      <c r="AI36" s="22">
        <f>SUMIF(Emissions!$C$70:$C$85,'Emissions summary'!$C36,Emissions!AK$70:AK$85)</f>
        <v>0.23141955865445368</v>
      </c>
      <c r="AJ36" s="22">
        <f>SUMIF(Emissions!$C$70:$C$85,'Emissions summary'!$C36,Emissions!AL$70:AL$85)</f>
        <v>0.23140768451277055</v>
      </c>
      <c r="AK36" s="22">
        <f>SUMIF(Emissions!$C$70:$C$85,'Emissions summary'!$C36,Emissions!AM$70:AM$85)</f>
        <v>0.23139581037108745</v>
      </c>
      <c r="AL36" s="22">
        <f>SUMIF(Emissions!$C$70:$C$85,'Emissions summary'!$C36,Emissions!AN$70:AN$85)</f>
        <v>0.23138393622940429</v>
      </c>
      <c r="AM36" s="22">
        <f>SUMIF(Emissions!$C$70:$C$85,'Emissions summary'!$C36,Emissions!AO$70:AO$85)</f>
        <v>0.23137206208772113</v>
      </c>
      <c r="AN36" s="22">
        <f>SUMIF(Emissions!$C$70:$C$85,'Emissions summary'!$C36,Emissions!AP$70:AP$85)</f>
        <v>0.23136018794603802</v>
      </c>
      <c r="AO36" s="22">
        <f>SUMIF(Emissions!$C$70:$C$85,'Emissions summary'!$C36,Emissions!AQ$70:AQ$85)</f>
        <v>0.23134831380435489</v>
      </c>
      <c r="AP36" s="22">
        <f>SUMIF(Emissions!$C$70:$C$85,'Emissions summary'!$C36,Emissions!AR$70:AR$85)</f>
        <v>0.23133643966267178</v>
      </c>
      <c r="AQ36" s="22">
        <f>SUMIF(Emissions!$C$70:$C$85,'Emissions summary'!$C36,Emissions!AS$70:AS$85)</f>
        <v>0.23132456552098865</v>
      </c>
      <c r="AR36" s="22">
        <f>SUMIF(Emissions!$C$70:$C$85,'Emissions summary'!$C36,Emissions!AT$70:AT$85)</f>
        <v>0.23131269137930549</v>
      </c>
      <c r="AS36" s="22">
        <f>SUMIF(Emissions!$C$70:$C$85,'Emissions summary'!$C36,Emissions!AU$70:AU$85)</f>
        <v>0.23130081723762241</v>
      </c>
      <c r="AT36" s="22">
        <f>SUMIF(Emissions!$C$70:$C$85,'Emissions summary'!$C36,Emissions!AV$70:AV$85)</f>
        <v>0.23128894309593925</v>
      </c>
      <c r="AU36" s="22">
        <f>SUMIF(Emissions!$C$70:$C$85,'Emissions summary'!$C36,Emissions!AW$70:AW$85)</f>
        <v>0.23127706895425609</v>
      </c>
      <c r="AV36" s="22">
        <f>SUMIF(Emissions!$C$70:$C$85,'Emissions summary'!$C36,Emissions!AX$70:AX$85)</f>
        <v>0.23126519481257302</v>
      </c>
      <c r="AW36" s="22">
        <f>SUMIF(Emissions!$C$70:$C$85,'Emissions summary'!$C36,Emissions!AY$70:AY$85)</f>
        <v>0.23125332067088986</v>
      </c>
      <c r="AX36" s="22">
        <f>SUMIF(Emissions!$C$70:$C$85,'Emissions summary'!$C36,Emissions!AZ$70:AZ$85)</f>
        <v>0.23124144652920675</v>
      </c>
      <c r="AY36" s="22">
        <f>SUMIF(Emissions!$C$70:$C$85,'Emissions summary'!$C36,Emissions!BA$70:BA$85)</f>
        <v>0.23122957238752362</v>
      </c>
      <c r="AZ36" s="22">
        <f>SUMIF(Emissions!$C$70:$C$85,'Emissions summary'!$C36,Emissions!BB$70:BB$85)</f>
        <v>0.23121769824584049</v>
      </c>
      <c r="BA36" s="22">
        <f>SUMIF(Emissions!$C$70:$C$85,'Emissions summary'!$C36,Emissions!BC$70:BC$85)</f>
        <v>0.2312058241041573</v>
      </c>
      <c r="BB36" s="22">
        <f>SUMIF(Emissions!$C$70:$C$85,'Emissions summary'!$C36,Emissions!BD$70:BD$85)</f>
        <v>0.23119394996247425</v>
      </c>
      <c r="BC36" s="22">
        <f>SUMIF(Emissions!$C$70:$C$85,'Emissions summary'!$C36,Emissions!BE$70:BE$85)</f>
        <v>0.23118207582079112</v>
      </c>
      <c r="BD36" s="22">
        <f>SUMIF(Emissions!$C$70:$C$85,'Emissions summary'!$C36,Emissions!BF$70:BF$85)</f>
        <v>0.23117020167910793</v>
      </c>
      <c r="BE36" s="22">
        <f>SUMIF(Emissions!$C$70:$C$85,'Emissions summary'!$C36,Emissions!BG$70:BG$85)</f>
        <v>0.23115832753742488</v>
      </c>
      <c r="BF36" s="22">
        <f>SUMIF(Emissions!$C$70:$C$85,'Emissions summary'!$C36,Emissions!BH$70:BH$85)</f>
        <v>0.23114645339574169</v>
      </c>
      <c r="BG36" s="22">
        <f>SUMIF(Emissions!$C$70:$C$85,'Emissions summary'!$C36,Emissions!BI$70:BI$85)</f>
        <v>0.23113457925405859</v>
      </c>
      <c r="BH36" s="22">
        <f>SUMIF(Emissions!$C$70:$C$85,'Emissions summary'!$C36,Emissions!BJ$70:BJ$85)</f>
        <v>0.23112270511237543</v>
      </c>
      <c r="BI36" s="22">
        <f>SUMIF(Emissions!$C$70:$C$85,'Emissions summary'!$C36,Emissions!BK$70:BK$85)</f>
        <v>0.23111083097069229</v>
      </c>
      <c r="BJ36" s="22">
        <f>SUMIF(Emissions!$C$70:$C$85,'Emissions summary'!$C36,Emissions!BL$70:BL$85)</f>
        <v>0.23109895682900922</v>
      </c>
      <c r="BK36" s="22">
        <f>SUMIF(Emissions!$C$70:$C$85,'Emissions summary'!$C36,Emissions!BM$70:BM$85)</f>
        <v>0.23108708268732603</v>
      </c>
      <c r="BL36" s="22">
        <f>SUMIF(Emissions!$C$70:$C$85,'Emissions summary'!$C36,Emissions!BN$70:BN$85)</f>
        <v>0.23107520854564292</v>
      </c>
      <c r="BM36" s="22">
        <f>SUMIF(Emissions!$C$70:$C$85,'Emissions summary'!$C36,Emissions!BO$70:BO$85)</f>
        <v>0.23106333440395979</v>
      </c>
      <c r="BN36" s="22">
        <f>SUMIF(Emissions!$C$70:$C$85,'Emissions summary'!$C36,Emissions!BP$70:BP$85)</f>
        <v>0.23105146026227666</v>
      </c>
    </row>
    <row r="37" spans="1:66" x14ac:dyDescent="0.3">
      <c r="A37" t="str">
        <f t="shared" si="18"/>
        <v>3C Aggregated and non-CO2 emissions on land</v>
      </c>
      <c r="B37" t="str">
        <f t="shared" ref="B37:B40" si="22">B36</f>
        <v>3C1 Biomass burning (N2O)</v>
      </c>
      <c r="C37" t="str">
        <f>'IPCC Categories'!C67</f>
        <v>3C1c Biomass burning in Grasslands</v>
      </c>
      <c r="D37" t="str">
        <f t="shared" ref="D37:E40" si="23">D36</f>
        <v>N2O</v>
      </c>
      <c r="E37" t="str">
        <f t="shared" si="23"/>
        <v>Gg N2O</v>
      </c>
      <c r="F37" s="22">
        <f>SUMIF(Emissions!$C$70:$C$85,'Emissions summary'!$C37,Emissions!H$70:H$85)</f>
        <v>2.1832325939202906</v>
      </c>
      <c r="G37" s="22">
        <f>SUMIF(Emissions!$C$70:$C$85,'Emissions summary'!$C37,Emissions!I$70:I$85)</f>
        <v>2.1832325939202906</v>
      </c>
      <c r="H37" s="22">
        <f>SUMIF(Emissions!$C$70:$C$85,'Emissions summary'!$C37,Emissions!J$70:J$85)</f>
        <v>2.1832325939202906</v>
      </c>
      <c r="I37" s="22">
        <f>SUMIF(Emissions!$C$70:$C$85,'Emissions summary'!$C37,Emissions!K$70:K$85)</f>
        <v>2.1832325939202906</v>
      </c>
      <c r="J37" s="22">
        <f>SUMIF(Emissions!$C$70:$C$85,'Emissions summary'!$C37,Emissions!L$70:L$85)</f>
        <v>2.1832325939202906</v>
      </c>
      <c r="K37" s="22">
        <f>SUMIF(Emissions!$C$70:$C$85,'Emissions summary'!$C37,Emissions!M$70:M$85)</f>
        <v>2.1832325939202906</v>
      </c>
      <c r="L37" s="22">
        <f>SUMIF(Emissions!$C$70:$C$85,'Emissions summary'!$C37,Emissions!N$70:N$85)</f>
        <v>2.1832325939202906</v>
      </c>
      <c r="M37" s="22">
        <f>SUMIF(Emissions!$C$70:$C$85,'Emissions summary'!$C37,Emissions!O$70:O$85)</f>
        <v>2.1832325939202906</v>
      </c>
      <c r="N37" s="22">
        <f>SUMIF(Emissions!$C$70:$C$85,'Emissions summary'!$C37,Emissions!P$70:P$85)</f>
        <v>2.1832325939202906</v>
      </c>
      <c r="O37" s="22">
        <f>SUMIF(Emissions!$C$70:$C$85,'Emissions summary'!$C37,Emissions!Q$70:Q$85)</f>
        <v>2.1832325939202906</v>
      </c>
      <c r="P37" s="22">
        <f>SUMIF(Emissions!$C$70:$C$85,'Emissions summary'!$C37,Emissions!R$70:R$85)</f>
        <v>2.1560404954267964</v>
      </c>
      <c r="Q37" s="22">
        <f>SUMIF(Emissions!$C$70:$C$85,'Emissions summary'!$C37,Emissions!S$70:S$85)</f>
        <v>2.4331484625916917</v>
      </c>
      <c r="R37" s="22">
        <f>SUMIF(Emissions!$C$70:$C$85,'Emissions summary'!$C37,Emissions!T$70:T$85)</f>
        <v>2.5851794612386958</v>
      </c>
      <c r="S37" s="22">
        <f>SUMIF(Emissions!$C$70:$C$85,'Emissions summary'!$C37,Emissions!U$70:U$85)</f>
        <v>2.026241021042972</v>
      </c>
      <c r="T37" s="22">
        <f>SUMIF(Emissions!$C$70:$C$85,'Emissions summary'!$C37,Emissions!V$70:V$85)</f>
        <v>1.7155535293012945</v>
      </c>
      <c r="U37" s="22">
        <f>SUMIF(Emissions!$C$70:$C$85,'Emissions summary'!$C37,Emissions!W$70:W$85)</f>
        <v>2.664720786608763</v>
      </c>
      <c r="V37" s="22">
        <f>SUMIF(Emissions!$C$70:$C$85,'Emissions summary'!$C37,Emissions!X$70:X$85)</f>
        <v>2.3579698696662157</v>
      </c>
      <c r="W37" s="22">
        <f>SUMIF(Emissions!$C$70:$C$85,'Emissions summary'!$C37,Emissions!Y$70:Y$85)</f>
        <v>2.1705723800404217</v>
      </c>
      <c r="X37" s="22">
        <f>SUMIF(Emissions!$C$70:$C$85,'Emissions summary'!$C37,Emissions!Z$70:Z$85)</f>
        <v>2.069932733340706</v>
      </c>
      <c r="Y37" s="22">
        <f>SUMIF(Emissions!$C$70:$C$85,'Emissions summary'!$C37,Emissions!AA$70:AA$85)</f>
        <v>2.153682585932855</v>
      </c>
      <c r="Z37" s="22">
        <f>SUMIF(Emissions!$C$70:$C$85,'Emissions summary'!$C37,Emissions!AB$70:AB$85)</f>
        <v>2.0565198387720001</v>
      </c>
      <c r="AA37" s="22">
        <f>SUMIF(Emissions!$C$70:$C$85,'Emissions summary'!$C37,Emissions!AC$70:AC$85)</f>
        <v>2.0914494266735995</v>
      </c>
      <c r="AB37" s="22">
        <f>SUMIF(Emissions!$C$70:$C$85,'Emissions summary'!$C37,Emissions!AD$70:AD$85)</f>
        <v>1.9270838146967177</v>
      </c>
      <c r="AC37" s="22">
        <f>SUMIF(Emissions!$C$70:$C$85,'Emissions summary'!$C37,Emissions!AE$70:AE$85)</f>
        <v>1.9378298037617634</v>
      </c>
      <c r="AD37" s="22">
        <f>SUMIF(Emissions!$C$70:$C$85,'Emissions summary'!$C37,Emissions!AF$70:AF$85)</f>
        <v>1.9485757928268084</v>
      </c>
      <c r="AE37" s="22">
        <f>SUMIF(Emissions!$C$70:$C$85,'Emissions summary'!$C37,Emissions!AG$70:AG$85)</f>
        <v>1.9593217818918536</v>
      </c>
      <c r="AF37" s="22">
        <f>SUMIF(Emissions!$C$70:$C$85,'Emissions summary'!$C37,Emissions!AH$70:AH$85)</f>
        <v>1.9700677709568992</v>
      </c>
      <c r="AG37" s="22">
        <f>SUMIF(Emissions!$C$70:$C$85,'Emissions summary'!$C37,Emissions!AI$70:AI$85)</f>
        <v>1.9808137600219442</v>
      </c>
      <c r="AH37" s="22">
        <f>SUMIF(Emissions!$C$70:$C$85,'Emissions summary'!$C37,Emissions!AJ$70:AJ$85)</f>
        <v>1.9915597490869896</v>
      </c>
      <c r="AI37" s="22">
        <f>SUMIF(Emissions!$C$70:$C$85,'Emissions summary'!$C37,Emissions!AK$70:AK$85)</f>
        <v>2.0099227240740993</v>
      </c>
      <c r="AJ37" s="22">
        <f>SUMIF(Emissions!$C$70:$C$85,'Emissions summary'!$C37,Emissions!AL$70:AL$85)</f>
        <v>2.0282856990612084</v>
      </c>
      <c r="AK37" s="22">
        <f>SUMIF(Emissions!$C$70:$C$85,'Emissions summary'!$C37,Emissions!AM$70:AM$85)</f>
        <v>2.0466486740483179</v>
      </c>
      <c r="AL37" s="22">
        <f>SUMIF(Emissions!$C$70:$C$85,'Emissions summary'!$C37,Emissions!AN$70:AN$85)</f>
        <v>2.065011649035426</v>
      </c>
      <c r="AM37" s="22">
        <f>SUMIF(Emissions!$C$70:$C$85,'Emissions summary'!$C37,Emissions!AO$70:AO$85)</f>
        <v>2.0833746240225359</v>
      </c>
      <c r="AN37" s="22">
        <f>SUMIF(Emissions!$C$70:$C$85,'Emissions summary'!$C37,Emissions!AP$70:AP$85)</f>
        <v>2.101737599009645</v>
      </c>
      <c r="AO37" s="22">
        <f>SUMIF(Emissions!$C$70:$C$85,'Emissions summary'!$C37,Emissions!AQ$70:AQ$85)</f>
        <v>2.120100573996754</v>
      </c>
      <c r="AP37" s="22">
        <f>SUMIF(Emissions!$C$70:$C$85,'Emissions summary'!$C37,Emissions!AR$70:AR$85)</f>
        <v>2.138463548983863</v>
      </c>
      <c r="AQ37" s="22">
        <f>SUMIF(Emissions!$C$70:$C$85,'Emissions summary'!$C37,Emissions!AS$70:AS$85)</f>
        <v>2.1568265239709721</v>
      </c>
      <c r="AR37" s="22">
        <f>SUMIF(Emissions!$C$70:$C$85,'Emissions summary'!$C37,Emissions!AT$70:AT$85)</f>
        <v>2.1751894989580816</v>
      </c>
      <c r="AS37" s="22">
        <f>SUMIF(Emissions!$C$70:$C$85,'Emissions summary'!$C37,Emissions!AU$70:AU$85)</f>
        <v>2.1935524739451906</v>
      </c>
      <c r="AT37" s="22">
        <f>SUMIF(Emissions!$C$70:$C$85,'Emissions summary'!$C37,Emissions!AV$70:AV$85)</f>
        <v>2.2119154489322996</v>
      </c>
      <c r="AU37" s="22">
        <f>SUMIF(Emissions!$C$70:$C$85,'Emissions summary'!$C37,Emissions!AW$70:AW$85)</f>
        <v>2.230599586866107</v>
      </c>
      <c r="AV37" s="22">
        <f>SUMIF(Emissions!$C$70:$C$85,'Emissions summary'!$C37,Emissions!AX$70:AX$85)</f>
        <v>2.2492837247999136</v>
      </c>
      <c r="AW37" s="22">
        <f>SUMIF(Emissions!$C$70:$C$85,'Emissions summary'!$C37,Emissions!AY$70:AY$85)</f>
        <v>2.267967862733721</v>
      </c>
      <c r="AX37" s="22">
        <f>SUMIF(Emissions!$C$70:$C$85,'Emissions summary'!$C37,Emissions!AZ$70:AZ$85)</f>
        <v>2.2866520006675284</v>
      </c>
      <c r="AY37" s="22">
        <f>SUMIF(Emissions!$C$70:$C$85,'Emissions summary'!$C37,Emissions!BA$70:BA$85)</f>
        <v>2.3053361386013353</v>
      </c>
      <c r="AZ37" s="22">
        <f>SUMIF(Emissions!$C$70:$C$85,'Emissions summary'!$C37,Emissions!BB$70:BB$85)</f>
        <v>2.3240202765351423</v>
      </c>
      <c r="BA37" s="22">
        <f>SUMIF(Emissions!$C$70:$C$85,'Emissions summary'!$C37,Emissions!BC$70:BC$85)</f>
        <v>2.3427044144689493</v>
      </c>
      <c r="BB37" s="22">
        <f>SUMIF(Emissions!$C$70:$C$85,'Emissions summary'!$C37,Emissions!BD$70:BD$85)</f>
        <v>2.3613885524027567</v>
      </c>
      <c r="BC37" s="22">
        <f>SUMIF(Emissions!$C$70:$C$85,'Emissions summary'!$C37,Emissions!BE$70:BE$85)</f>
        <v>2.3800726903365637</v>
      </c>
      <c r="BD37" s="22">
        <f>SUMIF(Emissions!$C$70:$C$85,'Emissions summary'!$C37,Emissions!BF$70:BF$85)</f>
        <v>2.3987568282703706</v>
      </c>
      <c r="BE37" s="22">
        <f>SUMIF(Emissions!$C$70:$C$85,'Emissions summary'!$C37,Emissions!BG$70:BG$85)</f>
        <v>2.4174409662041776</v>
      </c>
      <c r="BF37" s="22">
        <f>SUMIF(Emissions!$C$70:$C$85,'Emissions summary'!$C37,Emissions!BH$70:BH$85)</f>
        <v>2.436125104137985</v>
      </c>
      <c r="BG37" s="22">
        <f>SUMIF(Emissions!$C$70:$C$85,'Emissions summary'!$C37,Emissions!BI$70:BI$85)</f>
        <v>2.454809242071792</v>
      </c>
      <c r="BH37" s="22">
        <f>SUMIF(Emissions!$C$70:$C$85,'Emissions summary'!$C37,Emissions!BJ$70:BJ$85)</f>
        <v>2.4734933800055994</v>
      </c>
      <c r="BI37" s="22">
        <f>SUMIF(Emissions!$C$70:$C$85,'Emissions summary'!$C37,Emissions!BK$70:BK$85)</f>
        <v>2.4921775179394063</v>
      </c>
      <c r="BJ37" s="22">
        <f>SUMIF(Emissions!$C$70:$C$85,'Emissions summary'!$C37,Emissions!BL$70:BL$85)</f>
        <v>2.5108616558732133</v>
      </c>
      <c r="BK37" s="22">
        <f>SUMIF(Emissions!$C$70:$C$85,'Emissions summary'!$C37,Emissions!BM$70:BM$85)</f>
        <v>2.5295457938070207</v>
      </c>
      <c r="BL37" s="22">
        <f>SUMIF(Emissions!$C$70:$C$85,'Emissions summary'!$C37,Emissions!BN$70:BN$85)</f>
        <v>2.5482299317408281</v>
      </c>
      <c r="BM37" s="22">
        <f>SUMIF(Emissions!$C$70:$C$85,'Emissions summary'!$C37,Emissions!BO$70:BO$85)</f>
        <v>2.5669140696746346</v>
      </c>
      <c r="BN37" s="22">
        <f>SUMIF(Emissions!$C$70:$C$85,'Emissions summary'!$C37,Emissions!BP$70:BP$85)</f>
        <v>2.5855982076084416</v>
      </c>
    </row>
    <row r="38" spans="1:66" x14ac:dyDescent="0.3">
      <c r="A38" t="str">
        <f t="shared" si="18"/>
        <v>3C Aggregated and non-CO2 emissions on land</v>
      </c>
      <c r="B38" t="str">
        <f t="shared" si="22"/>
        <v>3C1 Biomass burning (N2O)</v>
      </c>
      <c r="C38" t="str">
        <f>'IPCC Categories'!C68</f>
        <v>3C1d Biomass burning in Wetlands</v>
      </c>
      <c r="D38" t="str">
        <f t="shared" si="23"/>
        <v>N2O</v>
      </c>
      <c r="E38" t="str">
        <f t="shared" si="23"/>
        <v>Gg N2O</v>
      </c>
      <c r="F38" s="22">
        <f>SUMIF(Emissions!$C$70:$C$85,'Emissions summary'!$C38,Emissions!H$70:H$85)</f>
        <v>7.357077670844267E-2</v>
      </c>
      <c r="G38" s="22">
        <f>SUMIF(Emissions!$C$70:$C$85,'Emissions summary'!$C38,Emissions!I$70:I$85)</f>
        <v>7.357077670844267E-2</v>
      </c>
      <c r="H38" s="22">
        <f>SUMIF(Emissions!$C$70:$C$85,'Emissions summary'!$C38,Emissions!J$70:J$85)</f>
        <v>7.357077670844267E-2</v>
      </c>
      <c r="I38" s="22">
        <f>SUMIF(Emissions!$C$70:$C$85,'Emissions summary'!$C38,Emissions!K$70:K$85)</f>
        <v>7.357077670844267E-2</v>
      </c>
      <c r="J38" s="22">
        <f>SUMIF(Emissions!$C$70:$C$85,'Emissions summary'!$C38,Emissions!L$70:L$85)</f>
        <v>7.357077670844267E-2</v>
      </c>
      <c r="K38" s="22">
        <f>SUMIF(Emissions!$C$70:$C$85,'Emissions summary'!$C38,Emissions!M$70:M$85)</f>
        <v>7.357077670844267E-2</v>
      </c>
      <c r="L38" s="22">
        <f>SUMIF(Emissions!$C$70:$C$85,'Emissions summary'!$C38,Emissions!N$70:N$85)</f>
        <v>7.357077670844267E-2</v>
      </c>
      <c r="M38" s="22">
        <f>SUMIF(Emissions!$C$70:$C$85,'Emissions summary'!$C38,Emissions!O$70:O$85)</f>
        <v>7.357077670844267E-2</v>
      </c>
      <c r="N38" s="22">
        <f>SUMIF(Emissions!$C$70:$C$85,'Emissions summary'!$C38,Emissions!P$70:P$85)</f>
        <v>7.357077670844267E-2</v>
      </c>
      <c r="O38" s="22">
        <f>SUMIF(Emissions!$C$70:$C$85,'Emissions summary'!$C38,Emissions!Q$70:Q$85)</f>
        <v>7.357077670844267E-2</v>
      </c>
      <c r="P38" s="22">
        <f>SUMIF(Emissions!$C$70:$C$85,'Emissions summary'!$C38,Emissions!R$70:R$85)</f>
        <v>6.5083674793923713E-2</v>
      </c>
      <c r="Q38" s="22">
        <f>SUMIF(Emissions!$C$70:$C$85,'Emissions summary'!$C38,Emissions!S$70:S$85)</f>
        <v>7.8612973491927987E-2</v>
      </c>
      <c r="R38" s="22">
        <f>SUMIF(Emissions!$C$70:$C$85,'Emissions summary'!$C38,Emissions!T$70:T$85)</f>
        <v>8.8983449145904836E-2</v>
      </c>
      <c r="S38" s="22">
        <f>SUMIF(Emissions!$C$70:$C$85,'Emissions summary'!$C38,Emissions!U$70:U$85)</f>
        <v>7.2791997693814531E-2</v>
      </c>
      <c r="T38" s="22">
        <f>SUMIF(Emissions!$C$70:$C$85,'Emissions summary'!$C38,Emissions!V$70:V$85)</f>
        <v>6.2381788416642367E-2</v>
      </c>
      <c r="U38" s="22">
        <f>SUMIF(Emissions!$C$70:$C$85,'Emissions summary'!$C38,Emissions!W$70:W$85)</f>
        <v>9.2301206682713535E-2</v>
      </c>
      <c r="V38" s="22">
        <f>SUMIF(Emissions!$C$70:$C$85,'Emissions summary'!$C38,Emissions!X$70:X$85)</f>
        <v>8.1930731028736672E-2</v>
      </c>
      <c r="W38" s="22">
        <f>SUMIF(Emissions!$C$70:$C$85,'Emissions summary'!$C38,Emissions!Y$70:Y$85)</f>
        <v>7.2176126534287191E-2</v>
      </c>
      <c r="X38" s="22">
        <f>SUMIF(Emissions!$C$70:$C$85,'Emissions summary'!$C38,Emissions!Z$70:Z$85)</f>
        <v>6.5818746823036997E-2</v>
      </c>
      <c r="Y38" s="22">
        <f>SUMIF(Emissions!$C$70:$C$85,'Emissions summary'!$C38,Emissions!AA$70:AA$85)</f>
        <v>7.3924405954880992E-2</v>
      </c>
      <c r="Z38" s="22">
        <f>SUMIF(Emissions!$C$70:$C$85,'Emissions summary'!$C38,Emissions!AB$70:AB$85)</f>
        <v>9.8940084389999974E-2</v>
      </c>
      <c r="AA38" s="22">
        <f>SUMIF(Emissions!$C$70:$C$85,'Emissions summary'!$C38,Emissions!AC$70:AC$85)</f>
        <v>0.10685917493999998</v>
      </c>
      <c r="AB38" s="22">
        <f>SUMIF(Emissions!$C$70:$C$85,'Emissions summary'!$C38,Emissions!AD$70:AD$85)</f>
        <v>7.8813449993659371E-2</v>
      </c>
      <c r="AC38" s="22">
        <f>SUMIF(Emissions!$C$70:$C$85,'Emissions summary'!$C38,Emissions!AE$70:AE$85)</f>
        <v>7.8813449993659371E-2</v>
      </c>
      <c r="AD38" s="22">
        <f>SUMIF(Emissions!$C$70:$C$85,'Emissions summary'!$C38,Emissions!AF$70:AF$85)</f>
        <v>7.8813449993659371E-2</v>
      </c>
      <c r="AE38" s="22">
        <f>SUMIF(Emissions!$C$70:$C$85,'Emissions summary'!$C38,Emissions!AG$70:AG$85)</f>
        <v>7.8813449993659371E-2</v>
      </c>
      <c r="AF38" s="22">
        <f>SUMIF(Emissions!$C$70:$C$85,'Emissions summary'!$C38,Emissions!AH$70:AH$85)</f>
        <v>7.8813449993659371E-2</v>
      </c>
      <c r="AG38" s="22">
        <f>SUMIF(Emissions!$C$70:$C$85,'Emissions summary'!$C38,Emissions!AI$70:AI$85)</f>
        <v>7.8813449993659371E-2</v>
      </c>
      <c r="AH38" s="22">
        <f>SUMIF(Emissions!$C$70:$C$85,'Emissions summary'!$C38,Emissions!AJ$70:AJ$85)</f>
        <v>7.8813449993659371E-2</v>
      </c>
      <c r="AI38" s="22">
        <f>SUMIF(Emissions!$C$70:$C$85,'Emissions summary'!$C38,Emissions!AK$70:AK$85)</f>
        <v>7.8813449993659371E-2</v>
      </c>
      <c r="AJ38" s="22">
        <f>SUMIF(Emissions!$C$70:$C$85,'Emissions summary'!$C38,Emissions!AL$70:AL$85)</f>
        <v>7.8813449993659371E-2</v>
      </c>
      <c r="AK38" s="22">
        <f>SUMIF(Emissions!$C$70:$C$85,'Emissions summary'!$C38,Emissions!AM$70:AM$85)</f>
        <v>7.8813449993659371E-2</v>
      </c>
      <c r="AL38" s="22">
        <f>SUMIF(Emissions!$C$70:$C$85,'Emissions summary'!$C38,Emissions!AN$70:AN$85)</f>
        <v>7.8813449993659371E-2</v>
      </c>
      <c r="AM38" s="22">
        <f>SUMIF(Emissions!$C$70:$C$85,'Emissions summary'!$C38,Emissions!AO$70:AO$85)</f>
        <v>7.8813449993659371E-2</v>
      </c>
      <c r="AN38" s="22">
        <f>SUMIF(Emissions!$C$70:$C$85,'Emissions summary'!$C38,Emissions!AP$70:AP$85)</f>
        <v>7.8813449993659371E-2</v>
      </c>
      <c r="AO38" s="22">
        <f>SUMIF(Emissions!$C$70:$C$85,'Emissions summary'!$C38,Emissions!AQ$70:AQ$85)</f>
        <v>7.8813449993659371E-2</v>
      </c>
      <c r="AP38" s="22">
        <f>SUMIF(Emissions!$C$70:$C$85,'Emissions summary'!$C38,Emissions!AR$70:AR$85)</f>
        <v>7.8813449993659371E-2</v>
      </c>
      <c r="AQ38" s="22">
        <f>SUMIF(Emissions!$C$70:$C$85,'Emissions summary'!$C38,Emissions!AS$70:AS$85)</f>
        <v>7.8813449993659371E-2</v>
      </c>
      <c r="AR38" s="22">
        <f>SUMIF(Emissions!$C$70:$C$85,'Emissions summary'!$C38,Emissions!AT$70:AT$85)</f>
        <v>7.8813449993659371E-2</v>
      </c>
      <c r="AS38" s="22">
        <f>SUMIF(Emissions!$C$70:$C$85,'Emissions summary'!$C38,Emissions!AU$70:AU$85)</f>
        <v>7.8813449993659371E-2</v>
      </c>
      <c r="AT38" s="22">
        <f>SUMIF(Emissions!$C$70:$C$85,'Emissions summary'!$C38,Emissions!AV$70:AV$85)</f>
        <v>7.8813449993659371E-2</v>
      </c>
      <c r="AU38" s="22">
        <f>SUMIF(Emissions!$C$70:$C$85,'Emissions summary'!$C38,Emissions!AW$70:AW$85)</f>
        <v>7.8813449993659371E-2</v>
      </c>
      <c r="AV38" s="22">
        <f>SUMIF(Emissions!$C$70:$C$85,'Emissions summary'!$C38,Emissions!AX$70:AX$85)</f>
        <v>7.8813449993659371E-2</v>
      </c>
      <c r="AW38" s="22">
        <f>SUMIF(Emissions!$C$70:$C$85,'Emissions summary'!$C38,Emissions!AY$70:AY$85)</f>
        <v>7.8813449993659371E-2</v>
      </c>
      <c r="AX38" s="22">
        <f>SUMIF(Emissions!$C$70:$C$85,'Emissions summary'!$C38,Emissions!AZ$70:AZ$85)</f>
        <v>7.8813449993659371E-2</v>
      </c>
      <c r="AY38" s="22">
        <f>SUMIF(Emissions!$C$70:$C$85,'Emissions summary'!$C38,Emissions!BA$70:BA$85)</f>
        <v>7.8813449993659371E-2</v>
      </c>
      <c r="AZ38" s="22">
        <f>SUMIF(Emissions!$C$70:$C$85,'Emissions summary'!$C38,Emissions!BB$70:BB$85)</f>
        <v>7.8813449993659371E-2</v>
      </c>
      <c r="BA38" s="22">
        <f>SUMIF(Emissions!$C$70:$C$85,'Emissions summary'!$C38,Emissions!BC$70:BC$85)</f>
        <v>7.8813449993659371E-2</v>
      </c>
      <c r="BB38" s="22">
        <f>SUMIF(Emissions!$C$70:$C$85,'Emissions summary'!$C38,Emissions!BD$70:BD$85)</f>
        <v>7.8813449993659371E-2</v>
      </c>
      <c r="BC38" s="22">
        <f>SUMIF(Emissions!$C$70:$C$85,'Emissions summary'!$C38,Emissions!BE$70:BE$85)</f>
        <v>7.8813449993659371E-2</v>
      </c>
      <c r="BD38" s="22">
        <f>SUMIF(Emissions!$C$70:$C$85,'Emissions summary'!$C38,Emissions!BF$70:BF$85)</f>
        <v>7.8813449993659371E-2</v>
      </c>
      <c r="BE38" s="22">
        <f>SUMIF(Emissions!$C$70:$C$85,'Emissions summary'!$C38,Emissions!BG$70:BG$85)</f>
        <v>7.8813449993659371E-2</v>
      </c>
      <c r="BF38" s="22">
        <f>SUMIF(Emissions!$C$70:$C$85,'Emissions summary'!$C38,Emissions!BH$70:BH$85)</f>
        <v>7.8813449993659371E-2</v>
      </c>
      <c r="BG38" s="22">
        <f>SUMIF(Emissions!$C$70:$C$85,'Emissions summary'!$C38,Emissions!BI$70:BI$85)</f>
        <v>7.8813449993659371E-2</v>
      </c>
      <c r="BH38" s="22">
        <f>SUMIF(Emissions!$C$70:$C$85,'Emissions summary'!$C38,Emissions!BJ$70:BJ$85)</f>
        <v>7.8813449993659371E-2</v>
      </c>
      <c r="BI38" s="22">
        <f>SUMIF(Emissions!$C$70:$C$85,'Emissions summary'!$C38,Emissions!BK$70:BK$85)</f>
        <v>7.8813449993659371E-2</v>
      </c>
      <c r="BJ38" s="22">
        <f>SUMIF(Emissions!$C$70:$C$85,'Emissions summary'!$C38,Emissions!BL$70:BL$85)</f>
        <v>7.8813449993659371E-2</v>
      </c>
      <c r="BK38" s="22">
        <f>SUMIF(Emissions!$C$70:$C$85,'Emissions summary'!$C38,Emissions!BM$70:BM$85)</f>
        <v>7.8813449993659371E-2</v>
      </c>
      <c r="BL38" s="22">
        <f>SUMIF(Emissions!$C$70:$C$85,'Emissions summary'!$C38,Emissions!BN$70:BN$85)</f>
        <v>7.8813449993659371E-2</v>
      </c>
      <c r="BM38" s="22">
        <f>SUMIF(Emissions!$C$70:$C$85,'Emissions summary'!$C38,Emissions!BO$70:BO$85)</f>
        <v>7.8813449993659371E-2</v>
      </c>
      <c r="BN38" s="22">
        <f>SUMIF(Emissions!$C$70:$C$85,'Emissions summary'!$C38,Emissions!BP$70:BP$85)</f>
        <v>7.8813449993659371E-2</v>
      </c>
    </row>
    <row r="39" spans="1:66" x14ac:dyDescent="0.3">
      <c r="A39" t="str">
        <f t="shared" si="18"/>
        <v>3C Aggregated and non-CO2 emissions on land</v>
      </c>
      <c r="B39" t="str">
        <f t="shared" si="22"/>
        <v>3C1 Biomass burning (N2O)</v>
      </c>
      <c r="C39" t="str">
        <f>'IPCC Categories'!C69</f>
        <v>3C1e Biomass burning in Settlements</v>
      </c>
      <c r="D39" t="str">
        <f t="shared" si="23"/>
        <v>N2O</v>
      </c>
      <c r="E39" t="str">
        <f t="shared" si="23"/>
        <v>Gg N2O</v>
      </c>
      <c r="F39" s="22">
        <f>SUMIF(Emissions!$C$70:$C$85,'Emissions summary'!$C39,Emissions!H$70:H$85)</f>
        <v>4.462880557297625E-2</v>
      </c>
      <c r="G39" s="22">
        <f>SUMIF(Emissions!$C$70:$C$85,'Emissions summary'!$C39,Emissions!I$70:I$85)</f>
        <v>4.462880557297625E-2</v>
      </c>
      <c r="H39" s="22">
        <f>SUMIF(Emissions!$C$70:$C$85,'Emissions summary'!$C39,Emissions!J$70:J$85)</f>
        <v>4.462880557297625E-2</v>
      </c>
      <c r="I39" s="22">
        <f>SUMIF(Emissions!$C$70:$C$85,'Emissions summary'!$C39,Emissions!K$70:K$85)</f>
        <v>4.462880557297625E-2</v>
      </c>
      <c r="J39" s="22">
        <f>SUMIF(Emissions!$C$70:$C$85,'Emissions summary'!$C39,Emissions!L$70:L$85)</f>
        <v>4.462880557297625E-2</v>
      </c>
      <c r="K39" s="22">
        <f>SUMIF(Emissions!$C$70:$C$85,'Emissions summary'!$C39,Emissions!M$70:M$85)</f>
        <v>4.462880557297625E-2</v>
      </c>
      <c r="L39" s="22">
        <f>SUMIF(Emissions!$C$70:$C$85,'Emissions summary'!$C39,Emissions!N$70:N$85)</f>
        <v>4.462880557297625E-2</v>
      </c>
      <c r="M39" s="22">
        <f>SUMIF(Emissions!$C$70:$C$85,'Emissions summary'!$C39,Emissions!O$70:O$85)</f>
        <v>4.462880557297625E-2</v>
      </c>
      <c r="N39" s="22">
        <f>SUMIF(Emissions!$C$70:$C$85,'Emissions summary'!$C39,Emissions!P$70:P$85)</f>
        <v>4.462880557297625E-2</v>
      </c>
      <c r="O39" s="22">
        <f>SUMIF(Emissions!$C$70:$C$85,'Emissions summary'!$C39,Emissions!Q$70:Q$85)</f>
        <v>4.462880557297625E-2</v>
      </c>
      <c r="P39" s="22">
        <f>SUMIF(Emissions!$C$70:$C$85,'Emissions summary'!$C39,Emissions!R$70:R$85)</f>
        <v>4.8614087979466203E-2</v>
      </c>
      <c r="Q39" s="22">
        <f>SUMIF(Emissions!$C$70:$C$85,'Emissions summary'!$C39,Emissions!S$70:S$85)</f>
        <v>5.3839059429649942E-2</v>
      </c>
      <c r="R39" s="22">
        <f>SUMIF(Emissions!$C$70:$C$85,'Emissions summary'!$C39,Emissions!T$70:T$85)</f>
        <v>4.76008805879857E-2</v>
      </c>
      <c r="S39" s="22">
        <f>SUMIF(Emissions!$C$70:$C$85,'Emissions summary'!$C39,Emissions!U$70:U$85)</f>
        <v>4.1064699572356617E-2</v>
      </c>
      <c r="T39" s="22">
        <f>SUMIF(Emissions!$C$70:$C$85,'Emissions summary'!$C39,Emissions!V$70:V$85)</f>
        <v>3.2025300295422769E-2</v>
      </c>
      <c r="U39" s="22">
        <f>SUMIF(Emissions!$C$70:$C$85,'Emissions summary'!$C39,Emissions!W$70:W$85)</f>
        <v>7.2513862331447368E-2</v>
      </c>
      <c r="V39" s="22">
        <f>SUMIF(Emissions!$C$70:$C$85,'Emissions summary'!$C39,Emissions!X$70:X$85)</f>
        <v>6.3514196677708815E-2</v>
      </c>
      <c r="W39" s="22">
        <f>SUMIF(Emissions!$C$70:$C$85,'Emissions summary'!$C39,Emissions!Y$70:Y$85)</f>
        <v>7.0249045809314473E-2</v>
      </c>
      <c r="X39" s="22">
        <f>SUMIF(Emissions!$C$70:$C$85,'Emissions summary'!$C39,Emissions!Z$70:Z$85)</f>
        <v>4.3369249717684813E-2</v>
      </c>
      <c r="Y39" s="22">
        <f>SUMIF(Emissions!$C$70:$C$85,'Emissions summary'!$C39,Emissions!AA$70:AA$85)</f>
        <v>5.2190114067044435E-2</v>
      </c>
      <c r="Z39" s="22">
        <f>SUMIF(Emissions!$C$70:$C$85,'Emissions summary'!$C39,Emissions!AB$70:AB$85)</f>
        <v>3.9028768379999995E-2</v>
      </c>
      <c r="AA39" s="22">
        <f>SUMIF(Emissions!$C$70:$C$85,'Emissions summary'!$C39,Emissions!AC$70:AC$85)</f>
        <v>2.72036394E-2</v>
      </c>
      <c r="AB39" s="22">
        <f>SUMIF(Emissions!$C$70:$C$85,'Emissions summary'!$C39,Emissions!AD$70:AD$85)</f>
        <v>3.9235523819963862E-2</v>
      </c>
      <c r="AC39" s="22">
        <f>SUMIF(Emissions!$C$70:$C$85,'Emissions summary'!$C39,Emissions!AE$70:AE$85)</f>
        <v>3.9318445103539788E-2</v>
      </c>
      <c r="AD39" s="22">
        <f>SUMIF(Emissions!$C$70:$C$85,'Emissions summary'!$C39,Emissions!AF$70:AF$85)</f>
        <v>3.9401366387115715E-2</v>
      </c>
      <c r="AE39" s="22">
        <f>SUMIF(Emissions!$C$70:$C$85,'Emissions summary'!$C39,Emissions!AG$70:AG$85)</f>
        <v>3.9484287670691648E-2</v>
      </c>
      <c r="AF39" s="22">
        <f>SUMIF(Emissions!$C$70:$C$85,'Emissions summary'!$C39,Emissions!AH$70:AH$85)</f>
        <v>3.9567208954267574E-2</v>
      </c>
      <c r="AG39" s="22">
        <f>SUMIF(Emissions!$C$70:$C$85,'Emissions summary'!$C39,Emissions!AI$70:AI$85)</f>
        <v>3.9650130237843507E-2</v>
      </c>
      <c r="AH39" s="22">
        <f>SUMIF(Emissions!$C$70:$C$85,'Emissions summary'!$C39,Emissions!AJ$70:AJ$85)</f>
        <v>3.9733051521419427E-2</v>
      </c>
      <c r="AI39" s="22">
        <f>SUMIF(Emissions!$C$70:$C$85,'Emissions summary'!$C39,Emissions!AK$70:AK$85)</f>
        <v>3.981597280499536E-2</v>
      </c>
      <c r="AJ39" s="22">
        <f>SUMIF(Emissions!$C$70:$C$85,'Emissions summary'!$C39,Emissions!AL$70:AL$85)</f>
        <v>3.9898894088571286E-2</v>
      </c>
      <c r="AK39" s="22">
        <f>SUMIF(Emissions!$C$70:$C$85,'Emissions summary'!$C39,Emissions!AM$70:AM$85)</f>
        <v>3.9981815372147227E-2</v>
      </c>
      <c r="AL39" s="22">
        <f>SUMIF(Emissions!$C$70:$C$85,'Emissions summary'!$C39,Emissions!AN$70:AN$85)</f>
        <v>4.0064736655723153E-2</v>
      </c>
      <c r="AM39" s="22">
        <f>SUMIF(Emissions!$C$70:$C$85,'Emissions summary'!$C39,Emissions!AO$70:AO$85)</f>
        <v>4.0147657939299079E-2</v>
      </c>
      <c r="AN39" s="22">
        <f>SUMIF(Emissions!$C$70:$C$85,'Emissions summary'!$C39,Emissions!AP$70:AP$85)</f>
        <v>4.0230579222875013E-2</v>
      </c>
      <c r="AO39" s="22">
        <f>SUMIF(Emissions!$C$70:$C$85,'Emissions summary'!$C39,Emissions!AQ$70:AQ$85)</f>
        <v>4.0313500506450946E-2</v>
      </c>
      <c r="AP39" s="22">
        <f>SUMIF(Emissions!$C$70:$C$85,'Emissions summary'!$C39,Emissions!AR$70:AR$85)</f>
        <v>4.0396421790026865E-2</v>
      </c>
      <c r="AQ39" s="22">
        <f>SUMIF(Emissions!$C$70:$C$85,'Emissions summary'!$C39,Emissions!AS$70:AS$85)</f>
        <v>4.0479343073602798E-2</v>
      </c>
      <c r="AR39" s="22">
        <f>SUMIF(Emissions!$C$70:$C$85,'Emissions summary'!$C39,Emissions!AT$70:AT$85)</f>
        <v>4.0562264357178725E-2</v>
      </c>
      <c r="AS39" s="22">
        <f>SUMIF(Emissions!$C$70:$C$85,'Emissions summary'!$C39,Emissions!AU$70:AU$85)</f>
        <v>4.0645185640754658E-2</v>
      </c>
      <c r="AT39" s="22">
        <f>SUMIF(Emissions!$C$70:$C$85,'Emissions summary'!$C39,Emissions!AV$70:AV$85)</f>
        <v>4.0728106924330584E-2</v>
      </c>
      <c r="AU39" s="22">
        <f>SUMIF(Emissions!$C$70:$C$85,'Emissions summary'!$C39,Emissions!AW$70:AW$85)</f>
        <v>4.0811028207906511E-2</v>
      </c>
      <c r="AV39" s="22">
        <f>SUMIF(Emissions!$C$70:$C$85,'Emissions summary'!$C39,Emissions!AX$70:AX$85)</f>
        <v>4.0893949491482444E-2</v>
      </c>
      <c r="AW39" s="22">
        <f>SUMIF(Emissions!$C$70:$C$85,'Emissions summary'!$C39,Emissions!AY$70:AY$85)</f>
        <v>4.097687077505837E-2</v>
      </c>
      <c r="AX39" s="22">
        <f>SUMIF(Emissions!$C$70:$C$85,'Emissions summary'!$C39,Emissions!AZ$70:AZ$85)</f>
        <v>4.1059792058634303E-2</v>
      </c>
      <c r="AY39" s="22">
        <f>SUMIF(Emissions!$C$70:$C$85,'Emissions summary'!$C39,Emissions!BA$70:BA$85)</f>
        <v>4.114271334221023E-2</v>
      </c>
      <c r="AZ39" s="22">
        <f>SUMIF(Emissions!$C$70:$C$85,'Emissions summary'!$C39,Emissions!BB$70:BB$85)</f>
        <v>4.1225634625786156E-2</v>
      </c>
      <c r="BA39" s="22">
        <f>SUMIF(Emissions!$C$70:$C$85,'Emissions summary'!$C39,Emissions!BC$70:BC$85)</f>
        <v>4.1308555909362089E-2</v>
      </c>
      <c r="BB39" s="22">
        <f>SUMIF(Emissions!$C$70:$C$85,'Emissions summary'!$C39,Emissions!BD$70:BD$85)</f>
        <v>4.1391477192938023E-2</v>
      </c>
      <c r="BC39" s="22">
        <f>SUMIF(Emissions!$C$70:$C$85,'Emissions summary'!$C39,Emissions!BE$70:BE$85)</f>
        <v>4.1474398476513949E-2</v>
      </c>
      <c r="BD39" s="22">
        <f>SUMIF(Emissions!$C$70:$C$85,'Emissions summary'!$C39,Emissions!BF$70:BF$85)</f>
        <v>4.1557319760089875E-2</v>
      </c>
      <c r="BE39" s="22">
        <f>SUMIF(Emissions!$C$70:$C$85,'Emissions summary'!$C39,Emissions!BG$70:BG$85)</f>
        <v>4.1640241043665809E-2</v>
      </c>
      <c r="BF39" s="22">
        <f>SUMIF(Emissions!$C$70:$C$85,'Emissions summary'!$C39,Emissions!BH$70:BH$85)</f>
        <v>4.1723162327241742E-2</v>
      </c>
      <c r="BG39" s="22">
        <f>SUMIF(Emissions!$C$70:$C$85,'Emissions summary'!$C39,Emissions!BI$70:BI$85)</f>
        <v>4.1806083610817661E-2</v>
      </c>
      <c r="BH39" s="22">
        <f>SUMIF(Emissions!$C$70:$C$85,'Emissions summary'!$C39,Emissions!BJ$70:BJ$85)</f>
        <v>4.1889004894393594E-2</v>
      </c>
      <c r="BI39" s="22">
        <f>SUMIF(Emissions!$C$70:$C$85,'Emissions summary'!$C39,Emissions!BK$70:BK$85)</f>
        <v>4.1971926177969528E-2</v>
      </c>
      <c r="BJ39" s="22">
        <f>SUMIF(Emissions!$C$70:$C$85,'Emissions summary'!$C39,Emissions!BL$70:BL$85)</f>
        <v>4.2054847461545454E-2</v>
      </c>
      <c r="BK39" s="22">
        <f>SUMIF(Emissions!$C$70:$C$85,'Emissions summary'!$C39,Emissions!BM$70:BM$85)</f>
        <v>4.2137768745121387E-2</v>
      </c>
      <c r="BL39" s="22">
        <f>SUMIF(Emissions!$C$70:$C$85,'Emissions summary'!$C39,Emissions!BN$70:BN$85)</f>
        <v>4.2220690028697307E-2</v>
      </c>
      <c r="BM39" s="22">
        <f>SUMIF(Emissions!$C$70:$C$85,'Emissions summary'!$C39,Emissions!BO$70:BO$85)</f>
        <v>4.230361131227324E-2</v>
      </c>
      <c r="BN39" s="22">
        <f>SUMIF(Emissions!$C$70:$C$85,'Emissions summary'!$C39,Emissions!BP$70:BP$85)</f>
        <v>4.2386532595849173E-2</v>
      </c>
    </row>
    <row r="40" spans="1:66" x14ac:dyDescent="0.3">
      <c r="A40" t="str">
        <f t="shared" si="18"/>
        <v>3C Aggregated and non-CO2 emissions on land</v>
      </c>
      <c r="B40" t="str">
        <f t="shared" si="22"/>
        <v>3C1 Biomass burning (N2O)</v>
      </c>
      <c r="C40" t="str">
        <f>'IPCC Categories'!C70</f>
        <v>3C1f Biomass burning in Other lands</v>
      </c>
      <c r="D40" t="str">
        <f t="shared" si="23"/>
        <v>N2O</v>
      </c>
      <c r="E40" t="str">
        <f t="shared" si="23"/>
        <v>Gg N2O</v>
      </c>
      <c r="F40" s="22">
        <f>SUMIF(Emissions!$C$70:$C$85,'Emissions summary'!$C40,Emissions!H$70:H$85)</f>
        <v>0</v>
      </c>
      <c r="G40" s="22">
        <f>SUMIF(Emissions!$C$70:$C$85,'Emissions summary'!$C40,Emissions!I$70:I$85)</f>
        <v>0</v>
      </c>
      <c r="H40" s="22">
        <f>SUMIF(Emissions!$C$70:$C$85,'Emissions summary'!$C40,Emissions!J$70:J$85)</f>
        <v>0</v>
      </c>
      <c r="I40" s="22">
        <f>SUMIF(Emissions!$C$70:$C$85,'Emissions summary'!$C40,Emissions!K$70:K$85)</f>
        <v>0</v>
      </c>
      <c r="J40" s="22">
        <f>SUMIF(Emissions!$C$70:$C$85,'Emissions summary'!$C40,Emissions!L$70:L$85)</f>
        <v>0</v>
      </c>
      <c r="K40" s="22">
        <f>SUMIF(Emissions!$C$70:$C$85,'Emissions summary'!$C40,Emissions!M$70:M$85)</f>
        <v>0</v>
      </c>
      <c r="L40" s="22">
        <f>SUMIF(Emissions!$C$70:$C$85,'Emissions summary'!$C40,Emissions!N$70:N$85)</f>
        <v>0</v>
      </c>
      <c r="M40" s="22">
        <f>SUMIF(Emissions!$C$70:$C$85,'Emissions summary'!$C40,Emissions!O$70:O$85)</f>
        <v>0</v>
      </c>
      <c r="N40" s="22">
        <f>SUMIF(Emissions!$C$70:$C$85,'Emissions summary'!$C40,Emissions!P$70:P$85)</f>
        <v>0</v>
      </c>
      <c r="O40" s="22">
        <f>SUMIF(Emissions!$C$70:$C$85,'Emissions summary'!$C40,Emissions!Q$70:Q$85)</f>
        <v>0</v>
      </c>
      <c r="P40" s="22">
        <f>SUMIF(Emissions!$C$70:$C$85,'Emissions summary'!$C40,Emissions!R$70:R$85)</f>
        <v>0</v>
      </c>
      <c r="Q40" s="22">
        <f>SUMIF(Emissions!$C$70:$C$85,'Emissions summary'!$C40,Emissions!S$70:S$85)</f>
        <v>0</v>
      </c>
      <c r="R40" s="22">
        <f>SUMIF(Emissions!$C$70:$C$85,'Emissions summary'!$C40,Emissions!T$70:T$85)</f>
        <v>0</v>
      </c>
      <c r="S40" s="22">
        <f>SUMIF(Emissions!$C$70:$C$85,'Emissions summary'!$C40,Emissions!U$70:U$85)</f>
        <v>0</v>
      </c>
      <c r="T40" s="22">
        <f>SUMIF(Emissions!$C$70:$C$85,'Emissions summary'!$C40,Emissions!V$70:V$85)</f>
        <v>0</v>
      </c>
      <c r="U40" s="22">
        <f>SUMIF(Emissions!$C$70:$C$85,'Emissions summary'!$C40,Emissions!W$70:W$85)</f>
        <v>0</v>
      </c>
      <c r="V40" s="22">
        <f>SUMIF(Emissions!$C$70:$C$85,'Emissions summary'!$C40,Emissions!X$70:X$85)</f>
        <v>0</v>
      </c>
      <c r="W40" s="22">
        <f>SUMIF(Emissions!$C$70:$C$85,'Emissions summary'!$C40,Emissions!Y$70:Y$85)</f>
        <v>0</v>
      </c>
      <c r="X40" s="22">
        <f>SUMIF(Emissions!$C$70:$C$85,'Emissions summary'!$C40,Emissions!Z$70:Z$85)</f>
        <v>0</v>
      </c>
      <c r="Y40" s="22">
        <f>SUMIF(Emissions!$C$70:$C$85,'Emissions summary'!$C40,Emissions!AA$70:AA$85)</f>
        <v>0</v>
      </c>
      <c r="Z40" s="22">
        <f>SUMIF(Emissions!$C$70:$C$85,'Emissions summary'!$C40,Emissions!AB$70:AB$85)</f>
        <v>0</v>
      </c>
      <c r="AA40" s="22">
        <f>SUMIF(Emissions!$C$70:$C$85,'Emissions summary'!$C40,Emissions!AC$70:AC$85)</f>
        <v>0</v>
      </c>
      <c r="AB40" s="22">
        <f>SUMIF(Emissions!$C$70:$C$85,'Emissions summary'!$C40,Emissions!AD$70:AD$85)</f>
        <v>0</v>
      </c>
      <c r="AC40" s="22">
        <f>SUMIF(Emissions!$C$70:$C$85,'Emissions summary'!$C40,Emissions!AE$70:AE$85)</f>
        <v>0</v>
      </c>
      <c r="AD40" s="22">
        <f>SUMIF(Emissions!$C$70:$C$85,'Emissions summary'!$C40,Emissions!AF$70:AF$85)</f>
        <v>0</v>
      </c>
      <c r="AE40" s="22">
        <f>SUMIF(Emissions!$C$70:$C$85,'Emissions summary'!$C40,Emissions!AG$70:AG$85)</f>
        <v>0</v>
      </c>
      <c r="AF40" s="22">
        <f>SUMIF(Emissions!$C$70:$C$85,'Emissions summary'!$C40,Emissions!AH$70:AH$85)</f>
        <v>0</v>
      </c>
      <c r="AG40" s="22">
        <f>SUMIF(Emissions!$C$70:$C$85,'Emissions summary'!$C40,Emissions!AI$70:AI$85)</f>
        <v>0</v>
      </c>
      <c r="AH40" s="22">
        <f>SUMIF(Emissions!$C$70:$C$85,'Emissions summary'!$C40,Emissions!AJ$70:AJ$85)</f>
        <v>0</v>
      </c>
      <c r="AI40" s="22">
        <f>SUMIF(Emissions!$C$70:$C$85,'Emissions summary'!$C40,Emissions!AK$70:AK$85)</f>
        <v>0</v>
      </c>
      <c r="AJ40" s="22">
        <f>SUMIF(Emissions!$C$70:$C$85,'Emissions summary'!$C40,Emissions!AL$70:AL$85)</f>
        <v>0</v>
      </c>
      <c r="AK40" s="22">
        <f>SUMIF(Emissions!$C$70:$C$85,'Emissions summary'!$C40,Emissions!AM$70:AM$85)</f>
        <v>0</v>
      </c>
      <c r="AL40" s="22">
        <f>SUMIF(Emissions!$C$70:$C$85,'Emissions summary'!$C40,Emissions!AN$70:AN$85)</f>
        <v>0</v>
      </c>
      <c r="AM40" s="22">
        <f>SUMIF(Emissions!$C$70:$C$85,'Emissions summary'!$C40,Emissions!AO$70:AO$85)</f>
        <v>0</v>
      </c>
      <c r="AN40" s="22">
        <f>SUMIF(Emissions!$C$70:$C$85,'Emissions summary'!$C40,Emissions!AP$70:AP$85)</f>
        <v>0</v>
      </c>
      <c r="AO40" s="22">
        <f>SUMIF(Emissions!$C$70:$C$85,'Emissions summary'!$C40,Emissions!AQ$70:AQ$85)</f>
        <v>0</v>
      </c>
      <c r="AP40" s="22">
        <f>SUMIF(Emissions!$C$70:$C$85,'Emissions summary'!$C40,Emissions!AR$70:AR$85)</f>
        <v>0</v>
      </c>
      <c r="AQ40" s="22">
        <f>SUMIF(Emissions!$C$70:$C$85,'Emissions summary'!$C40,Emissions!AS$70:AS$85)</f>
        <v>0</v>
      </c>
      <c r="AR40" s="22">
        <f>SUMIF(Emissions!$C$70:$C$85,'Emissions summary'!$C40,Emissions!AT$70:AT$85)</f>
        <v>0</v>
      </c>
      <c r="AS40" s="22">
        <f>SUMIF(Emissions!$C$70:$C$85,'Emissions summary'!$C40,Emissions!AU$70:AU$85)</f>
        <v>0</v>
      </c>
      <c r="AT40" s="22">
        <f>SUMIF(Emissions!$C$70:$C$85,'Emissions summary'!$C40,Emissions!AV$70:AV$85)</f>
        <v>0</v>
      </c>
      <c r="AU40" s="22">
        <f>SUMIF(Emissions!$C$70:$C$85,'Emissions summary'!$C40,Emissions!AW$70:AW$85)</f>
        <v>0</v>
      </c>
      <c r="AV40" s="22">
        <f>SUMIF(Emissions!$C$70:$C$85,'Emissions summary'!$C40,Emissions!AX$70:AX$85)</f>
        <v>0</v>
      </c>
      <c r="AW40" s="22">
        <f>SUMIF(Emissions!$C$70:$C$85,'Emissions summary'!$C40,Emissions!AY$70:AY$85)</f>
        <v>0</v>
      </c>
      <c r="AX40" s="22">
        <f>SUMIF(Emissions!$C$70:$C$85,'Emissions summary'!$C40,Emissions!AZ$70:AZ$85)</f>
        <v>0</v>
      </c>
      <c r="AY40" s="22">
        <f>SUMIF(Emissions!$C$70:$C$85,'Emissions summary'!$C40,Emissions!BA$70:BA$85)</f>
        <v>0</v>
      </c>
      <c r="AZ40" s="22">
        <f>SUMIF(Emissions!$C$70:$C$85,'Emissions summary'!$C40,Emissions!BB$70:BB$85)</f>
        <v>0</v>
      </c>
      <c r="BA40" s="22">
        <f>SUMIF(Emissions!$C$70:$C$85,'Emissions summary'!$C40,Emissions!BC$70:BC$85)</f>
        <v>0</v>
      </c>
      <c r="BB40" s="22">
        <f>SUMIF(Emissions!$C$70:$C$85,'Emissions summary'!$C40,Emissions!BD$70:BD$85)</f>
        <v>0</v>
      </c>
      <c r="BC40" s="22">
        <f>SUMIF(Emissions!$C$70:$C$85,'Emissions summary'!$C40,Emissions!BE$70:BE$85)</f>
        <v>0</v>
      </c>
      <c r="BD40" s="22">
        <f>SUMIF(Emissions!$C$70:$C$85,'Emissions summary'!$C40,Emissions!BF$70:BF$85)</f>
        <v>0</v>
      </c>
      <c r="BE40" s="22">
        <f>SUMIF(Emissions!$C$70:$C$85,'Emissions summary'!$C40,Emissions!BG$70:BG$85)</f>
        <v>0</v>
      </c>
      <c r="BF40" s="22">
        <f>SUMIF(Emissions!$C$70:$C$85,'Emissions summary'!$C40,Emissions!BH$70:BH$85)</f>
        <v>0</v>
      </c>
      <c r="BG40" s="22">
        <f>SUMIF(Emissions!$C$70:$C$85,'Emissions summary'!$C40,Emissions!BI$70:BI$85)</f>
        <v>0</v>
      </c>
      <c r="BH40" s="22">
        <f>SUMIF(Emissions!$C$70:$C$85,'Emissions summary'!$C40,Emissions!BJ$70:BJ$85)</f>
        <v>0</v>
      </c>
      <c r="BI40" s="22">
        <f>SUMIF(Emissions!$C$70:$C$85,'Emissions summary'!$C40,Emissions!BK$70:BK$85)</f>
        <v>0</v>
      </c>
      <c r="BJ40" s="22">
        <f>SUMIF(Emissions!$C$70:$C$85,'Emissions summary'!$C40,Emissions!BL$70:BL$85)</f>
        <v>0</v>
      </c>
      <c r="BK40" s="22">
        <f>SUMIF(Emissions!$C$70:$C$85,'Emissions summary'!$C40,Emissions!BM$70:BM$85)</f>
        <v>0</v>
      </c>
      <c r="BL40" s="22">
        <f>SUMIF(Emissions!$C$70:$C$85,'Emissions summary'!$C40,Emissions!BN$70:BN$85)</f>
        <v>0</v>
      </c>
      <c r="BM40" s="22">
        <f>SUMIF(Emissions!$C$70:$C$85,'Emissions summary'!$C40,Emissions!BO$70:BO$85)</f>
        <v>0</v>
      </c>
      <c r="BN40" s="22">
        <f>SUMIF(Emissions!$C$70:$C$85,'Emissions summary'!$C40,Emissions!BP$70:BP$85)</f>
        <v>0</v>
      </c>
    </row>
    <row r="41" spans="1:66" s="19" customFormat="1" ht="15.6" x14ac:dyDescent="0.3">
      <c r="A41" s="19" t="str">
        <f t="shared" si="18"/>
        <v>3C Aggregated and non-CO2 emissions on land</v>
      </c>
      <c r="B41" s="19" t="str">
        <f>'IPCC Categories'!B71</f>
        <v>3C2 Liming (CO2)</v>
      </c>
      <c r="C41" s="19" t="s">
        <v>148</v>
      </c>
      <c r="D41" s="19" t="s">
        <v>380</v>
      </c>
      <c r="E41" s="19" t="s">
        <v>382</v>
      </c>
      <c r="F41" s="41">
        <f>Emissions!H86</f>
        <v>357.5</v>
      </c>
      <c r="G41" s="41">
        <f>Emissions!I86</f>
        <v>378.125</v>
      </c>
      <c r="H41" s="41">
        <f>Emissions!J86</f>
        <v>261.25</v>
      </c>
      <c r="I41" s="41">
        <f>Emissions!K86</f>
        <v>412.5</v>
      </c>
      <c r="J41" s="41">
        <f>Emissions!L86</f>
        <v>595.58170833333327</v>
      </c>
      <c r="K41" s="41">
        <f>Emissions!M86</f>
        <v>473.34145833333332</v>
      </c>
      <c r="L41" s="41">
        <f>Emissions!N86</f>
        <v>579.13625000000002</v>
      </c>
      <c r="M41" s="41">
        <f>Emissions!O86</f>
        <v>547.24312499999996</v>
      </c>
      <c r="N41" s="41">
        <f>Emissions!P86</f>
        <v>570.31379166666659</v>
      </c>
      <c r="O41" s="41">
        <f>Emissions!Q86</f>
        <v>567.03808333333325</v>
      </c>
      <c r="P41" s="41">
        <f>Emissions!R86</f>
        <v>378.2405</v>
      </c>
      <c r="Q41" s="41">
        <f>Emissions!S86</f>
        <v>489.66362500000002</v>
      </c>
      <c r="R41" s="41">
        <f>Emissions!T86</f>
        <v>672.79437500000006</v>
      </c>
      <c r="S41" s="41">
        <f>Emissions!U86</f>
        <v>580.13175000000001</v>
      </c>
      <c r="T41" s="41">
        <f>Emissions!V86</f>
        <v>579.7403333333333</v>
      </c>
      <c r="U41" s="41">
        <f>Emissions!W86</f>
        <v>266.03683333333333</v>
      </c>
      <c r="V41" s="41">
        <f>Emissions!X86</f>
        <v>441.42908333333332</v>
      </c>
      <c r="W41" s="41">
        <f>Emissions!Y86</f>
        <v>521.42108333333329</v>
      </c>
      <c r="X41" s="41">
        <f>Emissions!Z86</f>
        <v>655.32637499999998</v>
      </c>
      <c r="Y41" s="41">
        <f>Emissions!AA86</f>
        <v>695.56775237855516</v>
      </c>
      <c r="Z41" s="41">
        <f>Emissions!AB86</f>
        <v>653.23730656422072</v>
      </c>
      <c r="AA41" s="41">
        <f>Emissions!AC86</f>
        <v>722.61220387104663</v>
      </c>
      <c r="AB41" s="41">
        <f>Emissions!AD86</f>
        <v>886.46691832724639</v>
      </c>
      <c r="AC41" s="41">
        <f>Emissions!AE86</f>
        <v>888.12131157949125</v>
      </c>
      <c r="AD41" s="41">
        <f>Emissions!AF86</f>
        <v>891.15452747930806</v>
      </c>
      <c r="AE41" s="41">
        <f>Emissions!AG86</f>
        <v>894.77997458773643</v>
      </c>
      <c r="AF41" s="41">
        <f>Emissions!AH86</f>
        <v>897.22911689738771</v>
      </c>
      <c r="AG41" s="41">
        <f>Emissions!AI86</f>
        <v>898.91455113929567</v>
      </c>
      <c r="AH41" s="41">
        <f>Emissions!AJ86</f>
        <v>899.83749014303339</v>
      </c>
      <c r="AI41" s="41">
        <f>Emissions!AK86</f>
        <v>901.33063602016739</v>
      </c>
      <c r="AJ41" s="41">
        <f>Emissions!AL86</f>
        <v>902.89907464525436</v>
      </c>
      <c r="AK41" s="41">
        <f>Emissions!AM86</f>
        <v>891.99675751980965</v>
      </c>
      <c r="AL41" s="41">
        <f>Emissions!AN86</f>
        <v>896.31989501908868</v>
      </c>
      <c r="AM41" s="41">
        <f>Emissions!AO86</f>
        <v>902.22024497284394</v>
      </c>
      <c r="AN41" s="41">
        <f>Emissions!AP86</f>
        <v>905.3909035858818</v>
      </c>
      <c r="AO41" s="41">
        <f>Emissions!AQ86</f>
        <v>908.85869804414574</v>
      </c>
      <c r="AP41" s="41">
        <f>Emissions!AR86</f>
        <v>912.71420258721548</v>
      </c>
      <c r="AQ41" s="41">
        <f>Emissions!AS86</f>
        <v>916.76138513802675</v>
      </c>
      <c r="AR41" s="41">
        <f>Emissions!AT86</f>
        <v>921.08070130350711</v>
      </c>
      <c r="AS41" s="41">
        <f>Emissions!AU86</f>
        <v>925.40933815746541</v>
      </c>
      <c r="AT41" s="41">
        <f>Emissions!AV86</f>
        <v>929.96831948890872</v>
      </c>
      <c r="AU41" s="41">
        <f>Emissions!AW86</f>
        <v>934.50696522239457</v>
      </c>
      <c r="AV41" s="41">
        <f>Emissions!AX86</f>
        <v>939.42761374681561</v>
      </c>
      <c r="AW41" s="41">
        <f>Emissions!AY86</f>
        <v>944.16688868183769</v>
      </c>
      <c r="AX41" s="41">
        <f>Emissions!AZ86</f>
        <v>949.0261231000643</v>
      </c>
      <c r="AY41" s="41">
        <f>Emissions!BA86</f>
        <v>954.33840569705478</v>
      </c>
      <c r="AZ41" s="41">
        <f>Emissions!BB86</f>
        <v>959.278398620286</v>
      </c>
      <c r="BA41" s="41">
        <f>Emissions!BC86</f>
        <v>964.3507815679485</v>
      </c>
      <c r="BB41" s="41">
        <f>Emissions!BD86</f>
        <v>969.61220137656596</v>
      </c>
      <c r="BC41" s="41">
        <f>Emissions!BE86</f>
        <v>974.44775869223997</v>
      </c>
      <c r="BD41" s="41">
        <f>Emissions!BF86</f>
        <v>979.14890322764631</v>
      </c>
      <c r="BE41" s="41">
        <f>Emissions!BG86</f>
        <v>983.73381176950784</v>
      </c>
      <c r="BF41" s="41">
        <f>Emissions!BH86</f>
        <v>988.57156221875641</v>
      </c>
      <c r="BG41" s="41">
        <f>Emissions!BI86</f>
        <v>993.12969939958668</v>
      </c>
      <c r="BH41" s="41">
        <f>Emissions!BJ86</f>
        <v>997.74604101719626</v>
      </c>
      <c r="BI41" s="41">
        <f>Emissions!BK86</f>
        <v>1002.4341171721968</v>
      </c>
      <c r="BJ41" s="41">
        <f>Emissions!BL86</f>
        <v>1007.2170829821735</v>
      </c>
      <c r="BK41" s="41">
        <f>Emissions!BM86</f>
        <v>1012.0749838215364</v>
      </c>
      <c r="BL41" s="41">
        <f>Emissions!BN86</f>
        <v>1013.5676439901464</v>
      </c>
      <c r="BM41" s="41">
        <f>Emissions!BO86</f>
        <v>1014.7466063039381</v>
      </c>
      <c r="BN41" s="41">
        <f>Emissions!BP86</f>
        <v>1015.4810997197675</v>
      </c>
    </row>
    <row r="42" spans="1:66" s="19" customFormat="1" ht="15.6" x14ac:dyDescent="0.3">
      <c r="A42" s="19" t="str">
        <f t="shared" si="18"/>
        <v>3C Aggregated and non-CO2 emissions on land</v>
      </c>
      <c r="B42" s="19" t="str">
        <f>'IPCC Categories'!B72</f>
        <v>3C3 Urea application (CO2)</v>
      </c>
      <c r="C42" s="19" t="s">
        <v>148</v>
      </c>
      <c r="D42" s="19" t="str">
        <f>D41</f>
        <v>CO2</v>
      </c>
      <c r="E42" s="19" t="str">
        <f>E41</f>
        <v>Gg CO2</v>
      </c>
      <c r="F42" s="41">
        <f>Emissions!H87</f>
        <v>90.994567483487728</v>
      </c>
      <c r="G42" s="41">
        <f>Emissions!I87</f>
        <v>111.62690198838213</v>
      </c>
      <c r="H42" s="41">
        <f>Emissions!J87</f>
        <v>132.25923649327655</v>
      </c>
      <c r="I42" s="41">
        <f>Emissions!K87</f>
        <v>152.89157099816552</v>
      </c>
      <c r="J42" s="41">
        <f>Emissions!L87</f>
        <v>173.52390550305992</v>
      </c>
      <c r="K42" s="41">
        <f>Emissions!M87</f>
        <v>194.15624000795432</v>
      </c>
      <c r="L42" s="41">
        <f>Emissions!N87</f>
        <v>214.78857451284878</v>
      </c>
      <c r="M42" s="41">
        <f>Emissions!O87</f>
        <v>235.42090901774316</v>
      </c>
      <c r="N42" s="41">
        <f>Emissions!P87</f>
        <v>256.05324352263762</v>
      </c>
      <c r="O42" s="41">
        <f>Emissions!Q87</f>
        <v>276.68557802753202</v>
      </c>
      <c r="P42" s="41">
        <f>Emissions!R87</f>
        <v>297.31791253242642</v>
      </c>
      <c r="Q42" s="41">
        <f>Emissions!S87</f>
        <v>317.95024703732088</v>
      </c>
      <c r="R42" s="41">
        <f>Emissions!T87</f>
        <v>338.58258154220977</v>
      </c>
      <c r="S42" s="41">
        <f>Emissions!U87</f>
        <v>359.21491604710423</v>
      </c>
      <c r="T42" s="41">
        <f>Emissions!V87</f>
        <v>435.89846666666671</v>
      </c>
      <c r="U42" s="41">
        <f>Emissions!W87</f>
        <v>355.08659999999998</v>
      </c>
      <c r="V42" s="41">
        <f>Emissions!X87</f>
        <v>393.08573333333334</v>
      </c>
      <c r="W42" s="41">
        <f>Emissions!Y87</f>
        <v>484.55366666666663</v>
      </c>
      <c r="X42" s="41">
        <f>Emissions!Z87</f>
        <v>480.19253333333336</v>
      </c>
      <c r="Y42" s="41">
        <f>Emissions!AA87</f>
        <v>380.54426666666666</v>
      </c>
      <c r="Z42" s="41">
        <f>Emissions!AB87</f>
        <v>501.48046666666664</v>
      </c>
      <c r="AA42" s="41">
        <f>Emissions!AC87</f>
        <v>571.19113333333337</v>
      </c>
      <c r="AB42" s="41">
        <f>Emissions!AD87</f>
        <v>470.0955092083982</v>
      </c>
      <c r="AC42" s="41">
        <f>Emissions!AE87</f>
        <v>470.05382539136968</v>
      </c>
      <c r="AD42" s="41">
        <f>Emissions!AF87</f>
        <v>469.97740098840234</v>
      </c>
      <c r="AE42" s="41">
        <f>Emissions!AG87</f>
        <v>469.88605482647296</v>
      </c>
      <c r="AF42" s="41">
        <f>Emissions!AH87</f>
        <v>469.82434664447095</v>
      </c>
      <c r="AG42" s="41">
        <f>Emissions!AI87</f>
        <v>469.78188072383335</v>
      </c>
      <c r="AH42" s="41">
        <f>Emissions!AJ87</f>
        <v>469.75862650630785</v>
      </c>
      <c r="AI42" s="41">
        <f>Emissions!AK87</f>
        <v>469.72100545130479</v>
      </c>
      <c r="AJ42" s="41">
        <f>Emissions!AL87</f>
        <v>469.68148733275598</v>
      </c>
      <c r="AK42" s="41">
        <f>Emissions!AM87</f>
        <v>469.95618030048149</v>
      </c>
      <c r="AL42" s="41">
        <f>Emissions!AN87</f>
        <v>469.84725524758687</v>
      </c>
      <c r="AM42" s="41">
        <f>Emissions!AO87</f>
        <v>469.69859101219856</v>
      </c>
      <c r="AN42" s="41">
        <f>Emissions!AP87</f>
        <v>469.61870362550462</v>
      </c>
      <c r="AO42" s="41">
        <f>Emissions!AQ87</f>
        <v>469.53132965350932</v>
      </c>
      <c r="AP42" s="41">
        <f>Emissions!AR87</f>
        <v>469.43418700274725</v>
      </c>
      <c r="AQ42" s="41">
        <f>Emissions!AS87</f>
        <v>469.33221486480466</v>
      </c>
      <c r="AR42" s="41">
        <f>Emissions!AT87</f>
        <v>469.22338609360048</v>
      </c>
      <c r="AS42" s="41">
        <f>Emissions!AU87</f>
        <v>469.1143224798808</v>
      </c>
      <c r="AT42" s="41">
        <f>Emissions!AV87</f>
        <v>468.99945514504452</v>
      </c>
      <c r="AU42" s="41">
        <f>Emissions!AW87</f>
        <v>468.88510018254988</v>
      </c>
      <c r="AV42" s="41">
        <f>Emissions!AX87</f>
        <v>468.76112034131472</v>
      </c>
      <c r="AW42" s="41">
        <f>Emissions!AY87</f>
        <v>468.64171035885056</v>
      </c>
      <c r="AX42" s="41">
        <f>Emissions!AZ87</f>
        <v>468.5192778972135</v>
      </c>
      <c r="AY42" s="41">
        <f>Emissions!BA87</f>
        <v>468.38543050906895</v>
      </c>
      <c r="AZ42" s="41">
        <f>Emissions!BB87</f>
        <v>468.26096326958111</v>
      </c>
      <c r="BA42" s="41">
        <f>Emissions!BC87</f>
        <v>468.13316035307253</v>
      </c>
      <c r="BB42" s="41">
        <f>Emissions!BD87</f>
        <v>468.00059449527834</v>
      </c>
      <c r="BC42" s="41">
        <f>Emissions!BE87</f>
        <v>467.87875859797629</v>
      </c>
      <c r="BD42" s="41">
        <f>Emissions!BF87</f>
        <v>467.76030934271449</v>
      </c>
      <c r="BE42" s="41">
        <f>Emissions!BG87</f>
        <v>467.64478875019984</v>
      </c>
      <c r="BF42" s="41">
        <f>Emissions!BH87</f>
        <v>467.52289759506942</v>
      </c>
      <c r="BG42" s="41">
        <f>Emissions!BI87</f>
        <v>467.40805152931154</v>
      </c>
      <c r="BH42" s="41">
        <f>Emissions!BJ87</f>
        <v>467.29173895425197</v>
      </c>
      <c r="BI42" s="41">
        <f>Emissions!BK87</f>
        <v>467.17361896772775</v>
      </c>
      <c r="BJ42" s="41">
        <f>Emissions!BL87</f>
        <v>467.05310815725005</v>
      </c>
      <c r="BK42" s="41">
        <f>Emissions!BM87</f>
        <v>466.93070929624412</v>
      </c>
      <c r="BL42" s="41">
        <f>Emissions!BN87</f>
        <v>466.89310047907219</v>
      </c>
      <c r="BM42" s="41">
        <f>Emissions!BO87</f>
        <v>466.86339554083878</v>
      </c>
      <c r="BN42" s="41">
        <f>Emissions!BP87</f>
        <v>466.8448893669817</v>
      </c>
    </row>
    <row r="43" spans="1:66" s="19" customFormat="1" ht="15.6" x14ac:dyDescent="0.3">
      <c r="A43" s="19" t="str">
        <f t="shared" si="18"/>
        <v>3C Aggregated and non-CO2 emissions on land</v>
      </c>
      <c r="B43" s="19" t="str">
        <f>'IPCC Categories'!B73</f>
        <v>3C4 Direct N2O from managed soils (N2O)</v>
      </c>
      <c r="C43" s="19" t="s">
        <v>148</v>
      </c>
      <c r="D43" s="19" t="s">
        <v>139</v>
      </c>
      <c r="E43" s="19" t="s">
        <v>287</v>
      </c>
      <c r="F43" s="41">
        <f>SUM(F44:F48)</f>
        <v>55.596597383734697</v>
      </c>
      <c r="G43" s="41">
        <f t="shared" ref="G43:BN43" si="24">SUM(G44:G48)</f>
        <v>55.28633998855625</v>
      </c>
      <c r="H43" s="41">
        <f t="shared" si="24"/>
        <v>54.71008958224381</v>
      </c>
      <c r="I43" s="41">
        <f t="shared" si="24"/>
        <v>54.205597256781054</v>
      </c>
      <c r="J43" s="41">
        <f t="shared" si="24"/>
        <v>52.900250302352887</v>
      </c>
      <c r="K43" s="41">
        <f t="shared" si="24"/>
        <v>51.915653074343908</v>
      </c>
      <c r="L43" s="41">
        <f t="shared" si="24"/>
        <v>54.152443602860892</v>
      </c>
      <c r="M43" s="41">
        <f t="shared" si="24"/>
        <v>55.0921271912325</v>
      </c>
      <c r="N43" s="41">
        <f t="shared" si="24"/>
        <v>55.452453962621647</v>
      </c>
      <c r="O43" s="41">
        <f t="shared" si="24"/>
        <v>55.340893527840024</v>
      </c>
      <c r="P43" s="41">
        <f t="shared" si="24"/>
        <v>54.909001676139468</v>
      </c>
      <c r="Q43" s="41">
        <f t="shared" si="24"/>
        <v>53.415685968258067</v>
      </c>
      <c r="R43" s="41">
        <f t="shared" si="24"/>
        <v>54.703059588171548</v>
      </c>
      <c r="S43" s="41">
        <f t="shared" si="24"/>
        <v>54.096474666145404</v>
      </c>
      <c r="T43" s="41">
        <f t="shared" si="24"/>
        <v>53.498896979933384</v>
      </c>
      <c r="U43" s="41">
        <f t="shared" si="24"/>
        <v>52.263187711915691</v>
      </c>
      <c r="V43" s="41">
        <f t="shared" si="24"/>
        <v>52.35335955308765</v>
      </c>
      <c r="W43" s="41">
        <f t="shared" si="24"/>
        <v>54.345597859655129</v>
      </c>
      <c r="X43" s="41">
        <f t="shared" si="24"/>
        <v>54.4968684161461</v>
      </c>
      <c r="Y43" s="41">
        <f t="shared" si="24"/>
        <v>54.126626370799677</v>
      </c>
      <c r="Z43" s="41">
        <f t="shared" si="24"/>
        <v>53.115630834632697</v>
      </c>
      <c r="AA43" s="41">
        <f t="shared" si="24"/>
        <v>53.123674822972326</v>
      </c>
      <c r="AB43" s="41">
        <f t="shared" si="24"/>
        <v>55.328082895998861</v>
      </c>
      <c r="AC43" s="41">
        <f t="shared" si="24"/>
        <v>55.141377146941771</v>
      </c>
      <c r="AD43" s="41">
        <f t="shared" si="24"/>
        <v>55.133536751110526</v>
      </c>
      <c r="AE43" s="41">
        <f t="shared" si="24"/>
        <v>54.82749609462973</v>
      </c>
      <c r="AF43" s="41">
        <f t="shared" si="24"/>
        <v>54.339148116939327</v>
      </c>
      <c r="AG43" s="41">
        <f t="shared" si="24"/>
        <v>53.680284142654159</v>
      </c>
      <c r="AH43" s="41">
        <f t="shared" si="24"/>
        <v>53.185580517007523</v>
      </c>
      <c r="AI43" s="41">
        <f t="shared" si="24"/>
        <v>52.728403644181718</v>
      </c>
      <c r="AJ43" s="41">
        <f t="shared" si="24"/>
        <v>49.461749990211324</v>
      </c>
      <c r="AK43" s="41">
        <f t="shared" si="24"/>
        <v>49.891675180209745</v>
      </c>
      <c r="AL43" s="41">
        <f t="shared" si="24"/>
        <v>50.715220631759436</v>
      </c>
      <c r="AM43" s="41">
        <f t="shared" si="24"/>
        <v>50.943086787888127</v>
      </c>
      <c r="AN43" s="41">
        <f t="shared" si="24"/>
        <v>51.234151292935827</v>
      </c>
      <c r="AO43" s="41">
        <f t="shared" si="24"/>
        <v>51.615726060506908</v>
      </c>
      <c r="AP43" s="41">
        <f t="shared" si="24"/>
        <v>52.034958085840103</v>
      </c>
      <c r="AQ43" s="41">
        <f t="shared" si="24"/>
        <v>52.518804242509233</v>
      </c>
      <c r="AR43" s="41">
        <f t="shared" si="24"/>
        <v>53.00903503426003</v>
      </c>
      <c r="AS43" s="41">
        <f t="shared" si="24"/>
        <v>53.554750637431113</v>
      </c>
      <c r="AT43" s="41">
        <f t="shared" si="24"/>
        <v>54.100341378969702</v>
      </c>
      <c r="AU43" s="41">
        <f t="shared" si="24"/>
        <v>54.512304458007421</v>
      </c>
      <c r="AV43" s="41">
        <f t="shared" si="24"/>
        <v>54.877068652131001</v>
      </c>
      <c r="AW43" s="41">
        <f t="shared" si="24"/>
        <v>55.261356344966174</v>
      </c>
      <c r="AX43" s="41">
        <f t="shared" si="24"/>
        <v>55.741542861904534</v>
      </c>
      <c r="AY43" s="41">
        <f t="shared" si="24"/>
        <v>56.130162429002496</v>
      </c>
      <c r="AZ43" s="41">
        <f t="shared" si="24"/>
        <v>56.532269740099686</v>
      </c>
      <c r="BA43" s="41">
        <f t="shared" si="24"/>
        <v>56.969260528770903</v>
      </c>
      <c r="BB43" s="41">
        <f t="shared" si="24"/>
        <v>57.300055312512235</v>
      </c>
      <c r="BC43" s="41">
        <f t="shared" si="24"/>
        <v>57.589361115261674</v>
      </c>
      <c r="BD43" s="41">
        <f t="shared" si="24"/>
        <v>57.841762906911804</v>
      </c>
      <c r="BE43" s="41">
        <f t="shared" si="24"/>
        <v>58.274619207782685</v>
      </c>
      <c r="BF43" s="41">
        <f t="shared" si="24"/>
        <v>58.639722769100814</v>
      </c>
      <c r="BG43" s="41">
        <f t="shared" si="24"/>
        <v>59.012869885643362</v>
      </c>
      <c r="BH43" s="41">
        <f t="shared" si="24"/>
        <v>59.397923042976856</v>
      </c>
      <c r="BI43" s="41">
        <f t="shared" si="24"/>
        <v>59.80019450876911</v>
      </c>
      <c r="BJ43" s="41">
        <f t="shared" si="24"/>
        <v>60.20783146801984</v>
      </c>
      <c r="BK43" s="41">
        <f t="shared" si="24"/>
        <v>59.829421753216877</v>
      </c>
      <c r="BL43" s="41">
        <f t="shared" si="24"/>
        <v>59.373227475178425</v>
      </c>
      <c r="BM43" s="41">
        <f t="shared" si="24"/>
        <v>58.82095615932873</v>
      </c>
      <c r="BN43" s="41">
        <f t="shared" si="24"/>
        <v>58.245279590048085</v>
      </c>
    </row>
    <row r="44" spans="1:66" x14ac:dyDescent="0.3">
      <c r="A44" t="str">
        <f>A42</f>
        <v>3C Aggregated and non-CO2 emissions on land</v>
      </c>
      <c r="B44" t="str">
        <f>'IPCC Categories'!B73</f>
        <v>3C4 Direct N2O from managed soils (N2O)</v>
      </c>
      <c r="C44" t="str">
        <f>'IPCC Categories'!C73</f>
        <v>Inorganic inputs</v>
      </c>
      <c r="D44" t="s">
        <v>139</v>
      </c>
      <c r="E44" t="s">
        <v>287</v>
      </c>
      <c r="F44" s="22">
        <f>Emissions!H88</f>
        <v>5.4008271428571426</v>
      </c>
      <c r="G44" s="22">
        <f>Emissions!I88</f>
        <v>5.7362642857142854</v>
      </c>
      <c r="H44" s="22">
        <f>Emissions!J88</f>
        <v>5.4611071428571423</v>
      </c>
      <c r="I44" s="22">
        <f>Emissions!K88</f>
        <v>6.4186414285714282</v>
      </c>
      <c r="J44" s="22">
        <f>Emissions!L88</f>
        <v>5.8938942857142855</v>
      </c>
      <c r="K44" s="22">
        <f>Emissions!M88</f>
        <v>5.8377157142857143</v>
      </c>
      <c r="L44" s="22">
        <f>Emissions!N88</f>
        <v>6.5227485714285702</v>
      </c>
      <c r="M44" s="22">
        <f>Emissions!O88</f>
        <v>6.3943628571428572</v>
      </c>
      <c r="N44" s="22">
        <f>Emissions!P88</f>
        <v>6.5296157142857139</v>
      </c>
      <c r="O44" s="22">
        <f>Emissions!Q88</f>
        <v>6.4907071428571426</v>
      </c>
      <c r="P44" s="22">
        <f>Emissions!R88</f>
        <v>6.5360899999999997</v>
      </c>
      <c r="Q44" s="22">
        <f>Emissions!S88</f>
        <v>6.219918571428571</v>
      </c>
      <c r="R44" s="22">
        <f>Emissions!T88</f>
        <v>7.4968457142857146</v>
      </c>
      <c r="S44" s="22">
        <f>Emissions!U88</f>
        <v>6.6129957142857139</v>
      </c>
      <c r="T44" s="22">
        <f>Emissions!V88</f>
        <v>6.7189728571428571</v>
      </c>
      <c r="U44" s="22">
        <f>Emissions!W88</f>
        <v>5.4569428571428569</v>
      </c>
      <c r="V44" s="22">
        <f>Emissions!X88</f>
        <v>6.7370128571428571</v>
      </c>
      <c r="W44" s="22">
        <f>Emissions!Y88</f>
        <v>6.9061142857142848</v>
      </c>
      <c r="X44" s="22">
        <f>Emissions!Z88</f>
        <v>6.66479</v>
      </c>
      <c r="Y44" s="22">
        <f>Emissions!AA88</f>
        <v>7.1307814285714279</v>
      </c>
      <c r="Z44" s="22">
        <f>Emissions!AB88</f>
        <v>6.2071428571428573</v>
      </c>
      <c r="AA44" s="22">
        <f>Emissions!AC88</f>
        <v>6.5842857142857145</v>
      </c>
      <c r="AB44" s="22">
        <f>Emissions!AD88</f>
        <v>6.6064812063358538</v>
      </c>
      <c r="AC44" s="22">
        <f>Emissions!AE88</f>
        <v>6.6058242184852958</v>
      </c>
      <c r="AD44" s="22">
        <f>Emissions!AF88</f>
        <v>6.6046196765835479</v>
      </c>
      <c r="AE44" s="22">
        <f>Emissions!AG88</f>
        <v>6.6031799495417181</v>
      </c>
      <c r="AF44" s="22">
        <f>Emissions!AH88</f>
        <v>6.6022073532502725</v>
      </c>
      <c r="AG44" s="22">
        <f>Emissions!AI88</f>
        <v>6.6015380384919204</v>
      </c>
      <c r="AH44" s="22">
        <f>Emissions!AJ88</f>
        <v>6.6011715236312982</v>
      </c>
      <c r="AI44" s="22">
        <f>Emissions!AK88</f>
        <v>6.6005785698707236</v>
      </c>
      <c r="AJ44" s="22">
        <f>Emissions!AL88</f>
        <v>6.599955716072432</v>
      </c>
      <c r="AK44" s="22">
        <f>Emissions!AM88</f>
        <v>6.6042852126323481</v>
      </c>
      <c r="AL44" s="22">
        <f>Emissions!AN88</f>
        <v>6.6025684208058211</v>
      </c>
      <c r="AM44" s="22">
        <f>Emissions!AO88</f>
        <v>6.6002252909433183</v>
      </c>
      <c r="AN44" s="22">
        <f>Emissions!AP88</f>
        <v>6.598966168189885</v>
      </c>
      <c r="AO44" s="22">
        <f>Emissions!AQ88</f>
        <v>6.597589047711292</v>
      </c>
      <c r="AP44" s="22">
        <f>Emissions!AR88</f>
        <v>6.5960579609281904</v>
      </c>
      <c r="AQ44" s="22">
        <f>Emissions!AS88</f>
        <v>6.5944507555305236</v>
      </c>
      <c r="AR44" s="22">
        <f>Emissions!AT88</f>
        <v>6.5927354812209922</v>
      </c>
      <c r="AS44" s="22">
        <f>Emissions!AU88</f>
        <v>6.5910165055066825</v>
      </c>
      <c r="AT44" s="22">
        <f>Emissions!AV88</f>
        <v>6.589206056061478</v>
      </c>
      <c r="AU44" s="22">
        <f>Emissions!AW88</f>
        <v>6.5874036822299606</v>
      </c>
      <c r="AV44" s="22">
        <f>Emissions!AX88</f>
        <v>6.5854496085579246</v>
      </c>
      <c r="AW44" s="22">
        <f>Emissions!AY88</f>
        <v>6.5835675614397218</v>
      </c>
      <c r="AX44" s="22">
        <f>Emissions!AZ88</f>
        <v>6.5816378763594336</v>
      </c>
      <c r="AY44" s="22">
        <f>Emissions!BA88</f>
        <v>6.5795282781002431</v>
      </c>
      <c r="AZ44" s="22">
        <f>Emissions!BB88</f>
        <v>6.5775665224366495</v>
      </c>
      <c r="BA44" s="22">
        <f>Emissions!BC88</f>
        <v>6.5755521924304867</v>
      </c>
      <c r="BB44" s="22">
        <f>Emissions!BD88</f>
        <v>6.573462792654313</v>
      </c>
      <c r="BC44" s="22">
        <f>Emissions!BE88</f>
        <v>6.5715425101563261</v>
      </c>
      <c r="BD44" s="22">
        <f>Emissions!BF88</f>
        <v>6.5696756052718408</v>
      </c>
      <c r="BE44" s="22">
        <f>Emissions!BG88</f>
        <v>6.5678548596880235</v>
      </c>
      <c r="BF44" s="22">
        <f>Emissions!BH88</f>
        <v>6.5659337062591927</v>
      </c>
      <c r="BG44" s="22">
        <f>Emissions!BI88</f>
        <v>6.564123592040632</v>
      </c>
      <c r="BH44" s="22">
        <f>Emissions!BJ88</f>
        <v>6.5622903638449301</v>
      </c>
      <c r="BI44" s="22">
        <f>Emissions!BK88</f>
        <v>6.5604286486377719</v>
      </c>
      <c r="BJ44" s="22">
        <f>Emissions!BL88</f>
        <v>6.5585292511260116</v>
      </c>
      <c r="BK44" s="22">
        <f>Emissions!BM88</f>
        <v>6.5566000956326942</v>
      </c>
      <c r="BL44" s="22">
        <f>Emissions!BN88</f>
        <v>6.5560073347552805</v>
      </c>
      <c r="BM44" s="22">
        <f>Emissions!BO88</f>
        <v>6.5555391486602428</v>
      </c>
      <c r="BN44" s="22">
        <f>Emissions!BP88</f>
        <v>6.5552474687649953</v>
      </c>
    </row>
    <row r="45" spans="1:66" x14ac:dyDescent="0.3">
      <c r="A45" t="str">
        <f t="shared" si="18"/>
        <v>3C Aggregated and non-CO2 emissions on land</v>
      </c>
      <c r="B45" t="str">
        <f>B44</f>
        <v>3C4 Direct N2O from managed soils (N2O)</v>
      </c>
      <c r="C45" t="str">
        <f>'IPCC Categories'!C74</f>
        <v>Organic inputs</v>
      </c>
      <c r="D45" t="str">
        <f>D44</f>
        <v>N2O</v>
      </c>
      <c r="E45" t="str">
        <f>E44</f>
        <v>Gg N2O</v>
      </c>
      <c r="F45" s="22">
        <f>Emissions!H89+SUM(Emissions!H91:H106)</f>
        <v>5.013223224744225</v>
      </c>
      <c r="G45" s="22">
        <f>Emissions!I89+SUM(Emissions!I91:I106)</f>
        <v>5.2664911527114882</v>
      </c>
      <c r="H45" s="22">
        <f>Emissions!J89+SUM(Emissions!J91:J106)</f>
        <v>5.1762858222826607</v>
      </c>
      <c r="I45" s="22">
        <f>Emissions!K89+SUM(Emissions!K91:K106)</f>
        <v>5.2086111862956743</v>
      </c>
      <c r="J45" s="22">
        <f>Emissions!L89+SUM(Emissions!L91:L106)</f>
        <v>4.8007290385965042</v>
      </c>
      <c r="K45" s="22">
        <f>Emissions!M89+SUM(Emissions!M91:M106)</f>
        <v>4.8651386255813591</v>
      </c>
      <c r="L45" s="22">
        <f>Emissions!N89+SUM(Emissions!N91:N106)</f>
        <v>5.0338302809481963</v>
      </c>
      <c r="M45" s="22">
        <f>Emissions!O89+SUM(Emissions!O91:O106)</f>
        <v>5.1142932794644391</v>
      </c>
      <c r="N45" s="22">
        <f>Emissions!P89+SUM(Emissions!P91:P106)</f>
        <v>5.3033045117136446</v>
      </c>
      <c r="O45" s="22">
        <f>Emissions!Q89+SUM(Emissions!Q91:Q106)</f>
        <v>5.4092266243626721</v>
      </c>
      <c r="P45" s="22">
        <f>Emissions!R89+SUM(Emissions!R91:R106)</f>
        <v>5.6403135553523542</v>
      </c>
      <c r="Q45" s="22">
        <f>Emissions!S89+SUM(Emissions!S91:S106)</f>
        <v>5.5621015030972583</v>
      </c>
      <c r="R45" s="22">
        <f>Emissions!T89+SUM(Emissions!T91:T106)</f>
        <v>5.7412119564886979</v>
      </c>
      <c r="S45" s="22">
        <f>Emissions!U89+SUM(Emissions!U91:U106)</f>
        <v>5.6607422735121498</v>
      </c>
      <c r="T45" s="22">
        <f>Emissions!V89+SUM(Emissions!V91:V106)</f>
        <v>5.5972438596319325</v>
      </c>
      <c r="U45" s="22">
        <f>Emissions!W89+SUM(Emissions!W91:W106)</f>
        <v>5.6518594537321407</v>
      </c>
      <c r="V45" s="22">
        <f>Emissions!X89+SUM(Emissions!X91:X106)</f>
        <v>5.7679219843073382</v>
      </c>
      <c r="W45" s="22">
        <f>Emissions!Y89+SUM(Emissions!Y91:Y106)</f>
        <v>5.930952774865669</v>
      </c>
      <c r="X45" s="22">
        <f>Emissions!Z89+SUM(Emissions!Z91:Z106)</f>
        <v>6.1389173405766284</v>
      </c>
      <c r="Y45" s="22">
        <f>Emissions!AA89+SUM(Emissions!AA91:AA106)</f>
        <v>6.0934183775123598</v>
      </c>
      <c r="Z45" s="22">
        <f>Emissions!AB89+SUM(Emissions!AB91:AB106)</f>
        <v>6.0637701628895098</v>
      </c>
      <c r="AA45" s="22">
        <f>Emissions!AC89+SUM(Emissions!AC91:AC106)</f>
        <v>6.1036946299350001</v>
      </c>
      <c r="AB45" s="22">
        <f>Emissions!AD89+SUM(Emissions!AD91:AD106)</f>
        <v>6.0478064170898831</v>
      </c>
      <c r="AC45" s="22">
        <f>Emissions!AE89+SUM(Emissions!AE91:AE106)</f>
        <v>6.0531159936457977</v>
      </c>
      <c r="AD45" s="22">
        <f>Emissions!AF89+SUM(Emissions!AF91:AF106)</f>
        <v>6.0879780513059973</v>
      </c>
      <c r="AE45" s="22">
        <f>Emissions!AG89+SUM(Emissions!AG91:AG106)</f>
        <v>6.0713021029410523</v>
      </c>
      <c r="AF45" s="22">
        <f>Emissions!AH89+SUM(Emissions!AH91:AH106)</f>
        <v>6.0227924876945913</v>
      </c>
      <c r="AG45" s="22">
        <f>Emissions!AI89+SUM(Emissions!AI91:AI106)</f>
        <v>5.9435526503046594</v>
      </c>
      <c r="AH45" s="22">
        <f>Emissions!AJ89+SUM(Emissions!AJ91:AJ106)</f>
        <v>5.8924508429088132</v>
      </c>
      <c r="AI45" s="22">
        <f>Emissions!AK89+SUM(Emissions!AK91:AK106)</f>
        <v>5.8469995385277027</v>
      </c>
      <c r="AJ45" s="22">
        <f>Emissions!AL89+SUM(Emissions!AL91:AL106)</f>
        <v>5.2945469060466825</v>
      </c>
      <c r="AK45" s="22">
        <f>Emissions!AM89+SUM(Emissions!AM91:AM106)</f>
        <v>5.395325131461906</v>
      </c>
      <c r="AL45" s="22">
        <f>Emissions!AN89+SUM(Emissions!AN91:AN106)</f>
        <v>5.5612500282435491</v>
      </c>
      <c r="AM45" s="22">
        <f>Emissions!AO89+SUM(Emissions!AO91:AO106)</f>
        <v>5.6188064758998806</v>
      </c>
      <c r="AN45" s="22">
        <f>Emissions!AP89+SUM(Emissions!AP91:AP106)</f>
        <v>5.6895503881981906</v>
      </c>
      <c r="AO45" s="22">
        <f>Emissions!AQ89+SUM(Emissions!AQ91:AQ106)</f>
        <v>5.7773046738050482</v>
      </c>
      <c r="AP45" s="22">
        <f>Emissions!AR89+SUM(Emissions!AR91:AR106)</f>
        <v>5.8744961881681155</v>
      </c>
      <c r="AQ45" s="22">
        <f>Emissions!AS89+SUM(Emissions!AS91:AS106)</f>
        <v>5.9844063847928695</v>
      </c>
      <c r="AR45" s="22">
        <f>Emissions!AT89+SUM(Emissions!AT91:AT106)</f>
        <v>6.0962864234575029</v>
      </c>
      <c r="AS45" s="22">
        <f>Emissions!AU89+SUM(Emissions!AU91:AU106)</f>
        <v>6.2195668812000839</v>
      </c>
      <c r="AT45" s="22">
        <f>Emissions!AV89+SUM(Emissions!AV91:AV106)</f>
        <v>6.3437941104694451</v>
      </c>
      <c r="AU45" s="22">
        <f>Emissions!AW89+SUM(Emissions!AW91:AW106)</f>
        <v>6.4643245271890084</v>
      </c>
      <c r="AV45" s="22">
        <f>Emissions!AX89+SUM(Emissions!AX91:AX106)</f>
        <v>6.5779819363347816</v>
      </c>
      <c r="AW45" s="22">
        <f>Emissions!AY89+SUM(Emissions!AY91:AY106)</f>
        <v>6.6978942907690779</v>
      </c>
      <c r="AX45" s="22">
        <f>Emissions!AZ89+SUM(Emissions!AZ91:AZ106)</f>
        <v>6.8391176166892054</v>
      </c>
      <c r="AY45" s="22">
        <f>Emissions!BA89+SUM(Emissions!BA91:BA106)</f>
        <v>6.9650004718894438</v>
      </c>
      <c r="AZ45" s="22">
        <f>Emissions!BB89+SUM(Emissions!BB91:BB106)</f>
        <v>7.0982156625956465</v>
      </c>
      <c r="BA45" s="22">
        <f>Emissions!BC89+SUM(Emissions!BC91:BC106)</f>
        <v>7.2414638234505677</v>
      </c>
      <c r="BB45" s="22">
        <f>Emissions!BD89+SUM(Emissions!BD91:BD106)</f>
        <v>7.3663211342457311</v>
      </c>
      <c r="BC45" s="22">
        <f>Emissions!BE89+SUM(Emissions!BE91:BE106)</f>
        <v>7.4859487092685111</v>
      </c>
      <c r="BD45" s="22">
        <f>Emissions!BF89+SUM(Emissions!BF91:BF106)</f>
        <v>7.6010464942244882</v>
      </c>
      <c r="BE45" s="22">
        <f>Emissions!BG89+SUM(Emissions!BG91:BG106)</f>
        <v>7.7436404082751364</v>
      </c>
      <c r="BF45" s="22">
        <f>Emissions!BH89+SUM(Emissions!BH91:BH106)</f>
        <v>7.8744479290445959</v>
      </c>
      <c r="BG45" s="22">
        <f>Emissions!BI89+SUM(Emissions!BI91:BI106)</f>
        <v>8.0096606712522558</v>
      </c>
      <c r="BH45" s="22">
        <f>Emissions!BJ89+SUM(Emissions!BJ91:BJ106)</f>
        <v>8.150073182724789</v>
      </c>
      <c r="BI45" s="22">
        <f>Emissions!BK89+SUM(Emissions!BK91:BK106)</f>
        <v>8.297005800983662</v>
      </c>
      <c r="BJ45" s="22">
        <f>Emissions!BL89+SUM(Emissions!BL91:BL106)</f>
        <v>8.4497122862619509</v>
      </c>
      <c r="BK45" s="22">
        <f>Emissions!BM89+SUM(Emissions!BM91:BM106)</f>
        <v>8.4319249664823008</v>
      </c>
      <c r="BL45" s="22">
        <f>Emissions!BN89+SUM(Emissions!BN91:BN106)</f>
        <v>8.3988349700017739</v>
      </c>
      <c r="BM45" s="22">
        <f>Emissions!BO89+SUM(Emissions!BO91:BO106)</f>
        <v>8.3441322605648462</v>
      </c>
      <c r="BN45" s="22">
        <f>Emissions!BP89+SUM(Emissions!BP91:BP106)</f>
        <v>8.2837872499500858</v>
      </c>
    </row>
    <row r="46" spans="1:66" x14ac:dyDescent="0.3">
      <c r="A46" t="str">
        <f t="shared" si="18"/>
        <v>3C Aggregated and non-CO2 emissions on land</v>
      </c>
      <c r="B46" t="str">
        <f t="shared" si="18"/>
        <v>3C4 Direct N2O from managed soils (N2O)</v>
      </c>
      <c r="C46" t="str">
        <f>'IPCC Categories'!C75</f>
        <v>Crop residues</v>
      </c>
      <c r="D46" t="str">
        <f t="shared" ref="D46" si="25">D45</f>
        <v>N2O</v>
      </c>
      <c r="E46" t="str">
        <f t="shared" ref="E46" si="26">E45</f>
        <v>Gg N2O</v>
      </c>
      <c r="F46" s="22">
        <f>Emissions!H90</f>
        <v>4.7572664246993837</v>
      </c>
      <c r="G46" s="22">
        <f>Emissions!I90</f>
        <v>4.2403582737669279</v>
      </c>
      <c r="H46" s="22">
        <f>Emissions!J90</f>
        <v>4.4153625132445411</v>
      </c>
      <c r="I46" s="22">
        <f>Emissions!K90</f>
        <v>4.7418888374800598</v>
      </c>
      <c r="J46" s="22">
        <f>Emissions!L90</f>
        <v>5.0009128268356475</v>
      </c>
      <c r="K46" s="22">
        <f>Emissions!M90</f>
        <v>3.8892379277011866</v>
      </c>
      <c r="L46" s="22">
        <f>Emissions!N90</f>
        <v>4.2839264832658595</v>
      </c>
      <c r="M46" s="22">
        <f>Emissions!O90</f>
        <v>4.5049773321420563</v>
      </c>
      <c r="N46" s="22">
        <f>Emissions!P90</f>
        <v>3.9255738498283432</v>
      </c>
      <c r="O46" s="22">
        <f>Emissions!Q90</f>
        <v>3.8953932469931241</v>
      </c>
      <c r="P46" s="22">
        <f>Emissions!R90</f>
        <v>4.4710787977237265</v>
      </c>
      <c r="Q46" s="22">
        <f>Emissions!S90</f>
        <v>3.6519029734228816</v>
      </c>
      <c r="R46" s="22">
        <f>Emissions!T90</f>
        <v>3.982993252892217</v>
      </c>
      <c r="S46" s="22">
        <f>Emissions!U90</f>
        <v>3.9301610630705248</v>
      </c>
      <c r="T46" s="22">
        <f>Emissions!V90</f>
        <v>3.5144884547415667</v>
      </c>
      <c r="U46" s="22">
        <f>Emissions!W90</f>
        <v>3.5698504074879742</v>
      </c>
      <c r="V46" s="22">
        <f>Emissions!X90</f>
        <v>2.4003352875845994</v>
      </c>
      <c r="W46" s="22">
        <f>Emissions!Y90</f>
        <v>3.2539877539471691</v>
      </c>
      <c r="X46" s="22">
        <f>Emissions!Z90</f>
        <v>3.7163492663367288</v>
      </c>
      <c r="Y46" s="22">
        <f>Emissions!AA90</f>
        <v>3.3020035495326421</v>
      </c>
      <c r="Z46" s="22">
        <f>Emissions!AB90</f>
        <v>3.605306989206821</v>
      </c>
      <c r="AA46" s="22">
        <f>Emissions!AC90</f>
        <v>3.3383236984964055</v>
      </c>
      <c r="AB46" s="22">
        <f>Emissions!AD90</f>
        <v>2.94930909510781</v>
      </c>
      <c r="AC46" s="22">
        <f>Emissions!AE90</f>
        <v>2.9542138952234782</v>
      </c>
      <c r="AD46" s="22">
        <f>Emissions!AF90</f>
        <v>2.9632065078783478</v>
      </c>
      <c r="AE46" s="22">
        <f>Emissions!AG90</f>
        <v>2.9739549157146588</v>
      </c>
      <c r="AF46" s="22">
        <f>Emissions!AH90</f>
        <v>2.9812159181802835</v>
      </c>
      <c r="AG46" s="22">
        <f>Emissions!AI90</f>
        <v>2.9862127459015309</v>
      </c>
      <c r="AH46" s="22">
        <f>Emissions!AJ90</f>
        <v>2.9889489945692191</v>
      </c>
      <c r="AI46" s="22">
        <f>Emissions!AK90</f>
        <v>2.993375742599615</v>
      </c>
      <c r="AJ46" s="22">
        <f>Emissions!AL90</f>
        <v>2.9980257119701434</v>
      </c>
      <c r="AK46" s="22">
        <f>Emissions!AM90</f>
        <v>2.9657034776855355</v>
      </c>
      <c r="AL46" s="22">
        <f>Emissions!AN90</f>
        <v>2.9785203368438653</v>
      </c>
      <c r="AM46" s="22">
        <f>Emissions!AO90</f>
        <v>2.9960131772531153</v>
      </c>
      <c r="AN46" s="22">
        <f>Emissions!AP90</f>
        <v>3.0054132680180357</v>
      </c>
      <c r="AO46" s="22">
        <f>Emissions!AQ90</f>
        <v>3.0156942810945373</v>
      </c>
      <c r="AP46" s="22">
        <f>Emissions!AR90</f>
        <v>3.0271247430497872</v>
      </c>
      <c r="AQ46" s="22">
        <f>Emissions!AS90</f>
        <v>3.0391234751628531</v>
      </c>
      <c r="AR46" s="22">
        <f>Emissions!AT90</f>
        <v>3.0519290051656554</v>
      </c>
      <c r="AS46" s="22">
        <f>Emissions!AU90</f>
        <v>3.0647621683287483</v>
      </c>
      <c r="AT46" s="22">
        <f>Emissions!AV90</f>
        <v>3.078278236610247</v>
      </c>
      <c r="AU46" s="22">
        <f>Emissions!AW90</f>
        <v>3.0917340156932256</v>
      </c>
      <c r="AV46" s="22">
        <f>Emissions!AX90</f>
        <v>3.1063223231702981</v>
      </c>
      <c r="AW46" s="22">
        <f>Emissions!AY90</f>
        <v>3.1203729101259317</v>
      </c>
      <c r="AX46" s="22">
        <f>Emissions!AZ90</f>
        <v>3.1347791424435716</v>
      </c>
      <c r="AY46" s="22">
        <f>Emissions!BA90</f>
        <v>3.1505285322943979</v>
      </c>
      <c r="AZ46" s="22">
        <f>Emissions!BB90</f>
        <v>3.165174190349632</v>
      </c>
      <c r="BA46" s="22">
        <f>Emissions!BC90</f>
        <v>3.1802123467460328</v>
      </c>
      <c r="BB46" s="22">
        <f>Emissions!BD90</f>
        <v>3.1958109430597368</v>
      </c>
      <c r="BC46" s="22">
        <f>Emissions!BE90</f>
        <v>3.2101469795788988</v>
      </c>
      <c r="BD46" s="22">
        <f>Emissions!BF90</f>
        <v>3.2240845208676738</v>
      </c>
      <c r="BE46" s="22">
        <f>Emissions!BG90</f>
        <v>3.2376774558702412</v>
      </c>
      <c r="BF46" s="22">
        <f>Emissions!BH90</f>
        <v>3.2520199943996095</v>
      </c>
      <c r="BG46" s="22">
        <f>Emissions!BI90</f>
        <v>3.2655335600173556</v>
      </c>
      <c r="BH46" s="22">
        <f>Emissions!BJ90</f>
        <v>3.2792196850479614</v>
      </c>
      <c r="BI46" s="22">
        <f>Emissions!BK90</f>
        <v>3.2931184823478818</v>
      </c>
      <c r="BJ46" s="22">
        <f>Emissions!BL90</f>
        <v>3.3072986001803124</v>
      </c>
      <c r="BK46" s="22">
        <f>Emissions!BM90</f>
        <v>3.3217008788202178</v>
      </c>
      <c r="BL46" s="22">
        <f>Emissions!BN90</f>
        <v>3.3261261868645517</v>
      </c>
      <c r="BM46" s="22">
        <f>Emissions!BO90</f>
        <v>3.3296214710028345</v>
      </c>
      <c r="BN46" s="22">
        <f>Emissions!BP90</f>
        <v>3.3317990327077256</v>
      </c>
    </row>
    <row r="47" spans="1:66" x14ac:dyDescent="0.3">
      <c r="A47" t="str">
        <f t="shared" ref="A47:B47" si="27">A46</f>
        <v>3C Aggregated and non-CO2 emissions on land</v>
      </c>
      <c r="B47" t="str">
        <f t="shared" si="27"/>
        <v>3C4 Direct N2O from managed soils (N2O)</v>
      </c>
      <c r="C47" t="str">
        <f>'IPCC Categories'!C76</f>
        <v>Urine and dung</v>
      </c>
      <c r="D47" t="str">
        <f t="shared" ref="D47:D54" si="28">D46</f>
        <v>N2O</v>
      </c>
      <c r="E47" t="str">
        <f t="shared" ref="E47:E54" si="29">E46</f>
        <v>Gg N2O</v>
      </c>
      <c r="F47" s="22">
        <f>SUM(Emissions!H107:H122)</f>
        <v>40.425280591433946</v>
      </c>
      <c r="G47" s="22">
        <f>SUM(Emissions!I107:I122)</f>
        <v>39.655855375514953</v>
      </c>
      <c r="H47" s="22">
        <f>SUM(Emissions!J107:J122)</f>
        <v>39.269963203010875</v>
      </c>
      <c r="I47" s="22">
        <f>SUM(Emissions!K107:K122)</f>
        <v>37.449084903585295</v>
      </c>
      <c r="J47" s="22">
        <f>SUM(Emissions!L107:L122)</f>
        <v>36.817343250357858</v>
      </c>
      <c r="K47" s="22">
        <f>SUM(Emissions!M107:M122)</f>
        <v>36.936189905927051</v>
      </c>
      <c r="L47" s="22">
        <f>SUM(Emissions!N107:N122)</f>
        <v>37.924567366369672</v>
      </c>
      <c r="M47" s="22">
        <f>SUM(Emissions!O107:O122)</f>
        <v>38.691122821634551</v>
      </c>
      <c r="N47" s="22">
        <f>SUM(Emissions!P107:P122)</f>
        <v>39.306588985945346</v>
      </c>
      <c r="O47" s="22">
        <f>SUM(Emissions!Q107:Q122)</f>
        <v>39.158195612778492</v>
      </c>
      <c r="P47" s="22">
        <f>SUM(Emissions!R107:R122)</f>
        <v>37.874148422214795</v>
      </c>
      <c r="Q47" s="22">
        <f>SUM(Emissions!S107:S122)</f>
        <v>37.594392019460763</v>
      </c>
      <c r="R47" s="22">
        <f>SUM(Emissions!T107:T122)</f>
        <v>37.094637763656323</v>
      </c>
      <c r="S47" s="22">
        <f>SUM(Emissions!U107:U122)</f>
        <v>37.505204714428423</v>
      </c>
      <c r="T47" s="22">
        <f>SUM(Emissions!V107:V122)</f>
        <v>37.280820907568433</v>
      </c>
      <c r="U47" s="22">
        <f>SUM(Emissions!W107:W122)</f>
        <v>37.197164092704128</v>
      </c>
      <c r="V47" s="22">
        <f>SUM(Emissions!X107:X122)</f>
        <v>37.060718523204258</v>
      </c>
      <c r="W47" s="22">
        <f>SUM(Emissions!Y107:Y122)</f>
        <v>37.867172144279415</v>
      </c>
      <c r="X47" s="22">
        <f>SUM(Emissions!Z107:Z122)</f>
        <v>37.589440908384148</v>
      </c>
      <c r="Y47" s="22">
        <f>SUM(Emissions!AA107:AA122)</f>
        <v>37.213052114334651</v>
      </c>
      <c r="Z47" s="22">
        <f>SUM(Emissions!AB107:AB122)</f>
        <v>36.852039924544918</v>
      </c>
      <c r="AA47" s="22">
        <f>SUM(Emissions!AC107:AC122)</f>
        <v>36.70999987940661</v>
      </c>
      <c r="AB47" s="22">
        <f>SUM(Emissions!AD107:AD122)</f>
        <v>35.397528140833245</v>
      </c>
      <c r="AC47" s="22">
        <f>SUM(Emissions!AE107:AE122)</f>
        <v>35.20013314724639</v>
      </c>
      <c r="AD47" s="22">
        <f>SUM(Emissions!AF107:AF122)</f>
        <v>35.148510767293082</v>
      </c>
      <c r="AE47" s="22">
        <f>SUM(Emissions!AG107:AG122)</f>
        <v>34.84870552267401</v>
      </c>
      <c r="AF47" s="22">
        <f>SUM(Emissions!AH107:AH122)</f>
        <v>34.401446898347146</v>
      </c>
      <c r="AG47" s="22">
        <f>SUM(Emissions!AI107:AI122)</f>
        <v>33.816363392780282</v>
      </c>
      <c r="AH47" s="22">
        <f>SUM(Emissions!AJ107:AJ122)</f>
        <v>33.369259985013684</v>
      </c>
      <c r="AI47" s="22">
        <f>SUM(Emissions!AK107:AK122)</f>
        <v>32.952568766590424</v>
      </c>
      <c r="AJ47" s="22">
        <f>SUM(Emissions!AL107:AL122)</f>
        <v>30.233208773820071</v>
      </c>
      <c r="AK47" s="22">
        <f>SUM(Emissions!AM107:AM122)</f>
        <v>30.589216620419229</v>
      </c>
      <c r="AL47" s="22">
        <f>SUM(Emissions!AN107:AN122)</f>
        <v>31.234605252146732</v>
      </c>
      <c r="AM47" s="22">
        <f>SUM(Emissions!AO107:AO122)</f>
        <v>31.388633394363605</v>
      </c>
      <c r="AN47" s="22">
        <f>SUM(Emissions!AP107:AP122)</f>
        <v>31.599681163392763</v>
      </c>
      <c r="AO47" s="22">
        <f>SUM(Emissions!AQ107:AQ122)</f>
        <v>31.883465897050336</v>
      </c>
      <c r="AP47" s="22">
        <f>SUM(Emissions!AR107:AR122)</f>
        <v>32.19447517713958</v>
      </c>
      <c r="AQ47" s="22">
        <f>SUM(Emissions!AS107:AS122)</f>
        <v>32.556887754759813</v>
      </c>
      <c r="AR47" s="22">
        <f>SUM(Emissions!AT107:AT122)</f>
        <v>32.923016396443963</v>
      </c>
      <c r="AS47" s="22">
        <f>SUM(Emissions!AU107:AU122)</f>
        <v>33.333205498714939</v>
      </c>
      <c r="AT47" s="22">
        <f>SUM(Emissions!AV107:AV122)</f>
        <v>33.741731536439133</v>
      </c>
      <c r="AU47" s="22">
        <f>SUM(Emissions!AW107:AW122)</f>
        <v>34.020378937797091</v>
      </c>
      <c r="AV47" s="22">
        <f>SUM(Emissions!AX107:AX122)</f>
        <v>34.257719633261118</v>
      </c>
      <c r="AW47" s="22">
        <f>SUM(Emissions!AY107:AY122)</f>
        <v>34.508794576115825</v>
      </c>
      <c r="AX47" s="22">
        <f>SUM(Emissions!AZ107:AZ122)</f>
        <v>34.834149364187965</v>
      </c>
      <c r="AY47" s="22">
        <f>SUM(Emissions!BA107:BA122)</f>
        <v>35.08211442878531</v>
      </c>
      <c r="AZ47" s="22">
        <f>SUM(Emissions!BB107:BB122)</f>
        <v>35.337190791075919</v>
      </c>
      <c r="BA47" s="22">
        <f>SUM(Emissions!BC107:BC122)</f>
        <v>35.616777736793239</v>
      </c>
      <c r="BB47" s="22">
        <f>SUM(Emissions!BD107:BD122)</f>
        <v>35.808074157493131</v>
      </c>
      <c r="BC47" s="22">
        <f>SUM(Emissions!BE107:BE122)</f>
        <v>35.964204775489875</v>
      </c>
      <c r="BD47" s="22">
        <f>SUM(Emissions!BF107:BF122)</f>
        <v>36.088306290071003</v>
      </c>
      <c r="BE47" s="22">
        <f>SUM(Emissions!BG107:BG122)</f>
        <v>36.365664631763742</v>
      </c>
      <c r="BF47" s="22">
        <f>SUM(Emissions!BH107:BH122)</f>
        <v>36.586407431503133</v>
      </c>
      <c r="BG47" s="22">
        <f>SUM(Emissions!BI107:BI122)</f>
        <v>36.81150649873009</v>
      </c>
      <c r="BH47" s="22">
        <f>SUM(Emissions!BJ107:BJ122)</f>
        <v>37.043162392047407</v>
      </c>
      <c r="BI47" s="22">
        <f>SUM(Emissions!BK107:BK122)</f>
        <v>37.285332301779292</v>
      </c>
      <c r="BJ47" s="22">
        <f>SUM(Emissions!BL107:BL122)</f>
        <v>37.526850199722318</v>
      </c>
      <c r="BK47" s="22">
        <f>SUM(Emissions!BM107:BM122)</f>
        <v>37.152622825843679</v>
      </c>
      <c r="BL47" s="22">
        <f>SUM(Emissions!BN107:BN122)</f>
        <v>36.724554141410088</v>
      </c>
      <c r="BM47" s="22">
        <f>SUM(Emissions!BO107:BO122)</f>
        <v>36.222826581245343</v>
      </c>
      <c r="BN47" s="22">
        <f>SUM(Emissions!BP107:BP122)</f>
        <v>35.704477285061074</v>
      </c>
    </row>
    <row r="48" spans="1:66" x14ac:dyDescent="0.3">
      <c r="A48" t="str">
        <f t="shared" ref="A48:B49" si="30">A47</f>
        <v>3C Aggregated and non-CO2 emissions on land</v>
      </c>
      <c r="B48" t="str">
        <f t="shared" si="30"/>
        <v>3C4 Direct N2O from managed soils (N2O)</v>
      </c>
      <c r="C48" t="str">
        <f>'IPCC Categories'!C77</f>
        <v>FSOM</v>
      </c>
      <c r="D48" t="str">
        <f t="shared" si="28"/>
        <v>N2O</v>
      </c>
      <c r="E48" t="str">
        <f t="shared" si="29"/>
        <v>Gg N2O</v>
      </c>
      <c r="F48" s="22">
        <f>SUM(Emissions!H123:H134)</f>
        <v>0</v>
      </c>
      <c r="G48" s="22">
        <f>SUM(Emissions!I123:I134)</f>
        <v>0.38737090084859693</v>
      </c>
      <c r="H48" s="22">
        <f>SUM(Emissions!J123:J134)</f>
        <v>0.38737090084859693</v>
      </c>
      <c r="I48" s="22">
        <f>SUM(Emissions!K123:K134)</f>
        <v>0.38737090084859693</v>
      </c>
      <c r="J48" s="22">
        <f>SUM(Emissions!L123:L134)</f>
        <v>0.38737090084859693</v>
      </c>
      <c r="K48" s="22">
        <f>SUM(Emissions!M123:M134)</f>
        <v>0.38737090084859693</v>
      </c>
      <c r="L48" s="22">
        <f>SUM(Emissions!N123:N134)</f>
        <v>0.38737090084859693</v>
      </c>
      <c r="M48" s="22">
        <f>SUM(Emissions!O123:O134)</f>
        <v>0.38737090084859693</v>
      </c>
      <c r="N48" s="22">
        <f>SUM(Emissions!P123:P134)</f>
        <v>0.38737090084859693</v>
      </c>
      <c r="O48" s="22">
        <f>SUM(Emissions!Q123:Q134)</f>
        <v>0.38737090084859693</v>
      </c>
      <c r="P48" s="22">
        <f>SUM(Emissions!R123:R134)</f>
        <v>0.38737090084859693</v>
      </c>
      <c r="Q48" s="22">
        <f>SUM(Emissions!S123:S134)</f>
        <v>0.38737090084859693</v>
      </c>
      <c r="R48" s="22">
        <f>SUM(Emissions!T123:T134)</f>
        <v>0.38737090084859693</v>
      </c>
      <c r="S48" s="22">
        <f>SUM(Emissions!U123:U134)</f>
        <v>0.38737090084859693</v>
      </c>
      <c r="T48" s="22">
        <f>SUM(Emissions!V123:V134)</f>
        <v>0.38737090084859693</v>
      </c>
      <c r="U48" s="22">
        <f>SUM(Emissions!W123:W134)</f>
        <v>0.38737090084859693</v>
      </c>
      <c r="V48" s="22">
        <f>SUM(Emissions!X123:X134)</f>
        <v>0.38737090084859693</v>
      </c>
      <c r="W48" s="22">
        <f>SUM(Emissions!Y123:Y134)</f>
        <v>0.38737090084859693</v>
      </c>
      <c r="X48" s="22">
        <f>SUM(Emissions!Z123:Z134)</f>
        <v>0.38737090084859693</v>
      </c>
      <c r="Y48" s="22">
        <f>SUM(Emissions!AA123:AA134)</f>
        <v>0.38737090084859693</v>
      </c>
      <c r="Z48" s="22">
        <f>SUM(Emissions!AB123:AB134)</f>
        <v>0.38737090084859693</v>
      </c>
      <c r="AA48" s="22">
        <f>SUM(Emissions!AC123:AC134)</f>
        <v>0.38737090084859693</v>
      </c>
      <c r="AB48" s="22">
        <f>SUM(Emissions!AD123:AD134)</f>
        <v>4.3269580366320675</v>
      </c>
      <c r="AC48" s="22">
        <f>SUM(Emissions!AE123:AE134)</f>
        <v>4.3280898923408078</v>
      </c>
      <c r="AD48" s="22">
        <f>SUM(Emissions!AF123:AF134)</f>
        <v>4.329221748049549</v>
      </c>
      <c r="AE48" s="22">
        <f>SUM(Emissions!AG123:AG134)</f>
        <v>4.3303536037582893</v>
      </c>
      <c r="AF48" s="22">
        <f>SUM(Emissions!AH123:AH134)</f>
        <v>4.3314854594670296</v>
      </c>
      <c r="AG48" s="22">
        <f>SUM(Emissions!AI123:AI134)</f>
        <v>4.3326173151757708</v>
      </c>
      <c r="AH48" s="22">
        <f>SUM(Emissions!AJ123:AJ134)</f>
        <v>4.3337491708845111</v>
      </c>
      <c r="AI48" s="22">
        <f>SUM(Emissions!AK123:AK134)</f>
        <v>4.3348810265932514</v>
      </c>
      <c r="AJ48" s="22">
        <f>SUM(Emissions!AL123:AL134)</f>
        <v>4.3360128823019917</v>
      </c>
      <c r="AK48" s="22">
        <f>SUM(Emissions!AM123:AM134)</f>
        <v>4.337144738010732</v>
      </c>
      <c r="AL48" s="22">
        <f>SUM(Emissions!AN123:AN134)</f>
        <v>4.3382765937194723</v>
      </c>
      <c r="AM48" s="22">
        <f>SUM(Emissions!AO123:AO134)</f>
        <v>4.3394084494282135</v>
      </c>
      <c r="AN48" s="22">
        <f>SUM(Emissions!AP123:AP134)</f>
        <v>4.3405403051369538</v>
      </c>
      <c r="AO48" s="22">
        <f>SUM(Emissions!AQ123:AQ134)</f>
        <v>4.341672160845695</v>
      </c>
      <c r="AP48" s="22">
        <f>SUM(Emissions!AR123:AR134)</f>
        <v>4.3428040165544353</v>
      </c>
      <c r="AQ48" s="22">
        <f>SUM(Emissions!AS123:AS134)</f>
        <v>4.3439358722631756</v>
      </c>
      <c r="AR48" s="22">
        <f>SUM(Emissions!AT123:AT134)</f>
        <v>4.3450677279719159</v>
      </c>
      <c r="AS48" s="22">
        <f>SUM(Emissions!AU123:AU134)</f>
        <v>4.3461995836806562</v>
      </c>
      <c r="AT48" s="22">
        <f>SUM(Emissions!AV123:AV134)</f>
        <v>4.3473314393893974</v>
      </c>
      <c r="AU48" s="22">
        <f>SUM(Emissions!AW123:AW134)</f>
        <v>4.3484632950981377</v>
      </c>
      <c r="AV48" s="22">
        <f>SUM(Emissions!AX123:AX134)</f>
        <v>4.349595150806878</v>
      </c>
      <c r="AW48" s="22">
        <f>SUM(Emissions!AY123:AY134)</f>
        <v>4.3507270065156192</v>
      </c>
      <c r="AX48" s="22">
        <f>SUM(Emissions!AZ123:AZ134)</f>
        <v>4.3518588622243595</v>
      </c>
      <c r="AY48" s="22">
        <f>SUM(Emissions!BA123:BA134)</f>
        <v>4.3529907179330998</v>
      </c>
      <c r="AZ48" s="22">
        <f>SUM(Emissions!BB123:BB134)</f>
        <v>4.3541225736418401</v>
      </c>
      <c r="BA48" s="22">
        <f>SUM(Emissions!BC123:BC134)</f>
        <v>4.3552544293505804</v>
      </c>
      <c r="BB48" s="22">
        <f>SUM(Emissions!BD123:BD134)</f>
        <v>4.3563862850593216</v>
      </c>
      <c r="BC48" s="22">
        <f>SUM(Emissions!BE123:BE134)</f>
        <v>4.3575181407680619</v>
      </c>
      <c r="BD48" s="22">
        <f>SUM(Emissions!BF123:BF134)</f>
        <v>4.3586499964768022</v>
      </c>
      <c r="BE48" s="22">
        <f>SUM(Emissions!BG123:BG134)</f>
        <v>4.3597818521855434</v>
      </c>
      <c r="BF48" s="22">
        <f>SUM(Emissions!BH123:BH134)</f>
        <v>4.3609137078942837</v>
      </c>
      <c r="BG48" s="22">
        <f>SUM(Emissions!BI123:BI134)</f>
        <v>4.362045563603024</v>
      </c>
      <c r="BH48" s="22">
        <f>SUM(Emissions!BJ123:BJ134)</f>
        <v>4.3631774193117643</v>
      </c>
      <c r="BI48" s="22">
        <f>SUM(Emissions!BK123:BK134)</f>
        <v>4.3643092750205046</v>
      </c>
      <c r="BJ48" s="22">
        <f>SUM(Emissions!BL123:BL134)</f>
        <v>4.3654411307292458</v>
      </c>
      <c r="BK48" s="22">
        <f>SUM(Emissions!BM123:BM134)</f>
        <v>4.3665729864379861</v>
      </c>
      <c r="BL48" s="22">
        <f>SUM(Emissions!BN123:BN134)</f>
        <v>4.3677048421467273</v>
      </c>
      <c r="BM48" s="22">
        <f>SUM(Emissions!BO123:BO134)</f>
        <v>4.3688366978554676</v>
      </c>
      <c r="BN48" s="22">
        <f>SUM(Emissions!BP123:BP134)</f>
        <v>4.3699685535642079</v>
      </c>
    </row>
    <row r="49" spans="1:72" s="19" customFormat="1" ht="15.6" x14ac:dyDescent="0.3">
      <c r="A49" s="19" t="str">
        <f t="shared" si="30"/>
        <v>3C Aggregated and non-CO2 emissions on land</v>
      </c>
      <c r="B49" s="19" t="str">
        <f>'IPCC Categories'!B78</f>
        <v>3C5 Indirect N2O from managed soils (N2O)</v>
      </c>
      <c r="C49" s="19" t="s">
        <v>148</v>
      </c>
      <c r="D49" s="19" t="str">
        <f t="shared" ref="D49" si="31">D48</f>
        <v>N2O</v>
      </c>
      <c r="E49" s="19" t="str">
        <f t="shared" ref="E49" si="32">E48</f>
        <v>Gg N2O</v>
      </c>
      <c r="F49" s="41">
        <f>SUM(F50:F51)</f>
        <v>7.2080814517834266</v>
      </c>
      <c r="G49" s="41">
        <f t="shared" ref="G49:BN49" si="33">SUM(G50:G51)</f>
        <v>7.1345099865500927</v>
      </c>
      <c r="H49" s="41">
        <f t="shared" si="33"/>
        <v>6.99786412512554</v>
      </c>
      <c r="I49" s="41">
        <f t="shared" si="33"/>
        <v>6.8588909130254319</v>
      </c>
      <c r="J49" s="41">
        <f t="shared" si="33"/>
        <v>6.679602845791754</v>
      </c>
      <c r="K49" s="41">
        <f t="shared" si="33"/>
        <v>6.6534582978194159</v>
      </c>
      <c r="L49" s="41">
        <f t="shared" si="33"/>
        <v>6.8804585865565491</v>
      </c>
      <c r="M49" s="41">
        <f t="shared" si="33"/>
        <v>6.951262387234447</v>
      </c>
      <c r="N49" s="41">
        <f t="shared" si="33"/>
        <v>7.0501121079701523</v>
      </c>
      <c r="O49" s="41">
        <f t="shared" si="33"/>
        <v>7.0310583897046115</v>
      </c>
      <c r="P49" s="41">
        <f t="shared" si="33"/>
        <v>6.9539885376975494</v>
      </c>
      <c r="Q49" s="41">
        <f t="shared" si="33"/>
        <v>6.8347507783671411</v>
      </c>
      <c r="R49" s="41">
        <f t="shared" si="33"/>
        <v>6.9330762409780968</v>
      </c>
      <c r="S49" s="41">
        <f t="shared" si="33"/>
        <v>6.8626749309901376</v>
      </c>
      <c r="T49" s="41">
        <f t="shared" si="33"/>
        <v>6.8083480354019672</v>
      </c>
      <c r="U49" s="41">
        <f t="shared" si="33"/>
        <v>6.684349427481286</v>
      </c>
      <c r="V49" s="41">
        <f t="shared" si="33"/>
        <v>6.7803417478590298</v>
      </c>
      <c r="W49" s="41">
        <f t="shared" si="33"/>
        <v>6.9394221477721096</v>
      </c>
      <c r="X49" s="41">
        <f t="shared" si="33"/>
        <v>6.954986168244754</v>
      </c>
      <c r="Y49" s="41">
        <f t="shared" si="33"/>
        <v>6.9329479113600767</v>
      </c>
      <c r="Z49" s="41">
        <f t="shared" si="33"/>
        <v>6.7915965417835125</v>
      </c>
      <c r="AA49" s="41">
        <f t="shared" si="33"/>
        <v>6.808083773512462</v>
      </c>
      <c r="AB49" s="41">
        <f t="shared" si="33"/>
        <v>6.6159271131948465</v>
      </c>
      <c r="AC49" s="41">
        <f t="shared" si="33"/>
        <v>6.5985117259102442</v>
      </c>
      <c r="AD49" s="41">
        <f t="shared" si="33"/>
        <v>6.6034108162416469</v>
      </c>
      <c r="AE49" s="41">
        <f t="shared" si="33"/>
        <v>6.571876947932294</v>
      </c>
      <c r="AF49" s="41">
        <f t="shared" si="33"/>
        <v>6.5185214490709154</v>
      </c>
      <c r="AG49" s="41">
        <f t="shared" si="33"/>
        <v>6.4445703159865921</v>
      </c>
      <c r="AH49" s="41">
        <f t="shared" si="33"/>
        <v>6.3913491075327142</v>
      </c>
      <c r="AI49" s="41">
        <f t="shared" si="33"/>
        <v>6.3428476696520812</v>
      </c>
      <c r="AJ49" s="41">
        <f t="shared" si="33"/>
        <v>5.9438249910667649</v>
      </c>
      <c r="AK49" s="41">
        <f t="shared" si="33"/>
        <v>6.0041977849796382</v>
      </c>
      <c r="AL49" s="41">
        <f t="shared" si="33"/>
        <v>6.1101731652593116</v>
      </c>
      <c r="AM49" s="41">
        <f t="shared" si="33"/>
        <v>6.1415494340712344</v>
      </c>
      <c r="AN49" s="41">
        <f t="shared" si="33"/>
        <v>6.1817860421274284</v>
      </c>
      <c r="AO49" s="41">
        <f t="shared" si="33"/>
        <v>6.2335437730091563</v>
      </c>
      <c r="AP49" s="41">
        <f t="shared" si="33"/>
        <v>6.2894256534647068</v>
      </c>
      <c r="AQ49" s="41">
        <f t="shared" si="33"/>
        <v>6.353642222704039</v>
      </c>
      <c r="AR49" s="41">
        <f t="shared" si="33"/>
        <v>6.4188656421810126</v>
      </c>
      <c r="AS49" s="41">
        <f t="shared" si="33"/>
        <v>6.4913502943154082</v>
      </c>
      <c r="AT49" s="41">
        <f t="shared" si="33"/>
        <v>6.5640448401217899</v>
      </c>
      <c r="AU49" s="41">
        <f t="shared" si="33"/>
        <v>6.6222419062747795</v>
      </c>
      <c r="AV49" s="41">
        <f t="shared" si="33"/>
        <v>6.6748207417076229</v>
      </c>
      <c r="AW49" s="41">
        <f t="shared" si="33"/>
        <v>6.7303688555300889</v>
      </c>
      <c r="AX49" s="41">
        <f t="shared" si="33"/>
        <v>6.798539325019048</v>
      </c>
      <c r="AY49" s="41">
        <f t="shared" si="33"/>
        <v>6.8554589612168018</v>
      </c>
      <c r="AZ49" s="41">
        <f t="shared" si="33"/>
        <v>6.9141339442587375</v>
      </c>
      <c r="BA49" s="41">
        <f t="shared" si="33"/>
        <v>6.9777566590437026</v>
      </c>
      <c r="BB49" s="41">
        <f t="shared" si="33"/>
        <v>7.0282790990746964</v>
      </c>
      <c r="BC49" s="41">
        <f t="shared" si="33"/>
        <v>7.0741049804501097</v>
      </c>
      <c r="BD49" s="41">
        <f t="shared" si="33"/>
        <v>7.1157295736784754</v>
      </c>
      <c r="BE49" s="41">
        <f t="shared" si="33"/>
        <v>7.1785287182929052</v>
      </c>
      <c r="BF49" s="41">
        <f t="shared" si="33"/>
        <v>7.232952860682329</v>
      </c>
      <c r="BG49" s="41">
        <f t="shared" si="33"/>
        <v>7.2889206417852348</v>
      </c>
      <c r="BH49" s="41">
        <f t="shared" si="33"/>
        <v>7.3468606364686684</v>
      </c>
      <c r="BI49" s="41">
        <f t="shared" si="33"/>
        <v>7.4074823275557931</v>
      </c>
      <c r="BJ49" s="41">
        <f t="shared" si="33"/>
        <v>7.4687611294504732</v>
      </c>
      <c r="BK49" s="41">
        <f t="shared" si="33"/>
        <v>7.4278907059584425</v>
      </c>
      <c r="BL49" s="41">
        <f t="shared" si="33"/>
        <v>7.3778315045306231</v>
      </c>
      <c r="BM49" s="41">
        <f t="shared" si="33"/>
        <v>7.3152851320841803</v>
      </c>
      <c r="BN49" s="41">
        <f t="shared" si="33"/>
        <v>7.2497523065010512</v>
      </c>
    </row>
    <row r="50" spans="1:72" x14ac:dyDescent="0.3">
      <c r="A50" t="str">
        <f t="shared" ref="A50" si="34">A48</f>
        <v>3C Aggregated and non-CO2 emissions on land</v>
      </c>
      <c r="B50" t="str">
        <f>'IPCC Categories'!B78</f>
        <v>3C5 Indirect N2O from managed soils (N2O)</v>
      </c>
      <c r="C50" t="str">
        <f>'IPCC Categories'!C78</f>
        <v>Volatilisation</v>
      </c>
      <c r="D50" t="str">
        <f>D48</f>
        <v>N2O</v>
      </c>
      <c r="E50" t="str">
        <f>E48</f>
        <v>Gg N2O</v>
      </c>
      <c r="F50" s="22">
        <f>SUM(Emissions!H135:H138)</f>
        <v>6.8720417689132818</v>
      </c>
      <c r="G50" s="22">
        <f>SUM(Emissions!I135:I138)</f>
        <v>6.8040222344896497</v>
      </c>
      <c r="H50" s="22">
        <f>SUM(Emissions!J135:J138)</f>
        <v>6.6643977129961947</v>
      </c>
      <c r="I50" s="22">
        <f>SUM(Emissions!K135:K138)</f>
        <v>6.5132288952449562</v>
      </c>
      <c r="J50" s="22">
        <f>SUM(Emissions!L135:L138)</f>
        <v>6.3389751728110557</v>
      </c>
      <c r="K50" s="22">
        <f>SUM(Emissions!M135:M138)</f>
        <v>6.3489504371997398</v>
      </c>
      <c r="L50" s="22">
        <f>SUM(Emissions!N135:N138)</f>
        <v>6.5566463010257543</v>
      </c>
      <c r="M50" s="22">
        <f>SUM(Emissions!O135:O138)</f>
        <v>6.61702309908204</v>
      </c>
      <c r="N50" s="22">
        <f>SUM(Emissions!P135:P138)</f>
        <v>6.7293674524998952</v>
      </c>
      <c r="O50" s="22">
        <f>SUM(Emissions!Q135:Q138)</f>
        <v>6.7076931438692604</v>
      </c>
      <c r="P50" s="22">
        <f>SUM(Emissions!R135:R138)</f>
        <v>6.6027983988771712</v>
      </c>
      <c r="Q50" s="22">
        <f>SUM(Emissions!S135:S138)</f>
        <v>6.5144595089601776</v>
      </c>
      <c r="R50" s="22">
        <f>SUM(Emissions!T135:T138)</f>
        <v>6.5954294578551265</v>
      </c>
      <c r="S50" s="22">
        <f>SUM(Emissions!U135:U138)</f>
        <v>6.5294565039113515</v>
      </c>
      <c r="T50" s="22">
        <f>SUM(Emissions!V135:V138)</f>
        <v>6.4916814592424021</v>
      </c>
      <c r="U50" s="22">
        <f>SUM(Emissions!W135:W138)</f>
        <v>6.363645089123743</v>
      </c>
      <c r="V50" s="22">
        <f>SUM(Emissions!X135:X138)</f>
        <v>6.4962285418853707</v>
      </c>
      <c r="W50" s="22">
        <f>SUM(Emissions!Y135:Y138)</f>
        <v>6.620266001326284</v>
      </c>
      <c r="X50" s="22">
        <f>SUM(Emissions!Z135:Z138)</f>
        <v>6.6126572032019997</v>
      </c>
      <c r="Y50" s="22">
        <f>SUM(Emissions!AA135:AA138)</f>
        <v>6.6065735112105326</v>
      </c>
      <c r="Z50" s="22">
        <f>SUM(Emissions!AB135:AB138)</f>
        <v>6.4556027997102001</v>
      </c>
      <c r="AA50" s="22">
        <f>SUM(Emissions!AC135:AC138)</f>
        <v>6.4799963389801611</v>
      </c>
      <c r="AB50" s="22">
        <f>SUM(Emissions!AD135:AD138)</f>
        <v>6.2677893680252668</v>
      </c>
      <c r="AC50" s="22">
        <f>SUM(Emissions!AE135:AE138)</f>
        <v>6.2499824089430867</v>
      </c>
      <c r="AD50" s="22">
        <f>SUM(Emissions!AF135:AF138)</f>
        <v>6.2533292316834475</v>
      </c>
      <c r="AE50" s="22">
        <f>SUM(Emissions!AG135:AG138)</f>
        <v>6.2219605366729418</v>
      </c>
      <c r="AF50" s="22">
        <f>SUM(Emissions!AH135:AH138)</f>
        <v>6.1699888782464072</v>
      </c>
      <c r="AG50" s="22">
        <f>SUM(Emissions!AI135:AI138)</f>
        <v>6.0985599508144936</v>
      </c>
      <c r="AH50" s="22">
        <f>SUM(Emissions!AJ135:AJ138)</f>
        <v>6.0469682343875704</v>
      </c>
      <c r="AI50" s="22">
        <f>SUM(Emissions!AK135:AK138)</f>
        <v>5.9998429802554343</v>
      </c>
      <c r="AJ50" s="22">
        <f>SUM(Emissions!AL135:AL138)</f>
        <v>5.6196803243319486</v>
      </c>
      <c r="AK50" s="22">
        <f>SUM(Emissions!AM135:AM138)</f>
        <v>5.6776531730017723</v>
      </c>
      <c r="AL50" s="22">
        <f>SUM(Emissions!AN135:AN138)</f>
        <v>5.7774225823862979</v>
      </c>
      <c r="AM50" s="22">
        <f>SUM(Emissions!AO135:AO138)</f>
        <v>5.8061701495788478</v>
      </c>
      <c r="AN50" s="22">
        <f>SUM(Emissions!AP135:AP138)</f>
        <v>5.8436024975315952</v>
      </c>
      <c r="AO50" s="22">
        <f>SUM(Emissions!AQ135:AQ138)</f>
        <v>5.8919386958406896</v>
      </c>
      <c r="AP50" s="22">
        <f>SUM(Emissions!AR135:AR138)</f>
        <v>5.9440337736339686</v>
      </c>
      <c r="AQ50" s="22">
        <f>SUM(Emissions!AS135:AS138)</f>
        <v>6.0040051256637721</v>
      </c>
      <c r="AR50" s="22">
        <f>SUM(Emissions!AT135:AT138)</f>
        <v>6.0648875129993396</v>
      </c>
      <c r="AS50" s="22">
        <f>SUM(Emissions!AU135:AU138)</f>
        <v>6.13263686447584</v>
      </c>
      <c r="AT50" s="22">
        <f>SUM(Emissions!AV135:AV138)</f>
        <v>6.200539868128172</v>
      </c>
      <c r="AU50" s="22">
        <f>SUM(Emissions!AW135:AW138)</f>
        <v>6.2540750136957985</v>
      </c>
      <c r="AV50" s="22">
        <f>SUM(Emissions!AX135:AX138)</f>
        <v>6.3021899458011115</v>
      </c>
      <c r="AW50" s="22">
        <f>SUM(Emissions!AY135:AY138)</f>
        <v>6.3530769259407123</v>
      </c>
      <c r="AX50" s="22">
        <f>SUM(Emissions!AZ135:AZ138)</f>
        <v>6.4158387542727491</v>
      </c>
      <c r="AY50" s="22">
        <f>SUM(Emissions!BA135:BA138)</f>
        <v>6.4678326219002615</v>
      </c>
      <c r="AZ50" s="22">
        <f>SUM(Emissions!BB135:BB138)</f>
        <v>6.5213669780734733</v>
      </c>
      <c r="BA50" s="22">
        <f>SUM(Emissions!BC135:BC138)</f>
        <v>6.5794893771814218</v>
      </c>
      <c r="BB50" s="22">
        <f>SUM(Emissions!BD135:BD138)</f>
        <v>6.6251266361989281</v>
      </c>
      <c r="BC50" s="22">
        <f>SUM(Emissions!BE135:BE138)</f>
        <v>6.6662913533928627</v>
      </c>
      <c r="BD50" s="22">
        <f>SUM(Emissions!BF135:BF138)</f>
        <v>6.7034248185829028</v>
      </c>
      <c r="BE50" s="22">
        <f>SUM(Emissions!BG135:BG138)</f>
        <v>6.7607961165295825</v>
      </c>
      <c r="BF50" s="22">
        <f>SUM(Emissions!BH135:BH138)</f>
        <v>6.8101731621218491</v>
      </c>
      <c r="BG50" s="22">
        <f>SUM(Emissions!BI135:BI138)</f>
        <v>6.8609704872809232</v>
      </c>
      <c r="BH50" s="22">
        <f>SUM(Emissions!BJ135:BJ138)</f>
        <v>6.9135546762207856</v>
      </c>
      <c r="BI50" s="22">
        <f>SUM(Emissions!BK135:BK138)</f>
        <v>6.968588275189715</v>
      </c>
      <c r="BJ50" s="22">
        <f>SUM(Emissions!BL135:BL138)</f>
        <v>7.0240700737240171</v>
      </c>
      <c r="BK50" s="22">
        <f>SUM(Emissions!BM135:BM138)</f>
        <v>6.9832770128557833</v>
      </c>
      <c r="BL50" s="22">
        <f>SUM(Emissions!BN135:BN138)</f>
        <v>6.934167579770631</v>
      </c>
      <c r="BM50" s="22">
        <f>SUM(Emissions!BO135:BO138)</f>
        <v>6.8733487241280926</v>
      </c>
      <c r="BN50" s="22">
        <f>SUM(Emissions!BP135:BP138)</f>
        <v>6.809783570224262</v>
      </c>
    </row>
    <row r="51" spans="1:72" x14ac:dyDescent="0.3">
      <c r="A51" t="str">
        <f t="shared" ref="A51:A52" si="35">A50</f>
        <v>3C Aggregated and non-CO2 emissions on land</v>
      </c>
      <c r="B51" t="str">
        <f>B50</f>
        <v>3C5 Indirect N2O from managed soils (N2O)</v>
      </c>
      <c r="C51" t="str">
        <f>'IPCC Categories'!C79</f>
        <v>Leaching/runoff</v>
      </c>
      <c r="D51" t="str">
        <f t="shared" si="28"/>
        <v>N2O</v>
      </c>
      <c r="E51" t="str">
        <f t="shared" si="29"/>
        <v>Gg N2O</v>
      </c>
      <c r="F51" s="22">
        <f>SUM(Emissions!H139:H154)</f>
        <v>0.33603968287014491</v>
      </c>
      <c r="G51" s="22">
        <f>SUM(Emissions!I139:I154)</f>
        <v>0.33048775206044329</v>
      </c>
      <c r="H51" s="22">
        <f>SUM(Emissions!J139:J154)</f>
        <v>0.33346641212934491</v>
      </c>
      <c r="I51" s="22">
        <f>SUM(Emissions!K139:K154)</f>
        <v>0.34566201778047606</v>
      </c>
      <c r="J51" s="22">
        <f>SUM(Emissions!L139:L154)</f>
        <v>0.34062767298069813</v>
      </c>
      <c r="K51" s="22">
        <f>SUM(Emissions!M139:M154)</f>
        <v>0.30450786061967605</v>
      </c>
      <c r="L51" s="22">
        <f>SUM(Emissions!N139:N154)</f>
        <v>0.32381228553079472</v>
      </c>
      <c r="M51" s="22">
        <f>SUM(Emissions!O139:O154)</f>
        <v>0.33423928815240667</v>
      </c>
      <c r="N51" s="22">
        <f>SUM(Emissions!P139:P154)</f>
        <v>0.32074465547025682</v>
      </c>
      <c r="O51" s="22">
        <f>SUM(Emissions!Q139:Q154)</f>
        <v>0.32336524583535148</v>
      </c>
      <c r="P51" s="22">
        <f>SUM(Emissions!R139:R154)</f>
        <v>0.35119013882037781</v>
      </c>
      <c r="Q51" s="22">
        <f>SUM(Emissions!S139:S154)</f>
        <v>0.32029126940696356</v>
      </c>
      <c r="R51" s="22">
        <f>SUM(Emissions!T139:T154)</f>
        <v>0.33764678312297075</v>
      </c>
      <c r="S51" s="22">
        <f>SUM(Emissions!U139:U154)</f>
        <v>0.33321842707878641</v>
      </c>
      <c r="T51" s="22">
        <f>SUM(Emissions!V139:V154)</f>
        <v>0.31666657615956528</v>
      </c>
      <c r="U51" s="22">
        <f>SUM(Emissions!W139:W154)</f>
        <v>0.32070433835754264</v>
      </c>
      <c r="V51" s="22">
        <f>SUM(Emissions!X139:X154)</f>
        <v>0.28411320597365947</v>
      </c>
      <c r="W51" s="22">
        <f>SUM(Emissions!Y139:Y154)</f>
        <v>0.31915614644582579</v>
      </c>
      <c r="X51" s="22">
        <f>SUM(Emissions!Z139:Z154)</f>
        <v>0.34232896504275395</v>
      </c>
      <c r="Y51" s="22">
        <f>SUM(Emissions!AA139:AA154)</f>
        <v>0.32637440014954389</v>
      </c>
      <c r="Z51" s="22">
        <f>SUM(Emissions!AB139:AB154)</f>
        <v>0.33599374207331195</v>
      </c>
      <c r="AA51" s="22">
        <f>SUM(Emissions!AC139:AC154)</f>
        <v>0.32808743453230077</v>
      </c>
      <c r="AB51" s="22">
        <f>SUM(Emissions!AD139:AD154)</f>
        <v>0.3481377451695794</v>
      </c>
      <c r="AC51" s="22">
        <f>SUM(Emissions!AE139:AE154)</f>
        <v>0.34852931696715722</v>
      </c>
      <c r="AD51" s="22">
        <f>SUM(Emissions!AF139:AF154)</f>
        <v>0.35008158455819982</v>
      </c>
      <c r="AE51" s="22">
        <f>SUM(Emissions!AG139:AG154)</f>
        <v>0.34991641125935213</v>
      </c>
      <c r="AF51" s="22">
        <f>SUM(Emissions!AH139:AH154)</f>
        <v>0.34853257082450823</v>
      </c>
      <c r="AG51" s="22">
        <f>SUM(Emissions!AI139:AI154)</f>
        <v>0.34601036517209849</v>
      </c>
      <c r="AH51" s="22">
        <f>SUM(Emissions!AJ139:AJ154)</f>
        <v>0.34438087314514421</v>
      </c>
      <c r="AI51" s="22">
        <f>SUM(Emissions!AK139:AK154)</f>
        <v>0.34300468939664713</v>
      </c>
      <c r="AJ51" s="22">
        <f>SUM(Emissions!AL139:AL154)</f>
        <v>0.32414466673481662</v>
      </c>
      <c r="AK51" s="22">
        <f>SUM(Emissions!AM139:AM154)</f>
        <v>0.32654461197786544</v>
      </c>
      <c r="AL51" s="22">
        <f>SUM(Emissions!AN139:AN154)</f>
        <v>0.33275058287301335</v>
      </c>
      <c r="AM51" s="22">
        <f>SUM(Emissions!AO139:AO154)</f>
        <v>0.3353792844923863</v>
      </c>
      <c r="AN51" s="22">
        <f>SUM(Emissions!AP139:AP154)</f>
        <v>0.338183544595833</v>
      </c>
      <c r="AO51" s="22">
        <f>SUM(Emissions!AQ139:AQ154)</f>
        <v>0.34160507716846655</v>
      </c>
      <c r="AP51" s="22">
        <f>SUM(Emissions!AR139:AR154)</f>
        <v>0.34539187983073805</v>
      </c>
      <c r="AQ51" s="22">
        <f>SUM(Emissions!AS139:AS154)</f>
        <v>0.34963709704026663</v>
      </c>
      <c r="AR51" s="22">
        <f>SUM(Emissions!AT139:AT154)</f>
        <v>0.35397812918167326</v>
      </c>
      <c r="AS51" s="22">
        <f>SUM(Emissions!AU139:AU154)</f>
        <v>0.35871342983956778</v>
      </c>
      <c r="AT51" s="22">
        <f>SUM(Emissions!AV139:AV154)</f>
        <v>0.36350497199361759</v>
      </c>
      <c r="AU51" s="22">
        <f>SUM(Emissions!AW139:AW154)</f>
        <v>0.36816689257898061</v>
      </c>
      <c r="AV51" s="22">
        <f>SUM(Emissions!AX139:AX154)</f>
        <v>0.3726307959065111</v>
      </c>
      <c r="AW51" s="22">
        <f>SUM(Emissions!AY139:AY154)</f>
        <v>0.37729192958937641</v>
      </c>
      <c r="AX51" s="22">
        <f>SUM(Emissions!AZ139:AZ154)</f>
        <v>0.3827005707462991</v>
      </c>
      <c r="AY51" s="22">
        <f>SUM(Emissions!BA139:BA154)</f>
        <v>0.38762633931654056</v>
      </c>
      <c r="AZ51" s="22">
        <f>SUM(Emissions!BB139:BB154)</f>
        <v>0.39276696618526413</v>
      </c>
      <c r="BA51" s="22">
        <f>SUM(Emissions!BC139:BC154)</f>
        <v>0.39826728186228039</v>
      </c>
      <c r="BB51" s="22">
        <f>SUM(Emissions!BD139:BD154)</f>
        <v>0.40315246287576845</v>
      </c>
      <c r="BC51" s="22">
        <f>SUM(Emissions!BE139:BE154)</f>
        <v>0.40781362705724722</v>
      </c>
      <c r="BD51" s="22">
        <f>SUM(Emissions!BF139:BF154)</f>
        <v>0.41230475509557218</v>
      </c>
      <c r="BE51" s="22">
        <f>SUM(Emissions!BG139:BG154)</f>
        <v>0.41773260176332261</v>
      </c>
      <c r="BF51" s="22">
        <f>SUM(Emissions!BH139:BH154)</f>
        <v>0.42277969856047953</v>
      </c>
      <c r="BG51" s="22">
        <f>SUM(Emissions!BI139:BI154)</f>
        <v>0.42795015450431162</v>
      </c>
      <c r="BH51" s="22">
        <f>SUM(Emissions!BJ139:BJ154)</f>
        <v>0.43330596024788276</v>
      </c>
      <c r="BI51" s="22">
        <f>SUM(Emissions!BK139:BK154)</f>
        <v>0.43889405236607826</v>
      </c>
      <c r="BJ51" s="22">
        <f>SUM(Emissions!BL139:BL154)</f>
        <v>0.44469105572645612</v>
      </c>
      <c r="BK51" s="22">
        <f>SUM(Emissions!BM139:BM154)</f>
        <v>0.44461369310265891</v>
      </c>
      <c r="BL51" s="22">
        <f>SUM(Emissions!BN139:BN154)</f>
        <v>0.44366392475999178</v>
      </c>
      <c r="BM51" s="22">
        <f>SUM(Emissions!BO139:BO154)</f>
        <v>0.44193640795608774</v>
      </c>
      <c r="BN51" s="22">
        <f>SUM(Emissions!BP139:BP154)</f>
        <v>0.43996873627678895</v>
      </c>
    </row>
    <row r="52" spans="1:72" s="19" customFormat="1" ht="15.6" x14ac:dyDescent="0.3">
      <c r="A52" s="19" t="str">
        <f t="shared" si="35"/>
        <v>3C Aggregated and non-CO2 emissions on land</v>
      </c>
      <c r="B52" s="19" t="str">
        <f>'IPCC Categories'!B80</f>
        <v>3C6 Indirect N2O from manure management (N2O)</v>
      </c>
      <c r="C52" s="19" t="s">
        <v>148</v>
      </c>
      <c r="D52" s="19" t="str">
        <f t="shared" ref="D52" si="36">D51</f>
        <v>N2O</v>
      </c>
      <c r="E52" s="19" t="str">
        <f t="shared" ref="E52" si="37">E51</f>
        <v>Gg N2O</v>
      </c>
      <c r="F52" s="41">
        <f>SUM(F53:F54)</f>
        <v>1.0950538253856468</v>
      </c>
      <c r="G52" s="41">
        <f t="shared" ref="G52:BN52" si="38">SUM(G53:G54)</f>
        <v>1.1658727848185233</v>
      </c>
      <c r="H52" s="41">
        <f t="shared" si="38"/>
        <v>1.0848631974974343</v>
      </c>
      <c r="I52" s="41">
        <f t="shared" si="38"/>
        <v>1.1252390431692683</v>
      </c>
      <c r="J52" s="41">
        <f t="shared" si="38"/>
        <v>1.0734739532249553</v>
      </c>
      <c r="K52" s="41">
        <f t="shared" si="38"/>
        <v>1.132808817863219</v>
      </c>
      <c r="L52" s="41">
        <f t="shared" si="38"/>
        <v>1.1837401232176359</v>
      </c>
      <c r="M52" s="41">
        <f t="shared" si="38"/>
        <v>1.1732129506374127</v>
      </c>
      <c r="N52" s="41">
        <f t="shared" si="38"/>
        <v>1.2025072193927659</v>
      </c>
      <c r="O52" s="41">
        <f t="shared" si="38"/>
        <v>1.2151362947473952</v>
      </c>
      <c r="P52" s="41">
        <f t="shared" si="38"/>
        <v>1.3425597798100053</v>
      </c>
      <c r="Q52" s="41">
        <f t="shared" si="38"/>
        <v>1.3350835411028359</v>
      </c>
      <c r="R52" s="41">
        <f t="shared" si="38"/>
        <v>1.2971770946245216</v>
      </c>
      <c r="S52" s="41">
        <f t="shared" si="38"/>
        <v>1.2325302326597585</v>
      </c>
      <c r="T52" s="41">
        <f t="shared" si="38"/>
        <v>1.2249617526122387</v>
      </c>
      <c r="U52" s="41">
        <f t="shared" si="38"/>
        <v>1.2870593712731417</v>
      </c>
      <c r="V52" s="41">
        <f t="shared" si="38"/>
        <v>1.3036096413946223</v>
      </c>
      <c r="W52" s="41">
        <f t="shared" si="38"/>
        <v>1.3296829545150457</v>
      </c>
      <c r="X52" s="41">
        <f t="shared" si="38"/>
        <v>1.4390001307004523</v>
      </c>
      <c r="Y52" s="41">
        <f t="shared" si="38"/>
        <v>1.4305572536330728</v>
      </c>
      <c r="Z52" s="41">
        <f t="shared" si="38"/>
        <v>1.4388556601471445</v>
      </c>
      <c r="AA52" s="41">
        <f t="shared" si="38"/>
        <v>1.4563575155753867</v>
      </c>
      <c r="AB52" s="41">
        <f t="shared" si="38"/>
        <v>1.4966006533780924</v>
      </c>
      <c r="AC52" s="41">
        <f t="shared" si="38"/>
        <v>1.5114628716679737</v>
      </c>
      <c r="AD52" s="41">
        <f t="shared" si="38"/>
        <v>1.5337636748745853</v>
      </c>
      <c r="AE52" s="41">
        <f t="shared" si="38"/>
        <v>1.5436359301289113</v>
      </c>
      <c r="AF52" s="41">
        <f t="shared" si="38"/>
        <v>1.5455830647924338</v>
      </c>
      <c r="AG52" s="41">
        <f t="shared" si="38"/>
        <v>1.5396059638680233</v>
      </c>
      <c r="AH52" s="41">
        <f t="shared" si="38"/>
        <v>1.5406069398014894</v>
      </c>
      <c r="AI52" s="41">
        <f t="shared" si="38"/>
        <v>1.5429841908916511</v>
      </c>
      <c r="AJ52" s="41">
        <f t="shared" si="38"/>
        <v>1.4117859501059316</v>
      </c>
      <c r="AK52" s="41">
        <f t="shared" si="38"/>
        <v>1.4446426217840949</v>
      </c>
      <c r="AL52" s="41">
        <f t="shared" si="38"/>
        <v>1.4951838775169701</v>
      </c>
      <c r="AM52" s="41">
        <f t="shared" si="38"/>
        <v>1.5172047837314651</v>
      </c>
      <c r="AN52" s="41">
        <f t="shared" si="38"/>
        <v>1.5429640139702714</v>
      </c>
      <c r="AO52" s="41">
        <f t="shared" si="38"/>
        <v>1.5735625206935386</v>
      </c>
      <c r="AP52" s="41">
        <f t="shared" si="38"/>
        <v>1.6071792475356412</v>
      </c>
      <c r="AQ52" s="41">
        <f t="shared" si="38"/>
        <v>1.6445951351252028</v>
      </c>
      <c r="AR52" s="41">
        <f t="shared" si="38"/>
        <v>1.6829074957995804</v>
      </c>
      <c r="AS52" s="41">
        <f t="shared" si="38"/>
        <v>1.7247417477440332</v>
      </c>
      <c r="AT52" s="41">
        <f t="shared" si="38"/>
        <v>1.7672384541700492</v>
      </c>
      <c r="AU52" s="41">
        <f t="shared" si="38"/>
        <v>1.8156553307258507</v>
      </c>
      <c r="AV52" s="41">
        <f t="shared" si="38"/>
        <v>1.8629402828847581</v>
      </c>
      <c r="AW52" s="41">
        <f t="shared" si="38"/>
        <v>1.9128175005161601</v>
      </c>
      <c r="AX52" s="41">
        <f t="shared" si="38"/>
        <v>1.9697153482281267</v>
      </c>
      <c r="AY52" s="41">
        <f t="shared" si="38"/>
        <v>2.0231064624911688</v>
      </c>
      <c r="AZ52" s="41">
        <f t="shared" si="38"/>
        <v>2.079691437691749</v>
      </c>
      <c r="BA52" s="41">
        <f t="shared" si="38"/>
        <v>2.1402377989121648</v>
      </c>
      <c r="BB52" s="41">
        <f t="shared" si="38"/>
        <v>2.1962903000752121</v>
      </c>
      <c r="BC52" s="41">
        <f t="shared" si="38"/>
        <v>2.2517071860011386</v>
      </c>
      <c r="BD52" s="41">
        <f t="shared" si="38"/>
        <v>2.3066741391223649</v>
      </c>
      <c r="BE52" s="41">
        <f t="shared" si="38"/>
        <v>2.3665890862896992</v>
      </c>
      <c r="BF52" s="41">
        <f t="shared" si="38"/>
        <v>2.4236251205669155</v>
      </c>
      <c r="BG52" s="41">
        <f t="shared" si="38"/>
        <v>2.4827941150212238</v>
      </c>
      <c r="BH52" s="41">
        <f t="shared" si="38"/>
        <v>2.5443887730337473</v>
      </c>
      <c r="BI52" s="41">
        <f t="shared" si="38"/>
        <v>2.6088775644499851</v>
      </c>
      <c r="BJ52" s="41">
        <f t="shared" si="38"/>
        <v>2.676186289695635</v>
      </c>
      <c r="BK52" s="41">
        <f t="shared" si="38"/>
        <v>2.689170915116248</v>
      </c>
      <c r="BL52" s="41">
        <f t="shared" si="38"/>
        <v>2.6972200246106315</v>
      </c>
      <c r="BM52" s="41">
        <f t="shared" si="38"/>
        <v>2.6981474699034997</v>
      </c>
      <c r="BN52" s="41">
        <f t="shared" si="38"/>
        <v>2.6970820443490537</v>
      </c>
    </row>
    <row r="53" spans="1:72" x14ac:dyDescent="0.3">
      <c r="A53" t="str">
        <f t="shared" ref="A53" si="39">A51</f>
        <v>3C Aggregated and non-CO2 emissions on land</v>
      </c>
      <c r="B53" t="str">
        <f>'IPCC Categories'!B80</f>
        <v>3C6 Indirect N2O from manure management (N2O)</v>
      </c>
      <c r="C53" t="str">
        <f>'IPCC Categories'!C80</f>
        <v>Volatilisation</v>
      </c>
      <c r="D53" t="str">
        <f>D51</f>
        <v>N2O</v>
      </c>
      <c r="E53" t="str">
        <f>E51</f>
        <v>Gg N2O</v>
      </c>
      <c r="F53" s="22">
        <f>SUM(Emissions!H156:H171)</f>
        <v>0.80161921525345481</v>
      </c>
      <c r="G53" s="22">
        <f>SUM(Emissions!I156:I171)</f>
        <v>0.85849615635183785</v>
      </c>
      <c r="H53" s="22">
        <f>SUM(Emissions!J156:J171)</f>
        <v>0.79435444319952053</v>
      </c>
      <c r="I53" s="22">
        <f>SUM(Emissions!K156:K171)</f>
        <v>0.829147805848644</v>
      </c>
      <c r="J53" s="22">
        <f>SUM(Emissions!L156:L171)</f>
        <v>0.79042443952630315</v>
      </c>
      <c r="K53" s="22">
        <f>SUM(Emissions!M156:M171)</f>
        <v>0.8376969438335109</v>
      </c>
      <c r="L53" s="22">
        <f>SUM(Emissions!N156:N171)</f>
        <v>0.87683765723343599</v>
      </c>
      <c r="M53" s="22">
        <f>SUM(Emissions!O156:O171)</f>
        <v>0.86676785102585141</v>
      </c>
      <c r="N53" s="22">
        <f>SUM(Emissions!P156:P171)</f>
        <v>0.88867615567493341</v>
      </c>
      <c r="O53" s="22">
        <f>SUM(Emissions!Q156:Q171)</f>
        <v>0.89855891694378176</v>
      </c>
      <c r="P53" s="22">
        <f>SUM(Emissions!R156:R171)</f>
        <v>1.0009422058189665</v>
      </c>
      <c r="Q53" s="22">
        <f>SUM(Emissions!S156:S171)</f>
        <v>0.99558785675794326</v>
      </c>
      <c r="R53" s="22">
        <f>SUM(Emissions!T156:T171)</f>
        <v>0.96534354462768934</v>
      </c>
      <c r="S53" s="22">
        <f>SUM(Emissions!U156:U171)</f>
        <v>0.91309585992575648</v>
      </c>
      <c r="T53" s="22">
        <f>SUM(Emissions!V156:V171)</f>
        <v>0.90768844469024579</v>
      </c>
      <c r="U53" s="22">
        <f>SUM(Emissions!W156:W171)</f>
        <v>0.95758004378601003</v>
      </c>
      <c r="V53" s="22">
        <f>SUM(Emissions!X156:X171)</f>
        <v>0.97046445508369161</v>
      </c>
      <c r="W53" s="22">
        <f>SUM(Emissions!Y156:Y171)</f>
        <v>0.98964220935969038</v>
      </c>
      <c r="X53" s="22">
        <f>SUM(Emissions!Z156:Z171)</f>
        <v>1.0767445498553814</v>
      </c>
      <c r="Y53" s="22">
        <f>SUM(Emissions!AA156:AA171)</f>
        <v>1.0706000439339658</v>
      </c>
      <c r="Z53" s="22">
        <f>SUM(Emissions!AB156:AB171)</f>
        <v>1.0778952760899894</v>
      </c>
      <c r="AA53" s="22">
        <f>SUM(Emissions!AC156:AC171)</f>
        <v>1.091951943859661</v>
      </c>
      <c r="AB53" s="22">
        <f>SUM(Emissions!AD156:AD171)</f>
        <v>1.1260073524873579</v>
      </c>
      <c r="AC53" s="22">
        <f>SUM(Emissions!AE156:AE171)</f>
        <v>1.1381916980106408</v>
      </c>
      <c r="AD53" s="22">
        <f>SUM(Emissions!AF156:AF171)</f>
        <v>1.1560242056612529</v>
      </c>
      <c r="AE53" s="22">
        <f>SUM(Emissions!AG156:AG171)</f>
        <v>1.1644338155648368</v>
      </c>
      <c r="AF53" s="22">
        <f>SUM(Emissions!AH156:AH171)</f>
        <v>1.1668147538350464</v>
      </c>
      <c r="AG53" s="22">
        <f>SUM(Emissions!AI156:AI171)</f>
        <v>1.1631491557292368</v>
      </c>
      <c r="AH53" s="22">
        <f>SUM(Emissions!AJ156:AJ171)</f>
        <v>1.164779548726063</v>
      </c>
      <c r="AI53" s="22">
        <f>SUM(Emissions!AK156:AK171)</f>
        <v>1.1674495942945495</v>
      </c>
      <c r="AJ53" s="22">
        <f>SUM(Emissions!AL156:AL171)</f>
        <v>1.0681325645397945</v>
      </c>
      <c r="AK53" s="22">
        <f>SUM(Emissions!AM156:AM171)</f>
        <v>1.0935749902341527</v>
      </c>
      <c r="AL53" s="22">
        <f>SUM(Emissions!AN156:AN171)</f>
        <v>1.1325483853886662</v>
      </c>
      <c r="AM53" s="22">
        <f>SUM(Emissions!AO156:AO171)</f>
        <v>1.1497461681313257</v>
      </c>
      <c r="AN53" s="22">
        <f>SUM(Emissions!AP156:AP171)</f>
        <v>1.1698122528748762</v>
      </c>
      <c r="AO53" s="22">
        <f>SUM(Emissions!AQ156:AQ171)</f>
        <v>1.1935930262919467</v>
      </c>
      <c r="AP53" s="22">
        <f>SUM(Emissions!AR156:AR171)</f>
        <v>1.2197271309880118</v>
      </c>
      <c r="AQ53" s="22">
        <f>SUM(Emissions!AS156:AS171)</f>
        <v>1.2487877884404763</v>
      </c>
      <c r="AR53" s="22">
        <f>SUM(Emissions!AT156:AT171)</f>
        <v>1.2785545338919686</v>
      </c>
      <c r="AS53" s="22">
        <f>SUM(Emissions!AU156:AU171)</f>
        <v>1.3110406999250777</v>
      </c>
      <c r="AT53" s="22">
        <f>SUM(Emissions!AV156:AV171)</f>
        <v>1.3440566695186553</v>
      </c>
      <c r="AU53" s="22">
        <f>SUM(Emissions!AW156:AW171)</f>
        <v>1.3820648751687408</v>
      </c>
      <c r="AV53" s="22">
        <f>SUM(Emissions!AX156:AX171)</f>
        <v>1.4192510988165017</v>
      </c>
      <c r="AW53" s="22">
        <f>SUM(Emissions!AY156:AY171)</f>
        <v>1.4584754369445876</v>
      </c>
      <c r="AX53" s="22">
        <f>SUM(Emissions!AZ156:AZ171)</f>
        <v>1.503148118486815</v>
      </c>
      <c r="AY53" s="22">
        <f>SUM(Emissions!BA156:BA171)</f>
        <v>1.5451768400437367</v>
      </c>
      <c r="AZ53" s="22">
        <f>SUM(Emissions!BB156:BB171)</f>
        <v>1.5897367643254949</v>
      </c>
      <c r="BA53" s="22">
        <f>SUM(Emissions!BC156:BC171)</f>
        <v>1.6374042155133974</v>
      </c>
      <c r="BB53" s="22">
        <f>SUM(Emissions!BD156:BD171)</f>
        <v>1.6816625254890565</v>
      </c>
      <c r="BC53" s="22">
        <f>SUM(Emissions!BE156:BE171)</f>
        <v>1.7254821680146883</v>
      </c>
      <c r="BD53" s="22">
        <f>SUM(Emissions!BF156:BF171)</f>
        <v>1.7690049794676141</v>
      </c>
      <c r="BE53" s="22">
        <f>SUM(Emissions!BG156:BG171)</f>
        <v>1.8161573066618681</v>
      </c>
      <c r="BF53" s="22">
        <f>SUM(Emissions!BH156:BH171)</f>
        <v>1.8611249633792482</v>
      </c>
      <c r="BG53" s="22">
        <f>SUM(Emissions!BI156:BI171)</f>
        <v>1.9077818972057918</v>
      </c>
      <c r="BH53" s="22">
        <f>SUM(Emissions!BJ156:BJ171)</f>
        <v>1.9563568865376635</v>
      </c>
      <c r="BI53" s="22">
        <f>SUM(Emissions!BK156:BK171)</f>
        <v>2.0072152828923562</v>
      </c>
      <c r="BJ53" s="22">
        <f>SUM(Emissions!BL156:BL171)</f>
        <v>2.0603205854264592</v>
      </c>
      <c r="BK53" s="22">
        <f>SUM(Emissions!BM156:BM171)</f>
        <v>2.0713515488336971</v>
      </c>
      <c r="BL53" s="22">
        <f>SUM(Emissions!BN156:BN171)</f>
        <v>2.0785561180463015</v>
      </c>
      <c r="BM53" s="22">
        <f>SUM(Emissions!BO156:BO171)</f>
        <v>2.0802318053181557</v>
      </c>
      <c r="BN53" s="22">
        <f>SUM(Emissions!BP156:BP171)</f>
        <v>2.0803529397835865</v>
      </c>
    </row>
    <row r="54" spans="1:72" x14ac:dyDescent="0.3">
      <c r="A54" t="str">
        <f t="shared" ref="A54" si="40">A53</f>
        <v>3C Aggregated and non-CO2 emissions on land</v>
      </c>
      <c r="B54" t="str">
        <f>B53</f>
        <v>3C6 Indirect N2O from manure management (N2O)</v>
      </c>
      <c r="C54" t="str">
        <f>'IPCC Categories'!C81</f>
        <v>Leaching/runoff</v>
      </c>
      <c r="D54" t="str">
        <f t="shared" si="28"/>
        <v>N2O</v>
      </c>
      <c r="E54" t="str">
        <f t="shared" si="29"/>
        <v>Gg N2O</v>
      </c>
      <c r="F54" s="22">
        <f>SUM(Emissions!H172:H187)</f>
        <v>0.29343461013219191</v>
      </c>
      <c r="G54" s="22">
        <f>SUM(Emissions!I172:I187)</f>
        <v>0.3073766284666854</v>
      </c>
      <c r="H54" s="22">
        <f>SUM(Emissions!J172:J187)</f>
        <v>0.29050875429791384</v>
      </c>
      <c r="I54" s="22">
        <f>SUM(Emissions!K172:K187)</f>
        <v>0.29609123732062431</v>
      </c>
      <c r="J54" s="22">
        <f>SUM(Emissions!L172:L187)</f>
        <v>0.28304951369865206</v>
      </c>
      <c r="K54" s="22">
        <f>SUM(Emissions!M172:M187)</f>
        <v>0.29511187402970801</v>
      </c>
      <c r="L54" s="22">
        <f>SUM(Emissions!N172:N187)</f>
        <v>0.30690246598419996</v>
      </c>
      <c r="M54" s="22">
        <f>SUM(Emissions!O172:O187)</f>
        <v>0.30644509961156119</v>
      </c>
      <c r="N54" s="22">
        <f>SUM(Emissions!P172:P187)</f>
        <v>0.31383106371783259</v>
      </c>
      <c r="O54" s="22">
        <f>SUM(Emissions!Q172:Q187)</f>
        <v>0.31657737780361339</v>
      </c>
      <c r="P54" s="22">
        <f>SUM(Emissions!R172:R187)</f>
        <v>0.3416175739910387</v>
      </c>
      <c r="Q54" s="22">
        <f>SUM(Emissions!S172:S187)</f>
        <v>0.33949568434489258</v>
      </c>
      <c r="R54" s="22">
        <f>SUM(Emissions!T172:T187)</f>
        <v>0.33183354999683212</v>
      </c>
      <c r="S54" s="22">
        <f>SUM(Emissions!U172:U187)</f>
        <v>0.31943437273400205</v>
      </c>
      <c r="T54" s="22">
        <f>SUM(Emissions!V172:V187)</f>
        <v>0.31727330792199299</v>
      </c>
      <c r="U54" s="22">
        <f>SUM(Emissions!W172:W187)</f>
        <v>0.3294793274871316</v>
      </c>
      <c r="V54" s="22">
        <f>SUM(Emissions!X172:X187)</f>
        <v>0.33314518631093065</v>
      </c>
      <c r="W54" s="22">
        <f>SUM(Emissions!Y172:Y187)</f>
        <v>0.34004074515535521</v>
      </c>
      <c r="X54" s="22">
        <f>SUM(Emissions!Z172:Z187)</f>
        <v>0.36225558084507087</v>
      </c>
      <c r="Y54" s="22">
        <f>SUM(Emissions!AA172:AA187)</f>
        <v>0.35995720969910711</v>
      </c>
      <c r="Z54" s="22">
        <f>SUM(Emissions!AB172:AB187)</f>
        <v>0.36096038405715508</v>
      </c>
      <c r="AA54" s="22">
        <f>SUM(Emissions!AC172:AC187)</f>
        <v>0.3644055717157258</v>
      </c>
      <c r="AB54" s="22">
        <f>SUM(Emissions!AD172:AD187)</f>
        <v>0.3705933008907345</v>
      </c>
      <c r="AC54" s="22">
        <f>SUM(Emissions!AE172:AE187)</f>
        <v>0.37327117365733281</v>
      </c>
      <c r="AD54" s="22">
        <f>SUM(Emissions!AF172:AF187)</f>
        <v>0.37773946921333246</v>
      </c>
      <c r="AE54" s="22">
        <f>SUM(Emissions!AG172:AG187)</f>
        <v>0.37920211456407454</v>
      </c>
      <c r="AF54" s="22">
        <f>SUM(Emissions!AH172:AH187)</f>
        <v>0.37876831095738744</v>
      </c>
      <c r="AG54" s="22">
        <f>SUM(Emissions!AI172:AI187)</f>
        <v>0.3764568081387864</v>
      </c>
      <c r="AH54" s="22">
        <f>SUM(Emissions!AJ172:AJ187)</f>
        <v>0.37582739107542651</v>
      </c>
      <c r="AI54" s="22">
        <f>SUM(Emissions!AK172:AK187)</f>
        <v>0.37553459659710142</v>
      </c>
      <c r="AJ54" s="22">
        <f>SUM(Emissions!AL172:AL187)</f>
        <v>0.34365338556613706</v>
      </c>
      <c r="AK54" s="22">
        <f>SUM(Emissions!AM172:AM187)</f>
        <v>0.35106763154994214</v>
      </c>
      <c r="AL54" s="22">
        <f>SUM(Emissions!AN172:AN187)</f>
        <v>0.36263549212830387</v>
      </c>
      <c r="AM54" s="22">
        <f>SUM(Emissions!AO172:AO187)</f>
        <v>0.36745861560013948</v>
      </c>
      <c r="AN54" s="22">
        <f>SUM(Emissions!AP172:AP187)</f>
        <v>0.37315176109539516</v>
      </c>
      <c r="AO54" s="22">
        <f>SUM(Emissions!AQ172:AQ187)</f>
        <v>0.37996949440159189</v>
      </c>
      <c r="AP54" s="22">
        <f>SUM(Emissions!AR172:AR187)</f>
        <v>0.38745211654762957</v>
      </c>
      <c r="AQ54" s="22">
        <f>SUM(Emissions!AS172:AS187)</f>
        <v>0.39580734668472661</v>
      </c>
      <c r="AR54" s="22">
        <f>SUM(Emissions!AT172:AT187)</f>
        <v>0.40435296190761183</v>
      </c>
      <c r="AS54" s="22">
        <f>SUM(Emissions!AU172:AU187)</f>
        <v>0.41370104781895556</v>
      </c>
      <c r="AT54" s="22">
        <f>SUM(Emissions!AV172:AV187)</f>
        <v>0.42318178465139383</v>
      </c>
      <c r="AU54" s="22">
        <f>SUM(Emissions!AW172:AW187)</f>
        <v>0.43359045555710996</v>
      </c>
      <c r="AV54" s="22">
        <f>SUM(Emissions!AX172:AX187)</f>
        <v>0.44368918406825641</v>
      </c>
      <c r="AW54" s="22">
        <f>SUM(Emissions!AY172:AY187)</f>
        <v>0.45434206357157236</v>
      </c>
      <c r="AX54" s="22">
        <f>SUM(Emissions!AZ172:AZ187)</f>
        <v>0.46656722974131171</v>
      </c>
      <c r="AY54" s="22">
        <f>SUM(Emissions!BA172:BA187)</f>
        <v>0.47792962244743226</v>
      </c>
      <c r="AZ54" s="22">
        <f>SUM(Emissions!BB172:BB187)</f>
        <v>0.4899546733662542</v>
      </c>
      <c r="BA54" s="22">
        <f>SUM(Emissions!BC172:BC187)</f>
        <v>0.50283358339876716</v>
      </c>
      <c r="BB54" s="22">
        <f>SUM(Emissions!BD172:BD187)</f>
        <v>0.51462777458615561</v>
      </c>
      <c r="BC54" s="22">
        <f>SUM(Emissions!BE172:BE187)</f>
        <v>0.52622501798645038</v>
      </c>
      <c r="BD54" s="22">
        <f>SUM(Emissions!BF172:BF187)</f>
        <v>0.53766915965475071</v>
      </c>
      <c r="BE54" s="22">
        <f>SUM(Emissions!BG172:BG187)</f>
        <v>0.55043177962783096</v>
      </c>
      <c r="BF54" s="22">
        <f>SUM(Emissions!BH172:BH187)</f>
        <v>0.56250015718766733</v>
      </c>
      <c r="BG54" s="22">
        <f>SUM(Emissions!BI172:BI187)</f>
        <v>0.5750122178154321</v>
      </c>
      <c r="BH54" s="22">
        <f>SUM(Emissions!BJ172:BJ187)</f>
        <v>0.58803188649608384</v>
      </c>
      <c r="BI54" s="22">
        <f>SUM(Emissions!BK172:BK187)</f>
        <v>0.60166228155762913</v>
      </c>
      <c r="BJ54" s="22">
        <f>SUM(Emissions!BL172:BL187)</f>
        <v>0.61586570426917586</v>
      </c>
      <c r="BK54" s="22">
        <f>SUM(Emissions!BM172:BM187)</f>
        <v>0.61781936628255085</v>
      </c>
      <c r="BL54" s="22">
        <f>SUM(Emissions!BN172:BN187)</f>
        <v>0.61866390656433001</v>
      </c>
      <c r="BM54" s="22">
        <f>SUM(Emissions!BO172:BO187)</f>
        <v>0.61791566458534386</v>
      </c>
      <c r="BN54" s="22">
        <f>SUM(Emissions!BP172:BP187)</f>
        <v>0.61672910456546726</v>
      </c>
    </row>
    <row r="57" spans="1:72" s="19" customFormat="1" ht="15.6" x14ac:dyDescent="0.3">
      <c r="A57" s="17" t="s">
        <v>4</v>
      </c>
      <c r="B57" s="17" t="s">
        <v>313</v>
      </c>
      <c r="C57" s="17"/>
      <c r="D57" s="17"/>
      <c r="E57" s="17"/>
      <c r="F57" s="17">
        <v>1990</v>
      </c>
      <c r="G57" s="17">
        <v>1991</v>
      </c>
      <c r="H57" s="17">
        <v>1992</v>
      </c>
      <c r="I57" s="17">
        <v>1993</v>
      </c>
      <c r="J57" s="17">
        <v>1994</v>
      </c>
      <c r="K57" s="17">
        <v>1995</v>
      </c>
      <c r="L57" s="17">
        <v>1996</v>
      </c>
      <c r="M57" s="17">
        <v>1997</v>
      </c>
      <c r="N57" s="17">
        <v>1998</v>
      </c>
      <c r="O57" s="17">
        <v>1999</v>
      </c>
      <c r="P57" s="17">
        <v>2000</v>
      </c>
      <c r="Q57" s="17">
        <v>2001</v>
      </c>
      <c r="R57" s="17">
        <v>2002</v>
      </c>
      <c r="S57" s="17">
        <v>2003</v>
      </c>
      <c r="T57" s="17">
        <v>2004</v>
      </c>
      <c r="U57" s="17">
        <v>2005</v>
      </c>
      <c r="V57" s="17">
        <v>2006</v>
      </c>
      <c r="W57" s="17">
        <v>2007</v>
      </c>
      <c r="X57" s="17">
        <v>2008</v>
      </c>
      <c r="Y57" s="17">
        <v>2009</v>
      </c>
      <c r="Z57" s="17">
        <v>2010</v>
      </c>
      <c r="AA57" s="17">
        <v>2011</v>
      </c>
      <c r="AB57" s="17">
        <v>2012</v>
      </c>
      <c r="AC57" s="17">
        <v>2013</v>
      </c>
      <c r="AD57" s="17">
        <v>2014</v>
      </c>
      <c r="AE57" s="17">
        <v>2015</v>
      </c>
      <c r="AF57" s="17">
        <v>2016</v>
      </c>
      <c r="AG57" s="17">
        <v>2017</v>
      </c>
      <c r="AH57" s="17">
        <v>2018</v>
      </c>
      <c r="AI57" s="17">
        <v>2019</v>
      </c>
      <c r="AJ57" s="17">
        <v>2020</v>
      </c>
      <c r="AK57" s="17">
        <v>2021</v>
      </c>
      <c r="AL57" s="17">
        <v>2022</v>
      </c>
      <c r="AM57" s="17">
        <v>2023</v>
      </c>
      <c r="AN57" s="17">
        <v>2024</v>
      </c>
      <c r="AO57" s="17">
        <v>2025</v>
      </c>
      <c r="AP57" s="17">
        <v>2026</v>
      </c>
      <c r="AQ57" s="17">
        <v>2027</v>
      </c>
      <c r="AR57" s="17">
        <v>2028</v>
      </c>
      <c r="AS57" s="17">
        <v>2029</v>
      </c>
      <c r="AT57" s="17">
        <v>2030</v>
      </c>
      <c r="AU57" s="17">
        <v>2031</v>
      </c>
      <c r="AV57" s="17">
        <v>2032</v>
      </c>
      <c r="AW57" s="17">
        <v>2033</v>
      </c>
      <c r="AX57" s="17">
        <v>2034</v>
      </c>
      <c r="AY57" s="17">
        <v>2035</v>
      </c>
      <c r="AZ57" s="17">
        <v>2036</v>
      </c>
      <c r="BA57" s="17">
        <v>2037</v>
      </c>
      <c r="BB57" s="17">
        <v>2038</v>
      </c>
      <c r="BC57" s="17">
        <v>2039</v>
      </c>
      <c r="BD57" s="17">
        <v>2040</v>
      </c>
      <c r="BE57" s="17">
        <v>2041</v>
      </c>
      <c r="BF57" s="17">
        <v>2042</v>
      </c>
      <c r="BG57" s="17">
        <v>2043</v>
      </c>
      <c r="BH57" s="17">
        <v>2044</v>
      </c>
      <c r="BI57" s="17">
        <v>2045</v>
      </c>
      <c r="BJ57" s="17">
        <v>2046</v>
      </c>
      <c r="BK57" s="17">
        <v>2047</v>
      </c>
      <c r="BL57" s="17">
        <v>2048</v>
      </c>
      <c r="BM57" s="17">
        <v>2049</v>
      </c>
      <c r="BN57" s="17">
        <v>2050</v>
      </c>
      <c r="BO57" s="17"/>
      <c r="BP57" s="17"/>
      <c r="BQ57" s="17"/>
      <c r="BR57" s="17"/>
      <c r="BS57" s="17"/>
      <c r="BT57" s="17"/>
    </row>
    <row r="58" spans="1:72" x14ac:dyDescent="0.3">
      <c r="A58" t="str">
        <f>A4</f>
        <v>3A Livestock</v>
      </c>
      <c r="B58" t="str">
        <f t="shared" ref="B58:D58" si="41">B4</f>
        <v>3A1 Enteric fermentation (CH4)</v>
      </c>
      <c r="C58" t="s">
        <v>631</v>
      </c>
      <c r="D58" t="str">
        <f t="shared" si="41"/>
        <v>CH4</v>
      </c>
      <c r="E58" t="s">
        <v>630</v>
      </c>
      <c r="F58" s="22">
        <f t="shared" ref="F58:AK58" si="42">F4*CH4GWP</f>
        <v>26460.925072337381</v>
      </c>
      <c r="G58" s="22">
        <f t="shared" si="42"/>
        <v>26418.475312229119</v>
      </c>
      <c r="H58" s="22">
        <f t="shared" si="42"/>
        <v>26027.263437986745</v>
      </c>
      <c r="I58" s="22">
        <f t="shared" si="42"/>
        <v>25089.273612986341</v>
      </c>
      <c r="J58" s="22">
        <f t="shared" si="42"/>
        <v>24412.498016417903</v>
      </c>
      <c r="K58" s="22">
        <f t="shared" si="42"/>
        <v>24601.863709321911</v>
      </c>
      <c r="L58" s="22">
        <f t="shared" si="42"/>
        <v>25244.020710274675</v>
      </c>
      <c r="M58" s="22">
        <f t="shared" si="42"/>
        <v>25722.067671704968</v>
      </c>
      <c r="N58" s="22">
        <f t="shared" si="42"/>
        <v>26130.788516688182</v>
      </c>
      <c r="O58" s="22">
        <f t="shared" si="42"/>
        <v>26079.086242660247</v>
      </c>
      <c r="P58" s="22">
        <f t="shared" si="42"/>
        <v>25777.048269375533</v>
      </c>
      <c r="Q58" s="22">
        <f t="shared" si="42"/>
        <v>25591.757983541553</v>
      </c>
      <c r="R58" s="22">
        <f t="shared" si="42"/>
        <v>25147.122199522513</v>
      </c>
      <c r="S58" s="22">
        <f t="shared" si="42"/>
        <v>25249.466602835961</v>
      </c>
      <c r="T58" s="22">
        <f t="shared" si="42"/>
        <v>25051.703011381145</v>
      </c>
      <c r="U58" s="22">
        <f t="shared" si="42"/>
        <v>25106.486522987332</v>
      </c>
      <c r="V58" s="22">
        <f t="shared" si="42"/>
        <v>25009.71607093593</v>
      </c>
      <c r="W58" s="22">
        <f t="shared" si="42"/>
        <v>25554.935614001963</v>
      </c>
      <c r="X58" s="22">
        <f t="shared" si="42"/>
        <v>25721.077232963253</v>
      </c>
      <c r="Y58" s="22">
        <f t="shared" si="42"/>
        <v>25553.033374236744</v>
      </c>
      <c r="Z58" s="22">
        <f t="shared" si="42"/>
        <v>25338.814721466922</v>
      </c>
      <c r="AA58" s="22">
        <f t="shared" si="42"/>
        <v>25260.558978491663</v>
      </c>
      <c r="AB58" s="22">
        <f t="shared" si="42"/>
        <v>24596.567437021022</v>
      </c>
      <c r="AC58" s="22">
        <f t="shared" si="42"/>
        <v>24497.747310072344</v>
      </c>
      <c r="AD58" s="22">
        <f t="shared" si="42"/>
        <v>24503.520525013522</v>
      </c>
      <c r="AE58" s="22">
        <f t="shared" si="42"/>
        <v>24330.600675717971</v>
      </c>
      <c r="AF58" s="22">
        <f t="shared" si="42"/>
        <v>24050.505209418396</v>
      </c>
      <c r="AG58" s="22">
        <f t="shared" si="42"/>
        <v>23669.383405227258</v>
      </c>
      <c r="AH58" s="22">
        <f t="shared" si="42"/>
        <v>23387.298701141393</v>
      </c>
      <c r="AI58" s="22">
        <f t="shared" si="42"/>
        <v>23126.61405950896</v>
      </c>
      <c r="AJ58" s="22">
        <f t="shared" si="42"/>
        <v>21180.886005640339</v>
      </c>
      <c r="AK58" s="22">
        <f t="shared" si="42"/>
        <v>21465.470230109688</v>
      </c>
      <c r="AL58" s="22">
        <f t="shared" ref="AL58:BN58" si="43">AL4*CH4GWP</f>
        <v>21963.340275219445</v>
      </c>
      <c r="AM58" s="22">
        <f t="shared" si="43"/>
        <v>22101.502305984657</v>
      </c>
      <c r="AN58" s="22">
        <f t="shared" si="43"/>
        <v>22282.065946005139</v>
      </c>
      <c r="AO58" s="22">
        <f t="shared" si="43"/>
        <v>22516.89303585394</v>
      </c>
      <c r="AP58" s="22">
        <f t="shared" si="43"/>
        <v>22774.277383618282</v>
      </c>
      <c r="AQ58" s="22">
        <f t="shared" si="43"/>
        <v>23070.701441634967</v>
      </c>
      <c r="AR58" s="22">
        <f t="shared" si="43"/>
        <v>23371.020697326905</v>
      </c>
      <c r="AS58" s="22">
        <f t="shared" si="43"/>
        <v>23705.292980371927</v>
      </c>
      <c r="AT58" s="22">
        <f t="shared" si="43"/>
        <v>24039.678103676189</v>
      </c>
      <c r="AU58" s="22">
        <f t="shared" si="43"/>
        <v>24299.015516776995</v>
      </c>
      <c r="AV58" s="22">
        <f t="shared" si="43"/>
        <v>24530.176310581221</v>
      </c>
      <c r="AW58" s="22">
        <f t="shared" si="43"/>
        <v>24774.410449426709</v>
      </c>
      <c r="AX58" s="22">
        <f t="shared" si="43"/>
        <v>25077.657228723914</v>
      </c>
      <c r="AY58" s="22">
        <f t="shared" si="43"/>
        <v>25325.819620380986</v>
      </c>
      <c r="AZ58" s="22">
        <f t="shared" si="43"/>
        <v>25584.068170066945</v>
      </c>
      <c r="BA58" s="22">
        <f t="shared" si="43"/>
        <v>25864.581424079868</v>
      </c>
      <c r="BB58" s="22">
        <f t="shared" si="43"/>
        <v>26081.437708291338</v>
      </c>
      <c r="BC58" s="22">
        <f t="shared" si="43"/>
        <v>26274.899587006017</v>
      </c>
      <c r="BD58" s="22">
        <f t="shared" si="43"/>
        <v>26447.277476384836</v>
      </c>
      <c r="BE58" s="22">
        <f t="shared" si="43"/>
        <v>26727.278121350835</v>
      </c>
      <c r="BF58" s="22">
        <f t="shared" si="43"/>
        <v>26966.547201462941</v>
      </c>
      <c r="BG58" s="22">
        <f t="shared" si="43"/>
        <v>27212.292330691416</v>
      </c>
      <c r="BH58" s="22">
        <f t="shared" si="43"/>
        <v>27466.41757251642</v>
      </c>
      <c r="BI58" s="22">
        <f t="shared" si="43"/>
        <v>27732.242181273872</v>
      </c>
      <c r="BJ58" s="22">
        <f t="shared" si="43"/>
        <v>28002.74324911549</v>
      </c>
      <c r="BK58" s="22">
        <f t="shared" si="43"/>
        <v>27790.026742078895</v>
      </c>
      <c r="BL58" s="22">
        <f t="shared" si="43"/>
        <v>27534.735287045489</v>
      </c>
      <c r="BM58" s="22">
        <f t="shared" si="43"/>
        <v>27220.548645508217</v>
      </c>
      <c r="BN58" s="22">
        <f t="shared" si="43"/>
        <v>26892.399484219895</v>
      </c>
    </row>
    <row r="59" spans="1:72" x14ac:dyDescent="0.3">
      <c r="A59" t="str">
        <f>A11</f>
        <v>3A Livestock</v>
      </c>
      <c r="B59" t="str">
        <f t="shared" ref="B59:D59" si="44">B11</f>
        <v>3A2 Manure management (CH4)</v>
      </c>
      <c r="C59" t="s">
        <v>632</v>
      </c>
      <c r="D59" t="str">
        <f t="shared" si="44"/>
        <v>CH4</v>
      </c>
      <c r="E59" t="s">
        <v>630</v>
      </c>
      <c r="F59" s="22">
        <f t="shared" ref="F59:AK59" si="45">F11*CH4GWP</f>
        <v>665.7572008832442</v>
      </c>
      <c r="G59" s="22">
        <f t="shared" si="45"/>
        <v>731.77517896865697</v>
      </c>
      <c r="H59" s="22">
        <f t="shared" si="45"/>
        <v>700.26473285821476</v>
      </c>
      <c r="I59" s="22">
        <f t="shared" si="45"/>
        <v>712.13818460917685</v>
      </c>
      <c r="J59" s="22">
        <f t="shared" si="45"/>
        <v>673.549198853235</v>
      </c>
      <c r="K59" s="22">
        <f t="shared" si="45"/>
        <v>693.43832527791926</v>
      </c>
      <c r="L59" s="22">
        <f t="shared" si="45"/>
        <v>734.73733503998528</v>
      </c>
      <c r="M59" s="22">
        <f t="shared" si="45"/>
        <v>726.5082160772597</v>
      </c>
      <c r="N59" s="22">
        <f t="shared" si="45"/>
        <v>738.7543700862376</v>
      </c>
      <c r="O59" s="22">
        <f t="shared" si="45"/>
        <v>751.24351393633765</v>
      </c>
      <c r="P59" s="22">
        <f t="shared" si="45"/>
        <v>762.23830549258651</v>
      </c>
      <c r="Q59" s="22">
        <f t="shared" si="45"/>
        <v>769.66043942752947</v>
      </c>
      <c r="R59" s="22">
        <f t="shared" si="45"/>
        <v>755.24670561009475</v>
      </c>
      <c r="S59" s="22">
        <f t="shared" si="45"/>
        <v>721.45490015224073</v>
      </c>
      <c r="T59" s="22">
        <f t="shared" si="45"/>
        <v>716.39216959899204</v>
      </c>
      <c r="U59" s="22">
        <f t="shared" si="45"/>
        <v>729.01852866445677</v>
      </c>
      <c r="V59" s="22">
        <f t="shared" si="45"/>
        <v>720.39066924724523</v>
      </c>
      <c r="W59" s="22">
        <f t="shared" si="45"/>
        <v>731.06474952281167</v>
      </c>
      <c r="X59" s="22">
        <f t="shared" si="45"/>
        <v>761.20306942751586</v>
      </c>
      <c r="Y59" s="22">
        <f t="shared" si="45"/>
        <v>763.02344219117026</v>
      </c>
      <c r="Z59" s="22">
        <f t="shared" si="45"/>
        <v>758.88138838781094</v>
      </c>
      <c r="AA59" s="22">
        <f t="shared" si="45"/>
        <v>751.05641756570367</v>
      </c>
      <c r="AB59" s="22">
        <f t="shared" si="45"/>
        <v>773.63084917870208</v>
      </c>
      <c r="AC59" s="22">
        <f t="shared" si="45"/>
        <v>773.31500928313335</v>
      </c>
      <c r="AD59" s="22">
        <f t="shared" si="45"/>
        <v>776.88026181002783</v>
      </c>
      <c r="AE59" s="22">
        <f t="shared" si="45"/>
        <v>774.22773270072685</v>
      </c>
      <c r="AF59" s="22">
        <f t="shared" si="45"/>
        <v>767.77846974201941</v>
      </c>
      <c r="AG59" s="22">
        <f t="shared" si="45"/>
        <v>757.64147058917888</v>
      </c>
      <c r="AH59" s="22">
        <f t="shared" si="45"/>
        <v>751.15754383054059</v>
      </c>
      <c r="AI59" s="22">
        <f t="shared" si="45"/>
        <v>745.51317364056126</v>
      </c>
      <c r="AJ59" s="22">
        <f t="shared" si="45"/>
        <v>676.48277358218854</v>
      </c>
      <c r="AK59" s="22">
        <f t="shared" si="45"/>
        <v>686.15974406976295</v>
      </c>
      <c r="AL59" s="22">
        <f t="shared" ref="AL59:BN59" si="46">AL11*CH4GWP</f>
        <v>703.92572415028519</v>
      </c>
      <c r="AM59" s="22">
        <f t="shared" si="46"/>
        <v>708.20264438984645</v>
      </c>
      <c r="AN59" s="22">
        <f t="shared" si="46"/>
        <v>714.13029378494389</v>
      </c>
      <c r="AO59" s="22">
        <f t="shared" si="46"/>
        <v>722.15719627135536</v>
      </c>
      <c r="AP59" s="22">
        <f t="shared" si="46"/>
        <v>731.40600819785641</v>
      </c>
      <c r="AQ59" s="22">
        <f t="shared" si="46"/>
        <v>742.18302304737472</v>
      </c>
      <c r="AR59" s="22">
        <f t="shared" si="46"/>
        <v>753.16389811776446</v>
      </c>
      <c r="AS59" s="22">
        <f t="shared" si="46"/>
        <v>765.48634075845848</v>
      </c>
      <c r="AT59" s="22">
        <f t="shared" si="46"/>
        <v>777.87356950841922</v>
      </c>
      <c r="AU59" s="22">
        <f t="shared" si="46"/>
        <v>792.5193900634664</v>
      </c>
      <c r="AV59" s="22">
        <f t="shared" si="46"/>
        <v>806.40764892451318</v>
      </c>
      <c r="AW59" s="22">
        <f t="shared" si="46"/>
        <v>821.12318043992002</v>
      </c>
      <c r="AX59" s="22">
        <f t="shared" si="46"/>
        <v>838.48826263474302</v>
      </c>
      <c r="AY59" s="22">
        <f t="shared" si="46"/>
        <v>854.07357850430526</v>
      </c>
      <c r="AZ59" s="22">
        <f t="shared" si="46"/>
        <v>870.66458320376478</v>
      </c>
      <c r="BA59" s="22">
        <f t="shared" si="46"/>
        <v>888.54554334826014</v>
      </c>
      <c r="BB59" s="22">
        <f t="shared" si="46"/>
        <v>904.27210309480427</v>
      </c>
      <c r="BC59" s="22">
        <f t="shared" si="46"/>
        <v>919.43666594135084</v>
      </c>
      <c r="BD59" s="22">
        <f t="shared" si="46"/>
        <v>934.12296287495724</v>
      </c>
      <c r="BE59" s="22">
        <f t="shared" si="46"/>
        <v>950.50024078110039</v>
      </c>
      <c r="BF59" s="22">
        <f t="shared" si="46"/>
        <v>965.43729589037184</v>
      </c>
      <c r="BG59" s="22">
        <f t="shared" si="46"/>
        <v>980.89937340691097</v>
      </c>
      <c r="BH59" s="22">
        <f t="shared" si="46"/>
        <v>996.98034011786501</v>
      </c>
      <c r="BI59" s="22">
        <f t="shared" si="46"/>
        <v>1013.8371546773797</v>
      </c>
      <c r="BJ59" s="22">
        <f t="shared" si="46"/>
        <v>1031.40678618839</v>
      </c>
      <c r="BK59" s="22">
        <f t="shared" si="46"/>
        <v>1028.3873883256001</v>
      </c>
      <c r="BL59" s="22">
        <f t="shared" si="46"/>
        <v>1023.5434894935358</v>
      </c>
      <c r="BM59" s="22">
        <f t="shared" si="46"/>
        <v>1016.1201948584441</v>
      </c>
      <c r="BN59" s="22">
        <f t="shared" si="46"/>
        <v>1008.0448026966982</v>
      </c>
    </row>
    <row r="60" spans="1:72" x14ac:dyDescent="0.3">
      <c r="A60" t="str">
        <f>A19</f>
        <v>3A Livestock</v>
      </c>
      <c r="B60" t="str">
        <f t="shared" ref="B60:D60" si="47">B19</f>
        <v>3A2 Manure management (N2O)</v>
      </c>
      <c r="C60" t="s">
        <v>633</v>
      </c>
      <c r="D60" t="str">
        <f t="shared" si="47"/>
        <v>N2O</v>
      </c>
      <c r="E60" t="s">
        <v>630</v>
      </c>
      <c r="F60" s="22">
        <f t="shared" ref="F60:AK60" si="48">F19*N2OGWP</f>
        <v>1203.2136219693348</v>
      </c>
      <c r="G60" s="22">
        <f t="shared" si="48"/>
        <v>1198.5061063384233</v>
      </c>
      <c r="H60" s="22">
        <f t="shared" si="48"/>
        <v>1173.7369968071926</v>
      </c>
      <c r="I60" s="22">
        <f t="shared" si="48"/>
        <v>1182.0093804828057</v>
      </c>
      <c r="J60" s="22">
        <f t="shared" si="48"/>
        <v>1146.8886267544892</v>
      </c>
      <c r="K60" s="22">
        <f t="shared" si="48"/>
        <v>1188.3958696738064</v>
      </c>
      <c r="L60" s="22">
        <f t="shared" si="48"/>
        <v>1252.6970048832511</v>
      </c>
      <c r="M60" s="22">
        <f t="shared" si="48"/>
        <v>1269.6218122686487</v>
      </c>
      <c r="N60" s="22">
        <f t="shared" si="48"/>
        <v>1322.3148658073626</v>
      </c>
      <c r="O60" s="22">
        <f t="shared" si="48"/>
        <v>1346.6035779723059</v>
      </c>
      <c r="P60" s="22">
        <f t="shared" si="48"/>
        <v>1372.4487383044614</v>
      </c>
      <c r="Q60" s="22">
        <f t="shared" si="48"/>
        <v>1356.5221314435626</v>
      </c>
      <c r="R60" s="22">
        <f t="shared" si="48"/>
        <v>1396.8463052232266</v>
      </c>
      <c r="S60" s="22">
        <f t="shared" si="48"/>
        <v>1373.0665004626433</v>
      </c>
      <c r="T60" s="22">
        <f t="shared" si="48"/>
        <v>1378.5802594390798</v>
      </c>
      <c r="U60" s="22">
        <f t="shared" si="48"/>
        <v>1425.1971500061302</v>
      </c>
      <c r="V60" s="22">
        <f t="shared" si="48"/>
        <v>1466.623959325211</v>
      </c>
      <c r="W60" s="22">
        <f t="shared" si="48"/>
        <v>1512.7966811111032</v>
      </c>
      <c r="X60" s="22">
        <f t="shared" si="48"/>
        <v>1539.5804780764847</v>
      </c>
      <c r="Y60" s="22">
        <f t="shared" si="48"/>
        <v>1507.0434874225361</v>
      </c>
      <c r="Z60" s="22">
        <f t="shared" si="48"/>
        <v>1516.5605848321243</v>
      </c>
      <c r="AA60" s="22">
        <f t="shared" si="48"/>
        <v>1570.0225026545761</v>
      </c>
      <c r="AB60" s="22">
        <f t="shared" si="48"/>
        <v>1611.8202237640571</v>
      </c>
      <c r="AC60" s="22">
        <f t="shared" si="48"/>
        <v>1628.3498454049941</v>
      </c>
      <c r="AD60" s="22">
        <f t="shared" si="48"/>
        <v>1654.3267410473245</v>
      </c>
      <c r="AE60" s="22">
        <f t="shared" si="48"/>
        <v>1663.6384309182044</v>
      </c>
      <c r="AF60" s="22">
        <f t="shared" si="48"/>
        <v>1662.3021398559861</v>
      </c>
      <c r="AG60" s="22">
        <f t="shared" si="48"/>
        <v>1650.3976769413116</v>
      </c>
      <c r="AH60" s="22">
        <f t="shared" si="48"/>
        <v>1647.5009704288245</v>
      </c>
      <c r="AI60" s="22">
        <f t="shared" si="48"/>
        <v>1646.2684747308629</v>
      </c>
      <c r="AJ60" s="22">
        <f t="shared" si="48"/>
        <v>1471.4770183949049</v>
      </c>
      <c r="AK60" s="22">
        <f t="shared" si="48"/>
        <v>1513.2841308978795</v>
      </c>
      <c r="AL60" s="22">
        <f t="shared" ref="AL60:BN60" si="49">AL19*N2OGWP</f>
        <v>1577.8900903407075</v>
      </c>
      <c r="AM60" s="22">
        <f t="shared" si="49"/>
        <v>1605.3603615953032</v>
      </c>
      <c r="AN60" s="22">
        <f t="shared" si="49"/>
        <v>1637.5593402362949</v>
      </c>
      <c r="AO60" s="22">
        <f t="shared" si="49"/>
        <v>1675.9115891710114</v>
      </c>
      <c r="AP60" s="22">
        <f t="shared" si="49"/>
        <v>1718.3854571727688</v>
      </c>
      <c r="AQ60" s="22">
        <f t="shared" si="49"/>
        <v>1765.6654721531484</v>
      </c>
      <c r="AR60" s="22">
        <f t="shared" si="49"/>
        <v>1813.9939108167773</v>
      </c>
      <c r="AS60" s="22">
        <f t="shared" si="49"/>
        <v>1866.7672518806901</v>
      </c>
      <c r="AT60" s="22">
        <f t="shared" si="49"/>
        <v>1920.2871066719242</v>
      </c>
      <c r="AU60" s="22">
        <f t="shared" si="49"/>
        <v>1979.5046489587751</v>
      </c>
      <c r="AV60" s="22">
        <f t="shared" si="49"/>
        <v>2037.0485373499673</v>
      </c>
      <c r="AW60" s="22">
        <f t="shared" si="49"/>
        <v>2097.7211770354443</v>
      </c>
      <c r="AX60" s="22">
        <f t="shared" si="49"/>
        <v>2167.2011450156374</v>
      </c>
      <c r="AY60" s="22">
        <f t="shared" si="49"/>
        <v>2231.9488175248312</v>
      </c>
      <c r="AZ60" s="22">
        <f t="shared" si="49"/>
        <v>2300.8296127915837</v>
      </c>
      <c r="BA60" s="22">
        <f t="shared" si="49"/>
        <v>2374.5565546097582</v>
      </c>
      <c r="BB60" s="22">
        <f t="shared" si="49"/>
        <v>2442.3125745849302</v>
      </c>
      <c r="BC60" s="22">
        <f t="shared" si="49"/>
        <v>2509.0473446004544</v>
      </c>
      <c r="BD60" s="22">
        <f t="shared" si="49"/>
        <v>2575.0047234836748</v>
      </c>
      <c r="BE60" s="22">
        <f t="shared" si="49"/>
        <v>2648.6514660669854</v>
      </c>
      <c r="BF60" s="22">
        <f t="shared" si="49"/>
        <v>2718.4895467449173</v>
      </c>
      <c r="BG60" s="22">
        <f t="shared" si="49"/>
        <v>2790.8977456077</v>
      </c>
      <c r="BH60" s="22">
        <f t="shared" si="49"/>
        <v>2866.2430112709721</v>
      </c>
      <c r="BI60" s="22">
        <f t="shared" si="49"/>
        <v>2945.1139066328119</v>
      </c>
      <c r="BJ60" s="22">
        <f t="shared" si="49"/>
        <v>3027.6576613752272</v>
      </c>
      <c r="BK60" s="22">
        <f t="shared" si="49"/>
        <v>3041.2907354767776</v>
      </c>
      <c r="BL60" s="22">
        <f t="shared" si="49"/>
        <v>3048.6538580647275</v>
      </c>
      <c r="BM60" s="22">
        <f t="shared" si="49"/>
        <v>3047.0017943743856</v>
      </c>
      <c r="BN60" s="22">
        <f t="shared" si="49"/>
        <v>3042.8336414396445</v>
      </c>
    </row>
    <row r="61" spans="1:72" x14ac:dyDescent="0.3">
      <c r="A61" t="str">
        <f>A27</f>
        <v>3C Aggregated and non-CO2 emissions on land</v>
      </c>
      <c r="B61" t="str">
        <f t="shared" ref="B61:D61" si="50">B27</f>
        <v>3C1 Biomass burning (CH4)</v>
      </c>
      <c r="C61" t="s">
        <v>634</v>
      </c>
      <c r="D61" t="str">
        <f t="shared" si="50"/>
        <v>CH4</v>
      </c>
      <c r="E61" t="s">
        <v>630</v>
      </c>
      <c r="F61" s="22">
        <f t="shared" ref="F61:AK61" si="51">F27*CH4GWP</f>
        <v>1113.9523335609101</v>
      </c>
      <c r="G61" s="22">
        <f t="shared" si="51"/>
        <v>1113.9523335609101</v>
      </c>
      <c r="H61" s="22">
        <f t="shared" si="51"/>
        <v>1113.9523335609101</v>
      </c>
      <c r="I61" s="22">
        <f t="shared" si="51"/>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1103.4776992955053</v>
      </c>
      <c r="Q61" s="22">
        <f t="shared" si="51"/>
        <v>1282.5517441798665</v>
      </c>
      <c r="R61" s="22">
        <f t="shared" si="51"/>
        <v>1288.9176046937982</v>
      </c>
      <c r="S61" s="22">
        <f t="shared" si="51"/>
        <v>1011.4345809085878</v>
      </c>
      <c r="T61" s="22">
        <f t="shared" si="51"/>
        <v>883.38003872679235</v>
      </c>
      <c r="U61" s="22">
        <f t="shared" si="51"/>
        <v>1412.334298727088</v>
      </c>
      <c r="V61" s="22">
        <f t="shared" si="51"/>
        <v>1236.8838978672777</v>
      </c>
      <c r="W61" s="22">
        <f t="shared" si="51"/>
        <v>1218.5771221263838</v>
      </c>
      <c r="X61" s="22">
        <f t="shared" si="51"/>
        <v>1139.8644942847</v>
      </c>
      <c r="Y61" s="22">
        <f t="shared" si="51"/>
        <v>1078.8713756473658</v>
      </c>
      <c r="Z61" s="22">
        <f t="shared" si="51"/>
        <v>1107.055106514</v>
      </c>
      <c r="AA61" s="22">
        <f t="shared" si="51"/>
        <v>1093.3943713178221</v>
      </c>
      <c r="AB61" s="22">
        <f t="shared" si="51"/>
        <v>916.39904428073066</v>
      </c>
      <c r="AC61" s="22">
        <f t="shared" si="51"/>
        <v>957.70927900519757</v>
      </c>
      <c r="AD61" s="22">
        <f t="shared" si="51"/>
        <v>944.27038684966465</v>
      </c>
      <c r="AE61" s="22">
        <f t="shared" si="51"/>
        <v>931.78327853413111</v>
      </c>
      <c r="AF61" s="22">
        <f t="shared" si="51"/>
        <v>941.79408509859809</v>
      </c>
      <c r="AG61" s="22">
        <f t="shared" si="51"/>
        <v>950.68729182306481</v>
      </c>
      <c r="AH61" s="22">
        <f t="shared" si="51"/>
        <v>953.20321518753167</v>
      </c>
      <c r="AI61" s="22">
        <f t="shared" si="51"/>
        <v>956.763261286947</v>
      </c>
      <c r="AJ61" s="22">
        <f t="shared" si="51"/>
        <v>960.32330738636199</v>
      </c>
      <c r="AK61" s="22">
        <f t="shared" si="51"/>
        <v>963.88335348577709</v>
      </c>
      <c r="AL61" s="22">
        <f t="shared" ref="AL61:BN61" si="52">AL27*CH4GWP</f>
        <v>967.44339958519208</v>
      </c>
      <c r="AM61" s="22">
        <f t="shared" si="52"/>
        <v>971.0034456846073</v>
      </c>
      <c r="AN61" s="22">
        <f t="shared" si="52"/>
        <v>974.56349178402229</v>
      </c>
      <c r="AO61" s="22">
        <f t="shared" si="52"/>
        <v>978.12353788343751</v>
      </c>
      <c r="AP61" s="22">
        <f t="shared" si="52"/>
        <v>981.68358398285261</v>
      </c>
      <c r="AQ61" s="22">
        <f t="shared" si="52"/>
        <v>985.2436300822676</v>
      </c>
      <c r="AR61" s="22">
        <f t="shared" si="52"/>
        <v>988.8036761816827</v>
      </c>
      <c r="AS61" s="22">
        <f t="shared" si="52"/>
        <v>992.36372228109781</v>
      </c>
      <c r="AT61" s="22">
        <f t="shared" si="52"/>
        <v>995.92376838051302</v>
      </c>
      <c r="AU61" s="22">
        <f t="shared" si="52"/>
        <v>999.27215253115673</v>
      </c>
      <c r="AV61" s="22">
        <f t="shared" si="52"/>
        <v>1002.6205366818004</v>
      </c>
      <c r="AW61" s="22">
        <f t="shared" si="52"/>
        <v>1005.9689208324443</v>
      </c>
      <c r="AX61" s="22">
        <f t="shared" si="52"/>
        <v>1009.317304983088</v>
      </c>
      <c r="AY61" s="22">
        <f t="shared" si="52"/>
        <v>1012.6656891337318</v>
      </c>
      <c r="AZ61" s="22">
        <f t="shared" si="52"/>
        <v>1016.0140732843756</v>
      </c>
      <c r="BA61" s="22">
        <f t="shared" si="52"/>
        <v>1019.3624574350195</v>
      </c>
      <c r="BB61" s="22">
        <f t="shared" si="52"/>
        <v>1022.710841585663</v>
      </c>
      <c r="BC61" s="22">
        <f t="shared" si="52"/>
        <v>1025.7736963097952</v>
      </c>
      <c r="BD61" s="22">
        <f t="shared" si="52"/>
        <v>1028.836551033927</v>
      </c>
      <c r="BE61" s="22">
        <f t="shared" si="52"/>
        <v>1031.8994057580592</v>
      </c>
      <c r="BF61" s="22">
        <f t="shared" si="52"/>
        <v>1034.9622604821907</v>
      </c>
      <c r="BG61" s="22">
        <f t="shared" si="52"/>
        <v>1038.0251152063229</v>
      </c>
      <c r="BH61" s="22">
        <f t="shared" si="52"/>
        <v>1041.0879699304548</v>
      </c>
      <c r="BI61" s="22">
        <f t="shared" si="52"/>
        <v>1044.1508246545868</v>
      </c>
      <c r="BJ61" s="22">
        <f t="shared" si="52"/>
        <v>1047.2136793787188</v>
      </c>
      <c r="BK61" s="22">
        <f t="shared" si="52"/>
        <v>1050.2765341028507</v>
      </c>
      <c r="BL61" s="22">
        <f t="shared" si="52"/>
        <v>1053.3393888269827</v>
      </c>
      <c r="BM61" s="22">
        <f t="shared" si="52"/>
        <v>1056.4022435511147</v>
      </c>
      <c r="BN61" s="22">
        <f t="shared" si="52"/>
        <v>1059.4650982752464</v>
      </c>
    </row>
    <row r="62" spans="1:72" x14ac:dyDescent="0.3">
      <c r="A62" t="str">
        <f>A34</f>
        <v>3C Aggregated and non-CO2 emissions on land</v>
      </c>
      <c r="B62" t="str">
        <f t="shared" ref="B62:D62" si="53">B34</f>
        <v>3C1 Biomass burning (N2O)</v>
      </c>
      <c r="C62" t="s">
        <v>635</v>
      </c>
      <c r="D62" t="str">
        <f t="shared" si="53"/>
        <v>N2O</v>
      </c>
      <c r="E62" t="s">
        <v>630</v>
      </c>
      <c r="F62" s="22">
        <f t="shared" ref="F62:AK62" si="54">F34*N2OGWP</f>
        <v>1149.3522600947301</v>
      </c>
      <c r="G62" s="22">
        <f t="shared" si="54"/>
        <v>1149.3522600947301</v>
      </c>
      <c r="H62" s="22">
        <f t="shared" si="54"/>
        <v>1149.3522600947301</v>
      </c>
      <c r="I62" s="22">
        <f t="shared" si="54"/>
        <v>1149.3522600947301</v>
      </c>
      <c r="J62" s="22">
        <f t="shared" si="54"/>
        <v>1149.3522600947301</v>
      </c>
      <c r="K62" s="22">
        <f t="shared" si="54"/>
        <v>1149.3522600947301</v>
      </c>
      <c r="L62" s="22">
        <f t="shared" si="54"/>
        <v>1149.3522600947301</v>
      </c>
      <c r="M62" s="22">
        <f t="shared" si="54"/>
        <v>1149.3522600947301</v>
      </c>
      <c r="N62" s="22">
        <f t="shared" si="54"/>
        <v>1149.3522600947301</v>
      </c>
      <c r="O62" s="22">
        <f t="shared" si="54"/>
        <v>1149.3522600947301</v>
      </c>
      <c r="P62" s="22">
        <f t="shared" si="54"/>
        <v>1138.2881924240246</v>
      </c>
      <c r="Q62" s="22">
        <f t="shared" si="54"/>
        <v>1347.8625366593228</v>
      </c>
      <c r="R62" s="22">
        <f t="shared" si="54"/>
        <v>1328.3690110437451</v>
      </c>
      <c r="S62" s="22">
        <f t="shared" si="54"/>
        <v>1017.5651134275211</v>
      </c>
      <c r="T62" s="22">
        <f t="shared" si="54"/>
        <v>914.67644691903695</v>
      </c>
      <c r="U62" s="22">
        <f t="shared" si="54"/>
        <v>1447.9112474339306</v>
      </c>
      <c r="V62" s="22">
        <f t="shared" si="54"/>
        <v>1263.4019893034997</v>
      </c>
      <c r="W62" s="22">
        <f t="shared" si="54"/>
        <v>1217.4357899565925</v>
      </c>
      <c r="X62" s="22">
        <f t="shared" si="54"/>
        <v>1180.1818937292605</v>
      </c>
      <c r="Y62" s="22">
        <f t="shared" si="54"/>
        <v>1108.1395844539597</v>
      </c>
      <c r="Z62" s="22">
        <f t="shared" si="54"/>
        <v>1121.7567904983002</v>
      </c>
      <c r="AA62" s="22">
        <f t="shared" si="54"/>
        <v>1111.0832034573957</v>
      </c>
      <c r="AB62" s="22">
        <f t="shared" si="54"/>
        <v>957.90428313424388</v>
      </c>
      <c r="AC62" s="22">
        <f t="shared" si="54"/>
        <v>993.12814482495412</v>
      </c>
      <c r="AD62" s="22">
        <f t="shared" si="54"/>
        <v>983.64299307566409</v>
      </c>
      <c r="AE62" s="22">
        <f t="shared" si="54"/>
        <v>974.93508324637412</v>
      </c>
      <c r="AF62" s="22">
        <f t="shared" si="54"/>
        <v>984.5993308570844</v>
      </c>
      <c r="AG62" s="22">
        <f t="shared" si="54"/>
        <v>993.3509285477943</v>
      </c>
      <c r="AH62" s="22">
        <f t="shared" si="54"/>
        <v>996.89473455850464</v>
      </c>
      <c r="AI62" s="22">
        <f t="shared" si="54"/>
        <v>1001.6941603201909</v>
      </c>
      <c r="AJ62" s="22">
        <f t="shared" si="54"/>
        <v>1006.4935860818769</v>
      </c>
      <c r="AK62" s="22">
        <f t="shared" si="54"/>
        <v>1011.2930118435631</v>
      </c>
      <c r="AL62" s="22">
        <f t="shared" ref="AL62:BN62" si="55">AL34*N2OGWP</f>
        <v>1016.092437605249</v>
      </c>
      <c r="AM62" s="22">
        <f t="shared" si="55"/>
        <v>1020.8918633669354</v>
      </c>
      <c r="AN62" s="22">
        <f t="shared" si="55"/>
        <v>1025.6912891286215</v>
      </c>
      <c r="AO62" s="22">
        <f t="shared" si="55"/>
        <v>1030.4907148903073</v>
      </c>
      <c r="AP62" s="22">
        <f t="shared" si="55"/>
        <v>1035.2901406519936</v>
      </c>
      <c r="AQ62" s="22">
        <f t="shared" si="55"/>
        <v>1040.0895664136797</v>
      </c>
      <c r="AR62" s="22">
        <f t="shared" si="55"/>
        <v>1044.888992175366</v>
      </c>
      <c r="AS62" s="22">
        <f t="shared" si="55"/>
        <v>1049.688417937052</v>
      </c>
      <c r="AT62" s="22">
        <f t="shared" si="55"/>
        <v>1054.4878436987378</v>
      </c>
      <c r="AU62" s="22">
        <f t="shared" si="55"/>
        <v>1059.1536620734259</v>
      </c>
      <c r="AV62" s="22">
        <f t="shared" si="55"/>
        <v>1063.8194804481134</v>
      </c>
      <c r="AW62" s="22">
        <f t="shared" si="55"/>
        <v>1068.4852988228013</v>
      </c>
      <c r="AX62" s="22">
        <f t="shared" si="55"/>
        <v>1073.1511171974894</v>
      </c>
      <c r="AY62" s="22">
        <f t="shared" si="55"/>
        <v>1077.816935572177</v>
      </c>
      <c r="AZ62" s="22">
        <f t="shared" si="55"/>
        <v>1082.4827539468647</v>
      </c>
      <c r="BA62" s="22">
        <f t="shared" si="55"/>
        <v>1087.1485723215524</v>
      </c>
      <c r="BB62" s="22">
        <f t="shared" si="55"/>
        <v>1091.8143906962403</v>
      </c>
      <c r="BC62" s="22">
        <f t="shared" si="55"/>
        <v>1096.2470411704533</v>
      </c>
      <c r="BD62" s="22">
        <f t="shared" si="55"/>
        <v>1100.6796916446663</v>
      </c>
      <c r="BE62" s="22">
        <f t="shared" si="55"/>
        <v>1105.1123421188793</v>
      </c>
      <c r="BF62" s="22">
        <f t="shared" si="55"/>
        <v>1109.5449925930925</v>
      </c>
      <c r="BG62" s="22">
        <f t="shared" si="55"/>
        <v>1113.9776430673055</v>
      </c>
      <c r="BH62" s="22">
        <f t="shared" si="55"/>
        <v>1118.4102935415185</v>
      </c>
      <c r="BI62" s="22">
        <f t="shared" si="55"/>
        <v>1122.8429440157317</v>
      </c>
      <c r="BJ62" s="22">
        <f t="shared" si="55"/>
        <v>1127.2755944899448</v>
      </c>
      <c r="BK62" s="22">
        <f t="shared" si="55"/>
        <v>1131.7082449641578</v>
      </c>
      <c r="BL62" s="22">
        <f t="shared" si="55"/>
        <v>1136.1408954383708</v>
      </c>
      <c r="BM62" s="22">
        <f t="shared" si="55"/>
        <v>1140.5735459125838</v>
      </c>
      <c r="BN62" s="22">
        <f t="shared" si="55"/>
        <v>1145.0061963867968</v>
      </c>
    </row>
    <row r="63" spans="1:72" x14ac:dyDescent="0.3">
      <c r="A63" t="str">
        <f>A41</f>
        <v>3C Aggregated and non-CO2 emissions on land</v>
      </c>
      <c r="B63" t="str">
        <f t="shared" ref="B63:F63" si="56">B41</f>
        <v>3C2 Liming (CO2)</v>
      </c>
      <c r="C63" t="s">
        <v>113</v>
      </c>
      <c r="D63" t="str">
        <f t="shared" si="56"/>
        <v>CO2</v>
      </c>
      <c r="E63" t="s">
        <v>630</v>
      </c>
      <c r="F63" s="22">
        <f t="shared" si="56"/>
        <v>357.5</v>
      </c>
      <c r="G63" s="22">
        <f t="shared" ref="G63:BN63" si="57">G41</f>
        <v>378.125</v>
      </c>
      <c r="H63" s="22">
        <f t="shared" si="57"/>
        <v>261.25</v>
      </c>
      <c r="I63" s="22">
        <f t="shared" si="57"/>
        <v>412.5</v>
      </c>
      <c r="J63" s="22">
        <f t="shared" si="57"/>
        <v>595.58170833333327</v>
      </c>
      <c r="K63" s="22">
        <f t="shared" si="57"/>
        <v>473.34145833333332</v>
      </c>
      <c r="L63" s="22">
        <f t="shared" si="57"/>
        <v>579.13625000000002</v>
      </c>
      <c r="M63" s="22">
        <f t="shared" si="57"/>
        <v>547.24312499999996</v>
      </c>
      <c r="N63" s="22">
        <f t="shared" si="57"/>
        <v>570.31379166666659</v>
      </c>
      <c r="O63" s="22">
        <f t="shared" si="57"/>
        <v>567.03808333333325</v>
      </c>
      <c r="P63" s="22">
        <f t="shared" si="57"/>
        <v>378.2405</v>
      </c>
      <c r="Q63" s="22">
        <f t="shared" si="57"/>
        <v>489.66362500000002</v>
      </c>
      <c r="R63" s="22">
        <f t="shared" si="57"/>
        <v>672.79437500000006</v>
      </c>
      <c r="S63" s="22">
        <f t="shared" si="57"/>
        <v>580.13175000000001</v>
      </c>
      <c r="T63" s="22">
        <f t="shared" si="57"/>
        <v>579.7403333333333</v>
      </c>
      <c r="U63" s="22">
        <f t="shared" si="57"/>
        <v>266.03683333333333</v>
      </c>
      <c r="V63" s="22">
        <f t="shared" si="57"/>
        <v>441.42908333333332</v>
      </c>
      <c r="W63" s="22">
        <f t="shared" si="57"/>
        <v>521.42108333333329</v>
      </c>
      <c r="X63" s="22">
        <f t="shared" si="57"/>
        <v>655.32637499999998</v>
      </c>
      <c r="Y63" s="22">
        <f t="shared" si="57"/>
        <v>695.56775237855516</v>
      </c>
      <c r="Z63" s="22">
        <f t="shared" si="57"/>
        <v>653.23730656422072</v>
      </c>
      <c r="AA63" s="22">
        <f t="shared" si="57"/>
        <v>722.61220387104663</v>
      </c>
      <c r="AB63" s="22">
        <f t="shared" si="57"/>
        <v>886.46691832724639</v>
      </c>
      <c r="AC63" s="22">
        <f t="shared" si="57"/>
        <v>888.12131157949125</v>
      </c>
      <c r="AD63" s="22">
        <f t="shared" si="57"/>
        <v>891.15452747930806</v>
      </c>
      <c r="AE63" s="22">
        <f t="shared" si="57"/>
        <v>894.77997458773643</v>
      </c>
      <c r="AF63" s="22">
        <f t="shared" si="57"/>
        <v>897.22911689738771</v>
      </c>
      <c r="AG63" s="22">
        <f t="shared" si="57"/>
        <v>898.91455113929567</v>
      </c>
      <c r="AH63" s="22">
        <f t="shared" si="57"/>
        <v>899.83749014303339</v>
      </c>
      <c r="AI63" s="22">
        <f t="shared" si="57"/>
        <v>901.33063602016739</v>
      </c>
      <c r="AJ63" s="22">
        <f t="shared" si="57"/>
        <v>902.89907464525436</v>
      </c>
      <c r="AK63" s="22">
        <f t="shared" si="57"/>
        <v>891.99675751980965</v>
      </c>
      <c r="AL63" s="22">
        <f t="shared" si="57"/>
        <v>896.31989501908868</v>
      </c>
      <c r="AM63" s="22">
        <f t="shared" si="57"/>
        <v>902.22024497284394</v>
      </c>
      <c r="AN63" s="22">
        <f t="shared" si="57"/>
        <v>905.3909035858818</v>
      </c>
      <c r="AO63" s="22">
        <f t="shared" si="57"/>
        <v>908.85869804414574</v>
      </c>
      <c r="AP63" s="22">
        <f t="shared" si="57"/>
        <v>912.71420258721548</v>
      </c>
      <c r="AQ63" s="22">
        <f t="shared" si="57"/>
        <v>916.76138513802675</v>
      </c>
      <c r="AR63" s="22">
        <f t="shared" si="57"/>
        <v>921.08070130350711</v>
      </c>
      <c r="AS63" s="22">
        <f t="shared" si="57"/>
        <v>925.40933815746541</v>
      </c>
      <c r="AT63" s="22">
        <f t="shared" si="57"/>
        <v>929.96831948890872</v>
      </c>
      <c r="AU63" s="22">
        <f t="shared" si="57"/>
        <v>934.50696522239457</v>
      </c>
      <c r="AV63" s="22">
        <f t="shared" si="57"/>
        <v>939.42761374681561</v>
      </c>
      <c r="AW63" s="22">
        <f t="shared" si="57"/>
        <v>944.16688868183769</v>
      </c>
      <c r="AX63" s="22">
        <f t="shared" si="57"/>
        <v>949.0261231000643</v>
      </c>
      <c r="AY63" s="22">
        <f t="shared" si="57"/>
        <v>954.33840569705478</v>
      </c>
      <c r="AZ63" s="22">
        <f t="shared" si="57"/>
        <v>959.278398620286</v>
      </c>
      <c r="BA63" s="22">
        <f t="shared" si="57"/>
        <v>964.3507815679485</v>
      </c>
      <c r="BB63" s="22">
        <f t="shared" si="57"/>
        <v>969.61220137656596</v>
      </c>
      <c r="BC63" s="22">
        <f t="shared" si="57"/>
        <v>974.44775869223997</v>
      </c>
      <c r="BD63" s="22">
        <f t="shared" si="57"/>
        <v>979.14890322764631</v>
      </c>
      <c r="BE63" s="22">
        <f t="shared" si="57"/>
        <v>983.73381176950784</v>
      </c>
      <c r="BF63" s="22">
        <f t="shared" si="57"/>
        <v>988.57156221875641</v>
      </c>
      <c r="BG63" s="22">
        <f t="shared" si="57"/>
        <v>993.12969939958668</v>
      </c>
      <c r="BH63" s="22">
        <f t="shared" si="57"/>
        <v>997.74604101719626</v>
      </c>
      <c r="BI63" s="22">
        <f t="shared" si="57"/>
        <v>1002.4341171721968</v>
      </c>
      <c r="BJ63" s="22">
        <f t="shared" si="57"/>
        <v>1007.2170829821735</v>
      </c>
      <c r="BK63" s="22">
        <f t="shared" si="57"/>
        <v>1012.0749838215364</v>
      </c>
      <c r="BL63" s="22">
        <f t="shared" si="57"/>
        <v>1013.5676439901464</v>
      </c>
      <c r="BM63" s="22">
        <f t="shared" si="57"/>
        <v>1014.7466063039381</v>
      </c>
      <c r="BN63" s="22">
        <f t="shared" si="57"/>
        <v>1015.4810997197675</v>
      </c>
    </row>
    <row r="64" spans="1:72" x14ac:dyDescent="0.3">
      <c r="A64" t="str">
        <f>A42</f>
        <v>3C Aggregated and non-CO2 emissions on land</v>
      </c>
      <c r="B64" t="str">
        <f>B42</f>
        <v>3C3 Urea application (CO2)</v>
      </c>
      <c r="C64" t="s">
        <v>636</v>
      </c>
      <c r="D64" t="str">
        <f>D42</f>
        <v>CO2</v>
      </c>
      <c r="E64" t="s">
        <v>630</v>
      </c>
      <c r="F64" s="22">
        <f>F42</f>
        <v>90.994567483487728</v>
      </c>
      <c r="G64" s="22">
        <f t="shared" ref="G64:BN64" si="58">G42</f>
        <v>111.62690198838213</v>
      </c>
      <c r="H64" s="22">
        <f t="shared" si="58"/>
        <v>132.25923649327655</v>
      </c>
      <c r="I64" s="22">
        <f t="shared" si="58"/>
        <v>152.89157099816552</v>
      </c>
      <c r="J64" s="22">
        <f t="shared" si="58"/>
        <v>173.52390550305992</v>
      </c>
      <c r="K64" s="22">
        <f t="shared" si="58"/>
        <v>194.15624000795432</v>
      </c>
      <c r="L64" s="22">
        <f t="shared" si="58"/>
        <v>214.78857451284878</v>
      </c>
      <c r="M64" s="22">
        <f t="shared" si="58"/>
        <v>235.42090901774316</v>
      </c>
      <c r="N64" s="22">
        <f t="shared" si="58"/>
        <v>256.05324352263762</v>
      </c>
      <c r="O64" s="22">
        <f t="shared" si="58"/>
        <v>276.68557802753202</v>
      </c>
      <c r="P64" s="22">
        <f t="shared" si="58"/>
        <v>297.31791253242642</v>
      </c>
      <c r="Q64" s="22">
        <f t="shared" si="58"/>
        <v>317.95024703732088</v>
      </c>
      <c r="R64" s="22">
        <f t="shared" si="58"/>
        <v>338.58258154220977</v>
      </c>
      <c r="S64" s="22">
        <f t="shared" si="58"/>
        <v>359.21491604710423</v>
      </c>
      <c r="T64" s="22">
        <f t="shared" si="58"/>
        <v>435.89846666666671</v>
      </c>
      <c r="U64" s="22">
        <f t="shared" si="58"/>
        <v>355.08659999999998</v>
      </c>
      <c r="V64" s="22">
        <f t="shared" si="58"/>
        <v>393.08573333333334</v>
      </c>
      <c r="W64" s="22">
        <f t="shared" si="58"/>
        <v>484.55366666666663</v>
      </c>
      <c r="X64" s="22">
        <f t="shared" si="58"/>
        <v>480.19253333333336</v>
      </c>
      <c r="Y64" s="22">
        <f t="shared" si="58"/>
        <v>380.54426666666666</v>
      </c>
      <c r="Z64" s="22">
        <f t="shared" si="58"/>
        <v>501.48046666666664</v>
      </c>
      <c r="AA64" s="22">
        <f t="shared" si="58"/>
        <v>571.19113333333337</v>
      </c>
      <c r="AB64" s="22">
        <f t="shared" si="58"/>
        <v>470.0955092083982</v>
      </c>
      <c r="AC64" s="22">
        <f t="shared" si="58"/>
        <v>470.05382539136968</v>
      </c>
      <c r="AD64" s="22">
        <f t="shared" si="58"/>
        <v>469.97740098840234</v>
      </c>
      <c r="AE64" s="22">
        <f t="shared" si="58"/>
        <v>469.88605482647296</v>
      </c>
      <c r="AF64" s="22">
        <f t="shared" si="58"/>
        <v>469.82434664447095</v>
      </c>
      <c r="AG64" s="22">
        <f t="shared" si="58"/>
        <v>469.78188072383335</v>
      </c>
      <c r="AH64" s="22">
        <f t="shared" si="58"/>
        <v>469.75862650630785</v>
      </c>
      <c r="AI64" s="22">
        <f t="shared" si="58"/>
        <v>469.72100545130479</v>
      </c>
      <c r="AJ64" s="22">
        <f t="shared" si="58"/>
        <v>469.68148733275598</v>
      </c>
      <c r="AK64" s="22">
        <f t="shared" si="58"/>
        <v>469.95618030048149</v>
      </c>
      <c r="AL64" s="22">
        <f t="shared" si="58"/>
        <v>469.84725524758687</v>
      </c>
      <c r="AM64" s="22">
        <f t="shared" si="58"/>
        <v>469.69859101219856</v>
      </c>
      <c r="AN64" s="22">
        <f t="shared" si="58"/>
        <v>469.61870362550462</v>
      </c>
      <c r="AO64" s="22">
        <f t="shared" si="58"/>
        <v>469.53132965350932</v>
      </c>
      <c r="AP64" s="22">
        <f t="shared" si="58"/>
        <v>469.43418700274725</v>
      </c>
      <c r="AQ64" s="22">
        <f t="shared" si="58"/>
        <v>469.33221486480466</v>
      </c>
      <c r="AR64" s="22">
        <f t="shared" si="58"/>
        <v>469.22338609360048</v>
      </c>
      <c r="AS64" s="22">
        <f t="shared" si="58"/>
        <v>469.1143224798808</v>
      </c>
      <c r="AT64" s="22">
        <f t="shared" si="58"/>
        <v>468.99945514504452</v>
      </c>
      <c r="AU64" s="22">
        <f t="shared" si="58"/>
        <v>468.88510018254988</v>
      </c>
      <c r="AV64" s="22">
        <f t="shared" si="58"/>
        <v>468.76112034131472</v>
      </c>
      <c r="AW64" s="22">
        <f t="shared" si="58"/>
        <v>468.64171035885056</v>
      </c>
      <c r="AX64" s="22">
        <f t="shared" si="58"/>
        <v>468.5192778972135</v>
      </c>
      <c r="AY64" s="22">
        <f t="shared" si="58"/>
        <v>468.38543050906895</v>
      </c>
      <c r="AZ64" s="22">
        <f t="shared" si="58"/>
        <v>468.26096326958111</v>
      </c>
      <c r="BA64" s="22">
        <f t="shared" si="58"/>
        <v>468.13316035307253</v>
      </c>
      <c r="BB64" s="22">
        <f t="shared" si="58"/>
        <v>468.00059449527834</v>
      </c>
      <c r="BC64" s="22">
        <f t="shared" si="58"/>
        <v>467.87875859797629</v>
      </c>
      <c r="BD64" s="22">
        <f t="shared" si="58"/>
        <v>467.76030934271449</v>
      </c>
      <c r="BE64" s="22">
        <f t="shared" si="58"/>
        <v>467.64478875019984</v>
      </c>
      <c r="BF64" s="22">
        <f t="shared" si="58"/>
        <v>467.52289759506942</v>
      </c>
      <c r="BG64" s="22">
        <f t="shared" si="58"/>
        <v>467.40805152931154</v>
      </c>
      <c r="BH64" s="22">
        <f t="shared" si="58"/>
        <v>467.29173895425197</v>
      </c>
      <c r="BI64" s="22">
        <f t="shared" si="58"/>
        <v>467.17361896772775</v>
      </c>
      <c r="BJ64" s="22">
        <f t="shared" si="58"/>
        <v>467.05310815725005</v>
      </c>
      <c r="BK64" s="22">
        <f t="shared" si="58"/>
        <v>466.93070929624412</v>
      </c>
      <c r="BL64" s="22">
        <f t="shared" si="58"/>
        <v>466.89310047907219</v>
      </c>
      <c r="BM64" s="22">
        <f t="shared" si="58"/>
        <v>466.86339554083878</v>
      </c>
      <c r="BN64" s="22">
        <f t="shared" si="58"/>
        <v>466.8448893669817</v>
      </c>
    </row>
    <row r="65" spans="1:72" x14ac:dyDescent="0.3">
      <c r="A65" t="str">
        <f>A43</f>
        <v>3C Aggregated and non-CO2 emissions on land</v>
      </c>
      <c r="B65" t="str">
        <f>B43</f>
        <v>3C4 Direct N2O from managed soils (N2O)</v>
      </c>
      <c r="C65" t="s">
        <v>637</v>
      </c>
      <c r="D65" t="str">
        <f>D43</f>
        <v>N2O</v>
      </c>
      <c r="E65" t="s">
        <v>630</v>
      </c>
      <c r="F65" s="22">
        <f t="shared" ref="F65:AK65" si="59">F43*N2OGWP</f>
        <v>17234.945188957758</v>
      </c>
      <c r="G65" s="22">
        <f t="shared" si="59"/>
        <v>17138.765396452436</v>
      </c>
      <c r="H65" s="22">
        <f t="shared" si="59"/>
        <v>16960.127770495583</v>
      </c>
      <c r="I65" s="22">
        <f t="shared" si="59"/>
        <v>16803.735149602126</v>
      </c>
      <c r="J65" s="22">
        <f t="shared" si="59"/>
        <v>16399.077593729395</v>
      </c>
      <c r="K65" s="22">
        <f t="shared" si="59"/>
        <v>16093.852453046611</v>
      </c>
      <c r="L65" s="22">
        <f t="shared" si="59"/>
        <v>16787.257516886875</v>
      </c>
      <c r="M65" s="22">
        <f t="shared" si="59"/>
        <v>17078.559429282075</v>
      </c>
      <c r="N65" s="22">
        <f t="shared" si="59"/>
        <v>17190.260728412712</v>
      </c>
      <c r="O65" s="22">
        <f t="shared" si="59"/>
        <v>17155.676993630408</v>
      </c>
      <c r="P65" s="22">
        <f t="shared" si="59"/>
        <v>17021.790519603233</v>
      </c>
      <c r="Q65" s="22">
        <f t="shared" si="59"/>
        <v>16558.862650160001</v>
      </c>
      <c r="R65" s="22">
        <f t="shared" si="59"/>
        <v>16957.948472333181</v>
      </c>
      <c r="S65" s="22">
        <f t="shared" si="59"/>
        <v>16769.907146505077</v>
      </c>
      <c r="T65" s="22">
        <f t="shared" si="59"/>
        <v>16584.658063779349</v>
      </c>
      <c r="U65" s="22">
        <f t="shared" si="59"/>
        <v>16201.588190693865</v>
      </c>
      <c r="V65" s="22">
        <f t="shared" si="59"/>
        <v>16229.541461457171</v>
      </c>
      <c r="W65" s="22">
        <f t="shared" si="59"/>
        <v>16847.135336493091</v>
      </c>
      <c r="X65" s="22">
        <f t="shared" si="59"/>
        <v>16894.02920900529</v>
      </c>
      <c r="Y65" s="22">
        <f t="shared" si="59"/>
        <v>16779.254174947899</v>
      </c>
      <c r="Z65" s="22">
        <f t="shared" si="59"/>
        <v>16465.845558736135</v>
      </c>
      <c r="AA65" s="22">
        <f t="shared" si="59"/>
        <v>16468.339195121422</v>
      </c>
      <c r="AB65" s="22">
        <f t="shared" si="59"/>
        <v>17151.705697759648</v>
      </c>
      <c r="AC65" s="22">
        <f t="shared" si="59"/>
        <v>17093.826915551948</v>
      </c>
      <c r="AD65" s="22">
        <f t="shared" si="59"/>
        <v>17091.396392844264</v>
      </c>
      <c r="AE65" s="22">
        <f t="shared" si="59"/>
        <v>16996.523789335217</v>
      </c>
      <c r="AF65" s="22">
        <f t="shared" si="59"/>
        <v>16845.135916251191</v>
      </c>
      <c r="AG65" s="22">
        <f t="shared" si="59"/>
        <v>16640.888084222788</v>
      </c>
      <c r="AH65" s="22">
        <f t="shared" si="59"/>
        <v>16487.529960272332</v>
      </c>
      <c r="AI65" s="22">
        <f t="shared" si="59"/>
        <v>16345.805129696333</v>
      </c>
      <c r="AJ65" s="22">
        <f t="shared" si="59"/>
        <v>15333.142496965511</v>
      </c>
      <c r="AK65" s="22">
        <f t="shared" si="59"/>
        <v>15466.419305865022</v>
      </c>
      <c r="AL65" s="22">
        <f t="shared" ref="AL65:BN65" si="60">AL43*N2OGWP</f>
        <v>15721.718395845426</v>
      </c>
      <c r="AM65" s="22">
        <f t="shared" si="60"/>
        <v>15792.35690424532</v>
      </c>
      <c r="AN65" s="22">
        <f t="shared" si="60"/>
        <v>15882.586900810107</v>
      </c>
      <c r="AO65" s="22">
        <f t="shared" si="60"/>
        <v>16000.875078757141</v>
      </c>
      <c r="AP65" s="22">
        <f t="shared" si="60"/>
        <v>16130.837006610433</v>
      </c>
      <c r="AQ65" s="22">
        <f t="shared" si="60"/>
        <v>16280.829315177862</v>
      </c>
      <c r="AR65" s="22">
        <f t="shared" si="60"/>
        <v>16432.800860620609</v>
      </c>
      <c r="AS65" s="22">
        <f t="shared" si="60"/>
        <v>16601.972697603644</v>
      </c>
      <c r="AT65" s="22">
        <f t="shared" si="60"/>
        <v>16771.105827480609</v>
      </c>
      <c r="AU65" s="22">
        <f t="shared" si="60"/>
        <v>16898.814381982302</v>
      </c>
      <c r="AV65" s="22">
        <f t="shared" si="60"/>
        <v>17011.89128216061</v>
      </c>
      <c r="AW65" s="22">
        <f t="shared" si="60"/>
        <v>17131.020466939513</v>
      </c>
      <c r="AX65" s="22">
        <f t="shared" si="60"/>
        <v>17279.878287190404</v>
      </c>
      <c r="AY65" s="22">
        <f t="shared" si="60"/>
        <v>17400.350352990772</v>
      </c>
      <c r="AZ65" s="22">
        <f t="shared" si="60"/>
        <v>17525.003619430903</v>
      </c>
      <c r="BA65" s="22">
        <f t="shared" si="60"/>
        <v>17660.47076391898</v>
      </c>
      <c r="BB65" s="22">
        <f t="shared" si="60"/>
        <v>17763.017146878792</v>
      </c>
      <c r="BC65" s="22">
        <f t="shared" si="60"/>
        <v>17852.701945731118</v>
      </c>
      <c r="BD65" s="22">
        <f t="shared" si="60"/>
        <v>17930.946501142658</v>
      </c>
      <c r="BE65" s="22">
        <f t="shared" si="60"/>
        <v>18065.131954412631</v>
      </c>
      <c r="BF65" s="22">
        <f t="shared" si="60"/>
        <v>18178.314058421252</v>
      </c>
      <c r="BG65" s="22">
        <f t="shared" si="60"/>
        <v>18293.989664549441</v>
      </c>
      <c r="BH65" s="22">
        <f t="shared" si="60"/>
        <v>18413.356143322824</v>
      </c>
      <c r="BI65" s="22">
        <f t="shared" si="60"/>
        <v>18538.060297718424</v>
      </c>
      <c r="BJ65" s="22">
        <f t="shared" si="60"/>
        <v>18664.427755086152</v>
      </c>
      <c r="BK65" s="22">
        <f t="shared" si="60"/>
        <v>18547.120743497231</v>
      </c>
      <c r="BL65" s="22">
        <f t="shared" si="60"/>
        <v>18405.700517305311</v>
      </c>
      <c r="BM65" s="22">
        <f t="shared" si="60"/>
        <v>18234.496409391908</v>
      </c>
      <c r="BN65" s="22">
        <f t="shared" si="60"/>
        <v>18056.036672914906</v>
      </c>
    </row>
    <row r="66" spans="1:72" x14ac:dyDescent="0.3">
      <c r="A66" t="str">
        <f>A49</f>
        <v>3C Aggregated and non-CO2 emissions on land</v>
      </c>
      <c r="B66" t="str">
        <f t="shared" ref="B66:D66" si="61">B49</f>
        <v>3C5 Indirect N2O from managed soils (N2O)</v>
      </c>
      <c r="C66" t="s">
        <v>639</v>
      </c>
      <c r="D66" t="str">
        <f t="shared" si="61"/>
        <v>N2O</v>
      </c>
      <c r="E66" t="s">
        <v>630</v>
      </c>
      <c r="F66" s="22">
        <f t="shared" ref="F66:AK66" si="62">F49*N2OGWP</f>
        <v>2234.5052500528623</v>
      </c>
      <c r="G66" s="22">
        <f t="shared" si="62"/>
        <v>2211.6980958305289</v>
      </c>
      <c r="H66" s="22">
        <f t="shared" si="62"/>
        <v>2169.3378787889174</v>
      </c>
      <c r="I66" s="22">
        <f t="shared" si="62"/>
        <v>2126.2561830378841</v>
      </c>
      <c r="J66" s="22">
        <f t="shared" si="62"/>
        <v>2070.6768821954438</v>
      </c>
      <c r="K66" s="22">
        <f t="shared" si="62"/>
        <v>2062.5720723240188</v>
      </c>
      <c r="L66" s="22">
        <f t="shared" si="62"/>
        <v>2132.94216183253</v>
      </c>
      <c r="M66" s="22">
        <f t="shared" si="62"/>
        <v>2154.8913400426786</v>
      </c>
      <c r="N66" s="22">
        <f t="shared" si="62"/>
        <v>2185.5347534707471</v>
      </c>
      <c r="O66" s="22">
        <f t="shared" si="62"/>
        <v>2179.6281008084297</v>
      </c>
      <c r="P66" s="22">
        <f t="shared" si="62"/>
        <v>2155.7364466862405</v>
      </c>
      <c r="Q66" s="22">
        <f t="shared" si="62"/>
        <v>2118.7727412938139</v>
      </c>
      <c r="R66" s="22">
        <f t="shared" si="62"/>
        <v>2149.2536347032101</v>
      </c>
      <c r="S66" s="22">
        <f t="shared" si="62"/>
        <v>2127.4292286069426</v>
      </c>
      <c r="T66" s="22">
        <f t="shared" si="62"/>
        <v>2110.5878909746098</v>
      </c>
      <c r="U66" s="22">
        <f t="shared" si="62"/>
        <v>2072.1483225191987</v>
      </c>
      <c r="V66" s="22">
        <f t="shared" si="62"/>
        <v>2101.905941836299</v>
      </c>
      <c r="W66" s="22">
        <f t="shared" si="62"/>
        <v>2151.2208658093541</v>
      </c>
      <c r="X66" s="22">
        <f t="shared" si="62"/>
        <v>2156.0457121558738</v>
      </c>
      <c r="Y66" s="22">
        <f t="shared" si="62"/>
        <v>2149.2138525216237</v>
      </c>
      <c r="Z66" s="22">
        <f t="shared" si="62"/>
        <v>2105.3949279528888</v>
      </c>
      <c r="AA66" s="22">
        <f t="shared" si="62"/>
        <v>2110.5059697888632</v>
      </c>
      <c r="AB66" s="22">
        <f t="shared" si="62"/>
        <v>2050.9374050904025</v>
      </c>
      <c r="AC66" s="22">
        <f t="shared" si="62"/>
        <v>2045.5386350321758</v>
      </c>
      <c r="AD66" s="22">
        <f t="shared" si="62"/>
        <v>2047.0573530349106</v>
      </c>
      <c r="AE66" s="22">
        <f t="shared" si="62"/>
        <v>2037.2818538590111</v>
      </c>
      <c r="AF66" s="22">
        <f t="shared" si="62"/>
        <v>2020.7416492119837</v>
      </c>
      <c r="AG66" s="22">
        <f t="shared" si="62"/>
        <v>1997.8167979558436</v>
      </c>
      <c r="AH66" s="22">
        <f t="shared" si="62"/>
        <v>1981.3182233351415</v>
      </c>
      <c r="AI66" s="22">
        <f t="shared" si="62"/>
        <v>1966.2827775921453</v>
      </c>
      <c r="AJ66" s="22">
        <f t="shared" si="62"/>
        <v>1842.5857472306971</v>
      </c>
      <c r="AK66" s="22">
        <f t="shared" si="62"/>
        <v>1861.3013133436878</v>
      </c>
      <c r="AL66" s="22">
        <f t="shared" ref="AL66:BN66" si="63">AL49*N2OGWP</f>
        <v>1894.1536812303866</v>
      </c>
      <c r="AM66" s="22">
        <f t="shared" si="63"/>
        <v>1903.8803245620827</v>
      </c>
      <c r="AN66" s="22">
        <f t="shared" si="63"/>
        <v>1916.3536730595029</v>
      </c>
      <c r="AO66" s="22">
        <f t="shared" si="63"/>
        <v>1932.3985696328384</v>
      </c>
      <c r="AP66" s="22">
        <f t="shared" si="63"/>
        <v>1949.7219525740591</v>
      </c>
      <c r="AQ66" s="22">
        <f t="shared" si="63"/>
        <v>1969.629089038252</v>
      </c>
      <c r="AR66" s="22">
        <f t="shared" si="63"/>
        <v>1989.8483490761139</v>
      </c>
      <c r="AS66" s="22">
        <f t="shared" si="63"/>
        <v>2012.3185912377764</v>
      </c>
      <c r="AT66" s="22">
        <f t="shared" si="63"/>
        <v>2034.8539004377549</v>
      </c>
      <c r="AU66" s="22">
        <f t="shared" si="63"/>
        <v>2052.8949909451817</v>
      </c>
      <c r="AV66" s="22">
        <f t="shared" si="63"/>
        <v>2069.1944299293632</v>
      </c>
      <c r="AW66" s="22">
        <f t="shared" si="63"/>
        <v>2086.4143452143276</v>
      </c>
      <c r="AX66" s="22">
        <f t="shared" si="63"/>
        <v>2107.5471907559049</v>
      </c>
      <c r="AY66" s="22">
        <f t="shared" si="63"/>
        <v>2125.1922779772085</v>
      </c>
      <c r="AZ66" s="22">
        <f t="shared" si="63"/>
        <v>2143.3815227202085</v>
      </c>
      <c r="BA66" s="22">
        <f t="shared" si="63"/>
        <v>2163.1045643035477</v>
      </c>
      <c r="BB66" s="22">
        <f t="shared" si="63"/>
        <v>2178.7665207131558</v>
      </c>
      <c r="BC66" s="22">
        <f t="shared" si="63"/>
        <v>2192.9725439395338</v>
      </c>
      <c r="BD66" s="22">
        <f t="shared" si="63"/>
        <v>2205.8761678403275</v>
      </c>
      <c r="BE66" s="22">
        <f t="shared" si="63"/>
        <v>2225.3439026708006</v>
      </c>
      <c r="BF66" s="22">
        <f t="shared" si="63"/>
        <v>2242.215386811522</v>
      </c>
      <c r="BG66" s="22">
        <f t="shared" si="63"/>
        <v>2259.5653989534226</v>
      </c>
      <c r="BH66" s="22">
        <f t="shared" si="63"/>
        <v>2277.5267973052873</v>
      </c>
      <c r="BI66" s="22">
        <f t="shared" si="63"/>
        <v>2296.3195215422957</v>
      </c>
      <c r="BJ66" s="22">
        <f t="shared" si="63"/>
        <v>2315.3159501296468</v>
      </c>
      <c r="BK66" s="22">
        <f t="shared" si="63"/>
        <v>2302.6461188471171</v>
      </c>
      <c r="BL66" s="22">
        <f t="shared" si="63"/>
        <v>2287.1277664044933</v>
      </c>
      <c r="BM66" s="22">
        <f t="shared" si="63"/>
        <v>2267.7383909460959</v>
      </c>
      <c r="BN66" s="22">
        <f t="shared" si="63"/>
        <v>2247.4232150153257</v>
      </c>
    </row>
    <row r="67" spans="1:72" x14ac:dyDescent="0.3">
      <c r="A67" t="str">
        <f>A52</f>
        <v>3C Aggregated and non-CO2 emissions on land</v>
      </c>
      <c r="B67" t="str">
        <f t="shared" ref="B67:D67" si="64">B52</f>
        <v>3C6 Indirect N2O from manure management (N2O)</v>
      </c>
      <c r="C67" t="s">
        <v>638</v>
      </c>
      <c r="D67" t="str">
        <f t="shared" si="64"/>
        <v>N2O</v>
      </c>
      <c r="E67" t="s">
        <v>630</v>
      </c>
      <c r="F67" s="22">
        <f t="shared" ref="F67:AK67" si="65">F52*N2OGWP</f>
        <v>339.46668586955047</v>
      </c>
      <c r="G67" s="22">
        <f t="shared" si="65"/>
        <v>361.42056329374225</v>
      </c>
      <c r="H67" s="22">
        <f t="shared" si="65"/>
        <v>336.30759122420466</v>
      </c>
      <c r="I67" s="22">
        <f t="shared" si="65"/>
        <v>348.82410338247314</v>
      </c>
      <c r="J67" s="22">
        <f t="shared" si="65"/>
        <v>332.77692549973614</v>
      </c>
      <c r="K67" s="22">
        <f t="shared" si="65"/>
        <v>351.17073353759787</v>
      </c>
      <c r="L67" s="22">
        <f t="shared" si="65"/>
        <v>366.95943819746714</v>
      </c>
      <c r="M67" s="22">
        <f t="shared" si="65"/>
        <v>363.69601469759795</v>
      </c>
      <c r="N67" s="22">
        <f t="shared" si="65"/>
        <v>372.77723801175745</v>
      </c>
      <c r="O67" s="22">
        <f t="shared" si="65"/>
        <v>376.69225137169252</v>
      </c>
      <c r="P67" s="22">
        <f t="shared" si="65"/>
        <v>416.19353174110165</v>
      </c>
      <c r="Q67" s="22">
        <f t="shared" si="65"/>
        <v>413.8758977418791</v>
      </c>
      <c r="R67" s="22">
        <f t="shared" si="65"/>
        <v>402.12489933360166</v>
      </c>
      <c r="S67" s="22">
        <f t="shared" si="65"/>
        <v>382.08437212452515</v>
      </c>
      <c r="T67" s="22">
        <f t="shared" si="65"/>
        <v>379.738143309794</v>
      </c>
      <c r="U67" s="22">
        <f t="shared" si="65"/>
        <v>398.98840509467396</v>
      </c>
      <c r="V67" s="22">
        <f t="shared" si="65"/>
        <v>404.11898883233295</v>
      </c>
      <c r="W67" s="22">
        <f t="shared" si="65"/>
        <v>412.20171589966418</v>
      </c>
      <c r="X67" s="22">
        <f t="shared" si="65"/>
        <v>446.09004051714021</v>
      </c>
      <c r="Y67" s="22">
        <f t="shared" si="65"/>
        <v>443.47274862625261</v>
      </c>
      <c r="Z67" s="22">
        <f t="shared" si="65"/>
        <v>446.04525464561482</v>
      </c>
      <c r="AA67" s="22">
        <f t="shared" si="65"/>
        <v>451.47082982836986</v>
      </c>
      <c r="AB67" s="22">
        <f t="shared" si="65"/>
        <v>463.94620254720866</v>
      </c>
      <c r="AC67" s="22">
        <f t="shared" si="65"/>
        <v>468.55349021707184</v>
      </c>
      <c r="AD67" s="22">
        <f t="shared" si="65"/>
        <v>475.46673921112142</v>
      </c>
      <c r="AE67" s="22">
        <f t="shared" si="65"/>
        <v>478.52713833996251</v>
      </c>
      <c r="AF67" s="22">
        <f t="shared" si="65"/>
        <v>479.13075008565448</v>
      </c>
      <c r="AG67" s="22">
        <f t="shared" si="65"/>
        <v>477.27784879908722</v>
      </c>
      <c r="AH67" s="22">
        <f t="shared" si="65"/>
        <v>477.58815133846173</v>
      </c>
      <c r="AI67" s="22">
        <f t="shared" si="65"/>
        <v>478.32509917641181</v>
      </c>
      <c r="AJ67" s="22">
        <f t="shared" si="65"/>
        <v>437.65364453283877</v>
      </c>
      <c r="AK67" s="22">
        <f t="shared" si="65"/>
        <v>447.83921275306943</v>
      </c>
      <c r="AL67" s="22">
        <f t="shared" ref="AL67:BN67" si="66">AL52*N2OGWP</f>
        <v>463.50700203026076</v>
      </c>
      <c r="AM67" s="22">
        <f t="shared" si="66"/>
        <v>470.33348295675415</v>
      </c>
      <c r="AN67" s="22">
        <f t="shared" si="66"/>
        <v>478.31884433078415</v>
      </c>
      <c r="AO67" s="22">
        <f t="shared" si="66"/>
        <v>487.80438141499695</v>
      </c>
      <c r="AP67" s="22">
        <f t="shared" si="66"/>
        <v>498.22556673604879</v>
      </c>
      <c r="AQ67" s="22">
        <f t="shared" si="66"/>
        <v>509.82449188881287</v>
      </c>
      <c r="AR67" s="22">
        <f t="shared" si="66"/>
        <v>521.70132369786995</v>
      </c>
      <c r="AS67" s="22">
        <f t="shared" si="66"/>
        <v>534.66994180065035</v>
      </c>
      <c r="AT67" s="22">
        <f t="shared" si="66"/>
        <v>547.84392079271527</v>
      </c>
      <c r="AU67" s="22">
        <f t="shared" si="66"/>
        <v>562.85315252501368</v>
      </c>
      <c r="AV67" s="22">
        <f t="shared" si="66"/>
        <v>577.51148769427505</v>
      </c>
      <c r="AW67" s="22">
        <f t="shared" si="66"/>
        <v>592.97342516000958</v>
      </c>
      <c r="AX67" s="22">
        <f t="shared" si="66"/>
        <v>610.61175795071927</v>
      </c>
      <c r="AY67" s="22">
        <f t="shared" si="66"/>
        <v>627.16300337226232</v>
      </c>
      <c r="AZ67" s="22">
        <f t="shared" si="66"/>
        <v>644.70434568444216</v>
      </c>
      <c r="BA67" s="22">
        <f t="shared" si="66"/>
        <v>663.47371766277104</v>
      </c>
      <c r="BB67" s="22">
        <f t="shared" si="66"/>
        <v>680.84999302331573</v>
      </c>
      <c r="BC67" s="22">
        <f t="shared" si="66"/>
        <v>698.02922766035294</v>
      </c>
      <c r="BD67" s="22">
        <f t="shared" si="66"/>
        <v>715.06898312793305</v>
      </c>
      <c r="BE67" s="22">
        <f t="shared" si="66"/>
        <v>733.64261674980673</v>
      </c>
      <c r="BF67" s="22">
        <f t="shared" si="66"/>
        <v>751.32378737574379</v>
      </c>
      <c r="BG67" s="22">
        <f t="shared" si="66"/>
        <v>769.66617565657941</v>
      </c>
      <c r="BH67" s="22">
        <f t="shared" si="66"/>
        <v>788.76051964046167</v>
      </c>
      <c r="BI67" s="22">
        <f t="shared" si="66"/>
        <v>808.75204497949539</v>
      </c>
      <c r="BJ67" s="22">
        <f t="shared" si="66"/>
        <v>829.61774980564689</v>
      </c>
      <c r="BK67" s="22">
        <f t="shared" si="66"/>
        <v>833.64298368603681</v>
      </c>
      <c r="BL67" s="22">
        <f t="shared" si="66"/>
        <v>836.13820762929572</v>
      </c>
      <c r="BM67" s="22">
        <f t="shared" si="66"/>
        <v>836.42571567008497</v>
      </c>
      <c r="BN67" s="22">
        <f t="shared" si="66"/>
        <v>836.09543374820669</v>
      </c>
    </row>
    <row r="69" spans="1:72" x14ac:dyDescent="0.3">
      <c r="F69">
        <v>50850.612181209253</v>
      </c>
      <c r="G69">
        <v>50813.697148756924</v>
      </c>
      <c r="H69">
        <v>50023.852238309773</v>
      </c>
      <c r="I69">
        <v>49090.932778754614</v>
      </c>
      <c r="J69">
        <v>48067.877450942236</v>
      </c>
      <c r="K69">
        <v>47922.095455178787</v>
      </c>
      <c r="L69">
        <v>49575.843585283277</v>
      </c>
      <c r="M69">
        <v>50361.313111746611</v>
      </c>
      <c r="N69">
        <v>51030.102101321943</v>
      </c>
      <c r="O69">
        <v>50995.958935395931</v>
      </c>
      <c r="P69">
        <v>50422.780115455113</v>
      </c>
      <c r="Q69">
        <v>50247.47999648485</v>
      </c>
      <c r="R69">
        <v>50437.20578900558</v>
      </c>
      <c r="S69">
        <v>49591.755111070597</v>
      </c>
      <c r="T69">
        <v>49035.354824128801</v>
      </c>
      <c r="U69">
        <v>49414.796099460007</v>
      </c>
      <c r="V69">
        <v>49267.097795471636</v>
      </c>
      <c r="W69">
        <v>50651.342624920959</v>
      </c>
      <c r="X69">
        <v>50973.591038492857</v>
      </c>
      <c r="Y69">
        <v>50458.164059092771</v>
      </c>
      <c r="Z69">
        <v>50015.072106264684</v>
      </c>
      <c r="AA69">
        <v>50110.234805430198</v>
      </c>
      <c r="AB69">
        <v>50051.852110730164</v>
      </c>
      <c r="AC69">
        <v>50101.454577252611</v>
      </c>
      <c r="AD69">
        <v>49833.410311374682</v>
      </c>
      <c r="AE69">
        <v>49346.511388909348</v>
      </c>
      <c r="AF69">
        <v>48738.035648005331</v>
      </c>
      <c r="AG69">
        <v>48304.236224937107</v>
      </c>
      <c r="AH69">
        <v>47815.337382642225</v>
      </c>
      <c r="AI69">
        <v>47290.087440163537</v>
      </c>
      <c r="AJ69">
        <v>43831.731878107734</v>
      </c>
      <c r="AK69">
        <v>44053.384018995668</v>
      </c>
      <c r="AL69">
        <v>44266.385131700095</v>
      </c>
      <c r="AM69">
        <v>44480.738527303118</v>
      </c>
      <c r="AN69">
        <v>44665.934208782266</v>
      </c>
      <c r="AO69">
        <v>44873.887448810252</v>
      </c>
      <c r="AP69">
        <v>45196.645833806717</v>
      </c>
      <c r="AQ69">
        <v>45503.236186571958</v>
      </c>
      <c r="AR69">
        <v>45836.359534075164</v>
      </c>
      <c r="AS69">
        <v>46185.04604866619</v>
      </c>
      <c r="AT69">
        <v>46550.489419271311</v>
      </c>
      <c r="AU69">
        <v>46878.965262605343</v>
      </c>
      <c r="AV69">
        <v>47140.593104578125</v>
      </c>
      <c r="AW69">
        <v>47476.38559730455</v>
      </c>
      <c r="AX69">
        <v>47853.118889724989</v>
      </c>
      <c r="AY69">
        <v>48270.812734416839</v>
      </c>
      <c r="AZ69">
        <v>48686.337519234236</v>
      </c>
      <c r="BA69">
        <v>49115.849696923062</v>
      </c>
      <c r="BB69">
        <v>49530.25726189409</v>
      </c>
      <c r="BC69">
        <v>49956.013717686321</v>
      </c>
      <c r="BD69">
        <v>50415.173126369293</v>
      </c>
      <c r="BE69">
        <v>50999.431943784381</v>
      </c>
      <c r="BF69">
        <v>51602.934539527188</v>
      </c>
      <c r="BG69">
        <v>52220.857288882209</v>
      </c>
      <c r="BH69">
        <v>52857.833992482709</v>
      </c>
      <c r="BI69">
        <v>53538.17895162919</v>
      </c>
      <c r="BJ69">
        <v>54243.237128388842</v>
      </c>
      <c r="BK69">
        <v>54975.028121489333</v>
      </c>
      <c r="BL69">
        <v>55684.935186885676</v>
      </c>
      <c r="BM69">
        <v>56423.451569639103</v>
      </c>
      <c r="BN69">
        <v>57193.463428211311</v>
      </c>
    </row>
    <row r="70" spans="1:72" s="19" customFormat="1" ht="15.6" x14ac:dyDescent="0.3">
      <c r="A70" s="17" t="s">
        <v>716</v>
      </c>
      <c r="B70" s="17"/>
      <c r="C70" s="17"/>
      <c r="D70" s="17"/>
      <c r="E70" s="17"/>
      <c r="F70" s="17">
        <v>1990</v>
      </c>
      <c r="G70" s="17">
        <v>1991</v>
      </c>
      <c r="H70" s="17">
        <v>1992</v>
      </c>
      <c r="I70" s="17">
        <v>1993</v>
      </c>
      <c r="J70" s="17">
        <v>1994</v>
      </c>
      <c r="K70" s="17">
        <v>1995</v>
      </c>
      <c r="L70" s="17">
        <v>1996</v>
      </c>
      <c r="M70" s="17">
        <v>1997</v>
      </c>
      <c r="N70" s="17">
        <v>1998</v>
      </c>
      <c r="O70" s="17">
        <v>1999</v>
      </c>
      <c r="P70" s="17">
        <v>2000</v>
      </c>
      <c r="Q70" s="17">
        <v>2001</v>
      </c>
      <c r="R70" s="17">
        <v>2002</v>
      </c>
      <c r="S70" s="17">
        <v>2003</v>
      </c>
      <c r="T70" s="17">
        <v>2004</v>
      </c>
      <c r="U70" s="17">
        <v>2005</v>
      </c>
      <c r="V70" s="17">
        <v>2006</v>
      </c>
      <c r="W70" s="17">
        <v>2007</v>
      </c>
      <c r="X70" s="17">
        <v>2008</v>
      </c>
      <c r="Y70" s="17">
        <v>2009</v>
      </c>
      <c r="Z70" s="17">
        <v>2010</v>
      </c>
      <c r="AA70" s="17">
        <v>2011</v>
      </c>
      <c r="AB70" s="17">
        <v>2012</v>
      </c>
      <c r="AC70" s="17">
        <v>2013</v>
      </c>
      <c r="AD70" s="17">
        <v>2014</v>
      </c>
      <c r="AE70" s="17">
        <v>2015</v>
      </c>
      <c r="AF70" s="17">
        <v>2016</v>
      </c>
      <c r="AG70" s="17">
        <v>2017</v>
      </c>
      <c r="AH70" s="17">
        <v>2018</v>
      </c>
      <c r="AI70" s="17">
        <v>2019</v>
      </c>
      <c r="AJ70" s="17">
        <v>2020</v>
      </c>
      <c r="AK70" s="17">
        <v>2021</v>
      </c>
      <c r="AL70" s="17">
        <v>2022</v>
      </c>
      <c r="AM70" s="17">
        <v>2023</v>
      </c>
      <c r="AN70" s="17">
        <v>2024</v>
      </c>
      <c r="AO70" s="17">
        <v>2025</v>
      </c>
      <c r="AP70" s="17">
        <v>2026</v>
      </c>
      <c r="AQ70" s="17">
        <v>2027</v>
      </c>
      <c r="AR70" s="17">
        <v>2028</v>
      </c>
      <c r="AS70" s="17">
        <v>2029</v>
      </c>
      <c r="AT70" s="17">
        <v>2030</v>
      </c>
      <c r="AU70" s="17">
        <v>2031</v>
      </c>
      <c r="AV70" s="17">
        <v>2032</v>
      </c>
      <c r="AW70" s="17">
        <v>2033</v>
      </c>
      <c r="AX70" s="17">
        <v>2034</v>
      </c>
      <c r="AY70" s="17">
        <v>2035</v>
      </c>
      <c r="AZ70" s="17">
        <v>2036</v>
      </c>
      <c r="BA70" s="17">
        <v>2037</v>
      </c>
      <c r="BB70" s="17">
        <v>2038</v>
      </c>
      <c r="BC70" s="17">
        <v>2039</v>
      </c>
      <c r="BD70" s="17">
        <v>2040</v>
      </c>
      <c r="BE70" s="17">
        <v>2041</v>
      </c>
      <c r="BF70" s="17">
        <v>2042</v>
      </c>
      <c r="BG70" s="17">
        <v>2043</v>
      </c>
      <c r="BH70" s="17">
        <v>2044</v>
      </c>
      <c r="BI70" s="17">
        <v>2045</v>
      </c>
      <c r="BJ70" s="17">
        <v>2046</v>
      </c>
      <c r="BK70" s="17">
        <v>2047</v>
      </c>
      <c r="BL70" s="17">
        <v>2048</v>
      </c>
      <c r="BM70" s="17">
        <v>2049</v>
      </c>
      <c r="BN70" s="17">
        <v>2050</v>
      </c>
      <c r="BO70" s="17"/>
      <c r="BP70" s="17"/>
      <c r="BQ70" s="17"/>
      <c r="BR70" s="17"/>
      <c r="BS70" s="17"/>
      <c r="BT70" s="17"/>
    </row>
    <row r="71" spans="1:72" x14ac:dyDescent="0.3">
      <c r="E71" t="s">
        <v>736</v>
      </c>
      <c r="F71" s="22">
        <f>SUM(F58:F60)</f>
        <v>28329.895895189959</v>
      </c>
      <c r="G71" s="22">
        <f t="shared" ref="G71:AG71" si="67">SUM(G58:G60)</f>
        <v>28348.756597536198</v>
      </c>
      <c r="H71" s="22">
        <f t="shared" si="67"/>
        <v>27901.265167652149</v>
      </c>
      <c r="I71" s="22">
        <f t="shared" si="67"/>
        <v>26983.421178078323</v>
      </c>
      <c r="J71" s="22">
        <f t="shared" si="67"/>
        <v>26232.935842025625</v>
      </c>
      <c r="K71" s="22">
        <f t="shared" si="67"/>
        <v>26483.697904273635</v>
      </c>
      <c r="L71" s="22">
        <f t="shared" si="67"/>
        <v>27231.455050197914</v>
      </c>
      <c r="M71" s="22">
        <f t="shared" si="67"/>
        <v>27718.197700050874</v>
      </c>
      <c r="N71" s="22">
        <f t="shared" si="67"/>
        <v>28191.857752581782</v>
      </c>
      <c r="O71" s="22">
        <f t="shared" si="67"/>
        <v>28176.93333456889</v>
      </c>
      <c r="P71" s="22">
        <f t="shared" si="67"/>
        <v>27911.735313172579</v>
      </c>
      <c r="Q71" s="22">
        <f t="shared" si="67"/>
        <v>27717.940554412646</v>
      </c>
      <c r="R71" s="22">
        <f t="shared" si="67"/>
        <v>27299.215210355833</v>
      </c>
      <c r="S71" s="22">
        <f t="shared" si="67"/>
        <v>27343.988003450842</v>
      </c>
      <c r="T71" s="22">
        <f t="shared" si="67"/>
        <v>27146.675440419218</v>
      </c>
      <c r="U71" s="22">
        <f t="shared" si="67"/>
        <v>27260.702201657918</v>
      </c>
      <c r="V71" s="22">
        <f t="shared" si="67"/>
        <v>27196.730699508385</v>
      </c>
      <c r="W71" s="22">
        <f t="shared" si="67"/>
        <v>27798.797044635878</v>
      </c>
      <c r="X71" s="22">
        <f t="shared" si="67"/>
        <v>28021.860780467254</v>
      </c>
      <c r="Y71" s="22">
        <f t="shared" si="67"/>
        <v>27823.10030385045</v>
      </c>
      <c r="Z71" s="22">
        <f t="shared" si="67"/>
        <v>27614.256694686857</v>
      </c>
      <c r="AA71" s="22">
        <f t="shared" si="67"/>
        <v>27581.637898711942</v>
      </c>
      <c r="AB71" s="22">
        <f t="shared" si="67"/>
        <v>26982.018509963782</v>
      </c>
      <c r="AC71" s="22">
        <f t="shared" si="67"/>
        <v>26899.412164760473</v>
      </c>
      <c r="AD71" s="22">
        <f t="shared" si="67"/>
        <v>26934.727527870873</v>
      </c>
      <c r="AE71" s="22">
        <f t="shared" si="67"/>
        <v>26768.466839336899</v>
      </c>
      <c r="AF71" s="22">
        <f t="shared" si="67"/>
        <v>26480.585819016404</v>
      </c>
      <c r="AG71" s="22">
        <f t="shared" si="67"/>
        <v>26077.422552757751</v>
      </c>
      <c r="AH71" s="22">
        <f t="shared" ref="AH71:BN71" si="68">SUM(AH58:AH60)</f>
        <v>25785.957215400758</v>
      </c>
      <c r="AI71" s="22">
        <f t="shared" si="68"/>
        <v>25518.395707880383</v>
      </c>
      <c r="AJ71" s="22">
        <f t="shared" si="68"/>
        <v>23328.845797617432</v>
      </c>
      <c r="AK71" s="22">
        <f t="shared" si="68"/>
        <v>23664.914105077329</v>
      </c>
      <c r="AL71" s="22">
        <f t="shared" si="68"/>
        <v>24245.156089710439</v>
      </c>
      <c r="AM71" s="22">
        <f t="shared" si="68"/>
        <v>24415.065311969807</v>
      </c>
      <c r="AN71" s="22">
        <f t="shared" si="68"/>
        <v>24633.755580026376</v>
      </c>
      <c r="AO71" s="22">
        <f t="shared" si="68"/>
        <v>24914.961821296307</v>
      </c>
      <c r="AP71" s="22">
        <f t="shared" si="68"/>
        <v>25224.068848988907</v>
      </c>
      <c r="AQ71" s="22">
        <f t="shared" si="68"/>
        <v>25578.54993683549</v>
      </c>
      <c r="AR71" s="22">
        <f t="shared" si="68"/>
        <v>25938.178506261447</v>
      </c>
      <c r="AS71" s="22">
        <f t="shared" si="68"/>
        <v>26337.546573011077</v>
      </c>
      <c r="AT71" s="22">
        <f t="shared" si="68"/>
        <v>26737.838779856531</v>
      </c>
      <c r="AU71" s="22">
        <f t="shared" si="68"/>
        <v>27071.039555799238</v>
      </c>
      <c r="AV71" s="22">
        <f t="shared" si="68"/>
        <v>27373.632496855702</v>
      </c>
      <c r="AW71" s="22">
        <f t="shared" si="68"/>
        <v>27693.254806902074</v>
      </c>
      <c r="AX71" s="22">
        <f t="shared" si="68"/>
        <v>28083.346636374295</v>
      </c>
      <c r="AY71" s="22">
        <f t="shared" si="68"/>
        <v>28411.842016410123</v>
      </c>
      <c r="AZ71" s="22">
        <f t="shared" si="68"/>
        <v>28755.562366062295</v>
      </c>
      <c r="BA71" s="22">
        <f t="shared" si="68"/>
        <v>29127.683522037885</v>
      </c>
      <c r="BB71" s="22">
        <f t="shared" si="68"/>
        <v>29428.022385971075</v>
      </c>
      <c r="BC71" s="22">
        <f t="shared" si="68"/>
        <v>29703.383597547821</v>
      </c>
      <c r="BD71" s="22">
        <f t="shared" si="68"/>
        <v>29956.405162743467</v>
      </c>
      <c r="BE71" s="22">
        <f t="shared" si="68"/>
        <v>30326.429828198921</v>
      </c>
      <c r="BF71" s="22">
        <f t="shared" si="68"/>
        <v>30650.474044098231</v>
      </c>
      <c r="BG71" s="22">
        <f t="shared" si="68"/>
        <v>30984.089449706029</v>
      </c>
      <c r="BH71" s="22">
        <f t="shared" si="68"/>
        <v>31329.640923905259</v>
      </c>
      <c r="BI71" s="22">
        <f t="shared" si="68"/>
        <v>31691.193242584064</v>
      </c>
      <c r="BJ71" s="22">
        <f t="shared" si="68"/>
        <v>32061.807696679105</v>
      </c>
      <c r="BK71" s="22">
        <f t="shared" si="68"/>
        <v>31859.704865881275</v>
      </c>
      <c r="BL71" s="22">
        <f t="shared" si="68"/>
        <v>31606.932634603752</v>
      </c>
      <c r="BM71" s="22">
        <f t="shared" si="68"/>
        <v>31283.670634741047</v>
      </c>
      <c r="BN71" s="22">
        <f t="shared" si="68"/>
        <v>30943.277928356238</v>
      </c>
    </row>
    <row r="72" spans="1:72" x14ac:dyDescent="0.3">
      <c r="E72" t="s">
        <v>738</v>
      </c>
      <c r="F72" s="22">
        <f>SUM(F61:F67)</f>
        <v>22520.716286019295</v>
      </c>
      <c r="G72" s="22">
        <f t="shared" ref="G72:AG72" si="69">SUM(G61:G67)</f>
        <v>22464.940551220727</v>
      </c>
      <c r="H72" s="22">
        <f t="shared" si="69"/>
        <v>22122.587070657621</v>
      </c>
      <c r="I72" s="22">
        <f t="shared" si="69"/>
        <v>22107.511600676291</v>
      </c>
      <c r="J72" s="22">
        <f t="shared" si="69"/>
        <v>21834.941608916608</v>
      </c>
      <c r="K72" s="22">
        <f t="shared" si="69"/>
        <v>21438.397550905156</v>
      </c>
      <c r="L72" s="22">
        <f t="shared" si="69"/>
        <v>22344.38853508536</v>
      </c>
      <c r="M72" s="22">
        <f t="shared" si="69"/>
        <v>22643.115411695737</v>
      </c>
      <c r="N72" s="22">
        <f t="shared" si="69"/>
        <v>22838.244348740158</v>
      </c>
      <c r="O72" s="22">
        <f t="shared" si="69"/>
        <v>22819.025600827037</v>
      </c>
      <c r="P72" s="22">
        <f t="shared" si="69"/>
        <v>22511.044802282533</v>
      </c>
      <c r="Q72" s="22">
        <f t="shared" si="69"/>
        <v>22529.539442072208</v>
      </c>
      <c r="R72" s="22">
        <f t="shared" si="69"/>
        <v>23137.990578649747</v>
      </c>
      <c r="S72" s="22">
        <f t="shared" si="69"/>
        <v>22247.767107619758</v>
      </c>
      <c r="T72" s="22">
        <f t="shared" si="69"/>
        <v>21888.679383709583</v>
      </c>
      <c r="U72" s="22">
        <f t="shared" si="69"/>
        <v>22154.093897802089</v>
      </c>
      <c r="V72" s="22">
        <f t="shared" si="69"/>
        <v>22070.367095963247</v>
      </c>
      <c r="W72" s="22">
        <f t="shared" si="69"/>
        <v>22852.545580285085</v>
      </c>
      <c r="X72" s="22">
        <f t="shared" si="69"/>
        <v>22951.7302580256</v>
      </c>
      <c r="Y72" s="22">
        <f t="shared" si="69"/>
        <v>22635.063755242325</v>
      </c>
      <c r="Z72" s="22">
        <f t="shared" si="69"/>
        <v>22400.815411577827</v>
      </c>
      <c r="AA72" s="22">
        <f t="shared" si="69"/>
        <v>22528.596906718252</v>
      </c>
      <c r="AB72" s="22">
        <f t="shared" si="69"/>
        <v>22897.455060347878</v>
      </c>
      <c r="AC72" s="22">
        <f t="shared" si="69"/>
        <v>22916.931601602209</v>
      </c>
      <c r="AD72" s="22">
        <f t="shared" si="69"/>
        <v>22902.965793483334</v>
      </c>
      <c r="AE72" s="22">
        <f t="shared" si="69"/>
        <v>22783.717172728906</v>
      </c>
      <c r="AF72" s="22">
        <f t="shared" si="69"/>
        <v>22638.455195046368</v>
      </c>
      <c r="AG72" s="22">
        <f t="shared" si="69"/>
        <v>22428.717383211704</v>
      </c>
      <c r="AH72" s="22">
        <f t="shared" ref="AH72:BN72" si="70">SUM(AH61:AH67)</f>
        <v>22266.130401341314</v>
      </c>
      <c r="AI72" s="22">
        <f t="shared" si="70"/>
        <v>22119.9220695435</v>
      </c>
      <c r="AJ72" s="22">
        <f t="shared" si="70"/>
        <v>20952.779344175295</v>
      </c>
      <c r="AK72" s="22">
        <f t="shared" si="70"/>
        <v>21112.689135111406</v>
      </c>
      <c r="AL72" s="22">
        <f t="shared" si="70"/>
        <v>21429.082066563187</v>
      </c>
      <c r="AM72" s="22">
        <f t="shared" si="70"/>
        <v>21530.384856800742</v>
      </c>
      <c r="AN72" s="22">
        <f t="shared" si="70"/>
        <v>21652.523806324425</v>
      </c>
      <c r="AO72" s="22">
        <f t="shared" si="70"/>
        <v>21808.082310276375</v>
      </c>
      <c r="AP72" s="22">
        <f t="shared" si="70"/>
        <v>21977.906640145349</v>
      </c>
      <c r="AQ72" s="22">
        <f t="shared" si="70"/>
        <v>22171.709692603705</v>
      </c>
      <c r="AR72" s="22">
        <f t="shared" si="70"/>
        <v>22368.347289148751</v>
      </c>
      <c r="AS72" s="22">
        <f t="shared" si="70"/>
        <v>22585.537031497566</v>
      </c>
      <c r="AT72" s="22">
        <f t="shared" si="70"/>
        <v>22803.183035424285</v>
      </c>
      <c r="AU72" s="22">
        <f t="shared" si="70"/>
        <v>22976.380405462023</v>
      </c>
      <c r="AV72" s="22">
        <f t="shared" si="70"/>
        <v>23133.225951002296</v>
      </c>
      <c r="AW72" s="22">
        <f t="shared" si="70"/>
        <v>23297.671056009785</v>
      </c>
      <c r="AX72" s="22">
        <f t="shared" si="70"/>
        <v>23498.051059074882</v>
      </c>
      <c r="AY72" s="22">
        <f t="shared" si="70"/>
        <v>23665.912095252272</v>
      </c>
      <c r="AZ72" s="22">
        <f t="shared" si="70"/>
        <v>23839.125676956661</v>
      </c>
      <c r="BA72" s="22">
        <f t="shared" si="70"/>
        <v>24026.04401756289</v>
      </c>
      <c r="BB72" s="22">
        <f t="shared" si="70"/>
        <v>24174.771688769011</v>
      </c>
      <c r="BC72" s="22">
        <f t="shared" si="70"/>
        <v>24308.050972101471</v>
      </c>
      <c r="BD72" s="22">
        <f t="shared" si="70"/>
        <v>24428.317107359875</v>
      </c>
      <c r="BE72" s="22">
        <f t="shared" si="70"/>
        <v>24612.508822229884</v>
      </c>
      <c r="BF72" s="22">
        <f t="shared" si="70"/>
        <v>24772.454945497626</v>
      </c>
      <c r="BG72" s="22">
        <f t="shared" si="70"/>
        <v>24935.761748361972</v>
      </c>
      <c r="BH72" s="22">
        <f t="shared" si="70"/>
        <v>25104.179503711995</v>
      </c>
      <c r="BI72" s="22">
        <f t="shared" si="70"/>
        <v>25279.733369050457</v>
      </c>
      <c r="BJ72" s="22">
        <f t="shared" si="70"/>
        <v>25458.120920029531</v>
      </c>
      <c r="BK72" s="22">
        <f t="shared" si="70"/>
        <v>25344.400318215176</v>
      </c>
      <c r="BL72" s="22">
        <f t="shared" si="70"/>
        <v>25198.90752007367</v>
      </c>
      <c r="BM72" s="22">
        <f t="shared" si="70"/>
        <v>25017.246307316564</v>
      </c>
      <c r="BN72" s="22">
        <f t="shared" si="70"/>
        <v>24826.35260542723</v>
      </c>
    </row>
    <row r="73" spans="1:72" x14ac:dyDescent="0.3">
      <c r="E73" t="s">
        <v>726</v>
      </c>
      <c r="F73" s="22">
        <f>SUM(F71:F72)</f>
        <v>50850.612181209253</v>
      </c>
      <c r="G73" s="22">
        <f t="shared" ref="G73:AG73" si="71">SUM(G71:G72)</f>
        <v>50813.697148756924</v>
      </c>
      <c r="H73" s="22">
        <f t="shared" si="71"/>
        <v>50023.852238309773</v>
      </c>
      <c r="I73" s="22">
        <f t="shared" si="71"/>
        <v>49090.932778754614</v>
      </c>
      <c r="J73" s="22">
        <f t="shared" si="71"/>
        <v>48067.877450942236</v>
      </c>
      <c r="K73" s="22">
        <f t="shared" si="71"/>
        <v>47922.095455178787</v>
      </c>
      <c r="L73" s="22">
        <f t="shared" si="71"/>
        <v>49575.843585283277</v>
      </c>
      <c r="M73" s="22">
        <f t="shared" si="71"/>
        <v>50361.313111746611</v>
      </c>
      <c r="N73" s="22">
        <f t="shared" si="71"/>
        <v>51030.102101321943</v>
      </c>
      <c r="O73" s="22">
        <f t="shared" si="71"/>
        <v>50995.958935395931</v>
      </c>
      <c r="P73" s="22">
        <f t="shared" si="71"/>
        <v>50422.780115455113</v>
      </c>
      <c r="Q73" s="22">
        <f t="shared" si="71"/>
        <v>50247.47999648485</v>
      </c>
      <c r="R73" s="22">
        <f t="shared" si="71"/>
        <v>50437.20578900558</v>
      </c>
      <c r="S73" s="22">
        <f t="shared" si="71"/>
        <v>49591.755111070597</v>
      </c>
      <c r="T73" s="22">
        <f t="shared" si="71"/>
        <v>49035.354824128801</v>
      </c>
      <c r="U73" s="22">
        <f t="shared" si="71"/>
        <v>49414.796099460007</v>
      </c>
      <c r="V73" s="22">
        <f t="shared" si="71"/>
        <v>49267.097795471636</v>
      </c>
      <c r="W73" s="22">
        <f t="shared" si="71"/>
        <v>50651.342624920959</v>
      </c>
      <c r="X73" s="22">
        <f t="shared" si="71"/>
        <v>50973.591038492857</v>
      </c>
      <c r="Y73" s="22">
        <f t="shared" si="71"/>
        <v>50458.164059092771</v>
      </c>
      <c r="Z73" s="22">
        <f t="shared" si="71"/>
        <v>50015.072106264684</v>
      </c>
      <c r="AA73" s="22">
        <f t="shared" si="71"/>
        <v>50110.234805430198</v>
      </c>
      <c r="AB73" s="22">
        <f t="shared" si="71"/>
        <v>49879.47357031166</v>
      </c>
      <c r="AC73" s="22">
        <f t="shared" si="71"/>
        <v>49816.343766362683</v>
      </c>
      <c r="AD73" s="22">
        <f t="shared" si="71"/>
        <v>49837.693321354207</v>
      </c>
      <c r="AE73" s="22">
        <f t="shared" si="71"/>
        <v>49552.184012065802</v>
      </c>
      <c r="AF73" s="22">
        <f t="shared" si="71"/>
        <v>49119.041014062772</v>
      </c>
      <c r="AG73" s="22">
        <f t="shared" si="71"/>
        <v>48506.139935969455</v>
      </c>
      <c r="AH73" s="22">
        <f t="shared" ref="AH73:BN73" si="72">SUM(AH71:AH72)</f>
        <v>48052.087616742072</v>
      </c>
      <c r="AI73" s="22">
        <f t="shared" si="72"/>
        <v>47638.317777423887</v>
      </c>
      <c r="AJ73" s="22">
        <f t="shared" si="72"/>
        <v>44281.625141792727</v>
      </c>
      <c r="AK73" s="22">
        <f t="shared" si="72"/>
        <v>44777.603240188735</v>
      </c>
      <c r="AL73" s="22">
        <f t="shared" si="72"/>
        <v>45674.238156273626</v>
      </c>
      <c r="AM73" s="22">
        <f t="shared" si="72"/>
        <v>45945.450168770549</v>
      </c>
      <c r="AN73" s="22">
        <f t="shared" si="72"/>
        <v>46286.279386350798</v>
      </c>
      <c r="AO73" s="22">
        <f t="shared" si="72"/>
        <v>46723.044131572678</v>
      </c>
      <c r="AP73" s="22">
        <f t="shared" si="72"/>
        <v>47201.97548913426</v>
      </c>
      <c r="AQ73" s="22">
        <f t="shared" si="72"/>
        <v>47750.259629439199</v>
      </c>
      <c r="AR73" s="22">
        <f t="shared" si="72"/>
        <v>48306.525795410198</v>
      </c>
      <c r="AS73" s="22">
        <f t="shared" si="72"/>
        <v>48923.083604508647</v>
      </c>
      <c r="AT73" s="22">
        <f t="shared" si="72"/>
        <v>49541.021815280816</v>
      </c>
      <c r="AU73" s="22">
        <f t="shared" si="72"/>
        <v>50047.419961261257</v>
      </c>
      <c r="AV73" s="22">
        <f t="shared" si="72"/>
        <v>50506.858447858001</v>
      </c>
      <c r="AW73" s="22">
        <f t="shared" si="72"/>
        <v>50990.925862911856</v>
      </c>
      <c r="AX73" s="22">
        <f t="shared" si="72"/>
        <v>51581.397695449181</v>
      </c>
      <c r="AY73" s="22">
        <f t="shared" si="72"/>
        <v>52077.754111662391</v>
      </c>
      <c r="AZ73" s="22">
        <f t="shared" si="72"/>
        <v>52594.688043018956</v>
      </c>
      <c r="BA73" s="22">
        <f t="shared" si="72"/>
        <v>53153.727539600775</v>
      </c>
      <c r="BB73" s="22">
        <f t="shared" si="72"/>
        <v>53602.794074740086</v>
      </c>
      <c r="BC73" s="22">
        <f t="shared" si="72"/>
        <v>54011.434569649296</v>
      </c>
      <c r="BD73" s="22">
        <f t="shared" si="72"/>
        <v>54384.722270103346</v>
      </c>
      <c r="BE73" s="22">
        <f t="shared" si="72"/>
        <v>54938.938650428805</v>
      </c>
      <c r="BF73" s="22">
        <f t="shared" si="72"/>
        <v>55422.928989595857</v>
      </c>
      <c r="BG73" s="22">
        <f t="shared" si="72"/>
        <v>55919.851198068005</v>
      </c>
      <c r="BH73" s="22">
        <f t="shared" si="72"/>
        <v>56433.820427617255</v>
      </c>
      <c r="BI73" s="22">
        <f t="shared" si="72"/>
        <v>56970.926611634524</v>
      </c>
      <c r="BJ73" s="22">
        <f t="shared" si="72"/>
        <v>57519.928616708639</v>
      </c>
      <c r="BK73" s="22">
        <f t="shared" si="72"/>
        <v>57204.10518409645</v>
      </c>
      <c r="BL73" s="22">
        <f t="shared" si="72"/>
        <v>56805.840154677426</v>
      </c>
      <c r="BM73" s="22">
        <f t="shared" si="72"/>
        <v>56300.916942057607</v>
      </c>
      <c r="BN73" s="22">
        <f t="shared" si="72"/>
        <v>55769.630533783464</v>
      </c>
    </row>
    <row r="74" spans="1:72" x14ac:dyDescent="0.3">
      <c r="C74" t="s">
        <v>930</v>
      </c>
      <c r="E74" t="s">
        <v>737</v>
      </c>
      <c r="F74" s="21">
        <v>30363.701489664549</v>
      </c>
      <c r="G74" s="21">
        <v>30620.087433327655</v>
      </c>
      <c r="H74" s="21">
        <v>30019.645292780151</v>
      </c>
      <c r="I74" s="21">
        <v>29126.832767672211</v>
      </c>
      <c r="J74" s="21">
        <v>28220.504029960546</v>
      </c>
      <c r="K74" s="21">
        <v>28658.334296648256</v>
      </c>
      <c r="L74" s="21">
        <v>29216.836454505894</v>
      </c>
      <c r="M74" s="21">
        <v>29686.534877773469</v>
      </c>
      <c r="N74" s="21">
        <v>30358.840057469566</v>
      </c>
      <c r="O74" s="21">
        <v>30552.5406715998</v>
      </c>
      <c r="P74" s="21">
        <v>30515.456515029604</v>
      </c>
      <c r="Q74" s="21">
        <v>30340.133527107813</v>
      </c>
      <c r="R74" s="21">
        <v>29862.347205058868</v>
      </c>
      <c r="S74" s="21">
        <v>28988.455674699828</v>
      </c>
      <c r="T74" s="21">
        <v>28771.73121104404</v>
      </c>
      <c r="U74" s="21">
        <v>28806.676410294196</v>
      </c>
      <c r="V74" s="21">
        <v>28710.685662648946</v>
      </c>
      <c r="W74" s="21">
        <v>27953.813125583809</v>
      </c>
      <c r="X74" s="21">
        <v>29128.465653077492</v>
      </c>
      <c r="Y74" s="21">
        <v>28566.814632287216</v>
      </c>
      <c r="Z74" s="21">
        <v>29466.291233402069</v>
      </c>
      <c r="AA74" s="21">
        <v>29540.386989025857</v>
      </c>
      <c r="AB74" s="21">
        <v>28765.723679034749</v>
      </c>
      <c r="AC74" s="21">
        <v>29976.162007053368</v>
      </c>
      <c r="AD74" s="21">
        <v>29854.259774176113</v>
      </c>
      <c r="AE74" s="21">
        <v>29764.794009191111</v>
      </c>
      <c r="AF74" s="21">
        <v>28493.468307353363</v>
      </c>
      <c r="AG74" s="21">
        <v>28161.291437902692</v>
      </c>
    </row>
    <row r="75" spans="1:72" x14ac:dyDescent="0.3">
      <c r="C75" t="s">
        <v>930</v>
      </c>
      <c r="E75" t="s">
        <v>739</v>
      </c>
      <c r="F75" s="21">
        <v>23966.513245185564</v>
      </c>
      <c r="G75" s="21">
        <v>25488.169557235855</v>
      </c>
      <c r="H75" s="21">
        <v>24918.03927597345</v>
      </c>
      <c r="I75" s="21">
        <v>24848.327264592699</v>
      </c>
      <c r="J75" s="21">
        <v>24505.816851306721</v>
      </c>
      <c r="K75" s="21">
        <v>24432.14794095813</v>
      </c>
      <c r="L75" s="21">
        <v>25202.904527562976</v>
      </c>
      <c r="M75" s="21">
        <v>25504.378529824888</v>
      </c>
      <c r="N75" s="21">
        <v>25890.467620410676</v>
      </c>
      <c r="O75" s="21">
        <v>25983.786939397698</v>
      </c>
      <c r="P75" s="21">
        <v>25868.394067579684</v>
      </c>
      <c r="Q75" s="21">
        <v>26002.535902574971</v>
      </c>
      <c r="R75" s="21">
        <v>26531.007410409438</v>
      </c>
      <c r="S75" s="21">
        <v>24775.301428664814</v>
      </c>
      <c r="T75" s="21">
        <v>24381.007267856174</v>
      </c>
      <c r="U75" s="21">
        <v>24606.540158008142</v>
      </c>
      <c r="V75" s="21">
        <v>24681.528992201023</v>
      </c>
      <c r="W75" s="21">
        <v>24370.637912824339</v>
      </c>
      <c r="X75" s="21">
        <v>25360.261324110521</v>
      </c>
      <c r="Y75" s="21">
        <v>24580.116845224002</v>
      </c>
      <c r="Z75" s="21">
        <v>25130.517014652847</v>
      </c>
      <c r="AA75" s="21">
        <v>25304.85592670933</v>
      </c>
      <c r="AB75" s="21">
        <v>24407.03698205229</v>
      </c>
      <c r="AC75" s="21">
        <v>25679.803908205235</v>
      </c>
      <c r="AD75" s="21">
        <v>25935.14594405461</v>
      </c>
      <c r="AE75" s="21">
        <v>24944.276967369409</v>
      </c>
      <c r="AF75" s="21">
        <v>23249.801068831042</v>
      </c>
      <c r="AG75" s="21">
        <v>23515.861940250066</v>
      </c>
    </row>
    <row r="76" spans="1:72" x14ac:dyDescent="0.3">
      <c r="C76" t="s">
        <v>930</v>
      </c>
      <c r="E76" t="s">
        <v>936</v>
      </c>
      <c r="F76" s="21">
        <f>SUM(F74:F75)</f>
        <v>54330.214734850117</v>
      </c>
      <c r="G76" s="21">
        <f t="shared" ref="G76:AG76" si="73">SUM(G74:G75)</f>
        <v>56108.25699056351</v>
      </c>
      <c r="H76" s="21">
        <f t="shared" si="73"/>
        <v>54937.684568753597</v>
      </c>
      <c r="I76" s="21">
        <f t="shared" si="73"/>
        <v>53975.16003226491</v>
      </c>
      <c r="J76" s="21">
        <f t="shared" si="73"/>
        <v>52726.320881267267</v>
      </c>
      <c r="K76" s="21">
        <f t="shared" si="73"/>
        <v>53090.482237606382</v>
      </c>
      <c r="L76" s="21">
        <f t="shared" si="73"/>
        <v>54419.74098206887</v>
      </c>
      <c r="M76" s="21">
        <f t="shared" si="73"/>
        <v>55190.91340759836</v>
      </c>
      <c r="N76" s="21">
        <f t="shared" si="73"/>
        <v>56249.307677880242</v>
      </c>
      <c r="O76" s="21">
        <f t="shared" si="73"/>
        <v>56536.327610997498</v>
      </c>
      <c r="P76" s="21">
        <f t="shared" si="73"/>
        <v>56383.850582609288</v>
      </c>
      <c r="Q76" s="21">
        <f t="shared" si="73"/>
        <v>56342.669429682785</v>
      </c>
      <c r="R76" s="21">
        <f t="shared" si="73"/>
        <v>56393.354615468306</v>
      </c>
      <c r="S76" s="21">
        <f t="shared" si="73"/>
        <v>53763.757103364638</v>
      </c>
      <c r="T76" s="21">
        <f t="shared" si="73"/>
        <v>53152.73847890021</v>
      </c>
      <c r="U76" s="21">
        <f t="shared" si="73"/>
        <v>53413.216568302334</v>
      </c>
      <c r="V76" s="21">
        <f t="shared" si="73"/>
        <v>53392.214654849973</v>
      </c>
      <c r="W76" s="21">
        <f t="shared" si="73"/>
        <v>52324.451038408151</v>
      </c>
      <c r="X76" s="21">
        <f t="shared" si="73"/>
        <v>54488.726977188009</v>
      </c>
      <c r="Y76" s="21">
        <f t="shared" si="73"/>
        <v>53146.931477511214</v>
      </c>
      <c r="Z76" s="21">
        <f t="shared" si="73"/>
        <v>54596.80824805492</v>
      </c>
      <c r="AA76" s="21">
        <f t="shared" si="73"/>
        <v>54845.242915735187</v>
      </c>
      <c r="AB76" s="21">
        <f t="shared" si="73"/>
        <v>53172.760661087043</v>
      </c>
      <c r="AC76" s="21">
        <f t="shared" si="73"/>
        <v>55655.965915258603</v>
      </c>
      <c r="AD76" s="21">
        <f t="shared" si="73"/>
        <v>55789.405718230722</v>
      </c>
      <c r="AE76" s="21">
        <f t="shared" si="73"/>
        <v>54709.070976560521</v>
      </c>
      <c r="AF76" s="21">
        <f t="shared" si="73"/>
        <v>51743.269376184406</v>
      </c>
      <c r="AG76" s="21">
        <f t="shared" si="73"/>
        <v>51677.153378152754</v>
      </c>
    </row>
    <row r="77" spans="1:72" x14ac:dyDescent="0.3">
      <c r="C77" t="s">
        <v>929</v>
      </c>
      <c r="E77" t="s">
        <v>931</v>
      </c>
      <c r="F77" s="21">
        <v>28841.456935165024</v>
      </c>
      <c r="G77" s="21">
        <v>28874.617245415291</v>
      </c>
      <c r="H77" s="21">
        <v>28503.853708721526</v>
      </c>
      <c r="I77" s="21">
        <v>27532.104557575753</v>
      </c>
      <c r="J77" s="21">
        <v>26764.22321356984</v>
      </c>
      <c r="K77" s="21">
        <v>27088.29125785478</v>
      </c>
      <c r="L77" s="21">
        <v>27651.842000083903</v>
      </c>
      <c r="M77" s="21">
        <v>28174.583312846415</v>
      </c>
      <c r="N77" s="21">
        <v>28871.518161673943</v>
      </c>
      <c r="O77" s="21">
        <v>29040.146748956548</v>
      </c>
      <c r="P77" s="21">
        <v>28604.298593734209</v>
      </c>
      <c r="Q77" s="21">
        <v>28439.006817138674</v>
      </c>
      <c r="R77" s="21">
        <v>28158.262684927948</v>
      </c>
      <c r="S77" s="21">
        <v>27538.048485484789</v>
      </c>
      <c r="T77" s="21">
        <v>27384.26705791508</v>
      </c>
      <c r="U77" s="21">
        <v>27326.584253461606</v>
      </c>
      <c r="V77" s="21">
        <v>27258.009133790336</v>
      </c>
      <c r="W77" s="21">
        <v>26600.052385004816</v>
      </c>
      <c r="X77" s="21">
        <v>27439.669575781179</v>
      </c>
      <c r="Y77" s="21">
        <v>26868.002037732236</v>
      </c>
      <c r="Z77" s="21">
        <v>27664.377940114457</v>
      </c>
      <c r="AA77" s="21">
        <v>27801.534910949355</v>
      </c>
      <c r="AB77" s="21">
        <v>27190.794316586092</v>
      </c>
      <c r="AC77" s="21">
        <v>28125.443821791141</v>
      </c>
      <c r="AD77" s="21">
        <v>28132.073619111641</v>
      </c>
      <c r="AE77" s="21">
        <v>28022.596440230893</v>
      </c>
      <c r="AF77" s="21">
        <v>26770.512864029439</v>
      </c>
      <c r="AG77" s="21">
        <v>26272.330661039257</v>
      </c>
    </row>
    <row r="78" spans="1:72" x14ac:dyDescent="0.3">
      <c r="C78" t="s">
        <v>929</v>
      </c>
      <c r="E78" t="s">
        <v>932</v>
      </c>
      <c r="F78" s="21">
        <v>23017.116995923152</v>
      </c>
      <c r="G78" s="21">
        <v>24357.943795318199</v>
      </c>
      <c r="H78" s="21">
        <v>23923.781404274614</v>
      </c>
      <c r="I78" s="21">
        <v>23808.52866974326</v>
      </c>
      <c r="J78" s="21">
        <v>23548.815692626868</v>
      </c>
      <c r="K78" s="21">
        <v>23406.439056039562</v>
      </c>
      <c r="L78" s="21">
        <v>24181.443878145627</v>
      </c>
      <c r="M78" s="21">
        <v>24510.581335681734</v>
      </c>
      <c r="N78" s="21">
        <v>24916.730028994498</v>
      </c>
      <c r="O78" s="21">
        <v>24998.953710091639</v>
      </c>
      <c r="P78" s="21">
        <v>24625.134604822408</v>
      </c>
      <c r="Q78" s="21">
        <v>24764.073774517499</v>
      </c>
      <c r="R78" s="21">
        <v>25420.639847835555</v>
      </c>
      <c r="S78" s="21">
        <v>23846.988468835058</v>
      </c>
      <c r="T78" s="21">
        <v>23504.925758751408</v>
      </c>
      <c r="U78" s="21">
        <v>23672.708379593492</v>
      </c>
      <c r="V78" s="21">
        <v>23765.786841217523</v>
      </c>
      <c r="W78" s="21">
        <v>23512.70116086525</v>
      </c>
      <c r="X78" s="21">
        <v>24252.381704460829</v>
      </c>
      <c r="Y78" s="21">
        <v>23516.503660101647</v>
      </c>
      <c r="Z78" s="21">
        <v>23986.77417374069</v>
      </c>
      <c r="AA78" s="21">
        <v>24215.606096707954</v>
      </c>
      <c r="AB78" s="21">
        <v>23466.796841445379</v>
      </c>
      <c r="AC78" s="21">
        <v>24452.726550481024</v>
      </c>
      <c r="AD78" s="21">
        <v>24798.187695034216</v>
      </c>
      <c r="AE78" s="21">
        <v>23781.729632572271</v>
      </c>
      <c r="AF78" s="21">
        <v>22214.078479972708</v>
      </c>
      <c r="AG78" s="21">
        <v>22369.490596120992</v>
      </c>
    </row>
    <row r="79" spans="1:72" x14ac:dyDescent="0.3">
      <c r="C79" t="s">
        <v>929</v>
      </c>
      <c r="E79" t="s">
        <v>933</v>
      </c>
      <c r="F79" s="21">
        <v>51858.573931088176</v>
      </c>
      <c r="G79" s="21">
        <v>53232.56104073349</v>
      </c>
      <c r="H79" s="21">
        <v>52427.63511299614</v>
      </c>
      <c r="I79" s="21">
        <v>51340.633227319013</v>
      </c>
      <c r="J79" s="21">
        <v>50313.038906196707</v>
      </c>
      <c r="K79" s="21">
        <v>50494.730313894339</v>
      </c>
      <c r="L79" s="21">
        <v>51833.28587822953</v>
      </c>
      <c r="M79" s="21">
        <v>52685.164648528153</v>
      </c>
      <c r="N79" s="21">
        <v>53788.248190668441</v>
      </c>
      <c r="O79" s="21">
        <v>54039.10045904819</v>
      </c>
      <c r="P79" s="21">
        <v>53229.433198556617</v>
      </c>
      <c r="Q79" s="21">
        <v>53203.080591656173</v>
      </c>
      <c r="R79" s="21">
        <v>53578.902532763503</v>
      </c>
      <c r="S79" s="21">
        <v>51385.036954319847</v>
      </c>
      <c r="T79" s="21">
        <v>50889.192816666487</v>
      </c>
      <c r="U79" s="21">
        <v>50999.292633055098</v>
      </c>
      <c r="V79" s="21">
        <v>51023.795975007859</v>
      </c>
      <c r="W79" s="21">
        <v>50112.753545870066</v>
      </c>
      <c r="X79" s="21">
        <v>51692.051280242013</v>
      </c>
      <c r="Y79" s="21">
        <v>50384.505697833883</v>
      </c>
      <c r="Z79" s="21">
        <v>51651.152113855147</v>
      </c>
      <c r="AA79" s="21">
        <v>52017.141007657308</v>
      </c>
      <c r="AB79" s="21">
        <v>50657.591158031471</v>
      </c>
      <c r="AC79" s="21">
        <v>52578.170372272165</v>
      </c>
      <c r="AD79" s="21">
        <v>52930.261314145857</v>
      </c>
      <c r="AE79" s="21">
        <v>51804.32607280316</v>
      </c>
      <c r="AF79" s="21">
        <v>48984.591344002147</v>
      </c>
      <c r="AG79" s="21">
        <v>48641.821257160249</v>
      </c>
    </row>
    <row r="80" spans="1:72" x14ac:dyDescent="0.3">
      <c r="E80" t="s">
        <v>727</v>
      </c>
      <c r="F80" s="49">
        <f>(F73-F76)/F76</f>
        <v>-6.4045440840285739E-2</v>
      </c>
      <c r="G80" s="49">
        <f t="shared" ref="G80:AG80" si="74">(G73-G76)/G76</f>
        <v>-9.4363292067637106E-2</v>
      </c>
      <c r="H80" s="49">
        <f t="shared" si="74"/>
        <v>-8.9443746474139149E-2</v>
      </c>
      <c r="I80" s="49">
        <f t="shared" si="74"/>
        <v>-9.0490278316741182E-2</v>
      </c>
      <c r="J80" s="49">
        <f t="shared" si="74"/>
        <v>-8.8351384137255323E-2</v>
      </c>
      <c r="K80" s="49">
        <f t="shared" si="74"/>
        <v>-9.7350533741556292E-2</v>
      </c>
      <c r="L80" s="49">
        <f t="shared" si="74"/>
        <v>-8.9009931127412775E-2</v>
      </c>
      <c r="M80" s="49">
        <f t="shared" si="74"/>
        <v>-8.7507163727912465E-2</v>
      </c>
      <c r="N80" s="49">
        <f t="shared" si="74"/>
        <v>-9.2787018934469931E-2</v>
      </c>
      <c r="O80" s="49">
        <f t="shared" si="74"/>
        <v>-9.799661403058392E-2</v>
      </c>
      <c r="P80" s="49">
        <f t="shared" si="74"/>
        <v>-0.10572301120904243</v>
      </c>
      <c r="Q80" s="49">
        <f t="shared" si="74"/>
        <v>-0.10818070025604484</v>
      </c>
      <c r="R80" s="49">
        <f t="shared" si="74"/>
        <v>-0.10561792018006667</v>
      </c>
      <c r="S80" s="49">
        <f t="shared" si="74"/>
        <v>-7.7598780611129375E-2</v>
      </c>
      <c r="T80" s="49">
        <f t="shared" si="74"/>
        <v>-7.7463245970024047E-2</v>
      </c>
      <c r="U80" s="49">
        <f t="shared" si="74"/>
        <v>-7.4858260290865147E-2</v>
      </c>
      <c r="V80" s="49">
        <f t="shared" si="74"/>
        <v>-7.7260643448578595E-2</v>
      </c>
      <c r="W80" s="49">
        <f t="shared" si="74"/>
        <v>-3.1975651541170817E-2</v>
      </c>
      <c r="X80" s="49">
        <f t="shared" si="74"/>
        <v>-6.4511250926577557E-2</v>
      </c>
      <c r="Y80" s="49">
        <f t="shared" si="74"/>
        <v>-5.0591207124651746E-2</v>
      </c>
      <c r="Z80" s="49">
        <f t="shared" si="74"/>
        <v>-8.3919487032531173E-2</v>
      </c>
      <c r="AA80" s="49">
        <f t="shared" si="74"/>
        <v>-8.6333980097050636E-2</v>
      </c>
      <c r="AB80" s="49">
        <f t="shared" si="74"/>
        <v>-6.1935604806494085E-2</v>
      </c>
      <c r="AC80" s="49">
        <f t="shared" si="74"/>
        <v>-0.10492356125464231</v>
      </c>
      <c r="AD80" s="49">
        <f t="shared" si="74"/>
        <v>-0.10668176726843372</v>
      </c>
      <c r="AE80" s="49">
        <f t="shared" si="74"/>
        <v>-9.4260181583125921E-2</v>
      </c>
      <c r="AF80" s="49">
        <f t="shared" si="74"/>
        <v>-5.071632298769032E-2</v>
      </c>
      <c r="AG80" s="49">
        <f t="shared" si="74"/>
        <v>-6.1361999160036741E-2</v>
      </c>
    </row>
    <row r="113" spans="1:72" s="19" customFormat="1" ht="15.6" x14ac:dyDescent="0.3">
      <c r="A113" s="17" t="s">
        <v>716</v>
      </c>
      <c r="B113" s="17"/>
      <c r="C113" s="17"/>
      <c r="D113" s="17"/>
      <c r="E113" s="17"/>
      <c r="F113" s="17">
        <v>1990</v>
      </c>
      <c r="G113" s="17">
        <v>1991</v>
      </c>
      <c r="H113" s="17">
        <v>1992</v>
      </c>
      <c r="I113" s="17">
        <v>1993</v>
      </c>
      <c r="J113" s="17">
        <v>1994</v>
      </c>
      <c r="K113" s="17">
        <v>1995</v>
      </c>
      <c r="L113" s="17">
        <v>1996</v>
      </c>
      <c r="M113" s="17">
        <v>1997</v>
      </c>
      <c r="N113" s="17">
        <v>1998</v>
      </c>
      <c r="O113" s="17">
        <v>1999</v>
      </c>
      <c r="P113" s="17">
        <v>2000</v>
      </c>
      <c r="Q113" s="17">
        <v>2001</v>
      </c>
      <c r="R113" s="17">
        <v>2002</v>
      </c>
      <c r="S113" s="17">
        <v>2003</v>
      </c>
      <c r="T113" s="17">
        <v>2004</v>
      </c>
      <c r="U113" s="17">
        <v>2005</v>
      </c>
      <c r="V113" s="17">
        <v>2006</v>
      </c>
      <c r="W113" s="17">
        <v>2007</v>
      </c>
      <c r="X113" s="17">
        <v>2008</v>
      </c>
      <c r="Y113" s="17">
        <v>2009</v>
      </c>
      <c r="Z113" s="17">
        <v>2010</v>
      </c>
      <c r="AA113" s="17">
        <v>2011</v>
      </c>
      <c r="AB113" s="17">
        <v>2012</v>
      </c>
      <c r="AC113" s="17">
        <v>2013</v>
      </c>
      <c r="AD113" s="17">
        <v>2014</v>
      </c>
      <c r="AE113" s="17">
        <v>2015</v>
      </c>
      <c r="AF113" s="17">
        <v>2016</v>
      </c>
      <c r="AG113" s="17">
        <v>2017</v>
      </c>
      <c r="AH113" s="17">
        <v>2018</v>
      </c>
      <c r="AI113" s="17">
        <v>2019</v>
      </c>
      <c r="AJ113" s="17">
        <v>2020</v>
      </c>
      <c r="AK113" s="17">
        <v>2021</v>
      </c>
      <c r="AL113" s="17">
        <v>2022</v>
      </c>
      <c r="AM113" s="17">
        <v>2023</v>
      </c>
      <c r="AN113" s="17">
        <v>2024</v>
      </c>
      <c r="AO113" s="17">
        <v>2025</v>
      </c>
      <c r="AP113" s="17">
        <v>2026</v>
      </c>
      <c r="AQ113" s="17">
        <v>2027</v>
      </c>
      <c r="AR113" s="17">
        <v>2028</v>
      </c>
      <c r="AS113" s="17">
        <v>2029</v>
      </c>
      <c r="AT113" s="17">
        <v>2030</v>
      </c>
      <c r="AU113" s="17">
        <v>2031</v>
      </c>
      <c r="AV113" s="17">
        <v>2032</v>
      </c>
      <c r="AW113" s="17">
        <v>2033</v>
      </c>
      <c r="AX113" s="17">
        <v>2034</v>
      </c>
      <c r="AY113" s="17">
        <v>2035</v>
      </c>
      <c r="AZ113" s="17">
        <v>2036</v>
      </c>
      <c r="BA113" s="17">
        <v>2037</v>
      </c>
      <c r="BB113" s="17">
        <v>2038</v>
      </c>
      <c r="BC113" s="17">
        <v>2039</v>
      </c>
      <c r="BD113" s="17">
        <v>2040</v>
      </c>
      <c r="BE113" s="17">
        <v>2041</v>
      </c>
      <c r="BF113" s="17">
        <v>2042</v>
      </c>
      <c r="BG113" s="17">
        <v>2043</v>
      </c>
      <c r="BH113" s="17">
        <v>2044</v>
      </c>
      <c r="BI113" s="17">
        <v>2045</v>
      </c>
      <c r="BJ113" s="17">
        <v>2046</v>
      </c>
      <c r="BK113" s="17">
        <v>2047</v>
      </c>
      <c r="BL113" s="17">
        <v>2048</v>
      </c>
      <c r="BM113" s="17">
        <v>2049</v>
      </c>
      <c r="BN113" s="17">
        <v>2050</v>
      </c>
      <c r="BO113" s="17"/>
      <c r="BP113" s="17"/>
      <c r="BQ113" s="17"/>
      <c r="BR113" s="17"/>
      <c r="BS113" s="17"/>
      <c r="BT113" s="17"/>
    </row>
    <row r="114" spans="1:72" x14ac:dyDescent="0.3">
      <c r="E114" t="s">
        <v>634</v>
      </c>
      <c r="F114" s="22">
        <v>1113.9523335609101</v>
      </c>
      <c r="G114" s="22">
        <v>1113.9523335609101</v>
      </c>
      <c r="H114" s="22">
        <v>1113.9523335609101</v>
      </c>
      <c r="I114" s="22">
        <v>1113.9523335609101</v>
      </c>
      <c r="J114" s="22">
        <v>1113.9523335609101</v>
      </c>
      <c r="K114" s="22">
        <v>1113.9523335609101</v>
      </c>
      <c r="L114" s="22">
        <v>1113.9523335609101</v>
      </c>
      <c r="M114" s="22">
        <v>1113.9523335609101</v>
      </c>
      <c r="N114" s="22">
        <v>1113.9523335609101</v>
      </c>
      <c r="O114" s="22">
        <v>1113.9523335609101</v>
      </c>
      <c r="P114" s="22">
        <v>1103.4776992955053</v>
      </c>
      <c r="Q114" s="22">
        <v>1282.5517441798665</v>
      </c>
      <c r="R114" s="22">
        <v>1288.9176046937982</v>
      </c>
      <c r="S114" s="22">
        <v>1011.4345809085878</v>
      </c>
      <c r="T114" s="22">
        <v>883.38003872679235</v>
      </c>
      <c r="U114" s="22">
        <v>1412.334298727088</v>
      </c>
      <c r="V114" s="22">
        <v>1236.8838978672777</v>
      </c>
      <c r="W114" s="22">
        <v>1218.5771221263838</v>
      </c>
      <c r="X114" s="22">
        <v>1139.8644942847</v>
      </c>
      <c r="Y114" s="22">
        <v>1078.8713756473658</v>
      </c>
      <c r="Z114" s="22">
        <v>1107.055106514</v>
      </c>
      <c r="AA114" s="22">
        <v>1093.3943713178221</v>
      </c>
      <c r="AB114" s="22">
        <v>1003.5637069444559</v>
      </c>
      <c r="AC114" s="22">
        <v>949.58031288518987</v>
      </c>
      <c r="AD114" s="22">
        <v>1016.956735075512</v>
      </c>
      <c r="AE114" s="22">
        <v>737.86776841461585</v>
      </c>
      <c r="AF114" s="22">
        <v>446.18919850209591</v>
      </c>
      <c r="AG114" s="22">
        <v>416.70692080806589</v>
      </c>
      <c r="AH114" s="22">
        <v>953.41633153144642</v>
      </c>
      <c r="AI114" s="22">
        <v>949.15511278249028</v>
      </c>
      <c r="AJ114" s="22">
        <v>936.84581085219077</v>
      </c>
      <c r="AK114" s="22">
        <v>923.04801254060374</v>
      </c>
      <c r="AL114" s="22">
        <v>923.83086633988489</v>
      </c>
      <c r="AM114" s="22">
        <v>927.35133953171032</v>
      </c>
      <c r="AN114" s="22">
        <v>905.10328771083891</v>
      </c>
      <c r="AO114" s="22">
        <v>888.09961309554592</v>
      </c>
      <c r="AP114" s="22">
        <v>872.75163677437502</v>
      </c>
      <c r="AQ114" s="22">
        <v>857.75800408852626</v>
      </c>
      <c r="AR114" s="22">
        <v>850.61092272546864</v>
      </c>
      <c r="AS114" s="22">
        <v>840.04010457174638</v>
      </c>
      <c r="AT114" s="22">
        <v>828.99691103493274</v>
      </c>
      <c r="AU114" s="22">
        <v>823.86011211605364</v>
      </c>
      <c r="AV114" s="22">
        <v>820.57662159257097</v>
      </c>
      <c r="AW114" s="22">
        <v>817.40761700308474</v>
      </c>
      <c r="AX114" s="22">
        <v>825.66666083675238</v>
      </c>
      <c r="AY114" s="22">
        <v>847.83925712437895</v>
      </c>
      <c r="AZ114" s="22">
        <v>872.92498755693396</v>
      </c>
      <c r="BA114" s="22">
        <v>868.57139706063037</v>
      </c>
      <c r="BB114" s="22">
        <v>864.20568430768526</v>
      </c>
      <c r="BC114" s="22">
        <v>860.27723737280223</v>
      </c>
      <c r="BD114" s="22">
        <v>856.87697424917883</v>
      </c>
      <c r="BE114" s="22">
        <v>853.2172938983382</v>
      </c>
      <c r="BF114" s="22">
        <v>849.16257657644303</v>
      </c>
      <c r="BG114" s="22">
        <v>846.10063420939923</v>
      </c>
      <c r="BH114" s="22">
        <v>843.78828540199515</v>
      </c>
      <c r="BI114" s="22">
        <v>842.18087202380002</v>
      </c>
      <c r="BJ114" s="22">
        <v>841.31426607401693</v>
      </c>
      <c r="BK114" s="22">
        <v>840.76910455168797</v>
      </c>
      <c r="BL114" s="22">
        <v>840.78400975380032</v>
      </c>
      <c r="BM114" s="22">
        <v>841.40450616562623</v>
      </c>
      <c r="BN114" s="22">
        <v>842.3577371508793</v>
      </c>
    </row>
    <row r="115" spans="1:72" x14ac:dyDescent="0.3">
      <c r="E115" t="s">
        <v>635</v>
      </c>
      <c r="F115" s="22">
        <v>1149.3522600947301</v>
      </c>
      <c r="G115" s="22">
        <v>1149.3522600947301</v>
      </c>
      <c r="H115" s="22">
        <v>1149.3522600947301</v>
      </c>
      <c r="I115" s="22">
        <v>1149.3522600947301</v>
      </c>
      <c r="J115" s="22">
        <v>1149.3522600947301</v>
      </c>
      <c r="K115" s="22">
        <v>1149.3522600947301</v>
      </c>
      <c r="L115" s="22">
        <v>1149.3522600947301</v>
      </c>
      <c r="M115" s="22">
        <v>1149.3522600947301</v>
      </c>
      <c r="N115" s="22">
        <v>1149.3522600947301</v>
      </c>
      <c r="O115" s="22">
        <v>1149.3522600947301</v>
      </c>
      <c r="P115" s="22">
        <v>1138.2881924240246</v>
      </c>
      <c r="Q115" s="22">
        <v>1347.8625366593228</v>
      </c>
      <c r="R115" s="22">
        <v>1328.3690110437451</v>
      </c>
      <c r="S115" s="22">
        <v>1017.5651134275211</v>
      </c>
      <c r="T115" s="22">
        <v>914.67644691903695</v>
      </c>
      <c r="U115" s="22">
        <v>1447.9112474339306</v>
      </c>
      <c r="V115" s="22">
        <v>1263.4019893034997</v>
      </c>
      <c r="W115" s="22">
        <v>1217.4357899565925</v>
      </c>
      <c r="X115" s="22">
        <v>1180.1818937292605</v>
      </c>
      <c r="Y115" s="22">
        <v>1108.1395844539597</v>
      </c>
      <c r="Z115" s="22">
        <v>1121.7567904983002</v>
      </c>
      <c r="AA115" s="22">
        <v>1111.0832034573957</v>
      </c>
      <c r="AB115" s="22">
        <v>1002.2217969563279</v>
      </c>
      <c r="AC115" s="22">
        <v>980.55948658247996</v>
      </c>
      <c r="AD115" s="22">
        <v>1029.1314860411758</v>
      </c>
      <c r="AE115" s="22">
        <v>747.9095108761079</v>
      </c>
      <c r="AF115" s="22">
        <v>434.96704823788798</v>
      </c>
      <c r="AG115" s="22">
        <v>408.31943255002801</v>
      </c>
      <c r="AH115" s="22">
        <v>989.03967398644897</v>
      </c>
      <c r="AI115" s="22">
        <v>983.28512705702065</v>
      </c>
      <c r="AJ115" s="22">
        <v>967.27577435076694</v>
      </c>
      <c r="AK115" s="22">
        <v>951.32589869564811</v>
      </c>
      <c r="AL115" s="22">
        <v>951.82222399409432</v>
      </c>
      <c r="AM115" s="22">
        <v>954.41954409596531</v>
      </c>
      <c r="AN115" s="22">
        <v>930.44926853734853</v>
      </c>
      <c r="AO115" s="22">
        <v>912.78960790996337</v>
      </c>
      <c r="AP115" s="22">
        <v>898.22919868546933</v>
      </c>
      <c r="AQ115" s="22">
        <v>882.09325874190063</v>
      </c>
      <c r="AR115" s="22">
        <v>873.40235457932522</v>
      </c>
      <c r="AS115" s="22">
        <v>862.31073006877352</v>
      </c>
      <c r="AT115" s="22">
        <v>850.85907023504603</v>
      </c>
      <c r="AU115" s="22">
        <v>845.85323510737715</v>
      </c>
      <c r="AV115" s="22">
        <v>841.5016547924979</v>
      </c>
      <c r="AW115" s="22">
        <v>837.08693229819619</v>
      </c>
      <c r="AX115" s="22">
        <v>844.96547356760379</v>
      </c>
      <c r="AY115" s="22">
        <v>868.20013695114835</v>
      </c>
      <c r="AZ115" s="22">
        <v>894.24675120583186</v>
      </c>
      <c r="BA115" s="22">
        <v>889.12106883561182</v>
      </c>
      <c r="BB115" s="22">
        <v>884.02389968930368</v>
      </c>
      <c r="BC115" s="22">
        <v>879.52937488119107</v>
      </c>
      <c r="BD115" s="22">
        <v>875.64808458729772</v>
      </c>
      <c r="BE115" s="22">
        <v>871.49158854939481</v>
      </c>
      <c r="BF115" s="22">
        <v>866.96291161788429</v>
      </c>
      <c r="BG115" s="22">
        <v>863.4900838991623</v>
      </c>
      <c r="BH115" s="22">
        <v>860.78270440740164</v>
      </c>
      <c r="BI115" s="22">
        <v>858.70396634124506</v>
      </c>
      <c r="BJ115" s="22">
        <v>857.40507988521222</v>
      </c>
      <c r="BK115" s="22">
        <v>856.48577373147191</v>
      </c>
      <c r="BL115" s="22">
        <v>856.13590414360988</v>
      </c>
      <c r="BM115" s="22">
        <v>856.39584520938138</v>
      </c>
      <c r="BN115" s="22">
        <v>856.95995783585226</v>
      </c>
    </row>
    <row r="116" spans="1:72" x14ac:dyDescent="0.3">
      <c r="E116" t="s">
        <v>113</v>
      </c>
      <c r="F116" s="22">
        <v>357.5</v>
      </c>
      <c r="G116" s="22">
        <v>378.125</v>
      </c>
      <c r="H116" s="22">
        <v>261.25</v>
      </c>
      <c r="I116" s="22">
        <v>412.5</v>
      </c>
      <c r="J116" s="22">
        <v>595.58170833333327</v>
      </c>
      <c r="K116" s="22">
        <v>473.34145833333332</v>
      </c>
      <c r="L116" s="22">
        <v>579.13625000000002</v>
      </c>
      <c r="M116" s="22">
        <v>547.24312499999996</v>
      </c>
      <c r="N116" s="22">
        <v>570.31379166666659</v>
      </c>
      <c r="O116" s="22">
        <v>567.03808333333325</v>
      </c>
      <c r="P116" s="22">
        <v>378.2405</v>
      </c>
      <c r="Q116" s="22">
        <v>489.66362500000002</v>
      </c>
      <c r="R116" s="22">
        <v>672.79437500000006</v>
      </c>
      <c r="S116" s="22">
        <v>580.13175000000001</v>
      </c>
      <c r="T116" s="22">
        <v>579.7403333333333</v>
      </c>
      <c r="U116" s="22">
        <v>266.03683333333333</v>
      </c>
      <c r="V116" s="22">
        <v>441.42908333333332</v>
      </c>
      <c r="W116" s="22">
        <v>521.42108333333329</v>
      </c>
      <c r="X116" s="22">
        <v>655.32637499999998</v>
      </c>
      <c r="Y116" s="22">
        <v>695.56775237855516</v>
      </c>
      <c r="Z116" s="22">
        <v>653.23730656422072</v>
      </c>
      <c r="AA116" s="22">
        <v>722.61220387104663</v>
      </c>
      <c r="AB116" s="22">
        <v>829.6141641239476</v>
      </c>
      <c r="AC116" s="22">
        <v>749.65665536353811</v>
      </c>
      <c r="AD116" s="22">
        <v>773.17356970483502</v>
      </c>
      <c r="AE116" s="22">
        <v>780.22864400722403</v>
      </c>
      <c r="AF116" s="22">
        <v>982.47410734237747</v>
      </c>
      <c r="AG116" s="22">
        <v>1218.2311736138793</v>
      </c>
      <c r="AH116" s="22">
        <v>811.87988683203434</v>
      </c>
      <c r="AI116" s="22">
        <v>828.16067939806783</v>
      </c>
      <c r="AJ116" s="22">
        <v>843.63256429682531</v>
      </c>
      <c r="AK116" s="22">
        <v>859.17385233712901</v>
      </c>
      <c r="AL116" s="22">
        <v>874.71514028200966</v>
      </c>
      <c r="AM116" s="22">
        <v>890.25642822689031</v>
      </c>
      <c r="AN116" s="22">
        <v>905.79771617177096</v>
      </c>
      <c r="AO116" s="22">
        <v>921.33900421207466</v>
      </c>
      <c r="AP116" s="22">
        <v>937.31140020964233</v>
      </c>
      <c r="AQ116" s="22">
        <v>953.28379620720989</v>
      </c>
      <c r="AR116" s="22">
        <v>969.25619220477756</v>
      </c>
      <c r="AS116" s="22">
        <v>985.22858820234535</v>
      </c>
      <c r="AT116" s="22">
        <v>1001.2009841999131</v>
      </c>
      <c r="AU116" s="22">
        <v>1016.9832349872023</v>
      </c>
      <c r="AV116" s="22">
        <v>1032.7654856790691</v>
      </c>
      <c r="AW116" s="22">
        <v>1048.5477364663586</v>
      </c>
      <c r="AX116" s="22">
        <v>1064.3299871582253</v>
      </c>
      <c r="AY116" s="22">
        <v>1080.1122378500922</v>
      </c>
      <c r="AZ116" s="22">
        <v>1096.1072036429516</v>
      </c>
      <c r="BA116" s="22">
        <v>1112.1021694358108</v>
      </c>
      <c r="BB116" s="22">
        <v>1128.0971351332469</v>
      </c>
      <c r="BC116" s="22">
        <v>1144.092100926106</v>
      </c>
      <c r="BD116" s="22">
        <v>1160.0870667189654</v>
      </c>
      <c r="BE116" s="22">
        <v>1176.8778874608386</v>
      </c>
      <c r="BF116" s="22">
        <v>1193.6687081072885</v>
      </c>
      <c r="BG116" s="22">
        <v>1210.4595288491616</v>
      </c>
      <c r="BH116" s="22">
        <v>1227.2503495910348</v>
      </c>
      <c r="BI116" s="22">
        <v>1244.0411703329078</v>
      </c>
      <c r="BJ116" s="22">
        <v>1260.6054327894071</v>
      </c>
      <c r="BK116" s="22">
        <v>1277.169695245907</v>
      </c>
      <c r="BL116" s="22">
        <v>1293.7339577978294</v>
      </c>
      <c r="BM116" s="22">
        <v>1310.2982202543287</v>
      </c>
      <c r="BN116" s="22">
        <v>1326.8624827108285</v>
      </c>
    </row>
    <row r="117" spans="1:72" x14ac:dyDescent="0.3">
      <c r="E117" t="s">
        <v>636</v>
      </c>
      <c r="F117" s="22">
        <v>90.994567483487728</v>
      </c>
      <c r="G117" s="22">
        <v>111.62690198838213</v>
      </c>
      <c r="H117" s="22">
        <v>132.25923649327655</v>
      </c>
      <c r="I117" s="22">
        <v>152.89157099816552</v>
      </c>
      <c r="J117" s="22">
        <v>173.52390550305992</v>
      </c>
      <c r="K117" s="22">
        <v>194.15624000795432</v>
      </c>
      <c r="L117" s="22">
        <v>214.78857451284878</v>
      </c>
      <c r="M117" s="22">
        <v>235.42090901774316</v>
      </c>
      <c r="N117" s="22">
        <v>256.05324352263762</v>
      </c>
      <c r="O117" s="22">
        <v>276.68557802753202</v>
      </c>
      <c r="P117" s="22">
        <v>297.31791253242642</v>
      </c>
      <c r="Q117" s="22">
        <v>317.95024703732088</v>
      </c>
      <c r="R117" s="22">
        <v>338.58258154220977</v>
      </c>
      <c r="S117" s="22">
        <v>359.21491604710423</v>
      </c>
      <c r="T117" s="22">
        <v>435.89846666666671</v>
      </c>
      <c r="U117" s="22">
        <v>355.08659999999998</v>
      </c>
      <c r="V117" s="22">
        <v>393.08573333333334</v>
      </c>
      <c r="W117" s="22">
        <v>484.55366666666663</v>
      </c>
      <c r="X117" s="22">
        <v>480.19253333333336</v>
      </c>
      <c r="Y117" s="22">
        <v>380.54426666666666</v>
      </c>
      <c r="Z117" s="22">
        <v>501.48046666666664</v>
      </c>
      <c r="AA117" s="22">
        <v>571.19113333333337</v>
      </c>
      <c r="AB117" s="22">
        <v>587.22106666666662</v>
      </c>
      <c r="AC117" s="22">
        <v>533.06336966666674</v>
      </c>
      <c r="AD117" s="22">
        <v>663.77159200000006</v>
      </c>
      <c r="AE117" s="22">
        <v>486.09938600666663</v>
      </c>
      <c r="AF117" s="22">
        <v>643.60119999999995</v>
      </c>
      <c r="AG117" s="22">
        <v>679.61446666666666</v>
      </c>
      <c r="AH117" s="22">
        <v>581.01044193354528</v>
      </c>
      <c r="AI117" s="22">
        <v>596.09913131599728</v>
      </c>
      <c r="AJ117" s="22">
        <v>610.43814242074211</v>
      </c>
      <c r="AK117" s="22">
        <v>624.84147486861002</v>
      </c>
      <c r="AL117" s="22">
        <v>639.24480722804208</v>
      </c>
      <c r="AM117" s="22">
        <v>653.64813958747379</v>
      </c>
      <c r="AN117" s="22">
        <v>668.05147194690596</v>
      </c>
      <c r="AO117" s="22">
        <v>682.45480439477376</v>
      </c>
      <c r="AP117" s="22">
        <v>697.25767845163148</v>
      </c>
      <c r="AQ117" s="22">
        <v>712.06055250848885</v>
      </c>
      <c r="AR117" s="22">
        <v>726.86342656534669</v>
      </c>
      <c r="AS117" s="22">
        <v>741.66630062220418</v>
      </c>
      <c r="AT117" s="22">
        <v>756.46917467906189</v>
      </c>
      <c r="AU117" s="22">
        <v>771.09582623300321</v>
      </c>
      <c r="AV117" s="22">
        <v>785.72247769850878</v>
      </c>
      <c r="AW117" s="22">
        <v>800.34912925244987</v>
      </c>
      <c r="AX117" s="22">
        <v>814.97578071795544</v>
      </c>
      <c r="AY117" s="22">
        <v>829.60243218346091</v>
      </c>
      <c r="AZ117" s="22">
        <v>844.42622344254914</v>
      </c>
      <c r="BA117" s="22">
        <v>859.2500147016375</v>
      </c>
      <c r="BB117" s="22">
        <v>874.07380587229011</v>
      </c>
      <c r="BC117" s="22">
        <v>888.89759713137823</v>
      </c>
      <c r="BD117" s="22">
        <v>903.72138839046647</v>
      </c>
      <c r="BE117" s="22">
        <v>919.28276094791306</v>
      </c>
      <c r="BF117" s="22">
        <v>934.8441334169238</v>
      </c>
      <c r="BG117" s="22">
        <v>950.40550597437027</v>
      </c>
      <c r="BH117" s="22">
        <v>965.96687853181686</v>
      </c>
      <c r="BI117" s="22">
        <v>981.52825108926322</v>
      </c>
      <c r="BJ117" s="22">
        <v>996.87965428673249</v>
      </c>
      <c r="BK117" s="22">
        <v>1012.231057484201</v>
      </c>
      <c r="BL117" s="22">
        <v>1027.5824607701059</v>
      </c>
      <c r="BM117" s="22">
        <v>1042.9338639675743</v>
      </c>
      <c r="BN117" s="22">
        <v>1058.2852671650435</v>
      </c>
    </row>
    <row r="118" spans="1:72" x14ac:dyDescent="0.3">
      <c r="E118" t="s">
        <v>637</v>
      </c>
      <c r="F118" s="22">
        <v>19504.904423790304</v>
      </c>
      <c r="G118" s="22">
        <v>20660.917389673377</v>
      </c>
      <c r="H118" s="22">
        <v>20413.635505827424</v>
      </c>
      <c r="I118" s="22">
        <v>20401.840953256564</v>
      </c>
      <c r="J118" s="22">
        <v>20005.189321068094</v>
      </c>
      <c r="K118" s="22">
        <v>19413.178172066404</v>
      </c>
      <c r="L118" s="22">
        <v>20236.165839433314</v>
      </c>
      <c r="M118" s="22">
        <v>20567.076909773743</v>
      </c>
      <c r="N118" s="22">
        <v>20477.475675482336</v>
      </c>
      <c r="O118" s="22">
        <v>20440.765105122711</v>
      </c>
      <c r="P118" s="22">
        <v>20694.986539568359</v>
      </c>
      <c r="Q118" s="22">
        <v>19970.885013290266</v>
      </c>
      <c r="R118" s="22">
        <v>20364.171552574975</v>
      </c>
      <c r="S118" s="22">
        <v>20058.54412967978</v>
      </c>
      <c r="T118" s="22">
        <v>19708.290781864089</v>
      </c>
      <c r="U118" s="22">
        <v>19400.216324542769</v>
      </c>
      <c r="V118" s="22">
        <v>19051.161605532838</v>
      </c>
      <c r="W118" s="22">
        <v>19933.38774514115</v>
      </c>
      <c r="X118" s="22">
        <v>20282.655015129261</v>
      </c>
      <c r="Y118" s="22">
        <v>20068.349414068991</v>
      </c>
      <c r="Z118" s="22">
        <v>19848.964864156231</v>
      </c>
      <c r="AA118" s="22">
        <v>19725.318772611696</v>
      </c>
      <c r="AB118" s="22">
        <v>20225.965895215482</v>
      </c>
      <c r="AC118" s="22">
        <v>20168.260387452727</v>
      </c>
      <c r="AD118" s="22">
        <v>20134.219305294246</v>
      </c>
      <c r="AE118" s="22">
        <v>19667.183224832243</v>
      </c>
      <c r="AF118" s="22">
        <v>18969.40439195502</v>
      </c>
      <c r="AG118" s="22">
        <v>19186.386775060691</v>
      </c>
      <c r="AH118" s="22">
        <v>19753.029018517012</v>
      </c>
      <c r="AI118" s="22">
        <v>19783.906857628604</v>
      </c>
      <c r="AJ118" s="22">
        <v>19779.701574173283</v>
      </c>
      <c r="AK118" s="22">
        <v>19778.904215576487</v>
      </c>
      <c r="AL118" s="22">
        <v>19777.995181996146</v>
      </c>
      <c r="AM118" s="22">
        <v>19776.984421077901</v>
      </c>
      <c r="AN118" s="22">
        <v>19775.880594293696</v>
      </c>
      <c r="AO118" s="22">
        <v>19774.691289095183</v>
      </c>
      <c r="AP118" s="22">
        <v>19775.119562820179</v>
      </c>
      <c r="AQ118" s="22">
        <v>19775.477408932729</v>
      </c>
      <c r="AR118" s="22">
        <v>19775.769943136052</v>
      </c>
      <c r="AS118" s="22">
        <v>19776.001736032402</v>
      </c>
      <c r="AT118" s="22">
        <v>19776.176888033733</v>
      </c>
      <c r="AU118" s="22">
        <v>19775.548399840234</v>
      </c>
      <c r="AV118" s="22">
        <v>19774.869408512444</v>
      </c>
      <c r="AW118" s="22">
        <v>19774.142986120893</v>
      </c>
      <c r="AX118" s="22">
        <v>19773.371926377677</v>
      </c>
      <c r="AY118" s="22">
        <v>19772.558779923431</v>
      </c>
      <c r="AZ118" s="22">
        <v>19772.548026839973</v>
      </c>
      <c r="BA118" s="22">
        <v>19772.500515214859</v>
      </c>
      <c r="BB118" s="22">
        <v>19772.418179134187</v>
      </c>
      <c r="BC118" s="22">
        <v>19772.302803273826</v>
      </c>
      <c r="BD118" s="22">
        <v>19772.156036103148</v>
      </c>
      <c r="BE118" s="22">
        <v>19775.137703889606</v>
      </c>
      <c r="BF118" s="22">
        <v>19778.093650274055</v>
      </c>
      <c r="BG118" s="22">
        <v>19781.025091887313</v>
      </c>
      <c r="BH118" s="22">
        <v>19783.933160775436</v>
      </c>
      <c r="BI118" s="22">
        <v>19786.818913472423</v>
      </c>
      <c r="BJ118" s="22">
        <v>19788.782445242443</v>
      </c>
      <c r="BK118" s="22">
        <v>19790.724893801369</v>
      </c>
      <c r="BL118" s="22">
        <v>19792.647148841716</v>
      </c>
      <c r="BM118" s="22">
        <v>19794.550044580425</v>
      </c>
      <c r="BN118" s="22">
        <v>19796.434366442383</v>
      </c>
    </row>
    <row r="119" spans="1:72" x14ac:dyDescent="0.3">
      <c r="E119" t="s">
        <v>639</v>
      </c>
      <c r="F119" s="22">
        <v>2388.0102035123605</v>
      </c>
      <c r="G119" s="22">
        <v>2422.3649563517615</v>
      </c>
      <c r="H119" s="22">
        <v>2366.0160295258652</v>
      </c>
      <c r="I119" s="22">
        <v>2332.024314033295</v>
      </c>
      <c r="J119" s="22">
        <v>2269.8856393890724</v>
      </c>
      <c r="K119" s="22">
        <v>2257.3551747657566</v>
      </c>
      <c r="L119" s="22">
        <v>2332.8794219128258</v>
      </c>
      <c r="M119" s="22">
        <v>2353.4608848045295</v>
      </c>
      <c r="N119" s="22">
        <v>2375.1086873788704</v>
      </c>
      <c r="O119" s="22">
        <v>2369.8122167060246</v>
      </c>
      <c r="P119" s="22">
        <v>2379.1334621159244</v>
      </c>
      <c r="Q119" s="22">
        <v>2332.4757077458062</v>
      </c>
      <c r="R119" s="22">
        <v>2352.5031586422174</v>
      </c>
      <c r="S119" s="22">
        <v>2317.0522227606916</v>
      </c>
      <c r="T119" s="22">
        <v>2291.1004488983099</v>
      </c>
      <c r="U119" s="22">
        <v>2260.716684821874</v>
      </c>
      <c r="V119" s="22">
        <v>2276.1004128580194</v>
      </c>
      <c r="W119" s="22">
        <v>2334.5451499588221</v>
      </c>
      <c r="X119" s="22">
        <v>2364.8401504898161</v>
      </c>
      <c r="Y119" s="22">
        <v>2357.3087175615215</v>
      </c>
      <c r="Z119" s="22">
        <v>2316.7336232801035</v>
      </c>
      <c r="AA119" s="22">
        <v>2313.3914976011652</v>
      </c>
      <c r="AB119" s="22">
        <v>2334.0985551108756</v>
      </c>
      <c r="AC119" s="22">
        <v>2348.8400209329502</v>
      </c>
      <c r="AD119" s="22">
        <v>2344.4692750460258</v>
      </c>
      <c r="AE119" s="22">
        <v>2299.7650755104332</v>
      </c>
      <c r="AF119" s="22">
        <v>2252.6390591444524</v>
      </c>
      <c r="AG119" s="22">
        <v>2235.452591217253</v>
      </c>
      <c r="AH119" s="22">
        <v>2318.6708655488487</v>
      </c>
      <c r="AI119" s="22">
        <v>2326.0988391477244</v>
      </c>
      <c r="AJ119" s="22">
        <v>2329.177625426456</v>
      </c>
      <c r="AK119" s="22">
        <v>2333.0242915983672</v>
      </c>
      <c r="AL119" s="22">
        <v>2336.8440320658519</v>
      </c>
      <c r="AM119" s="22">
        <v>2340.639256805041</v>
      </c>
      <c r="AN119" s="22">
        <v>2344.4120677609794</v>
      </c>
      <c r="AO119" s="22">
        <v>2348.1643090770926</v>
      </c>
      <c r="AP119" s="22">
        <v>2352.2228962152631</v>
      </c>
      <c r="AQ119" s="22">
        <v>2356.2646437004828</v>
      </c>
      <c r="AR119" s="22">
        <v>2360.2907919866634</v>
      </c>
      <c r="AS119" s="22">
        <v>2364.3024503005117</v>
      </c>
      <c r="AT119" s="22">
        <v>2368.3006144703381</v>
      </c>
      <c r="AU119" s="22">
        <v>2372.1420454436102</v>
      </c>
      <c r="AV119" s="22">
        <v>2375.9714551742882</v>
      </c>
      <c r="AW119" s="22">
        <v>2379.7895929910815</v>
      </c>
      <c r="AX119" s="22">
        <v>2383.5971404881425</v>
      </c>
      <c r="AY119" s="22">
        <v>2387.3947198876349</v>
      </c>
      <c r="AZ119" s="22">
        <v>2391.3447618385985</v>
      </c>
      <c r="BA119" s="22">
        <v>2395.2861478850841</v>
      </c>
      <c r="BB119" s="22">
        <v>2399.2193476668131</v>
      </c>
      <c r="BC119" s="22">
        <v>2403.1447942638629</v>
      </c>
      <c r="BD119" s="22">
        <v>2407.0628875054431</v>
      </c>
      <c r="BE119" s="22">
        <v>2411.5815060623418</v>
      </c>
      <c r="BF119" s="22">
        <v>2416.0941731688263</v>
      </c>
      <c r="BG119" s="22">
        <v>2420.6011787744819</v>
      </c>
      <c r="BH119" s="22">
        <v>2425.1027925074882</v>
      </c>
      <c r="BI119" s="22">
        <v>2429.5992657799802</v>
      </c>
      <c r="BJ119" s="22">
        <v>2433.9174402150056</v>
      </c>
      <c r="BK119" s="22">
        <v>2438.2307601014945</v>
      </c>
      <c r="BL119" s="22">
        <v>2442.5394374527291</v>
      </c>
      <c r="BM119" s="22">
        <v>2446.8436708840272</v>
      </c>
      <c r="BN119" s="22">
        <v>2451.1436471198567</v>
      </c>
    </row>
    <row r="120" spans="1:72" x14ac:dyDescent="0.3">
      <c r="E120" t="s">
        <v>638</v>
      </c>
      <c r="F120" s="22">
        <v>343.10330161578099</v>
      </c>
      <c r="G120" s="22">
        <v>365.58614133033353</v>
      </c>
      <c r="H120" s="22">
        <v>339.91114682728761</v>
      </c>
      <c r="I120" s="22">
        <v>352.62601984444137</v>
      </c>
      <c r="J120" s="22">
        <v>336.24824053022888</v>
      </c>
      <c r="K120" s="22">
        <v>354.90652971327108</v>
      </c>
      <c r="L120" s="22">
        <v>370.7282945162878</v>
      </c>
      <c r="M120" s="22">
        <v>367.33263044382841</v>
      </c>
      <c r="N120" s="22">
        <v>376.31467332854538</v>
      </c>
      <c r="O120" s="22">
        <v>380.26274683162796</v>
      </c>
      <c r="P120" s="22">
        <v>420.72277135231604</v>
      </c>
      <c r="Q120" s="22">
        <v>418.37207720994593</v>
      </c>
      <c r="R120" s="22">
        <v>406.12517665445523</v>
      </c>
      <c r="S120" s="22">
        <v>385.62180744131297</v>
      </c>
      <c r="T120" s="22">
        <v>383.11027791084422</v>
      </c>
      <c r="U120" s="22">
        <v>402.62502084090437</v>
      </c>
      <c r="V120" s="22">
        <v>407.68948429226828</v>
      </c>
      <c r="W120" s="22">
        <v>415.77221135959962</v>
      </c>
      <c r="X120" s="22">
        <v>450.38785912632164</v>
      </c>
      <c r="Y120" s="22">
        <v>447.90280780802436</v>
      </c>
      <c r="Z120" s="22">
        <v>450.47531382738657</v>
      </c>
      <c r="AA120" s="22">
        <v>455.70252815125627</v>
      </c>
      <c r="AB120" s="22">
        <v>454.2990120208886</v>
      </c>
      <c r="AC120" s="22">
        <v>467.1027930484243</v>
      </c>
      <c r="AD120" s="22">
        <v>463.97224881283108</v>
      </c>
      <c r="AE120" s="22">
        <v>471.70799949786652</v>
      </c>
      <c r="AF120" s="22">
        <v>471.14622162385422</v>
      </c>
      <c r="AG120" s="22">
        <v>483.13167606001025</v>
      </c>
      <c r="AH120" s="22">
        <v>468.97422378872818</v>
      </c>
      <c r="AI120" s="22">
        <v>475.2249218374152</v>
      </c>
      <c r="AJ120" s="22">
        <v>478.65003949368145</v>
      </c>
      <c r="AK120" s="22">
        <v>483.65498664992003</v>
      </c>
      <c r="AL120" s="22">
        <v>488.60759728253828</v>
      </c>
      <c r="AM120" s="22">
        <v>493.5128571299885</v>
      </c>
      <c r="AN120" s="22">
        <v>498.37510389742414</v>
      </c>
      <c r="AO120" s="22">
        <v>503.19813309399137</v>
      </c>
      <c r="AP120" s="22">
        <v>508.15424956126054</v>
      </c>
      <c r="AQ120" s="22">
        <v>513.07909238907621</v>
      </c>
      <c r="AR120" s="22">
        <v>517.97517053522256</v>
      </c>
      <c r="AS120" s="22">
        <v>522.84471928557002</v>
      </c>
      <c r="AT120" s="22">
        <v>527.6897377871494</v>
      </c>
      <c r="AU120" s="22">
        <v>532.43584846049509</v>
      </c>
      <c r="AV120" s="22">
        <v>537.16025527304782</v>
      </c>
      <c r="AW120" s="22">
        <v>541.86445238147269</v>
      </c>
      <c r="AX120" s="22">
        <v>546.54979385461331</v>
      </c>
      <c r="AY120" s="22">
        <v>551.21751045982899</v>
      </c>
      <c r="AZ120" s="22">
        <v>555.95546154582189</v>
      </c>
      <c r="BA120" s="22">
        <v>560.67847366596118</v>
      </c>
      <c r="BB120" s="22">
        <v>565.38745674669474</v>
      </c>
      <c r="BC120" s="22">
        <v>570.0832456614994</v>
      </c>
      <c r="BD120" s="22">
        <v>574.76660781803753</v>
      </c>
      <c r="BE120" s="22">
        <v>579.76740432819008</v>
      </c>
      <c r="BF120" s="22">
        <v>584.75875710576554</v>
      </c>
      <c r="BG120" s="22">
        <v>589.74119153472066</v>
      </c>
      <c r="BH120" s="22">
        <v>594.71519356554461</v>
      </c>
      <c r="BI120" s="22">
        <v>599.68121356374206</v>
      </c>
      <c r="BJ120" s="22">
        <v>604.54493484405009</v>
      </c>
      <c r="BK120" s="22">
        <v>609.40109743030723</v>
      </c>
      <c r="BL120" s="22">
        <v>614.25008012470573</v>
      </c>
      <c r="BM120" s="22">
        <v>619.09223605574277</v>
      </c>
      <c r="BN120" s="22">
        <v>623.92789508309704</v>
      </c>
    </row>
    <row r="121" spans="1:72" x14ac:dyDescent="0.3">
      <c r="E121" t="s">
        <v>740</v>
      </c>
      <c r="F121">
        <v>1114.2730572677472</v>
      </c>
      <c r="G121">
        <v>1114.2730572677472</v>
      </c>
      <c r="H121">
        <v>1114.2730572677472</v>
      </c>
      <c r="I121">
        <v>1114.2730572677472</v>
      </c>
      <c r="J121">
        <v>1114.2730572677472</v>
      </c>
      <c r="K121">
        <v>1114.2730572677472</v>
      </c>
      <c r="L121">
        <v>1114.2730572677472</v>
      </c>
      <c r="M121">
        <v>1114.2730572677472</v>
      </c>
      <c r="N121">
        <v>1114.2730572677472</v>
      </c>
      <c r="O121">
        <v>1114.2730572677472</v>
      </c>
      <c r="P121">
        <v>1103.7473247333526</v>
      </c>
      <c r="Q121">
        <v>1295.1615779672622</v>
      </c>
      <c r="R121">
        <v>1300.4179901779976</v>
      </c>
      <c r="S121">
        <v>1021.2239026078485</v>
      </c>
      <c r="T121">
        <v>890.95637702591955</v>
      </c>
      <c r="U121">
        <v>1429.3697355873492</v>
      </c>
      <c r="V121">
        <v>1251.7694565972624</v>
      </c>
      <c r="W121">
        <v>1234.9730242836924</v>
      </c>
      <c r="X121">
        <v>1150.1284038185643</v>
      </c>
      <c r="Y121">
        <v>1091.261696265384</v>
      </c>
      <c r="Z121">
        <v>1116.957250242162</v>
      </c>
      <c r="AA121">
        <v>1100.5811063069254</v>
      </c>
      <c r="AB121">
        <v>1010.9312887182766</v>
      </c>
      <c r="AC121">
        <v>956.65662263461502</v>
      </c>
      <c r="AD121">
        <v>1024.1532025090505</v>
      </c>
      <c r="AE121">
        <v>742.78507159014475</v>
      </c>
      <c r="AF121">
        <v>448.47103409650083</v>
      </c>
      <c r="AG121">
        <v>418.78097085765791</v>
      </c>
    </row>
    <row r="122" spans="1:72" x14ac:dyDescent="0.3">
      <c r="E122" t="s">
        <v>741</v>
      </c>
      <c r="F122">
        <v>1149.6141682079121</v>
      </c>
      <c r="G122">
        <v>1149.6141682079121</v>
      </c>
      <c r="H122">
        <v>1149.6141682079121</v>
      </c>
      <c r="I122">
        <v>1149.6141682079121</v>
      </c>
      <c r="J122">
        <v>1149.6141682079121</v>
      </c>
      <c r="K122">
        <v>1149.6141682079121</v>
      </c>
      <c r="L122">
        <v>1149.6141682079121</v>
      </c>
      <c r="M122">
        <v>1149.6141682079121</v>
      </c>
      <c r="N122">
        <v>1149.6141682079121</v>
      </c>
      <c r="O122">
        <v>1149.6141682079121</v>
      </c>
      <c r="P122">
        <v>1138.5083728727629</v>
      </c>
      <c r="Q122">
        <v>1348.0477860975932</v>
      </c>
      <c r="R122">
        <v>1328.8199324792706</v>
      </c>
      <c r="S122">
        <v>1017.846389296701</v>
      </c>
      <c r="T122">
        <v>914.84836029323264</v>
      </c>
      <c r="U122">
        <v>1448.2029822975244</v>
      </c>
      <c r="V122">
        <v>1263.6284316097351</v>
      </c>
      <c r="W122">
        <v>1217.6306521923173</v>
      </c>
      <c r="X122">
        <v>1180.4178811371937</v>
      </c>
      <c r="Y122">
        <v>1108.455283615433</v>
      </c>
      <c r="Z122">
        <v>1122.512590663056</v>
      </c>
      <c r="AA122">
        <v>1111.8425729905728</v>
      </c>
      <c r="AB122">
        <v>1003.2623700366383</v>
      </c>
      <c r="AC122">
        <v>980.98785105992999</v>
      </c>
      <c r="AD122">
        <v>1029.413853897383</v>
      </c>
      <c r="AE122">
        <v>748.29527463252236</v>
      </c>
      <c r="AF122">
        <v>435.50232253439043</v>
      </c>
      <c r="AG122">
        <v>408.72643283393637</v>
      </c>
    </row>
    <row r="123" spans="1:72" x14ac:dyDescent="0.3">
      <c r="E123" t="s">
        <v>742</v>
      </c>
      <c r="F123">
        <v>363.73333333333335</v>
      </c>
      <c r="G123">
        <v>386.1</v>
      </c>
      <c r="H123">
        <v>266.2</v>
      </c>
      <c r="I123">
        <v>413.6</v>
      </c>
      <c r="J123">
        <v>603.75919999999996</v>
      </c>
      <c r="K123">
        <v>481.52980333333335</v>
      </c>
      <c r="L123">
        <v>588.48859666666669</v>
      </c>
      <c r="M123">
        <v>556.65125999999998</v>
      </c>
      <c r="N123">
        <v>581.37815999999998</v>
      </c>
      <c r="O123">
        <v>577.08170666666672</v>
      </c>
      <c r="P123">
        <v>384.05253333333332</v>
      </c>
      <c r="Q123">
        <v>497.15031666666664</v>
      </c>
      <c r="R123">
        <v>683.69223999999997</v>
      </c>
      <c r="S123">
        <v>585.99346666666668</v>
      </c>
      <c r="T123">
        <v>585.5420633333332</v>
      </c>
      <c r="U123">
        <v>267.37941999999998</v>
      </c>
      <c r="V123">
        <v>445.96068000000002</v>
      </c>
      <c r="W123">
        <v>524.87031666666667</v>
      </c>
      <c r="X123">
        <v>658.9218166666667</v>
      </c>
      <c r="Y123">
        <v>701.39039489690549</v>
      </c>
      <c r="Z123">
        <v>659.21936851962221</v>
      </c>
      <c r="AA123">
        <v>728.33299508239213</v>
      </c>
      <c r="AB123">
        <v>834.93197842496943</v>
      </c>
      <c r="AC123">
        <v>755.27559526787866</v>
      </c>
      <c r="AD123">
        <v>778.70394325525831</v>
      </c>
      <c r="AE123">
        <v>785.73244765147194</v>
      </c>
      <c r="AF123">
        <v>987.21624034293666</v>
      </c>
      <c r="AG123">
        <v>1222.085428916417</v>
      </c>
    </row>
    <row r="124" spans="1:72" x14ac:dyDescent="0.3">
      <c r="E124" t="s">
        <v>743</v>
      </c>
      <c r="F124">
        <v>90.994567483487728</v>
      </c>
      <c r="G124">
        <v>111.62690198838213</v>
      </c>
      <c r="H124">
        <v>132.25923649327655</v>
      </c>
      <c r="I124">
        <v>152.89157099816552</v>
      </c>
      <c r="J124">
        <v>173.52390550305992</v>
      </c>
      <c r="K124">
        <v>194.15624000795432</v>
      </c>
      <c r="L124">
        <v>214.78857451284878</v>
      </c>
      <c r="M124">
        <v>235.42090901774316</v>
      </c>
      <c r="N124">
        <v>256.05324352263756</v>
      </c>
      <c r="O124">
        <v>276.68557802753202</v>
      </c>
      <c r="P124">
        <v>297.31791253242642</v>
      </c>
      <c r="Q124">
        <v>317.95024703732088</v>
      </c>
      <c r="R124">
        <v>338.58258154220977</v>
      </c>
      <c r="S124">
        <v>359.21491604710423</v>
      </c>
      <c r="T124">
        <v>435.89846666666665</v>
      </c>
      <c r="U124">
        <v>355.08659999999998</v>
      </c>
      <c r="V124">
        <v>393.08573333333334</v>
      </c>
      <c r="W124">
        <v>484.55366666666663</v>
      </c>
      <c r="X124">
        <v>480.1925333333333</v>
      </c>
      <c r="Y124">
        <v>380.54426666666666</v>
      </c>
      <c r="Z124">
        <v>501.48046666666664</v>
      </c>
      <c r="AA124">
        <v>571.19113333333325</v>
      </c>
      <c r="AB124">
        <v>587.22106666666662</v>
      </c>
      <c r="AC124">
        <v>533.06336966666674</v>
      </c>
      <c r="AD124">
        <v>663.77159200000006</v>
      </c>
      <c r="AE124">
        <v>486.09938600666663</v>
      </c>
      <c r="AF124">
        <v>643.60119999999995</v>
      </c>
      <c r="AG124">
        <v>679.61446666666666</v>
      </c>
    </row>
    <row r="125" spans="1:72" x14ac:dyDescent="0.3">
      <c r="E125" t="s">
        <v>744</v>
      </c>
      <c r="F125">
        <v>18467.2344176074</v>
      </c>
      <c r="G125">
        <v>19894.379979012047</v>
      </c>
      <c r="H125">
        <v>19508.057170250366</v>
      </c>
      <c r="I125">
        <v>19296.286149483876</v>
      </c>
      <c r="J125">
        <v>18829.799299341739</v>
      </c>
      <c r="K125">
        <v>18816.693751205934</v>
      </c>
      <c r="L125">
        <v>19386.372113208152</v>
      </c>
      <c r="M125">
        <v>19675.368284891847</v>
      </c>
      <c r="N125">
        <v>19967.155293555603</v>
      </c>
      <c r="O125">
        <v>20038.391547786159</v>
      </c>
      <c r="P125">
        <v>20072.524975980316</v>
      </c>
      <c r="Q125">
        <v>19701.088061992123</v>
      </c>
      <c r="R125">
        <v>20023.216099759749</v>
      </c>
      <c r="S125">
        <v>19072.340993484708</v>
      </c>
      <c r="T125">
        <v>18849.389549512067</v>
      </c>
      <c r="U125">
        <v>18446.259485586925</v>
      </c>
      <c r="V125">
        <v>18589.571736189206</v>
      </c>
      <c r="W125">
        <v>18224.734436942501</v>
      </c>
      <c r="X125">
        <v>19088.198147813157</v>
      </c>
      <c r="Y125">
        <v>18553.028011451712</v>
      </c>
      <c r="Z125">
        <v>18939.805460502525</v>
      </c>
      <c r="AA125">
        <v>18994.993526805851</v>
      </c>
      <c r="AB125">
        <v>18278.302953548075</v>
      </c>
      <c r="AC125">
        <v>19582.342769355033</v>
      </c>
      <c r="AD125">
        <v>19570.475186144038</v>
      </c>
      <c r="AE125">
        <v>19327.673861761683</v>
      </c>
      <c r="AF125">
        <v>18029.075027657447</v>
      </c>
      <c r="AG125">
        <v>18081.049004423898</v>
      </c>
    </row>
    <row r="126" spans="1:72" x14ac:dyDescent="0.3">
      <c r="E126" t="s">
        <v>745</v>
      </c>
      <c r="F126">
        <v>2447.8863951470803</v>
      </c>
      <c r="G126">
        <v>2496.9018451868697</v>
      </c>
      <c r="H126">
        <v>2435.3630625952328</v>
      </c>
      <c r="I126">
        <v>2396.995208451192</v>
      </c>
      <c r="J126">
        <v>2325.2582722477832</v>
      </c>
      <c r="K126">
        <v>2349.1668279124592</v>
      </c>
      <c r="L126">
        <v>2406.4403578126485</v>
      </c>
      <c r="M126">
        <v>2433.097951693017</v>
      </c>
      <c r="N126">
        <v>2471.2628832175142</v>
      </c>
      <c r="O126">
        <v>2472.2132034057472</v>
      </c>
      <c r="P126">
        <v>2480.4922407158388</v>
      </c>
      <c r="Q126">
        <v>2454.0922943343203</v>
      </c>
      <c r="R126">
        <v>2476.3439129367157</v>
      </c>
      <c r="S126">
        <v>2359.3324950161041</v>
      </c>
      <c r="T126">
        <v>2347.4845744803165</v>
      </c>
      <c r="U126">
        <v>2284.6952992295182</v>
      </c>
      <c r="V126">
        <v>2357.5665947783837</v>
      </c>
      <c r="W126">
        <v>2297.5662221729922</v>
      </c>
      <c r="X126">
        <v>2380.9463845396517</v>
      </c>
      <c r="Y126">
        <v>2329.35287655092</v>
      </c>
      <c r="Z126">
        <v>2369.3465541862302</v>
      </c>
      <c r="AA126">
        <v>2370.4305491547971</v>
      </c>
      <c r="AB126">
        <v>2269.153208313021</v>
      </c>
      <c r="AC126">
        <v>2431.7524623901409</v>
      </c>
      <c r="AD126">
        <v>2430.5768400701409</v>
      </c>
      <c r="AE126">
        <v>2407.0023766672321</v>
      </c>
      <c r="AF126">
        <v>2265.174978621726</v>
      </c>
      <c r="AG126">
        <v>2253.2585636522972</v>
      </c>
    </row>
    <row r="127" spans="1:72" x14ac:dyDescent="0.3">
      <c r="E127" t="s">
        <v>746</v>
      </c>
      <c r="F127">
        <v>332.77730613860399</v>
      </c>
      <c r="G127">
        <v>353.03457691007083</v>
      </c>
      <c r="H127">
        <v>329.75336223257443</v>
      </c>
      <c r="I127">
        <v>341.70939722274608</v>
      </c>
      <c r="J127">
        <v>326.52853902593881</v>
      </c>
      <c r="K127">
        <v>344.58323593662567</v>
      </c>
      <c r="L127">
        <v>360.27670046049241</v>
      </c>
      <c r="M127">
        <v>357.64284080532752</v>
      </c>
      <c r="N127">
        <v>367.73848791261435</v>
      </c>
      <c r="O127">
        <v>372.0452384281258</v>
      </c>
      <c r="P127">
        <v>408.94308689508148</v>
      </c>
      <c r="Q127">
        <v>406.68937516322404</v>
      </c>
      <c r="R127">
        <v>397.06973777083419</v>
      </c>
      <c r="S127">
        <v>376.09010924780205</v>
      </c>
      <c r="T127">
        <v>374.09743931517124</v>
      </c>
      <c r="U127">
        <v>392.69820864834276</v>
      </c>
      <c r="V127">
        <v>398.35557315486267</v>
      </c>
      <c r="W127">
        <v>404.14478384272525</v>
      </c>
      <c r="X127">
        <v>438.4751035531649</v>
      </c>
      <c r="Y127">
        <v>433.26067452840772</v>
      </c>
      <c r="Z127">
        <v>438.54251424027257</v>
      </c>
      <c r="AA127">
        <v>444.74604882624305</v>
      </c>
      <c r="AB127">
        <v>440.60780254144959</v>
      </c>
      <c r="AC127">
        <v>456.58226294187887</v>
      </c>
      <c r="AD127">
        <v>454.87268271519412</v>
      </c>
      <c r="AE127">
        <v>463.54275866618883</v>
      </c>
      <c r="AF127">
        <v>458.22071963845576</v>
      </c>
      <c r="AG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00000000-0003-0000-1100-000006000000}">
          <x14:colorSeries rgb="FF376092"/>
          <x14:colorNegative rgb="FFD00000"/>
          <x14:colorAxis rgb="FF000000"/>
          <x14:colorMarkers rgb="FFD00000"/>
          <x14:colorFirst rgb="FFD00000"/>
          <x14:colorLast rgb="FFD00000"/>
          <x14:colorHigh rgb="FFD00000"/>
          <x14:colorLow rgb="FFD00000"/>
          <x14:sparklines>
            <x14:sparkline>
              <xm:f>'Emissions summary'!F5:AG5</xm:f>
              <xm:sqref>BP5</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4B1C9-29C9-4DDE-93E9-B52E228E0229}">
  <sheetPr>
    <tabColor rgb="FFFF0066"/>
  </sheetPr>
  <dimension ref="A1:H92"/>
  <sheetViews>
    <sheetView workbookViewId="0">
      <selection activeCell="C12" sqref="C12"/>
    </sheetView>
  </sheetViews>
  <sheetFormatPr defaultColWidth="8.77734375" defaultRowHeight="14.4" x14ac:dyDescent="0.3"/>
  <cols>
    <col min="1" max="1" width="12.33203125" style="90" customWidth="1"/>
    <col min="2" max="2" width="53.77734375" customWidth="1"/>
    <col min="3" max="3" width="12.44140625" customWidth="1"/>
    <col min="4" max="4" width="14" customWidth="1"/>
    <col min="5" max="5" width="12.44140625" customWidth="1"/>
    <col min="6" max="6" width="15.109375" customWidth="1"/>
    <col min="7" max="7" width="12.77734375" customWidth="1"/>
    <col min="8" max="8" width="12" customWidth="1"/>
    <col min="9" max="26" width="12" bestFit="1" customWidth="1"/>
    <col min="27" max="27" width="10" bestFit="1" customWidth="1"/>
    <col min="28" max="31" width="12" bestFit="1" customWidth="1"/>
    <col min="32" max="32" width="10" bestFit="1" customWidth="1"/>
    <col min="33" max="36" width="12" bestFit="1" customWidth="1"/>
  </cols>
  <sheetData>
    <row r="1" spans="1:8" ht="18" x14ac:dyDescent="0.35">
      <c r="B1" s="1" t="s">
        <v>940</v>
      </c>
      <c r="C1" s="90">
        <f>DriversCGE!E87</f>
        <v>1</v>
      </c>
    </row>
    <row r="2" spans="1:8" x14ac:dyDescent="0.3">
      <c r="B2" s="87"/>
    </row>
    <row r="3" spans="1:8" s="99" customFormat="1" ht="21.75" customHeight="1" x14ac:dyDescent="0.3">
      <c r="A3" s="98"/>
      <c r="B3" s="98" t="s">
        <v>1002</v>
      </c>
      <c r="C3" s="98"/>
      <c r="D3" s="98"/>
      <c r="E3" s="98"/>
      <c r="F3" s="98"/>
      <c r="G3" s="98"/>
      <c r="H3" s="98"/>
    </row>
    <row r="4" spans="1:8" s="44" customFormat="1" x14ac:dyDescent="0.3">
      <c r="A4" s="91" t="s">
        <v>1404</v>
      </c>
      <c r="B4" s="36" t="s">
        <v>1384</v>
      </c>
      <c r="C4" s="36"/>
    </row>
    <row r="5" spans="1:8" x14ac:dyDescent="0.3">
      <c r="A5" s="90">
        <v>1</v>
      </c>
      <c r="B5" t="s">
        <v>1003</v>
      </c>
      <c r="C5" s="105" t="str">
        <f>IF($C$1-2&gt;A5,"On","Off")</f>
        <v>Off</v>
      </c>
      <c r="F5" t="s">
        <v>1385</v>
      </c>
    </row>
    <row r="6" spans="1:8" x14ac:dyDescent="0.3">
      <c r="A6" s="90">
        <v>1</v>
      </c>
      <c r="B6" t="s">
        <v>945</v>
      </c>
      <c r="C6" s="105" t="str">
        <f t="shared" ref="C6:C14" si="0">IF($C$1-2&gt;A6,"On","Off")</f>
        <v>Off</v>
      </c>
    </row>
    <row r="7" spans="1:8" x14ac:dyDescent="0.3">
      <c r="A7" s="90">
        <v>1</v>
      </c>
      <c r="B7" t="s">
        <v>1337</v>
      </c>
      <c r="C7" s="105" t="str">
        <f t="shared" si="0"/>
        <v>Off</v>
      </c>
    </row>
    <row r="8" spans="1:8" x14ac:dyDescent="0.3">
      <c r="A8" s="90">
        <v>1</v>
      </c>
      <c r="B8" t="s">
        <v>987</v>
      </c>
      <c r="C8" s="105" t="str">
        <f t="shared" si="0"/>
        <v>Off</v>
      </c>
    </row>
    <row r="9" spans="1:8" x14ac:dyDescent="0.3">
      <c r="A9" s="90">
        <v>1</v>
      </c>
      <c r="B9" t="s">
        <v>988</v>
      </c>
      <c r="C9" s="105" t="str">
        <f t="shared" si="0"/>
        <v>Off</v>
      </c>
    </row>
    <row r="10" spans="1:8" x14ac:dyDescent="0.3">
      <c r="A10" s="90">
        <v>1</v>
      </c>
      <c r="B10" t="s">
        <v>991</v>
      </c>
      <c r="C10" s="105" t="str">
        <f t="shared" si="0"/>
        <v>Off</v>
      </c>
    </row>
    <row r="11" spans="1:8" x14ac:dyDescent="0.3">
      <c r="A11" s="90">
        <v>1</v>
      </c>
      <c r="B11" s="103" t="s">
        <v>989</v>
      </c>
      <c r="C11" s="105" t="str">
        <f t="shared" si="0"/>
        <v>Off</v>
      </c>
      <c r="F11" t="s">
        <v>1386</v>
      </c>
    </row>
    <row r="12" spans="1:8" ht="64.5" customHeight="1" x14ac:dyDescent="0.3">
      <c r="A12" s="90">
        <v>2</v>
      </c>
      <c r="B12" t="s">
        <v>993</v>
      </c>
      <c r="C12" s="105" t="str">
        <f>IF($C$1-2&gt;A12,"PB","Off")</f>
        <v>Off</v>
      </c>
      <c r="D12" s="135" t="s">
        <v>1382</v>
      </c>
      <c r="E12" s="136"/>
    </row>
    <row r="13" spans="1:8" x14ac:dyDescent="0.3">
      <c r="A13" s="90">
        <v>2</v>
      </c>
      <c r="B13" s="103" t="s">
        <v>994</v>
      </c>
      <c r="C13" s="105" t="str">
        <f t="shared" si="0"/>
        <v>Off</v>
      </c>
      <c r="F13" t="s">
        <v>1387</v>
      </c>
    </row>
    <row r="14" spans="1:8" x14ac:dyDescent="0.3">
      <c r="A14" s="90">
        <v>2</v>
      </c>
      <c r="B14" t="s">
        <v>1383</v>
      </c>
      <c r="C14" s="105" t="str">
        <f t="shared" si="0"/>
        <v>Off</v>
      </c>
    </row>
    <row r="15" spans="1:8" x14ac:dyDescent="0.3">
      <c r="B15" s="87"/>
    </row>
    <row r="16" spans="1:8" s="99" customFormat="1" ht="29.25" customHeight="1" x14ac:dyDescent="0.3">
      <c r="A16" s="98"/>
      <c r="B16" s="98" t="s">
        <v>1374</v>
      </c>
      <c r="C16" s="98">
        <v>2020</v>
      </c>
      <c r="D16" s="98">
        <v>2030</v>
      </c>
      <c r="E16" s="98">
        <v>2040</v>
      </c>
      <c r="F16" s="98">
        <v>2050</v>
      </c>
    </row>
    <row r="17" spans="1:8" s="107" customFormat="1" x14ac:dyDescent="0.3">
      <c r="A17" s="106"/>
      <c r="B17" s="107" t="s">
        <v>1003</v>
      </c>
      <c r="H17" s="108"/>
    </row>
    <row r="18" spans="1:8" x14ac:dyDescent="0.3">
      <c r="A18" s="90" t="s">
        <v>947</v>
      </c>
      <c r="B18" t="s">
        <v>948</v>
      </c>
      <c r="C18">
        <v>3</v>
      </c>
      <c r="D18">
        <v>4</v>
      </c>
      <c r="E18">
        <v>4</v>
      </c>
      <c r="F18">
        <v>4</v>
      </c>
      <c r="H18" s="92"/>
    </row>
    <row r="19" spans="1:8" x14ac:dyDescent="0.3">
      <c r="A19" s="90" t="s">
        <v>947</v>
      </c>
      <c r="B19" t="s">
        <v>950</v>
      </c>
      <c r="C19">
        <v>2</v>
      </c>
      <c r="D19">
        <v>4</v>
      </c>
      <c r="E19">
        <v>4</v>
      </c>
      <c r="F19">
        <v>4</v>
      </c>
      <c r="H19" s="92"/>
    </row>
    <row r="20" spans="1:8" x14ac:dyDescent="0.3">
      <c r="A20" s="90" t="s">
        <v>947</v>
      </c>
      <c r="B20" t="s">
        <v>949</v>
      </c>
      <c r="C20">
        <v>3</v>
      </c>
      <c r="D20">
        <v>4</v>
      </c>
      <c r="E20">
        <v>4</v>
      </c>
      <c r="F20">
        <v>4</v>
      </c>
      <c r="H20" s="92"/>
    </row>
    <row r="21" spans="1:8" x14ac:dyDescent="0.3">
      <c r="A21" s="90" t="s">
        <v>947</v>
      </c>
      <c r="B21" t="s">
        <v>1013</v>
      </c>
      <c r="C21">
        <v>0</v>
      </c>
      <c r="D21">
        <v>80</v>
      </c>
      <c r="E21">
        <v>100</v>
      </c>
      <c r="F21">
        <v>100</v>
      </c>
      <c r="H21" s="92"/>
    </row>
    <row r="22" spans="1:8" x14ac:dyDescent="0.3">
      <c r="A22" s="90" t="s">
        <v>947</v>
      </c>
      <c r="B22" t="s">
        <v>1015</v>
      </c>
      <c r="C22">
        <v>0</v>
      </c>
      <c r="D22">
        <v>50</v>
      </c>
      <c r="E22">
        <v>80</v>
      </c>
      <c r="F22">
        <v>100</v>
      </c>
      <c r="H22" s="92"/>
    </row>
    <row r="23" spans="1:8" x14ac:dyDescent="0.3">
      <c r="A23" s="90" t="s">
        <v>947</v>
      </c>
      <c r="B23" t="s">
        <v>1014</v>
      </c>
      <c r="C23">
        <v>0</v>
      </c>
      <c r="D23">
        <v>80</v>
      </c>
      <c r="E23">
        <v>100</v>
      </c>
      <c r="F23">
        <v>100</v>
      </c>
      <c r="H23" s="92"/>
    </row>
    <row r="25" spans="1:8" s="107" customFormat="1" x14ac:dyDescent="0.3">
      <c r="A25" s="106"/>
      <c r="B25" s="107" t="s">
        <v>945</v>
      </c>
      <c r="H25" s="108"/>
    </row>
    <row r="26" spans="1:8" x14ac:dyDescent="0.3">
      <c r="A26" s="90" t="s">
        <v>947</v>
      </c>
      <c r="B26" t="s">
        <v>1339</v>
      </c>
      <c r="C26">
        <v>0</v>
      </c>
      <c r="D26">
        <v>20</v>
      </c>
      <c r="E26">
        <v>20</v>
      </c>
      <c r="F26">
        <v>20</v>
      </c>
      <c r="H26" s="92"/>
    </row>
    <row r="27" spans="1:8" x14ac:dyDescent="0.3">
      <c r="A27" s="90" t="s">
        <v>947</v>
      </c>
      <c r="B27" t="s">
        <v>1343</v>
      </c>
      <c r="C27">
        <v>0</v>
      </c>
      <c r="D27">
        <v>20</v>
      </c>
      <c r="E27">
        <v>20</v>
      </c>
      <c r="F27">
        <v>20</v>
      </c>
      <c r="H27" s="92"/>
    </row>
    <row r="28" spans="1:8" x14ac:dyDescent="0.3">
      <c r="A28" s="90" t="s">
        <v>947</v>
      </c>
      <c r="B28" t="s">
        <v>1017</v>
      </c>
      <c r="C28">
        <v>0</v>
      </c>
      <c r="D28">
        <v>70</v>
      </c>
      <c r="E28">
        <v>100</v>
      </c>
      <c r="F28">
        <v>100</v>
      </c>
      <c r="H28" s="92" t="s">
        <v>1388</v>
      </c>
    </row>
    <row r="29" spans="1:8" x14ac:dyDescent="0.3">
      <c r="A29" s="90" t="s">
        <v>947</v>
      </c>
      <c r="B29" t="s">
        <v>1014</v>
      </c>
      <c r="C29">
        <v>0</v>
      </c>
      <c r="D29">
        <v>70</v>
      </c>
      <c r="E29">
        <v>100</v>
      </c>
      <c r="F29">
        <v>100</v>
      </c>
    </row>
    <row r="31" spans="1:8" s="107" customFormat="1" x14ac:dyDescent="0.3">
      <c r="A31" s="106"/>
      <c r="B31" s="107" t="s">
        <v>1337</v>
      </c>
      <c r="H31" s="108"/>
    </row>
    <row r="32" spans="1:8" x14ac:dyDescent="0.3">
      <c r="B32" t="s">
        <v>1339</v>
      </c>
      <c r="C32">
        <v>0</v>
      </c>
      <c r="D32">
        <v>10</v>
      </c>
      <c r="E32">
        <v>15</v>
      </c>
      <c r="F32">
        <v>20</v>
      </c>
    </row>
    <row r="33" spans="1:8" x14ac:dyDescent="0.3">
      <c r="B33" t="s">
        <v>1340</v>
      </c>
      <c r="C33">
        <v>0</v>
      </c>
      <c r="D33">
        <v>10</v>
      </c>
      <c r="E33">
        <v>15</v>
      </c>
      <c r="F33">
        <v>20</v>
      </c>
    </row>
    <row r="34" spans="1:8" x14ac:dyDescent="0.3">
      <c r="B34" t="s">
        <v>1341</v>
      </c>
      <c r="C34">
        <v>0</v>
      </c>
      <c r="D34">
        <v>10</v>
      </c>
      <c r="E34">
        <v>15</v>
      </c>
      <c r="F34">
        <v>20</v>
      </c>
    </row>
    <row r="35" spans="1:8" x14ac:dyDescent="0.3">
      <c r="B35" t="s">
        <v>1342</v>
      </c>
      <c r="C35">
        <v>0</v>
      </c>
      <c r="D35">
        <v>10</v>
      </c>
      <c r="E35">
        <v>15</v>
      </c>
      <c r="F35">
        <v>20</v>
      </c>
    </row>
    <row r="36" spans="1:8" x14ac:dyDescent="0.3">
      <c r="B36" t="s">
        <v>1343</v>
      </c>
      <c r="C36">
        <v>0</v>
      </c>
      <c r="D36">
        <v>10</v>
      </c>
      <c r="E36">
        <v>15</v>
      </c>
      <c r="F36">
        <v>20</v>
      </c>
    </row>
    <row r="37" spans="1:8" x14ac:dyDescent="0.3">
      <c r="B37" t="s">
        <v>1362</v>
      </c>
      <c r="C37">
        <v>0</v>
      </c>
      <c r="D37">
        <v>2</v>
      </c>
      <c r="E37">
        <v>3.5</v>
      </c>
      <c r="F37">
        <v>5</v>
      </c>
    </row>
    <row r="38" spans="1:8" x14ac:dyDescent="0.3">
      <c r="B38" t="s">
        <v>1364</v>
      </c>
      <c r="C38">
        <v>0</v>
      </c>
      <c r="D38">
        <v>2</v>
      </c>
      <c r="E38">
        <v>3.5</v>
      </c>
      <c r="F38">
        <v>5</v>
      </c>
    </row>
    <row r="39" spans="1:8" x14ac:dyDescent="0.3">
      <c r="B39" t="s">
        <v>1017</v>
      </c>
      <c r="C39">
        <v>0</v>
      </c>
      <c r="D39">
        <v>40</v>
      </c>
      <c r="E39">
        <v>60</v>
      </c>
      <c r="F39">
        <v>80</v>
      </c>
    </row>
    <row r="40" spans="1:8" x14ac:dyDescent="0.3">
      <c r="B40" t="s">
        <v>1352</v>
      </c>
      <c r="C40">
        <v>0</v>
      </c>
      <c r="D40">
        <v>40</v>
      </c>
      <c r="E40">
        <v>60</v>
      </c>
      <c r="F40">
        <v>80</v>
      </c>
    </row>
    <row r="41" spans="1:8" x14ac:dyDescent="0.3">
      <c r="B41" t="s">
        <v>1046</v>
      </c>
      <c r="C41">
        <v>0</v>
      </c>
      <c r="D41">
        <v>40</v>
      </c>
      <c r="E41">
        <v>60</v>
      </c>
      <c r="F41">
        <v>80</v>
      </c>
    </row>
    <row r="42" spans="1:8" x14ac:dyDescent="0.3">
      <c r="B42" t="s">
        <v>1015</v>
      </c>
      <c r="C42">
        <v>0</v>
      </c>
      <c r="D42">
        <v>40</v>
      </c>
      <c r="E42">
        <v>60</v>
      </c>
      <c r="F42">
        <v>80</v>
      </c>
    </row>
    <row r="43" spans="1:8" x14ac:dyDescent="0.3">
      <c r="B43" t="s">
        <v>1047</v>
      </c>
      <c r="C43">
        <v>0</v>
      </c>
      <c r="D43">
        <v>40</v>
      </c>
      <c r="E43">
        <v>60</v>
      </c>
      <c r="F43">
        <v>80</v>
      </c>
    </row>
    <row r="45" spans="1:8" s="107" customFormat="1" x14ac:dyDescent="0.3">
      <c r="A45" s="106"/>
      <c r="B45" s="107" t="s">
        <v>987</v>
      </c>
      <c r="H45" s="108"/>
    </row>
    <row r="46" spans="1:8" x14ac:dyDescent="0.3">
      <c r="B46" t="s">
        <v>1041</v>
      </c>
      <c r="C46">
        <v>70</v>
      </c>
      <c r="D46">
        <v>80</v>
      </c>
      <c r="E46">
        <v>85</v>
      </c>
      <c r="F46">
        <v>85</v>
      </c>
    </row>
    <row r="47" spans="1:8" x14ac:dyDescent="0.3">
      <c r="B47" t="s">
        <v>1034</v>
      </c>
      <c r="C47">
        <v>70</v>
      </c>
      <c r="D47">
        <v>80</v>
      </c>
      <c r="E47">
        <v>80</v>
      </c>
      <c r="F47">
        <v>80</v>
      </c>
    </row>
    <row r="48" spans="1:8" x14ac:dyDescent="0.3">
      <c r="B48" t="s">
        <v>1042</v>
      </c>
      <c r="C48">
        <v>60</v>
      </c>
      <c r="D48">
        <v>70</v>
      </c>
      <c r="E48">
        <v>70</v>
      </c>
      <c r="F48">
        <v>70</v>
      </c>
    </row>
    <row r="49" spans="2:8" x14ac:dyDescent="0.3">
      <c r="B49" t="s">
        <v>1035</v>
      </c>
      <c r="C49">
        <v>60</v>
      </c>
      <c r="D49">
        <v>70</v>
      </c>
      <c r="E49">
        <v>70</v>
      </c>
      <c r="F49">
        <v>70</v>
      </c>
    </row>
    <row r="50" spans="2:8" x14ac:dyDescent="0.3">
      <c r="B50" t="s">
        <v>1043</v>
      </c>
      <c r="C50">
        <v>75</v>
      </c>
      <c r="D50">
        <v>80</v>
      </c>
      <c r="E50">
        <v>85</v>
      </c>
      <c r="F50">
        <v>85</v>
      </c>
    </row>
    <row r="51" spans="2:8" x14ac:dyDescent="0.3">
      <c r="B51" t="s">
        <v>1036</v>
      </c>
      <c r="C51">
        <v>50</v>
      </c>
      <c r="D51">
        <v>60</v>
      </c>
      <c r="E51">
        <v>60</v>
      </c>
      <c r="F51">
        <v>60</v>
      </c>
    </row>
    <row r="52" spans="2:8" x14ac:dyDescent="0.3">
      <c r="B52" t="s">
        <v>1037</v>
      </c>
      <c r="C52">
        <v>60</v>
      </c>
      <c r="D52">
        <v>70</v>
      </c>
      <c r="E52">
        <v>70</v>
      </c>
      <c r="F52">
        <v>70</v>
      </c>
    </row>
    <row r="53" spans="2:8" x14ac:dyDescent="0.3">
      <c r="B53" t="s">
        <v>1038</v>
      </c>
      <c r="C53">
        <v>50</v>
      </c>
      <c r="D53">
        <v>60</v>
      </c>
      <c r="E53">
        <v>60</v>
      </c>
      <c r="F53">
        <v>60</v>
      </c>
    </row>
    <row r="54" spans="2:8" x14ac:dyDescent="0.3">
      <c r="B54" t="s">
        <v>1039</v>
      </c>
      <c r="C54">
        <v>60</v>
      </c>
      <c r="D54">
        <v>70</v>
      </c>
      <c r="E54">
        <v>70</v>
      </c>
      <c r="F54">
        <v>70</v>
      </c>
    </row>
    <row r="55" spans="2:8" x14ac:dyDescent="0.3">
      <c r="B55" t="s">
        <v>1040</v>
      </c>
      <c r="C55">
        <v>50</v>
      </c>
      <c r="D55">
        <v>60</v>
      </c>
      <c r="E55">
        <v>60</v>
      </c>
      <c r="F55">
        <v>60</v>
      </c>
    </row>
    <row r="56" spans="2:8" x14ac:dyDescent="0.3">
      <c r="B56" t="s">
        <v>1017</v>
      </c>
      <c r="C56">
        <v>0</v>
      </c>
      <c r="D56">
        <v>85</v>
      </c>
      <c r="E56">
        <v>85</v>
      </c>
      <c r="F56">
        <v>85</v>
      </c>
      <c r="H56" s="92"/>
    </row>
    <row r="57" spans="2:8" x14ac:dyDescent="0.3">
      <c r="B57" t="s">
        <v>1045</v>
      </c>
      <c r="C57">
        <v>0</v>
      </c>
      <c r="D57">
        <v>85</v>
      </c>
      <c r="E57">
        <v>85</v>
      </c>
      <c r="F57">
        <v>85</v>
      </c>
    </row>
    <row r="58" spans="2:8" x14ac:dyDescent="0.3">
      <c r="B58" t="s">
        <v>1046</v>
      </c>
      <c r="C58">
        <v>0</v>
      </c>
      <c r="D58">
        <v>60</v>
      </c>
      <c r="E58">
        <v>60</v>
      </c>
      <c r="F58">
        <v>60</v>
      </c>
    </row>
    <row r="59" spans="2:8" x14ac:dyDescent="0.3">
      <c r="B59" t="s">
        <v>1015</v>
      </c>
      <c r="C59">
        <v>0</v>
      </c>
      <c r="D59">
        <v>60</v>
      </c>
      <c r="E59">
        <v>60</v>
      </c>
      <c r="F59">
        <v>60</v>
      </c>
    </row>
    <row r="60" spans="2:8" x14ac:dyDescent="0.3">
      <c r="B60" t="s">
        <v>1048</v>
      </c>
      <c r="C60">
        <v>0</v>
      </c>
      <c r="D60">
        <v>60</v>
      </c>
      <c r="E60">
        <v>60</v>
      </c>
      <c r="F60">
        <v>60</v>
      </c>
    </row>
    <row r="61" spans="2:8" x14ac:dyDescent="0.3">
      <c r="B61" t="s">
        <v>1047</v>
      </c>
      <c r="C61">
        <v>0</v>
      </c>
      <c r="D61">
        <v>85</v>
      </c>
      <c r="E61">
        <v>85</v>
      </c>
      <c r="F61">
        <v>85</v>
      </c>
    </row>
    <row r="62" spans="2:8" x14ac:dyDescent="0.3">
      <c r="B62" t="s">
        <v>1016</v>
      </c>
      <c r="C62">
        <v>0</v>
      </c>
      <c r="D62">
        <v>60</v>
      </c>
      <c r="E62">
        <v>60</v>
      </c>
      <c r="F62">
        <v>60</v>
      </c>
    </row>
    <row r="63" spans="2:8" x14ac:dyDescent="0.3">
      <c r="B63" t="s">
        <v>1049</v>
      </c>
      <c r="C63">
        <v>0</v>
      </c>
      <c r="D63">
        <v>40</v>
      </c>
      <c r="E63">
        <v>40</v>
      </c>
      <c r="F63">
        <v>40</v>
      </c>
    </row>
    <row r="64" spans="2:8" x14ac:dyDescent="0.3">
      <c r="B64" t="s">
        <v>1051</v>
      </c>
      <c r="C64">
        <v>0</v>
      </c>
      <c r="D64">
        <v>0</v>
      </c>
      <c r="E64">
        <v>40</v>
      </c>
      <c r="F64">
        <v>40</v>
      </c>
    </row>
    <row r="65" spans="1:8" x14ac:dyDescent="0.3">
      <c r="B65" t="s">
        <v>1050</v>
      </c>
      <c r="C65">
        <v>0</v>
      </c>
      <c r="D65">
        <v>0</v>
      </c>
      <c r="E65">
        <v>20</v>
      </c>
      <c r="F65">
        <v>20</v>
      </c>
    </row>
    <row r="67" spans="1:8" s="107" customFormat="1" x14ac:dyDescent="0.3">
      <c r="A67" s="106"/>
      <c r="B67" s="107" t="s">
        <v>988</v>
      </c>
      <c r="H67" s="108"/>
    </row>
    <row r="68" spans="1:8" x14ac:dyDescent="0.3">
      <c r="B68" t="s">
        <v>1114</v>
      </c>
      <c r="C68">
        <v>0</v>
      </c>
      <c r="D68">
        <v>50</v>
      </c>
      <c r="E68">
        <v>100</v>
      </c>
      <c r="F68">
        <v>100</v>
      </c>
    </row>
    <row r="69" spans="1:8" x14ac:dyDescent="0.3">
      <c r="B69" t="s">
        <v>1115</v>
      </c>
      <c r="C69">
        <v>0</v>
      </c>
      <c r="D69">
        <v>50</v>
      </c>
      <c r="E69">
        <v>100</v>
      </c>
      <c r="F69">
        <v>100</v>
      </c>
    </row>
    <row r="70" spans="1:8" x14ac:dyDescent="0.3">
      <c r="B70" t="s">
        <v>1124</v>
      </c>
      <c r="C70">
        <v>0</v>
      </c>
      <c r="D70">
        <v>50</v>
      </c>
      <c r="E70">
        <v>100</v>
      </c>
      <c r="F70">
        <v>100</v>
      </c>
    </row>
    <row r="72" spans="1:8" s="107" customFormat="1" x14ac:dyDescent="0.3">
      <c r="A72" s="106"/>
      <c r="B72" s="107" t="s">
        <v>991</v>
      </c>
      <c r="H72" s="108"/>
    </row>
    <row r="73" spans="1:8" x14ac:dyDescent="0.3">
      <c r="B73" t="s">
        <v>1217</v>
      </c>
      <c r="C73">
        <v>0</v>
      </c>
      <c r="D73">
        <v>80</v>
      </c>
      <c r="E73">
        <v>100</v>
      </c>
      <c r="F73">
        <v>100</v>
      </c>
    </row>
    <row r="74" spans="1:8" x14ac:dyDescent="0.3">
      <c r="B74" t="s">
        <v>1218</v>
      </c>
      <c r="C74">
        <v>0</v>
      </c>
      <c r="D74">
        <v>0</v>
      </c>
      <c r="E74">
        <v>0</v>
      </c>
      <c r="F74">
        <v>0</v>
      </c>
    </row>
    <row r="75" spans="1:8" x14ac:dyDescent="0.3">
      <c r="B75" t="s">
        <v>1235</v>
      </c>
      <c r="C75">
        <v>0</v>
      </c>
      <c r="D75">
        <v>30</v>
      </c>
      <c r="E75">
        <v>40</v>
      </c>
      <c r="F75">
        <v>50</v>
      </c>
    </row>
    <row r="77" spans="1:8" s="107" customFormat="1" x14ac:dyDescent="0.3">
      <c r="A77" s="106"/>
      <c r="B77" s="107" t="s">
        <v>1376</v>
      </c>
      <c r="H77" s="108"/>
    </row>
    <row r="78" spans="1:8" x14ac:dyDescent="0.3">
      <c r="B78" t="s">
        <v>1367</v>
      </c>
      <c r="C78">
        <v>0</v>
      </c>
      <c r="D78">
        <v>15</v>
      </c>
      <c r="E78">
        <v>25</v>
      </c>
      <c r="F78">
        <v>30</v>
      </c>
    </row>
    <row r="79" spans="1:8" x14ac:dyDescent="0.3">
      <c r="B79" t="s">
        <v>1368</v>
      </c>
      <c r="C79">
        <v>0</v>
      </c>
      <c r="D79">
        <f>D78/3</f>
        <v>5</v>
      </c>
      <c r="E79" s="85">
        <f>E78/3</f>
        <v>8.3333333333333339</v>
      </c>
      <c r="F79">
        <f>F78/3</f>
        <v>10</v>
      </c>
    </row>
    <row r="80" spans="1:8" x14ac:dyDescent="0.3">
      <c r="B80" t="s">
        <v>1369</v>
      </c>
      <c r="C80">
        <v>0</v>
      </c>
      <c r="D80">
        <f>(D78-D79)+(0.05*(D78-D79))</f>
        <v>10.5</v>
      </c>
      <c r="E80">
        <f t="shared" ref="E80:F80" si="1">(E78-E79)+(0.05*(E78-E79))</f>
        <v>17.499999999999996</v>
      </c>
      <c r="F80">
        <f t="shared" si="1"/>
        <v>21</v>
      </c>
    </row>
    <row r="82" spans="1:8" s="107" customFormat="1" x14ac:dyDescent="0.3">
      <c r="A82" s="106"/>
      <c r="B82" s="107" t="s">
        <v>1377</v>
      </c>
      <c r="H82" s="108"/>
    </row>
    <row r="83" spans="1:8" x14ac:dyDescent="0.3">
      <c r="B83" t="s">
        <v>1367</v>
      </c>
      <c r="C83">
        <f>C78</f>
        <v>0</v>
      </c>
      <c r="D83">
        <f t="shared" ref="D83:F83" si="2">D78</f>
        <v>15</v>
      </c>
      <c r="E83">
        <f t="shared" si="2"/>
        <v>25</v>
      </c>
      <c r="F83">
        <f t="shared" si="2"/>
        <v>30</v>
      </c>
    </row>
    <row r="85" spans="1:8" s="107" customFormat="1" x14ac:dyDescent="0.3">
      <c r="A85" s="106"/>
      <c r="B85" s="107" t="s">
        <v>994</v>
      </c>
      <c r="H85" s="108"/>
    </row>
    <row r="88" spans="1:8" s="107" customFormat="1" x14ac:dyDescent="0.3">
      <c r="A88" s="106"/>
      <c r="B88" s="107" t="s">
        <v>1256</v>
      </c>
      <c r="H88" s="108"/>
    </row>
    <row r="89" spans="1:8" x14ac:dyDescent="0.3">
      <c r="B89" t="s">
        <v>1257</v>
      </c>
      <c r="C89">
        <v>0</v>
      </c>
      <c r="D89">
        <v>0.5</v>
      </c>
      <c r="E89">
        <v>0.8</v>
      </c>
      <c r="F89">
        <v>1</v>
      </c>
    </row>
    <row r="90" spans="1:8" x14ac:dyDescent="0.3">
      <c r="B90" t="s">
        <v>1258</v>
      </c>
      <c r="C90">
        <v>0</v>
      </c>
      <c r="D90">
        <v>0.2</v>
      </c>
      <c r="E90">
        <v>0.3</v>
      </c>
      <c r="F90">
        <v>0.4</v>
      </c>
    </row>
    <row r="91" spans="1:8" x14ac:dyDescent="0.3">
      <c r="B91" t="s">
        <v>1259</v>
      </c>
      <c r="C91">
        <v>0</v>
      </c>
      <c r="D91">
        <v>0.2</v>
      </c>
      <c r="E91">
        <v>0.3</v>
      </c>
      <c r="F91">
        <v>0.4</v>
      </c>
    </row>
    <row r="92" spans="1:8" x14ac:dyDescent="0.3">
      <c r="B92" t="s">
        <v>1260</v>
      </c>
      <c r="C92">
        <v>0</v>
      </c>
      <c r="D92">
        <v>0.2</v>
      </c>
      <c r="E92">
        <v>0.3</v>
      </c>
      <c r="F92">
        <v>0.4</v>
      </c>
    </row>
  </sheetData>
  <mergeCells count="1">
    <mergeCell ref="D12:E12"/>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D7DA7D-DEDC-4197-ABEA-83BFCB3195D1}">
          <x14:formula1>
            <xm:f>Lists!$C$17:$C$18</xm:f>
          </x14:formula1>
          <xm:sqref>C5:C11 C13:C14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AEAC9-A86A-4516-AE9C-71E1E930505E}">
  <sheetPr>
    <tabColor rgb="FFFF00FF"/>
  </sheetPr>
  <dimension ref="A1:BT100"/>
  <sheetViews>
    <sheetView topLeftCell="C1" workbookViewId="0">
      <pane xSplit="2" ySplit="4" topLeftCell="U5" activePane="bottomRight" state="frozen"/>
      <selection activeCell="C1" sqref="C1"/>
      <selection pane="topRight" activeCell="E1" sqref="E1"/>
      <selection pane="bottomLeft" activeCell="C5" sqref="C5"/>
      <selection pane="bottomRight" activeCell="AD2" sqref="AD2"/>
    </sheetView>
  </sheetViews>
  <sheetFormatPr defaultColWidth="8.777343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69" max="69" width="10.109375" customWidth="1"/>
    <col min="71" max="71" width="14.109375" customWidth="1"/>
    <col min="72" max="72" width="27.6640625" customWidth="1"/>
  </cols>
  <sheetData>
    <row r="1" spans="1:72" ht="18" x14ac:dyDescent="0.35">
      <c r="A1" s="1" t="s">
        <v>142</v>
      </c>
      <c r="AI1" s="11"/>
      <c r="AJ1" s="11"/>
    </row>
    <row r="2" spans="1:72" x14ac:dyDescent="0.3">
      <c r="AD2" s="104" t="str">
        <f>IF(AND('Net zero activities &amp; levers'!$C$8="Off",'Net zero activities &amp; levers'!$C$14="Off",'Net zero activities &amp; levers'!$C$7="Off",'Net zero activities &amp; levers'!$C$12="Off"),"Off","On")</f>
        <v>Off</v>
      </c>
      <c r="AE2" s="11"/>
      <c r="AF2" s="11"/>
      <c r="AG2" s="11" t="b">
        <f>AG5='Activity data'!AG5</f>
        <v>1</v>
      </c>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36169.646807555109</v>
      </c>
      <c r="AU4" s="81">
        <f t="shared" si="0"/>
        <v>39597.062204208225</v>
      </c>
      <c r="AV4" s="81">
        <f t="shared" si="0"/>
        <v>42615.776397138834</v>
      </c>
      <c r="AW4" s="81">
        <f>AW11-AV11</f>
        <v>28587.313706237823</v>
      </c>
      <c r="AX4" s="81">
        <f t="shared" si="0"/>
        <v>31034.776975046843</v>
      </c>
      <c r="AY4" s="81">
        <f t="shared" si="0"/>
        <v>33731.709022443742</v>
      </c>
      <c r="AZ4" s="81">
        <f t="shared" si="0"/>
        <v>36757.916960038245</v>
      </c>
      <c r="BA4" s="15">
        <f>BA8/'Intermediate calculations'!AV8</f>
        <v>3.5308171115186591</v>
      </c>
      <c r="BB4" s="15">
        <f>BB8/'Intermediate calculations'!AW8</f>
        <v>3.4332531022983939</v>
      </c>
      <c r="BC4" s="15">
        <f>BC8/'Intermediate calculations'!AX8</f>
        <v>3.3377541092705751</v>
      </c>
      <c r="BD4" s="15">
        <f>BD8/'Intermediate calculations'!AY8</f>
        <v>3.2442330159192245</v>
      </c>
      <c r="BE4" s="15">
        <f>BE8/'Intermediate calculations'!AZ8</f>
        <v>3.1526086459819282</v>
      </c>
      <c r="BF4" s="15">
        <f>BF8/'Intermediate calculations'!BA8</f>
        <v>3.0628052211155756</v>
      </c>
      <c r="BG4" s="15">
        <f>BG8/'Intermediate calculations'!BB8</f>
        <v>2.9899291852606638</v>
      </c>
      <c r="BH4" s="15">
        <f>BH8/'Intermediate calculations'!BC8</f>
        <v>2.9184695640871481</v>
      </c>
      <c r="BI4" s="15">
        <f>BI8/'Intermediate calculations'!BD8</f>
        <v>2.848372904073416</v>
      </c>
      <c r="BJ4" s="15">
        <f>BJ8/'Intermediate calculations'!BE8</f>
        <v>2.7795890112494348</v>
      </c>
      <c r="BK4" s="15">
        <f>BK8/'Intermediate calculations'!BF8</f>
        <v>2.7120706846423071</v>
      </c>
      <c r="BL4" s="15">
        <f>BL8/'Intermediate calculations'!BG8</f>
        <v>2.6457734767135381</v>
      </c>
      <c r="BM4" s="15">
        <f>BM8/'Intermediate calculations'!BH8</f>
        <v>2.5806554775554114</v>
      </c>
      <c r="BN4" s="15">
        <f>BN8/'Intermediate calculations'!BI8</f>
        <v>2.5166771200581555</v>
      </c>
      <c r="BO4" s="15">
        <f>BO8/'Intermediate calculations'!BJ8</f>
        <v>2.4538010036352187</v>
      </c>
      <c r="BP4" s="15">
        <f>BP8/'Intermediate calculations'!BK8</f>
        <v>2.3919917344128288</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102">
        <f>IF($AD$2="Off",'Activity data'!AD5,'Net zero Intermediate calcs'!Y15*'Net zero Intermediate calcs'!Y16*Constants!$H$18)</f>
        <v>590059.9281599375</v>
      </c>
      <c r="AE5" s="102">
        <f>IF($AD$2="Off",'Activity data'!AE5,'Net zero Intermediate calcs'!Z15*'Net zero Intermediate calcs'!Z16*Constants!$H$18)</f>
        <v>593358.66490468476</v>
      </c>
      <c r="AF5" s="102">
        <f>IF($AD$2="Off",'Activity data'!AF5,'Net zero Intermediate calcs'!AA15*'Net zero Intermediate calcs'!AA16*Constants!$H$18)</f>
        <v>598039.0074127327</v>
      </c>
      <c r="AG5" s="102">
        <f>IF($AD$2="Off",'Activity data'!AG5,'Net zero Intermediate calcs'!AB15*'Net zero Intermediate calcs'!AB16*Constants!$H$18)</f>
        <v>601046.62603335571</v>
      </c>
      <c r="AH5" s="102">
        <f>IF($AD$2="Off",'Activity data'!AH5,'Net zero Intermediate calcs'!AC15*'Net zero Intermediate calcs'!AC16*Constants!$H$18)</f>
        <v>603045.20236245089</v>
      </c>
      <c r="AI5" s="102">
        <f>IF($AD$2="Off",'Activity data'!AI5,'Net zero Intermediate calcs'!AD15*'Net zero Intermediate calcs'!AD16*Constants!$H$18)</f>
        <v>604015.06594627816</v>
      </c>
      <c r="AJ5" s="102">
        <f>IF($AD$2="Off",'Activity data'!AJ5,'Net zero Intermediate calcs'!AE15*'Net zero Intermediate calcs'!AE16*Constants!$H$18)</f>
        <v>606157.85554919671</v>
      </c>
      <c r="AK5" s="102">
        <f>IF($AD$2="Off",'Activity data'!AK5,'Net zero Intermediate calcs'!AF15*'Net zero Intermediate calcs'!AF16*Constants!$H$18)</f>
        <v>608615.99513645703</v>
      </c>
      <c r="AL5" s="102">
        <f>IF($AD$2="Off",'Activity data'!AL5,'Net zero Intermediate calcs'!AG15*'Net zero Intermediate calcs'!AG16*Constants!$H$18)</f>
        <v>590321.24202673463</v>
      </c>
      <c r="AM5" s="102">
        <f>IF($AD$2="Off",'Activity data'!AM5,'Net zero Intermediate calcs'!AH15*'Net zero Intermediate calcs'!AH16*Constants!$H$18)</f>
        <v>596528.54012635571</v>
      </c>
      <c r="AN5" s="102">
        <f>IF($AD$2="Off",'Activity data'!AN5,'Net zero Intermediate calcs'!AI15*'Net zero Intermediate calcs'!AI16*Constants!$H$18)</f>
        <v>605614.38207052986</v>
      </c>
      <c r="AO5" s="102">
        <f>IF($AD$2="Off",'Activity data'!AO5,'Net zero Intermediate calcs'!AJ15*'Net zero Intermediate calcs'!AJ16*Constants!$H$18)</f>
        <v>610323.79251775239</v>
      </c>
      <c r="AP5" s="102">
        <f>IF($AD$2="Off",'Activity data'!AP5,'Net zero Intermediate calcs'!AK15*'Net zero Intermediate calcs'!AK16*Constants!$H$18)</f>
        <v>615706.02176126163</v>
      </c>
      <c r="AQ5" s="102">
        <f>IF($AD$2="Off",'Activity data'!AQ5,'Net zero Intermediate calcs'!AL15*'Net zero Intermediate calcs'!AL16*Constants!$H$18)</f>
        <v>621935.38820461812</v>
      </c>
      <c r="AR5" s="102">
        <f>IF($AD$2="Off",'Activity data'!AR5,'Net zero Intermediate calcs'!AM15*'Net zero Intermediate calcs'!AM16*Constants!$H$18)</f>
        <v>628296.74669941061</v>
      </c>
      <c r="AS5" s="102">
        <f>IF($AD$2="Off",'Activity data'!AS5,'Net zero Intermediate calcs'!AN15*'Net zero Intermediate calcs'!AN16*Constants!$H$18)</f>
        <v>635337.95015234023</v>
      </c>
      <c r="AT5" s="102">
        <f>IF($AD$2="Off",'Activity data'!AT5,'Net zero Intermediate calcs'!AO15*'Net zero Intermediate calcs'!AO16*Constants!$H$18)</f>
        <v>642597.27083756379</v>
      </c>
      <c r="AU5" s="102">
        <f>IF($AD$2="Off",'Activity data'!AU5,'Net zero Intermediate calcs'!AP15*'Net zero Intermediate calcs'!AP16*Constants!$H$18)</f>
        <v>650491.47780704009</v>
      </c>
      <c r="AV5" s="102">
        <f>IF($AD$2="Off",'Activity data'!AV5,'Net zero Intermediate calcs'!AQ15*'Net zero Intermediate calcs'!AQ16*Constants!$H$18)</f>
        <v>658563.76332493348</v>
      </c>
      <c r="AW5" s="102">
        <f>IF($AD$2="Off",'Activity data'!AW5,'Net zero Intermediate calcs'!AR15*'Net zero Intermediate calcs'!AR16*Constants!$H$18)</f>
        <v>667284.4948805609</v>
      </c>
      <c r="AX5" s="102">
        <f>IF($AD$2="Off",'Activity data'!AX5,'Net zero Intermediate calcs'!AS15*'Net zero Intermediate calcs'!AS16*Constants!$H$18)</f>
        <v>675887.19695647305</v>
      </c>
      <c r="AY5" s="102">
        <f>IF($AD$2="Off",'Activity data'!AY5,'Net zero Intermediate calcs'!AT15*'Net zero Intermediate calcs'!AT16*Constants!$H$18)</f>
        <v>684967.28485571465</v>
      </c>
      <c r="AZ5" s="102">
        <f>IF($AD$2="Off",'Activity data'!AZ5,'Net zero Intermediate calcs'!AU15*'Net zero Intermediate calcs'!AU16*Constants!$H$18)</f>
        <v>695238.36532463855</v>
      </c>
      <c r="BA5" s="102">
        <f>IF($AD$2="Off",'Activity data'!BA5,'Net zero Intermediate calcs'!AV15*'Net zero Intermediate calcs'!AV16*Constants!$H$18)</f>
        <v>705003.80060777965</v>
      </c>
      <c r="BB5" s="102">
        <f>IF($AD$2="Off",'Activity data'!BB5,'Net zero Intermediate calcs'!AW15*'Net zero Intermediate calcs'!AW16*Constants!$H$18)</f>
        <v>715018.20276526653</v>
      </c>
      <c r="BC5" s="102">
        <f>IF($AD$2="Off",'Activity data'!BC5,'Net zero Intermediate calcs'!AX15*'Net zero Intermediate calcs'!AX16*Constants!$H$18)</f>
        <v>725728.15259104513</v>
      </c>
      <c r="BD5" s="102">
        <f>IF($AD$2="Off",'Activity data'!BD5,'Net zero Intermediate calcs'!AY15*'Net zero Intermediate calcs'!AY16*Constants!$H$18)</f>
        <v>735762.08486922923</v>
      </c>
      <c r="BE5" s="102">
        <f>IF($AD$2="Off",'Activity data'!BE5,'Net zero Intermediate calcs'!AZ15*'Net zero Intermediate calcs'!AZ16*Constants!$H$18)</f>
        <v>745741.56575596228</v>
      </c>
      <c r="BF5" s="102">
        <f>IF($AD$2="Off",'Activity data'!BF5,'Net zero Intermediate calcs'!BA15*'Net zero Intermediate calcs'!BA16*Constants!$H$18)</f>
        <v>755694.35311660939</v>
      </c>
      <c r="BG5" s="102">
        <f>IF($AD$2="Off",'Activity data'!BG5,'Net zero Intermediate calcs'!BB15*'Net zero Intermediate calcs'!BB16*Constants!$H$18)</f>
        <v>766224.10374418576</v>
      </c>
      <c r="BH5" s="102">
        <f>IF($AD$2="Off",'Activity data'!BH5,'Net zero Intermediate calcs'!BC15*'Net zero Intermediate calcs'!BC16*Constants!$H$18)</f>
        <v>776330.32659557904</v>
      </c>
      <c r="BI5" s="102">
        <f>IF($AD$2="Off",'Activity data'!BI5,'Net zero Intermediate calcs'!BD15*'Net zero Intermediate calcs'!BD16*Constants!$H$18)</f>
        <v>786828.98815047613</v>
      </c>
      <c r="BJ5" s="102">
        <f>IF($AD$2="Off",'Activity data'!BJ5,'Net zero Intermediate calcs'!BE15*'Net zero Intermediate calcs'!BE16*Constants!$H$18)</f>
        <v>797767.97088992584</v>
      </c>
      <c r="BK5" s="102">
        <f>IF($AD$2="Off",'Activity data'!BK5,'Net zero Intermediate calcs'!BF15*'Net zero Intermediate calcs'!BF16*Constants!$H$18)</f>
        <v>809224.27492024703</v>
      </c>
      <c r="BL5" s="102">
        <f>IF($AD$2="Off",'Activity data'!BL5,'Net zero Intermediate calcs'!BG15*'Net zero Intermediate calcs'!BG16*Constants!$H$18)</f>
        <v>820883.22588005802</v>
      </c>
      <c r="BM5" s="102">
        <f>IF($AD$2="Off",'Activity data'!BM5,'Net zero Intermediate calcs'!BH15*'Net zero Intermediate calcs'!BH16*Constants!$H$18)</f>
        <v>823647.46997840214</v>
      </c>
      <c r="BN5" s="102">
        <f>IF($AD$2="Off",'Activity data'!BN5,'Net zero Intermediate calcs'!BI15*'Net zero Intermediate calcs'!BI16*Constants!$H$18)</f>
        <v>825614.77404733561</v>
      </c>
      <c r="BO5" s="102">
        <f>IF($AD$2="Off",'Activity data'!BO5,'Net zero Intermediate calcs'!BJ15*'Net zero Intermediate calcs'!BJ16*Constants!$H$18)</f>
        <v>826420.81446797797</v>
      </c>
      <c r="BP5" s="102">
        <f>IF($AD$2="Off",'Activity data'!BP5,'Net zero Intermediate calcs'!BK15*'Net zero Intermediate calcs'!BK16*Constants!$H$18)</f>
        <v>826907.52343347447</v>
      </c>
      <c r="BQ5">
        <v>840617.99710661627</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102">
        <f>IF($AD$2="Off",'Activity data'!AD6,'Net zero Intermediate calcs'!Y15*'Net zero Intermediate calcs'!Y16*Constants!$H$19)</f>
        <v>488906.79761823389</v>
      </c>
      <c r="AE6" s="102">
        <f>IF($AD$2="Off",'Activity data'!AE6,'Net zero Intermediate calcs'!Z15*'Net zero Intermediate calcs'!Z16*Constants!$H$19)</f>
        <v>491640.03663531021</v>
      </c>
      <c r="AF6" s="102">
        <f>IF($AD$2="Off",'Activity data'!AF6,'Net zero Intermediate calcs'!AA15*'Net zero Intermediate calcs'!AA16*Constants!$H$19)</f>
        <v>495518.03471340711</v>
      </c>
      <c r="AG6" s="102">
        <f>IF($AD$2="Off",'Activity data'!AG6,'Net zero Intermediate calcs'!AB15*'Net zero Intermediate calcs'!AB16*Constants!$H$19)</f>
        <v>498010.06157049473</v>
      </c>
      <c r="AH6" s="102">
        <f>IF($AD$2="Off",'Activity data'!AH6,'Net zero Intermediate calcs'!AC15*'Net zero Intermediate calcs'!AC16*Constants!$H$19)</f>
        <v>499666.02481460216</v>
      </c>
      <c r="AI6" s="102">
        <f>IF($AD$2="Off",'Activity data'!AI6,'Net zero Intermediate calcs'!AD15*'Net zero Intermediate calcs'!AD16*Constants!$H$19)</f>
        <v>500469.62606977334</v>
      </c>
      <c r="AJ6" s="102">
        <f>IF($AD$2="Off",'Activity data'!AJ6,'Net zero Intermediate calcs'!AE15*'Net zero Intermediate calcs'!AE16*Constants!$H$19)</f>
        <v>502245.08031219151</v>
      </c>
      <c r="AK6" s="102">
        <f>IF($AD$2="Off",'Activity data'!AK6,'Net zero Intermediate calcs'!AF15*'Net zero Intermediate calcs'!AF16*Constants!$H$19)</f>
        <v>504281.82454163581</v>
      </c>
      <c r="AL6" s="102">
        <f>IF($AD$2="Off",'Activity data'!AL6,'Net zero Intermediate calcs'!AG15*'Net zero Intermediate calcs'!AG16*Constants!$H$19)</f>
        <v>489123.3148221515</v>
      </c>
      <c r="AM6" s="102">
        <f>IF($AD$2="Off",'Activity data'!AM6,'Net zero Intermediate calcs'!AH15*'Net zero Intermediate calcs'!AH16*Constants!$H$19)</f>
        <v>494266.50467612332</v>
      </c>
      <c r="AN6" s="102">
        <f>IF($AD$2="Off",'Activity data'!AN6,'Net zero Intermediate calcs'!AI15*'Net zero Intermediate calcs'!AI16*Constants!$H$19)</f>
        <v>501794.77371558186</v>
      </c>
      <c r="AO6" s="102">
        <f>IF($AD$2="Off",'Activity data'!AO6,'Net zero Intermediate calcs'!AJ15*'Net zero Intermediate calcs'!AJ16*Constants!$H$19)</f>
        <v>505696.85665756627</v>
      </c>
      <c r="AP6" s="102">
        <f>IF($AD$2="Off",'Activity data'!AP6,'Net zero Intermediate calcs'!AK15*'Net zero Intermediate calcs'!AK16*Constants!$H$19)</f>
        <v>510156.41803075967</v>
      </c>
      <c r="AQ6" s="102">
        <f>IF($AD$2="Off",'Activity data'!AQ6,'Net zero Intermediate calcs'!AL15*'Net zero Intermediate calcs'!AL16*Constants!$H$19)</f>
        <v>515317.89308382646</v>
      </c>
      <c r="AR6" s="102">
        <f>IF($AD$2="Off",'Activity data'!AR6,'Net zero Intermediate calcs'!AM15*'Net zero Intermediate calcs'!AM16*Constants!$H$19)</f>
        <v>520588.73297951161</v>
      </c>
      <c r="AS6" s="102">
        <f>IF($AD$2="Off",'Activity data'!AS6,'Net zero Intermediate calcs'!AN15*'Net zero Intermediate calcs'!AN16*Constants!$H$19)</f>
        <v>526422.87298336753</v>
      </c>
      <c r="AT6" s="102">
        <f>IF($AD$2="Off",'Activity data'!AT6,'Net zero Intermediate calcs'!AO15*'Net zero Intermediate calcs'!AO16*Constants!$H$19)</f>
        <v>532437.73869398143</v>
      </c>
      <c r="AU6" s="102">
        <f>IF($AD$2="Off",'Activity data'!AU6,'Net zero Intermediate calcs'!AP15*'Net zero Intermediate calcs'!AP16*Constants!$H$19)</f>
        <v>538978.65304011898</v>
      </c>
      <c r="AV6" s="102">
        <f>IF($AD$2="Off",'Activity data'!AV6,'Net zero Intermediate calcs'!AQ15*'Net zero Intermediate calcs'!AQ16*Constants!$H$19)</f>
        <v>545667.11818351632</v>
      </c>
      <c r="AW6" s="102">
        <f>IF($AD$2="Off",'Activity data'!AW6,'Net zero Intermediate calcs'!AR15*'Net zero Intermediate calcs'!AR16*Constants!$H$19)</f>
        <v>552892.8671867504</v>
      </c>
      <c r="AX6" s="102">
        <f>IF($AD$2="Off",'Activity data'!AX6,'Net zero Intermediate calcs'!AS15*'Net zero Intermediate calcs'!AS16*Constants!$H$19)</f>
        <v>560020.82033536339</v>
      </c>
      <c r="AY6" s="102">
        <f>IF($AD$2="Off",'Activity data'!AY6,'Net zero Intermediate calcs'!AT15*'Net zero Intermediate calcs'!AT16*Constants!$H$19)</f>
        <v>567544.32173759222</v>
      </c>
      <c r="AZ6" s="102">
        <f>IF($AD$2="Off",'Activity data'!AZ6,'Net zero Intermediate calcs'!AU15*'Net zero Intermediate calcs'!AU16*Constants!$H$19)</f>
        <v>576054.64555470052</v>
      </c>
      <c r="BA6" s="102">
        <f>IF($AD$2="Off",'Activity data'!BA6,'Net zero Intermediate calcs'!AV15*'Net zero Intermediate calcs'!AV16*Constants!$H$19)</f>
        <v>584146.00621787459</v>
      </c>
      <c r="BB6" s="102">
        <f>IF($AD$2="Off",'Activity data'!BB6,'Net zero Intermediate calcs'!AW15*'Net zero Intermediate calcs'!AW16*Constants!$H$19)</f>
        <v>592443.65371979226</v>
      </c>
      <c r="BC6" s="102">
        <f>IF($AD$2="Off",'Activity data'!BC6,'Net zero Intermediate calcs'!AX15*'Net zero Intermediate calcs'!AX16*Constants!$H$19)</f>
        <v>601317.61214686593</v>
      </c>
      <c r="BD6" s="102">
        <f>IF($AD$2="Off",'Activity data'!BD6,'Net zero Intermediate calcs'!AY15*'Net zero Intermediate calcs'!AY16*Constants!$H$19)</f>
        <v>609631.44174878998</v>
      </c>
      <c r="BE6" s="102">
        <f>IF($AD$2="Off",'Activity data'!BE6,'Net zero Intermediate calcs'!AZ15*'Net zero Intermediate calcs'!AZ16*Constants!$H$19)</f>
        <v>617900.15448351158</v>
      </c>
      <c r="BF6" s="102">
        <f>IF($AD$2="Off",'Activity data'!BF6,'Net zero Intermediate calcs'!BA15*'Net zero Intermediate calcs'!BA16*Constants!$H$19)</f>
        <v>626146.74972519069</v>
      </c>
      <c r="BG6" s="102">
        <f>IF($AD$2="Off",'Activity data'!BG6,'Net zero Intermediate calcs'!BB15*'Net zero Intermediate calcs'!BB16*Constants!$H$19)</f>
        <v>634871.40024518245</v>
      </c>
      <c r="BH6" s="102">
        <f>IF($AD$2="Off",'Activity data'!BH6,'Net zero Intermediate calcs'!BC15*'Net zero Intermediate calcs'!BC16*Constants!$H$19)</f>
        <v>643245.12775062257</v>
      </c>
      <c r="BI6" s="102">
        <f>IF($AD$2="Off",'Activity data'!BI6,'Net zero Intermediate calcs'!BD15*'Net zero Intermediate calcs'!BD16*Constants!$H$19)</f>
        <v>651944.01875325164</v>
      </c>
      <c r="BJ6" s="102">
        <f>IF($AD$2="Off",'Activity data'!BJ6,'Net zero Intermediate calcs'!BE15*'Net zero Intermediate calcs'!BE16*Constants!$H$19)</f>
        <v>661007.74730879569</v>
      </c>
      <c r="BK6" s="102">
        <f>IF($AD$2="Off",'Activity data'!BK6,'Net zero Intermediate calcs'!BF15*'Net zero Intermediate calcs'!BF16*Constants!$H$19)</f>
        <v>670500.11350534752</v>
      </c>
      <c r="BL6" s="102">
        <f>IF($AD$2="Off",'Activity data'!BL6,'Net zero Intermediate calcs'!BG15*'Net zero Intermediate calcs'!BG16*Constants!$H$19)</f>
        <v>680160.38715776231</v>
      </c>
      <c r="BM6" s="102">
        <f>IF($AD$2="Off",'Activity data'!BM6,'Net zero Intermediate calcs'!BH15*'Net zero Intermediate calcs'!BH16*Constants!$H$19)</f>
        <v>682450.76083924749</v>
      </c>
      <c r="BN6" s="102">
        <f>IF($AD$2="Off",'Activity data'!BN6,'Net zero Intermediate calcs'!BI15*'Net zero Intermediate calcs'!BI16*Constants!$H$19)</f>
        <v>684080.81278207805</v>
      </c>
      <c r="BO6" s="102">
        <f>IF($AD$2="Off",'Activity data'!BO6,'Net zero Intermediate calcs'!BJ15*'Net zero Intermediate calcs'!BJ16*Constants!$H$19)</f>
        <v>684748.67484489607</v>
      </c>
      <c r="BP6" s="102">
        <f>IF($AD$2="Off",'Activity data'!BP6,'Net zero Intermediate calcs'!BK15*'Net zero Intermediate calcs'!BK16*Constants!$H$19)</f>
        <v>685151.94798773597</v>
      </c>
      <c r="BQ6">
        <v>696512.05474548205</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102">
        <f>IF($AD$2="Off",'Activity data'!AD7,'Net zero Intermediate calcs'!Y15*'Net zero Intermediate calcs'!Y16*(1-Constants!$H$18-Constants!$H$19))</f>
        <v>606918.78325022152</v>
      </c>
      <c r="AE7" s="102">
        <f>IF($AD$2="Off",'Activity data'!AE7,'Net zero Intermediate calcs'!Z15*'Net zero Intermediate calcs'!Z16*(1-Constants!$H$18-Constants!$H$19))</f>
        <v>610311.76961624727</v>
      </c>
      <c r="AF7" s="102">
        <f>IF($AD$2="Off",'Activity data'!AF7,'Net zero Intermediate calcs'!AA15*'Net zero Intermediate calcs'!AA16*(1-Constants!$H$18-Constants!$H$19))</f>
        <v>615125.83619595377</v>
      </c>
      <c r="AG7" s="102">
        <f>IF($AD$2="Off",'Activity data'!AG7,'Net zero Intermediate calcs'!AB15*'Net zero Intermediate calcs'!AB16*(1-Constants!$H$18-Constants!$H$19))</f>
        <v>618219.38677716604</v>
      </c>
      <c r="AH7" s="102">
        <f>IF($AD$2="Off",'Activity data'!AH7,'Net zero Intermediate calcs'!AC15*'Net zero Intermediate calcs'!AC16*(1-Constants!$H$18-Constants!$H$19))</f>
        <v>620275.06528709247</v>
      </c>
      <c r="AI7" s="102">
        <f>IF($AD$2="Off",'Activity data'!AI7,'Net zero Intermediate calcs'!AD15*'Net zero Intermediate calcs'!AD16*(1-Constants!$H$18-Constants!$H$19))</f>
        <v>621272.63925902906</v>
      </c>
      <c r="AJ7" s="102">
        <f>IF($AD$2="Off",'Activity data'!AJ7,'Net zero Intermediate calcs'!AE15*'Net zero Intermediate calcs'!AE16*(1-Constants!$H$18-Constants!$H$19))</f>
        <v>623476.65142203099</v>
      </c>
      <c r="AK7" s="102">
        <f>IF($AD$2="Off",'Activity data'!AK7,'Net zero Intermediate calcs'!AF15*'Net zero Intermediate calcs'!AF16*(1-Constants!$H$18-Constants!$H$19))</f>
        <v>626005.02356892731</v>
      </c>
      <c r="AL7" s="102">
        <f>IF($AD$2="Off",'Activity data'!AL7,'Net zero Intermediate calcs'!AG15*'Net zero Intermediate calcs'!AG16*(1-Constants!$H$18-Constants!$H$19))</f>
        <v>607187.56322749855</v>
      </c>
      <c r="AM7" s="102">
        <f>IF($AD$2="Off",'Activity data'!AM7,'Net zero Intermediate calcs'!AH15*'Net zero Intermediate calcs'!AH16*(1-Constants!$H$18-Constants!$H$19))</f>
        <v>613572.21270139457</v>
      </c>
      <c r="AN7" s="102">
        <f>IF($AD$2="Off",'Activity data'!AN7,'Net zero Intermediate calcs'!AI15*'Net zero Intermediate calcs'!AI16*(1-Constants!$H$18-Constants!$H$19))</f>
        <v>622917.65012968797</v>
      </c>
      <c r="AO7" s="102">
        <f>IF($AD$2="Off",'Activity data'!AO7,'Net zero Intermediate calcs'!AJ15*'Net zero Intermediate calcs'!AJ16*(1-Constants!$H$18-Constants!$H$19))</f>
        <v>627761.61516111693</v>
      </c>
      <c r="AP7" s="102">
        <f>IF($AD$2="Off",'Activity data'!AP7,'Net zero Intermediate calcs'!AK15*'Net zero Intermediate calcs'!AK16*(1-Constants!$H$18-Constants!$H$19))</f>
        <v>633297.62238301209</v>
      </c>
      <c r="AQ7" s="102">
        <f>IF($AD$2="Off",'Activity data'!AQ7,'Net zero Intermediate calcs'!AL15*'Net zero Intermediate calcs'!AL16*(1-Constants!$H$18-Constants!$H$19))</f>
        <v>639704.97072475019</v>
      </c>
      <c r="AR7" s="102">
        <f>IF($AD$2="Off",'Activity data'!AR7,'Net zero Intermediate calcs'!AM15*'Net zero Intermediate calcs'!AM16*(1-Constants!$H$18-Constants!$H$19))</f>
        <v>646248.08231939387</v>
      </c>
      <c r="AS7" s="102">
        <f>IF($AD$2="Off",'Activity data'!AS7,'Net zero Intermediate calcs'!AN15*'Net zero Intermediate calcs'!AN16*(1-Constants!$H$18-Constants!$H$19))</f>
        <v>653490.46301383572</v>
      </c>
      <c r="AT7" s="102">
        <f>IF($AD$2="Off",'Activity data'!AT7,'Net zero Intermediate calcs'!AO15*'Net zero Intermediate calcs'!AO16*(1-Constants!$H$18-Constants!$H$19))</f>
        <v>660957.19286149426</v>
      </c>
      <c r="AU7" s="102">
        <f>IF($AD$2="Off",'Activity data'!AU7,'Net zero Intermediate calcs'!AP15*'Net zero Intermediate calcs'!AP16*(1-Constants!$H$18-Constants!$H$19))</f>
        <v>669076.94860152714</v>
      </c>
      <c r="AV7" s="102">
        <f>IF($AD$2="Off",'Activity data'!AV7,'Net zero Intermediate calcs'!AQ15*'Net zero Intermediate calcs'!AQ16*(1-Constants!$H$18-Constants!$H$19))</f>
        <v>677379.87084850308</v>
      </c>
      <c r="AW7" s="102">
        <f>IF($AD$2="Off",'Activity data'!AW7,'Net zero Intermediate calcs'!AR15*'Net zero Intermediate calcs'!AR16*(1-Constants!$H$18-Constants!$H$19))</f>
        <v>686349.76616286277</v>
      </c>
      <c r="AX7" s="102">
        <f>IF($AD$2="Off",'Activity data'!AX7,'Net zero Intermediate calcs'!AS15*'Net zero Intermediate calcs'!AS16*(1-Constants!$H$18-Constants!$H$19))</f>
        <v>695198.25972665811</v>
      </c>
      <c r="AY7" s="102">
        <f>IF($AD$2="Off",'Activity data'!AY7,'Net zero Intermediate calcs'!AT15*'Net zero Intermediate calcs'!AT16*(1-Constants!$H$18-Constants!$H$19))</f>
        <v>704537.77870873525</v>
      </c>
      <c r="AZ7" s="102">
        <f>IF($AD$2="Off",'Activity data'!AZ7,'Net zero Intermediate calcs'!AU15*'Net zero Intermediate calcs'!AU16*(1-Constants!$H$18-Constants!$H$19))</f>
        <v>715102.31861962832</v>
      </c>
      <c r="BA7" s="102">
        <f>IF($AD$2="Off",'Activity data'!BA7,'Net zero Intermediate calcs'!AV15*'Net zero Intermediate calcs'!AV16*(1-Constants!$H$18-Constants!$H$19))</f>
        <v>725146.7663394307</v>
      </c>
      <c r="BB7" s="102">
        <f>IF($AD$2="Off",'Activity data'!BB7,'Net zero Intermediate calcs'!AW15*'Net zero Intermediate calcs'!AW16*(1-Constants!$H$18-Constants!$H$19))</f>
        <v>735447.29427284573</v>
      </c>
      <c r="BC7" s="102">
        <f>IF($AD$2="Off",'Activity data'!BC7,'Net zero Intermediate calcs'!AX15*'Net zero Intermediate calcs'!AX16*(1-Constants!$H$18-Constants!$H$19))</f>
        <v>746463.24266507511</v>
      </c>
      <c r="BD7" s="102">
        <f>IF($AD$2="Off",'Activity data'!BD7,'Net zero Intermediate calcs'!AY15*'Net zero Intermediate calcs'!AY16*(1-Constants!$H$18-Constants!$H$19))</f>
        <v>756783.85872263601</v>
      </c>
      <c r="BE7" s="102">
        <f>IF($AD$2="Off",'Activity data'!BE7,'Net zero Intermediate calcs'!AZ15*'Net zero Intermediate calcs'!AZ16*(1-Constants!$H$18-Constants!$H$19))</f>
        <v>767048.4676347042</v>
      </c>
      <c r="BF7" s="102">
        <f>IF($AD$2="Off",'Activity data'!BF7,'Net zero Intermediate calcs'!BA15*'Net zero Intermediate calcs'!BA16*(1-Constants!$H$18-Constants!$H$19))</f>
        <v>777285.62034851266</v>
      </c>
      <c r="BG7" s="102">
        <f>IF($AD$2="Off",'Activity data'!BG7,'Net zero Intermediate calcs'!BB15*'Net zero Intermediate calcs'!BB16*(1-Constants!$H$18-Constants!$H$19))</f>
        <v>788116.22099401976</v>
      </c>
      <c r="BH7" s="102">
        <f>IF($AD$2="Off",'Activity data'!BH7,'Net zero Intermediate calcs'!BC15*'Net zero Intermediate calcs'!BC16*(1-Constants!$H$18-Constants!$H$19))</f>
        <v>798511.19306973857</v>
      </c>
      <c r="BI7" s="102">
        <f>IF($AD$2="Off",'Activity data'!BI7,'Net zero Intermediate calcs'!BD15*'Net zero Intermediate calcs'!BD16*(1-Constants!$H$18-Constants!$H$19))</f>
        <v>809309.81638334703</v>
      </c>
      <c r="BJ7" s="102">
        <f>IF($AD$2="Off",'Activity data'!BJ7,'Net zero Intermediate calcs'!BE15*'Net zero Intermediate calcs'!BE16*(1-Constants!$H$18-Constants!$H$19))</f>
        <v>820561.34148678102</v>
      </c>
      <c r="BK7" s="102">
        <f>IF($AD$2="Off",'Activity data'!BK7,'Net zero Intermediate calcs'!BF15*'Net zero Intermediate calcs'!BF16*(1-Constants!$H$18-Constants!$H$19))</f>
        <v>832344.96848939708</v>
      </c>
      <c r="BL7" s="102">
        <f>IF($AD$2="Off",'Activity data'!BL7,'Net zero Intermediate calcs'!BG15*'Net zero Intermediate calcs'!BG16*(1-Constants!$H$18-Constants!$H$19))</f>
        <v>844337.03233377414</v>
      </c>
      <c r="BM7" s="102">
        <f>IF($AD$2="Off",'Activity data'!BM7,'Net zero Intermediate calcs'!BH15*'Net zero Intermediate calcs'!BH16*(1-Constants!$H$18-Constants!$H$19))</f>
        <v>847180.25483492808</v>
      </c>
      <c r="BN7" s="102">
        <f>IF($AD$2="Off",'Activity data'!BN7,'Net zero Intermediate calcs'!BI15*'Net zero Intermediate calcs'!BI16*(1-Constants!$H$18-Constants!$H$19))</f>
        <v>849203.76759154536</v>
      </c>
      <c r="BO7" s="102">
        <f>IF($AD$2="Off",'Activity data'!BO7,'Net zero Intermediate calcs'!BJ15*'Net zero Intermediate calcs'!BJ16*(1-Constants!$H$18-Constants!$H$19))</f>
        <v>850032.83773849171</v>
      </c>
      <c r="BP7" s="102">
        <f>IF($AD$2="Off",'Activity data'!BP7,'Net zero Intermediate calcs'!BK15*'Net zero Intermediate calcs'!BK16*(1-Constants!$H$18-Constants!$H$19))</f>
        <v>850533.45267443103</v>
      </c>
      <c r="BQ7">
        <v>864635.65416680544</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102">
        <f>IF($AD$2="Off",'Activity data'!AD8,'Net zero Intermediate calcs'!Y10*'Net zero Intermediate calcs'!Y11*Constants!$H$20)</f>
        <v>5954880.1627134737</v>
      </c>
      <c r="AE8" s="102">
        <f>IF($AD$2="Off",'Activity data'!AE8,'Net zero Intermediate calcs'!Z10*'Net zero Intermediate calcs'!Z11*Constants!$H$20)</f>
        <v>5903235.3888004757</v>
      </c>
      <c r="AF8" s="102">
        <f>IF($AD$2="Off",'Activity data'!AF8,'Net zero Intermediate calcs'!AA10*'Net zero Intermediate calcs'!AA11*Constants!$H$20)</f>
        <v>5883575.7867908729</v>
      </c>
      <c r="AG8" s="102">
        <f>IF($AD$2="Off",'Activity data'!AG8,'Net zero Intermediate calcs'!AB10*'Net zero Intermediate calcs'!AB11*Constants!$H$20)</f>
        <v>5805008.3335930631</v>
      </c>
      <c r="AH8" s="102">
        <f>IF($AD$2="Off",'Activity data'!AH8,'Net zero Intermediate calcs'!AC10*'Net zero Intermediate calcs'!AC11*Constants!$H$20)</f>
        <v>5690965.7565264786</v>
      </c>
      <c r="AI8" s="102">
        <f>IF($AD$2="Off",'Activity data'!AI8,'Net zero Intermediate calcs'!AD10*'Net zero Intermediate calcs'!AD11*Constants!$H$20)</f>
        <v>5543806.2775503108</v>
      </c>
      <c r="AJ8" s="102">
        <f>IF($AD$2="Off",'Activity data'!AJ8,'Net zero Intermediate calcs'!AE10*'Net zero Intermediate calcs'!AE11*Constants!$H$20)</f>
        <v>5427737.2925172504</v>
      </c>
      <c r="AK8" s="102">
        <f>IF($AD$2="Off",'Activity data'!AK8,'Net zero Intermediate calcs'!AF10*'Net zero Intermediate calcs'!AF11*Constants!$H$20)</f>
        <v>5317922.8374796044</v>
      </c>
      <c r="AL8" s="102">
        <f>IF($AD$2="Off",'Activity data'!AL8,'Net zero Intermediate calcs'!AG10*'Net zero Intermediate calcs'!AG11*Constants!$H$20)</f>
        <v>4678221.8105234597</v>
      </c>
      <c r="AM8" s="102">
        <f>IF($AD$2="Off",'Activity data'!AM8,'Net zero Intermediate calcs'!AH10*'Net zero Intermediate calcs'!AH11*Constants!$H$20)</f>
        <v>4754210.2304002214</v>
      </c>
      <c r="AN8" s="102">
        <f>IF($AD$2="Off",'Activity data'!AN8,'Net zero Intermediate calcs'!AI10*'Net zero Intermediate calcs'!AI11*Constants!$H$20)</f>
        <v>4895969.0248722164</v>
      </c>
      <c r="AO8" s="102">
        <f>IF($AD$2="Off",'Activity data'!AO8,'Net zero Intermediate calcs'!AJ10*'Net zero Intermediate calcs'!AJ11*Constants!$H$20)</f>
        <v>4924279.8935017614</v>
      </c>
      <c r="AP8" s="102">
        <f>IF($AD$2="Off",'Activity data'!AP8,'Net zero Intermediate calcs'!AK10*'Net zero Intermediate calcs'!AK11*Constants!$H$20)</f>
        <v>4965112.3083347548</v>
      </c>
      <c r="AQ8" s="102">
        <f>IF($AD$2="Off",'Activity data'!AQ8,'Net zero Intermediate calcs'!AL10*'Net zero Intermediate calcs'!AL11*Constants!$H$20)</f>
        <v>5022074.4277090412</v>
      </c>
      <c r="AR8" s="102">
        <f>IF($AD$2="Off",'Activity data'!AR8,'Net zero Intermediate calcs'!AM10*'Net zero Intermediate calcs'!AM11*Constants!$H$20)</f>
        <v>5087412.5776335113</v>
      </c>
      <c r="AS8" s="102">
        <f>IF($AD$2="Off",'Activity data'!AS8,'Net zero Intermediate calcs'!AN10*'Net zero Intermediate calcs'!AN11*Constants!$H$20)</f>
        <v>5164018.1277219895</v>
      </c>
      <c r="AT8" s="102">
        <f>IF($AD$2="Off",'Activity data'!AT8,'Net zero Intermediate calcs'!AO10*'Net zero Intermediate calcs'!AO11*Constants!$H$20)</f>
        <v>5240976.999745884</v>
      </c>
      <c r="AU8" s="102">
        <f>IF($AD$2="Off",'Activity data'!AU8,'Net zero Intermediate calcs'!AP10*'Net zero Intermediate calcs'!AP11*Constants!$H$20)</f>
        <v>5327531.9837928433</v>
      </c>
      <c r="AV8" s="102">
        <f>IF($AD$2="Off",'Activity data'!AV8,'Net zero Intermediate calcs'!AQ10*'Net zero Intermediate calcs'!AQ11*Constants!$H$20)</f>
        <v>5413228.0043612635</v>
      </c>
      <c r="AW8" s="102">
        <f>IF($AD$2="Off",'Activity data'!AW8,'Net zero Intermediate calcs'!AR10*'Net zero Intermediate calcs'!AR11*Constants!$H$20)</f>
        <v>5469050.6347828945</v>
      </c>
      <c r="AX8" s="102">
        <f>IF($AD$2="Off",'Activity data'!AX8,'Net zero Intermediate calcs'!AS10*'Net zero Intermediate calcs'!AS11*Constants!$H$20)</f>
        <v>5514884.9045513067</v>
      </c>
      <c r="AY8" s="102">
        <f>IF($AD$2="Off",'Activity data'!AY8,'Net zero Intermediate calcs'!AT10*'Net zero Intermediate calcs'!AT11*Constants!$H$20)</f>
        <v>5563306.2135728579</v>
      </c>
      <c r="AZ8" s="102">
        <f>IF($AD$2="Off",'Activity data'!AZ8,'Net zero Intermediate calcs'!AU10*'Net zero Intermediate calcs'!AU11*Constants!$H$20)</f>
        <v>5628093.3810104998</v>
      </c>
      <c r="BA8" s="102">
        <f>IF($AD$2="Off",'Activity data'!BA8,'Net zero Intermediate calcs'!AV10*'Net zero Intermediate calcs'!AV11*Constants!$H$20)</f>
        <v>5674686.1332498901</v>
      </c>
      <c r="BB8" s="102">
        <f>IF($AD$2="Off",'Activity data'!BB8,'Net zero Intermediate calcs'!AW10*'Net zero Intermediate calcs'!AW11*Constants!$H$20)</f>
        <v>5724342.5261227358</v>
      </c>
      <c r="BC8" s="102">
        <f>IF($AD$2="Off",'Activity data'!BC8,'Net zero Intermediate calcs'!AX10*'Net zero Intermediate calcs'!AX11*Constants!$H$20)</f>
        <v>5779003.9389049551</v>
      </c>
      <c r="BD8" s="102">
        <f>IF($AD$2="Off",'Activity data'!BD8,'Net zero Intermediate calcs'!AY10*'Net zero Intermediate calcs'!AY11*Constants!$H$20)</f>
        <v>5813065.2759390101</v>
      </c>
      <c r="BE8" s="102">
        <f>IF($AD$2="Off",'Activity data'!BE8,'Net zero Intermediate calcs'!AZ10*'Net zero Intermediate calcs'!AZ11*Constants!$H$20)</f>
        <v>5838618.7128094397</v>
      </c>
      <c r="BF8" s="102">
        <f>IF($AD$2="Off",'Activity data'!BF8,'Net zero Intermediate calcs'!BA10*'Net zero Intermediate calcs'!BA11*Constants!$H$20)</f>
        <v>5856392.7647159388</v>
      </c>
      <c r="BG8" s="102">
        <f>IF($AD$2="Off",'Activity data'!BG8,'Net zero Intermediate calcs'!BB10*'Net zero Intermediate calcs'!BB11*Constants!$H$20)</f>
        <v>5911647.5944136344</v>
      </c>
      <c r="BH8" s="102">
        <f>IF($AD$2="Off",'Activity data'!BH8,'Net zero Intermediate calcs'!BC10*'Net zero Intermediate calcs'!BC11*Constants!$H$20)</f>
        <v>5953648.2599407025</v>
      </c>
      <c r="BI8" s="102">
        <f>IF($AD$2="Off",'Activity data'!BI8,'Net zero Intermediate calcs'!BD10*'Net zero Intermediate calcs'!BD11*Constants!$H$20)</f>
        <v>5996179.0955955889</v>
      </c>
      <c r="BJ8" s="102">
        <f>IF($AD$2="Off",'Activity data'!BJ8,'Net zero Intermediate calcs'!BE10*'Net zero Intermediate calcs'!BE11*Constants!$H$20)</f>
        <v>6039726.6349117495</v>
      </c>
      <c r="BK8" s="102">
        <f>IF($AD$2="Off",'Activity data'!BK8,'Net zero Intermediate calcs'!BF10*'Net zero Intermediate calcs'!BF11*Constants!$H$20)</f>
        <v>6085169.0279960074</v>
      </c>
      <c r="BL8" s="102">
        <f>IF($AD$2="Off",'Activity data'!BL8,'Net zero Intermediate calcs'!BG10*'Net zero Intermediate calcs'!BG11*Constants!$H$20)</f>
        <v>6131826.2951819589</v>
      </c>
      <c r="BM8" s="102">
        <f>IF($AD$2="Off",'Activity data'!BM8,'Net zero Intermediate calcs'!BH10*'Net zero Intermediate calcs'!BH11*Constants!$H$20)</f>
        <v>6039789.4008549312</v>
      </c>
      <c r="BN8" s="102">
        <f>IF($AD$2="Off",'Activity data'!BN8,'Net zero Intermediate calcs'!BI10*'Net zero Intermediate calcs'!BI11*Constants!$H$20)</f>
        <v>5935527.0782835614</v>
      </c>
      <c r="BO8" s="102">
        <f>IF($AD$2="Off",'Activity data'!BO8,'Net zero Intermediate calcs'!BJ10*'Net zero Intermediate calcs'!BJ11*Constants!$H$20)</f>
        <v>5814653.602642755</v>
      </c>
      <c r="BP8" s="102">
        <f>IF($AD$2="Off",'Activity data'!BP8,'Net zero Intermediate calcs'!BK10*'Net zero Intermediate calcs'!BK11*Constants!$H$20)</f>
        <v>5689992.0401735585</v>
      </c>
      <c r="BQ8" s="11">
        <v>5916196.5823583361</v>
      </c>
    </row>
    <row r="9" spans="1:72" x14ac:dyDescent="0.3">
      <c r="A9" t="str">
        <f t="shared" si="1"/>
        <v>3A Livestock</v>
      </c>
      <c r="C9" t="str">
        <f>$C$8</f>
        <v>3A1aii Other cattle</v>
      </c>
      <c r="D9" t="str">
        <f>'IPCC Categories'!$F$37</f>
        <v>Subsistence</v>
      </c>
      <c r="E9" t="str">
        <f t="shared" ref="E9:F22" si="2">E8</f>
        <v>Population</v>
      </c>
      <c r="F9" t="str">
        <f t="shared" si="2"/>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102">
        <f>IF($AD$2="Off",'Activity data'!AD9,'Net zero Intermediate calcs'!Y10*'Net zero Intermediate calcs'!Y11*(1-Constants!$H$20))</f>
        <v>5280742.7858025134</v>
      </c>
      <c r="AE9" s="102">
        <f>IF($AD$2="Off",'Activity data'!AE9,'Net zero Intermediate calcs'!Z10*'Net zero Intermediate calcs'!Z11*(1-Constants!$H$20))</f>
        <v>5234944.5900683459</v>
      </c>
      <c r="AF9" s="102">
        <f>IF($AD$2="Off",'Activity data'!AF9,'Net zero Intermediate calcs'!AA10*'Net zero Intermediate calcs'!AA11*(1-Constants!$H$20))</f>
        <v>5217510.6033805842</v>
      </c>
      <c r="AG9" s="102">
        <f>IF($AD$2="Off",'Activity data'!AG9,'Net zero Intermediate calcs'!AB10*'Net zero Intermediate calcs'!AB11*(1-Constants!$H$20))</f>
        <v>5147837.5788466781</v>
      </c>
      <c r="AH9" s="102">
        <f>IF($AD$2="Off",'Activity data'!AH9,'Net zero Intermediate calcs'!AC10*'Net zero Intermediate calcs'!AC11*(1-Constants!$H$20))</f>
        <v>5046705.4822027264</v>
      </c>
      <c r="AI9" s="102">
        <f>IF($AD$2="Off",'Activity data'!AI9,'Net zero Intermediate calcs'!AD10*'Net zero Intermediate calcs'!AD11*(1-Constants!$H$20))</f>
        <v>4916205.5668842373</v>
      </c>
      <c r="AJ9" s="102">
        <f>IF($AD$2="Off",'Activity data'!AJ9,'Net zero Intermediate calcs'!AE10*'Net zero Intermediate calcs'!AE11*(1-Constants!$H$20))</f>
        <v>4813276.4669492599</v>
      </c>
      <c r="AK9" s="102">
        <f>IF($AD$2="Off",'Activity data'!AK9,'Net zero Intermediate calcs'!AF10*'Net zero Intermediate calcs'!AF11*(1-Constants!$H$20))</f>
        <v>4715893.8370102141</v>
      </c>
      <c r="AL9" s="102">
        <f>IF($AD$2="Off",'Activity data'!AL9,'Net zero Intermediate calcs'!AG10*'Net zero Intermediate calcs'!AG11*(1-Constants!$H$20))</f>
        <v>4148611.7942377846</v>
      </c>
      <c r="AM9" s="102">
        <f>IF($AD$2="Off",'Activity data'!AM9,'Net zero Intermediate calcs'!AH10*'Net zero Intermediate calcs'!AH11*(1-Constants!$H$20))</f>
        <v>4215997.7514869887</v>
      </c>
      <c r="AN9" s="102">
        <f>IF($AD$2="Off",'Activity data'!AN9,'Net zero Intermediate calcs'!AI10*'Net zero Intermediate calcs'!AI11*(1-Constants!$H$20))</f>
        <v>4341708.3805470588</v>
      </c>
      <c r="AO9" s="102">
        <f>IF($AD$2="Off",'Activity data'!AO9,'Net zero Intermediate calcs'!AJ10*'Net zero Intermediate calcs'!AJ11*(1-Constants!$H$20))</f>
        <v>4366814.2451808071</v>
      </c>
      <c r="AP9" s="102">
        <f>IF($AD$2="Off",'Activity data'!AP9,'Net zero Intermediate calcs'!AK10*'Net zero Intermediate calcs'!AK11*(1-Constants!$H$20))</f>
        <v>4403024.1224855371</v>
      </c>
      <c r="AQ9" s="102">
        <f>IF($AD$2="Off",'Activity data'!AQ9,'Net zero Intermediate calcs'!AL10*'Net zero Intermediate calcs'!AL11*(1-Constants!$H$20))</f>
        <v>4453537.7000438664</v>
      </c>
      <c r="AR9" s="102">
        <f>IF($AD$2="Off",'Activity data'!AR9,'Net zero Intermediate calcs'!AM10*'Net zero Intermediate calcs'!AM11*(1-Constants!$H$20))</f>
        <v>4511479.0782787744</v>
      </c>
      <c r="AS9" s="102">
        <f>IF($AD$2="Off",'Activity data'!AS9,'Net zero Intermediate calcs'!AN10*'Net zero Intermediate calcs'!AN11*(1-Constants!$H$20))</f>
        <v>4579412.3019421417</v>
      </c>
      <c r="AT9" s="102">
        <f>IF($AD$2="Off",'Activity data'!AT9,'Net zero Intermediate calcs'!AO10*'Net zero Intermediate calcs'!AO11*(1-Constants!$H$20))</f>
        <v>4647658.8488312559</v>
      </c>
      <c r="AU9" s="102">
        <f>IF($AD$2="Off",'Activity data'!AU9,'Net zero Intermediate calcs'!AP10*'Net zero Intermediate calcs'!AP11*(1-Constants!$H$20))</f>
        <v>4724415.1554389354</v>
      </c>
      <c r="AV9" s="102">
        <f>IF($AD$2="Off",'Activity data'!AV9,'Net zero Intermediate calcs'!AQ10*'Net zero Intermediate calcs'!AQ11*(1-Constants!$H$20))</f>
        <v>4800409.7397165922</v>
      </c>
      <c r="AW9" s="102">
        <f>IF($AD$2="Off",'Activity data'!AW9,'Net zero Intermediate calcs'!AR10*'Net zero Intermediate calcs'!AR11*(1-Constants!$H$20))</f>
        <v>4849912.8270716229</v>
      </c>
      <c r="AX9" s="102">
        <f>IF($AD$2="Off",'Activity data'!AX9,'Net zero Intermediate calcs'!AS10*'Net zero Intermediate calcs'!AS11*(1-Constants!$H$20))</f>
        <v>4890558.311583234</v>
      </c>
      <c r="AY9" s="102">
        <f>IF($AD$2="Off",'Activity data'!AY9,'Net zero Intermediate calcs'!AT10*'Net zero Intermediate calcs'!AT11*(1-Constants!$H$20))</f>
        <v>4933497.9629797041</v>
      </c>
      <c r="AZ9" s="102">
        <f>IF($AD$2="Off",'Activity data'!AZ9,'Net zero Intermediate calcs'!AU10*'Net zero Intermediate calcs'!AU11*(1-Constants!$H$20))</f>
        <v>4990950.7341036508</v>
      </c>
      <c r="BA9" s="102">
        <f>IF($AD$2="Off",'Activity data'!BA9,'Net zero Intermediate calcs'!AV10*'Net zero Intermediate calcs'!AV11*(1-Constants!$H$20))</f>
        <v>5032268.8351461291</v>
      </c>
      <c r="BB9" s="102">
        <f>IF($AD$2="Off",'Activity data'!BB9,'Net zero Intermediate calcs'!AW10*'Net zero Intermediate calcs'!AW11*(1-Constants!$H$20))</f>
        <v>5076303.7495805379</v>
      </c>
      <c r="BC9" s="102">
        <f>IF($AD$2="Off",'Activity data'!BC9,'Net zero Intermediate calcs'!AX10*'Net zero Intermediate calcs'!AX11*(1-Constants!$H$20))</f>
        <v>5124777.0778968455</v>
      </c>
      <c r="BD9" s="102">
        <f>IF($AD$2="Off",'Activity data'!BD9,'Net zero Intermediate calcs'!AY10*'Net zero Intermediate calcs'!AY11*(1-Constants!$H$20))</f>
        <v>5154982.4145119525</v>
      </c>
      <c r="BE9" s="102">
        <f>IF($AD$2="Off",'Activity data'!BE9,'Net zero Intermediate calcs'!AZ10*'Net zero Intermediate calcs'!AZ11*(1-Constants!$H$20))</f>
        <v>5177643.009472521</v>
      </c>
      <c r="BF9" s="102">
        <f>IF($AD$2="Off",'Activity data'!BF9,'Net zero Intermediate calcs'!BA10*'Net zero Intermediate calcs'!BA11*(1-Constants!$H$20))</f>
        <v>5193404.9045594176</v>
      </c>
      <c r="BG9" s="102">
        <f>IF($AD$2="Off",'Activity data'!BG9,'Net zero Intermediate calcs'!BB10*'Net zero Intermediate calcs'!BB11*(1-Constants!$H$20))</f>
        <v>5242404.4705177508</v>
      </c>
      <c r="BH9" s="102">
        <f>IF($AD$2="Off",'Activity data'!BH9,'Net zero Intermediate calcs'!BC10*'Net zero Intermediate calcs'!BC11*(1-Constants!$H$20))</f>
        <v>5279650.3437210005</v>
      </c>
      <c r="BI9" s="102">
        <f>IF($AD$2="Off",'Activity data'!BI9,'Net zero Intermediate calcs'!BD10*'Net zero Intermediate calcs'!BD11*(1-Constants!$H$20))</f>
        <v>5317366.3677923139</v>
      </c>
      <c r="BJ9" s="102">
        <f>IF($AD$2="Off",'Activity data'!BJ9,'Net zero Intermediate calcs'!BE10*'Net zero Intermediate calcs'!BE11*(1-Constants!$H$20))</f>
        <v>5355983.9969972111</v>
      </c>
      <c r="BK9" s="102">
        <f>IF($AD$2="Off",'Activity data'!BK9,'Net zero Intermediate calcs'!BF10*'Net zero Intermediate calcs'!BF11*(1-Constants!$H$20))</f>
        <v>5396281.9682228733</v>
      </c>
      <c r="BL9" s="102">
        <f>IF($AD$2="Off",'Activity data'!BL9,'Net zero Intermediate calcs'!BG10*'Net zero Intermediate calcs'!BG11*(1-Constants!$H$20))</f>
        <v>5437657.2806330575</v>
      </c>
      <c r="BM9" s="102">
        <f>IF($AD$2="Off",'Activity data'!BM9,'Net zero Intermediate calcs'!BH10*'Net zero Intermediate calcs'!BH11*(1-Constants!$H$20))</f>
        <v>5356039.65736192</v>
      </c>
      <c r="BN9" s="102">
        <f>IF($AD$2="Off",'Activity data'!BN9,'Net zero Intermediate calcs'!BI10*'Net zero Intermediate calcs'!BI11*(1-Constants!$H$20))</f>
        <v>5263580.6165910829</v>
      </c>
      <c r="BO9" s="102">
        <f>IF($AD$2="Off",'Activity data'!BO9,'Net zero Intermediate calcs'!BJ10*'Net zero Intermediate calcs'!BJ11*(1-Constants!$H$20))</f>
        <v>5156390.9306454612</v>
      </c>
      <c r="BP9" s="102">
        <f>IF($AD$2="Off",'Activity data'!BP9,'Net zero Intermediate calcs'!BK10*'Net zero Intermediate calcs'!BK11*(1-Constants!$H$20))</f>
        <v>5045841.997889759</v>
      </c>
      <c r="BQ9" s="11">
        <v>5246438.4786951281</v>
      </c>
    </row>
    <row r="10" spans="1:72" x14ac:dyDescent="0.3">
      <c r="A10" t="str">
        <f t="shared" si="1"/>
        <v>3A Livestock</v>
      </c>
      <c r="C10" t="str">
        <f>$C$9</f>
        <v>3A1aii Other cattle</v>
      </c>
      <c r="D10" t="str">
        <f>'IPCC Categories'!$F$38</f>
        <v>Feedlot</v>
      </c>
      <c r="E10" t="str">
        <f t="shared" si="2"/>
        <v>Population</v>
      </c>
      <c r="F10" t="str">
        <f t="shared" si="2"/>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102">
        <f>IF($AD$2="Off",'Activity data'!AD10,(((('Net zero Intermediate calcs'!Y9/('Net zero Intermediate calcs'!Y64+0.27))*ttokg)/Constants!$H$21)/(365/'Net zero Intermediate calcs'!Y65)))</f>
        <v>541460.03376820497</v>
      </c>
      <c r="AE10" s="102">
        <f>IF($AD$2="Off",'Activity data'!AE10,(((('Net zero Intermediate calcs'!Z9/('Net zero Intermediate calcs'!Z64+0.27))*ttokg)/Constants!$H$21)/(365/'Net zero Intermediate calcs'!Z65)))</f>
        <v>559717.10307730967</v>
      </c>
      <c r="AF10" s="102">
        <f>IF($AD$2="Off",'Activity data'!AF10,(((('Net zero Intermediate calcs'!AA9/('Net zero Intermediate calcs'!AA64+0.27))*ttokg)/Constants!$H$21)/(365/'Net zero Intermediate calcs'!AA65)))</f>
        <v>581386.33409904351</v>
      </c>
      <c r="AG10" s="102">
        <f>IF($AD$2="Off",'Activity data'!AG10,(((('Net zero Intermediate calcs'!AB9/('Net zero Intermediate calcs'!AB64+0.27))*ttokg)/Constants!$H$21)/(365/'Net zero Intermediate calcs'!AB65)))</f>
        <v>597546.77075746458</v>
      </c>
      <c r="AH10" s="102">
        <f>IF($AD$2="Off",'Activity data'!AH10,(((('Net zero Intermediate calcs'!AC9/('Net zero Intermediate calcs'!AC64+0.27))*ttokg)/Constants!$H$21)/(365/'Net zero Intermediate calcs'!AC65)))</f>
        <v>610009.49754182238</v>
      </c>
      <c r="AI10" s="102">
        <f>IF($AD$2="Off",'Activity data'!AI10,(((('Net zero Intermediate calcs'!AD9/('Net zero Intermediate calcs'!AD64+0.27))*ttokg)/Constants!$H$21)/(365/'Net zero Intermediate calcs'!AD65)))</f>
        <v>618596.39996388648</v>
      </c>
      <c r="AJ10" s="102">
        <f>IF($AD$2="Off",'Activity data'!AJ10,(((('Net zero Intermediate calcs'!AE9/('Net zero Intermediate calcs'!AE64+0.27))*ttokg)/Constants!$H$21)/(365/'Net zero Intermediate calcs'!AE65)))</f>
        <v>630321.10002649133</v>
      </c>
      <c r="AK10" s="102">
        <f>IF($AD$2="Off",'Activity data'!AK10,(((('Net zero Intermediate calcs'!AF9/('Net zero Intermediate calcs'!AF64+0.27))*ttokg)/Constants!$H$21)/(365/'Net zero Intermediate calcs'!AF65)))</f>
        <v>642612.00897727197</v>
      </c>
      <c r="AL10" s="102">
        <f>IF($AD$2="Off",'Activity data'!AL10,(((('Net zero Intermediate calcs'!AG9/('Net zero Intermediate calcs'!AG64+0.27))*ttokg)/Constants!$H$21)/(365/'Net zero Intermediate calcs'!AG65)))</f>
        <v>588158.61646480043</v>
      </c>
      <c r="AM10" s="102">
        <f>IF($AD$2="Off",'Activity data'!AM10,(((('Net zero Intermediate calcs'!AH9/('Net zero Intermediate calcs'!AH64+0.27))*ttokg)/Constants!$H$21)/(365/'Net zero Intermediate calcs'!AH65)))</f>
        <v>612112.57898327347</v>
      </c>
      <c r="AN10" s="102">
        <f>IF($AD$2="Off",'Activity data'!AN10,(((('Net zero Intermediate calcs'!AI9/('Net zero Intermediate calcs'!AI64+0.27))*ttokg)/Constants!$H$21)/(365/'Net zero Intermediate calcs'!AI65)))</f>
        <v>645342.88662744861</v>
      </c>
      <c r="AO10" s="102">
        <f>IF($AD$2="Off",'Activity data'!AO10,(((('Net zero Intermediate calcs'!AJ9/('Net zero Intermediate calcs'!AJ64+0.27))*ttokg)/Constants!$H$21)/(365/'Net zero Intermediate calcs'!AJ65)))</f>
        <v>664301.76371274178</v>
      </c>
      <c r="AP10" s="102">
        <f>IF($AD$2="Off",'Activity data'!AP10,(((('Net zero Intermediate calcs'!AK9/('Net zero Intermediate calcs'!AK64+0.27))*ttokg)/Constants!$H$21)/(365/'Net zero Intermediate calcs'!AK65)))</f>
        <v>685338.87859142851</v>
      </c>
      <c r="AQ10" s="102">
        <f>IF($AD$2="Off",'Activity data'!AQ10,(((('Net zero Intermediate calcs'!AL9/('Net zero Intermediate calcs'!AL64+0.27))*ttokg)/Constants!$H$21)/(365/'Net zero Intermediate calcs'!AL65)))</f>
        <v>709097.1405257904</v>
      </c>
      <c r="AR10" s="102">
        <f>IF($AD$2="Off",'Activity data'!AR10,(((('Net zero Intermediate calcs'!AM9/('Net zero Intermediate calcs'!AM64+0.27))*ttokg)/Constants!$H$21)/(365/'Net zero Intermediate calcs'!AM65)))</f>
        <v>734627.9848781582</v>
      </c>
      <c r="AS10" s="102">
        <f>IF($AD$2="Off",'Activity data'!AS10,(((('Net zero Intermediate calcs'!AN9/('Net zero Intermediate calcs'!AN64+0.27))*ttokg)/Constants!$H$21)/(365/'Net zero Intermediate calcs'!AN65)))</f>
        <v>762458.04587239982</v>
      </c>
      <c r="AT10" s="102">
        <f>IF($AD$2="Off",'Activity data'!AT10,(((('Net zero Intermediate calcs'!AO9/('Net zero Intermediate calcs'!AO64+0.27))*ttokg)/Constants!$H$21)/(365/'Net zero Intermediate calcs'!AO65)))</f>
        <v>791070.7706001699</v>
      </c>
      <c r="AU10" s="102">
        <f>IF($AD$2="Off",'Activity data'!AU10,(((('Net zero Intermediate calcs'!AP9/('Net zero Intermediate calcs'!AP64+0.27))*ttokg)/Constants!$H$21)/(365/'Net zero Intermediate calcs'!AP65)))</f>
        <v>821917.21013602836</v>
      </c>
      <c r="AV10" s="102">
        <f>IF($AD$2="Off",'Activity data'!AV10,(((('Net zero Intermediate calcs'!AQ9/('Net zero Intermediate calcs'!AQ64+0.27))*ttokg)/Constants!$H$21)/(365/'Net zero Intermediate calcs'!AQ65)))</f>
        <v>853468.65365837014</v>
      </c>
      <c r="AW10" s="102">
        <f>IF($AD$2="Off",'Activity data'!AW10,(((('Net zero Intermediate calcs'!AR9/('Net zero Intermediate calcs'!AR64+0.27))*ttokg)/Constants!$H$21)/(365/'Net zero Intermediate calcs'!AR65)))</f>
        <v>890865.05106413458</v>
      </c>
      <c r="AX10" s="102">
        <f>IF($AD$2="Off",'Activity data'!AX10,(((('Net zero Intermediate calcs'!AS9/('Net zero Intermediate calcs'!AS64+0.27))*ttokg)/Constants!$H$21)/(365/'Net zero Intermediate calcs'!AS65)))</f>
        <v>928179.29472175706</v>
      </c>
      <c r="AY10" s="102">
        <f>IF($AD$2="Off",'Activity data'!AY10,(((('Net zero Intermediate calcs'!AT9/('Net zero Intermediate calcs'!AT64+0.27))*ttokg)/Constants!$H$21)/(365/'Net zero Intermediate calcs'!AT65)))</f>
        <v>967518.99632802093</v>
      </c>
      <c r="AZ10" s="102">
        <f>IF($AD$2="Off",'Activity data'!AZ10,(((('Net zero Intermediate calcs'!AU9/('Net zero Intermediate calcs'!AU64+0.27))*ttokg)/Constants!$H$21)/(365/'Net zero Intermediate calcs'!AU65)))</f>
        <v>1011494.293897412</v>
      </c>
      <c r="BA10" s="102">
        <f>IF($AD$2="Off",'Activity data'!BA10,(((('Net zero Intermediate calcs'!AV9/('Net zero Intermediate calcs'!AV64+0.27))*ttokg)/Constants!$H$21)/(365/'Net zero Intermediate calcs'!AV65)))</f>
        <v>1054078.2446871761</v>
      </c>
      <c r="BB10" s="102">
        <f>IF($AD$2="Off",'Activity data'!BB10,(((('Net zero Intermediate calcs'!AW9/('Net zero Intermediate calcs'!AW64+0.27))*ttokg)/Constants!$H$21)/(365/'Net zero Intermediate calcs'!AW65)))</f>
        <v>1099125.992578987</v>
      </c>
      <c r="BC10" s="102">
        <f>IF($AD$2="Off",'Activity data'!BC10,(((('Net zero Intermediate calcs'!AX9/('Net zero Intermediate calcs'!AX64+0.27))*ttokg)/Constants!$H$21)/(365/'Net zero Intermediate calcs'!AX65)))</f>
        <v>1147193.0120778126</v>
      </c>
      <c r="BD10" s="102">
        <f>IF($AD$2="Off",'Activity data'!BD10,(((('Net zero Intermediate calcs'!AY9/('Net zero Intermediate calcs'!AY64+0.27))*ttokg)/Constants!$H$21)/(365/'Net zero Intermediate calcs'!AY65)))</f>
        <v>1193245.9412812144</v>
      </c>
      <c r="BE10" s="102">
        <f>IF($AD$2="Off",'Activity data'!BE10,(((('Net zero Intermediate calcs'!AZ9/('Net zero Intermediate calcs'!AZ64+0.27))*ttokg)/Constants!$H$21)/(365/'Net zero Intermediate calcs'!AZ65)))</f>
        <v>1239551.9831810831</v>
      </c>
      <c r="BF10" s="102">
        <f>IF($AD$2="Off",'Activity data'!BF10,(((('Net zero Intermediate calcs'!BA9/('Net zero Intermediate calcs'!BA64+0.27))*ttokg)/Constants!$H$21)/(365/'Net zero Intermediate calcs'!BA65)))</f>
        <v>1286211.6171502508</v>
      </c>
      <c r="BG10" s="102">
        <f>IF($AD$2="Off",'Activity data'!BG10,(((('Net zero Intermediate calcs'!BB9/('Net zero Intermediate calcs'!BB64+0.27))*ttokg)/Constants!$H$21)/(365/'Net zero Intermediate calcs'!BB65)))</f>
        <v>1334980.1372066648</v>
      </c>
      <c r="BH10" s="102">
        <f>IF($AD$2="Off",'Activity data'!BH10,(((('Net zero Intermediate calcs'!BC9/('Net zero Intermediate calcs'!BC64+0.27))*ttokg)/Constants!$H$21)/(365/'Net zero Intermediate calcs'!BC65)))</f>
        <v>1382530.3391591066</v>
      </c>
      <c r="BI10" s="102">
        <f>IF($AD$2="Off",'Activity data'!BI10,(((('Net zero Intermediate calcs'!BD9/('Net zero Intermediate calcs'!BD64+0.27))*ttokg)/Constants!$H$21)/(365/'Net zero Intermediate calcs'!BD65)))</f>
        <v>1431983.1115351482</v>
      </c>
      <c r="BJ10" s="102">
        <f>IF($AD$2="Off",'Activity data'!BJ10,(((('Net zero Intermediate calcs'!BE9/('Net zero Intermediate calcs'!BE64+0.27))*ttokg)/Constants!$H$21)/(365/'Net zero Intermediate calcs'!BE65)))</f>
        <v>1483557.3848712698</v>
      </c>
      <c r="BK10" s="102">
        <f>IF($AD$2="Off",'Activity data'!BK10,(((('Net zero Intermediate calcs'!BF9/('Net zero Intermediate calcs'!BF64+0.27))*ttokg)/Constants!$H$21)/(365/'Net zero Intermediate calcs'!BF65)))</f>
        <v>1537591.1645011755</v>
      </c>
      <c r="BL10" s="102">
        <f>IF($AD$2="Off",'Activity data'!BL10,(((('Net zero Intermediate calcs'!BG9/('Net zero Intermediate calcs'!BG64+0.27))*ttokg)/Constants!$H$21)/(365/'Net zero Intermediate calcs'!BG65)))</f>
        <v>1594050.6360329464</v>
      </c>
      <c r="BM10" s="102">
        <f>IF($AD$2="Off",'Activity data'!BM10,(((('Net zero Intermediate calcs'!BH9/('Net zero Intermediate calcs'!BH64+0.27))*ttokg)/Constants!$H$21)/(365/'Net zero Intermediate calcs'!BH65)))</f>
        <v>1615647.2572443776</v>
      </c>
      <c r="BN10" s="102">
        <f>IF($AD$2="Off",'Activity data'!BN10,(((('Net zero Intermediate calcs'!BI9/('Net zero Intermediate calcs'!BI64+0.27))*ttokg)/Constants!$H$21)/(365/'Net zero Intermediate calcs'!BI65)))</f>
        <v>1634069.8828163336</v>
      </c>
      <c r="BO10" s="102">
        <f>IF($AD$2="Off",'Activity data'!BO10,(((('Net zero Intermediate calcs'!BJ9/('Net zero Intermediate calcs'!BJ64+0.27))*ttokg)/Constants!$H$21)/(365/'Net zero Intermediate calcs'!BJ65)))</f>
        <v>1647789.1600235584</v>
      </c>
      <c r="BP10" s="102">
        <f>IF($AD$2="Off",'Activity data'!BP10,(((('Net zero Intermediate calcs'!BK9/('Net zero Intermediate calcs'!BK64+0.27))*ttokg)/Constants!$H$21)/(365/'Net zero Intermediate calcs'!BK65)))</f>
        <v>1660128.4828121238</v>
      </c>
      <c r="BQ10" s="11">
        <v>1714907.4323024135</v>
      </c>
    </row>
    <row r="11" spans="1:72" x14ac:dyDescent="0.3">
      <c r="A11" t="str">
        <f t="shared" si="1"/>
        <v>3A Livestock</v>
      </c>
      <c r="C11" t="str">
        <f>'IPCC Categories'!$C$7</f>
        <v>3A1c Sheep</v>
      </c>
      <c r="D11" t="str">
        <f>'IPCC Categories'!F36</f>
        <v>Commercial</v>
      </c>
      <c r="E11" t="str">
        <f t="shared" si="2"/>
        <v>Population</v>
      </c>
      <c r="F11" t="str">
        <f t="shared" si="2"/>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('Net zero Intermediate calcs'!Y27*'Net zero Intermediate calcs'!Y28)*Constants!$H$22</f>
        <v>19018725.346340861</v>
      </c>
      <c r="AE11" s="23">
        <f>('Net zero Intermediate calcs'!Z27*'Net zero Intermediate calcs'!Z28)*Constants!$H$22</f>
        <v>19029008.710617676</v>
      </c>
      <c r="AF11" s="23">
        <f>('Net zero Intermediate calcs'!AA27*'Net zero Intermediate calcs'!AA28)*Constants!$H$22</f>
        <v>19053595.848806612</v>
      </c>
      <c r="AG11" s="23">
        <f>('Net zero Intermediate calcs'!AB27*'Net zero Intermediate calcs'!AB28)*Constants!$H$22</f>
        <v>19089849.781156227</v>
      </c>
      <c r="AH11" s="23">
        <f>('Net zero Intermediate calcs'!AC27*'Net zero Intermediate calcs'!AC28)*Constants!$H$22</f>
        <v>19137540.12500564</v>
      </c>
      <c r="AI11" s="23">
        <f>('Net zero Intermediate calcs'!AD27*'Net zero Intermediate calcs'!AD28)*Constants!$H$22</f>
        <v>19196163.290059295</v>
      </c>
      <c r="AJ11" s="23">
        <f>('Net zero Intermediate calcs'!AE27*'Net zero Intermediate calcs'!AE28)*Constants!$H$22</f>
        <v>19262005.106249526</v>
      </c>
      <c r="AK11" s="23">
        <f>('Net zero Intermediate calcs'!AF27*'Net zero Intermediate calcs'!AF28)*Constants!$H$22</f>
        <v>19334649.891006477</v>
      </c>
      <c r="AL11" s="23">
        <f>('Net zero Intermediate calcs'!AG27*'Net zero Intermediate calcs'!AG28)*Constants!$H$22</f>
        <v>19401079.547165584</v>
      </c>
      <c r="AM11" s="23">
        <f>('Net zero Intermediate calcs'!AH27*'Net zero Intermediate calcs'!AH28)*Constants!$H$22</f>
        <v>19430270.346318312</v>
      </c>
      <c r="AN11" s="23">
        <f>('Net zero Intermediate calcs'!AI27*'Net zero Intermediate calcs'!AI28)*Constants!$H$22</f>
        <v>19465918.583208371</v>
      </c>
      <c r="AO11" s="23">
        <f>('Net zero Intermediate calcs'!AJ27*'Net zero Intermediate calcs'!AJ28)*Constants!$H$22</f>
        <v>19503387.662754916</v>
      </c>
      <c r="AP11" s="23">
        <f>('Net zero Intermediate calcs'!AK27*'Net zero Intermediate calcs'!AK28)*Constants!$H$22</f>
        <v>19545454.703807209</v>
      </c>
      <c r="AQ11" s="23">
        <f>('Net zero Intermediate calcs'!AL27*'Net zero Intermediate calcs'!AL28)*Constants!$H$22</f>
        <v>19592002.001952454</v>
      </c>
      <c r="AR11" s="23">
        <f>('Net zero Intermediate calcs'!AM27*'Net zero Intermediate calcs'!AM28)*Constants!$H$22</f>
        <v>19621071.961548313</v>
      </c>
      <c r="AS11" s="23">
        <f>('Net zero Intermediate calcs'!AN27*'Net zero Intermediate calcs'!AN28)*Constants!$H$22</f>
        <v>19653913.646756113</v>
      </c>
      <c r="AT11" s="23">
        <f>('Net zero Intermediate calcs'!AO27*'Net zero Intermediate calcs'!AO28)*Constants!$H$22</f>
        <v>19690083.293563668</v>
      </c>
      <c r="AU11" s="23">
        <f>('Net zero Intermediate calcs'!AP27*'Net zero Intermediate calcs'!AP28)*Constants!$H$22</f>
        <v>19729680.355767876</v>
      </c>
      <c r="AV11" s="23">
        <f>('Net zero Intermediate calcs'!AQ27*'Net zero Intermediate calcs'!AQ28)*Constants!$H$22</f>
        <v>19772296.132165015</v>
      </c>
      <c r="AW11" s="23">
        <f>('Net zero Intermediate calcs'!AR27*'Net zero Intermediate calcs'!AR28)*Constants!$H$22</f>
        <v>19800883.445871253</v>
      </c>
      <c r="AX11" s="23">
        <f>('Net zero Intermediate calcs'!AS27*'Net zero Intermediate calcs'!AS28)*Constants!$H$22</f>
        <v>19831918.222846299</v>
      </c>
      <c r="AY11" s="23">
        <f>('Net zero Intermediate calcs'!AT27*'Net zero Intermediate calcs'!AT28)*Constants!$H$22</f>
        <v>19865649.931868743</v>
      </c>
      <c r="AZ11" s="23">
        <f>('Net zero Intermediate calcs'!AU27*'Net zero Intermediate calcs'!AU28)*Constants!$H$22</f>
        <v>19902407.848828781</v>
      </c>
      <c r="BA11" s="23">
        <f>('Net zero Intermediate calcs'!AV27*'Net zero Intermediate calcs'!AV28)*Constants!$H$22</f>
        <v>19941088.208598323</v>
      </c>
      <c r="BB11" s="23">
        <f>('Net zero Intermediate calcs'!AW27*'Net zero Intermediate calcs'!AW28)*Constants!$H$22</f>
        <v>19965812.571584459</v>
      </c>
      <c r="BC11" s="23">
        <f>('Net zero Intermediate calcs'!AX27*'Net zero Intermediate calcs'!AX28)*Constants!$H$22</f>
        <v>19992893.997007128</v>
      </c>
      <c r="BD11" s="23">
        <f>('Net zero Intermediate calcs'!AY27*'Net zero Intermediate calcs'!AY28)*Constants!$H$22</f>
        <v>20021439.282895565</v>
      </c>
      <c r="BE11" s="23">
        <f>('Net zero Intermediate calcs'!AZ27*'Net zero Intermediate calcs'!AZ28)*Constants!$H$22</f>
        <v>20051752.32291963</v>
      </c>
      <c r="BF11" s="23">
        <f>('Net zero Intermediate calcs'!BA27*'Net zero Intermediate calcs'!BA28)*Constants!$H$22</f>
        <v>20083787.155872289</v>
      </c>
      <c r="BG11" s="23">
        <f>('Net zero Intermediate calcs'!BB27*'Net zero Intermediate calcs'!BB28)*Constants!$H$22</f>
        <v>20102715.705030527</v>
      </c>
      <c r="BH11" s="23">
        <f>('Net zero Intermediate calcs'!BC27*'Net zero Intermediate calcs'!BC28)*Constants!$H$22</f>
        <v>20122922.160952497</v>
      </c>
      <c r="BI11" s="23">
        <f>('Net zero Intermediate calcs'!BD27*'Net zero Intermediate calcs'!BD28)*Constants!$H$22</f>
        <v>20144840.513643358</v>
      </c>
      <c r="BJ11" s="23">
        <f>('Net zero Intermediate calcs'!BE27*'Net zero Intermediate calcs'!BE28)*Constants!$H$22</f>
        <v>20168449.572705898</v>
      </c>
      <c r="BK11" s="23">
        <f>('Net zero Intermediate calcs'!BF27*'Net zero Intermediate calcs'!BF28)*Constants!$H$22</f>
        <v>20193748.848884284</v>
      </c>
      <c r="BL11" s="23">
        <f>('Net zero Intermediate calcs'!BG27*'Net zero Intermediate calcs'!BG28)*Constants!$H$22</f>
        <v>20205226.524020612</v>
      </c>
      <c r="BM11" s="23">
        <f>('Net zero Intermediate calcs'!BH27*'Net zero Intermediate calcs'!BH28)*Constants!$H$22</f>
        <v>20212623.126841974</v>
      </c>
      <c r="BN11" s="23">
        <f>('Net zero Intermediate calcs'!BI27*'Net zero Intermediate calcs'!BI28)*Constants!$H$22</f>
        <v>20220731.201451246</v>
      </c>
      <c r="BO11" s="23">
        <f>('Net zero Intermediate calcs'!BJ27*'Net zero Intermediate calcs'!BJ28)*Constants!$H$22</f>
        <v>20229295.502117977</v>
      </c>
      <c r="BP11" s="23">
        <f>('Net zero Intermediate calcs'!BK27*'Net zero Intermediate calcs'!BK28)*Constants!$H$22</f>
        <v>20238782.549587701</v>
      </c>
      <c r="BQ11">
        <v>20235541.527663115</v>
      </c>
    </row>
    <row r="12" spans="1:72" x14ac:dyDescent="0.3">
      <c r="A12" t="str">
        <f t="shared" si="1"/>
        <v>3A Livestock</v>
      </c>
      <c r="C12" t="str">
        <f>'IPCC Categories'!$C$7</f>
        <v>3A1c Sheep</v>
      </c>
      <c r="D12" t="str">
        <f>'IPCC Categories'!$F$37</f>
        <v>Subsistence</v>
      </c>
      <c r="E12" t="str">
        <f t="shared" si="2"/>
        <v>Population</v>
      </c>
      <c r="F12" t="str">
        <f t="shared" si="2"/>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('Net zero Intermediate calcs'!Y27*'Net zero Intermediate calcs'!Y28)*(1-Constants!$H$22)</f>
        <v>2841878.5000279448</v>
      </c>
      <c r="AE12" s="23">
        <f>('Net zero Intermediate calcs'!Z27*'Net zero Intermediate calcs'!Z28)*(1-Constants!$H$22)</f>
        <v>2843415.0946899978</v>
      </c>
      <c r="AF12" s="23">
        <f>('Net zero Intermediate calcs'!AA27*'Net zero Intermediate calcs'!AA28)*(1-Constants!$H$22)</f>
        <v>2847089.0348791489</v>
      </c>
      <c r="AG12" s="23">
        <f>('Net zero Intermediate calcs'!AB27*'Net zero Intermediate calcs'!AB28)*(1-Constants!$H$22)</f>
        <v>2852506.2891382868</v>
      </c>
      <c r="AH12" s="23">
        <f>('Net zero Intermediate calcs'!AC27*'Net zero Intermediate calcs'!AC28)*(1-Constants!$H$22)</f>
        <v>2859632.432472107</v>
      </c>
      <c r="AI12" s="23">
        <f>('Net zero Intermediate calcs'!AD27*'Net zero Intermediate calcs'!AD28)*(1-Constants!$H$22)</f>
        <v>2868392.215755987</v>
      </c>
      <c r="AJ12" s="23">
        <f>('Net zero Intermediate calcs'!AE27*'Net zero Intermediate calcs'!AE28)*(1-Constants!$H$22)</f>
        <v>2878230.6480602738</v>
      </c>
      <c r="AK12" s="23">
        <f>('Net zero Intermediate calcs'!AF27*'Net zero Intermediate calcs'!AF28)*(1-Constants!$H$22)</f>
        <v>2889085.61589752</v>
      </c>
      <c r="AL12" s="23">
        <f>('Net zero Intermediate calcs'!AG27*'Net zero Intermediate calcs'!AG28)*(1-Constants!$H$22)</f>
        <v>2899011.8863580758</v>
      </c>
      <c r="AM12" s="23">
        <f>('Net zero Intermediate calcs'!AH27*'Net zero Intermediate calcs'!AH28)*(1-Constants!$H$22)</f>
        <v>2903373.7299096328</v>
      </c>
      <c r="AN12" s="23">
        <f>('Net zero Intermediate calcs'!AI27*'Net zero Intermediate calcs'!AI28)*(1-Constants!$H$22)</f>
        <v>2908700.4779506763</v>
      </c>
      <c r="AO12" s="23">
        <f>('Net zero Intermediate calcs'!AJ27*'Net zero Intermediate calcs'!AJ28)*(1-Constants!$H$22)</f>
        <v>2914299.3059288957</v>
      </c>
      <c r="AP12" s="23">
        <f>('Net zero Intermediate calcs'!AK27*'Net zero Intermediate calcs'!AK28)*(1-Constants!$H$22)</f>
        <v>2920585.1856263648</v>
      </c>
      <c r="AQ12" s="23">
        <f>('Net zero Intermediate calcs'!AL27*'Net zero Intermediate calcs'!AL28)*(1-Constants!$H$22)</f>
        <v>2927540.5290273787</v>
      </c>
      <c r="AR12" s="23">
        <f>('Net zero Intermediate calcs'!AM27*'Net zero Intermediate calcs'!AM28)*(1-Constants!$H$22)</f>
        <v>2931884.3160934262</v>
      </c>
      <c r="AS12" s="23">
        <f>('Net zero Intermediate calcs'!AN27*'Net zero Intermediate calcs'!AN28)*(1-Constants!$H$22)</f>
        <v>2936791.6943428675</v>
      </c>
      <c r="AT12" s="23">
        <f>('Net zero Intermediate calcs'!AO27*'Net zero Intermediate calcs'!AO28)*(1-Constants!$H$22)</f>
        <v>2942196.3542106631</v>
      </c>
      <c r="AU12" s="23">
        <f>('Net zero Intermediate calcs'!AP27*'Net zero Intermediate calcs'!AP28)*(1-Constants!$H$22)</f>
        <v>2948113.1566089927</v>
      </c>
      <c r="AV12" s="23">
        <f>('Net zero Intermediate calcs'!AQ27*'Net zero Intermediate calcs'!AQ28)*(1-Constants!$H$22)</f>
        <v>2954481.0312430481</v>
      </c>
      <c r="AW12" s="23">
        <f>('Net zero Intermediate calcs'!AR27*'Net zero Intermediate calcs'!AR28)*(1-Constants!$H$22)</f>
        <v>2958752.6988083483</v>
      </c>
      <c r="AX12" s="23">
        <f>('Net zero Intermediate calcs'!AS27*'Net zero Intermediate calcs'!AS28)*(1-Constants!$H$22)</f>
        <v>2963390.0792758837</v>
      </c>
      <c r="AY12" s="23">
        <f>('Net zero Intermediate calcs'!AT27*'Net zero Intermediate calcs'!AT28)*(1-Constants!$H$22)</f>
        <v>2968430.4495895826</v>
      </c>
      <c r="AZ12" s="23">
        <f>('Net zero Intermediate calcs'!AU27*'Net zero Intermediate calcs'!AU28)*(1-Constants!$H$22)</f>
        <v>2973923.0118939555</v>
      </c>
      <c r="BA12" s="23">
        <f>('Net zero Intermediate calcs'!AV27*'Net zero Intermediate calcs'!AV28)*(1-Constants!$H$22)</f>
        <v>2979702.8357675658</v>
      </c>
      <c r="BB12" s="23">
        <f>('Net zero Intermediate calcs'!AW27*'Net zero Intermediate calcs'!AW28)*(1-Constants!$H$22)</f>
        <v>2983397.2808114709</v>
      </c>
      <c r="BC12" s="23">
        <f>('Net zero Intermediate calcs'!AX27*'Net zero Intermediate calcs'!AX28)*(1-Constants!$H$22)</f>
        <v>2987443.9305872722</v>
      </c>
      <c r="BD12" s="23">
        <f>('Net zero Intermediate calcs'!AY27*'Net zero Intermediate calcs'!AY28)*(1-Constants!$H$22)</f>
        <v>2991709.3181338203</v>
      </c>
      <c r="BE12" s="23">
        <f>('Net zero Intermediate calcs'!AZ27*'Net zero Intermediate calcs'!AZ28)*(1-Constants!$H$22)</f>
        <v>2996238.85285006</v>
      </c>
      <c r="BF12" s="23">
        <f>('Net zero Intermediate calcs'!BA27*'Net zero Intermediate calcs'!BA28)*(1-Constants!$H$22)</f>
        <v>3001025.6669694227</v>
      </c>
      <c r="BG12" s="23">
        <f>('Net zero Intermediate calcs'!BB27*'Net zero Intermediate calcs'!BB28)*(1-Constants!$H$22)</f>
        <v>3003854.0708666304</v>
      </c>
      <c r="BH12" s="23">
        <f>('Net zero Intermediate calcs'!BC27*'Net zero Intermediate calcs'!BC28)*(1-Constants!$H$22)</f>
        <v>3006873.4263492236</v>
      </c>
      <c r="BI12" s="23">
        <f>('Net zero Intermediate calcs'!BD27*'Net zero Intermediate calcs'!BD28)*(1-Constants!$H$22)</f>
        <v>3010148.5824984326</v>
      </c>
      <c r="BJ12" s="23">
        <f>('Net zero Intermediate calcs'!BE27*'Net zero Intermediate calcs'!BE28)*(1-Constants!$H$22)</f>
        <v>3013676.3729330651</v>
      </c>
      <c r="BK12" s="23">
        <f>('Net zero Intermediate calcs'!BF27*'Net zero Intermediate calcs'!BF28)*(1-Constants!$H$22)</f>
        <v>3017456.7245459277</v>
      </c>
      <c r="BL12" s="23">
        <f>('Net zero Intermediate calcs'!BG27*'Net zero Intermediate calcs'!BG28)*(1-Constants!$H$22)</f>
        <v>3019171.7794513558</v>
      </c>
      <c r="BM12" s="23">
        <f>('Net zero Intermediate calcs'!BH27*'Net zero Intermediate calcs'!BH28)*(1-Constants!$H$22)</f>
        <v>3020277.0189533983</v>
      </c>
      <c r="BN12" s="23">
        <f>('Net zero Intermediate calcs'!BI27*'Net zero Intermediate calcs'!BI28)*(1-Constants!$H$22)</f>
        <v>3021488.5703317956</v>
      </c>
      <c r="BO12" s="23">
        <f>('Net zero Intermediate calcs'!BJ27*'Net zero Intermediate calcs'!BJ28)*(1-Constants!$H$22)</f>
        <v>3022768.2934199278</v>
      </c>
      <c r="BP12" s="23">
        <f>('Net zero Intermediate calcs'!BK27*'Net zero Intermediate calcs'!BK28)*(1-Constants!$H$22)</f>
        <v>3024185.8982142541</v>
      </c>
      <c r="BQ12">
        <v>3023701.607581845</v>
      </c>
    </row>
    <row r="13" spans="1:72" x14ac:dyDescent="0.3">
      <c r="A13" t="str">
        <f t="shared" si="1"/>
        <v>3A Livestock</v>
      </c>
      <c r="C13" t="str">
        <f>'IPCC Categories'!$C$8</f>
        <v>3A1d Goats</v>
      </c>
      <c r="D13" t="str">
        <f>'IPCC Categories'!F36</f>
        <v>Commercial</v>
      </c>
      <c r="E13" t="str">
        <f t="shared" si="2"/>
        <v>Population</v>
      </c>
      <c r="F13" t="str">
        <f t="shared" si="2"/>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'Net zero Intermediate calcs'!Y22*'Net zero Intermediate calcs'!Y25*Constants!$H$23</f>
        <v>2068089.0408217218</v>
      </c>
      <c r="AE13" s="23">
        <f>'Net zero Intermediate calcs'!Z22*'Net zero Intermediate calcs'!Z25*Constants!$H$23</f>
        <v>2073465.0740723512</v>
      </c>
      <c r="AF13" s="23">
        <f>'Net zero Intermediate calcs'!AA22*'Net zero Intermediate calcs'!AA25*Constants!$H$23</f>
        <v>2080881.121959276</v>
      </c>
      <c r="AG13" s="23">
        <f>'Net zero Intermediate calcs'!AB22*'Net zero Intermediate calcs'!AB25*Constants!$H$23</f>
        <v>2089915.8268703574</v>
      </c>
      <c r="AH13" s="23">
        <f>'Net zero Intermediate calcs'!AC22*'Net zero Intermediate calcs'!AC25*Constants!$H$23</f>
        <v>2100556.3029240505</v>
      </c>
      <c r="AI13" s="23">
        <f>'Net zero Intermediate calcs'!AD22*'Net zero Intermediate calcs'!AD25*Constants!$H$23</f>
        <v>2112737.7866022554</v>
      </c>
      <c r="AJ13" s="23">
        <f>'Net zero Intermediate calcs'!AE22*'Net zero Intermediate calcs'!AE25*Constants!$H$23</f>
        <v>2125847.6846541641</v>
      </c>
      <c r="AK13" s="23">
        <f>'Net zero Intermediate calcs'!AF22*'Net zero Intermediate calcs'!AF25*Constants!$H$23</f>
        <v>2139834.1013227375</v>
      </c>
      <c r="AL13" s="23">
        <f>'Net zero Intermediate calcs'!AG22*'Net zero Intermediate calcs'!AG25*Constants!$H$23</f>
        <v>2152518.1972765964</v>
      </c>
      <c r="AM13" s="23">
        <f>'Net zero Intermediate calcs'!AH22*'Net zero Intermediate calcs'!AH25*Constants!$H$23</f>
        <v>2158713.8811234804</v>
      </c>
      <c r="AN13" s="23">
        <f>'Net zero Intermediate calcs'!AI22*'Net zero Intermediate calcs'!AI25*Constants!$H$23</f>
        <v>2165815.5173630901</v>
      </c>
      <c r="AO13" s="23">
        <f>'Net zero Intermediate calcs'!AJ22*'Net zero Intermediate calcs'!AJ25*Constants!$H$23</f>
        <v>2173054.5836930173</v>
      </c>
      <c r="AP13" s="23">
        <f>'Net zero Intermediate calcs'!AK22*'Net zero Intermediate calcs'!AK25*Constants!$H$23</f>
        <v>2180905.8949472066</v>
      </c>
      <c r="AQ13" s="23">
        <f>'Net zero Intermediate calcs'!AL22*'Net zero Intermediate calcs'!AL25*Constants!$H$23</f>
        <v>2189356.4752765815</v>
      </c>
      <c r="AR13" s="23">
        <f>'Net zero Intermediate calcs'!AM22*'Net zero Intermediate calcs'!AM25*Constants!$H$23</f>
        <v>2194764.4771991875</v>
      </c>
      <c r="AS13" s="23">
        <f>'Net zero Intermediate calcs'!AN22*'Net zero Intermediate calcs'!AN25*Constants!$H$23</f>
        <v>2200681.1312507591</v>
      </c>
      <c r="AT13" s="23">
        <f>'Net zero Intermediate calcs'!AO22*'Net zero Intermediate calcs'!AO25*Constants!$H$23</f>
        <v>2207037.2348991744</v>
      </c>
      <c r="AU13" s="23">
        <f>'Net zero Intermediate calcs'!AP22*'Net zero Intermediate calcs'!AP25*Constants!$H$23</f>
        <v>2213853.1980795516</v>
      </c>
      <c r="AV13" s="23">
        <f>'Net zero Intermediate calcs'!AQ22*'Net zero Intermediate calcs'!AQ25*Constants!$H$23</f>
        <v>2221065.0201840056</v>
      </c>
      <c r="AW13" s="23">
        <f>'Net zero Intermediate calcs'!AR22*'Net zero Intermediate calcs'!AR25*Constants!$H$23</f>
        <v>2225874.4870060231</v>
      </c>
      <c r="AX13" s="23">
        <f>'Net zero Intermediate calcs'!AS22*'Net zero Intermediate calcs'!AS25*Constants!$H$23</f>
        <v>2231003.4972005105</v>
      </c>
      <c r="AY13" s="23">
        <f>'Net zero Intermediate calcs'!AT22*'Net zero Intermediate calcs'!AT25*Constants!$H$23</f>
        <v>2236495.4650745667</v>
      </c>
      <c r="AZ13" s="23">
        <f>'Net zero Intermediate calcs'!AU22*'Net zero Intermediate calcs'!AU25*Constants!$H$23</f>
        <v>2242406.1709562442</v>
      </c>
      <c r="BA13" s="23">
        <f>'Net zero Intermediate calcs'!AV22*'Net zero Intermediate calcs'!AV25*Constants!$H$23</f>
        <v>2248557.0461722915</v>
      </c>
      <c r="BB13" s="23">
        <f>'Net zero Intermediate calcs'!AW22*'Net zero Intermediate calcs'!AW25*Constants!$H$23</f>
        <v>2252366.4414480585</v>
      </c>
      <c r="BC13" s="23">
        <f>'Net zero Intermediate calcs'!AX22*'Net zero Intermediate calcs'!AX25*Constants!$H$23</f>
        <v>2256500.3289217977</v>
      </c>
      <c r="BD13" s="23">
        <f>'Net zero Intermediate calcs'!AY22*'Net zero Intermediate calcs'!AY25*Constants!$H$23</f>
        <v>2260814.9374471465</v>
      </c>
      <c r="BE13" s="23">
        <f>'Net zero Intermediate calcs'!AZ22*'Net zero Intermediate calcs'!AZ25*Constants!$H$23</f>
        <v>2265361.0918263281</v>
      </c>
      <c r="BF13" s="23">
        <f>'Net zero Intermediate calcs'!BA22*'Net zero Intermediate calcs'!BA25*Constants!$H$23</f>
        <v>2270132.5677445591</v>
      </c>
      <c r="BG13" s="23">
        <f>'Net zero Intermediate calcs'!BB22*'Net zero Intermediate calcs'!BB25*Constants!$H$23</f>
        <v>2272739.4103190037</v>
      </c>
      <c r="BH13" s="23">
        <f>'Net zero Intermediate calcs'!BC22*'Net zero Intermediate calcs'!BC25*Constants!$H$23</f>
        <v>2275510.4771750113</v>
      </c>
      <c r="BI13" s="23">
        <f>'Net zero Intermediate calcs'!BD22*'Net zero Intermediate calcs'!BD25*Constants!$H$23</f>
        <v>2278516.5059454981</v>
      </c>
      <c r="BJ13" s="23">
        <f>'Net zero Intermediate calcs'!BE22*'Net zero Intermediate calcs'!BE25*Constants!$H$23</f>
        <v>2281754.6257368629</v>
      </c>
      <c r="BK13" s="23">
        <f>'Net zero Intermediate calcs'!BF22*'Net zero Intermediate calcs'!BF25*Constants!$H$23</f>
        <v>2285225.2101031453</v>
      </c>
      <c r="BL13" s="23">
        <f>'Net zero Intermediate calcs'!BG22*'Net zero Intermediate calcs'!BG25*Constants!$H$23</f>
        <v>2286448.4851618633</v>
      </c>
      <c r="BM13" s="23">
        <f>'Net zero Intermediate calcs'!BH22*'Net zero Intermediate calcs'!BH25*Constants!$H$23</f>
        <v>2286991.7418935793</v>
      </c>
      <c r="BN13" s="23">
        <f>'Net zero Intermediate calcs'!BI22*'Net zero Intermediate calcs'!BI25*Constants!$H$23</f>
        <v>2287623.2815965232</v>
      </c>
      <c r="BO13" s="23">
        <f>'Net zero Intermediate calcs'!BJ22*'Net zero Intermediate calcs'!BJ25*Constants!$H$23</f>
        <v>2288303.1837235563</v>
      </c>
      <c r="BP13" s="23">
        <f>'Net zero Intermediate calcs'!BK22*'Net zero Intermediate calcs'!BK25*Constants!$H$23</f>
        <v>2289106.379550002</v>
      </c>
      <c r="BQ13">
        <v>2288591.5024888623</v>
      </c>
    </row>
    <row r="14" spans="1:72" x14ac:dyDescent="0.3">
      <c r="A14" t="str">
        <f t="shared" si="1"/>
        <v>3A Livestock</v>
      </c>
      <c r="C14" t="str">
        <f>C13</f>
        <v>3A1d Goats</v>
      </c>
      <c r="D14" t="str">
        <f>$D$12</f>
        <v>Subsistence</v>
      </c>
      <c r="E14" t="str">
        <f t="shared" si="2"/>
        <v>Population</v>
      </c>
      <c r="F14" t="str">
        <f t="shared" si="2"/>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'Net zero Intermediate calcs'!Y22*'Net zero Intermediate calcs'!Y25*(1-Constants!$H$23)</f>
        <v>4014525.785124518</v>
      </c>
      <c r="AE14" s="23">
        <f>'Net zero Intermediate calcs'!Z22*'Net zero Intermediate calcs'!Z25*(1-Constants!$H$23)</f>
        <v>4024961.6143757398</v>
      </c>
      <c r="AF14" s="23">
        <f>'Net zero Intermediate calcs'!AA22*'Net zero Intermediate calcs'!AA25*(1-Constants!$H$23)</f>
        <v>4039357.4720385941</v>
      </c>
      <c r="AG14" s="23">
        <f>'Net zero Intermediate calcs'!AB22*'Net zero Intermediate calcs'!AB25*(1-Constants!$H$23)</f>
        <v>4056895.4286306929</v>
      </c>
      <c r="AH14" s="23">
        <f>'Net zero Intermediate calcs'!AC22*'Net zero Intermediate calcs'!AC25*(1-Constants!$H$23)</f>
        <v>4077550.4703819798</v>
      </c>
      <c r="AI14" s="23">
        <f>'Net zero Intermediate calcs'!AD22*'Net zero Intermediate calcs'!AD25*(1-Constants!$H$23)</f>
        <v>4101196.8798749652</v>
      </c>
      <c r="AJ14" s="23">
        <f>'Net zero Intermediate calcs'!AE22*'Net zero Intermediate calcs'!AE25*(1-Constants!$H$23)</f>
        <v>4126645.5055051413</v>
      </c>
      <c r="AK14" s="23">
        <f>'Net zero Intermediate calcs'!AF22*'Net zero Intermediate calcs'!AF25*(1-Constants!$H$23)</f>
        <v>4153795.6084500193</v>
      </c>
      <c r="AL14" s="23">
        <f>'Net zero Intermediate calcs'!AG22*'Net zero Intermediate calcs'!AG25*(1-Constants!$H$23)</f>
        <v>4178417.6770663336</v>
      </c>
      <c r="AM14" s="23">
        <f>'Net zero Intermediate calcs'!AH22*'Net zero Intermediate calcs'!AH25*(1-Constants!$H$23)</f>
        <v>4190444.5927691082</v>
      </c>
      <c r="AN14" s="23">
        <f>'Net zero Intermediate calcs'!AI22*'Net zero Intermediate calcs'!AI25*(1-Constants!$H$23)</f>
        <v>4204230.1219401155</v>
      </c>
      <c r="AO14" s="23">
        <f>'Net zero Intermediate calcs'!AJ22*'Net zero Intermediate calcs'!AJ25*(1-Constants!$H$23)</f>
        <v>4218282.4271687977</v>
      </c>
      <c r="AP14" s="23">
        <f>'Net zero Intermediate calcs'!AK22*'Net zero Intermediate calcs'!AK25*(1-Constants!$H$23)</f>
        <v>4233523.2078386946</v>
      </c>
      <c r="AQ14" s="23">
        <f>'Net zero Intermediate calcs'!AL22*'Net zero Intermediate calcs'!AL25*(1-Constants!$H$23)</f>
        <v>4249927.275536892</v>
      </c>
      <c r="AR14" s="23">
        <f>'Net zero Intermediate calcs'!AM22*'Net zero Intermediate calcs'!AM25*(1-Constants!$H$23)</f>
        <v>4260425.1616219515</v>
      </c>
      <c r="AS14" s="23">
        <f>'Net zero Intermediate calcs'!AN22*'Net zero Intermediate calcs'!AN25*(1-Constants!$H$23)</f>
        <v>4271910.4312514728</v>
      </c>
      <c r="AT14" s="23">
        <f>'Net zero Intermediate calcs'!AO22*'Net zero Intermediate calcs'!AO25*(1-Constants!$H$23)</f>
        <v>4284248.750098397</v>
      </c>
      <c r="AU14" s="23">
        <f>'Net zero Intermediate calcs'!AP22*'Net zero Intermediate calcs'!AP25*(1-Constants!$H$23)</f>
        <v>4297479.7374485405</v>
      </c>
      <c r="AV14" s="23">
        <f>'Net zero Intermediate calcs'!AQ22*'Net zero Intermediate calcs'!AQ25*(1-Constants!$H$23)</f>
        <v>4311479.1568277748</v>
      </c>
      <c r="AW14" s="23">
        <f>'Net zero Intermediate calcs'!AR22*'Net zero Intermediate calcs'!AR25*(1-Constants!$H$23)</f>
        <v>4320815.1806587502</v>
      </c>
      <c r="AX14" s="23">
        <f>'Net zero Intermediate calcs'!AS22*'Net zero Intermediate calcs'!AS25*(1-Constants!$H$23)</f>
        <v>4330771.4945656965</v>
      </c>
      <c r="AY14" s="23">
        <f>'Net zero Intermediate calcs'!AT22*'Net zero Intermediate calcs'!AT25*(1-Constants!$H$23)</f>
        <v>4341432.3733800407</v>
      </c>
      <c r="AZ14" s="23">
        <f>'Net zero Intermediate calcs'!AU22*'Net zero Intermediate calcs'!AU25*(1-Constants!$H$23)</f>
        <v>4352906.0965621201</v>
      </c>
      <c r="BA14" s="23">
        <f>'Net zero Intermediate calcs'!AV22*'Net zero Intermediate calcs'!AV25*(1-Constants!$H$23)</f>
        <v>4364846.0308050355</v>
      </c>
      <c r="BB14" s="23">
        <f>'Net zero Intermediate calcs'!AW22*'Net zero Intermediate calcs'!AW25*(1-Constants!$H$23)</f>
        <v>4372240.7392815249</v>
      </c>
      <c r="BC14" s="23">
        <f>'Net zero Intermediate calcs'!AX22*'Net zero Intermediate calcs'!AX25*(1-Constants!$H$23)</f>
        <v>4380265.3443776062</v>
      </c>
      <c r="BD14" s="23">
        <f>'Net zero Intermediate calcs'!AY22*'Net zero Intermediate calcs'!AY25*(1-Constants!$H$23)</f>
        <v>4388640.7609268129</v>
      </c>
      <c r="BE14" s="23">
        <f>'Net zero Intermediate calcs'!AZ22*'Net zero Intermediate calcs'!AZ25*(1-Constants!$H$23)</f>
        <v>4397465.6488393424</v>
      </c>
      <c r="BF14" s="23">
        <f>'Net zero Intermediate calcs'!BA22*'Net zero Intermediate calcs'!BA25*(1-Constants!$H$23)</f>
        <v>4406727.9256217899</v>
      </c>
      <c r="BG14" s="23">
        <f>'Net zero Intermediate calcs'!BB22*'Net zero Intermediate calcs'!BB25*(1-Constants!$H$23)</f>
        <v>4411788.2670898298</v>
      </c>
      <c r="BH14" s="23">
        <f>'Net zero Intermediate calcs'!BC22*'Net zero Intermediate calcs'!BC25*(1-Constants!$H$23)</f>
        <v>4417167.3968691388</v>
      </c>
      <c r="BI14" s="23">
        <f>'Net zero Intermediate calcs'!BD22*'Net zero Intermediate calcs'!BD25*(1-Constants!$H$23)</f>
        <v>4423002.6291883187</v>
      </c>
      <c r="BJ14" s="23">
        <f>'Net zero Intermediate calcs'!BE22*'Net zero Intermediate calcs'!BE25*(1-Constants!$H$23)</f>
        <v>4429288.3911362616</v>
      </c>
      <c r="BK14" s="23">
        <f>'Net zero Intermediate calcs'!BF22*'Net zero Intermediate calcs'!BF25*(1-Constants!$H$23)</f>
        <v>4436025.4078472806</v>
      </c>
      <c r="BL14" s="23">
        <f>'Net zero Intermediate calcs'!BG22*'Net zero Intermediate calcs'!BG25*(1-Constants!$H$23)</f>
        <v>4438400.0006083222</v>
      </c>
      <c r="BM14" s="23">
        <f>'Net zero Intermediate calcs'!BH22*'Net zero Intermediate calcs'!BH25*(1-Constants!$H$23)</f>
        <v>4439454.5577934179</v>
      </c>
      <c r="BN14" s="23">
        <f>'Net zero Intermediate calcs'!BI22*'Net zero Intermediate calcs'!BI25*(1-Constants!$H$23)</f>
        <v>4440680.4878050145</v>
      </c>
      <c r="BO14" s="23">
        <f>'Net zero Intermediate calcs'!BJ22*'Net zero Intermediate calcs'!BJ25*(1-Constants!$H$23)</f>
        <v>4442000.2978163147</v>
      </c>
      <c r="BP14" s="23">
        <f>'Net zero Intermediate calcs'!BK22*'Net zero Intermediate calcs'!BK25*(1-Constants!$H$23)</f>
        <v>4443559.4426558856</v>
      </c>
      <c r="BQ14">
        <v>4442559.9754195558</v>
      </c>
    </row>
    <row r="15" spans="1:72" x14ac:dyDescent="0.3">
      <c r="A15" t="str">
        <f t="shared" si="1"/>
        <v>3A Livestock</v>
      </c>
      <c r="C15" t="str">
        <f>'IPCC Categories'!$C$9</f>
        <v>3A1f Horses</v>
      </c>
      <c r="D15" t="str">
        <f>'IPCC Categories'!$F$42</f>
        <v>Horses</v>
      </c>
      <c r="E15" t="str">
        <f t="shared" si="2"/>
        <v>Population</v>
      </c>
      <c r="F15" t="str">
        <f t="shared" si="2"/>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308478.97111537727</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308239.46209968894</v>
      </c>
      <c r="AL15" s="23">
        <f>((Data!$AJ$61*((Drivers!AH5*1000000)/Drivers!AH4))+Data!$AK$61)</f>
        <v>290617.73835849564</v>
      </c>
      <c r="AM15" s="23">
        <f>((Data!$AJ$61*((Drivers!AI5*1000000)/Drivers!AI4))+Data!$AK$61)</f>
        <v>294216.79497853166</v>
      </c>
      <c r="AN15" s="23">
        <f>((Data!$AJ$61*((Drivers!AJ5*1000000)/Drivers!AJ4))+Data!$AK$61)</f>
        <v>299933.36752758519</v>
      </c>
      <c r="AO15" s="23">
        <f>((Data!$AJ$61*((Drivers!AK5*1000000)/Drivers!AK4))+Data!$AK$61)</f>
        <v>302043.49651642761</v>
      </c>
      <c r="AP15" s="23">
        <f>((Data!$AJ$61*((Drivers!AL5*1000000)/Drivers!AL4))+Data!$AK$61)</f>
        <v>304551.046248283</v>
      </c>
      <c r="AQ15" s="23">
        <f>((Data!$AJ$61*((Drivers!AM5*1000000)/Drivers!AM4))+Data!$AK$61)</f>
        <v>307587.15389044932</v>
      </c>
      <c r="AR15" s="23">
        <f>((Data!$AJ$61*((Drivers!AN5*1000000)/Drivers!AN4))+Data!$AK$61)</f>
        <v>311219.94337583228</v>
      </c>
      <c r="AS15" s="23">
        <f>((Data!$AJ$61*((Drivers!AO5*1000000)/Drivers!AO4))+Data!$AK$61)</f>
        <v>315257.33161887509</v>
      </c>
      <c r="AT15" s="23">
        <f>((Data!$AJ$61*((Drivers!AP5*1000000)/Drivers!AP4))+Data!$AK$61)</f>
        <v>319342.69614542602</v>
      </c>
      <c r="AU15" s="23">
        <f>((Data!$AJ$61*((Drivers!AQ5*1000000)/Drivers!AQ4))+Data!$AK$61)</f>
        <v>323793.19033185393</v>
      </c>
      <c r="AV15" s="23">
        <f>((Data!$AJ$61*((Drivers!AR5*1000000)/Drivers!AR4))+Data!$AK$61)</f>
        <v>328259.15334294655</v>
      </c>
      <c r="AW15" s="23">
        <f>((Data!$AJ$61*((Drivers!AS5*1000000)/Drivers!AS4))+Data!$AK$61)</f>
        <v>333616.83595509973</v>
      </c>
      <c r="AX15" s="23">
        <f>((Data!$AJ$61*((Drivers!AT5*1000000)/Drivers!AT4))+Data!$AK$61)</f>
        <v>338778.46739151777</v>
      </c>
      <c r="AY15" s="23">
        <f>((Data!$AJ$61*((Drivers!AU5*1000000)/Drivers!AU4))+Data!$AK$61)</f>
        <v>344191.08274525683</v>
      </c>
      <c r="AZ15" s="23">
        <f>((Data!$AJ$61*((Drivers!AV5*1000000)/Drivers!AV4))+Data!$AK$61)</f>
        <v>350381.53457068163</v>
      </c>
      <c r="BA15" s="23">
        <f>((Data!$AJ$61*((Drivers!AW5*1000000)/Drivers!AW4))+Data!$AK$61)</f>
        <v>356085.56479891471</v>
      </c>
      <c r="BB15" s="23">
        <f>((Data!$AJ$61*((Drivers!AX5*1000000)/Drivers!AX4))+Data!$AK$61)</f>
        <v>362383.04576962383</v>
      </c>
      <c r="BC15" s="23">
        <f>((Data!$AJ$61*((Drivers!AY5*1000000)/Drivers!AY4))+Data!$AK$61)</f>
        <v>369097.13869673933</v>
      </c>
      <c r="BD15" s="23">
        <f>((Data!$AJ$61*((Drivers!AZ5*1000000)/Drivers!AZ4))+Data!$AK$61)</f>
        <v>375220.3050649435</v>
      </c>
      <c r="BE15" s="23">
        <f>((Data!$AJ$61*((Drivers!BA5*1000000)/Drivers!BA4))+Data!$AK$61)</f>
        <v>381211.7279972441</v>
      </c>
      <c r="BF15" s="23">
        <f>((Data!$AJ$61*((Drivers!BB5*1000000)/Drivers!BB4))+Data!$AK$61)</f>
        <v>387092.93155265821</v>
      </c>
      <c r="BG15" s="23">
        <f>((Data!$AJ$61*((Drivers!BC5*1000000)/Drivers!BC4))+Data!$AK$61)</f>
        <v>393811.03719578136</v>
      </c>
      <c r="BH15" s="23">
        <f>((Data!$AJ$61*((Drivers!BD5*1000000)/Drivers!BD4))+Data!$AK$61)</f>
        <v>400145.32161291735</v>
      </c>
      <c r="BI15" s="23">
        <f>((Data!$AJ$61*((Drivers!BE5*1000000)/Drivers!BE4))+Data!$AK$61)</f>
        <v>406686.34573895729</v>
      </c>
      <c r="BJ15" s="23">
        <f>((Data!$AJ$61*((Drivers!BF5*1000000)/Drivers!BF4))+Data!$AK$61)</f>
        <v>413466.60208027996</v>
      </c>
      <c r="BK15" s="23">
        <f>((Data!$AJ$61*((Drivers!BG5*1000000)/Drivers!BG4))+Data!$AK$61)</f>
        <v>420538.92034908745</v>
      </c>
      <c r="BL15" s="23">
        <f>((Data!$AJ$61*((Drivers!BH5*1000000)/Drivers!BH4))+Data!$AK$61)</f>
        <v>428221.80673994881</v>
      </c>
      <c r="BM15" s="23">
        <f>((Data!$AJ$61*((Drivers!BI5*1000000)/Drivers!BI4))+Data!$AK$61)</f>
        <v>429498.7532496826</v>
      </c>
      <c r="BN15" s="23">
        <f>((Data!$AJ$61*((Drivers!BJ5*1000000)/Drivers!BJ4))+Data!$AK$61)</f>
        <v>430170.02802334807</v>
      </c>
      <c r="BO15" s="23">
        <f>((Data!$AJ$61*((Drivers!BK5*1000000)/Drivers!BK4))+Data!$AK$61)</f>
        <v>429981.48048825283</v>
      </c>
      <c r="BP15" s="23">
        <f>((Data!$AJ$61*((Drivers!BL5*1000000)/Drivers!BL4))+Data!$AK$61)</f>
        <v>429535.95558912493</v>
      </c>
      <c r="BQ15">
        <v>439500.1913407169</v>
      </c>
    </row>
    <row r="16" spans="1:72" x14ac:dyDescent="0.3">
      <c r="A16" t="str">
        <f t="shared" si="1"/>
        <v>3A Livestock</v>
      </c>
      <c r="C16" t="str">
        <f>'IPCC Categories'!$C$10</f>
        <v>3A1g Mules &amp; asses</v>
      </c>
      <c r="D16" t="str">
        <f>'IPCC Categories'!$F$43</f>
        <v>Mules &amp; Asses</v>
      </c>
      <c r="E16" t="str">
        <f t="shared" si="2"/>
        <v>Population</v>
      </c>
      <c r="F16" t="str">
        <f t="shared" si="2"/>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 si="3">AC16</f>
        <v>167000</v>
      </c>
      <c r="AE16" s="23">
        <f t="shared" ref="AE16" si="4">AD16</f>
        <v>167000</v>
      </c>
      <c r="AF16" s="23">
        <f t="shared" ref="AF16" si="5">AE16</f>
        <v>167000</v>
      </c>
      <c r="AG16" s="23">
        <f t="shared" ref="AG16" si="6">AF16</f>
        <v>167000</v>
      </c>
      <c r="AH16" s="23">
        <f t="shared" ref="AH16" si="7">AG16</f>
        <v>167000</v>
      </c>
      <c r="AI16" s="23">
        <f t="shared" ref="AI16" si="8">AH16</f>
        <v>167000</v>
      </c>
      <c r="AJ16" s="23">
        <f t="shared" ref="AJ16" si="9">AI16</f>
        <v>167000</v>
      </c>
      <c r="AK16" s="23">
        <f t="shared" ref="AK16" si="10">AJ16</f>
        <v>167000</v>
      </c>
      <c r="AL16" s="23">
        <f t="shared" ref="AL16" si="11">AK16</f>
        <v>167000</v>
      </c>
      <c r="AM16" s="23">
        <f t="shared" ref="AM16" si="12">AL16</f>
        <v>167000</v>
      </c>
      <c r="AN16" s="23">
        <f t="shared" ref="AN16" si="13">AM16</f>
        <v>167000</v>
      </c>
      <c r="AO16" s="23">
        <f t="shared" ref="AO16" si="14">AN16</f>
        <v>167000</v>
      </c>
      <c r="AP16" s="23">
        <f t="shared" ref="AP16" si="15">AO16</f>
        <v>167000</v>
      </c>
      <c r="AQ16" s="23">
        <f t="shared" ref="AQ16" si="16">AP16</f>
        <v>167000</v>
      </c>
      <c r="AR16" s="23">
        <f t="shared" ref="AR16" si="17">AQ16</f>
        <v>167000</v>
      </c>
      <c r="AS16" s="23">
        <f t="shared" ref="AS16" si="18">AR16</f>
        <v>167000</v>
      </c>
      <c r="AT16" s="23">
        <f t="shared" ref="AT16" si="19">AS16</f>
        <v>167000</v>
      </c>
      <c r="AU16" s="23">
        <f t="shared" ref="AU16" si="20">AT16</f>
        <v>167000</v>
      </c>
      <c r="AV16" s="23">
        <f t="shared" ref="AV16" si="21">AU16</f>
        <v>167000</v>
      </c>
      <c r="AW16" s="23">
        <f t="shared" ref="AW16" si="22">AV16</f>
        <v>167000</v>
      </c>
      <c r="AX16" s="23">
        <f t="shared" ref="AX16" si="23">AW16</f>
        <v>167000</v>
      </c>
      <c r="AY16" s="23">
        <f t="shared" ref="AY16" si="24">AX16</f>
        <v>167000</v>
      </c>
      <c r="AZ16" s="23">
        <f t="shared" ref="AZ16" si="25">AY16</f>
        <v>167000</v>
      </c>
      <c r="BA16" s="23">
        <f t="shared" ref="BA16" si="26">AZ16</f>
        <v>167000</v>
      </c>
      <c r="BB16" s="23">
        <f t="shared" ref="BB16" si="27">BA16</f>
        <v>167000</v>
      </c>
      <c r="BC16" s="23">
        <f t="shared" ref="BC16" si="28">BB16</f>
        <v>167000</v>
      </c>
      <c r="BD16" s="23">
        <f t="shared" ref="BD16" si="29">BC16</f>
        <v>167000</v>
      </c>
      <c r="BE16" s="23">
        <f t="shared" ref="BE16" si="30">BD16</f>
        <v>167000</v>
      </c>
      <c r="BF16" s="23">
        <f t="shared" ref="BF16" si="31">BE16</f>
        <v>167000</v>
      </c>
      <c r="BG16" s="23">
        <f t="shared" ref="BG16" si="32">BF16</f>
        <v>167000</v>
      </c>
      <c r="BH16" s="23">
        <f t="shared" ref="BH16" si="33">BG16</f>
        <v>167000</v>
      </c>
      <c r="BI16" s="23">
        <f t="shared" ref="BI16" si="34">BH16</f>
        <v>167000</v>
      </c>
      <c r="BJ16" s="23">
        <f t="shared" ref="BJ16" si="35">BI16</f>
        <v>167000</v>
      </c>
      <c r="BK16" s="23">
        <f t="shared" ref="BK16" si="36">BJ16</f>
        <v>167000</v>
      </c>
      <c r="BL16" s="23">
        <f t="shared" ref="BL16" si="37">BK16</f>
        <v>167000</v>
      </c>
      <c r="BM16" s="23">
        <f t="shared" ref="BM16" si="38">BL16</f>
        <v>167000</v>
      </c>
      <c r="BN16" s="23">
        <f t="shared" ref="BN16" si="39">BM16</f>
        <v>167000</v>
      </c>
      <c r="BO16" s="23">
        <f t="shared" ref="BO16" si="40">BN16</f>
        <v>167000</v>
      </c>
      <c r="BP16" s="23">
        <f t="shared" ref="BP16" si="41">BO16</f>
        <v>167000</v>
      </c>
      <c r="BQ16">
        <v>167000</v>
      </c>
    </row>
    <row r="17" spans="1:72" x14ac:dyDescent="0.3">
      <c r="A17" t="str">
        <f t="shared" si="1"/>
        <v>3A Livestock</v>
      </c>
      <c r="C17" t="str">
        <f>'IPCC Categories'!$C$11</f>
        <v>3A1h Swine</v>
      </c>
      <c r="D17" t="str">
        <f>'IPCC Categories'!F36</f>
        <v>Commercial</v>
      </c>
      <c r="E17" t="str">
        <f t="shared" si="2"/>
        <v>Population</v>
      </c>
      <c r="F17" t="str">
        <f t="shared" si="2"/>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'Net zero Intermediate calcs'!Y32*'Net zero Intermediate calcs'!Y33*Constants!$H$24</f>
        <v>1656046.9024620028</v>
      </c>
      <c r="AE17" s="23">
        <f>'Net zero Intermediate calcs'!Z32*'Net zero Intermediate calcs'!Z33*Constants!$H$24</f>
        <v>1647045.1860532644</v>
      </c>
      <c r="AF17" s="23">
        <f>'Net zero Intermediate calcs'!AA32*'Net zero Intermediate calcs'!AA33*Constants!$H$24</f>
        <v>1647784.019010039</v>
      </c>
      <c r="AG17" s="23">
        <f>'Net zero Intermediate calcs'!AB32*'Net zero Intermediate calcs'!AB33*Constants!$H$24</f>
        <v>1632656.0990208655</v>
      </c>
      <c r="AH17" s="23">
        <f>'Net zero Intermediate calcs'!AC32*'Net zero Intermediate calcs'!AC33*Constants!$H$24</f>
        <v>1607948.7164639281</v>
      </c>
      <c r="AI17" s="23">
        <f>'Net zero Intermediate calcs'!AD32*'Net zero Intermediate calcs'!AD33*Constants!$H$24</f>
        <v>1574056.8450456355</v>
      </c>
      <c r="AJ17" s="23">
        <f>'Net zero Intermediate calcs'!AE32*'Net zero Intermediate calcs'!AE33*Constants!$H$24</f>
        <v>1549447.5878836229</v>
      </c>
      <c r="AK17" s="23">
        <f>'Net zero Intermediate calcs'!AF32*'Net zero Intermediate calcs'!AF33*Constants!$H$24</f>
        <v>1527015.9199472496</v>
      </c>
      <c r="AL17" s="23">
        <f>'Net zero Intermediate calcs'!AG32*'Net zero Intermediate calcs'!AG33*Constants!$H$24</f>
        <v>1348278.5586549521</v>
      </c>
      <c r="AM17" s="23">
        <f>'Net zero Intermediate calcs'!AH32*'Net zero Intermediate calcs'!AH33*Constants!$H$24</f>
        <v>1365328.4540570292</v>
      </c>
      <c r="AN17" s="23">
        <f>'Net zero Intermediate calcs'!AI32*'Net zero Intermediate calcs'!AI33*Constants!$H$24</f>
        <v>1401914.1826110582</v>
      </c>
      <c r="AO17" s="23">
        <f>'Net zero Intermediate calcs'!AJ32*'Net zero Intermediate calcs'!AJ33*Constants!$H$24</f>
        <v>1405235.9766959732</v>
      </c>
      <c r="AP17" s="23">
        <f>'Net zero Intermediate calcs'!AK32*'Net zero Intermediate calcs'!AK33*Constants!$H$24</f>
        <v>1412429.5063597523</v>
      </c>
      <c r="AQ17" s="23">
        <f>'Net zero Intermediate calcs'!AL32*'Net zero Intermediate calcs'!AL33*Constants!$H$24</f>
        <v>1424524.3600665794</v>
      </c>
      <c r="AR17" s="23">
        <f>'Net zero Intermediate calcs'!AM32*'Net zero Intermediate calcs'!AM33*Constants!$H$24</f>
        <v>1439700.983950831</v>
      </c>
      <c r="AS17" s="23">
        <f>'Net zero Intermediate calcs'!AN32*'Net zero Intermediate calcs'!AN33*Constants!$H$24</f>
        <v>1458298.6499124421</v>
      </c>
      <c r="AT17" s="23">
        <f>'Net zero Intermediate calcs'!AO32*'Net zero Intermediate calcs'!AO33*Constants!$H$24</f>
        <v>1477113.7969483531</v>
      </c>
      <c r="AU17" s="23">
        <f>'Net zero Intermediate calcs'!AP32*'Net zero Intermediate calcs'!AP33*Constants!$H$24</f>
        <v>1498836.7689754921</v>
      </c>
      <c r="AV17" s="23">
        <f>'Net zero Intermediate calcs'!AQ32*'Net zero Intermediate calcs'!AQ33*Constants!$H$24</f>
        <v>1520409.8095550297</v>
      </c>
      <c r="AW17" s="23">
        <f>'Net zero Intermediate calcs'!AR32*'Net zero Intermediate calcs'!AR33*Constants!$H$24</f>
        <v>1547230.7316103911</v>
      </c>
      <c r="AX17" s="23">
        <f>'Net zero Intermediate calcs'!AS32*'Net zero Intermediate calcs'!AS33*Constants!$H$24</f>
        <v>1571921.349309898</v>
      </c>
      <c r="AY17" s="23">
        <f>'Net zero Intermediate calcs'!AT32*'Net zero Intermediate calcs'!AT33*Constants!$H$24</f>
        <v>1598194.1405500479</v>
      </c>
      <c r="AZ17" s="23">
        <f>'Net zero Intermediate calcs'!AU32*'Net zero Intermediate calcs'!AU33*Constants!$H$24</f>
        <v>1630243.5183994647</v>
      </c>
      <c r="BA17" s="23">
        <f>'Net zero Intermediate calcs'!AV32*'Net zero Intermediate calcs'!AV33*Constants!$H$24</f>
        <v>1657763.3993055501</v>
      </c>
      <c r="BB17" s="23">
        <f>'Net zero Intermediate calcs'!AW32*'Net zero Intermediate calcs'!AW33*Constants!$H$24</f>
        <v>1687466.8759818496</v>
      </c>
      <c r="BC17" s="23">
        <f>'Net zero Intermediate calcs'!AX32*'Net zero Intermediate calcs'!AX33*Constants!$H$24</f>
        <v>1719704.9667474737</v>
      </c>
      <c r="BD17" s="23">
        <f>'Net zero Intermediate calcs'!AY32*'Net zero Intermediate calcs'!AY33*Constants!$H$24</f>
        <v>1746598.8414181657</v>
      </c>
      <c r="BE17" s="23">
        <f>'Net zero Intermediate calcs'!AZ32*'Net zero Intermediate calcs'!AZ33*Constants!$H$24</f>
        <v>1771819.5229412203</v>
      </c>
      <c r="BF17" s="23">
        <f>'Net zero Intermediate calcs'!BA32*'Net zero Intermediate calcs'!BA33*Constants!$H$24</f>
        <v>1795570.4213145054</v>
      </c>
      <c r="BG17" s="23">
        <f>'Net zero Intermediate calcs'!BB32*'Net zero Intermediate calcs'!BB33*Constants!$H$24</f>
        <v>1822994.6534131451</v>
      </c>
      <c r="BH17" s="23">
        <f>'Net zero Intermediate calcs'!BC32*'Net zero Intermediate calcs'!BC33*Constants!$H$24</f>
        <v>1846781.6395187357</v>
      </c>
      <c r="BI17" s="23">
        <f>'Net zero Intermediate calcs'!BD32*'Net zero Intermediate calcs'!BD33*Constants!$H$24</f>
        <v>1871335.8518101512</v>
      </c>
      <c r="BJ17" s="23">
        <f>'Net zero Intermediate calcs'!BE32*'Net zero Intermediate calcs'!BE33*Constants!$H$24</f>
        <v>1896842.4970731153</v>
      </c>
      <c r="BK17" s="23">
        <f>'Net zero Intermediate calcs'!BF32*'Net zero Intermediate calcs'!BF33*Constants!$H$24</f>
        <v>1923620.7271074844</v>
      </c>
      <c r="BL17" s="23">
        <f>'Net zero Intermediate calcs'!BG32*'Net zero Intermediate calcs'!BG33*Constants!$H$24</f>
        <v>1951739.644342006</v>
      </c>
      <c r="BM17" s="23">
        <f>'Net zero Intermediate calcs'!BH32*'Net zero Intermediate calcs'!BH33*Constants!$H$24</f>
        <v>1934628.8970430286</v>
      </c>
      <c r="BN17" s="23">
        <f>'Net zero Intermediate calcs'!BI32*'Net zero Intermediate calcs'!BI33*Constants!$H$24</f>
        <v>1913563.9308250048</v>
      </c>
      <c r="BO17" s="23">
        <f>'Net zero Intermediate calcs'!BJ32*'Net zero Intermediate calcs'!BJ33*Constants!$H$24</f>
        <v>1886983.604319921</v>
      </c>
      <c r="BP17" s="23">
        <f>'Net zero Intermediate calcs'!BK32*'Net zero Intermediate calcs'!BK33*Constants!$H$24</f>
        <v>1859099.6925127404</v>
      </c>
      <c r="BQ17">
        <v>1950275.6349015508</v>
      </c>
    </row>
    <row r="18" spans="1:72" x14ac:dyDescent="0.3">
      <c r="A18" t="str">
        <f t="shared" si="1"/>
        <v>3A Livestock</v>
      </c>
      <c r="C18" t="str">
        <f>C17</f>
        <v>3A1h Swine</v>
      </c>
      <c r="D18" t="str">
        <f>'IPCC Categories'!F37</f>
        <v>Subsistence</v>
      </c>
      <c r="E18" t="str">
        <f t="shared" si="2"/>
        <v>Population</v>
      </c>
      <c r="F18" t="str">
        <f t="shared" si="2"/>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'Net zero Intermediate calcs'!Y32*'Net zero Intermediate calcs'!Y33*(1-Constants!$H$24)</f>
        <v>225824.57760845491</v>
      </c>
      <c r="AE18" s="23">
        <f>'Net zero Intermediate calcs'!Z32*'Net zero Intermediate calcs'!Z33*(1-Constants!$H$24)</f>
        <v>224597.07082544515</v>
      </c>
      <c r="AF18" s="23">
        <f>'Net zero Intermediate calcs'!AA32*'Net zero Intermediate calcs'!AA33*(1-Constants!$H$24)</f>
        <v>224697.82077409624</v>
      </c>
      <c r="AG18" s="23">
        <f>'Net zero Intermediate calcs'!AB32*'Net zero Intermediate calcs'!AB33*(1-Constants!$H$24)</f>
        <v>222634.9225937544</v>
      </c>
      <c r="AH18" s="23">
        <f>'Net zero Intermediate calcs'!AC32*'Net zero Intermediate calcs'!AC33*(1-Constants!$H$24)</f>
        <v>219265.73406326291</v>
      </c>
      <c r="AI18" s="23">
        <f>'Net zero Intermediate calcs'!AD32*'Net zero Intermediate calcs'!AD33*(1-Constants!$H$24)</f>
        <v>214644.11523349574</v>
      </c>
      <c r="AJ18" s="23">
        <f>'Net zero Intermediate calcs'!AE32*'Net zero Intermediate calcs'!AE33*(1-Constants!$H$24)</f>
        <v>211288.30743867584</v>
      </c>
      <c r="AK18" s="23">
        <f>'Net zero Intermediate calcs'!AF32*'Net zero Intermediate calcs'!AF33*(1-Constants!$H$24)</f>
        <v>208229.44362917039</v>
      </c>
      <c r="AL18" s="23">
        <f>'Net zero Intermediate calcs'!AG32*'Net zero Intermediate calcs'!AG33*(1-Constants!$H$24)</f>
        <v>183856.16708931164</v>
      </c>
      <c r="AM18" s="23">
        <f>'Net zero Intermediate calcs'!AH32*'Net zero Intermediate calcs'!AH33*(1-Constants!$H$24)</f>
        <v>186181.15282595853</v>
      </c>
      <c r="AN18" s="23">
        <f>'Net zero Intermediate calcs'!AI32*'Net zero Intermediate calcs'!AI33*(1-Constants!$H$24)</f>
        <v>191170.11581059883</v>
      </c>
      <c r="AO18" s="23">
        <f>'Net zero Intermediate calcs'!AJ32*'Net zero Intermediate calcs'!AJ33*(1-Constants!$H$24)</f>
        <v>191623.08773126904</v>
      </c>
      <c r="AP18" s="23">
        <f>'Net zero Intermediate calcs'!AK32*'Net zero Intermediate calcs'!AK33*(1-Constants!$H$24)</f>
        <v>192604.02359451167</v>
      </c>
      <c r="AQ18" s="23">
        <f>'Net zero Intermediate calcs'!AL32*'Net zero Intermediate calcs'!AL33*(1-Constants!$H$24)</f>
        <v>194253.32182726081</v>
      </c>
      <c r="AR18" s="23">
        <f>'Net zero Intermediate calcs'!AM32*'Net zero Intermediate calcs'!AM33*(1-Constants!$H$24)</f>
        <v>196322.86144784061</v>
      </c>
      <c r="AS18" s="23">
        <f>'Net zero Intermediate calcs'!AN32*'Net zero Intermediate calcs'!AN33*(1-Constants!$H$24)</f>
        <v>198858.9068062421</v>
      </c>
      <c r="AT18" s="23">
        <f>'Net zero Intermediate calcs'!AO32*'Net zero Intermediate calcs'!AO33*(1-Constants!$H$24)</f>
        <v>201424.6086747754</v>
      </c>
      <c r="AU18" s="23">
        <f>'Net zero Intermediate calcs'!AP32*'Net zero Intermediate calcs'!AP33*(1-Constants!$H$24)</f>
        <v>204386.83213302164</v>
      </c>
      <c r="AV18" s="23">
        <f>'Net zero Intermediate calcs'!AQ32*'Net zero Intermediate calcs'!AQ33*(1-Constants!$H$24)</f>
        <v>207328.61039386768</v>
      </c>
      <c r="AW18" s="23">
        <f>'Net zero Intermediate calcs'!AR32*'Net zero Intermediate calcs'!AR33*(1-Constants!$H$24)</f>
        <v>210986.0088559624</v>
      </c>
      <c r="AX18" s="23">
        <f>'Net zero Intermediate calcs'!AS32*'Net zero Intermediate calcs'!AS33*(1-Constants!$H$24)</f>
        <v>214352.91126953153</v>
      </c>
      <c r="AY18" s="23">
        <f>'Net zero Intermediate calcs'!AT32*'Net zero Intermediate calcs'!AT33*(1-Constants!$H$24)</f>
        <v>217935.56462046105</v>
      </c>
      <c r="AZ18" s="23">
        <f>'Net zero Intermediate calcs'!AU32*'Net zero Intermediate calcs'!AU33*(1-Constants!$H$24)</f>
        <v>222305.93432719973</v>
      </c>
      <c r="BA18" s="23">
        <f>'Net zero Intermediate calcs'!AV32*'Net zero Intermediate calcs'!AV33*(1-Constants!$H$24)</f>
        <v>226058.64535984772</v>
      </c>
      <c r="BB18" s="23">
        <f>'Net zero Intermediate calcs'!AW32*'Net zero Intermediate calcs'!AW33*(1-Constants!$H$24)</f>
        <v>230109.11945207039</v>
      </c>
      <c r="BC18" s="23">
        <f>'Net zero Intermediate calcs'!AX32*'Net zero Intermediate calcs'!AX33*(1-Constants!$H$24)</f>
        <v>234505.22273829186</v>
      </c>
      <c r="BD18" s="23">
        <f>'Net zero Intermediate calcs'!AY32*'Net zero Intermediate calcs'!AY33*(1-Constants!$H$24)</f>
        <v>238172.56928429531</v>
      </c>
      <c r="BE18" s="23">
        <f>'Net zero Intermediate calcs'!AZ32*'Net zero Intermediate calcs'!AZ33*(1-Constants!$H$24)</f>
        <v>241611.75312834821</v>
      </c>
      <c r="BF18" s="23">
        <f>'Net zero Intermediate calcs'!BA32*'Net zero Intermediate calcs'!BA33*(1-Constants!$H$24)</f>
        <v>244850.51199743254</v>
      </c>
      <c r="BG18" s="23">
        <f>'Net zero Intermediate calcs'!BB32*'Net zero Intermediate calcs'!BB33*(1-Constants!$H$24)</f>
        <v>248590.1800108834</v>
      </c>
      <c r="BH18" s="23">
        <f>'Net zero Intermediate calcs'!BC32*'Net zero Intermediate calcs'!BC33*(1-Constants!$H$24)</f>
        <v>251833.85993437303</v>
      </c>
      <c r="BI18" s="23">
        <f>'Net zero Intermediate calcs'!BD32*'Net zero Intermediate calcs'!BD33*(1-Constants!$H$24)</f>
        <v>255182.16161047516</v>
      </c>
      <c r="BJ18" s="23">
        <f>'Net zero Intermediate calcs'!BE32*'Net zero Intermediate calcs'!BE33*(1-Constants!$H$24)</f>
        <v>258660.34050997026</v>
      </c>
      <c r="BK18" s="23">
        <f>'Net zero Intermediate calcs'!BF32*'Net zero Intermediate calcs'!BF33*(1-Constants!$H$24)</f>
        <v>262311.91733283876</v>
      </c>
      <c r="BL18" s="23">
        <f>'Net zero Intermediate calcs'!BG32*'Net zero Intermediate calcs'!BG33*(1-Constants!$H$24)</f>
        <v>266146.31513754628</v>
      </c>
      <c r="BM18" s="23">
        <f>'Net zero Intermediate calcs'!BH32*'Net zero Intermediate calcs'!BH33*(1-Constants!$H$24)</f>
        <v>263813.03141495842</v>
      </c>
      <c r="BN18" s="23">
        <f>'Net zero Intermediate calcs'!BI32*'Net zero Intermediate calcs'!BI33*(1-Constants!$H$24)</f>
        <v>260940.53602159157</v>
      </c>
      <c r="BO18" s="23">
        <f>'Net zero Intermediate calcs'!BJ32*'Net zero Intermediate calcs'!BJ33*(1-Constants!$H$24)</f>
        <v>257315.94604362559</v>
      </c>
      <c r="BP18" s="23">
        <f>'Net zero Intermediate calcs'!BK32*'Net zero Intermediate calcs'!BK33*(1-Constants!$H$24)</f>
        <v>253513.5944335555</v>
      </c>
      <c r="BQ18">
        <v>265946.67748657509</v>
      </c>
    </row>
    <row r="19" spans="1:72" x14ac:dyDescent="0.3">
      <c r="A19" t="str">
        <f t="shared" si="1"/>
        <v>3A Livestock</v>
      </c>
      <c r="C19" t="str">
        <f>'IPCC Categories'!$C$19</f>
        <v>3A2i Poultry</v>
      </c>
      <c r="D19" t="str">
        <f>'IPCC Categories'!F50</f>
        <v>Commercial layers</v>
      </c>
      <c r="E19" t="str">
        <f t="shared" si="2"/>
        <v>Population</v>
      </c>
      <c r="F19" t="str">
        <f t="shared" si="2"/>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'Net zero Intermediate calcs'!Y37*'Net zero Intermediate calcs'!Y38*Constants!$H$25</f>
        <v>23653841.793714996</v>
      </c>
      <c r="AE19" s="23">
        <f>'Net zero Intermediate calcs'!Z37*'Net zero Intermediate calcs'!Z38*Constants!$H$25</f>
        <v>24134771.290486097</v>
      </c>
      <c r="AF19" s="23">
        <f>'Net zero Intermediate calcs'!AA37*'Net zero Intermediate calcs'!AA38*Constants!$H$25</f>
        <v>24696932.291742448</v>
      </c>
      <c r="AG19" s="23">
        <f>'Net zero Intermediate calcs'!AB37*'Net zero Intermediate calcs'!AB38*Constants!$H$25</f>
        <v>25128517.122223884</v>
      </c>
      <c r="AH19" s="23">
        <f>'Net zero Intermediate calcs'!AC37*'Net zero Intermediate calcs'!AC38*Constants!$H$25</f>
        <v>25474971.393442623</v>
      </c>
      <c r="AI19" s="23">
        <f>'Net zero Intermediate calcs'!AD37*'Net zero Intermediate calcs'!AD38*Constants!$H$25</f>
        <v>25734234.71894455</v>
      </c>
      <c r="AJ19" s="23">
        <f>'Net zero Intermediate calcs'!AE37*'Net zero Intermediate calcs'!AE38*Constants!$H$25</f>
        <v>26066681.867313132</v>
      </c>
      <c r="AK19" s="23">
        <f>'Net zero Intermediate calcs'!AF37*'Net zero Intermediate calcs'!AF38*Constants!$H$25</f>
        <v>26412334.873995647</v>
      </c>
      <c r="AL19" s="23">
        <f>'Net zero Intermediate calcs'!AG37*'Net zero Intermediate calcs'!AG38*Constants!$H$25</f>
        <v>25236759.160101797</v>
      </c>
      <c r="AM19" s="23">
        <f>'Net zero Intermediate calcs'!AH37*'Net zero Intermediate calcs'!AH38*Constants!$H$25</f>
        <v>25864898.107945878</v>
      </c>
      <c r="AN19" s="23">
        <f>'Net zero Intermediate calcs'!AI37*'Net zero Intermediate calcs'!AI38*Constants!$H$25</f>
        <v>26701997.274038151</v>
      </c>
      <c r="AO19" s="23">
        <f>'Net zero Intermediate calcs'!AJ37*'Net zero Intermediate calcs'!AJ38*Constants!$H$25</f>
        <v>27213948.712119233</v>
      </c>
      <c r="AP19" s="23">
        <f>'Net zero Intermediate calcs'!AK37*'Net zero Intermediate calcs'!AK38*Constants!$H$25</f>
        <v>27772088.173000056</v>
      </c>
      <c r="AQ19" s="23">
        <f>'Net zero Intermediate calcs'!AL37*'Net zero Intermediate calcs'!AL38*Constants!$H$25</f>
        <v>28390538.331827588</v>
      </c>
      <c r="AR19" s="23">
        <f>'Net zero Intermediate calcs'!AM37*'Net zero Intermediate calcs'!AM38*Constants!$H$25</f>
        <v>29029316.501091793</v>
      </c>
      <c r="AS19" s="23">
        <f>'Net zero Intermediate calcs'!AN37*'Net zero Intermediate calcs'!AN38*Constants!$H$25</f>
        <v>29717792.940709669</v>
      </c>
      <c r="AT19" s="23">
        <f>'Net zero Intermediate calcs'!AO37*'Net zero Intermediate calcs'!AO38*Constants!$H$25</f>
        <v>30421752.223616753</v>
      </c>
      <c r="AU19" s="23">
        <f>'Net zero Intermediate calcs'!AP37*'Net zero Intermediate calcs'!AP38*Constants!$H$25</f>
        <v>31173388.63263537</v>
      </c>
      <c r="AV19" s="23">
        <f>'Net zero Intermediate calcs'!AQ37*'Net zero Intermediate calcs'!AQ38*Constants!$H$25</f>
        <v>31938411.42658798</v>
      </c>
      <c r="AW19" s="23">
        <f>'Net zero Intermediate calcs'!AR37*'Net zero Intermediate calcs'!AR38*Constants!$H$25</f>
        <v>32763820.199340597</v>
      </c>
      <c r="AX19" s="23">
        <f>'Net zero Intermediate calcs'!AS37*'Net zero Intermediate calcs'!AS38*Constants!$H$25</f>
        <v>33580705.721749365</v>
      </c>
      <c r="AY19" s="23">
        <f>'Net zero Intermediate calcs'!AT37*'Net zero Intermediate calcs'!AT38*Constants!$H$25</f>
        <v>34435283.245320365</v>
      </c>
      <c r="AZ19" s="23">
        <f>'Net zero Intermediate calcs'!AU37*'Net zero Intermediate calcs'!AU38*Constants!$H$25</f>
        <v>35383745.397426449</v>
      </c>
      <c r="BA19" s="23">
        <f>'Net zero Intermediate calcs'!AV37*'Net zero Intermediate calcs'!AV38*Constants!$H$25</f>
        <v>36294296.686562642</v>
      </c>
      <c r="BB19" s="23">
        <f>'Net zero Intermediate calcs'!AW37*'Net zero Intermediate calcs'!AW38*Constants!$H$25</f>
        <v>37235954.105201684</v>
      </c>
      <c r="BC19" s="23">
        <f>'Net zero Intermediate calcs'!AX37*'Net zero Intermediate calcs'!AX38*Constants!$H$25</f>
        <v>38234261.518263079</v>
      </c>
      <c r="BD19" s="23">
        <f>'Net zero Intermediate calcs'!AY37*'Net zero Intermediate calcs'!AY38*Constants!$H$25</f>
        <v>39181138.911181092</v>
      </c>
      <c r="BE19" s="23">
        <f>'Net zero Intermediate calcs'!AZ37*'Net zero Intermediate calcs'!AZ38*Constants!$H$25</f>
        <v>40125435.605386712</v>
      </c>
      <c r="BF19" s="23">
        <f>'Net zero Intermediate calcs'!BA37*'Net zero Intermediate calcs'!BA38*Constants!$H$25</f>
        <v>41069324.053558469</v>
      </c>
      <c r="BG19" s="23">
        <f>'Net zero Intermediate calcs'!BB37*'Net zero Intermediate calcs'!BB38*Constants!$H$25</f>
        <v>42070744.769098721</v>
      </c>
      <c r="BH19" s="23">
        <f>'Net zero Intermediate calcs'!BC37*'Net zero Intermediate calcs'!BC38*Constants!$H$25</f>
        <v>43040279.068297915</v>
      </c>
      <c r="BI19" s="23">
        <f>'Net zero Intermediate calcs'!BD37*'Net zero Intermediate calcs'!BD38*Constants!$H$25</f>
        <v>44043388.631326117</v>
      </c>
      <c r="BJ19" s="23">
        <f>'Net zero Intermediate calcs'!BE37*'Net zero Intermediate calcs'!BE38*Constants!$H$25</f>
        <v>45084260.952272281</v>
      </c>
      <c r="BK19" s="23">
        <f>'Net zero Intermediate calcs'!BF37*'Net zero Intermediate calcs'!BF38*Constants!$H$25</f>
        <v>46169487.767128564</v>
      </c>
      <c r="BL19" s="23">
        <f>'Net zero Intermediate calcs'!BG37*'Net zero Intermediate calcs'!BG38*Constants!$H$25</f>
        <v>47283696.604452714</v>
      </c>
      <c r="BM19" s="23">
        <f>'Net zero Intermediate calcs'!BH37*'Net zero Intermediate calcs'!BH38*Constants!$H$25</f>
        <v>47673964.473478749</v>
      </c>
      <c r="BN19" s="23">
        <f>'Net zero Intermediate calcs'!BI37*'Net zero Intermediate calcs'!BI38*Constants!$H$25</f>
        <v>47997201.312096633</v>
      </c>
      <c r="BO19" s="23">
        <f>'Net zero Intermediate calcs'!BJ37*'Net zero Intermediate calcs'!BJ38*Constants!$H$25</f>
        <v>48222929.698696598</v>
      </c>
      <c r="BP19" s="23">
        <f>'Net zero Intermediate calcs'!BK37*'Net zero Intermediate calcs'!BK38*Constants!$H$25</f>
        <v>48419785.671116553</v>
      </c>
      <c r="BQ19">
        <v>50062195.142061464</v>
      </c>
    </row>
    <row r="20" spans="1:72" x14ac:dyDescent="0.3">
      <c r="A20" t="str">
        <f t="shared" si="1"/>
        <v>3A Livestock</v>
      </c>
      <c r="C20" t="str">
        <f>C19</f>
        <v>3A2i Poultry</v>
      </c>
      <c r="D20" t="str">
        <f>'IPCC Categories'!F51</f>
        <v>Commercial broilers</v>
      </c>
      <c r="E20" t="str">
        <f t="shared" si="2"/>
        <v>Population</v>
      </c>
      <c r="F20" t="str">
        <f t="shared" si="2"/>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'Net zero Intermediate calcs'!Y42*'Net zero Intermediate calcs'!Y43*Constants!$H$26</f>
        <v>94043391.409974933</v>
      </c>
      <c r="AE20" s="23">
        <f>'Net zero Intermediate calcs'!Z42*'Net zero Intermediate calcs'!Z43*Constants!$H$26</f>
        <v>95281774.78489992</v>
      </c>
      <c r="AF20" s="23">
        <f>'Net zero Intermediate calcs'!AA42*'Net zero Intermediate calcs'!AA43*Constants!$H$26</f>
        <v>97270973.713722661</v>
      </c>
      <c r="AG20" s="23">
        <f>'Net zero Intermediate calcs'!AB42*'Net zero Intermediate calcs'!AB43*Constants!$H$26</f>
        <v>97842130.842887625</v>
      </c>
      <c r="AH20" s="23">
        <f>'Net zero Intermediate calcs'!AC42*'Net zero Intermediate calcs'!AC43*Constants!$H$26</f>
        <v>97491901.623900309</v>
      </c>
      <c r="AI20" s="23">
        <f>'Net zero Intermediate calcs'!AD42*'Net zero Intermediate calcs'!AD43*Constants!$H$26</f>
        <v>96224012.280420944</v>
      </c>
      <c r="AJ20" s="23">
        <f>'Net zero Intermediate calcs'!AE42*'Net zero Intermediate calcs'!AE43*Constants!$H$26</f>
        <v>95690259.829558313</v>
      </c>
      <c r="AK20" s="23">
        <f>'Net zero Intermediate calcs'!AF42*'Net zero Intermediate calcs'!AF43*Constants!$H$26</f>
        <v>95277598.733681634</v>
      </c>
      <c r="AL20" s="23">
        <f>'Net zero Intermediate calcs'!AG42*'Net zero Intermediate calcs'!AG43*Constants!$H$26</f>
        <v>80314070.068301976</v>
      </c>
      <c r="AM20" s="23">
        <f>'Net zero Intermediate calcs'!AH42*'Net zero Intermediate calcs'!AH43*Constants!$H$26</f>
        <v>83494897.804747581</v>
      </c>
      <c r="AN20" s="23">
        <f>'Net zero Intermediate calcs'!AI42*'Net zero Intermediate calcs'!AI43*Constants!$H$26</f>
        <v>88571294.352633178</v>
      </c>
      <c r="AO20" s="23">
        <f>'Net zero Intermediate calcs'!AJ42*'Net zero Intermediate calcs'!AJ43*Constants!$H$26</f>
        <v>90528303.595166594</v>
      </c>
      <c r="AP20" s="23">
        <f>'Net zero Intermediate calcs'!AK42*'Net zero Intermediate calcs'!AK43*Constants!$H$26</f>
        <v>92870242.049221531</v>
      </c>
      <c r="AQ20" s="23">
        <f>'Net zero Intermediate calcs'!AL42*'Net zero Intermediate calcs'!AL43*Constants!$H$26</f>
        <v>95716091.944305658</v>
      </c>
      <c r="AR20" s="23">
        <f>'Net zero Intermediate calcs'!AM42*'Net zero Intermediate calcs'!AM43*Constants!$H$26</f>
        <v>98983973.869236231</v>
      </c>
      <c r="AS20" s="23">
        <f>'Net zero Intermediate calcs'!AN42*'Net zero Intermediate calcs'!AN43*Constants!$H$26</f>
        <v>102643511.26127146</v>
      </c>
      <c r="AT20" s="23">
        <f>'Net zero Intermediate calcs'!AO42*'Net zero Intermediate calcs'!AO43*Constants!$H$26</f>
        <v>106380760.91241254</v>
      </c>
      <c r="AU20" s="23">
        <f>'Net zero Intermediate calcs'!AP42*'Net zero Intermediate calcs'!AP43*Constants!$H$26</f>
        <v>110479379.93842682</v>
      </c>
      <c r="AV20" s="23">
        <f>'Net zero Intermediate calcs'!AQ42*'Net zero Intermediate calcs'!AQ43*Constants!$H$26</f>
        <v>114630551.08442631</v>
      </c>
      <c r="AW20" s="23">
        <f>'Net zero Intermediate calcs'!AR42*'Net zero Intermediate calcs'!AR43*Constants!$H$26</f>
        <v>119476551.14905302</v>
      </c>
      <c r="AX20" s="23">
        <f>'Net zero Intermediate calcs'!AS42*'Net zero Intermediate calcs'!AS43*Constants!$H$26</f>
        <v>124179352.25138603</v>
      </c>
      <c r="AY20" s="23">
        <f>'Net zero Intermediate calcs'!AT42*'Net zero Intermediate calcs'!AT43*Constants!$H$26</f>
        <v>129140086.56514019</v>
      </c>
      <c r="AZ20" s="23">
        <f>'Net zero Intermediate calcs'!AU42*'Net zero Intermediate calcs'!AU43*Constants!$H$26</f>
        <v>134834020.09303874</v>
      </c>
      <c r="BA20" s="23">
        <f>'Net zero Intermediate calcs'!AV42*'Net zero Intermediate calcs'!AV43*Constants!$H$26</f>
        <v>140129146.84306237</v>
      </c>
      <c r="BB20" s="23">
        <f>'Net zero Intermediate calcs'!AW42*'Net zero Intermediate calcs'!AW43*Constants!$H$26</f>
        <v>145832956.82658711</v>
      </c>
      <c r="BC20" s="23">
        <f>'Net zero Intermediate calcs'!AX42*'Net zero Intermediate calcs'!AX43*Constants!$H$26</f>
        <v>151939749.44731396</v>
      </c>
      <c r="BD20" s="23">
        <f>'Net zero Intermediate calcs'!AY42*'Net zero Intermediate calcs'!AY43*Constants!$H$26</f>
        <v>157543409.09952602</v>
      </c>
      <c r="BE20" s="23">
        <f>'Net zero Intermediate calcs'!AZ42*'Net zero Intermediate calcs'!AZ43*Constants!$H$26</f>
        <v>163058014.47828877</v>
      </c>
      <c r="BF20" s="23">
        <f>'Net zero Intermediate calcs'!BA42*'Net zero Intermediate calcs'!BA43*Constants!$H$26</f>
        <v>168503696.40872559</v>
      </c>
      <c r="BG20" s="23">
        <f>'Net zero Intermediate calcs'!BB42*'Net zero Intermediate calcs'!BB43*Constants!$H$26</f>
        <v>174555478.64995566</v>
      </c>
      <c r="BH20" s="23">
        <f>'Net zero Intermediate calcs'!BC42*'Net zero Intermediate calcs'!BC43*Constants!$H$26</f>
        <v>180281031.40218979</v>
      </c>
      <c r="BI20" s="23">
        <f>'Net zero Intermediate calcs'!BD42*'Net zero Intermediate calcs'!BD43*Constants!$H$26</f>
        <v>186215216.38282689</v>
      </c>
      <c r="BJ20" s="23">
        <f>'Net zero Intermediate calcs'!BE42*'Net zero Intermediate calcs'!BE43*Constants!$H$26</f>
        <v>192388643.71666509</v>
      </c>
      <c r="BK20" s="23">
        <f>'Net zero Intermediate calcs'!BF42*'Net zero Intermediate calcs'!BF43*Constants!$H$26</f>
        <v>198850473.36269024</v>
      </c>
      <c r="BL20" s="23">
        <f>'Net zero Intermediate calcs'!BG42*'Net zero Intermediate calcs'!BG43*Constants!$H$26</f>
        <v>205674065.16628239</v>
      </c>
      <c r="BM20" s="23">
        <f>'Net zero Intermediate calcs'!BH42*'Net zero Intermediate calcs'!BH43*Constants!$H$26</f>
        <v>206712922.07417139</v>
      </c>
      <c r="BN20" s="23">
        <f>'Net zero Intermediate calcs'!BI42*'Net zero Intermediate calcs'!BI43*Constants!$H$26</f>
        <v>207219745.78868875</v>
      </c>
      <c r="BO20" s="23">
        <f>'Net zero Intermediate calcs'!BJ42*'Net zero Intermediate calcs'!BJ43*Constants!$H$26</f>
        <v>206964662.4361454</v>
      </c>
      <c r="BP20" s="23">
        <f>'Net zero Intermediate calcs'!BK42*'Net zero Intermediate calcs'!BK43*Constants!$H$26</f>
        <v>206492684.33218193</v>
      </c>
      <c r="BQ20">
        <v>217498134.58556306</v>
      </c>
    </row>
    <row r="21" spans="1:72" x14ac:dyDescent="0.3">
      <c r="A21" t="str">
        <f t="shared" si="1"/>
        <v>3A Livestock</v>
      </c>
      <c r="C21" t="str">
        <f>C20</f>
        <v>3A2i Poultry</v>
      </c>
      <c r="D21" t="str">
        <f>'IPCC Categories'!F52</f>
        <v>Subsistence layers</v>
      </c>
      <c r="E21" t="str">
        <f t="shared" si="2"/>
        <v>Population</v>
      </c>
      <c r="F21" t="str">
        <f t="shared" si="2"/>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'Net zero Intermediate calcs'!Y37*'Net zero Intermediate calcs'!Y38*(1-Constants!$H$25)</f>
        <v>985576.74140479253</v>
      </c>
      <c r="AE21" s="23">
        <f>'Net zero Intermediate calcs'!Z37*'Net zero Intermediate calcs'!Z38*(1-Constants!$H$25)</f>
        <v>1005615.4704369217</v>
      </c>
      <c r="AF21" s="23">
        <f>'Net zero Intermediate calcs'!AA37*'Net zero Intermediate calcs'!AA38*(1-Constants!$H$25)</f>
        <v>1029038.8454892697</v>
      </c>
      <c r="AG21" s="23">
        <f>'Net zero Intermediate calcs'!AB37*'Net zero Intermediate calcs'!AB38*(1-Constants!$H$25)</f>
        <v>1047021.5467593295</v>
      </c>
      <c r="AH21" s="23">
        <f>'Net zero Intermediate calcs'!AC37*'Net zero Intermediate calcs'!AC38*(1-Constants!$H$25)</f>
        <v>1061457.1413934438</v>
      </c>
      <c r="AI21" s="23">
        <f>'Net zero Intermediate calcs'!AD37*'Net zero Intermediate calcs'!AD38*(1-Constants!$H$25)</f>
        <v>1072259.7799560239</v>
      </c>
      <c r="AJ21" s="23">
        <f>'Net zero Intermediate calcs'!AE37*'Net zero Intermediate calcs'!AE38*(1-Constants!$H$25)</f>
        <v>1086111.7444713814</v>
      </c>
      <c r="AK21" s="23">
        <f>'Net zero Intermediate calcs'!AF37*'Net zero Intermediate calcs'!AF38*(1-Constants!$H$25)</f>
        <v>1100513.9530831531</v>
      </c>
      <c r="AL21" s="23">
        <f>'Net zero Intermediate calcs'!AG37*'Net zero Intermediate calcs'!AG38*(1-Constants!$H$25)</f>
        <v>1051531.6316709092</v>
      </c>
      <c r="AM21" s="23">
        <f>'Net zero Intermediate calcs'!AH37*'Net zero Intermediate calcs'!AH38*(1-Constants!$H$25)</f>
        <v>1077704.0878310793</v>
      </c>
      <c r="AN21" s="23">
        <f>'Net zero Intermediate calcs'!AI37*'Net zero Intermediate calcs'!AI38*(1-Constants!$H$25)</f>
        <v>1112583.2197515906</v>
      </c>
      <c r="AO21" s="23">
        <f>'Net zero Intermediate calcs'!AJ37*'Net zero Intermediate calcs'!AJ38*(1-Constants!$H$25)</f>
        <v>1133914.5296716357</v>
      </c>
      <c r="AP21" s="23">
        <f>'Net zero Intermediate calcs'!AK37*'Net zero Intermediate calcs'!AK38*(1-Constants!$H$25)</f>
        <v>1157170.3405416701</v>
      </c>
      <c r="AQ21" s="23">
        <f>'Net zero Intermediate calcs'!AL37*'Net zero Intermediate calcs'!AL38*(1-Constants!$H$25)</f>
        <v>1182939.0971594839</v>
      </c>
      <c r="AR21" s="23">
        <f>'Net zero Intermediate calcs'!AM37*'Net zero Intermediate calcs'!AM38*(1-Constants!$H$25)</f>
        <v>1209554.8542121591</v>
      </c>
      <c r="AS21" s="23">
        <f>'Net zero Intermediate calcs'!AN37*'Net zero Intermediate calcs'!AN38*(1-Constants!$H$25)</f>
        <v>1238241.3725295707</v>
      </c>
      <c r="AT21" s="23">
        <f>'Net zero Intermediate calcs'!AO37*'Net zero Intermediate calcs'!AO38*(1-Constants!$H$25)</f>
        <v>1267573.0093173657</v>
      </c>
      <c r="AU21" s="23">
        <f>'Net zero Intermediate calcs'!AP37*'Net zero Intermediate calcs'!AP38*(1-Constants!$H$25)</f>
        <v>1298891.1930264749</v>
      </c>
      <c r="AV21" s="23">
        <f>'Net zero Intermediate calcs'!AQ37*'Net zero Intermediate calcs'!AQ38*(1-Constants!$H$25)</f>
        <v>1330767.1427745004</v>
      </c>
      <c r="AW21" s="23">
        <f>'Net zero Intermediate calcs'!AR37*'Net zero Intermediate calcs'!AR38*(1-Constants!$H$25)</f>
        <v>1365159.1749725263</v>
      </c>
      <c r="AX21" s="23">
        <f>'Net zero Intermediate calcs'!AS37*'Net zero Intermediate calcs'!AS38*(1-Constants!$H$25)</f>
        <v>1399196.0717395581</v>
      </c>
      <c r="AY21" s="23">
        <f>'Net zero Intermediate calcs'!AT37*'Net zero Intermediate calcs'!AT38*(1-Constants!$H$25)</f>
        <v>1434803.4685550167</v>
      </c>
      <c r="AZ21" s="23">
        <f>'Net zero Intermediate calcs'!AU37*'Net zero Intermediate calcs'!AU38*(1-Constants!$H$25)</f>
        <v>1474322.7248927702</v>
      </c>
      <c r="BA21" s="23">
        <f>'Net zero Intermediate calcs'!AV37*'Net zero Intermediate calcs'!AV38*(1-Constants!$H$25)</f>
        <v>1512262.3619401113</v>
      </c>
      <c r="BB21" s="23">
        <f>'Net zero Intermediate calcs'!AW37*'Net zero Intermediate calcs'!AW38*(1-Constants!$H$25)</f>
        <v>1551498.0877167382</v>
      </c>
      <c r="BC21" s="23">
        <f>'Net zero Intermediate calcs'!AX37*'Net zero Intermediate calcs'!AX38*(1-Constants!$H$25)</f>
        <v>1593094.2299276297</v>
      </c>
      <c r="BD21" s="23">
        <f>'Net zero Intermediate calcs'!AY37*'Net zero Intermediate calcs'!AY38*(1-Constants!$H$25)</f>
        <v>1632547.4546325472</v>
      </c>
      <c r="BE21" s="23">
        <f>'Net zero Intermediate calcs'!AZ37*'Net zero Intermediate calcs'!AZ38*(1-Constants!$H$25)</f>
        <v>1671893.1502244479</v>
      </c>
      <c r="BF21" s="23">
        <f>'Net zero Intermediate calcs'!BA37*'Net zero Intermediate calcs'!BA38*(1-Constants!$H$25)</f>
        <v>1711221.8355649379</v>
      </c>
      <c r="BG21" s="23">
        <f>'Net zero Intermediate calcs'!BB37*'Net zero Intermediate calcs'!BB38*(1-Constants!$H$25)</f>
        <v>1752947.6987124484</v>
      </c>
      <c r="BH21" s="23">
        <f>'Net zero Intermediate calcs'!BC37*'Net zero Intermediate calcs'!BC38*(1-Constants!$H$25)</f>
        <v>1793344.9611790816</v>
      </c>
      <c r="BI21" s="23">
        <f>'Net zero Intermediate calcs'!BD37*'Net zero Intermediate calcs'!BD38*(1-Constants!$H$25)</f>
        <v>1835141.1929719232</v>
      </c>
      <c r="BJ21" s="23">
        <f>'Net zero Intermediate calcs'!BE37*'Net zero Intermediate calcs'!BE38*(1-Constants!$H$25)</f>
        <v>1878510.8730113469</v>
      </c>
      <c r="BK21" s="23">
        <f>'Net zero Intermediate calcs'!BF37*'Net zero Intermediate calcs'!BF38*(1-Constants!$H$25)</f>
        <v>1923728.6569636918</v>
      </c>
      <c r="BL21" s="23">
        <f>'Net zero Intermediate calcs'!BG37*'Net zero Intermediate calcs'!BG38*(1-Constants!$H$25)</f>
        <v>1970154.0251855317</v>
      </c>
      <c r="BM21" s="23">
        <f>'Net zero Intermediate calcs'!BH37*'Net zero Intermediate calcs'!BH38*(1-Constants!$H$25)</f>
        <v>1986415.1863949499</v>
      </c>
      <c r="BN21" s="23">
        <f>'Net zero Intermediate calcs'!BI37*'Net zero Intermediate calcs'!BI38*(1-Constants!$H$25)</f>
        <v>1999883.3880040282</v>
      </c>
      <c r="BO21" s="23">
        <f>'Net zero Intermediate calcs'!BJ37*'Net zero Intermediate calcs'!BJ38*(1-Constants!$H$25)</f>
        <v>2009288.7374456932</v>
      </c>
      <c r="BP21" s="23">
        <f>'Net zero Intermediate calcs'!BK37*'Net zero Intermediate calcs'!BK38*(1-Constants!$H$25)</f>
        <v>2017491.0696298582</v>
      </c>
      <c r="BQ21">
        <v>2085924.7975858962</v>
      </c>
    </row>
    <row r="22" spans="1:72" x14ac:dyDescent="0.3">
      <c r="A22" t="str">
        <f t="shared" si="1"/>
        <v>3A Livestock</v>
      </c>
      <c r="C22" t="str">
        <f>C21</f>
        <v>3A2i Poultry</v>
      </c>
      <c r="D22" t="str">
        <f>'IPCC Categories'!F53</f>
        <v>Subsistence broilers</v>
      </c>
      <c r="E22" t="str">
        <f t="shared" si="2"/>
        <v>Population</v>
      </c>
      <c r="F22" t="str">
        <f t="shared" si="2"/>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'Net zero Intermediate calcs'!Y42*'Net zero Intermediate calcs'!Y43*(1-Constants!$H$26)</f>
        <v>3918474.6420822921</v>
      </c>
      <c r="AE22" s="23">
        <f>'Net zero Intermediate calcs'!Z42*'Net zero Intermediate calcs'!Z43*(1-Constants!$H$26)</f>
        <v>3970073.9493708336</v>
      </c>
      <c r="AF22" s="23">
        <f>'Net zero Intermediate calcs'!AA42*'Net zero Intermediate calcs'!AA43*(1-Constants!$H$26)</f>
        <v>4052957.2380717816</v>
      </c>
      <c r="AG22" s="23">
        <f>'Net zero Intermediate calcs'!AB42*'Net zero Intermediate calcs'!AB43*(1-Constants!$H$26)</f>
        <v>4076755.4517869884</v>
      </c>
      <c r="AH22" s="23">
        <f>'Net zero Intermediate calcs'!AC42*'Net zero Intermediate calcs'!AC43*(1-Constants!$H$26)</f>
        <v>4062162.5676625171</v>
      </c>
      <c r="AI22" s="23">
        <f>'Net zero Intermediate calcs'!AD42*'Net zero Intermediate calcs'!AD43*(1-Constants!$H$26)</f>
        <v>4009333.8450175426</v>
      </c>
      <c r="AJ22" s="23">
        <f>'Net zero Intermediate calcs'!AE42*'Net zero Intermediate calcs'!AE43*(1-Constants!$H$26)</f>
        <v>3987094.1595649333</v>
      </c>
      <c r="AK22" s="23">
        <f>'Net zero Intermediate calcs'!AF42*'Net zero Intermediate calcs'!AF43*(1-Constants!$H$26)</f>
        <v>3969899.9472367382</v>
      </c>
      <c r="AL22" s="23">
        <f>'Net zero Intermediate calcs'!AG42*'Net zero Intermediate calcs'!AG43*(1-Constants!$H$26)</f>
        <v>3346419.5861792522</v>
      </c>
      <c r="AM22" s="23">
        <f>'Net zero Intermediate calcs'!AH42*'Net zero Intermediate calcs'!AH43*(1-Constants!$H$26)</f>
        <v>3478954.0751978192</v>
      </c>
      <c r="AN22" s="23">
        <f>'Net zero Intermediate calcs'!AI42*'Net zero Intermediate calcs'!AI43*(1-Constants!$H$26)</f>
        <v>3690470.5980263855</v>
      </c>
      <c r="AO22" s="23">
        <f>'Net zero Intermediate calcs'!AJ42*'Net zero Intermediate calcs'!AJ43*(1-Constants!$H$26)</f>
        <v>3772012.6497986116</v>
      </c>
      <c r="AP22" s="23">
        <f>'Net zero Intermediate calcs'!AK42*'Net zero Intermediate calcs'!AK43*(1-Constants!$H$26)</f>
        <v>3869593.4187175673</v>
      </c>
      <c r="AQ22" s="23">
        <f>'Net zero Intermediate calcs'!AL42*'Net zero Intermediate calcs'!AL43*(1-Constants!$H$26)</f>
        <v>3988170.4976794063</v>
      </c>
      <c r="AR22" s="23">
        <f>'Net zero Intermediate calcs'!AM42*'Net zero Intermediate calcs'!AM43*(1-Constants!$H$26)</f>
        <v>4124332.2445515133</v>
      </c>
      <c r="AS22" s="23">
        <f>'Net zero Intermediate calcs'!AN42*'Net zero Intermediate calcs'!AN43*(1-Constants!$H$26)</f>
        <v>4276812.9692196483</v>
      </c>
      <c r="AT22" s="23">
        <f>'Net zero Intermediate calcs'!AO42*'Net zero Intermediate calcs'!AO43*(1-Constants!$H$26)</f>
        <v>4432531.7046838598</v>
      </c>
      <c r="AU22" s="23">
        <f>'Net zero Intermediate calcs'!AP42*'Net zero Intermediate calcs'!AP43*(1-Constants!$H$26)</f>
        <v>4603307.497434455</v>
      </c>
      <c r="AV22" s="23">
        <f>'Net zero Intermediate calcs'!AQ42*'Net zero Intermediate calcs'!AQ43*(1-Constants!$H$26)</f>
        <v>4776272.9618511014</v>
      </c>
      <c r="AW22" s="23">
        <f>'Net zero Intermediate calcs'!AR42*'Net zero Intermediate calcs'!AR43*(1-Constants!$H$26)</f>
        <v>4978189.6312105469</v>
      </c>
      <c r="AX22" s="23">
        <f>'Net zero Intermediate calcs'!AS42*'Net zero Intermediate calcs'!AS43*(1-Constants!$H$26)</f>
        <v>5174139.677141089</v>
      </c>
      <c r="AY22" s="23">
        <f>'Net zero Intermediate calcs'!AT42*'Net zero Intermediate calcs'!AT43*(1-Constants!$H$26)</f>
        <v>5380836.9402141795</v>
      </c>
      <c r="AZ22" s="23">
        <f>'Net zero Intermediate calcs'!AU42*'Net zero Intermediate calcs'!AU43*(1-Constants!$H$26)</f>
        <v>5618084.170543286</v>
      </c>
      <c r="BA22" s="23">
        <f>'Net zero Intermediate calcs'!AV42*'Net zero Intermediate calcs'!AV43*(1-Constants!$H$26)</f>
        <v>5838714.4517942704</v>
      </c>
      <c r="BB22" s="23">
        <f>'Net zero Intermediate calcs'!AW42*'Net zero Intermediate calcs'!AW43*(1-Constants!$H$26)</f>
        <v>6076373.2011078019</v>
      </c>
      <c r="BC22" s="23">
        <f>'Net zero Intermediate calcs'!AX42*'Net zero Intermediate calcs'!AX43*(1-Constants!$H$26)</f>
        <v>6330822.8936380874</v>
      </c>
      <c r="BD22" s="23">
        <f>'Net zero Intermediate calcs'!AY42*'Net zero Intermediate calcs'!AY43*(1-Constants!$H$26)</f>
        <v>6564308.7124802563</v>
      </c>
      <c r="BE22" s="23">
        <f>'Net zero Intermediate calcs'!AZ42*'Net zero Intermediate calcs'!AZ43*(1-Constants!$H$26)</f>
        <v>6794083.9365953719</v>
      </c>
      <c r="BF22" s="23">
        <f>'Net zero Intermediate calcs'!BA42*'Net zero Intermediate calcs'!BA43*(1-Constants!$H$26)</f>
        <v>7020987.3503635731</v>
      </c>
      <c r="BG22" s="23">
        <f>'Net zero Intermediate calcs'!BB42*'Net zero Intermediate calcs'!BB43*(1-Constants!$H$26)</f>
        <v>7273144.9437481584</v>
      </c>
      <c r="BH22" s="23">
        <f>'Net zero Intermediate calcs'!BC42*'Net zero Intermediate calcs'!BC43*(1-Constants!$H$26)</f>
        <v>7511709.6417579148</v>
      </c>
      <c r="BI22" s="23">
        <f>'Net zero Intermediate calcs'!BD42*'Net zero Intermediate calcs'!BD43*(1-Constants!$H$26)</f>
        <v>7758967.3492844617</v>
      </c>
      <c r="BJ22" s="23">
        <f>'Net zero Intermediate calcs'!BE42*'Net zero Intermediate calcs'!BE43*(1-Constants!$H$26)</f>
        <v>8016193.4881943855</v>
      </c>
      <c r="BK22" s="23">
        <f>'Net zero Intermediate calcs'!BF42*'Net zero Intermediate calcs'!BF43*(1-Constants!$H$26)</f>
        <v>8285436.3901121011</v>
      </c>
      <c r="BL22" s="23">
        <f>'Net zero Intermediate calcs'!BG42*'Net zero Intermediate calcs'!BG43*(1-Constants!$H$26)</f>
        <v>8569752.7152617741</v>
      </c>
      <c r="BM22" s="23">
        <f>'Net zero Intermediate calcs'!BH42*'Net zero Intermediate calcs'!BH43*(1-Constants!$H$26)</f>
        <v>8613038.4197571501</v>
      </c>
      <c r="BN22" s="23">
        <f>'Net zero Intermediate calcs'!BI42*'Net zero Intermediate calcs'!BI43*(1-Constants!$H$26)</f>
        <v>8634156.0745287053</v>
      </c>
      <c r="BO22" s="23">
        <f>'Net zero Intermediate calcs'!BJ42*'Net zero Intermediate calcs'!BJ43*(1-Constants!$H$26)</f>
        <v>8623527.6015060656</v>
      </c>
      <c r="BP22" s="23">
        <f>'Net zero Intermediate calcs'!BK42*'Net zero Intermediate calcs'!BK43*(1-Constants!$H$26)</f>
        <v>8603861.8471742552</v>
      </c>
      <c r="BQ22">
        <v>9062422.2743984703</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42">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34" si="43">A24</f>
        <v>3C Aggregated and non-CO2 emissions on land</v>
      </c>
      <c r="B25" t="str">
        <f t="shared" si="43"/>
        <v>3C1 Biomass burning (CH4)</v>
      </c>
      <c r="C25" t="str">
        <f t="shared" si="43"/>
        <v>3C1a Biomass burning in forest land</v>
      </c>
      <c r="D25" t="s">
        <v>347</v>
      </c>
      <c r="E25" t="str">
        <f t="shared" si="42"/>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43"/>
        <v>3C Aggregated and non-CO2 emissions on land</v>
      </c>
      <c r="B26" t="str">
        <f t="shared" si="43"/>
        <v>3C1 Biomass burning (CH4)</v>
      </c>
      <c r="C26" t="str">
        <f t="shared" si="43"/>
        <v>3C1a Biomass burning in forest land</v>
      </c>
      <c r="D26" t="s">
        <v>348</v>
      </c>
      <c r="E26" t="str">
        <f t="shared" si="42"/>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43"/>
        <v>3C Aggregated and non-CO2 emissions on land</v>
      </c>
      <c r="B27" t="str">
        <f t="shared" si="43"/>
        <v>3C1 Biomass burning (CH4)</v>
      </c>
      <c r="C27" t="str">
        <f t="shared" si="43"/>
        <v>3C1a Biomass burning in forest land</v>
      </c>
      <c r="D27" t="s">
        <v>349</v>
      </c>
      <c r="E27" t="str">
        <f t="shared" si="42"/>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si="43"/>
        <v>3C Aggregated and non-CO2 emissions on land</v>
      </c>
      <c r="B28" t="str">
        <f t="shared" si="43"/>
        <v>3C1 Biomass burning (CH4)</v>
      </c>
      <c r="C28" t="str">
        <f>'IPCC Categories'!C60</f>
        <v>3C1b Biomass burning in Croplands</v>
      </c>
      <c r="D28" t="s">
        <v>350</v>
      </c>
      <c r="E28" t="str">
        <f t="shared" si="42"/>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43"/>
        <v>3C Aggregated and non-CO2 emissions on land</v>
      </c>
      <c r="B29" t="str">
        <f t="shared" si="43"/>
        <v>3C1 Biomass burning (CH4)</v>
      </c>
      <c r="C29" t="str">
        <f>C28</f>
        <v>3C1b Biomass burning in Croplands</v>
      </c>
      <c r="D29" t="s">
        <v>351</v>
      </c>
      <c r="E29" t="str">
        <f t="shared" si="42"/>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43"/>
        <v>3C Aggregated and non-CO2 emissions on land</v>
      </c>
      <c r="B30" t="str">
        <f t="shared" si="43"/>
        <v>3C1 Biomass burning (CH4)</v>
      </c>
      <c r="C30" t="str">
        <f>C29</f>
        <v>3C1b Biomass burning in Croplands</v>
      </c>
      <c r="D30" t="s">
        <v>352</v>
      </c>
      <c r="E30" t="str">
        <f t="shared" si="42"/>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43"/>
        <v>3C Aggregated and non-CO2 emissions on land</v>
      </c>
      <c r="B31" t="str">
        <f t="shared" si="43"/>
        <v>3C1 Biomass burning (CH4)</v>
      </c>
      <c r="C31" t="str">
        <f>C30</f>
        <v>3C1b Biomass burning in Croplands</v>
      </c>
      <c r="D31" t="s">
        <v>353</v>
      </c>
      <c r="E31" t="str">
        <f t="shared" si="42"/>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43"/>
        <v>3C Aggregated and non-CO2 emissions on land</v>
      </c>
      <c r="B32" t="str">
        <f t="shared" si="43"/>
        <v>3C1 Biomass burning (CH4)</v>
      </c>
      <c r="C32" t="str">
        <f>C31</f>
        <v>3C1b Biomass burning in Croplands</v>
      </c>
      <c r="D32" t="s">
        <v>354</v>
      </c>
      <c r="E32" t="str">
        <f t="shared" si="42"/>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43"/>
        <v>3C Aggregated and non-CO2 emissions on land</v>
      </c>
      <c r="B33" t="str">
        <f t="shared" si="43"/>
        <v>3C1 Biomass burning (CH4)</v>
      </c>
      <c r="C33" t="str">
        <f>'IPCC Categories'!C61</f>
        <v>3C1c Biomass burning in Grasslands</v>
      </c>
      <c r="D33" t="s">
        <v>355</v>
      </c>
      <c r="E33" t="str">
        <f t="shared" si="42"/>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43"/>
        <v>3C Aggregated and non-CO2 emissions on land</v>
      </c>
      <c r="B34" t="str">
        <f t="shared" si="43"/>
        <v>3C1 Biomass burning (CH4)</v>
      </c>
      <c r="C34" t="str">
        <f>C33</f>
        <v>3C1c Biomass burning in Grasslands</v>
      </c>
      <c r="D34" t="s">
        <v>356</v>
      </c>
      <c r="E34" t="str">
        <f t="shared" si="42"/>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42"/>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42"/>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44">A36</f>
        <v>3C Aggregated and non-CO2 emissions on land</v>
      </c>
      <c r="B37" t="str">
        <f t="shared" si="44"/>
        <v>3C1 Biomass burning (CH4)</v>
      </c>
      <c r="C37" t="str">
        <f>'IPCC Categories'!C63</f>
        <v>3C1e Biomass burning in Settlements</v>
      </c>
      <c r="D37" t="s">
        <v>357</v>
      </c>
      <c r="E37" t="str">
        <f t="shared" si="42"/>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44"/>
        <v>3C Aggregated and non-CO2 emissions on land</v>
      </c>
      <c r="B38" t="str">
        <f t="shared" si="44"/>
        <v>3C1 Biomass burning (CH4)</v>
      </c>
      <c r="C38" t="str">
        <f>C37</f>
        <v>3C1e Biomass burning in Settlements</v>
      </c>
      <c r="D38" t="s">
        <v>358</v>
      </c>
      <c r="E38" t="str">
        <f t="shared" si="42"/>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44"/>
        <v>3C Aggregated and non-CO2 emissions on land</v>
      </c>
      <c r="B39" t="str">
        <f t="shared" si="44"/>
        <v>3C1 Biomass burning (CH4)</v>
      </c>
      <c r="C39" t="str">
        <f>'IPCC Categories'!C64</f>
        <v>3C1f Biomass burning in Other lands</v>
      </c>
      <c r="D39" t="s">
        <v>359</v>
      </c>
      <c r="E39" t="str">
        <f t="shared" si="42"/>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((Data!$AJ$42*LN('Net zero Intermediate calcs'!X60))+Data!$AK$42)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3529166.4271480162</v>
      </c>
      <c r="AN41" s="22">
        <f>((Data!$AJ$42*LN('Intermediate calculations'!AH60))+Data!$AK$42)</f>
        <v>3546270.8298196383</v>
      </c>
      <c r="AO41" s="22">
        <f>((Data!$AJ$42*LN('Intermediate calculations'!AI60))+Data!$AK$42)</f>
        <v>3569615.4404246323</v>
      </c>
      <c r="AP41" s="22">
        <f>((Data!$AJ$42*LN('Intermediate calculations'!AJ60))+Data!$AK$42)</f>
        <v>3582160.0846004635</v>
      </c>
      <c r="AQ41" s="22">
        <f>((Data!$AJ$42*LN('Intermediate calculations'!AK60))+Data!$AK$42)</f>
        <v>3595880.3405040652</v>
      </c>
      <c r="AR41" s="22">
        <f>((Data!$AJ$42*LN('Intermediate calculations'!AL60))+Data!$AK$42)</f>
        <v>3611134.5632110536</v>
      </c>
      <c r="AS41" s="22">
        <f>((Data!$AJ$42*LN('Intermediate calculations'!AM60))+Data!$AK$42)</f>
        <v>3627147.1559278443</v>
      </c>
      <c r="AT41" s="22">
        <f>((Data!$AJ$42*LN('Intermediate calculations'!AN60))+Data!$AK$42)</f>
        <v>3644236.4395725913</v>
      </c>
      <c r="AU41" s="22">
        <f>((Data!$AJ$42*LN('Intermediate calculations'!AO60))+Data!$AK$42)</f>
        <v>3661362.600325441</v>
      </c>
      <c r="AV41" s="22">
        <f>((Data!$AJ$42*LN('Intermediate calculations'!AP60))+Data!$AK$42)</f>
        <v>3679400.1141631156</v>
      </c>
      <c r="AW41" s="22">
        <f>((Data!$AJ$42*LN('Intermediate calculations'!AQ60))+Data!$AK$42)</f>
        <v>3697357.1706347931</v>
      </c>
      <c r="AX41" s="22">
        <f>((Data!$AJ$42*LN('Intermediate calculations'!AR60))+Data!$AK$42)</f>
        <v>3716825.6131215878</v>
      </c>
      <c r="AY41" s="22">
        <f>((Data!$AJ$42*LN('Intermediate calculations'!AS60))+Data!$AK$42)</f>
        <v>3735576.4548132215</v>
      </c>
      <c r="AZ41" s="22">
        <f>((Data!$AJ$42*LN('Intermediate calculations'!AT60))+Data!$AK$42)</f>
        <v>3754801.9136793837</v>
      </c>
      <c r="BA41" s="22">
        <f>((Data!$AJ$42*LN('Intermediate calculations'!AU60))+Data!$AK$42)</f>
        <v>3775819.8481446952</v>
      </c>
      <c r="BB41" s="22">
        <f>((Data!$AJ$42*LN('Intermediate calculations'!AV60))+Data!$AK$42)</f>
        <v>3795364.8263388891</v>
      </c>
      <c r="BC41" s="22">
        <f>((Data!$AJ$42*LN('Intermediate calculations'!AW60))+Data!$AK$42)</f>
        <v>3815433.6028827671</v>
      </c>
      <c r="BD41" s="22">
        <f>((Data!$AJ$42*LN('Intermediate calculations'!AX60))+Data!$AK$42)</f>
        <v>3836250.2997946851</v>
      </c>
      <c r="BE41" s="22">
        <f>((Data!$AJ$42*LN('Intermediate calculations'!AY60))+Data!$AK$42)</f>
        <v>3855382.0807021372</v>
      </c>
      <c r="BF41" s="22">
        <f>((Data!$AJ$42*LN('Intermediate calculations'!AZ60))+Data!$AK$42)</f>
        <v>3873982.0602689441</v>
      </c>
      <c r="BG41" s="22">
        <f>((Data!$AJ$42*LN('Intermediate calculations'!BA60))+Data!$AK$42)</f>
        <v>3892122.1545698177</v>
      </c>
      <c r="BH41" s="22">
        <f>((Data!$AJ$42*LN('Intermediate calculations'!BB60))+Data!$AK$42)</f>
        <v>3911262.6125641726</v>
      </c>
      <c r="BI41" s="22">
        <f>((Data!$AJ$42*LN('Intermediate calculations'!BC60))+Data!$AK$42)</f>
        <v>3929296.7865376845</v>
      </c>
      <c r="BJ41" s="22">
        <f>((Data!$AJ$42*LN('Intermediate calculations'!BD60))+Data!$AK$42)</f>
        <v>3947561.2451422345</v>
      </c>
      <c r="BK41" s="22">
        <f>((Data!$AJ$42*LN('Intermediate calculations'!BE60))+Data!$AK$42)</f>
        <v>3966109.5199365783</v>
      </c>
      <c r="BL41" s="22">
        <f>((Data!$AJ$42*LN('Intermediate calculations'!BF60))+Data!$AK$42)</f>
        <v>3985033.2236568704</v>
      </c>
      <c r="BM41" s="22">
        <f>((Data!$AJ$42*LN('Intermediate calculations'!BG60))+Data!$AK$42)</f>
        <v>4004253.4062462822</v>
      </c>
      <c r="BN41" s="22">
        <f>((Data!$AJ$42*LN('Intermediate calculations'!BH60))+Data!$AK$42)</f>
        <v>4010159.084837364</v>
      </c>
      <c r="BO41" s="22">
        <f>((Data!$AJ$42*LN('Intermediate calculations'!BI60))+Data!$AK$42)</f>
        <v>4014823.6244577486</v>
      </c>
      <c r="BP41" s="22">
        <f>((Data!$AJ$42*LN('Intermediate calculations'!BJ60))+Data!$AK$42)</f>
        <v>4017729.6322231963</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BP42" si="45">AD42</f>
        <v>492000</v>
      </c>
      <c r="AF42" s="22">
        <f t="shared" si="45"/>
        <v>492000</v>
      </c>
      <c r="AG42" s="22">
        <f t="shared" si="45"/>
        <v>492000</v>
      </c>
      <c r="AH42" s="22">
        <f t="shared" si="45"/>
        <v>492000</v>
      </c>
      <c r="AI42" s="22">
        <f t="shared" si="45"/>
        <v>492000</v>
      </c>
      <c r="AJ42" s="22">
        <f t="shared" si="45"/>
        <v>492000</v>
      </c>
      <c r="AK42" s="22">
        <f t="shared" si="45"/>
        <v>492000</v>
      </c>
      <c r="AL42" s="22">
        <f t="shared" si="45"/>
        <v>492000</v>
      </c>
      <c r="AM42" s="22">
        <f t="shared" si="45"/>
        <v>492000</v>
      </c>
      <c r="AN42" s="22">
        <f t="shared" si="45"/>
        <v>492000</v>
      </c>
      <c r="AO42" s="22">
        <f t="shared" si="45"/>
        <v>492000</v>
      </c>
      <c r="AP42" s="22">
        <f t="shared" si="45"/>
        <v>492000</v>
      </c>
      <c r="AQ42" s="22">
        <f t="shared" si="45"/>
        <v>492000</v>
      </c>
      <c r="AR42" s="22">
        <f t="shared" si="45"/>
        <v>492000</v>
      </c>
      <c r="AS42" s="22">
        <f t="shared" si="45"/>
        <v>492000</v>
      </c>
      <c r="AT42" s="22">
        <f t="shared" si="45"/>
        <v>492000</v>
      </c>
      <c r="AU42" s="22">
        <f t="shared" si="45"/>
        <v>492000</v>
      </c>
      <c r="AV42" s="22">
        <f t="shared" si="45"/>
        <v>492000</v>
      </c>
      <c r="AW42" s="22">
        <f t="shared" si="45"/>
        <v>492000</v>
      </c>
      <c r="AX42" s="22">
        <f t="shared" si="45"/>
        <v>492000</v>
      </c>
      <c r="AY42" s="22">
        <f t="shared" si="45"/>
        <v>492000</v>
      </c>
      <c r="AZ42" s="22">
        <f t="shared" si="45"/>
        <v>492000</v>
      </c>
      <c r="BA42" s="22">
        <f t="shared" si="45"/>
        <v>492000</v>
      </c>
      <c r="BB42" s="22">
        <f t="shared" si="45"/>
        <v>492000</v>
      </c>
      <c r="BC42" s="22">
        <f t="shared" si="45"/>
        <v>492000</v>
      </c>
      <c r="BD42" s="22">
        <f t="shared" si="45"/>
        <v>492000</v>
      </c>
      <c r="BE42" s="22">
        <f t="shared" si="45"/>
        <v>492000</v>
      </c>
      <c r="BF42" s="22">
        <f t="shared" si="45"/>
        <v>492000</v>
      </c>
      <c r="BG42" s="22">
        <f t="shared" si="45"/>
        <v>492000</v>
      </c>
      <c r="BH42" s="22">
        <f t="shared" si="45"/>
        <v>492000</v>
      </c>
      <c r="BI42" s="22">
        <f t="shared" si="45"/>
        <v>492000</v>
      </c>
      <c r="BJ42" s="22">
        <f t="shared" si="45"/>
        <v>492000</v>
      </c>
      <c r="BK42" s="22">
        <f t="shared" si="45"/>
        <v>492000</v>
      </c>
      <c r="BL42" s="22">
        <f t="shared" si="45"/>
        <v>492000</v>
      </c>
      <c r="BM42" s="22">
        <f t="shared" si="45"/>
        <v>492000</v>
      </c>
      <c r="BN42" s="22">
        <f t="shared" si="45"/>
        <v>492000</v>
      </c>
      <c r="BO42" s="22">
        <f t="shared" si="45"/>
        <v>492000</v>
      </c>
      <c r="BP42" s="22">
        <f t="shared" si="4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46">AD45*(AE41/AD41)</f>
        <v>1937719.2252643446</v>
      </c>
      <c r="AF45" s="22">
        <f t="shared" si="46"/>
        <v>1944337.150863945</v>
      </c>
      <c r="AG45" s="22">
        <f t="shared" si="46"/>
        <v>1952247.2172823341</v>
      </c>
      <c r="AH45" s="22">
        <f t="shared" si="46"/>
        <v>1957590.8005033913</v>
      </c>
      <c r="AI45" s="22">
        <f t="shared" si="46"/>
        <v>1961268.1115766452</v>
      </c>
      <c r="AJ45" s="22">
        <f t="shared" si="46"/>
        <v>1963281.7966757091</v>
      </c>
      <c r="AK45" s="22">
        <f t="shared" si="46"/>
        <v>1966539.5694985471</v>
      </c>
      <c r="AL45" s="22">
        <f t="shared" si="46"/>
        <v>1969961.6174078276</v>
      </c>
      <c r="AM45" s="22">
        <f t="shared" si="46"/>
        <v>1946174.7436795847</v>
      </c>
      <c r="AN45" s="22">
        <f t="shared" si="46"/>
        <v>1955607.0436780117</v>
      </c>
      <c r="AO45" s="22">
        <f t="shared" si="46"/>
        <v>1968480.5344862049</v>
      </c>
      <c r="AP45" s="22">
        <f t="shared" si="46"/>
        <v>1975398.3350964694</v>
      </c>
      <c r="AQ45" s="22">
        <f t="shared" si="46"/>
        <v>1982964.4320963179</v>
      </c>
      <c r="AR45" s="22">
        <f t="shared" si="46"/>
        <v>1991376.4420084702</v>
      </c>
      <c r="AS45" s="22">
        <f t="shared" si="46"/>
        <v>2000206.6584829676</v>
      </c>
      <c r="AT45" s="22">
        <f t="shared" si="46"/>
        <v>2009630.6210258338</v>
      </c>
      <c r="AU45" s="22">
        <f t="shared" si="46"/>
        <v>2019074.9196162883</v>
      </c>
      <c r="AV45" s="22">
        <f t="shared" si="46"/>
        <v>2029021.7879758009</v>
      </c>
      <c r="AW45" s="22">
        <f t="shared" si="46"/>
        <v>2038924.2877579518</v>
      </c>
      <c r="AX45" s="22">
        <f t="shared" si="46"/>
        <v>2049660.2481748704</v>
      </c>
      <c r="AY45" s="22">
        <f t="shared" si="46"/>
        <v>2060000.4843967368</v>
      </c>
      <c r="AZ45" s="22">
        <f t="shared" si="46"/>
        <v>2070602.4504001401</v>
      </c>
      <c r="BA45" s="22">
        <f t="shared" si="46"/>
        <v>2082192.8851572105</v>
      </c>
      <c r="BB45" s="22">
        <f t="shared" si="46"/>
        <v>2092971.0515351696</v>
      </c>
      <c r="BC45" s="22">
        <f t="shared" si="46"/>
        <v>2104038.0688755242</v>
      </c>
      <c r="BD45" s="22">
        <f t="shared" si="46"/>
        <v>2115517.5302761439</v>
      </c>
      <c r="BE45" s="22">
        <f t="shared" si="46"/>
        <v>2126067.8371467055</v>
      </c>
      <c r="BF45" s="22">
        <f t="shared" si="46"/>
        <v>2136324.87976941</v>
      </c>
      <c r="BG45" s="22">
        <f t="shared" si="46"/>
        <v>2146328.3165880172</v>
      </c>
      <c r="BH45" s="22">
        <f t="shared" si="46"/>
        <v>2156883.4084772868</v>
      </c>
      <c r="BI45" s="22">
        <f t="shared" si="46"/>
        <v>2166828.4350536438</v>
      </c>
      <c r="BJ45" s="22">
        <f t="shared" si="46"/>
        <v>2176900.4531284282</v>
      </c>
      <c r="BK45" s="22">
        <f t="shared" si="46"/>
        <v>2187128.9829211566</v>
      </c>
      <c r="BL45" s="22">
        <f t="shared" si="46"/>
        <v>2197564.5446883785</v>
      </c>
      <c r="BM45" s="22">
        <f t="shared" si="46"/>
        <v>2208163.6010651705</v>
      </c>
      <c r="BN45" s="22">
        <f t="shared" si="46"/>
        <v>2211420.3141603195</v>
      </c>
      <c r="BO45" s="22">
        <f t="shared" si="46"/>
        <v>2213992.5955722285</v>
      </c>
      <c r="BP45" s="22">
        <f t="shared" si="46"/>
        <v>2215595.1266613109</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((Data!$AJ$48*'Net zero Activity data'!AD47)+Data!$AK$48)</f>
        <v>641039.33073872479</v>
      </c>
      <c r="AE46" s="22">
        <f>((Data!$AJ$48*'Net zero Activity data'!AE47)+Data!$AK$48)</f>
        <v>640982.48917004955</v>
      </c>
      <c r="AF46" s="22">
        <f>((Data!$AJ$48*'Net zero Activity data'!AF47)+Data!$AK$48)</f>
        <v>640878.27407509403</v>
      </c>
      <c r="AG46" s="22">
        <f>((Data!$AJ$48*'Net zero Activity data'!AG47)+Data!$AK$48)</f>
        <v>640753.71112700854</v>
      </c>
      <c r="AH46" s="22">
        <f>((Data!$AJ$48*'Net zero Activity data'!AH47)+Data!$AK$48)</f>
        <v>640669.56360609678</v>
      </c>
      <c r="AI46" s="22">
        <f>((Data!$AJ$48*'Net zero Activity data'!AI47)+Data!$AK$48)</f>
        <v>640611.65553250001</v>
      </c>
      <c r="AJ46" s="22">
        <f>((Data!$AJ$48*'Net zero Activity data'!AJ47)+Data!$AK$48)</f>
        <v>640579.94523587439</v>
      </c>
      <c r="AK46" s="22">
        <f>((Data!$AJ$48*'Net zero Activity data'!AK47)+Data!$AK$48)</f>
        <v>640528.64379723382</v>
      </c>
      <c r="AL46" s="22">
        <f>((Data!$AJ$48*'Net zero Activity data'!AL47)+Data!$AK$48)</f>
        <v>640474.75545375817</v>
      </c>
      <c r="AM46" s="22">
        <f>((Data!$AJ$48*'Net zero Activity data'!AM47)+Data!$AK$48)</f>
        <v>640849.3367733839</v>
      </c>
      <c r="AN46" s="22">
        <f>((Data!$AJ$48*'Net zero Activity data'!AN47)+Data!$AK$48)</f>
        <v>640700.80261034577</v>
      </c>
      <c r="AO46" s="22">
        <f>((Data!$AJ$48*'Net zero Activity data'!AO47)+Data!$AK$48)</f>
        <v>640498.07865299797</v>
      </c>
      <c r="AP46" s="22">
        <f>((Data!$AJ$48*'Net zero Activity data'!AP47)+Data!$AK$48)</f>
        <v>640389.14130750636</v>
      </c>
      <c r="AQ46" s="22">
        <f>((Data!$AJ$48*'Net zero Activity data'!AQ47)+Data!$AK$48)</f>
        <v>640269.99498205818</v>
      </c>
      <c r="AR46" s="22">
        <f>((Data!$AJ$48*'Net zero Activity data'!AR47)+Data!$AK$48)</f>
        <v>640137.52773101896</v>
      </c>
      <c r="AS46" s="22">
        <f>((Data!$AJ$48*'Net zero Activity data'!AS47)+Data!$AK$48)</f>
        <v>639998.47481564269</v>
      </c>
      <c r="AT46" s="22">
        <f>((Data!$AJ$48*'Net zero Activity data'!AT47)+Data!$AK$48)</f>
        <v>639850.07194581884</v>
      </c>
      <c r="AU46" s="22">
        <f>((Data!$AJ$48*'Net zero Activity data'!AU47)+Data!$AK$48)</f>
        <v>639701.34883620101</v>
      </c>
      <c r="AV46" s="22">
        <f>((Data!$AJ$48*'Net zero Activity data'!AV47)+Data!$AK$48)</f>
        <v>639544.71156142431</v>
      </c>
      <c r="AW46" s="22">
        <f>((Data!$AJ$48*'Net zero Activity data'!AW47)+Data!$AK$48)</f>
        <v>639388.77297620429</v>
      </c>
      <c r="AX46" s="22">
        <f>((Data!$AJ$48*'Net zero Activity data'!AX47)+Data!$AK$48)</f>
        <v>639219.70955633826</v>
      </c>
      <c r="AY46" s="22">
        <f>((Data!$AJ$48*'Net zero Activity data'!AY47)+Data!$AK$48)</f>
        <v>639056.87776206888</v>
      </c>
      <c r="AZ46" s="22">
        <f>((Data!$AJ$48*'Net zero Activity data'!AZ47)+Data!$AK$48)</f>
        <v>638889.92440529109</v>
      </c>
      <c r="BA46" s="22">
        <f>((Data!$AJ$48*'Net zero Activity data'!BA47)+Data!$AK$48)</f>
        <v>638707.40523963945</v>
      </c>
      <c r="BB46" s="22">
        <f>((Data!$AJ$48*'Net zero Activity data'!BB47)+Data!$AK$48)</f>
        <v>638537.67718579236</v>
      </c>
      <c r="BC46" s="22">
        <f>((Data!$AJ$48*'Net zero Activity data'!BC47)+Data!$AK$48)</f>
        <v>638363.40048146248</v>
      </c>
      <c r="BD46" s="22">
        <f>((Data!$AJ$48*'Net zero Activity data'!BD47)+Data!$AK$48)</f>
        <v>638182.62885719771</v>
      </c>
      <c r="BE46" s="22">
        <f>((Data!$AJ$48*'Net zero Activity data'!BE47)+Data!$AK$48)</f>
        <v>638016.48899724043</v>
      </c>
      <c r="BF46" s="22">
        <f>((Data!$AJ$48*'Net zero Activity data'!BF47)+Data!$AK$48)</f>
        <v>637854.96728551982</v>
      </c>
      <c r="BG46" s="22">
        <f>((Data!$AJ$48*'Net zero Activity data'!BG47)+Data!$AK$48)</f>
        <v>637697.43920481799</v>
      </c>
      <c r="BH46" s="22">
        <f>((Data!$AJ$48*'Net zero Activity data'!BH47)+Data!$AK$48)</f>
        <v>637531.22399327648</v>
      </c>
      <c r="BI46" s="22">
        <f>((Data!$AJ$48*'Net zero Activity data'!BI47)+Data!$AK$48)</f>
        <v>637374.61572178837</v>
      </c>
      <c r="BJ46" s="22">
        <f>((Data!$AJ$48*'Net zero Activity data'!BJ47)+Data!$AK$48)</f>
        <v>637216.0076648891</v>
      </c>
      <c r="BK46" s="22">
        <f>((Data!$AJ$48*'Net zero Activity data'!BK47)+Data!$AK$48)</f>
        <v>637054.93495599239</v>
      </c>
      <c r="BL46" s="22">
        <f>((Data!$AJ$48*'Net zero Activity data'!BL47)+Data!$AK$48)</f>
        <v>636890.60203261371</v>
      </c>
      <c r="BM46" s="22">
        <f>((Data!$AJ$48*'Net zero Activity data'!BM47)+Data!$AK$48)</f>
        <v>636723.69449487829</v>
      </c>
      <c r="BN46" s="22">
        <f>((Data!$AJ$48*'Net zero Activity data'!BN47)+Data!$AK$48)</f>
        <v>636672.40974418935</v>
      </c>
      <c r="BO46" s="22">
        <f>((Data!$AJ$48*'Net zero Activity data'!BO47)+Data!$AK$48)</f>
        <v>636631.9030102347</v>
      </c>
      <c r="BP46" s="22">
        <f>((Data!$AJ$48*'Net zero Activity data'!BP47)+Data!$AK$48)</f>
        <v>636606.66731861141</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((Data!$AJ$49*'Net zero Activity data'!AD41)+Data!$AK$49)</f>
        <v>420412.44040319067</v>
      </c>
      <c r="AE47" s="22">
        <f>((Data!$AJ$49*'Net zero Activity data'!AE41)+Data!$AK$49)</f>
        <v>420370.63208542793</v>
      </c>
      <c r="AF47" s="22">
        <f>((Data!$AJ$49*'Net zero Activity data'!AF41)+Data!$AK$49)</f>
        <v>420293.97941895307</v>
      </c>
      <c r="AG47" s="22">
        <f>((Data!$AJ$49*'Net zero Activity data'!AG41)+Data!$AK$49)</f>
        <v>420202.36042538215</v>
      </c>
      <c r="AH47" s="22">
        <f>((Data!$AJ$49*'Net zero Activity data'!AH41)+Data!$AK$49)</f>
        <v>420140.46793410828</v>
      </c>
      <c r="AI47" s="22">
        <f>((Data!$AJ$49*'Net zero Activity data'!AI41)+Data!$AK$49)</f>
        <v>420097.87517675856</v>
      </c>
      <c r="AJ47" s="22">
        <f>((Data!$AJ$49*'Net zero Activity data'!AJ41)+Data!$AK$49)</f>
        <v>420074.55150380987</v>
      </c>
      <c r="AK47" s="22">
        <f>((Data!$AJ$49*'Net zero Activity data'!AK41)+Data!$AK$49)</f>
        <v>420036.81808268238</v>
      </c>
      <c r="AL47" s="22">
        <f>((Data!$AJ$49*'Net zero Activity data'!AL41)+Data!$AK$49)</f>
        <v>419997.18193188205</v>
      </c>
      <c r="AM47" s="22">
        <f>((Data!$AJ$49*'Net zero Activity data'!AM41)+Data!$AK$49)</f>
        <v>420272.6953493313</v>
      </c>
      <c r="AN47" s="22">
        <f>((Data!$AJ$49*'Net zero Activity data'!AN41)+Data!$AK$49)</f>
        <v>420163.44496037043</v>
      </c>
      <c r="AO47" s="22">
        <f>((Data!$AJ$49*'Net zero Activity data'!AO41)+Data!$AK$49)</f>
        <v>420014.33669639309</v>
      </c>
      <c r="AP47" s="22">
        <f>((Data!$AJ$49*'Net zero Activity data'!AP41)+Data!$AK$49)</f>
        <v>419934.21070299268</v>
      </c>
      <c r="AQ47" s="22">
        <f>((Data!$AJ$49*'Net zero Activity data'!AQ41)+Data!$AK$49)</f>
        <v>419846.57576344593</v>
      </c>
      <c r="AR47" s="22">
        <f>((Data!$AJ$49*'Net zero Activity data'!AR41)+Data!$AK$49)</f>
        <v>419749.1429681576</v>
      </c>
      <c r="AS47" s="22">
        <f>((Data!$AJ$49*'Net zero Activity data'!AS41)+Data!$AK$49)</f>
        <v>419646.86626103334</v>
      </c>
      <c r="AT47" s="22">
        <f>((Data!$AJ$49*'Net zero Activity data'!AT41)+Data!$AK$49)</f>
        <v>419537.7124413359</v>
      </c>
      <c r="AU47" s="22">
        <f>((Data!$AJ$49*'Net zero Activity data'!AU41)+Data!$AK$49)</f>
        <v>419428.32307769806</v>
      </c>
      <c r="AV47" s="22">
        <f>((Data!$AJ$49*'Net zero Activity data'!AV41)+Data!$AK$49)</f>
        <v>419313.11265845771</v>
      </c>
      <c r="AW47" s="22">
        <f>((Data!$AJ$49*'Net zero Activity data'!AW41)+Data!$AK$49)</f>
        <v>419198.41614190664</v>
      </c>
      <c r="AX47" s="22">
        <f>((Data!$AJ$49*'Net zero Activity data'!AX41)+Data!$AK$49)</f>
        <v>419074.06599914061</v>
      </c>
      <c r="AY47" s="22">
        <f>((Data!$AJ$49*'Net zero Activity data'!AY41)+Data!$AK$49)</f>
        <v>418954.2993643459</v>
      </c>
      <c r="AZ47" s="22">
        <f>((Data!$AJ$49*'Net zero Activity data'!AZ41)+Data!$AK$49)</f>
        <v>418831.50122287305</v>
      </c>
      <c r="BA47" s="22">
        <f>((Data!$AJ$49*'Net zero Activity data'!BA41)+Data!$AK$49)</f>
        <v>418697.25406092458</v>
      </c>
      <c r="BB47" s="22">
        <f>((Data!$AJ$49*'Net zero Activity data'!BB41)+Data!$AK$49)</f>
        <v>418572.41506415041</v>
      </c>
      <c r="BC47" s="22">
        <f>((Data!$AJ$49*'Net zero Activity data'!BC41)+Data!$AK$49)</f>
        <v>418444.23042739462</v>
      </c>
      <c r="BD47" s="22">
        <f>((Data!$AJ$49*'Net zero Activity data'!BD41)+Data!$AK$49)</f>
        <v>418311.2686234563</v>
      </c>
      <c r="BE47" s="22">
        <f>((Data!$AJ$49*'Net zero Activity data'!BE41)+Data!$AK$49)</f>
        <v>418189.06882812985</v>
      </c>
      <c r="BF47" s="22">
        <f>((Data!$AJ$49*'Net zero Activity data'!BF41)+Data!$AK$49)</f>
        <v>418070.26579002623</v>
      </c>
      <c r="BG47" s="22">
        <f>((Data!$AJ$49*'Net zero Activity data'!BG41)+Data!$AK$49)</f>
        <v>417954.40016196517</v>
      </c>
      <c r="BH47" s="22">
        <f>((Data!$AJ$49*'Net zero Activity data'!BH41)+Data!$AK$49)</f>
        <v>417832.14494376682</v>
      </c>
      <c r="BI47" s="22">
        <f>((Data!$AJ$49*'Net zero Activity data'!BI41)+Data!$AK$49)</f>
        <v>417716.95585713111</v>
      </c>
      <c r="BJ47" s="22">
        <f>((Data!$AJ$49*'Net zero Activity data'!BJ41)+Data!$AK$49)</f>
        <v>417600.29588104103</v>
      </c>
      <c r="BK47" s="22">
        <f>((Data!$AJ$49*'Net zero Activity data'!BK41)+Data!$AK$49)</f>
        <v>417481.82309513097</v>
      </c>
      <c r="BL47" s="22">
        <f>((Data!$AJ$49*'Net zero Activity data'!BL41)+Data!$AK$49)</f>
        <v>417360.95234438259</v>
      </c>
      <c r="BM47" s="22">
        <f>((Data!$AJ$49*'Net zero Activity data'!BM41)+Data!$AK$49)</f>
        <v>417238.18790389877</v>
      </c>
      <c r="BN47" s="22">
        <f>((Data!$AJ$49*'Net zero Activity data'!BN41)+Data!$AK$49)</f>
        <v>417200.46675715427</v>
      </c>
      <c r="BO47" s="22">
        <f>((Data!$AJ$49*'Net zero Activity data'!BO41)+Data!$AK$49)</f>
        <v>417170.67309656093</v>
      </c>
      <c r="BP47" s="22">
        <f>((Data!$AJ$49*'Net zero Activity data'!BP41)+Data!$AK$49)</f>
        <v>417152.11164868152</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BP48" si="47">H47*0.05*0.33*0.8*0.5</f>
        <v>2268.3474000000001</v>
      </c>
      <c r="I48" s="22">
        <f t="shared" si="47"/>
        <v>2409.2310000000002</v>
      </c>
      <c r="J48" s="22">
        <f t="shared" si="47"/>
        <v>2293.6650000000004</v>
      </c>
      <c r="K48" s="22">
        <f t="shared" si="47"/>
        <v>2695.8294000000005</v>
      </c>
      <c r="L48" s="22">
        <f t="shared" si="47"/>
        <v>2475.4356000000002</v>
      </c>
      <c r="M48" s="22">
        <f t="shared" si="47"/>
        <v>2451.8406</v>
      </c>
      <c r="N48" s="22">
        <f t="shared" si="47"/>
        <v>2739.5544000000004</v>
      </c>
      <c r="O48" s="22">
        <f t="shared" si="47"/>
        <v>2685.6324000000004</v>
      </c>
      <c r="P48" s="22">
        <f t="shared" si="47"/>
        <v>2742.4386000000009</v>
      </c>
      <c r="Q48" s="22">
        <f t="shared" si="47"/>
        <v>2726.0970000000002</v>
      </c>
      <c r="R48" s="22">
        <f t="shared" si="47"/>
        <v>2745.1578000000009</v>
      </c>
      <c r="S48" s="22">
        <f t="shared" si="47"/>
        <v>2612.3658000000005</v>
      </c>
      <c r="T48" s="22">
        <f t="shared" si="47"/>
        <v>3148.6752000000006</v>
      </c>
      <c r="U48" s="22">
        <f t="shared" si="47"/>
        <v>2777.4582000000009</v>
      </c>
      <c r="V48" s="22">
        <f t="shared" si="47"/>
        <v>2821.9686000000006</v>
      </c>
      <c r="W48" s="22">
        <f t="shared" si="47"/>
        <v>2291.9160000000002</v>
      </c>
      <c r="X48" s="22">
        <f t="shared" si="47"/>
        <v>2829.5454000000004</v>
      </c>
      <c r="Y48" s="22">
        <f t="shared" si="47"/>
        <v>2900.5680000000002</v>
      </c>
      <c r="Z48" s="22">
        <f t="shared" si="47"/>
        <v>2799.2118000000005</v>
      </c>
      <c r="AA48" s="22">
        <f t="shared" si="47"/>
        <v>2994.9282000000003</v>
      </c>
      <c r="AB48" s="22">
        <f t="shared" si="47"/>
        <v>2607</v>
      </c>
      <c r="AC48" s="22">
        <f t="shared" si="47"/>
        <v>2765.4</v>
      </c>
      <c r="AD48" s="22">
        <f t="shared" si="47"/>
        <v>2774.7221066610591</v>
      </c>
      <c r="AE48" s="22">
        <f t="shared" si="47"/>
        <v>2774.4461717638246</v>
      </c>
      <c r="AF48" s="22">
        <f t="shared" si="47"/>
        <v>2773.9402641650904</v>
      </c>
      <c r="AG48" s="22">
        <f t="shared" si="47"/>
        <v>2773.3355788075228</v>
      </c>
      <c r="AH48" s="22">
        <f t="shared" si="47"/>
        <v>2772.9270883651152</v>
      </c>
      <c r="AI48" s="22">
        <f t="shared" si="47"/>
        <v>2772.6459761666069</v>
      </c>
      <c r="AJ48" s="22">
        <f t="shared" si="47"/>
        <v>2772.4920399251459</v>
      </c>
      <c r="AK48" s="22">
        <f t="shared" si="47"/>
        <v>2772.2429993457044</v>
      </c>
      <c r="AL48" s="22">
        <f t="shared" si="47"/>
        <v>2771.9814007504219</v>
      </c>
      <c r="AM48" s="22">
        <f t="shared" si="47"/>
        <v>2773.7997893055872</v>
      </c>
      <c r="AN48" s="22">
        <f t="shared" si="47"/>
        <v>2773.0787367384455</v>
      </c>
      <c r="AO48" s="22">
        <f t="shared" si="47"/>
        <v>2772.0946221961949</v>
      </c>
      <c r="AP48" s="22">
        <f t="shared" si="47"/>
        <v>2771.5657906397519</v>
      </c>
      <c r="AQ48" s="22">
        <f t="shared" si="47"/>
        <v>2770.9874000387435</v>
      </c>
      <c r="AR48" s="22">
        <f t="shared" si="47"/>
        <v>2770.3443435898407</v>
      </c>
      <c r="AS48" s="22">
        <f t="shared" si="47"/>
        <v>2769.6693173228205</v>
      </c>
      <c r="AT48" s="22">
        <f t="shared" si="47"/>
        <v>2768.9489021128174</v>
      </c>
      <c r="AU48" s="22">
        <f t="shared" si="47"/>
        <v>2768.2269323128075</v>
      </c>
      <c r="AV48" s="22">
        <f t="shared" si="47"/>
        <v>2767.4665435458214</v>
      </c>
      <c r="AW48" s="22">
        <f t="shared" si="47"/>
        <v>2766.7095465365842</v>
      </c>
      <c r="AX48" s="22">
        <f t="shared" si="47"/>
        <v>2765.8888355943286</v>
      </c>
      <c r="AY48" s="22">
        <f t="shared" si="47"/>
        <v>2765.0983758046837</v>
      </c>
      <c r="AZ48" s="22">
        <f t="shared" si="47"/>
        <v>2764.2879080709627</v>
      </c>
      <c r="BA48" s="22">
        <f t="shared" si="47"/>
        <v>2763.4018768021028</v>
      </c>
      <c r="BB48" s="22">
        <f t="shared" si="47"/>
        <v>2762.5779394233928</v>
      </c>
      <c r="BC48" s="22">
        <f t="shared" si="47"/>
        <v>2761.731920820805</v>
      </c>
      <c r="BD48" s="22">
        <f t="shared" si="47"/>
        <v>2760.8543729148123</v>
      </c>
      <c r="BE48" s="22">
        <f t="shared" si="47"/>
        <v>2760.0478542656579</v>
      </c>
      <c r="BF48" s="22">
        <f t="shared" si="47"/>
        <v>2759.2637542141733</v>
      </c>
      <c r="BG48" s="22">
        <f t="shared" si="47"/>
        <v>2758.4990410689702</v>
      </c>
      <c r="BH48" s="22">
        <f t="shared" si="47"/>
        <v>2757.6921566288615</v>
      </c>
      <c r="BI48" s="22">
        <f t="shared" si="47"/>
        <v>2756.9319086570654</v>
      </c>
      <c r="BJ48" s="22">
        <f t="shared" si="47"/>
        <v>2756.1619528148713</v>
      </c>
      <c r="BK48" s="22">
        <f t="shared" si="47"/>
        <v>2755.3800324278645</v>
      </c>
      <c r="BL48" s="22">
        <f t="shared" si="47"/>
        <v>2754.5822854729254</v>
      </c>
      <c r="BM48" s="22">
        <f t="shared" si="47"/>
        <v>2753.7720401657325</v>
      </c>
      <c r="BN48" s="22">
        <f t="shared" si="47"/>
        <v>2753.5230805972187</v>
      </c>
      <c r="BO48" s="22">
        <f t="shared" si="47"/>
        <v>2753.3264424373024</v>
      </c>
      <c r="BP48" s="22">
        <f t="shared" si="47"/>
        <v>2753.2039368812984</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20924019.222796645</v>
      </c>
      <c r="AL50" s="22">
        <f>((AL5*Constants!$H63*Constants!$H81*(1-Constants!$H99))+(AL5*Constants!$H63*Constants!$H115))</f>
        <v>20295051.583426073</v>
      </c>
      <c r="AM50" s="22">
        <f>((AM5*Constants!$H63*Constants!$H81*(1-Constants!$H99))+(AM5*Constants!$H63*Constants!$H115))</f>
        <v>20508456.465644099</v>
      </c>
      <c r="AN50" s="22">
        <f>((AN5*Constants!$H63*Constants!$H81*(1-Constants!$H99))+(AN5*Constants!$H63*Constants!$H115))</f>
        <v>20820824.745502677</v>
      </c>
      <c r="AO50" s="22">
        <f>((AO5*Constants!$H63*Constants!$H81*(1-Constants!$H99))+(AO5*Constants!$H63*Constants!$H115))</f>
        <v>20982732.739234634</v>
      </c>
      <c r="AP50" s="22">
        <f>((AP5*Constants!$H63*Constants!$H81*(1-Constants!$H99))+(AP5*Constants!$H63*Constants!$H115))</f>
        <v>21167772.023533162</v>
      </c>
      <c r="AQ50" s="22">
        <f>((AQ5*Constants!$H63*Constants!$H81*(1-Constants!$H99))+(AQ5*Constants!$H63*Constants!$H115))</f>
        <v>21381935.608204335</v>
      </c>
      <c r="AR50" s="22">
        <f>((AR5*Constants!$H63*Constants!$H81*(1-Constants!$H99))+(AR5*Constants!$H63*Constants!$H115))</f>
        <v>21600637.036513485</v>
      </c>
      <c r="AS50" s="22">
        <f>((AS5*Constants!$H63*Constants!$H81*(1-Constants!$H99))+(AS5*Constants!$H63*Constants!$H115))</f>
        <v>21842711.312539846</v>
      </c>
      <c r="AT50" s="22">
        <f>((AT5*Constants!$H63*Constants!$H81*(1-Constants!$H99))+(AT5*Constants!$H63*Constants!$H115))</f>
        <v>22092284.387805484</v>
      </c>
      <c r="AU50" s="22">
        <f>((AU5*Constants!$H63*Constants!$H81*(1-Constants!$H99))+(AU5*Constants!$H63*Constants!$H115))</f>
        <v>22363684.646257486</v>
      </c>
      <c r="AV50" s="22">
        <f>((AV5*Constants!$H63*Constants!$H81*(1-Constants!$H99))+(AV5*Constants!$H63*Constants!$H115))</f>
        <v>22641207.18706819</v>
      </c>
      <c r="AW50" s="22">
        <f>((AW5*Constants!$H63*Constants!$H81*(1-Constants!$H99))+(AW5*Constants!$H63*Constants!$H115))</f>
        <v>22941023.0909632</v>
      </c>
      <c r="AX50" s="22">
        <f>((AX5*Constants!$H63*Constants!$H81*(1-Constants!$H99))+(AX5*Constants!$H63*Constants!$H115))</f>
        <v>23236781.179877736</v>
      </c>
      <c r="AY50" s="22">
        <f>((AY5*Constants!$H63*Constants!$H81*(1-Constants!$H99))+(AY5*Constants!$H63*Constants!$H115))</f>
        <v>23548951.637550015</v>
      </c>
      <c r="AZ50" s="22">
        <f>((AZ5*Constants!$H63*Constants!$H81*(1-Constants!$H99))+(AZ5*Constants!$H63*Constants!$H115))</f>
        <v>23902068.030954149</v>
      </c>
      <c r="BA50" s="22">
        <f>((BA5*Constants!$H63*Constants!$H81*(1-Constants!$H99))+(BA5*Constants!$H63*Constants!$H115))</f>
        <v>24237800.507945009</v>
      </c>
      <c r="BB50" s="22">
        <f>((BB5*Constants!$H63*Constants!$H81*(1-Constants!$H99))+(BB5*Constants!$H63*Constants!$H115))</f>
        <v>24582092.384797655</v>
      </c>
      <c r="BC50" s="22">
        <f>((BC5*Constants!$H63*Constants!$H81*(1-Constants!$H99))+(BC5*Constants!$H63*Constants!$H115))</f>
        <v>24950296.96341629</v>
      </c>
      <c r="BD50" s="22">
        <f>((BD5*Constants!$H63*Constants!$H81*(1-Constants!$H99))+(BD5*Constants!$H63*Constants!$H115))</f>
        <v>25295260.279442664</v>
      </c>
      <c r="BE50" s="22">
        <f>((BE5*Constants!$H63*Constants!$H81*(1-Constants!$H99))+(BE5*Constants!$H63*Constants!$H115))</f>
        <v>25638351.574407261</v>
      </c>
      <c r="BF50" s="22">
        <f>((BF5*Constants!$H63*Constants!$H81*(1-Constants!$H99))+(BF5*Constants!$H63*Constants!$H115))</f>
        <v>25980525.154659446</v>
      </c>
      <c r="BG50" s="22">
        <f>((BG5*Constants!$H63*Constants!$H81*(1-Constants!$H99))+(BG5*Constants!$H63*Constants!$H115))</f>
        <v>26342534.543672077</v>
      </c>
      <c r="BH50" s="22">
        <f>((BH5*Constants!$H63*Constants!$H81*(1-Constants!$H99))+(BH5*Constants!$H63*Constants!$H115))</f>
        <v>26689983.186005257</v>
      </c>
      <c r="BI50" s="22">
        <f>((BI5*Constants!$H63*Constants!$H81*(1-Constants!$H99))+(BI5*Constants!$H63*Constants!$H115))</f>
        <v>27050923.742848575</v>
      </c>
      <c r="BJ50" s="22">
        <f>((BJ5*Constants!$H63*Constants!$H81*(1-Constants!$H99))+(BJ5*Constants!$H63*Constants!$H115))</f>
        <v>27427002.398268681</v>
      </c>
      <c r="BK50" s="22">
        <f>((BK5*Constants!$H63*Constants!$H81*(1-Constants!$H99))+(BK5*Constants!$H63*Constants!$H115))</f>
        <v>27820866.390783198</v>
      </c>
      <c r="BL50" s="22">
        <f>((BL5*Constants!$H63*Constants!$H81*(1-Constants!$H99))+(BL5*Constants!$H63*Constants!$H115))</f>
        <v>28221697.318577059</v>
      </c>
      <c r="BM50" s="22">
        <f>((BM5*Constants!$H63*Constants!$H81*(1-Constants!$H99))+(BM5*Constants!$H63*Constants!$H115))</f>
        <v>28316731.128257472</v>
      </c>
      <c r="BN50" s="22">
        <f>((BN5*Constants!$H63*Constants!$H81*(1-Constants!$H99))+(BN5*Constants!$H63*Constants!$H115))</f>
        <v>28384366.399897385</v>
      </c>
      <c r="BO50" s="22">
        <f>((BO5*Constants!$H63*Constants!$H81*(1-Constants!$H99))+(BO5*Constants!$H63*Constants!$H115))</f>
        <v>28412077.806417499</v>
      </c>
      <c r="BP50" s="22">
        <f>((BP5*Constants!$H63*Constants!$H81*(1-Constants!$H99))+(BP5*Constants!$H63*Constants!$H115))</f>
        <v>28428810.70175929</v>
      </c>
    </row>
    <row r="51" spans="1:72" x14ac:dyDescent="0.3">
      <c r="A51" t="str">
        <f t="shared" ref="A51:B66" si="48">A50</f>
        <v>3C Aggregated and non-CO2 emissions on land</v>
      </c>
      <c r="B51" t="str">
        <f t="shared" si="48"/>
        <v>3C4 Direct N2O from managed soils (N2O)</v>
      </c>
      <c r="C51" t="s">
        <v>409</v>
      </c>
      <c r="D51" t="str">
        <f>Constants!D116</f>
        <v xml:space="preserve"> - Pasture</v>
      </c>
      <c r="E51" t="str">
        <f t="shared" ref="E51:E85" si="49">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61181220.475134537</v>
      </c>
      <c r="AL51" s="22">
        <f>((AL6*Constants!$H64*Constants!$H82*(1-Constants!$H100))+(AL6*Constants!$H64*Constants!$H116))</f>
        <v>59342137.486043647</v>
      </c>
      <c r="AM51" s="22">
        <f>((AM6*Constants!$H64*Constants!$H82*(1-Constants!$H100))+(AM6*Constants!$H64*Constants!$H116))</f>
        <v>59966127.122567505</v>
      </c>
      <c r="AN51" s="22">
        <f>((AN6*Constants!$H64*Constants!$H82*(1-Constants!$H100))+(AN6*Constants!$H64*Constants!$H116))</f>
        <v>60879482.84050934</v>
      </c>
      <c r="AO51" s="22">
        <f>((AO6*Constants!$H64*Constants!$H82*(1-Constants!$H100))+(AO6*Constants!$H64*Constants!$H116))</f>
        <v>61352897.080657311</v>
      </c>
      <c r="AP51" s="22">
        <f>((AP6*Constants!$H64*Constants!$H82*(1-Constants!$H100))+(AP6*Constants!$H64*Constants!$H116))</f>
        <v>61893946.538158052</v>
      </c>
      <c r="AQ51" s="22">
        <f>((AQ6*Constants!$H64*Constants!$H82*(1-Constants!$H100))+(AQ6*Constants!$H64*Constants!$H116))</f>
        <v>62520154.598473571</v>
      </c>
      <c r="AR51" s="22">
        <f>((AR6*Constants!$H64*Constants!$H82*(1-Constants!$H100))+(AR6*Constants!$H64*Constants!$H116))</f>
        <v>63159631.180918634</v>
      </c>
      <c r="AS51" s="22">
        <f>((AS6*Constants!$H64*Constants!$H82*(1-Constants!$H100))+(AS6*Constants!$H64*Constants!$H116))</f>
        <v>63867449.286762819</v>
      </c>
      <c r="AT51" s="22">
        <f>((AT6*Constants!$H64*Constants!$H82*(1-Constants!$H100))+(AT6*Constants!$H64*Constants!$H116))</f>
        <v>64597193.662348613</v>
      </c>
      <c r="AU51" s="22">
        <f>((AU6*Constants!$H64*Constants!$H82*(1-Constants!$H100))+(AU6*Constants!$H64*Constants!$H116))</f>
        <v>65390760.083434179</v>
      </c>
      <c r="AV51" s="22">
        <f>((AV6*Constants!$H64*Constants!$H82*(1-Constants!$H100))+(AV6*Constants!$H64*Constants!$H116))</f>
        <v>66202227.879146226</v>
      </c>
      <c r="AW51" s="22">
        <f>((AW6*Constants!$H64*Constants!$H82*(1-Constants!$H100))+(AW6*Constants!$H64*Constants!$H116))</f>
        <v>67078880.816750467</v>
      </c>
      <c r="AX51" s="22">
        <f>((AX6*Constants!$H64*Constants!$H82*(1-Constants!$H100))+(AX6*Constants!$H64*Constants!$H116))</f>
        <v>67943668.821985632</v>
      </c>
      <c r="AY51" s="22">
        <f>((AY6*Constants!$H64*Constants!$H82*(1-Constants!$H100))+(AY6*Constants!$H64*Constants!$H116))</f>
        <v>68856446.113638252</v>
      </c>
      <c r="AZ51" s="22">
        <f>((AZ6*Constants!$H64*Constants!$H82*(1-Constants!$H100))+(AZ6*Constants!$H64*Constants!$H116))</f>
        <v>69888948.124279916</v>
      </c>
      <c r="BA51" s="22">
        <f>((BA6*Constants!$H64*Constants!$H82*(1-Constants!$H100))+(BA6*Constants!$H64*Constants!$H116))</f>
        <v>70870620.071563467</v>
      </c>
      <c r="BB51" s="22">
        <f>((BB6*Constants!$H64*Constants!$H82*(1-Constants!$H100))+(BB6*Constants!$H64*Constants!$H116))</f>
        <v>71877319.453801185</v>
      </c>
      <c r="BC51" s="22">
        <f>((BC6*Constants!$H64*Constants!$H82*(1-Constants!$H100))+(BC6*Constants!$H64*Constants!$H116))</f>
        <v>72953938.87689352</v>
      </c>
      <c r="BD51" s="22">
        <f>((BD6*Constants!$H64*Constants!$H82*(1-Constants!$H100))+(BD6*Constants!$H64*Constants!$H116))</f>
        <v>73962601.527645111</v>
      </c>
      <c r="BE51" s="22">
        <f>((BE6*Constants!$H64*Constants!$H82*(1-Constants!$H100))+(BE6*Constants!$H64*Constants!$H116))</f>
        <v>74965790.443542257</v>
      </c>
      <c r="BF51" s="22">
        <f>((BF6*Constants!$H64*Constants!$H82*(1-Constants!$H100))+(BF6*Constants!$H64*Constants!$H116))</f>
        <v>75966295.988450512</v>
      </c>
      <c r="BG51" s="22">
        <f>((BG6*Constants!$H64*Constants!$H82*(1-Constants!$H100))+(BG6*Constants!$H64*Constants!$H116))</f>
        <v>77024800.858256787</v>
      </c>
      <c r="BH51" s="22">
        <f>((BH6*Constants!$H64*Constants!$H82*(1-Constants!$H100))+(BH6*Constants!$H64*Constants!$H116))</f>
        <v>78040730.530468747</v>
      </c>
      <c r="BI51" s="22">
        <f>((BI6*Constants!$H64*Constants!$H82*(1-Constants!$H100))+(BI6*Constants!$H64*Constants!$H116))</f>
        <v>79096110.166260213</v>
      </c>
      <c r="BJ51" s="22">
        <f>((BJ6*Constants!$H64*Constants!$H82*(1-Constants!$H100))+(BJ6*Constants!$H64*Constants!$H116))</f>
        <v>80195753.159714431</v>
      </c>
      <c r="BK51" s="22">
        <f>((BK6*Constants!$H64*Constants!$H82*(1-Constants!$H100))+(BK6*Constants!$H64*Constants!$H116))</f>
        <v>81347399.958862558</v>
      </c>
      <c r="BL51" s="22">
        <f>((BL6*Constants!$H64*Constants!$H82*(1-Constants!$H100))+(BL6*Constants!$H64*Constants!$H116))</f>
        <v>82519417.873082906</v>
      </c>
      <c r="BM51" s="22">
        <f>((BM6*Constants!$H64*Constants!$H82*(1-Constants!$H100))+(BM6*Constants!$H64*Constants!$H116))</f>
        <v>82797293.954190448</v>
      </c>
      <c r="BN51" s="22">
        <f>((BN6*Constants!$H64*Constants!$H82*(1-Constants!$H100))+(BN6*Constants!$H64*Constants!$H116))</f>
        <v>82995057.511088192</v>
      </c>
      <c r="BO51" s="22">
        <f>((BO6*Constants!$H64*Constants!$H82*(1-Constants!$H100))+(BO6*Constants!$H64*Constants!$H116))</f>
        <v>83076084.853585392</v>
      </c>
      <c r="BP51" s="22">
        <f>((BP6*Constants!$H64*Constants!$H82*(1-Constants!$H100))+(BP6*Constants!$H64*Constants!$H116))</f>
        <v>83125011.350363687</v>
      </c>
    </row>
    <row r="52" spans="1:72" x14ac:dyDescent="0.3">
      <c r="A52" t="str">
        <f t="shared" si="48"/>
        <v>3C Aggregated and non-CO2 emissions on land</v>
      </c>
      <c r="B52" t="str">
        <f t="shared" si="48"/>
        <v>3C4 Direct N2O from managed soils (N2O)</v>
      </c>
      <c r="C52" t="s">
        <v>409</v>
      </c>
      <c r="D52" t="str">
        <f>Constants!D117</f>
        <v xml:space="preserve"> - Non-lactating</v>
      </c>
      <c r="E52" t="str">
        <f t="shared" si="49"/>
        <v>MM N available - Non-lactating</v>
      </c>
      <c r="F52" t="str">
        <f t="shared" ref="F52:F85" si="50">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3272850.3321169834</v>
      </c>
      <c r="AL52" s="22">
        <f>((AL7*Constants!$H65*Constants!$H83*(1-Constants!$H101))+(AL7*Constants!$H65*Constants!$H117))</f>
        <v>3174469.7616593693</v>
      </c>
      <c r="AM52" s="22">
        <f>((AM7*Constants!$H65*Constants!$H83*(1-Constants!$H101))+(AM7*Constants!$H65*Constants!$H117))</f>
        <v>3207849.6889193146</v>
      </c>
      <c r="AN52" s="22">
        <f>((AN7*Constants!$H65*Constants!$H83*(1-Constants!$H101))+(AN7*Constants!$H65*Constants!$H117))</f>
        <v>3256709.0699776215</v>
      </c>
      <c r="AO52" s="22">
        <f>((AO7*Constants!$H65*Constants!$H83*(1-Constants!$H101))+(AO7*Constants!$H65*Constants!$H117))</f>
        <v>3282034.0625335793</v>
      </c>
      <c r="AP52" s="22">
        <f>((AP7*Constants!$H65*Constants!$H83*(1-Constants!$H101))+(AP7*Constants!$H65*Constants!$H117))</f>
        <v>3310977.1578644849</v>
      </c>
      <c r="AQ52" s="22">
        <f>((AQ7*Constants!$H65*Constants!$H83*(1-Constants!$H101))+(AQ7*Constants!$H65*Constants!$H117))</f>
        <v>3344475.7582889562</v>
      </c>
      <c r="AR52" s="22">
        <f>((AR7*Constants!$H65*Constants!$H83*(1-Constants!$H101))+(AR7*Constants!$H65*Constants!$H117))</f>
        <v>3378684.1498343153</v>
      </c>
      <c r="AS52" s="22">
        <f>((AS7*Constants!$H65*Constants!$H83*(1-Constants!$H101))+(AS7*Constants!$H65*Constants!$H117))</f>
        <v>3416548.4275456779</v>
      </c>
      <c r="AT52" s="22">
        <f>((AT7*Constants!$H65*Constants!$H83*(1-Constants!$H101))+(AT7*Constants!$H65*Constants!$H117))</f>
        <v>3455585.6370594548</v>
      </c>
      <c r="AU52" s="22">
        <f>((AU7*Constants!$H65*Constants!$H83*(1-Constants!$H101))+(AU7*Constants!$H65*Constants!$H117))</f>
        <v>3498036.9661541795</v>
      </c>
      <c r="AV52" s="22">
        <f>((AV7*Constants!$H65*Constants!$H83*(1-Constants!$H101))+(AV7*Constants!$H65*Constants!$H117))</f>
        <v>3541445.917856568</v>
      </c>
      <c r="AW52" s="22">
        <f>((AW7*Constants!$H65*Constants!$H83*(1-Constants!$H101))+(AW7*Constants!$H65*Constants!$H117))</f>
        <v>3588341.9071112368</v>
      </c>
      <c r="AX52" s="22">
        <f>((AX7*Constants!$H65*Constants!$H83*(1-Constants!$H101))+(AX7*Constants!$H65*Constants!$H117))</f>
        <v>3634603.1893832213</v>
      </c>
      <c r="AY52" s="22">
        <f>((AY7*Constants!$H65*Constants!$H83*(1-Constants!$H101))+(AY7*Constants!$H65*Constants!$H117))</f>
        <v>3683431.6278964449</v>
      </c>
      <c r="AZ52" s="22">
        <f>((AZ7*Constants!$H65*Constants!$H83*(1-Constants!$H101))+(AZ7*Constants!$H65*Constants!$H117))</f>
        <v>3738664.6638214709</v>
      </c>
      <c r="BA52" s="22">
        <f>((BA7*Constants!$H65*Constants!$H83*(1-Constants!$H101))+(BA7*Constants!$H65*Constants!$H117))</f>
        <v>3791178.5779563263</v>
      </c>
      <c r="BB52" s="22">
        <f>((BB7*Constants!$H65*Constants!$H83*(1-Constants!$H101))+(BB7*Constants!$H65*Constants!$H117))</f>
        <v>3845031.3187469048</v>
      </c>
      <c r="BC52" s="22">
        <f>((BC7*Constants!$H65*Constants!$H83*(1-Constants!$H101))+(BC7*Constants!$H65*Constants!$H117))</f>
        <v>3902624.3874870664</v>
      </c>
      <c r="BD52" s="22">
        <f>((BD7*Constants!$H65*Constants!$H83*(1-Constants!$H101))+(BD7*Constants!$H65*Constants!$H117))</f>
        <v>3956582.1520734727</v>
      </c>
      <c r="BE52" s="22">
        <f>((BE7*Constants!$H65*Constants!$H83*(1-Constants!$H101))+(BE7*Constants!$H65*Constants!$H117))</f>
        <v>4010247.1027081925</v>
      </c>
      <c r="BF52" s="22">
        <f>((BF7*Constants!$H65*Constants!$H83*(1-Constants!$H101))+(BF7*Constants!$H65*Constants!$H117))</f>
        <v>4063768.5081248884</v>
      </c>
      <c r="BG52" s="22">
        <f>((BG7*Constants!$H65*Constants!$H83*(1-Constants!$H101))+(BG7*Constants!$H65*Constants!$H117))</f>
        <v>4120392.5504010785</v>
      </c>
      <c r="BH52" s="22">
        <f>((BH7*Constants!$H65*Constants!$H83*(1-Constants!$H101))+(BH7*Constants!$H65*Constants!$H117))</f>
        <v>4174739.059661346</v>
      </c>
      <c r="BI52" s="22">
        <f>((BI7*Constants!$H65*Constants!$H83*(1-Constants!$H101))+(BI7*Constants!$H65*Constants!$H117))</f>
        <v>4231195.9195390185</v>
      </c>
      <c r="BJ52" s="22">
        <f>((BJ7*Constants!$H65*Constants!$H83*(1-Constants!$H101))+(BJ7*Constants!$H65*Constants!$H117))</f>
        <v>4290020.6194777749</v>
      </c>
      <c r="BK52" s="22">
        <f>((BK7*Constants!$H65*Constants!$H83*(1-Constants!$H101))+(BK7*Constants!$H65*Constants!$H117))</f>
        <v>4351627.2298036562</v>
      </c>
      <c r="BL52" s="22">
        <f>((BL7*Constants!$H65*Constants!$H83*(1-Constants!$H101))+(BL7*Constants!$H65*Constants!$H117))</f>
        <v>4414323.579925702</v>
      </c>
      <c r="BM52" s="22">
        <f>((BM7*Constants!$H65*Constants!$H83*(1-Constants!$H101))+(BM7*Constants!$H65*Constants!$H117))</f>
        <v>4429188.3834925061</v>
      </c>
      <c r="BN52" s="22">
        <f>((BN7*Constants!$H65*Constants!$H83*(1-Constants!$H101))+(BN7*Constants!$H65*Constants!$H117))</f>
        <v>4439767.6187193757</v>
      </c>
      <c r="BO52" s="22">
        <f>((BO7*Constants!$H65*Constants!$H83*(1-Constants!$H101))+(BO7*Constants!$H65*Constants!$H117))</f>
        <v>4444102.1246795869</v>
      </c>
      <c r="BP52" s="22">
        <f>((BP7*Constants!$H65*Constants!$H83*(1-Constants!$H101))+(BP7*Constants!$H65*Constants!$H117))</f>
        <v>4446719.4163907785</v>
      </c>
    </row>
    <row r="53" spans="1:72" x14ac:dyDescent="0.3">
      <c r="A53" t="str">
        <f t="shared" si="48"/>
        <v>3C Aggregated and non-CO2 emissions on land</v>
      </c>
      <c r="B53" t="str">
        <f t="shared" si="48"/>
        <v>3C4 Direct N2O from managed soils (N2O)</v>
      </c>
      <c r="C53" t="s">
        <v>409</v>
      </c>
      <c r="D53" t="str">
        <f>Constants!D118</f>
        <v xml:space="preserve"> - Commercial cattle</v>
      </c>
      <c r="E53" t="str">
        <f t="shared" si="49"/>
        <v>MM N available - Commercial cattle</v>
      </c>
      <c r="F53" t="str">
        <f t="shared" si="50"/>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25454532.089860566</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19997370.886669975</v>
      </c>
      <c r="AM53" s="22">
        <f>((AM8*Constants!$H66*Constants!$H84*(1-Constants!$H102))+(AM8*Constants!$H66*Constants!$H118))</f>
        <v>20322188.451315884</v>
      </c>
      <c r="AN53" s="22">
        <f>((AN8*Constants!$H66*Constants!$H84*(1-Constants!$H102))+(AN8*Constants!$H66*Constants!$H118))</f>
        <v>20928145.865119338</v>
      </c>
      <c r="AO53" s="22">
        <f>((AO8*Constants!$H66*Constants!$H84*(1-Constants!$H102))+(AO8*Constants!$H66*Constants!$H118))</f>
        <v>21049162.559717976</v>
      </c>
      <c r="AP53" s="22">
        <f>((AP8*Constants!$H66*Constants!$H84*(1-Constants!$H102))+(AP8*Constants!$H66*Constants!$H118))</f>
        <v>21223703.438001461</v>
      </c>
      <c r="AQ53" s="22">
        <f>((AQ8*Constants!$H66*Constants!$H84*(1-Constants!$H102))+(AQ8*Constants!$H66*Constants!$H118))</f>
        <v>21467191.813233271</v>
      </c>
      <c r="AR53" s="22">
        <f>((AR8*Constants!$H66*Constants!$H84*(1-Constants!$H102))+(AR8*Constants!$H66*Constants!$H118))</f>
        <v>21746484.089232106</v>
      </c>
      <c r="AS53" s="22">
        <f>((AS8*Constants!$H66*Constants!$H84*(1-Constants!$H102))+(AS8*Constants!$H66*Constants!$H118))</f>
        <v>22073939.618093673</v>
      </c>
      <c r="AT53" s="22">
        <f>((AT8*Constants!$H66*Constants!$H84*(1-Constants!$H102))+(AT8*Constants!$H66*Constants!$H118))</f>
        <v>22402905.445113614</v>
      </c>
      <c r="AU53" s="22">
        <f>((AU8*Constants!$H66*Constants!$H84*(1-Constants!$H102))+(AU8*Constants!$H66*Constants!$H118))</f>
        <v>22772890.492462873</v>
      </c>
      <c r="AV53" s="22">
        <f>((AV8*Constants!$H66*Constants!$H84*(1-Constants!$H102))+(AV8*Constants!$H66*Constants!$H118))</f>
        <v>23139203.843181625</v>
      </c>
      <c r="AW53" s="22">
        <f>((AW8*Constants!$H66*Constants!$H84*(1-Constants!$H102))+(AW8*Constants!$H66*Constants!$H118))</f>
        <v>23377821.396949548</v>
      </c>
      <c r="AX53" s="22">
        <f>((AX8*Constants!$H66*Constants!$H84*(1-Constants!$H102))+(AX8*Constants!$H66*Constants!$H118))</f>
        <v>23573743.037479043</v>
      </c>
      <c r="AY53" s="22">
        <f>((AY8*Constants!$H66*Constants!$H84*(1-Constants!$H102))+(AY8*Constants!$H66*Constants!$H118))</f>
        <v>23780723.149696868</v>
      </c>
      <c r="AZ53" s="22">
        <f>((AZ8*Constants!$H66*Constants!$H84*(1-Constants!$H102))+(AZ8*Constants!$H66*Constants!$H118))</f>
        <v>24057660.21433818</v>
      </c>
      <c r="BA53" s="22">
        <f>((BA8*Constants!$H66*Constants!$H84*(1-Constants!$H102))+(BA8*Constants!$H66*Constants!$H118))</f>
        <v>24256824.038735285</v>
      </c>
      <c r="BB53" s="22">
        <f>((BB8*Constants!$H66*Constants!$H84*(1-Constants!$H102))+(BB8*Constants!$H66*Constants!$H118))</f>
        <v>24469083.599181689</v>
      </c>
      <c r="BC53" s="22">
        <f>((BC8*Constants!$H66*Constants!$H84*(1-Constants!$H102))+(BC8*Constants!$H66*Constants!$H118))</f>
        <v>24702737.450766187</v>
      </c>
      <c r="BD53" s="22">
        <f>((BD8*Constants!$H66*Constants!$H84*(1-Constants!$H102))+(BD8*Constants!$H66*Constants!$H118))</f>
        <v>24848334.905772205</v>
      </c>
      <c r="BE53" s="22">
        <f>((BE8*Constants!$H66*Constants!$H84*(1-Constants!$H102))+(BE8*Constants!$H66*Constants!$H118))</f>
        <v>24957564.774560731</v>
      </c>
      <c r="BF53" s="22">
        <f>((BF8*Constants!$H66*Constants!$H84*(1-Constants!$H102))+(BF8*Constants!$H66*Constants!$H118))</f>
        <v>25033541.143901248</v>
      </c>
      <c r="BG53" s="22">
        <f>((BG8*Constants!$H66*Constants!$H84*(1-Constants!$H102))+(BG8*Constants!$H66*Constants!$H118))</f>
        <v>25269731.59563636</v>
      </c>
      <c r="BH53" s="22">
        <f>((BH8*Constants!$H66*Constants!$H84*(1-Constants!$H102))+(BH8*Constants!$H66*Constants!$H118))</f>
        <v>25449266.239364117</v>
      </c>
      <c r="BI53" s="22">
        <f>((BI8*Constants!$H66*Constants!$H84*(1-Constants!$H102))+(BI8*Constants!$H66*Constants!$H118))</f>
        <v>25631067.130633876</v>
      </c>
      <c r="BJ53" s="22">
        <f>((BJ8*Constants!$H66*Constants!$H84*(1-Constants!$H102))+(BJ8*Constants!$H66*Constants!$H118))</f>
        <v>25817213.989457067</v>
      </c>
      <c r="BK53" s="22">
        <f>((BK8*Constants!$H66*Constants!$H84*(1-Constants!$H102))+(BK8*Constants!$H66*Constants!$H118))</f>
        <v>26011460.526985411</v>
      </c>
      <c r="BL53" s="22">
        <f>((BL8*Constants!$H66*Constants!$H84*(1-Constants!$H102))+(BL8*Constants!$H66*Constants!$H118))</f>
        <v>26210900.124820881</v>
      </c>
      <c r="BM53" s="22">
        <f>((BM8*Constants!$H66*Constants!$H84*(1-Constants!$H102))+(BM8*Constants!$H66*Constants!$H118))</f>
        <v>25817482.286663931</v>
      </c>
      <c r="BN53" s="22">
        <f>((BN8*Constants!$H66*Constants!$H84*(1-Constants!$H102))+(BN8*Constants!$H66*Constants!$H118))</f>
        <v>25371806.040771689</v>
      </c>
      <c r="BO53" s="22">
        <f>((BO8*Constants!$H66*Constants!$H84*(1-Constants!$H102))+(BO8*Constants!$H66*Constants!$H118))</f>
        <v>24855124.314113755</v>
      </c>
      <c r="BP53" s="22">
        <f>((BP8*Constants!$H66*Constants!$H84*(1-Constants!$H102))+(BP8*Constants!$H66*Constants!$H118))</f>
        <v>24322250.157869045</v>
      </c>
    </row>
    <row r="54" spans="1:72" x14ac:dyDescent="0.3">
      <c r="A54" t="str">
        <f t="shared" si="48"/>
        <v>3C Aggregated and non-CO2 emissions on land</v>
      </c>
      <c r="B54" t="str">
        <f t="shared" si="48"/>
        <v>3C4 Direct N2O from managed soils (N2O)</v>
      </c>
      <c r="C54" t="s">
        <v>409</v>
      </c>
      <c r="D54" t="str">
        <f>Constants!D119</f>
        <v xml:space="preserve"> - Subsistence cattle</v>
      </c>
      <c r="E54" t="str">
        <f t="shared" si="49"/>
        <v>MM N available - Subsistence cattle</v>
      </c>
      <c r="F54" t="str">
        <f t="shared" si="50"/>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169291745.38087156</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132997527.06047612</v>
      </c>
      <c r="AM54" s="22">
        <f>((AM9*Constants!$H67*Constants!$H85*(1-Constants!$H103))+(AM9*Constants!$H67*Constants!$H119))</f>
        <v>135157807.68379092</v>
      </c>
      <c r="AN54" s="22">
        <f>((AN9*Constants!$H67*Constants!$H85*(1-Constants!$H103))+(AN9*Constants!$H67*Constants!$H119))</f>
        <v>139187879.33653706</v>
      </c>
      <c r="AO54" s="22">
        <f>((AO9*Constants!$H67*Constants!$H85*(1-Constants!$H103))+(AO9*Constants!$H67*Constants!$H119))</f>
        <v>139992731.19460714</v>
      </c>
      <c r="AP54" s="22">
        <f>((AP9*Constants!$H67*Constants!$H85*(1-Constants!$H103))+(AP9*Constants!$H67*Constants!$H119))</f>
        <v>141153559.0511401</v>
      </c>
      <c r="AQ54" s="22">
        <f>((AQ9*Constants!$H67*Constants!$H85*(1-Constants!$H103))+(AQ9*Constants!$H67*Constants!$H119))</f>
        <v>142772939.51656869</v>
      </c>
      <c r="AR54" s="22">
        <f>((AR9*Constants!$H67*Constants!$H85*(1-Constants!$H103))+(AR9*Constants!$H67*Constants!$H119))</f>
        <v>144630442.79764739</v>
      </c>
      <c r="AS54" s="22">
        <f>((AS9*Constants!$H67*Constants!$H85*(1-Constants!$H103))+(AS9*Constants!$H67*Constants!$H119))</f>
        <v>146808267.86313632</v>
      </c>
      <c r="AT54" s="22">
        <f>((AT9*Constants!$H67*Constants!$H85*(1-Constants!$H103))+(AT9*Constants!$H67*Constants!$H119))</f>
        <v>148996137.54505643</v>
      </c>
      <c r="AU54" s="22">
        <f>((AU9*Constants!$H67*Constants!$H85*(1-Constants!$H103))+(AU9*Constants!$H67*Constants!$H119))</f>
        <v>151456815.8325009</v>
      </c>
      <c r="AV54" s="22">
        <f>((AV9*Constants!$H67*Constants!$H85*(1-Constants!$H103))+(AV9*Constants!$H67*Constants!$H119))</f>
        <v>153893074.58126009</v>
      </c>
      <c r="AW54" s="22">
        <f>((AW9*Constants!$H67*Constants!$H85*(1-Constants!$H103))+(AW9*Constants!$H67*Constants!$H119))</f>
        <v>155480060.42775998</v>
      </c>
      <c r="AX54" s="22">
        <f>((AX9*Constants!$H67*Constants!$H85*(1-Constants!$H103))+(AX9*Constants!$H67*Constants!$H119))</f>
        <v>156783086.40231061</v>
      </c>
      <c r="AY54" s="22">
        <f>((AY9*Constants!$H67*Constants!$H85*(1-Constants!$H103))+(AY9*Constants!$H67*Constants!$H119))</f>
        <v>158159659.51443011</v>
      </c>
      <c r="AZ54" s="22">
        <f>((AZ9*Constants!$H67*Constants!$H85*(1-Constants!$H103))+(AZ9*Constants!$H67*Constants!$H119))</f>
        <v>160001498.87208453</v>
      </c>
      <c r="BA54" s="22">
        <f>((BA9*Constants!$H67*Constants!$H85*(1-Constants!$H103))+(BA9*Constants!$H67*Constants!$H119))</f>
        <v>161326087.8030414</v>
      </c>
      <c r="BB54" s="22">
        <f>((BB9*Constants!$H67*Constants!$H85*(1-Constants!$H103))+(BB9*Constants!$H67*Constants!$H119))</f>
        <v>162737773.208803</v>
      </c>
      <c r="BC54" s="22">
        <f>((BC9*Constants!$H67*Constants!$H85*(1-Constants!$H103))+(BC9*Constants!$H67*Constants!$H119))</f>
        <v>164291746.70987001</v>
      </c>
      <c r="BD54" s="22">
        <f>((BD9*Constants!$H67*Constants!$H85*(1-Constants!$H103))+(BD9*Constants!$H67*Constants!$H119))</f>
        <v>165260079.07575157</v>
      </c>
      <c r="BE54" s="22">
        <f>((BE9*Constants!$H67*Constants!$H85*(1-Constants!$H103))+(BE9*Constants!$H67*Constants!$H119))</f>
        <v>165986539.69461709</v>
      </c>
      <c r="BF54" s="22">
        <f>((BF9*Constants!$H67*Constants!$H85*(1-Constants!$H103))+(BF9*Constants!$H67*Constants!$H119))</f>
        <v>166491839.5810166</v>
      </c>
      <c r="BG54" s="22">
        <f>((BG9*Constants!$H67*Constants!$H85*(1-Constants!$H103))+(BG9*Constants!$H67*Constants!$H119))</f>
        <v>168062683.37713808</v>
      </c>
      <c r="BH54" s="22">
        <f>((BH9*Constants!$H67*Constants!$H85*(1-Constants!$H103))+(BH9*Constants!$H67*Constants!$H119))</f>
        <v>169256723.52235499</v>
      </c>
      <c r="BI54" s="22">
        <f>((BI9*Constants!$H67*Constants!$H85*(1-Constants!$H103))+(BI9*Constants!$H67*Constants!$H119))</f>
        <v>170465835.9148438</v>
      </c>
      <c r="BJ54" s="22">
        <f>((BJ9*Constants!$H67*Constants!$H85*(1-Constants!$H103))+(BJ9*Constants!$H67*Constants!$H119))</f>
        <v>171703852.25378478</v>
      </c>
      <c r="BK54" s="22">
        <f>((BK9*Constants!$H67*Constants!$H85*(1-Constants!$H103))+(BK9*Constants!$H67*Constants!$H119))</f>
        <v>172995737.53599206</v>
      </c>
      <c r="BL54" s="22">
        <f>((BL9*Constants!$H67*Constants!$H85*(1-Constants!$H103))+(BL9*Constants!$H67*Constants!$H119))</f>
        <v>174322160.56731841</v>
      </c>
      <c r="BM54" s="22">
        <f>((BM9*Constants!$H67*Constants!$H85*(1-Constants!$H103))+(BM9*Constants!$H67*Constants!$H119))</f>
        <v>171705636.63160291</v>
      </c>
      <c r="BN54" s="22">
        <f>((BN9*Constants!$H67*Constants!$H85*(1-Constants!$H103))+(BN9*Constants!$H67*Constants!$H119))</f>
        <v>168741555.05762082</v>
      </c>
      <c r="BO54" s="22">
        <f>((BO9*Constants!$H67*Constants!$H85*(1-Constants!$H103))+(BO9*Constants!$H67*Constants!$H119))</f>
        <v>165305233.73756921</v>
      </c>
      <c r="BP54" s="22">
        <f>((BP9*Constants!$H67*Constants!$H85*(1-Constants!$H103))+(BP9*Constants!$H67*Constants!$H119))</f>
        <v>161761220.60621172</v>
      </c>
    </row>
    <row r="55" spans="1:72" x14ac:dyDescent="0.3">
      <c r="A55" t="str">
        <f t="shared" si="48"/>
        <v>3C Aggregated and non-CO2 emissions on land</v>
      </c>
      <c r="B55" t="str">
        <f t="shared" si="48"/>
        <v>3C4 Direct N2O from managed soils (N2O)</v>
      </c>
      <c r="C55" t="s">
        <v>409</v>
      </c>
      <c r="D55" t="str">
        <f>Constants!D120</f>
        <v xml:space="preserve"> - Feedlot</v>
      </c>
      <c r="E55" t="str">
        <f t="shared" si="49"/>
        <v>MM N available - Feedlot</v>
      </c>
      <c r="F55" t="str">
        <f t="shared" si="50"/>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22601454.870712772</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23749927.157423221</v>
      </c>
      <c r="AM55" s="22">
        <f>((AM10*Constants!$H68*Constants!$H86*(1-Constants!$H104))+(AM10*Constants!$H68*Constants!$H120))</f>
        <v>24717191.512683123</v>
      </c>
      <c r="AN55" s="22">
        <f>((AN10*Constants!$H68*Constants!$H86*(1-Constants!$H104))+(AN10*Constants!$H68*Constants!$H120))</f>
        <v>26059035.980951924</v>
      </c>
      <c r="AO55" s="22">
        <f>((AO10*Constants!$H68*Constants!$H86*(1-Constants!$H104))+(AO10*Constants!$H68*Constants!$H120))</f>
        <v>26824598.088107079</v>
      </c>
      <c r="AP55" s="22">
        <f>((AP10*Constants!$H68*Constants!$H86*(1-Constants!$H104))+(AP10*Constants!$H68*Constants!$H120))</f>
        <v>27674079.727897108</v>
      </c>
      <c r="AQ55" s="22">
        <f>((AQ10*Constants!$H68*Constants!$H86*(1-Constants!$H104))+(AQ10*Constants!$H68*Constants!$H120))</f>
        <v>28633441.666211661</v>
      </c>
      <c r="AR55" s="22">
        <f>((AR10*Constants!$H68*Constants!$H86*(1-Constants!$H104))+(AR10*Constants!$H68*Constants!$H120))</f>
        <v>29664380.73037231</v>
      </c>
      <c r="AS55" s="22">
        <f>((AS10*Constants!$H68*Constants!$H86*(1-Constants!$H104))+(AS10*Constants!$H68*Constants!$H120))</f>
        <v>30788162.483962316</v>
      </c>
      <c r="AT55" s="22">
        <f>((AT10*Constants!$H68*Constants!$H86*(1-Constants!$H104))+(AT10*Constants!$H68*Constants!$H120))</f>
        <v>31943548.308528587</v>
      </c>
      <c r="AU55" s="22">
        <f>((AU10*Constants!$H68*Constants!$H86*(1-Constants!$H104))+(AU10*Constants!$H68*Constants!$H120))</f>
        <v>33189131.849318799</v>
      </c>
      <c r="AV55" s="22">
        <f>((AV10*Constants!$H68*Constants!$H86*(1-Constants!$H104))+(AV10*Constants!$H68*Constants!$H120))</f>
        <v>34463183.549642764</v>
      </c>
      <c r="AW55" s="22">
        <f>((AW10*Constants!$H68*Constants!$H86*(1-Constants!$H104))+(AW10*Constants!$H68*Constants!$H120))</f>
        <v>35973255.304903887</v>
      </c>
      <c r="AX55" s="22">
        <f>((AX10*Constants!$H68*Constants!$H86*(1-Constants!$H104))+(AX10*Constants!$H68*Constants!$H120))</f>
        <v>37480009.680329949</v>
      </c>
      <c r="AY55" s="22">
        <f>((AY10*Constants!$H68*Constants!$H86*(1-Constants!$H104))+(AY10*Constants!$H68*Constants!$H120))</f>
        <v>39068552.330881171</v>
      </c>
      <c r="AZ55" s="22">
        <f>((AZ10*Constants!$H68*Constants!$H86*(1-Constants!$H104))+(AZ10*Constants!$H68*Constants!$H120))</f>
        <v>40844280.994479783</v>
      </c>
      <c r="BA55" s="22">
        <f>((BA10*Constants!$H68*Constants!$H86*(1-Constants!$H104))+(BA10*Constants!$H68*Constants!$H120))</f>
        <v>42563826.880606778</v>
      </c>
      <c r="BB55" s="22">
        <f>((BB10*Constants!$H68*Constants!$H86*(1-Constants!$H104))+(BB10*Constants!$H68*Constants!$H120))</f>
        <v>44382861.238153256</v>
      </c>
      <c r="BC55" s="22">
        <f>((BC10*Constants!$H68*Constants!$H86*(1-Constants!$H104))+(BC10*Constants!$H68*Constants!$H120))</f>
        <v>46323814.205285154</v>
      </c>
      <c r="BD55" s="22">
        <f>((BD10*Constants!$H68*Constants!$H86*(1-Constants!$H104))+(BD10*Constants!$H68*Constants!$H120))</f>
        <v>48183437.924718022</v>
      </c>
      <c r="BE55" s="22">
        <f>((BE10*Constants!$H68*Constants!$H86*(1-Constants!$H104))+(BE10*Constants!$H68*Constants!$H120))</f>
        <v>50053282.37021938</v>
      </c>
      <c r="BF55" s="22">
        <f>((BF10*Constants!$H68*Constants!$H86*(1-Constants!$H104))+(BF10*Constants!$H68*Constants!$H120))</f>
        <v>51937404.912911206</v>
      </c>
      <c r="BG55" s="22">
        <f>((BG10*Constants!$H68*Constants!$H86*(1-Constants!$H104))+(BG10*Constants!$H68*Constants!$H120))</f>
        <v>53906684.570628293</v>
      </c>
      <c r="BH55" s="22">
        <f>((BH10*Constants!$H68*Constants!$H86*(1-Constants!$H104))+(BH10*Constants!$H68*Constants!$H120))</f>
        <v>55826768.372986138</v>
      </c>
      <c r="BI55" s="22">
        <f>((BI10*Constants!$H68*Constants!$H86*(1-Constants!$H104))+(BI10*Constants!$H68*Constants!$H120))</f>
        <v>57823678.235028274</v>
      </c>
      <c r="BJ55" s="22">
        <f>((BJ10*Constants!$H68*Constants!$H86*(1-Constants!$H104))+(BJ10*Constants!$H68*Constants!$H120))</f>
        <v>59906254.602424279</v>
      </c>
      <c r="BK55" s="22">
        <f>((BK10*Constants!$H68*Constants!$H86*(1-Constants!$H104))+(BK10*Constants!$H68*Constants!$H120))</f>
        <v>62088146.177802265</v>
      </c>
      <c r="BL55" s="22">
        <f>((BL10*Constants!$H68*Constants!$H86*(1-Constants!$H104))+(BL10*Constants!$H68*Constants!$H120))</f>
        <v>64367987.531289287</v>
      </c>
      <c r="BM55" s="22">
        <f>((BM10*Constants!$H68*Constants!$H86*(1-Constants!$H104))+(BM10*Constants!$H68*Constants!$H120))</f>
        <v>65240062.115014531</v>
      </c>
      <c r="BN55" s="22">
        <f>((BN10*Constants!$H68*Constants!$H86*(1-Constants!$H104))+(BN10*Constants!$H68*Constants!$H120))</f>
        <v>65983970.311093166</v>
      </c>
      <c r="BO55" s="22">
        <f>((BO10*Constants!$H68*Constants!$H86*(1-Constants!$H104))+(BO10*Constants!$H68*Constants!$H120))</f>
        <v>66537956.642675854</v>
      </c>
      <c r="BP55" s="22">
        <f>((BP10*Constants!$H68*Constants!$H86*(1-Constants!$H104))+(BP10*Constants!$H68*Constants!$H120))</f>
        <v>67036220.221915454</v>
      </c>
    </row>
    <row r="56" spans="1:72" x14ac:dyDescent="0.3">
      <c r="A56" t="str">
        <f t="shared" si="48"/>
        <v>3C Aggregated and non-CO2 emissions on land</v>
      </c>
      <c r="B56" t="str">
        <f t="shared" si="48"/>
        <v>3C4 Direct N2O from managed soils (N2O)</v>
      </c>
      <c r="C56" t="s">
        <v>409</v>
      </c>
      <c r="D56" t="str">
        <f>Constants!D121</f>
        <v xml:space="preserve"> - Commercial sheep</v>
      </c>
      <c r="E56" t="str">
        <f t="shared" si="49"/>
        <v>MM N available - Commercial sheep</v>
      </c>
      <c r="F56" t="str">
        <f t="shared" si="50"/>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3788467.0200403007</v>
      </c>
      <c r="AM56" s="22">
        <f>((AM11*Constants!$H69*Constants!$H87*(1-Constants!$H105))+(AM11*Constants!$H69*Constants!$H121))</f>
        <v>3794167.1347998879</v>
      </c>
      <c r="AN56" s="22">
        <f>((AN11*Constants!$H69*Constants!$H87*(1-Constants!$H105))+(AN11*Constants!$H69*Constants!$H121))</f>
        <v>3801128.199489729</v>
      </c>
      <c r="AO56" s="22">
        <f>((AO11*Constants!$H69*Constants!$H87*(1-Constants!$H105))+(AO11*Constants!$H69*Constants!$H121))</f>
        <v>3808444.8218348031</v>
      </c>
      <c r="AP56" s="22">
        <f>((AP11*Constants!$H69*Constants!$H87*(1-Constants!$H105))+(AP11*Constants!$H69*Constants!$H121))</f>
        <v>3816659.2924404135</v>
      </c>
      <c r="AQ56" s="22">
        <f>((AQ11*Constants!$H69*Constants!$H87*(1-Constants!$H105))+(AQ11*Constants!$H69*Constants!$H121))</f>
        <v>3825748.627055353</v>
      </c>
      <c r="AR56" s="22">
        <f>((AR11*Constants!$H69*Constants!$H87*(1-Constants!$H105))+(AR11*Constants!$H69*Constants!$H121))</f>
        <v>3831425.1453612065</v>
      </c>
      <c r="AS56" s="22">
        <f>((AS11*Constants!$H69*Constants!$H87*(1-Constants!$H105))+(AS11*Constants!$H69*Constants!$H121))</f>
        <v>3837838.1720688092</v>
      </c>
      <c r="AT56" s="22">
        <f>((AT11*Constants!$H69*Constants!$H87*(1-Constants!$H105))+(AT11*Constants!$H69*Constants!$H121))</f>
        <v>3844901.0529628233</v>
      </c>
      <c r="AU56" s="22">
        <f>((AU11*Constants!$H69*Constants!$H87*(1-Constants!$H105))+(AU11*Constants!$H69*Constants!$H121))</f>
        <v>3852633.208479553</v>
      </c>
      <c r="AV56" s="22">
        <f>((AV11*Constants!$H69*Constants!$H87*(1-Constants!$H105))+(AV11*Constants!$H69*Constants!$H121))</f>
        <v>3860954.8311511925</v>
      </c>
      <c r="AW56" s="22">
        <f>((AW11*Constants!$H69*Constants!$H87*(1-Constants!$H105))+(AW11*Constants!$H69*Constants!$H121))</f>
        <v>3866537.1027409947</v>
      </c>
      <c r="AX56" s="22">
        <f>((AX11*Constants!$H69*Constants!$H87*(1-Constants!$H105))+(AX11*Constants!$H69*Constants!$H121))</f>
        <v>3872597.2927813702</v>
      </c>
      <c r="AY56" s="22">
        <f>((AY11*Constants!$H69*Constants!$H87*(1-Constants!$H105))+(AY11*Constants!$H69*Constants!$H121))</f>
        <v>3879184.1152749564</v>
      </c>
      <c r="AZ56" s="22">
        <f>((AZ11*Constants!$H69*Constants!$H87*(1-Constants!$H105))+(AZ11*Constants!$H69*Constants!$H121))</f>
        <v>3886361.8682340086</v>
      </c>
      <c r="BA56" s="22">
        <f>((BA11*Constants!$H69*Constants!$H87*(1-Constants!$H105))+(BA11*Constants!$H69*Constants!$H121))</f>
        <v>3893915.018405573</v>
      </c>
      <c r="BB56" s="22">
        <f>((BB11*Constants!$H69*Constants!$H87*(1-Constants!$H105))+(BB11*Constants!$H69*Constants!$H121))</f>
        <v>3898742.9679810996</v>
      </c>
      <c r="BC56" s="22">
        <f>((BC11*Constants!$H69*Constants!$H87*(1-Constants!$H105))+(BC11*Constants!$H69*Constants!$H121))</f>
        <v>3904031.1833517975</v>
      </c>
      <c r="BD56" s="22">
        <f>((BD11*Constants!$H69*Constants!$H87*(1-Constants!$H105))+(BD11*Constants!$H69*Constants!$H121))</f>
        <v>3909605.2481301548</v>
      </c>
      <c r="BE56" s="22">
        <f>((BE11*Constants!$H69*Constants!$H87*(1-Constants!$H105))+(BE11*Constants!$H69*Constants!$H121))</f>
        <v>3915524.5039184294</v>
      </c>
      <c r="BF56" s="22">
        <f>((BF11*Constants!$H69*Constants!$H87*(1-Constants!$H105))+(BF11*Constants!$H69*Constants!$H121))</f>
        <v>3921779.9758285671</v>
      </c>
      <c r="BG56" s="22">
        <f>((BG11*Constants!$H69*Constants!$H87*(1-Constants!$H105))+(BG11*Constants!$H69*Constants!$H121))</f>
        <v>3925476.1713958737</v>
      </c>
      <c r="BH56" s="22">
        <f>((BH11*Constants!$H69*Constants!$H87*(1-Constants!$H105))+(BH11*Constants!$H69*Constants!$H121))</f>
        <v>3929421.90501684</v>
      </c>
      <c r="BI56" s="22">
        <f>((BI11*Constants!$H69*Constants!$H87*(1-Constants!$H105))+(BI11*Constants!$H69*Constants!$H121))</f>
        <v>3933701.9223272717</v>
      </c>
      <c r="BJ56" s="22">
        <f>((BJ11*Constants!$H69*Constants!$H87*(1-Constants!$H105))+(BJ11*Constants!$H69*Constants!$H121))</f>
        <v>3938312.08545841</v>
      </c>
      <c r="BK56" s="22">
        <f>((BK11*Constants!$H69*Constants!$H87*(1-Constants!$H105))+(BK11*Constants!$H69*Constants!$H121))</f>
        <v>3943252.2988728071</v>
      </c>
      <c r="BL56" s="22">
        <f>((BL11*Constants!$H69*Constants!$H87*(1-Constants!$H105))+(BL11*Constants!$H69*Constants!$H121))</f>
        <v>3945493.5552737722</v>
      </c>
      <c r="BM56" s="22">
        <f>((BM11*Constants!$H69*Constants!$H87*(1-Constants!$H105))+(BM11*Constants!$H69*Constants!$H121))</f>
        <v>3946937.8968518241</v>
      </c>
      <c r="BN56" s="22">
        <f>((BN11*Constants!$H69*Constants!$H87*(1-Constants!$H105))+(BN11*Constants!$H69*Constants!$H121))</f>
        <v>3948521.1681939466</v>
      </c>
      <c r="BO56" s="22">
        <f>((BO11*Constants!$H69*Constants!$H87*(1-Constants!$H105))+(BO11*Constants!$H69*Constants!$H121))</f>
        <v>3950193.5272266869</v>
      </c>
      <c r="BP56" s="22">
        <f>((BP11*Constants!$H69*Constants!$H87*(1-Constants!$H105))+(BP11*Constants!$H69*Constants!$H121))</f>
        <v>3952046.0718940711</v>
      </c>
    </row>
    <row r="57" spans="1:72" x14ac:dyDescent="0.3">
      <c r="A57" t="str">
        <f t="shared" si="48"/>
        <v>3C Aggregated and non-CO2 emissions on land</v>
      </c>
      <c r="B57" t="str">
        <f t="shared" si="48"/>
        <v>3C4 Direct N2O from managed soils (N2O)</v>
      </c>
      <c r="C57" t="s">
        <v>409</v>
      </c>
      <c r="D57" t="str">
        <f>Constants!D122</f>
        <v xml:space="preserve"> - Subsistence sheep</v>
      </c>
      <c r="E57" t="str">
        <f t="shared" si="49"/>
        <v>MM N available - Subsistence sheep</v>
      </c>
      <c r="F57" t="str">
        <f t="shared" si="50"/>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3083297.1835274999</v>
      </c>
      <c r="AM57" s="22">
        <f>((AM12*Constants!$H70*Constants!$H88*(1-Constants!$H106))+(AM12*Constants!$H70*Constants!$H122))</f>
        <v>3087936.3021184891</v>
      </c>
      <c r="AN57" s="22">
        <f>((AN12*Constants!$H70*Constants!$H88*(1-Constants!$H106))+(AN12*Constants!$H70*Constants!$H122))</f>
        <v>3093601.6625502957</v>
      </c>
      <c r="AO57" s="22">
        <f>((AO12*Constants!$H70*Constants!$H88*(1-Constants!$H106))+(AO12*Constants!$H70*Constants!$H122))</f>
        <v>3099556.3985820911</v>
      </c>
      <c r="AP57" s="22">
        <f>((AP12*Constants!$H70*Constants!$H88*(1-Constants!$H106))+(AP12*Constants!$H70*Constants!$H122))</f>
        <v>3106241.8610523902</v>
      </c>
      <c r="AQ57" s="22">
        <f>((AQ12*Constants!$H70*Constants!$H88*(1-Constants!$H106))+(AQ12*Constants!$H70*Constants!$H122))</f>
        <v>3113639.3439049893</v>
      </c>
      <c r="AR57" s="22">
        <f>((AR12*Constants!$H70*Constants!$H88*(1-Constants!$H106))+(AR12*Constants!$H70*Constants!$H122))</f>
        <v>3118259.2581901331</v>
      </c>
      <c r="AS57" s="22">
        <f>((AS12*Constants!$H70*Constants!$H88*(1-Constants!$H106))+(AS12*Constants!$H70*Constants!$H122))</f>
        <v>3123478.5901998454</v>
      </c>
      <c r="AT57" s="22">
        <f>((AT12*Constants!$H70*Constants!$H88*(1-Constants!$H106))+(AT12*Constants!$H70*Constants!$H122))</f>
        <v>3129226.8151818528</v>
      </c>
      <c r="AU57" s="22">
        <f>((AU12*Constants!$H70*Constants!$H88*(1-Constants!$H106))+(AU12*Constants!$H70*Constants!$H122))</f>
        <v>3135519.7387314611</v>
      </c>
      <c r="AV57" s="22">
        <f>((AV12*Constants!$H70*Constants!$H88*(1-Constants!$H106))+(AV12*Constants!$H70*Constants!$H122))</f>
        <v>3142292.4084182023</v>
      </c>
      <c r="AW57" s="22">
        <f>((AW12*Constants!$H70*Constants!$H88*(1-Constants!$H106))+(AW12*Constants!$H70*Constants!$H122))</f>
        <v>3146835.6186875473</v>
      </c>
      <c r="AX57" s="22">
        <f>((AX12*Constants!$H70*Constants!$H88*(1-Constants!$H106))+(AX12*Constants!$H70*Constants!$H122))</f>
        <v>3151767.7896116413</v>
      </c>
      <c r="AY57" s="22">
        <f>((AY12*Constants!$H70*Constants!$H88*(1-Constants!$H106))+(AY12*Constants!$H70*Constants!$H122))</f>
        <v>3157128.5677668792</v>
      </c>
      <c r="AZ57" s="22">
        <f>((AZ12*Constants!$H70*Constants!$H88*(1-Constants!$H106))+(AZ12*Constants!$H70*Constants!$H122))</f>
        <v>3162970.2829951318</v>
      </c>
      <c r="BA57" s="22">
        <f>((BA12*Constants!$H70*Constants!$H88*(1-Constants!$H106))+(BA12*Constants!$H70*Constants!$H122))</f>
        <v>3169117.5205261838</v>
      </c>
      <c r="BB57" s="22">
        <f>((BB12*Constants!$H70*Constants!$H88*(1-Constants!$H106))+(BB12*Constants!$H70*Constants!$H122))</f>
        <v>3173046.8152117878</v>
      </c>
      <c r="BC57" s="22">
        <f>((BC12*Constants!$H70*Constants!$H88*(1-Constants!$H106))+(BC12*Constants!$H70*Constants!$H122))</f>
        <v>3177350.7036901913</v>
      </c>
      <c r="BD57" s="22">
        <f>((BD12*Constants!$H70*Constants!$H88*(1-Constants!$H106))+(BD12*Constants!$H70*Constants!$H122))</f>
        <v>3181887.2347305818</v>
      </c>
      <c r="BE57" s="22">
        <f>((BE12*Constants!$H70*Constants!$H88*(1-Constants!$H106))+(BE12*Constants!$H70*Constants!$H122))</f>
        <v>3186704.7043308243</v>
      </c>
      <c r="BF57" s="22">
        <f>((BF12*Constants!$H70*Constants!$H88*(1-Constants!$H106))+(BF12*Constants!$H70*Constants!$H122))</f>
        <v>3191795.8081520102</v>
      </c>
      <c r="BG57" s="22">
        <f>((BG12*Constants!$H70*Constants!$H88*(1-Constants!$H106))+(BG12*Constants!$H70*Constants!$H122))</f>
        <v>3194804.0089155794</v>
      </c>
      <c r="BH57" s="22">
        <f>((BH12*Constants!$H70*Constants!$H88*(1-Constants!$H106))+(BH12*Constants!$H70*Constants!$H122))</f>
        <v>3198015.2997348262</v>
      </c>
      <c r="BI57" s="22">
        <f>((BI12*Constants!$H70*Constants!$H88*(1-Constants!$H106))+(BI12*Constants!$H70*Constants!$H122))</f>
        <v>3201498.6520377221</v>
      </c>
      <c r="BJ57" s="22">
        <f>((BJ12*Constants!$H70*Constants!$H88*(1-Constants!$H106))+(BJ12*Constants!$H70*Constants!$H122))</f>
        <v>3205250.6981615624</v>
      </c>
      <c r="BK57" s="22">
        <f>((BK12*Constants!$H70*Constants!$H88*(1-Constants!$H106))+(BK12*Constants!$H70*Constants!$H122))</f>
        <v>3209271.3603518535</v>
      </c>
      <c r="BL57" s="22">
        <f>((BL12*Constants!$H70*Constants!$H88*(1-Constants!$H106))+(BL12*Constants!$H70*Constants!$H122))</f>
        <v>3211095.4384056157</v>
      </c>
      <c r="BM57" s="22">
        <f>((BM12*Constants!$H70*Constants!$H88*(1-Constants!$H106))+(BM12*Constants!$H70*Constants!$H122))</f>
        <v>3212270.9361190978</v>
      </c>
      <c r="BN57" s="22">
        <f>((BN12*Constants!$H70*Constants!$H88*(1-Constants!$H106))+(BN12*Constants!$H70*Constants!$H122))</f>
        <v>3213559.5037756464</v>
      </c>
      <c r="BO57" s="22">
        <f>((BO12*Constants!$H70*Constants!$H88*(1-Constants!$H106))+(BO12*Constants!$H70*Constants!$H122))</f>
        <v>3214920.5767025636</v>
      </c>
      <c r="BP57" s="22">
        <f>((BP12*Constants!$H70*Constants!$H88*(1-Constants!$H106))+(BP12*Constants!$H70*Constants!$H122))</f>
        <v>3216428.296243235</v>
      </c>
    </row>
    <row r="58" spans="1:72" x14ac:dyDescent="0.3">
      <c r="A58" t="str">
        <f t="shared" si="48"/>
        <v>3C Aggregated and non-CO2 emissions on land</v>
      </c>
      <c r="B58" t="str">
        <f t="shared" si="48"/>
        <v>3C4 Direct N2O from managed soils (N2O)</v>
      </c>
      <c r="C58" t="s">
        <v>409</v>
      </c>
      <c r="D58" t="str">
        <f>Constants!D123</f>
        <v xml:space="preserve"> - Commercial goats</v>
      </c>
      <c r="E58" t="str">
        <f t="shared" si="49"/>
        <v>MM N available - Commercial goats</v>
      </c>
      <c r="F58" t="str">
        <f t="shared" si="50"/>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477820.38535815617</v>
      </c>
      <c r="AM58" s="22">
        <f>((AM13*Constants!$H71*Constants!$H89*(1-Constants!$H107))+(AM13*Constants!$H71*Constants!$H123))</f>
        <v>479195.71591146855</v>
      </c>
      <c r="AN58" s="22">
        <f>((AN13*Constants!$H71*Constants!$H89*(1-Constants!$H107))+(AN13*Constants!$H71*Constants!$H123))</f>
        <v>480772.15162707691</v>
      </c>
      <c r="AO58" s="22">
        <f>((AO13*Constants!$H71*Constants!$H89*(1-Constants!$H107))+(AO13*Constants!$H71*Constants!$H123))</f>
        <v>482379.09435479715</v>
      </c>
      <c r="AP58" s="22">
        <f>((AP13*Constants!$H71*Constants!$H89*(1-Constants!$H107))+(AP13*Constants!$H71*Constants!$H123))</f>
        <v>484121.94446114701</v>
      </c>
      <c r="AQ58" s="22">
        <f>((AQ13*Constants!$H71*Constants!$H89*(1-Constants!$H107))+(AQ13*Constants!$H71*Constants!$H123))</f>
        <v>485997.82154064887</v>
      </c>
      <c r="AR58" s="22">
        <f>((AR13*Constants!$H71*Constants!$H89*(1-Constants!$H107))+(AR13*Constants!$H71*Constants!$H123))</f>
        <v>487198.30085178628</v>
      </c>
      <c r="AS58" s="22">
        <f>((AS13*Constants!$H71*Constants!$H89*(1-Constants!$H107))+(AS13*Constants!$H71*Constants!$H123))</f>
        <v>488511.69180129358</v>
      </c>
      <c r="AT58" s="22">
        <f>((AT13*Constants!$H71*Constants!$H89*(1-Constants!$H107))+(AT13*Constants!$H71*Constants!$H123))</f>
        <v>489922.63266976329</v>
      </c>
      <c r="AU58" s="22">
        <f>((AU13*Constants!$H71*Constants!$H89*(1-Constants!$H107))+(AU13*Constants!$H71*Constants!$H123))</f>
        <v>491435.65409627446</v>
      </c>
      <c r="AV58" s="22">
        <f>((AV13*Constants!$H71*Constants!$H89*(1-Constants!$H107))+(AV13*Constants!$H71*Constants!$H123))</f>
        <v>493036.5490951853</v>
      </c>
      <c r="AW58" s="22">
        <f>((AW13*Constants!$H71*Constants!$H89*(1-Constants!$H107))+(AW13*Constants!$H71*Constants!$H123))</f>
        <v>494104.16436235065</v>
      </c>
      <c r="AX58" s="22">
        <f>((AX13*Constants!$H71*Constants!$H89*(1-Constants!$H107))+(AX13*Constants!$H71*Constants!$H123))</f>
        <v>495242.7125199163</v>
      </c>
      <c r="AY58" s="22">
        <f>((AY13*Constants!$H71*Constants!$H89*(1-Constants!$H107))+(AY13*Constants!$H71*Constants!$H123))</f>
        <v>496461.83076443395</v>
      </c>
      <c r="AZ58" s="22">
        <f>((AZ13*Constants!$H71*Constants!$H89*(1-Constants!$H107))+(AZ13*Constants!$H71*Constants!$H123))</f>
        <v>497773.90132704074</v>
      </c>
      <c r="BA58" s="22">
        <f>((BA13*Constants!$H71*Constants!$H89*(1-Constants!$H107))+(BA13*Constants!$H71*Constants!$H123))</f>
        <v>499139.2851689707</v>
      </c>
      <c r="BB58" s="22">
        <f>((BB13*Constants!$H71*Constants!$H89*(1-Constants!$H107))+(BB13*Constants!$H71*Constants!$H123))</f>
        <v>499984.90251192806</v>
      </c>
      <c r="BC58" s="22">
        <f>((BC13*Constants!$H71*Constants!$H89*(1-Constants!$H107))+(BC13*Constants!$H71*Constants!$H123))</f>
        <v>500902.55129567743</v>
      </c>
      <c r="BD58" s="22">
        <f>((BD13*Constants!$H71*Constants!$H89*(1-Constants!$H107))+(BD13*Constants!$H71*Constants!$H123))</f>
        <v>501860.31690753624</v>
      </c>
      <c r="BE58" s="22">
        <f>((BE13*Constants!$H71*Constants!$H89*(1-Constants!$H107))+(BE13*Constants!$H71*Constants!$H123))</f>
        <v>502869.48154089751</v>
      </c>
      <c r="BF58" s="22">
        <f>((BF13*Constants!$H71*Constants!$H89*(1-Constants!$H107))+(BF13*Constants!$H71*Constants!$H123))</f>
        <v>503928.66350965435</v>
      </c>
      <c r="BG58" s="22">
        <f>((BG13*Constants!$H71*Constants!$H89*(1-Constants!$H107))+(BG13*Constants!$H71*Constants!$H123))</f>
        <v>504507.33574808895</v>
      </c>
      <c r="BH58" s="22">
        <f>((BH13*Constants!$H71*Constants!$H89*(1-Constants!$H107))+(BH13*Constants!$H71*Constants!$H123))</f>
        <v>505122.46282792778</v>
      </c>
      <c r="BI58" s="22">
        <f>((BI13*Constants!$H71*Constants!$H89*(1-Constants!$H107))+(BI13*Constants!$H71*Constants!$H123))</f>
        <v>505789.7472333879</v>
      </c>
      <c r="BJ58" s="22">
        <f>((BJ13*Constants!$H71*Constants!$H89*(1-Constants!$H107))+(BJ13*Constants!$H71*Constants!$H123))</f>
        <v>506508.55167764454</v>
      </c>
      <c r="BK58" s="22">
        <f>((BK13*Constants!$H71*Constants!$H89*(1-Constants!$H107))+(BK13*Constants!$H71*Constants!$H123))</f>
        <v>507278.9590829864</v>
      </c>
      <c r="BL58" s="22">
        <f>((BL13*Constants!$H71*Constants!$H89*(1-Constants!$H107))+(BL13*Constants!$H71*Constants!$H123))</f>
        <v>507550.50417872373</v>
      </c>
      <c r="BM58" s="22">
        <f>((BM13*Constants!$H71*Constants!$H89*(1-Constants!$H107))+(BM13*Constants!$H71*Constants!$H123))</f>
        <v>507671.09741748252</v>
      </c>
      <c r="BN58" s="22">
        <f>((BN13*Constants!$H71*Constants!$H89*(1-Constants!$H107))+(BN13*Constants!$H71*Constants!$H123))</f>
        <v>507811.28789048828</v>
      </c>
      <c r="BO58" s="22">
        <f>((BO13*Constants!$H71*Constants!$H89*(1-Constants!$H107))+(BO13*Constants!$H71*Constants!$H123))</f>
        <v>507962.21395316022</v>
      </c>
      <c r="BP58" s="22">
        <f>((BP13*Constants!$H71*Constants!$H89*(1-Constants!$H107))+(BP13*Constants!$H71*Constants!$H123))</f>
        <v>508140.50900302135</v>
      </c>
    </row>
    <row r="59" spans="1:72" x14ac:dyDescent="0.3">
      <c r="A59" t="str">
        <f t="shared" si="48"/>
        <v>3C Aggregated and non-CO2 emissions on land</v>
      </c>
      <c r="B59" t="str">
        <f t="shared" si="48"/>
        <v>3C4 Direct N2O from managed soils (N2O)</v>
      </c>
      <c r="C59" t="s">
        <v>409</v>
      </c>
      <c r="D59" t="str">
        <f>Constants!D124</f>
        <v xml:space="preserve"> - Subsistence goats</v>
      </c>
      <c r="E59" t="str">
        <f t="shared" si="49"/>
        <v>MM N available - Subsistence goats</v>
      </c>
      <c r="F59" t="str">
        <f t="shared" si="50"/>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5765409.1507311407</v>
      </c>
      <c r="AM59" s="22">
        <f>((AM14*Constants!$H72*Constants!$H90*(1-Constants!$H108))+(AM14*Constants!$H72*Constants!$H124))</f>
        <v>5782003.9708776344</v>
      </c>
      <c r="AN59" s="22">
        <f>((AN14*Constants!$H72*Constants!$H90*(1-Constants!$H108))+(AN14*Constants!$H72*Constants!$H124))</f>
        <v>5801025.3378573945</v>
      </c>
      <c r="AO59" s="22">
        <f>((AO14*Constants!$H72*Constants!$H90*(1-Constants!$H108))+(AO14*Constants!$H72*Constants!$H124))</f>
        <v>5820414.8042573156</v>
      </c>
      <c r="AP59" s="22">
        <f>((AP14*Constants!$H72*Constants!$H90*(1-Constants!$H108))+(AP14*Constants!$H72*Constants!$H124))</f>
        <v>5841444.1371602435</v>
      </c>
      <c r="AQ59" s="22">
        <f>((AQ14*Constants!$H72*Constants!$H90*(1-Constants!$H108))+(AQ14*Constants!$H72*Constants!$H124))</f>
        <v>5864078.5814226</v>
      </c>
      <c r="AR59" s="22">
        <f>((AR14*Constants!$H72*Constants!$H90*(1-Constants!$H108))+(AR14*Constants!$H72*Constants!$H124))</f>
        <v>5878563.6360954084</v>
      </c>
      <c r="AS59" s="22">
        <f>((AS14*Constants!$H72*Constants!$H90*(1-Constants!$H108))+(AS14*Constants!$H72*Constants!$H124))</f>
        <v>5894411.0893033762</v>
      </c>
      <c r="AT59" s="22">
        <f>((AT14*Constants!$H72*Constants!$H90*(1-Constants!$H108))+(AT14*Constants!$H72*Constants!$H124))</f>
        <v>5911435.5856276974</v>
      </c>
      <c r="AU59" s="22">
        <f>((AU14*Constants!$H72*Constants!$H90*(1-Constants!$H108))+(AU14*Constants!$H72*Constants!$H124))</f>
        <v>5929691.792028605</v>
      </c>
      <c r="AV59" s="22">
        <f>((AV14*Constants!$H72*Constants!$H90*(1-Constants!$H108))+(AV14*Constants!$H72*Constants!$H124))</f>
        <v>5949008.2861734964</v>
      </c>
      <c r="AW59" s="22">
        <f>((AW14*Constants!$H72*Constants!$H90*(1-Constants!$H108))+(AW14*Constants!$H72*Constants!$H124))</f>
        <v>5961890.1954000397</v>
      </c>
      <c r="AX59" s="22">
        <f>((AX14*Constants!$H72*Constants!$H90*(1-Constants!$H108))+(AX14*Constants!$H72*Constants!$H124))</f>
        <v>5975627.9850953398</v>
      </c>
      <c r="AY59" s="22">
        <f>((AY14*Constants!$H72*Constants!$H90*(1-Constants!$H108))+(AY14*Constants!$H72*Constants!$H124))</f>
        <v>5990337.9382454054</v>
      </c>
      <c r="AZ59" s="22">
        <f>((AZ14*Constants!$H72*Constants!$H90*(1-Constants!$H108))+(AZ14*Constants!$H72*Constants!$H124))</f>
        <v>6006169.4595866045</v>
      </c>
      <c r="BA59" s="22">
        <f>((BA14*Constants!$H72*Constants!$H90*(1-Constants!$H108))+(BA14*Constants!$H72*Constants!$H124))</f>
        <v>6022644.2621227549</v>
      </c>
      <c r="BB59" s="22">
        <f>((BB14*Constants!$H72*Constants!$H90*(1-Constants!$H108))+(BB14*Constants!$H72*Constants!$H124))</f>
        <v>6032847.5312098414</v>
      </c>
      <c r="BC59" s="22">
        <f>((BC14*Constants!$H72*Constants!$H90*(1-Constants!$H108))+(BC14*Constants!$H72*Constants!$H124))</f>
        <v>6043919.9359399574</v>
      </c>
      <c r="BD59" s="22">
        <f>((BD14*Constants!$H72*Constants!$H90*(1-Constants!$H108))+(BD14*Constants!$H72*Constants!$H124))</f>
        <v>6055476.3927008538</v>
      </c>
      <c r="BE59" s="22">
        <f>((BE14*Constants!$H72*Constants!$H90*(1-Constants!$H108))+(BE14*Constants!$H72*Constants!$H124))</f>
        <v>6067653.0331081366</v>
      </c>
      <c r="BF59" s="22">
        <f>((BF14*Constants!$H72*Constants!$H90*(1-Constants!$H108))+(BF14*Constants!$H72*Constants!$H124))</f>
        <v>6080433.1856551701</v>
      </c>
      <c r="BG59" s="22">
        <f>((BG14*Constants!$H72*Constants!$H90*(1-Constants!$H108))+(BG14*Constants!$H72*Constants!$H124))</f>
        <v>6087415.4792553978</v>
      </c>
      <c r="BH59" s="22">
        <f>((BH14*Constants!$H72*Constants!$H90*(1-Constants!$H108))+(BH14*Constants!$H72*Constants!$H124))</f>
        <v>6094837.6391373118</v>
      </c>
      <c r="BI59" s="22">
        <f>((BI14*Constants!$H72*Constants!$H90*(1-Constants!$H108))+(BI14*Constants!$H72*Constants!$H124))</f>
        <v>6102889.1324081467</v>
      </c>
      <c r="BJ59" s="22">
        <f>((BJ14*Constants!$H72*Constants!$H90*(1-Constants!$H108))+(BJ14*Constants!$H72*Constants!$H124))</f>
        <v>6111562.2695272285</v>
      </c>
      <c r="BK59" s="22">
        <f>((BK14*Constants!$H72*Constants!$H90*(1-Constants!$H108))+(BK14*Constants!$H72*Constants!$H124))</f>
        <v>6120858.0510398149</v>
      </c>
      <c r="BL59" s="22">
        <f>((BL14*Constants!$H72*Constants!$H90*(1-Constants!$H108))+(BL14*Constants!$H72*Constants!$H124))</f>
        <v>6124134.5302938893</v>
      </c>
      <c r="BM59" s="22">
        <f>((BM14*Constants!$H72*Constants!$H90*(1-Constants!$H108))+(BM14*Constants!$H72*Constants!$H124))</f>
        <v>6125589.6154756052</v>
      </c>
      <c r="BN59" s="22">
        <f>((BN14*Constants!$H72*Constants!$H90*(1-Constants!$H108))+(BN14*Constants!$H72*Constants!$H124))</f>
        <v>6127281.1620497582</v>
      </c>
      <c r="BO59" s="22">
        <f>((BO14*Constants!$H72*Constants!$H90*(1-Constants!$H108))+(BO14*Constants!$H72*Constants!$H124))</f>
        <v>6129102.244886484</v>
      </c>
      <c r="BP59" s="22">
        <f>((BP14*Constants!$H72*Constants!$H90*(1-Constants!$H108))+(BP14*Constants!$H72*Constants!$H124))</f>
        <v>6131253.5635482622</v>
      </c>
    </row>
    <row r="60" spans="1:72" x14ac:dyDescent="0.3">
      <c r="A60" t="str">
        <f t="shared" si="48"/>
        <v>3C Aggregated and non-CO2 emissions on land</v>
      </c>
      <c r="B60" t="str">
        <f t="shared" si="48"/>
        <v>3C4 Direct N2O from managed soils (N2O)</v>
      </c>
      <c r="C60" t="s">
        <v>409</v>
      </c>
      <c r="D60" t="str">
        <f>Constants!D125</f>
        <v xml:space="preserve"> - Horses</v>
      </c>
      <c r="E60" t="str">
        <f t="shared" si="49"/>
        <v>MM N available - Horses</v>
      </c>
      <c r="F60" t="str">
        <f t="shared" si="50"/>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48"/>
        <v>3C Aggregated and non-CO2 emissions on land</v>
      </c>
      <c r="B61" t="str">
        <f t="shared" si="48"/>
        <v>3C4 Direct N2O from managed soils (N2O)</v>
      </c>
      <c r="C61" t="s">
        <v>409</v>
      </c>
      <c r="D61" t="str">
        <f>Constants!D126</f>
        <v xml:space="preserve"> - Mules &amp; Asses</v>
      </c>
      <c r="E61" t="str">
        <f t="shared" si="49"/>
        <v>MM N available - Mules &amp; Asses</v>
      </c>
      <c r="F61" t="str">
        <f t="shared" si="50"/>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48"/>
        <v>3C Aggregated and non-CO2 emissions on land</v>
      </c>
      <c r="B62" t="str">
        <f t="shared" si="48"/>
        <v>3C4 Direct N2O from managed soils (N2O)</v>
      </c>
      <c r="C62" t="s">
        <v>409</v>
      </c>
      <c r="D62" t="str">
        <f>Constants!D127</f>
        <v xml:space="preserve"> - Commercial swine</v>
      </c>
      <c r="E62" t="str">
        <f t="shared" si="49"/>
        <v>MM N available - Commercial swine</v>
      </c>
      <c r="F62" t="str">
        <f t="shared" si="50"/>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7887809.5503911264</v>
      </c>
      <c r="AF62" s="22">
        <f>((AF17*Constants!$H75*Constants!$H93*(1-Constants!$H111))+(AF17*Constants!$H75*Constants!$H127))</f>
        <v>7891347.8708342696</v>
      </c>
      <c r="AG62" s="22">
        <f>((AG17*Constants!$H75*Constants!$H93*(1-Constants!$H111))+(AG17*Constants!$H75*Constants!$H127))</f>
        <v>7818899.2502508275</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7312981.3674521036</v>
      </c>
      <c r="AL62" s="22">
        <f>((AL17*Constants!$H75*Constants!$H93*(1-Constants!$H111))+(AL17*Constants!$H75*Constants!$H127))</f>
        <v>6456996.1902685687</v>
      </c>
      <c r="AM62" s="22">
        <f>((AM17*Constants!$H75*Constants!$H93*(1-Constants!$H111))+(AM17*Constants!$H75*Constants!$H127))</f>
        <v>6538649.27964612</v>
      </c>
      <c r="AN62" s="22">
        <f>((AN17*Constants!$H75*Constants!$H93*(1-Constants!$H111))+(AN17*Constants!$H75*Constants!$H127))</f>
        <v>6713860.780544892</v>
      </c>
      <c r="AO62" s="22">
        <f>((AO17*Constants!$H75*Constants!$H93*(1-Constants!$H111))+(AO17*Constants!$H75*Constants!$H127))</f>
        <v>6729769.0745791374</v>
      </c>
      <c r="AP62" s="22">
        <f>((AP17*Constants!$H75*Constants!$H93*(1-Constants!$H111))+(AP17*Constants!$H75*Constants!$H127))</f>
        <v>6764219.3692422388</v>
      </c>
      <c r="AQ62" s="22">
        <f>((AQ17*Constants!$H75*Constants!$H93*(1-Constants!$H111))+(AQ17*Constants!$H75*Constants!$H127))</f>
        <v>6822142.4325480508</v>
      </c>
      <c r="AR62" s="22">
        <f>((AR17*Constants!$H75*Constants!$H93*(1-Constants!$H111))+(AR17*Constants!$H75*Constants!$H127))</f>
        <v>6894824.2993423361</v>
      </c>
      <c r="AS62" s="22">
        <f>((AS17*Constants!$H75*Constants!$H93*(1-Constants!$H111))+(AS17*Constants!$H75*Constants!$H127))</f>
        <v>6983889.7654443914</v>
      </c>
      <c r="AT62" s="22">
        <f>((AT17*Constants!$H75*Constants!$H93*(1-Constants!$H111))+(AT17*Constants!$H75*Constants!$H127))</f>
        <v>7073996.7629564032</v>
      </c>
      <c r="AU62" s="22">
        <f>((AU17*Constants!$H75*Constants!$H93*(1-Constants!$H111))+(AU17*Constants!$H75*Constants!$H127))</f>
        <v>7178029.5288267406</v>
      </c>
      <c r="AV62" s="22">
        <f>((AV17*Constants!$H75*Constants!$H93*(1-Constants!$H111))+(AV17*Constants!$H75*Constants!$H127))</f>
        <v>7281344.2629671004</v>
      </c>
      <c r="AW62" s="22">
        <f>((AW17*Constants!$H75*Constants!$H93*(1-Constants!$H111))+(AW17*Constants!$H75*Constants!$H127))</f>
        <v>7409791.4524734924</v>
      </c>
      <c r="AX62" s="22">
        <f>((AX17*Constants!$H75*Constants!$H93*(1-Constants!$H111))+(AX17*Constants!$H75*Constants!$H127))</f>
        <v>7528036.471944944</v>
      </c>
      <c r="AY62" s="22">
        <f>((AY17*Constants!$H75*Constants!$H93*(1-Constants!$H111))+(AY17*Constants!$H75*Constants!$H127))</f>
        <v>7653858.6263182992</v>
      </c>
      <c r="AZ62" s="22">
        <f>((AZ17*Constants!$H75*Constants!$H93*(1-Constants!$H111))+(AZ17*Constants!$H75*Constants!$H127))</f>
        <v>7807345.2403015476</v>
      </c>
      <c r="BA62" s="22">
        <f>((BA17*Constants!$H75*Constants!$H93*(1-Constants!$H111))+(BA17*Constants!$H75*Constants!$H127))</f>
        <v>7939139.7904904252</v>
      </c>
      <c r="BB62" s="22">
        <f>((BB17*Constants!$H75*Constants!$H93*(1-Constants!$H111))+(BB17*Constants!$H75*Constants!$H127))</f>
        <v>8081391.7268617442</v>
      </c>
      <c r="BC62" s="22">
        <f>((BC17*Constants!$H75*Constants!$H93*(1-Constants!$H111))+(BC17*Constants!$H75*Constants!$H127))</f>
        <v>8235782.0996218277</v>
      </c>
      <c r="BD62" s="22">
        <f>((BD17*Constants!$H75*Constants!$H93*(1-Constants!$H111))+(BD17*Constants!$H75*Constants!$H127))</f>
        <v>8364578.6640821099</v>
      </c>
      <c r="BE62" s="22">
        <f>((BE17*Constants!$H75*Constants!$H93*(1-Constants!$H111))+(BE17*Constants!$H75*Constants!$H127))</f>
        <v>8485362.1946551986</v>
      </c>
      <c r="BF62" s="22">
        <f>((BF17*Constants!$H75*Constants!$H93*(1-Constants!$H111))+(BF17*Constants!$H75*Constants!$H127))</f>
        <v>8599106.8354249448</v>
      </c>
      <c r="BG62" s="22">
        <f>((BG17*Constants!$H75*Constants!$H93*(1-Constants!$H111))+(BG17*Constants!$H75*Constants!$H127))</f>
        <v>8730443.317077972</v>
      </c>
      <c r="BH62" s="22">
        <f>((BH17*Constants!$H75*Constants!$H93*(1-Constants!$H111))+(BH17*Constants!$H75*Constants!$H127))</f>
        <v>8844360.7844112776</v>
      </c>
      <c r="BI62" s="22">
        <f>((BI17*Constants!$H75*Constants!$H93*(1-Constants!$H111))+(BI17*Constants!$H75*Constants!$H127))</f>
        <v>8961952.5492605828</v>
      </c>
      <c r="BJ62" s="22">
        <f>((BJ17*Constants!$H75*Constants!$H93*(1-Constants!$H111))+(BJ17*Constants!$H75*Constants!$H127))</f>
        <v>9084105.5793093536</v>
      </c>
      <c r="BK62" s="22">
        <f>((BK17*Constants!$H75*Constants!$H93*(1-Constants!$H111))+(BK17*Constants!$H75*Constants!$H127))</f>
        <v>9212348.3138719723</v>
      </c>
      <c r="BL62" s="22">
        <f>((BL17*Constants!$H75*Constants!$H93*(1-Constants!$H111))+(BL17*Constants!$H75*Constants!$H127))</f>
        <v>9347011.6891012806</v>
      </c>
      <c r="BM62" s="22">
        <f>((BM17*Constants!$H75*Constants!$H93*(1-Constants!$H111))+(BM17*Constants!$H75*Constants!$H127))</f>
        <v>9265067.1759196986</v>
      </c>
      <c r="BN62" s="22">
        <f>((BN17*Constants!$H75*Constants!$H93*(1-Constants!$H111))+(BN17*Constants!$H75*Constants!$H127))</f>
        <v>9164185.643876642</v>
      </c>
      <c r="BO62" s="22">
        <f>((BO17*Constants!$H75*Constants!$H93*(1-Constants!$H111))+(BO17*Constants!$H75*Constants!$H127))</f>
        <v>9036890.6825515591</v>
      </c>
      <c r="BP62" s="22">
        <f>((BP17*Constants!$H75*Constants!$H93*(1-Constants!$H111))+(BP17*Constants!$H75*Constants!$H127))</f>
        <v>8903352.7640309483</v>
      </c>
    </row>
    <row r="63" spans="1:72" x14ac:dyDescent="0.3">
      <c r="A63" t="str">
        <f t="shared" si="48"/>
        <v>3C Aggregated and non-CO2 emissions on land</v>
      </c>
      <c r="B63" t="str">
        <f t="shared" si="48"/>
        <v>3C4 Direct N2O from managed soils (N2O)</v>
      </c>
      <c r="C63" t="s">
        <v>409</v>
      </c>
      <c r="D63" t="str">
        <f>Constants!D128</f>
        <v xml:space="preserve"> - Subsistence swine</v>
      </c>
      <c r="E63" t="str">
        <f t="shared" si="49"/>
        <v>MM N available - Subsistence swine</v>
      </c>
      <c r="F63" t="str">
        <f t="shared" si="50"/>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2001167.4043936585</v>
      </c>
      <c r="AF63" s="22">
        <f>((AF18*Constants!$H76*Constants!$H94*(1-Constants!$H112))+(AF18*Constants!$H76*Constants!$H128))</f>
        <v>2002065.0898019942</v>
      </c>
      <c r="AG63" s="22">
        <f>((AG18*Constants!$H76*Constants!$H94*(1-Constants!$H112))+(AG18*Constants!$H76*Constants!$H128))</f>
        <v>1983684.5980978459</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1855331.2992651612</v>
      </c>
      <c r="AL63" s="22">
        <f>((AL18*Constants!$H76*Constants!$H94*(1-Constants!$H112))+(AL18*Constants!$H76*Constants!$H128))</f>
        <v>1638164.591032597</v>
      </c>
      <c r="AM63" s="22">
        <f>((AM18*Constants!$H76*Constants!$H94*(1-Constants!$H112))+(AM18*Constants!$H76*Constants!$H128))</f>
        <v>1658880.2916192443</v>
      </c>
      <c r="AN63" s="22">
        <f>((AN18*Constants!$H76*Constants!$H94*(1-Constants!$H112))+(AN18*Constants!$H76*Constants!$H128))</f>
        <v>1703332.1184836649</v>
      </c>
      <c r="AO63" s="22">
        <f>((AO18*Constants!$H76*Constants!$H94*(1-Constants!$H112))+(AO18*Constants!$H76*Constants!$H128))</f>
        <v>1707368.1134297224</v>
      </c>
      <c r="AP63" s="22">
        <f>((AP18*Constants!$H76*Constants!$H94*(1-Constants!$H112))+(AP18*Constants!$H76*Constants!$H128))</f>
        <v>1716108.2847423195</v>
      </c>
      <c r="AQ63" s="22">
        <f>((AQ18*Constants!$H76*Constants!$H94*(1-Constants!$H112))+(AQ18*Constants!$H76*Constants!$H128))</f>
        <v>1730803.5870958697</v>
      </c>
      <c r="AR63" s="22">
        <f>((AR18*Constants!$H76*Constants!$H94*(1-Constants!$H112))+(AR18*Constants!$H76*Constants!$H128))</f>
        <v>1749243.2542544152</v>
      </c>
      <c r="AS63" s="22">
        <f>((AS18*Constants!$H76*Constants!$H94*(1-Constants!$H112))+(AS18*Constants!$H76*Constants!$H128))</f>
        <v>1771839.503121976</v>
      </c>
      <c r="AT63" s="22">
        <f>((AT18*Constants!$H76*Constants!$H94*(1-Constants!$H112))+(AT18*Constants!$H76*Constants!$H128))</f>
        <v>1794699.9924855756</v>
      </c>
      <c r="AU63" s="22">
        <f>((AU18*Constants!$H76*Constants!$H94*(1-Constants!$H112))+(AU18*Constants!$H76*Constants!$H128))</f>
        <v>1821093.5024605109</v>
      </c>
      <c r="AV63" s="22">
        <f>((AV18*Constants!$H76*Constants!$H94*(1-Constants!$H112))+(AV18*Constants!$H76*Constants!$H128))</f>
        <v>1847304.8450435773</v>
      </c>
      <c r="AW63" s="22">
        <f>((AW18*Constants!$H76*Constants!$H94*(1-Constants!$H112))+(AW18*Constants!$H76*Constants!$H128))</f>
        <v>1879892.3875272092</v>
      </c>
      <c r="AX63" s="22">
        <f>((AX18*Constants!$H76*Constants!$H94*(1-Constants!$H112))+(AX18*Constants!$H76*Constants!$H128))</f>
        <v>1909891.6005135858</v>
      </c>
      <c r="AY63" s="22">
        <f>((AY18*Constants!$H76*Constants!$H94*(1-Constants!$H112))+(AY18*Constants!$H76*Constants!$H128))</f>
        <v>1941813.1615596511</v>
      </c>
      <c r="AZ63" s="22">
        <f>((AZ18*Constants!$H76*Constants!$H94*(1-Constants!$H112))+(AZ18*Constants!$H76*Constants!$H128))</f>
        <v>1980753.3016520038</v>
      </c>
      <c r="BA63" s="22">
        <f>((BA18*Constants!$H76*Constants!$H94*(1-Constants!$H112))+(BA18*Constants!$H76*Constants!$H128))</f>
        <v>2014190.0823234678</v>
      </c>
      <c r="BB63" s="22">
        <f>((BB18*Constants!$H76*Constants!$H94*(1-Constants!$H112))+(BB18*Constants!$H76*Constants!$H128))</f>
        <v>2050279.9418034102</v>
      </c>
      <c r="BC63" s="22">
        <f>((BC18*Constants!$H76*Constants!$H94*(1-Constants!$H112))+(BC18*Constants!$H76*Constants!$H128))</f>
        <v>2089449.3689486622</v>
      </c>
      <c r="BD63" s="22">
        <f>((BD18*Constants!$H76*Constants!$H94*(1-Constants!$H112))+(BD18*Constants!$H76*Constants!$H128))</f>
        <v>2122125.5491922661</v>
      </c>
      <c r="BE63" s="22">
        <f>((BE18*Constants!$H76*Constants!$H94*(1-Constants!$H112))+(BE18*Constants!$H76*Constants!$H128))</f>
        <v>2152768.7921390315</v>
      </c>
      <c r="BF63" s="22">
        <f>((BF18*Constants!$H76*Constants!$H94*(1-Constants!$H112))+(BF18*Constants!$H76*Constants!$H128))</f>
        <v>2181626.2418630291</v>
      </c>
      <c r="BG63" s="22">
        <f>((BG18*Constants!$H76*Constants!$H94*(1-Constants!$H112))+(BG18*Constants!$H76*Constants!$H128))</f>
        <v>2214946.808797705</v>
      </c>
      <c r="BH63" s="22">
        <f>((BH18*Constants!$H76*Constants!$H94*(1-Constants!$H112))+(BH18*Constants!$H76*Constants!$H128))</f>
        <v>2243848.1052808566</v>
      </c>
      <c r="BI63" s="22">
        <f>((BI18*Constants!$H76*Constants!$H94*(1-Constants!$H112))+(BI18*Constants!$H76*Constants!$H128))</f>
        <v>2273681.5850749891</v>
      </c>
      <c r="BJ63" s="22">
        <f>((BJ18*Constants!$H76*Constants!$H94*(1-Constants!$H112))+(BJ18*Constants!$H76*Constants!$H128))</f>
        <v>2304672.2752684914</v>
      </c>
      <c r="BK63" s="22">
        <f>((BK18*Constants!$H76*Constants!$H94*(1-Constants!$H112))+(BK18*Constants!$H76*Constants!$H128))</f>
        <v>2337207.9467521277</v>
      </c>
      <c r="BL63" s="22">
        <f>((BL18*Constants!$H76*Constants!$H94*(1-Constants!$H112))+(BL18*Constants!$H76*Constants!$H128))</f>
        <v>2371372.5592916338</v>
      </c>
      <c r="BM63" s="22">
        <f>((BM18*Constants!$H76*Constants!$H94*(1-Constants!$H112))+(BM18*Constants!$H76*Constants!$H128))</f>
        <v>2350582.9233730333</v>
      </c>
      <c r="BN63" s="22">
        <f>((BN18*Constants!$H76*Constants!$H94*(1-Constants!$H112))+(BN18*Constants!$H76*Constants!$H128))</f>
        <v>2324988.8934538085</v>
      </c>
      <c r="BO63" s="22">
        <f>((BO18*Constants!$H76*Constants!$H94*(1-Constants!$H112))+(BO18*Constants!$H76*Constants!$H128))</f>
        <v>2292693.6756598298</v>
      </c>
      <c r="BP63" s="22">
        <f>((BP18*Constants!$H76*Constants!$H94*(1-Constants!$H112))+(BP18*Constants!$H76*Constants!$H128))</f>
        <v>2258814.5957851429</v>
      </c>
    </row>
    <row r="64" spans="1:72" x14ac:dyDescent="0.3">
      <c r="A64" t="str">
        <f t="shared" si="48"/>
        <v>3C Aggregated and non-CO2 emissions on land</v>
      </c>
      <c r="B64" t="str">
        <f t="shared" si="48"/>
        <v>3C4 Direct N2O from managed soils (N2O)</v>
      </c>
      <c r="C64" t="s">
        <v>409</v>
      </c>
      <c r="D64" t="str">
        <f>Constants!D129</f>
        <v xml:space="preserve"> - Commercial layers</v>
      </c>
      <c r="E64" t="str">
        <f t="shared" si="49"/>
        <v>MM N available - Commercial layers</v>
      </c>
      <c r="F64" t="str">
        <f t="shared" si="50"/>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v>
      </c>
      <c r="AL64" s="22">
        <f>((AL19*Constants!$H77*Constants!$H95*(1-Constants!$H113))+(AL19*Constants!$H77*Constants!$H129))</f>
        <v>10660007.069226997</v>
      </c>
      <c r="AM64" s="22">
        <f>((AM19*Constants!$H77*Constants!$H95*(1-Constants!$H113))+(AM19*Constants!$H77*Constants!$H129))</f>
        <v>10925332.960796338</v>
      </c>
      <c r="AN64" s="22">
        <f>((AN19*Constants!$H77*Constants!$H95*(1-Constants!$H113))+(AN19*Constants!$H77*Constants!$H129))</f>
        <v>11278923.648553714</v>
      </c>
      <c r="AO64" s="22">
        <f>((AO19*Constants!$H77*Constants!$H95*(1-Constants!$H113))+(AO19*Constants!$H77*Constants!$H129))</f>
        <v>11495171.935999162</v>
      </c>
      <c r="AP64" s="22">
        <f>((AP19*Constants!$H77*Constants!$H95*(1-Constants!$H113))+(AP19*Constants!$H77*Constants!$H129))</f>
        <v>11730930.044275222</v>
      </c>
      <c r="AQ64" s="22">
        <f>((AQ19*Constants!$H77*Constants!$H95*(1-Constants!$H113))+(AQ19*Constants!$H77*Constants!$H129))</f>
        <v>11992163.391363973</v>
      </c>
      <c r="AR64" s="22">
        <f>((AR19*Constants!$H77*Constants!$H95*(1-Constants!$H113))+(AR19*Constants!$H77*Constants!$H129))</f>
        <v>12261983.290061172</v>
      </c>
      <c r="AS64" s="22">
        <f>((AS19*Constants!$H77*Constants!$H95*(1-Constants!$H113))+(AS19*Constants!$H77*Constants!$H129))</f>
        <v>12552795.738155762</v>
      </c>
      <c r="AT64" s="22">
        <f>((AT19*Constants!$H77*Constants!$H95*(1-Constants!$H113))+(AT19*Constants!$H77*Constants!$H129))</f>
        <v>12850148.139255716</v>
      </c>
      <c r="AU64" s="22">
        <f>((AU19*Constants!$H77*Constants!$H95*(1-Constants!$H113))+(AU19*Constants!$H77*Constants!$H129))</f>
        <v>13167639.358425179</v>
      </c>
      <c r="AV64" s="22">
        <f>((AV19*Constants!$H77*Constants!$H95*(1-Constants!$H113))+(AV19*Constants!$H77*Constants!$H129))</f>
        <v>13490784.986590762</v>
      </c>
      <c r="AW64" s="22">
        <f>((AW19*Constants!$H77*Constants!$H95*(1-Constants!$H113))+(AW19*Constants!$H77*Constants!$H129))</f>
        <v>13839437.652201466</v>
      </c>
      <c r="AX64" s="22">
        <f>((AX19*Constants!$H77*Constants!$H95*(1-Constants!$H113))+(AX19*Constants!$H77*Constants!$H129))</f>
        <v>14184490.096866932</v>
      </c>
      <c r="AY64" s="22">
        <f>((AY19*Constants!$H77*Constants!$H95*(1-Constants!$H113))+(AY19*Constants!$H77*Constants!$H129))</f>
        <v>14545463.64282332</v>
      </c>
      <c r="AZ64" s="22">
        <f>((AZ19*Constants!$H77*Constants!$H95*(1-Constants!$H113))+(AZ19*Constants!$H77*Constants!$H129))</f>
        <v>14946094.05587293</v>
      </c>
      <c r="BA64" s="22">
        <f>((BA19*Constants!$H77*Constants!$H95*(1-Constants!$H113))+(BA19*Constants!$H77*Constants!$H129))</f>
        <v>15330710.920404058</v>
      </c>
      <c r="BB64" s="22">
        <f>((BB19*Constants!$H77*Constants!$H95*(1-Constants!$H113))+(BB19*Constants!$H77*Constants!$H129))</f>
        <v>15728467.014037188</v>
      </c>
      <c r="BC64" s="22">
        <f>((BC19*Constants!$H77*Constants!$H95*(1-Constants!$H113))+(BC19*Constants!$H77*Constants!$H129))</f>
        <v>16150152.065314323</v>
      </c>
      <c r="BD64" s="22">
        <f>((BD19*Constants!$H77*Constants!$H95*(1-Constants!$H113))+(BD19*Constants!$H77*Constants!$H129))</f>
        <v>16550113.076082893</v>
      </c>
      <c r="BE64" s="22">
        <f>((BE19*Constants!$H77*Constants!$H95*(1-Constants!$H113))+(BE19*Constants!$H77*Constants!$H129))</f>
        <v>16948983.999715347</v>
      </c>
      <c r="BF64" s="22">
        <f>((BF19*Constants!$H77*Constants!$H95*(1-Constants!$H113))+(BF19*Constants!$H77*Constants!$H129))</f>
        <v>17347682.480223093</v>
      </c>
      <c r="BG64" s="22">
        <f>((BG19*Constants!$H77*Constants!$H95*(1-Constants!$H113))+(BG19*Constants!$H77*Constants!$H129))</f>
        <v>17770682.5904673</v>
      </c>
      <c r="BH64" s="22">
        <f>((BH19*Constants!$H77*Constants!$H95*(1-Constants!$H113))+(BH19*Constants!$H77*Constants!$H129))</f>
        <v>18180213.878449038</v>
      </c>
      <c r="BI64" s="22">
        <f>((BI19*Constants!$H77*Constants!$H95*(1-Constants!$H113))+(BI19*Constants!$H77*Constants!$H129))</f>
        <v>18603927.357872151</v>
      </c>
      <c r="BJ64" s="22">
        <f>((BJ19*Constants!$H77*Constants!$H95*(1-Constants!$H113))+(BJ19*Constants!$H77*Constants!$H129))</f>
        <v>19043591.826239809</v>
      </c>
      <c r="BK64" s="22">
        <f>((BK19*Constants!$H77*Constants!$H95*(1-Constants!$H113))+(BK19*Constants!$H77*Constants!$H129))</f>
        <v>19501991.632835105</v>
      </c>
      <c r="BL64" s="22">
        <f>((BL19*Constants!$H77*Constants!$H95*(1-Constants!$H113))+(BL19*Constants!$H77*Constants!$H129))</f>
        <v>19972633.445720825</v>
      </c>
      <c r="BM64" s="22">
        <f>((BM19*Constants!$H77*Constants!$H95*(1-Constants!$H113))+(BM19*Constants!$H77*Constants!$H129))</f>
        <v>20137482.593597423</v>
      </c>
      <c r="BN64" s="22">
        <f>((BN19*Constants!$H77*Constants!$H95*(1-Constants!$H113))+(BN19*Constants!$H77*Constants!$H129))</f>
        <v>20274017.834229618</v>
      </c>
      <c r="BO64" s="22">
        <f>((BO19*Constants!$H77*Constants!$H95*(1-Constants!$H113))+(BO19*Constants!$H77*Constants!$H129))</f>
        <v>20369365.504729442</v>
      </c>
      <c r="BP64" s="22">
        <f>((BP19*Constants!$H77*Constants!$H95*(1-Constants!$H113))+(BP19*Constants!$H77*Constants!$H129))</f>
        <v>20452517.467479631</v>
      </c>
    </row>
    <row r="65" spans="1:68" x14ac:dyDescent="0.3">
      <c r="A65" t="str">
        <f t="shared" si="48"/>
        <v>3C Aggregated and non-CO2 emissions on land</v>
      </c>
      <c r="B65" t="str">
        <f t="shared" si="48"/>
        <v>3C4 Direct N2O from managed soils (N2O)</v>
      </c>
      <c r="C65" t="s">
        <v>409</v>
      </c>
      <c r="D65" t="str">
        <f>Constants!D130</f>
        <v xml:space="preserve"> - Commercial broilers</v>
      </c>
      <c r="E65" t="str">
        <f t="shared" si="49"/>
        <v>MM N available - Commercial broilers</v>
      </c>
      <c r="F65" t="str">
        <f t="shared" si="50"/>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50689904.185566761</v>
      </c>
      <c r="AF65" s="22">
        <f>((AF20*Constants!$H78*Constants!$H96*(1-Constants!$H114))+(AF20*Constants!$H78*Constants!$H130))</f>
        <v>51748158.015700452</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50907218.229325019</v>
      </c>
      <c r="AK65" s="22">
        <f>((AK20*Constants!$H78*Constants!$H96*(1-Constants!$H114))+(AK20*Constants!$H78*Constants!$H130))</f>
        <v>50687682.526318632</v>
      </c>
      <c r="AL65" s="22">
        <f>((AL20*Constants!$H78*Constants!$H96*(1-Constants!$H114))+(AL20*Constants!$H78*Constants!$H130))</f>
        <v>42727085.276336648</v>
      </c>
      <c r="AM65" s="22">
        <f>((AM20*Constants!$H78*Constants!$H96*(1-Constants!$H114))+(AM20*Constants!$H78*Constants!$H130))</f>
        <v>44419285.632125713</v>
      </c>
      <c r="AN65" s="22">
        <f>((AN20*Constants!$H78*Constants!$H96*(1-Constants!$H114))+(AN20*Constants!$H78*Constants!$H130))</f>
        <v>47119928.595600851</v>
      </c>
      <c r="AO65" s="22">
        <f>((AO20*Constants!$H78*Constants!$H96*(1-Constants!$H114))+(AO20*Constants!$H78*Constants!$H130))</f>
        <v>48161057.51262863</v>
      </c>
      <c r="AP65" s="22">
        <f>((AP20*Constants!$H78*Constants!$H96*(1-Constants!$H114))+(AP20*Constants!$H78*Constants!$H130))</f>
        <v>49406968.770185851</v>
      </c>
      <c r="AQ65" s="22">
        <f>((AQ20*Constants!$H78*Constants!$H96*(1-Constants!$H114))+(AQ20*Constants!$H78*Constants!$H130))</f>
        <v>50920960.914370604</v>
      </c>
      <c r="AR65" s="22">
        <f>((AR20*Constants!$H78*Constants!$H96*(1-Constants!$H114))+(AR20*Constants!$H78*Constants!$H130))</f>
        <v>52659474.098433666</v>
      </c>
      <c r="AS65" s="22">
        <f>((AS20*Constants!$H78*Constants!$H96*(1-Constants!$H114))+(AS20*Constants!$H78*Constants!$H130))</f>
        <v>54606347.990996413</v>
      </c>
      <c r="AT65" s="22">
        <f>((AT20*Constants!$H78*Constants!$H96*(1-Constants!$H114))+(AT20*Constants!$H78*Constants!$H130))</f>
        <v>56594564.805403471</v>
      </c>
      <c r="AU65" s="22">
        <f>((AU20*Constants!$H78*Constants!$H96*(1-Constants!$H114))+(AU20*Constants!$H78*Constants!$H130))</f>
        <v>58775030.127243064</v>
      </c>
      <c r="AV65" s="22">
        <f>((AV20*Constants!$H78*Constants!$H96*(1-Constants!$H114))+(AV20*Constants!$H78*Constants!$H130))</f>
        <v>60983453.176914796</v>
      </c>
      <c r="AW65" s="22">
        <f>((AW20*Constants!$H78*Constants!$H96*(1-Constants!$H114))+(AW20*Constants!$H78*Constants!$H130))</f>
        <v>63561525.211296208</v>
      </c>
      <c r="AX65" s="22">
        <f>((AX20*Constants!$H78*Constants!$H96*(1-Constants!$H114))+(AX20*Constants!$H78*Constants!$H130))</f>
        <v>66063415.397737369</v>
      </c>
      <c r="AY65" s="22">
        <f>((AY20*Constants!$H78*Constants!$H96*(1-Constants!$H114))+(AY20*Constants!$H78*Constants!$H130))</f>
        <v>68702526.052654579</v>
      </c>
      <c r="AZ65" s="22">
        <f>((AZ20*Constants!$H78*Constants!$H96*(1-Constants!$H114))+(AZ20*Constants!$H78*Constants!$H130))</f>
        <v>71731698.689496607</v>
      </c>
      <c r="BA65" s="22">
        <f>((BA20*Constants!$H78*Constants!$H96*(1-Constants!$H114))+(BA20*Constants!$H78*Constants!$H130))</f>
        <v>74548706.120509177</v>
      </c>
      <c r="BB65" s="22">
        <f>((BB20*Constants!$H78*Constants!$H96*(1-Constants!$H114))+(BB20*Constants!$H78*Constants!$H130))</f>
        <v>77583133.031744346</v>
      </c>
      <c r="BC65" s="22">
        <f>((BC20*Constants!$H78*Constants!$H96*(1-Constants!$H114))+(BC20*Constants!$H78*Constants!$H130))</f>
        <v>80831946.705971017</v>
      </c>
      <c r="BD65" s="22">
        <f>((BD20*Constants!$H78*Constants!$H96*(1-Constants!$H114))+(BD20*Constants!$H78*Constants!$H130))</f>
        <v>83813093.640947834</v>
      </c>
      <c r="BE65" s="22">
        <f>((BE20*Constants!$H78*Constants!$H96*(1-Constants!$H114))+(BE20*Constants!$H78*Constants!$H130))</f>
        <v>86746863.70244962</v>
      </c>
      <c r="BF65" s="22">
        <f>((BF20*Constants!$H78*Constants!$H96*(1-Constants!$H114))+(BF20*Constants!$H78*Constants!$H130))</f>
        <v>89643966.489442006</v>
      </c>
      <c r="BG65" s="22">
        <f>((BG20*Constants!$H78*Constants!$H96*(1-Constants!$H114))+(BG20*Constants!$H78*Constants!$H130))</f>
        <v>92863514.641776413</v>
      </c>
      <c r="BH65" s="22">
        <f>((BH20*Constants!$H78*Constants!$H96*(1-Constants!$H114))+(BH20*Constants!$H78*Constants!$H130))</f>
        <v>95909508.705964968</v>
      </c>
      <c r="BI65" s="22">
        <f>((BI20*Constants!$H78*Constants!$H96*(1-Constants!$H114))+(BI20*Constants!$H78*Constants!$H130))</f>
        <v>99066495.115663901</v>
      </c>
      <c r="BJ65" s="22">
        <f>((BJ20*Constants!$H78*Constants!$H96*(1-Constants!$H114))+(BJ20*Constants!$H78*Constants!$H130))</f>
        <v>102350758.45726582</v>
      </c>
      <c r="BK65" s="22">
        <f>((BK20*Constants!$H78*Constants!$H96*(1-Constants!$H114))+(BK20*Constants!$H78*Constants!$H130))</f>
        <v>105788451.82895119</v>
      </c>
      <c r="BL65" s="22">
        <f>((BL20*Constants!$H78*Constants!$H96*(1-Constants!$H114))+(BL20*Constants!$H78*Constants!$H130))</f>
        <v>109418602.66846222</v>
      </c>
      <c r="BM65" s="22">
        <f>((BM20*Constants!$H78*Constants!$H96*(1-Constants!$H114))+(BM20*Constants!$H78*Constants!$H130))</f>
        <v>109971274.54345918</v>
      </c>
      <c r="BN65" s="22">
        <f>((BN20*Constants!$H78*Constants!$H96*(1-Constants!$H114))+(BN20*Constants!$H78*Constants!$H130))</f>
        <v>110240904.75958242</v>
      </c>
      <c r="BO65" s="22">
        <f>((BO20*Constants!$H78*Constants!$H96*(1-Constants!$H114))+(BO20*Constants!$H78*Constants!$H130))</f>
        <v>110105200.41602933</v>
      </c>
      <c r="BP65" s="22">
        <f>((BP20*Constants!$H78*Constants!$H96*(1-Constants!$H114))+(BP20*Constants!$H78*Constants!$H130))</f>
        <v>109854108.06472076</v>
      </c>
    </row>
    <row r="66" spans="1:68" x14ac:dyDescent="0.3">
      <c r="A66" t="str">
        <f t="shared" si="48"/>
        <v>3C Aggregated and non-CO2 emissions on land</v>
      </c>
      <c r="B66" t="str">
        <f t="shared" si="48"/>
        <v>3C4 Direct N2O from managed soils (N2O)</v>
      </c>
      <c r="C66" t="s">
        <v>410</v>
      </c>
      <c r="D66" t="str">
        <f>D50</f>
        <v xml:space="preserve"> - TMR</v>
      </c>
      <c r="E66" t="str">
        <f t="shared" si="49"/>
        <v>Urine &amp; dung - TMR</v>
      </c>
      <c r="F66" t="str">
        <f t="shared" si="50"/>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ref="A67:B82" si="51">A66</f>
        <v>3C Aggregated and non-CO2 emissions on land</v>
      </c>
      <c r="B67" t="str">
        <f t="shared" si="51"/>
        <v>3C4 Direct N2O from managed soils (N2O)</v>
      </c>
      <c r="C67" t="s">
        <v>410</v>
      </c>
      <c r="D67" t="str">
        <f t="shared" ref="D67:D81" si="52">D51</f>
        <v xml:space="preserve"> - Pasture</v>
      </c>
      <c r="E67" t="str">
        <f t="shared" si="49"/>
        <v>Urine &amp; dung - Pasture</v>
      </c>
      <c r="F67" t="str">
        <f t="shared" si="50"/>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34750269.993448354</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35364867.326667361</v>
      </c>
      <c r="AL67" s="22">
        <f>AL6*Constants!$H64*(1-Constants!$H82)</f>
        <v>34301813.575747773</v>
      </c>
      <c r="AM67" s="22">
        <f>AM6*Constants!$H64*(1-Constants!$H82)</f>
        <v>34662501.226917632</v>
      </c>
      <c r="AN67" s="22">
        <f>AN6*Constants!$H64*(1-Constants!$H82)</f>
        <v>35190452.508964933</v>
      </c>
      <c r="AO67" s="22">
        <f>AO6*Constants!$H64*(1-Constants!$H82)</f>
        <v>35464102.358761452</v>
      </c>
      <c r="AP67" s="22">
        <f>AP6*Constants!$H64*(1-Constants!$H82)</f>
        <v>35776847.709917948</v>
      </c>
      <c r="AQ67" s="22">
        <f>AQ6*Constants!$H64*(1-Constants!$H82)</f>
        <v>36138817.686978944</v>
      </c>
      <c r="AR67" s="22">
        <f>AR6*Constants!$H64*(1-Constants!$H82)</f>
        <v>36508457.330010772</v>
      </c>
      <c r="AS67" s="22">
        <f>AS6*Constants!$H64*(1-Constants!$H82)</f>
        <v>36917600.74379354</v>
      </c>
      <c r="AT67" s="22">
        <f>AT6*Constants!$H64*(1-Constants!$H82)</f>
        <v>37339418.301935613</v>
      </c>
      <c r="AU67" s="22">
        <f>AU6*Constants!$H64*(1-Constants!$H82)</f>
        <v>37798127.215857908</v>
      </c>
      <c r="AV67" s="22">
        <f>AV6*Constants!$H64*(1-Constants!$H82)</f>
        <v>38267183.745171227</v>
      </c>
      <c r="AW67" s="22">
        <f>AW6*Constants!$H64*(1-Constants!$H82)</f>
        <v>38773919.5472546</v>
      </c>
      <c r="AX67" s="22">
        <f>AX6*Constants!$H64*(1-Constants!$H82)</f>
        <v>39273797.006928116</v>
      </c>
      <c r="AY67" s="22">
        <f>AY6*Constants!$H64*(1-Constants!$H82)</f>
        <v>39801413.938519217</v>
      </c>
      <c r="AZ67" s="22">
        <f>AZ6*Constants!$H64*(1-Constants!$H82)</f>
        <v>40398235.909988388</v>
      </c>
      <c r="BA67" s="22">
        <f>BA6*Constants!$H64*(1-Constants!$H82)</f>
        <v>40965676.341944195</v>
      </c>
      <c r="BB67" s="22">
        <f>BB6*Constants!$H64*(1-Constants!$H82)</f>
        <v>41547583.499307044</v>
      </c>
      <c r="BC67" s="22">
        <f>BC6*Constants!$H64*(1-Constants!$H82)</f>
        <v>42169906.865256377</v>
      </c>
      <c r="BD67" s="22">
        <f>BD6*Constants!$H64*(1-Constants!$H82)</f>
        <v>42752948.859910466</v>
      </c>
      <c r="BE67" s="22">
        <f>BE6*Constants!$H64*(1-Constants!$H82)</f>
        <v>43332826.845978186</v>
      </c>
      <c r="BF67" s="22">
        <f>BF6*Constants!$H64*(1-Constants!$H82)</f>
        <v>43911153.750549428</v>
      </c>
      <c r="BG67" s="22">
        <f>BG6*Constants!$H64*(1-Constants!$H82)</f>
        <v>44523006.276449017</v>
      </c>
      <c r="BH67" s="22">
        <f>BH6*Constants!$H64*(1-Constants!$H82)</f>
        <v>45110248.861542635</v>
      </c>
      <c r="BI67" s="22">
        <f>BI6*Constants!$H64*(1-Constants!$H82)</f>
        <v>45720294.893792033</v>
      </c>
      <c r="BJ67" s="22">
        <f>BJ6*Constants!$H64*(1-Constants!$H82)</f>
        <v>46355926.681915857</v>
      </c>
      <c r="BK67" s="22">
        <f>BK6*Constants!$H64*(1-Constants!$H82)</f>
        <v>47021618.47333096</v>
      </c>
      <c r="BL67" s="22">
        <f>BL6*Constants!$H64*(1-Constants!$H82)</f>
        <v>47699085.475770466</v>
      </c>
      <c r="BM67" s="22">
        <f>BM6*Constants!$H64*(1-Constants!$H82)</f>
        <v>47859707.487971358</v>
      </c>
      <c r="BN67" s="22">
        <f>BN6*Constants!$H64*(1-Constants!$H82)</f>
        <v>47974021.68270994</v>
      </c>
      <c r="BO67" s="22">
        <f>BO6*Constants!$H64*(1-Constants!$H82)</f>
        <v>48020858.296870172</v>
      </c>
      <c r="BP67" s="22">
        <f>BP6*Constants!$H64*(1-Constants!$H82)</f>
        <v>48049139.508880742</v>
      </c>
    </row>
    <row r="68" spans="1:68" x14ac:dyDescent="0.3">
      <c r="A68" t="str">
        <f t="shared" si="51"/>
        <v>3C Aggregated and non-CO2 emissions on land</v>
      </c>
      <c r="B68" t="str">
        <f t="shared" si="51"/>
        <v>3C4 Direct N2O from managed soils (N2O)</v>
      </c>
      <c r="C68" t="s">
        <v>410</v>
      </c>
      <c r="D68" t="str">
        <f t="shared" si="52"/>
        <v xml:space="preserve"> - Non-lactating</v>
      </c>
      <c r="E68" t="str">
        <f t="shared" si="49"/>
        <v>Urine &amp; dung - Non-lactating</v>
      </c>
      <c r="F68" t="str">
        <f t="shared" si="50"/>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23665171.629935287</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v>
      </c>
      <c r="AL68" s="22">
        <f>AL7*Constants!$H65*(1-Constants!$H83)</f>
        <v>23359769.741103023</v>
      </c>
      <c r="AM68" s="22">
        <f>AM7*Constants!$H65*(1-Constants!$H83)</f>
        <v>23605400.499406263</v>
      </c>
      <c r="AN68" s="22">
        <f>AN7*Constants!$H65*(1-Constants!$H83)</f>
        <v>23964938.934769478</v>
      </c>
      <c r="AO68" s="22">
        <f>AO7*Constants!$H65*(1-Constants!$H83)</f>
        <v>24151296.354817193</v>
      </c>
      <c r="AP68" s="22">
        <f>AP7*Constants!$H65*(1-Constants!$H83)</f>
        <v>24364278.078785907</v>
      </c>
      <c r="AQ68" s="22">
        <f>AQ7*Constants!$H65*(1-Constants!$H83)</f>
        <v>24610782.109794792</v>
      </c>
      <c r="AR68" s="22">
        <f>AR7*Constants!$H65*(1-Constants!$H83)</f>
        <v>24862509.23580635</v>
      </c>
      <c r="AS68" s="22">
        <f>AS7*Constants!$H65*(1-Constants!$H83)</f>
        <v>25141138.699987557</v>
      </c>
      <c r="AT68" s="22">
        <f>AT7*Constants!$H65*(1-Constants!$H83)</f>
        <v>25428399.343195055</v>
      </c>
      <c r="AU68" s="22">
        <f>AU7*Constants!$H65*(1-Constants!$H83)</f>
        <v>25740783.252102789</v>
      </c>
      <c r="AV68" s="22">
        <f>AV7*Constants!$H65*(1-Constants!$H83)</f>
        <v>26060213.957891088</v>
      </c>
      <c r="AW68" s="22">
        <f>AW7*Constants!$H65*(1-Constants!$H83)</f>
        <v>26405304.506240703</v>
      </c>
      <c r="AX68" s="22">
        <f>AX7*Constants!$H65*(1-Constants!$H83)</f>
        <v>26745724.476483811</v>
      </c>
      <c r="AY68" s="22">
        <f>AY7*Constants!$H65*(1-Constants!$H83)</f>
        <v>27105035.216898698</v>
      </c>
      <c r="AZ68" s="22">
        <f>AZ7*Constants!$H65*(1-Constants!$H83)</f>
        <v>27511475.062977515</v>
      </c>
      <c r="BA68" s="22">
        <f>BA7*Constants!$H65*(1-Constants!$H83)</f>
        <v>27897905.879616652</v>
      </c>
      <c r="BB68" s="22">
        <f>BB7*Constants!$H65*(1-Constants!$H83)</f>
        <v>28294188.635240585</v>
      </c>
      <c r="BC68" s="22">
        <f>BC7*Constants!$H65*(1-Constants!$H83)</f>
        <v>28717995.105443165</v>
      </c>
      <c r="BD68" s="22">
        <f>BD7*Constants!$H65*(1-Constants!$H83)</f>
        <v>29115050.693027101</v>
      </c>
      <c r="BE68" s="22">
        <f>BE7*Constants!$H65*(1-Constants!$H83)</f>
        <v>29509951.569115281</v>
      </c>
      <c r="BF68" s="22">
        <f>BF7*Constants!$H65*(1-Constants!$H83)</f>
        <v>29903796.148091741</v>
      </c>
      <c r="BG68" s="22">
        <f>BG7*Constants!$H65*(1-Constants!$H83)</f>
        <v>30320471.90457803</v>
      </c>
      <c r="BH68" s="22">
        <f>BH7*Constants!$H65*(1-Constants!$H83)</f>
        <v>30720388.122992087</v>
      </c>
      <c r="BI68" s="22">
        <f>BI7*Constants!$H65*(1-Constants!$H83)</f>
        <v>31135833.644942425</v>
      </c>
      <c r="BJ68" s="22">
        <f>BJ7*Constants!$H65*(1-Constants!$H83)</f>
        <v>31568703.241703223</v>
      </c>
      <c r="BK68" s="22">
        <f>BK7*Constants!$H65*(1-Constants!$H83)</f>
        <v>32022043.906378567</v>
      </c>
      <c r="BL68" s="22">
        <f>BL7*Constants!$H65*(1-Constants!$H83)</f>
        <v>32483403.570328556</v>
      </c>
      <c r="BM68" s="22">
        <f>BM7*Constants!$H65*(1-Constants!$H83)</f>
        <v>32592788.259627268</v>
      </c>
      <c r="BN68" s="22">
        <f>BN7*Constants!$H65*(1-Constants!$H83)</f>
        <v>32670637.008391991</v>
      </c>
      <c r="BO68" s="22">
        <f>BO7*Constants!$H65*(1-Constants!$H83)</f>
        <v>32702533.063095327</v>
      </c>
      <c r="BP68" s="22">
        <f>BP7*Constants!$H65*(1-Constants!$H83)</f>
        <v>32721792.761977069</v>
      </c>
    </row>
    <row r="69" spans="1:68" x14ac:dyDescent="0.3">
      <c r="A69" t="str">
        <f t="shared" si="51"/>
        <v>3C Aggregated and non-CO2 emissions on land</v>
      </c>
      <c r="B69" t="str">
        <f t="shared" si="51"/>
        <v>3C4 Direct N2O from managed soils (N2O)</v>
      </c>
      <c r="C69" t="s">
        <v>410</v>
      </c>
      <c r="D69" t="str">
        <f t="shared" si="52"/>
        <v xml:space="preserve"> - Commercial cattle</v>
      </c>
      <c r="E69" t="str">
        <f t="shared" si="49"/>
        <v>Urine &amp; dung - Commercial cattle</v>
      </c>
      <c r="F69" t="str">
        <f t="shared" si="50"/>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488521322.93671781</v>
      </c>
      <c r="AE69" s="22">
        <f>AE8*Constants!$H66*(1-Constants!$H84)</f>
        <v>484284533.5160473</v>
      </c>
      <c r="AF69" s="22">
        <f>AF8*Constants!$H66*(1-Constants!$H84)</f>
        <v>482671716.04202372</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383787926.10780758</v>
      </c>
      <c r="AM69" s="22">
        <f>AM8*Constants!$H66*(1-Constants!$H84)</f>
        <v>390021798.56060785</v>
      </c>
      <c r="AN69" s="22">
        <f>AN8*Constants!$H66*(1-Constants!$H84)</f>
        <v>401651284.2800681</v>
      </c>
      <c r="AO69" s="22">
        <f>AO8*Constants!$H66*(1-Constants!$H84)</f>
        <v>403973826.90367824</v>
      </c>
      <c r="AP69" s="22">
        <f>AP8*Constants!$H66*(1-Constants!$H84)</f>
        <v>407323601.33538157</v>
      </c>
      <c r="AQ69" s="22">
        <f>AQ8*Constants!$H66*(1-Constants!$H84)</f>
        <v>411996610.55700219</v>
      </c>
      <c r="AR69" s="22">
        <f>AR8*Constants!$H66*(1-Constants!$H84)</f>
        <v>417356765.34889895</v>
      </c>
      <c r="AS69" s="22">
        <f>AS8*Constants!$H66*(1-Constants!$H84)</f>
        <v>423641265.39775735</v>
      </c>
      <c r="AT69" s="22">
        <f>AT8*Constants!$H66*(1-Constants!$H84)</f>
        <v>429954750.96682692</v>
      </c>
      <c r="AU69" s="22">
        <f>AU8*Constants!$H66*(1-Constants!$H84)</f>
        <v>437055474.0977723</v>
      </c>
      <c r="AV69" s="22">
        <f>AV8*Constants!$H66*(1-Constants!$H84)</f>
        <v>444085730.32368773</v>
      </c>
      <c r="AW69" s="22">
        <f>AW8*Constants!$H66*(1-Constants!$H84)</f>
        <v>448665259.13337517</v>
      </c>
      <c r="AX69" s="22">
        <f>AX8*Constants!$H66*(1-Constants!$H84)</f>
        <v>452425371.42636549</v>
      </c>
      <c r="AY69" s="22">
        <f>AY8*Constants!$H66*(1-Constants!$H84)</f>
        <v>456397717.01438433</v>
      </c>
      <c r="AZ69" s="22">
        <f>AZ8*Constants!$H66*(1-Constants!$H84)</f>
        <v>461712670.78022766</v>
      </c>
      <c r="BA69" s="22">
        <f>BA8*Constants!$H66*(1-Constants!$H84)</f>
        <v>465535006.80401045</v>
      </c>
      <c r="BB69" s="22">
        <f>BB8*Constants!$H66*(1-Constants!$H84)</f>
        <v>469608675.13581014</v>
      </c>
      <c r="BC69" s="22">
        <f>BC8*Constants!$H66*(1-Constants!$H84)</f>
        <v>474092940.9743005</v>
      </c>
      <c r="BD69" s="22">
        <f>BD8*Constants!$H66*(1-Constants!$H84)</f>
        <v>476887235.56532508</v>
      </c>
      <c r="BE69" s="22">
        <f>BE8*Constants!$H66*(1-Constants!$H84)</f>
        <v>478983566.38045841</v>
      </c>
      <c r="BF69" s="22">
        <f>BF8*Constants!$H66*(1-Constants!$H84)</f>
        <v>480441698.72133702</v>
      </c>
      <c r="BG69" s="22">
        <f>BG8*Constants!$H66*(1-Constants!$H84)</f>
        <v>484974646.78494018</v>
      </c>
      <c r="BH69" s="22">
        <f>BH8*Constants!$H66*(1-Constants!$H84)</f>
        <v>488420261.15951335</v>
      </c>
      <c r="BI69" s="22">
        <f>BI8*Constants!$H66*(1-Constants!$H84)</f>
        <v>491909369.17378134</v>
      </c>
      <c r="BJ69" s="22">
        <f>BJ8*Constants!$H66*(1-Constants!$H84)</f>
        <v>495481884.6461457</v>
      </c>
      <c r="BK69" s="22">
        <f>BK8*Constants!$H66*(1-Constants!$H84)</f>
        <v>499209848.49769974</v>
      </c>
      <c r="BL69" s="22">
        <f>BL8*Constants!$H66*(1-Constants!$H84)</f>
        <v>503037477.14302695</v>
      </c>
      <c r="BM69" s="22">
        <f>BM8*Constants!$H66*(1-Constants!$H84)</f>
        <v>495487033.78445929</v>
      </c>
      <c r="BN69" s="22">
        <f>BN8*Constants!$H66*(1-Constants!$H84)</f>
        <v>486933651.28753746</v>
      </c>
      <c r="BO69" s="22">
        <f>BO8*Constants!$H66*(1-Constants!$H84)</f>
        <v>477017537.34157705</v>
      </c>
      <c r="BP69" s="22">
        <f>BP8*Constants!$H66*(1-Constants!$H84)</f>
        <v>466790659.59546643</v>
      </c>
    </row>
    <row r="70" spans="1:68" x14ac:dyDescent="0.3">
      <c r="A70" t="str">
        <f t="shared" si="51"/>
        <v>3C Aggregated and non-CO2 emissions on land</v>
      </c>
      <c r="B70" t="str">
        <f t="shared" si="51"/>
        <v>3C4 Direct N2O from managed soils (N2O)</v>
      </c>
      <c r="C70" t="s">
        <v>410</v>
      </c>
      <c r="D70" t="str">
        <f t="shared" si="52"/>
        <v xml:space="preserve"> - Subsistence cattle</v>
      </c>
      <c r="E70" t="str">
        <f t="shared" si="49"/>
        <v>Urine &amp; dung - Subsistence cattle</v>
      </c>
      <c r="F70" t="str">
        <f t="shared" si="50"/>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94">
        <f>IF('Net zero activities &amp; levers'!$C$10="Off",AD9*Constants!$H67*(1-Constants!$H85),IF('Net zero activities &amp; levers'!$C$10="On",('Net zero supporting data'!B197*Constants!$H67*(1-Constants!$H85-'Net zero supporting data'!B199))+('Net zero supporting data'!B198*Constants!$H67*(1-Constants!$H85)),"ERROR"))</f>
        <v>307182602.50561374</v>
      </c>
      <c r="AE70" s="94">
        <f>IF('Net zero activities &amp; levers'!$C$10="Off",AE9*Constants!$H67*(1-Constants!$H85),IF('Net zero activities &amp; levers'!$C$10="On",('Net zero supporting data'!C197*Constants!$H67*(1-Constants!$H85-'Net zero supporting data'!C199))+('Net zero supporting data'!C198*Constants!$H67*(1-Constants!$H85)),"ERROR"))</f>
        <v>304518505.8952834</v>
      </c>
      <c r="AF70" s="94">
        <f>IF('Net zero activities &amp; levers'!$C$10="Off",AF9*Constants!$H67*(1-Constants!$H85),IF('Net zero activities &amp; levers'!$C$10="On",('Net zero supporting data'!D197*Constants!$H67*(1-Constants!$H85-'Net zero supporting data'!D199))+('Net zero supporting data'!D198*Constants!$H67*(1-Constants!$H85)),"ERROR"))</f>
        <v>303504364.96473229</v>
      </c>
      <c r="AG70" s="94">
        <f>IF('Net zero activities &amp; levers'!$C$10="Off",AG9*Constants!$H67*(1-Constants!$H85),IF('Net zero activities &amp; levers'!$C$10="On",('Net zero supporting data'!E197*Constants!$H67*(1-Constants!$H85-'Net zero supporting data'!E199))+('Net zero supporting data'!E198*Constants!$H67*(1-Constants!$H85)),"ERROR"))</f>
        <v>299451461.44928294</v>
      </c>
      <c r="AH70" s="94">
        <f>IF('Net zero activities &amp; levers'!$C$10="Off",AH9*Constants!$H67*(1-Constants!$H85),IF('Net zero activities &amp; levers'!$C$10="On",('Net zero supporting data'!F197*Constants!$H67*(1-Constants!$H85-'Net zero supporting data'!F199))+('Net zero supporting data'!F198*Constants!$H67*(1-Constants!$H85)),"ERROR"))</f>
        <v>293568573.01785612</v>
      </c>
      <c r="AI70" s="94">
        <f>IF('Net zero activities &amp; levers'!$C$10="Off",AI9*Constants!$H67*(1-Constants!$H85),IF('Net zero activities &amp; levers'!$C$10="On",('Net zero supporting data'!G197*Constants!$H67*(1-Constants!$H85-'Net zero supporting data'!G199))+('Net zero supporting data'!G198*Constants!$H67*(1-Constants!$H85)),"ERROR"))</f>
        <v>285977348.59350574</v>
      </c>
      <c r="AJ70" s="94">
        <f>IF('Net zero activities &amp; levers'!$C$10="Off",AJ9*Constants!$H67*(1-Constants!$H85),IF('Net zero activities &amp; levers'!$C$10="On",('Net zero supporting data'!H197*Constants!$H67*(1-Constants!$H85-'Net zero supporting data'!H199))+('Net zero supporting data'!H198*Constants!$H67*(1-Constants!$H85)),"ERROR"))</f>
        <v>279989927.86993009</v>
      </c>
      <c r="AK70" s="94">
        <f>IF('Net zero activities &amp; levers'!$C$10="Off",AK9*Constants!$H67*(1-Constants!$H85),IF('Net zero activities &amp; levers'!$C$10="On",('Net zero supporting data'!I197*Constants!$H67*(1-Constants!$H85-'Net zero supporting data'!I199))+('Net zero supporting data'!I198*Constants!$H67*(1-Constants!$H85)),"ERROR"))</f>
        <v>274325147.19098037</v>
      </c>
      <c r="AL70" s="94">
        <f>IF('Net zero activities &amp; levers'!$C$10="Off",AL9*Constants!$H67*(1-Constants!$H85),IF('Net zero activities &amp; levers'!$C$10="On",('Net zero supporting data'!J197*Constants!$H67*(1-Constants!$H85-'Net zero supporting data'!J199))+('Net zero supporting data'!J198*Constants!$H67*(1-Constants!$H85)),"ERROR"))</f>
        <v>241326157.97263813</v>
      </c>
      <c r="AM70" s="94">
        <f>IF('Net zero activities &amp; levers'!$C$10="Off",AM9*Constants!$H67*(1-Constants!$H85),IF('Net zero activities &amp; levers'!$C$10="On",('Net zero supporting data'!K197*Constants!$H67*(1-Constants!$H85-'Net zero supporting data'!K199))+('Net zero supporting data'!K198*Constants!$H67*(1-Constants!$H85)),"ERROR"))</f>
        <v>245246022.0068787</v>
      </c>
      <c r="AN70" s="94">
        <f>IF('Net zero activities &amp; levers'!$C$10="Off",AN9*Constants!$H67*(1-Constants!$H85),IF('Net zero activities &amp; levers'!$C$10="On",('Net zero supporting data'!L197*Constants!$H67*(1-Constants!$H85-'Net zero supporting data'!L199))+('Net zero supporting data'!L198*Constants!$H67*(1-Constants!$H85)),"ERROR"))</f>
        <v>252558652.02194229</v>
      </c>
      <c r="AO70" s="94">
        <f>IF('Net zero activities &amp; levers'!$C$10="Off",AO9*Constants!$H67*(1-Constants!$H85),IF('Net zero activities &amp; levers'!$C$10="On",('Net zero supporting data'!M197*Constants!$H67*(1-Constants!$H85-'Net zero supporting data'!M199))+('Net zero supporting data'!M198*Constants!$H67*(1-Constants!$H85)),"ERROR"))</f>
        <v>254019068.69989198</v>
      </c>
      <c r="AP70" s="94">
        <f>IF('Net zero activities &amp; levers'!$C$10="Off",AP9*Constants!$H67*(1-Constants!$H85),IF('Net zero activities &amp; levers'!$C$10="On",('Net zero supporting data'!N197*Constants!$H67*(1-Constants!$H85-'Net zero supporting data'!N199))+('Net zero supporting data'!N198*Constants!$H67*(1-Constants!$H85)),"ERROR"))</f>
        <v>256125409.56860098</v>
      </c>
      <c r="AQ70" s="94">
        <f>IF('Net zero activities &amp; levers'!$C$10="Off",AQ9*Constants!$H67*(1-Constants!$H85),IF('Net zero activities &amp; levers'!$C$10="On",('Net zero supporting data'!O197*Constants!$H67*(1-Constants!$H85-'Net zero supporting data'!O199))+('Net zero supporting data'!O198*Constants!$H67*(1-Constants!$H85)),"ERROR"))</f>
        <v>259063801.54216093</v>
      </c>
      <c r="AR70" s="94">
        <f>IF('Net zero activities &amp; levers'!$C$10="Off",AR9*Constants!$H67*(1-Constants!$H85),IF('Net zero activities &amp; levers'!$C$10="On",('Net zero supporting data'!P197*Constants!$H67*(1-Constants!$H85-'Net zero supporting data'!P199))+('Net zero supporting data'!P198*Constants!$H67*(1-Constants!$H85)),"ERROR"))</f>
        <v>262434271.20540854</v>
      </c>
      <c r="AS70" s="94">
        <f>IF('Net zero activities &amp; levers'!$C$10="Off",AS9*Constants!$H67*(1-Constants!$H85),IF('Net zero activities &amp; levers'!$C$10="On",('Net zero supporting data'!Q197*Constants!$H67*(1-Constants!$H85-'Net zero supporting data'!Q199))+('Net zero supporting data'!Q198*Constants!$H67*(1-Constants!$H85)),"ERROR"))</f>
        <v>266385969.91294897</v>
      </c>
      <c r="AT70" s="94">
        <f>IF('Net zero activities &amp; levers'!$C$10="Off",AT9*Constants!$H67*(1-Constants!$H85),IF('Net zero activities &amp; levers'!$C$10="On",('Net zero supporting data'!R197*Constants!$H67*(1-Constants!$H85-'Net zero supporting data'!R199))+('Net zero supporting data'!R198*Constants!$H67*(1-Constants!$H85)),"ERROR"))</f>
        <v>270355894.73901367</v>
      </c>
      <c r="AU70" s="94">
        <f>IF('Net zero activities &amp; levers'!$C$10="Off",AU9*Constants!$H67*(1-Constants!$H85),IF('Net zero activities &amp; levers'!$C$10="On",('Net zero supporting data'!S197*Constants!$H67*(1-Constants!$H85-'Net zero supporting data'!S199))+('Net zero supporting data'!S198*Constants!$H67*(1-Constants!$H85)),"ERROR"))</f>
        <v>274820835.17994118</v>
      </c>
      <c r="AV70" s="94">
        <f>IF('Net zero activities &amp; levers'!$C$10="Off",AV9*Constants!$H67*(1-Constants!$H85),IF('Net zero activities &amp; levers'!$C$10="On",('Net zero supporting data'!T197*Constants!$H67*(1-Constants!$H85-'Net zero supporting data'!T199))+('Net zero supporting data'!T198*Constants!$H67*(1-Constants!$H85)),"ERROR"))</f>
        <v>279241465.97406065</v>
      </c>
      <c r="AW70" s="94">
        <f>IF('Net zero activities &amp; levers'!$C$10="Off",AW9*Constants!$H67*(1-Constants!$H85),IF('Net zero activities &amp; levers'!$C$10="On",('Net zero supporting data'!U197*Constants!$H67*(1-Constants!$H85-'Net zero supporting data'!U199))+('Net zero supporting data'!U198*Constants!$H67*(1-Constants!$H85)),"ERROR"))</f>
        <v>282121077.38908058</v>
      </c>
      <c r="AX70" s="94">
        <f>IF('Net zero activities &amp; levers'!$C$10="Off",AX9*Constants!$H67*(1-Constants!$H85),IF('Net zero activities &amp; levers'!$C$10="On",('Net zero supporting data'!V197*Constants!$H67*(1-Constants!$H85-'Net zero supporting data'!V199))+('Net zero supporting data'!V198*Constants!$H67*(1-Constants!$H85)),"ERROR"))</f>
        <v>284485439.03645074</v>
      </c>
      <c r="AY70" s="94">
        <f>IF('Net zero activities &amp; levers'!$C$10="Off",AY9*Constants!$H67*(1-Constants!$H85),IF('Net zero activities &amp; levers'!$C$10="On",('Net zero supporting data'!W197*Constants!$H67*(1-Constants!$H85-'Net zero supporting data'!W199))+('Net zero supporting data'!W198*Constants!$H67*(1-Constants!$H85)),"ERROR"))</f>
        <v>286983253.15118366</v>
      </c>
      <c r="AZ70" s="94">
        <f>IF('Net zero activities &amp; levers'!$C$10="Off",AZ9*Constants!$H67*(1-Constants!$H85),IF('Net zero activities &amp; levers'!$C$10="On",('Net zero supporting data'!X197*Constants!$H67*(1-Constants!$H85-'Net zero supporting data'!X199))+('Net zero supporting data'!X198*Constants!$H67*(1-Constants!$H85)),"ERROR"))</f>
        <v>290325300.37273401</v>
      </c>
      <c r="BA70" s="94">
        <f>IF('Net zero activities &amp; levers'!$C$10="Off",BA9*Constants!$H67*(1-Constants!$H85),IF('Net zero activities &amp; levers'!$C$10="On",('Net zero supporting data'!Y197*Constants!$H67*(1-Constants!$H85-'Net zero supporting data'!Y199))+('Net zero supporting data'!Y198*Constants!$H67*(1-Constants!$H85)),"ERROR"))</f>
        <v>292728788.3522929</v>
      </c>
      <c r="BB70" s="94">
        <f>IF('Net zero activities &amp; levers'!$C$10="Off",BB9*Constants!$H67*(1-Constants!$H85),IF('Net zero activities &amp; levers'!$C$10="On",('Net zero supporting data'!Z197*Constants!$H67*(1-Constants!$H85-'Net zero supporting data'!Z199))+('Net zero supporting data'!Z198*Constants!$H67*(1-Constants!$H85)),"ERROR"))</f>
        <v>295290314.29016674</v>
      </c>
      <c r="BC70" s="94">
        <f>IF('Net zero activities &amp; levers'!$C$10="Off",BC9*Constants!$H67*(1-Constants!$H85),IF('Net zero activities &amp; levers'!$C$10="On",('Net zero supporting data'!AA197*Constants!$H67*(1-Constants!$H85-'Net zero supporting data'!AA199))+('Net zero supporting data'!AA198*Constants!$H67*(1-Constants!$H85)),"ERROR"))</f>
        <v>298110024.27194154</v>
      </c>
      <c r="BD70" s="94">
        <f>IF('Net zero activities &amp; levers'!$C$10="Off",BD9*Constants!$H67*(1-Constants!$H85),IF('Net zero activities &amp; levers'!$C$10="On",('Net zero supporting data'!AB197*Constants!$H67*(1-Constants!$H85-'Net zero supporting data'!AB199))+('Net zero supporting data'!AB198*Constants!$H67*(1-Constants!$H85)),"ERROR"))</f>
        <v>299867078.96809763</v>
      </c>
      <c r="BE70" s="94">
        <f>IF('Net zero activities &amp; levers'!$C$10="Off",BE9*Constants!$H67*(1-Constants!$H85),IF('Net zero activities &amp; levers'!$C$10="On",('Net zero supporting data'!AC197*Constants!$H67*(1-Constants!$H85-'Net zero supporting data'!AC199))+('Net zero supporting data'!AC198*Constants!$H67*(1-Constants!$H85)),"ERROR"))</f>
        <v>301185253.47813582</v>
      </c>
      <c r="BF70" s="94">
        <f>IF('Net zero activities &amp; levers'!$C$10="Off",BF9*Constants!$H67*(1-Constants!$H85),IF('Net zero activities &amp; levers'!$C$10="On",('Net zero supporting data'!AD197*Constants!$H67*(1-Constants!$H85-'Net zero supporting data'!AD199))+('Net zero supporting data'!AD198*Constants!$H67*(1-Constants!$H85)),"ERROR"))</f>
        <v>302102128.27200586</v>
      </c>
      <c r="BG70" s="94">
        <f>IF('Net zero activities &amp; levers'!$C$10="Off",BG9*Constants!$H67*(1-Constants!$H85),IF('Net zero activities &amp; levers'!$C$10="On",('Net zero supporting data'!AE197*Constants!$H67*(1-Constants!$H85-'Net zero supporting data'!AE199))+('Net zero supporting data'!AE198*Constants!$H67*(1-Constants!$H85)),"ERROR"))</f>
        <v>304952449.67625862</v>
      </c>
      <c r="BH70" s="94">
        <f>IF('Net zero activities &amp; levers'!$C$10="Off",BH9*Constants!$H67*(1-Constants!$H85),IF('Net zero activities &amp; levers'!$C$10="On",('Net zero supporting data'!AF197*Constants!$H67*(1-Constants!$H85-'Net zero supporting data'!AF199))+('Net zero supporting data'!AF198*Constants!$H67*(1-Constants!$H85)),"ERROR"))</f>
        <v>307119054.77846676</v>
      </c>
      <c r="BI70" s="94">
        <f>IF('Net zero activities &amp; levers'!$C$10="Off",BI9*Constants!$H67*(1-Constants!$H85),IF('Net zero activities &amp; levers'!$C$10="On",('Net zero supporting data'!AG197*Constants!$H67*(1-Constants!$H85-'Net zero supporting data'!AG199))+('Net zero supporting data'!AG198*Constants!$H67*(1-Constants!$H85)),"ERROR"))</f>
        <v>309313008.71645045</v>
      </c>
      <c r="BJ70" s="94">
        <f>IF('Net zero activities &amp; levers'!$C$10="Off",BJ9*Constants!$H67*(1-Constants!$H85),IF('Net zero activities &amp; levers'!$C$10="On",('Net zero supporting data'!AH197*Constants!$H67*(1-Constants!$H85-'Net zero supporting data'!AH199))+('Net zero supporting data'!AH198*Constants!$H67*(1-Constants!$H85)),"ERROR"))</f>
        <v>311559409.33146435</v>
      </c>
      <c r="BK70" s="94">
        <f>IF('Net zero activities &amp; levers'!$C$10="Off",BK9*Constants!$H67*(1-Constants!$H85),IF('Net zero activities &amp; levers'!$C$10="On",('Net zero supporting data'!AI197*Constants!$H67*(1-Constants!$H85-'Net zero supporting data'!AI199))+('Net zero supporting data'!AI198*Constants!$H67*(1-Constants!$H85)),"ERROR"))</f>
        <v>313903556.01288885</v>
      </c>
      <c r="BL70" s="94">
        <f>IF('Net zero activities &amp; levers'!$C$10="Off",BL9*Constants!$H67*(1-Constants!$H85),IF('Net zero activities &amp; levers'!$C$10="On",('Net zero supporting data'!AJ197*Constants!$H67*(1-Constants!$H85-'Net zero supporting data'!AJ199))+('Net zero supporting data'!AJ198*Constants!$H67*(1-Constants!$H85)),"ERROR"))</f>
        <v>316310371.9971503</v>
      </c>
      <c r="BM70" s="94">
        <f>IF('Net zero activities &amp; levers'!$C$10="Off",BM9*Constants!$H67*(1-Constants!$H85),IF('Net zero activities &amp; levers'!$C$10="On",('Net zero supporting data'!AK197*Constants!$H67*(1-Constants!$H85-'Net zero supporting data'!AK199))+('Net zero supporting data'!AK198*Constants!$H67*(1-Constants!$H85)),"ERROR"))</f>
        <v>311562647.11379558</v>
      </c>
      <c r="BN70" s="94">
        <f>IF('Net zero activities &amp; levers'!$C$10="Off",BN9*Constants!$H67*(1-Constants!$H85),IF('Net zero activities &amp; levers'!$C$10="On",('Net zero supporting data'!AL197*Constants!$H67*(1-Constants!$H85-'Net zero supporting data'!AL199))+('Net zero supporting data'!AL198*Constants!$H67*(1-Constants!$H85)),"ERROR"))</f>
        <v>306184273.29003775</v>
      </c>
      <c r="BO70" s="94">
        <f>IF('Net zero activities &amp; levers'!$C$10="Off",BO9*Constants!$H67*(1-Constants!$H85),IF('Net zero activities &amp; levers'!$C$10="On",('Net zero supporting data'!AM197*Constants!$H67*(1-Constants!$H85-'Net zero supporting data'!AM199))+('Net zero supporting data'!AM198*Constants!$H67*(1-Constants!$H85)),"ERROR"))</f>
        <v>299949012.83026671</v>
      </c>
      <c r="BP70" s="94">
        <f>IF('Net zero activities &amp; levers'!$C$10="Off",BP9*Constants!$H67*(1-Constants!$H85),IF('Net zero activities &amp; levers'!$C$10="On",('Net zero supporting data'!AN197*Constants!$H67*(1-Constants!$H85-'Net zero supporting data'!AN199))+('Net zero supporting data'!AN198*Constants!$H67*(1-Constants!$H85)),"ERROR"))</f>
        <v>293518343.84191644</v>
      </c>
    </row>
    <row r="71" spans="1:68" x14ac:dyDescent="0.3">
      <c r="A71" t="str">
        <f t="shared" si="51"/>
        <v>3C Aggregated and non-CO2 emissions on land</v>
      </c>
      <c r="B71" t="str">
        <f t="shared" si="51"/>
        <v>3C4 Direct N2O from managed soils (N2O)</v>
      </c>
      <c r="C71" t="s">
        <v>410</v>
      </c>
      <c r="D71" t="str">
        <f t="shared" si="52"/>
        <v xml:space="preserve"> - Feedlot</v>
      </c>
      <c r="E71" t="str">
        <f t="shared" si="49"/>
        <v>Urine &amp; dung - Feedlot</v>
      </c>
      <c r="F71" t="str">
        <f t="shared" si="50"/>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51"/>
        <v>3C Aggregated and non-CO2 emissions on land</v>
      </c>
      <c r="B72" t="str">
        <f t="shared" si="51"/>
        <v>3C4 Direct N2O from managed soils (N2O)</v>
      </c>
      <c r="C72" t="s">
        <v>410</v>
      </c>
      <c r="D72" t="str">
        <f t="shared" si="52"/>
        <v xml:space="preserve"> - Commercial sheep</v>
      </c>
      <c r="E72" t="str">
        <f t="shared" si="49"/>
        <v>Urine &amp; dung - Commercial sheep</v>
      </c>
      <c r="F72" t="str">
        <f t="shared" si="50"/>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376564492.95581299</v>
      </c>
      <c r="AM72" s="22">
        <f>AM11*Constants!$H69*(1-Constants!$H87)</f>
        <v>377131070.62769967</v>
      </c>
      <c r="AN72" s="22">
        <f>AN11*Constants!$H69*(1-Constants!$H87)</f>
        <v>377822983.68422002</v>
      </c>
      <c r="AO72" s="22">
        <f>AO11*Constants!$H69*(1-Constants!$H87)</f>
        <v>378550238.31490511</v>
      </c>
      <c r="AP72" s="22">
        <f>AP11*Constants!$H69*(1-Constants!$H87)</f>
        <v>379366736.8991977</v>
      </c>
      <c r="AQ72" s="22">
        <f>AQ11*Constants!$H69*(1-Constants!$H87)</f>
        <v>380270194.85791159</v>
      </c>
      <c r="AR72" s="22">
        <f>AR11*Constants!$H69*(1-Constants!$H87)</f>
        <v>380834427.09915608</v>
      </c>
      <c r="AS72" s="22">
        <f>AS11*Constants!$H69*(1-Constants!$H87)</f>
        <v>381471866.50081533</v>
      </c>
      <c r="AT72" s="22">
        <f>AT11*Constants!$H69*(1-Constants!$H87)</f>
        <v>382173899.84269029</v>
      </c>
      <c r="AU72" s="22">
        <f>AU11*Constants!$H69*(1-Constants!$H87)</f>
        <v>382942457.4693532</v>
      </c>
      <c r="AV72" s="22">
        <f>AV11*Constants!$H69*(1-Constants!$H87)</f>
        <v>383769606.71081126</v>
      </c>
      <c r="AW72" s="22">
        <f>AW11*Constants!$H69*(1-Constants!$H87)</f>
        <v>384324471.05558079</v>
      </c>
      <c r="AX72" s="22">
        <f>AX11*Constants!$H69*(1-Constants!$H87)</f>
        <v>384926839.34272653</v>
      </c>
      <c r="AY72" s="22">
        <f>AY11*Constants!$H69*(1-Constants!$H87)</f>
        <v>385581553.62672758</v>
      </c>
      <c r="AZ72" s="22">
        <f>AZ11*Constants!$H69*(1-Constants!$H87)</f>
        <v>386295004.97506714</v>
      </c>
      <c r="BA72" s="22">
        <f>BA11*Constants!$H69*(1-Constants!$H87)</f>
        <v>387045769.90175879</v>
      </c>
      <c r="BB72" s="22">
        <f>BB11*Constants!$H69*(1-Constants!$H87)</f>
        <v>387525656.45595264</v>
      </c>
      <c r="BC72" s="22">
        <f>BC11*Constants!$H69*(1-Constants!$H87)</f>
        <v>388051292.32111233</v>
      </c>
      <c r="BD72" s="22">
        <f>BD11*Constants!$H69*(1-Constants!$H87)</f>
        <v>388605340.92859972</v>
      </c>
      <c r="BE72" s="22">
        <f>BE11*Constants!$H69*(1-Constants!$H87)</f>
        <v>389193700.69068724</v>
      </c>
      <c r="BF72" s="22">
        <f>BF11*Constants!$H69*(1-Constants!$H87)</f>
        <v>389815479.52512866</v>
      </c>
      <c r="BG72" s="22">
        <f>BG11*Constants!$H69*(1-Constants!$H87)</f>
        <v>390182872.45802355</v>
      </c>
      <c r="BH72" s="22">
        <f>BH11*Constants!$H69*(1-Constants!$H87)</f>
        <v>390575068.87215573</v>
      </c>
      <c r="BI72" s="22">
        <f>BI11*Constants!$H69*(1-Constants!$H87)</f>
        <v>391000492.27951801</v>
      </c>
      <c r="BJ72" s="22">
        <f>BJ11*Constants!$H69*(1-Constants!$H87)</f>
        <v>391458731.38592625</v>
      </c>
      <c r="BK72" s="22">
        <f>BK11*Constants!$H69*(1-Constants!$H87)</f>
        <v>391949776.6951887</v>
      </c>
      <c r="BL72" s="22">
        <f>BL11*Constants!$H69*(1-Constants!$H87)</f>
        <v>392172552.18082672</v>
      </c>
      <c r="BM72" s="22">
        <f>BM11*Constants!$H69*(1-Constants!$H87)</f>
        <v>392316116.25334394</v>
      </c>
      <c r="BN72" s="22">
        <f>BN11*Constants!$H69*(1-Constants!$H87)</f>
        <v>392473489.60963923</v>
      </c>
      <c r="BO72" s="22">
        <f>BO11*Constants!$H69*(1-Constants!$H87)</f>
        <v>392639718.06771284</v>
      </c>
      <c r="BP72" s="22">
        <f>BP11*Constants!$H69*(1-Constants!$H87)</f>
        <v>392823856.54368776</v>
      </c>
    </row>
    <row r="73" spans="1:68" x14ac:dyDescent="0.3">
      <c r="A73" t="str">
        <f t="shared" si="51"/>
        <v>3C Aggregated and non-CO2 emissions on land</v>
      </c>
      <c r="B73" t="str">
        <f t="shared" si="51"/>
        <v>3C4 Direct N2O from managed soils (N2O)</v>
      </c>
      <c r="C73" t="s">
        <v>410</v>
      </c>
      <c r="D73" t="str">
        <f t="shared" si="52"/>
        <v xml:space="preserve"> - Subsistence sheep</v>
      </c>
      <c r="E73" t="str">
        <f t="shared" si="49"/>
        <v>Urine &amp; dung - Subsistence sheep</v>
      </c>
      <c r="F73" t="str">
        <f t="shared" si="50"/>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42035716.201430388</v>
      </c>
      <c r="AM73" s="22">
        <f>AM12*Constants!$H70*(1-Constants!$H88)</f>
        <v>42098962.998903386</v>
      </c>
      <c r="AN73" s="22">
        <f>AN12*Constants!$H70*(1-Constants!$H88)</f>
        <v>42176200.926068671</v>
      </c>
      <c r="AO73" s="22">
        <f>AO12*Constants!$H70*(1-Constants!$H88)</f>
        <v>42257384.01643838</v>
      </c>
      <c r="AP73" s="22">
        <f>AP12*Constants!$H70*(1-Constants!$H88)</f>
        <v>42348529.367129259</v>
      </c>
      <c r="AQ73" s="22">
        <f>AQ12*Constants!$H70*(1-Constants!$H88)</f>
        <v>42449381.951647572</v>
      </c>
      <c r="AR73" s="22">
        <f>AR12*Constants!$H70*(1-Constants!$H88)</f>
        <v>42512366.929807566</v>
      </c>
      <c r="AS73" s="22">
        <f>AS12*Constants!$H70*(1-Constants!$H88)</f>
        <v>42583523.98865141</v>
      </c>
      <c r="AT73" s="22">
        <f>AT12*Constants!$H70*(1-Constants!$H88)</f>
        <v>42661891.638483062</v>
      </c>
      <c r="AU73" s="22">
        <f>AU12*Constants!$H70*(1-Constants!$H88)</f>
        <v>42747685.36275392</v>
      </c>
      <c r="AV73" s="22">
        <f>AV12*Constants!$H70*(1-Constants!$H88)</f>
        <v>42840019.641265519</v>
      </c>
      <c r="AW73" s="22">
        <f>AW12*Constants!$H70*(1-Constants!$H88)</f>
        <v>42901958.885573827</v>
      </c>
      <c r="AX73" s="22">
        <f>AX12*Constants!$H70*(1-Constants!$H88)</f>
        <v>42969200.972496167</v>
      </c>
      <c r="AY73" s="22">
        <f>AY12*Constants!$H70*(1-Constants!$H88)</f>
        <v>43042286.418283328</v>
      </c>
      <c r="AZ73" s="22">
        <f>AZ12*Constants!$H70*(1-Constants!$H88)</f>
        <v>43121928.654774927</v>
      </c>
      <c r="BA73" s="22">
        <f>BA12*Constants!$H70*(1-Constants!$H88)</f>
        <v>43205736.188365467</v>
      </c>
      <c r="BB73" s="22">
        <f>BB12*Constants!$H70*(1-Constants!$H88)</f>
        <v>43259305.697382718</v>
      </c>
      <c r="BC73" s="22">
        <f>BC12*Constants!$H70*(1-Constants!$H88)</f>
        <v>43317982.180339769</v>
      </c>
      <c r="BD73" s="22">
        <f>BD12*Constants!$H70*(1-Constants!$H88)</f>
        <v>43379830.364281178</v>
      </c>
      <c r="BE73" s="22">
        <f>BE12*Constants!$H70*(1-Constants!$H88)</f>
        <v>43445508.686178491</v>
      </c>
      <c r="BF73" s="22">
        <f>BF12*Constants!$H70*(1-Constants!$H88)</f>
        <v>43514917.563312598</v>
      </c>
      <c r="BG73" s="22">
        <f>BG12*Constants!$H70*(1-Constants!$H88)</f>
        <v>43555929.46260336</v>
      </c>
      <c r="BH73" s="22">
        <f>BH12*Constants!$H70*(1-Constants!$H88)</f>
        <v>43599710.162770472</v>
      </c>
      <c r="BI73" s="22">
        <f>BI12*Constants!$H70*(1-Constants!$H88)</f>
        <v>43647199.976472639</v>
      </c>
      <c r="BJ73" s="22">
        <f>BJ12*Constants!$H70*(1-Constants!$H88)</f>
        <v>43698352.991134688</v>
      </c>
      <c r="BK73" s="22">
        <f>BK12*Constants!$H70*(1-Constants!$H88)</f>
        <v>43753168.146701209</v>
      </c>
      <c r="BL73" s="22">
        <f>BL12*Constants!$H70*(1-Constants!$H88)</f>
        <v>43778036.468771115</v>
      </c>
      <c r="BM73" s="22">
        <f>BM12*Constants!$H70*(1-Constants!$H88)</f>
        <v>43794062.458268128</v>
      </c>
      <c r="BN73" s="22">
        <f>BN12*Constants!$H70*(1-Constants!$H88)</f>
        <v>43811629.971580304</v>
      </c>
      <c r="BO73" s="22">
        <f>BO12*Constants!$H70*(1-Constants!$H88)</f>
        <v>43830185.975714773</v>
      </c>
      <c r="BP73" s="22">
        <f>BP12*Constants!$H70*(1-Constants!$H88)</f>
        <v>43850741.266674601</v>
      </c>
    </row>
    <row r="74" spans="1:68" x14ac:dyDescent="0.3">
      <c r="A74" t="str">
        <f t="shared" si="51"/>
        <v>3C Aggregated and non-CO2 emissions on land</v>
      </c>
      <c r="B74" t="str">
        <f t="shared" si="51"/>
        <v>3C4 Direct N2O from managed soils (N2O)</v>
      </c>
      <c r="C74" t="s">
        <v>410</v>
      </c>
      <c r="D74" t="str">
        <f t="shared" si="52"/>
        <v xml:space="preserve"> - Commercial goats</v>
      </c>
      <c r="E74" t="str">
        <f t="shared" si="49"/>
        <v>Urine &amp; dung - Commercial goats</v>
      </c>
      <c r="F74" t="str">
        <f t="shared" si="50"/>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47494194.930178173</v>
      </c>
      <c r="AM74" s="22">
        <f>AM13*Constants!$H71*(1-Constants!$H89)</f>
        <v>47630899.473127894</v>
      </c>
      <c r="AN74" s="22">
        <f>AN13*Constants!$H71*(1-Constants!$H89)</f>
        <v>47787593.384619087</v>
      </c>
      <c r="AO74" s="22">
        <f>AO13*Constants!$H71*(1-Constants!$H89)</f>
        <v>47947319.619603328</v>
      </c>
      <c r="AP74" s="22">
        <f>AP13*Constants!$H71*(1-Constants!$H89)</f>
        <v>48120554.720535696</v>
      </c>
      <c r="AQ74" s="22">
        <f>AQ13*Constants!$H71*(1-Constants!$H89)</f>
        <v>48307012.382052451</v>
      </c>
      <c r="AR74" s="22">
        <f>AR13*Constants!$H71*(1-Constants!$H89)</f>
        <v>48426337.132858269</v>
      </c>
      <c r="AS74" s="22">
        <f>AS13*Constants!$H71*(1-Constants!$H89)</f>
        <v>48556885.028441831</v>
      </c>
      <c r="AT74" s="22">
        <f>AT13*Constants!$H71*(1-Constants!$H89)</f>
        <v>48697129.150910206</v>
      </c>
      <c r="AU74" s="22">
        <f>AU13*Constants!$H71*(1-Constants!$H89)</f>
        <v>48847519.834870651</v>
      </c>
      <c r="AV74" s="22">
        <f>AV13*Constants!$H71*(1-Constants!$H89)</f>
        <v>49006644.940184079</v>
      </c>
      <c r="AW74" s="22">
        <f>AW13*Constants!$H71*(1-Constants!$H89)</f>
        <v>49112763.325173408</v>
      </c>
      <c r="AX74" s="22">
        <f>AX13*Constants!$H71*(1-Constants!$H89)</f>
        <v>49225932.268545903</v>
      </c>
      <c r="AY74" s="22">
        <f>AY13*Constants!$H71*(1-Constants!$H89)</f>
        <v>49347109.684416629</v>
      </c>
      <c r="AZ74" s="22">
        <f>AZ13*Constants!$H71*(1-Constants!$H89)</f>
        <v>49477526.336723924</v>
      </c>
      <c r="BA74" s="22">
        <f>BA13*Constants!$H71*(1-Constants!$H89)</f>
        <v>49613242.200530216</v>
      </c>
      <c r="BB74" s="22">
        <f>BB13*Constants!$H71*(1-Constants!$H89)</f>
        <v>49697294.526788026</v>
      </c>
      <c r="BC74" s="22">
        <f>BC13*Constants!$H71*(1-Constants!$H89)</f>
        <v>49788506.604690827</v>
      </c>
      <c r="BD74" s="22">
        <f>BD13*Constants!$H71*(1-Constants!$H89)</f>
        <v>49883706.198640645</v>
      </c>
      <c r="BE74" s="22">
        <f>BE13*Constants!$H71*(1-Constants!$H89)</f>
        <v>49984014.73147475</v>
      </c>
      <c r="BF74" s="22">
        <f>BF13*Constants!$H71*(1-Constants!$H89)</f>
        <v>50089294.866923474</v>
      </c>
      <c r="BG74" s="22">
        <f>BG13*Constants!$H71*(1-Constants!$H89)</f>
        <v>50146813.493032932</v>
      </c>
      <c r="BH74" s="22">
        <f>BH13*Constants!$H71*(1-Constants!$H89)</f>
        <v>50207955.642534986</v>
      </c>
      <c r="BI74" s="22">
        <f>BI13*Constants!$H71*(1-Constants!$H89)</f>
        <v>50274282.104523495</v>
      </c>
      <c r="BJ74" s="22">
        <f>BJ13*Constants!$H71*(1-Constants!$H89)</f>
        <v>50345729.534223706</v>
      </c>
      <c r="BK74" s="22">
        <f>BK13*Constants!$H71*(1-Constants!$H89)</f>
        <v>50422306.173911303</v>
      </c>
      <c r="BL74" s="22">
        <f>BL13*Constants!$H71*(1-Constants!$H89)</f>
        <v>50449297.102102049</v>
      </c>
      <c r="BM74" s="22">
        <f>BM13*Constants!$H71*(1-Constants!$H89)</f>
        <v>50461283.779448561</v>
      </c>
      <c r="BN74" s="22">
        <f>BN13*Constants!$H71*(1-Constants!$H89)</f>
        <v>50475218.374656968</v>
      </c>
      <c r="BO74" s="22">
        <f>BO13*Constants!$H71*(1-Constants!$H89)</f>
        <v>50490220.061609298</v>
      </c>
      <c r="BP74" s="22">
        <f>BP13*Constants!$H71*(1-Constants!$H89)</f>
        <v>50507942.159938872</v>
      </c>
    </row>
    <row r="75" spans="1:68" x14ac:dyDescent="0.3">
      <c r="A75" t="str">
        <f t="shared" si="51"/>
        <v>3C Aggregated and non-CO2 emissions on land</v>
      </c>
      <c r="B75" t="str">
        <f t="shared" si="51"/>
        <v>3C4 Direct N2O from managed soils (N2O)</v>
      </c>
      <c r="C75" t="s">
        <v>410</v>
      </c>
      <c r="D75" t="str">
        <f t="shared" si="52"/>
        <v xml:space="preserve"> - Subsistence goats</v>
      </c>
      <c r="E75" t="str">
        <f t="shared" si="49"/>
        <v>Urine &amp; dung - Subsistence goats</v>
      </c>
      <c r="F75" t="str">
        <f t="shared" si="50"/>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78601927.877738908</v>
      </c>
      <c r="AM75" s="22">
        <f>AM14*Constants!$H72*(1-Constants!$H90)</f>
        <v>78828171.119492769</v>
      </c>
      <c r="AN75" s="22">
        <f>AN14*Constants!$H72*(1-Constants!$H90)</f>
        <v>79087496.360146239</v>
      </c>
      <c r="AO75" s="22">
        <f>AO14*Constants!$H72*(1-Constants!$H90)</f>
        <v>79351840.034586266</v>
      </c>
      <c r="AP75" s="22">
        <f>AP14*Constants!$H72*(1-Constants!$H90)</f>
        <v>79638540.607769936</v>
      </c>
      <c r="AQ75" s="22">
        <f>AQ14*Constants!$H72*(1-Constants!$H90)</f>
        <v>79947124.250135854</v>
      </c>
      <c r="AR75" s="22">
        <f>AR14*Constants!$H72*(1-Constants!$H90)</f>
        <v>80144604.288920745</v>
      </c>
      <c r="AS75" s="22">
        <f>AS14*Constants!$H72*(1-Constants!$H90)</f>
        <v>80360658.404341266</v>
      </c>
      <c r="AT75" s="22">
        <f>AT14*Constants!$H72*(1-Constants!$H90)</f>
        <v>80592759.578300342</v>
      </c>
      <c r="AU75" s="22">
        <f>AU14*Constants!$H72*(1-Constants!$H90)</f>
        <v>80841653.105425522</v>
      </c>
      <c r="AV75" s="22">
        <f>AV14*Constants!$H72*(1-Constants!$H90)</f>
        <v>81105001.922470883</v>
      </c>
      <c r="AW75" s="22">
        <f>AW14*Constants!$H72*(1-Constants!$H90)</f>
        <v>81280625.694085404</v>
      </c>
      <c r="AX75" s="22">
        <f>AX14*Constants!$H72*(1-Constants!$H90)</f>
        <v>81467917.996608734</v>
      </c>
      <c r="AY75" s="22">
        <f>AY14*Constants!$H72*(1-Constants!$H90)</f>
        <v>81668464.15844354</v>
      </c>
      <c r="AZ75" s="22">
        <f>AZ14*Constants!$H72*(1-Constants!$H90)</f>
        <v>81884301.068907738</v>
      </c>
      <c r="BA75" s="22">
        <f>BA14*Constants!$H72*(1-Constants!$H90)</f>
        <v>82108908.066761881</v>
      </c>
      <c r="BB75" s="22">
        <f>BB14*Constants!$H72*(1-Constants!$H90)</f>
        <v>82248012.959395304</v>
      </c>
      <c r="BC75" s="22">
        <f>BC14*Constants!$H72*(1-Constants!$H90)</f>
        <v>82398967.095567822</v>
      </c>
      <c r="BD75" s="22">
        <f>BD14*Constants!$H72*(1-Constants!$H90)</f>
        <v>82556520.489801258</v>
      </c>
      <c r="BE75" s="22">
        <f>BE14*Constants!$H72*(1-Constants!$H90)</f>
        <v>82722529.074112236</v>
      </c>
      <c r="BF75" s="22">
        <f>BF14*Constants!$H72*(1-Constants!$H90)</f>
        <v>82896765.559764087</v>
      </c>
      <c r="BG75" s="22">
        <f>BG14*Constants!$H72*(1-Constants!$H90)</f>
        <v>82991957.717621043</v>
      </c>
      <c r="BH75" s="22">
        <f>BH14*Constants!$H72*(1-Constants!$H90)</f>
        <v>83093146.733089477</v>
      </c>
      <c r="BI75" s="22">
        <f>BI14*Constants!$H72*(1-Constants!$H90)</f>
        <v>83202915.680415973</v>
      </c>
      <c r="BJ75" s="22">
        <f>BJ14*Constants!$H72*(1-Constants!$H90)</f>
        <v>83321159.725285083</v>
      </c>
      <c r="BK75" s="22">
        <f>BK14*Constants!$H72*(1-Constants!$H90)</f>
        <v>83447892.508495584</v>
      </c>
      <c r="BL75" s="22">
        <f>BL14*Constants!$H72*(1-Constants!$H90)</f>
        <v>83492561.946394727</v>
      </c>
      <c r="BM75" s="22">
        <f>BM14*Constants!$H72*(1-Constants!$H90)</f>
        <v>83512399.653922334</v>
      </c>
      <c r="BN75" s="22">
        <f>BN14*Constants!$H72*(1-Constants!$H90)</f>
        <v>83535461.125944048</v>
      </c>
      <c r="BO75" s="22">
        <f>BO14*Constants!$H72*(1-Constants!$H90)</f>
        <v>83560288.613126561</v>
      </c>
      <c r="BP75" s="22">
        <f>BP14*Constants!$H72*(1-Constants!$H90)</f>
        <v>83589618.325879678</v>
      </c>
    </row>
    <row r="76" spans="1:68" x14ac:dyDescent="0.3">
      <c r="A76" t="str">
        <f t="shared" si="51"/>
        <v>3C Aggregated and non-CO2 emissions on land</v>
      </c>
      <c r="B76" t="str">
        <f t="shared" si="51"/>
        <v>3C4 Direct N2O from managed soils (N2O)</v>
      </c>
      <c r="C76" t="s">
        <v>410</v>
      </c>
      <c r="D76" t="str">
        <f t="shared" si="52"/>
        <v xml:space="preserve"> - Horses</v>
      </c>
      <c r="E76" t="str">
        <f t="shared" si="49"/>
        <v>Urine &amp; dung - Horses</v>
      </c>
      <c r="F76" t="str">
        <f t="shared" si="50"/>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12184919.359057402</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12175458.752937714</v>
      </c>
      <c r="AL76" s="22">
        <f>AL15*Constants!$H73*(1-Constants!$H91)</f>
        <v>11479400.665160578</v>
      </c>
      <c r="AM76" s="22">
        <f>AM15*Constants!$H73*(1-Constants!$H91)</f>
        <v>11621563.401652001</v>
      </c>
      <c r="AN76" s="22">
        <f>AN15*Constants!$H73*(1-Constants!$H91)</f>
        <v>11847368.017339615</v>
      </c>
      <c r="AO76" s="22">
        <f>AO15*Constants!$H73*(1-Constants!$H91)</f>
        <v>11930718.112398891</v>
      </c>
      <c r="AP76" s="22">
        <f>AP15*Constants!$H73*(1-Constants!$H91)</f>
        <v>12029766.326807179</v>
      </c>
      <c r="AQ76" s="22">
        <f>AQ15*Constants!$H73*(1-Constants!$H91)</f>
        <v>12149692.578672748</v>
      </c>
      <c r="AR76" s="22">
        <f>AR15*Constants!$H73*(1-Constants!$H91)</f>
        <v>12293187.763345376</v>
      </c>
      <c r="AS76" s="22">
        <f>AS15*Constants!$H73*(1-Constants!$H91)</f>
        <v>12452664.598945566</v>
      </c>
      <c r="AT76" s="22">
        <f>AT15*Constants!$H73*(1-Constants!$H91)</f>
        <v>12614036.497744327</v>
      </c>
      <c r="AU76" s="22">
        <f>AU15*Constants!$H73*(1-Constants!$H91)</f>
        <v>12789831.01810823</v>
      </c>
      <c r="AV76" s="22">
        <f>AV15*Constants!$H73*(1-Constants!$H91)</f>
        <v>12966236.557046389</v>
      </c>
      <c r="AW76" s="22">
        <f>AW15*Constants!$H73*(1-Constants!$H91)</f>
        <v>13177865.020226439</v>
      </c>
      <c r="AX76" s="22">
        <f>AX15*Constants!$H73*(1-Constants!$H91)</f>
        <v>13381749.461964952</v>
      </c>
      <c r="AY76" s="22">
        <f>AY15*Constants!$H73*(1-Constants!$H91)</f>
        <v>13595547.768437644</v>
      </c>
      <c r="AZ76" s="22">
        <f>AZ15*Constants!$H73*(1-Constants!$H91)</f>
        <v>13840070.615541924</v>
      </c>
      <c r="BA76" s="22">
        <f>BA15*Constants!$H73*(1-Constants!$H91)</f>
        <v>14065379.809557131</v>
      </c>
      <c r="BB76" s="22">
        <f>BB15*Constants!$H73*(1-Constants!$H91)</f>
        <v>14314130.307900142</v>
      </c>
      <c r="BC76" s="22">
        <f>BC15*Constants!$H73*(1-Constants!$H91)</f>
        <v>14579336.978521204</v>
      </c>
      <c r="BD76" s="22">
        <f>BD15*Constants!$H73*(1-Constants!$H91)</f>
        <v>14821202.050065268</v>
      </c>
      <c r="BE76" s="22">
        <f>BE15*Constants!$H73*(1-Constants!$H91)</f>
        <v>15057863.255891142</v>
      </c>
      <c r="BF76" s="22">
        <f>BF15*Constants!$H73*(1-Constants!$H91)</f>
        <v>15290170.796329999</v>
      </c>
      <c r="BG76" s="22">
        <f>BG15*Constants!$H73*(1-Constants!$H91)</f>
        <v>15555535.969233364</v>
      </c>
      <c r="BH76" s="22">
        <f>BH15*Constants!$H73*(1-Constants!$H91)</f>
        <v>15805740.203710236</v>
      </c>
      <c r="BI76" s="22">
        <f>BI15*Constants!$H73*(1-Constants!$H91)</f>
        <v>16064110.656688813</v>
      </c>
      <c r="BJ76" s="22">
        <f>BJ15*Constants!$H73*(1-Constants!$H91)</f>
        <v>16331930.782171059</v>
      </c>
      <c r="BK76" s="22">
        <f>BK15*Constants!$H73*(1-Constants!$H91)</f>
        <v>16611287.353788955</v>
      </c>
      <c r="BL76" s="22">
        <f>BL15*Constants!$H73*(1-Constants!$H91)</f>
        <v>16914761.366227977</v>
      </c>
      <c r="BM76" s="22">
        <f>BM15*Constants!$H73*(1-Constants!$H91)</f>
        <v>16965200.753362462</v>
      </c>
      <c r="BN76" s="22">
        <f>BN15*Constants!$H73*(1-Constants!$H91)</f>
        <v>16991716.10692225</v>
      </c>
      <c r="BO76" s="22">
        <f>BO15*Constants!$H73*(1-Constants!$H91)</f>
        <v>16984268.479285985</v>
      </c>
      <c r="BP76" s="22">
        <f>BP15*Constants!$H73*(1-Constants!$H91)</f>
        <v>16966670.245770436</v>
      </c>
    </row>
    <row r="77" spans="1:68" x14ac:dyDescent="0.3">
      <c r="A77" t="str">
        <f t="shared" si="51"/>
        <v>3C Aggregated and non-CO2 emissions on land</v>
      </c>
      <c r="B77" t="str">
        <f t="shared" si="51"/>
        <v>3C4 Direct N2O from managed soils (N2O)</v>
      </c>
      <c r="C77" t="s">
        <v>410</v>
      </c>
      <c r="D77" t="str">
        <f t="shared" si="52"/>
        <v xml:space="preserve"> - Mules &amp; Asses</v>
      </c>
      <c r="E77" t="str">
        <f t="shared" si="49"/>
        <v>Urine &amp; dung - Mules &amp; Asses</v>
      </c>
      <c r="F77" t="str">
        <f t="shared" si="50"/>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51"/>
        <v>3C Aggregated and non-CO2 emissions on land</v>
      </c>
      <c r="B78" t="str">
        <f t="shared" si="51"/>
        <v>3C4 Direct N2O from managed soils (N2O)</v>
      </c>
      <c r="C78" t="s">
        <v>410</v>
      </c>
      <c r="D78" t="str">
        <f t="shared" si="52"/>
        <v xml:space="preserve"> - Commercial swine</v>
      </c>
      <c r="E78" t="str">
        <f t="shared" si="49"/>
        <v>Urine &amp; dung - Commercial swine</v>
      </c>
      <c r="F78" t="str">
        <f t="shared" si="50"/>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51"/>
        <v>3C Aggregated and non-CO2 emissions on land</v>
      </c>
      <c r="B79" t="str">
        <f t="shared" si="51"/>
        <v>3C4 Direct N2O from managed soils (N2O)</v>
      </c>
      <c r="C79" t="s">
        <v>410</v>
      </c>
      <c r="D79" t="str">
        <f>D63</f>
        <v xml:space="preserve"> - Subsistence swine</v>
      </c>
      <c r="E79" t="str">
        <f t="shared" si="49"/>
        <v>Urine &amp; dung - Subsistence swine</v>
      </c>
      <c r="F79" t="str">
        <f t="shared" si="50"/>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51"/>
        <v>3C Aggregated and non-CO2 emissions on land</v>
      </c>
      <c r="B80" t="str">
        <f t="shared" si="51"/>
        <v>3C4 Direct N2O from managed soils (N2O)</v>
      </c>
      <c r="C80" t="s">
        <v>410</v>
      </c>
      <c r="D80" t="str">
        <f t="shared" si="52"/>
        <v xml:space="preserve"> - Commercial layers</v>
      </c>
      <c r="E80" t="str">
        <f t="shared" si="49"/>
        <v>Urine &amp; dung - Commercial layers</v>
      </c>
      <c r="F80" t="str">
        <f t="shared" si="50"/>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51"/>
        <v>3C Aggregated and non-CO2 emissions on land</v>
      </c>
      <c r="B81" t="str">
        <f t="shared" si="51"/>
        <v>3C4 Direct N2O from managed soils (N2O)</v>
      </c>
      <c r="C81" t="s">
        <v>410</v>
      </c>
      <c r="D81" t="str">
        <f t="shared" si="52"/>
        <v xml:space="preserve"> - Commercial broilers</v>
      </c>
      <c r="E81" t="str">
        <f t="shared" si="49"/>
        <v>Urine &amp; dung - Commercial broilers</v>
      </c>
      <c r="F81" t="str">
        <f t="shared" si="50"/>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51"/>
        <v>3C4 Direct N2O from managed soils (N2O)</v>
      </c>
      <c r="C82" t="s">
        <v>661</v>
      </c>
      <c r="D82" t="s">
        <v>444</v>
      </c>
      <c r="E82" t="str">
        <f t="shared" si="49"/>
        <v>Crop residue N - maize</v>
      </c>
      <c r="F82" t="str">
        <f t="shared" si="50"/>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100972345.397175</v>
      </c>
      <c r="AN82" s="22">
        <f>((AN41*Constants!$H$45*Constants!$H$48)*(1+Constants!$H$51))*Constants!$H$54*Constants!$H$42*Constants!$H$57*Constants!$H$58*ttokg</f>
        <v>101461716.3832203</v>
      </c>
      <c r="AO82" s="22">
        <f>((AO41*Constants!$H$45*Constants!$H$48)*(1+Constants!$H$51))*Constants!$H$54*Constants!$H$42*Constants!$H$57*Constants!$H$58*ttokg</f>
        <v>102129624.83520988</v>
      </c>
      <c r="AP82" s="22">
        <f>((AP41*Constants!$H$45*Constants!$H$48)*(1+Constants!$H$51))*Constants!$H$54*Constants!$H$42*Constants!$H$57*Constants!$H$58*ttokg</f>
        <v>102488537.39168863</v>
      </c>
      <c r="AQ82" s="22">
        <f>((AQ41*Constants!$H$45*Constants!$H$48)*(1+Constants!$H$51))*Constants!$H$54*Constants!$H$42*Constants!$H$57*Constants!$H$58*ttokg</f>
        <v>102881085.16370052</v>
      </c>
      <c r="AR82" s="22">
        <f>((AR41*Constants!$H$45*Constants!$H$48)*(1+Constants!$H$51))*Constants!$H$54*Constants!$H$42*Constants!$H$57*Constants!$H$58*ttokg</f>
        <v>103317520.98381007</v>
      </c>
      <c r="AS82" s="22">
        <f>((AS41*Constants!$H$45*Constants!$H$48)*(1+Constants!$H$51))*Constants!$H$54*Constants!$H$42*Constants!$H$57*Constants!$H$58*ttokg</f>
        <v>103775654.39176346</v>
      </c>
      <c r="AT82" s="22">
        <f>((AT41*Constants!$H$45*Constants!$H$48)*(1+Constants!$H$51))*Constants!$H$54*Constants!$H$42*Constants!$H$57*Constants!$H$58*ttokg</f>
        <v>104264592.81005229</v>
      </c>
      <c r="AU82" s="22">
        <f>((AU41*Constants!$H$45*Constants!$H$48)*(1+Constants!$H$51))*Constants!$H$54*Constants!$H$42*Constants!$H$57*Constants!$H$58*ttokg</f>
        <v>104754586.31264314</v>
      </c>
      <c r="AV82" s="22">
        <f>((AV41*Constants!$H$45*Constants!$H$48)*(1+Constants!$H$51))*Constants!$H$54*Constants!$H$42*Constants!$H$57*Constants!$H$58*ttokg</f>
        <v>105270654.37430035</v>
      </c>
      <c r="AW82" s="22">
        <f>((AW41*Constants!$H$45*Constants!$H$48)*(1+Constants!$H$51))*Constants!$H$54*Constants!$H$42*Constants!$H$57*Constants!$H$58*ttokg</f>
        <v>105784420.48474136</v>
      </c>
      <c r="AX82" s="22">
        <f>((AX41*Constants!$H$45*Constants!$H$48)*(1+Constants!$H$51))*Constants!$H$54*Constants!$H$42*Constants!$H$57*Constants!$H$58*ttokg</f>
        <v>106341428.58841138</v>
      </c>
      <c r="AY82" s="22">
        <f>((AY41*Constants!$H$45*Constants!$H$48)*(1+Constants!$H$51))*Constants!$H$54*Constants!$H$42*Constants!$H$57*Constants!$H$58*ttokg</f>
        <v>106877905.54489923</v>
      </c>
      <c r="AZ82" s="22">
        <f>((AZ41*Constants!$H$45*Constants!$H$48)*(1+Constants!$H$51))*Constants!$H$54*Constants!$H$42*Constants!$H$57*Constants!$H$58*ttokg</f>
        <v>107427961.6879364</v>
      </c>
      <c r="BA82" s="22">
        <f>((BA41*Constants!$H$45*Constants!$H$48)*(1+Constants!$H$51))*Constants!$H$54*Constants!$H$42*Constants!$H$57*Constants!$H$58*ttokg</f>
        <v>108029302.02769519</v>
      </c>
      <c r="BB82" s="22">
        <f>((BB41*Constants!$H$45*Constants!$H$48)*(1+Constants!$H$51))*Constants!$H$54*Constants!$H$42*Constants!$H$57*Constants!$H$58*ttokg</f>
        <v>108588499.88071322</v>
      </c>
      <c r="BC82" s="22">
        <f>((BC41*Constants!$H$45*Constants!$H$48)*(1+Constants!$H$51))*Constants!$H$54*Constants!$H$42*Constants!$H$57*Constants!$H$58*ttokg</f>
        <v>109162684.03403035</v>
      </c>
      <c r="BD82" s="22">
        <f>((BD41*Constants!$H$45*Constants!$H$48)*(1+Constants!$H$51))*Constants!$H$54*Constants!$H$42*Constants!$H$57*Constants!$H$58*ttokg</f>
        <v>109758266.80237177</v>
      </c>
      <c r="BE82" s="22">
        <f>((BE41*Constants!$H$45*Constants!$H$48)*(1+Constants!$H$51))*Constants!$H$54*Constants!$H$42*Constants!$H$57*Constants!$H$58*ttokg</f>
        <v>110305642.74219431</v>
      </c>
      <c r="BF82" s="22">
        <f>((BF41*Constants!$H$45*Constants!$H$48)*(1+Constants!$H$51))*Constants!$H$54*Constants!$H$42*Constants!$H$57*Constants!$H$58*ttokg</f>
        <v>110837803.40958393</v>
      </c>
      <c r="BG82" s="22">
        <f>((BG41*Constants!$H$45*Constants!$H$48)*(1+Constants!$H$51))*Constants!$H$54*Constants!$H$42*Constants!$H$57*Constants!$H$58*ttokg</f>
        <v>111356806.38240921</v>
      </c>
      <c r="BH82" s="22">
        <f>((BH41*Constants!$H$45*Constants!$H$48)*(1+Constants!$H$51))*Constants!$H$54*Constants!$H$42*Constants!$H$57*Constants!$H$58*ttokg</f>
        <v>111904430.58080328</v>
      </c>
      <c r="BI82" s="22">
        <f>((BI41*Constants!$H$45*Constants!$H$48)*(1+Constants!$H$51))*Constants!$H$54*Constants!$H$42*Constants!$H$57*Constants!$H$58*ttokg</f>
        <v>112420403.08620812</v>
      </c>
      <c r="BJ82" s="22">
        <f>((BJ41*Constants!$H$45*Constants!$H$48)*(1+Constants!$H$51))*Constants!$H$54*Constants!$H$42*Constants!$H$57*Constants!$H$58*ttokg</f>
        <v>112942964.22374032</v>
      </c>
      <c r="BK82" s="22">
        <f>((BK41*Constants!$H$45*Constants!$H$48)*(1+Constants!$H$51))*Constants!$H$54*Constants!$H$42*Constants!$H$57*Constants!$H$58*ttokg</f>
        <v>113473645.57519184</v>
      </c>
      <c r="BL82" s="22">
        <f>((BL41*Constants!$H$45*Constants!$H$48)*(1+Constants!$H$51))*Constants!$H$54*Constants!$H$42*Constants!$H$57*Constants!$H$58*ttokg</f>
        <v>114015068.25606646</v>
      </c>
      <c r="BM82" s="22">
        <f>((BM41*Constants!$H$45*Constants!$H$48)*(1+Constants!$H$51))*Constants!$H$54*Constants!$H$42*Constants!$H$57*Constants!$H$58*ttokg</f>
        <v>114564973.44049925</v>
      </c>
      <c r="BN82" s="22">
        <f>((BN41*Constants!$H$45*Constants!$H$48)*(1+Constants!$H$51))*Constants!$H$54*Constants!$H$42*Constants!$H$57*Constants!$H$58*ttokg</f>
        <v>114733939.74764654</v>
      </c>
      <c r="BO82" s="22">
        <f>((BO41*Constants!$H$45*Constants!$H$48)*(1+Constants!$H$51))*Constants!$H$54*Constants!$H$42*Constants!$H$57*Constants!$H$58*ttokg</f>
        <v>114867396.05110823</v>
      </c>
      <c r="BP82" s="22">
        <f>((BP41*Constants!$H$45*Constants!$H$48)*(1+Constants!$H$51))*Constants!$H$54*Constants!$H$42*Constants!$H$57*Constants!$H$58*ttokg</f>
        <v>114950539.31620407</v>
      </c>
    </row>
    <row r="83" spans="1:72" x14ac:dyDescent="0.3">
      <c r="A83" t="str">
        <f>A82</f>
        <v>3C Aggregated and non-CO2 emissions on land</v>
      </c>
      <c r="B83" t="str">
        <f t="shared" ref="B83:C85" si="53">B82</f>
        <v>3C4 Direct N2O from managed soils (N2O)</v>
      </c>
      <c r="C83" t="str">
        <f t="shared" si="53"/>
        <v>Crop residue N</v>
      </c>
      <c r="D83" t="s">
        <v>374</v>
      </c>
      <c r="E83" t="str">
        <f t="shared" si="49"/>
        <v>Crop residue N - wheat</v>
      </c>
      <c r="F83" t="str">
        <f t="shared" si="50"/>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si="53"/>
        <v>3C4 Direct N2O from managed soils (N2O)</v>
      </c>
      <c r="C84" t="str">
        <f t="shared" si="53"/>
        <v>Crop residue N</v>
      </c>
      <c r="D84" t="s">
        <v>375</v>
      </c>
      <c r="E84" t="str">
        <f t="shared" si="49"/>
        <v>Crop residue N - sorghum</v>
      </c>
      <c r="F84" t="str">
        <f t="shared" si="50"/>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si="53"/>
        <v>3C4 Direct N2O from managed soils (N2O)</v>
      </c>
      <c r="C85" t="str">
        <f t="shared" si="53"/>
        <v>Crop residue N</v>
      </c>
      <c r="D85" t="s">
        <v>376</v>
      </c>
      <c r="E85" t="str">
        <f t="shared" si="49"/>
        <v>Crop residue N - total</v>
      </c>
      <c r="F85" t="str">
        <f t="shared" si="50"/>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188726584.943625</v>
      </c>
      <c r="AN85" s="22">
        <f>SUM(AN82:AN84)/Constants!$H$41</f>
        <v>189542203.25370052</v>
      </c>
      <c r="AO85" s="22">
        <f>SUM(AO82:AO84)/Constants!$H$41</f>
        <v>190655384.00701645</v>
      </c>
      <c r="AP85" s="22">
        <f>SUM(AP82:AP84)/Constants!$H$41</f>
        <v>191253571.60114774</v>
      </c>
      <c r="AQ85" s="22">
        <f>SUM(AQ82:AQ84)/Constants!$H$41</f>
        <v>191907817.88783419</v>
      </c>
      <c r="AR85" s="22">
        <f>SUM(AR82:AR84)/Constants!$H$41</f>
        <v>192635210.92135009</v>
      </c>
      <c r="AS85" s="22">
        <f>SUM(AS82:AS84)/Constants!$H$41</f>
        <v>193398766.60127246</v>
      </c>
      <c r="AT85" s="22">
        <f>SUM(AT82:AT84)/Constants!$H$41</f>
        <v>194213663.96508718</v>
      </c>
      <c r="AU85" s="22">
        <f>SUM(AU82:AU84)/Constants!$H$41</f>
        <v>195030319.80273855</v>
      </c>
      <c r="AV85" s="22">
        <f>SUM(AV82:AV84)/Constants!$H$41</f>
        <v>195890433.23883393</v>
      </c>
      <c r="AW85" s="22">
        <f>SUM(AW82:AW84)/Constants!$H$41</f>
        <v>196746710.08956891</v>
      </c>
      <c r="AX85" s="22">
        <f>SUM(AX82:AX84)/Constants!$H$41</f>
        <v>197675056.92901897</v>
      </c>
      <c r="AY85" s="22">
        <f>SUM(AY82:AY84)/Constants!$H$41</f>
        <v>198569185.18983203</v>
      </c>
      <c r="AZ85" s="22">
        <f>SUM(AZ82:AZ84)/Constants!$H$41</f>
        <v>199485945.42822731</v>
      </c>
      <c r="BA85" s="22">
        <f>SUM(BA82:BA84)/Constants!$H$41</f>
        <v>200488179.32782534</v>
      </c>
      <c r="BB85" s="22">
        <f>SUM(BB82:BB84)/Constants!$H$41</f>
        <v>201420175.74952203</v>
      </c>
      <c r="BC85" s="22">
        <f>SUM(BC82:BC84)/Constants!$H$41</f>
        <v>202377149.33838391</v>
      </c>
      <c r="BD85" s="22">
        <f>SUM(BD82:BD84)/Constants!$H$41</f>
        <v>203369787.28561962</v>
      </c>
      <c r="BE85" s="22">
        <f>SUM(BE82:BE84)/Constants!$H$41</f>
        <v>204282080.51865721</v>
      </c>
      <c r="BF85" s="22">
        <f>SUM(BF82:BF84)/Constants!$H$41</f>
        <v>205169014.96430653</v>
      </c>
      <c r="BG85" s="22">
        <f>SUM(BG82:BG84)/Constants!$H$41</f>
        <v>206034019.91901535</v>
      </c>
      <c r="BH85" s="22">
        <f>SUM(BH82:BH84)/Constants!$H$41</f>
        <v>206946726.91633877</v>
      </c>
      <c r="BI85" s="22">
        <f>SUM(BI82:BI84)/Constants!$H$41</f>
        <v>207806681.09201354</v>
      </c>
      <c r="BJ85" s="22">
        <f>SUM(BJ82:BJ84)/Constants!$H$41</f>
        <v>208677616.3212339</v>
      </c>
      <c r="BK85" s="22">
        <f>SUM(BK82:BK84)/Constants!$H$41</f>
        <v>209562085.24031976</v>
      </c>
      <c r="BL85" s="22">
        <f>SUM(BL82:BL84)/Constants!$H$41</f>
        <v>210464456.37511078</v>
      </c>
      <c r="BM85" s="22">
        <f>SUM(BM82:BM84)/Constants!$H$41</f>
        <v>211380965.01583207</v>
      </c>
      <c r="BN85" s="22">
        <f>SUM(BN82:BN84)/Constants!$H$41</f>
        <v>211662575.52774423</v>
      </c>
      <c r="BO85" s="22">
        <f>SUM(BO82:BO84)/Constants!$H$41</f>
        <v>211885002.70018038</v>
      </c>
      <c r="BP85" s="22">
        <f>SUM(BP82:BP84)/Constants!$H$41</f>
        <v>212023574.80867344</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94743C2-77FB-46E7-B376-F1F8245400AA}">
          <x14:colorSeries rgb="FF376092"/>
          <x14:colorNegative rgb="FFD00000"/>
          <x14:colorAxis rgb="FF000000"/>
          <x14:colorMarkers rgb="FFD00000"/>
          <x14:colorFirst rgb="FFD00000"/>
          <x14:colorLast rgb="FFD00000"/>
          <x14:colorHigh rgb="FFD00000"/>
          <x14:colorLow rgb="FFD00000"/>
          <x14:sparklines>
            <x14:sparkline>
              <xm:f>'Net zero Activity data'!AB45:BP45</xm:f>
              <xm:sqref>BR45</xm:sqref>
            </x14:sparkline>
            <x14:sparkline>
              <xm:f>'Net zero Activity data'!AB46:BP46</xm:f>
              <xm:sqref>BR46</xm:sqref>
            </x14:sparkline>
            <x14:sparkline>
              <xm:f>'Net zero Activity data'!AB47:BP47</xm:f>
              <xm:sqref>BR47</xm:sqref>
            </x14:sparkline>
            <x14:sparkline>
              <xm:f>'Net zero Activity data'!AB48:BP48</xm:f>
              <xm:sqref>BR48</xm:sqref>
            </x14:sparkline>
          </x14:sparklines>
        </x14:sparklineGroup>
        <x14:sparklineGroup displayEmptyCellsAs="gap" xr2:uid="{DA1B32A5-01C5-4137-9E34-0EDB5871D8AD}">
          <x14:colorSeries rgb="FF376092"/>
          <x14:colorNegative rgb="FFD00000"/>
          <x14:colorAxis rgb="FF000000"/>
          <x14:colorMarkers rgb="FFD00000"/>
          <x14:colorFirst rgb="FFD00000"/>
          <x14:colorLast rgb="FFD00000"/>
          <x14:colorHigh rgb="FFD00000"/>
          <x14:colorLow rgb="FFD00000"/>
          <x14:sparklines>
            <x14:sparkline>
              <xm:f>'Net zero Activity data'!AB5:BP5</xm:f>
              <xm:sqref>BR5</xm:sqref>
            </x14:sparkline>
            <x14:sparkline>
              <xm:f>'Net zero Activity data'!AB6:BP6</xm:f>
              <xm:sqref>BR6</xm:sqref>
            </x14:sparkline>
            <x14:sparkline>
              <xm:f>'Net zero Activity data'!AB7:BP7</xm:f>
              <xm:sqref>BR7</xm:sqref>
            </x14:sparkline>
            <x14:sparkline>
              <xm:f>'Net zero Activity data'!AB8:BP8</xm:f>
              <xm:sqref>BR8</xm:sqref>
            </x14:sparkline>
            <x14:sparkline>
              <xm:f>'Net zero Activity data'!AB9:BP9</xm:f>
              <xm:sqref>BR9</xm:sqref>
            </x14:sparkline>
            <x14:sparkline>
              <xm:f>'Net zero Activity data'!AB10:BP10</xm:f>
              <xm:sqref>BR10</xm:sqref>
            </x14:sparkline>
            <x14:sparkline>
              <xm:f>'Net zero Activity data'!AB11:BP11</xm:f>
              <xm:sqref>BR11</xm:sqref>
            </x14:sparkline>
            <x14:sparkline>
              <xm:f>'Net zero Activity data'!AB12:BP12</xm:f>
              <xm:sqref>BR12</xm:sqref>
            </x14:sparkline>
            <x14:sparkline>
              <xm:f>'Net zero Activity data'!AB13:BP13</xm:f>
              <xm:sqref>BR13</xm:sqref>
            </x14:sparkline>
            <x14:sparkline>
              <xm:f>'Net zero Activity data'!AB14:BP14</xm:f>
              <xm:sqref>BR14</xm:sqref>
            </x14:sparkline>
            <x14:sparkline>
              <xm:f>'Net zero Activity data'!AB15:BP15</xm:f>
              <xm:sqref>BR15</xm:sqref>
            </x14:sparkline>
            <x14:sparkline>
              <xm:f>'Net zero Activity data'!AB16:BP16</xm:f>
              <xm:sqref>BR16</xm:sqref>
            </x14:sparkline>
            <x14:sparkline>
              <xm:f>'Net zero Activity data'!AB17:BP17</xm:f>
              <xm:sqref>BR17</xm:sqref>
            </x14:sparkline>
            <x14:sparkline>
              <xm:f>'Net zero Activity data'!AB18:BP18</xm:f>
              <xm:sqref>BR18</xm:sqref>
            </x14:sparkline>
            <x14:sparkline>
              <xm:f>'Net zero Activity data'!AB19:BP19</xm:f>
              <xm:sqref>BR19</xm:sqref>
            </x14:sparkline>
            <x14:sparkline>
              <xm:f>'Net zero Activity data'!AB20:BP20</xm:f>
              <xm:sqref>BR20</xm:sqref>
            </x14:sparkline>
            <x14:sparkline>
              <xm:f>'Net zero Activity data'!AB21:BP21</xm:f>
              <xm:sqref>BR21</xm:sqref>
            </x14:sparkline>
            <x14:sparkline>
              <xm:f>'Net zero Activity data'!AB22:BP22</xm:f>
              <xm:sqref>BR22</xm:sqref>
            </x14:sparkline>
          </x14:sparklines>
        </x14:sparklineGroup>
        <x14:sparklineGroup displayEmptyCellsAs="gap" xr2:uid="{B2A9F398-5740-4F15-82B2-7FAF911250B4}">
          <x14:colorSeries rgb="FF376092"/>
          <x14:colorNegative rgb="FFD00000"/>
          <x14:colorAxis rgb="FF000000"/>
          <x14:colorMarkers rgb="FFD00000"/>
          <x14:colorFirst rgb="FFD00000"/>
          <x14:colorLast rgb="FFD00000"/>
          <x14:colorHigh rgb="FFD00000"/>
          <x14:colorLow rgb="FFD00000"/>
          <x14:sparklines>
            <x14:sparkline>
              <xm:f>'Net zero Activity data'!AB24:BP24</xm:f>
              <xm:sqref>BR24</xm:sqref>
            </x14:sparkline>
            <x14:sparkline>
              <xm:f>'Net zero Activity data'!AB25:BP25</xm:f>
              <xm:sqref>BR25</xm:sqref>
            </x14:sparkline>
            <x14:sparkline>
              <xm:f>'Net zero Activity data'!AB26:BP26</xm:f>
              <xm:sqref>BR26</xm:sqref>
            </x14:sparkline>
            <x14:sparkline>
              <xm:f>'Net zero Activity data'!AB27:BP27</xm:f>
              <xm:sqref>BR27</xm:sqref>
            </x14:sparkline>
            <x14:sparkline>
              <xm:f>'Net zero Activity data'!AB28:BP28</xm:f>
              <xm:sqref>BR28</xm:sqref>
            </x14:sparkline>
            <x14:sparkline>
              <xm:f>'Net zero Activity data'!AB29:BP29</xm:f>
              <xm:sqref>BR29</xm:sqref>
            </x14:sparkline>
            <x14:sparkline>
              <xm:f>'Net zero Activity data'!AB30:BP30</xm:f>
              <xm:sqref>BR30</xm:sqref>
            </x14:sparkline>
            <x14:sparkline>
              <xm:f>'Net zero Activity data'!AB31:BP31</xm:f>
              <xm:sqref>BR31</xm:sqref>
            </x14:sparkline>
            <x14:sparkline>
              <xm:f>'Net zero Activity data'!AB32:BP32</xm:f>
              <xm:sqref>BR32</xm:sqref>
            </x14:sparkline>
            <x14:sparkline>
              <xm:f>'Net zero Activity data'!AB33:BP33</xm:f>
              <xm:sqref>BR33</xm:sqref>
            </x14:sparkline>
            <x14:sparkline>
              <xm:f>'Net zero Activity data'!AB34:BP34</xm:f>
              <xm:sqref>BR34</xm:sqref>
            </x14:sparkline>
            <x14:sparkline>
              <xm:f>'Net zero Activity data'!AB35:BP35</xm:f>
              <xm:sqref>BR35</xm:sqref>
            </x14:sparkline>
            <x14:sparkline>
              <xm:f>'Net zero Activity data'!AB36:BP36</xm:f>
              <xm:sqref>BR36</xm:sqref>
            </x14:sparkline>
            <x14:sparkline>
              <xm:f>'Net zero Activity data'!AB37:BP37</xm:f>
              <xm:sqref>BR37</xm:sqref>
            </x14:sparkline>
            <x14:sparkline>
              <xm:f>'Net zero Activity data'!AB38:BP38</xm:f>
              <xm:sqref>BR38</xm:sqref>
            </x14:sparkline>
            <x14:sparkline>
              <xm:f>'Net zero Activity data'!AB39:BP39</xm:f>
              <xm:sqref>BR39</xm:sqref>
            </x14:sparkline>
          </x14:sparklines>
        </x14:sparklineGroup>
        <x14:sparklineGroup displayEmptyCellsAs="gap" xr2:uid="{03DCBDFF-E830-4D28-A16C-14C9D39ABF1D}">
          <x14:colorSeries rgb="FF376092"/>
          <x14:colorNegative rgb="FFD00000"/>
          <x14:colorAxis rgb="FF000000"/>
          <x14:colorMarkers rgb="FFD00000"/>
          <x14:colorFirst rgb="FFD00000"/>
          <x14:colorLast rgb="FFD00000"/>
          <x14:colorHigh rgb="FFD00000"/>
          <x14:colorLow rgb="FFD00000"/>
          <x14:sparklines>
            <x14:sparkline>
              <xm:f>'Net zero Activity data'!AB41:BP41</xm:f>
              <xm:sqref>BR41</xm:sqref>
            </x14:sparkline>
            <x14:sparkline>
              <xm:f>'Net zero Activity data'!AB42:BP42</xm:f>
              <xm:sqref>BR42</xm:sqref>
            </x14:sparkline>
            <x14:sparkline>
              <xm:f>'Net zero Activity data'!AB43:BP43</xm:f>
              <xm:sqref>BR43</xm:sqref>
            </x14:sparkline>
          </x14:sparklines>
        </x14:sparklineGroup>
      </x14:sparklineGroup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2CB15-00BA-4678-BC73-96DBE3A9528F}">
  <sheetPr>
    <tabColor rgb="FFFF00FF"/>
  </sheetPr>
  <dimension ref="A1:BO65"/>
  <sheetViews>
    <sheetView workbookViewId="0">
      <pane xSplit="1" ySplit="3" topLeftCell="AT4" activePane="bottomRight" state="frozen"/>
      <selection pane="topRight" activeCell="B1" sqref="B1"/>
      <selection pane="bottomLeft" activeCell="A4" sqref="A4"/>
      <selection pane="bottomRight" activeCell="AW11" sqref="AW11"/>
    </sheetView>
  </sheetViews>
  <sheetFormatPr defaultColWidth="8.77734375" defaultRowHeight="14.4" x14ac:dyDescent="0.3"/>
  <cols>
    <col min="1" max="1" width="29.44140625" customWidth="1"/>
    <col min="2" max="2" width="12.77734375" customWidth="1"/>
    <col min="3" max="29" width="12.6640625" customWidth="1"/>
    <col min="30" max="30" width="13.77734375" customWidth="1"/>
    <col min="31" max="33" width="12.6640625" customWidth="1"/>
    <col min="34" max="35" width="11.44140625" customWidth="1"/>
    <col min="36" max="36" width="11.33203125" customWidth="1"/>
    <col min="37" max="63" width="11.44140625" bestFit="1" customWidth="1"/>
    <col min="64" max="64" width="12.109375" customWidth="1"/>
  </cols>
  <sheetData>
    <row r="1" spans="1:67" ht="18" x14ac:dyDescent="0.35">
      <c r="A1" s="1" t="s">
        <v>326</v>
      </c>
      <c r="Y1" s="104" t="str">
        <f>IF(AND('Net zero activities &amp; levers'!$C$8="Off",'Net zero activities &amp; levers'!$C$7="Off"),"Off",IF(AND('Net zero activities &amp; levers'!$C$8="On",'Net zero activities &amp; levers'!$C$7="Off"),"PQ",IF(AND('Net zero activities &amp; levers'!$C$8="Off",'Net zero activities &amp; levers'!$C$7="On"),"GS","PQGS")))</f>
        <v>Off</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53.622810793908592</v>
      </c>
      <c r="D4" s="22">
        <f>(Drivers!E5*1000000)/Drivers!E4</f>
        <v>53.886630809270308</v>
      </c>
      <c r="E4" s="22">
        <f>(Drivers!F5*1000000)/Drivers!F4</f>
        <v>54.134533706461163</v>
      </c>
      <c r="F4" s="22">
        <f>(Drivers!G5*1000000)/Drivers!G4</f>
        <v>54.406389846355005</v>
      </c>
      <c r="G4" s="22">
        <f>(Drivers!H5*1000000)/Drivers!H4</f>
        <v>54.75337493173852</v>
      </c>
      <c r="H4" s="22">
        <f>(Drivers!I5*1000000)/Drivers!I4</f>
        <v>55.209553668972752</v>
      </c>
      <c r="I4" s="22">
        <f>(Drivers!J5*1000000)/Drivers!J4</f>
        <v>56.431674723183619</v>
      </c>
      <c r="J4" s="22">
        <f>(Drivers!K5*1000000)/Drivers!K4</f>
        <v>56.893520613869519</v>
      </c>
      <c r="K4" s="22">
        <f>(Drivers!L5*1000000)/Drivers!L4</f>
        <v>56.380506744184068</v>
      </c>
      <c r="L4" s="22">
        <f>(Drivers!M5*1000000)/Drivers!M4</f>
        <v>57.045724513400089</v>
      </c>
      <c r="M4" s="22">
        <f>(Drivers!N5*1000000)/Drivers!N4</f>
        <v>58.722463215445629</v>
      </c>
      <c r="N4" s="22">
        <f>(Drivers!O5*1000000)/Drivers!O4</f>
        <v>59.625113875494769</v>
      </c>
      <c r="O4" s="22">
        <f>(Drivers!P5*1000000)/Drivers!P4</f>
        <v>61.113788430185018</v>
      </c>
      <c r="P4" s="22">
        <f>(Drivers!Q5*1000000)/Drivers!Q4</f>
        <v>62.170337979535532</v>
      </c>
      <c r="Q4" s="22">
        <f>(Drivers!R5*1000000)/Drivers!R4</f>
        <v>64.180209010668193</v>
      </c>
      <c r="R4" s="22">
        <f>(Drivers!S5*1000000)/Drivers!S4</f>
        <v>66.758299397046585</v>
      </c>
      <c r="S4" s="22">
        <f>(Drivers!T5*1000000)/Drivers!T4</f>
        <v>69.562904957951105</v>
      </c>
      <c r="T4" s="22">
        <f>(Drivers!U5*1000000)/Drivers!U4</f>
        <v>72.505988712436022</v>
      </c>
      <c r="U4" s="22">
        <f>(Drivers!V5*1000000)/Drivers!V4</f>
        <v>74.236547378688499</v>
      </c>
      <c r="V4" s="22">
        <f>(Drivers!W5*1000000)/Drivers!W4</f>
        <v>72.22799579918761</v>
      </c>
      <c r="W4" s="22">
        <f>(Drivers!X5*1000000)/Drivers!X4</f>
        <v>73.376760198387728</v>
      </c>
      <c r="X4" s="22">
        <f>(Drivers!Y5*1000000)/Drivers!Y4</f>
        <v>74.745825380003552</v>
      </c>
      <c r="Y4" s="22">
        <f>(Drivers!Z5*1000000)/Drivers!Z4</f>
        <v>76.09857338160414</v>
      </c>
      <c r="Z4" s="22">
        <f>(Drivers!AA5*1000000)/Drivers!AA4</f>
        <v>76.641958163345151</v>
      </c>
      <c r="AA4" s="22">
        <f>(Drivers!AB5*1000000)/Drivers!AB4</f>
        <v>77.466559353368922</v>
      </c>
      <c r="AB4" s="22">
        <f>(Drivers!AC5*1000000)/Drivers!AC4</f>
        <v>77.642841269428359</v>
      </c>
      <c r="AC4" s="22">
        <f>(Drivers!AD5*1000000)/Drivers!AD4</f>
        <v>77.390477552263718</v>
      </c>
      <c r="AD4" s="22">
        <f>(Drivers!AE5*1000000)/Drivers!AE4</f>
        <v>76.718703958036286</v>
      </c>
      <c r="AE4" s="22">
        <f>(Drivers!AF5*1000000)/Drivers!AF4</f>
        <v>76.346234365780091</v>
      </c>
      <c r="AF4" s="22">
        <f>(Drivers!AG5*1000000)/Drivers!AG4</f>
        <v>76.011493905854792</v>
      </c>
      <c r="AG4" s="22">
        <f>(Drivers!AH5*1000000)/Drivers!AH4</f>
        <v>69.604676773006986</v>
      </c>
      <c r="AH4" s="22">
        <f>(Drivers!AI5*1000000)/Drivers!AI4</f>
        <v>70.913203563801787</v>
      </c>
      <c r="AI4" s="22">
        <f>(Drivers!AJ5*1000000)/Drivers!AJ4</f>
        <v>72.991606079148625</v>
      </c>
      <c r="AJ4" s="22">
        <f>(Drivers!AK5*1000000)/Drivers!AK4</f>
        <v>73.758796097377726</v>
      </c>
      <c r="AK4" s="22">
        <f>(Drivers!AL5*1000000)/Drivers!AL4</f>
        <v>74.670478337972838</v>
      </c>
      <c r="AL4" s="22">
        <f>(Drivers!AM5*1000000)/Drivers!AM4</f>
        <v>75.774330988524255</v>
      </c>
      <c r="AM4" s="22">
        <f>(Drivers!AN5*1000000)/Drivers!AN4</f>
        <v>77.095122203777123</v>
      </c>
      <c r="AN4" s="22">
        <f>(Drivers!AO5*1000000)/Drivers!AO4</f>
        <v>78.563015387632774</v>
      </c>
      <c r="AO4" s="22">
        <f>(Drivers!AP5*1000000)/Drivers!AP4</f>
        <v>80.04835154583445</v>
      </c>
      <c r="AP4" s="22">
        <f>(Drivers!AQ5*1000000)/Drivers!AQ4</f>
        <v>81.666439697823293</v>
      </c>
      <c r="AQ4" s="22">
        <f>(Drivers!AR5*1000000)/Drivers!AR4</f>
        <v>83.290151926794778</v>
      </c>
      <c r="AR4" s="22">
        <f>(Drivers!AS5*1000000)/Drivers!AS4</f>
        <v>85.238071055254537</v>
      </c>
      <c r="AS4" s="22">
        <f>(Drivers!AT5*1000000)/Drivers!AT4</f>
        <v>87.114710889471425</v>
      </c>
      <c r="AT4" s="22">
        <f>(Drivers!AU5*1000000)/Drivers!AU4</f>
        <v>89.082602186097915</v>
      </c>
      <c r="AU4" s="22">
        <f>(Drivers!AV5*1000000)/Drivers!AV4</f>
        <v>91.333295330406301</v>
      </c>
      <c r="AV4" s="22">
        <f>(Drivers!AW5*1000000)/Drivers!AW4</f>
        <v>93.40713777222696</v>
      </c>
      <c r="AW4" s="22">
        <f>(Drivers!AX5*1000000)/Drivers!AX4</f>
        <v>95.696744031494632</v>
      </c>
      <c r="AX4" s="22">
        <f>(Drivers!AY5*1000000)/Drivers!AY4</f>
        <v>98.137819957365593</v>
      </c>
      <c r="AY4" s="22">
        <f>(Drivers!AZ5*1000000)/Drivers!AZ4</f>
        <v>100.3640497956749</v>
      </c>
      <c r="AZ4" s="22">
        <f>(Drivers!BA5*1000000)/Drivers!BA4</f>
        <v>102.54238102232262</v>
      </c>
      <c r="BA4" s="22">
        <f>(Drivers!BB5*1000000)/Drivers!BB4</f>
        <v>104.68063924575117</v>
      </c>
      <c r="BB4" s="22">
        <f>(Drivers!BC5*1000000)/Drivers!BC4</f>
        <v>107.12317409459948</v>
      </c>
      <c r="BC4" s="22">
        <f>(Drivers!BD5*1000000)/Drivers!BD4</f>
        <v>109.42616116465382</v>
      </c>
      <c r="BD4" s="22">
        <f>(Drivers!BE5*1000000)/Drivers!BE4</f>
        <v>111.80431361174497</v>
      </c>
      <c r="BE4" s="22">
        <f>(Drivers!BF5*1000000)/Drivers!BF4</f>
        <v>114.26944489689497</v>
      </c>
      <c r="BF4" s="22">
        <f>(Drivers!BG5*1000000)/Drivers!BG4</f>
        <v>116.84076257949079</v>
      </c>
      <c r="BG4" s="22">
        <f>(Drivers!BH5*1000000)/Drivers!BH4</f>
        <v>119.63406752976803</v>
      </c>
      <c r="BH4" s="22">
        <f>(Drivers!BI5*1000000)/Drivers!BI4</f>
        <v>120.09833327904703</v>
      </c>
      <c r="BI4" s="22">
        <f>(Drivers!BJ5*1000000)/Drivers!BJ4</f>
        <v>120.34239196388016</v>
      </c>
      <c r="BJ4" s="22">
        <f>(Drivers!BK5*1000000)/Drivers!BK4</f>
        <v>120.27384080532464</v>
      </c>
      <c r="BK4" s="22">
        <f>(Drivers!BL5*1000000)/Drivers!BL4</f>
        <v>120.11185911733742</v>
      </c>
      <c r="BL4">
        <v>89.344659551365254</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93">
        <f>IF('Net zero activities &amp; levers'!$C$12="Off",((Data!$AJ$5*'Intermediate calculations'!Y4)+Data!$AK$5)*Drivers!Z4,'Net zero supporting data'!B205)</f>
        <v>920446.2624380854</v>
      </c>
      <c r="Z5" s="93">
        <f>IF('Net zero activities &amp; levers'!$C$12="Off",((Data!$AJ$5*'Intermediate calculations'!Z4)+Data!$AK$5)*Drivers!AA4,'Net zero supporting data'!C205)</f>
        <v>941691.58339834888</v>
      </c>
      <c r="AA5" s="93">
        <f>IF('Net zero activities &amp; levers'!$C$12="Off",((Data!$AJ$5*'Intermediate calculations'!AA4)+Data!$AK$5)*Drivers!AB4,'Net zero supporting data'!D205)</f>
        <v>967640.07013586559</v>
      </c>
      <c r="AB5" s="93">
        <f>IF('Net zero activities &amp; levers'!$C$12="Off",((Data!$AJ$5*'Intermediate calculations'!AB4)+Data!$AK$5)*Drivers!AC4,'Net zero supporting data'!E205)</f>
        <v>985205.95615670993</v>
      </c>
      <c r="AC5" s="93">
        <f>IF('Net zero activities &amp; levers'!$C$12="Off",((Data!$AJ$5*'Intermediate calculations'!AC4)+Data!$AK$5)*Drivers!AD4,'Net zero supporting data'!F205)</f>
        <v>997182.14033234725</v>
      </c>
      <c r="AD5" s="93">
        <f>IF('Net zero activities &amp; levers'!$C$12="Off",((Data!$AJ$5*'Intermediate calculations'!AD4)+Data!$AK$5)*Drivers!AE4,'Net zero supporting data'!G205)</f>
        <v>1003428.5497078975</v>
      </c>
      <c r="AE5" s="93">
        <f>IF('Net zero activities &amp; levers'!$C$12="Off",((Data!$AJ$5*'Intermediate calculations'!AE4)+Data!$AK$5)*Drivers!AF4,'Net zero supporting data'!H205)</f>
        <v>1014063.5244529055</v>
      </c>
      <c r="AF5" s="93">
        <f>IF('Net zero activities &amp; levers'!$C$12="Off",((Data!$AJ$5*'Intermediate calculations'!AF4)+Data!$AK$5)*Drivers!AG4,'Net zero supporting data'!I205)</f>
        <v>1025355.6611865474</v>
      </c>
      <c r="AG5" s="93">
        <f>IF('Net zero activities &amp; levers'!$C$12="Off",((Data!$AJ$5*'Intermediate calculations'!AG4)+Data!$AK$5)*Drivers!AH4,'Net zero supporting data'!J205)</f>
        <v>942611.7054097075</v>
      </c>
      <c r="AH5" s="93">
        <f>IF('Net zero activities &amp; levers'!$C$12="Off",((Data!$AJ$5*'Intermediate calculations'!AH4)+Data!$AK$5)*Drivers!AI4,'Net zero supporting data'!K205)</f>
        <v>973984.9223148895</v>
      </c>
      <c r="AI5" s="93">
        <f>IF('Net zero activities &amp; levers'!$C$12="Off",((Data!$AJ$5*'Intermediate calculations'!AI4)+Data!$AK$5)*Drivers!AJ4,'Net zero supporting data'!L205)</f>
        <v>1018167.5548834999</v>
      </c>
      <c r="AJ5" s="93">
        <f>IF('Net zero activities &amp; levers'!$C$12="Off",((Data!$AJ$5*'Intermediate calculations'!AJ4)+Data!$AK$5)*Drivers!AK4,'Net zero supporting data'!M205)</f>
        <v>1042200.3397128336</v>
      </c>
      <c r="AK5" s="93">
        <f>IF('Net zero activities &amp; levers'!$C$12="Off",((Data!$AJ$5*'Intermediate calculations'!AK4)+Data!$AK$5)*Drivers!AL4,'Net zero supporting data'!N205)</f>
        <v>1068996.6211805635</v>
      </c>
      <c r="AL5" s="93">
        <f>IF('Net zero activities &amp; levers'!$C$12="Off",((Data!$AJ$5*'Intermediate calculations'!AL4)+Data!$AK$5)*Drivers!AM4,'Net zero supporting data'!O205)</f>
        <v>1099426.5590723169</v>
      </c>
      <c r="AM5" s="93">
        <f>IF('Net zero activities &amp; levers'!$C$12="Off",((Data!$AJ$5*'Intermediate calculations'!AM4)+Data!$AK$5)*Drivers!AN4,'Net zero supporting data'!P205)</f>
        <v>1132148.1882203426</v>
      </c>
      <c r="AN5" s="93">
        <f>IF('Net zero activities &amp; levers'!$C$12="Off",((Data!$AJ$5*'Intermediate calculations'!AN4)+Data!$AK$5)*Drivers!AO4,'Net zero supporting data'!Q205)</f>
        <v>1167870.2892675358</v>
      </c>
      <c r="AO5" s="93">
        <f>IF('Net zero activities &amp; levers'!$C$12="Off",((Data!$AJ$5*'Intermediate calculations'!AO4)+Data!$AK$5)*Drivers!AP4,'Net zero supporting data'!R205)</f>
        <v>1204480.9909733646</v>
      </c>
      <c r="AP5" s="93">
        <f>IF('Net zero activities &amp; levers'!$C$12="Off",((Data!$AJ$5*'Intermediate calculations'!AP4)+Data!$AK$5)*Drivers!AQ4,'Net zero supporting data'!S205)</f>
        <v>1243965.860242021</v>
      </c>
      <c r="AQ5" s="93">
        <f>IF('Net zero activities &amp; levers'!$C$12="Off",((Data!$AJ$5*'Intermediate calculations'!AQ4)+Data!$AK$5)*Drivers!AR4,'Net zero supporting data'!T205)</f>
        <v>1284208.4866276728</v>
      </c>
      <c r="AR5" s="93">
        <f>IF('Net zero activities &amp; levers'!$C$12="Off",((Data!$AJ$5*'Intermediate calculations'!AR4)+Data!$AK$5)*Drivers!AS4,'Net zero supporting data'!U205)</f>
        <v>1329038.4261107321</v>
      </c>
      <c r="AS5" s="93">
        <f>IF('Net zero activities &amp; levers'!$C$12="Off",((Data!$AJ$5*'Intermediate calculations'!AS4)+Data!$AK$5)*Drivers!AT4,'Net zero supporting data'!V205)</f>
        <v>1373290.0414873564</v>
      </c>
      <c r="AT5" s="93">
        <f>IF('Net zero activities &amp; levers'!$C$12="Off",((Data!$AJ$5*'Intermediate calculations'!AT4)+Data!$AK$5)*Drivers!AU4,'Net zero supporting data'!W205)</f>
        <v>1419814.0343810506</v>
      </c>
      <c r="AU5" s="93">
        <f>IF('Net zero activities &amp; levers'!$C$12="Off",((Data!$AJ$5*'Intermediate calculations'!AU4)+Data!$AK$5)*Drivers!AV4,'Net zero supporting data'!X205)</f>
        <v>1472076.3973115464</v>
      </c>
      <c r="AV5" s="93">
        <f>IF('Net zero activities &amp; levers'!$C$12="Off",((Data!$AJ$5*'Intermediate calculations'!AV4)+Data!$AK$5)*Drivers!AW4,'Net zero supporting data'!Y205)</f>
        <v>1521946.0110896085</v>
      </c>
      <c r="AW5" s="93">
        <f>IF('Net zero activities &amp; levers'!$C$12="Off",((Data!$AJ$5*'Intermediate calculations'!AW4)+Data!$AK$5)*Drivers!AX4,'Net zero supporting data'!Z205)</f>
        <v>1574577.8650982191</v>
      </c>
      <c r="AX5" s="93">
        <f>IF('Net zero activities &amp; levers'!$C$12="Off",((Data!$AJ$5*'Intermediate calculations'!AX4)+Data!$AK$5)*Drivers!AY4,'Net zero supporting data'!AA205)</f>
        <v>1630663.6389873163</v>
      </c>
      <c r="AY5" s="93">
        <f>IF('Net zero activities &amp; levers'!$C$12="Off",((Data!$AJ$5*'Intermediate calculations'!AY4)+Data!$AK$5)*Drivers!AZ4,'Net zero supporting data'!AB205)</f>
        <v>1683535.8497100582</v>
      </c>
      <c r="AZ5" s="93">
        <f>IF('Net zero activities &amp; levers'!$C$12="Off",((Data!$AJ$5*'Intermediate calculations'!AZ4)+Data!$AK$5)*Drivers!BA4,'Net zero supporting data'!AC205)</f>
        <v>1736207.6659212087</v>
      </c>
      <c r="BA5" s="93">
        <f>IF('Net zero activities &amp; levers'!$C$12="Off",((Data!$AJ$5*'Intermediate calculations'!BA4)+Data!$AK$5)*Drivers!BB4,'Net zero supporting data'!AD205)</f>
        <v>1788812.829091928</v>
      </c>
      <c r="BB5" s="93">
        <f>IF('Net zero activities &amp; levers'!$C$12="Off",((Data!$AJ$5*'Intermediate calculations'!BB4)+Data!$AK$5)*Drivers!BC4,'Net zero supporting data'!AE205)</f>
        <v>1845777.1524565457</v>
      </c>
      <c r="BC5" s="93">
        <f>IF('Net zero activities &amp; levers'!$C$12="Off",((Data!$AJ$5*'Intermediate calculations'!BC4)+Data!$AK$5)*Drivers!BD4,'Net zero supporting data'!AF205)</f>
        <v>1900744.0480905981</v>
      </c>
      <c r="BD5" s="93">
        <f>IF('Net zero activities &amp; levers'!$C$12="Off",((Data!$AJ$5*'Intermediate calculations'!BD4)+Data!$AK$5)*Drivers!BE4,'Net zero supporting data'!AG205)</f>
        <v>1957751.2082779061</v>
      </c>
      <c r="BE5" s="93">
        <f>IF('Net zero activities &amp; levers'!$C$12="Off",((Data!$AJ$5*'Intermediate calculations'!BE4)+Data!$AK$5)*Drivers!BF4,'Net zero supporting data'!AH205)</f>
        <v>2017056.6641092594</v>
      </c>
      <c r="BF5" s="93">
        <f>IF('Net zero activities &amp; levers'!$C$12="Off",((Data!$AJ$5*'Intermediate calculations'!BF4)+Data!$AK$5)*Drivers!BG4,'Net zero supporting data'!AI205)</f>
        <v>2079066.7263658533</v>
      </c>
      <c r="BG5" s="93">
        <f>IF('Net zero activities &amp; levers'!$C$12="Off",((Data!$AJ$5*'Intermediate calculations'!BG4)+Data!$AK$5)*Drivers!BH4,'Net zero supporting data'!AJ205)</f>
        <v>2143708.609377929</v>
      </c>
      <c r="BH5" s="93">
        <f>IF('Net zero activities &amp; levers'!$C$12="Off",((Data!$AJ$5*'Intermediate calculations'!BH4)+Data!$AK$5)*Drivers!BI4,'Net zero supporting data'!AK205)</f>
        <v>2163677.6469730278</v>
      </c>
      <c r="BI5" s="93">
        <f>IF('Net zero activities &amp; levers'!$C$12="Off",((Data!$AJ$5*'Intermediate calculations'!BI4)+Data!$AK$5)*Drivers!BJ4,'Net zero supporting data'!AL205)</f>
        <v>2179491.8188607423</v>
      </c>
      <c r="BJ5" s="93">
        <f>IF('Net zero activities &amp; levers'!$C$12="Off",((Data!$AJ$5*'Intermediate calculations'!BJ4)+Data!$AK$5)*Drivers!BK4,'Net zero supporting data'!AM205)</f>
        <v>2189271.4378631134</v>
      </c>
      <c r="BK5" s="93">
        <f>IF('Net zero activities &amp; levers'!$C$12="Off",((Data!$AJ$5*'Intermediate calculations'!BK4)+Data!$AK$5)*Drivers!BL4,'Net zero supporting data'!AN205)</f>
        <v>2197249.7738513239</v>
      </c>
      <c r="BL5" s="79">
        <v>2265947.5040882924</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0.18777666480331262</v>
      </c>
      <c r="AP6" s="22"/>
      <c r="AQ6" s="22">
        <f>(AQ8-AD8)/AD8</f>
        <v>0.31614761455901103</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17.732839906466506</v>
      </c>
      <c r="AA7" s="45">
        <f>AA5*ttokg/Drivers!AB4</f>
        <v>17.948388235719666</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15.893315219231912</v>
      </c>
      <c r="AH7" s="45">
        <f>AH5*ttokg/Drivers!AI4</f>
        <v>16.235360279257463</v>
      </c>
      <c r="AI7" s="45">
        <f>AI5*ttokg/Drivers!AJ4</f>
        <v>16.778648592588251</v>
      </c>
      <c r="AJ7" s="45">
        <f>AJ5*ttokg/Drivers!AK4</f>
        <v>16.979189810148483</v>
      </c>
      <c r="AK7" s="45">
        <f>AK5*ttokg/Drivers!AL4</f>
        <v>17.21750087026761</v>
      </c>
      <c r="AL7" s="45">
        <f>AL5*ttokg/Drivers!AM4</f>
        <v>17.506044711152885</v>
      </c>
      <c r="AM7" s="45">
        <f>AM5*ttokg/Drivers!AN4</f>
        <v>17.851295655711674</v>
      </c>
      <c r="AN7" s="45">
        <f>AN5*ttokg/Drivers!AO4</f>
        <v>18.234998622830926</v>
      </c>
      <c r="AO7" s="45">
        <f>AO5*ttokg/Drivers!AP4</f>
        <v>18.623261132214949</v>
      </c>
      <c r="AP7" s="45">
        <f>AP5*ttokg/Drivers!AQ4</f>
        <v>19.046224622887905</v>
      </c>
      <c r="AQ7" s="45">
        <f>AQ5*ttokg/Drivers!AR4</f>
        <v>19.470658230766453</v>
      </c>
      <c r="AR7" s="45">
        <f>AR5*ttokg/Drivers!AS4</f>
        <v>19.97983856998918</v>
      </c>
      <c r="AS7" s="45">
        <f>AS5*ttokg/Drivers!AT4</f>
        <v>20.470386711041122</v>
      </c>
      <c r="AT7" s="45">
        <f>AT5*ttokg/Drivers!AU4</f>
        <v>20.984787716365219</v>
      </c>
      <c r="AU7" s="45">
        <f>AU5*ttokg/Drivers!AV4</f>
        <v>21.573112294096216</v>
      </c>
      <c r="AV7" s="45">
        <f>AV5*ttokg/Drivers!AW4</f>
        <v>22.115208617600008</v>
      </c>
      <c r="AW7" s="45">
        <f>AW5*ttokg/Drivers!AX4</f>
        <v>22.713704969295186</v>
      </c>
      <c r="AX7" s="45">
        <f>AX5*ttokg/Drivers!AY4</f>
        <v>23.351795046980413</v>
      </c>
      <c r="AY7" s="45">
        <f>AY5*ttokg/Drivers!AZ4</f>
        <v>23.933724988370955</v>
      </c>
      <c r="AZ7" s="45">
        <f>AZ5*ttokg/Drivers!BA4</f>
        <v>24.503134373349365</v>
      </c>
      <c r="BA7" s="45">
        <f>BA5*ttokg/Drivers!BB4</f>
        <v>25.062068792979016</v>
      </c>
      <c r="BB7" s="45">
        <f>BB5*ttokg/Drivers!BC4</f>
        <v>25.700540228845725</v>
      </c>
      <c r="BC7" s="45">
        <f>BC5*ttokg/Drivers!BD4</f>
        <v>26.302534285181654</v>
      </c>
      <c r="BD7" s="45">
        <f>BD5*ttokg/Drivers!BE4</f>
        <v>26.924176350317452</v>
      </c>
      <c r="BE7" s="45">
        <f>BE5*ttokg/Drivers!BF4</f>
        <v>27.568554428268641</v>
      </c>
      <c r="BF7" s="45">
        <f>BF5*ttokg/Drivers!BG4</f>
        <v>28.240689318647171</v>
      </c>
      <c r="BG7" s="45">
        <f>BG5*ttokg/Drivers!BH4</f>
        <v>28.970851028830356</v>
      </c>
      <c r="BH7" s="45">
        <f>BH5*ttokg/Drivers!BI4</f>
        <v>29.092208732162881</v>
      </c>
      <c r="BI7" s="45">
        <f>BI5*ttokg/Drivers!BJ4</f>
        <v>29.156004955588159</v>
      </c>
      <c r="BJ7" s="45">
        <f>BJ5*ttokg/Drivers!BK4</f>
        <v>29.138085884073618</v>
      </c>
      <c r="BK7" s="45">
        <f>BK5*ttokg/Drivers!BL4</f>
        <v>29.095744346567177</v>
      </c>
      <c r="BL7">
        <v>30.005396118651085</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94">
        <f>IF('Net zero activities &amp; levers'!$C$14="Off",((Data!$AJ$14*'Net zero Intermediate calcs'!Y5)+Data!$AK$14),IF('Net zero activities &amp; levers'!$C$14="On",((Data!$AJ$14*'Net zero Intermediate calcs'!Y5)+Data!$AK$14)*(1-'Net zero supporting data'!B213),"ERROR"))</f>
        <v>919934.15141939744</v>
      </c>
      <c r="Z8" s="94">
        <f>IF('Net zero activities &amp; levers'!$C$14="Off",((Data!$AJ$14*'Net zero Intermediate calcs'!Z5)+Data!$AK$14),IF('Net zero activities &amp; levers'!$C$14="On",((Data!$AJ$14*'Net zero Intermediate calcs'!Z5)+Data!$AK$14)*(1-'Net zero supporting data'!C213),"ERROR"))</f>
        <v>944208.34947610227</v>
      </c>
      <c r="AA8" s="94">
        <f>IF('Net zero activities &amp; levers'!$C$14="Off",((Data!$AJ$14*'Net zero Intermediate calcs'!AA5)+Data!$AK$14),IF('Net zero activities &amp; levers'!$C$14="On",((Data!$AJ$14*'Net zero Intermediate calcs'!AA5)+Data!$AK$14)*(1-'Net zero supporting data'!D213),"ERROR"))</f>
        <v>973856.22853221837</v>
      </c>
      <c r="AB8" s="94">
        <f>IF('Net zero activities &amp; levers'!$C$14="Off",((Data!$AJ$14*'Net zero Intermediate calcs'!AB5)+Data!$AK$14),IF('Net zero activities &amp; levers'!$C$14="On",((Data!$AJ$14*'Net zero Intermediate calcs'!AB5)+Data!$AK$14)*(1-'Net zero supporting data'!E213),"ERROR"))</f>
        <v>993926.42644116026</v>
      </c>
      <c r="AC8" s="94">
        <f>IF('Net zero activities &amp; levers'!$C$14="Off",((Data!$AJ$14*'Net zero Intermediate calcs'!AC5)+Data!$AK$14),IF('Net zero activities &amp; levers'!$C$14="On",((Data!$AJ$14*'Net zero Intermediate calcs'!AC5)+Data!$AK$14)*(1-'Net zero supporting data'!F213),"ERROR"))</f>
        <v>1007610.0166861247</v>
      </c>
      <c r="AD8" s="94">
        <f>IF('Net zero activities &amp; levers'!$C$14="Off",((Data!$AJ$14*'Net zero Intermediate calcs'!AD5)+Data!$AK$14),IF('Net zero activities &amp; levers'!$C$14="On",((Data!$AJ$14*'Net zero Intermediate calcs'!AD5)+Data!$AK$14)*(1-'Net zero supporting data'!G213),"ERROR"))</f>
        <v>1014746.9565614488</v>
      </c>
      <c r="AE8" s="94">
        <f>IF('Net zero activities &amp; levers'!$C$14="Off",((Data!$AJ$14*'Net zero Intermediate calcs'!AE5)+Data!$AK$14),IF('Net zero activities &amp; levers'!$C$14="On",((Data!$AJ$14*'Net zero Intermediate calcs'!AE5)+Data!$AK$14)*(1-'Net zero supporting data'!H213),"ERROR"))</f>
        <v>1026898.1254598254</v>
      </c>
      <c r="AF8" s="94">
        <f>IF('Net zero activities &amp; levers'!$C$14="Off",((Data!$AJ$14*'Net zero Intermediate calcs'!AF5)+Data!$AK$14),IF('Net zero activities &amp; levers'!$C$14="On",((Data!$AJ$14*'Net zero Intermediate calcs'!AF5)+Data!$AK$14)*(1-'Net zero supporting data'!I213),"ERROR"))</f>
        <v>1039800.1458184961</v>
      </c>
      <c r="AG8" s="94">
        <f>IF('Net zero activities &amp; levers'!$C$14="Off",((Data!$AJ$14*'Net zero Intermediate calcs'!AG5)+Data!$AK$14),IF('Net zero activities &amp; levers'!$C$14="On",((Data!$AJ$14*'Net zero Intermediate calcs'!AG5)+Data!$AK$14)*(1-'Net zero supporting data'!J213),"ERROR"))</f>
        <v>945259.65032403148</v>
      </c>
      <c r="AH8" s="94">
        <f>IF('Net zero activities &amp; levers'!$C$14="Off",((Data!$AJ$14*'Net zero Intermediate calcs'!AH5)+Data!$AK$14),IF('Net zero activities &amp; levers'!$C$14="On",((Data!$AJ$14*'Net zero Intermediate calcs'!AH5)+Data!$AK$14)*(1-'Net zero supporting data'!K213),"ERROR"))</f>
        <v>981105.6458849716</v>
      </c>
      <c r="AI8" s="94">
        <f>IF('Net zero activities &amp; levers'!$C$14="Off",((Data!$AJ$14*'Net zero Intermediate calcs'!AI5)+Data!$AK$14),IF('Net zero activities &amp; levers'!$C$14="On",((Data!$AJ$14*'Net zero Intermediate calcs'!AI5)+Data!$AK$14)*(1-'Net zero supporting data'!L213),"ERROR"))</f>
        <v>1031587.2543126829</v>
      </c>
      <c r="AJ8" s="94">
        <f>IF('Net zero activities &amp; levers'!$C$14="Off",((Data!$AJ$14*'Net zero Intermediate calcs'!AJ5)+Data!$AK$14),IF('Net zero activities &amp; levers'!$C$14="On",((Data!$AJ$14*'Net zero Intermediate calcs'!AJ5)+Data!$AK$14)*(1-'Net zero supporting data'!M213),"ERROR"))</f>
        <v>1059046.3159993738</v>
      </c>
      <c r="AK8" s="94">
        <f>IF('Net zero activities &amp; levers'!$C$14="Off",((Data!$AJ$14*'Net zero Intermediate calcs'!AK5)+Data!$AK$14),IF('Net zero activities &amp; levers'!$C$14="On",((Data!$AJ$14*'Net zero Intermediate calcs'!AK5)+Data!$AK$14)*(1-'Net zero supporting data'!N213),"ERROR"))</f>
        <v>1089662.857154364</v>
      </c>
      <c r="AL8" s="94">
        <f>IF('Net zero activities &amp; levers'!$C$14="Off",((Data!$AJ$14*'Net zero Intermediate calcs'!AL5)+Data!$AK$14),IF('Net zero activities &amp; levers'!$C$14="On",((Data!$AJ$14*'Net zero Intermediate calcs'!AL5)+Data!$AK$14)*(1-'Net zero supporting data'!O213),"ERROR"))</f>
        <v>1124431.0934459795</v>
      </c>
      <c r="AM8" s="94">
        <f>IF('Net zero activities &amp; levers'!$C$14="Off",((Data!$AJ$14*'Net zero Intermediate calcs'!AM5)+Data!$AK$14),IF('Net zero activities &amp; levers'!$C$14="On",((Data!$AJ$14*'Net zero Intermediate calcs'!AM5)+Data!$AK$14)*(1-'Net zero supporting data'!P213),"ERROR"))</f>
        <v>1161817.7400474991</v>
      </c>
      <c r="AN8" s="94">
        <f>IF('Net zero activities &amp; levers'!$C$14="Off",((Data!$AJ$14*'Net zero Intermediate calcs'!AN5)+Data!$AK$14),IF('Net zero activities &amp; levers'!$C$14="On",((Data!$AJ$14*'Net zero Intermediate calcs'!AN5)+Data!$AK$14)*(1-'Net zero supporting data'!Q213),"ERROR"))</f>
        <v>1202632.6261790399</v>
      </c>
      <c r="AO8" s="94">
        <f>IF('Net zero activities &amp; levers'!$C$14="Off",((Data!$AJ$14*'Net zero Intermediate calcs'!AO5)+Data!$AK$14),IF('Net zero activities &amp; levers'!$C$14="On",((Data!$AJ$14*'Net zero Intermediate calcs'!AO5)+Data!$AK$14)*(1-'Net zero supporting data'!R213),"ERROR"))</f>
        <v>1244462.797907884</v>
      </c>
      <c r="AP8" s="94">
        <f>IF('Net zero activities &amp; levers'!$C$14="Off",((Data!$AJ$14*'Net zero Intermediate calcs'!AP5)+Data!$AK$14),IF('Net zero activities &amp; levers'!$C$14="On",((Data!$AJ$14*'Net zero Intermediate calcs'!AP5)+Data!$AK$14)*(1-'Net zero supporting data'!S213),"ERROR"))</f>
        <v>1289576.8980273008</v>
      </c>
      <c r="AQ8" s="94">
        <f>IF('Net zero activities &amp; levers'!$C$14="Off",((Data!$AJ$14*'Net zero Intermediate calcs'!AQ5)+Data!$AK$14),IF('Net zero activities &amp; levers'!$C$14="On",((Data!$AJ$14*'Net zero Intermediate calcs'!AQ5)+Data!$AK$14)*(1-'Net zero supporting data'!T213),"ERROR"))</f>
        <v>1335556.7862593671</v>
      </c>
      <c r="AR8" s="94">
        <f>IF('Net zero activities &amp; levers'!$C$14="Off",((Data!$AJ$14*'Net zero Intermediate calcs'!AR5)+Data!$AK$14),IF('Net zero activities &amp; levers'!$C$14="On",((Data!$AJ$14*'Net zero Intermediate calcs'!AR5)+Data!$AK$14)*(1-'Net zero supporting data'!U213),"ERROR"))</f>
        <v>1386777.9860669498</v>
      </c>
      <c r="AS8" s="94">
        <f>IF('Net zero activities &amp; levers'!$C$14="Off",((Data!$AJ$14*'Net zero Intermediate calcs'!AS5)+Data!$AK$14),IF('Net zero activities &amp; levers'!$C$14="On",((Data!$AJ$14*'Net zero Intermediate calcs'!AS5)+Data!$AK$14)*(1-'Net zero supporting data'!V213),"ERROR"))</f>
        <v>1437338.4119598041</v>
      </c>
      <c r="AT8" s="94">
        <f>IF('Net zero activities &amp; levers'!$C$14="Off",((Data!$AJ$14*'Net zero Intermediate calcs'!AT5)+Data!$AK$14),IF('Net zero activities &amp; levers'!$C$14="On",((Data!$AJ$14*'Net zero Intermediate calcs'!AT5)+Data!$AK$14)*(1-'Net zero supporting data'!W213),"ERROR"))</f>
        <v>1490495.1809256638</v>
      </c>
      <c r="AU8" s="94">
        <f>IF('Net zero activities &amp; levers'!$C$14="Off",((Data!$AJ$14*'Net zero Intermediate calcs'!AU5)+Data!$AK$14),IF('Net zero activities &amp; levers'!$C$14="On",((Data!$AJ$14*'Net zero Intermediate calcs'!AU5)+Data!$AK$14)*(1-'Net zero supporting data'!X213),"ERROR"))</f>
        <v>1550208.4208931392</v>
      </c>
      <c r="AV8" s="94">
        <f>IF('Net zero activities &amp; levers'!$C$14="Off",((Data!$AJ$14*'Net zero Intermediate calcs'!AV5)+Data!$AK$14),IF('Net zero activities &amp; levers'!$C$14="On",((Data!$AJ$14*'Net zero Intermediate calcs'!AV5)+Data!$AK$14)*(1-'Net zero supporting data'!Y213),"ERROR"))</f>
        <v>1607187.7851552384</v>
      </c>
      <c r="AW8" s="94">
        <f>IF('Net zero activities &amp; levers'!$C$14="Off",((Data!$AJ$14*'Net zero Intermediate calcs'!AW5)+Data!$AK$14),IF('Net zero activities &amp; levers'!$C$14="On",((Data!$AJ$14*'Net zero Intermediate calcs'!AW5)+Data!$AK$14)*(1-'Net zero supporting data'!Z213),"ERROR"))</f>
        <v>1667323.1933557624</v>
      </c>
      <c r="AX8" s="94">
        <f>IF('Net zero activities &amp; levers'!$C$14="Off",((Data!$AJ$14*'Net zero Intermediate calcs'!AX5)+Data!$AK$14),IF('Net zero activities &amp; levers'!$C$14="On",((Data!$AJ$14*'Net zero Intermediate calcs'!AX5)+Data!$AK$14)*(1-'Net zero supporting data'!AA213),"ERROR"))</f>
        <v>1731404.9356882928</v>
      </c>
      <c r="AY8" s="94">
        <f>IF('Net zero activities &amp; levers'!$C$14="Off",((Data!$AJ$14*'Net zero Intermediate calcs'!AY5)+Data!$AK$14),IF('Net zero activities &amp; levers'!$C$14="On",((Data!$AJ$14*'Net zero Intermediate calcs'!AY5)+Data!$AK$14)*(1-'Net zero supporting data'!AB213),"ERROR"))</f>
        <v>1791814.9674868314</v>
      </c>
      <c r="AZ8" s="94">
        <f>IF('Net zero activities &amp; levers'!$C$14="Off",((Data!$AJ$14*'Net zero Intermediate calcs'!AZ5)+Data!$AK$14),IF('Net zero activities &amp; levers'!$C$14="On",((Data!$AJ$14*'Net zero Intermediate calcs'!AZ5)+Data!$AK$14)*(1-'Net zero supporting data'!AC213),"ERROR"))</f>
        <v>1851996.0351726157</v>
      </c>
      <c r="BA8" s="94">
        <f>IF('Net zero activities &amp; levers'!$C$14="Off",((Data!$AJ$14*'Net zero Intermediate calcs'!BA5)+Data!$AK$14),IF('Net zero activities &amp; levers'!$C$14="On",((Data!$AJ$14*'Net zero Intermediate calcs'!BA5)+Data!$AK$14)*(1-'Net zero supporting data'!AD213),"ERROR"))</f>
        <v>1912100.9473083129</v>
      </c>
      <c r="BB8" s="94">
        <f>IF('Net zero activities &amp; levers'!$C$14="Off",((Data!$AJ$14*'Net zero Intermediate calcs'!BB5)+Data!$AK$14),IF('Net zero activities &amp; levers'!$C$14="On",((Data!$AJ$14*'Net zero Intermediate calcs'!BB5)+Data!$AK$14)*(1-'Net zero supporting data'!AE213),"ERROR"))</f>
        <v>1977186.4910901738</v>
      </c>
      <c r="BC8" s="94">
        <f>IF('Net zero activities &amp; levers'!$C$14="Off",((Data!$AJ$14*'Net zero Intermediate calcs'!BC5)+Data!$AK$14),IF('Net zero activities &amp; levers'!$C$14="On",((Data!$AJ$14*'Net zero Intermediate calcs'!BC5)+Data!$AK$14)*(1-'Net zero supporting data'!AF213),"ERROR"))</f>
        <v>2039989.8402925134</v>
      </c>
      <c r="BD8" s="94">
        <f>IF('Net zero activities &amp; levers'!$C$14="Off",((Data!$AJ$14*'Net zero Intermediate calcs'!BD5)+Data!$AK$14),IF('Net zero activities &amp; levers'!$C$14="On",((Data!$AJ$14*'Net zero Intermediate calcs'!BD5)+Data!$AK$14)*(1-'Net zero supporting data'!AG213),"ERROR"))</f>
        <v>2105124.3280051365</v>
      </c>
      <c r="BE8" s="94">
        <f>IF('Net zero activities &amp; levers'!$C$14="Off",((Data!$AJ$14*'Net zero Intermediate calcs'!BE5)+Data!$AK$14),IF('Net zero activities &amp; levers'!$C$14="On",((Data!$AJ$14*'Net zero Intermediate calcs'!BE5)+Data!$AK$14)*(1-'Net zero supporting data'!AH213),"ERROR"))</f>
        <v>2172884.7719817655</v>
      </c>
      <c r="BF8" s="94">
        <f>IF('Net zero activities &amp; levers'!$C$14="Off",((Data!$AJ$14*'Net zero Intermediate calcs'!BF5)+Data!$AK$14),IF('Net zero activities &amp; levers'!$C$14="On",((Data!$AJ$14*'Net zero Intermediate calcs'!BF5)+Data!$AK$14)*(1-'Net zero supporting data'!AI213),"ERROR"))</f>
        <v>2243735.4094252065</v>
      </c>
      <c r="BG8" s="94">
        <f>IF('Net zero activities &amp; levers'!$C$14="Off",((Data!$AJ$14*'Net zero Intermediate calcs'!BG5)+Data!$AK$14),IF('Net zero activities &amp; levers'!$C$14="On",((Data!$AJ$14*'Net zero Intermediate calcs'!BG5)+Data!$AK$14)*(1-'Net zero supporting data'!AJ213),"ERROR"))</f>
        <v>2317593.0778468004</v>
      </c>
      <c r="BH8" s="94">
        <f>IF('Net zero activities &amp; levers'!$C$14="Off",((Data!$AJ$14*'Net zero Intermediate calcs'!BH5)+Data!$AK$14),IF('Net zero activities &amp; levers'!$C$14="On",((Data!$AJ$14*'Net zero Intermediate calcs'!BH5)+Data!$AK$14)*(1-'Net zero supporting data'!AK213),"ERROR"))</f>
        <v>2340409.0369227701</v>
      </c>
      <c r="BI8" s="94">
        <f>IF('Net zero activities &amp; levers'!$C$14="Off",((Data!$AJ$14*'Net zero Intermediate calcs'!BI5)+Data!$AK$14),IF('Net zero activities &amp; levers'!$C$14="On",((Data!$AJ$14*'Net zero Intermediate calcs'!BI5)+Data!$AK$14)*(1-'Net zero supporting data'!AL213),"ERROR"))</f>
        <v>2358477.7844471377</v>
      </c>
      <c r="BJ8" s="94">
        <f>IF('Net zero activities &amp; levers'!$C$14="Off",((Data!$AJ$14*'Net zero Intermediate calcs'!BJ5)+Data!$AK$14),IF('Net zero activities &amp; levers'!$C$14="On",((Data!$AJ$14*'Net zero Intermediate calcs'!BJ5)+Data!$AK$14)*(1-'Net zero supporting data'!AM213),"ERROR"))</f>
        <v>2369651.6522849868</v>
      </c>
      <c r="BK8" s="94">
        <f>IF('Net zero activities &amp; levers'!$C$14="Off",((Data!$AJ$14*'Net zero Intermediate calcs'!BK5)+Data!$AK$14),IF('Net zero activities &amp; levers'!$C$14="On",((Data!$AJ$14*'Net zero Intermediate calcs'!BK5)+Data!$AK$14)*(1-'Net zero supporting data'!AN213),"ERROR"))</f>
        <v>2378767.4339812477</v>
      </c>
      <c r="BL8">
        <v>2457259.1787252906</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665666.88638065208</v>
      </c>
      <c r="AA9" s="22">
        <f t="shared" si="1"/>
        <v>691437.92225787498</v>
      </c>
      <c r="AB9" s="22">
        <f t="shared" si="1"/>
        <v>710657.39490542957</v>
      </c>
      <c r="AC9" s="22">
        <f t="shared" si="1"/>
        <v>725479.21201400983</v>
      </c>
      <c r="AD9" s="22">
        <f t="shared" si="1"/>
        <v>735691.54350705037</v>
      </c>
      <c r="AE9" s="22">
        <f t="shared" si="1"/>
        <v>749635.6315856725</v>
      </c>
      <c r="AF9" s="22">
        <f t="shared" si="1"/>
        <v>764253.10717659467</v>
      </c>
      <c r="AG9" s="22">
        <f t="shared" si="1"/>
        <v>699492.14123978326</v>
      </c>
      <c r="AH9" s="22">
        <f t="shared" si="1"/>
        <v>727980.38924664888</v>
      </c>
      <c r="AI9" s="22">
        <f t="shared" si="1"/>
        <v>767500.91720863606</v>
      </c>
      <c r="AJ9" s="22">
        <f t="shared" si="1"/>
        <v>790048.55173553282</v>
      </c>
      <c r="AK9" s="22">
        <f t="shared" si="1"/>
        <v>815067.81715146429</v>
      </c>
      <c r="AL9" s="22">
        <f t="shared" si="1"/>
        <v>843323.32008448464</v>
      </c>
      <c r="AM9" s="22">
        <f t="shared" si="1"/>
        <v>873686.94051571935</v>
      </c>
      <c r="AN9" s="22">
        <f t="shared" si="1"/>
        <v>906785.00013899617</v>
      </c>
      <c r="AO9" s="22">
        <f t="shared" si="1"/>
        <v>940813.87521836034</v>
      </c>
      <c r="AP9" s="22">
        <f t="shared" si="1"/>
        <v>977499.28870469402</v>
      </c>
      <c r="AQ9" s="22">
        <f t="shared" si="1"/>
        <v>1015023.157557119</v>
      </c>
      <c r="AR9" s="22">
        <f t="shared" si="1"/>
        <v>1059498.3813551497</v>
      </c>
      <c r="AS9" s="22">
        <f t="shared" si="1"/>
        <v>1103875.9003851295</v>
      </c>
      <c r="AT9" s="22">
        <f t="shared" si="1"/>
        <v>1150662.2796746125</v>
      </c>
      <c r="AU9" s="22">
        <f t="shared" si="1"/>
        <v>1202961.7346130761</v>
      </c>
      <c r="AV9" s="22">
        <f t="shared" si="1"/>
        <v>1253606.4724210859</v>
      </c>
      <c r="AW9" s="22">
        <f t="shared" si="1"/>
        <v>1307181.3835909178</v>
      </c>
      <c r="AX9" s="22">
        <f t="shared" si="1"/>
        <v>1364347.0893223749</v>
      </c>
      <c r="AY9" s="22">
        <f t="shared" si="1"/>
        <v>1419117.4542495706</v>
      </c>
      <c r="AZ9" s="22">
        <f t="shared" si="1"/>
        <v>1474188.8439974021</v>
      </c>
      <c r="BA9" s="22">
        <f t="shared" si="1"/>
        <v>1529680.7578466504</v>
      </c>
      <c r="BB9" s="22">
        <f t="shared" si="1"/>
        <v>1587680.7523454097</v>
      </c>
      <c r="BC9" s="22">
        <f t="shared" si="1"/>
        <v>1644231.8112757658</v>
      </c>
      <c r="BD9" s="22">
        <f t="shared" si="1"/>
        <v>1703045.5813561555</v>
      </c>
      <c r="BE9" s="22">
        <f t="shared" si="1"/>
        <v>1764382.4348491938</v>
      </c>
      <c r="BF9" s="22">
        <f t="shared" si="1"/>
        <v>1828644.3586815435</v>
      </c>
      <c r="BG9" s="22">
        <f t="shared" si="1"/>
        <v>1895791.1376786828</v>
      </c>
      <c r="BH9" s="22">
        <f t="shared" si="1"/>
        <v>1921475.8193135944</v>
      </c>
      <c r="BI9" s="22">
        <f t="shared" si="1"/>
        <v>1943385.6943844417</v>
      </c>
      <c r="BJ9" s="22">
        <f t="shared" si="1"/>
        <v>1959701.9164396843</v>
      </c>
      <c r="BK9" s="22">
        <f t="shared" si="1"/>
        <v>1974376.9702044355</v>
      </c>
      <c r="BL9">
        <v>2039525.118341991</v>
      </c>
    </row>
    <row r="10" spans="1:67" x14ac:dyDescent="0.3">
      <c r="A10" t="s">
        <v>846</v>
      </c>
      <c r="B10" t="s">
        <v>321</v>
      </c>
      <c r="C10" s="22">
        <f t="shared" ref="C10:BK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278541.46309545019</v>
      </c>
      <c r="AA10" s="22">
        <f t="shared" si="2"/>
        <v>282418.3062743434</v>
      </c>
      <c r="AB10" s="22">
        <f t="shared" si="2"/>
        <v>283269.0315357307</v>
      </c>
      <c r="AC10" s="22">
        <f t="shared" si="2"/>
        <v>282130.8046721149</v>
      </c>
      <c r="AD10" s="22">
        <f t="shared" si="2"/>
        <v>279055.41305439838</v>
      </c>
      <c r="AE10" s="22">
        <f t="shared" si="2"/>
        <v>277262.49387415289</v>
      </c>
      <c r="AF10" s="22">
        <f t="shared" si="2"/>
        <v>275547.03864190145</v>
      </c>
      <c r="AG10" s="22">
        <f t="shared" si="2"/>
        <v>245767.50908424822</v>
      </c>
      <c r="AH10" s="22">
        <f t="shared" si="2"/>
        <v>253125.25663832272</v>
      </c>
      <c r="AI10" s="22">
        <f t="shared" si="2"/>
        <v>264086.33710404683</v>
      </c>
      <c r="AJ10" s="22">
        <f t="shared" si="2"/>
        <v>268997.76426384097</v>
      </c>
      <c r="AK10" s="22">
        <f t="shared" si="2"/>
        <v>274595.04000289971</v>
      </c>
      <c r="AL10" s="22">
        <f t="shared" si="2"/>
        <v>281107.77336149488</v>
      </c>
      <c r="AM10" s="22">
        <f t="shared" si="2"/>
        <v>288130.79953177972</v>
      </c>
      <c r="AN10" s="22">
        <f t="shared" si="2"/>
        <v>295847.62604004377</v>
      </c>
      <c r="AO10" s="22">
        <f t="shared" si="2"/>
        <v>303648.92268952366</v>
      </c>
      <c r="AP10" s="22">
        <f t="shared" si="2"/>
        <v>312077.60932260682</v>
      </c>
      <c r="AQ10" s="22">
        <f t="shared" si="2"/>
        <v>320533.6287022481</v>
      </c>
      <c r="AR10" s="22">
        <f t="shared" si="2"/>
        <v>327279.60471180012</v>
      </c>
      <c r="AS10" s="22">
        <f t="shared" si="2"/>
        <v>333462.51157467463</v>
      </c>
      <c r="AT10" s="22">
        <f t="shared" si="2"/>
        <v>339832.90125105134</v>
      </c>
      <c r="AU10" s="22">
        <f t="shared" si="2"/>
        <v>347246.68628006312</v>
      </c>
      <c r="AV10" s="22">
        <f t="shared" si="2"/>
        <v>353581.31273415242</v>
      </c>
      <c r="AW10" s="22">
        <f t="shared" si="2"/>
        <v>360141.8097648446</v>
      </c>
      <c r="AX10" s="22">
        <f t="shared" si="2"/>
        <v>367057.84636591794</v>
      </c>
      <c r="AY10" s="22">
        <f t="shared" si="2"/>
        <v>372697.51323726075</v>
      </c>
      <c r="AZ10" s="22">
        <f t="shared" si="2"/>
        <v>377807.19117521355</v>
      </c>
      <c r="BA10" s="22">
        <f t="shared" si="2"/>
        <v>382420.18946166243</v>
      </c>
      <c r="BB10" s="22">
        <f t="shared" si="2"/>
        <v>389505.73874476412</v>
      </c>
      <c r="BC10" s="22">
        <f t="shared" si="2"/>
        <v>395758.02901674761</v>
      </c>
      <c r="BD10" s="22">
        <f t="shared" si="2"/>
        <v>402078.746648981</v>
      </c>
      <c r="BE10" s="22">
        <f t="shared" si="2"/>
        <v>408502.33713257173</v>
      </c>
      <c r="BF10" s="22">
        <f t="shared" si="2"/>
        <v>415091.05074366299</v>
      </c>
      <c r="BG10" s="22">
        <f t="shared" si="2"/>
        <v>421801.94016811764</v>
      </c>
      <c r="BH10" s="22">
        <f t="shared" si="2"/>
        <v>418933.21760917571</v>
      </c>
      <c r="BI10" s="22">
        <f t="shared" si="2"/>
        <v>415092.09006269602</v>
      </c>
      <c r="BJ10" s="22">
        <f t="shared" si="2"/>
        <v>409949.73584530246</v>
      </c>
      <c r="BK10" s="22">
        <f t="shared" si="2"/>
        <v>404390.46377681219</v>
      </c>
      <c r="BL10">
        <v>417734.0603832996</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94">
        <f>IF($Y$1="Off",((Data!$AJ$15*LN('Net zero Intermediate calcs'!Y2))+Data!$AK$15),IF($Y$1="PQ",'Net zero supporting data'!B100,IF($Y$1="GS",'Net zero supporting data'!B64,'Net zero supporting data'!B83)))</f>
        <v>40.711692719818267</v>
      </c>
      <c r="Z11" s="94">
        <f>IF($Y$1="Off",((Data!$AJ$15*LN('Net zero Intermediate calcs'!Z2))+Data!$AK$15),IF($Y$1="PQ",'Net zero supporting data'!C100,IF($Y$1="GS",'Net zero supporting data'!C64,'Net zero supporting data'!C83)))</f>
        <v>39.98751157220714</v>
      </c>
      <c r="AA11" s="94">
        <f>IF($Y$1="Off",((Data!$AJ$15*LN('Net zero Intermediate calcs'!AA2))+Data!$AK$15),IF($Y$1="PQ",'Net zero supporting data'!D100,IF($Y$1="GS",'Net zero supporting data'!D64,'Net zero supporting data'!D83)))</f>
        <v>39.307247949386728</v>
      </c>
      <c r="AB11" s="94">
        <f>IF($Y$1="Off",((Data!$AJ$15*LN('Net zero Intermediate calcs'!AB2))+Data!$AK$15),IF($Y$1="PQ",'Net zero supporting data'!E100,IF($Y$1="GS",'Net zero supporting data'!E64,'Net zero supporting data'!E83)))</f>
        <v>38.665878345611468</v>
      </c>
      <c r="AC11" s="94">
        <f>IF($Y$1="Off",((Data!$AJ$15*LN('Net zero Intermediate calcs'!AC2))+Data!$AK$15),IF($Y$1="PQ",'Net zero supporting data'!F100,IF($Y$1="GS",'Net zero supporting data'!F64,'Net zero supporting data'!F83)))</f>
        <v>38.059194745530348</v>
      </c>
      <c r="AD11" s="94">
        <f>IF($Y$1="Off",((Data!$AJ$15*LN('Net zero Intermediate calcs'!AD2))+Data!$AK$15),IF($Y$1="PQ",'Net zero supporting data'!G100,IF($Y$1="GS",'Net zero supporting data'!G64,'Net zero supporting data'!G83)))</f>
        <v>37.483637138389781</v>
      </c>
      <c r="AE11" s="94">
        <f>IF($Y$1="Off",((Data!$AJ$15*LN('Net zero Intermediate calcs'!AE2))+Data!$AK$15),IF($Y$1="PQ",'Net zero supporting data'!H100,IF($Y$1="GS",'Net zero supporting data'!H64,'Net zero supporting data'!H83)))</f>
        <v>36.936166938305114</v>
      </c>
      <c r="AF11" s="94">
        <f>IF($Y$1="Off",((Data!$AJ$15*LN('Net zero Intermediate calcs'!AF2))+Data!$AK$15),IF($Y$1="PQ",'Net zero supporting data'!I100,IF($Y$1="GS",'Net zero supporting data'!I64,'Net zero supporting data'!I83)))</f>
        <v>36.414169878013752</v>
      </c>
      <c r="AG11" s="94">
        <f>IF($Y$1="Off",((Data!$AJ$15*LN('Net zero Intermediate calcs'!AG2))+Data!$AK$15),IF($Y$1="PQ",'Net zero supporting data'!J100,IF($Y$1="GS",'Net zero supporting data'!J64,'Net zero supporting data'!J83)))</f>
        <v>35.915380505953856</v>
      </c>
      <c r="AH11" s="94">
        <f>IF($Y$1="Off",((Data!$AJ$15*LN('Net zero Intermediate calcs'!AH2))+Data!$AK$15),IF($Y$1="PQ",'Net zero supporting data'!K100,IF($Y$1="GS",'Net zero supporting data'!K64,'Net zero supporting data'!K83)))</f>
        <v>35.437822764182975</v>
      </c>
      <c r="AI11" s="94">
        <f>IF($Y$1="Off",((Data!$AJ$15*LN('Net zero Intermediate calcs'!AI2))+Data!$AK$15),IF($Y$1="PQ",'Net zero supporting data'!L100,IF($Y$1="GS",'Net zero supporting data'!L64,'Net zero supporting data'!L83)))</f>
        <v>34.979762704572416</v>
      </c>
      <c r="AJ11" s="94">
        <f>IF($Y$1="Off",((Data!$AJ$15*LN('Net zero Intermediate calcs'!AJ2))+Data!$AK$15),IF($Y$1="PQ",'Net zero supporting data'!M100,IF($Y$1="GS",'Net zero supporting data'!M64,'Net zero supporting data'!M83)))</f>
        <v>34.539670484285466</v>
      </c>
      <c r="AK11" s="94">
        <f>IF($Y$1="Off",((Data!$AJ$15*LN('Net zero Intermediate calcs'!AK2))+Data!$AK$15),IF($Y$1="PQ",'Net zero supporting data'!N100,IF($Y$1="GS",'Net zero supporting data'!N64,'Net zero supporting data'!N83)))</f>
        <v>34.116189537587296</v>
      </c>
      <c r="AL11" s="94">
        <f>IF($Y$1="Off",((Data!$AJ$15*LN('Net zero Intermediate calcs'!AL2))+Data!$AK$15),IF($Y$1="PQ",'Net zero supporting data'!O100,IF($Y$1="GS",'Net zero supporting data'!O64,'Net zero supporting data'!O83)))</f>
        <v>33.708111356876628</v>
      </c>
      <c r="AM11" s="94">
        <f>IF($Y$1="Off",((Data!$AJ$15*LN('Net zero Intermediate calcs'!AM2))+Data!$AK$15),IF($Y$1="PQ",'Net zero supporting data'!P100,IF($Y$1="GS",'Net zero supporting data'!P64,'Net zero supporting data'!P83)))</f>
        <v>33.314354701096661</v>
      </c>
      <c r="AN11" s="94">
        <f>IF($Y$1="Off",((Data!$AJ$15*LN('Net zero Intermediate calcs'!AN2))+Data!$AK$15),IF($Y$1="PQ",'Net zero supporting data'!Q100,IF($Y$1="GS",'Net zero supporting data'!Q64,'Net zero supporting data'!Q83)))</f>
        <v>32.933948330365617</v>
      </c>
      <c r="AO11" s="94">
        <f>IF($Y$1="Off",((Data!$AJ$15*LN('Net zero Intermediate calcs'!AO2))+Data!$AK$15),IF($Y$1="PQ",'Net zero supporting data'!R100,IF($Y$1="GS",'Net zero supporting data'!R64,'Net zero supporting data'!R83)))</f>
        <v>32.566016572659201</v>
      </c>
      <c r="AP11" s="94">
        <f>IF($Y$1="Off",((Data!$AJ$15*LN('Net zero Intermediate calcs'!AP2))+Data!$AK$15),IF($Y$1="PQ",'Net zero supporting data'!S100,IF($Y$1="GS",'Net zero supporting data'!S64,'Net zero supporting data'!S83)))</f>
        <v>32.20976718275449</v>
      </c>
      <c r="AQ11" s="94">
        <f>IF($Y$1="Off",((Data!$AJ$15*LN('Net zero Intermediate calcs'!AQ2))+Data!$AK$15),IF($Y$1="PQ",'Net zero supporting data'!T100,IF($Y$1="GS",'Net zero supporting data'!T64,'Net zero supporting data'!T83)))</f>
        <v>31.864481069989587</v>
      </c>
      <c r="AR11" s="94">
        <f>IF($Y$1="Off",((Data!$AJ$15*LN('Net zero Intermediate calcs'!AR2))+Data!$AK$15),IF($Y$1="PQ",'Net zero supporting data'!U100,IF($Y$1="GS",'Net zero supporting data'!U64,'Net zero supporting data'!U83)))</f>
        <v>31.529503559934071</v>
      </c>
      <c r="AS11" s="94">
        <f>IF($Y$1="Off",((Data!$AJ$15*LN('Net zero Intermediate calcs'!AS2))+Data!$AK$15),IF($Y$1="PQ",'Net zero supporting data'!V100,IF($Y$1="GS",'Net zero supporting data'!V64,'Net zero supporting data'!V83)))</f>
        <v>31.20423692305927</v>
      </c>
      <c r="AT11" s="94">
        <f>IF($Y$1="Off",((Data!$AJ$15*LN('Net zero Intermediate calcs'!AT2))+Data!$AK$15),IF($Y$1="PQ",'Net zero supporting data'!W100,IF($Y$1="GS",'Net zero supporting data'!W64,'Net zero supporting data'!W83)))</f>
        <v>30.888133956158811</v>
      </c>
      <c r="AU11" s="94">
        <f>IF($Y$1="Off",((Data!$AJ$15*LN('Net zero Intermediate calcs'!AU2))+Data!$AK$15),IF($Y$1="PQ",'Net zero supporting data'!X100,IF($Y$1="GS",'Net zero supporting data'!X64,'Net zero supporting data'!X83)))</f>
        <v>30.580692443381956</v>
      </c>
      <c r="AV11" s="94">
        <f>IF($Y$1="Off",((Data!$AJ$15*LN('Net zero Intermediate calcs'!AV2))+Data!$AK$15),IF($Y$1="PQ",'Net zero supporting data'!Y100,IF($Y$1="GS",'Net zero supporting data'!Y64,'Net zero supporting data'!Y83)))</f>
        <v>30.281450356077698</v>
      </c>
      <c r="AW11" s="94">
        <f>IF($Y$1="Off",((Data!$AJ$15*LN('Net zero Intermediate calcs'!AW2))+Data!$AK$15),IF($Y$1="PQ",'Net zero supporting data'!Z100,IF($Y$1="GS",'Net zero supporting data'!Z64,'Net zero supporting data'!Z83)))</f>
        <v>29.989981676261301</v>
      </c>
      <c r="AX11" s="94">
        <f>IF($Y$1="Off",((Data!$AJ$15*LN('Net zero Intermediate calcs'!AX2))+Data!$AK$15),IF($Y$1="PQ",'Net zero supporting data'!AA100,IF($Y$1="GS",'Net zero supporting data'!AA64,'Net zero supporting data'!AA83)))</f>
        <v>29.705892748937131</v>
      </c>
      <c r="AY11" s="94">
        <f>IF($Y$1="Off",((Data!$AJ$15*LN('Net zero Intermediate calcs'!AY2))+Data!$AK$15),IF($Y$1="PQ",'Net zero supporting data'!AB100,IF($Y$1="GS",'Net zero supporting data'!AB64,'Net zero supporting data'!AB83)))</f>
        <v>29.428819084898642</v>
      </c>
      <c r="AZ11" s="94">
        <f>IF($Y$1="Off",((Data!$AJ$15*LN('Net zero Intermediate calcs'!AZ2))+Data!$AK$15),IF($Y$1="PQ",'Net zero supporting data'!AC100,IF($Y$1="GS",'Net zero supporting data'!AC64,'Net zero supporting data'!AC83)))</f>
        <v>29.158422548852464</v>
      </c>
      <c r="BA11" s="94">
        <f>IF($Y$1="Off",((Data!$AJ$15*LN('Net zero Intermediate calcs'!BA2))+Data!$AK$15),IF($Y$1="PQ",'Net zero supporting data'!AD100,IF($Y$1="GS",'Net zero supporting data'!AD64,'Net zero supporting data'!AD83)))</f>
        <v>28.894388878448837</v>
      </c>
      <c r="BB11" s="94">
        <f>IF($Y$1="Off",((Data!$AJ$15*LN('Net zero Intermediate calcs'!BB2))+Data!$AK$15),IF($Y$1="PQ",'Net zero supporting data'!AE100,IF($Y$1="GS",'Net zero supporting data'!AE64,'Net zero supporting data'!AE83)))</f>
        <v>28.636425488561102</v>
      </c>
      <c r="BC11" s="94">
        <f>IF($Y$1="Off",((Data!$AJ$15*LN('Net zero Intermediate calcs'!BC2))+Data!$AK$15),IF($Y$1="PQ",'Net zero supporting data'!AF100,IF($Y$1="GS",'Net zero supporting data'!AF64,'Net zero supporting data'!AF83)))</f>
        <v>28.384259522341452</v>
      </c>
      <c r="BD11" s="94">
        <f>IF($Y$1="Off",((Data!$AJ$15*LN('Net zero Intermediate calcs'!BD2))+Data!$AK$15),IF($Y$1="PQ",'Net zero supporting data'!AG100,IF($Y$1="GS",'Net zero supporting data'!AG64,'Net zero supporting data'!AG83)))</f>
        <v>28.137636116501199</v>
      </c>
      <c r="BE11" s="94">
        <f>IF($Y$1="Off",((Data!$AJ$15*LN('Net zero Intermediate calcs'!BE2))+Data!$AK$15),IF($Y$1="PQ",'Net zero supporting data'!AH100,IF($Y$1="GS",'Net zero supporting data'!AH64,'Net zero supporting data'!AH83)))</f>
        <v>27.896316853165757</v>
      </c>
      <c r="BF11" s="94">
        <f>IF($Y$1="Off",((Data!$AJ$15*LN('Net zero Intermediate calcs'!BF2))+Data!$AK$15),IF($Y$1="PQ",'Net zero supporting data'!AI100,IF($Y$1="GS",'Net zero supporting data'!AI64,'Net zero supporting data'!AI83)))</f>
        <v>27.660078374730325</v>
      </c>
      <c r="BG11" s="94">
        <f>IF($Y$1="Off",((Data!$AJ$15*LN('Net zero Intermediate calcs'!BG2))+Data!$AK$15),IF($Y$1="PQ",'Net zero supporting data'!AJ100,IF($Y$1="GS",'Net zero supporting data'!AJ64,'Net zero supporting data'!AJ83)))</f>
        <v>27.428711141546117</v>
      </c>
      <c r="BH11" s="94">
        <f>IF($Y$1="Off",((Data!$AJ$15*LN('Net zero Intermediate calcs'!BH2))+Data!$AK$15),IF($Y$1="PQ",'Net zero supporting data'!AK100,IF($Y$1="GS",'Net zero supporting data'!AK64,'Net zero supporting data'!AK83)))</f>
        <v>27.202018315119766</v>
      </c>
      <c r="BI11" s="94">
        <f>IF($Y$1="Off",((Data!$AJ$15*LN('Net zero Intermediate calcs'!BI2))+Data!$AK$15),IF($Y$1="PQ",'Net zero supporting data'!AL100,IF($Y$1="GS",'Net zero supporting data'!AL64,'Net zero supporting data'!AL83)))</f>
        <v>26.979814751909913</v>
      </c>
      <c r="BJ11" s="94">
        <f>IF($Y$1="Off",((Data!$AJ$15*LN('Net zero Intermediate calcs'!BJ2))+Data!$AK$15),IF($Y$1="PQ",'Net zero supporting data'!AM100,IF($Y$1="GS",'Net zero supporting data'!AM64,'Net zero supporting data'!AM83)))</f>
        <v>26.761926094832809</v>
      </c>
      <c r="BK11" s="94">
        <f>IF($Y$1="Off",((Data!$AJ$15*LN('Net zero Intermediate calcs'!BK2))+Data!$AK$15),IF($Y$1="PQ",'Net zero supporting data'!AN100,IF($Y$1="GS",'Net zero supporting data'!AN64,'Net zero supporting data'!AN83)))</f>
        <v>26.548187951307746</v>
      </c>
      <c r="BL11">
        <v>26.72186953300141</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((Data!$AJ$6*'Net zero Intermediate calcs'!Y4)+Data!$AK$6)*Drivers!Z4</f>
        <v>1952293.7553922518</v>
      </c>
      <c r="Z12" s="22">
        <f>((Data!$AJ$6*'Net zero Intermediate calcs'!Z4)+Data!$AK$6)*Drivers!AA4</f>
        <v>1989214.080984012</v>
      </c>
      <c r="AA12" s="22">
        <f>((Data!$AJ$6*'Net zero Intermediate calcs'!AA4)+Data!$AK$6)*Drivers!AB4</f>
        <v>2031584.5891224523</v>
      </c>
      <c r="AB12" s="22">
        <f>((Data!$AJ$6*'Net zero Intermediate calcs'!AB4)+Data!$AK$6)*Drivers!AC4</f>
        <v>2065795.7253002254</v>
      </c>
      <c r="AC12" s="22">
        <f>((Data!$AJ$6*'Net zero Intermediate calcs'!AC4)+Data!$AK$6)*Drivers!AD4</f>
        <v>2094779.0652397447</v>
      </c>
      <c r="AD12" s="22">
        <f>((Data!$AJ$6*'Net zero Intermediate calcs'!AD4)+Data!$AK$6)*Drivers!AE4</f>
        <v>2118412.1564230546</v>
      </c>
      <c r="AE12" s="22">
        <f>((Data!$AJ$6*'Net zero Intermediate calcs'!AE4)+Data!$AK$6)*Drivers!AF4</f>
        <v>2146845.3123571589</v>
      </c>
      <c r="AF12" s="22">
        <f>((Data!$AJ$6*'Net zero Intermediate calcs'!AF4)+Data!$AK$6)*Drivers!AG4</f>
        <v>2176243.6654550005</v>
      </c>
      <c r="AG12" s="22">
        <f>((Data!$AJ$6*'Net zero Intermediate calcs'!AG4)+Data!$AK$6)*Drivers!AH4</f>
        <v>2107974.1784917102</v>
      </c>
      <c r="AH12" s="22">
        <f>((Data!$AJ$6*'Net zero Intermediate calcs'!AH4)+Data!$AK$6)*Drivers!AI4</f>
        <v>2153620.3051344007</v>
      </c>
      <c r="AI12" s="22">
        <f>((Data!$AJ$6*'Net zero Intermediate calcs'!AI4)+Data!$AK$6)*Drivers!AJ4</f>
        <v>2212758.7005073996</v>
      </c>
      <c r="AJ12" s="22">
        <f>((Data!$AJ$6*'Net zero Intermediate calcs'!AJ4)+Data!$AK$6)*Drivers!AK4</f>
        <v>2251058.9459517668</v>
      </c>
      <c r="AK12" s="22">
        <f>((Data!$AJ$6*'Net zero Intermediate calcs'!AK4)+Data!$AK$6)*Drivers!AL4</f>
        <v>2292390.5494986027</v>
      </c>
      <c r="AL12" s="22">
        <f>((Data!$AJ$6*'Net zero Intermediate calcs'!AL4)+Data!$AK$6)*Drivers!AM4</f>
        <v>2337661.6750905244</v>
      </c>
      <c r="AM12" s="22">
        <f>((Data!$AJ$6*'Net zero Intermediate calcs'!AM4)+Data!$AK$6)*Drivers!AN4</f>
        <v>2383487.5782585628</v>
      </c>
      <c r="AN12" s="22">
        <f>((Data!$AJ$6*'Net zero Intermediate calcs'!AN4)+Data!$AK$6)*Drivers!AO4</f>
        <v>2432554.544070587</v>
      </c>
      <c r="AO12" s="22">
        <f>((Data!$AJ$6*'Net zero Intermediate calcs'!AO4)+Data!$AK$6)*Drivers!AP4</f>
        <v>2482663.8724488593</v>
      </c>
      <c r="AP12" s="22">
        <f>((Data!$AJ$6*'Net zero Intermediate calcs'!AP4)+Data!$AK$6)*Drivers!AQ4</f>
        <v>2535884.9860017379</v>
      </c>
      <c r="AQ12" s="22">
        <f>((Data!$AJ$6*'Net zero Intermediate calcs'!AQ4)+Data!$AK$6)*Drivers!AR4</f>
        <v>2590014.4788993755</v>
      </c>
      <c r="AR12" s="22">
        <f>((Data!$AJ$6*'Net zero Intermediate calcs'!AR4)+Data!$AK$6)*Drivers!AS4</f>
        <v>2647399.3377200095</v>
      </c>
      <c r="AS12" s="22">
        <f>((Data!$AJ$6*'Net zero Intermediate calcs'!AS4)+Data!$AK$6)*Drivers!AT4</f>
        <v>2704272.9938916918</v>
      </c>
      <c r="AT12" s="22">
        <f>((Data!$AJ$6*'Net zero Intermediate calcs'!AT4)+Data!$AK$6)*Drivers!AU4</f>
        <v>2763605.6696376507</v>
      </c>
      <c r="AU12" s="22">
        <f>((Data!$AJ$6*'Net zero Intermediate calcs'!AU4)+Data!$AK$6)*Drivers!AV4</f>
        <v>2829008.5138439648</v>
      </c>
      <c r="AV12" s="22">
        <f>((Data!$AJ$6*'Net zero Intermediate calcs'!AV4)+Data!$AK$6)*Drivers!AW4</f>
        <v>2892012.5081339013</v>
      </c>
      <c r="AW12" s="22">
        <f>((Data!$AJ$6*'Net zero Intermediate calcs'!AW4)+Data!$AK$6)*Drivers!AX4</f>
        <v>2956403.0210887142</v>
      </c>
      <c r="AX12" s="22">
        <f>((Data!$AJ$6*'Net zero Intermediate calcs'!AX4)+Data!$AK$6)*Drivers!AY4</f>
        <v>3024461.3590982864</v>
      </c>
      <c r="AY12" s="22">
        <f>((Data!$AJ$6*'Net zero Intermediate calcs'!AY4)+Data!$AK$6)*Drivers!AZ4</f>
        <v>3089242.8267330569</v>
      </c>
      <c r="AZ12" s="22">
        <f>((Data!$AJ$6*'Net zero Intermediate calcs'!AZ4)+Data!$AK$6)*Drivers!BA4</f>
        <v>3153886.6186817531</v>
      </c>
      <c r="BA12" s="22">
        <f>((Data!$AJ$6*'Net zero Intermediate calcs'!BA4)+Data!$AK$6)*Drivers!BB4</f>
        <v>3218532.5675237677</v>
      </c>
      <c r="BB12" s="22">
        <f>((Data!$AJ$6*'Net zero Intermediate calcs'!BB4)+Data!$AK$6)*Drivers!BC4</f>
        <v>3286286.7722971141</v>
      </c>
      <c r="BC12" s="22">
        <f>((Data!$AJ$6*'Net zero Intermediate calcs'!BC4)+Data!$AK$6)*Drivers!BD4</f>
        <v>3352012.6272127358</v>
      </c>
      <c r="BD12" s="22">
        <f>((Data!$AJ$6*'Net zero Intermediate calcs'!BD4)+Data!$AK$6)*Drivers!BE4</f>
        <v>3419916.3339482034</v>
      </c>
      <c r="BE12" s="22">
        <f>((Data!$AJ$6*'Net zero Intermediate calcs'!BE4)+Data!$AK$6)*Drivers!BF4</f>
        <v>3490266.99824803</v>
      </c>
      <c r="BF12" s="22">
        <f>((Data!$AJ$6*'Net zero Intermediate calcs'!BF4)+Data!$AK$6)*Drivers!BG4</f>
        <v>3563488.1839694791</v>
      </c>
      <c r="BG12" s="22">
        <f>((Data!$AJ$6*'Net zero Intermediate calcs'!BG4)+Data!$AK$6)*Drivers!BH4</f>
        <v>3637958.2895830497</v>
      </c>
      <c r="BH12" s="22">
        <f>((Data!$AJ$6*'Net zero Intermediate calcs'!BH4)+Data!$AK$6)*Drivers!BI4</f>
        <v>3665931.1882148916</v>
      </c>
      <c r="BI12" s="22">
        <f>((Data!$AJ$6*'Net zero Intermediate calcs'!BI4)+Data!$AK$6)*Drivers!BJ4</f>
        <v>3689612.7680451851</v>
      </c>
      <c r="BJ12" s="22">
        <f>((Data!$AJ$6*'Net zero Intermediate calcs'!BJ4)+Data!$AK$6)*Drivers!BK4</f>
        <v>3707045.2329281992</v>
      </c>
      <c r="BK12" s="22">
        <f>((Data!$AJ$6*'Net zero Intermediate calcs'!BK4)+Data!$AK$6)*Drivers!BL4</f>
        <v>3722638.3718116516</v>
      </c>
      <c r="BL12">
        <v>3795265.5831033587</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37.68309112514838</v>
      </c>
      <c r="AB13" s="45">
        <f>AB12*ttokg/Drivers!AC4</f>
        <v>37.731090083648773</v>
      </c>
      <c r="AC13" s="45">
        <f>AC12*ttokg/Drivers!AD4</f>
        <v>37.662375175971526</v>
      </c>
      <c r="AD13" s="45">
        <f>AD12*ttokg/Drivers!AE4</f>
        <v>37.479461161920788</v>
      </c>
      <c r="AE13" s="45">
        <f>AE12*ttokg/Drivers!AF4</f>
        <v>37.378043200844516</v>
      </c>
      <c r="AF13" s="45">
        <f>AF12*ttokg/Drivers!AG4</f>
        <v>37.286898324481015</v>
      </c>
      <c r="AG13" s="45">
        <f>AG12*ttokg/Drivers!AH4</f>
        <v>35.542416777232987</v>
      </c>
      <c r="AH13" s="45">
        <f>AH12*ttokg/Drivers!AI4</f>
        <v>35.898709269009878</v>
      </c>
      <c r="AI13" s="45">
        <f>AI12*ttokg/Drivers!AJ4</f>
        <v>36.464627533976</v>
      </c>
      <c r="AJ13" s="45">
        <f>AJ12*ttokg/Drivers!AK4</f>
        <v>36.673522029055597</v>
      </c>
      <c r="AK13" s="45">
        <f>AK12*ttokg/Drivers!AL4</f>
        <v>36.921759619218399</v>
      </c>
      <c r="AL13" s="45">
        <f>AL12*ttokg/Drivers!AM4</f>
        <v>37.222322369775917</v>
      </c>
      <c r="AM13" s="45">
        <f>AM12*ttokg/Drivers!AN4</f>
        <v>37.581954282939606</v>
      </c>
      <c r="AN13" s="45">
        <f>AN12*ttokg/Drivers!AO4</f>
        <v>37.981639886488132</v>
      </c>
      <c r="AO13" s="45">
        <f>AO12*ttokg/Drivers!AP4</f>
        <v>38.386074953966229</v>
      </c>
      <c r="AP13" s="45">
        <f>AP12*ttokg/Drivers!AQ4</f>
        <v>38.826656425925691</v>
      </c>
      <c r="AQ13" s="45">
        <f>AQ12*ttokg/Drivers!AR4</f>
        <v>39.268769250866377</v>
      </c>
      <c r="AR13" s="45">
        <f>AR12*ttokg/Drivers!AS4</f>
        <v>39.799158819456899</v>
      </c>
      <c r="AS13" s="45">
        <f>AS12*ttokg/Drivers!AT4</f>
        <v>40.310140090459207</v>
      </c>
      <c r="AT13" s="45">
        <f>AT12*ttokg/Drivers!AU4</f>
        <v>40.845967785049424</v>
      </c>
      <c r="AU13" s="45">
        <f>AU12*ttokg/Drivers!AV4</f>
        <v>41.458798240071069</v>
      </c>
      <c r="AV13" s="45">
        <f>AV12*ttokg/Drivers!AW4</f>
        <v>42.023474864460354</v>
      </c>
      <c r="AW13" s="45">
        <f>AW12*ttokg/Drivers!AX4</f>
        <v>42.646900785153157</v>
      </c>
      <c r="AX13" s="45">
        <f>AX12*ttokg/Drivers!AY4</f>
        <v>43.311569655797271</v>
      </c>
      <c r="AY13" s="45">
        <f>AY12*ttokg/Drivers!AZ4</f>
        <v>43.917739114412257</v>
      </c>
      <c r="AZ13" s="45">
        <f>AZ12*ttokg/Drivers!BA4</f>
        <v>44.510866489501225</v>
      </c>
      <c r="BA13" s="45">
        <f>BA12*ttokg/Drivers!BB4</f>
        <v>45.093082578500855</v>
      </c>
      <c r="BB13" s="45">
        <f>BB12*ttokg/Drivers!BC4</f>
        <v>45.758148692293958</v>
      </c>
      <c r="BC13" s="45">
        <f>BC12*ttokg/Drivers!BD4</f>
        <v>46.385218009859265</v>
      </c>
      <c r="BD13" s="45">
        <f>BD12*ttokg/Drivers!BE4</f>
        <v>47.032753747881685</v>
      </c>
      <c r="BE13" s="45">
        <f>BE12*ttokg/Drivers!BF4</f>
        <v>47.703972537074208</v>
      </c>
      <c r="BF13" s="45">
        <f>BF12*ttokg/Drivers!BG4</f>
        <v>48.404104311774489</v>
      </c>
      <c r="BG13" s="45">
        <f>BG12*ttokg/Drivers!BH4</f>
        <v>49.164679936231138</v>
      </c>
      <c r="BH13" s="45">
        <f>BH12*ttokg/Drivers!BI4</f>
        <v>49.291092633182345</v>
      </c>
      <c r="BI13" s="45">
        <f>BI12*ttokg/Drivers!BJ4</f>
        <v>49.357546203388701</v>
      </c>
      <c r="BJ13" s="45">
        <f>BJ12*ttokg/Drivers!BK4</f>
        <v>49.338880736798522</v>
      </c>
      <c r="BK13" s="45">
        <f>BK12*ttokg/Drivers!BL4</f>
        <v>49.294775518899129</v>
      </c>
      <c r="BL13">
        <v>50.256436652233361</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((Data!$AJ$6*LN('Net zero Intermediate calcs'!Y4))+Data!$AK$6)</f>
        <v>1.7769640324400995E-2</v>
      </c>
      <c r="Z14" s="22">
        <f>((Data!$AJ$6*LN('Net zero Intermediate calcs'!Z4))+Data!$AK$6)</f>
        <v>1.7771577678710335E-2</v>
      </c>
      <c r="AA14" s="22">
        <f>((Data!$AJ$6*LN('Net zero Intermediate calcs'!AA4))+Data!$AK$6)</f>
        <v>1.7774491584502058E-2</v>
      </c>
      <c r="AB14" s="22">
        <f>((Data!$AJ$6*LN('Net zero Intermediate calcs'!AB4))+Data!$AK$6)</f>
        <v>1.7775110489339201E-2</v>
      </c>
      <c r="AC14" s="22">
        <f>((Data!$AJ$6*LN('Net zero Intermediate calcs'!AC4))+Data!$AK$6)</f>
        <v>1.7774224035138363E-2</v>
      </c>
      <c r="AD14" s="22">
        <f>((Data!$AJ$6*LN('Net zero Intermediate calcs'!AD4))+Data!$AK$6)</f>
        <v>1.7771850196398573E-2</v>
      </c>
      <c r="AE14" s="22">
        <f>((Data!$AJ$6*LN('Net zero Intermediate calcs'!AE4))+Data!$AK$6)</f>
        <v>1.7770525031244894E-2</v>
      </c>
      <c r="AF14" s="22">
        <f>((Data!$AJ$6*LN('Net zero Intermediate calcs'!AF4))+Data!$AK$6)</f>
        <v>1.776932857046731E-2</v>
      </c>
      <c r="AG14" s="22">
        <f>((Data!$AJ$6*LN('Net zero Intermediate calcs'!AG4))+Data!$AK$6)</f>
        <v>1.7745353094158277E-2</v>
      </c>
      <c r="AH14" s="22">
        <f>((Data!$AJ$6*LN('Net zero Intermediate calcs'!AH4))+Data!$AK$6)</f>
        <v>1.7750424374628478E-2</v>
      </c>
      <c r="AI14" s="22">
        <f>((Data!$AJ$6*LN('Net zero Intermediate calcs'!AI4))+Data!$AK$6)</f>
        <v>1.7758290096712009E-2</v>
      </c>
      <c r="AJ14" s="22">
        <f>((Data!$AJ$6*LN('Net zero Intermediate calcs'!AJ4))+Data!$AK$6)</f>
        <v>1.7761137058561173E-2</v>
      </c>
      <c r="AK14" s="22">
        <f>((Data!$AJ$6*LN('Net zero Intermediate calcs'!AK4))+Data!$AK$6)</f>
        <v>1.7764481960877772E-2</v>
      </c>
      <c r="AL14" s="22">
        <f>((Data!$AJ$6*LN('Net zero Intermediate calcs'!AL4))+Data!$AK$6)</f>
        <v>1.7768477687227044E-2</v>
      </c>
      <c r="AM14" s="22">
        <f>((Data!$AJ$6*LN('Net zero Intermediate calcs'!AM4))+Data!$AK$6)</f>
        <v>1.7773182889670509E-2</v>
      </c>
      <c r="AN14" s="22">
        <f>((Data!$AJ$6*LN('Net zero Intermediate calcs'!AN4))+Data!$AK$6)</f>
        <v>1.7778318470222813E-2</v>
      </c>
      <c r="AO14" s="22">
        <f>((Data!$AJ$6*LN('Net zero Intermediate calcs'!AO4))+Data!$AK$6)</f>
        <v>1.7783418317710364E-2</v>
      </c>
      <c r="AP14" s="22">
        <f>((Data!$AJ$6*LN('Net zero Intermediate calcs'!AP4))+Data!$AK$6)</f>
        <v>1.7788867369990441E-2</v>
      </c>
      <c r="AQ14" s="22">
        <f>((Data!$AJ$6*LN('Net zero Intermediate calcs'!AQ4))+Data!$AK$6)</f>
        <v>1.7794227896662105E-2</v>
      </c>
      <c r="AR14" s="22">
        <f>((Data!$AJ$6*LN('Net zero Intermediate calcs'!AR4))+Data!$AK$6)</f>
        <v>1.7800522547855548E-2</v>
      </c>
      <c r="AS14" s="22">
        <f>((Data!$AJ$6*LN('Net zero Intermediate calcs'!AS4))+Data!$AK$6)</f>
        <v>1.7806452263176089E-2</v>
      </c>
      <c r="AT14" s="22">
        <f>((Data!$AJ$6*LN('Net zero Intermediate calcs'!AT4))+Data!$AK$6)</f>
        <v>1.7812534648503225E-2</v>
      </c>
      <c r="AU14" s="22">
        <f>((Data!$AJ$6*LN('Net zero Intermediate calcs'!AU4))+Data!$AK$6)</f>
        <v>1.7819328531495475E-2</v>
      </c>
      <c r="AV14" s="22">
        <f>((Data!$AJ$6*LN('Net zero Intermediate calcs'!AV4))+Data!$AK$6)</f>
        <v>1.782544197765594E-2</v>
      </c>
      <c r="AW14" s="22">
        <f>((Data!$AJ$6*LN('Net zero Intermediate calcs'!AW4))+Data!$AK$6)</f>
        <v>1.7832035775532992E-2</v>
      </c>
      <c r="AX14" s="22">
        <f>((Data!$AJ$6*LN('Net zero Intermediate calcs'!AX4))+Data!$AK$6)</f>
        <v>1.7838894242866065E-2</v>
      </c>
      <c r="AY14" s="22">
        <f>((Data!$AJ$6*LN('Net zero Intermediate calcs'!AY4))+Data!$AK$6)</f>
        <v>1.7845001942263614E-2</v>
      </c>
      <c r="AZ14" s="22">
        <f>((Data!$AJ$6*LN('Net zero Intermediate calcs'!AZ4))+Data!$AK$6)</f>
        <v>1.7850848481094854E-2</v>
      </c>
      <c r="BA14" s="22">
        <f>((Data!$AJ$6*LN('Net zero Intermediate calcs'!BA4))+Data!$AK$6)</f>
        <v>1.7856467902655517E-2</v>
      </c>
      <c r="BB14" s="22">
        <f>((Data!$AJ$6*LN('Net zero Intermediate calcs'!BB4))+Data!$AK$6)</f>
        <v>1.7862748201274301E-2</v>
      </c>
      <c r="BC14" s="22">
        <f>((Data!$AJ$6*LN('Net zero Intermediate calcs'!BC4))+Data!$AK$6)</f>
        <v>1.7868539888044394E-2</v>
      </c>
      <c r="BD14" s="22">
        <f>((Data!$AJ$6*LN('Net zero Intermediate calcs'!BD4))+Data!$AK$6)</f>
        <v>1.787439406055337E-2</v>
      </c>
      <c r="BE14" s="22">
        <f>((Data!$AJ$6*LN('Net zero Intermediate calcs'!BE4))+Data!$AK$6)</f>
        <v>1.7880332347226097E-2</v>
      </c>
      <c r="BF14" s="22">
        <f>((Data!$AJ$6*LN('Net zero Intermediate calcs'!BF4))+Data!$AK$6)</f>
        <v>1.7886391453601717E-2</v>
      </c>
      <c r="BG14" s="22">
        <f>((Data!$AJ$6*LN('Net zero Intermediate calcs'!BG4))+Data!$AK$6)</f>
        <v>1.7892824366579217E-2</v>
      </c>
      <c r="BH14" s="22">
        <f>((Data!$AJ$6*LN('Net zero Intermediate calcs'!BH4))+Data!$AK$6)</f>
        <v>1.7893878982931103E-2</v>
      </c>
      <c r="BI14" s="22">
        <f>((Data!$AJ$6*LN('Net zero Intermediate calcs'!BI4))+Data!$AK$6)</f>
        <v>1.7894431747800383E-2</v>
      </c>
      <c r="BJ14" s="22">
        <f>((Data!$AJ$6*LN('Net zero Intermediate calcs'!BJ4))+Data!$AK$6)</f>
        <v>1.789427660060287E-2</v>
      </c>
      <c r="BK14" s="22">
        <f>((Data!$AJ$6*LN('Net zero Intermediate calcs'!BK4))+Data!$AK$6)</f>
        <v>1.7893909646789982E-2</v>
      </c>
      <c r="BL14">
        <v>1.8133705365528188E-2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((Data!$AJ$17*'Net zero Intermediate calcs'!Y12)+Data!$AK$17)</f>
        <v>2855689.0503554838</v>
      </c>
      <c r="Z15" s="22">
        <f>((Data!$AJ$17*'Net zero Intermediate calcs'!Z12)+Data!$AK$17)</f>
        <v>2896085.5151347173</v>
      </c>
      <c r="AA15" s="22">
        <f>((Data!$AJ$17*'Net zero Intermediate calcs'!AA12)+Data!$AK$17)</f>
        <v>2942445.3105118945</v>
      </c>
      <c r="AB15" s="22">
        <f>((Data!$AJ$17*'Net zero Intermediate calcs'!AB12)+Data!$AK$17)</f>
        <v>2979877.5090505611</v>
      </c>
      <c r="AC15" s="22">
        <f>((Data!$AJ$17*'Net zero Intermediate calcs'!AC12)+Data!$AK$17)</f>
        <v>3011589.701515967</v>
      </c>
      <c r="AD15" s="22">
        <f>((Data!$AJ$17*'Net zero Intermediate calcs'!AD12)+Data!$AK$17)</f>
        <v>3037447.9061853234</v>
      </c>
      <c r="AE15" s="22">
        <f>((Data!$AJ$17*'Net zero Intermediate calcs'!AE12)+Data!$AK$17)</f>
        <v>3068558.1134720882</v>
      </c>
      <c r="AF15" s="22">
        <f>((Data!$AJ$17*'Net zero Intermediate calcs'!AF12)+Data!$AK$17)</f>
        <v>3100724.393602334</v>
      </c>
      <c r="AG15" s="22">
        <f>((Data!$AJ$17*'Net zero Intermediate calcs'!AG12)+Data!$AK$17)</f>
        <v>3026027.1670365855</v>
      </c>
      <c r="AH15" s="22">
        <f>((Data!$AJ$17*'Net zero Intermediate calcs'!AH12)+Data!$AK$17)</f>
        <v>3075970.9884323915</v>
      </c>
      <c r="AI15" s="22">
        <f>((Data!$AJ$17*'Net zero Intermediate calcs'!AI12)+Data!$AK$17)</f>
        <v>3140677.4087441061</v>
      </c>
      <c r="AJ15" s="22">
        <f>((Data!$AJ$17*'Net zero Intermediate calcs'!AJ12)+Data!$AK$17)</f>
        <v>3182583.7162137963</v>
      </c>
      <c r="AK15" s="22">
        <f>((Data!$AJ$17*'Net zero Intermediate calcs'!AK12)+Data!$AK$17)</f>
        <v>3227806.7915845523</v>
      </c>
      <c r="AL15" s="22">
        <f>((Data!$AJ$17*'Net zero Intermediate calcs'!AL12)+Data!$AK$17)</f>
        <v>3277340.3046611128</v>
      </c>
      <c r="AM15" s="22">
        <f>((Data!$AJ$17*'Net zero Intermediate calcs'!AM12)+Data!$AK$17)</f>
        <v>3327480.8289829623</v>
      </c>
      <c r="AN15" s="22">
        <f>((Data!$AJ$17*'Net zero Intermediate calcs'!AN12)+Data!$AK$17)</f>
        <v>3381167.5699441982</v>
      </c>
      <c r="AO15" s="22">
        <f>((Data!$AJ$17*'Net zero Intermediate calcs'!AO12)+Data!$AK$17)</f>
        <v>3435994.8144632913</v>
      </c>
      <c r="AP15" s="22">
        <f>((Data!$AJ$17*'Net zero Intermediate calcs'!AP12)+Data!$AK$17)</f>
        <v>3494226.826361645</v>
      </c>
      <c r="AQ15" s="22">
        <f>((Data!$AJ$17*'Net zero Intermediate calcs'!AQ12)+Data!$AK$17)</f>
        <v>3553452.7437475203</v>
      </c>
      <c r="AR15" s="22">
        <f>((Data!$AJ$17*'Net zero Intermediate calcs'!AR12)+Data!$AK$17)</f>
        <v>3616240.5277405847</v>
      </c>
      <c r="AS15" s="22">
        <f>((Data!$AJ$17*'Net zero Intermediate calcs'!AS12)+Data!$AK$17)</f>
        <v>3678468.9781017695</v>
      </c>
      <c r="AT15" s="22">
        <f>((Data!$AJ$17*'Net zero Intermediate calcs'!AT12)+Data!$AK$17)</f>
        <v>3743387.9707599562</v>
      </c>
      <c r="AU15" s="22">
        <f>((Data!$AJ$17*'Net zero Intermediate calcs'!AU12)+Data!$AK$17)</f>
        <v>3814948.6531238118</v>
      </c>
      <c r="AV15" s="22">
        <f>((Data!$AJ$17*'Net zero Intermediate calcs'!AV12)+Data!$AK$17)</f>
        <v>3883884.6279693991</v>
      </c>
      <c r="AW15" s="22">
        <f>((Data!$AJ$17*'Net zero Intermediate calcs'!AW12)+Data!$AK$17)</f>
        <v>3954337.665612069</v>
      </c>
      <c r="AX15" s="22">
        <f>((Data!$AJ$17*'Net zero Intermediate calcs'!AX12)+Data!$AK$17)</f>
        <v>4028803.8630323457</v>
      </c>
      <c r="AY15" s="22">
        <f>((Data!$AJ$17*'Net zero Intermediate calcs'!AY12)+Data!$AK$17)</f>
        <v>4099684.6646967577</v>
      </c>
      <c r="AZ15" s="22">
        <f>((Data!$AJ$17*'Net zero Intermediate calcs'!AZ12)+Data!$AK$17)</f>
        <v>4170414.8281716555</v>
      </c>
      <c r="BA15" s="22">
        <f>((Data!$AJ$17*'Net zero Intermediate calcs'!BA12)+Data!$AK$17)</f>
        <v>4241147.3516166657</v>
      </c>
      <c r="BB15" s="22">
        <f>((Data!$AJ$17*'Net zero Intermediate calcs'!BB12)+Data!$AK$17)</f>
        <v>4315280.7809107546</v>
      </c>
      <c r="BC15" s="22">
        <f>((Data!$AJ$17*'Net zero Intermediate calcs'!BC12)+Data!$AK$17)</f>
        <v>4387194.8862342602</v>
      </c>
      <c r="BD15" s="22">
        <f>((Data!$AJ$17*'Net zero Intermediate calcs'!BD12)+Data!$AK$17)</f>
        <v>4461491.8934668005</v>
      </c>
      <c r="BE15" s="22">
        <f>((Data!$AJ$17*'Net zero Intermediate calcs'!BE12)+Data!$AK$17)</f>
        <v>4538466.2453186139</v>
      </c>
      <c r="BF15" s="22">
        <f>((Data!$AJ$17*'Net zero Intermediate calcs'!BF12)+Data!$AK$17)</f>
        <v>4618581.3852227535</v>
      </c>
      <c r="BG15" s="22">
        <f>((Data!$AJ$17*'Net zero Intermediate calcs'!BG12)+Data!$AK$17)</f>
        <v>4700063.0338893579</v>
      </c>
      <c r="BH15" s="22">
        <f>((Data!$AJ$17*'Net zero Intermediate calcs'!BH12)+Data!$AK$17)</f>
        <v>4730669.6495202472</v>
      </c>
      <c r="BI15" s="22">
        <f>((Data!$AJ$17*'Net zero Intermediate calcs'!BI12)+Data!$AK$17)</f>
        <v>4756580.9081616001</v>
      </c>
      <c r="BJ15" s="22">
        <f>((Data!$AJ$17*'Net zero Intermediate calcs'!BJ12)+Data!$AK$17)</f>
        <v>4775654.6823598184</v>
      </c>
      <c r="BK15" s="22">
        <f>((Data!$AJ$17*'Net zero Intermediate calcs'!BK12)+Data!$AK$17)</f>
        <v>4792715.9535053698</v>
      </c>
      <c r="BL15">
        <v>4872181.1948307119</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94">
        <f>IF($Y$1="Off",((Data!$AJ$18*LN('Net zero Intermediate calcs'!Y2))+Data!$AK$18),IF($Y$1="PQ",('Net zero supporting data'!B99),IF($Y$1="GS",('Net zero supporting data'!B63),'Net zero supporting data'!B82)))</f>
        <v>0.59036032260533733</v>
      </c>
      <c r="Z16" s="94">
        <f>IF($Y$1="Off",((Data!$AJ$18*LN('Net zero Intermediate calcs'!Z2))+Data!$AK$18),IF($Y$1="PQ",('Net zero supporting data'!C99),IF($Y$1="GS",('Net zero supporting data'!C63),'Net zero supporting data'!C82)))</f>
        <v>0.58537997662592556</v>
      </c>
      <c r="AA16" s="94">
        <f>IF($Y$1="Off",((Data!$AJ$18*LN('Net zero Intermediate calcs'!AA2))+Data!$AK$18),IF($Y$1="PQ",('Net zero supporting data'!D99),IF($Y$1="GS",('Net zero supporting data'!D63),'Net zero supporting data'!D82)))</f>
        <v>0.58070166069623075</v>
      </c>
      <c r="AB16" s="94">
        <f>IF($Y$1="Off",((Data!$AJ$18*LN('Net zero Intermediate calcs'!AB2))+Data!$AK$18),IF($Y$1="PQ",('Net zero supporting data'!E99),IF($Y$1="GS",('Net zero supporting data'!E63),'Net zero supporting data'!E82)))</f>
        <v>0.57629082711126922</v>
      </c>
      <c r="AC16" s="94">
        <f>IF($Y$1="Off",((Data!$AJ$18*LN('Net zero Intermediate calcs'!AC2))+Data!$AK$18),IF($Y$1="PQ",('Net zero supporting data'!F99),IF($Y$1="GS",('Net zero supporting data'!F63),'Net zero supporting data'!F82)))</f>
        <v>0.57211853646492172</v>
      </c>
      <c r="AD16" s="94">
        <f>IF($Y$1="Off",((Data!$AJ$18*LN('Net zero Intermediate calcs'!AD2))+Data!$AK$18),IF($Y$1="PQ",('Net zero supporting data'!G99),IF($Y$1="GS",('Net zero supporting data'!G63),'Net zero supporting data'!G82)))</f>
        <v>0.56816030581489985</v>
      </c>
      <c r="AE16" s="94">
        <f>IF($Y$1="Off",((Data!$AJ$18*LN('Net zero Intermediate calcs'!AE2))+Data!$AK$18),IF($Y$1="PQ",('Net zero supporting data'!H99),IF($Y$1="GS",('Net zero supporting data'!H63),'Net zero supporting data'!H82)))</f>
        <v>0.56439523816734538</v>
      </c>
      <c r="AF16" s="94">
        <f>IF($Y$1="Off",((Data!$AJ$18*LN('Net zero Intermediate calcs'!AF2))+Data!$AK$18),IF($Y$1="PQ",('Net zero supporting data'!I99),IF($Y$1="GS",('Net zero supporting data'!I63),'Net zero supporting data'!I82)))</f>
        <v>0.56080535465675874</v>
      </c>
      <c r="AG16" s="94">
        <f>IF($Y$1="Off",((Data!$AJ$18*LN('Net zero Intermediate calcs'!AG2))+Data!$AK$18),IF($Y$1="PQ",('Net zero supporting data'!J99),IF($Y$1="GS",('Net zero supporting data'!J63),'Net zero supporting data'!J82)))</f>
        <v>0.5573750752965374</v>
      </c>
      <c r="AH16" s="94">
        <f>IF($Y$1="Off",((Data!$AJ$18*LN('Net zero Intermediate calcs'!AH2))+Data!$AK$18),IF($Y$1="PQ",('Net zero supporting data'!K99),IF($Y$1="GS",('Net zero supporting data'!K63),'Net zero supporting data'!K82)))</f>
        <v>0.55409081032083174</v>
      </c>
      <c r="AI16" s="94">
        <f>IF($Y$1="Off",((Data!$AJ$18*LN('Net zero Intermediate calcs'!AI2))+Data!$AK$18),IF($Y$1="PQ",('Net zero supporting data'!L99),IF($Y$1="GS",('Net zero supporting data'!L63),'Net zero supporting data'!L82)))</f>
        <v>0.55094063500387414</v>
      </c>
      <c r="AJ16" s="94">
        <f>IF($Y$1="Off",((Data!$AJ$18*LN('Net zero Intermediate calcs'!AJ2))+Data!$AK$18),IF($Y$1="PQ",('Net zero supporting data'!M99),IF($Y$1="GS",('Net zero supporting data'!M63),'Net zero supporting data'!M82)))</f>
        <v>0.54791402829489422</v>
      </c>
      <c r="AK16" s="94">
        <f>IF($Y$1="Off",((Data!$AJ$18*LN('Net zero Intermediate calcs'!AK2))+Data!$AK$18),IF($Y$1="PQ",('Net zero supporting data'!N99),IF($Y$1="GS",('Net zero supporting data'!N63),'Net zero supporting data'!N82)))</f>
        <v>0.5450016608061754</v>
      </c>
      <c r="AL16" s="94">
        <f>IF($Y$1="Off",((Data!$AJ$18*LN('Net zero Intermediate calcs'!AL2))+Data!$AK$18),IF($Y$1="PQ",('Net zero supporting data'!O99),IF($Y$1="GS",('Net zero supporting data'!O63),'Net zero supporting data'!O82)))</f>
        <v>0.5421952213769079</v>
      </c>
      <c r="AM16" s="94">
        <f>IF($Y$1="Off",((Data!$AJ$18*LN('Net zero Intermediate calcs'!AM2))+Data!$AK$18),IF($Y$1="PQ",('Net zero supporting data'!P99),IF($Y$1="GS",('Net zero supporting data'!P63),'Net zero supporting data'!P82)))</f>
        <v>0.53948727408506059</v>
      </c>
      <c r="AN16" s="94">
        <f>IF($Y$1="Off",((Data!$AJ$18*LN('Net zero Intermediate calcs'!AN2))+Data!$AK$18),IF($Y$1="PQ",('Net zero supporting data'!Q99),IF($Y$1="GS",('Net zero supporting data'!Q63),'Net zero supporting data'!Q82)))</f>
        <v>0.53687113950980603</v>
      </c>
      <c r="AO16" s="94">
        <f>IF($Y$1="Off",((Data!$AJ$18*LN('Net zero Intermediate calcs'!AO2))+Data!$AK$18),IF($Y$1="PQ",('Net zero supporting data'!R99),IF($Y$1="GS",('Net zero supporting data'!R63),'Net zero supporting data'!R82)))</f>
        <v>0.53434079547056146</v>
      </c>
      <c r="AP16" s="94">
        <f>IF($Y$1="Off",((Data!$AJ$18*LN('Net zero Intermediate calcs'!AP2))+Data!$AK$18),IF($Y$1="PQ",('Net zero supporting data'!S99),IF($Y$1="GS",('Net zero supporting data'!S63),'Net zero supporting data'!S82)))</f>
        <v>0.53189079353039415</v>
      </c>
      <c r="AQ16" s="94">
        <f>IF($Y$1="Off",((Data!$AJ$18*LN('Net zero Intermediate calcs'!AQ2))+Data!$AK$18),IF($Y$1="PQ",('Net zero supporting data'!T99),IF($Y$1="GS",('Net zero supporting data'!T63),'Net zero supporting data'!T82)))</f>
        <v>0.52951618835166503</v>
      </c>
      <c r="AR16" s="94">
        <f>IF($Y$1="Off",((Data!$AJ$18*LN('Net zero Intermediate calcs'!AR2))+Data!$AK$18),IF($Y$1="PQ",('Net zero supporting data'!U99),IF($Y$1="GS",('Net zero supporting data'!U63),'Net zero supporting data'!U82)))</f>
        <v>0.52721247760069934</v>
      </c>
      <c r="AS16" s="94">
        <f>IF($Y$1="Off",((Data!$AJ$18*LN('Net zero Intermediate calcs'!AS2))+Data!$AK$18),IF($Y$1="PQ",('Net zero supporting data'!V99),IF($Y$1="GS",('Net zero supporting data'!V63),'Net zero supporting data'!V82)))</f>
        <v>0.52497555056588219</v>
      </c>
      <c r="AT16" s="94">
        <f>IF($Y$1="Off",((Data!$AJ$18*LN('Net zero Intermediate calcs'!AT2))+Data!$AK$18),IF($Y$1="PQ",('Net zero supporting data'!W99),IF($Y$1="GS",('Net zero supporting data'!W63),'Net zero supporting data'!W82)))</f>
        <v>0.52280164401573792</v>
      </c>
      <c r="AU16" s="94">
        <f>IF($Y$1="Off",((Data!$AJ$18*LN('Net zero Intermediate calcs'!AU2))+Data!$AK$18),IF($Y$1="PQ",('Net zero supporting data'!X99),IF($Y$1="GS",('Net zero supporting data'!X63),'Net zero supporting data'!X82)))</f>
        <v>0.52068730410629205</v>
      </c>
      <c r="AV16" s="94">
        <f>IF($Y$1="Off",((Data!$AJ$18*LN('Net zero Intermediate calcs'!AV2))+Data!$AK$18),IF($Y$1="PQ",('Net zero supporting data'!Y99),IF($Y$1="GS",('Net zero supporting data'!Y63),'Net zero supporting data'!Y82)))</f>
        <v>0.51862935336939042</v>
      </c>
      <c r="AW16" s="94">
        <f>IF($Y$1="Off",((Data!$AJ$18*LN('Net zero Intermediate calcs'!AW2))+Data!$AK$18),IF($Y$1="PQ",('Net zero supporting data'!Z99),IF($Y$1="GS",('Net zero supporting data'!Z63),'Net zero supporting data'!Z82)))</f>
        <v>0.5166248619898004</v>
      </c>
      <c r="AX16" s="94">
        <f>IF($Y$1="Off",((Data!$AJ$18*LN('Net zero Intermediate calcs'!AX2))+Data!$AK$18),IF($Y$1="PQ",('Net zero supporting data'!AA99),IF($Y$1="GS",('Net zero supporting data'!AA63),'Net zero supporting data'!AA82)))</f>
        <v>0.51467112271936843</v>
      </c>
      <c r="AY16" s="94">
        <f>IF($Y$1="Off",((Data!$AJ$18*LN('Net zero Intermediate calcs'!AY2))+Data!$AK$18),IF($Y$1="PQ",('Net zero supporting data'!AB99),IF($Y$1="GS",('Net zero supporting data'!AB63),'Net zero supporting data'!AB82)))</f>
        <v>0.51276562888920318</v>
      </c>
      <c r="AZ16" s="94">
        <f>IF($Y$1="Off",((Data!$AJ$18*LN('Net zero Intermediate calcs'!AZ2))+Data!$AK$18),IF($Y$1="PQ",('Net zero supporting data'!AC99),IF($Y$1="GS",('Net zero supporting data'!AC63),'Net zero supporting data'!AC82)))</f>
        <v>0.51090605507181408</v>
      </c>
      <c r="BA16" s="94">
        <f>IF($Y$1="Off",((Data!$AJ$18*LN('Net zero Intermediate calcs'!BA2))+Data!$AK$18),IF($Y$1="PQ",('Net zero supporting data'!AD99),IF($Y$1="GS",('Net zero supporting data'!AD63),'Net zero supporting data'!AD82)))</f>
        <v>0.50909024001896186</v>
      </c>
      <c r="BB16" s="94">
        <f>IF($Y$1="Off",((Data!$AJ$18*LN('Net zero Intermediate calcs'!BB2))+Data!$AK$18),IF($Y$1="PQ",('Net zero supporting data'!AE99),IF($Y$1="GS",('Net zero supporting data'!AE63),'Net zero supporting data'!AE82)))</f>
        <v>0.50731617156122744</v>
      </c>
      <c r="BC16" s="94">
        <f>IF($Y$1="Off",((Data!$AJ$18*LN('Net zero Intermediate calcs'!BC2))+Data!$AK$18),IF($Y$1="PQ",('Net zero supporting data'!AF99),IF($Y$1="GS",('Net zero supporting data'!AF63),'Net zero supporting data'!AF82)))</f>
        <v>0.50558197320471221</v>
      </c>
      <c r="BD16" s="94">
        <f>IF($Y$1="Off",((Data!$AJ$18*LN('Net zero Intermediate calcs'!BD2))+Data!$AK$18),IF($Y$1="PQ",('Net zero supporting data'!AG99),IF($Y$1="GS",('Net zero supporting data'!AG63),'Net zero supporting data'!AG82)))</f>
        <v>0.5038858922010061</v>
      </c>
      <c r="BE16" s="94">
        <f>IF($Y$1="Off",((Data!$AJ$18*LN('Net zero Intermediate calcs'!BE2))+Data!$AK$18),IF($Y$1="PQ",('Net zero supporting data'!AH99),IF($Y$1="GS",('Net zero supporting data'!AH63),'Net zero supporting data'!AH82)))</f>
        <v>0.50222628890026844</v>
      </c>
      <c r="BF16" s="94">
        <f>IF($Y$1="Off",((Data!$AJ$18*LN('Net zero Intermediate calcs'!BF2))+Data!$AK$18),IF($Y$1="PQ",('Net zero supporting data'!AI99),IF($Y$1="GS",('Net zero supporting data'!AI63),'Net zero supporting data'!AI82)))</f>
        <v>0.50060162722530022</v>
      </c>
      <c r="BG16" s="94">
        <f>IF($Y$1="Off",((Data!$AJ$18*LN('Net zero Intermediate calcs'!BG2))+Data!$AK$18),IF($Y$1="PQ",('Net zero supporting data'!AJ99),IF($Y$1="GS",('Net zero supporting data'!AJ63),'Net zero supporting data'!AJ82)))</f>
        <v>0.49901046612789024</v>
      </c>
      <c r="BH16" s="94">
        <f>IF($Y$1="Off",((Data!$AJ$18*LN('Net zero Intermediate calcs'!BH2))+Data!$AK$18),IF($Y$1="PQ",('Net zero supporting data'!AK99),IF($Y$1="GS",('Net zero supporting data'!AK63),'Net zero supporting data'!AK82)))</f>
        <v>0.49745145190834272</v>
      </c>
      <c r="BI16" s="94">
        <f>IF($Y$1="Off",((Data!$AJ$18*LN('Net zero Intermediate calcs'!BI2))+Data!$AK$18),IF($Y$1="PQ",('Net zero supporting data'!AL99),IF($Y$1="GS",('Net zero supporting data'!AL63),'Net zero supporting data'!AL82)))</f>
        <v>0.49592331129560552</v>
      </c>
      <c r="BJ16" s="94">
        <f>IF($Y$1="Off",((Data!$AJ$18*LN('Net zero Intermediate calcs'!BJ2))+Data!$AK$18),IF($Y$1="PQ",('Net zero supporting data'!AM99),IF($Y$1="GS",('Net zero supporting data'!AM63),'Net zero supporting data'!AM82)))</f>
        <v>0.49442484519936286</v>
      </c>
      <c r="BK16" s="94">
        <f>IF($Y$1="Off",((Data!$AJ$18*LN('Net zero Intermediate calcs'!BK2))+Data!$AK$18),IF($Y$1="PQ",('Net zero supporting data'!AN99),IF($Y$1="GS",('Net zero supporting data'!AN63),'Net zero supporting data'!AN82)))</f>
        <v>0.49295492305728073</v>
      </c>
      <c r="BL16">
        <v>0.49295492305728073</v>
      </c>
    </row>
    <row r="17" spans="1:64"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4" x14ac:dyDescent="0.3">
      <c r="A18" t="s">
        <v>870</v>
      </c>
      <c r="B18" t="s">
        <v>321</v>
      </c>
      <c r="C18" s="22">
        <f>C27+C22</f>
        <v>168200</v>
      </c>
      <c r="D18" s="22">
        <f t="shared" ref="D18:BK18" si="3">D27+D22</f>
        <v>191200</v>
      </c>
      <c r="E18" s="22">
        <f t="shared" si="3"/>
        <v>176100</v>
      </c>
      <c r="F18" s="22">
        <f t="shared" si="3"/>
        <v>167400</v>
      </c>
      <c r="G18" s="22">
        <f t="shared" si="3"/>
        <v>135300</v>
      </c>
      <c r="H18" s="22">
        <f t="shared" si="3"/>
        <v>94800</v>
      </c>
      <c r="I18" s="22">
        <f t="shared" si="3"/>
        <v>106300</v>
      </c>
      <c r="J18" s="22">
        <f t="shared" si="3"/>
        <v>102600</v>
      </c>
      <c r="K18" s="22">
        <f t="shared" si="3"/>
        <v>96900</v>
      </c>
      <c r="L18" s="22">
        <f t="shared" si="3"/>
        <v>104900</v>
      </c>
      <c r="M18" s="22">
        <f t="shared" si="3"/>
        <v>108300</v>
      </c>
      <c r="N18" s="22">
        <f t="shared" si="3"/>
        <v>105400</v>
      </c>
      <c r="O18" s="22">
        <f t="shared" si="3"/>
        <v>105100</v>
      </c>
      <c r="P18" s="22">
        <f t="shared" si="3"/>
        <v>114400</v>
      </c>
      <c r="Q18" s="22">
        <f t="shared" si="3"/>
        <v>120300</v>
      </c>
      <c r="R18" s="22">
        <f t="shared" si="3"/>
        <v>134600</v>
      </c>
      <c r="S18" s="22">
        <f t="shared" si="3"/>
        <v>135300</v>
      </c>
      <c r="T18" s="22">
        <f t="shared" si="3"/>
        <v>160700</v>
      </c>
      <c r="U18" s="22">
        <f t="shared" si="3"/>
        <v>160600</v>
      </c>
      <c r="V18" s="22">
        <f t="shared" si="3"/>
        <v>162100</v>
      </c>
      <c r="W18" s="22">
        <f t="shared" si="3"/>
        <v>163900</v>
      </c>
      <c r="X18" s="22">
        <f t="shared" si="3"/>
        <v>148800</v>
      </c>
      <c r="Y18" s="22">
        <f t="shared" si="3"/>
        <v>163484.42116083094</v>
      </c>
      <c r="Z18" s="22">
        <f t="shared" si="3"/>
        <v>165085.80191754238</v>
      </c>
      <c r="AA18" s="22">
        <f t="shared" si="3"/>
        <v>166751.80150266935</v>
      </c>
      <c r="AB18" s="22">
        <f t="shared" si="3"/>
        <v>168468.13366972576</v>
      </c>
      <c r="AC18" s="22">
        <f t="shared" si="3"/>
        <v>170240.70959794082</v>
      </c>
      <c r="AD18" s="22">
        <f t="shared" si="3"/>
        <v>172071.84906435863</v>
      </c>
      <c r="AE18" s="22">
        <f t="shared" si="3"/>
        <v>173932.88623482941</v>
      </c>
      <c r="AF18" s="22">
        <f t="shared" si="3"/>
        <v>175824.63311708838</v>
      </c>
      <c r="AG18" s="22">
        <f t="shared" si="3"/>
        <v>177627.79756286176</v>
      </c>
      <c r="AH18" s="22">
        <f t="shared" si="3"/>
        <v>179047.81533352009</v>
      </c>
      <c r="AI18" s="22">
        <f t="shared" si="3"/>
        <v>180499.92884986705</v>
      </c>
      <c r="AJ18" s="22">
        <f t="shared" si="3"/>
        <v>181942.63169272177</v>
      </c>
      <c r="AK18" s="22">
        <f t="shared" si="3"/>
        <v>183405.09153396953</v>
      </c>
      <c r="AL18" s="22">
        <f t="shared" si="3"/>
        <v>184888.59625670058</v>
      </c>
      <c r="AM18" s="22">
        <f t="shared" si="3"/>
        <v>186179.93062782122</v>
      </c>
      <c r="AN18" s="22">
        <f t="shared" si="3"/>
        <v>187487.36775089632</v>
      </c>
      <c r="AO18" s="22">
        <f t="shared" si="3"/>
        <v>188808.35755367592</v>
      </c>
      <c r="AP18" s="22">
        <f t="shared" si="3"/>
        <v>190145.53391297185</v>
      </c>
      <c r="AQ18" s="22">
        <f t="shared" si="3"/>
        <v>191496.34341323789</v>
      </c>
      <c r="AR18" s="22">
        <f t="shared" si="3"/>
        <v>192690.81828510558</v>
      </c>
      <c r="AS18" s="22">
        <f t="shared" si="3"/>
        <v>193894.2716906417</v>
      </c>
      <c r="AT18" s="22">
        <f t="shared" si="3"/>
        <v>195110.39228528627</v>
      </c>
      <c r="AU18" s="22">
        <f t="shared" si="3"/>
        <v>196343.64769908375</v>
      </c>
      <c r="AV18" s="22">
        <f t="shared" si="3"/>
        <v>197583.83735391626</v>
      </c>
      <c r="AW18" s="22">
        <f t="shared" si="3"/>
        <v>198668.81676857665</v>
      </c>
      <c r="AX18" s="22">
        <f t="shared" si="3"/>
        <v>199765.62088145196</v>
      </c>
      <c r="AY18" s="22">
        <f t="shared" si="3"/>
        <v>200865.87073160932</v>
      </c>
      <c r="AZ18" s="22">
        <f t="shared" si="3"/>
        <v>201973.43259272445</v>
      </c>
      <c r="BA18" s="22">
        <f t="shared" si="3"/>
        <v>203088.53101942819</v>
      </c>
      <c r="BB18" s="22">
        <f t="shared" si="3"/>
        <v>204056.64553829643</v>
      </c>
      <c r="BC18" s="22">
        <f t="shared" si="3"/>
        <v>205027.79893224742</v>
      </c>
      <c r="BD18" s="22">
        <f t="shared" si="3"/>
        <v>206007.13295208014</v>
      </c>
      <c r="BE18" s="22">
        <f t="shared" si="3"/>
        <v>206995.00875626557</v>
      </c>
      <c r="BF18" s="22">
        <f t="shared" si="3"/>
        <v>207991.97527488592</v>
      </c>
      <c r="BG18" s="22">
        <f t="shared" si="3"/>
        <v>208833.38062420065</v>
      </c>
      <c r="BH18" s="22">
        <f t="shared" si="3"/>
        <v>209622.15816018035</v>
      </c>
      <c r="BI18" s="22">
        <f t="shared" si="3"/>
        <v>210409.57794465171</v>
      </c>
      <c r="BJ18" s="22">
        <f t="shared" si="3"/>
        <v>211193.28230112934</v>
      </c>
      <c r="BK18" s="22">
        <f t="shared" si="3"/>
        <v>211978.64579428855</v>
      </c>
      <c r="BL18">
        <v>211943.68695393516</v>
      </c>
    </row>
    <row r="19" spans="1:64" x14ac:dyDescent="0.3">
      <c r="A19" t="s">
        <v>332</v>
      </c>
      <c r="B19" t="s">
        <v>321</v>
      </c>
      <c r="C19" s="22">
        <f>C17-C22</f>
        <v>172960</v>
      </c>
      <c r="D19" s="22">
        <f t="shared" ref="D19:X19" si="4">D17-D22</f>
        <v>193640</v>
      </c>
      <c r="E19" s="22">
        <f t="shared" si="4"/>
        <v>187060</v>
      </c>
      <c r="F19" s="22">
        <f t="shared" si="4"/>
        <v>177660</v>
      </c>
      <c r="G19" s="22">
        <f t="shared" si="4"/>
        <v>146640</v>
      </c>
      <c r="H19" s="22">
        <f t="shared" si="4"/>
        <v>110920</v>
      </c>
      <c r="I19" s="22">
        <f t="shared" si="4"/>
        <v>134420</v>
      </c>
      <c r="J19" s="22">
        <f t="shared" si="4"/>
        <v>133480</v>
      </c>
      <c r="K19" s="22">
        <f t="shared" si="4"/>
        <v>136300</v>
      </c>
      <c r="L19" s="22">
        <f t="shared" si="4"/>
        <v>144760</v>
      </c>
      <c r="M19" s="22">
        <f t="shared" si="4"/>
        <v>153220</v>
      </c>
      <c r="N19" s="22">
        <f t="shared" si="4"/>
        <v>149460</v>
      </c>
      <c r="O19" s="22">
        <f t="shared" si="4"/>
        <v>137240</v>
      </c>
      <c r="P19" s="22">
        <f t="shared" si="4"/>
        <v>137240</v>
      </c>
      <c r="Q19" s="22">
        <f t="shared" si="4"/>
        <v>143820</v>
      </c>
      <c r="R19" s="22">
        <f t="shared" si="4"/>
        <v>157920</v>
      </c>
      <c r="S19" s="22">
        <f t="shared" si="4"/>
        <v>165440</v>
      </c>
      <c r="T19" s="22">
        <f t="shared" si="4"/>
        <v>190820</v>
      </c>
      <c r="U19" s="22">
        <f t="shared" si="4"/>
        <v>177660</v>
      </c>
      <c r="V19" s="22">
        <f t="shared" si="4"/>
        <v>169200</v>
      </c>
      <c r="W19" s="22">
        <f t="shared" si="4"/>
        <v>163560</v>
      </c>
      <c r="X19" s="22">
        <f t="shared" si="4"/>
        <v>145700</v>
      </c>
      <c r="Y19" s="94">
        <f>IF('Net zero activities &amp; levers'!$C$12="Off",(((Data!$AJ$7*'Intermediate calculations'!Y4)+Data!$AK$7)*Drivers!Z4),IF('Net zero activities &amp; levers'!$C$12="PB",(((Data!$AJ$7*'Intermediate calculations'!Y4)+Data!$AK$7)*Drivers!Z4),IF('Net zero activities &amp; levers'!$C$12="MS",'Net zero supporting data'!B206,"ERROR")))</f>
        <v>168493.35641070595</v>
      </c>
      <c r="Z19" s="94">
        <f>IF('Net zero activities &amp; levers'!$C$12="Off",(((Data!$AJ$7*'Intermediate calculations'!Z4)+Data!$AK$7)*Drivers!AA4),IF('Net zero activities &amp; levers'!$C$12="PB",(((Data!$AJ$7*'Intermediate calculations'!Z4)+Data!$AK$7)*Drivers!AA4),IF('Net zero activities &amp; levers'!$C$12="MS",'Net zero supporting data'!C206,"ERROR")))</f>
        <v>171016.70205543257</v>
      </c>
      <c r="AA19" s="94">
        <f>IF('Net zero activities &amp; levers'!$C$12="Off",(((Data!$AJ$7*'Intermediate calculations'!AA4)+Data!$AK$7)*Drivers!AB4),IF('Net zero activities &amp; levers'!$C$12="PB",(((Data!$AJ$7*'Intermediate calculations'!AA4)+Data!$AK$7)*Drivers!AB4),IF('Net zero activities &amp; levers'!$C$12="MS",'Net zero supporting data'!D206,"ERROR")))</f>
        <v>173641.86960514102</v>
      </c>
      <c r="AB19" s="94">
        <f>IF('Net zero activities &amp; levers'!$C$12="Off",(((Data!$AJ$7*'Intermediate calculations'!AB4)+Data!$AK$7)*Drivers!AC4),IF('Net zero activities &amp; levers'!$C$12="PB",(((Data!$AJ$7*'Intermediate calculations'!AB4)+Data!$AK$7)*Drivers!AC4),IF('Net zero activities &amp; levers'!$C$12="MS",'Net zero supporting data'!E206,"ERROR")))</f>
        <v>176346.34777530449</v>
      </c>
      <c r="AC19" s="94">
        <f>IF('Net zero activities &amp; levers'!$C$12="Off",(((Data!$AJ$7*'Intermediate calculations'!AC4)+Data!$AK$7)*Drivers!AD4),IF('Net zero activities &amp; levers'!$C$12="PB",(((Data!$AJ$7*'Intermediate calculations'!AC4)+Data!$AK$7)*Drivers!AD4),IF('Net zero activities &amp; levers'!$C$12="MS",'Net zero supporting data'!F206,"ERROR")))</f>
        <v>179139.45099554921</v>
      </c>
      <c r="AD19" s="94">
        <f>IF('Net zero activities &amp; levers'!$C$12="Off",(((Data!$AJ$7*'Intermediate calculations'!AD4)+Data!$AK$7)*Drivers!AE4),IF('Net zero activities &amp; levers'!$C$12="PB",(((Data!$AJ$7*'Intermediate calculations'!AD4)+Data!$AK$7)*Drivers!AE4),IF('Net zero activities &amp; levers'!$C$12="MS",'Net zero supporting data'!G206,"ERROR")))</f>
        <v>182024.83461097442</v>
      </c>
      <c r="AE19" s="94">
        <f>IF('Net zero activities &amp; levers'!$C$12="Off",(((Data!$AJ$7*'Intermediate calculations'!AE4)+Data!$AK$7)*Drivers!AF4),IF('Net zero activities &amp; levers'!$C$12="PB",(((Data!$AJ$7*'Intermediate calculations'!AE4)+Data!$AK$7)*Drivers!AF4),IF('Net zero activities &amp; levers'!$C$12="MS",'Net zero supporting data'!H206,"ERROR")))</f>
        <v>184957.32897191923</v>
      </c>
      <c r="AF19" s="94">
        <f>IF('Net zero activities &amp; levers'!$C$12="Off",(((Data!$AJ$7*'Intermediate calculations'!AF4)+Data!$AK$7)*Drivers!AG4),IF('Net zero activities &amp; levers'!$C$12="PB",(((Data!$AJ$7*'Intermediate calculations'!AF4)+Data!$AK$7)*Drivers!AG4),IF('Net zero activities &amp; levers'!$C$12="MS",'Net zero supporting data'!I206,"ERROR")))</f>
        <v>187938.21358431841</v>
      </c>
      <c r="AG19" s="94">
        <f>IF('Net zero activities &amp; levers'!$C$12="Off",(((Data!$AJ$7*'Intermediate calculations'!AG4)+Data!$AK$7)*Drivers!AH4),IF('Net zero activities &amp; levers'!$C$12="PB",(((Data!$AJ$7*'Intermediate calculations'!AG4)+Data!$AK$7)*Drivers!AH4),IF('Net zero activities &amp; levers'!$C$12="MS",'Net zero supporting data'!J206,"ERROR")))</f>
        <v>190779.51608648655</v>
      </c>
      <c r="AH19" s="94">
        <f>IF('Net zero activities &amp; levers'!$C$12="Off",(((Data!$AJ$7*'Intermediate calculations'!AH4)+Data!$AK$7)*Drivers!AI4),IF('Net zero activities &amp; levers'!$C$12="PB",(((Data!$AJ$7*'Intermediate calculations'!AH4)+Data!$AK$7)*Drivers!AI4),IF('Net zero activities &amp; levers'!$C$12="MS",'Net zero supporting data'!K206,"ERROR")))</f>
        <v>193017.08241292564</v>
      </c>
      <c r="AI19" s="94">
        <f>IF('Net zero activities &amp; levers'!$C$12="Off",(((Data!$AJ$7*'Intermediate calculations'!AI4)+Data!$AK$7)*Drivers!AJ4),IF('Net zero activities &amp; levers'!$C$12="PB",(((Data!$AJ$7*'Intermediate calculations'!AI4)+Data!$AK$7)*Drivers!AJ4),IF('Net zero activities &amp; levers'!$C$12="MS",'Net zero supporting data'!L206,"ERROR")))</f>
        <v>195305.22300770052</v>
      </c>
      <c r="AJ19" s="94">
        <f>IF('Net zero activities &amp; levers'!$C$12="Off",(((Data!$AJ$7*'Intermediate calculations'!AJ4)+Data!$AK$7)*Drivers!AK4),IF('Net zero activities &amp; levers'!$C$12="PB",(((Data!$AJ$7*'Intermediate calculations'!AJ4)+Data!$AK$7)*Drivers!AK4),IF('Net zero activities &amp; levers'!$C$12="MS",'Net zero supporting data'!M206,"ERROR")))</f>
        <v>197578.53491050377</v>
      </c>
      <c r="AK19" s="94">
        <f>IF('Net zero activities &amp; levers'!$C$12="Off",(((Data!$AJ$7*'Intermediate calculations'!AK4)+Data!$AK$7)*Drivers!AL4),IF('Net zero activities &amp; levers'!$C$12="PB",(((Data!$AJ$7*'Intermediate calculations'!AK4)+Data!$AK$7)*Drivers!AL4),IF('Net zero activities &amp; levers'!$C$12="MS",'Net zero supporting data'!N206,"ERROR")))</f>
        <v>199882.97853238066</v>
      </c>
      <c r="AL19" s="94">
        <f>IF('Net zero activities &amp; levers'!$C$12="Off",(((Data!$AJ$7*'Intermediate calculations'!AL4)+Data!$AK$7)*Drivers!AM4),IF('Net zero activities &amp; levers'!$C$12="PB",(((Data!$AJ$7*'Intermediate calculations'!AL4)+Data!$AK$7)*Drivers!AM4),IF('Net zero activities &amp; levers'!$C$12="MS",'Net zero supporting data'!O206,"ERROR")))</f>
        <v>202220.58323091723</v>
      </c>
      <c r="AM19" s="94">
        <f>IF('Net zero activities &amp; levers'!$C$12="Off",(((Data!$AJ$7*'Intermediate calculations'!AM4)+Data!$AK$7)*Drivers!AN4),IF('Net zero activities &amp; levers'!$C$12="PB",(((Data!$AJ$7*'Intermediate calculations'!AM4)+Data!$AK$7)*Drivers!AN4),IF('Net zero activities &amp; levers'!$C$12="MS",'Net zero supporting data'!P206,"ERROR")))</f>
        <v>204255.3791079107</v>
      </c>
      <c r="AN19" s="94">
        <f>IF('Net zero activities &amp; levers'!$C$12="Off",(((Data!$AJ$7*'Intermediate calculations'!AN4)+Data!$AK$7)*Drivers!AO4),IF('Net zero activities &amp; levers'!$C$12="PB",(((Data!$AJ$7*'Intermediate calculations'!AN4)+Data!$AK$7)*Drivers!AO4),IF('Net zero activities &amp; levers'!$C$12="MS",'Net zero supporting data'!Q206,"ERROR")))</f>
        <v>206315.54859379883</v>
      </c>
      <c r="AO19" s="94">
        <f>IF('Net zero activities &amp; levers'!$C$12="Off",(((Data!$AJ$7*'Intermediate calculations'!AO4)+Data!$AK$7)*Drivers!AP4),IF('Net zero activities &amp; levers'!$C$12="PB",(((Data!$AJ$7*'Intermediate calculations'!AO4)+Data!$AK$7)*Drivers!AP4),IF('Net zero activities &amp; levers'!$C$12="MS",'Net zero supporting data'!R206,"ERROR")))</f>
        <v>208397.0734601382</v>
      </c>
      <c r="AP19" s="94">
        <f>IF('Net zero activities &amp; levers'!$C$12="Off",(((Data!$AJ$7*'Intermediate calculations'!AP4)+Data!$AK$7)*Drivers!AQ4),IF('Net zero activities &amp; levers'!$C$12="PB",(((Data!$AJ$7*'Intermediate calculations'!AP4)+Data!$AK$7)*Drivers!AQ4),IF('Net zero activities &amp; levers'!$C$12="MS",'Net zero supporting data'!S206,"ERROR")))</f>
        <v>210504.1039888364</v>
      </c>
      <c r="AQ19" s="94">
        <f>IF('Net zero activities &amp; levers'!$C$12="Off",(((Data!$AJ$7*'Intermediate calculations'!AQ4)+Data!$AK$7)*Drivers!AR4),IF('Net zero activities &amp; levers'!$C$12="PB",(((Data!$AJ$7*'Intermediate calculations'!AQ4)+Data!$AK$7)*Drivers!AR4),IF('Net zero activities &amp; levers'!$C$12="MS",'Net zero supporting data'!T206,"ERROR")))</f>
        <v>212632.61668331348</v>
      </c>
      <c r="AR19" s="94">
        <f>IF('Net zero activities &amp; levers'!$C$12="Off",(((Data!$AJ$7*'Intermediate calculations'!AR4)+Data!$AK$7)*Drivers!AS4),IF('Net zero activities &amp; levers'!$C$12="PB",(((Data!$AJ$7*'Intermediate calculations'!AR4)+Data!$AK$7)*Drivers!AS4),IF('Net zero activities &amp; levers'!$C$12="MS",'Net zero supporting data'!U206,"ERROR")))</f>
        <v>214514.78802390856</v>
      </c>
      <c r="AS19" s="94">
        <f>IF('Net zero activities &amp; levers'!$C$12="Off",(((Data!$AJ$7*'Intermediate calculations'!AS4)+Data!$AK$7)*Drivers!AT4),IF('Net zero activities &amp; levers'!$C$12="PB",(((Data!$AJ$7*'Intermediate calculations'!AS4)+Data!$AK$7)*Drivers!AT4),IF('Net zero activities &amp; levers'!$C$12="MS",'Net zero supporting data'!V206,"ERROR")))</f>
        <v>216411.10712026578</v>
      </c>
      <c r="AT19" s="94">
        <f>IF('Net zero activities &amp; levers'!$C$12="Off",(((Data!$AJ$7*'Intermediate calculations'!AT4)+Data!$AK$7)*Drivers!AU4),IF('Net zero activities &amp; levers'!$C$12="PB",(((Data!$AJ$7*'Intermediate calculations'!AT4)+Data!$AK$7)*Drivers!AU4),IF('Net zero activities &amp; levers'!$C$12="MS",'Net zero supporting data'!W206,"ERROR")))</f>
        <v>218327.38630190183</v>
      </c>
      <c r="AU19" s="94">
        <f>IF('Net zero activities &amp; levers'!$C$12="Off",(((Data!$AJ$7*'Intermediate calculations'!AU4)+Data!$AK$7)*Drivers!AV4),IF('Net zero activities &amp; levers'!$C$12="PB",(((Data!$AJ$7*'Intermediate calculations'!AU4)+Data!$AK$7)*Drivers!AV4),IF('Net zero activities &amp; levers'!$C$12="MS",'Net zero supporting data'!X206,"ERROR")))</f>
        <v>220270.66535293276</v>
      </c>
      <c r="AV19" s="94">
        <f>IF('Net zero activities &amp; levers'!$C$12="Off",(((Data!$AJ$7*'Intermediate calculations'!AV4)+Data!$AK$7)*Drivers!AW4),IF('Net zero activities &amp; levers'!$C$12="PB",(((Data!$AJ$7*'Intermediate calculations'!AV4)+Data!$AK$7)*Drivers!AW4),IF('Net zero activities &amp; levers'!$C$12="MS",'Net zero supporting data'!Y206,"ERROR")))</f>
        <v>222224.8709040118</v>
      </c>
      <c r="AW19" s="94">
        <f>IF('Net zero activities &amp; levers'!$C$12="Off",(((Data!$AJ$7*'Intermediate calculations'!AW4)+Data!$AK$7)*Drivers!AX4),IF('Net zero activities &amp; levers'!$C$12="PB",(((Data!$AJ$7*'Intermediate calculations'!AW4)+Data!$AK$7)*Drivers!AX4),IF('Net zero activities &amp; levers'!$C$12="MS",'Net zero supporting data'!Z206,"ERROR")))</f>
        <v>223934.50683483414</v>
      </c>
      <c r="AX19" s="94">
        <f>IF('Net zero activities &amp; levers'!$C$12="Off",(((Data!$AJ$7*'Intermediate calculations'!AX4)+Data!$AK$7)*Drivers!AY4),IF('Net zero activities &amp; levers'!$C$12="PB",(((Data!$AJ$7*'Intermediate calculations'!AX4)+Data!$AK$7)*Drivers!AY4),IF('Net zero activities &amp; levers'!$C$12="MS",'Net zero supporting data'!AA206,"ERROR")))</f>
        <v>225662.7753117363</v>
      </c>
      <c r="AY19" s="94">
        <f>IF('Net zero activities &amp; levers'!$C$12="Off",(((Data!$AJ$7*'Intermediate calculations'!AY4)+Data!$AK$7)*Drivers!AZ4),IF('Net zero activities &amp; levers'!$C$12="PB",(((Data!$AJ$7*'Intermediate calculations'!AY4)+Data!$AK$7)*Drivers!AZ4),IF('Net zero activities &amp; levers'!$C$12="MS",'Net zero supporting data'!AB206,"ERROR")))</f>
        <v>227396.47334443094</v>
      </c>
      <c r="AZ19" s="94">
        <f>IF('Net zero activities &amp; levers'!$C$12="Off",(((Data!$AJ$7*'Intermediate calculations'!AZ4)+Data!$AK$7)*Drivers!BA4),IF('Net zero activities &amp; levers'!$C$12="PB",(((Data!$AJ$7*'Intermediate calculations'!AZ4)+Data!$AK$7)*Drivers!BA4),IF('Net zero activities &amp; levers'!$C$12="MS",'Net zero supporting data'!AC206,"ERROR")))</f>
        <v>229141.69314103288</v>
      </c>
      <c r="BA19" s="94">
        <f>IF('Net zero activities &amp; levers'!$C$12="Off",(((Data!$AJ$7*'Intermediate calculations'!BA4)+Data!$AK$7)*Drivers!BB4),IF('Net zero activities &amp; levers'!$C$12="PB",(((Data!$AJ$7*'Intermediate calculations'!BA4)+Data!$AK$7)*Drivers!BB4),IF('Net zero activities &amp; levers'!$C$12="MS",'Net zero supporting data'!AD206,"ERROR")))</f>
        <v>230898.78853928321</v>
      </c>
      <c r="BB19" s="94">
        <f>IF('Net zero activities &amp; levers'!$C$12="Off",(((Data!$AJ$7*'Intermediate calculations'!BB4)+Data!$AK$7)*Drivers!BC4),IF('Net zero activities &amp; levers'!$C$12="PB",(((Data!$AJ$7*'Intermediate calculations'!BB4)+Data!$AK$7)*Drivers!BC4),IF('Net zero activities &amp; levers'!$C$12="MS",'Net zero supporting data'!AE206,"ERROR")))</f>
        <v>232424.27680592096</v>
      </c>
      <c r="BC19" s="94">
        <f>IF('Net zero activities &amp; levers'!$C$12="Off",(((Data!$AJ$7*'Intermediate calculations'!BC4)+Data!$AK$7)*Drivers!BD4),IF('Net zero activities &amp; levers'!$C$12="PB",(((Data!$AJ$7*'Intermediate calculations'!BC4)+Data!$AK$7)*Drivers!BD4),IF('Net zero activities &amp; levers'!$C$12="MS",'Net zero supporting data'!AF206,"ERROR")))</f>
        <v>233954.55352288368</v>
      </c>
      <c r="BD19" s="94">
        <f>IF('Net zero activities &amp; levers'!$C$12="Off",(((Data!$AJ$7*'Intermediate calculations'!BD4)+Data!$AK$7)*Drivers!BE4),IF('Net zero activities &amp; levers'!$C$12="PB",(((Data!$AJ$7*'Intermediate calculations'!BD4)+Data!$AK$7)*Drivers!BE4),IF('Net zero activities &amp; levers'!$C$12="MS",'Net zero supporting data'!AG206,"ERROR")))</f>
        <v>235497.7207074028</v>
      </c>
      <c r="BE19" s="94">
        <f>IF('Net zero activities &amp; levers'!$C$12="Off",(((Data!$AJ$7*'Intermediate calculations'!BE4)+Data!$AK$7)*Drivers!BF4),IF('Net zero activities &amp; levers'!$C$12="PB",(((Data!$AJ$7*'Intermediate calculations'!BE4)+Data!$AK$7)*Drivers!BF4),IF('Net zero activities &amp; levers'!$C$12="MS",'Net zero supporting data'!AH206,"ERROR")))</f>
        <v>237054.34744815447</v>
      </c>
      <c r="BF19" s="94">
        <f>IF('Net zero activities &amp; levers'!$C$12="Off",(((Data!$AJ$7*'Intermediate calculations'!BF4)+Data!$AK$7)*Drivers!BG4),IF('Net zero activities &amp; levers'!$C$12="PB",(((Data!$AJ$7*'Intermediate calculations'!BF4)+Data!$AK$7)*Drivers!BG4),IF('Net zero activities &amp; levers'!$C$12="MS",'Net zero supporting data'!AI206,"ERROR")))</f>
        <v>238625.29871140371</v>
      </c>
      <c r="BG19" s="94">
        <f>IF('Net zero activities &amp; levers'!$C$12="Off",(((Data!$AJ$7*'Intermediate calculations'!BG4)+Data!$AK$7)*Drivers!BH4),IF('Net zero activities &amp; levers'!$C$12="PB",(((Data!$AJ$7*'Intermediate calculations'!BG4)+Data!$AK$7)*Drivers!BH4),IF('Net zero activities &amp; levers'!$C$12="MS",'Net zero supporting data'!AJ206,"ERROR")))</f>
        <v>239951.1273844066</v>
      </c>
      <c r="BH19" s="94">
        <f>IF('Net zero activities &amp; levers'!$C$12="Off",(((Data!$AJ$7*'Intermediate calculations'!BH4)+Data!$AK$7)*Drivers!BI4),IF('Net zero activities &amp; levers'!$C$12="PB",(((Data!$AJ$7*'Intermediate calculations'!BH4)+Data!$AK$7)*Drivers!BI4),IF('Net zero activities &amp; levers'!$C$12="MS",'Net zero supporting data'!AK206,"ERROR")))</f>
        <v>241194.02876918399</v>
      </c>
      <c r="BI19" s="94">
        <f>IF('Net zero activities &amp; levers'!$C$12="Off",(((Data!$AJ$7*'Intermediate calculations'!BI4)+Data!$AK$7)*Drivers!BJ4),IF('Net zero activities &amp; levers'!$C$12="PB",(((Data!$AJ$7*'Intermediate calculations'!BI4)+Data!$AK$7)*Drivers!BJ4),IF('Net zero activities &amp; levers'!$C$12="MS",'Net zero supporting data'!AL206,"ERROR")))</f>
        <v>242434.79070252812</v>
      </c>
      <c r="BJ19" s="94">
        <f>IF('Net zero activities &amp; levers'!$C$12="Off",(((Data!$AJ$7*'Intermediate calculations'!BJ4)+Data!$AK$7)*Drivers!BK4),IF('Net zero activities &amp; levers'!$C$12="PB",(((Data!$AJ$7*'Intermediate calculations'!BJ4)+Data!$AK$7)*Drivers!BK4),IF('Net zero activities &amp; levers'!$C$12="MS",'Net zero supporting data'!AM206,"ERROR")))</f>
        <v>243669.69812000712</v>
      </c>
      <c r="BK19" s="94">
        <f>IF('Net zero activities &amp; levers'!$C$12="Off",(((Data!$AJ$7*'Intermediate calculations'!BK4)+Data!$AK$7)*Drivers!BL4),IF('Net zero activities &amp; levers'!$C$12="PB",(((Data!$AJ$7*'Intermediate calculations'!BK4)+Data!$AK$7)*Drivers!BL4),IF('Net zero activities &amp; levers'!$C$12="MS",'Net zero supporting data'!AN206,"ERROR")))</f>
        <v>244907.21989094446</v>
      </c>
      <c r="BL19">
        <v>244852.13415497527</v>
      </c>
    </row>
    <row r="20" spans="1:64"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3.2167211261366008E-3</v>
      </c>
      <c r="AH20" s="22">
        <f>AH19/Drivers!AI4</f>
        <v>3.2174028583286944E-3</v>
      </c>
      <c r="AI20" s="22">
        <f>AI19/Drivers!AJ4</f>
        <v>3.2184856897333005E-3</v>
      </c>
      <c r="AJ20" s="22">
        <f>AJ19/Drivers!AK4</f>
        <v>3.2188853897138891E-3</v>
      </c>
      <c r="AK20" s="22">
        <f>AK19/Drivers!AL4</f>
        <v>3.2193603690087312E-3</v>
      </c>
      <c r="AL20" s="22">
        <f>AL19/Drivers!AM4</f>
        <v>3.2199354675795083E-3</v>
      </c>
      <c r="AM20" s="22">
        <f>AM19/Drivers!AN4</f>
        <v>3.2206235894405252E-3</v>
      </c>
      <c r="AN20" s="22">
        <f>AN19/Drivers!AO4</f>
        <v>3.2213883502731117E-3</v>
      </c>
      <c r="AO20" s="22">
        <f>AO19/Drivers!AP4</f>
        <v>3.2221621987584851E-3</v>
      </c>
      <c r="AP20" s="22">
        <f>AP19/Drivers!AQ4</f>
        <v>3.2230052099911301E-3</v>
      </c>
      <c r="AQ20" s="22">
        <f>AQ19/Drivers!AR4</f>
        <v>3.2238511513237593E-3</v>
      </c>
      <c r="AR20" s="22">
        <f>AR19/Drivers!AS4</f>
        <v>3.2248660019074914E-3</v>
      </c>
      <c r="AS20" s="22">
        <f>AS19/Drivers!AT4</f>
        <v>3.2258437165381365E-3</v>
      </c>
      <c r="AT20" s="22">
        <f>AT19/Drivers!AU4</f>
        <v>3.2268689724647935E-3</v>
      </c>
      <c r="AU20" s="22">
        <f>AU19/Drivers!AV4</f>
        <v>3.2280415659354006E-3</v>
      </c>
      <c r="AV20" s="22">
        <f>AV19/Drivers!AW4</f>
        <v>3.2291220215774751E-3</v>
      </c>
      <c r="AW20" s="22">
        <f>AW19/Drivers!AX4</f>
        <v>3.2303148884756869E-3</v>
      </c>
      <c r="AX20" s="22">
        <f>AX19/Drivers!AY4</f>
        <v>3.2315866698818599E-3</v>
      </c>
      <c r="AY20" s="22">
        <f>AY19/Drivers!AZ4</f>
        <v>3.2327465181619655E-3</v>
      </c>
      <c r="AZ20" s="22">
        <f>AZ19/Drivers!BA4</f>
        <v>3.2338814116411791E-3</v>
      </c>
      <c r="BA20" s="22">
        <f>BA19/Drivers!BB4</f>
        <v>3.2349954274001041E-3</v>
      </c>
      <c r="BB20" s="22">
        <f>BB19/Drivers!BC4</f>
        <v>3.236267968893702E-3</v>
      </c>
      <c r="BC20" s="22">
        <f>BC19/Drivers!BD4</f>
        <v>3.2374678070893562E-3</v>
      </c>
      <c r="BD20" s="22">
        <f>BD19/Drivers!BE4</f>
        <v>3.2387068058567442E-3</v>
      </c>
      <c r="BE20" s="22">
        <f>BE19/Drivers!BF4</f>
        <v>3.2399911199163774E-3</v>
      </c>
      <c r="BF20" s="22">
        <f>BF19/Drivers!BG4</f>
        <v>3.2413307562560059E-3</v>
      </c>
      <c r="BG20" s="22">
        <f>BG19/Drivers!BH4</f>
        <v>3.2427860462205184E-3</v>
      </c>
      <c r="BH20" s="22">
        <f>BH19/Drivers!BI4</f>
        <v>3.2430279250335444E-3</v>
      </c>
      <c r="BI20" s="22">
        <f>BI19/Drivers!BJ4</f>
        <v>3.2431550776936056E-3</v>
      </c>
      <c r="BJ20" s="22">
        <f>BJ19/Drivers!BK4</f>
        <v>3.2431193630778092E-3</v>
      </c>
      <c r="BK20" s="22">
        <f>BK19/Drivers!BL4</f>
        <v>3.2430349718891782E-3</v>
      </c>
      <c r="BL20">
        <v>3.2423016255061742E-3</v>
      </c>
    </row>
    <row r="21" spans="1:64" x14ac:dyDescent="0.3">
      <c r="A21" t="s">
        <v>332</v>
      </c>
      <c r="B21" t="s">
        <v>663</v>
      </c>
      <c r="C21" s="22">
        <f>C20*1000</f>
        <v>4.6999349927469751</v>
      </c>
      <c r="D21" s="22">
        <f t="shared" ref="D21:X21" si="5">D20*1000</f>
        <v>5.1337590256356549</v>
      </c>
      <c r="E21" s="22">
        <f t="shared" si="5"/>
        <v>4.8370155133322141</v>
      </c>
      <c r="F21" s="22">
        <f t="shared" si="5"/>
        <v>4.4825432869713318</v>
      </c>
      <c r="G21" s="22">
        <f t="shared" si="5"/>
        <v>3.6150228457166969</v>
      </c>
      <c r="H21" s="22">
        <f t="shared" si="5"/>
        <v>2.6769149486779025</v>
      </c>
      <c r="I21" s="22">
        <f t="shared" si="5"/>
        <v>3.1822155014234865</v>
      </c>
      <c r="J21" s="22">
        <f t="shared" si="5"/>
        <v>3.1050915056369575</v>
      </c>
      <c r="K21" s="22">
        <f t="shared" si="5"/>
        <v>3.1202598034076074</v>
      </c>
      <c r="L21" s="22">
        <f t="shared" si="5"/>
        <v>3.2648794977318043</v>
      </c>
      <c r="M21" s="22">
        <f t="shared" si="5"/>
        <v>3.407333991761377</v>
      </c>
      <c r="N21" s="22">
        <f t="shared" si="5"/>
        <v>3.2796976446170891</v>
      </c>
      <c r="O21" s="22">
        <f t="shared" si="5"/>
        <v>2.973722318342868</v>
      </c>
      <c r="P21" s="22">
        <f t="shared" si="5"/>
        <v>2.9375505520257668</v>
      </c>
      <c r="Q21" s="22">
        <f t="shared" si="5"/>
        <v>3.04113139730282</v>
      </c>
      <c r="R21" s="22">
        <f t="shared" si="5"/>
        <v>3.29820421427041</v>
      </c>
      <c r="S21" s="22">
        <f t="shared" si="5"/>
        <v>3.4118755583558893</v>
      </c>
      <c r="T21" s="22">
        <f t="shared" si="5"/>
        <v>3.884791047122198</v>
      </c>
      <c r="U21" s="22">
        <f t="shared" si="5"/>
        <v>3.5689411002378875</v>
      </c>
      <c r="V21" s="22">
        <f t="shared" si="5"/>
        <v>3.3520209823834457</v>
      </c>
      <c r="W21" s="22">
        <f t="shared" si="5"/>
        <v>3.1934731625248225</v>
      </c>
      <c r="X21" s="22">
        <f t="shared" si="5"/>
        <v>2.8016982945137556</v>
      </c>
      <c r="Y21" s="22">
        <f>Y20*1000</f>
        <v>3.2201043953224926</v>
      </c>
      <c r="Z21" s="22">
        <f t="shared" ref="Z21:BK21" si="6">Z20*1000</f>
        <v>3.2203874945307116</v>
      </c>
      <c r="AA21" s="22">
        <f t="shared" si="6"/>
        <v>3.220817105281391</v>
      </c>
      <c r="AB21" s="22">
        <f t="shared" si="6"/>
        <v>3.2209089467766567</v>
      </c>
      <c r="AC21" s="22">
        <f t="shared" si="6"/>
        <v>3.2207774672599072</v>
      </c>
      <c r="AD21" s="22">
        <f t="shared" si="6"/>
        <v>3.2204274784876441</v>
      </c>
      <c r="AE21" s="22">
        <f t="shared" si="6"/>
        <v>3.2202334247522502</v>
      </c>
      <c r="AF21" s="22">
        <f t="shared" si="6"/>
        <v>3.2200590275988001</v>
      </c>
      <c r="AG21" s="22">
        <f t="shared" si="6"/>
        <v>3.2167211261366009</v>
      </c>
      <c r="AH21" s="22">
        <f t="shared" si="6"/>
        <v>3.2174028583286942</v>
      </c>
      <c r="AI21" s="22">
        <f t="shared" si="6"/>
        <v>3.2184856897333005</v>
      </c>
      <c r="AJ21" s="22">
        <f t="shared" si="6"/>
        <v>3.2188853897138889</v>
      </c>
      <c r="AK21" s="22">
        <f t="shared" si="6"/>
        <v>3.2193603690087311</v>
      </c>
      <c r="AL21" s="22">
        <f t="shared" si="6"/>
        <v>3.2199354675795084</v>
      </c>
      <c r="AM21" s="22">
        <f t="shared" si="6"/>
        <v>3.2206235894405251</v>
      </c>
      <c r="AN21" s="22">
        <f t="shared" si="6"/>
        <v>3.2213883502731115</v>
      </c>
      <c r="AO21" s="22">
        <f t="shared" si="6"/>
        <v>3.2221621987584852</v>
      </c>
      <c r="AP21" s="22">
        <f t="shared" si="6"/>
        <v>3.2230052099911299</v>
      </c>
      <c r="AQ21" s="22">
        <f t="shared" si="6"/>
        <v>3.2238511513237591</v>
      </c>
      <c r="AR21" s="22">
        <f t="shared" si="6"/>
        <v>3.2248660019074915</v>
      </c>
      <c r="AS21" s="22">
        <f t="shared" si="6"/>
        <v>3.2258437165381366</v>
      </c>
      <c r="AT21" s="22">
        <f t="shared" si="6"/>
        <v>3.2268689724647937</v>
      </c>
      <c r="AU21" s="22">
        <f t="shared" si="6"/>
        <v>3.2280415659354005</v>
      </c>
      <c r="AV21" s="22">
        <f t="shared" si="6"/>
        <v>3.2291220215774752</v>
      </c>
      <c r="AW21" s="22">
        <f t="shared" si="6"/>
        <v>3.2303148884756867</v>
      </c>
      <c r="AX21" s="22">
        <f t="shared" si="6"/>
        <v>3.2315866698818598</v>
      </c>
      <c r="AY21" s="22">
        <f t="shared" si="6"/>
        <v>3.2327465181619655</v>
      </c>
      <c r="AZ21" s="22">
        <f t="shared" si="6"/>
        <v>3.2338814116411791</v>
      </c>
      <c r="BA21" s="22">
        <f t="shared" si="6"/>
        <v>3.2349954274001043</v>
      </c>
      <c r="BB21" s="22">
        <f t="shared" si="6"/>
        <v>3.2362679688937019</v>
      </c>
      <c r="BC21" s="22">
        <f t="shared" si="6"/>
        <v>3.2374678070893563</v>
      </c>
      <c r="BD21" s="22">
        <f t="shared" si="6"/>
        <v>3.2387068058567441</v>
      </c>
      <c r="BE21" s="22">
        <f t="shared" si="6"/>
        <v>3.2399911199163776</v>
      </c>
      <c r="BF21" s="22">
        <f t="shared" si="6"/>
        <v>3.2413307562560059</v>
      </c>
      <c r="BG21" s="22">
        <f t="shared" si="6"/>
        <v>3.2427860462205182</v>
      </c>
      <c r="BH21" s="22">
        <f t="shared" si="6"/>
        <v>3.2430279250335445</v>
      </c>
      <c r="BI21" s="22">
        <f t="shared" si="6"/>
        <v>3.2431550776936056</v>
      </c>
      <c r="BJ21" s="22">
        <f t="shared" si="6"/>
        <v>3.2431193630778092</v>
      </c>
      <c r="BK21" s="22">
        <f t="shared" si="6"/>
        <v>3.2430349718891782</v>
      </c>
      <c r="BL21">
        <v>3.2423016255061743</v>
      </c>
    </row>
    <row r="22" spans="1:64"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((Data!$AJ$8*'Net zero Intermediate calcs'!Y4)+Data!$AK$8)*Drivers!Z4</f>
        <v>10754.895090045064</v>
      </c>
      <c r="Z22" s="22">
        <f>((Data!$AJ$8*'Net zero Intermediate calcs'!Z4)+Data!$AK$8)*Drivers!AA4</f>
        <v>10915.959705665911</v>
      </c>
      <c r="AA22" s="22">
        <f>((Data!$AJ$8*'Net zero Intermediate calcs'!AA4)+Data!$AK$8)*Drivers!AB4</f>
        <v>11083.523591817515</v>
      </c>
      <c r="AB22" s="22">
        <f>((Data!$AJ$8*'Net zero Intermediate calcs'!AB4)+Data!$AK$8)*Drivers!AC4</f>
        <v>11256.149857998162</v>
      </c>
      <c r="AC22" s="22">
        <f>((Data!$AJ$8*'Net zero Intermediate calcs'!AC4)+Data!$AK$8)*Drivers!AD4</f>
        <v>11434.433042269102</v>
      </c>
      <c r="AD22" s="22">
        <f>((Data!$AJ$8*'Net zero Intermediate calcs'!AD4)+Data!$AK$8)*Drivers!AE4</f>
        <v>11618.606464530285</v>
      </c>
      <c r="AE22" s="22">
        <f>((Data!$AJ$8*'Net zero Intermediate calcs'!AE4)+Data!$AK$8)*Drivers!AF4</f>
        <v>11805.786955654421</v>
      </c>
      <c r="AF22" s="22">
        <f>((Data!$AJ$8*'Net zero Intermediate calcs'!AF4)+Data!$AK$8)*Drivers!AG4</f>
        <v>11996.056186233092</v>
      </c>
      <c r="AG22" s="22">
        <f>((Data!$AJ$8*'Net zero Intermediate calcs'!AG4)+Data!$AK$8)*Drivers!AH4</f>
        <v>12177.415920414036</v>
      </c>
      <c r="AH22" s="22">
        <f>((Data!$AJ$8*'Net zero Intermediate calcs'!AH4)+Data!$AK$8)*Drivers!AI4</f>
        <v>12320.239302952703</v>
      </c>
      <c r="AI22" s="22">
        <f>((Data!$AJ$8*'Net zero Intermediate calcs'!AI4)+Data!$AK$8)*Drivers!AJ4</f>
        <v>12466.29083027876</v>
      </c>
      <c r="AJ22" s="22">
        <f>((Data!$AJ$8*'Net zero Intermediate calcs'!AJ4)+Data!$AK$8)*Drivers!AK4</f>
        <v>12611.395845351306</v>
      </c>
      <c r="AK22" s="22">
        <f>((Data!$AJ$8*'Net zero Intermediate calcs'!AK4)+Data!$AK$8)*Drivers!AL4</f>
        <v>12758.487991428556</v>
      </c>
      <c r="AL22" s="22">
        <f>((Data!$AJ$8*'Net zero Intermediate calcs'!AL4)+Data!$AK$8)*Drivers!AM4</f>
        <v>12907.696801973441</v>
      </c>
      <c r="AM22" s="22">
        <f>((Data!$AJ$8*'Net zero Intermediate calcs'!AM4)+Data!$AK$8)*Drivers!AN4</f>
        <v>13037.577389866645</v>
      </c>
      <c r="AN22" s="22">
        <f>((Data!$AJ$8*'Net zero Intermediate calcs'!AN4)+Data!$AK$8)*Drivers!AO4</f>
        <v>13169.077569816949</v>
      </c>
      <c r="AO22" s="22">
        <f>((Data!$AJ$8*'Net zero Intermediate calcs'!AO4)+Data!$AK$8)*Drivers!AP4</f>
        <v>13301.940859157761</v>
      </c>
      <c r="AP22" s="22">
        <f>((Data!$AJ$8*'Net zero Intermediate calcs'!AP4)+Data!$AK$8)*Drivers!AQ4</f>
        <v>13436.4321695002</v>
      </c>
      <c r="AQ22" s="22">
        <f>((Data!$AJ$8*'Net zero Intermediate calcs'!AQ4)+Data!$AK$8)*Drivers!AR4</f>
        <v>13572.294681913632</v>
      </c>
      <c r="AR22" s="22">
        <f>((Data!$AJ$8*'Net zero Intermediate calcs'!AR4)+Data!$AK$8)*Drivers!AS4</f>
        <v>13692.433278121825</v>
      </c>
      <c r="AS22" s="22">
        <f>((Data!$AJ$8*'Net zero Intermediate calcs'!AS4)+Data!$AK$8)*Drivers!AT4</f>
        <v>13813.474922570162</v>
      </c>
      <c r="AT22" s="22">
        <f>((Data!$AJ$8*'Net zero Intermediate calcs'!AT4)+Data!$AK$8)*Drivers!AU4</f>
        <v>13935.790615015014</v>
      </c>
      <c r="AU22" s="22">
        <f>((Data!$AJ$8*'Net zero Intermediate calcs'!AU4)+Data!$AK$8)*Drivers!AV4</f>
        <v>14059.829703378689</v>
      </c>
      <c r="AV22" s="22">
        <f>((Data!$AJ$8*'Net zero Intermediate calcs'!AV4)+Data!$AK$8)*Drivers!AW4</f>
        <v>14184.56622791565</v>
      </c>
      <c r="AW22" s="22">
        <f>((Data!$AJ$8*'Net zero Intermediate calcs'!AW4)+Data!$AK$8)*Drivers!AX4</f>
        <v>14293.691925627716</v>
      </c>
      <c r="AX22" s="22">
        <f>((Data!$AJ$8*'Net zero Intermediate calcs'!AX4)+Data!$AK$8)*Drivers!AY4</f>
        <v>14404.00693479168</v>
      </c>
      <c r="AY22" s="22">
        <f>((Data!$AJ$8*'Net zero Intermediate calcs'!AY4)+Data!$AK$8)*Drivers!AZ4</f>
        <v>14514.668511346657</v>
      </c>
      <c r="AZ22" s="22">
        <f>((Data!$AJ$8*'Net zero Intermediate calcs'!AZ4)+Data!$AK$8)*Drivers!BA4</f>
        <v>14626.065519640399</v>
      </c>
      <c r="BA22" s="22">
        <f>((Data!$AJ$8*'Net zero Intermediate calcs'!BA4)+Data!$AK$8)*Drivers!BB4</f>
        <v>14738.220545060634</v>
      </c>
      <c r="BB22" s="22">
        <f>((Data!$AJ$8*'Net zero Intermediate calcs'!BB4)+Data!$AK$8)*Drivers!BC4</f>
        <v>14835.592136548152</v>
      </c>
      <c r="BC22" s="22">
        <f>((Data!$AJ$8*'Net zero Intermediate calcs'!BC4)+Data!$AK$8)*Drivers!BD4</f>
        <v>14933.269373801089</v>
      </c>
      <c r="BD22" s="22">
        <f>((Data!$AJ$8*'Net zero Intermediate calcs'!BD4)+Data!$AK$8)*Drivers!BE4</f>
        <v>15031.769406855503</v>
      </c>
      <c r="BE22" s="22">
        <f>((Data!$AJ$8*'Net zero Intermediate calcs'!BE4)+Data!$AK$8)*Drivers!BF4</f>
        <v>15131.128560520505</v>
      </c>
      <c r="BF22" s="22">
        <f>((Data!$AJ$8*'Net zero Intermediate calcs'!BF4)+Data!$AK$8)*Drivers!BG4</f>
        <v>15231.402045408753</v>
      </c>
      <c r="BG22" s="22">
        <f>((Data!$AJ$8*'Net zero Intermediate calcs'!BG4)+Data!$AK$8)*Drivers!BH4</f>
        <v>15316.02940751532</v>
      </c>
      <c r="BH22" s="22">
        <f>((Data!$AJ$8*'Net zero Intermediate calcs'!BH4)+Data!$AK$8)*Drivers!BI4</f>
        <v>15395.363538458558</v>
      </c>
      <c r="BI22" s="22">
        <f>((Data!$AJ$8*'Net zero Intermediate calcs'!BI4)+Data!$AK$8)*Drivers!BJ4</f>
        <v>15474.561108672013</v>
      </c>
      <c r="BJ22" s="22">
        <f>((Data!$AJ$8*'Net zero Intermediate calcs'!BJ4)+Data!$AK$8)*Drivers!BK4</f>
        <v>15553.384986383438</v>
      </c>
      <c r="BK22" s="22">
        <f>((Data!$AJ$8*'Net zero Intermediate calcs'!BK4)+Data!$AK$8)*Drivers!BL4</f>
        <v>15632.375737719864</v>
      </c>
      <c r="BL22">
        <v>15628.85962691332</v>
      </c>
    </row>
    <row r="23" spans="1:64"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2.0555920075453053E-4</v>
      </c>
      <c r="AE23" s="22">
        <f>AE22/Drivers!AF4</f>
        <v>2.0554681434588836E-4</v>
      </c>
      <c r="AF23" s="22">
        <f>AF22/Drivers!AG4</f>
        <v>2.0553568261268943E-4</v>
      </c>
      <c r="AG23" s="22">
        <f>AG22/Drivers!AH4</f>
        <v>2.05322625072549E-4</v>
      </c>
      <c r="AH23" s="22">
        <f>AH22/Drivers!AI4</f>
        <v>2.0536613989332098E-4</v>
      </c>
      <c r="AI23" s="22">
        <f>AI22/Drivers!AJ4</f>
        <v>2.0543525679148731E-4</v>
      </c>
      <c r="AJ23" s="22">
        <f>AJ22/Drivers!AK4</f>
        <v>2.0546076955620571E-4</v>
      </c>
      <c r="AK23" s="22">
        <f>AK22/Drivers!AL4</f>
        <v>2.0549108738353609E-4</v>
      </c>
      <c r="AL23" s="22">
        <f>AL22/Drivers!AM4</f>
        <v>2.0552779580294736E-4</v>
      </c>
      <c r="AM23" s="22">
        <f>AM22/Drivers!AN4</f>
        <v>2.0557171847492719E-4</v>
      </c>
      <c r="AN23" s="22">
        <f>AN22/Drivers!AO4</f>
        <v>2.0562053299615611E-4</v>
      </c>
      <c r="AO23" s="22">
        <f>AO22/Drivers!AP4</f>
        <v>2.0566992758032888E-4</v>
      </c>
      <c r="AP23" s="22">
        <f>AP22/Drivers!AQ4</f>
        <v>2.0572373680794451E-4</v>
      </c>
      <c r="AQ23" s="22">
        <f>AQ22/Drivers!AR4</f>
        <v>2.0577773306321875E-4</v>
      </c>
      <c r="AR23" s="22">
        <f>AR22/Drivers!AS4</f>
        <v>2.0584251076005269E-4</v>
      </c>
      <c r="AS23" s="22">
        <f>AS22/Drivers!AT4</f>
        <v>2.059049180769024E-4</v>
      </c>
      <c r="AT23" s="22">
        <f>AT22/Drivers!AU4</f>
        <v>2.0597035994456133E-4</v>
      </c>
      <c r="AU23" s="22">
        <f>AU22/Drivers!AV4</f>
        <v>2.0604520633630221E-4</v>
      </c>
      <c r="AV23" s="22">
        <f>AV22/Drivers!AW4</f>
        <v>2.0611417159005166E-4</v>
      </c>
      <c r="AW23" s="22">
        <f>AW22/Drivers!AX4</f>
        <v>2.0619031203036306E-4</v>
      </c>
      <c r="AX23" s="22">
        <f>AX22/Drivers!AY4</f>
        <v>2.0627148956692726E-4</v>
      </c>
      <c r="AY23" s="22">
        <f>AY22/Drivers!AZ4</f>
        <v>2.0634552243587018E-4</v>
      </c>
      <c r="AZ23" s="22">
        <f>AZ22/Drivers!BA4</f>
        <v>2.0641796244518168E-4</v>
      </c>
      <c r="BA23" s="22">
        <f>BA22/Drivers!BB4</f>
        <v>2.0648906983404924E-4</v>
      </c>
      <c r="BB23" s="22">
        <f>BB22/Drivers!BC4</f>
        <v>2.0657029588683209E-4</v>
      </c>
      <c r="BC23" s="22">
        <f>BC22/Drivers!BD4</f>
        <v>2.0664688130357599E-4</v>
      </c>
      <c r="BD23" s="22">
        <f>BD22/Drivers!BE4</f>
        <v>2.0672596633128162E-4</v>
      </c>
      <c r="BE23" s="22">
        <f>BE22/Drivers!BF4</f>
        <v>2.0680794382444971E-4</v>
      </c>
      <c r="BF23" s="22">
        <f>BF22/Drivers!BG4</f>
        <v>2.0689345252697917E-4</v>
      </c>
      <c r="BG23" s="22">
        <f>BG22/Drivers!BH4</f>
        <v>2.0698634337577783E-4</v>
      </c>
      <c r="BH23" s="22">
        <f>BH22/Drivers!BI4</f>
        <v>2.0700178244894971E-4</v>
      </c>
      <c r="BI23" s="22">
        <f>BI22/Drivers!BJ4</f>
        <v>2.0700989857618766E-4</v>
      </c>
      <c r="BJ23" s="22">
        <f>BJ22/Drivers!BK4</f>
        <v>2.0700761891986023E-4</v>
      </c>
      <c r="BK23" s="22">
        <f>BK22/Drivers!BL4</f>
        <v>2.0700223224824548E-4</v>
      </c>
      <c r="BL23">
        <v>2.0695542290464949E-4</v>
      </c>
    </row>
    <row r="24" spans="1:64" x14ac:dyDescent="0.3">
      <c r="A24" t="s">
        <v>340</v>
      </c>
      <c r="B24" t="s">
        <v>663</v>
      </c>
      <c r="C24" s="22">
        <f>C23*1000</f>
        <v>0.29999585060087075</v>
      </c>
      <c r="D24" s="22">
        <f t="shared" ref="D24:BK24" si="7">D23*1000</f>
        <v>0.32768674631716949</v>
      </c>
      <c r="E24" s="22">
        <f t="shared" si="7"/>
        <v>0.30874567106375839</v>
      </c>
      <c r="F24" s="22">
        <f t="shared" si="7"/>
        <v>0.28611978427476581</v>
      </c>
      <c r="G24" s="22">
        <f t="shared" si="7"/>
        <v>0.2307461390882998</v>
      </c>
      <c r="H24" s="22">
        <f t="shared" si="7"/>
        <v>0.17086691161773848</v>
      </c>
      <c r="I24" s="22">
        <f t="shared" si="7"/>
        <v>0.20312013838873316</v>
      </c>
      <c r="J24" s="22">
        <f t="shared" si="7"/>
        <v>0.19819733014703986</v>
      </c>
      <c r="K24" s="22">
        <f t="shared" si="7"/>
        <v>0.19916551936644303</v>
      </c>
      <c r="L24" s="22">
        <f t="shared" si="7"/>
        <v>0.20839656368500878</v>
      </c>
      <c r="M24" s="22">
        <f t="shared" si="7"/>
        <v>0.21748940372944958</v>
      </c>
      <c r="N24" s="22">
        <f t="shared" si="7"/>
        <v>0.20934240284789929</v>
      </c>
      <c r="O24" s="22">
        <f t="shared" si="7"/>
        <v>0.18981206287294902</v>
      </c>
      <c r="P24" s="22">
        <f t="shared" si="7"/>
        <v>0.18750322672504893</v>
      </c>
      <c r="Q24" s="22">
        <f t="shared" si="7"/>
        <v>0.19411477004060551</v>
      </c>
      <c r="R24" s="22">
        <f t="shared" si="7"/>
        <v>0.21052367325130275</v>
      </c>
      <c r="S24" s="22">
        <f t="shared" si="7"/>
        <v>0.21777929095888654</v>
      </c>
      <c r="T24" s="22">
        <f t="shared" si="7"/>
        <v>0.24796538598652329</v>
      </c>
      <c r="U24" s="22">
        <f t="shared" si="7"/>
        <v>0.22780475107901407</v>
      </c>
      <c r="V24" s="22">
        <f t="shared" si="7"/>
        <v>0.21395878610958166</v>
      </c>
      <c r="W24" s="22">
        <f t="shared" si="7"/>
        <v>0.20383871250158445</v>
      </c>
      <c r="X24" s="22">
        <f t="shared" si="7"/>
        <v>0.17883180603279289</v>
      </c>
      <c r="Y24" s="22">
        <f t="shared" si="7"/>
        <v>0.20553857842484002</v>
      </c>
      <c r="Z24" s="22">
        <f t="shared" si="7"/>
        <v>0.20555664858706674</v>
      </c>
      <c r="AA24" s="22">
        <f t="shared" si="7"/>
        <v>0.2055840705498761</v>
      </c>
      <c r="AB24" s="22">
        <f t="shared" si="7"/>
        <v>0.20558993277297816</v>
      </c>
      <c r="AC24" s="22">
        <f t="shared" si="7"/>
        <v>0.20558154046339838</v>
      </c>
      <c r="AD24" s="22">
        <f t="shared" si="7"/>
        <v>0.20555920075453052</v>
      </c>
      <c r="AE24" s="22">
        <f t="shared" si="7"/>
        <v>0.20554681434588837</v>
      </c>
      <c r="AF24" s="22">
        <f t="shared" si="7"/>
        <v>0.20553568261268942</v>
      </c>
      <c r="AG24" s="22">
        <f t="shared" si="7"/>
        <v>0.205322625072549</v>
      </c>
      <c r="AH24" s="22">
        <f t="shared" si="7"/>
        <v>0.20536613989332098</v>
      </c>
      <c r="AI24" s="22">
        <f t="shared" si="7"/>
        <v>0.2054352567914873</v>
      </c>
      <c r="AJ24" s="22">
        <f t="shared" si="7"/>
        <v>0.20546076955620571</v>
      </c>
      <c r="AK24" s="22">
        <f t="shared" si="7"/>
        <v>0.20549108738353608</v>
      </c>
      <c r="AL24" s="22">
        <f t="shared" si="7"/>
        <v>0.20552779580294736</v>
      </c>
      <c r="AM24" s="22">
        <f t="shared" si="7"/>
        <v>0.2055717184749272</v>
      </c>
      <c r="AN24" s="22">
        <f t="shared" si="7"/>
        <v>0.2056205329961561</v>
      </c>
      <c r="AO24" s="22">
        <f t="shared" si="7"/>
        <v>0.20566992758032887</v>
      </c>
      <c r="AP24" s="22">
        <f t="shared" si="7"/>
        <v>0.20572373680794451</v>
      </c>
      <c r="AQ24" s="22">
        <f t="shared" si="7"/>
        <v>0.20577773306321875</v>
      </c>
      <c r="AR24" s="22">
        <f t="shared" si="7"/>
        <v>0.20584251076005269</v>
      </c>
      <c r="AS24" s="22">
        <f t="shared" si="7"/>
        <v>0.20590491807690239</v>
      </c>
      <c r="AT24" s="22">
        <f t="shared" si="7"/>
        <v>0.20597035994456134</v>
      </c>
      <c r="AU24" s="22">
        <f t="shared" si="7"/>
        <v>0.20604520633630222</v>
      </c>
      <c r="AV24" s="22">
        <f t="shared" si="7"/>
        <v>0.20611417159005166</v>
      </c>
      <c r="AW24" s="22">
        <f t="shared" si="7"/>
        <v>0.20619031203036306</v>
      </c>
      <c r="AX24" s="22">
        <f t="shared" si="7"/>
        <v>0.20627148956692726</v>
      </c>
      <c r="AY24" s="22">
        <f t="shared" si="7"/>
        <v>0.20634552243587018</v>
      </c>
      <c r="AZ24" s="22">
        <f t="shared" si="7"/>
        <v>0.20641796244518168</v>
      </c>
      <c r="BA24" s="22">
        <f t="shared" si="7"/>
        <v>0.20648906983404924</v>
      </c>
      <c r="BB24" s="22">
        <f t="shared" si="7"/>
        <v>0.20657029588683209</v>
      </c>
      <c r="BC24" s="22">
        <f t="shared" si="7"/>
        <v>0.20664688130357597</v>
      </c>
      <c r="BD24" s="22">
        <f t="shared" si="7"/>
        <v>0.20672596633128162</v>
      </c>
      <c r="BE24" s="22">
        <f t="shared" si="7"/>
        <v>0.2068079438244497</v>
      </c>
      <c r="BF24" s="22">
        <f t="shared" si="7"/>
        <v>0.20689345252697916</v>
      </c>
      <c r="BG24" s="22">
        <f t="shared" si="7"/>
        <v>0.20698634337577784</v>
      </c>
      <c r="BH24" s="22">
        <f t="shared" si="7"/>
        <v>0.20700178244894971</v>
      </c>
      <c r="BI24" s="22">
        <f t="shared" si="7"/>
        <v>0.20700989857618765</v>
      </c>
      <c r="BJ24" s="22">
        <f t="shared" si="7"/>
        <v>0.20700761891986022</v>
      </c>
      <c r="BK24" s="22">
        <f t="shared" si="7"/>
        <v>0.20700223224824549</v>
      </c>
      <c r="BL24">
        <v>0.20695542290464949</v>
      </c>
    </row>
    <row r="25" spans="1:64"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((Data!$AJ$21*LN('Net zero Intermediate calcs'!Y2))+Data!$AK$21)</f>
        <v>565.56709991308276</v>
      </c>
      <c r="Z25" s="22">
        <f>((Data!$AJ$21*LN('Net zero Intermediate calcs'!Z2))+Data!$AK$21)</f>
        <v>558.67068520624093</v>
      </c>
      <c r="AA25" s="22">
        <f>((Data!$AJ$21*LN('Net zero Intermediate calcs'!AA2))+Data!$AK$21)</f>
        <v>552.19249937052302</v>
      </c>
      <c r="AB25" s="22">
        <f>((Data!$AJ$21*LN('Net zero Intermediate calcs'!AB2))+Data!$AK$21)</f>
        <v>546.08470329962574</v>
      </c>
      <c r="AC25" s="22">
        <f>((Data!$AJ$21*LN('Net zero Intermediate calcs'!AC2))+Data!$AK$21)</f>
        <v>540.30722384465673</v>
      </c>
      <c r="AD25" s="22">
        <f>((Data!$AJ$21*LN('Net zero Intermediate calcs'!AD2))+Data!$AK$21)</f>
        <v>534.82615883818357</v>
      </c>
      <c r="AE25" s="22">
        <f>((Data!$AJ$21*LN('Net zero Intermediate calcs'!AE2))+Data!$AK$21)</f>
        <v>529.61257166890118</v>
      </c>
      <c r="AF25" s="22">
        <f>((Data!$AJ$21*LN('Net zero Intermediate calcs'!AF2))+Data!$AK$21)</f>
        <v>524.64156653379541</v>
      </c>
      <c r="AG25" s="22">
        <f>((Data!$AJ$21*LN('Net zero Intermediate calcs'!AG2))+Data!$AK$21)</f>
        <v>519.89156941990007</v>
      </c>
      <c r="AH25" s="22">
        <f>((Data!$AJ$21*LN('Net zero Intermediate calcs'!AH2))+Data!$AK$21)</f>
        <v>515.34376222472656</v>
      </c>
      <c r="AI25" s="22">
        <f>((Data!$AJ$21*LN('Net zero Intermediate calcs'!AI2))+Data!$AK$21)</f>
        <v>510.98163247012616</v>
      </c>
      <c r="AJ25" s="22">
        <f>((Data!$AJ$21*LN('Net zero Intermediate calcs'!AJ2))+Data!$AK$21)</f>
        <v>506.7906113832538</v>
      </c>
      <c r="AK25" s="22">
        <f>((Data!$AJ$21*LN('Net zero Intermediate calcs'!AK2))+Data!$AK$21)</f>
        <v>502.75778031811149</v>
      </c>
      <c r="AL25" s="22">
        <f>((Data!$AJ$21*LN('Net zero Intermediate calcs'!AL2))+Data!$AK$21)</f>
        <v>498.87163059400189</v>
      </c>
      <c r="AM25" s="22">
        <f>((Data!$AJ$21*LN('Net zero Intermediate calcs'!AM2))+Data!$AK$21)</f>
        <v>495.1218654961454</v>
      </c>
      <c r="AN25" s="22">
        <f>((Data!$AJ$21*LN('Net zero Intermediate calcs'!AN2))+Data!$AK$21)</f>
        <v>491.49923585666915</v>
      </c>
      <c r="AO25" s="22">
        <f>((Data!$AJ$21*LN('Net zero Intermediate calcs'!AO2))+Data!$AK$21)</f>
        <v>487.99540260537441</v>
      </c>
      <c r="AP25" s="22">
        <f>((Data!$AJ$21*LN('Net zero Intermediate calcs'!AP2))+Data!$AK$21)</f>
        <v>484.60282114982732</v>
      </c>
      <c r="AQ25" s="22">
        <f>((Data!$AJ$21*LN('Net zero Intermediate calcs'!AQ2))+Data!$AK$21)</f>
        <v>481.31464355228115</v>
      </c>
      <c r="AR25" s="22">
        <f>((Data!$AJ$21*LN('Net zero Intermediate calcs'!AR2))+Data!$AK$21)</f>
        <v>478.12463531410947</v>
      </c>
      <c r="AS25" s="22">
        <f>((Data!$AJ$21*LN('Net zero Intermediate calcs'!AS2))+Data!$AK$21)</f>
        <v>475.02710422594453</v>
      </c>
      <c r="AT25" s="22">
        <f>((Data!$AJ$21*LN('Net zero Intermediate calcs'!AT2))+Data!$AK$21)</f>
        <v>472.01683924321225</v>
      </c>
      <c r="AU25" s="22">
        <f>((Data!$AJ$21*LN('Net zero Intermediate calcs'!AU2))+Data!$AK$21)</f>
        <v>469.08905773826399</v>
      </c>
      <c r="AV25" s="22">
        <f>((Data!$AJ$21*LN('Net zero Intermediate calcs'!AV2))+Data!$AK$21)</f>
        <v>466.23935978824318</v>
      </c>
      <c r="AW25" s="22">
        <f>((Data!$AJ$21*LN('Net zero Intermediate calcs'!AW2))+Data!$AK$21)</f>
        <v>463.46368840173949</v>
      </c>
      <c r="AX25" s="22">
        <f>((Data!$AJ$21*LN('Net zero Intermediate calcs'!AX2))+Data!$AK$21)</f>
        <v>460.75829478176996</v>
      </c>
      <c r="AY25" s="22">
        <f>((Data!$AJ$21*LN('Net zero Intermediate calcs'!AY2))+Data!$AK$21)</f>
        <v>458.11970787867688</v>
      </c>
      <c r="AZ25" s="22">
        <f>((Data!$AJ$21*LN('Net zero Intermediate calcs'!AZ2))+Data!$AK$21)</f>
        <v>455.54470761248751</v>
      </c>
      <c r="BA25" s="22">
        <f>((Data!$AJ$21*LN('Net zero Intermediate calcs'!BA2))+Data!$AK$21)</f>
        <v>453.03030124651184</v>
      </c>
      <c r="BB25" s="22">
        <f>((Data!$AJ$21*LN('Net zero Intermediate calcs'!BB2))+Data!$AK$21)</f>
        <v>450.57370247738191</v>
      </c>
      <c r="BC25" s="22">
        <f>((Data!$AJ$21*LN('Net zero Intermediate calcs'!BC2))+Data!$AK$21)</f>
        <v>448.17231287515489</v>
      </c>
      <c r="BD25" s="22">
        <f>((Data!$AJ$21*LN('Net zero Intermediate calcs'!BD2))+Data!$AK$21)</f>
        <v>445.82370536348645</v>
      </c>
      <c r="BE25" s="22">
        <f>((Data!$AJ$21*LN('Net zero Intermediate calcs'!BE2))+Data!$AK$21)</f>
        <v>443.52560947656553</v>
      </c>
      <c r="BF25" s="22">
        <f>((Data!$AJ$21*LN('Net zero Intermediate calcs'!BF2))+Data!$AK$21)</f>
        <v>441.27589816831295</v>
      </c>
      <c r="BG25" s="22">
        <f>((Data!$AJ$21*LN('Net zero Intermediate calcs'!BG2))+Data!$AK$21)</f>
        <v>439.0725759817629</v>
      </c>
      <c r="BH25" s="22">
        <f>((Data!$AJ$21*LN('Net zero Intermediate calcs'!BH2))+Data!$AK$21)</f>
        <v>436.9137684137126</v>
      </c>
      <c r="BI25" s="22">
        <f>((Data!$AJ$21*LN('Net zero Intermediate calcs'!BI2))+Data!$AK$21)</f>
        <v>434.79771233259515</v>
      </c>
      <c r="BJ25" s="22">
        <f>((Data!$AJ$21*LN('Net zero Intermediate calcs'!BJ2))+Data!$AK$21)</f>
        <v>432.72274732684025</v>
      </c>
      <c r="BK25" s="22">
        <f>((Data!$AJ$21*LN('Net zero Intermediate calcs'!BK2))+Data!$AK$21)</f>
        <v>430.68730787735745</v>
      </c>
      <c r="BL25">
        <v>430.68730787735745</v>
      </c>
    </row>
    <row r="26" spans="1:64"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3.4220437512091495</v>
      </c>
      <c r="AH26" s="45">
        <f>(AH19+AH22)*ttokg/Drivers!AI4</f>
        <v>3.4227689982220153</v>
      </c>
      <c r="AI26" s="45">
        <f>(AI19+AI22)*ttokg/Drivers!AJ4</f>
        <v>3.4239209465247877</v>
      </c>
      <c r="AJ26" s="45">
        <f>(AJ19+AJ22)*ttokg/Drivers!AK4</f>
        <v>3.4243461592700952</v>
      </c>
      <c r="AK26" s="45">
        <f>(AK19+AK22)*ttokg/Drivers!AL4</f>
        <v>3.4248514563922678</v>
      </c>
      <c r="AL26" s="45">
        <f>(AL19+AL22)*ttokg/Drivers!AM4</f>
        <v>3.4254632633824555</v>
      </c>
      <c r="AM26" s="45">
        <f>(AM19+AM22)*ttokg/Drivers!AN4</f>
        <v>3.4261953079154521</v>
      </c>
      <c r="AN26" s="45">
        <f>(AN19+AN22)*ttokg/Drivers!AO4</f>
        <v>3.4270088832692682</v>
      </c>
      <c r="AO26" s="45">
        <f>(AO19+AO22)*ttokg/Drivers!AP4</f>
        <v>3.4278321263388141</v>
      </c>
      <c r="AP26" s="45">
        <f>(AP19+AP22)*ttokg/Drivers!AQ4</f>
        <v>3.4287289467990747</v>
      </c>
      <c r="AQ26" s="45">
        <f>(AQ19+AQ22)*ttokg/Drivers!AR4</f>
        <v>3.429628884386978</v>
      </c>
      <c r="AR26" s="45">
        <f>(AR19+AR22)*ttokg/Drivers!AS4</f>
        <v>3.4307085126675441</v>
      </c>
      <c r="AS26" s="45">
        <f>(AS19+AS22)*ttokg/Drivers!AT4</f>
        <v>3.431748634615039</v>
      </c>
      <c r="AT26" s="45">
        <f>(AT19+AT22)*ttokg/Drivers!AU4</f>
        <v>3.4328393324093547</v>
      </c>
      <c r="AU26" s="45">
        <f>(AU19+AU22)*ttokg/Drivers!AV4</f>
        <v>3.4340867722717032</v>
      </c>
      <c r="AV26" s="45">
        <f>(AV19+AV22)*ttokg/Drivers!AW4</f>
        <v>3.4352361931675266</v>
      </c>
      <c r="AW26" s="45">
        <f>(AW19+AW22)*ttokg/Drivers!AX4</f>
        <v>3.4365052005060495</v>
      </c>
      <c r="AX26" s="45">
        <f>(AX19+AX22)*ttokg/Drivers!AY4</f>
        <v>3.4378581594487874</v>
      </c>
      <c r="AY26" s="45">
        <f>(AY19+AY22)*ttokg/Drivers!AZ4</f>
        <v>3.4390920405978358</v>
      </c>
      <c r="AZ26" s="45">
        <f>(AZ19+AZ22)*ttokg/Drivers!BA4</f>
        <v>3.440299374086361</v>
      </c>
      <c r="BA26" s="45">
        <f>(BA19+BA22)*ttokg/Drivers!BB4</f>
        <v>3.4414844972341534</v>
      </c>
      <c r="BB26" s="45">
        <f>(BB19+BB22)*ttokg/Drivers!BC4</f>
        <v>3.442838264780534</v>
      </c>
      <c r="BC26" s="45">
        <f>(BC19+BC22)*ttokg/Drivers!BD4</f>
        <v>3.4441146883929328</v>
      </c>
      <c r="BD26" s="45">
        <f>(BD19+BD22)*ttokg/Drivers!BE4</f>
        <v>3.4454327721880262</v>
      </c>
      <c r="BE26" s="45">
        <f>(BE19+BE22)*ttokg/Drivers!BF4</f>
        <v>3.4467990637408272</v>
      </c>
      <c r="BF26" s="45">
        <f>(BF19+BF22)*ttokg/Drivers!BG4</f>
        <v>3.4482242087829849</v>
      </c>
      <c r="BG26" s="45">
        <f>(BG19+BG22)*ttokg/Drivers!BH4</f>
        <v>3.449772389596296</v>
      </c>
      <c r="BH26" s="45">
        <f>(BH19+BH22)*ttokg/Drivers!BI4</f>
        <v>3.4500297074824942</v>
      </c>
      <c r="BI26" s="45">
        <f>(BI19+BI22)*ttokg/Drivers!BJ4</f>
        <v>3.450164976269793</v>
      </c>
      <c r="BJ26" s="45">
        <f>(BJ19+BJ22)*ttokg/Drivers!BK4</f>
        <v>3.450126981997669</v>
      </c>
      <c r="BK26" s="45">
        <f>(BK19+BK22)*ttokg/Drivers!BL4</f>
        <v>3.4500372041374234</v>
      </c>
      <c r="BL26">
        <v>3.449257048410824</v>
      </c>
    </row>
    <row r="27" spans="1:64"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94">
        <f>IF('Net zero activities &amp; levers'!$C$14="Off",((Data!$AJ$23*'Net zero Intermediate calcs'!Y19)+Data!$AK$23),IF('Net zero activities &amp; levers'!$C$14="On",((Data!$AJ$23*'Net zero Intermediate calcs'!Y19)+Data!$AK$23)*(1-'Net zero supporting data'!B214),"ERROR"))</f>
        <v>152729.52607078588</v>
      </c>
      <c r="Z27" s="94">
        <f>IF('Net zero activities &amp; levers'!$C$14="Off",((Data!$AJ$23*'Net zero Intermediate calcs'!Z19)+Data!$AK$23),IF('Net zero activities &amp; levers'!$C$14="On",((Data!$AJ$23*'Net zero Intermediate calcs'!Z19)+Data!$AK$23)*(1-'Net zero supporting data'!C214),"ERROR"))</f>
        <v>154169.84221187647</v>
      </c>
      <c r="AA27" s="94">
        <f>IF('Net zero activities &amp; levers'!$C$14="Off",((Data!$AJ$23*'Net zero Intermediate calcs'!AA19)+Data!$AK$23),IF('Net zero activities &amp; levers'!$C$14="On",((Data!$AJ$23*'Net zero Intermediate calcs'!AA19)+Data!$AK$23)*(1-'Net zero supporting data'!D214),"ERROR"))</f>
        <v>155668.27791085184</v>
      </c>
      <c r="AB27" s="94">
        <f>IF('Net zero activities &amp; levers'!$C$14="Off",((Data!$AJ$23*'Net zero Intermediate calcs'!AB19)+Data!$AK$23),IF('Net zero activities &amp; levers'!$C$14="On",((Data!$AJ$23*'Net zero Intermediate calcs'!AB19)+Data!$AK$23)*(1-'Net zero supporting data'!E214),"ERROR"))</f>
        <v>157211.98381172761</v>
      </c>
      <c r="AC27" s="94">
        <f>IF('Net zero activities &amp; levers'!$C$14="Off",((Data!$AJ$23*'Net zero Intermediate calcs'!AC19)+Data!$AK$23),IF('Net zero activities &amp; levers'!$C$14="On",((Data!$AJ$23*'Net zero Intermediate calcs'!AC19)+Data!$AK$23)*(1-'Net zero supporting data'!F214),"ERROR"))</f>
        <v>158806.27655567171</v>
      </c>
      <c r="AD27" s="94">
        <f>IF('Net zero activities &amp; levers'!$C$14="Off",((Data!$AJ$23*'Net zero Intermediate calcs'!AD19)+Data!$AK$23),IF('Net zero activities &amp; levers'!$C$14="On",((Data!$AJ$23*'Net zero Intermediate calcs'!AD19)+Data!$AK$23)*(1-'Net zero supporting data'!G214),"ERROR"))</f>
        <v>160453.24259982834</v>
      </c>
      <c r="AE27" s="94">
        <f>IF('Net zero activities &amp; levers'!$C$14="Off",((Data!$AJ$23*'Net zero Intermediate calcs'!AE19)+Data!$AK$23),IF('Net zero activities &amp; levers'!$C$14="On",((Data!$AJ$23*'Net zero Intermediate calcs'!AE19)+Data!$AK$23)*(1-'Net zero supporting data'!H214),"ERROR"))</f>
        <v>162127.09927917499</v>
      </c>
      <c r="AF27" s="94">
        <f>IF('Net zero activities &amp; levers'!$C$14="Off",((Data!$AJ$23*'Net zero Intermediate calcs'!AF19)+Data!$AK$23),IF('Net zero activities &amp; levers'!$C$14="On",((Data!$AJ$23*'Net zero Intermediate calcs'!AF19)+Data!$AK$23)*(1-'Net zero supporting data'!I214),"ERROR"))</f>
        <v>163828.57693085528</v>
      </c>
      <c r="AG27" s="94">
        <f>IF('Net zero activities &amp; levers'!$C$14="Off",((Data!$AJ$23*'Net zero Intermediate calcs'!AG19)+Data!$AK$23),IF('Net zero activities &amp; levers'!$C$14="On",((Data!$AJ$23*'Net zero Intermediate calcs'!AG19)+Data!$AK$23)*(1-'Net zero supporting data'!J214),"ERROR"))</f>
        <v>165450.38164244773</v>
      </c>
      <c r="AH27" s="94">
        <f>IF('Net zero activities &amp; levers'!$C$14="Off",((Data!$AJ$23*'Net zero Intermediate calcs'!AH19)+Data!$AK$23),IF('Net zero activities &amp; levers'!$C$14="On",((Data!$AJ$23*'Net zero Intermediate calcs'!AH19)+Data!$AK$23)*(1-'Net zero supporting data'!K214),"ERROR"))</f>
        <v>166727.57603056738</v>
      </c>
      <c r="AI27" s="94">
        <f>IF('Net zero activities &amp; levers'!$C$14="Off",((Data!$AJ$23*'Net zero Intermediate calcs'!AI19)+Data!$AK$23),IF('Net zero activities &amp; levers'!$C$14="On",((Data!$AJ$23*'Net zero Intermediate calcs'!AI19)+Data!$AK$23)*(1-'Net zero supporting data'!L214),"ERROR"))</f>
        <v>168033.63801958828</v>
      </c>
      <c r="AJ27" s="94">
        <f>IF('Net zero activities &amp; levers'!$C$14="Off",((Data!$AJ$23*'Net zero Intermediate calcs'!AJ19)+Data!$AK$23),IF('Net zero activities &amp; levers'!$C$14="On",((Data!$AJ$23*'Net zero Intermediate calcs'!AJ19)+Data!$AK$23)*(1-'Net zero supporting data'!M214),"ERROR"))</f>
        <v>169331.23584737047</v>
      </c>
      <c r="AK27" s="94">
        <f>IF('Net zero activities &amp; levers'!$C$14="Off",((Data!$AJ$23*'Net zero Intermediate calcs'!AK19)+Data!$AK$23),IF('Net zero activities &amp; levers'!$C$14="On",((Data!$AJ$23*'Net zero Intermediate calcs'!AK19)+Data!$AK$23)*(1-'Net zero supporting data'!N214),"ERROR"))</f>
        <v>170646.60354254098</v>
      </c>
      <c r="AL27" s="94">
        <f>IF('Net zero activities &amp; levers'!$C$14="Off",((Data!$AJ$23*'Net zero Intermediate calcs'!AL19)+Data!$AK$23),IF('Net zero activities &amp; levers'!$C$14="On",((Data!$AJ$23*'Net zero Intermediate calcs'!AL19)+Data!$AK$23)*(1-'Net zero supporting data'!O214),"ERROR"))</f>
        <v>171980.89945472713</v>
      </c>
      <c r="AM27" s="94">
        <f>IF('Net zero activities &amp; levers'!$C$14="Off",((Data!$AJ$23*'Net zero Intermediate calcs'!AM19)+Data!$AK$23),IF('Net zero activities &amp; levers'!$C$14="On",((Data!$AJ$23*'Net zero Intermediate calcs'!AM19)+Data!$AK$23)*(1-'Net zero supporting data'!P214),"ERROR"))</f>
        <v>173142.35323795458</v>
      </c>
      <c r="AN27" s="94">
        <f>IF('Net zero activities &amp; levers'!$C$14="Off",((Data!$AJ$23*'Net zero Intermediate calcs'!AN19)+Data!$AK$23),IF('Net zero activities &amp; levers'!$C$14="On",((Data!$AJ$23*'Net zero Intermediate calcs'!AN19)+Data!$AK$23)*(1-'Net zero supporting data'!Q214),"ERROR"))</f>
        <v>174318.29018107936</v>
      </c>
      <c r="AO27" s="94">
        <f>IF('Net zero activities &amp; levers'!$C$14="Off",((Data!$AJ$23*'Net zero Intermediate calcs'!AO19)+Data!$AK$23),IF('Net zero activities &amp; levers'!$C$14="On",((Data!$AJ$23*'Net zero Intermediate calcs'!AO19)+Data!$AK$23)*(1-'Net zero supporting data'!R214),"ERROR"))</f>
        <v>175506.41669451815</v>
      </c>
      <c r="AP27" s="94">
        <f>IF('Net zero activities &amp; levers'!$C$14="Off",((Data!$AJ$23*'Net zero Intermediate calcs'!AP19)+Data!$AK$23),IF('Net zero activities &amp; levers'!$C$14="On",((Data!$AJ$23*'Net zero Intermediate calcs'!AP19)+Data!$AK$23)*(1-'Net zero supporting data'!S214),"ERROR"))</f>
        <v>176709.10174347166</v>
      </c>
      <c r="AQ27" s="94">
        <f>IF('Net zero activities &amp; levers'!$C$14="Off",((Data!$AJ$23*'Net zero Intermediate calcs'!AQ19)+Data!$AK$23),IF('Net zero activities &amp; levers'!$C$14="On",((Data!$AJ$23*'Net zero Intermediate calcs'!AQ19)+Data!$AK$23)*(1-'Net zero supporting data'!T214),"ERROR"))</f>
        <v>177924.04873132426</v>
      </c>
      <c r="AR27" s="94">
        <f>IF('Net zero activities &amp; levers'!$C$14="Off",((Data!$AJ$23*'Net zero Intermediate calcs'!AR19)+Data!$AK$23),IF('Net zero activities &amp; levers'!$C$14="On",((Data!$AJ$23*'Net zero Intermediate calcs'!AR19)+Data!$AK$23)*(1-'Net zero supporting data'!U214),"ERROR"))</f>
        <v>178998.38500698376</v>
      </c>
      <c r="AS27" s="94">
        <f>IF('Net zero activities &amp; levers'!$C$14="Off",((Data!$AJ$23*'Net zero Intermediate calcs'!AS19)+Data!$AK$23),IF('Net zero activities &amp; levers'!$C$14="On",((Data!$AJ$23*'Net zero Intermediate calcs'!AS19)+Data!$AK$23)*(1-'Net zero supporting data'!V214),"ERROR"))</f>
        <v>180080.79676807154</v>
      </c>
      <c r="AT27" s="94">
        <f>IF('Net zero activities &amp; levers'!$C$14="Off",((Data!$AJ$23*'Net zero Intermediate calcs'!AT19)+Data!$AK$23),IF('Net zero activities &amp; levers'!$C$14="On",((Data!$AJ$23*'Net zero Intermediate calcs'!AT19)+Data!$AK$23)*(1-'Net zero supporting data'!W214),"ERROR"))</f>
        <v>181174.60167027125</v>
      </c>
      <c r="AU27" s="94">
        <f>IF('Net zero activities &amp; levers'!$C$14="Off",((Data!$AJ$23*'Net zero Intermediate calcs'!AU19)+Data!$AK$23),IF('Net zero activities &amp; levers'!$C$14="On",((Data!$AJ$23*'Net zero Intermediate calcs'!AU19)+Data!$AK$23)*(1-'Net zero supporting data'!X214),"ERROR"))</f>
        <v>182283.81799570506</v>
      </c>
      <c r="AV27" s="94">
        <f>IF('Net zero activities &amp; levers'!$C$14="Off",((Data!$AJ$23*'Net zero Intermediate calcs'!AV19)+Data!$AK$23),IF('Net zero activities &amp; levers'!$C$14="On",((Data!$AJ$23*'Net zero Intermediate calcs'!AV19)+Data!$AK$23)*(1-'Net zero supporting data'!Y214),"ERROR"))</f>
        <v>183399.27112600062</v>
      </c>
      <c r="AW27" s="94">
        <f>IF('Net zero activities &amp; levers'!$C$14="Off",((Data!$AJ$23*'Net zero Intermediate calcs'!AW19)+Data!$AK$23),IF('Net zero activities &amp; levers'!$C$14="On",((Data!$AJ$23*'Net zero Intermediate calcs'!AW19)+Data!$AK$23)*(1-'Net zero supporting data'!Z214),"ERROR"))</f>
        <v>184375.12484294895</v>
      </c>
      <c r="AX27" s="94">
        <f>IF('Net zero activities &amp; levers'!$C$14="Off",((Data!$AJ$23*'Net zero Intermediate calcs'!AX19)+Data!$AK$23),IF('Net zero activities &amp; levers'!$C$14="On",((Data!$AJ$23*'Net zero Intermediate calcs'!AX19)+Data!$AK$23)*(1-'Net zero supporting data'!AA214),"ERROR"))</f>
        <v>185361.61394666028</v>
      </c>
      <c r="AY27" s="94">
        <f>IF('Net zero activities &amp; levers'!$C$14="Off",((Data!$AJ$23*'Net zero Intermediate calcs'!AY19)+Data!$AK$23),IF('Net zero activities &amp; levers'!$C$14="On",((Data!$AJ$23*'Net zero Intermediate calcs'!AY19)+Data!$AK$23)*(1-'Net zero supporting data'!AB214),"ERROR"))</f>
        <v>186351.20222026267</v>
      </c>
      <c r="AZ27" s="94">
        <f>IF('Net zero activities &amp; levers'!$C$14="Off",((Data!$AJ$23*'Net zero Intermediate calcs'!AZ19)+Data!$AK$23),IF('Net zero activities &amp; levers'!$C$14="On",((Data!$AJ$23*'Net zero Intermediate calcs'!AZ19)+Data!$AK$23)*(1-'Net zero supporting data'!AC214),"ERROR"))</f>
        <v>187347.36707308405</v>
      </c>
      <c r="BA27" s="94">
        <f>IF('Net zero activities &amp; levers'!$C$14="Off",((Data!$AJ$23*'Net zero Intermediate calcs'!BA19)+Data!$AK$23),IF('Net zero activities &amp; levers'!$C$14="On",((Data!$AJ$23*'Net zero Intermediate calcs'!BA19)+Data!$AK$23)*(1-'Net zero supporting data'!AD214),"ERROR"))</f>
        <v>188350.31047436755</v>
      </c>
      <c r="BB27" s="94">
        <f>IF('Net zero activities &amp; levers'!$C$14="Off",((Data!$AJ$23*'Net zero Intermediate calcs'!BB19)+Data!$AK$23),IF('Net zero activities &amp; levers'!$C$14="On",((Data!$AJ$23*'Net zero Intermediate calcs'!BB19)+Data!$AK$23)*(1-'Net zero supporting data'!AE214),"ERROR"))</f>
        <v>189221.05340174827</v>
      </c>
      <c r="BC27" s="94">
        <f>IF('Net zero activities &amp; levers'!$C$14="Off",((Data!$AJ$23*'Net zero Intermediate calcs'!BC19)+Data!$AK$23),IF('Net zero activities &amp; levers'!$C$14="On",((Data!$AJ$23*'Net zero Intermediate calcs'!BC19)+Data!$AK$23)*(1-'Net zero supporting data'!AF214),"ERROR"))</f>
        <v>190094.52955844632</v>
      </c>
      <c r="BD27" s="94">
        <f>IF('Net zero activities &amp; levers'!$C$14="Off",((Data!$AJ$23*'Net zero Intermediate calcs'!BD19)+Data!$AK$23),IF('Net zero activities &amp; levers'!$C$14="On",((Data!$AJ$23*'Net zero Intermediate calcs'!BD19)+Data!$AK$23)*(1-'Net zero supporting data'!AG214),"ERROR"))</f>
        <v>190975.36354522462</v>
      </c>
      <c r="BE27" s="94">
        <f>IF('Net zero activities &amp; levers'!$C$14="Off",((Data!$AJ$23*'Net zero Intermediate calcs'!BE19)+Data!$AK$23),IF('Net zero activities &amp; levers'!$C$14="On",((Data!$AJ$23*'Net zero Intermediate calcs'!BE19)+Data!$AK$23)*(1-'Net zero supporting data'!AH214),"ERROR"))</f>
        <v>191863.88019574506</v>
      </c>
      <c r="BF27" s="94">
        <f>IF('Net zero activities &amp; levers'!$C$14="Off",((Data!$AJ$23*'Net zero Intermediate calcs'!BF19)+Data!$AK$23),IF('Net zero activities &amp; levers'!$C$14="On",((Data!$AJ$23*'Net zero Intermediate calcs'!BF19)+Data!$AK$23)*(1-'Net zero supporting data'!AI214),"ERROR"))</f>
        <v>192760.57322947716</v>
      </c>
      <c r="BG27" s="94">
        <f>IF('Net zero activities &amp; levers'!$C$14="Off",((Data!$AJ$23*'Net zero Intermediate calcs'!BG19)+Data!$AK$23),IF('Net zero activities &amp; levers'!$C$14="On",((Data!$AJ$23*'Net zero Intermediate calcs'!BG19)+Data!$AK$23)*(1-'Net zero supporting data'!AJ214),"ERROR"))</f>
        <v>193517.35121668535</v>
      </c>
      <c r="BH27" s="94">
        <f>IF('Net zero activities &amp; levers'!$C$14="Off",((Data!$AJ$23*'Net zero Intermediate calcs'!BH19)+Data!$AK$23),IF('Net zero activities &amp; levers'!$C$14="On",((Data!$AJ$23*'Net zero Intermediate calcs'!BH19)+Data!$AK$23)*(1-'Net zero supporting data'!AK214),"ERROR"))</f>
        <v>194226.79462172178</v>
      </c>
      <c r="BI27" s="94">
        <f>IF('Net zero activities &amp; levers'!$C$14="Off",((Data!$AJ$23*'Net zero Intermediate calcs'!BI19)+Data!$AK$23),IF('Net zero activities &amp; levers'!$C$14="On",((Data!$AJ$23*'Net zero Intermediate calcs'!BI19)+Data!$AK$23)*(1-'Net zero supporting data'!AL214),"ERROR"))</f>
        <v>194935.01683597971</v>
      </c>
      <c r="BJ27" s="94">
        <f>IF('Net zero activities &amp; levers'!$C$14="Off",((Data!$AJ$23*'Net zero Intermediate calcs'!BJ19)+Data!$AK$23),IF('Net zero activities &amp; levers'!$C$14="On",((Data!$AJ$23*'Net zero Intermediate calcs'!BJ19)+Data!$AK$23)*(1-'Net zero supporting data'!AM214),"ERROR"))</f>
        <v>195639.8973147459</v>
      </c>
      <c r="BK27" s="94">
        <f>IF('Net zero activities &amp; levers'!$C$14="Off",((Data!$AJ$23*'Net zero Intermediate calcs'!BK19)+Data!$AK$23),IF('Net zero activities &amp; levers'!$C$14="On",((Data!$AJ$23*'Net zero Intermediate calcs'!BK19)+Data!$AK$23)*(1-'Net zero supporting data'!AN214),"ERROR"))</f>
        <v>196346.27005656867</v>
      </c>
      <c r="BL27">
        <v>196314.82732702183</v>
      </c>
    </row>
    <row r="28" spans="1:64"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((Data!$AJ$24*LN('Net zero Intermediate calcs'!Y2))+Data!$AK$24)</f>
        <v>143.13279435069433</v>
      </c>
      <c r="Z28" s="22">
        <f>((Data!$AJ$24*LN('Net zero Intermediate calcs'!Z2))+Data!$AK$24)</f>
        <v>141.87225913644176</v>
      </c>
      <c r="AA28" s="22">
        <f>((Data!$AJ$24*LN('Net zero Intermediate calcs'!AA2))+Data!$AK$24)</f>
        <v>140.68816831280071</v>
      </c>
      <c r="AB28" s="22">
        <f>((Data!$AJ$24*LN('Net zero Intermediate calcs'!AB2))+Data!$AK$24)</f>
        <v>139.57177778872142</v>
      </c>
      <c r="AC28" s="22">
        <f>((Data!$AJ$24*LN('Net zero Intermediate calcs'!AC2))+Data!$AK$24)</f>
        <v>138.51576294445979</v>
      </c>
      <c r="AD28" s="22">
        <f>((Data!$AJ$24*LN('Net zero Intermediate calcs'!AD2))+Data!$AK$24)</f>
        <v>137.51392709989949</v>
      </c>
      <c r="AE28" s="22">
        <f>((Data!$AJ$24*LN('Net zero Intermediate calcs'!AE2))+Data!$AK$24)</f>
        <v>136.56098118541792</v>
      </c>
      <c r="AF28" s="22">
        <f>((Data!$AJ$24*LN('Net zero Intermediate calcs'!AF2))+Data!$AK$24)</f>
        <v>135.65237471533214</v>
      </c>
      <c r="AG28" s="22">
        <f>((Data!$AJ$24*LN('Net zero Intermediate calcs'!AG2))+Data!$AK$24)</f>
        <v>134.78416436485497</v>
      </c>
      <c r="AH28" s="22">
        <f>((Data!$AJ$24*LN('Net zero Intermediate calcs'!AH2))+Data!$AK$24)</f>
        <v>133.95291053792658</v>
      </c>
      <c r="AI28" s="22">
        <f>((Data!$AJ$24*LN('Net zero Intermediate calcs'!AI2))+Data!$AK$24)</f>
        <v>133.15559506335725</v>
      </c>
      <c r="AJ28" s="22">
        <f>((Data!$AJ$24*LN('Net zero Intermediate calcs'!AJ2))+Data!$AK$24)</f>
        <v>132.38955504281779</v>
      </c>
      <c r="AK28" s="22">
        <f>((Data!$AJ$24*LN('Net zero Intermediate calcs'!AK2))+Data!$AK$24)</f>
        <v>131.65242919020625</v>
      </c>
      <c r="AL28" s="22">
        <f>((Data!$AJ$24*LN('Net zero Intermediate calcs'!AL2))+Data!$AK$24)</f>
        <v>130.94211393462308</v>
      </c>
      <c r="AM28" s="22">
        <f>((Data!$AJ$24*LN('Net zero Intermediate calcs'!AM2))+Data!$AK$24)</f>
        <v>130.25672722979891</v>
      </c>
      <c r="AN28" s="22">
        <f>((Data!$AJ$24*LN('Net zero Intermediate calcs'!AN2))+Data!$AK$24)</f>
        <v>129.59457850138432</v>
      </c>
      <c r="AO28" s="22">
        <f>((Data!$AJ$24*LN('Net zero Intermediate calcs'!AO2))+Data!$AK$24)</f>
        <v>128.95414352380905</v>
      </c>
      <c r="AP28" s="22">
        <f>((Data!$AJ$24*LN('Net zero Intermediate calcs'!AP2))+Data!$AK$24)</f>
        <v>128.33404328713178</v>
      </c>
      <c r="AQ28" s="22">
        <f>((Data!$AJ$24*LN('Net zero Intermediate calcs'!AQ2))+Data!$AK$24)</f>
        <v>127.733026116817</v>
      </c>
      <c r="AR28" s="22">
        <f>((Data!$AJ$24*LN('Net zero Intermediate calcs'!AR2))+Data!$AK$24)</f>
        <v>127.14995246349075</v>
      </c>
      <c r="AS28" s="22">
        <f>((Data!$AJ$24*LN('Net zero Intermediate calcs'!AS2))+Data!$AK$24)</f>
        <v>126.58378189808082</v>
      </c>
      <c r="AT28" s="22">
        <f>((Data!$AJ$24*LN('Net zero Intermediate calcs'!AT2))+Data!$AK$24)</f>
        <v>126.03356193941144</v>
      </c>
      <c r="AU28" s="22">
        <f>((Data!$AJ$24*LN('Net zero Intermediate calcs'!AU2))+Data!$AK$24)</f>
        <v>125.49841841288261</v>
      </c>
      <c r="AV28" s="22">
        <f>((Data!$AJ$24*LN('Net zero Intermediate calcs'!AV2))+Data!$AK$24)</f>
        <v>124.97754709514982</v>
      </c>
      <c r="AW28" s="22">
        <f>((Data!$AJ$24*LN('Net zero Intermediate calcs'!AW2))+Data!$AK$24)</f>
        <v>124.47020644430265</v>
      </c>
      <c r="AX28" s="22">
        <f>((Data!$AJ$24*LN('Net zero Intermediate calcs'!AX2))+Data!$AK$24)</f>
        <v>123.97571125058951</v>
      </c>
      <c r="AY28" s="22">
        <f>((Data!$AJ$24*LN('Net zero Intermediate calcs'!AY2))+Data!$AK$24)</f>
        <v>123.49342707125868</v>
      </c>
      <c r="AZ28" s="22">
        <f>((Data!$AJ$24*LN('Net zero Intermediate calcs'!AZ2))+Data!$AK$24)</f>
        <v>123.02276533610791</v>
      </c>
      <c r="BA28" s="22">
        <f>((Data!$AJ$24*LN('Net zero Intermediate calcs'!BA2))+Data!$AK$24)</f>
        <v>122.5631790290216</v>
      </c>
      <c r="BB28" s="22">
        <f>((Data!$AJ$24*LN('Net zero Intermediate calcs'!BB2))+Data!$AK$24)</f>
        <v>122.11415886602218</v>
      </c>
      <c r="BC28" s="22">
        <f>((Data!$AJ$24*LN('Net zero Intermediate calcs'!BC2))+Data!$AK$24)</f>
        <v>121.67522990286919</v>
      </c>
      <c r="BD28" s="22">
        <f>((Data!$AJ$24*LN('Net zero Intermediate calcs'!BD2))+Data!$AK$24)</f>
        <v>121.24594851554498</v>
      </c>
      <c r="BE28" s="22">
        <f>((Data!$AJ$24*LN('Net zero Intermediate calcs'!BE2))+Data!$AK$24)</f>
        <v>120.82589970549897</v>
      </c>
      <c r="BF28" s="22">
        <f>((Data!$AJ$24*LN('Net zero Intermediate calcs'!BF2))+Data!$AK$24)</f>
        <v>120.41469468861661</v>
      </c>
      <c r="BG28" s="22">
        <f>((Data!$AJ$24*LN('Net zero Intermediate calcs'!BG2))+Data!$AK$24)</f>
        <v>120.01196873280439</v>
      </c>
      <c r="BH28" s="22">
        <f>((Data!$AJ$24*LN('Net zero Intermediate calcs'!BH2))+Data!$AK$24)</f>
        <v>119.61737921404726</v>
      </c>
      <c r="BI28" s="22">
        <f>((Data!$AJ$24*LN('Net zero Intermediate calcs'!BI2))+Data!$AK$24)</f>
        <v>119.23060386497559</v>
      </c>
      <c r="BJ28" s="22">
        <f>((Data!$AJ$24*LN('Net zero Intermediate calcs'!BJ2))+Data!$AK$24)</f>
        <v>118.85133919350781</v>
      </c>
      <c r="BK28" s="22">
        <f>((Data!$AJ$24*LN('Net zero Intermediate calcs'!BK2))+Data!$AK$24)</f>
        <v>118.47929905212735</v>
      </c>
      <c r="BL28">
        <v>118.47929905212735</v>
      </c>
    </row>
    <row r="29" spans="1:64"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((Data!$AJ$9*'Net zero Intermediate calcs'!Y4)+Data!$AK$9)*Drivers!Z4</f>
        <v>232803.07737192552</v>
      </c>
      <c r="Z29" s="22">
        <f>((Data!$AJ$9*'Net zero Intermediate calcs'!Z4)+Data!$AK$9)*Drivers!AA4</f>
        <v>238588.45125065101</v>
      </c>
      <c r="AA29" s="22">
        <f>((Data!$AJ$9*'Net zero Intermediate calcs'!AA4)+Data!$AK$9)*Drivers!AB4</f>
        <v>245792.32692559363</v>
      </c>
      <c r="AB29" s="22">
        <f>((Data!$AJ$9*'Net zero Intermediate calcs'!AB4)+Data!$AK$9)*Drivers!AC4</f>
        <v>250389.30527292378</v>
      </c>
      <c r="AC29" s="22">
        <f>((Data!$AJ$9*'Net zero Intermediate calcs'!AC4)+Data!$AK$9)*Drivers!AD4</f>
        <v>253237.16816783999</v>
      </c>
      <c r="AD29" s="22">
        <f>((Data!$AJ$9*'Net zero Intermediate calcs'!AD4)+Data!$AK$9)*Drivers!AE4</f>
        <v>254291.65168168259</v>
      </c>
      <c r="AE29" s="22">
        <f>((Data!$AJ$9*'Net zero Intermediate calcs'!AE4)+Data!$AK$9)*Drivers!AF4</f>
        <v>256684.19880969997</v>
      </c>
      <c r="AF29" s="22">
        <f>((Data!$AJ$9*'Net zero Intermediate calcs'!AF4)+Data!$AK$9)*Drivers!AG4</f>
        <v>259264.64593191381</v>
      </c>
      <c r="AG29" s="22">
        <f>((Data!$AJ$9*'Net zero Intermediate calcs'!AG4)+Data!$AK$9)*Drivers!AH4</f>
        <v>232911.33728752579</v>
      </c>
      <c r="AH29" s="22">
        <f>((Data!$AJ$9*'Net zero Intermediate calcs'!AH4)+Data!$AK$9)*Drivers!AI4</f>
        <v>241903.66859850031</v>
      </c>
      <c r="AI29" s="22">
        <f>((Data!$AJ$9*'Net zero Intermediate calcs'!AI4)+Data!$AK$9)*Drivers!AJ4</f>
        <v>254827.78150268033</v>
      </c>
      <c r="AJ29" s="22">
        <f>((Data!$AJ$9*'Net zero Intermediate calcs'!AJ4)+Data!$AK$9)*Drivers!AK4</f>
        <v>261547.48419841839</v>
      </c>
      <c r="AK29" s="22">
        <f>((Data!$AJ$9*'Net zero Intermediate calcs'!AK4)+Data!$AK$9)*Drivers!AL4</f>
        <v>269109.32861484628</v>
      </c>
      <c r="AL29" s="22">
        <f>((Data!$AJ$9*'Net zero Intermediate calcs'!AL4)+Data!$AK$9)*Drivers!AM4</f>
        <v>277780.82976888557</v>
      </c>
      <c r="AM29" s="22">
        <f>((Data!$AJ$9*'Net zero Intermediate calcs'!AM4)+Data!$AK$9)*Drivers!AN4</f>
        <v>287249.81203807209</v>
      </c>
      <c r="AN29" s="22">
        <f>((Data!$AJ$9*'Net zero Intermediate calcs'!AN4)+Data!$AK$9)*Drivers!AO4</f>
        <v>297635.69320573151</v>
      </c>
      <c r="AO29" s="22">
        <f>((Data!$AJ$9*'Net zero Intermediate calcs'!AO4)+Data!$AK$9)*Drivers!AP4</f>
        <v>308288.9427810823</v>
      </c>
      <c r="AP29" s="22">
        <f>((Data!$AJ$9*'Net zero Intermediate calcs'!AP4)+Data!$AK$9)*Drivers!AQ4</f>
        <v>319820.13258122798</v>
      </c>
      <c r="AQ29" s="22">
        <f>((Data!$AJ$9*'Net zero Intermediate calcs'!AQ4)+Data!$AK$9)*Drivers!AR4</f>
        <v>331578.33501417353</v>
      </c>
      <c r="AR29" s="22">
        <f>((Data!$AJ$9*'Net zero Intermediate calcs'!AR4)+Data!$AK$9)*Drivers!AS4</f>
        <v>344824.34998388705</v>
      </c>
      <c r="AS29" s="22">
        <f>((Data!$AJ$9*'Net zero Intermediate calcs'!AS4)+Data!$AK$9)*Drivers!AT4</f>
        <v>357887.89570117608</v>
      </c>
      <c r="AT29" s="22">
        <f>((Data!$AJ$9*'Net zero Intermediate calcs'!AT4)+Data!$AK$9)*Drivers!AU4</f>
        <v>371645.62138280412</v>
      </c>
      <c r="AU29" s="22">
        <f>((Data!$AJ$9*'Net zero Intermediate calcs'!AU4)+Data!$AK$9)*Drivers!AV4</f>
        <v>387163.3989800128</v>
      </c>
      <c r="AV29" s="22">
        <f>((Data!$AJ$9*'Net zero Intermediate calcs'!AV4)+Data!$AK$9)*Drivers!AW4</f>
        <v>401940.59018111456</v>
      </c>
      <c r="AW29" s="22">
        <f>((Data!$AJ$9*'Net zero Intermediate calcs'!AW4)+Data!$AK$9)*Drivers!AX4</f>
        <v>417642.68987517961</v>
      </c>
      <c r="AX29" s="22">
        <f>((Data!$AJ$9*'Net zero Intermediate calcs'!AX4)+Data!$AK$9)*Drivers!AY4</f>
        <v>434403.44503460417</v>
      </c>
      <c r="AY29" s="22">
        <f>((Data!$AJ$9*'Net zero Intermediate calcs'!AY4)+Data!$AK$9)*Drivers!AZ4</f>
        <v>450172.34981745819</v>
      </c>
      <c r="AZ29" s="22">
        <f>((Data!$AJ$9*'Net zero Intermediate calcs'!AZ4)+Data!$AK$9)*Drivers!BA4</f>
        <v>465876.03088065598</v>
      </c>
      <c r="BA29" s="22">
        <f>((Data!$AJ$9*'Net zero Intermediate calcs'!BA4)+Data!$AK$9)*Drivers!BB4</f>
        <v>481555.59199385665</v>
      </c>
      <c r="BB29" s="22">
        <f>((Data!$AJ$9*'Net zero Intermediate calcs'!BB4)+Data!$AK$9)*Drivers!BC4</f>
        <v>498648.21967389667</v>
      </c>
      <c r="BC29" s="22">
        <f>((Data!$AJ$9*'Net zero Intermediate calcs'!BC4)+Data!$AK$9)*Drivers!BD4</f>
        <v>515123.9247964035</v>
      </c>
      <c r="BD29" s="22">
        <f>((Data!$AJ$9*'Net zero Intermediate calcs'!BD4)+Data!$AK$9)*Drivers!BE4</f>
        <v>532224.41990562819</v>
      </c>
      <c r="BE29" s="22">
        <f>((Data!$AJ$9*'Net zero Intermediate calcs'!BE4)+Data!$AK$9)*Drivers!BF4</f>
        <v>550029.04188922071</v>
      </c>
      <c r="BF29" s="22">
        <f>((Data!$AJ$9*'Net zero Intermediate calcs'!BF4)+Data!$AK$9)*Drivers!BG4</f>
        <v>568662.7286266993</v>
      </c>
      <c r="BG29" s="22">
        <f>((Data!$AJ$9*'Net zero Intermediate calcs'!BG4)+Data!$AK$9)*Drivers!BH4</f>
        <v>588181.30377230153</v>
      </c>
      <c r="BH29" s="22">
        <f>((Data!$AJ$9*'Net zero Intermediate calcs'!BH4)+Data!$AK$9)*Drivers!BI4</f>
        <v>593959.60258355376</v>
      </c>
      <c r="BI29" s="22">
        <f>((Data!$AJ$9*'Net zero Intermediate calcs'!BI4)+Data!$AK$9)*Drivers!BJ4</f>
        <v>598458.28520180739</v>
      </c>
      <c r="BJ29" s="22">
        <f>((Data!$AJ$9*'Net zero Intermediate calcs'!BJ4)+Data!$AK$9)*Drivers!BK4</f>
        <v>601099.27384309936</v>
      </c>
      <c r="BK29" s="22">
        <f>((Data!$AJ$9*'Net zero Intermediate calcs'!BK4)+Data!$AK$9)*Drivers!BL4</f>
        <v>603184.43479641981</v>
      </c>
      <c r="BL29">
        <v>633508.56940588297</v>
      </c>
    </row>
    <row r="30" spans="1:64"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4.4928200316832108</v>
      </c>
      <c r="AA30" s="45">
        <f>AA29*ttokg/Drivers!AB4</f>
        <v>4.5591085416730008</v>
      </c>
      <c r="AB30" s="45">
        <f>AB29*ttokg/Drivers!AC4</f>
        <v>4.5732795927157346</v>
      </c>
      <c r="AC30" s="45">
        <f>AC29*ttokg/Drivers!AD4</f>
        <v>4.5529924345249402</v>
      </c>
      <c r="AD30" s="45">
        <f>AD29*ttokg/Drivers!AE4</f>
        <v>4.4989895163257332</v>
      </c>
      <c r="AE30" s="45">
        <f>AE29*ttokg/Drivers!AF4</f>
        <v>4.4690472186600507</v>
      </c>
      <c r="AF30" s="45">
        <f>AF29*ttokg/Drivers!AG4</f>
        <v>4.4421379119670714</v>
      </c>
      <c r="AG30" s="45">
        <f>AG29*ttokg/Drivers!AH4</f>
        <v>3.9271030482636826</v>
      </c>
      <c r="AH30" s="45">
        <f>AH29*ttokg/Drivers!AI4</f>
        <v>4.0322936449944606</v>
      </c>
      <c r="AI30" s="45">
        <f>AI29*ttokg/Drivers!AJ4</f>
        <v>4.1993734498361244</v>
      </c>
      <c r="AJ30" s="45">
        <f>AJ29*ttokg/Drivers!AK4</f>
        <v>4.2610467578578861</v>
      </c>
      <c r="AK30" s="45">
        <f>AK29*ttokg/Drivers!AL4</f>
        <v>4.3343355889247714</v>
      </c>
      <c r="AL30" s="45">
        <f>AL29*ttokg/Drivers!AM4</f>
        <v>4.4230727243286436</v>
      </c>
      <c r="AM30" s="45">
        <f>AM29*ttokg/Drivers!AN4</f>
        <v>4.5292492405960942</v>
      </c>
      <c r="AN30" s="45">
        <f>AN29*ttokg/Drivers!AO4</f>
        <v>4.6472510736751316</v>
      </c>
      <c r="AO30" s="45">
        <f>AO29*ttokg/Drivers!AP4</f>
        <v>4.7666551225078901</v>
      </c>
      <c r="AP30" s="45">
        <f>AP29*ttokg/Drivers!AQ4</f>
        <v>4.8967309142059134</v>
      </c>
      <c r="AQ30" s="45">
        <f>AQ29*ttokg/Drivers!AR4</f>
        <v>5.0272588174067554</v>
      </c>
      <c r="AR30" s="45">
        <f>AR29*ttokg/Drivers!AS4</f>
        <v>5.1838492494463786</v>
      </c>
      <c r="AS30" s="45">
        <f>AS29*ttokg/Drivers!AT4</f>
        <v>5.3347096409941281</v>
      </c>
      <c r="AT30" s="45">
        <f>AT29*ttokg/Drivers!AU4</f>
        <v>5.4929056070604467</v>
      </c>
      <c r="AU30" s="45">
        <f>AU29*ttokg/Drivers!AV4</f>
        <v>5.6738356090849873</v>
      </c>
      <c r="AV30" s="45">
        <f>AV29*ttokg/Drivers!AW4</f>
        <v>5.8405488361395328</v>
      </c>
      <c r="AW30" s="45">
        <f>AW29*ttokg/Drivers!AX4</f>
        <v>6.0246070078064653</v>
      </c>
      <c r="AX30" s="45">
        <f>AX29*ttokg/Drivers!AY4</f>
        <v>6.2208416092788097</v>
      </c>
      <c r="AY30" s="45">
        <f>AY29*ttokg/Drivers!AZ4</f>
        <v>6.3998050411313443</v>
      </c>
      <c r="AZ30" s="45">
        <f>AZ29*ttokg/Drivers!BA4</f>
        <v>6.5749179721162569</v>
      </c>
      <c r="BA30" s="45">
        <f>BA29*ttokg/Drivers!BB4</f>
        <v>6.7468094917009065</v>
      </c>
      <c r="BB30" s="45">
        <f>BB29*ttokg/Drivers!BC4</f>
        <v>6.9431613739042595</v>
      </c>
      <c r="BC30" s="45">
        <f>BC29*ttokg/Drivers!BD4</f>
        <v>7.1282952098077175</v>
      </c>
      <c r="BD30" s="45">
        <f>BD29*ttokg/Drivers!BE4</f>
        <v>7.3194714828394147</v>
      </c>
      <c r="BE30" s="45">
        <f>BE29*ttokg/Drivers!BF4</f>
        <v>7.5176398602305499</v>
      </c>
      <c r="BF30" s="45">
        <f>BF29*ttokg/Drivers!BG4</f>
        <v>7.7243444102018719</v>
      </c>
      <c r="BG30" s="45">
        <f>BG29*ttokg/Drivers!BH4</f>
        <v>7.9488941990466415</v>
      </c>
      <c r="BH30" s="45">
        <f>BH29*ttokg/Drivers!BI4</f>
        <v>7.9862158584516099</v>
      </c>
      <c r="BI30" s="45">
        <f>BI29*ttokg/Drivers!BJ4</f>
        <v>8.0058353869744732</v>
      </c>
      <c r="BJ30" s="45">
        <f>BJ29*ttokg/Drivers!BK4</f>
        <v>8.0003246574076279</v>
      </c>
      <c r="BK30" s="45">
        <f>BK29*ttokg/Drivers!BL4</f>
        <v>7.9873031812416837</v>
      </c>
      <c r="BL30">
        <v>8.3888419900670428</v>
      </c>
    </row>
    <row r="31" spans="1:64"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0.20041773709352567</v>
      </c>
      <c r="AP31" s="45"/>
      <c r="AQ31" s="45">
        <f>(AQ32-AE32)/AE32</f>
        <v>0.27553221380470833</v>
      </c>
      <c r="AR31" s="45"/>
      <c r="AS31" s="45"/>
      <c r="AT31" s="45"/>
      <c r="AU31" s="45"/>
      <c r="AV31" s="45"/>
      <c r="AW31" s="45"/>
      <c r="AX31" s="45"/>
      <c r="AY31" s="45"/>
      <c r="AZ31" s="45"/>
      <c r="BA31" s="45"/>
      <c r="BB31" s="45"/>
      <c r="BC31" s="45"/>
      <c r="BD31" s="45"/>
      <c r="BE31" s="45"/>
      <c r="BF31" s="45"/>
      <c r="BG31" s="45"/>
      <c r="BH31" s="45"/>
      <c r="BI31" s="45"/>
      <c r="BJ31" s="45"/>
      <c r="BK31" s="45"/>
    </row>
    <row r="32" spans="1:64"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94">
        <f>IF('Net zero activities &amp; levers'!$C$14="Off",((Data!$AJ$26*'Net zero Intermediate calcs'!Y29)+Data!$AK$26),IF('Net zero activities &amp; levers'!$C$14="On",((Data!$AJ$26*'Net zero Intermediate calcs'!Y29)+Data!$AK$26)*(1-'Net zero supporting data'!B215),"ERROR"))</f>
        <v>210251.25025039676</v>
      </c>
      <c r="Z32" s="94">
        <f>IF('Net zero activities &amp; levers'!$C$14="Off",((Data!$AJ$26*'Net zero Intermediate calcs'!Z29)+Data!$AK$26),IF('Net zero activities &amp; levers'!$C$14="On",((Data!$AJ$26*'Net zero Intermediate calcs'!Z29)+Data!$AK$26)*(1-'Net zero supporting data'!C215),"ERROR"))</f>
        <v>215157.29984140492</v>
      </c>
      <c r="AA32" s="94">
        <f>IF('Net zero activities &amp; levers'!$C$14="Off",((Data!$AJ$26*'Net zero Intermediate calcs'!AA29)+Data!$AK$26),IF('Net zero activities &amp; levers'!$C$14="On",((Data!$AJ$26*'Net zero Intermediate calcs'!AA29)+Data!$AK$26)*(1-'Net zero supporting data'!D215),"ERROR"))</f>
        <v>221266.25183821382</v>
      </c>
      <c r="AB32" s="94">
        <f>IF('Net zero activities &amp; levers'!$C$14="Off",((Data!$AJ$26*'Net zero Intermediate calcs'!AB29)+Data!$AK$26),IF('Net zero activities &amp; levers'!$C$14="On",((Data!$AJ$26*'Net zero Intermediate calcs'!AB29)+Data!$AK$26)*(1-'Net zero supporting data'!E215),"ERROR"))</f>
        <v>225164.53122577883</v>
      </c>
      <c r="AC32" s="94">
        <f>IF('Net zero activities &amp; levers'!$C$14="Off",((Data!$AJ$26*'Net zero Intermediate calcs'!AC29)+Data!$AK$26),IF('Net zero activities &amp; levers'!$C$14="On",((Data!$AJ$26*'Net zero Intermediate calcs'!AC29)+Data!$AK$26)*(1-'Net zero supporting data'!F215),"ERROR"))</f>
        <v>227579.54482450738</v>
      </c>
      <c r="AD32" s="94">
        <f>IF('Net zero activities &amp; levers'!$C$14="Off",((Data!$AJ$26*'Net zero Intermediate calcs'!AD29)+Data!$AK$26),IF('Net zero activities &amp; levers'!$C$14="On",((Data!$AJ$26*'Net zero Intermediate calcs'!AD29)+Data!$AK$26)*(1-'Net zero supporting data'!G215),"ERROR"))</f>
        <v>228473.75642089811</v>
      </c>
      <c r="AE32" s="94">
        <f>IF('Net zero activities &amp; levers'!$C$14="Off",((Data!$AJ$26*'Net zero Intermediate calcs'!AE29)+Data!$AK$26),IF('Net zero activities &amp; levers'!$C$14="On",((Data!$AJ$26*'Net zero Intermediate calcs'!AE29)+Data!$AK$26)*(1-'Net zero supporting data'!H215),"ERROR"))</f>
        <v>230502.6581141908</v>
      </c>
      <c r="AF32" s="94">
        <f>IF('Net zero activities &amp; levers'!$C$14="Off",((Data!$AJ$26*'Net zero Intermediate calcs'!AF29)+Data!$AK$26),IF('Net zero activities &amp; levers'!$C$14="On",((Data!$AJ$26*'Net zero Intermediate calcs'!AF29)+Data!$AK$26)*(1-'Net zero supporting data'!I215),"ERROR"))</f>
        <v>232690.90070904008</v>
      </c>
      <c r="AG32" s="94">
        <f>IF('Net zero activities &amp; levers'!$C$14="Off",((Data!$AJ$26*'Net zero Intermediate calcs'!AG29)+Data!$AK$26),IF('Net zero activities &amp; levers'!$C$14="On",((Data!$AJ$26*'Net zero Intermediate calcs'!AG29)+Data!$AK$26)*(1-'Net zero supporting data'!J215),"ERROR"))</f>
        <v>210343.05564202517</v>
      </c>
      <c r="AH32" s="94">
        <f>IF('Net zero activities &amp; levers'!$C$14="Off",((Data!$AJ$26*'Net zero Intermediate calcs'!AH29)+Data!$AK$26),IF('Net zero activities &amp; levers'!$C$14="On",((Data!$AJ$26*'Net zero Intermediate calcs'!AH29)+Data!$AK$26)*(1-'Net zero supporting data'!K215),"ERROR"))</f>
        <v>217968.63426065986</v>
      </c>
      <c r="AI32" s="94">
        <f>IF('Net zero activities &amp; levers'!$C$14="Off",((Data!$AJ$26*'Net zero Intermediate calcs'!AI29)+Data!$AK$26),IF('Net zero activities &amp; levers'!$C$14="On",((Data!$AJ$26*'Net zero Intermediate calcs'!AI29)+Data!$AK$26)*(1-'Net zero supporting data'!L215),"ERROR"))</f>
        <v>228928.39937815029</v>
      </c>
      <c r="AJ32" s="94">
        <f>IF('Net zero activities &amp; levers'!$C$14="Off",((Data!$AJ$26*'Net zero Intermediate calcs'!AJ29)+Data!$AK$26),IF('Net zero activities &amp; levers'!$C$14="On",((Data!$AJ$26*'Net zero Intermediate calcs'!AJ29)+Data!$AK$26)*(1-'Net zero supporting data'!M215),"ERROR"))</f>
        <v>234626.76829141143</v>
      </c>
      <c r="AK32" s="94">
        <f>IF('Net zero activities &amp; levers'!$C$14="Off",((Data!$AJ$26*'Net zero Intermediate calcs'!AK29)+Data!$AK$26),IF('Net zero activities &amp; levers'!$C$14="On",((Data!$AJ$26*'Net zero Intermediate calcs'!AK29)+Data!$AK$26)*(1-'Net zero supporting data'!N215),"ERROR"))</f>
        <v>241039.28103201522</v>
      </c>
      <c r="AL32" s="94">
        <f>IF('Net zero activities &amp; levers'!$C$14="Off",((Data!$AJ$26*'Net zero Intermediate calcs'!AL29)+Data!$AK$26),IF('Net zero activities &amp; levers'!$C$14="On",((Data!$AJ$26*'Net zero Intermediate calcs'!AL29)+Data!$AK$26)*(1-'Net zero supporting data'!O215),"ERROR"))</f>
        <v>248392.79276384015</v>
      </c>
      <c r="AM32" s="94">
        <f>IF('Net zero activities &amp; levers'!$C$14="Off",((Data!$AJ$26*'Net zero Intermediate calcs'!AM29)+Data!$AK$26),IF('Net zero activities &amp; levers'!$C$14="On",((Data!$AJ$26*'Net zero Intermediate calcs'!AM29)+Data!$AK$26)*(1-'Net zero supporting data'!P215),"ERROR"))</f>
        <v>256422.5757239071</v>
      </c>
      <c r="AN32" s="94">
        <f>IF('Net zero activities &amp; levers'!$C$14="Off",((Data!$AJ$26*'Net zero Intermediate calcs'!AN29)+Data!$AK$26),IF('Net zero activities &amp; levers'!$C$14="On",((Data!$AJ$26*'Net zero Intermediate calcs'!AN29)+Data!$AK$26)*(1-'Net zero supporting data'!Q215),"ERROR"))</f>
        <v>265229.89727700956</v>
      </c>
      <c r="AO32" s="94">
        <f>IF('Net zero activities &amp; levers'!$C$14="Off",((Data!$AJ$26*'Net zero Intermediate calcs'!AO29)+Data!$AK$26),IF('Net zero activities &amp; levers'!$C$14="On",((Data!$AJ$26*'Net zero Intermediate calcs'!AO29)+Data!$AK$26)*(1-'Net zero supporting data'!R215),"ERROR"))</f>
        <v>274263.94966803188</v>
      </c>
      <c r="AP32" s="94">
        <f>IF('Net zero activities &amp; levers'!$C$14="Off",((Data!$AJ$26*'Net zero Intermediate calcs'!AP29)+Data!$AK$26),IF('Net zero activities &amp; levers'!$C$14="On",((Data!$AJ$26*'Net zero Intermediate calcs'!AP29)+Data!$AK$26)*(1-'Net zero supporting data'!S215),"ERROR"))</f>
        <v>284042.50334299426</v>
      </c>
      <c r="AQ32" s="94">
        <f>IF('Net zero activities &amp; levers'!$C$14="Off",((Data!$AJ$26*'Net zero Intermediate calcs'!AQ29)+Data!$AK$26),IF('Net zero activities &amp; levers'!$C$14="On",((Data!$AJ$26*'Net zero Intermediate calcs'!AQ29)+Data!$AK$26)*(1-'Net zero supporting data'!T215),"ERROR"))</f>
        <v>294013.5657922636</v>
      </c>
      <c r="AR32" s="94">
        <f>IF('Net zero activities &amp; levers'!$C$14="Off",((Data!$AJ$26*'Net zero Intermediate calcs'!AR29)+Data!$AK$26),IF('Net zero activities &amp; levers'!$C$14="On",((Data!$AJ$26*'Net zero Intermediate calcs'!AR29)+Data!$AK$26)*(1-'Net zero supporting data'!U215),"ERROR"))</f>
        <v>305246.30678479001</v>
      </c>
      <c r="AS32" s="94">
        <f>IF('Net zero activities &amp; levers'!$C$14="Off",((Data!$AJ$26*'Net zero Intermediate calcs'!AS29)+Data!$AK$26),IF('Net zero activities &amp; levers'!$C$14="On",((Data!$AJ$26*'Net zero Intermediate calcs'!AS29)+Data!$AK$26)*(1-'Net zero supporting data'!V215),"ERROR"))</f>
        <v>316324.31219410361</v>
      </c>
      <c r="AT32" s="94">
        <f>IF('Net zero activities &amp; levers'!$C$14="Off",((Data!$AJ$26*'Net zero Intermediate calcs'!AT29)+Data!$AK$26),IF('Net zero activities &amp; levers'!$C$14="On",((Data!$AJ$26*'Net zero Intermediate calcs'!AT29)+Data!$AK$26)*(1-'Net zero supporting data'!W215),"ERROR"))</f>
        <v>327990.98851760919</v>
      </c>
      <c r="AU32" s="94">
        <f>IF('Net zero activities &amp; levers'!$C$14="Off",((Data!$AJ$26*'Net zero Intermediate calcs'!AU29)+Data!$AK$26),IF('Net zero activities &amp; levers'!$C$14="On",((Data!$AJ$26*'Net zero Intermediate calcs'!AU29)+Data!$AK$26)*(1-'Net zero supporting data'!X215),"ERROR"))</f>
        <v>341150.20485003979</v>
      </c>
      <c r="AV32" s="94">
        <f>IF('Net zero activities &amp; levers'!$C$14="Off",((Data!$AJ$26*'Net zero Intermediate calcs'!AV29)+Data!$AK$26),IF('Net zero activities &amp; levers'!$C$14="On",((Data!$AJ$26*'Net zero Intermediate calcs'!AV29)+Data!$AK$26)*(1-'Net zero supporting data'!Y215),"ERROR"))</f>
        <v>353681.3971926833</v>
      </c>
      <c r="AW32" s="94">
        <f>IF('Net zero activities &amp; levers'!$C$14="Off",((Data!$AJ$26*'Net zero Intermediate calcs'!AW29)+Data!$AK$26),IF('Net zero activities &amp; levers'!$C$14="On",((Data!$AJ$26*'Net zero Intermediate calcs'!AW29)+Data!$AK$26)*(1-'Net zero supporting data'!Z215),"ERROR"))</f>
        <v>366996.92033723218</v>
      </c>
      <c r="AX32" s="94">
        <f>IF('Net zero activities &amp; levers'!$C$14="Off",((Data!$AJ$26*'Net zero Intermediate calcs'!AX29)+Data!$AK$26),IF('Net zero activities &amp; levers'!$C$14="On",((Data!$AJ$26*'Net zero Intermediate calcs'!AX29)+Data!$AK$26)*(1-'Net zero supporting data'!AA215),"ERROR"))</f>
        <v>381210.19293094706</v>
      </c>
      <c r="AY32" s="94">
        <f>IF('Net zero activities &amp; levers'!$C$14="Off",((Data!$AJ$26*'Net zero Intermediate calcs'!AY29)+Data!$AK$26),IF('Net zero activities &amp; levers'!$C$14="On",((Data!$AJ$26*'Net zero Intermediate calcs'!AY29)+Data!$AK$26)*(1-'Net zero supporting data'!AB215),"ERROR"))</f>
        <v>394582.36739750218</v>
      </c>
      <c r="AZ32" s="94">
        <f>IF('Net zero activities &amp; levers'!$C$14="Off",((Data!$AJ$26*'Net zero Intermediate calcs'!AZ29)+Data!$AK$26),IF('Net zero activities &amp; levers'!$C$14="On",((Data!$AJ$26*'Net zero Intermediate calcs'!AZ29)+Data!$AK$26)*(1-'Net zero supporting data'!AC215),"ERROR"))</f>
        <v>407899.23155743734</v>
      </c>
      <c r="BA32" s="94">
        <f>IF('Net zero activities &amp; levers'!$C$14="Off",((Data!$AJ$26*'Net zero Intermediate calcs'!BA29)+Data!$AK$26),IF('Net zero activities &amp; levers'!$C$14="On",((Data!$AJ$26*'Net zero Intermediate calcs'!BA29)+Data!$AK$26)*(1-'Net zero supporting data'!AD215),"ERROR"))</f>
        <v>421195.64178072137</v>
      </c>
      <c r="BB32" s="94">
        <f>IF('Net zero activities &amp; levers'!$C$14="Off",((Data!$AJ$26*'Net zero Intermediate calcs'!BB29)+Data!$AK$26),IF('Net zero activities &amp; levers'!$C$14="On",((Data!$AJ$26*'Net zero Intermediate calcs'!BB29)+Data!$AK$26)*(1-'Net zero supporting data'!AE215),"ERROR"))</f>
        <v>435690.34528593195</v>
      </c>
      <c r="BC32" s="94">
        <f>IF('Net zero activities &amp; levers'!$C$14="Off",((Data!$AJ$26*'Net zero Intermediate calcs'!BC29)+Data!$AK$26),IF('Net zero activities &amp; levers'!$C$14="On",((Data!$AJ$26*'Net zero Intermediate calcs'!BC29)+Data!$AK$26)*(1-'Net zero supporting data'!AF215),"ERROR"))</f>
        <v>449661.89285956137</v>
      </c>
      <c r="BD32" s="94">
        <f>IF('Net zero activities &amp; levers'!$C$14="Off",((Data!$AJ$26*'Net zero Intermediate calcs'!BD29)+Data!$AK$26),IF('Net zero activities &amp; levers'!$C$14="On",((Data!$AJ$26*'Net zero Intermediate calcs'!BD29)+Data!$AK$26)*(1-'Net zero supporting data'!AG215),"ERROR"))</f>
        <v>464163.26801617118</v>
      </c>
      <c r="BE32" s="94">
        <f>IF('Net zero activities &amp; levers'!$C$14="Off",((Data!$AJ$26*'Net zero Intermediate calcs'!BE29)+Data!$AK$26),IF('Net zero activities &amp; levers'!$C$14="On",((Data!$AJ$26*'Net zero Intermediate calcs'!BE29)+Data!$AK$26)*(1-'Net zero supporting data'!AH215),"ERROR"))</f>
        <v>479261.7491570136</v>
      </c>
      <c r="BF32" s="94">
        <f>IF('Net zero activities &amp; levers'!$C$14="Off",((Data!$AJ$26*'Net zero Intermediate calcs'!BF29)+Data!$AK$26),IF('Net zero activities &amp; levers'!$C$14="On",((Data!$AJ$26*'Net zero Intermediate calcs'!BF29)+Data!$AK$26)*(1-'Net zero supporting data'!AI215),"ERROR"))</f>
        <v>495063.28473858617</v>
      </c>
      <c r="BG32" s="94">
        <f>IF('Net zero activities &amp; levers'!$C$14="Off",((Data!$AJ$26*'Net zero Intermediate calcs'!BG29)+Data!$AK$26),IF('Net zero activities &amp; levers'!$C$14="On",((Data!$AJ$26*'Net zero Intermediate calcs'!BG29)+Data!$AK$26)*(1-'Net zero supporting data'!AJ215),"ERROR"))</f>
        <v>511615.21372666396</v>
      </c>
      <c r="BH32" s="94">
        <f>IF('Net zero activities &amp; levers'!$C$14="Off",((Data!$AJ$26*'Net zero Intermediate calcs'!BH29)+Data!$AK$26),IF('Net zero activities &amp; levers'!$C$14="On",((Data!$AJ$26*'Net zero Intermediate calcs'!BH29)+Data!$AK$26)*(1-'Net zero supporting data'!AK215),"ERROR"))</f>
        <v>516515.26359620015</v>
      </c>
      <c r="BI32" s="94">
        <f>IF('Net zero activities &amp; levers'!$C$14="Off",((Data!$AJ$26*'Net zero Intermediate calcs'!BI29)+Data!$AK$26),IF('Net zero activities &amp; levers'!$C$14="On",((Data!$AJ$26*'Net zero Intermediate calcs'!BI29)+Data!$AK$26)*(1-'Net zero supporting data'!AL215),"ERROR"))</f>
        <v>520330.18731280207</v>
      </c>
      <c r="BJ32" s="94">
        <f>IF('Net zero activities &amp; levers'!$C$14="Off",((Data!$AJ$26*'Net zero Intermediate calcs'!BJ29)+Data!$AK$26),IF('Net zero activities &amp; levers'!$C$14="On",((Data!$AJ$26*'Net zero Intermediate calcs'!BJ29)+Data!$AK$26)*(1-'Net zero supporting data'!AM215),"ERROR"))</f>
        <v>522569.76966565812</v>
      </c>
      <c r="BK32" s="94">
        <f>IF('Net zero activities &amp; levers'!$C$14="Off",((Data!$AJ$26*'Net zero Intermediate calcs'!BK29)+Data!$AK$26),IF('Net zero activities &amp; levers'!$C$14="On",((Data!$AJ$26*'Net zero Intermediate calcs'!BK29)+Data!$AK$26)*(1-'Net zero supporting data'!AN215),"ERROR"))</f>
        <v>524338.0050911752</v>
      </c>
      <c r="BL32">
        <v>550053.14663898607</v>
      </c>
    </row>
    <row r="33" spans="1:64"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((Data!$AJ$27*LN('Net zero Intermediate calcs'!Y2))+Data!$AK$27)</f>
        <v>8.9505840171188549</v>
      </c>
      <c r="Z33" s="22">
        <f>((Data!$AJ$27*LN('Net zero Intermediate calcs'!Z2))+Data!$AK$27)</f>
        <v>8.6989484356715767</v>
      </c>
      <c r="AA33" s="22">
        <f>((Data!$AJ$27*LN('Net zero Intermediate calcs'!AA2))+Data!$AK$27)</f>
        <v>8.462573140856847</v>
      </c>
      <c r="AB33" s="22">
        <f>((Data!$AJ$27*LN('Net zero Intermediate calcs'!AB2))+Data!$AK$27)</f>
        <v>8.2397125849020476</v>
      </c>
      <c r="AC33" s="22">
        <f>((Data!$AJ$27*LN('Net zero Intermediate calcs'!AC2))+Data!$AK$27)</f>
        <v>8.0289045833895329</v>
      </c>
      <c r="AD33" s="22">
        <f>((Data!$AJ$27*LN('Net zero Intermediate calcs'!AD2))+Data!$AK$27)</f>
        <v>7.8289121179587777</v>
      </c>
      <c r="AE33" s="22">
        <f>((Data!$AJ$27*LN('Net zero Intermediate calcs'!AE2))+Data!$AK$27)</f>
        <v>7.6386793528863848</v>
      </c>
      <c r="AF33" s="22">
        <f>((Data!$AJ$27*LN('Net zero Intermediate calcs'!AF2))+Data!$AK$27)</f>
        <v>7.4572978929940827</v>
      </c>
      <c r="AG33" s="22">
        <f>((Data!$AJ$27*LN('Net zero Intermediate calcs'!AG2))+Data!$AK$27)</f>
        <v>7.2839805481943056</v>
      </c>
      <c r="AH33" s="22">
        <f>((Data!$AJ$27*LN('Net zero Intermediate calcs'!AH2))+Data!$AK$27)</f>
        <v>7.1180406857419687</v>
      </c>
      <c r="AI33" s="22">
        <f>((Data!$AJ$27*LN('Net zero Intermediate calcs'!AI2))+Data!$AK$27)</f>
        <v>6.9588758002459805</v>
      </c>
      <c r="AJ33" s="22">
        <f>((Data!$AJ$27*LN('Net zero Intermediate calcs'!AJ2))+Data!$AK$27)</f>
        <v>6.8059543080093459</v>
      </c>
      <c r="AK33" s="22">
        <f>((Data!$AJ$27*LN('Net zero Intermediate calcs'!AK2))+Data!$AK$27)</f>
        <v>6.6588048349724414</v>
      </c>
      <c r="AL33" s="22">
        <f>((Data!$AJ$27*LN('Net zero Intermediate calcs'!AL2))+Data!$AK$27)</f>
        <v>6.5170074537263076</v>
      </c>
      <c r="AM33" s="22">
        <f>((Data!$AJ$27*LN('Net zero Intermediate calcs'!AM2))+Data!$AK$27)</f>
        <v>6.3801864589340838</v>
      </c>
      <c r="AN33" s="22">
        <f>((Data!$AJ$27*LN('Net zero Intermediate calcs'!AN2))+Data!$AK$27)</f>
        <v>6.2480043680291715</v>
      </c>
      <c r="AO33" s="22">
        <f>((Data!$AJ$27*LN('Net zero Intermediate calcs'!AO2))+Data!$AK$27)</f>
        <v>6.1201569059835439</v>
      </c>
      <c r="AP33" s="22">
        <f>((Data!$AJ$27*LN('Net zero Intermediate calcs'!AP2))+Data!$AK$27)</f>
        <v>5.9963687865818933</v>
      </c>
      <c r="AQ33" s="22">
        <f>((Data!$AJ$27*LN('Net zero Intermediate calcs'!AQ2))+Data!$AK$27)</f>
        <v>5.8763901430644783</v>
      </c>
      <c r="AR33" s="22">
        <f>((Data!$AJ$27*LN('Net zero Intermediate calcs'!AR2))+Data!$AK$27)</f>
        <v>5.7599934917671636</v>
      </c>
      <c r="AS33" s="22">
        <f>((Data!$AJ$27*LN('Net zero Intermediate calcs'!AS2))+Data!$AK$27)</f>
        <v>5.6469711360135104</v>
      </c>
      <c r="AT33" s="22">
        <f>((Data!$AJ$27*LN('Net zero Intermediate calcs'!AT2))+Data!$AK$27)</f>
        <v>5.5371329358123642</v>
      </c>
      <c r="AU33" s="22">
        <f>((Data!$AJ$27*LN('Net zero Intermediate calcs'!AU2))+Data!$AK$27)</f>
        <v>5.4303043831997524</v>
      </c>
      <c r="AV33" s="22">
        <f>((Data!$AJ$27*LN('Net zero Intermediate calcs'!AV2))+Data!$AK$27)</f>
        <v>5.3263249342998495</v>
      </c>
      <c r="AW33" s="22">
        <f>((Data!$AJ$27*LN('Net zero Intermediate calcs'!AW2))+Data!$AK$27)</f>
        <v>5.2250465580797414</v>
      </c>
      <c r="AX33" s="22">
        <f>((Data!$AJ$27*LN('Net zero Intermediate calcs'!AX2))+Data!$AK$27)</f>
        <v>5.1263324688690943</v>
      </c>
      <c r="AY33" s="22">
        <f>((Data!$AJ$27*LN('Net zero Intermediate calcs'!AY2))+Data!$AK$27)</f>
        <v>5.0300560154098388</v>
      </c>
      <c r="AZ33" s="22">
        <f>((Data!$AJ$27*LN('Net zero Intermediate calcs'!AZ2))+Data!$AK$27)</f>
        <v>4.9360997037967014</v>
      </c>
      <c r="BA33" s="22">
        <f>((Data!$AJ$27*LN('Net zero Intermediate calcs'!BA2))+Data!$AK$27)</f>
        <v>4.8443543353997978</v>
      </c>
      <c r="BB33" s="22">
        <f>((Data!$AJ$27*LN('Net zero Intermediate calcs'!BB2))+Data!$AK$27)</f>
        <v>4.7547182439044011</v>
      </c>
      <c r="BC33" s="22">
        <f>((Data!$AJ$27*LN('Net zero Intermediate calcs'!BC2))+Data!$AK$27)</f>
        <v>4.667096618099567</v>
      </c>
      <c r="BD33" s="22">
        <f>((Data!$AJ$27*LN('Net zero Intermediate calcs'!BD2))+Data!$AK$27)</f>
        <v>4.5814008991046222</v>
      </c>
      <c r="BE33" s="22">
        <f>((Data!$AJ$27*LN('Net zero Intermediate calcs'!BE2))+Data!$AK$27)</f>
        <v>4.4975482424258928</v>
      </c>
      <c r="BF33" s="22">
        <f>((Data!$AJ$27*LN('Net zero Intermediate calcs'!BF2))+Data!$AK$27)</f>
        <v>4.4154610366522853</v>
      </c>
      <c r="BG33" s="22">
        <f>((Data!$AJ$27*LN('Net zero Intermediate calcs'!BG2))+Data!$AK$27)</f>
        <v>4.3350664717810403</v>
      </c>
      <c r="BH33" s="22">
        <f>((Data!$AJ$27*LN('Net zero Intermediate calcs'!BH2))+Data!$AK$27)</f>
        <v>4.2562961511562971</v>
      </c>
      <c r="BI33" s="22">
        <f>((Data!$AJ$27*LN('Net zero Intermediate calcs'!BI2))+Data!$AK$27)</f>
        <v>4.1790857418375573</v>
      </c>
      <c r="BJ33" s="22">
        <f>((Data!$AJ$27*LN('Net zero Intermediate calcs'!BJ2))+Data!$AK$27)</f>
        <v>4.1033746589196625</v>
      </c>
      <c r="BK33" s="22">
        <f>((Data!$AJ$27*LN('Net zero Intermediate calcs'!BK2))+Data!$AK$27)</f>
        <v>4.0291057799232792</v>
      </c>
      <c r="BL33">
        <v>4.0291057799232792</v>
      </c>
    </row>
    <row r="34" spans="1:64"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((Data!$AJ$10*'Net zero Intermediate calcs'!Y4)+Data!$AK$10)*Drivers!Z4</f>
        <v>419285.99149200955</v>
      </c>
      <c r="Z34" s="22">
        <f>((Data!$AJ$10*'Net zero Intermediate calcs'!Z4)+Data!$AK$10)*Drivers!AA4</f>
        <v>427660.19548096799</v>
      </c>
      <c r="AA34" s="22">
        <f>((Data!$AJ$10*'Net zero Intermediate calcs'!AA4)+Data!$AK$10)*Drivers!AB4</f>
        <v>437452.24598008749</v>
      </c>
      <c r="AB34" s="22">
        <f>((Data!$AJ$10*'Net zero Intermediate calcs'!AB4)+Data!$AK$10)*Drivers!AC4</f>
        <v>444966.14209508407</v>
      </c>
      <c r="AC34" s="22">
        <f>((Data!$AJ$10*'Net zero Intermediate calcs'!AC4)+Data!$AK$10)*Drivers!AD4</f>
        <v>450995.02687358489</v>
      </c>
      <c r="AD34" s="22">
        <f>((Data!$AJ$10*'Net zero Intermediate calcs'!AD4)+Data!$AK$10)*Drivers!AE4</f>
        <v>455503.05642644467</v>
      </c>
      <c r="AE34" s="22">
        <f>((Data!$AJ$10*'Net zero Intermediate calcs'!AE4)+Data!$AK$10)*Drivers!AF4</f>
        <v>461288.37157907069</v>
      </c>
      <c r="AF34" s="22">
        <f>((Data!$AJ$10*'Net zero Intermediate calcs'!AF4)+Data!$AK$10)*Drivers!AG4</f>
        <v>467304.40661090246</v>
      </c>
      <c r="AG34" s="22">
        <f>((Data!$AJ$10*'Net zero Intermediate calcs'!AG4)+Data!$AK$10)*Drivers!AH4</f>
        <v>446781.6549634742</v>
      </c>
      <c r="AH34" s="22">
        <f>((Data!$AJ$10*'Net zero Intermediate calcs'!AH4)+Data!$AK$10)*Drivers!AI4</f>
        <v>457727.02745202376</v>
      </c>
      <c r="AI34" s="22">
        <f>((Data!$AJ$10*'Net zero Intermediate calcs'!AI4)+Data!$AK$10)*Drivers!AJ4</f>
        <v>472317.58624318294</v>
      </c>
      <c r="AJ34" s="22">
        <f>((Data!$AJ$10*'Net zero Intermediate calcs'!AJ4)+Data!$AK$10)*Drivers!AK4</f>
        <v>481235.86609880422</v>
      </c>
      <c r="AK34" s="22">
        <f>((Data!$AJ$10*'Net zero Intermediate calcs'!AK4)+Data!$AK$10)*Drivers!AL4</f>
        <v>490959.8568146904</v>
      </c>
      <c r="AL34" s="22">
        <f>((Data!$AJ$10*'Net zero Intermediate calcs'!AL4)+Data!$AK$10)*Drivers!AM4</f>
        <v>501735.83830405131</v>
      </c>
      <c r="AM34" s="22">
        <f>((Data!$AJ$10*'Net zero Intermediate calcs'!AM4)+Data!$AK$10)*Drivers!AN4</f>
        <v>512866.30909946584</v>
      </c>
      <c r="AN34" s="22">
        <f>((Data!$AJ$10*'Net zero Intermediate calcs'!AN4)+Data!$AK$10)*Drivers!AO4</f>
        <v>524863.53800901852</v>
      </c>
      <c r="AO34" s="22">
        <f>((Data!$AJ$10*'Net zero Intermediate calcs'!AO4)+Data!$AK$10)*Drivers!AP4</f>
        <v>537130.67125426384</v>
      </c>
      <c r="AP34" s="22">
        <f>((Data!$AJ$10*'Net zero Intermediate calcs'!AP4)+Data!$AK$10)*Drivers!AQ4</f>
        <v>550229.22209610662</v>
      </c>
      <c r="AQ34" s="22">
        <f>((Data!$AJ$10*'Net zero Intermediate calcs'!AQ4)+Data!$AK$10)*Drivers!AR4</f>
        <v>563561.05710812018</v>
      </c>
      <c r="AR34" s="22">
        <f>((Data!$AJ$10*'Net zero Intermediate calcs'!AR4)+Data!$AK$10)*Drivers!AS4</f>
        <v>577945.89423338266</v>
      </c>
      <c r="AS34" s="22">
        <f>((Data!$AJ$10*'Net zero Intermediate calcs'!AS4)+Data!$AK$10)*Drivers!AT4</f>
        <v>592181.84023058391</v>
      </c>
      <c r="AT34" s="22">
        <f>((Data!$AJ$10*'Net zero Intermediate calcs'!AT4)+Data!$AK$10)*Drivers!AU4</f>
        <v>607074.92663549562</v>
      </c>
      <c r="AU34" s="22">
        <f>((Data!$AJ$10*'Net zero Intermediate calcs'!AU4)+Data!$AK$10)*Drivers!AV4</f>
        <v>623605.13170929684</v>
      </c>
      <c r="AV34" s="22">
        <f>((Data!$AJ$10*'Net zero Intermediate calcs'!AV4)+Data!$AK$10)*Drivers!AW4</f>
        <v>639473.87616749632</v>
      </c>
      <c r="AW34" s="22">
        <f>((Data!$AJ$10*'Net zero Intermediate calcs'!AW4)+Data!$AK$10)*Drivers!AX4</f>
        <v>655884.8289951029</v>
      </c>
      <c r="AX34" s="22">
        <f>((Data!$AJ$10*'Net zero Intermediate calcs'!AX4)+Data!$AK$10)*Drivers!AY4</f>
        <v>673283.43504484475</v>
      </c>
      <c r="AY34" s="22">
        <f>((Data!$AJ$10*'Net zero Intermediate calcs'!AY4)+Data!$AK$10)*Drivers!AZ4</f>
        <v>689784.84725582972</v>
      </c>
      <c r="AZ34" s="22">
        <f>((Data!$AJ$10*'Net zero Intermediate calcs'!AZ4)+Data!$AK$10)*Drivers!BA4</f>
        <v>706240.98543075286</v>
      </c>
      <c r="BA34" s="22">
        <f>((Data!$AJ$10*'Net zero Intermediate calcs'!BA4)+Data!$AK$10)*Drivers!BB4</f>
        <v>722689.74222275952</v>
      </c>
      <c r="BB34" s="22">
        <f>((Data!$AJ$10*'Net zero Intermediate calcs'!BB4)+Data!$AK$10)*Drivers!BC4</f>
        <v>740141.4986763976</v>
      </c>
      <c r="BC34" s="22">
        <f>((Data!$AJ$10*'Net zero Intermediate calcs'!BC4)+Data!$AK$10)*Drivers!BD4</f>
        <v>757036.94310596329</v>
      </c>
      <c r="BD34" s="22">
        <f>((Data!$AJ$10*'Net zero Intermediate calcs'!BD4)+Data!$AK$10)*Drivers!BE4</f>
        <v>774517.60230452823</v>
      </c>
      <c r="BE34" s="22">
        <f>((Data!$AJ$10*'Net zero Intermediate calcs'!BE4)+Data!$AK$10)*Drivers!BF4</f>
        <v>792656.47519844701</v>
      </c>
      <c r="BF34" s="22">
        <f>((Data!$AJ$10*'Net zero Intermediate calcs'!BF4)+Data!$AK$10)*Drivers!BG4</f>
        <v>811568.48041244003</v>
      </c>
      <c r="BG34" s="22">
        <f>((Data!$AJ$10*'Net zero Intermediate calcs'!BG4)+Data!$AK$10)*Drivers!BH4</f>
        <v>830985.54410062416</v>
      </c>
      <c r="BH34" s="22">
        <f>((Data!$AJ$10*'Net zero Intermediate calcs'!BH4)+Data!$AK$10)*Drivers!BI4</f>
        <v>837779.21425249311</v>
      </c>
      <c r="BI34" s="22">
        <f>((Data!$AJ$10*'Net zero Intermediate calcs'!BI4)+Data!$AK$10)*Drivers!BJ4</f>
        <v>843404.1461467651</v>
      </c>
      <c r="BJ34" s="22">
        <f>((Data!$AJ$10*'Net zero Intermediate calcs'!BJ4)+Data!$AK$10)*Drivers!BK4</f>
        <v>847328.97320602578</v>
      </c>
      <c r="BK34" s="22">
        <f>((Data!$AJ$10*'Net zero Intermediate calcs'!BK4)+Data!$AK$10)*Drivers!BL4</f>
        <v>850750.49102736707</v>
      </c>
      <c r="BL34">
        <v>879387.44308735442</v>
      </c>
    </row>
    <row r="35" spans="1:64"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8.0066088979239574</v>
      </c>
      <c r="AG35" s="45">
        <f>AG34*ttokg/Drivers!AH4</f>
        <v>7.533156691936278</v>
      </c>
      <c r="AH35" s="45">
        <f>AH34*ttokg/Drivers!AI4</f>
        <v>7.629854456653093</v>
      </c>
      <c r="AI35" s="45">
        <f>AI34*ttokg/Drivers!AJ4</f>
        <v>7.7834446458870268</v>
      </c>
      <c r="AJ35" s="45">
        <f>AJ34*ttokg/Drivers!AK4</f>
        <v>7.8401386015612138</v>
      </c>
      <c r="AK35" s="45">
        <f>AK34*ttokg/Drivers!AL4</f>
        <v>7.9075102713028924</v>
      </c>
      <c r="AL35" s="45">
        <f>AL34*ttokg/Drivers!AM4</f>
        <v>7.9890829869980893</v>
      </c>
      <c r="AM35" s="45">
        <f>AM34*ttokg/Drivers!AN4</f>
        <v>8.0866870705147775</v>
      </c>
      <c r="AN35" s="45">
        <f>AN34*ttokg/Drivers!AO4</f>
        <v>8.1951617236288143</v>
      </c>
      <c r="AO35" s="45">
        <f>AO34*ttokg/Drivers!AP4</f>
        <v>8.3049253810193697</v>
      </c>
      <c r="AP35" s="45">
        <f>AP34*ttokg/Drivers!AQ4</f>
        <v>8.4244991708055537</v>
      </c>
      <c r="AQ35" s="45">
        <f>AQ34*ttokg/Drivers!AR4</f>
        <v>8.5444885697153996</v>
      </c>
      <c r="AR35" s="45">
        <f>AR34*ttokg/Drivers!AS4</f>
        <v>8.6884362725031838</v>
      </c>
      <c r="AS35" s="45">
        <f>AS34*ttokg/Drivers!AT4</f>
        <v>8.8271165642816083</v>
      </c>
      <c r="AT35" s="45">
        <f>AT34*ttokg/Drivers!AU4</f>
        <v>8.9725401741978228</v>
      </c>
      <c r="AU35" s="45">
        <f>AU34*ttokg/Drivers!AV4</f>
        <v>9.1388623295018725</v>
      </c>
      <c r="AV35" s="45">
        <f>AV34*ttokg/Drivers!AW4</f>
        <v>9.2921155375444151</v>
      </c>
      <c r="AW35" s="45">
        <f>AW34*ttokg/Drivers!AX4</f>
        <v>9.4613133017096676</v>
      </c>
      <c r="AX35" s="45">
        <f>AX34*ttokg/Drivers!AY4</f>
        <v>9.6417044004600232</v>
      </c>
      <c r="AY35" s="45">
        <f>AY34*ttokg/Drivers!AZ4</f>
        <v>9.8062187616674308</v>
      </c>
      <c r="AZ35" s="45">
        <f>AZ34*ttokg/Drivers!BA4</f>
        <v>9.9671935020483531</v>
      </c>
      <c r="BA35" s="45">
        <f>BA34*ttokg/Drivers!BB4</f>
        <v>10.12520691992213</v>
      </c>
      <c r="BB35" s="45">
        <f>BB34*ttokg/Drivers!BC4</f>
        <v>10.305705830443552</v>
      </c>
      <c r="BC35" s="45">
        <f>BC34*ttokg/Drivers!BD4</f>
        <v>10.475892412340528</v>
      </c>
      <c r="BD35" s="45">
        <f>BD34*ttokg/Drivers!BE4</f>
        <v>10.651633579741356</v>
      </c>
      <c r="BE35" s="45">
        <f>BE34*ttokg/Drivers!BF4</f>
        <v>10.833802326063093</v>
      </c>
      <c r="BF35" s="45">
        <f>BF34*ttokg/Drivers!BG4</f>
        <v>11.02381805522735</v>
      </c>
      <c r="BG35" s="45">
        <f>BG34*ttokg/Drivers!BH4</f>
        <v>11.230238242237935</v>
      </c>
      <c r="BH35" s="45">
        <f>BH34*ttokg/Drivers!BI4</f>
        <v>11.264546641963237</v>
      </c>
      <c r="BI35" s="45">
        <f>BI34*ttokg/Drivers!BJ4</f>
        <v>11.282582137643653</v>
      </c>
      <c r="BJ35" s="45">
        <f>BJ34*ttokg/Drivers!BK4</f>
        <v>11.277516330930561</v>
      </c>
      <c r="BK35" s="45">
        <f>BK34*ttokg/Drivers!BL4</f>
        <v>11.265546176965351</v>
      </c>
      <c r="BL35">
        <v>11.644739573179301</v>
      </c>
    </row>
    <row r="36" spans="1:64"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0.18179990505022861</v>
      </c>
      <c r="AP36" s="45"/>
      <c r="AQ36" s="45">
        <f>(AQ37-AE37)/AE37</f>
        <v>0.22488271549650843</v>
      </c>
      <c r="AR36" s="45"/>
      <c r="AS36" s="45"/>
      <c r="AT36" s="45"/>
      <c r="AU36" s="45"/>
      <c r="AV36" s="45"/>
      <c r="AW36" s="45"/>
      <c r="AX36" s="45"/>
      <c r="AY36" s="45"/>
      <c r="AZ36" s="45"/>
      <c r="BA36" s="45"/>
      <c r="BB36" s="45"/>
      <c r="BC36" s="45"/>
      <c r="BD36" s="45"/>
      <c r="BE36" s="45"/>
      <c r="BF36" s="45"/>
      <c r="BG36" s="45"/>
      <c r="BH36" s="45"/>
      <c r="BI36" s="45"/>
      <c r="BJ36" s="45"/>
      <c r="BK36" s="45"/>
    </row>
    <row r="37" spans="1:64"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((Data!$AJ$29*'Net zero Intermediate calcs'!Y34)+Data!$AK$29)</f>
        <v>448982.05019678234</v>
      </c>
      <c r="Z37" s="22">
        <f>((Data!$AJ$29*'Net zero Intermediate calcs'!Z34)+Data!$AK$29)</f>
        <v>458090.69820274442</v>
      </c>
      <c r="AA37" s="22">
        <f>((Data!$AJ$29*'Net zero Intermediate calcs'!AA34)+Data!$AK$29)</f>
        <v>468741.54231529374</v>
      </c>
      <c r="AB37" s="22">
        <f>((Data!$AJ$29*'Net zero Intermediate calcs'!AB34)+Data!$AK$29)</f>
        <v>476914.43074207567</v>
      </c>
      <c r="AC37" s="22">
        <f>((Data!$AJ$29*'Net zero Intermediate calcs'!AC34)+Data!$AK$29)</f>
        <v>483472.06766951061</v>
      </c>
      <c r="AD37" s="22">
        <f>((Data!$AJ$29*'Net zero Intermediate calcs'!AD34)+Data!$AK$29)</f>
        <v>488375.46558668761</v>
      </c>
      <c r="AE37" s="22">
        <f>((Data!$AJ$29*'Net zero Intermediate calcs'!AE34)+Data!$AK$29)</f>
        <v>494668.17106631416</v>
      </c>
      <c r="AF37" s="22">
        <f>((Data!$AJ$29*'Net zero Intermediate calcs'!AF34)+Data!$AK$29)</f>
        <v>501211.83128389955</v>
      </c>
      <c r="AG37" s="22">
        <f>((Data!$AJ$29*'Net zero Intermediate calcs'!AG34)+Data!$AK$29)</f>
        <v>478889.16979670874</v>
      </c>
      <c r="AH37" s="22">
        <f>((Data!$AJ$29*'Net zero Intermediate calcs'!AH34)+Data!$AK$29)</f>
        <v>490794.48586302291</v>
      </c>
      <c r="AI37" s="22">
        <f>((Data!$AJ$29*'Net zero Intermediate calcs'!AI34)+Data!$AK$29)</f>
        <v>506664.68253057438</v>
      </c>
      <c r="AJ37" s="22">
        <f>((Data!$AJ$29*'Net zero Intermediate calcs'!AJ34)+Data!$AK$29)</f>
        <v>516365.12356719404</v>
      </c>
      <c r="AK37" s="22">
        <f>((Data!$AJ$29*'Net zero Intermediate calcs'!AK34)+Data!$AK$29)</f>
        <v>526941.93883955129</v>
      </c>
      <c r="AL37" s="22">
        <f>((Data!$AJ$29*'Net zero Intermediate calcs'!AL34)+Data!$AK$29)</f>
        <v>538663.00778350956</v>
      </c>
      <c r="AM37" s="22">
        <f>((Data!$AJ$29*'Net zero Intermediate calcs'!AM34)+Data!$AK$29)</f>
        <v>550769.65586012043</v>
      </c>
      <c r="AN37" s="22">
        <f>((Data!$AJ$29*'Net zero Intermediate calcs'!AN34)+Data!$AK$29)</f>
        <v>563819.07946242974</v>
      </c>
      <c r="AO37" s="22">
        <f>((Data!$AJ$29*'Net zero Intermediate calcs'!AO34)+Data!$AK$29)</f>
        <v>577162.07885920862</v>
      </c>
      <c r="AP37" s="22">
        <f>((Data!$AJ$29*'Net zero Intermediate calcs'!AP34)+Data!$AK$29)</f>
        <v>591409.41378965182</v>
      </c>
      <c r="AQ37" s="22">
        <f>((Data!$AJ$29*'Net zero Intermediate calcs'!AQ34)+Data!$AK$29)</f>
        <v>605910.49264539825</v>
      </c>
      <c r="AR37" s="22">
        <f>((Data!$AJ$29*'Net zero Intermediate calcs'!AR34)+Data!$AK$29)</f>
        <v>621556.92521019746</v>
      </c>
      <c r="AS37" s="22">
        <f>((Data!$AJ$29*'Net zero Intermediate calcs'!AS34)+Data!$AK$29)</f>
        <v>637041.40842691436</v>
      </c>
      <c r="AT37" s="22">
        <f>((Data!$AJ$29*'Net zero Intermediate calcs'!AT34)+Data!$AK$29)</f>
        <v>653240.66533104354</v>
      </c>
      <c r="AU37" s="22">
        <f>((Data!$AJ$29*'Net zero Intermediate calcs'!AU34)+Data!$AK$29)</f>
        <v>671220.62135816552</v>
      </c>
      <c r="AV37" s="22">
        <f>((Data!$AJ$29*'Net zero Intermediate calcs'!AV34)+Data!$AK$29)</f>
        <v>688481.10459417035</v>
      </c>
      <c r="AW37" s="22">
        <f>((Data!$AJ$29*'Net zero Intermediate calcs'!AW34)+Data!$AK$29)</f>
        <v>706331.34957819642</v>
      </c>
      <c r="AX37" s="22">
        <f>((Data!$AJ$29*'Net zero Intermediate calcs'!AX34)+Data!$AK$29)</f>
        <v>725255.86807696428</v>
      </c>
      <c r="AY37" s="22">
        <f>((Data!$AJ$29*'Net zero Intermediate calcs'!AY34)+Data!$AK$29)</f>
        <v>743204.50601668097</v>
      </c>
      <c r="AZ37" s="22">
        <f>((Data!$AJ$29*'Net zero Intermediate calcs'!AZ34)+Data!$AK$29)</f>
        <v>761103.89924503886</v>
      </c>
      <c r="BA37" s="22">
        <f>((Data!$AJ$29*'Net zero Intermediate calcs'!BA34)+Data!$AK$29)</f>
        <v>778995.26371999271</v>
      </c>
      <c r="BB37" s="22">
        <f>((Data!$AJ$29*'Net zero Intermediate calcs'!BB34)+Data!$AK$29)</f>
        <v>797977.59408017504</v>
      </c>
      <c r="BC37" s="22">
        <f>((Data!$AJ$29*'Net zero Intermediate calcs'!BC34)+Data!$AK$29)</f>
        <v>816354.82210281701</v>
      </c>
      <c r="BD37" s="22">
        <f>((Data!$AJ$29*'Net zero Intermediate calcs'!BD34)+Data!$AK$29)</f>
        <v>835368.59006952192</v>
      </c>
      <c r="BE37" s="22">
        <f>((Data!$AJ$29*'Net zero Intermediate calcs'!BE34)+Data!$AK$29)</f>
        <v>855098.29914198304</v>
      </c>
      <c r="BF37" s="22">
        <f>((Data!$AJ$29*'Net zero Intermediate calcs'!BF34)+Data!$AK$29)</f>
        <v>875668.94666959438</v>
      </c>
      <c r="BG37" s="22">
        <f>((Data!$AJ$29*'Net zero Intermediate calcs'!BG34)+Data!$AK$29)</f>
        <v>896788.94788740738</v>
      </c>
      <c r="BH37" s="22">
        <f>((Data!$AJ$29*'Net zero Intermediate calcs'!BH34)+Data!$AK$29)</f>
        <v>904178.44426981895</v>
      </c>
      <c r="BI37" s="22">
        <f>((Data!$AJ$29*'Net zero Intermediate calcs'!BI34)+Data!$AK$29)</f>
        <v>910296.70037511433</v>
      </c>
      <c r="BJ37" s="22">
        <f>((Data!$AJ$29*'Net zero Intermediate calcs'!BJ34)+Data!$AK$29)</f>
        <v>914565.74710650719</v>
      </c>
      <c r="BK37" s="22">
        <f>((Data!$AJ$29*'Net zero Intermediate calcs'!BK34)+Data!$AK$29)</f>
        <v>918287.34279749077</v>
      </c>
      <c r="BL37">
        <v>949435.84558318392</v>
      </c>
    </row>
    <row r="38" spans="1:64"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((Data!$AJ$30*LN('Net zero Intermediate calcs'!Y2))+Data!$AK$30)</f>
        <v>54.878404435813614</v>
      </c>
      <c r="Z38" s="22">
        <f>((Data!$AJ$30*LN('Net zero Intermediate calcs'!Z2))+Data!$AK$30)</f>
        <v>54.880806049015746</v>
      </c>
      <c r="AA38" s="22">
        <f>((Data!$AJ$30*LN('Net zero Intermediate calcs'!AA2))+Data!$AK$30)</f>
        <v>54.883062017847422</v>
      </c>
      <c r="AB38" s="22">
        <f>((Data!$AJ$30*LN('Net zero Intermediate calcs'!AB2))+Data!$AK$30)</f>
        <v>54.88518900183886</v>
      </c>
      <c r="AC38" s="22">
        <f>((Data!$AJ$30*LN('Net zero Intermediate calcs'!AC2))+Data!$AK$30)</f>
        <v>54.887200956096819</v>
      </c>
      <c r="AD38" s="22">
        <f>((Data!$AJ$30*LN('Net zero Intermediate calcs'!AD2))+Data!$AK$30)</f>
        <v>54.889109686740333</v>
      </c>
      <c r="AE38" s="22">
        <f>((Data!$AJ$30*LN('Net zero Intermediate calcs'!AE2))+Data!$AK$30)</f>
        <v>54.890925270679013</v>
      </c>
      <c r="AF38" s="22">
        <f>((Data!$AJ$30*LN('Net zero Intermediate calcs'!AF2))+Data!$AK$30)</f>
        <v>54.892656377648038</v>
      </c>
      <c r="AG38" s="22">
        <f>((Data!$AJ$30*LN('Net zero Intermediate calcs'!AG2))+Data!$AK$30)</f>
        <v>54.894310520599667</v>
      </c>
      <c r="AH38" s="22">
        <f>((Data!$AJ$30*LN('Net zero Intermediate calcs'!AH2))+Data!$AK$30)</f>
        <v>54.895894252765579</v>
      </c>
      <c r="AI38" s="22">
        <f>((Data!$AJ$30*LN('Net zero Intermediate calcs'!AI2))+Data!$AK$30)</f>
        <v>54.897413324464914</v>
      </c>
      <c r="AJ38" s="22">
        <f>((Data!$AJ$30*LN('Net zero Intermediate calcs'!AJ2))+Data!$AK$30)</f>
        <v>54.89887280913927</v>
      </c>
      <c r="AK38" s="22">
        <f>((Data!$AJ$30*LN('Net zero Intermediate calcs'!AK2))+Data!$AK$30)</f>
        <v>54.900277205588694</v>
      </c>
      <c r="AL38" s="22">
        <f>((Data!$AJ$30*LN('Net zero Intermediate calcs'!AL2))+Data!$AK$30)</f>
        <v>54.901630521605725</v>
      </c>
      <c r="AM38" s="22">
        <f>((Data!$AJ$30*LN('Net zero Intermediate calcs'!AM2))+Data!$AK$30)</f>
        <v>54.902936342926907</v>
      </c>
      <c r="AN38" s="22">
        <f>((Data!$AJ$30*LN('Net zero Intermediate calcs'!AN2))+Data!$AK$30)</f>
        <v>54.90419789049016</v>
      </c>
      <c r="AO38" s="22">
        <f>((Data!$AJ$30*LN('Net zero Intermediate calcs'!AO2))+Data!$AK$30)</f>
        <v>54.905418068300236</v>
      </c>
      <c r="AP38" s="22">
        <f>((Data!$AJ$30*LN('Net zero Intermediate calcs'!AP2))+Data!$AK$30)</f>
        <v>54.906599503692291</v>
      </c>
      <c r="AQ38" s="22">
        <f>((Data!$AJ$30*LN('Net zero Intermediate calcs'!AQ2))+Data!$AK$30)</f>
        <v>54.907744581397871</v>
      </c>
      <c r="AR38" s="22">
        <f>((Data!$AJ$30*LN('Net zero Intermediate calcs'!AR2))+Data!$AK$30)</f>
        <v>54.908855472523967</v>
      </c>
      <c r="AS38" s="22">
        <f>((Data!$AJ$30*LN('Net zero Intermediate calcs'!AS2))+Data!$AK$30)</f>
        <v>54.909934159330312</v>
      </c>
      <c r="AT38" s="22">
        <f>((Data!$AJ$30*LN('Net zero Intermediate calcs'!AT2))+Data!$AK$30)</f>
        <v>54.910982456515406</v>
      </c>
      <c r="AU38" s="22">
        <f>((Data!$AJ$30*LN('Net zero Intermediate calcs'!AU2))+Data!$AK$30)</f>
        <v>54.912002029585494</v>
      </c>
      <c r="AV38" s="22">
        <f>((Data!$AJ$30*LN('Net zero Intermediate calcs'!AV2))+Data!$AK$30)</f>
        <v>54.912994410773372</v>
      </c>
      <c r="AW38" s="22">
        <f>((Data!$AJ$30*LN('Net zero Intermediate calcs'!AW2))+Data!$AK$30)</f>
        <v>54.913961012889104</v>
      </c>
      <c r="AX38" s="22">
        <f>((Data!$AJ$30*LN('Net zero Intermediate calcs'!AX2))+Data!$AK$30)</f>
        <v>54.914903141416879</v>
      </c>
      <c r="AY38" s="22">
        <f>((Data!$AJ$30*LN('Net zero Intermediate calcs'!AY2))+Data!$AK$30)</f>
        <v>54.915822005117917</v>
      </c>
      <c r="AZ38" s="22">
        <f>((Data!$AJ$30*LN('Net zero Intermediate calcs'!AZ2))+Data!$AK$30)</f>
        <v>54.916718725355558</v>
      </c>
      <c r="BA38" s="22">
        <f>((Data!$AJ$30*LN('Net zero Intermediate calcs'!BA2))+Data!$AK$30)</f>
        <v>54.917594344322914</v>
      </c>
      <c r="BB38" s="22">
        <f>((Data!$AJ$30*LN('Net zero Intermediate calcs'!BB2))+Data!$AK$30)</f>
        <v>54.91844983232459</v>
      </c>
      <c r="BC38" s="22">
        <f>((Data!$AJ$30*LN('Net zero Intermediate calcs'!BC2))+Data!$AK$30)</f>
        <v>54.919286094239993</v>
      </c>
      <c r="BD38" s="22">
        <f>((Data!$AJ$30*LN('Net zero Intermediate calcs'!BD2))+Data!$AK$30)</f>
        <v>54.920103975276213</v>
      </c>
      <c r="BE38" s="22">
        <f>((Data!$AJ$30*LN('Net zero Intermediate calcs'!BE2))+Data!$AK$30)</f>
        <v>54.920904266102156</v>
      </c>
      <c r="BF38" s="22">
        <f>((Data!$AJ$30*LN('Net zero Intermediate calcs'!BF2))+Data!$AK$30)</f>
        <v>54.921687707442125</v>
      </c>
      <c r="BG38" s="22">
        <f>((Data!$AJ$30*LN('Net zero Intermediate calcs'!BG2))+Data!$AK$30)</f>
        <v>54.922454994195704</v>
      </c>
      <c r="BH38" s="22">
        <f>((Data!$AJ$30*LN('Net zero Intermediate calcs'!BH2))+Data!$AK$30)</f>
        <v>54.923206779141459</v>
      </c>
      <c r="BI38" s="22">
        <f>((Data!$AJ$30*LN('Net zero Intermediate calcs'!BI2))+Data!$AK$30)</f>
        <v>54.923943676273794</v>
      </c>
      <c r="BJ38" s="22">
        <f>((Data!$AJ$30*LN('Net zero Intermediate calcs'!BJ2))+Data!$AK$30)</f>
        <v>54.924666263815823</v>
      </c>
      <c r="BK38" s="22">
        <f>((Data!$AJ$30*LN('Net zero Intermediate calcs'!BK2))+Data!$AK$30)</f>
        <v>54.925375086945202</v>
      </c>
      <c r="BL38">
        <v>54.925375086945202</v>
      </c>
    </row>
    <row r="39" spans="1:64"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94">
        <f>IF('Net zero activities &amp; levers'!$C$12="Off",((Data!$AJ$11*'Intermediate calculations'!Y4)+Data!$AK$11)*Drivers!Z4,IF('Net zero activities &amp; levers'!$C$12="PB",((Data!$AJ$11*'Intermediate calculations'!Y4)+Data!$AK$11)*Drivers!Z4,IF('Net zero activities &amp; levers'!$C$12="MS",'Net zero supporting data'!B207,"ERROR")))</f>
        <v>1780536.5679391939</v>
      </c>
      <c r="Z39" s="94">
        <f>IF('Net zero activities &amp; levers'!$C$12="Off",((Data!$AJ$11*'Intermediate calculations'!Z4)+Data!$AK$11)*Drivers!AA4,IF('Net zero activities &amp; levers'!$C$12="PB",((Data!$AJ$11*'Intermediate calculations'!Z4)+Data!$AK$11)*Drivers!AA4,IF('Net zero activities &amp; levers'!$C$12="MS",'Net zero supporting data'!C207,"ERROR")))</f>
        <v>1834642.5186756081</v>
      </c>
      <c r="AA39" s="94">
        <f>IF('Net zero activities &amp; levers'!$C$12="Off",((Data!$AJ$11*'Intermediate calculations'!AA4)+Data!$AK$11)*Drivers!AB4,IF('Net zero activities &amp; levers'!$C$12="PB",((Data!$AJ$11*'Intermediate calculations'!AA4)+Data!$AK$11)*Drivers!AB4,IF('Net zero activities &amp; levers'!$C$12="MS",'Net zero supporting data'!D207,"ERROR")))</f>
        <v>1905076.8868757137</v>
      </c>
      <c r="AB39" s="94">
        <f>IF('Net zero activities &amp; levers'!$C$12="Off",((Data!$AJ$11*'Intermediate calculations'!AB4)+Data!$AK$11)*Drivers!AC4,IF('Net zero activities &amp; levers'!$C$12="PB",((Data!$AJ$11*'Intermediate calculations'!AB4)+Data!$AK$11)*Drivers!AC4,IF('Net zero activities &amp; levers'!$C$12="MS",'Net zero supporting data'!E207,"ERROR")))</f>
        <v>1943924.6182197323</v>
      </c>
      <c r="AC39" s="94">
        <f>IF('Net zero activities &amp; levers'!$C$12="Off",((Data!$AJ$11*'Intermediate calculations'!AC4)+Data!$AK$11)*Drivers!AD4,IF('Net zero activities &amp; levers'!$C$12="PB",((Data!$AJ$11*'Intermediate calculations'!AC4)+Data!$AK$11)*Drivers!AD4,IF('Net zero activities &amp; levers'!$C$12="MS",'Net zero supporting data'!F207,"ERROR")))</f>
        <v>1961369.2810630382</v>
      </c>
      <c r="AD39" s="94">
        <f>IF('Net zero activities &amp; levers'!$C$12="Off",((Data!$AJ$11*'Intermediate calculations'!AD4)+Data!$AK$11)*Drivers!AE4,IF('Net zero activities &amp; levers'!$C$12="PB",((Data!$AJ$11*'Intermediate calculations'!AD4)+Data!$AK$11)*Drivers!AE4,IF('Net zero activities &amp; levers'!$C$12="MS",'Net zero supporting data'!G207,"ERROR")))</f>
        <v>1956860.8704089574</v>
      </c>
      <c r="AE39" s="94">
        <f>IF('Net zero activities &amp; levers'!$C$12="Off",((Data!$AJ$11*'Intermediate calculations'!AE4)+Data!$AK$11)*Drivers!AF4,IF('Net zero activities &amp; levers'!$C$12="PB",((Data!$AJ$11*'Intermediate calculations'!AE4)+Data!$AK$11)*Drivers!AF4,IF('Net zero activities &amp; levers'!$C$12="MS",'Net zero supporting data'!H207,"ERROR")))</f>
        <v>1968044.8895064972</v>
      </c>
      <c r="AF39" s="94">
        <f>IF('Net zero activities &amp; levers'!$C$12="Off",((Data!$AJ$11*'Intermediate calculations'!AF4)+Data!$AK$11)*Drivers!AG4,IF('Net zero activities &amp; levers'!$C$12="PB",((Data!$AJ$11*'Intermediate calculations'!AF4)+Data!$AK$11)*Drivers!AG4,IF('Net zero activities &amp; levers'!$C$12="MS",'Net zero supporting data'!I207,"ERROR")))</f>
        <v>1981185.0437649265</v>
      </c>
      <c r="AG39" s="94">
        <f>IF('Net zero activities &amp; levers'!$C$12="Off",((Data!$AJ$11*'Intermediate calculations'!AG4)+Data!$AK$11)*Drivers!AH4,IF('Net zero activities &amp; levers'!$C$12="PB",((Data!$AJ$11*'Intermediate calculations'!AG4)+Data!$AK$11)*Drivers!AH4,IF('Net zero activities &amp; levers'!$C$12="MS",'Net zero supporting data'!J207,"ERROR")))</f>
        <v>1649789.7930508428</v>
      </c>
      <c r="AH39" s="94">
        <f>IF('Net zero activities &amp; levers'!$C$12="Off",((Data!$AJ$11*'Intermediate calculations'!AH4)+Data!$AK$11)*Drivers!AI4,IF('Net zero activities &amp; levers'!$C$12="PB",((Data!$AJ$11*'Intermediate calculations'!AH4)+Data!$AK$11)*Drivers!AI4,IF('Net zero activities &amp; levers'!$C$12="MS",'Net zero supporting data'!K207,"ERROR")))</f>
        <v>1743868.1531968752</v>
      </c>
      <c r="AI39" s="94">
        <f>IF('Net zero activities &amp; levers'!$C$12="Off",((Data!$AJ$11*'Intermediate calculations'!AI4)+Data!$AK$11)*Drivers!AJ4,IF('Net zero activities &amp; levers'!$C$12="PB",((Data!$AJ$11*'Intermediate calculations'!AI4)+Data!$AK$11)*Drivers!AJ4,IF('Net zero activities &amp; levers'!$C$12="MS",'Net zero supporting data'!L207,"ERROR")))</f>
        <v>1884577.8544416991</v>
      </c>
      <c r="AJ39" s="94">
        <f>IF('Net zero activities &amp; levers'!$C$12="Off",((Data!$AJ$11*'Intermediate calculations'!AJ4)+Data!$AK$11)*Drivers!AK4,IF('Net zero activities &amp; levers'!$C$12="PB",((Data!$AJ$11*'Intermediate calculations'!AJ4)+Data!$AK$11)*Drivers!AK4,IF('Net zero activities &amp; levers'!$C$12="MS",'Net zero supporting data'!M207,"ERROR")))</f>
        <v>1951317.6241627187</v>
      </c>
      <c r="AK39" s="94">
        <f>IF('Net zero activities &amp; levers'!$C$12="Off",((Data!$AJ$11*'Intermediate calculations'!AK4)+Data!$AK$11)*Drivers!AL4,IF('Net zero activities &amp; levers'!$C$12="PB",((Data!$AJ$11*'Intermediate calculations'!AK4)+Data!$AK$11)*Drivers!AL4,IF('Net zero activities &amp; levers'!$C$12="MS",'Net zero supporting data'!N207,"ERROR")))</f>
        <v>2027925.0153671976</v>
      </c>
      <c r="AL39" s="94">
        <f>IF('Net zero activities &amp; levers'!$C$12="Off",((Data!$AJ$11*'Intermediate calculations'!AL4)+Data!$AK$11)*Drivers!AM4,IF('Net zero activities &amp; levers'!$C$12="PB",((Data!$AJ$11*'Intermediate calculations'!AL4)+Data!$AK$11)*Drivers!AM4,IF('Net zero activities &amp; levers'!$C$12="MS",'Net zero supporting data'!O207,"ERROR")))</f>
        <v>2117581.1478916127</v>
      </c>
      <c r="AM39" s="94">
        <f>IF('Net zero activities &amp; levers'!$C$12="Off",((Data!$AJ$11*'Intermediate calculations'!AM4)+Data!$AK$11)*Drivers!AN4,IF('Net zero activities &amp; levers'!$C$12="PB",((Data!$AJ$11*'Intermediate calculations'!AM4)+Data!$AK$11)*Drivers!AN4,IF('Net zero activities &amp; levers'!$C$12="MS",'Net zero supporting data'!P207,"ERROR")))</f>
        <v>2218550.3192499061</v>
      </c>
      <c r="AN39" s="94">
        <f>IF('Net zero activities &amp; levers'!$C$12="Off",((Data!$AJ$11*'Intermediate calculations'!AN4)+Data!$AK$11)*Drivers!AO4,IF('Net zero activities &amp; levers'!$C$12="PB",((Data!$AJ$11*'Intermediate calculations'!AN4)+Data!$AK$11)*Drivers!AO4,IF('Net zero activities &amp; levers'!$C$12="MS",'Net zero supporting data'!Q207,"ERROR")))</f>
        <v>2330313.5523487939</v>
      </c>
      <c r="AO39" s="94">
        <f>IF('Net zero activities &amp; levers'!$C$12="Off",((Data!$AJ$11*'Intermediate calculations'!AO4)+Data!$AK$11)*Drivers!AP4,IF('Net zero activities &amp; levers'!$C$12="PB",((Data!$AJ$11*'Intermediate calculations'!AO4)+Data!$AK$11)*Drivers!AP4,IF('Net zero activities &amp; levers'!$C$12="MS",'Net zero supporting data'!R207,"ERROR")))</f>
        <v>2445141.6542588295</v>
      </c>
      <c r="AP39" s="94">
        <f>IF('Net zero activities &amp; levers'!$C$12="Off",((Data!$AJ$11*'Intermediate calculations'!AP4)+Data!$AK$11)*Drivers!AQ4,IF('Net zero activities &amp; levers'!$C$12="PB",((Data!$AJ$11*'Intermediate calculations'!AP4)+Data!$AK$11)*Drivers!AQ4,IF('Net zero activities &amp; levers'!$C$12="MS",'Net zero supporting data'!S207,"ERROR")))</f>
        <v>2570298.0125768725</v>
      </c>
      <c r="AQ39" s="94">
        <f>IF('Net zero activities &amp; levers'!$C$12="Off",((Data!$AJ$11*'Intermediate calculations'!AQ4)+Data!$AK$11)*Drivers!AR4,IF('Net zero activities &amp; levers'!$C$12="PB",((Data!$AJ$11*'Intermediate calculations'!AQ4)+Data!$AK$11)*Drivers!AR4,IF('Net zero activities &amp; levers'!$C$12="MS",'Net zero supporting data'!T207,"ERROR")))</f>
        <v>2698036.7893471522</v>
      </c>
      <c r="AR39" s="94">
        <f>IF('Net zero activities &amp; levers'!$C$12="Off",((Data!$AJ$11*'Intermediate calculations'!AR4)+Data!$AK$11)*Drivers!AS4,IF('Net zero activities &amp; levers'!$C$12="PB",((Data!$AJ$11*'Intermediate calculations'!AR4)+Data!$AK$11)*Drivers!AS4,IF('Net zero activities &amp; levers'!$C$12="MS",'Net zero supporting data'!U207,"ERROR")))</f>
        <v>2844994.0641422924</v>
      </c>
      <c r="AS39" s="94">
        <f>IF('Net zero activities &amp; levers'!$C$12="Off",((Data!$AJ$11*'Intermediate calculations'!AS4)+Data!$AK$11)*Drivers!AT4,IF('Net zero activities &amp; levers'!$C$12="PB",((Data!$AJ$11*'Intermediate calculations'!AS4)+Data!$AK$11)*Drivers!AT4,IF('Net zero activities &amp; levers'!$C$12="MS",'Net zero supporting data'!V207,"ERROR")))</f>
        <v>2989689.507352842</v>
      </c>
      <c r="AT39" s="94">
        <f>IF('Net zero activities &amp; levers'!$C$12="Off",((Data!$AJ$11*'Intermediate calculations'!AT4)+Data!$AK$11)*Drivers!AU4,IF('Net zero activities &amp; levers'!$C$12="PB",((Data!$AJ$11*'Intermediate calculations'!AT4)+Data!$AK$11)*Drivers!AU4,IF('Net zero activities &amp; levers'!$C$12="MS",'Net zero supporting data'!W207,"ERROR")))</f>
        <v>3142552.6427659136</v>
      </c>
      <c r="AU39" s="94">
        <f>IF('Net zero activities &amp; levers'!$C$12="Off",((Data!$AJ$11*'Intermediate calculations'!AU4)+Data!$AK$11)*Drivers!AV4,IF('Net zero activities &amp; levers'!$C$12="PB",((Data!$AJ$11*'Intermediate calculations'!AU4)+Data!$AK$11)*Drivers!AV4,IF('Net zero activities &amp; levers'!$C$12="MS",'Net zero supporting data'!X207,"ERROR")))</f>
        <v>3316264.3437950383</v>
      </c>
      <c r="AV39" s="94">
        <f>IF('Net zero activities &amp; levers'!$C$12="Off",((Data!$AJ$11*'Intermediate calculations'!AV4)+Data!$AK$11)*Drivers!AW4,IF('Net zero activities &amp; levers'!$C$12="PB",((Data!$AJ$11*'Intermediate calculations'!AV4)+Data!$AK$11)*Drivers!AW4,IF('Net zero activities &amp; levers'!$C$12="MS",'Net zero supporting data'!Y207,"ERROR")))</f>
        <v>3481071.4368756572</v>
      </c>
      <c r="AW39" s="94">
        <f>IF('Net zero activities &amp; levers'!$C$12="Off",((Data!$AJ$11*'Intermediate calculations'!AW4)+Data!$AK$11)*Drivers!AX4,IF('Net zero activities &amp; levers'!$C$12="PB",((Data!$AJ$11*'Intermediate calculations'!AW4)+Data!$AK$11)*Drivers!AX4,IF('Net zero activities &amp; levers'!$C$12="MS",'Net zero supporting data'!Z207,"ERROR")))</f>
        <v>3658367.5316689452</v>
      </c>
      <c r="AX39" s="94">
        <f>IF('Net zero activities &amp; levers'!$C$12="Off",((Data!$AJ$11*'Intermediate calculations'!AX4)+Data!$AK$11)*Drivers!AY4,IF('Net zero activities &amp; levers'!$C$12="PB",((Data!$AJ$11*'Intermediate calculations'!AX4)+Data!$AK$11)*Drivers!AY4,IF('Net zero activities &amp; levers'!$C$12="MS",'Net zero supporting data'!AA207,"ERROR")))</f>
        <v>3848189.6779006226</v>
      </c>
      <c r="AY39" s="94">
        <f>IF('Net zero activities &amp; levers'!$C$12="Off",((Data!$AJ$11*'Intermediate calculations'!AY4)+Data!$AK$11)*Drivers!AZ4,IF('Net zero activities &amp; levers'!$C$12="PB",((Data!$AJ$11*'Intermediate calculations'!AY4)+Data!$AK$11)*Drivers!AZ4,IF('Net zero activities &amp; levers'!$C$12="MS",'Net zero supporting data'!AB207,"ERROR")))</f>
        <v>4026140.6182582239</v>
      </c>
      <c r="AZ39" s="94">
        <f>IF('Net zero activities &amp; levers'!$C$12="Off",((Data!$AJ$11*'Intermediate calculations'!AZ4)+Data!$AK$11)*Drivers!BA4,IF('Net zero activities &amp; levers'!$C$12="PB",((Data!$AJ$11*'Intermediate calculations'!AZ4)+Data!$AK$11)*Drivers!BA4,IF('Net zero activities &amp; levers'!$C$12="MS",'Net zero supporting data'!AC207,"ERROR")))</f>
        <v>4203244.7647383884</v>
      </c>
      <c r="BA39" s="94">
        <f>IF('Net zero activities &amp; levers'!$C$12="Off",((Data!$AJ$11*'Intermediate calculations'!BA4)+Data!$AK$11)*Drivers!BB4,IF('Net zero activities &amp; levers'!$C$12="PB",((Data!$AJ$11*'Intermediate calculations'!BA4)+Data!$AK$11)*Drivers!BB4,IF('Net zero activities &amp; levers'!$C$12="MS",'Net zero supporting data'!AD207,"ERROR")))</f>
        <v>4379990.6484487224</v>
      </c>
      <c r="BB39" s="94">
        <f>IF('Net zero activities &amp; levers'!$C$12="Off",((Data!$AJ$11*'Intermediate calculations'!BB4)+Data!$AK$11)*Drivers!BC4,IF('Net zero activities &amp; levers'!$C$12="PB",((Data!$AJ$11*'Intermediate calculations'!BB4)+Data!$AK$11)*Drivers!BC4,IF('Net zero activities &amp; levers'!$C$12="MS",'Net zero supporting data'!AE207,"ERROR")))</f>
        <v>4574975.5428598318</v>
      </c>
      <c r="BC39" s="94">
        <f>IF('Net zero activities &amp; levers'!$C$12="Off",((Data!$AJ$11*'Intermediate calculations'!BC4)+Data!$AK$11)*Drivers!BD4,IF('Net zero activities &amp; levers'!$C$12="PB",((Data!$AJ$11*'Intermediate calculations'!BC4)+Data!$AK$11)*Drivers!BD4,IF('Net zero activities &amp; levers'!$C$12="MS",'Net zero supporting data'!AF207,"ERROR")))</f>
        <v>4762568.2858607862</v>
      </c>
      <c r="BD39" s="94">
        <f>IF('Net zero activities &amp; levers'!$C$12="Off",((Data!$AJ$11*'Intermediate calculations'!BD4)+Data!$AK$11)*Drivers!BE4,IF('Net zero activities &amp; levers'!$C$12="PB",((Data!$AJ$11*'Intermediate calculations'!BD4)+Data!$AK$11)*Drivers!BE4,IF('Net zero activities &amp; levers'!$C$12="MS",'Net zero supporting data'!AG207,"ERROR")))</f>
        <v>4957542.3459407697</v>
      </c>
      <c r="BE39" s="94">
        <f>IF('Net zero activities &amp; levers'!$C$12="Off",((Data!$AJ$11*'Intermediate calculations'!BE4)+Data!$AK$11)*Drivers!BF4,IF('Net zero activities &amp; levers'!$C$12="PB",((Data!$AJ$11*'Intermediate calculations'!BE4)+Data!$AK$11)*Drivers!BF4,IF('Net zero activities &amp; levers'!$C$12="MS",'Net zero supporting data'!AH207,"ERROR")))</f>
        <v>5160841.341402295</v>
      </c>
      <c r="BF39" s="94">
        <f>IF('Net zero activities &amp; levers'!$C$12="Off",((Data!$AJ$11*'Intermediate calculations'!BF4)+Data!$AK$11)*Drivers!BG4,IF('Net zero activities &amp; levers'!$C$12="PB",((Data!$AJ$11*'Intermediate calculations'!BF4)+Data!$AK$11)*Drivers!BG4,IF('Net zero activities &amp; levers'!$C$12="MS",'Net zero supporting data'!AI207,"ERROR")))</f>
        <v>5373951.4453080129</v>
      </c>
      <c r="BG39" s="94">
        <f>IF('Net zero activities &amp; levers'!$C$12="Off",((Data!$AJ$11*'Intermediate calculations'!BG4)+Data!$AK$11)*Drivers!BH4,IF('Net zero activities &amp; levers'!$C$12="PB",((Data!$AJ$11*'Intermediate calculations'!BG4)+Data!$AK$11)*Drivers!BH4,IF('Net zero activities &amp; levers'!$C$12="MS",'Net zero supporting data'!AJ207,"ERROR")))</f>
        <v>5599076.1348213833</v>
      </c>
      <c r="BH39" s="94">
        <f>IF('Net zero activities &amp; levers'!$C$12="Off",((Data!$AJ$11*'Intermediate calculations'!BH4)+Data!$AK$11)*Drivers!BI4,IF('Net zero activities &amp; levers'!$C$12="PB",((Data!$AJ$11*'Intermediate calculations'!BH4)+Data!$AK$11)*Drivers!BI4,IF('Net zero activities &amp; levers'!$C$12="MS",'Net zero supporting data'!AK207,"ERROR")))</f>
        <v>5660683.8942970913</v>
      </c>
      <c r="BI39" s="94">
        <f>IF('Net zero activities &amp; levers'!$C$12="Off",((Data!$AJ$11*'Intermediate calculations'!BI4)+Data!$AK$11)*Drivers!BJ4,IF('Net zero activities &amp; levers'!$C$12="PB",((Data!$AJ$11*'Intermediate calculations'!BI4)+Data!$AK$11)*Drivers!BJ4,IF('Net zero activities &amp; levers'!$C$12="MS",'Net zero supporting data'!AL207,"ERROR")))</f>
        <v>5707030.4289737996</v>
      </c>
      <c r="BJ39" s="94">
        <f>IF('Net zero activities &amp; levers'!$C$12="Off",((Data!$AJ$11*'Intermediate calculations'!BJ4)+Data!$AK$11)*Drivers!BK4,IF('Net zero activities &amp; levers'!$C$12="PB",((Data!$AJ$11*'Intermediate calculations'!BJ4)+Data!$AK$11)*Drivers!BK4,IF('Net zero activities &amp; levers'!$C$12="MS",'Net zero supporting data'!AM207,"ERROR")))</f>
        <v>5731237.6316942275</v>
      </c>
      <c r="BK39" s="94">
        <f>IF('Net zero activities &amp; levers'!$C$12="Off",((Data!$AJ$11*'Intermediate calculations'!BK4)+Data!$AK$11)*Drivers!BL4,IF('Net zero activities &amp; levers'!$C$12="PB",((Data!$AJ$11*'Intermediate calculations'!BK4)+Data!$AK$11)*Drivers!BL4,IF('Net zero activities &amp; levers'!$C$12="MS",'Net zero supporting data'!AN207,"ERROR")))</f>
        <v>5748794.8114293879</v>
      </c>
      <c r="BL39">
        <v>6068389.0812562732</v>
      </c>
    </row>
    <row r="40" spans="1:64"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34.547852654544698</v>
      </c>
      <c r="AA40" s="45">
        <f>AA39*ttokg/Drivers!AB4</f>
        <v>35.336547792755709</v>
      </c>
      <c r="AB40" s="45">
        <f>AB39*ttokg/Drivers!AC4</f>
        <v>35.505153770812321</v>
      </c>
      <c r="AC40" s="45">
        <f>AC39*ttokg/Drivers!AD4</f>
        <v>35.263778862315192</v>
      </c>
      <c r="AD40" s="45">
        <f>AD39*ttokg/Drivers!AE4</f>
        <v>34.621256665942369</v>
      </c>
      <c r="AE40" s="45">
        <f>AE39*ttokg/Drivers!AF4</f>
        <v>34.265005716880026</v>
      </c>
      <c r="AF40" s="45">
        <f>AF39*ttokg/Drivers!AG4</f>
        <v>33.944841040307118</v>
      </c>
      <c r="AG40" s="45">
        <f>AG39*ttokg/Drivers!AH4</f>
        <v>27.816999381555092</v>
      </c>
      <c r="AH40" s="45">
        <f>AH39*ttokg/Drivers!AI4</f>
        <v>29.068548288595824</v>
      </c>
      <c r="AI40" s="45">
        <f>AI39*ttokg/Drivers!AJ4</f>
        <v>31.056449808665612</v>
      </c>
      <c r="AJ40" s="45">
        <f>AJ39*ttokg/Drivers!AK4</f>
        <v>31.790233660522382</v>
      </c>
      <c r="AK40" s="45">
        <f>AK39*ttokg/Drivers!AL4</f>
        <v>32.662218032422174</v>
      </c>
      <c r="AL40" s="45">
        <f>AL39*ttokg/Drivers!AM4</f>
        <v>33.718005035065417</v>
      </c>
      <c r="AM40" s="45">
        <f>AM39*ttokg/Drivers!AN4</f>
        <v>34.981284330153187</v>
      </c>
      <c r="AN40" s="45">
        <f>AN39*ttokg/Drivers!AO4</f>
        <v>36.385260253940878</v>
      </c>
      <c r="AO40" s="45">
        <f>AO39*ttokg/Drivers!AP4</f>
        <v>37.805919623288773</v>
      </c>
      <c r="AP40" s="45">
        <f>AP39*ttokg/Drivers!AQ4</f>
        <v>39.3535504951696</v>
      </c>
      <c r="AQ40" s="45">
        <f>AQ39*ttokg/Drivers!AR4</f>
        <v>40.906560551833081</v>
      </c>
      <c r="AR40" s="45">
        <f>AR39*ttokg/Drivers!AS4</f>
        <v>42.769660393103244</v>
      </c>
      <c r="AS40" s="45">
        <f>AS39*ttokg/Drivers!AT4</f>
        <v>44.564584692663516</v>
      </c>
      <c r="AT40" s="45">
        <f>AT39*ttokg/Drivers!AU4</f>
        <v>46.446787043271769</v>
      </c>
      <c r="AU40" s="45">
        <f>AU39*ttokg/Drivers!AV4</f>
        <v>48.599477049054727</v>
      </c>
      <c r="AV40" s="45">
        <f>AV39*ttokg/Drivers!AW4</f>
        <v>50.583017057325243</v>
      </c>
      <c r="AW40" s="45">
        <f>AW39*ttokg/Drivers!AX4</f>
        <v>52.772925763435502</v>
      </c>
      <c r="AX40" s="45">
        <f>AX39*ttokg/Drivers!AY4</f>
        <v>55.107708611229953</v>
      </c>
      <c r="AY40" s="45">
        <f>AY39*ttokg/Drivers!AZ4</f>
        <v>57.23700052986549</v>
      </c>
      <c r="AZ40" s="45">
        <f>AZ39*ttokg/Drivers!BA4</f>
        <v>59.320479511772824</v>
      </c>
      <c r="BA40" s="45">
        <f>BA39*ttokg/Drivers!BB4</f>
        <v>61.365630410729487</v>
      </c>
      <c r="BB40" s="45">
        <f>BB39*ttokg/Drivers!BC4</f>
        <v>63.701808654835716</v>
      </c>
      <c r="BC40" s="45">
        <f>BC39*ttokg/Drivers!BD4</f>
        <v>65.904515523913048</v>
      </c>
      <c r="BD40" s="45">
        <f>BD39*ttokg/Drivers!BE4</f>
        <v>68.179114803707165</v>
      </c>
      <c r="BE40" s="45">
        <f>BE39*ttokg/Drivers!BF4</f>
        <v>70.536905555371789</v>
      </c>
      <c r="BF40" s="45">
        <f>BF39*ttokg/Drivers!BG4</f>
        <v>72.996258973235385</v>
      </c>
      <c r="BG40" s="45">
        <f>BG39*ttokg/Drivers!BH4</f>
        <v>75.667933548142258</v>
      </c>
      <c r="BH40" s="45">
        <f>BH39*ttokg/Drivers!BI4</f>
        <v>76.111983524936122</v>
      </c>
      <c r="BI40" s="45">
        <f>BI39*ttokg/Drivers!BJ4</f>
        <v>76.345415031578156</v>
      </c>
      <c r="BJ40" s="45">
        <f>BJ39*ttokg/Drivers!BK4</f>
        <v>76.279848832880432</v>
      </c>
      <c r="BK40" s="45">
        <f>BK39*ttokg/Drivers!BL4</f>
        <v>76.124920400396533</v>
      </c>
      <c r="BL40">
        <v>80.356856395247135</v>
      </c>
    </row>
    <row r="41" spans="1:64"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0.22148889363587396</v>
      </c>
      <c r="AP41" s="45"/>
      <c r="AQ41" s="45">
        <f>(AQ42-AE42)/AE42</f>
        <v>0.32945998773273349</v>
      </c>
      <c r="AR41" s="45"/>
      <c r="AS41" s="45"/>
      <c r="AT41" s="45"/>
      <c r="AU41" s="45"/>
      <c r="AV41" s="45"/>
      <c r="AW41" s="45"/>
      <c r="AX41" s="45"/>
      <c r="AY41" s="45"/>
      <c r="AZ41" s="45"/>
      <c r="BA41" s="45"/>
      <c r="BB41" s="45"/>
      <c r="BC41" s="45"/>
      <c r="BD41" s="45"/>
      <c r="BE41" s="45"/>
      <c r="BF41" s="45"/>
      <c r="BG41" s="45"/>
      <c r="BH41" s="45"/>
      <c r="BI41" s="45"/>
      <c r="BJ41" s="45"/>
      <c r="BK41" s="45"/>
    </row>
    <row r="42" spans="1:64"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94">
        <f>IF('Net zero activities &amp; levers'!$C$14="Off",((Data!$AJ$33*'Net zero Intermediate calcs'!Y39)+Data!$AK$33),IF('Net zero activities &amp; levers'!$C$14="On",((Data!$AJ$33*'Net zero Intermediate calcs'!Y39)+Data!$AK$33)*(1-'Net zero supporting data'!B216),"ERROR"))</f>
        <v>1461929.6645871287</v>
      </c>
      <c r="Z42" s="94">
        <f>IF('Net zero activities &amp; levers'!$C$14="Off",((Data!$AJ$33*'Net zero Intermediate calcs'!Z39)+Data!$AK$33),IF('Net zero activities &amp; levers'!$C$14="On",((Data!$AJ$33*'Net zero Intermediate calcs'!Z39)+Data!$AK$33)*(1-'Net zero supporting data'!C216),"ERROR"))</f>
        <v>1500929.0445244408</v>
      </c>
      <c r="AA42" s="94">
        <f>IF('Net zero activities &amp; levers'!$C$14="Off",((Data!$AJ$33*'Net zero Intermediate calcs'!AA39)+Data!$AK$33),IF('Net zero activities &amp; levers'!$C$14="On",((Data!$AJ$33*'Net zero Intermediate calcs'!AA39)+Data!$AK$33)*(1-'Net zero supporting data'!D216),"ERROR"))</f>
        <v>1551697.8906253513</v>
      </c>
      <c r="AB42" s="94">
        <f>IF('Net zero activities &amp; levers'!$C$14="Off",((Data!$AJ$33*'Net zero Intermediate calcs'!AB39)+Data!$AK$33),IF('Net zero activities &amp; levers'!$C$14="On",((Data!$AJ$33*'Net zero Intermediate calcs'!AB39)+Data!$AK$33)*(1-'Net zero supporting data'!E216),"ERROR"))</f>
        <v>1579699.1994235048</v>
      </c>
      <c r="AC42" s="94">
        <f>IF('Net zero activities &amp; levers'!$C$14="Off",((Data!$AJ$33*'Net zero Intermediate calcs'!AC39)+Data!$AK$33),IF('Net zero activities &amp; levers'!$C$14="On",((Data!$AJ$33*'Net zero Intermediate calcs'!AC39)+Data!$AK$33)*(1-'Net zero supporting data'!F216),"ERROR"))</f>
        <v>1592273.251350228</v>
      </c>
      <c r="AD42" s="94">
        <f>IF('Net zero activities &amp; levers'!$C$14="Off",((Data!$AJ$33*'Net zero Intermediate calcs'!AD39)+Data!$AK$33),IF('Net zero activities &amp; levers'!$C$14="On",((Data!$AJ$33*'Net zero Intermediate calcs'!AD39)+Data!$AK$33)*(1-'Net zero supporting data'!G216),"ERROR"))</f>
        <v>1589023.6047287595</v>
      </c>
      <c r="AE42" s="94">
        <f>IF('Net zero activities &amp; levers'!$C$14="Off",((Data!$AJ$33*'Net zero Intermediate calcs'!AE39)+Data!$AK$33),IF('Net zero activities &amp; levers'!$C$14="On",((Data!$AJ$33*'Net zero Intermediate calcs'!AE39)+Data!$AK$33)*(1-'Net zero supporting data'!H216),"ERROR"))</f>
        <v>1597085.0065537822</v>
      </c>
      <c r="AF42" s="94">
        <f>IF('Net zero activities &amp; levers'!$C$14="Off",((Data!$AJ$33*'Net zero Intermediate calcs'!AF39)+Data!$AK$33),IF('Net zero activities &amp; levers'!$C$14="On",((Data!$AJ$33*'Net zero Intermediate calcs'!AF39)+Data!$AK$33)*(1-'Net zero supporting data'!I216),"ERROR"))</f>
        <v>1606556.3837569274</v>
      </c>
      <c r="AG42" s="94">
        <f>IF('Net zero activities &amp; levers'!$C$14="Off",((Data!$AJ$33*'Net zero Intermediate calcs'!AG39)+Data!$AK$33),IF('Net zero activities &amp; levers'!$C$14="On",((Data!$AJ$33*'Net zero Intermediate calcs'!AG39)+Data!$AK$33)*(1-'Net zero supporting data'!J216),"ERROR"))</f>
        <v>1367687.8468194336</v>
      </c>
      <c r="AH42" s="94">
        <f>IF('Net zero activities &amp; levers'!$C$14="Off",((Data!$AJ$33*'Net zero Intermediate calcs'!AH39)+Data!$AK$33),IF('Net zero activities &amp; levers'!$C$14="On",((Data!$AJ$33*'Net zero Intermediate calcs'!AH39)+Data!$AK$33)*(1-'Net zero supporting data'!K216),"ERROR"))</f>
        <v>1435499.1995685704</v>
      </c>
      <c r="AI42" s="94">
        <f>IF('Net zero activities &amp; levers'!$C$14="Off",((Data!$AJ$33*'Net zero Intermediate calcs'!AI39)+Data!$AK$33),IF('Net zero activities &amp; levers'!$C$14="On",((Data!$AJ$33*'Net zero Intermediate calcs'!AI39)+Data!$AK$33)*(1-'Net zero supporting data'!L216),"ERROR"))</f>
        <v>1536922.2597869604</v>
      </c>
      <c r="AJ42" s="94">
        <f>IF('Net zero activities &amp; levers'!$C$14="Off",((Data!$AJ$33*'Net zero Intermediate calcs'!AJ39)+Data!$AK$33),IF('Net zero activities &amp; levers'!$C$14="On",((Data!$AJ$33*'Net zero Intermediate calcs'!AJ39)+Data!$AK$33)*(1-'Net zero supporting data'!M216),"ERROR"))</f>
        <v>1585028.0522340569</v>
      </c>
      <c r="AK42" s="94">
        <f>IF('Net zero activities &amp; levers'!$C$14="Off",((Data!$AJ$33*'Net zero Intermediate calcs'!AK39)+Data!$AK$33),IF('Net zero activities &amp; levers'!$C$14="On",((Data!$AJ$33*'Net zero Intermediate calcs'!AK39)+Data!$AK$33)*(1-'Net zero supporting data'!N216),"ERROR"))</f>
        <v>1640246.3917129165</v>
      </c>
      <c r="AL42" s="94">
        <f>IF('Net zero activities &amp; levers'!$C$14="Off",((Data!$AJ$33*'Net zero Intermediate calcs'!AL39)+Data!$AK$33),IF('Net zero activities &amp; levers'!$C$14="On",((Data!$AJ$33*'Net zero Intermediate calcs'!AL39)+Data!$AK$33)*(1-'Net zero supporting data'!O216),"ERROR"))</f>
        <v>1704870.2182687717</v>
      </c>
      <c r="AM42" s="94">
        <f>IF('Net zero activities &amp; levers'!$C$14="Off",((Data!$AJ$33*'Net zero Intermediate calcs'!AM39)+Data!$AK$33),IF('Net zero activities &amp; levers'!$C$14="On",((Data!$AJ$33*'Net zero Intermediate calcs'!AM39)+Data!$AK$33)*(1-'Net zero supporting data'!P216),"ERROR"))</f>
        <v>1777648.4436240746</v>
      </c>
      <c r="AN42" s="94">
        <f>IF('Net zero activities &amp; levers'!$C$14="Off",((Data!$AJ$33*'Net zero Intermediate calcs'!AN39)+Data!$AK$33),IF('Net zero activities &amp; levers'!$C$14="On",((Data!$AJ$33*'Net zero Intermediate calcs'!AN39)+Data!$AK$33)*(1-'Net zero supporting data'!Q216),"ERROR"))</f>
        <v>1858206.9909062395</v>
      </c>
      <c r="AO42" s="94">
        <f>IF('Net zero activities &amp; levers'!$C$14="Off",((Data!$AJ$33*'Net zero Intermediate calcs'!AO39)+Data!$AK$33),IF('Net zero activities &amp; levers'!$C$14="On",((Data!$AJ$33*'Net zero Intermediate calcs'!AO39)+Data!$AK$33)*(1-'Net zero supporting data'!R216),"ERROR"))</f>
        <v>1940974.6849014207</v>
      </c>
      <c r="AP42" s="94">
        <f>IF('Net zero activities &amp; levers'!$C$14="Off",((Data!$AJ$33*'Net zero Intermediate calcs'!AP39)+Data!$AK$33),IF('Net zero activities &amp; levers'!$C$14="On",((Data!$AJ$33*'Net zero Intermediate calcs'!AP39)+Data!$AK$33)*(1-'Net zero supporting data'!S216),"ERROR"))</f>
        <v>2031186.9499699047</v>
      </c>
      <c r="AQ42" s="94">
        <f>IF('Net zero activities &amp; levers'!$C$14="Off",((Data!$AJ$33*'Net zero Intermediate calcs'!AQ39)+Data!$AK$33),IF('Net zero activities &amp; levers'!$C$14="On",((Data!$AJ$33*'Net zero Intermediate calcs'!AQ39)+Data!$AK$33)*(1-'Net zero supporting data'!T216),"ERROR"))</f>
        <v>2123260.6132211238</v>
      </c>
      <c r="AR42" s="94">
        <f>IF('Net zero activities &amp; levers'!$C$14="Off",((Data!$AJ$33*'Net zero Intermediate calcs'!AR39)+Data!$AK$33),IF('Net zero activities &amp; levers'!$C$14="On",((Data!$AJ$33*'Net zero Intermediate calcs'!AR39)+Data!$AK$33)*(1-'Net zero supporting data'!U216),"ERROR"))</f>
        <v>2229186.9025900755</v>
      </c>
      <c r="AS42" s="94">
        <f>IF('Net zero activities &amp; levers'!$C$14="Off",((Data!$AJ$33*'Net zero Intermediate calcs'!AS39)+Data!$AK$33),IF('Net zero activities &amp; levers'!$C$14="On",((Data!$AJ$33*'Net zero Intermediate calcs'!AS39)+Data!$AK$33)*(1-'Net zero supporting data'!V216),"ERROR"))</f>
        <v>2333482.8716685404</v>
      </c>
      <c r="AT42" s="94">
        <f>IF('Net zero activities &amp; levers'!$C$14="Off",((Data!$AJ$33*'Net zero Intermediate calcs'!AT39)+Data!$AK$33),IF('Net zero activities &amp; levers'!$C$14="On",((Data!$AJ$33*'Net zero Intermediate calcs'!AT39)+Data!$AK$33)*(1-'Net zero supporting data'!W216),"ERROR"))</f>
        <v>2443666.0847022771</v>
      </c>
      <c r="AU42" s="94">
        <f>IF('Net zero activities &amp; levers'!$C$14="Off",((Data!$AJ$33*'Net zero Intermediate calcs'!AU39)+Data!$AK$33),IF('Net zero activities &amp; levers'!$C$14="On",((Data!$AJ$33*'Net zero Intermediate calcs'!AU39)+Data!$AK$33)*(1-'Net zero supporting data'!X216),"ERROR"))</f>
        <v>2568876.8708687639</v>
      </c>
      <c r="AV42" s="94">
        <f>IF('Net zero activities &amp; levers'!$C$14="Off",((Data!$AJ$33*'Net zero Intermediate calcs'!AV39)+Data!$AK$33),IF('Net zero activities &amp; levers'!$C$14="On",((Data!$AJ$33*'Net zero Intermediate calcs'!AV39)+Data!$AK$33)*(1-'Net zero supporting data'!Y216),"ERROR"))</f>
        <v>2687669.2467892426</v>
      </c>
      <c r="AW42" s="94">
        <f>IF('Net zero activities &amp; levers'!$C$14="Off",((Data!$AJ$33*'Net zero Intermediate calcs'!AW39)+Data!$AK$33),IF('Net zero activities &amp; levers'!$C$14="On",((Data!$AJ$33*'Net zero Intermediate calcs'!AW39)+Data!$AK$33)*(1-'Net zero supporting data'!Z216),"ERROR"))</f>
        <v>2815463.6514367084</v>
      </c>
      <c r="AX42" s="94">
        <f>IF('Net zero activities &amp; levers'!$C$14="Off",((Data!$AJ$33*'Net zero Intermediate calcs'!AX39)+Data!$AK$33),IF('Net zero activities &amp; levers'!$C$14="On",((Data!$AJ$33*'Net zero Intermediate calcs'!AX39)+Data!$AK$33)*(1-'Net zero supporting data'!AA216),"ERROR"))</f>
        <v>2952286.7901237975</v>
      </c>
      <c r="AY42" s="94">
        <f>IF('Net zero activities &amp; levers'!$C$14="Off",((Data!$AJ$33*'Net zero Intermediate calcs'!AY39)+Data!$AK$33),IF('Net zero activities &amp; levers'!$C$14="On",((Data!$AJ$33*'Net zero Intermediate calcs'!AY39)+Data!$AK$33)*(1-'Net zero supporting data'!AB216),"ERROR"))</f>
        <v>3080553.2051622705</v>
      </c>
      <c r="AZ42" s="94">
        <f>IF('Net zero activities &amp; levers'!$C$14="Off",((Data!$AJ$33*'Net zero Intermediate calcs'!AZ39)+Data!$AK$33),IF('Net zero activities &amp; levers'!$C$14="On",((Data!$AJ$33*'Net zero Intermediate calcs'!AZ39)+Data!$AK$33)*(1-'Net zero supporting data'!AC216),"ERROR"))</f>
        <v>3208209.254137394</v>
      </c>
      <c r="BA42" s="94">
        <f>IF('Net zero activities &amp; levers'!$C$14="Off",((Data!$AJ$33*'Net zero Intermediate calcs'!BA39)+Data!$AK$33),IF('Net zero activities &amp; levers'!$C$14="On",((Data!$AJ$33*'Net zero Intermediate calcs'!BA39)+Data!$AK$33)*(1-'Net zero supporting data'!AD216),"ERROR"))</f>
        <v>3335607.0685618292</v>
      </c>
      <c r="BB42" s="94">
        <f>IF('Net zero activities &amp; levers'!$C$14="Off",((Data!$AJ$33*'Net zero Intermediate calcs'!BB39)+Data!$AK$33),IF('Net zero activities &amp; levers'!$C$14="On",((Data!$AJ$33*'Net zero Intermediate calcs'!BB39)+Data!$AK$33)*(1-'Net zero supporting data'!AE216),"ERROR"))</f>
        <v>3476151.498068688</v>
      </c>
      <c r="BC42" s="94">
        <f>IF('Net zero activities &amp; levers'!$C$14="Off",((Data!$AJ$33*'Net zero Intermediate calcs'!BC39)+Data!$AK$33),IF('Net zero activities &amp; levers'!$C$14="On",((Data!$AJ$33*'Net zero Intermediate calcs'!BC39)+Data!$AK$33)*(1-'Net zero supporting data'!AF216),"ERROR"))</f>
        <v>3611367.6907092691</v>
      </c>
      <c r="BD42" s="94">
        <f>IF('Net zero activities &amp; levers'!$C$14="Off",((Data!$AJ$33*'Net zero Intermediate calcs'!BD39)+Data!$AK$33),IF('Net zero activities &amp; levers'!$C$14="On",((Data!$AJ$33*'Net zero Intermediate calcs'!BD39)+Data!$AK$33)*(1-'Net zero supporting data'!AG216),"ERROR"))</f>
        <v>3751904.3108681696</v>
      </c>
      <c r="BE42" s="94">
        <f>IF('Net zero activities &amp; levers'!$C$14="Off",((Data!$AJ$33*'Net zero Intermediate calcs'!BE39)+Data!$AK$33),IF('Net zero activities &amp; levers'!$C$14="On",((Data!$AJ$33*'Net zero Intermediate calcs'!BE39)+Data!$AK$33)*(1-'Net zero supporting data'!AH216),"ERROR"))</f>
        <v>3898441.5153154782</v>
      </c>
      <c r="BF42" s="94">
        <f>IF('Net zero activities &amp; levers'!$C$14="Off",((Data!$AJ$33*'Net zero Intermediate calcs'!BF39)+Data!$AK$33),IF('Net zero activities &amp; levers'!$C$14="On",((Data!$AJ$33*'Net zero Intermediate calcs'!BF39)+Data!$AK$33)*(1-'Net zero supporting data'!AI216),"ERROR"))</f>
        <v>4052050.5323936241</v>
      </c>
      <c r="BG42" s="94">
        <f>IF('Net zero activities &amp; levers'!$C$14="Off",((Data!$AJ$33*'Net zero Intermediate calcs'!BG39)+Data!$AK$33),IF('Net zero activities &amp; levers'!$C$14="On",((Data!$AJ$33*'Net zero Intermediate calcs'!BG39)+Data!$AK$33)*(1-'Net zero supporting data'!AJ216),"ERROR"))</f>
        <v>4214319.6207305649</v>
      </c>
      <c r="BH42" s="94">
        <f>IF('Net zero activities &amp; levers'!$C$14="Off",((Data!$AJ$33*'Net zero Intermediate calcs'!BH39)+Data!$AK$33),IF('Net zero activities &amp; levers'!$C$14="On",((Data!$AJ$33*'Net zero Intermediate calcs'!BH39)+Data!$AK$33)*(1-'Net zero supporting data'!AK216),"ERROR"))</f>
        <v>4258726.2781532332</v>
      </c>
      <c r="BI42" s="94">
        <f>IF('Net zero activities &amp; levers'!$C$14="Off",((Data!$AJ$33*'Net zero Intermediate calcs'!BI39)+Data!$AK$33),IF('Net zero activities &amp; levers'!$C$14="On",((Data!$AJ$33*'Net zero Intermediate calcs'!BI39)+Data!$AK$33)*(1-'Net zero supporting data'!AL216),"ERROR"))</f>
        <v>4292132.6981501793</v>
      </c>
      <c r="BJ42" s="94">
        <f>IF('Net zero activities &amp; levers'!$C$14="Off",((Data!$AJ$33*'Net zero Intermediate calcs'!BJ39)+Data!$AK$33),IF('Net zero activities &amp; levers'!$C$14="On",((Data!$AJ$33*'Net zero Intermediate calcs'!BJ39)+Data!$AK$33)*(1-'Net zero supporting data'!AM216),"ERROR"))</f>
        <v>4309581.1651536087</v>
      </c>
      <c r="BK42" s="94">
        <f>IF('Net zero activities &amp; levers'!$C$14="Off",((Data!$AJ$33*'Net zero Intermediate calcs'!BK39)+Data!$AK$33),IF('Net zero activities &amp; levers'!$C$14="On",((Data!$AJ$33*'Net zero Intermediate calcs'!BK39)+Data!$AK$33)*(1-'Net zero supporting data'!AN216),"ERROR"))</f>
        <v>4322236.3188622072</v>
      </c>
      <c r="BL42">
        <v>4552598.7500758618</v>
      </c>
    </row>
    <row r="43" spans="1:64"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((Data!$AJ$35*LN('Net zero Intermediate calcs'!Y2))+Data!$AK$35)</f>
        <v>67.008604056011919</v>
      </c>
      <c r="Z43" s="22">
        <f>((Data!$AJ$35*LN('Net zero Intermediate calcs'!Z2))+Data!$AK$35)</f>
        <v>66.126942573569849</v>
      </c>
      <c r="AA43" s="22">
        <f>((Data!$AJ$35*LN('Net zero Intermediate calcs'!AA2))+Data!$AK$35)</f>
        <v>65.298748914944895</v>
      </c>
      <c r="AB43" s="22">
        <f>((Data!$AJ$35*LN('Net zero Intermediate calcs'!AB2))+Data!$AK$35)</f>
        <v>64.517907163508653</v>
      </c>
      <c r="AC43" s="22">
        <f>((Data!$AJ$35*LN('Net zero Intermediate calcs'!AC2))+Data!$AK$35)</f>
        <v>63.779294229458571</v>
      </c>
      <c r="AD43" s="22">
        <f>((Data!$AJ$35*LN('Net zero Intermediate calcs'!AD2))+Data!$AK$35)</f>
        <v>63.078575942582013</v>
      </c>
      <c r="AE43" s="22">
        <f>((Data!$AJ$35*LN('Net zero Intermediate calcs'!AE2))+Data!$AK$35)</f>
        <v>62.412052946517086</v>
      </c>
      <c r="AF43" s="22">
        <f>((Data!$AJ$35*LN('Net zero Intermediate calcs'!AF2))+Data!$AK$35)</f>
        <v>61.776542475794329</v>
      </c>
      <c r="AG43" s="22">
        <f>((Data!$AJ$35*LN('Net zero Intermediate calcs'!AG2))+Data!$AK$35)</f>
        <v>61.169286434060382</v>
      </c>
      <c r="AH43" s="22">
        <f>((Data!$AJ$35*LN('Net zero Intermediate calcs'!AH2))+Data!$AK$35)</f>
        <v>60.587879050078747</v>
      </c>
      <c r="AI43" s="22">
        <f>((Data!$AJ$35*LN('Net zero Intermediate calcs'!AI2))+Data!$AK$35)</f>
        <v>60.030209311594177</v>
      </c>
      <c r="AJ43" s="22">
        <f>((Data!$AJ$35*LN('Net zero Intermediate calcs'!AJ2))+Data!$AK$35)</f>
        <v>59.494414696352727</v>
      </c>
      <c r="AK43" s="22">
        <f>((Data!$AJ$35*LN('Net zero Intermediate calcs'!AK2))+Data!$AK$35)</f>
        <v>58.978843640017558</v>
      </c>
      <c r="AL43" s="22">
        <f>((Data!$AJ$35*LN('Net zero Intermediate calcs'!AL2))+Data!$AK$35)</f>
        <v>58.482024833087181</v>
      </c>
      <c r="AM43" s="22">
        <f>((Data!$AJ$35*LN('Net zero Intermediate calcs'!AM2))+Data!$AK$35)</f>
        <v>58.002641907970194</v>
      </c>
      <c r="AN43" s="22">
        <f>((Data!$AJ$35*LN('Net zero Intermediate calcs'!AN2))+Data!$AK$35)</f>
        <v>57.539512419090912</v>
      </c>
      <c r="AO43" s="22">
        <f>((Data!$AJ$35*LN('Net zero Intermediate calcs'!AO2))+Data!$AK$35)</f>
        <v>57.091570270904612</v>
      </c>
      <c r="AP43" s="22">
        <f>((Data!$AJ$35*LN('Net zero Intermediate calcs'!AP2))+Data!$AK$35)</f>
        <v>56.657850936648842</v>
      </c>
      <c r="AQ43" s="22">
        <f>((Data!$AJ$35*LN('Net zero Intermediate calcs'!AQ2))+Data!$AK$35)</f>
        <v>56.237478952303242</v>
      </c>
      <c r="AR43" s="22">
        <f>((Data!$AJ$35*LN('Net zero Intermediate calcs'!AR2))+Data!$AK$35)</f>
        <v>55.829657278023902</v>
      </c>
      <c r="AS43" s="22">
        <f>((Data!$AJ$35*LN('Net zero Intermediate calcs'!AS2))+Data!$AK$35)</f>
        <v>55.433658202099345</v>
      </c>
      <c r="AT43" s="22">
        <f>((Data!$AJ$35*LN('Net zero Intermediate calcs'!AT2))+Data!$AK$35)</f>
        <v>55.048815526587653</v>
      </c>
      <c r="AU43" s="22">
        <f>((Data!$AJ$35*LN('Net zero Intermediate calcs'!AU2))+Data!$AK$35)</f>
        <v>54.674517823846799</v>
      </c>
      <c r="AV43" s="22">
        <f>((Data!$AJ$35*LN('Net zero Intermediate calcs'!AV2))+Data!$AK$35)</f>
        <v>54.310202592537571</v>
      </c>
      <c r="AW43" s="22">
        <f>((Data!$AJ$35*LN('Net zero Intermediate calcs'!AW2))+Data!$AK$35)</f>
        <v>53.955351172861633</v>
      </c>
      <c r="AX43" s="22">
        <f>((Data!$AJ$35*LN('Net zero Intermediate calcs'!AX2))+Data!$AK$35)</f>
        <v>53.609484305661013</v>
      </c>
      <c r="AY43" s="22">
        <f>((Data!$AJ$35*LN('Net zero Intermediate calcs'!AY2))+Data!$AK$35)</f>
        <v>53.272158239955402</v>
      </c>
      <c r="AZ43" s="22">
        <f>((Data!$AJ$35*LN('Net zero Intermediate calcs'!AZ2))+Data!$AK$35)</f>
        <v>52.942961309596079</v>
      </c>
      <c r="BA43" s="22">
        <f>((Data!$AJ$35*LN('Net zero Intermediate calcs'!BA2))+Data!$AK$35)</f>
        <v>52.621510912785027</v>
      </c>
      <c r="BB43" s="22">
        <f>((Data!$AJ$35*LN('Net zero Intermediate calcs'!BB2))+Data!$AK$35)</f>
        <v>52.307450838873336</v>
      </c>
      <c r="BC43" s="22">
        <f>((Data!$AJ$35*LN('Net zero Intermediate calcs'!BC2))+Data!$AK$35)</f>
        <v>52.000448895599824</v>
      </c>
      <c r="BD43" s="22">
        <f>((Data!$AJ$35*LN('Net zero Intermediate calcs'!BD2))+Data!$AK$35)</f>
        <v>51.700194797139382</v>
      </c>
      <c r="BE43" s="22">
        <f>((Data!$AJ$35*LN('Net zero Intermediate calcs'!BE2))+Data!$AK$35)</f>
        <v>51.406398279298507</v>
      </c>
      <c r="BF43" s="22">
        <f>((Data!$AJ$35*LN('Net zero Intermediate calcs'!BF2))+Data!$AK$35)</f>
        <v>51.118787413157747</v>
      </c>
      <c r="BG43" s="22">
        <f>((Data!$AJ$35*LN('Net zero Intermediate calcs'!BG2))+Data!$AK$35)</f>
        <v>50.837107092604512</v>
      </c>
      <c r="BH43" s="22">
        <f>((Data!$AJ$35*LN('Net zero Intermediate calcs'!BH2))+Data!$AK$35)</f>
        <v>50.561117674673177</v>
      </c>
      <c r="BI43" s="22">
        <f>((Data!$AJ$35*LN('Net zero Intermediate calcs'!BI2))+Data!$AK$35)</f>
        <v>50.290593754532807</v>
      </c>
      <c r="BJ43" s="22">
        <f>((Data!$AJ$35*LN('Net zero Intermediate calcs'!BJ2))+Data!$AK$35)</f>
        <v>50.02532305943172</v>
      </c>
      <c r="BK43" s="22">
        <f>((Data!$AJ$35*LN('Net zero Intermediate calcs'!BK2))+Data!$AK$35)</f>
        <v>49.765105448000718</v>
      </c>
      <c r="BL43">
        <v>49.765105448000718</v>
      </c>
    </row>
    <row r="44" spans="1:64"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((Data!$AJ$40*'Net zero Intermediate calcs'!Y45)+Data!$AK$40)</f>
        <v>8837588.9818800241</v>
      </c>
      <c r="Z44" s="22">
        <f>((Data!$AJ$40*'Net zero Intermediate calcs'!Z45)+Data!$AK$40)</f>
        <v>9069608.5036172904</v>
      </c>
      <c r="AA44" s="22">
        <f>((Data!$AJ$40*'Net zero Intermediate calcs'!AA45)+Data!$AK$40)</f>
        <v>9310273.6227034926</v>
      </c>
      <c r="AB44" s="22">
        <f>((Data!$AJ$40*'Net zero Intermediate calcs'!AB45)+Data!$AK$40)</f>
        <v>9559918.203922689</v>
      </c>
      <c r="AC44" s="22">
        <f>((Data!$AJ$40*'Net zero Intermediate calcs'!AC45)+Data!$AK$40)</f>
        <v>9818892.7438438833</v>
      </c>
      <c r="AD44" s="22">
        <f>((Data!$AJ$40*'Net zero Intermediate calcs'!AD45)+Data!$AK$40)</f>
        <v>10087565.193359558</v>
      </c>
      <c r="AE44" s="22">
        <f>((Data!$AJ$40*'Net zero Intermediate calcs'!AE45)+Data!$AK$40)</f>
        <v>10359825.374047417</v>
      </c>
      <c r="AF44" s="22">
        <f>((Data!$AJ$40*'Net zero Intermediate calcs'!AF45)+Data!$AK$40)</f>
        <v>10636488.44826651</v>
      </c>
      <c r="AG44" s="22">
        <f>((Data!$AJ$40*'Net zero Intermediate calcs'!AG45)+Data!$AK$40)</f>
        <v>10917625.618024401</v>
      </c>
      <c r="AH44" s="22">
        <f>((Data!$AJ$40*'Net zero Intermediate calcs'!AH45)+Data!$AK$40)</f>
        <v>11121031.726210065</v>
      </c>
      <c r="AI44" s="22">
        <f>((Data!$AJ$40*'Net zero Intermediate calcs'!AI45)+Data!$AK$40)</f>
        <v>11326779.887281906</v>
      </c>
      <c r="AJ44" s="22">
        <f>((Data!$AJ$40*'Net zero Intermediate calcs'!AJ45)+Data!$AK$40)</f>
        <v>11534897.06803935</v>
      </c>
      <c r="AK44" s="22">
        <f>((Data!$AJ$40*'Net zero Intermediate calcs'!AK45)+Data!$AK$40)</f>
        <v>11745410.545782186</v>
      </c>
      <c r="AL44" s="22">
        <f>((Data!$AJ$40*'Net zero Intermediate calcs'!AL45)+Data!$AK$40)</f>
        <v>11958347.911885723</v>
      </c>
      <c r="AM44" s="22">
        <f>((Data!$AJ$40*'Net zero Intermediate calcs'!AM45)+Data!$AK$40)</f>
        <v>12142539.899210595</v>
      </c>
      <c r="AN44" s="22">
        <f>((Data!$AJ$40*'Net zero Intermediate calcs'!AN45)+Data!$AK$40)</f>
        <v>12328545.523359008</v>
      </c>
      <c r="AO44" s="22">
        <f>((Data!$AJ$40*'Net zero Intermediate calcs'!AO45)+Data!$AK$40)</f>
        <v>12516382.642211623</v>
      </c>
      <c r="AP44" s="22">
        <f>((Data!$AJ$40*'Net zero Intermediate calcs'!AP45)+Data!$AK$40)</f>
        <v>12706069.28948579</v>
      </c>
      <c r="AQ44" s="22">
        <f>((Data!$AJ$40*'Net zero Intermediate calcs'!AQ45)+Data!$AK$40)</f>
        <v>12897623.676466923</v>
      </c>
      <c r="AR44" s="22">
        <f>((Data!$AJ$40*'Net zero Intermediate calcs'!AR45)+Data!$AK$40)</f>
        <v>13065285.550986849</v>
      </c>
      <c r="AS44" s="22">
        <f>((Data!$AJ$40*'Net zero Intermediate calcs'!AS45)+Data!$AK$40)</f>
        <v>13234378.29749348</v>
      </c>
      <c r="AT44" s="22">
        <f>((Data!$AJ$40*'Net zero Intermediate calcs'!AT45)+Data!$AK$40)</f>
        <v>13404914.127437096</v>
      </c>
      <c r="AU44" s="22">
        <f>((Data!$AJ$40*'Net zero Intermediate calcs'!AU45)+Data!$AK$40)</f>
        <v>13576905.356483787</v>
      </c>
      <c r="AV44" s="22">
        <f>((Data!$AJ$40*'Net zero Intermediate calcs'!AV45)+Data!$AK$40)</f>
        <v>13750364.405404896</v>
      </c>
      <c r="AW44" s="22">
        <f>((Data!$AJ$40*'Net zero Intermediate calcs'!AW45)+Data!$AK$40)</f>
        <v>13900436.811271213</v>
      </c>
      <c r="AX44" s="22">
        <f>((Data!$AJ$40*'Net zero Intermediate calcs'!AX45)+Data!$AK$40)</f>
        <v>14051607.920698311</v>
      </c>
      <c r="AY44" s="22">
        <f>((Data!$AJ$40*'Net zero Intermediate calcs'!AY45)+Data!$AK$40)</f>
        <v>14203885.777466834</v>
      </c>
      <c r="AZ44" s="22">
        <f>((Data!$AJ$40*'Net zero Intermediate calcs'!AZ45)+Data!$AK$40)</f>
        <v>14357278.484247208</v>
      </c>
      <c r="BA44" s="22">
        <f>((Data!$AJ$40*'Net zero Intermediate calcs'!BA45)+Data!$AK$40)</f>
        <v>14511794.203030787</v>
      </c>
      <c r="BB44" s="22">
        <f>((Data!$AJ$40*'Net zero Intermediate calcs'!BB45)+Data!$AK$40)</f>
        <v>14643837.857585903</v>
      </c>
      <c r="BC44" s="22">
        <f>((Data!$AJ$40*'Net zero Intermediate calcs'!BC45)+Data!$AK$40)</f>
        <v>14776701.62597286</v>
      </c>
      <c r="BD44" s="22">
        <f>((Data!$AJ$40*'Net zero Intermediate calcs'!BD45)+Data!$AK$40)</f>
        <v>14910390.601860862</v>
      </c>
      <c r="BE44" s="22">
        <f>((Data!$AJ$40*'Net zero Intermediate calcs'!BE45)+Data!$AK$40)</f>
        <v>15044909.910555549</v>
      </c>
      <c r="BF44" s="22">
        <f>((Data!$AJ$40*'Net zero Intermediate calcs'!BF45)+Data!$AK$40)</f>
        <v>15180264.709195454</v>
      </c>
      <c r="BG44" s="22">
        <f>((Data!$AJ$40*'Net zero Intermediate calcs'!BG45)+Data!$AK$40)</f>
        <v>15292205.461046573</v>
      </c>
      <c r="BH44" s="22">
        <f>((Data!$AJ$40*'Net zero Intermediate calcs'!BH45)+Data!$AK$40)</f>
        <v>15404717.65252322</v>
      </c>
      <c r="BI44" s="22">
        <f>((Data!$AJ$40*'Net zero Intermediate calcs'!BI45)+Data!$AK$40)</f>
        <v>15517804.200733222</v>
      </c>
      <c r="BJ44" s="22">
        <f>((Data!$AJ$40*'Net zero Intermediate calcs'!BJ45)+Data!$AK$40)</f>
        <v>15631468.037675805</v>
      </c>
      <c r="BK44" s="22">
        <f>((Data!$AJ$40*'Net zero Intermediate calcs'!BK45)+Data!$AK$40)</f>
        <v>15745712.110317566</v>
      </c>
    </row>
    <row r="45" spans="1:64"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4"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((Data!$AJ$41*'Net zero Intermediate calcs'!Y44)+Data!$AK$41)</f>
        <v>11669565.858699916</v>
      </c>
      <c r="Z46" s="22">
        <f>((Data!$AJ$41*'Net zero Intermediate calcs'!Z44)+Data!$AK$41)</f>
        <v>11888967.550540989</v>
      </c>
      <c r="AA46" s="22">
        <f>((Data!$AJ$41*'Net zero Intermediate calcs'!AA44)+Data!$AK$41)</f>
        <v>12116544.669480311</v>
      </c>
      <c r="AB46" s="22">
        <f>((Data!$AJ$41*'Net zero Intermediate calcs'!AB44)+Data!$AK$41)</f>
        <v>12352612.92385966</v>
      </c>
      <c r="AC46" s="22">
        <f>((Data!$AJ$41*'Net zero Intermediate calcs'!AC44)+Data!$AK$41)</f>
        <v>12597503.749325693</v>
      </c>
      <c r="AD46" s="22">
        <f>((Data!$AJ$41*'Net zero Intermediate calcs'!AD44)+Data!$AK$41)</f>
        <v>12851565.086636676</v>
      </c>
      <c r="AE46" s="22">
        <f>((Data!$AJ$41*'Net zero Intermediate calcs'!AE44)+Data!$AK$41)</f>
        <v>13109019.044892458</v>
      </c>
      <c r="AF46" s="22">
        <f>((Data!$AJ$41*'Net zero Intermediate calcs'!AF44)+Data!$AK$41)</f>
        <v>13370636.455785826</v>
      </c>
      <c r="AG46" s="22">
        <f>((Data!$AJ$41*'Net zero Intermediate calcs'!AG44)+Data!$AK$41)</f>
        <v>13636484.649172502</v>
      </c>
      <c r="AH46" s="22">
        <f>((Data!$AJ$41*'Net zero Intermediate calcs'!AH44)+Data!$AK$41)</f>
        <v>13828828.99990898</v>
      </c>
      <c r="AI46" s="22">
        <f>((Data!$AJ$41*'Net zero Intermediate calcs'!AI44)+Data!$AK$41)</f>
        <v>14023388.036555341</v>
      </c>
      <c r="AJ46" s="22">
        <f>((Data!$AJ$41*'Net zero Intermediate calcs'!AJ44)+Data!$AK$41)</f>
        <v>14220187.259385752</v>
      </c>
      <c r="AK46" s="22">
        <f>((Data!$AJ$41*'Net zero Intermediate calcs'!AK44)+Data!$AK$41)</f>
        <v>14419252.462288925</v>
      </c>
      <c r="AL46" s="22">
        <f>((Data!$AJ$41*'Net zero Intermediate calcs'!AL44)+Data!$AK$41)</f>
        <v>14620609.736148844</v>
      </c>
      <c r="AM46" s="22">
        <f>((Data!$AJ$41*'Net zero Intermediate calcs'!AM44)+Data!$AK$41)</f>
        <v>14794784.880292136</v>
      </c>
      <c r="AN46" s="22">
        <f>((Data!$AJ$41*'Net zero Intermediate calcs'!AN44)+Data!$AK$41)</f>
        <v>14970675.030933551</v>
      </c>
      <c r="AO46" s="22">
        <f>((Data!$AJ$41*'Net zero Intermediate calcs'!AO44)+Data!$AK$41)</f>
        <v>15148297.074795378</v>
      </c>
      <c r="AP46" s="22">
        <f>((Data!$AJ$41*'Net zero Intermediate calcs'!AP44)+Data!$AK$41)</f>
        <v>15327668.064874135</v>
      </c>
      <c r="AQ46" s="22">
        <f>((Data!$AJ$41*'Net zero Intermediate calcs'!AQ44)+Data!$AK$41)</f>
        <v>15508805.222077791</v>
      </c>
      <c r="AR46" s="22">
        <f>((Data!$AJ$41*'Net zero Intermediate calcs'!AR44)+Data!$AK$41)</f>
        <v>15667349.204288788</v>
      </c>
      <c r="AS46" s="22">
        <f>((Data!$AJ$41*'Net zero Intermediate calcs'!AS44)+Data!$AK$41)</f>
        <v>15827246.243916424</v>
      </c>
      <c r="AT46" s="22">
        <f>((Data!$AJ$41*'Net zero Intermediate calcs'!AT44)+Data!$AK$41)</f>
        <v>15988507.888320293</v>
      </c>
      <c r="AU46" s="22">
        <f>((Data!$AJ$41*'Net zero Intermediate calcs'!AU44)+Data!$AK$41)</f>
        <v>16151145.783408277</v>
      </c>
      <c r="AV46" s="22">
        <f>((Data!$AJ$41*'Net zero Intermediate calcs'!AV44)+Data!$AK$41)</f>
        <v>16315171.674477605</v>
      </c>
      <c r="AW46" s="22">
        <f>((Data!$AJ$41*'Net zero Intermediate calcs'!AW44)+Data!$AK$41)</f>
        <v>16457082.749456095</v>
      </c>
      <c r="AX46" s="22">
        <f>((Data!$AJ$41*'Net zero Intermediate calcs'!AX44)+Data!$AK$41)</f>
        <v>16600032.777615169</v>
      </c>
      <c r="AY46" s="22">
        <f>((Data!$AJ$41*'Net zero Intermediate calcs'!AY44)+Data!$AK$41)</f>
        <v>16744029.365293594</v>
      </c>
      <c r="AZ46" s="22">
        <f>((Data!$AJ$41*'Net zero Intermediate calcs'!AZ44)+Data!$AK$41)</f>
        <v>16889080.174517334</v>
      </c>
      <c r="BA46" s="22">
        <f>((Data!$AJ$41*'Net zero Intermediate calcs'!BA44)+Data!$AK$41)</f>
        <v>17035192.923407257</v>
      </c>
      <c r="BB46" s="22">
        <f>((Data!$AJ$41*'Net zero Intermediate calcs'!BB44)+Data!$AK$41)</f>
        <v>17160055.697838265</v>
      </c>
      <c r="BC46" s="22">
        <f>((Data!$AJ$41*'Net zero Intermediate calcs'!BC44)+Data!$AK$41)</f>
        <v>17285693.986160778</v>
      </c>
      <c r="BD46" s="22">
        <f>((Data!$AJ$41*'Net zero Intermediate calcs'!BD44)+Data!$AK$41)</f>
        <v>17412112.605036922</v>
      </c>
      <c r="BE46" s="22">
        <f>((Data!$AJ$41*'Net zero Intermediate calcs'!BE44)+Data!$AK$41)</f>
        <v>17539316.401044771</v>
      </c>
      <c r="BF46" s="22">
        <f>((Data!$AJ$41*'Net zero Intermediate calcs'!BF44)+Data!$AK$41)</f>
        <v>17667310.250864148</v>
      </c>
      <c r="BG46" s="22">
        <f>((Data!$AJ$41*'Net zero Intermediate calcs'!BG44)+Data!$AK$41)</f>
        <v>17773163.371145587</v>
      </c>
      <c r="BH46" s="22">
        <f>((Data!$AJ$41*'Net zero Intermediate calcs'!BH44)+Data!$AK$41)</f>
        <v>17879556.854667529</v>
      </c>
      <c r="BI46" s="22">
        <f>((Data!$AJ$41*'Net zero Intermediate calcs'!BI44)+Data!$AK$41)</f>
        <v>17986493.459897831</v>
      </c>
      <c r="BJ46" s="22">
        <f>((Data!$AJ$41*'Net zero Intermediate calcs'!BJ44)+Data!$AK$41)</f>
        <v>18093975.959385917</v>
      </c>
      <c r="BK46" s="22">
        <f>((Data!$AJ$41*'Net zero Intermediate calcs'!BK44)+Data!$AK$41)</f>
        <v>18202007.139834601</v>
      </c>
    </row>
    <row r="47" spans="1:64"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170728.40022483494</v>
      </c>
      <c r="Z47" s="22">
        <f>((Data!$AJ$12*((Drivers!AA5*1000000)/Drivers!AA4))+Data!$AK$12)*Drivers!AA4</f>
        <v>170863.40739787836</v>
      </c>
      <c r="AA47" s="22">
        <f>((Data!$AJ$12*((Drivers!AB5*1000000)/Drivers!AB4))+Data!$AK$12)*Drivers!AB4</f>
        <v>169755.4693978721</v>
      </c>
      <c r="AB47" s="22">
        <f>((Data!$AJ$12*((Drivers!AC5*1000000)/Drivers!AC4))+Data!$AK$12)*Drivers!AC4</f>
        <v>171589.57169404562</v>
      </c>
      <c r="AC47" s="22">
        <f>((Data!$AJ$12*((Drivers!AD5*1000000)/Drivers!AD4))+Data!$AK$12)*Drivers!AD4</f>
        <v>175485.07841312452</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225634.24755966829</v>
      </c>
      <c r="AH47" s="22">
        <f>((Data!$AJ$12*((Drivers!AI5*1000000)/Drivers!AI4))+Data!$AK$12)*Drivers!AI4</f>
        <v>221685.35217700154</v>
      </c>
      <c r="AI47" s="22">
        <f>((Data!$AJ$12*((Drivers!AJ5*1000000)/Drivers!AJ4))+Data!$AK$12)*Drivers!AJ4</f>
        <v>213719.37448742436</v>
      </c>
      <c r="AJ47" s="22">
        <f>((Data!$AJ$12*((Drivers!AK5*1000000)/Drivers!AK4))+Data!$AK$12)*Drivers!AK4</f>
        <v>212252.83062240941</v>
      </c>
      <c r="AK47" s="22">
        <f>((Data!$AJ$12*((Drivers!AL5*1000000)/Drivers!AL4))+Data!$AK$12)*Drivers!AL4</f>
        <v>209975.9893729176</v>
      </c>
      <c r="AL47" s="22">
        <f>((Data!$AJ$12*((Drivers!AM5*1000000)/Drivers!AM4))+Data!$AK$12)*Drivers!AM4</f>
        <v>206612.04681101374</v>
      </c>
      <c r="AM47" s="22">
        <f>((Data!$AJ$12*((Drivers!AN5*1000000)/Drivers!AN4))+Data!$AK$12)*Drivers!AN4</f>
        <v>201660.42487653662</v>
      </c>
      <c r="AN47" s="22">
        <f>((Data!$AJ$12*((Drivers!AO5*1000000)/Drivers!AO4))+Data!$AK$12)*Drivers!AO4</f>
        <v>195805.53694950219</v>
      </c>
      <c r="AO47" s="22">
        <f>((Data!$AJ$12*((Drivers!AP5*1000000)/Drivers!AP4))+Data!$AK$12)*Drivers!AP4</f>
        <v>189721.71147182185</v>
      </c>
      <c r="AP47" s="22">
        <f>((Data!$AJ$12*((Drivers!AQ5*1000000)/Drivers!AQ4))+Data!$AK$12)*Drivers!AQ4</f>
        <v>182775.98707190892</v>
      </c>
      <c r="AQ47" s="22">
        <f>((Data!$AJ$12*((Drivers!AR5*1000000)/Drivers!AR4))+Data!$AK$12)*Drivers!AR4</f>
        <v>175644.15096355637</v>
      </c>
      <c r="AR47" s="22">
        <f>((Data!$AJ$12*((Drivers!AS5*1000000)/Drivers!AS4))+Data!$AK$12)*Drivers!AS4</f>
        <v>166336.81151997682</v>
      </c>
      <c r="AS47" s="22">
        <f>((Data!$AJ$12*((Drivers!AT5*1000000)/Drivers!AT4))+Data!$AK$12)*Drivers!AT4</f>
        <v>157256.62237871179</v>
      </c>
      <c r="AT47" s="22">
        <f>((Data!$AJ$12*((Drivers!AU5*1000000)/Drivers!AU4))+Data!$AK$12)*Drivers!AU4</f>
        <v>147494.42588777869</v>
      </c>
      <c r="AU47" s="22">
        <f>((Data!$AJ$12*((Drivers!AV5*1000000)/Drivers!AV4))+Data!$AK$12)*Drivers!AV4</f>
        <v>135944.75782688681</v>
      </c>
      <c r="AV47" s="22">
        <f>((Data!$AJ$12*((Drivers!AW5*1000000)/Drivers!AW4))+Data!$AK$12)*Drivers!AW4</f>
        <v>125202.23657877218</v>
      </c>
      <c r="AW47" s="22">
        <f>((Data!$AJ$12*((Drivers!AX5*1000000)/Drivers!AX4))+Data!$AK$12)*Drivers!AX4</f>
        <v>112881.5779235037</v>
      </c>
      <c r="AX47" s="22">
        <f>((Data!$AJ$12*((Drivers!AY5*1000000)/Drivers!AY4))+Data!$AK$12)*Drivers!AY4</f>
        <v>99491.677381550166</v>
      </c>
      <c r="AY47" s="22">
        <f>((Data!$AJ$12*((Drivers!AZ5*1000000)/Drivers!AZ4))+Data!$AK$12)*Drivers!AZ4</f>
        <v>87160.04715761001</v>
      </c>
      <c r="AZ47" s="22">
        <f>((Data!$AJ$12*((Drivers!BA5*1000000)/Drivers!BA4))+Data!$AK$12)*Drivers!BA4</f>
        <v>74925.571772275784</v>
      </c>
      <c r="BA47" s="22">
        <f>((Data!$AJ$12*((Drivers!BB5*1000000)/Drivers!BB4))+Data!$AK$12)*Drivers!BB4</f>
        <v>62745.823965840085</v>
      </c>
      <c r="BB47" s="22">
        <f>((Data!$AJ$12*((Drivers!BC5*1000000)/Drivers!BC4))+Data!$AK$12)*Drivers!BC4</f>
        <v>48505.689779511762</v>
      </c>
      <c r="BC47" s="22">
        <f>((Data!$AJ$12*((Drivers!BD5*1000000)/Drivers!BD4))+Data!$AK$12)*Drivers!BD4</f>
        <v>34927.275030369201</v>
      </c>
      <c r="BD47" s="22">
        <f>((Data!$AJ$12*((Drivers!BE5*1000000)/Drivers!BE4))+Data!$AK$12)*Drivers!BE4</f>
        <v>20722.498464025204</v>
      </c>
      <c r="BE47" s="22">
        <f>((Data!$AJ$12*((Drivers!BF5*1000000)/Drivers!BF4))+Data!$AK$12)*Drivers!BF4</f>
        <v>5809.1875102270824</v>
      </c>
      <c r="BF47" s="22">
        <f>((Data!$AJ$12*((Drivers!BG5*1000000)/Drivers!BG4))+Data!$AK$12)*Drivers!BG4</f>
        <v>-9942.1383562487754</v>
      </c>
      <c r="BG47" s="22">
        <f>((Data!$AJ$12*((Drivers!BH5*1000000)/Drivers!BH4))+Data!$AK$12)*Drivers!BH4</f>
        <v>-27230.807595252154</v>
      </c>
      <c r="BH47" s="22">
        <f>((Data!$AJ$12*((Drivers!BI5*1000000)/Drivers!BI4))+Data!$AK$12)*Drivers!BI4</f>
        <v>-30249.497795713971</v>
      </c>
      <c r="BI47" s="22">
        <f>((Data!$AJ$12*((Drivers!BJ5*1000000)/Drivers!BJ4))+Data!$AK$12)*Drivers!BJ4</f>
        <v>-31925.456766135743</v>
      </c>
      <c r="BJ47" s="22">
        <f>((Data!$AJ$12*((Drivers!BK5*1000000)/Drivers!BK4))+Data!$AK$12)*Drivers!BK4</f>
        <v>-31658.879548559795</v>
      </c>
      <c r="BK47" s="22">
        <f>((Data!$AJ$12*((Drivers!BL5*1000000)/Drivers!BL4))+Data!$AK$12)*Drivers!BL4</f>
        <v>-30800.310744626706</v>
      </c>
    </row>
    <row r="48" spans="1:64"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((Data!$AJ$44*'Net zero Intermediate calcs'!Y47)+Data!$AK$44)</f>
        <v>178443.63035186304</v>
      </c>
      <c r="Z49" s="22">
        <f>((Data!$AJ$44*'Net zero Intermediate calcs'!Z47)+Data!$AK$44)</f>
        <v>178577.37849101151</v>
      </c>
      <c r="AA49" s="22">
        <f>((Data!$AJ$44*'Net zero Intermediate calcs'!AA47)+Data!$AK$44)</f>
        <v>177479.77276790631</v>
      </c>
      <c r="AB49" s="22">
        <f>((Data!$AJ$44*'Net zero Intermediate calcs'!AB47)+Data!$AK$44)</f>
        <v>179296.77081024175</v>
      </c>
      <c r="AC49" s="22">
        <f>((Data!$AJ$44*'Net zero Intermediate calcs'!AC47)+Data!$AK$44)</f>
        <v>183155.94927440817</v>
      </c>
      <c r="AD49" s="22">
        <f>((Data!$AJ$44*'Net zero Intermediate calcs'!AD47)+Data!$AK$44)</f>
        <v>189112.44331875222</v>
      </c>
      <c r="AE49" s="22">
        <f>((Data!$AJ$44*'Net zero Intermediate calcs'!AE47)+Data!$AK$44)</f>
        <v>193787.72010440074</v>
      </c>
      <c r="AF49" s="22">
        <f>((Data!$AJ$44*'Net zero Intermediate calcs'!AF47)+Data!$AK$44)</f>
        <v>198385.25076266562</v>
      </c>
      <c r="AG49" s="22">
        <f>((Data!$AJ$44*'Net zero Intermediate calcs'!AG47)+Data!$AK$44)</f>
        <v>232837.44324239736</v>
      </c>
      <c r="AH49" s="22">
        <f>((Data!$AJ$44*'Net zero Intermediate calcs'!AH47)+Data!$AK$44)</f>
        <v>228925.37400031503</v>
      </c>
      <c r="AI49" s="22">
        <f>((Data!$AJ$44*'Net zero Intermediate calcs'!AI47)+Data!$AK$44)</f>
        <v>221033.6844814441</v>
      </c>
      <c r="AJ49" s="22">
        <f>((Data!$AJ$44*'Net zero Intermediate calcs'!AJ47)+Data!$AK$44)</f>
        <v>219580.81713740848</v>
      </c>
      <c r="AK49" s="22">
        <f>((Data!$AJ$44*'Net zero Intermediate calcs'!AK47)+Data!$AK$44)</f>
        <v>217325.20898421752</v>
      </c>
      <c r="AL49" s="22">
        <f>((Data!$AJ$44*'Net zero Intermediate calcs'!AL47)+Data!$AK$44)</f>
        <v>213992.63747920372</v>
      </c>
      <c r="AM49" s="22">
        <f>((Data!$AJ$44*'Net zero Intermediate calcs'!AM47)+Data!$AK$44)</f>
        <v>209087.19279375687</v>
      </c>
      <c r="AN49" s="22">
        <f>((Data!$AJ$44*'Net zero Intermediate calcs'!AN47)+Data!$AK$44)</f>
        <v>203286.90568670197</v>
      </c>
      <c r="AO49" s="22">
        <f>((Data!$AJ$44*'Net zero Intermediate calcs'!AO47)+Data!$AK$44)</f>
        <v>197259.81602768006</v>
      </c>
      <c r="AP49" s="22">
        <f>((Data!$AJ$44*'Net zero Intermediate calcs'!AP47)+Data!$AK$44)</f>
        <v>190378.86524125267</v>
      </c>
      <c r="AQ49" s="22">
        <f>((Data!$AJ$44*'Net zero Intermediate calcs'!AQ47)+Data!$AK$44)</f>
        <v>183313.53836490054</v>
      </c>
      <c r="AR49" s="22">
        <f>((Data!$AJ$44*'Net zero Intermediate calcs'!AR47)+Data!$AK$44)</f>
        <v>174092.99620451077</v>
      </c>
      <c r="AS49" s="22">
        <f>((Data!$AJ$44*'Net zero Intermediate calcs'!AS47)+Data!$AK$44)</f>
        <v>165097.48601506528</v>
      </c>
      <c r="AT49" s="22">
        <f>((Data!$AJ$44*'Net zero Intermediate calcs'!AT47)+Data!$AK$44)</f>
        <v>155426.32865927002</v>
      </c>
      <c r="AU49" s="22">
        <f>((Data!$AJ$44*'Net zero Intermediate calcs'!AU47)+Data!$AK$44)</f>
        <v>143984.3691240536</v>
      </c>
      <c r="AV49" s="22">
        <f>((Data!$AJ$44*'Net zero Intermediate calcs'!AV47)+Data!$AK$44)</f>
        <v>133342.02920752109</v>
      </c>
      <c r="AW49" s="22">
        <f>((Data!$AJ$44*'Net zero Intermediate calcs'!AW47)+Data!$AK$44)</f>
        <v>121136.26909064464</v>
      </c>
      <c r="AX49" s="22">
        <f>((Data!$AJ$44*'Net zero Intermediate calcs'!AX47)+Data!$AK$44)</f>
        <v>107871.23849635638</v>
      </c>
      <c r="AY49" s="22">
        <f>((Data!$AJ$44*'Net zero Intermediate calcs'!AY47)+Data!$AK$44)</f>
        <v>95654.609128163152</v>
      </c>
      <c r="AZ49" s="22">
        <f>((Data!$AJ$44*'Net zero Intermediate calcs'!AZ47)+Data!$AK$44)</f>
        <v>83534.228563495606</v>
      </c>
      <c r="BA49" s="22">
        <f>((Data!$AJ$44*'Net zero Intermediate calcs'!BA47)+Data!$AK$44)</f>
        <v>71468.065205756939</v>
      </c>
      <c r="BB49" s="22">
        <f>((Data!$AJ$44*'Net zero Intermediate calcs'!BB47)+Data!$AK$44)</f>
        <v>57360.729975255206</v>
      </c>
      <c r="BC49" s="22">
        <f>((Data!$AJ$44*'Net zero Intermediate calcs'!BC47)+Data!$AK$44)</f>
        <v>43908.943197230903</v>
      </c>
      <c r="BD49" s="22">
        <f>((Data!$AJ$44*'Net zero Intermediate calcs'!BD47)+Data!$AK$44)</f>
        <v>29836.635852811203</v>
      </c>
      <c r="BE49" s="22">
        <f>((Data!$AJ$44*'Net zero Intermediate calcs'!BE47)+Data!$AK$44)</f>
        <v>15062.401686960982</v>
      </c>
      <c r="BF49" s="22">
        <f>((Data!$AJ$44*'Net zero Intermediate calcs'!BF47)+Data!$AK$44)</f>
        <v>-542.0323314057041</v>
      </c>
      <c r="BG49" s="22">
        <f>((Data!$AJ$44*'Net zero Intermediate calcs'!BG47)+Data!$AK$44)</f>
        <v>-17669.472947663715</v>
      </c>
      <c r="BH49" s="22">
        <f>((Data!$AJ$44*'Net zero Intermediate calcs'!BH47)+Data!$AK$44)</f>
        <v>-20660.011804792674</v>
      </c>
      <c r="BI49" s="22">
        <f>((Data!$AJ$44*'Net zero Intermediate calcs'!BI47)+Data!$AK$44)</f>
        <v>-22320.341315662448</v>
      </c>
      <c r="BJ49" s="22">
        <f>((Data!$AJ$44*'Net zero Intermediate calcs'!BJ47)+Data!$AK$44)</f>
        <v>-22056.250112310667</v>
      </c>
      <c r="BK49" s="22">
        <f>((Data!$AJ$44*'Net zero Intermediate calcs'!BK47)+Data!$AK$44)</f>
        <v>-21205.68804758212</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2648200.7794607049</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2790651.9542421005</v>
      </c>
      <c r="AG50" s="22">
        <f>AG15*Constants!$H$29*Constants!$H$35</f>
        <v>2723424.4503329271</v>
      </c>
      <c r="AH50" s="22">
        <f>AH15*Constants!$H$29*Constants!$H$35</f>
        <v>2768373.8895891518</v>
      </c>
      <c r="AI50" s="22">
        <f>AI15*Constants!$H$29*Constants!$H$35</f>
        <v>2826609.6678696955</v>
      </c>
      <c r="AJ50" s="22">
        <f>AJ15*Constants!$H$29*Constants!$H$35</f>
        <v>2864325.3445924167</v>
      </c>
      <c r="AK50" s="22">
        <f>AK15*Constants!$H$29*Constants!$H$35</f>
        <v>2905026.112426097</v>
      </c>
      <c r="AL50" s="22">
        <f>AL15*Constants!$H$29*Constants!$H$35</f>
        <v>2949606.274195001</v>
      </c>
      <c r="AM50" s="22">
        <f>AM15*Constants!$H$29*Constants!$H$35</f>
        <v>2994732.7460846659</v>
      </c>
      <c r="AN50" s="22">
        <f>AN15*Constants!$H$29*Constants!$H$35</f>
        <v>3043050.812949778</v>
      </c>
      <c r="AO50" s="22">
        <f>AO15*Constants!$H$29*Constants!$H$35</f>
        <v>3092395.3330169623</v>
      </c>
      <c r="AP50" s="22">
        <f>AP15*Constants!$H$29*Constants!$H$35</f>
        <v>3144804.1437254804</v>
      </c>
      <c r="AQ50" s="22">
        <f>AQ15*Constants!$H$29*Constants!$H$35</f>
        <v>3198107.469372768</v>
      </c>
      <c r="AR50" s="22">
        <f>AR15*Constants!$H$29*Constants!$H$35</f>
        <v>3254616.474966526</v>
      </c>
      <c r="AS50" s="22">
        <f>AS15*Constants!$H$29*Constants!$H$35</f>
        <v>3310622.0802915925</v>
      </c>
      <c r="AT50" s="22">
        <f>AT15*Constants!$H$29*Constants!$H$35</f>
        <v>3369049.1736839605</v>
      </c>
      <c r="AU50" s="22">
        <f>AU15*Constants!$H$29*Constants!$H$35</f>
        <v>3433453.7878114306</v>
      </c>
      <c r="AV50" s="22">
        <f>AV15*Constants!$H$29*Constants!$H$35</f>
        <v>3495496.1651724591</v>
      </c>
      <c r="AW50" s="22">
        <f>AW15*Constants!$H$29*Constants!$H$35</f>
        <v>3558903.8990508621</v>
      </c>
      <c r="AX50" s="22">
        <f>AX15*Constants!$H$29*Constants!$H$35</f>
        <v>3625923.4767291113</v>
      </c>
      <c r="AY50" s="22">
        <f>AY15*Constants!$H$29*Constants!$H$35</f>
        <v>3689716.1982270819</v>
      </c>
      <c r="AZ50" s="22">
        <f>AZ15*Constants!$H$29*Constants!$H$35</f>
        <v>3753373.34535449</v>
      </c>
      <c r="BA50" s="22">
        <f>BA15*Constants!$H$29*Constants!$H$35</f>
        <v>3817032.616454999</v>
      </c>
      <c r="BB50" s="22">
        <f>BB15*Constants!$H$29*Constants!$H$35</f>
        <v>3883752.7028196789</v>
      </c>
      <c r="BC50" s="22">
        <f>BC15*Constants!$H$29*Constants!$H$35</f>
        <v>3948475.3976108339</v>
      </c>
      <c r="BD50" s="22">
        <f>BD15*Constants!$H$29*Constants!$H$35</f>
        <v>4015342.70412012</v>
      </c>
      <c r="BE50" s="22">
        <f>BE15*Constants!$H$29*Constants!$H$35</f>
        <v>4084619.6207867526</v>
      </c>
      <c r="BF50" s="22">
        <f>BF15*Constants!$H$29*Constants!$H$35</f>
        <v>4156723.2467004778</v>
      </c>
      <c r="BG50" s="22">
        <f>BG15*Constants!$H$29*Constants!$H$35</f>
        <v>4230056.7305004224</v>
      </c>
      <c r="BH50" s="22">
        <f>BH15*Constants!$H$29*Constants!$H$35</f>
        <v>4257602.6845682217</v>
      </c>
      <c r="BI50" s="22">
        <f>BI15*Constants!$H$29*Constants!$H$35</f>
        <v>4280922.8173454404</v>
      </c>
      <c r="BJ50" s="22">
        <f>BJ15*Constants!$H$29*Constants!$H$35</f>
        <v>4298089.2141238367</v>
      </c>
      <c r="BK50" s="22">
        <f>BK15*Constants!$H$29*Constants!$H$35</f>
        <v>4313444.3581548324</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3635202.1454829932</v>
      </c>
      <c r="AA51" s="22">
        <f>AA8*Constants!$H$30*Constants!$H$36</f>
        <v>3749346.479849041</v>
      </c>
      <c r="AB51" s="22">
        <f>AB8*Constants!$H$30*Constants!$H$36</f>
        <v>3826616.741798467</v>
      </c>
      <c r="AC51" s="22">
        <f>AC8*Constants!$H$30*Constants!$H$36</f>
        <v>3879298.5642415797</v>
      </c>
      <c r="AD51" s="22">
        <f>AD8*Constants!$H$30*Constants!$H$36</f>
        <v>3906775.7827615775</v>
      </c>
      <c r="AE51" s="22">
        <f>AE8*Constants!$H$30*Constants!$H$36</f>
        <v>3953557.7830203278</v>
      </c>
      <c r="AF51" s="22">
        <f>AF8*Constants!$H$30*Constants!$H$36</f>
        <v>4003230.5614012098</v>
      </c>
      <c r="AG51" s="22">
        <f>AG8*Constants!$H$30*Constants!$H$36</f>
        <v>3639249.6537475213</v>
      </c>
      <c r="AH51" s="22">
        <f>AH8*Constants!$H$30*Constants!$H$36</f>
        <v>3777256.7366571403</v>
      </c>
      <c r="AI51" s="22">
        <f>AI8*Constants!$H$30*Constants!$H$36</f>
        <v>3971610.929103829</v>
      </c>
      <c r="AJ51" s="22">
        <f>AJ8*Constants!$H$30*Constants!$H$36</f>
        <v>4077328.3165975888</v>
      </c>
      <c r="AK51" s="22">
        <f>AK8*Constants!$H$30*Constants!$H$36</f>
        <v>4195202.0000443012</v>
      </c>
      <c r="AL51" s="22">
        <f>AL8*Constants!$H$30*Constants!$H$36</f>
        <v>4329059.7097670212</v>
      </c>
      <c r="AM51" s="22">
        <f>AM8*Constants!$H$30*Constants!$H$36</f>
        <v>4472998.2991828714</v>
      </c>
      <c r="AN51" s="22">
        <f>AN8*Constants!$H$30*Constants!$H$36</f>
        <v>4630135.6107893037</v>
      </c>
      <c r="AO51" s="22">
        <f>AO8*Constants!$H$30*Constants!$H$36</f>
        <v>4791181.7719453527</v>
      </c>
      <c r="AP51" s="22">
        <f>AP8*Constants!$H$30*Constants!$H$36</f>
        <v>4964871.0574051077</v>
      </c>
      <c r="AQ51" s="22">
        <f>AQ8*Constants!$H$30*Constants!$H$36</f>
        <v>5141893.6270985631</v>
      </c>
      <c r="AR51" s="22">
        <f>AR8*Constants!$H$30*Constants!$H$36</f>
        <v>5339095.2463577567</v>
      </c>
      <c r="AS51" s="22">
        <f>AS8*Constants!$H$30*Constants!$H$36</f>
        <v>5533752.8860452455</v>
      </c>
      <c r="AT51" s="22">
        <f>AT8*Constants!$H$30*Constants!$H$36</f>
        <v>5738406.4465638055</v>
      </c>
      <c r="AU51" s="22">
        <f>AU8*Constants!$H$30*Constants!$H$36</f>
        <v>5968302.4204385849</v>
      </c>
      <c r="AV51" s="22">
        <f>AV8*Constants!$H$30*Constants!$H$36</f>
        <v>6187672.9728476675</v>
      </c>
      <c r="AW51" s="22">
        <f>AW8*Constants!$H$30*Constants!$H$36</f>
        <v>6419194.2944196854</v>
      </c>
      <c r="AX51" s="22">
        <f>AX8*Constants!$H$30*Constants!$H$36</f>
        <v>6665909.002399927</v>
      </c>
      <c r="AY51" s="22">
        <f>AY8*Constants!$H$30*Constants!$H$36</f>
        <v>6898487.6248243004</v>
      </c>
      <c r="AZ51" s="22">
        <f>AZ8*Constants!$H$30*Constants!$H$36</f>
        <v>7130184.7354145693</v>
      </c>
      <c r="BA51" s="22">
        <f>BA8*Constants!$H$30*Constants!$H$36</f>
        <v>7361588.647137004</v>
      </c>
      <c r="BB51" s="22">
        <f>BB8*Constants!$H$30*Constants!$H$36</f>
        <v>7612167.9906971687</v>
      </c>
      <c r="BC51" s="22">
        <f>BC8*Constants!$H$30*Constants!$H$36</f>
        <v>7853960.8851261763</v>
      </c>
      <c r="BD51" s="22">
        <f>BD8*Constants!$H$30*Constants!$H$36</f>
        <v>8104728.6628197748</v>
      </c>
      <c r="BE51" s="22">
        <f>BE8*Constants!$H$30*Constants!$H$36</f>
        <v>8365606.372129797</v>
      </c>
      <c r="BF51" s="22">
        <f>BF8*Constants!$H$30*Constants!$H$36</f>
        <v>8638381.3262870442</v>
      </c>
      <c r="BG51" s="22">
        <f>BG8*Constants!$H$30*Constants!$H$36</f>
        <v>8922733.3497101814</v>
      </c>
      <c r="BH51" s="22">
        <f>BH8*Constants!$H$30*Constants!$H$36</f>
        <v>9010574.7921526637</v>
      </c>
      <c r="BI51" s="22">
        <f>BI8*Constants!$H$30*Constants!$H$36</f>
        <v>9080139.4701214787</v>
      </c>
      <c r="BJ51" s="22">
        <f>BJ8*Constants!$H$30*Constants!$H$36</f>
        <v>9123158.8612971995</v>
      </c>
      <c r="BK51" s="22">
        <f>BK8*Constants!$H$30*Constants!$H$36</f>
        <v>9158254.6208278034</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683867.02061701776</v>
      </c>
      <c r="AH52" s="22">
        <f>AH18*Constants!$H$31*Constants!$H$37</f>
        <v>689334.08903405233</v>
      </c>
      <c r="AI52" s="22">
        <f>AI18*Constants!$H$31*Constants!$H$37</f>
        <v>694924.72607198812</v>
      </c>
      <c r="AJ52" s="22">
        <f>AJ18*Constants!$H$31*Constants!$H$37</f>
        <v>700479.13201697869</v>
      </c>
      <c r="AK52" s="22">
        <f>AK18*Constants!$H$31*Constants!$H$37</f>
        <v>706109.60240578267</v>
      </c>
      <c r="AL52" s="22">
        <f>AL18*Constants!$H$31*Constants!$H$37</f>
        <v>711821.09558829723</v>
      </c>
      <c r="AM52" s="22">
        <f>AM18*Constants!$H$31*Constants!$H$37</f>
        <v>716792.73291711172</v>
      </c>
      <c r="AN52" s="22">
        <f>AN18*Constants!$H$31*Constants!$H$37</f>
        <v>721826.36584095075</v>
      </c>
      <c r="AO52" s="22">
        <f>AO18*Constants!$H$31*Constants!$H$37</f>
        <v>726912.17658165225</v>
      </c>
      <c r="AP52" s="22">
        <f>AP18*Constants!$H$31*Constants!$H$37</f>
        <v>732060.30556494161</v>
      </c>
      <c r="AQ52" s="22">
        <f>AQ18*Constants!$H$31*Constants!$H$37</f>
        <v>737260.92214096594</v>
      </c>
      <c r="AR52" s="22">
        <f>AR18*Constants!$H$31*Constants!$H$37</f>
        <v>741859.65039765649</v>
      </c>
      <c r="AS52" s="22">
        <f>AS18*Constants!$H$31*Constants!$H$37</f>
        <v>746492.9460089705</v>
      </c>
      <c r="AT52" s="22">
        <f>AT18*Constants!$H$31*Constants!$H$37</f>
        <v>751175.01029835211</v>
      </c>
      <c r="AU52" s="22">
        <f>AU18*Constants!$H$31*Constants!$H$37</f>
        <v>755923.04364147235</v>
      </c>
      <c r="AV52" s="22">
        <f>AV18*Constants!$H$31*Constants!$H$37</f>
        <v>760697.77381257748</v>
      </c>
      <c r="AW52" s="22">
        <f>AW18*Constants!$H$31*Constants!$H$37</f>
        <v>764874.94455901999</v>
      </c>
      <c r="AX52" s="22">
        <f>AX18*Constants!$H$31*Constants!$H$37</f>
        <v>769097.64039359009</v>
      </c>
      <c r="AY52" s="22">
        <f>AY18*Constants!$H$31*Constants!$H$37</f>
        <v>773333.60231669585</v>
      </c>
      <c r="AZ52" s="22">
        <f>AZ18*Constants!$H$31*Constants!$H$37</f>
        <v>777597.71548198909</v>
      </c>
      <c r="BA52" s="22">
        <f>BA18*Constants!$H$31*Constants!$H$37</f>
        <v>781890.8444247985</v>
      </c>
      <c r="BB52" s="22">
        <f>BB18*Constants!$H$31*Constants!$H$37</f>
        <v>785618.08532244118</v>
      </c>
      <c r="BC52" s="22">
        <f>BC18*Constants!$H$31*Constants!$H$37</f>
        <v>789357.02588915254</v>
      </c>
      <c r="BD52" s="22">
        <f>BD18*Constants!$H$31*Constants!$H$37</f>
        <v>793127.46186550858</v>
      </c>
      <c r="BE52" s="22">
        <f>BE18*Constants!$H$31*Constants!$H$37</f>
        <v>796930.78371162235</v>
      </c>
      <c r="BF52" s="22">
        <f>BF18*Constants!$H$31*Constants!$H$37</f>
        <v>800769.10480831075</v>
      </c>
      <c r="BG52" s="22">
        <f>BG18*Constants!$H$31*Constants!$H$37</f>
        <v>804008.51540317247</v>
      </c>
      <c r="BH52" s="22">
        <f>BH18*Constants!$H$31*Constants!$H$37</f>
        <v>807045.30891669437</v>
      </c>
      <c r="BI52" s="22">
        <f>BI18*Constants!$H$31*Constants!$H$37</f>
        <v>810076.87508690904</v>
      </c>
      <c r="BJ52" s="22">
        <f>BJ18*Constants!$H$31*Constants!$H$37</f>
        <v>813094.13685934793</v>
      </c>
      <c r="BK52" s="22">
        <f>BK18*Constants!$H$31*Constants!$H$37</f>
        <v>816117.78630801092</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107578.64992070246</v>
      </c>
      <c r="AA53" s="22">
        <f>AA32*Constants!$H$32*Constants!$H$38</f>
        <v>110633.12591910691</v>
      </c>
      <c r="AB53" s="22">
        <f>AB32*Constants!$H$32*Constants!$H$38</f>
        <v>112582.26561288942</v>
      </c>
      <c r="AC53" s="22">
        <f>AC32*Constants!$H$32*Constants!$H$38</f>
        <v>113789.77241225369</v>
      </c>
      <c r="AD53" s="22">
        <f>AD32*Constants!$H$32*Constants!$H$38</f>
        <v>114236.87821044905</v>
      </c>
      <c r="AE53" s="22">
        <f>AE32*Constants!$H$32*Constants!$H$38</f>
        <v>115251.3290570954</v>
      </c>
      <c r="AF53" s="22">
        <f>AF32*Constants!$H$32*Constants!$H$38</f>
        <v>116345.45035452004</v>
      </c>
      <c r="AG53" s="22">
        <f>AG32*Constants!$H$32*Constants!$H$38</f>
        <v>105171.52782101258</v>
      </c>
      <c r="AH53" s="22">
        <f>AH32*Constants!$H$32*Constants!$H$38</f>
        <v>108984.31713032993</v>
      </c>
      <c r="AI53" s="22">
        <f>AI32*Constants!$H$32*Constants!$H$38</f>
        <v>114464.19968907515</v>
      </c>
      <c r="AJ53" s="22">
        <f>AJ32*Constants!$H$32*Constants!$H$38</f>
        <v>117313.38414570571</v>
      </c>
      <c r="AK53" s="22">
        <f>AK32*Constants!$H$32*Constants!$H$38</f>
        <v>120519.64051600761</v>
      </c>
      <c r="AL53" s="22">
        <f>AL32*Constants!$H$32*Constants!$H$38</f>
        <v>124196.39638192007</v>
      </c>
      <c r="AM53" s="22">
        <f>AM32*Constants!$H$32*Constants!$H$38</f>
        <v>128211.28786195355</v>
      </c>
      <c r="AN53" s="22">
        <f>AN32*Constants!$H$32*Constants!$H$38</f>
        <v>132614.94863850478</v>
      </c>
      <c r="AO53" s="22">
        <f>AO32*Constants!$H$32*Constants!$H$38</f>
        <v>137131.97483401594</v>
      </c>
      <c r="AP53" s="22">
        <f>AP32*Constants!$H$32*Constants!$H$38</f>
        <v>142021.25167149713</v>
      </c>
      <c r="AQ53" s="22">
        <f>AQ32*Constants!$H$32*Constants!$H$38</f>
        <v>147006.7828961318</v>
      </c>
      <c r="AR53" s="22">
        <f>AR32*Constants!$H$32*Constants!$H$38</f>
        <v>152623.153392395</v>
      </c>
      <c r="AS53" s="22">
        <f>AS32*Constants!$H$32*Constants!$H$38</f>
        <v>158162.1560970518</v>
      </c>
      <c r="AT53" s="22">
        <f>AT32*Constants!$H$32*Constants!$H$38</f>
        <v>163995.4942588046</v>
      </c>
      <c r="AU53" s="22">
        <f>AU32*Constants!$H$32*Constants!$H$38</f>
        <v>170575.1024250199</v>
      </c>
      <c r="AV53" s="22">
        <f>AV32*Constants!$H$32*Constants!$H$38</f>
        <v>176840.69859634165</v>
      </c>
      <c r="AW53" s="22">
        <f>AW32*Constants!$H$32*Constants!$H$38</f>
        <v>183498.46016861609</v>
      </c>
      <c r="AX53" s="22">
        <f>AX32*Constants!$H$32*Constants!$H$38</f>
        <v>190605.09646547353</v>
      </c>
      <c r="AY53" s="22">
        <f>AY32*Constants!$H$32*Constants!$H$38</f>
        <v>197291.18369875109</v>
      </c>
      <c r="AZ53" s="22">
        <f>AZ32*Constants!$H$32*Constants!$H$38</f>
        <v>203949.61577871867</v>
      </c>
      <c r="BA53" s="22">
        <f>BA32*Constants!$H$32*Constants!$H$38</f>
        <v>210597.82089036069</v>
      </c>
      <c r="BB53" s="22">
        <f>BB32*Constants!$H$32*Constants!$H$38</f>
        <v>217845.17264296598</v>
      </c>
      <c r="BC53" s="22">
        <f>BC32*Constants!$H$32*Constants!$H$38</f>
        <v>224830.94642978068</v>
      </c>
      <c r="BD53" s="22">
        <f>BD32*Constants!$H$32*Constants!$H$38</f>
        <v>232081.63400808559</v>
      </c>
      <c r="BE53" s="22">
        <f>BE32*Constants!$H$32*Constants!$H$38</f>
        <v>239630.8745785068</v>
      </c>
      <c r="BF53" s="22">
        <f>BF32*Constants!$H$32*Constants!$H$38</f>
        <v>247531.64236929308</v>
      </c>
      <c r="BG53" s="22">
        <f>BG32*Constants!$H$32*Constants!$H$38</f>
        <v>255807.60686333198</v>
      </c>
      <c r="BH53" s="22">
        <f>BH32*Constants!$H$32*Constants!$H$38</f>
        <v>258257.63179810008</v>
      </c>
      <c r="BI53" s="22">
        <f>BI32*Constants!$H$32*Constants!$H$38</f>
        <v>260165.09365640103</v>
      </c>
      <c r="BJ53" s="22">
        <f>BJ32*Constants!$H$32*Constants!$H$38</f>
        <v>261284.88483282906</v>
      </c>
      <c r="BK53" s="22">
        <f>BK32*Constants!$H$32*Constants!$H$38</f>
        <v>262169.0025455876</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601454.19754067948</v>
      </c>
      <c r="AG54" s="22">
        <f>AG37*Constants!$H$33*Constants!$H$39</f>
        <v>574667.00375605049</v>
      </c>
      <c r="AH54" s="22">
        <f>AH37*Constants!$H$33*Constants!$H$39</f>
        <v>588953.38303562743</v>
      </c>
      <c r="AI54" s="22">
        <f>AI37*Constants!$H$33*Constants!$H$39</f>
        <v>607997.61903668928</v>
      </c>
      <c r="AJ54" s="22">
        <f>AJ37*Constants!$H$33*Constants!$H$39</f>
        <v>619638.1482806328</v>
      </c>
      <c r="AK54" s="22">
        <f>AK37*Constants!$H$33*Constants!$H$39</f>
        <v>632330.32660746155</v>
      </c>
      <c r="AL54" s="22">
        <f>AL37*Constants!$H$33*Constants!$H$39</f>
        <v>646395.60934021149</v>
      </c>
      <c r="AM54" s="22">
        <f>AM37*Constants!$H$33*Constants!$H$39</f>
        <v>660923.58703214454</v>
      </c>
      <c r="AN54" s="22">
        <f>AN37*Constants!$H$33*Constants!$H$39</f>
        <v>676582.89535491564</v>
      </c>
      <c r="AO54" s="22">
        <f>AO37*Constants!$H$33*Constants!$H$39</f>
        <v>692594.49463105027</v>
      </c>
      <c r="AP54" s="22">
        <f>AP37*Constants!$H$33*Constants!$H$39</f>
        <v>709691.29654758214</v>
      </c>
      <c r="AQ54" s="22">
        <f>AQ37*Constants!$H$33*Constants!$H$39</f>
        <v>727092.59117447783</v>
      </c>
      <c r="AR54" s="22">
        <f>AR37*Constants!$H$33*Constants!$H$39</f>
        <v>745868.3102522369</v>
      </c>
      <c r="AS54" s="22">
        <f>AS37*Constants!$H$33*Constants!$H$39</f>
        <v>764449.69011229719</v>
      </c>
      <c r="AT54" s="22">
        <f>AT37*Constants!$H$33*Constants!$H$39</f>
        <v>783888.79839725222</v>
      </c>
      <c r="AU54" s="22">
        <f>AU37*Constants!$H$33*Constants!$H$39</f>
        <v>805464.74562979862</v>
      </c>
      <c r="AV54" s="22">
        <f>AV37*Constants!$H$33*Constants!$H$39</f>
        <v>826177.32551300444</v>
      </c>
      <c r="AW54" s="22">
        <f>AW37*Constants!$H$33*Constants!$H$39</f>
        <v>847597.61949383572</v>
      </c>
      <c r="AX54" s="22">
        <f>AX37*Constants!$H$33*Constants!$H$39</f>
        <v>870307.04169235716</v>
      </c>
      <c r="AY54" s="22">
        <f>AY37*Constants!$H$33*Constants!$H$39</f>
        <v>891845.40722001716</v>
      </c>
      <c r="AZ54" s="22">
        <f>AZ37*Constants!$H$33*Constants!$H$39</f>
        <v>913324.67909404659</v>
      </c>
      <c r="BA54" s="22">
        <f>BA37*Constants!$H$33*Constants!$H$39</f>
        <v>934794.31646399118</v>
      </c>
      <c r="BB54" s="22">
        <f>BB37*Constants!$H$33*Constants!$H$39</f>
        <v>957573.11289621005</v>
      </c>
      <c r="BC54" s="22">
        <f>BC37*Constants!$H$33*Constants!$H$39</f>
        <v>979625.78652338032</v>
      </c>
      <c r="BD54" s="22">
        <f>BD37*Constants!$H$33*Constants!$H$39</f>
        <v>1002442.3080834262</v>
      </c>
      <c r="BE54" s="22">
        <f>BE37*Constants!$H$33*Constants!$H$39</f>
        <v>1026117.9589703796</v>
      </c>
      <c r="BF54" s="22">
        <f>BF37*Constants!$H$33*Constants!$H$39</f>
        <v>1050802.7360035132</v>
      </c>
      <c r="BG54" s="22">
        <f>BG37*Constants!$H$33*Constants!$H$39</f>
        <v>1076146.7374648887</v>
      </c>
      <c r="BH54" s="22">
        <f>BH37*Constants!$H$33*Constants!$H$39</f>
        <v>1085014.1331237827</v>
      </c>
      <c r="BI54" s="22">
        <f>BI37*Constants!$H$33*Constants!$H$39</f>
        <v>1092356.0404501371</v>
      </c>
      <c r="BJ54" s="22">
        <f>BJ37*Constants!$H$33*Constants!$H$39</f>
        <v>1097478.8965278086</v>
      </c>
      <c r="BK54" s="22">
        <f>BK37*Constants!$H$33*Constants!$H$39</f>
        <v>1101944.811356989</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1560966.2063054186</v>
      </c>
      <c r="AA55" s="22">
        <f>AA42*Constants!$H$34*Constants!$H$40</f>
        <v>1613765.8062503655</v>
      </c>
      <c r="AB55" s="22">
        <f>AB42*Constants!$H$34*Constants!$H$40</f>
        <v>1642887.1674004451</v>
      </c>
      <c r="AC55" s="22">
        <f>AC42*Constants!$H$34*Constants!$H$40</f>
        <v>1655964.1814042372</v>
      </c>
      <c r="AD55" s="22">
        <f>AD42*Constants!$H$34*Constants!$H$40</f>
        <v>1652584.5489179101</v>
      </c>
      <c r="AE55" s="22">
        <f>AE42*Constants!$H$34*Constants!$H$40</f>
        <v>1660968.4068159335</v>
      </c>
      <c r="AF55" s="22">
        <f>AF42*Constants!$H$34*Constants!$H$40</f>
        <v>1670818.6391072047</v>
      </c>
      <c r="AG55" s="22">
        <f>AG42*Constants!$H$34*Constants!$H$40</f>
        <v>1422395.360692211</v>
      </c>
      <c r="AH55" s="22">
        <f>AH42*Constants!$H$34*Constants!$H$40</f>
        <v>1492919.1675513133</v>
      </c>
      <c r="AI55" s="22">
        <f>AI42*Constants!$H$34*Constants!$H$40</f>
        <v>1598399.150178439</v>
      </c>
      <c r="AJ55" s="22">
        <f>AJ42*Constants!$H$34*Constants!$H$40</f>
        <v>1648429.1743234193</v>
      </c>
      <c r="AK55" s="22">
        <f>AK42*Constants!$H$34*Constants!$H$40</f>
        <v>1705856.2473814334</v>
      </c>
      <c r="AL55" s="22">
        <f>AL42*Constants!$H$34*Constants!$H$40</f>
        <v>1773065.0269995227</v>
      </c>
      <c r="AM55" s="22">
        <f>AM42*Constants!$H$34*Constants!$H$40</f>
        <v>1848754.3813690376</v>
      </c>
      <c r="AN55" s="22">
        <f>AN42*Constants!$H$34*Constants!$H$40</f>
        <v>1932535.2705424894</v>
      </c>
      <c r="AO55" s="22">
        <f>AO42*Constants!$H$34*Constants!$H$40</f>
        <v>2018613.6722974777</v>
      </c>
      <c r="AP55" s="22">
        <f>AP42*Constants!$H$34*Constants!$H$40</f>
        <v>2112434.4279687013</v>
      </c>
      <c r="AQ55" s="22">
        <f>AQ42*Constants!$H$34*Constants!$H$40</f>
        <v>2208191.0377499689</v>
      </c>
      <c r="AR55" s="22">
        <f>AR42*Constants!$H$34*Constants!$H$40</f>
        <v>2318354.3786936789</v>
      </c>
      <c r="AS55" s="22">
        <f>AS42*Constants!$H$34*Constants!$H$40</f>
        <v>2426822.1865352821</v>
      </c>
      <c r="AT55" s="22">
        <f>AT42*Constants!$H$34*Constants!$H$40</f>
        <v>2541412.7280903682</v>
      </c>
      <c r="AU55" s="22">
        <f>AU42*Constants!$H$34*Constants!$H$40</f>
        <v>2671631.9457035144</v>
      </c>
      <c r="AV55" s="22">
        <f>AV42*Constants!$H$34*Constants!$H$40</f>
        <v>2795176.0166608123</v>
      </c>
      <c r="AW55" s="22">
        <f>AW42*Constants!$H$34*Constants!$H$40</f>
        <v>2928082.1974941771</v>
      </c>
      <c r="AX55" s="22">
        <f>AX42*Constants!$H$34*Constants!$H$40</f>
        <v>3070378.2617287501</v>
      </c>
      <c r="AY55" s="22">
        <f>AY42*Constants!$H$34*Constants!$H$40</f>
        <v>3203775.3333687615</v>
      </c>
      <c r="AZ55" s="22">
        <f>AZ42*Constants!$H$34*Constants!$H$40</f>
        <v>3336537.6243028897</v>
      </c>
      <c r="BA55" s="22">
        <f>BA42*Constants!$H$34*Constants!$H$40</f>
        <v>3469031.3513043029</v>
      </c>
      <c r="BB55" s="22">
        <f>BB42*Constants!$H$34*Constants!$H$40</f>
        <v>3615197.5579914358</v>
      </c>
      <c r="BC55" s="22">
        <f>BC42*Constants!$H$34*Constants!$H$40</f>
        <v>3755822.3983376403</v>
      </c>
      <c r="BD55" s="22">
        <f>BD42*Constants!$H$34*Constants!$H$40</f>
        <v>3901980.4833028968</v>
      </c>
      <c r="BE55" s="22">
        <f>BE42*Constants!$H$34*Constants!$H$40</f>
        <v>4054379.1759280977</v>
      </c>
      <c r="BF55" s="22">
        <f>BF42*Constants!$H$34*Constants!$H$40</f>
        <v>4214132.553689369</v>
      </c>
      <c r="BG55" s="22">
        <f>BG42*Constants!$H$34*Constants!$H$40</f>
        <v>4382892.4055597875</v>
      </c>
      <c r="BH55" s="22">
        <f>BH42*Constants!$H$34*Constants!$H$40</f>
        <v>4429075.3292793632</v>
      </c>
      <c r="BI55" s="22">
        <f>BI42*Constants!$H$34*Constants!$H$40</f>
        <v>4463818.0060761869</v>
      </c>
      <c r="BJ55" s="22">
        <f>BJ42*Constants!$H$34*Constants!$H$40</f>
        <v>4481964.4117597537</v>
      </c>
      <c r="BK55" s="22">
        <f>BK42*Constants!$H$34*Constants!$H$40</f>
        <v>4495125.7716166964</v>
      </c>
    </row>
    <row r="56" spans="1:63" x14ac:dyDescent="0.3">
      <c r="A56" t="s">
        <v>873</v>
      </c>
      <c r="B56" t="s">
        <v>321</v>
      </c>
      <c r="C56" s="22">
        <f>SUM(C50:C55)</f>
        <v>5869585</v>
      </c>
      <c r="D56" s="22">
        <f t="shared" ref="D56:BK56" si="8">SUM(D50:D55)</f>
        <v>6203205</v>
      </c>
      <c r="E56" s="22">
        <f t="shared" si="8"/>
        <v>6211270</v>
      </c>
      <c r="F56" s="22">
        <f t="shared" si="8"/>
        <v>6065070</v>
      </c>
      <c r="G56" s="22">
        <f t="shared" si="8"/>
        <v>5671705</v>
      </c>
      <c r="H56" s="22">
        <f t="shared" si="8"/>
        <v>5466535</v>
      </c>
      <c r="I56" s="22">
        <f t="shared" si="8"/>
        <v>5694815</v>
      </c>
      <c r="J56" s="22">
        <f t="shared" si="8"/>
        <v>5746420</v>
      </c>
      <c r="K56" s="22">
        <f t="shared" si="8"/>
        <v>5792900</v>
      </c>
      <c r="L56" s="22">
        <f t="shared" si="8"/>
        <v>5938930</v>
      </c>
      <c r="M56" s="22">
        <f t="shared" si="8"/>
        <v>6294965</v>
      </c>
      <c r="N56" s="22">
        <f t="shared" si="8"/>
        <v>5899755</v>
      </c>
      <c r="O56" s="22">
        <f t="shared" si="8"/>
        <v>6221665</v>
      </c>
      <c r="P56" s="22">
        <f t="shared" si="8"/>
        <v>6329485</v>
      </c>
      <c r="Q56" s="22">
        <f t="shared" si="8"/>
        <v>6730420</v>
      </c>
      <c r="R56" s="22">
        <f t="shared" si="8"/>
        <v>7351635</v>
      </c>
      <c r="S56" s="22">
        <f t="shared" si="8"/>
        <v>7957970</v>
      </c>
      <c r="T56" s="22">
        <f t="shared" si="8"/>
        <v>8416295</v>
      </c>
      <c r="U56" s="22">
        <f t="shared" si="8"/>
        <v>8195490</v>
      </c>
      <c r="V56" s="22">
        <f t="shared" si="8"/>
        <v>8304590</v>
      </c>
      <c r="W56" s="22">
        <f t="shared" si="8"/>
        <v>8821035</v>
      </c>
      <c r="X56" s="22">
        <f t="shared" si="8"/>
        <v>8803245</v>
      </c>
      <c r="Y56" s="22">
        <f t="shared" si="8"/>
        <v>8905592.5862857662</v>
      </c>
      <c r="Z56" s="22">
        <f t="shared" si="8"/>
        <v>9095513.140556192</v>
      </c>
      <c r="AA56" s="22">
        <f t="shared" si="8"/>
        <v>9326430.4780428484</v>
      </c>
      <c r="AB56" s="22">
        <f t="shared" si="8"/>
        <v>9484875.5644762423</v>
      </c>
      <c r="AC56" s="22">
        <f t="shared" si="8"/>
        <v>9595076.462577926</v>
      </c>
      <c r="AD56" s="22">
        <f t="shared" si="8"/>
        <v>9655827.5030585341</v>
      </c>
      <c r="AE56" s="22">
        <f t="shared" si="8"/>
        <v>9754723.2383019067</v>
      </c>
      <c r="AF56" s="22">
        <f t="shared" si="8"/>
        <v>9859425.6401465051</v>
      </c>
      <c r="AG56" s="22">
        <f t="shared" si="8"/>
        <v>9148775.0169667397</v>
      </c>
      <c r="AH56" s="22">
        <f t="shared" si="8"/>
        <v>9425821.5829976145</v>
      </c>
      <c r="AI56" s="22">
        <f t="shared" si="8"/>
        <v>9814006.2919497155</v>
      </c>
      <c r="AJ56" s="22">
        <f t="shared" si="8"/>
        <v>10027513.499956742</v>
      </c>
      <c r="AK56" s="22">
        <f t="shared" si="8"/>
        <v>10265043.929381084</v>
      </c>
      <c r="AL56" s="22">
        <f t="shared" si="8"/>
        <v>10534144.112271974</v>
      </c>
      <c r="AM56" s="22">
        <f t="shared" si="8"/>
        <v>10822413.034447784</v>
      </c>
      <c r="AN56" s="22">
        <f t="shared" si="8"/>
        <v>11136745.904115941</v>
      </c>
      <c r="AO56" s="22">
        <f t="shared" si="8"/>
        <v>11458829.423306512</v>
      </c>
      <c r="AP56" s="22">
        <f t="shared" si="8"/>
        <v>11805882.48288331</v>
      </c>
      <c r="AQ56" s="22">
        <f t="shared" si="8"/>
        <v>12159552.430432875</v>
      </c>
      <c r="AR56" s="22">
        <f t="shared" si="8"/>
        <v>12552417.214060251</v>
      </c>
      <c r="AS56" s="22">
        <f t="shared" si="8"/>
        <v>12940301.945090441</v>
      </c>
      <c r="AT56" s="22">
        <f t="shared" si="8"/>
        <v>13347927.651292544</v>
      </c>
      <c r="AU56" s="22">
        <f t="shared" si="8"/>
        <v>13805351.045649821</v>
      </c>
      <c r="AV56" s="22">
        <f t="shared" si="8"/>
        <v>14242060.952602863</v>
      </c>
      <c r="AW56" s="22">
        <f t="shared" si="8"/>
        <v>14702151.415186198</v>
      </c>
      <c r="AX56" s="22">
        <f t="shared" si="8"/>
        <v>15192220.519409211</v>
      </c>
      <c r="AY56" s="22">
        <f t="shared" si="8"/>
        <v>15654449.349655608</v>
      </c>
      <c r="AZ56" s="22">
        <f t="shared" si="8"/>
        <v>16114967.715426702</v>
      </c>
      <c r="BA56" s="22">
        <f t="shared" si="8"/>
        <v>16574935.596675459</v>
      </c>
      <c r="BB56" s="22">
        <f t="shared" si="8"/>
        <v>17072154.6223699</v>
      </c>
      <c r="BC56" s="22">
        <f t="shared" si="8"/>
        <v>17552072.439916961</v>
      </c>
      <c r="BD56" s="22">
        <f t="shared" si="8"/>
        <v>18049703.25419981</v>
      </c>
      <c r="BE56" s="22">
        <f t="shared" si="8"/>
        <v>18567284.786105156</v>
      </c>
      <c r="BF56" s="22">
        <f t="shared" si="8"/>
        <v>19108340.609858006</v>
      </c>
      <c r="BG56" s="22">
        <f t="shared" si="8"/>
        <v>19671645.345501784</v>
      </c>
      <c r="BH56" s="22">
        <f t="shared" si="8"/>
        <v>19847569.879838824</v>
      </c>
      <c r="BI56" s="22">
        <f t="shared" si="8"/>
        <v>19987478.302736551</v>
      </c>
      <c r="BJ56" s="22">
        <f t="shared" si="8"/>
        <v>20075070.405400775</v>
      </c>
      <c r="BK56" s="22">
        <f t="shared" si="8"/>
        <v>20147056.350809921</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((Data!$AJ$37*'Net zero Intermediate calcs'!C56)+Data!$AK$37)</f>
        <v>5251932.2753573991</v>
      </c>
      <c r="D58" s="22">
        <f>((Data!$AJ$37*'Net zero Intermediate calcs'!D56)+Data!$AK$37)</f>
        <v>5456645.3617997784</v>
      </c>
      <c r="E58" s="22">
        <f>((Data!$AJ$37*'Net zero Intermediate calcs'!E56)+Data!$AK$37)</f>
        <v>5461594.1389778787</v>
      </c>
      <c r="F58" s="22">
        <f>((Data!$AJ$37*'Net zero Intermediate calcs'!F56)+Data!$AK$37)</f>
        <v>5371884.1298720818</v>
      </c>
      <c r="G58" s="22">
        <f>((Data!$AJ$37*'Net zero Intermediate calcs'!G56)+Data!$AK$37)</f>
        <v>5130510.8211723436</v>
      </c>
      <c r="H58" s="22">
        <f>((Data!$AJ$37*'Net zero Intermediate calcs'!H56)+Data!$AK$37)</f>
        <v>5004616.1387630664</v>
      </c>
      <c r="I58" s="22">
        <f>((Data!$AJ$37*'Net zero Intermediate calcs'!I56)+Data!$AK$37)</f>
        <v>5144691.384171214</v>
      </c>
      <c r="J58" s="22">
        <f>((Data!$AJ$37*'Net zero Intermediate calcs'!J56)+Data!$AK$37)</f>
        <v>5176356.8083839687</v>
      </c>
      <c r="K58" s="22">
        <f>((Data!$AJ$37*'Net zero Intermediate calcs'!K56)+Data!$AK$37)</f>
        <v>5204877.4733855929</v>
      </c>
      <c r="L58" s="22">
        <f>((Data!$AJ$37*'Net zero Intermediate calcs'!L56)+Data!$AK$37)</f>
        <v>5294483.1685273126</v>
      </c>
      <c r="M58" s="22">
        <f>((Data!$AJ$37*'Net zero Intermediate calcs'!M56)+Data!$AK$37)</f>
        <v>5512950.3579389574</v>
      </c>
      <c r="N58" s="22">
        <f>((Data!$AJ$37*'Net zero Intermediate calcs'!N56)+Data!$AK$37)</f>
        <v>5270444.9359232113</v>
      </c>
      <c r="O58" s="22">
        <f>((Data!$AJ$37*'Net zero Intermediate calcs'!O56)+Data!$AK$37)</f>
        <v>5467972.6310753804</v>
      </c>
      <c r="P58" s="22">
        <f>((Data!$AJ$37*'Net zero Intermediate calcs'!P56)+Data!$AK$37)</f>
        <v>5534132.2287620232</v>
      </c>
      <c r="Q58" s="22">
        <f>((Data!$AJ$37*'Net zero Intermediate calcs'!Q56)+Data!$AK$37)</f>
        <v>5780150.5769209331</v>
      </c>
      <c r="R58" s="22">
        <f>((Data!$AJ$37*'Net zero Intermediate calcs'!R56)+Data!$AK$37)</f>
        <v>6161335.2780608628</v>
      </c>
      <c r="S58" s="22">
        <f>((Data!$AJ$37*'Net zero Intermediate calcs'!S56)+Data!$AK$37)</f>
        <v>6533389.4392863307</v>
      </c>
      <c r="T58" s="22">
        <f>((Data!$AJ$37*'Net zero Intermediate calcs'!T56)+Data!$AK$37)</f>
        <v>6814622.9544943627</v>
      </c>
      <c r="U58" s="22">
        <f>((Data!$AJ$37*'Net zero Intermediate calcs'!U56)+Data!$AK$37)</f>
        <v>6679134.4554478135</v>
      </c>
      <c r="V58" s="22">
        <f>((Data!$AJ$37*'Net zero Intermediate calcs'!V56)+Data!$AK$37)</f>
        <v>6746079.475922795</v>
      </c>
      <c r="W58" s="22">
        <f>((Data!$AJ$37*'Net zero Intermediate calcs'!W56)+Data!$AK$37)</f>
        <v>7062976.0946139265</v>
      </c>
      <c r="X58" s="22">
        <f>((Data!$AJ$37*'Net zero Intermediate calcs'!X56)+Data!$AK$37)</f>
        <v>7052059.9450790975</v>
      </c>
      <c r="Y58" s="22">
        <f>((Data!$AJ$37*'Net zero Intermediate calcs'!Y56)+Data!$AK$37)</f>
        <v>7114861.6064857487</v>
      </c>
      <c r="Z58" s="22">
        <f>((Data!$AJ$37*'Net zero Intermediate calcs'!Z56)+Data!$AK$37)</f>
        <v>7231399.0528125465</v>
      </c>
      <c r="AA58" s="22">
        <f>((Data!$AJ$37*'Net zero Intermediate calcs'!AA56)+Data!$AK$37)</f>
        <v>7373092.5989726987</v>
      </c>
      <c r="AB58" s="22">
        <f>((Data!$AJ$37*'Net zero Intermediate calcs'!AB56)+Data!$AK$37)</f>
        <v>7470316.3345863</v>
      </c>
      <c r="AC58" s="22">
        <f>((Data!$AJ$37*'Net zero Intermediate calcs'!AC56)+Data!$AK$37)</f>
        <v>7537936.8788555823</v>
      </c>
      <c r="AD58" s="22">
        <f>((Data!$AJ$37*'Net zero Intermediate calcs'!AD56)+Data!$AK$37)</f>
        <v>7575214.4191750214</v>
      </c>
      <c r="AE58" s="22">
        <f>((Data!$AJ$37*'Net zero Intermediate calcs'!AE56)+Data!$AK$37)</f>
        <v>7635897.9849014748</v>
      </c>
      <c r="AF58" s="22">
        <f>((Data!$AJ$37*'Net zero Intermediate calcs'!AF56)+Data!$AK$37)</f>
        <v>7700144.5883411318</v>
      </c>
      <c r="AG58" s="22">
        <f>((Data!$AJ$37*'Net zero Intermediate calcs'!AG56)+Data!$AK$37)</f>
        <v>7264081.1555333529</v>
      </c>
      <c r="AH58" s="22">
        <f>((Data!$AJ$37*'Net zero Intermediate calcs'!AH56)+Data!$AK$37)</f>
        <v>7434080.1292772628</v>
      </c>
      <c r="AI58" s="22">
        <f>((Data!$AJ$37*'Net zero Intermediate calcs'!AI56)+Data!$AK$37)</f>
        <v>7672274.7515400816</v>
      </c>
      <c r="AJ58" s="22">
        <f>((Data!$AJ$37*'Net zero Intermediate calcs'!AJ56)+Data!$AK$37)</f>
        <v>7803285.2411054969</v>
      </c>
      <c r="AK58" s="22">
        <f>((Data!$AJ$37*'Net zero Intermediate calcs'!AK56)+Data!$AK$37)</f>
        <v>7949036.6568822507</v>
      </c>
      <c r="AL58" s="22">
        <f>((Data!$AJ$37*'Net zero Intermediate calcs'!AL56)+Data!$AK$37)</f>
        <v>8114159.6381237935</v>
      </c>
      <c r="AM58" s="22">
        <f>((Data!$AJ$37*'Net zero Intermediate calcs'!AM56)+Data!$AK$37)</f>
        <v>8291044.7792545054</v>
      </c>
      <c r="AN58" s="22">
        <f>((Data!$AJ$37*'Net zero Intermediate calcs'!AN56)+Data!$AK$37)</f>
        <v>8483923.059693506</v>
      </c>
      <c r="AO58" s="22">
        <f>((Data!$AJ$37*'Net zero Intermediate calcs'!AO56)+Data!$AK$37)</f>
        <v>8681557.2282257434</v>
      </c>
      <c r="AP58" s="22">
        <f>((Data!$AJ$37*'Net zero Intermediate calcs'!AP56)+Data!$AK$37)</f>
        <v>8894512.9952218384</v>
      </c>
      <c r="AQ58" s="22">
        <f>((Data!$AJ$37*'Net zero Intermediate calcs'!AQ56)+Data!$AK$37)</f>
        <v>9111528.961125521</v>
      </c>
      <c r="AR58" s="22">
        <f>((Data!$AJ$37*'Net zero Intermediate calcs'!AR56)+Data!$AK$37)</f>
        <v>9352595.3312798217</v>
      </c>
      <c r="AS58" s="22">
        <f>((Data!$AJ$37*'Net zero Intermediate calcs'!AS56)+Data!$AK$37)</f>
        <v>9590605.883623993</v>
      </c>
      <c r="AT58" s="22">
        <f>((Data!$AJ$37*'Net zero Intermediate calcs'!AT56)+Data!$AK$37)</f>
        <v>9840729.7264088616</v>
      </c>
      <c r="AU58" s="22">
        <f>((Data!$AJ$37*'Net zero Intermediate calcs'!AU56)+Data!$AK$37)</f>
        <v>10121410.005977916</v>
      </c>
      <c r="AV58" s="22">
        <f>((Data!$AJ$37*'Net zero Intermediate calcs'!AV56)+Data!$AK$37)</f>
        <v>10389380.25036471</v>
      </c>
      <c r="AW58" s="22">
        <f>((Data!$AJ$37*'Net zero Intermediate calcs'!AW56)+Data!$AK$37)</f>
        <v>10671697.073810956</v>
      </c>
      <c r="AX58" s="22">
        <f>((Data!$AJ$37*'Net zero Intermediate calcs'!AX56)+Data!$AK$37)</f>
        <v>10972409.138122285</v>
      </c>
      <c r="AY58" s="22">
        <f>((Data!$AJ$37*'Net zero Intermediate calcs'!AY56)+Data!$AK$37)</f>
        <v>11256038.088671984</v>
      </c>
      <c r="AZ58" s="22">
        <f>((Data!$AJ$37*'Net zero Intermediate calcs'!AZ56)+Data!$AK$37)</f>
        <v>11538617.478457972</v>
      </c>
      <c r="BA58" s="22">
        <f>((Data!$AJ$37*'Net zero Intermediate calcs'!BA56)+Data!$AK$37)</f>
        <v>11820859.084581094</v>
      </c>
      <c r="BB58" s="22">
        <f>((Data!$AJ$37*'Net zero Intermediate calcs'!BB56)+Data!$AK$37)</f>
        <v>12125958.42331313</v>
      </c>
      <c r="BC58" s="22">
        <f>((Data!$AJ$37*'Net zero Intermediate calcs'!BC56)+Data!$AK$37)</f>
        <v>12420441.540838309</v>
      </c>
      <c r="BD58" s="22">
        <f>((Data!$AJ$37*'Net zero Intermediate calcs'!BD56)+Data!$AK$37)</f>
        <v>12725793.557805747</v>
      </c>
      <c r="BE58" s="22">
        <f>((Data!$AJ$37*'Net zero Intermediate calcs'!BE56)+Data!$AK$37)</f>
        <v>13043387.565604795</v>
      </c>
      <c r="BF58" s="22">
        <f>((Data!$AJ$37*'Net zero Intermediate calcs'!BF56)+Data!$AK$37)</f>
        <v>13375385.67008915</v>
      </c>
      <c r="BG58" s="22">
        <f>((Data!$AJ$37*'Net zero Intermediate calcs'!BG56)+Data!$AK$37)</f>
        <v>13721035.963960161</v>
      </c>
      <c r="BH58" s="22">
        <f>((Data!$AJ$37*'Net zero Intermediate calcs'!BH56)+Data!$AK$37)</f>
        <v>13828985.290754341</v>
      </c>
      <c r="BI58" s="22">
        <f>((Data!$AJ$37*'Net zero Intermediate calcs'!BI56)+Data!$AK$37)</f>
        <v>13914834.715461131</v>
      </c>
      <c r="BJ58" s="22">
        <f>((Data!$AJ$37*'Net zero Intermediate calcs'!BJ56)+Data!$AK$37)</f>
        <v>13968582.241641728</v>
      </c>
      <c r="BK58" s="22">
        <f>((Data!$AJ$37*'Net zero Intermediate calcs'!BK56)+Data!$AK$37)</f>
        <v>14012753.64942657</v>
      </c>
    </row>
    <row r="59" spans="1:63" x14ac:dyDescent="0.3">
      <c r="A59" t="s">
        <v>345</v>
      </c>
      <c r="B59" t="s">
        <v>321</v>
      </c>
      <c r="C59" s="22">
        <f>C58+C56</f>
        <v>11121517.275357399</v>
      </c>
      <c r="D59" s="22">
        <f t="shared" ref="D59:BK59" si="9">D58+D56</f>
        <v>11659850.361799778</v>
      </c>
      <c r="E59" s="22">
        <f t="shared" si="9"/>
        <v>11672864.138977878</v>
      </c>
      <c r="F59" s="22">
        <f t="shared" si="9"/>
        <v>11436954.129872082</v>
      </c>
      <c r="G59" s="22">
        <f t="shared" si="9"/>
        <v>10802215.821172344</v>
      </c>
      <c r="H59" s="22">
        <f t="shared" si="9"/>
        <v>10471151.138763066</v>
      </c>
      <c r="I59" s="22">
        <f t="shared" si="9"/>
        <v>10839506.384171214</v>
      </c>
      <c r="J59" s="22">
        <f t="shared" si="9"/>
        <v>10922776.808383968</v>
      </c>
      <c r="K59" s="22">
        <f t="shared" si="9"/>
        <v>10997777.473385593</v>
      </c>
      <c r="L59" s="22">
        <f t="shared" si="9"/>
        <v>11233413.168527313</v>
      </c>
      <c r="M59" s="22">
        <f t="shared" si="9"/>
        <v>11807915.357938956</v>
      </c>
      <c r="N59" s="22">
        <f t="shared" si="9"/>
        <v>11170199.935923211</v>
      </c>
      <c r="O59" s="22">
        <f t="shared" si="9"/>
        <v>11689637.63107538</v>
      </c>
      <c r="P59" s="22">
        <f t="shared" si="9"/>
        <v>11863617.228762023</v>
      </c>
      <c r="Q59" s="22">
        <f t="shared" si="9"/>
        <v>12510570.576920934</v>
      </c>
      <c r="R59" s="22">
        <f t="shared" si="9"/>
        <v>13512970.278060863</v>
      </c>
      <c r="S59" s="22">
        <f t="shared" si="9"/>
        <v>14491359.439286331</v>
      </c>
      <c r="T59" s="22">
        <f t="shared" si="9"/>
        <v>15230917.954494363</v>
      </c>
      <c r="U59" s="22">
        <f t="shared" si="9"/>
        <v>14874624.455447813</v>
      </c>
      <c r="V59" s="22">
        <f t="shared" si="9"/>
        <v>15050669.475922795</v>
      </c>
      <c r="W59" s="22">
        <f t="shared" si="9"/>
        <v>15884011.094613926</v>
      </c>
      <c r="X59" s="22">
        <f t="shared" si="9"/>
        <v>15855304.945079098</v>
      </c>
      <c r="Y59" s="22">
        <f t="shared" si="9"/>
        <v>16020454.192771515</v>
      </c>
      <c r="Z59" s="22">
        <f t="shared" si="9"/>
        <v>16326912.193368739</v>
      </c>
      <c r="AA59" s="22">
        <f t="shared" si="9"/>
        <v>16699523.077015547</v>
      </c>
      <c r="AB59" s="22">
        <f t="shared" si="9"/>
        <v>16955191.899062544</v>
      </c>
      <c r="AC59" s="22">
        <f t="shared" si="9"/>
        <v>17133013.34143351</v>
      </c>
      <c r="AD59" s="22">
        <f t="shared" si="9"/>
        <v>17231041.922233555</v>
      </c>
      <c r="AE59" s="22">
        <f t="shared" si="9"/>
        <v>17390621.223203383</v>
      </c>
      <c r="AF59" s="22">
        <f t="shared" si="9"/>
        <v>17559570.228487637</v>
      </c>
      <c r="AG59" s="22">
        <f t="shared" si="9"/>
        <v>16412856.172500093</v>
      </c>
      <c r="AH59" s="22">
        <f t="shared" si="9"/>
        <v>16859901.712274879</v>
      </c>
      <c r="AI59" s="22">
        <f t="shared" si="9"/>
        <v>17486281.043489799</v>
      </c>
      <c r="AJ59" s="22">
        <f t="shared" si="9"/>
        <v>17830798.741062239</v>
      </c>
      <c r="AK59" s="22">
        <f t="shared" si="9"/>
        <v>18214080.586263336</v>
      </c>
      <c r="AL59" s="22">
        <f t="shared" si="9"/>
        <v>18648303.750395767</v>
      </c>
      <c r="AM59" s="22">
        <f t="shared" si="9"/>
        <v>19113457.813702289</v>
      </c>
      <c r="AN59" s="22">
        <f t="shared" si="9"/>
        <v>19620668.963809446</v>
      </c>
      <c r="AO59" s="22">
        <f t="shared" si="9"/>
        <v>20140386.651532255</v>
      </c>
      <c r="AP59" s="22">
        <f t="shared" si="9"/>
        <v>20700395.47810515</v>
      </c>
      <c r="AQ59" s="22">
        <f t="shared" si="9"/>
        <v>21271081.391558394</v>
      </c>
      <c r="AR59" s="22">
        <f t="shared" si="9"/>
        <v>21905012.545340072</v>
      </c>
      <c r="AS59" s="22">
        <f t="shared" si="9"/>
        <v>22530907.828714434</v>
      </c>
      <c r="AT59" s="22">
        <f t="shared" si="9"/>
        <v>23188657.377701405</v>
      </c>
      <c r="AU59" s="22">
        <f t="shared" si="9"/>
        <v>23926761.051627737</v>
      </c>
      <c r="AV59" s="22">
        <f t="shared" si="9"/>
        <v>24631441.202967573</v>
      </c>
      <c r="AW59" s="22">
        <f t="shared" si="9"/>
        <v>25373848.488997154</v>
      </c>
      <c r="AX59" s="22">
        <f t="shared" si="9"/>
        <v>26164629.657531496</v>
      </c>
      <c r="AY59" s="22">
        <f t="shared" si="9"/>
        <v>26910487.438327592</v>
      </c>
      <c r="AZ59" s="22">
        <f t="shared" si="9"/>
        <v>27653585.193884674</v>
      </c>
      <c r="BA59" s="22">
        <f t="shared" si="9"/>
        <v>28395794.681256555</v>
      </c>
      <c r="BB59" s="22">
        <f t="shared" si="9"/>
        <v>29198113.04568303</v>
      </c>
      <c r="BC59" s="22">
        <f t="shared" si="9"/>
        <v>29972513.98075527</v>
      </c>
      <c r="BD59" s="22">
        <f t="shared" si="9"/>
        <v>30775496.812005557</v>
      </c>
      <c r="BE59" s="22">
        <f t="shared" si="9"/>
        <v>31610672.351709951</v>
      </c>
      <c r="BF59" s="22">
        <f t="shared" si="9"/>
        <v>32483726.279947154</v>
      </c>
      <c r="BG59" s="22">
        <f t="shared" si="9"/>
        <v>33392681.309461944</v>
      </c>
      <c r="BH59" s="22">
        <f t="shared" si="9"/>
        <v>33676555.170593165</v>
      </c>
      <c r="BI59" s="22">
        <f t="shared" si="9"/>
        <v>33902313.018197685</v>
      </c>
      <c r="BJ59" s="22">
        <f t="shared" si="9"/>
        <v>34043652.647042505</v>
      </c>
      <c r="BK59" s="22">
        <f t="shared" si="9"/>
        <v>34159810.000236489</v>
      </c>
    </row>
    <row r="60" spans="1:63" x14ac:dyDescent="0.3">
      <c r="A60" t="s">
        <v>874</v>
      </c>
      <c r="B60" t="s">
        <v>321</v>
      </c>
      <c r="C60" s="22">
        <f>((Data!$AJ$41*'Net zero Intermediate calcs'!C59)+Data!$AK$41)</f>
        <v>13829288.143620679</v>
      </c>
      <c r="D60" s="22">
        <f>((Data!$AJ$41*'Net zero Intermediate calcs'!D59)+Data!$AK$41)</f>
        <v>14338345.265431453</v>
      </c>
      <c r="E60" s="22">
        <f>((Data!$AJ$41*'Net zero Intermediate calcs'!E59)+Data!$AK$41)</f>
        <v>14350651.319287347</v>
      </c>
      <c r="F60" s="22">
        <f>((Data!$AJ$41*'Net zero Intermediate calcs'!F59)+Data!$AK$41)</f>
        <v>14127570.714980846</v>
      </c>
      <c r="G60" s="22">
        <f>((Data!$AJ$41*'Net zero Intermediate calcs'!G59)+Data!$AK$41)</f>
        <v>13527351.139652345</v>
      </c>
      <c r="H60" s="22">
        <f>((Data!$AJ$41*'Net zero Intermediate calcs'!H59)+Data!$AK$41)</f>
        <v>13214290.622651216</v>
      </c>
      <c r="I60" s="22">
        <f>((Data!$AJ$41*'Net zero Intermediate calcs'!I59)+Data!$AK$41)</f>
        <v>13562613.744067688</v>
      </c>
      <c r="J60" s="22">
        <f>((Data!$AJ$41*'Net zero Intermediate calcs'!J59)+Data!$AK$41)</f>
        <v>13641355.704295026</v>
      </c>
      <c r="K60" s="22">
        <f>((Data!$AJ$41*'Net zero Intermediate calcs'!K59)+Data!$AK$41)</f>
        <v>13712277.636498626</v>
      </c>
      <c r="L60" s="22">
        <f>((Data!$AJ$41*'Net zero Intermediate calcs'!L59)+Data!$AK$41)</f>
        <v>13935098.844753608</v>
      </c>
      <c r="M60" s="22">
        <f>((Data!$AJ$41*'Net zero Intermediate calcs'!M59)+Data!$AK$41)</f>
        <v>14478358.098886751</v>
      </c>
      <c r="N60" s="22">
        <f>((Data!$AJ$41*'Net zero Intermediate calcs'!N59)+Data!$AK$41)</f>
        <v>13875323.313469701</v>
      </c>
      <c r="O60" s="22">
        <f>((Data!$AJ$41*'Net zero Intermediate calcs'!O59)+Data!$AK$41)</f>
        <v>14366512.624908183</v>
      </c>
      <c r="P60" s="22">
        <f>((Data!$AJ$41*'Net zero Intermediate calcs'!P59)+Data!$AK$41)</f>
        <v>14531030.755936412</v>
      </c>
      <c r="Q60" s="22">
        <f>((Data!$AJ$41*'Net zero Intermediate calcs'!Q59)+Data!$AK$41)</f>
        <v>15142801.084853152</v>
      </c>
      <c r="R60" s="22">
        <f>((Data!$AJ$41*'Net zero Intermediate calcs'!R59)+Data!$AK$41)</f>
        <v>16090687.662173694</v>
      </c>
      <c r="S60" s="22">
        <f>((Data!$AJ$41*'Net zero Intermediate calcs'!S59)+Data!$AK$41)</f>
        <v>17015869.455690674</v>
      </c>
      <c r="T60" s="22">
        <f>((Data!$AJ$41*'Net zero Intermediate calcs'!T59)+Data!$AK$41)</f>
        <v>17715208.839882039</v>
      </c>
      <c r="U60" s="22">
        <f>((Data!$AJ$41*'Net zero Intermediate calcs'!U59)+Data!$AK$41)</f>
        <v>17378291.51543678</v>
      </c>
      <c r="V60" s="22">
        <f>((Data!$AJ$41*'Net zero Intermediate calcs'!V59)+Data!$AK$41)</f>
        <v>17544762.746147033</v>
      </c>
      <c r="W60" s="22">
        <f>((Data!$AJ$41*'Net zero Intermediate calcs'!W59)+Data!$AK$41)</f>
        <v>18332785.062775426</v>
      </c>
      <c r="X60" s="22">
        <f>((Data!$AJ$41*'Net zero Intermediate calcs'!X59)+Data!$AK$41)</f>
        <v>18305640.028913509</v>
      </c>
      <c r="Y60" s="22">
        <f>((Data!$AJ$41*'Net zero Intermediate calcs'!Y59)+Data!$AK$41)</f>
        <v>18461808.027531434</v>
      </c>
      <c r="Z60" s="22">
        <f>((Data!$AJ$41*'Net zero Intermediate calcs'!Z59)+Data!$AK$41)</f>
        <v>18751600.038590752</v>
      </c>
      <c r="AA60" s="22">
        <f>((Data!$AJ$41*'Net zero Intermediate calcs'!AA59)+Data!$AK$41)</f>
        <v>19103947.365481116</v>
      </c>
      <c r="AB60" s="22">
        <f>((Data!$AJ$41*'Net zero Intermediate calcs'!AB59)+Data!$AK$41)</f>
        <v>19345712.24667782</v>
      </c>
      <c r="AC60" s="22">
        <f>((Data!$AJ$41*'Net zero Intermediate calcs'!AC59)+Data!$AK$41)</f>
        <v>19513863.292803966</v>
      </c>
      <c r="AD60" s="22">
        <f>((Data!$AJ$41*'Net zero Intermediate calcs'!AD59)+Data!$AK$41)</f>
        <v>19606560.822370742</v>
      </c>
      <c r="AE60" s="22">
        <f>((Data!$AJ$41*'Net zero Intermediate calcs'!AE59)+Data!$AK$41)</f>
        <v>19757461.782572024</v>
      </c>
      <c r="AF60" s="22">
        <f>((Data!$AJ$41*'Net zero Intermediate calcs'!AF59)+Data!$AK$41)</f>
        <v>19917222.898001812</v>
      </c>
      <c r="AG60" s="22">
        <f>((Data!$AJ$41*'Net zero Intermediate calcs'!AG59)+Data!$AK$41)</f>
        <v>18832870.158810742</v>
      </c>
      <c r="AH60" s="22">
        <f>((Data!$AJ$41*'Net zero Intermediate calcs'!AH59)+Data!$AK$41)</f>
        <v>19255604.190077566</v>
      </c>
      <c r="AI60" s="22">
        <f>((Data!$AJ$41*'Net zero Intermediate calcs'!AI59)+Data!$AK$41)</f>
        <v>19847919.371032272</v>
      </c>
      <c r="AJ60" s="22">
        <f>((Data!$AJ$41*'Net zero Intermediate calcs'!AJ59)+Data!$AK$41)</f>
        <v>20173701.292961143</v>
      </c>
      <c r="AK60" s="22">
        <f>((Data!$AJ$41*'Net zero Intermediate calcs'!AK59)+Data!$AK$41)</f>
        <v>20536139.266539566</v>
      </c>
      <c r="AL60" s="22">
        <f>((Data!$AJ$41*'Net zero Intermediate calcs'!AL59)+Data!$AK$41)</f>
        <v>20946748.236568905</v>
      </c>
      <c r="AM60" s="22">
        <f>((Data!$AJ$41*'Net zero Intermediate calcs'!AM59)+Data!$AK$41)</f>
        <v>21386606.002381243</v>
      </c>
      <c r="AN60" s="22">
        <f>((Data!$AJ$41*'Net zero Intermediate calcs'!AN59)+Data!$AK$41)</f>
        <v>21866233.680349566</v>
      </c>
      <c r="AO60" s="22">
        <f>((Data!$AJ$41*'Net zero Intermediate calcs'!AO59)+Data!$AK$41)</f>
        <v>22357687.75762862</v>
      </c>
      <c r="AP60" s="22">
        <f>((Data!$AJ$41*'Net zero Intermediate calcs'!AP59)+Data!$AK$41)</f>
        <v>22887241.83599259</v>
      </c>
      <c r="AQ60" s="22">
        <f>((Data!$AJ$41*'Net zero Intermediate calcs'!AQ59)+Data!$AK$41)</f>
        <v>23426892.353259385</v>
      </c>
      <c r="AR60" s="22">
        <f>((Data!$AJ$41*'Net zero Intermediate calcs'!AR59)+Data!$AK$41)</f>
        <v>24026348.668870457</v>
      </c>
      <c r="AS60" s="22">
        <f>((Data!$AJ$41*'Net zero Intermediate calcs'!AS59)+Data!$AK$41)</f>
        <v>24618206.12577524</v>
      </c>
      <c r="AT60" s="22">
        <f>((Data!$AJ$41*'Net zero Intermediate calcs'!AT59)+Data!$AK$41)</f>
        <v>25240185.529813752</v>
      </c>
      <c r="AU60" s="22">
        <f>((Data!$AJ$41*'Net zero Intermediate calcs'!AU59)+Data!$AK$41)</f>
        <v>25938149.190806583</v>
      </c>
      <c r="AV60" s="22">
        <f>((Data!$AJ$41*'Net zero Intermediate calcs'!AV59)+Data!$AK$41)</f>
        <v>26604506.988000296</v>
      </c>
      <c r="AW60" s="22">
        <f>((Data!$AJ$41*'Net zero Intermediate calcs'!AW59)+Data!$AK$41)</f>
        <v>27306540.219387084</v>
      </c>
      <c r="AX60" s="22">
        <f>((Data!$AJ$41*'Net zero Intermediate calcs'!AX59)+Data!$AK$41)</f>
        <v>28054316.634722345</v>
      </c>
      <c r="AY60" s="22">
        <f>((Data!$AJ$41*'Net zero Intermediate calcs'!AY59)+Data!$AK$41)</f>
        <v>28759612.713923804</v>
      </c>
      <c r="AZ60" s="22">
        <f>((Data!$AJ$41*'Net zero Intermediate calcs'!AZ59)+Data!$AK$41)</f>
        <v>29462298.865294933</v>
      </c>
      <c r="BA60" s="22">
        <f>((Data!$AJ$41*'Net zero Intermediate calcs'!BA59)+Data!$AK$41)</f>
        <v>30164145.054833606</v>
      </c>
      <c r="BB60" s="22">
        <f>((Data!$AJ$41*'Net zero Intermediate calcs'!BB59)+Data!$AK$41)</f>
        <v>30922831.243100405</v>
      </c>
      <c r="BC60" s="22">
        <f>((Data!$AJ$41*'Net zero Intermediate calcs'!BC59)+Data!$AK$41)</f>
        <v>31655118.225014597</v>
      </c>
      <c r="BD60" s="22">
        <f>((Data!$AJ$41*'Net zero Intermediate calcs'!BD59)+Data!$AK$41)</f>
        <v>32414432.744657241</v>
      </c>
      <c r="BE60" s="22">
        <f>((Data!$AJ$41*'Net zero Intermediate calcs'!BE59)+Data!$AK$41)</f>
        <v>33204189.248866066</v>
      </c>
      <c r="BF60" s="22">
        <f>((Data!$AJ$41*'Net zero Intermediate calcs'!BF59)+Data!$AK$41)</f>
        <v>34029764.215530477</v>
      </c>
      <c r="BG60" s="22">
        <f>((Data!$AJ$41*'Net zero Intermediate calcs'!BG59)+Data!$AK$41)</f>
        <v>34889287.887460224</v>
      </c>
      <c r="BH60" s="22">
        <f>((Data!$AJ$41*'Net zero Intermediate calcs'!BH59)+Data!$AK$41)</f>
        <v>35157723.943768337</v>
      </c>
      <c r="BI60" s="22">
        <f>((Data!$AJ$41*'Net zero Intermediate calcs'!BI59)+Data!$AK$41)</f>
        <v>35371204.487732738</v>
      </c>
      <c r="BJ60" s="22">
        <f>((Data!$AJ$41*'Net zero Intermediate calcs'!BJ59)+Data!$AK$41)</f>
        <v>35504857.69699958</v>
      </c>
      <c r="BK60" s="22">
        <f>((Data!$AJ$41*'Net zero Intermediate calcs'!BK59)+Data!$AK$41)</f>
        <v>35614698.108787857</v>
      </c>
    </row>
    <row r="61" spans="1:63" x14ac:dyDescent="0.3">
      <c r="A61" t="s">
        <v>367</v>
      </c>
      <c r="B61" t="s">
        <v>361</v>
      </c>
      <c r="C61" s="22">
        <f>((Data!$AJ$42*LN('Net zero Intermediate calcs'!C60))+Data!$AK$42)</f>
        <v>3291216.8411945887</v>
      </c>
      <c r="D61" s="22">
        <f>((Data!$AJ$42*LN('Net zero Intermediate calcs'!D60))+Data!$AK$42)</f>
        <v>3319070.3486274015</v>
      </c>
      <c r="E61" s="22">
        <f>((Data!$AJ$42*LN('Net zero Intermediate calcs'!E60))+Data!$AK$42)</f>
        <v>3319731.3767311443</v>
      </c>
      <c r="F61" s="22">
        <f>((Data!$AJ$42*LN('Net zero Intermediate calcs'!F60))+Data!$AK$42)</f>
        <v>3307659.5145521946</v>
      </c>
      <c r="G61" s="22">
        <f>((Data!$AJ$42*LN('Net zero Intermediate calcs'!G60))+Data!$AK$42)</f>
        <v>3274207.49275437</v>
      </c>
      <c r="H61" s="22">
        <f>((Data!$AJ$42*LN('Net zero Intermediate calcs'!H60))+Data!$AK$42)</f>
        <v>3256165.8317827508</v>
      </c>
      <c r="I61" s="22">
        <f>((Data!$AJ$42*LN('Net zero Intermediate calcs'!I60))+Data!$AK$42)</f>
        <v>3276213.4544376917</v>
      </c>
      <c r="J61" s="22">
        <f>((Data!$AJ$42*LN('Net zero Intermediate calcs'!J60))+Data!$AK$42)</f>
        <v>3280674.0371948611</v>
      </c>
      <c r="K61" s="22">
        <f>((Data!$AJ$42*LN('Net zero Intermediate calcs'!K60))+Data!$AK$42)</f>
        <v>3284669.6459477041</v>
      </c>
      <c r="L61" s="22">
        <f>((Data!$AJ$42*LN('Net zero Intermediate calcs'!L60))+Data!$AK$42)</f>
        <v>3297089.8418645374</v>
      </c>
      <c r="M61" s="22">
        <f>((Data!$AJ$42*LN('Net zero Intermediate calcs'!M60))+Data!$AK$42)</f>
        <v>3326557.9619940948</v>
      </c>
      <c r="N61" s="22">
        <f>((Data!$AJ$42*LN('Net zero Intermediate calcs'!N60))+Data!$AK$42)</f>
        <v>3293777.5166018195</v>
      </c>
      <c r="O61" s="22">
        <f>((Data!$AJ$42*LN('Net zero Intermediate calcs'!O60))+Data!$AK$42)</f>
        <v>3320582.5419616979</v>
      </c>
      <c r="P61" s="22">
        <f>((Data!$AJ$42*LN('Net zero Intermediate calcs'!P60))+Data!$AK$42)</f>
        <v>3329356.0641698465</v>
      </c>
      <c r="Q61" s="22">
        <f>((Data!$AJ$42*LN('Net zero Intermediate calcs'!Q60))+Data!$AK$42)</f>
        <v>3361131.5914097354</v>
      </c>
      <c r="R61" s="22">
        <f>((Data!$AJ$42*LN('Net zero Intermediate calcs'!R60))+Data!$AK$42)</f>
        <v>3407914.3370274547</v>
      </c>
      <c r="S61" s="22">
        <f>((Data!$AJ$42*LN('Net zero Intermediate calcs'!S60))+Data!$AK$42)</f>
        <v>3450991.0539786909</v>
      </c>
      <c r="T61" s="22">
        <f>((Data!$AJ$42*LN('Net zero Intermediate calcs'!T60))+Data!$AK$42)</f>
        <v>3482025.5623515509</v>
      </c>
      <c r="U61" s="22">
        <f>((Data!$AJ$42*LN('Net zero Intermediate calcs'!U60))+Data!$AK$42)</f>
        <v>3467230.1714797169</v>
      </c>
      <c r="V61" s="22">
        <f>((Data!$AJ$42*LN('Net zero Intermediate calcs'!V60))+Data!$AK$42)</f>
        <v>3474576.1001284774</v>
      </c>
      <c r="W61" s="22">
        <f>((Data!$AJ$42*LN('Net zero Intermediate calcs'!W60))+Data!$AK$42)</f>
        <v>3508429.4822034501</v>
      </c>
      <c r="X61" s="22">
        <f>((Data!$AJ$42*LN('Net zero Intermediate calcs'!X60))+Data!$AK$42)</f>
        <v>3507287.7345839478</v>
      </c>
      <c r="Y61" s="22">
        <f>((Data!$AJ$42*LN('Net zero Intermediate calcs'!Y60))+Data!$AK$42)</f>
        <v>3513833.3067218531</v>
      </c>
      <c r="Z61" s="22">
        <f>((Data!$AJ$42*LN('Net zero Intermediate calcs'!Z60))+Data!$AK$42)</f>
        <v>3525834.1616909783</v>
      </c>
      <c r="AA61" s="22">
        <f>((Data!$AJ$42*LN('Net zero Intermediate calcs'!AA60))+Data!$AK$42)</f>
        <v>3540178.1669921204</v>
      </c>
      <c r="AB61" s="22">
        <f>((Data!$AJ$42*LN('Net zero Intermediate calcs'!AB60))+Data!$AK$42)</f>
        <v>3549868.1470751893</v>
      </c>
      <c r="AC61" s="22">
        <f>((Data!$AJ$42*LN('Net zero Intermediate calcs'!AC60))+Data!$AK$42)</f>
        <v>3556536.5322364159</v>
      </c>
      <c r="AD61" s="22">
        <f>((Data!$AJ$42*LN('Net zero Intermediate calcs'!AD60))+Data!$AK$42)</f>
        <v>3560188.1210105196</v>
      </c>
      <c r="AE61" s="22">
        <f>((Data!$AJ$42*LN('Net zero Intermediate calcs'!AE60))+Data!$AK$42)</f>
        <v>3566095.721297171</v>
      </c>
      <c r="AF61" s="22">
        <f>((Data!$AJ$42*LN('Net zero Intermediate calcs'!AF60))+Data!$AK$42)</f>
        <v>3572301.2157589328</v>
      </c>
      <c r="AG61" s="22">
        <f>((Data!$AJ$42*LN('Net zero Intermediate calcs'!AG60))+Data!$AK$42)</f>
        <v>3529166.4271480162</v>
      </c>
      <c r="AH61" s="22">
        <f>((Data!$AJ$42*LN('Net zero Intermediate calcs'!AH60))+Data!$AK$42)</f>
        <v>3546270.8298196383</v>
      </c>
      <c r="AI61" s="22">
        <f>((Data!$AJ$42*LN('Net zero Intermediate calcs'!AI60))+Data!$AK$42)</f>
        <v>3569615.4404246323</v>
      </c>
      <c r="AJ61" s="22">
        <f>((Data!$AJ$42*LN('Net zero Intermediate calcs'!AJ60))+Data!$AK$42)</f>
        <v>3582160.0846004635</v>
      </c>
      <c r="AK61" s="22">
        <f>((Data!$AJ$42*LN('Net zero Intermediate calcs'!AK60))+Data!$AK$42)</f>
        <v>3595880.3405040652</v>
      </c>
      <c r="AL61" s="22">
        <f>((Data!$AJ$42*LN('Net zero Intermediate calcs'!AL60))+Data!$AK$42)</f>
        <v>3611134.5632110536</v>
      </c>
      <c r="AM61" s="22">
        <f>((Data!$AJ$42*LN('Net zero Intermediate calcs'!AM60))+Data!$AK$42)</f>
        <v>3627147.1559278443</v>
      </c>
      <c r="AN61" s="22">
        <f>((Data!$AJ$42*LN('Net zero Intermediate calcs'!AN60))+Data!$AK$42)</f>
        <v>3644236.4395725913</v>
      </c>
      <c r="AO61" s="22">
        <f>((Data!$AJ$42*LN('Net zero Intermediate calcs'!AO60))+Data!$AK$42)</f>
        <v>3661362.600325441</v>
      </c>
      <c r="AP61" s="22">
        <f>((Data!$AJ$42*LN('Net zero Intermediate calcs'!AP60))+Data!$AK$42)</f>
        <v>3679400.1141631156</v>
      </c>
      <c r="AQ61" s="22">
        <f>((Data!$AJ$42*LN('Net zero Intermediate calcs'!AQ60))+Data!$AK$42)</f>
        <v>3697357.1706347931</v>
      </c>
      <c r="AR61" s="22">
        <f>((Data!$AJ$42*LN('Net zero Intermediate calcs'!AR60))+Data!$AK$42)</f>
        <v>3716825.6131215878</v>
      </c>
      <c r="AS61" s="22">
        <f>((Data!$AJ$42*LN('Net zero Intermediate calcs'!AS60))+Data!$AK$42)</f>
        <v>3735576.4548132215</v>
      </c>
      <c r="AT61" s="22">
        <f>((Data!$AJ$42*LN('Net zero Intermediate calcs'!AT60))+Data!$AK$42)</f>
        <v>3754801.9136793837</v>
      </c>
      <c r="AU61" s="22">
        <f>((Data!$AJ$42*LN('Net zero Intermediate calcs'!AU60))+Data!$AK$42)</f>
        <v>3775819.8481446952</v>
      </c>
      <c r="AV61" s="22">
        <f>((Data!$AJ$42*LN('Net zero Intermediate calcs'!AV60))+Data!$AK$42)</f>
        <v>3795364.8263388891</v>
      </c>
      <c r="AW61" s="22">
        <f>((Data!$AJ$42*LN('Net zero Intermediate calcs'!AW60))+Data!$AK$42)</f>
        <v>3815433.6028827671</v>
      </c>
      <c r="AX61" s="22">
        <f>((Data!$AJ$42*LN('Net zero Intermediate calcs'!AX60))+Data!$AK$42)</f>
        <v>3836250.2997946851</v>
      </c>
      <c r="AY61" s="22">
        <f>((Data!$AJ$42*LN('Net zero Intermediate calcs'!AY60))+Data!$AK$42)</f>
        <v>3855382.0807021372</v>
      </c>
      <c r="AZ61" s="22">
        <f>((Data!$AJ$42*LN('Net zero Intermediate calcs'!AZ60))+Data!$AK$42)</f>
        <v>3873982.0602689441</v>
      </c>
      <c r="BA61" s="22">
        <f>((Data!$AJ$42*LN('Net zero Intermediate calcs'!BA60))+Data!$AK$42)</f>
        <v>3892122.1545698177</v>
      </c>
      <c r="BB61" s="22">
        <f>((Data!$AJ$42*LN('Net zero Intermediate calcs'!BB60))+Data!$AK$42)</f>
        <v>3911262.6125641726</v>
      </c>
      <c r="BC61" s="22">
        <f>((Data!$AJ$42*LN('Net zero Intermediate calcs'!BC60))+Data!$AK$42)</f>
        <v>3929296.7865376845</v>
      </c>
      <c r="BD61" s="22">
        <f>((Data!$AJ$42*LN('Net zero Intermediate calcs'!BD60))+Data!$AK$42)</f>
        <v>3947561.2451422345</v>
      </c>
      <c r="BE61" s="22">
        <f>((Data!$AJ$42*LN('Net zero Intermediate calcs'!BE60))+Data!$AK$42)</f>
        <v>3966109.5199365783</v>
      </c>
      <c r="BF61" s="22">
        <f>((Data!$AJ$42*LN('Net zero Intermediate calcs'!BF60))+Data!$AK$42)</f>
        <v>3985033.2236568704</v>
      </c>
      <c r="BG61" s="22">
        <f>((Data!$AJ$42*LN('Net zero Intermediate calcs'!BG60))+Data!$AK$42)</f>
        <v>4004253.4062462822</v>
      </c>
      <c r="BH61" s="22">
        <f>((Data!$AJ$42*LN('Net zero Intermediate calcs'!BH60))+Data!$AK$42)</f>
        <v>4010159.084837364</v>
      </c>
      <c r="BI61" s="22">
        <f>((Data!$AJ$42*LN('Net zero Intermediate calcs'!BI60))+Data!$AK$42)</f>
        <v>4014823.6244577486</v>
      </c>
      <c r="BJ61" s="22">
        <f>((Data!$AJ$42*LN('Net zero Intermediate calcs'!BJ60))+Data!$AK$42)</f>
        <v>4017729.6322231963</v>
      </c>
      <c r="BK61" s="22">
        <f>((Data!$AJ$42*LN('Net zero Intermediate calcs'!BK60))+Data!$AK$42)</f>
        <v>4020109.7031918075</v>
      </c>
    </row>
    <row r="62" spans="1:63" s="44" customFormat="1" x14ac:dyDescent="0.3">
      <c r="A62" s="36" t="s">
        <v>875</v>
      </c>
    </row>
    <row r="63" spans="1:63" x14ac:dyDescent="0.3">
      <c r="A63" t="s">
        <v>848</v>
      </c>
      <c r="B63" t="s">
        <v>327</v>
      </c>
      <c r="Y63" s="22">
        <f>'Levers &amp; variables'!G6</f>
        <v>0.7</v>
      </c>
      <c r="Z63" s="22">
        <f t="shared" ref="Z63:AF65" si="10">Y63+(($AG63-$Y63)/8)</f>
        <v>0.70499999999999996</v>
      </c>
      <c r="AA63" s="22">
        <f t="shared" si="10"/>
        <v>0.71</v>
      </c>
      <c r="AB63" s="22">
        <f t="shared" si="10"/>
        <v>0.71499999999999997</v>
      </c>
      <c r="AC63" s="22">
        <f t="shared" si="10"/>
        <v>0.72</v>
      </c>
      <c r="AD63" s="22">
        <f t="shared" si="10"/>
        <v>0.72499999999999998</v>
      </c>
      <c r="AE63" s="22">
        <f t="shared" si="10"/>
        <v>0.73</v>
      </c>
      <c r="AF63" s="22">
        <f t="shared" si="10"/>
        <v>0.73499999999999999</v>
      </c>
      <c r="AG63" s="22">
        <f>'Levers &amp; variables'!H6</f>
        <v>0.74</v>
      </c>
      <c r="AH63" s="22">
        <f t="shared" ref="AH63:AP65" si="11">AG63+(($AQ63-$AG63)/10)</f>
        <v>0.74199999999999999</v>
      </c>
      <c r="AI63" s="22">
        <f t="shared" si="11"/>
        <v>0.74399999999999999</v>
      </c>
      <c r="AJ63" s="22">
        <f t="shared" si="11"/>
        <v>0.746</v>
      </c>
      <c r="AK63" s="22">
        <f t="shared" si="11"/>
        <v>0.748</v>
      </c>
      <c r="AL63" s="22">
        <f t="shared" si="11"/>
        <v>0.75</v>
      </c>
      <c r="AM63" s="22">
        <f t="shared" si="11"/>
        <v>0.752</v>
      </c>
      <c r="AN63" s="22">
        <f t="shared" si="11"/>
        <v>0.754</v>
      </c>
      <c r="AO63" s="22">
        <f t="shared" si="11"/>
        <v>0.75600000000000001</v>
      </c>
      <c r="AP63" s="22">
        <f t="shared" si="11"/>
        <v>0.75800000000000001</v>
      </c>
      <c r="AQ63" s="22">
        <f>'Levers &amp; variables'!I6</f>
        <v>0.76</v>
      </c>
      <c r="AR63" s="22">
        <f t="shared" ref="AR63:AZ65" si="12">AQ63+(($BA63-$AQ63)/10)</f>
        <v>0.76400000000000001</v>
      </c>
      <c r="AS63" s="22">
        <f t="shared" si="12"/>
        <v>0.76800000000000002</v>
      </c>
      <c r="AT63" s="22">
        <f t="shared" si="12"/>
        <v>0.77200000000000002</v>
      </c>
      <c r="AU63" s="22">
        <f t="shared" si="12"/>
        <v>0.77600000000000002</v>
      </c>
      <c r="AV63" s="22">
        <f t="shared" si="12"/>
        <v>0.78</v>
      </c>
      <c r="AW63" s="22">
        <f t="shared" si="12"/>
        <v>0.78400000000000003</v>
      </c>
      <c r="AX63" s="22">
        <f t="shared" si="12"/>
        <v>0.78800000000000003</v>
      </c>
      <c r="AY63" s="22">
        <f t="shared" si="12"/>
        <v>0.79200000000000004</v>
      </c>
      <c r="AZ63" s="22">
        <f t="shared" si="12"/>
        <v>0.79600000000000004</v>
      </c>
      <c r="BA63" s="22">
        <f>'Levers &amp; variables'!J6</f>
        <v>0.8</v>
      </c>
      <c r="BB63" s="22">
        <f t="shared" ref="BB63:BJ65" si="13">BA63+(($BK63-$BA63)/10)</f>
        <v>0.80300000000000005</v>
      </c>
      <c r="BC63" s="22">
        <f t="shared" si="13"/>
        <v>0.80600000000000005</v>
      </c>
      <c r="BD63" s="22">
        <f t="shared" si="13"/>
        <v>0.80900000000000005</v>
      </c>
      <c r="BE63" s="22">
        <f t="shared" si="13"/>
        <v>0.81200000000000006</v>
      </c>
      <c r="BF63" s="22">
        <f t="shared" si="13"/>
        <v>0.81500000000000006</v>
      </c>
      <c r="BG63" s="22">
        <f t="shared" si="13"/>
        <v>0.81800000000000006</v>
      </c>
      <c r="BH63" s="22">
        <f t="shared" si="13"/>
        <v>0.82100000000000006</v>
      </c>
      <c r="BI63" s="22">
        <f t="shared" si="13"/>
        <v>0.82400000000000007</v>
      </c>
      <c r="BJ63" s="22">
        <f t="shared" si="13"/>
        <v>0.82700000000000007</v>
      </c>
      <c r="BK63" s="22">
        <f>'Levers &amp; variables'!K6</f>
        <v>0.83</v>
      </c>
    </row>
    <row r="64" spans="1:63" x14ac:dyDescent="0.3">
      <c r="A64" t="s">
        <v>849</v>
      </c>
      <c r="B64" t="s">
        <v>815</v>
      </c>
      <c r="Y64" s="94">
        <f>IF($Y$1="Off",'Intermediate calculations'!Y64,IF($Y$1="PQ",'Net zero supporting data'!B101,IF('Net zero Intermediate calcs'!$Y$1="GS",'Net zero supporting data'!B65,'Net zero supporting data'!B84)))</f>
        <v>0.57999999999999996</v>
      </c>
      <c r="Z64" s="94">
        <f>IF($Y$1="Off",'Intermediate calculations'!Z64,IF($Y$1="PQ",'Net zero supporting data'!C101,IF('Net zero Intermediate calcs'!$Y$1="GS",'Net zero supporting data'!C65,'Net zero supporting data'!C84)))</f>
        <v>0.57999999999999996</v>
      </c>
      <c r="AA64" s="94">
        <f>IF($Y$1="Off",'Intermediate calculations'!AA64,IF($Y$1="PQ",'Net zero supporting data'!D101,IF('Net zero Intermediate calcs'!$Y$1="GS",'Net zero supporting data'!D65,'Net zero supporting data'!D84)))</f>
        <v>0.57999999999999996</v>
      </c>
      <c r="AB64" s="94">
        <f>IF($Y$1="Off",'Intermediate calculations'!AB64,IF($Y$1="PQ",'Net zero supporting data'!E101,IF('Net zero Intermediate calcs'!$Y$1="GS",'Net zero supporting data'!E65,'Net zero supporting data'!E84)))</f>
        <v>0.57999999999999996</v>
      </c>
      <c r="AC64" s="94">
        <f>IF($Y$1="Off",'Intermediate calculations'!AC64,IF($Y$1="PQ",'Net zero supporting data'!F101,IF('Net zero Intermediate calcs'!$Y$1="GS",'Net zero supporting data'!F65,'Net zero supporting data'!F84)))</f>
        <v>0.57999999999999996</v>
      </c>
      <c r="AD64" s="94">
        <f>IF($Y$1="Off",'Intermediate calculations'!AD64,IF($Y$1="PQ",'Net zero supporting data'!G101,IF('Net zero Intermediate calcs'!$Y$1="GS",'Net zero supporting data'!G65,'Net zero supporting data'!G84)))</f>
        <v>0.57999999999999996</v>
      </c>
      <c r="AE64" s="94">
        <f>IF($Y$1="Off",'Intermediate calculations'!AE64,IF($Y$1="PQ",'Net zero supporting data'!H101,IF('Net zero Intermediate calcs'!$Y$1="GS",'Net zero supporting data'!H65,'Net zero supporting data'!H84)))</f>
        <v>0.57999999999999996</v>
      </c>
      <c r="AF64" s="94">
        <f>IF($Y$1="Off",'Intermediate calculations'!AF64,IF($Y$1="PQ",'Net zero supporting data'!I101,IF('Net zero Intermediate calcs'!$Y$1="GS",'Net zero supporting data'!I65,'Net zero supporting data'!I84)))</f>
        <v>0.57999999999999996</v>
      </c>
      <c r="AG64" s="94">
        <f>IF($Y$1="Off",'Intermediate calculations'!AG64,IF($Y$1="PQ",'Net zero supporting data'!J101,IF('Net zero Intermediate calcs'!$Y$1="GS",'Net zero supporting data'!J65,'Net zero supporting data'!J84)))</f>
        <v>0.57999999999999996</v>
      </c>
      <c r="AH64" s="94">
        <f>IF($Y$1="Off",'Intermediate calculations'!AH64,IF($Y$1="PQ",'Net zero supporting data'!K101,IF('Net zero Intermediate calcs'!$Y$1="GS",'Net zero supporting data'!K65,'Net zero supporting data'!K84)))</f>
        <v>0.57999999999999996</v>
      </c>
      <c r="AI64" s="94">
        <f>IF($Y$1="Off",'Intermediate calculations'!AI64,IF($Y$1="PQ",'Net zero supporting data'!L101,IF('Net zero Intermediate calcs'!$Y$1="GS",'Net zero supporting data'!L65,'Net zero supporting data'!L84)))</f>
        <v>0.57999999999999996</v>
      </c>
      <c r="AJ64" s="94">
        <f>IF($Y$1="Off",'Intermediate calculations'!AJ64,IF($Y$1="PQ",'Net zero supporting data'!M101,IF('Net zero Intermediate calcs'!$Y$1="GS",'Net zero supporting data'!M65,'Net zero supporting data'!M84)))</f>
        <v>0.57999999999999996</v>
      </c>
      <c r="AK64" s="94">
        <f>IF($Y$1="Off",'Intermediate calculations'!AK64,IF($Y$1="PQ",'Net zero supporting data'!N101,IF('Net zero Intermediate calcs'!$Y$1="GS",'Net zero supporting data'!N65,'Net zero supporting data'!N84)))</f>
        <v>0.57999999999999996</v>
      </c>
      <c r="AL64" s="94">
        <f>IF($Y$1="Off",'Intermediate calculations'!AL64,IF($Y$1="PQ",'Net zero supporting data'!O101,IF('Net zero Intermediate calcs'!$Y$1="GS",'Net zero supporting data'!O65,'Net zero supporting data'!O84)))</f>
        <v>0.57999999999999996</v>
      </c>
      <c r="AM64" s="94">
        <f>IF($Y$1="Off",'Intermediate calculations'!AM64,IF($Y$1="PQ",'Net zero supporting data'!P101,IF('Net zero Intermediate calcs'!$Y$1="GS",'Net zero supporting data'!P65,'Net zero supporting data'!P84)))</f>
        <v>0.57999999999999996</v>
      </c>
      <c r="AN64" s="94">
        <f>IF($Y$1="Off",'Intermediate calculations'!AN64,IF($Y$1="PQ",'Net zero supporting data'!Q101,IF('Net zero Intermediate calcs'!$Y$1="GS",'Net zero supporting data'!Q65,'Net zero supporting data'!Q84)))</f>
        <v>0.57999999999999996</v>
      </c>
      <c r="AO64" s="94">
        <f>IF($Y$1="Off",'Intermediate calculations'!AO64,IF($Y$1="PQ",'Net zero supporting data'!R101,IF('Net zero Intermediate calcs'!$Y$1="GS",'Net zero supporting data'!R65,'Net zero supporting data'!R84)))</f>
        <v>0.57999999999999996</v>
      </c>
      <c r="AP64" s="94">
        <f>IF($Y$1="Off",'Intermediate calculations'!AP64,IF($Y$1="PQ",'Net zero supporting data'!S101,IF('Net zero Intermediate calcs'!$Y$1="GS",'Net zero supporting data'!S65,'Net zero supporting data'!S84)))</f>
        <v>0.57999999999999996</v>
      </c>
      <c r="AQ64" s="94">
        <f>IF($Y$1="Off",'Intermediate calculations'!AQ64,IF($Y$1="PQ",'Net zero supporting data'!T101,IF('Net zero Intermediate calcs'!$Y$1="GS",'Net zero supporting data'!T65,'Net zero supporting data'!T84)))</f>
        <v>0.57999999999999996</v>
      </c>
      <c r="AR64" s="94">
        <f>IF($Y$1="Off",'Intermediate calculations'!AR64,IF($Y$1="PQ",'Net zero supporting data'!U101,IF('Net zero Intermediate calcs'!$Y$1="GS",'Net zero supporting data'!U65,'Net zero supporting data'!U84)))</f>
        <v>0.57999999999999996</v>
      </c>
      <c r="AS64" s="94">
        <f>IF($Y$1="Off",'Intermediate calculations'!AS64,IF($Y$1="PQ",'Net zero supporting data'!V101,IF('Net zero Intermediate calcs'!$Y$1="GS",'Net zero supporting data'!V65,'Net zero supporting data'!V84)))</f>
        <v>0.57999999999999996</v>
      </c>
      <c r="AT64" s="94">
        <f>IF($Y$1="Off",'Intermediate calculations'!AT64,IF($Y$1="PQ",'Net zero supporting data'!W101,IF('Net zero Intermediate calcs'!$Y$1="GS",'Net zero supporting data'!W65,'Net zero supporting data'!W84)))</f>
        <v>0.57999999999999996</v>
      </c>
      <c r="AU64" s="94">
        <f>IF($Y$1="Off",'Intermediate calculations'!AU64,IF($Y$1="PQ",'Net zero supporting data'!X101,IF('Net zero Intermediate calcs'!$Y$1="GS",'Net zero supporting data'!X65,'Net zero supporting data'!X84)))</f>
        <v>0.57999999999999996</v>
      </c>
      <c r="AV64" s="94">
        <f>IF($Y$1="Off",'Intermediate calculations'!AV64,IF($Y$1="PQ",'Net zero supporting data'!Y101,IF('Net zero Intermediate calcs'!$Y$1="GS",'Net zero supporting data'!Y65,'Net zero supporting data'!Y84)))</f>
        <v>0.57999999999999996</v>
      </c>
      <c r="AW64" s="94">
        <f>IF($Y$1="Off",'Intermediate calculations'!AW64,IF($Y$1="PQ",'Net zero supporting data'!Z101,IF('Net zero Intermediate calcs'!$Y$1="GS",'Net zero supporting data'!Z65,'Net zero supporting data'!Z84)))</f>
        <v>0.57999999999999996</v>
      </c>
      <c r="AX64" s="94">
        <f>IF($Y$1="Off",'Intermediate calculations'!AX64,IF($Y$1="PQ",'Net zero supporting data'!AA101,IF('Net zero Intermediate calcs'!$Y$1="GS",'Net zero supporting data'!AA65,'Net zero supporting data'!AA84)))</f>
        <v>0.57999999999999996</v>
      </c>
      <c r="AY64" s="94">
        <f>IF($Y$1="Off",'Intermediate calculations'!AY64,IF($Y$1="PQ",'Net zero supporting data'!AB101,IF('Net zero Intermediate calcs'!$Y$1="GS",'Net zero supporting data'!AB65,'Net zero supporting data'!AB84)))</f>
        <v>0.57999999999999996</v>
      </c>
      <c r="AZ64" s="94">
        <f>IF($Y$1="Off",'Intermediate calculations'!AZ64,IF($Y$1="PQ",'Net zero supporting data'!AC101,IF('Net zero Intermediate calcs'!$Y$1="GS",'Net zero supporting data'!AC65,'Net zero supporting data'!AC84)))</f>
        <v>0.57999999999999996</v>
      </c>
      <c r="BA64" s="94">
        <f>IF($Y$1="Off",'Intermediate calculations'!BA64,IF($Y$1="PQ",'Net zero supporting data'!AD101,IF('Net zero Intermediate calcs'!$Y$1="GS",'Net zero supporting data'!AD65,'Net zero supporting data'!AD84)))</f>
        <v>0.57999999999999996</v>
      </c>
      <c r="BB64" s="94">
        <f>IF($Y$1="Off",'Intermediate calculations'!BB64,IF($Y$1="PQ",'Net zero supporting data'!AE101,IF('Net zero Intermediate calcs'!$Y$1="GS",'Net zero supporting data'!AE65,'Net zero supporting data'!AE84)))</f>
        <v>0.57999999999999996</v>
      </c>
      <c r="BC64" s="94">
        <f>IF($Y$1="Off",'Intermediate calculations'!BC64,IF($Y$1="PQ",'Net zero supporting data'!AF101,IF('Net zero Intermediate calcs'!$Y$1="GS",'Net zero supporting data'!AF65,'Net zero supporting data'!AF84)))</f>
        <v>0.57999999999999996</v>
      </c>
      <c r="BD64" s="94">
        <f>IF($Y$1="Off",'Intermediate calculations'!BD64,IF($Y$1="PQ",'Net zero supporting data'!AG101,IF('Net zero Intermediate calcs'!$Y$1="GS",'Net zero supporting data'!AG65,'Net zero supporting data'!AG84)))</f>
        <v>0.57999999999999996</v>
      </c>
      <c r="BE64" s="94">
        <f>IF($Y$1="Off",'Intermediate calculations'!BE64,IF($Y$1="PQ",'Net zero supporting data'!AH101,IF('Net zero Intermediate calcs'!$Y$1="GS",'Net zero supporting data'!AH65,'Net zero supporting data'!AH84)))</f>
        <v>0.57999999999999996</v>
      </c>
      <c r="BF64" s="94">
        <f>IF($Y$1="Off",'Intermediate calculations'!BF64,IF($Y$1="PQ",'Net zero supporting data'!AI101,IF('Net zero Intermediate calcs'!$Y$1="GS",'Net zero supporting data'!AI65,'Net zero supporting data'!AI84)))</f>
        <v>0.57999999999999996</v>
      </c>
      <c r="BG64" s="94">
        <f>IF($Y$1="Off",'Intermediate calculations'!BG64,IF($Y$1="PQ",'Net zero supporting data'!AJ101,IF('Net zero Intermediate calcs'!$Y$1="GS",'Net zero supporting data'!AJ65,'Net zero supporting data'!AJ84)))</f>
        <v>0.57999999999999996</v>
      </c>
      <c r="BH64" s="94">
        <f>IF($Y$1="Off",'Intermediate calculations'!BH64,IF($Y$1="PQ",'Net zero supporting data'!AK101,IF('Net zero Intermediate calcs'!$Y$1="GS",'Net zero supporting data'!AK65,'Net zero supporting data'!AK84)))</f>
        <v>0.57999999999999996</v>
      </c>
      <c r="BI64" s="94">
        <f>IF($Y$1="Off",'Intermediate calculations'!BI64,IF($Y$1="PQ",'Net zero supporting data'!AL101,IF('Net zero Intermediate calcs'!$Y$1="GS",'Net zero supporting data'!AL65,'Net zero supporting data'!AL84)))</f>
        <v>0.57999999999999996</v>
      </c>
      <c r="BJ64" s="94">
        <f>IF($Y$1="Off",'Intermediate calculations'!BJ64,IF($Y$1="PQ",'Net zero supporting data'!AM101,IF('Net zero Intermediate calcs'!$Y$1="GS",'Net zero supporting data'!AM65,'Net zero supporting data'!AM84)))</f>
        <v>0.57999999999999996</v>
      </c>
      <c r="BK64" s="94">
        <f>IF($Y$1="Off",'Intermediate calculations'!BK64,IF($Y$1="PQ",'Net zero supporting data'!AN101,IF('Net zero Intermediate calcs'!$Y$1="GS",'Net zero supporting data'!AN65,'Net zero supporting data'!AN84)))</f>
        <v>0.57999999999999996</v>
      </c>
    </row>
    <row r="65" spans="1:63" x14ac:dyDescent="0.3">
      <c r="A65" t="s">
        <v>850</v>
      </c>
      <c r="B65" t="s">
        <v>851</v>
      </c>
      <c r="Y65" s="22">
        <f>'Levers &amp; variables'!G8</f>
        <v>120</v>
      </c>
      <c r="Z65" s="22">
        <f t="shared" si="10"/>
        <v>120</v>
      </c>
      <c r="AA65" s="22">
        <f t="shared" si="10"/>
        <v>120</v>
      </c>
      <c r="AB65" s="22">
        <f t="shared" si="10"/>
        <v>120</v>
      </c>
      <c r="AC65" s="22">
        <f t="shared" si="10"/>
        <v>120</v>
      </c>
      <c r="AD65" s="22">
        <f t="shared" si="10"/>
        <v>120</v>
      </c>
      <c r="AE65" s="22">
        <f t="shared" si="10"/>
        <v>120</v>
      </c>
      <c r="AF65" s="22">
        <f t="shared" si="10"/>
        <v>120</v>
      </c>
      <c r="AG65" s="22">
        <f>'Levers &amp; variables'!H8</f>
        <v>120</v>
      </c>
      <c r="AH65" s="22">
        <f t="shared" si="11"/>
        <v>120</v>
      </c>
      <c r="AI65" s="22">
        <f t="shared" si="11"/>
        <v>120</v>
      </c>
      <c r="AJ65" s="22">
        <f t="shared" si="11"/>
        <v>120</v>
      </c>
      <c r="AK65" s="22">
        <f t="shared" si="11"/>
        <v>120</v>
      </c>
      <c r="AL65" s="22">
        <f t="shared" si="11"/>
        <v>120</v>
      </c>
      <c r="AM65" s="22">
        <f t="shared" si="11"/>
        <v>120</v>
      </c>
      <c r="AN65" s="22">
        <f t="shared" si="11"/>
        <v>120</v>
      </c>
      <c r="AO65" s="22">
        <f t="shared" si="11"/>
        <v>120</v>
      </c>
      <c r="AP65" s="22">
        <f t="shared" si="11"/>
        <v>120</v>
      </c>
      <c r="AQ65" s="22">
        <f>'Levers &amp; variables'!I8</f>
        <v>120</v>
      </c>
      <c r="AR65" s="22">
        <f t="shared" si="12"/>
        <v>120</v>
      </c>
      <c r="AS65" s="22">
        <f t="shared" si="12"/>
        <v>120</v>
      </c>
      <c r="AT65" s="22">
        <f t="shared" si="12"/>
        <v>120</v>
      </c>
      <c r="AU65" s="22">
        <f t="shared" si="12"/>
        <v>120</v>
      </c>
      <c r="AV65" s="22">
        <f t="shared" si="12"/>
        <v>120</v>
      </c>
      <c r="AW65" s="22">
        <f t="shared" si="12"/>
        <v>120</v>
      </c>
      <c r="AX65" s="22">
        <f t="shared" si="12"/>
        <v>120</v>
      </c>
      <c r="AY65" s="22">
        <f t="shared" si="12"/>
        <v>120</v>
      </c>
      <c r="AZ65" s="22">
        <f t="shared" si="12"/>
        <v>120</v>
      </c>
      <c r="BA65" s="22">
        <f>'Levers &amp; variables'!J8</f>
        <v>120</v>
      </c>
      <c r="BB65" s="22">
        <f t="shared" si="13"/>
        <v>120</v>
      </c>
      <c r="BC65" s="22">
        <f t="shared" si="13"/>
        <v>120</v>
      </c>
      <c r="BD65" s="22">
        <f t="shared" si="13"/>
        <v>120</v>
      </c>
      <c r="BE65" s="22">
        <f t="shared" si="13"/>
        <v>120</v>
      </c>
      <c r="BF65" s="22">
        <f t="shared" si="13"/>
        <v>120</v>
      </c>
      <c r="BG65" s="22">
        <f t="shared" si="13"/>
        <v>120</v>
      </c>
      <c r="BH65" s="22">
        <f t="shared" si="13"/>
        <v>120</v>
      </c>
      <c r="BI65" s="22">
        <f t="shared" si="13"/>
        <v>120</v>
      </c>
      <c r="BJ65" s="22">
        <f t="shared" si="13"/>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B6947CF7-CBCD-4371-9709-4704D708E751}">
          <x14:colorSeries rgb="FF376092"/>
          <x14:colorNegative rgb="FFD00000"/>
          <x14:colorAxis rgb="FF000000"/>
          <x14:colorMarkers rgb="FFD00000"/>
          <x14:colorFirst rgb="FFD00000"/>
          <x14:colorLast rgb="FFD00000"/>
          <x14:colorHigh rgb="FFD00000"/>
          <x14:colorLow rgb="FFD00000"/>
          <x14:sparklines>
            <x14:sparkline>
              <xm:f>'Net zero Intermediate calcs'!C5:BK5</xm:f>
              <xm:sqref>BM5</xm:sqref>
            </x14:sparkline>
            <x14:sparkline>
              <xm:f>'Net zero Intermediate calcs'!C6:BK6</xm:f>
              <xm:sqref>BM6</xm:sqref>
            </x14:sparkline>
            <x14:sparkline>
              <xm:f>'Net zero Intermediate calcs'!C7:BK7</xm:f>
              <xm:sqref>BM7</xm:sqref>
            </x14:sparkline>
            <x14:sparkline>
              <xm:f>'Net zero Intermediate calcs'!C8:BK8</xm:f>
              <xm:sqref>BM8</xm:sqref>
            </x14:sparkline>
            <x14:sparkline>
              <xm:f>'Net zero Intermediate calcs'!C9:BK9</xm:f>
              <xm:sqref>BM9</xm:sqref>
            </x14:sparkline>
            <x14:sparkline>
              <xm:f>'Net zero Intermediate calcs'!C10:BK10</xm:f>
              <xm:sqref>BM10</xm:sqref>
            </x14:sparkline>
            <x14:sparkline>
              <xm:f>'Net zero Intermediate calcs'!C11:BK11</xm:f>
              <xm:sqref>BM11</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59BF6-98F6-4036-8327-F19D405A6FF2}">
  <sheetPr>
    <tabColor rgb="FFFF00FF"/>
  </sheetPr>
  <dimension ref="A1:AV216"/>
  <sheetViews>
    <sheetView workbookViewId="0">
      <pane ySplit="3" topLeftCell="A88" activePane="bottomLeft" state="frozen"/>
      <selection pane="bottomLeft" activeCell="K97" sqref="K97"/>
    </sheetView>
  </sheetViews>
  <sheetFormatPr defaultColWidth="8.77734375" defaultRowHeight="14.4" x14ac:dyDescent="0.3"/>
  <cols>
    <col min="1" max="1" width="51" customWidth="1"/>
    <col min="2" max="9" width="10.6640625" customWidth="1"/>
    <col min="10" max="10" width="12" customWidth="1"/>
    <col min="11" max="11" width="11.44140625" customWidth="1"/>
    <col min="12" max="12" width="11.33203125" customWidth="1"/>
    <col min="13" max="31" width="12" bestFit="1" customWidth="1"/>
    <col min="32" max="32" width="10" bestFit="1" customWidth="1"/>
    <col min="33" max="36" width="12" bestFit="1" customWidth="1"/>
    <col min="37" max="37" width="10" bestFit="1" customWidth="1"/>
    <col min="38" max="41" width="12" bestFit="1" customWidth="1"/>
  </cols>
  <sheetData>
    <row r="1" spans="1:48" ht="18" x14ac:dyDescent="0.35">
      <c r="A1" s="1" t="s">
        <v>941</v>
      </c>
      <c r="B1" s="1"/>
      <c r="C1" s="1"/>
      <c r="D1" s="1"/>
      <c r="E1" s="1"/>
      <c r="F1" s="1"/>
      <c r="G1" s="1"/>
      <c r="H1" s="1"/>
      <c r="I1" s="1"/>
    </row>
    <row r="3" spans="1:48" s="19" customFormat="1" ht="29.25" customHeight="1"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row>
    <row r="4" spans="1:48" s="47" customFormat="1" ht="18" x14ac:dyDescent="0.35">
      <c r="A4" s="88" t="s">
        <v>942</v>
      </c>
      <c r="B4" s="88"/>
      <c r="C4" s="88"/>
      <c r="D4" s="88"/>
      <c r="E4" s="88"/>
      <c r="F4" s="88"/>
      <c r="G4" s="88"/>
      <c r="H4" s="88"/>
      <c r="I4" s="88"/>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row>
    <row r="5" spans="1:48" s="111" customFormat="1" ht="15.6" x14ac:dyDescent="0.3">
      <c r="A5" s="107" t="s">
        <v>1003</v>
      </c>
      <c r="B5" s="107"/>
      <c r="C5" s="107"/>
      <c r="D5" s="107"/>
      <c r="E5" s="107"/>
      <c r="F5" s="107"/>
      <c r="G5" s="107"/>
      <c r="H5" s="107"/>
      <c r="I5" s="107"/>
      <c r="J5" s="109"/>
      <c r="K5" s="109"/>
      <c r="L5" s="109"/>
      <c r="M5" s="109"/>
      <c r="N5" s="109"/>
      <c r="O5" s="109"/>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row>
    <row r="6" spans="1:48" x14ac:dyDescent="0.3">
      <c r="A6" t="s">
        <v>948</v>
      </c>
      <c r="B6">
        <f>'Net zero activities &amp; levers'!$C$18</f>
        <v>3</v>
      </c>
      <c r="C6">
        <f>'Net zero activities &amp; levers'!$C$18</f>
        <v>3</v>
      </c>
      <c r="D6">
        <f>'Net zero activities &amp; levers'!$C$18</f>
        <v>3</v>
      </c>
      <c r="E6">
        <f>'Net zero activities &amp; levers'!$C$18</f>
        <v>3</v>
      </c>
      <c r="F6">
        <f>'Net zero activities &amp; levers'!$C$18</f>
        <v>3</v>
      </c>
      <c r="G6">
        <f>'Net zero activities &amp; levers'!$C$18</f>
        <v>3</v>
      </c>
      <c r="H6">
        <f>'Net zero activities &amp; levers'!$C$18</f>
        <v>3</v>
      </c>
      <c r="I6">
        <f>'Net zero activities &amp; levers'!$C$18</f>
        <v>3</v>
      </c>
      <c r="J6">
        <f>'Net zero activities &amp; levers'!$C$18</f>
        <v>3</v>
      </c>
      <c r="K6">
        <f>J6+($T6-$J6)/10</f>
        <v>3.1</v>
      </c>
      <c r="L6">
        <f t="shared" ref="L6:S6" si="0">K6+($T6-$J6)/10</f>
        <v>3.2</v>
      </c>
      <c r="M6">
        <f t="shared" si="0"/>
        <v>3.3000000000000003</v>
      </c>
      <c r="N6">
        <f t="shared" si="0"/>
        <v>3.4000000000000004</v>
      </c>
      <c r="O6">
        <f t="shared" si="0"/>
        <v>3.5000000000000004</v>
      </c>
      <c r="P6">
        <f t="shared" si="0"/>
        <v>3.6000000000000005</v>
      </c>
      <c r="Q6">
        <f t="shared" si="0"/>
        <v>3.7000000000000006</v>
      </c>
      <c r="R6">
        <f t="shared" si="0"/>
        <v>3.8000000000000007</v>
      </c>
      <c r="S6">
        <f t="shared" si="0"/>
        <v>3.9000000000000008</v>
      </c>
      <c r="T6">
        <f>'Net zero activities &amp; levers'!$D18</f>
        <v>4</v>
      </c>
      <c r="U6">
        <f>T6+($AD6-$T6)/10</f>
        <v>4</v>
      </c>
      <c r="V6">
        <f t="shared" ref="V6:AC6" si="1">U6+($AD6-$T6)/10</f>
        <v>4</v>
      </c>
      <c r="W6">
        <f t="shared" si="1"/>
        <v>4</v>
      </c>
      <c r="X6">
        <f t="shared" si="1"/>
        <v>4</v>
      </c>
      <c r="Y6">
        <f t="shared" si="1"/>
        <v>4</v>
      </c>
      <c r="Z6">
        <f t="shared" si="1"/>
        <v>4</v>
      </c>
      <c r="AA6">
        <f t="shared" si="1"/>
        <v>4</v>
      </c>
      <c r="AB6">
        <f t="shared" si="1"/>
        <v>4</v>
      </c>
      <c r="AC6">
        <f t="shared" si="1"/>
        <v>4</v>
      </c>
      <c r="AD6">
        <f>'Net zero activities &amp; levers'!$E18</f>
        <v>4</v>
      </c>
      <c r="AE6">
        <f>AD6+($AN6-$AD6)/10</f>
        <v>4</v>
      </c>
      <c r="AF6">
        <f t="shared" ref="AF6:AM6" si="2">AE6+($AN6-$AD6)/10</f>
        <v>4</v>
      </c>
      <c r="AG6">
        <f t="shared" si="2"/>
        <v>4</v>
      </c>
      <c r="AH6">
        <f t="shared" si="2"/>
        <v>4</v>
      </c>
      <c r="AI6">
        <f t="shared" si="2"/>
        <v>4</v>
      </c>
      <c r="AJ6">
        <f t="shared" si="2"/>
        <v>4</v>
      </c>
      <c r="AK6">
        <f t="shared" si="2"/>
        <v>4</v>
      </c>
      <c r="AL6">
        <f t="shared" si="2"/>
        <v>4</v>
      </c>
      <c r="AM6">
        <f t="shared" si="2"/>
        <v>4</v>
      </c>
      <c r="AN6">
        <f>'Net zero activities &amp; levers'!$F18</f>
        <v>4</v>
      </c>
    </row>
    <row r="7" spans="1:48" x14ac:dyDescent="0.3">
      <c r="A7" t="s">
        <v>950</v>
      </c>
      <c r="B7">
        <f>'Net zero activities &amp; levers'!$C$19</f>
        <v>2</v>
      </c>
      <c r="C7">
        <f>'Net zero activities &amp; levers'!$C$19</f>
        <v>2</v>
      </c>
      <c r="D7">
        <f>'Net zero activities &amp; levers'!$C$19</f>
        <v>2</v>
      </c>
      <c r="E7">
        <f>'Net zero activities &amp; levers'!$C$19</f>
        <v>2</v>
      </c>
      <c r="F7">
        <f>'Net zero activities &amp; levers'!$C$19</f>
        <v>2</v>
      </c>
      <c r="G7">
        <f>'Net zero activities &amp; levers'!$C$19</f>
        <v>2</v>
      </c>
      <c r="H7">
        <f>'Net zero activities &amp; levers'!$C$19</f>
        <v>2</v>
      </c>
      <c r="I7">
        <f>'Net zero activities &amp; levers'!$C$19</f>
        <v>2</v>
      </c>
      <c r="J7">
        <f>'Net zero activities &amp; levers'!$C$19</f>
        <v>2</v>
      </c>
      <c r="K7">
        <f>J7+($T7-$J7)/10</f>
        <v>2.2000000000000002</v>
      </c>
      <c r="L7">
        <f t="shared" ref="L7:S7" si="3">K7+($T7-$J7)/10</f>
        <v>2.4000000000000004</v>
      </c>
      <c r="M7">
        <f t="shared" si="3"/>
        <v>2.6000000000000005</v>
      </c>
      <c r="N7">
        <f t="shared" si="3"/>
        <v>2.8000000000000007</v>
      </c>
      <c r="O7">
        <f t="shared" si="3"/>
        <v>3.0000000000000009</v>
      </c>
      <c r="P7">
        <f t="shared" si="3"/>
        <v>3.2000000000000011</v>
      </c>
      <c r="Q7">
        <f t="shared" si="3"/>
        <v>3.4000000000000012</v>
      </c>
      <c r="R7">
        <f t="shared" si="3"/>
        <v>3.6000000000000014</v>
      </c>
      <c r="S7">
        <f t="shared" si="3"/>
        <v>3.8000000000000016</v>
      </c>
      <c r="T7">
        <f>'Net zero activities &amp; levers'!$D19</f>
        <v>4</v>
      </c>
      <c r="U7">
        <f>T7+($AD7-$T7)/10</f>
        <v>4</v>
      </c>
      <c r="V7">
        <f t="shared" ref="V7:AC7" si="4">U7+($AD7-$T7)/10</f>
        <v>4</v>
      </c>
      <c r="W7">
        <f t="shared" si="4"/>
        <v>4</v>
      </c>
      <c r="X7">
        <f t="shared" si="4"/>
        <v>4</v>
      </c>
      <c r="Y7">
        <f t="shared" si="4"/>
        <v>4</v>
      </c>
      <c r="Z7">
        <f t="shared" si="4"/>
        <v>4</v>
      </c>
      <c r="AA7">
        <f t="shared" si="4"/>
        <v>4</v>
      </c>
      <c r="AB7">
        <f t="shared" si="4"/>
        <v>4</v>
      </c>
      <c r="AC7">
        <f t="shared" si="4"/>
        <v>4</v>
      </c>
      <c r="AD7">
        <f>'Net zero activities &amp; levers'!$E19</f>
        <v>4</v>
      </c>
      <c r="AE7">
        <f>AD7+($AN7-$AD7)/10</f>
        <v>4</v>
      </c>
      <c r="AF7">
        <f t="shared" ref="AF7:AM7" si="5">AE7+($AN7-$AD7)/10</f>
        <v>4</v>
      </c>
      <c r="AG7">
        <f t="shared" si="5"/>
        <v>4</v>
      </c>
      <c r="AH7">
        <f t="shared" si="5"/>
        <v>4</v>
      </c>
      <c r="AI7">
        <f t="shared" si="5"/>
        <v>4</v>
      </c>
      <c r="AJ7">
        <f t="shared" si="5"/>
        <v>4</v>
      </c>
      <c r="AK7">
        <f t="shared" si="5"/>
        <v>4</v>
      </c>
      <c r="AL7">
        <f t="shared" si="5"/>
        <v>4</v>
      </c>
      <c r="AM7">
        <f t="shared" si="5"/>
        <v>4</v>
      </c>
      <c r="AN7">
        <f>'Net zero activities &amp; levers'!$F19</f>
        <v>4</v>
      </c>
    </row>
    <row r="8" spans="1:48" x14ac:dyDescent="0.3">
      <c r="A8" t="s">
        <v>949</v>
      </c>
      <c r="B8">
        <f>'Net zero activities &amp; levers'!$C$20</f>
        <v>3</v>
      </c>
      <c r="C8">
        <f>'Net zero activities &amp; levers'!$C$20</f>
        <v>3</v>
      </c>
      <c r="D8">
        <f>'Net zero activities &amp; levers'!$C$20</f>
        <v>3</v>
      </c>
      <c r="E8">
        <f>'Net zero activities &amp; levers'!$C$20</f>
        <v>3</v>
      </c>
      <c r="F8">
        <f>'Net zero activities &amp; levers'!$C$20</f>
        <v>3</v>
      </c>
      <c r="G8">
        <f>'Net zero activities &amp; levers'!$C$20</f>
        <v>3</v>
      </c>
      <c r="H8">
        <f>'Net zero activities &amp; levers'!$C$20</f>
        <v>3</v>
      </c>
      <c r="I8">
        <f>'Net zero activities &amp; levers'!$C$20</f>
        <v>3</v>
      </c>
      <c r="J8">
        <f>'Net zero activities &amp; levers'!$C$20</f>
        <v>3</v>
      </c>
      <c r="K8">
        <f t="shared" ref="K8:S8" si="6">J8+($T8-$J8)/10</f>
        <v>3.1</v>
      </c>
      <c r="L8">
        <f t="shared" si="6"/>
        <v>3.2</v>
      </c>
      <c r="M8">
        <f t="shared" si="6"/>
        <v>3.3000000000000003</v>
      </c>
      <c r="N8">
        <f t="shared" si="6"/>
        <v>3.4000000000000004</v>
      </c>
      <c r="O8">
        <f t="shared" si="6"/>
        <v>3.5000000000000004</v>
      </c>
      <c r="P8">
        <f t="shared" si="6"/>
        <v>3.6000000000000005</v>
      </c>
      <c r="Q8">
        <f t="shared" si="6"/>
        <v>3.7000000000000006</v>
      </c>
      <c r="R8">
        <f t="shared" si="6"/>
        <v>3.8000000000000007</v>
      </c>
      <c r="S8">
        <f t="shared" si="6"/>
        <v>3.9000000000000008</v>
      </c>
      <c r="T8">
        <f>'Net zero activities &amp; levers'!$D20</f>
        <v>4</v>
      </c>
      <c r="U8">
        <f t="shared" ref="U8:AC8" si="7">T8+($AD8-$T8)/10</f>
        <v>4</v>
      </c>
      <c r="V8">
        <f t="shared" si="7"/>
        <v>4</v>
      </c>
      <c r="W8">
        <f t="shared" si="7"/>
        <v>4</v>
      </c>
      <c r="X8">
        <f t="shared" si="7"/>
        <v>4</v>
      </c>
      <c r="Y8">
        <f t="shared" si="7"/>
        <v>4</v>
      </c>
      <c r="Z8">
        <f t="shared" si="7"/>
        <v>4</v>
      </c>
      <c r="AA8">
        <f t="shared" si="7"/>
        <v>4</v>
      </c>
      <c r="AB8">
        <f t="shared" si="7"/>
        <v>4</v>
      </c>
      <c r="AC8">
        <f t="shared" si="7"/>
        <v>4</v>
      </c>
      <c r="AD8">
        <f>'Net zero activities &amp; levers'!$E20</f>
        <v>4</v>
      </c>
      <c r="AE8">
        <f t="shared" ref="AE8:AM8" si="8">AD8+($AN8-$AD8)/10</f>
        <v>4</v>
      </c>
      <c r="AF8">
        <f t="shared" si="8"/>
        <v>4</v>
      </c>
      <c r="AG8">
        <f t="shared" si="8"/>
        <v>4</v>
      </c>
      <c r="AH8">
        <f t="shared" si="8"/>
        <v>4</v>
      </c>
      <c r="AI8">
        <f t="shared" si="8"/>
        <v>4</v>
      </c>
      <c r="AJ8">
        <f t="shared" si="8"/>
        <v>4</v>
      </c>
      <c r="AK8">
        <f t="shared" si="8"/>
        <v>4</v>
      </c>
      <c r="AL8">
        <f t="shared" si="8"/>
        <v>4</v>
      </c>
      <c r="AM8">
        <f t="shared" si="8"/>
        <v>4</v>
      </c>
      <c r="AN8">
        <f>'Net zero activities &amp; levers'!$F20</f>
        <v>4</v>
      </c>
    </row>
    <row r="9" spans="1:48" x14ac:dyDescent="0.3">
      <c r="A9" t="s">
        <v>955</v>
      </c>
      <c r="B9">
        <f>C6-B6</f>
        <v>0</v>
      </c>
      <c r="C9">
        <f t="shared" ref="C9:AN9" si="9">C6-B6</f>
        <v>0</v>
      </c>
      <c r="D9">
        <f t="shared" si="9"/>
        <v>0</v>
      </c>
      <c r="E9">
        <f t="shared" si="9"/>
        <v>0</v>
      </c>
      <c r="F9">
        <f t="shared" si="9"/>
        <v>0</v>
      </c>
      <c r="G9">
        <f t="shared" si="9"/>
        <v>0</v>
      </c>
      <c r="H9">
        <f t="shared" si="9"/>
        <v>0</v>
      </c>
      <c r="I9">
        <f t="shared" si="9"/>
        <v>0</v>
      </c>
      <c r="J9">
        <f t="shared" si="9"/>
        <v>0</v>
      </c>
      <c r="K9">
        <f t="shared" si="9"/>
        <v>0.10000000000000009</v>
      </c>
      <c r="L9">
        <f t="shared" si="9"/>
        <v>0.10000000000000009</v>
      </c>
      <c r="M9">
        <f t="shared" si="9"/>
        <v>0.10000000000000009</v>
      </c>
      <c r="N9">
        <f t="shared" si="9"/>
        <v>0.10000000000000009</v>
      </c>
      <c r="O9">
        <f t="shared" si="9"/>
        <v>0.10000000000000009</v>
      </c>
      <c r="P9">
        <f t="shared" si="9"/>
        <v>0.10000000000000009</v>
      </c>
      <c r="Q9">
        <f t="shared" si="9"/>
        <v>0.10000000000000009</v>
      </c>
      <c r="R9">
        <f t="shared" si="9"/>
        <v>0.10000000000000009</v>
      </c>
      <c r="S9">
        <f t="shared" si="9"/>
        <v>0.10000000000000009</v>
      </c>
      <c r="T9">
        <f t="shared" si="9"/>
        <v>9.9999999999999201E-2</v>
      </c>
      <c r="U9">
        <f t="shared" si="9"/>
        <v>0</v>
      </c>
      <c r="V9">
        <f t="shared" si="9"/>
        <v>0</v>
      </c>
      <c r="W9">
        <f t="shared" si="9"/>
        <v>0</v>
      </c>
      <c r="X9">
        <f t="shared" si="9"/>
        <v>0</v>
      </c>
      <c r="Y9">
        <f t="shared" si="9"/>
        <v>0</v>
      </c>
      <c r="Z9">
        <f t="shared" si="9"/>
        <v>0</v>
      </c>
      <c r="AA9">
        <f t="shared" si="9"/>
        <v>0</v>
      </c>
      <c r="AB9">
        <f t="shared" si="9"/>
        <v>0</v>
      </c>
      <c r="AC9">
        <f t="shared" si="9"/>
        <v>0</v>
      </c>
      <c r="AD9">
        <f t="shared" si="9"/>
        <v>0</v>
      </c>
      <c r="AE9">
        <f t="shared" si="9"/>
        <v>0</v>
      </c>
      <c r="AF9">
        <f t="shared" si="9"/>
        <v>0</v>
      </c>
      <c r="AG9">
        <f t="shared" si="9"/>
        <v>0</v>
      </c>
      <c r="AH9">
        <f t="shared" si="9"/>
        <v>0</v>
      </c>
      <c r="AI9">
        <f t="shared" si="9"/>
        <v>0</v>
      </c>
      <c r="AJ9">
        <f t="shared" si="9"/>
        <v>0</v>
      </c>
      <c r="AK9">
        <f t="shared" si="9"/>
        <v>0</v>
      </c>
      <c r="AL9">
        <f t="shared" si="9"/>
        <v>0</v>
      </c>
      <c r="AM9">
        <f t="shared" si="9"/>
        <v>0</v>
      </c>
      <c r="AN9">
        <f t="shared" si="9"/>
        <v>0</v>
      </c>
    </row>
    <row r="10" spans="1:48" x14ac:dyDescent="0.3">
      <c r="A10" t="s">
        <v>953</v>
      </c>
      <c r="B10">
        <f>C7-B7</f>
        <v>0</v>
      </c>
      <c r="C10">
        <f t="shared" ref="C10:AN10" si="10">C7-B7</f>
        <v>0</v>
      </c>
      <c r="D10">
        <f t="shared" si="10"/>
        <v>0</v>
      </c>
      <c r="E10">
        <f t="shared" si="10"/>
        <v>0</v>
      </c>
      <c r="F10">
        <f t="shared" si="10"/>
        <v>0</v>
      </c>
      <c r="G10">
        <f t="shared" si="10"/>
        <v>0</v>
      </c>
      <c r="H10">
        <f t="shared" si="10"/>
        <v>0</v>
      </c>
      <c r="I10">
        <f t="shared" si="10"/>
        <v>0</v>
      </c>
      <c r="J10">
        <f t="shared" si="10"/>
        <v>0</v>
      </c>
      <c r="K10">
        <f t="shared" si="10"/>
        <v>0.20000000000000018</v>
      </c>
      <c r="L10">
        <f t="shared" si="10"/>
        <v>0.20000000000000018</v>
      </c>
      <c r="M10">
        <f t="shared" si="10"/>
        <v>0.20000000000000018</v>
      </c>
      <c r="N10">
        <f t="shared" si="10"/>
        <v>0.20000000000000018</v>
      </c>
      <c r="O10">
        <f t="shared" si="10"/>
        <v>0.20000000000000018</v>
      </c>
      <c r="P10">
        <f t="shared" si="10"/>
        <v>0.20000000000000018</v>
      </c>
      <c r="Q10">
        <f t="shared" si="10"/>
        <v>0.20000000000000018</v>
      </c>
      <c r="R10">
        <f t="shared" si="10"/>
        <v>0.20000000000000018</v>
      </c>
      <c r="S10">
        <f t="shared" si="10"/>
        <v>0.20000000000000018</v>
      </c>
      <c r="T10">
        <f t="shared" si="10"/>
        <v>0.1999999999999984</v>
      </c>
      <c r="U10">
        <f t="shared" si="10"/>
        <v>0</v>
      </c>
      <c r="V10">
        <f t="shared" si="10"/>
        <v>0</v>
      </c>
      <c r="W10">
        <f t="shared" si="10"/>
        <v>0</v>
      </c>
      <c r="X10">
        <f t="shared" si="10"/>
        <v>0</v>
      </c>
      <c r="Y10">
        <f t="shared" si="10"/>
        <v>0</v>
      </c>
      <c r="Z10">
        <f t="shared" si="10"/>
        <v>0</v>
      </c>
      <c r="AA10">
        <f t="shared" si="10"/>
        <v>0</v>
      </c>
      <c r="AB10">
        <f t="shared" si="10"/>
        <v>0</v>
      </c>
      <c r="AC10">
        <f t="shared" si="10"/>
        <v>0</v>
      </c>
      <c r="AD10">
        <f t="shared" si="10"/>
        <v>0</v>
      </c>
      <c r="AE10">
        <f t="shared" si="10"/>
        <v>0</v>
      </c>
      <c r="AF10">
        <f t="shared" si="10"/>
        <v>0</v>
      </c>
      <c r="AG10">
        <f t="shared" si="10"/>
        <v>0</v>
      </c>
      <c r="AH10">
        <f t="shared" si="10"/>
        <v>0</v>
      </c>
      <c r="AI10">
        <f t="shared" si="10"/>
        <v>0</v>
      </c>
      <c r="AJ10">
        <f t="shared" si="10"/>
        <v>0</v>
      </c>
      <c r="AK10">
        <f t="shared" si="10"/>
        <v>0</v>
      </c>
      <c r="AL10">
        <f t="shared" si="10"/>
        <v>0</v>
      </c>
      <c r="AM10">
        <f t="shared" si="10"/>
        <v>0</v>
      </c>
      <c r="AN10">
        <f t="shared" si="10"/>
        <v>0</v>
      </c>
    </row>
    <row r="11" spans="1:48" x14ac:dyDescent="0.3">
      <c r="A11" t="s">
        <v>954</v>
      </c>
      <c r="B11">
        <f t="shared" ref="B11" si="11">C8-B8</f>
        <v>0</v>
      </c>
      <c r="C11">
        <f t="shared" ref="C11:R11" si="12">C8-B8</f>
        <v>0</v>
      </c>
      <c r="D11">
        <f t="shared" si="12"/>
        <v>0</v>
      </c>
      <c r="E11">
        <f t="shared" si="12"/>
        <v>0</v>
      </c>
      <c r="F11">
        <f t="shared" si="12"/>
        <v>0</v>
      </c>
      <c r="G11">
        <f t="shared" si="12"/>
        <v>0</v>
      </c>
      <c r="H11">
        <f t="shared" si="12"/>
        <v>0</v>
      </c>
      <c r="I11">
        <f t="shared" si="12"/>
        <v>0</v>
      </c>
      <c r="J11">
        <f t="shared" si="12"/>
        <v>0</v>
      </c>
      <c r="K11">
        <f t="shared" si="12"/>
        <v>0.10000000000000009</v>
      </c>
      <c r="L11">
        <f t="shared" si="12"/>
        <v>0.10000000000000009</v>
      </c>
      <c r="M11">
        <f t="shared" si="12"/>
        <v>0.10000000000000009</v>
      </c>
      <c r="N11">
        <f t="shared" si="12"/>
        <v>0.10000000000000009</v>
      </c>
      <c r="O11">
        <f t="shared" si="12"/>
        <v>0.10000000000000009</v>
      </c>
      <c r="P11">
        <f t="shared" si="12"/>
        <v>0.10000000000000009</v>
      </c>
      <c r="Q11">
        <f t="shared" si="12"/>
        <v>0.10000000000000009</v>
      </c>
      <c r="R11">
        <f t="shared" si="12"/>
        <v>0.10000000000000009</v>
      </c>
      <c r="S11">
        <f t="shared" ref="S11:AN11" si="13">S8-R8</f>
        <v>0.10000000000000009</v>
      </c>
      <c r="T11">
        <f t="shared" si="13"/>
        <v>9.9999999999999201E-2</v>
      </c>
      <c r="U11">
        <f t="shared" si="13"/>
        <v>0</v>
      </c>
      <c r="V11">
        <f t="shared" si="13"/>
        <v>0</v>
      </c>
      <c r="W11">
        <f t="shared" si="13"/>
        <v>0</v>
      </c>
      <c r="X11">
        <f t="shared" si="13"/>
        <v>0</v>
      </c>
      <c r="Y11">
        <f t="shared" si="13"/>
        <v>0</v>
      </c>
      <c r="Z11">
        <f t="shared" si="13"/>
        <v>0</v>
      </c>
      <c r="AA11">
        <f t="shared" si="13"/>
        <v>0</v>
      </c>
      <c r="AB11">
        <f t="shared" si="13"/>
        <v>0</v>
      </c>
      <c r="AC11">
        <f t="shared" si="13"/>
        <v>0</v>
      </c>
      <c r="AD11">
        <f t="shared" si="13"/>
        <v>0</v>
      </c>
      <c r="AE11">
        <f t="shared" si="13"/>
        <v>0</v>
      </c>
      <c r="AF11">
        <f t="shared" si="13"/>
        <v>0</v>
      </c>
      <c r="AG11">
        <f t="shared" si="13"/>
        <v>0</v>
      </c>
      <c r="AH11">
        <f t="shared" si="13"/>
        <v>0</v>
      </c>
      <c r="AI11">
        <f t="shared" si="13"/>
        <v>0</v>
      </c>
      <c r="AJ11">
        <f t="shared" si="13"/>
        <v>0</v>
      </c>
      <c r="AK11">
        <f t="shared" si="13"/>
        <v>0</v>
      </c>
      <c r="AL11">
        <f t="shared" si="13"/>
        <v>0</v>
      </c>
      <c r="AM11">
        <f t="shared" si="13"/>
        <v>0</v>
      </c>
      <c r="AN11">
        <f t="shared" si="13"/>
        <v>0</v>
      </c>
    </row>
    <row r="12" spans="1:48" x14ac:dyDescent="0.3">
      <c r="A12" t="s">
        <v>1010</v>
      </c>
      <c r="B12">
        <f>'Net zero activities &amp; levers'!$C$21/100</f>
        <v>0</v>
      </c>
      <c r="C12">
        <f>B12</f>
        <v>0</v>
      </c>
      <c r="D12">
        <f t="shared" ref="D12:J12" si="14">C12</f>
        <v>0</v>
      </c>
      <c r="E12">
        <f t="shared" si="14"/>
        <v>0</v>
      </c>
      <c r="F12">
        <f t="shared" si="14"/>
        <v>0</v>
      </c>
      <c r="G12">
        <f t="shared" si="14"/>
        <v>0</v>
      </c>
      <c r="H12">
        <f t="shared" si="14"/>
        <v>0</v>
      </c>
      <c r="I12">
        <f t="shared" si="14"/>
        <v>0</v>
      </c>
      <c r="J12">
        <f t="shared" si="14"/>
        <v>0</v>
      </c>
      <c r="K12">
        <f>J12+($T12-$J12)/10</f>
        <v>0.08</v>
      </c>
      <c r="L12">
        <f t="shared" ref="L12:S12" si="15">K12+($T12-$J12)/10</f>
        <v>0.16</v>
      </c>
      <c r="M12">
        <f t="shared" si="15"/>
        <v>0.24</v>
      </c>
      <c r="N12">
        <f t="shared" si="15"/>
        <v>0.32</v>
      </c>
      <c r="O12">
        <f t="shared" si="15"/>
        <v>0.4</v>
      </c>
      <c r="P12">
        <f t="shared" si="15"/>
        <v>0.48000000000000004</v>
      </c>
      <c r="Q12">
        <f t="shared" si="15"/>
        <v>0.56000000000000005</v>
      </c>
      <c r="R12">
        <f t="shared" si="15"/>
        <v>0.64</v>
      </c>
      <c r="S12">
        <f t="shared" si="15"/>
        <v>0.72</v>
      </c>
      <c r="T12">
        <f>'Net zero activities &amp; levers'!$D$21/100</f>
        <v>0.8</v>
      </c>
      <c r="U12">
        <f t="shared" ref="U12:U14" si="16">T12+($AD12-$T12)/10</f>
        <v>0.82000000000000006</v>
      </c>
      <c r="V12">
        <f t="shared" ref="V12:V14" si="17">U12+($AD12-$T12)/10</f>
        <v>0.84000000000000008</v>
      </c>
      <c r="W12">
        <f t="shared" ref="W12:W14" si="18">V12+($AD12-$T12)/10</f>
        <v>0.8600000000000001</v>
      </c>
      <c r="X12">
        <f t="shared" ref="X12:X14" si="19">W12+($AD12-$T12)/10</f>
        <v>0.88000000000000012</v>
      </c>
      <c r="Y12">
        <f t="shared" ref="Y12:Y14" si="20">X12+($AD12-$T12)/10</f>
        <v>0.90000000000000013</v>
      </c>
      <c r="Z12">
        <f t="shared" ref="Z12:Z14" si="21">Y12+($AD12-$T12)/10</f>
        <v>0.92000000000000015</v>
      </c>
      <c r="AA12">
        <f t="shared" ref="AA12:AA14" si="22">Z12+($AD12-$T12)/10</f>
        <v>0.94000000000000017</v>
      </c>
      <c r="AB12">
        <f t="shared" ref="AB12:AB14" si="23">AA12+($AD12-$T12)/10</f>
        <v>0.96000000000000019</v>
      </c>
      <c r="AC12">
        <f t="shared" ref="AC12:AC14" si="24">AB12+($AD12-$T12)/10</f>
        <v>0.9800000000000002</v>
      </c>
      <c r="AD12">
        <f>'Net zero activities &amp; levers'!$E$21/100</f>
        <v>1</v>
      </c>
      <c r="AE12">
        <f t="shared" ref="AE12:AE14" si="25">AD12+($AN12-$AD12)/10</f>
        <v>1</v>
      </c>
      <c r="AF12">
        <f t="shared" ref="AF12:AF14" si="26">AE12+($AN12-$AD12)/10</f>
        <v>1</v>
      </c>
      <c r="AG12">
        <f t="shared" ref="AG12:AG14" si="27">AF12+($AN12-$AD12)/10</f>
        <v>1</v>
      </c>
      <c r="AH12">
        <f t="shared" ref="AH12:AH14" si="28">AG12+($AN12-$AD12)/10</f>
        <v>1</v>
      </c>
      <c r="AI12">
        <f t="shared" ref="AI12:AI14" si="29">AH12+($AN12-$AD12)/10</f>
        <v>1</v>
      </c>
      <c r="AJ12">
        <f t="shared" ref="AJ12:AJ14" si="30">AI12+($AN12-$AD12)/10</f>
        <v>1</v>
      </c>
      <c r="AK12">
        <f t="shared" ref="AK12:AK14" si="31">AJ12+($AN12-$AD12)/10</f>
        <v>1</v>
      </c>
      <c r="AL12">
        <f t="shared" ref="AL12:AL14" si="32">AK12+($AN12-$AD12)/10</f>
        <v>1</v>
      </c>
      <c r="AM12">
        <f t="shared" ref="AM12:AM14" si="33">AL12+($AN12-$AD12)/10</f>
        <v>1</v>
      </c>
      <c r="AN12">
        <f>'Net zero activities &amp; levers'!$F$21/100</f>
        <v>1</v>
      </c>
    </row>
    <row r="13" spans="1:48" x14ac:dyDescent="0.3">
      <c r="A13" t="s">
        <v>1009</v>
      </c>
      <c r="B13">
        <f>'Net zero activities &amp; levers'!$C$22/100</f>
        <v>0</v>
      </c>
      <c r="C13">
        <f t="shared" ref="C13:J14" si="34">B13</f>
        <v>0</v>
      </c>
      <c r="D13">
        <f t="shared" si="34"/>
        <v>0</v>
      </c>
      <c r="E13">
        <f t="shared" si="34"/>
        <v>0</v>
      </c>
      <c r="F13">
        <f t="shared" si="34"/>
        <v>0</v>
      </c>
      <c r="G13">
        <f t="shared" si="34"/>
        <v>0</v>
      </c>
      <c r="H13">
        <f t="shared" si="34"/>
        <v>0</v>
      </c>
      <c r="I13">
        <f t="shared" si="34"/>
        <v>0</v>
      </c>
      <c r="J13">
        <f t="shared" si="34"/>
        <v>0</v>
      </c>
      <c r="K13">
        <f t="shared" ref="K13:S14" si="35">J13+($T13-$J13)/10</f>
        <v>0.05</v>
      </c>
      <c r="L13">
        <f t="shared" si="35"/>
        <v>0.1</v>
      </c>
      <c r="M13">
        <f t="shared" si="35"/>
        <v>0.15000000000000002</v>
      </c>
      <c r="N13">
        <f t="shared" si="35"/>
        <v>0.2</v>
      </c>
      <c r="O13">
        <f t="shared" si="35"/>
        <v>0.25</v>
      </c>
      <c r="P13">
        <f t="shared" si="35"/>
        <v>0.3</v>
      </c>
      <c r="Q13">
        <f t="shared" si="35"/>
        <v>0.35</v>
      </c>
      <c r="R13">
        <f t="shared" si="35"/>
        <v>0.39999999999999997</v>
      </c>
      <c r="S13">
        <f t="shared" si="35"/>
        <v>0.44999999999999996</v>
      </c>
      <c r="T13">
        <f>'Net zero activities &amp; levers'!$D$22/100</f>
        <v>0.5</v>
      </c>
      <c r="U13">
        <f t="shared" si="16"/>
        <v>0.53</v>
      </c>
      <c r="V13">
        <f t="shared" si="17"/>
        <v>0.56000000000000005</v>
      </c>
      <c r="W13">
        <f t="shared" si="18"/>
        <v>0.59000000000000008</v>
      </c>
      <c r="X13">
        <f t="shared" si="19"/>
        <v>0.62000000000000011</v>
      </c>
      <c r="Y13">
        <f t="shared" si="20"/>
        <v>0.65000000000000013</v>
      </c>
      <c r="Z13">
        <f t="shared" si="21"/>
        <v>0.68000000000000016</v>
      </c>
      <c r="AA13">
        <f t="shared" si="22"/>
        <v>0.71000000000000019</v>
      </c>
      <c r="AB13">
        <f t="shared" si="23"/>
        <v>0.74000000000000021</v>
      </c>
      <c r="AC13">
        <f t="shared" si="24"/>
        <v>0.77000000000000024</v>
      </c>
      <c r="AD13">
        <f>'Net zero activities &amp; levers'!$E$22/100</f>
        <v>0.8</v>
      </c>
      <c r="AE13">
        <f t="shared" si="25"/>
        <v>0.82000000000000006</v>
      </c>
      <c r="AF13">
        <f t="shared" si="26"/>
        <v>0.84000000000000008</v>
      </c>
      <c r="AG13">
        <f t="shared" si="27"/>
        <v>0.8600000000000001</v>
      </c>
      <c r="AH13">
        <f t="shared" si="28"/>
        <v>0.88000000000000012</v>
      </c>
      <c r="AI13">
        <f t="shared" si="29"/>
        <v>0.90000000000000013</v>
      </c>
      <c r="AJ13">
        <f t="shared" si="30"/>
        <v>0.92000000000000015</v>
      </c>
      <c r="AK13">
        <f t="shared" si="31"/>
        <v>0.94000000000000017</v>
      </c>
      <c r="AL13">
        <f t="shared" si="32"/>
        <v>0.96000000000000019</v>
      </c>
      <c r="AM13">
        <f t="shared" si="33"/>
        <v>0.9800000000000002</v>
      </c>
      <c r="AN13">
        <f>'Net zero activities &amp; levers'!$F$22/100</f>
        <v>1</v>
      </c>
    </row>
    <row r="14" spans="1:48" x14ac:dyDescent="0.3">
      <c r="A14" t="s">
        <v>1011</v>
      </c>
      <c r="B14">
        <f>'Net zero activities &amp; levers'!$C$23/100</f>
        <v>0</v>
      </c>
      <c r="C14">
        <f t="shared" si="34"/>
        <v>0</v>
      </c>
      <c r="D14">
        <f t="shared" si="34"/>
        <v>0</v>
      </c>
      <c r="E14">
        <f t="shared" si="34"/>
        <v>0</v>
      </c>
      <c r="F14">
        <f t="shared" si="34"/>
        <v>0</v>
      </c>
      <c r="G14">
        <f t="shared" si="34"/>
        <v>0</v>
      </c>
      <c r="H14">
        <f t="shared" si="34"/>
        <v>0</v>
      </c>
      <c r="I14">
        <f t="shared" si="34"/>
        <v>0</v>
      </c>
      <c r="J14">
        <f t="shared" si="34"/>
        <v>0</v>
      </c>
      <c r="K14">
        <f t="shared" si="35"/>
        <v>0.08</v>
      </c>
      <c r="L14">
        <f t="shared" si="35"/>
        <v>0.16</v>
      </c>
      <c r="M14">
        <f t="shared" si="35"/>
        <v>0.24</v>
      </c>
      <c r="N14">
        <f t="shared" si="35"/>
        <v>0.32</v>
      </c>
      <c r="O14">
        <f t="shared" si="35"/>
        <v>0.4</v>
      </c>
      <c r="P14">
        <f t="shared" si="35"/>
        <v>0.48000000000000004</v>
      </c>
      <c r="Q14">
        <f t="shared" si="35"/>
        <v>0.56000000000000005</v>
      </c>
      <c r="R14">
        <f t="shared" si="35"/>
        <v>0.64</v>
      </c>
      <c r="S14">
        <f t="shared" si="35"/>
        <v>0.72</v>
      </c>
      <c r="T14">
        <f>'Net zero activities &amp; levers'!$D$23/100</f>
        <v>0.8</v>
      </c>
      <c r="U14">
        <f t="shared" si="16"/>
        <v>0.82000000000000006</v>
      </c>
      <c r="V14">
        <f t="shared" si="17"/>
        <v>0.84000000000000008</v>
      </c>
      <c r="W14">
        <f t="shared" si="18"/>
        <v>0.8600000000000001</v>
      </c>
      <c r="X14">
        <f t="shared" si="19"/>
        <v>0.88000000000000012</v>
      </c>
      <c r="Y14">
        <f t="shared" si="20"/>
        <v>0.90000000000000013</v>
      </c>
      <c r="Z14">
        <f t="shared" si="21"/>
        <v>0.92000000000000015</v>
      </c>
      <c r="AA14">
        <f t="shared" si="22"/>
        <v>0.94000000000000017</v>
      </c>
      <c r="AB14">
        <f t="shared" si="23"/>
        <v>0.96000000000000019</v>
      </c>
      <c r="AC14">
        <f t="shared" si="24"/>
        <v>0.9800000000000002</v>
      </c>
      <c r="AD14">
        <f>'Net zero activities &amp; levers'!$E$23/100</f>
        <v>1</v>
      </c>
      <c r="AE14">
        <f t="shared" si="25"/>
        <v>1</v>
      </c>
      <c r="AF14">
        <f t="shared" si="26"/>
        <v>1</v>
      </c>
      <c r="AG14">
        <f t="shared" si="27"/>
        <v>1</v>
      </c>
      <c r="AH14">
        <f t="shared" si="28"/>
        <v>1</v>
      </c>
      <c r="AI14">
        <f t="shared" si="29"/>
        <v>1</v>
      </c>
      <c r="AJ14">
        <f t="shared" si="30"/>
        <v>1</v>
      </c>
      <c r="AK14">
        <f t="shared" si="31"/>
        <v>1</v>
      </c>
      <c r="AL14">
        <f t="shared" si="32"/>
        <v>1</v>
      </c>
      <c r="AM14">
        <f t="shared" si="33"/>
        <v>1</v>
      </c>
      <c r="AN14">
        <f>'Net zero activities &amp; levers'!$F$23/100</f>
        <v>1</v>
      </c>
    </row>
    <row r="15" spans="1:48" x14ac:dyDescent="0.3">
      <c r="A15" t="s">
        <v>1005</v>
      </c>
      <c r="B15">
        <f>'Net zero Activity data'!AD5*'Net zero supporting data'!B12</f>
        <v>0</v>
      </c>
      <c r="C15">
        <f>'Net zero Activity data'!AE5*'Net zero supporting data'!C12</f>
        <v>0</v>
      </c>
      <c r="D15">
        <f>'Net zero Activity data'!AF5*'Net zero supporting data'!D12</f>
        <v>0</v>
      </c>
      <c r="E15">
        <f>'Net zero Activity data'!AG5*'Net zero supporting data'!E12</f>
        <v>0</v>
      </c>
      <c r="F15">
        <f>'Net zero Activity data'!AH5*'Net zero supporting data'!F12</f>
        <v>0</v>
      </c>
      <c r="G15">
        <f>'Net zero Activity data'!AI5*'Net zero supporting data'!G12</f>
        <v>0</v>
      </c>
      <c r="H15">
        <f>'Net zero Activity data'!AJ5*'Net zero supporting data'!H12</f>
        <v>0</v>
      </c>
      <c r="I15">
        <f>'Net zero Activity data'!AK5*'Net zero supporting data'!I12</f>
        <v>0</v>
      </c>
      <c r="J15">
        <f>'Net zero Activity data'!AL5*'Net zero supporting data'!J12</f>
        <v>0</v>
      </c>
      <c r="K15">
        <f>'Net zero Activity data'!AM5*'Net zero supporting data'!K12</f>
        <v>47722.283210108457</v>
      </c>
      <c r="L15">
        <f>'Net zero Activity data'!AN5*'Net zero supporting data'!L12</f>
        <v>96898.301131284781</v>
      </c>
      <c r="M15">
        <f>'Net zero Activity data'!AO5*'Net zero supporting data'!M12</f>
        <v>146477.71020426057</v>
      </c>
      <c r="N15">
        <f>'Net zero Activity data'!AP5*'Net zero supporting data'!N12</f>
        <v>197025.92696360374</v>
      </c>
      <c r="O15">
        <f>'Net zero Activity data'!AQ5*'Net zero supporting data'!O12</f>
        <v>248774.15528184726</v>
      </c>
      <c r="P15">
        <f>'Net zero Activity data'!AR5*'Net zero supporting data'!P12</f>
        <v>301582.4384157171</v>
      </c>
      <c r="Q15">
        <f>'Net zero Activity data'!AS5*'Net zero supporting data'!Q12</f>
        <v>355789.25208531058</v>
      </c>
      <c r="R15">
        <f>'Net zero Activity data'!AT5*'Net zero supporting data'!R12</f>
        <v>411262.25333604083</v>
      </c>
      <c r="S15">
        <f>'Net zero Activity data'!AU5*'Net zero supporting data'!S12</f>
        <v>468353.86402106885</v>
      </c>
      <c r="T15">
        <f>'Net zero Activity data'!AV5*'Net zero supporting data'!T12</f>
        <v>526851.01065994683</v>
      </c>
      <c r="U15">
        <f>'Net zero Activity data'!AW5*'Net zero supporting data'!U12</f>
        <v>547173.28580205992</v>
      </c>
      <c r="V15">
        <f>'Net zero Activity data'!AX5*'Net zero supporting data'!V12</f>
        <v>567745.24544343736</v>
      </c>
      <c r="W15">
        <f>'Net zero Activity data'!AY5*'Net zero supporting data'!W12</f>
        <v>589071.86497591471</v>
      </c>
      <c r="X15">
        <f>'Net zero Activity data'!AZ5*'Net zero supporting data'!X12</f>
        <v>611809.76148568199</v>
      </c>
      <c r="Y15">
        <f>'Net zero Activity data'!BA5*'Net zero supporting data'!Y12</f>
        <v>634503.42054700176</v>
      </c>
      <c r="Z15">
        <f>'Net zero Activity data'!BB5*'Net zero supporting data'!Z12</f>
        <v>657816.74654404528</v>
      </c>
      <c r="AA15">
        <f>'Net zero Activity data'!BC5*'Net zero supporting data'!AA12</f>
        <v>682184.46343558258</v>
      </c>
      <c r="AB15">
        <f>'Net zero Activity data'!BD5*'Net zero supporting data'!AB12</f>
        <v>706331.60147446021</v>
      </c>
      <c r="AC15">
        <f>'Net zero Activity data'!BE5*'Net zero supporting data'!AC12</f>
        <v>730826.73444084323</v>
      </c>
      <c r="AD15">
        <f>'Net zero Activity data'!BF5*'Net zero supporting data'!AD12</f>
        <v>755694.35311660939</v>
      </c>
      <c r="AE15">
        <f>'Net zero Activity data'!BG5*'Net zero supporting data'!AE12</f>
        <v>766224.10374418576</v>
      </c>
      <c r="AF15">
        <f>'Net zero Activity data'!BH5*'Net zero supporting data'!AF12</f>
        <v>776330.32659557904</v>
      </c>
      <c r="AG15">
        <f>'Net zero Activity data'!BI5*'Net zero supporting data'!AG12</f>
        <v>786828.98815047613</v>
      </c>
      <c r="AH15">
        <f>'Net zero Activity data'!BJ5*'Net zero supporting data'!AH12</f>
        <v>797767.97088992584</v>
      </c>
      <c r="AI15">
        <f>'Net zero Activity data'!BK5*'Net zero supporting data'!AI12</f>
        <v>809224.27492024703</v>
      </c>
      <c r="AJ15">
        <f>'Net zero Activity data'!BL5*'Net zero supporting data'!AJ12</f>
        <v>820883.22588005802</v>
      </c>
      <c r="AK15">
        <f>'Net zero Activity data'!BM5*'Net zero supporting data'!AK12</f>
        <v>823647.46997840214</v>
      </c>
      <c r="AL15">
        <f>'Net zero Activity data'!BN5*'Net zero supporting data'!AL12</f>
        <v>825614.77404733561</v>
      </c>
      <c r="AM15">
        <f>'Net zero Activity data'!BO5*'Net zero supporting data'!AM12</f>
        <v>826420.81446797797</v>
      </c>
      <c r="AN15">
        <f>'Net zero Activity data'!BP5*'Net zero supporting data'!AN12</f>
        <v>826907.52343347447</v>
      </c>
    </row>
    <row r="16" spans="1:48" x14ac:dyDescent="0.3">
      <c r="A16" t="s">
        <v>1006</v>
      </c>
      <c r="B16">
        <f>'Net zero Activity data'!AD6*'Net zero supporting data'!B12</f>
        <v>0</v>
      </c>
      <c r="C16">
        <f>'Net zero Activity data'!AE6*'Net zero supporting data'!C12</f>
        <v>0</v>
      </c>
      <c r="D16">
        <f>'Net zero Activity data'!AF6*'Net zero supporting data'!D12</f>
        <v>0</v>
      </c>
      <c r="E16">
        <f>'Net zero Activity data'!AG6*'Net zero supporting data'!E12</f>
        <v>0</v>
      </c>
      <c r="F16">
        <f>'Net zero Activity data'!AH6*'Net zero supporting data'!F12</f>
        <v>0</v>
      </c>
      <c r="G16">
        <f>'Net zero Activity data'!AI6*'Net zero supporting data'!G12</f>
        <v>0</v>
      </c>
      <c r="H16">
        <f>'Net zero Activity data'!AJ6*'Net zero supporting data'!H12</f>
        <v>0</v>
      </c>
      <c r="I16">
        <f>'Net zero Activity data'!AK6*'Net zero supporting data'!I12</f>
        <v>0</v>
      </c>
      <c r="J16">
        <f>'Net zero Activity data'!AL6*'Net zero supporting data'!J12</f>
        <v>0</v>
      </c>
      <c r="K16">
        <f>'Net zero Activity data'!AM6*'Net zero supporting data'!K12</f>
        <v>39541.320374089868</v>
      </c>
      <c r="L16">
        <f>'Net zero Activity data'!AN6*'Net zero supporting data'!L12</f>
        <v>80287.163794493099</v>
      </c>
      <c r="M16">
        <f>'Net zero Activity data'!AO6*'Net zero supporting data'!M12</f>
        <v>121367.2455978159</v>
      </c>
      <c r="N16">
        <f>'Net zero Activity data'!AP6*'Net zero supporting data'!N12</f>
        <v>163250.0537698431</v>
      </c>
      <c r="O16">
        <f>'Net zero Activity data'!AQ6*'Net zero supporting data'!O12</f>
        <v>206127.1572335306</v>
      </c>
      <c r="P16">
        <f>'Net zero Activity data'!AR6*'Net zero supporting data'!P12</f>
        <v>249882.59183016559</v>
      </c>
      <c r="Q16">
        <f>'Net zero Activity data'!AS6*'Net zero supporting data'!Q12</f>
        <v>294796.80887068587</v>
      </c>
      <c r="R16">
        <f>'Net zero Activity data'!AT6*'Net zero supporting data'!R12</f>
        <v>340760.15276414814</v>
      </c>
      <c r="S16">
        <f>'Net zero Activity data'!AU6*'Net zero supporting data'!S12</f>
        <v>388064.63018888567</v>
      </c>
      <c r="T16">
        <f>'Net zero Activity data'!AV6*'Net zero supporting data'!T12</f>
        <v>436533.69454681309</v>
      </c>
      <c r="U16">
        <f>'Net zero Activity data'!AW6*'Net zero supporting data'!U12</f>
        <v>453372.15109313536</v>
      </c>
      <c r="V16">
        <f>'Net zero Activity data'!AX6*'Net zero supporting data'!V12</f>
        <v>470417.48908170528</v>
      </c>
      <c r="W16">
        <f>'Net zero Activity data'!AY6*'Net zero supporting data'!W12</f>
        <v>488088.11669432936</v>
      </c>
      <c r="X16">
        <f>'Net zero Activity data'!AZ6*'Net zero supporting data'!X12</f>
        <v>506928.08808813652</v>
      </c>
      <c r="Y16">
        <f>'Net zero Activity data'!BA6*'Net zero supporting data'!Y12</f>
        <v>525731.40559608722</v>
      </c>
      <c r="Z16">
        <f>'Net zero Activity data'!BB6*'Net zero supporting data'!Z12</f>
        <v>545048.161422209</v>
      </c>
      <c r="AA16">
        <f>'Net zero Activity data'!BC6*'Net zero supporting data'!AA12</f>
        <v>565238.55541805411</v>
      </c>
      <c r="AB16">
        <f>'Net zero Activity data'!BD6*'Net zero supporting data'!AB12</f>
        <v>585246.18407883844</v>
      </c>
      <c r="AC16">
        <f>'Net zero Activity data'!BE6*'Net zero supporting data'!AC12</f>
        <v>605542.15139384149</v>
      </c>
      <c r="AD16">
        <f>'Net zero Activity data'!BF6*'Net zero supporting data'!AD12</f>
        <v>626146.74972519069</v>
      </c>
      <c r="AE16">
        <f>'Net zero Activity data'!BG6*'Net zero supporting data'!AE12</f>
        <v>634871.40024518245</v>
      </c>
      <c r="AF16">
        <f>'Net zero Activity data'!BH6*'Net zero supporting data'!AF12</f>
        <v>643245.12775062257</v>
      </c>
      <c r="AG16">
        <f>'Net zero Activity data'!BI6*'Net zero supporting data'!AG12</f>
        <v>651944.01875325164</v>
      </c>
      <c r="AH16">
        <f>'Net zero Activity data'!BJ6*'Net zero supporting data'!AH12</f>
        <v>661007.74730879569</v>
      </c>
      <c r="AI16">
        <f>'Net zero Activity data'!BK6*'Net zero supporting data'!AI12</f>
        <v>670500.11350534752</v>
      </c>
      <c r="AJ16">
        <f>'Net zero Activity data'!BL6*'Net zero supporting data'!AJ12</f>
        <v>680160.38715776231</v>
      </c>
      <c r="AK16">
        <f>'Net zero Activity data'!BM6*'Net zero supporting data'!AK12</f>
        <v>682450.76083924749</v>
      </c>
      <c r="AL16">
        <f>'Net zero Activity data'!BN6*'Net zero supporting data'!AL12</f>
        <v>684080.81278207805</v>
      </c>
      <c r="AM16">
        <f>'Net zero Activity data'!BO6*'Net zero supporting data'!AM12</f>
        <v>684748.67484489607</v>
      </c>
      <c r="AN16">
        <f>'Net zero Activity data'!BP6*'Net zero supporting data'!AN12</f>
        <v>685151.94798773597</v>
      </c>
    </row>
    <row r="17" spans="1:48" x14ac:dyDescent="0.3">
      <c r="A17" t="s">
        <v>1007</v>
      </c>
      <c r="B17">
        <f>'Net zero Activity data'!AD7*'Net zero supporting data'!B12</f>
        <v>0</v>
      </c>
      <c r="C17">
        <f>'Net zero Activity data'!AE7*'Net zero supporting data'!C12</f>
        <v>0</v>
      </c>
      <c r="D17">
        <f>'Net zero Activity data'!AF7*'Net zero supporting data'!D12</f>
        <v>0</v>
      </c>
      <c r="E17">
        <f>'Net zero Activity data'!AG7*'Net zero supporting data'!E12</f>
        <v>0</v>
      </c>
      <c r="F17">
        <f>'Net zero Activity data'!AH7*'Net zero supporting data'!F12</f>
        <v>0</v>
      </c>
      <c r="G17">
        <f>'Net zero Activity data'!AI7*'Net zero supporting data'!G12</f>
        <v>0</v>
      </c>
      <c r="H17">
        <f>'Net zero Activity data'!AJ7*'Net zero supporting data'!H12</f>
        <v>0</v>
      </c>
      <c r="I17">
        <f>'Net zero Activity data'!AK7*'Net zero supporting data'!I12</f>
        <v>0</v>
      </c>
      <c r="J17">
        <f>'Net zero Activity data'!AL7*'Net zero supporting data'!J12</f>
        <v>0</v>
      </c>
      <c r="K17">
        <f>'Net zero Activity data'!AM7*'Net zero supporting data'!K12</f>
        <v>49085.77701611157</v>
      </c>
      <c r="L17">
        <f>'Net zero Activity data'!AN7*'Net zero supporting data'!L12</f>
        <v>99666.824020750078</v>
      </c>
      <c r="M17">
        <f>'Net zero Activity data'!AO7*'Net zero supporting data'!M12</f>
        <v>150662.78763866806</v>
      </c>
      <c r="N17">
        <f>'Net zero Activity data'!AP7*'Net zero supporting data'!N12</f>
        <v>202655.23916256387</v>
      </c>
      <c r="O17">
        <f>'Net zero Activity data'!AQ7*'Net zero supporting data'!O12</f>
        <v>255881.98828990009</v>
      </c>
      <c r="P17">
        <f>'Net zero Activity data'!AR7*'Net zero supporting data'!P12</f>
        <v>310199.07951330906</v>
      </c>
      <c r="Q17">
        <f>'Net zero Activity data'!AS7*'Net zero supporting data'!Q12</f>
        <v>365954.65928774804</v>
      </c>
      <c r="R17">
        <f>'Net zero Activity data'!AT7*'Net zero supporting data'!R12</f>
        <v>423012.60343135631</v>
      </c>
      <c r="S17">
        <f>'Net zero Activity data'!AU7*'Net zero supporting data'!S12</f>
        <v>481735.40299309953</v>
      </c>
      <c r="T17">
        <f>'Net zero Activity data'!AV7*'Net zero supporting data'!T12</f>
        <v>541903.89667880244</v>
      </c>
      <c r="U17">
        <f>'Net zero Activity data'!AW7*'Net zero supporting data'!U12</f>
        <v>562806.80825354753</v>
      </c>
      <c r="V17">
        <f>'Net zero Activity data'!AX7*'Net zero supporting data'!V12</f>
        <v>583966.53817039286</v>
      </c>
      <c r="W17">
        <f>'Net zero Activity data'!AY7*'Net zero supporting data'!W12</f>
        <v>605902.48968951241</v>
      </c>
      <c r="X17">
        <f>'Net zero Activity data'!AZ7*'Net zero supporting data'!X12</f>
        <v>629290.04038527305</v>
      </c>
      <c r="Y17">
        <f>'Net zero Activity data'!BA7*'Net zero supporting data'!Y12</f>
        <v>652632.08970548771</v>
      </c>
      <c r="Z17">
        <f>'Net zero Activity data'!BB7*'Net zero supporting data'!Z12</f>
        <v>676611.51073101815</v>
      </c>
      <c r="AA17">
        <f>'Net zero Activity data'!BC7*'Net zero supporting data'!AA12</f>
        <v>701675.44810517074</v>
      </c>
      <c r="AB17">
        <f>'Net zero Activity data'!BD7*'Net zero supporting data'!AB12</f>
        <v>726512.50437373074</v>
      </c>
      <c r="AC17">
        <f>'Net zero Activity data'!BE7*'Net zero supporting data'!AC12</f>
        <v>751707.49828201032</v>
      </c>
      <c r="AD17">
        <f>'Net zero Activity data'!BF7*'Net zero supporting data'!AD12</f>
        <v>777285.62034851266</v>
      </c>
      <c r="AE17">
        <f>'Net zero Activity data'!BG7*'Net zero supporting data'!AE12</f>
        <v>788116.22099401976</v>
      </c>
      <c r="AF17">
        <f>'Net zero Activity data'!BH7*'Net zero supporting data'!AF12</f>
        <v>798511.19306973857</v>
      </c>
      <c r="AG17">
        <f>'Net zero Activity data'!BI7*'Net zero supporting data'!AG12</f>
        <v>809309.81638334703</v>
      </c>
      <c r="AH17">
        <f>'Net zero Activity data'!BJ7*'Net zero supporting data'!AH12</f>
        <v>820561.34148678102</v>
      </c>
      <c r="AI17">
        <f>'Net zero Activity data'!BK7*'Net zero supporting data'!AI12</f>
        <v>832344.96848939708</v>
      </c>
      <c r="AJ17">
        <f>'Net zero Activity data'!BL7*'Net zero supporting data'!AJ12</f>
        <v>844337.03233377414</v>
      </c>
      <c r="AK17">
        <f>'Net zero Activity data'!BM7*'Net zero supporting data'!AK12</f>
        <v>847180.25483492808</v>
      </c>
      <c r="AL17">
        <f>'Net zero Activity data'!BN7*'Net zero supporting data'!AL12</f>
        <v>849203.76759154536</v>
      </c>
      <c r="AM17">
        <f>'Net zero Activity data'!BO7*'Net zero supporting data'!AM12</f>
        <v>850032.83773849171</v>
      </c>
      <c r="AN17">
        <f>'Net zero Activity data'!BP7*'Net zero supporting data'!AN12</f>
        <v>850533.45267443103</v>
      </c>
    </row>
    <row r="18" spans="1:48" x14ac:dyDescent="0.3">
      <c r="A18" t="s">
        <v>1012</v>
      </c>
      <c r="B18">
        <f>'Net zero Activity data'!AD8*'Net zero supporting data'!B13</f>
        <v>0</v>
      </c>
      <c r="C18">
        <f>'Net zero Activity data'!AE8*'Net zero supporting data'!C13</f>
        <v>0</v>
      </c>
      <c r="D18">
        <f>'Net zero Activity data'!AF8*'Net zero supporting data'!D13</f>
        <v>0</v>
      </c>
      <c r="E18">
        <f>'Net zero Activity data'!AG8*'Net zero supporting data'!E13</f>
        <v>0</v>
      </c>
      <c r="F18">
        <f>'Net zero Activity data'!AH8*'Net zero supporting data'!F13</f>
        <v>0</v>
      </c>
      <c r="G18">
        <f>'Net zero Activity data'!AI8*'Net zero supporting data'!G13</f>
        <v>0</v>
      </c>
      <c r="H18">
        <f>'Net zero Activity data'!AJ8*'Net zero supporting data'!H13</f>
        <v>0</v>
      </c>
      <c r="I18">
        <f>'Net zero Activity data'!AK8*'Net zero supporting data'!I13</f>
        <v>0</v>
      </c>
      <c r="J18">
        <f>'Net zero Activity data'!AL8*'Net zero supporting data'!J13</f>
        <v>0</v>
      </c>
      <c r="K18">
        <f>'Net zero Activity data'!AM8*'Net zero supporting data'!K13</f>
        <v>237710.51152001109</v>
      </c>
      <c r="L18">
        <f>'Net zero Activity data'!AN8*'Net zero supporting data'!L13</f>
        <v>489596.90248722164</v>
      </c>
      <c r="M18">
        <f>'Net zero Activity data'!AO8*'Net zero supporting data'!M13</f>
        <v>738641.98402526428</v>
      </c>
      <c r="N18">
        <f>'Net zero Activity data'!AP8*'Net zero supporting data'!N13</f>
        <v>993022.46166695096</v>
      </c>
      <c r="O18">
        <f>'Net zero Activity data'!AQ8*'Net zero supporting data'!O13</f>
        <v>1255518.6069272603</v>
      </c>
      <c r="P18">
        <f>'Net zero Activity data'!AR8*'Net zero supporting data'!P13</f>
        <v>1526223.7732900532</v>
      </c>
      <c r="Q18">
        <f>'Net zero Activity data'!AS8*'Net zero supporting data'!Q13</f>
        <v>1807406.3447026962</v>
      </c>
      <c r="R18">
        <f>'Net zero Activity data'!AT8*'Net zero supporting data'!R13</f>
        <v>2096390.7998983534</v>
      </c>
      <c r="S18">
        <f>'Net zero Activity data'!AU8*'Net zero supporting data'!S13</f>
        <v>2397389.3927067793</v>
      </c>
      <c r="T18">
        <f>'Net zero Activity data'!AV8*'Net zero supporting data'!T13</f>
        <v>2706614.0021806317</v>
      </c>
      <c r="U18">
        <f>'Net zero Activity data'!AW8*'Net zero supporting data'!U13</f>
        <v>2898596.8364349343</v>
      </c>
      <c r="V18">
        <f>'Net zero Activity data'!AX8*'Net zero supporting data'!V13</f>
        <v>3088335.5465487321</v>
      </c>
      <c r="W18">
        <f>'Net zero Activity data'!AY8*'Net zero supporting data'!W13</f>
        <v>3282350.6660079868</v>
      </c>
      <c r="X18">
        <f>'Net zero Activity data'!AZ8*'Net zero supporting data'!X13</f>
        <v>3489417.8962265104</v>
      </c>
      <c r="Y18">
        <f>'Net zero Activity data'!BA8*'Net zero supporting data'!Y13</f>
        <v>3688545.9866124294</v>
      </c>
      <c r="Z18">
        <f>'Net zero Activity data'!BB8*'Net zero supporting data'!Z13</f>
        <v>3892552.9177634614</v>
      </c>
      <c r="AA18">
        <f>'Net zero Activity data'!BC8*'Net zero supporting data'!AA13</f>
        <v>4103092.7966225194</v>
      </c>
      <c r="AB18">
        <f>'Net zero Activity data'!BD8*'Net zero supporting data'!AB13</f>
        <v>4301668.3041948685</v>
      </c>
      <c r="AC18">
        <f>'Net zero Activity data'!BE8*'Net zero supporting data'!AC13</f>
        <v>4495736.4088632697</v>
      </c>
      <c r="AD18">
        <f>'Net zero Activity data'!BF8*'Net zero supporting data'!AD13</f>
        <v>4685114.2117727511</v>
      </c>
      <c r="AE18">
        <f>'Net zero Activity data'!BG8*'Net zero supporting data'!AE13</f>
        <v>4847551.0274191806</v>
      </c>
      <c r="AF18">
        <f>'Net zero Activity data'!BH8*'Net zero supporting data'!AF13</f>
        <v>5001064.538350191</v>
      </c>
      <c r="AG18">
        <f>'Net zero Activity data'!BI8*'Net zero supporting data'!AG13</f>
        <v>5156714.0222122073</v>
      </c>
      <c r="AH18">
        <f>'Net zero Activity data'!BJ8*'Net zero supporting data'!AH13</f>
        <v>5314959.4387223404</v>
      </c>
      <c r="AI18">
        <f>'Net zero Activity data'!BK8*'Net zero supporting data'!AI13</f>
        <v>5476652.1251964075</v>
      </c>
      <c r="AJ18">
        <f>'Net zero Activity data'!BL8*'Net zero supporting data'!AJ13</f>
        <v>5641280.1915674033</v>
      </c>
      <c r="AK18">
        <f>'Net zero Activity data'!BM8*'Net zero supporting data'!AK13</f>
        <v>5677402.0368036367</v>
      </c>
      <c r="AL18">
        <f>'Net zero Activity data'!BN8*'Net zero supporting data'!AL13</f>
        <v>5698105.9951522201</v>
      </c>
      <c r="AM18">
        <f>'Net zero Activity data'!BO8*'Net zero supporting data'!AM13</f>
        <v>5698360.5305899009</v>
      </c>
      <c r="AN18">
        <f>'Net zero Activity data'!BP8*'Net zero supporting data'!AN13</f>
        <v>5689992.0401735585</v>
      </c>
    </row>
    <row r="19" spans="1:48" x14ac:dyDescent="0.3">
      <c r="A19" t="s">
        <v>1008</v>
      </c>
      <c r="B19">
        <f>'Net zero Activity data'!AD10*'Net zero supporting data'!B14</f>
        <v>0</v>
      </c>
      <c r="C19">
        <f>'Net zero Activity data'!AE10*'Net zero supporting data'!C14</f>
        <v>0</v>
      </c>
      <c r="D19">
        <f>'Net zero Activity data'!AF10*'Net zero supporting data'!D14</f>
        <v>0</v>
      </c>
      <c r="E19">
        <f>'Net zero Activity data'!AG10*'Net zero supporting data'!E14</f>
        <v>0</v>
      </c>
      <c r="F19">
        <f>'Net zero Activity data'!AH10*'Net zero supporting data'!F14</f>
        <v>0</v>
      </c>
      <c r="G19">
        <f>'Net zero Activity data'!AI10*'Net zero supporting data'!G14</f>
        <v>0</v>
      </c>
      <c r="H19">
        <f>'Net zero Activity data'!AJ10*'Net zero supporting data'!H14</f>
        <v>0</v>
      </c>
      <c r="I19">
        <f>'Net zero Activity data'!AK10*'Net zero supporting data'!I14</f>
        <v>0</v>
      </c>
      <c r="J19">
        <f>'Net zero Activity data'!AL10*'Net zero supporting data'!J14</f>
        <v>0</v>
      </c>
      <c r="K19">
        <f>'Net zero Activity data'!AM10*'Net zero supporting data'!K14</f>
        <v>48969.006318661879</v>
      </c>
      <c r="L19">
        <f>'Net zero Activity data'!AN10*'Net zero supporting data'!L14</f>
        <v>103254.86186039179</v>
      </c>
      <c r="M19">
        <f>'Net zero Activity data'!AO10*'Net zero supporting data'!M14</f>
        <v>159432.42329105802</v>
      </c>
      <c r="N19">
        <f>'Net zero Activity data'!AP10*'Net zero supporting data'!N14</f>
        <v>219308.44114925712</v>
      </c>
      <c r="O19">
        <f>'Net zero Activity data'!AQ10*'Net zero supporting data'!O14</f>
        <v>283638.85621031618</v>
      </c>
      <c r="P19">
        <f>'Net zero Activity data'!AR10*'Net zero supporting data'!P14</f>
        <v>352621.43274151598</v>
      </c>
      <c r="Q19">
        <f>'Net zero Activity data'!AS10*'Net zero supporting data'!Q14</f>
        <v>426976.50568854396</v>
      </c>
      <c r="R19">
        <f>'Net zero Activity data'!AT10*'Net zero supporting data'!R14</f>
        <v>506285.29318410874</v>
      </c>
      <c r="S19">
        <f>'Net zero Activity data'!AU10*'Net zero supporting data'!S14</f>
        <v>591780.3912979404</v>
      </c>
      <c r="T19">
        <f>'Net zero Activity data'!AV10*'Net zero supporting data'!T14</f>
        <v>682774.92292669613</v>
      </c>
      <c r="U19">
        <f>'Net zero Activity data'!AW10*'Net zero supporting data'!U14</f>
        <v>730509.34187259036</v>
      </c>
      <c r="V19">
        <f>'Net zero Activity data'!AX10*'Net zero supporting data'!V14</f>
        <v>779670.60756627598</v>
      </c>
      <c r="W19">
        <f>'Net zero Activity data'!AY10*'Net zero supporting data'!W14</f>
        <v>832066.33684209804</v>
      </c>
      <c r="X19">
        <f>'Net zero Activity data'!AZ10*'Net zero supporting data'!X14</f>
        <v>890114.97862972273</v>
      </c>
      <c r="Y19">
        <f>'Net zero Activity data'!BA10*'Net zero supporting data'!Y14</f>
        <v>948670.42021845863</v>
      </c>
      <c r="Z19">
        <f>'Net zero Activity data'!BB10*'Net zero supporting data'!Z14</f>
        <v>1011195.9131726682</v>
      </c>
      <c r="AA19">
        <f>'Net zero Activity data'!BC10*'Net zero supporting data'!AA14</f>
        <v>1078361.4313531441</v>
      </c>
      <c r="AB19">
        <f>'Net zero Activity data'!BD10*'Net zero supporting data'!AB14</f>
        <v>1145516.103629966</v>
      </c>
      <c r="AC19">
        <f>'Net zero Activity data'!BE10*'Net zero supporting data'!AC14</f>
        <v>1214760.9435174617</v>
      </c>
      <c r="AD19">
        <f>'Net zero Activity data'!BF10*'Net zero supporting data'!AD14</f>
        <v>1286211.6171502508</v>
      </c>
      <c r="AE19">
        <f>'Net zero Activity data'!BG10*'Net zero supporting data'!AE14</f>
        <v>1334980.1372066648</v>
      </c>
      <c r="AF19">
        <f>'Net zero Activity data'!BH10*'Net zero supporting data'!AF14</f>
        <v>1382530.3391591066</v>
      </c>
      <c r="AG19">
        <f>'Net zero Activity data'!BI10*'Net zero supporting data'!AG14</f>
        <v>1431983.1115351482</v>
      </c>
      <c r="AH19">
        <f>'Net zero Activity data'!BJ10*'Net zero supporting data'!AH14</f>
        <v>1483557.3848712698</v>
      </c>
      <c r="AI19">
        <f>'Net zero Activity data'!BK10*'Net zero supporting data'!AI14</f>
        <v>1537591.1645011755</v>
      </c>
      <c r="AJ19">
        <f>'Net zero Activity data'!BL10*'Net zero supporting data'!AJ14</f>
        <v>1594050.6360329464</v>
      </c>
      <c r="AK19">
        <f>'Net zero Activity data'!BM10*'Net zero supporting data'!AK14</f>
        <v>1615647.2572443776</v>
      </c>
      <c r="AL19">
        <f>'Net zero Activity data'!BN10*'Net zero supporting data'!AL14</f>
        <v>1634069.8828163336</v>
      </c>
      <c r="AM19">
        <f>'Net zero Activity data'!BO10*'Net zero supporting data'!AM14</f>
        <v>1647789.1600235584</v>
      </c>
      <c r="AN19">
        <f>'Net zero Activity data'!BP10*'Net zero supporting data'!AN14</f>
        <v>1660128.4828121238</v>
      </c>
    </row>
    <row r="20" spans="1:48" x14ac:dyDescent="0.3">
      <c r="A20" t="s">
        <v>1030</v>
      </c>
      <c r="B20" s="11">
        <f>'Net zero Activity data'!AD5-'Net zero supporting data'!B15</f>
        <v>590059.9281599375</v>
      </c>
      <c r="C20" s="11">
        <f>'Net zero Activity data'!AE5-'Net zero supporting data'!C15</f>
        <v>593358.66490468476</v>
      </c>
      <c r="D20" s="11">
        <f>'Net zero Activity data'!AF5-'Net zero supporting data'!D15</f>
        <v>598039.0074127327</v>
      </c>
      <c r="E20" s="11">
        <f>'Net zero Activity data'!AG5-'Net zero supporting data'!E15</f>
        <v>601046.62603335571</v>
      </c>
      <c r="F20" s="11">
        <f>'Net zero Activity data'!AH5-'Net zero supporting data'!F15</f>
        <v>603045.20236245089</v>
      </c>
      <c r="G20" s="11">
        <f>'Net zero Activity data'!AI5-'Net zero supporting data'!G15</f>
        <v>604015.06594627816</v>
      </c>
      <c r="H20" s="11">
        <f>'Net zero Activity data'!AJ5-'Net zero supporting data'!H15</f>
        <v>606157.85554919671</v>
      </c>
      <c r="I20" s="11">
        <f>'Net zero Activity data'!AK5-'Net zero supporting data'!I15</f>
        <v>608615.99513645703</v>
      </c>
      <c r="J20" s="11">
        <f>'Net zero Activity data'!AL5-'Net zero supporting data'!J15</f>
        <v>590321.24202673463</v>
      </c>
      <c r="K20" s="11">
        <f>'Net zero Activity data'!AM5-'Net zero supporting data'!K15</f>
        <v>548806.25691624731</v>
      </c>
      <c r="L20" s="11">
        <f>'Net zero Activity data'!AN5-'Net zero supporting data'!L15</f>
        <v>508716.08093924506</v>
      </c>
      <c r="M20" s="11">
        <f>'Net zero Activity data'!AO5-'Net zero supporting data'!M15</f>
        <v>463846.08231349185</v>
      </c>
      <c r="N20" s="11">
        <f>'Net zero Activity data'!AP5-'Net zero supporting data'!N15</f>
        <v>418680.09479765792</v>
      </c>
      <c r="O20" s="11">
        <f>'Net zero Activity data'!AQ5-'Net zero supporting data'!O15</f>
        <v>373161.2329227709</v>
      </c>
      <c r="P20" s="11">
        <f>'Net zero Activity data'!AR5-'Net zero supporting data'!P15</f>
        <v>326714.30828369351</v>
      </c>
      <c r="Q20" s="11">
        <f>'Net zero Activity data'!AS5-'Net zero supporting data'!Q15</f>
        <v>279548.69806702965</v>
      </c>
      <c r="R20" s="11">
        <f>'Net zero Activity data'!AT5-'Net zero supporting data'!R15</f>
        <v>231335.01750152296</v>
      </c>
      <c r="S20" s="11">
        <f>'Net zero Activity data'!AU5-'Net zero supporting data'!S15</f>
        <v>182137.61378597125</v>
      </c>
      <c r="T20" s="11">
        <f>'Net zero Activity data'!AV5-'Net zero supporting data'!T15</f>
        <v>131712.75266498665</v>
      </c>
      <c r="U20" s="11">
        <f>'Net zero Activity data'!AW5-'Net zero supporting data'!U15</f>
        <v>120111.20907850098</v>
      </c>
      <c r="V20" s="11">
        <f>'Net zero Activity data'!AX5-'Net zero supporting data'!V15</f>
        <v>108141.95151303569</v>
      </c>
      <c r="W20" s="11">
        <f>'Net zero Activity data'!AY5-'Net zero supporting data'!W15</f>
        <v>95895.419879799942</v>
      </c>
      <c r="X20" s="11">
        <f>'Net zero Activity data'!AZ5-'Net zero supporting data'!X15</f>
        <v>83428.603838956566</v>
      </c>
      <c r="Y20" s="11">
        <f>'Net zero Activity data'!BA5-'Net zero supporting data'!Y15</f>
        <v>70500.380060777883</v>
      </c>
      <c r="Z20" s="11">
        <f>'Net zero Activity data'!BB5-'Net zero supporting data'!Z15</f>
        <v>57201.456221221248</v>
      </c>
      <c r="AA20" s="11">
        <f>'Net zero Activity data'!BC5-'Net zero supporting data'!AA15</f>
        <v>43543.689155462547</v>
      </c>
      <c r="AB20" s="11">
        <f>'Net zero Activity data'!BD5-'Net zero supporting data'!AB15</f>
        <v>29430.48339476902</v>
      </c>
      <c r="AC20" s="11">
        <f>'Net zero Activity data'!BE5-'Net zero supporting data'!AC15</f>
        <v>14914.831315119052</v>
      </c>
      <c r="AD20" s="11">
        <f>'Net zero Activity data'!BF5-'Net zero supporting data'!AD15</f>
        <v>0</v>
      </c>
      <c r="AE20" s="11">
        <f>'Net zero Activity data'!BG5-'Net zero supporting data'!AE15</f>
        <v>0</v>
      </c>
      <c r="AF20" s="11">
        <f>'Net zero Activity data'!BH5-'Net zero supporting data'!AF15</f>
        <v>0</v>
      </c>
      <c r="AG20" s="11">
        <f>'Net zero Activity data'!BI5-'Net zero supporting data'!AG15</f>
        <v>0</v>
      </c>
      <c r="AH20" s="11">
        <f>'Net zero Activity data'!BJ5-'Net zero supporting data'!AH15</f>
        <v>0</v>
      </c>
      <c r="AI20" s="11">
        <f>'Net zero Activity data'!BK5-'Net zero supporting data'!AI15</f>
        <v>0</v>
      </c>
      <c r="AJ20" s="11">
        <f>'Net zero Activity data'!BL5-'Net zero supporting data'!AJ15</f>
        <v>0</v>
      </c>
      <c r="AK20" s="11">
        <f>'Net zero Activity data'!BM5-'Net zero supporting data'!AK15</f>
        <v>0</v>
      </c>
      <c r="AL20" s="11">
        <f>'Net zero Activity data'!BN5-'Net zero supporting data'!AL15</f>
        <v>0</v>
      </c>
      <c r="AM20" s="11">
        <f>'Net zero Activity data'!BO5-'Net zero supporting data'!AM15</f>
        <v>0</v>
      </c>
      <c r="AN20" s="11">
        <f>'Net zero Activity data'!BP5-'Net zero supporting data'!AN15</f>
        <v>0</v>
      </c>
    </row>
    <row r="21" spans="1:48" x14ac:dyDescent="0.3">
      <c r="A21" t="s">
        <v>1111</v>
      </c>
      <c r="B21" s="11">
        <f>'Net zero Activity data'!AD6-'Net zero supporting data'!B16</f>
        <v>488906.79761823389</v>
      </c>
      <c r="C21" s="11">
        <f>'Net zero Activity data'!AE6-'Net zero supporting data'!C16</f>
        <v>491640.03663531021</v>
      </c>
      <c r="D21" s="11">
        <f>'Net zero Activity data'!AF6-'Net zero supporting data'!D16</f>
        <v>495518.03471340711</v>
      </c>
      <c r="E21" s="11">
        <f>'Net zero Activity data'!AG6-'Net zero supporting data'!E16</f>
        <v>498010.06157049473</v>
      </c>
      <c r="F21" s="11">
        <f>'Net zero Activity data'!AH6-'Net zero supporting data'!F16</f>
        <v>499666.02481460216</v>
      </c>
      <c r="G21" s="11">
        <f>'Net zero Activity data'!AI6-'Net zero supporting data'!G16</f>
        <v>500469.62606977334</v>
      </c>
      <c r="H21" s="11">
        <f>'Net zero Activity data'!AJ6-'Net zero supporting data'!H16</f>
        <v>502245.08031219151</v>
      </c>
      <c r="I21" s="11">
        <f>'Net zero Activity data'!AK6-'Net zero supporting data'!I16</f>
        <v>504281.82454163581</v>
      </c>
      <c r="J21" s="11">
        <f>'Net zero Activity data'!AL6-'Net zero supporting data'!J16</f>
        <v>489123.3148221515</v>
      </c>
      <c r="K21" s="11">
        <f>'Net zero Activity data'!AM6-'Net zero supporting data'!K16</f>
        <v>454725.18430203345</v>
      </c>
      <c r="L21" s="11">
        <f>'Net zero Activity data'!AN6-'Net zero supporting data'!L16</f>
        <v>421507.60992108879</v>
      </c>
      <c r="M21" s="11">
        <f>'Net zero Activity data'!AO6-'Net zero supporting data'!M16</f>
        <v>384329.61105975037</v>
      </c>
      <c r="N21" s="11">
        <f>'Net zero Activity data'!AP6-'Net zero supporting data'!N16</f>
        <v>346906.3642609166</v>
      </c>
      <c r="O21" s="11">
        <f>'Net zero Activity data'!AQ6-'Net zero supporting data'!O16</f>
        <v>309190.73585029587</v>
      </c>
      <c r="P21" s="11">
        <f>'Net zero Activity data'!AR6-'Net zero supporting data'!P16</f>
        <v>270706.14114934602</v>
      </c>
      <c r="Q21" s="11">
        <f>'Net zero Activity data'!AS6-'Net zero supporting data'!Q16</f>
        <v>231626.06411268166</v>
      </c>
      <c r="R21" s="11">
        <f>'Net zero Activity data'!AT6-'Net zero supporting data'!R16</f>
        <v>191677.58592983329</v>
      </c>
      <c r="S21" s="11">
        <f>'Net zero Activity data'!AU6-'Net zero supporting data'!S16</f>
        <v>150914.02285123331</v>
      </c>
      <c r="T21" s="11">
        <f>'Net zero Activity data'!AV6-'Net zero supporting data'!T16</f>
        <v>109133.42363670323</v>
      </c>
      <c r="U21" s="11">
        <f>'Net zero Activity data'!AW6-'Net zero supporting data'!U16</f>
        <v>99520.716093615047</v>
      </c>
      <c r="V21" s="11">
        <f>'Net zero Activity data'!AX6-'Net zero supporting data'!V16</f>
        <v>89603.331253658107</v>
      </c>
      <c r="W21" s="11">
        <f>'Net zero Activity data'!AY6-'Net zero supporting data'!W16</f>
        <v>79456.20504326286</v>
      </c>
      <c r="X21" s="11">
        <f>'Net zero Activity data'!AZ6-'Net zero supporting data'!X16</f>
        <v>69126.557466564002</v>
      </c>
      <c r="Y21" s="11">
        <f>'Net zero Activity data'!BA6-'Net zero supporting data'!Y16</f>
        <v>58414.600621787366</v>
      </c>
      <c r="Z21" s="11">
        <f>'Net zero Activity data'!BB6-'Net zero supporting data'!Z16</f>
        <v>47395.49229758326</v>
      </c>
      <c r="AA21" s="11">
        <f>'Net zero Activity data'!BC6-'Net zero supporting data'!AA16</f>
        <v>36079.056728811818</v>
      </c>
      <c r="AB21" s="11">
        <f>'Net zero Activity data'!BD6-'Net zero supporting data'!AB16</f>
        <v>24385.257669951534</v>
      </c>
      <c r="AC21" s="11">
        <f>'Net zero Activity data'!BE6-'Net zero supporting data'!AC16</f>
        <v>12358.003089670092</v>
      </c>
      <c r="AD21" s="11">
        <f>'Net zero Activity data'!BF6-'Net zero supporting data'!AD16</f>
        <v>0</v>
      </c>
      <c r="AE21" s="11">
        <f>'Net zero Activity data'!BG6-'Net zero supporting data'!AE16</f>
        <v>0</v>
      </c>
      <c r="AF21" s="11">
        <f>'Net zero Activity data'!BH6-'Net zero supporting data'!AF16</f>
        <v>0</v>
      </c>
      <c r="AG21" s="11">
        <f>'Net zero Activity data'!BI6-'Net zero supporting data'!AG16</f>
        <v>0</v>
      </c>
      <c r="AH21" s="11">
        <f>'Net zero Activity data'!BJ6-'Net zero supporting data'!AH16</f>
        <v>0</v>
      </c>
      <c r="AI21" s="11">
        <f>'Net zero Activity data'!BK6-'Net zero supporting data'!AI16</f>
        <v>0</v>
      </c>
      <c r="AJ21" s="11">
        <f>'Net zero Activity data'!BL6-'Net zero supporting data'!AJ16</f>
        <v>0</v>
      </c>
      <c r="AK21" s="11">
        <f>'Net zero Activity data'!BM6-'Net zero supporting data'!AK16</f>
        <v>0</v>
      </c>
      <c r="AL21" s="11">
        <f>'Net zero Activity data'!BN6-'Net zero supporting data'!AL16</f>
        <v>0</v>
      </c>
      <c r="AM21" s="11">
        <f>'Net zero Activity data'!BO6-'Net zero supporting data'!AM16</f>
        <v>0</v>
      </c>
      <c r="AN21" s="11">
        <f>'Net zero Activity data'!BP6-'Net zero supporting data'!AN16</f>
        <v>0</v>
      </c>
    </row>
    <row r="22" spans="1:48" x14ac:dyDescent="0.3">
      <c r="A22" t="s">
        <v>1112</v>
      </c>
      <c r="B22" s="11">
        <f>'Net zero Activity data'!AD7-'Net zero supporting data'!B17</f>
        <v>606918.78325022152</v>
      </c>
      <c r="C22" s="11">
        <f>'Net zero Activity data'!AE7-'Net zero supporting data'!C17</f>
        <v>610311.76961624727</v>
      </c>
      <c r="D22" s="11">
        <f>'Net zero Activity data'!AF7-'Net zero supporting data'!D17</f>
        <v>615125.83619595377</v>
      </c>
      <c r="E22" s="11">
        <f>'Net zero Activity data'!AG7-'Net zero supporting data'!E17</f>
        <v>618219.38677716604</v>
      </c>
      <c r="F22" s="11">
        <f>'Net zero Activity data'!AH7-'Net zero supporting data'!F17</f>
        <v>620275.06528709247</v>
      </c>
      <c r="G22" s="11">
        <f>'Net zero Activity data'!AI7-'Net zero supporting data'!G17</f>
        <v>621272.63925902906</v>
      </c>
      <c r="H22" s="11">
        <f>'Net zero Activity data'!AJ7-'Net zero supporting data'!H17</f>
        <v>623476.65142203099</v>
      </c>
      <c r="I22" s="11">
        <f>'Net zero Activity data'!AK7-'Net zero supporting data'!I17</f>
        <v>626005.02356892731</v>
      </c>
      <c r="J22" s="11">
        <f>'Net zero Activity data'!AL7-'Net zero supporting data'!J17</f>
        <v>607187.56322749855</v>
      </c>
      <c r="K22" s="11">
        <f>'Net zero Activity data'!AM7-'Net zero supporting data'!K17</f>
        <v>564486.43568528304</v>
      </c>
      <c r="L22" s="11">
        <f>'Net zero Activity data'!AN7-'Net zero supporting data'!L17</f>
        <v>523250.82610893791</v>
      </c>
      <c r="M22" s="11">
        <f>'Net zero Activity data'!AO7-'Net zero supporting data'!M17</f>
        <v>477098.82752244885</v>
      </c>
      <c r="N22" s="11">
        <f>'Net zero Activity data'!AP7-'Net zero supporting data'!N17</f>
        <v>430642.38322044822</v>
      </c>
      <c r="O22" s="11">
        <f>'Net zero Activity data'!AQ7-'Net zero supporting data'!O17</f>
        <v>383822.98243485007</v>
      </c>
      <c r="P22" s="11">
        <f>'Net zero Activity data'!AR7-'Net zero supporting data'!P17</f>
        <v>336049.00280608481</v>
      </c>
      <c r="Q22" s="11">
        <f>'Net zero Activity data'!AS7-'Net zero supporting data'!Q17</f>
        <v>287535.80372608767</v>
      </c>
      <c r="R22" s="11">
        <f>'Net zero Activity data'!AT7-'Net zero supporting data'!R17</f>
        <v>237944.58943013794</v>
      </c>
      <c r="S22" s="11">
        <f>'Net zero Activity data'!AU7-'Net zero supporting data'!S17</f>
        <v>187341.54560842761</v>
      </c>
      <c r="T22" s="11">
        <f>'Net zero Activity data'!AV7-'Net zero supporting data'!T17</f>
        <v>135475.97416970064</v>
      </c>
      <c r="U22" s="11">
        <f>'Net zero Activity data'!AW7-'Net zero supporting data'!U17</f>
        <v>123542.95790931524</v>
      </c>
      <c r="V22" s="11">
        <f>'Net zero Activity data'!AX7-'Net zero supporting data'!V17</f>
        <v>111231.72155626526</v>
      </c>
      <c r="W22" s="11">
        <f>'Net zero Activity data'!AY7-'Net zero supporting data'!W17</f>
        <v>98635.289019222837</v>
      </c>
      <c r="X22" s="11">
        <f>'Net zero Activity data'!AZ7-'Net zero supporting data'!X17</f>
        <v>85812.278234355268</v>
      </c>
      <c r="Y22" s="11">
        <f>'Net zero Activity data'!BA7-'Net zero supporting data'!Y17</f>
        <v>72514.676633942989</v>
      </c>
      <c r="Z22" s="11">
        <f>'Net zero Activity data'!BB7-'Net zero supporting data'!Z17</f>
        <v>58835.783541827579</v>
      </c>
      <c r="AA22" s="11">
        <f>'Net zero Activity data'!BC7-'Net zero supporting data'!AA17</f>
        <v>44787.794559904374</v>
      </c>
      <c r="AB22" s="11">
        <f>'Net zero Activity data'!BD7-'Net zero supporting data'!AB17</f>
        <v>30271.354348905268</v>
      </c>
      <c r="AC22" s="11">
        <f>'Net zero Activity data'!BE7-'Net zero supporting data'!AC17</f>
        <v>15340.969352693879</v>
      </c>
      <c r="AD22" s="11">
        <f>'Net zero Activity data'!BF7-'Net zero supporting data'!AD17</f>
        <v>0</v>
      </c>
      <c r="AE22" s="11">
        <f>'Net zero Activity data'!BG7-'Net zero supporting data'!AE17</f>
        <v>0</v>
      </c>
      <c r="AF22" s="11">
        <f>'Net zero Activity data'!BH7-'Net zero supporting data'!AF17</f>
        <v>0</v>
      </c>
      <c r="AG22" s="11">
        <f>'Net zero Activity data'!BI7-'Net zero supporting data'!AG17</f>
        <v>0</v>
      </c>
      <c r="AH22" s="11">
        <f>'Net zero Activity data'!BJ7-'Net zero supporting data'!AH17</f>
        <v>0</v>
      </c>
      <c r="AI22" s="11">
        <f>'Net zero Activity data'!BK7-'Net zero supporting data'!AI17</f>
        <v>0</v>
      </c>
      <c r="AJ22" s="11">
        <f>'Net zero Activity data'!BL7-'Net zero supporting data'!AJ17</f>
        <v>0</v>
      </c>
      <c r="AK22" s="11">
        <f>'Net zero Activity data'!BM7-'Net zero supporting data'!AK17</f>
        <v>0</v>
      </c>
      <c r="AL22" s="11">
        <f>'Net zero Activity data'!BN7-'Net zero supporting data'!AL17</f>
        <v>0</v>
      </c>
      <c r="AM22" s="11">
        <f>'Net zero Activity data'!BO7-'Net zero supporting data'!AM17</f>
        <v>0</v>
      </c>
      <c r="AN22" s="11">
        <f>'Net zero Activity data'!BP7-'Net zero supporting data'!AN17</f>
        <v>0</v>
      </c>
    </row>
    <row r="23" spans="1:48" x14ac:dyDescent="0.3">
      <c r="A23" t="s">
        <v>1113</v>
      </c>
      <c r="B23" s="11">
        <f>'Net zero Activity data'!AD8-'Net zero supporting data'!B18</f>
        <v>5954880.1627134737</v>
      </c>
      <c r="C23" s="11">
        <f>'Net zero Activity data'!AE8-'Net zero supporting data'!C18</f>
        <v>5903235.3888004757</v>
      </c>
      <c r="D23" s="11">
        <f>'Net zero Activity data'!AF8-'Net zero supporting data'!D18</f>
        <v>5883575.7867908729</v>
      </c>
      <c r="E23" s="11">
        <f>'Net zero Activity data'!AG8-'Net zero supporting data'!E18</f>
        <v>5805008.3335930631</v>
      </c>
      <c r="F23" s="11">
        <f>'Net zero Activity data'!AH8-'Net zero supporting data'!F18</f>
        <v>5690965.7565264786</v>
      </c>
      <c r="G23" s="11">
        <f>'Net zero Activity data'!AI8-'Net zero supporting data'!G18</f>
        <v>5543806.2775503108</v>
      </c>
      <c r="H23" s="11">
        <f>'Net zero Activity data'!AJ8-'Net zero supporting data'!H18</f>
        <v>5427737.2925172504</v>
      </c>
      <c r="I23" s="11">
        <f>'Net zero Activity data'!AK8-'Net zero supporting data'!I18</f>
        <v>5317922.8374796044</v>
      </c>
      <c r="J23" s="11">
        <f>'Net zero Activity data'!AL8-'Net zero supporting data'!J18</f>
        <v>4678221.8105234597</v>
      </c>
      <c r="K23" s="11">
        <f>'Net zero Activity data'!AM8-'Net zero supporting data'!K18</f>
        <v>4516499.7188802101</v>
      </c>
      <c r="L23" s="11">
        <f>'Net zero Activity data'!AN8-'Net zero supporting data'!L18</f>
        <v>4406372.1223849952</v>
      </c>
      <c r="M23" s="11">
        <f>'Net zero Activity data'!AO8-'Net zero supporting data'!M18</f>
        <v>4185637.9094764972</v>
      </c>
      <c r="N23" s="11">
        <f>'Net zero Activity data'!AP8-'Net zero supporting data'!N18</f>
        <v>3972089.8466678038</v>
      </c>
      <c r="O23" s="11">
        <f>'Net zero Activity data'!AQ8-'Net zero supporting data'!O18</f>
        <v>3766555.8207817809</v>
      </c>
      <c r="P23" s="11">
        <f>'Net zero Activity data'!AR8-'Net zero supporting data'!P18</f>
        <v>3561188.8043434583</v>
      </c>
      <c r="Q23" s="11">
        <f>'Net zero Activity data'!AS8-'Net zero supporting data'!Q18</f>
        <v>3356611.7830192931</v>
      </c>
      <c r="R23" s="11">
        <f>'Net zero Activity data'!AT8-'Net zero supporting data'!R18</f>
        <v>3144586.1998475306</v>
      </c>
      <c r="S23" s="11">
        <f>'Net zero Activity data'!AU8-'Net zero supporting data'!S18</f>
        <v>2930142.591086064</v>
      </c>
      <c r="T23" s="11">
        <f>'Net zero Activity data'!AV8-'Net zero supporting data'!T18</f>
        <v>2706614.0021806317</v>
      </c>
      <c r="U23" s="11">
        <f>'Net zero Activity data'!AW8-'Net zero supporting data'!U18</f>
        <v>2570453.7983479602</v>
      </c>
      <c r="V23" s="11">
        <f>'Net zero Activity data'!AX8-'Net zero supporting data'!V18</f>
        <v>2426549.3580025746</v>
      </c>
      <c r="W23" s="11">
        <f>'Net zero Activity data'!AY8-'Net zero supporting data'!W18</f>
        <v>2280955.5475648711</v>
      </c>
      <c r="X23" s="11">
        <f>'Net zero Activity data'!AZ8-'Net zero supporting data'!X18</f>
        <v>2138675.4847839894</v>
      </c>
      <c r="Y23" s="11">
        <f>'Net zero Activity data'!BA8-'Net zero supporting data'!Y18</f>
        <v>1986140.1466374607</v>
      </c>
      <c r="Z23" s="11">
        <f>'Net zero Activity data'!BB8-'Net zero supporting data'!Z18</f>
        <v>1831789.6083592745</v>
      </c>
      <c r="AA23" s="11">
        <f>'Net zero Activity data'!BC8-'Net zero supporting data'!AA18</f>
        <v>1675911.1422824357</v>
      </c>
      <c r="AB23" s="11">
        <f>'Net zero Activity data'!BD8-'Net zero supporting data'!AB18</f>
        <v>1511396.9717441415</v>
      </c>
      <c r="AC23" s="11">
        <f>'Net zero Activity data'!BE8-'Net zero supporting data'!AC18</f>
        <v>1342882.30394617</v>
      </c>
      <c r="AD23" s="11">
        <f>'Net zero Activity data'!BF8-'Net zero supporting data'!AD18</f>
        <v>1171278.5529431878</v>
      </c>
      <c r="AE23" s="11">
        <f>'Net zero Activity data'!BG8-'Net zero supporting data'!AE18</f>
        <v>1064096.5669944538</v>
      </c>
      <c r="AF23" s="11">
        <f>'Net zero Activity data'!BH8-'Net zero supporting data'!AF18</f>
        <v>952583.7215905115</v>
      </c>
      <c r="AG23" s="11">
        <f>'Net zero Activity data'!BI8-'Net zero supporting data'!AG18</f>
        <v>839465.07338338159</v>
      </c>
      <c r="AH23" s="11">
        <f>'Net zero Activity data'!BJ8-'Net zero supporting data'!AH18</f>
        <v>724767.19618940912</v>
      </c>
      <c r="AI23" s="11">
        <f>'Net zero Activity data'!BK8-'Net zero supporting data'!AI18</f>
        <v>608516.9027995998</v>
      </c>
      <c r="AJ23" s="11">
        <f>'Net zero Activity data'!BL8-'Net zero supporting data'!AJ18</f>
        <v>490546.10361455567</v>
      </c>
      <c r="AK23" s="11">
        <f>'Net zero Activity data'!BM8-'Net zero supporting data'!AK18</f>
        <v>362387.36405129451</v>
      </c>
      <c r="AL23" s="11">
        <f>'Net zero Activity data'!BN8-'Net zero supporting data'!AL18</f>
        <v>237421.08313134126</v>
      </c>
      <c r="AM23" s="11">
        <f>'Net zero Activity data'!BO8-'Net zero supporting data'!AM18</f>
        <v>116293.07205285411</v>
      </c>
      <c r="AN23" s="11">
        <f>'Net zero Activity data'!BP8-'Net zero supporting data'!AN18</f>
        <v>0</v>
      </c>
    </row>
    <row r="24" spans="1:48" x14ac:dyDescent="0.3">
      <c r="A24" t="s">
        <v>1031</v>
      </c>
      <c r="B24" s="11">
        <f>'Net zero Activity data'!AD10-'Net zero supporting data'!B19</f>
        <v>541460.03376820497</v>
      </c>
      <c r="C24" s="11">
        <f>'Net zero Activity data'!AE10-'Net zero supporting data'!C19</f>
        <v>559717.10307730967</v>
      </c>
      <c r="D24" s="11">
        <f>'Net zero Activity data'!AF10-'Net zero supporting data'!D19</f>
        <v>581386.33409904351</v>
      </c>
      <c r="E24" s="11">
        <f>'Net zero Activity data'!AG10-'Net zero supporting data'!E19</f>
        <v>597546.77075746458</v>
      </c>
      <c r="F24" s="11">
        <f>'Net zero Activity data'!AH10-'Net zero supporting data'!F19</f>
        <v>610009.49754182238</v>
      </c>
      <c r="G24" s="11">
        <f>'Net zero Activity data'!AI10-'Net zero supporting data'!G19</f>
        <v>618596.39996388648</v>
      </c>
      <c r="H24" s="11">
        <f>'Net zero Activity data'!AJ10-'Net zero supporting data'!H19</f>
        <v>630321.10002649133</v>
      </c>
      <c r="I24" s="11">
        <f>'Net zero Activity data'!AK10-'Net zero supporting data'!I19</f>
        <v>642612.00897727197</v>
      </c>
      <c r="J24" s="11">
        <f>'Net zero Activity data'!AL10-'Net zero supporting data'!J19</f>
        <v>588158.61646480043</v>
      </c>
      <c r="K24" s="11">
        <f>'Net zero Activity data'!AM10-'Net zero supporting data'!K19</f>
        <v>563143.57266461162</v>
      </c>
      <c r="L24" s="11">
        <f>'Net zero Activity data'!AN10-'Net zero supporting data'!L19</f>
        <v>542088.02476705681</v>
      </c>
      <c r="M24" s="11">
        <f>'Net zero Activity data'!AO10-'Net zero supporting data'!M19</f>
        <v>504869.34042168374</v>
      </c>
      <c r="N24" s="11">
        <f>'Net zero Activity data'!AP10-'Net zero supporting data'!N19</f>
        <v>466030.43744217139</v>
      </c>
      <c r="O24" s="11">
        <f>'Net zero Activity data'!AQ10-'Net zero supporting data'!O19</f>
        <v>425458.28431547421</v>
      </c>
      <c r="P24" s="11">
        <f>'Net zero Activity data'!AR10-'Net zero supporting data'!P19</f>
        <v>382006.55213664222</v>
      </c>
      <c r="Q24" s="11">
        <f>'Net zero Activity data'!AS10-'Net zero supporting data'!Q19</f>
        <v>335481.54018385586</v>
      </c>
      <c r="R24" s="11">
        <f>'Net zero Activity data'!AT10-'Net zero supporting data'!R19</f>
        <v>284785.47741606116</v>
      </c>
      <c r="S24" s="11">
        <f>'Net zero Activity data'!AU10-'Net zero supporting data'!S19</f>
        <v>230136.81883808796</v>
      </c>
      <c r="T24" s="11">
        <f>'Net zero Activity data'!AV10-'Net zero supporting data'!T19</f>
        <v>170693.730731674</v>
      </c>
      <c r="U24" s="11">
        <f>'Net zero Activity data'!AW10-'Net zero supporting data'!U19</f>
        <v>160355.70919154421</v>
      </c>
      <c r="V24" s="11">
        <f>'Net zero Activity data'!AX10-'Net zero supporting data'!V19</f>
        <v>148508.68715548108</v>
      </c>
      <c r="W24" s="11">
        <f>'Net zero Activity data'!AY10-'Net zero supporting data'!W19</f>
        <v>135452.65948592289</v>
      </c>
      <c r="X24" s="11">
        <f>'Net zero Activity data'!AZ10-'Net zero supporting data'!X19</f>
        <v>121379.31526768929</v>
      </c>
      <c r="Y24" s="11">
        <f>'Net zero Activity data'!BA10-'Net zero supporting data'!Y19</f>
        <v>105407.82446871744</v>
      </c>
      <c r="Z24" s="11">
        <f>'Net zero Activity data'!BB10-'Net zero supporting data'!Z19</f>
        <v>87930.079406318837</v>
      </c>
      <c r="AA24" s="11">
        <f>'Net zero Activity data'!BC10-'Net zero supporting data'!AA19</f>
        <v>68831.580724668456</v>
      </c>
      <c r="AB24" s="11">
        <f>'Net zero Activity data'!BD10-'Net zero supporting data'!AB19</f>
        <v>47729.837651248323</v>
      </c>
      <c r="AC24" s="11">
        <f>'Net zero Activity data'!BE10-'Net zero supporting data'!AC19</f>
        <v>24791.039663621457</v>
      </c>
      <c r="AD24" s="11">
        <f>'Net zero Activity data'!BF10-'Net zero supporting data'!AD19</f>
        <v>0</v>
      </c>
      <c r="AE24" s="11">
        <f>'Net zero Activity data'!BG10-'Net zero supporting data'!AE19</f>
        <v>0</v>
      </c>
      <c r="AF24" s="11">
        <f>'Net zero Activity data'!BH10-'Net zero supporting data'!AF19</f>
        <v>0</v>
      </c>
      <c r="AG24" s="11">
        <f>'Net zero Activity data'!BI10-'Net zero supporting data'!AG19</f>
        <v>0</v>
      </c>
      <c r="AH24" s="11">
        <f>'Net zero Activity data'!BJ10-'Net zero supporting data'!AH19</f>
        <v>0</v>
      </c>
      <c r="AI24" s="11">
        <f>'Net zero Activity data'!BK10-'Net zero supporting data'!AI19</f>
        <v>0</v>
      </c>
      <c r="AJ24" s="11">
        <f>'Net zero Activity data'!BL10-'Net zero supporting data'!AJ19</f>
        <v>0</v>
      </c>
      <c r="AK24" s="11">
        <f>'Net zero Activity data'!BM10-'Net zero supporting data'!AK19</f>
        <v>0</v>
      </c>
      <c r="AL24" s="11">
        <f>'Net zero Activity data'!BN10-'Net zero supporting data'!AL19</f>
        <v>0</v>
      </c>
      <c r="AM24" s="11">
        <f>'Net zero Activity data'!BO10-'Net zero supporting data'!AM19</f>
        <v>0</v>
      </c>
      <c r="AN24" s="11">
        <f>'Net zero Activity data'!BP10-'Net zero supporting data'!AN19</f>
        <v>0</v>
      </c>
    </row>
    <row r="25" spans="1:48" x14ac:dyDescent="0.3">
      <c r="A25" t="s">
        <v>956</v>
      </c>
      <c r="B25">
        <f>EF!H4</f>
        <v>122.43852137301079</v>
      </c>
      <c r="C25">
        <f t="shared" ref="C25:AN25" si="36">B25-(((C9*4)*$B$25)/100)</f>
        <v>122.43852137301079</v>
      </c>
      <c r="D25">
        <f t="shared" si="36"/>
        <v>122.43852137301079</v>
      </c>
      <c r="E25">
        <f t="shared" si="36"/>
        <v>122.43852137301079</v>
      </c>
      <c r="F25">
        <f t="shared" si="36"/>
        <v>122.43852137301079</v>
      </c>
      <c r="G25">
        <f t="shared" si="36"/>
        <v>122.43852137301079</v>
      </c>
      <c r="H25">
        <f t="shared" si="36"/>
        <v>122.43852137301079</v>
      </c>
      <c r="I25">
        <f t="shared" si="36"/>
        <v>122.43852137301079</v>
      </c>
      <c r="J25">
        <f t="shared" si="36"/>
        <v>122.43852137301079</v>
      </c>
      <c r="K25">
        <f t="shared" si="36"/>
        <v>121.94876728751875</v>
      </c>
      <c r="L25">
        <f t="shared" si="36"/>
        <v>121.45901320202671</v>
      </c>
      <c r="M25">
        <f t="shared" si="36"/>
        <v>120.96925911653467</v>
      </c>
      <c r="N25">
        <f t="shared" si="36"/>
        <v>120.47950503104263</v>
      </c>
      <c r="O25">
        <f t="shared" si="36"/>
        <v>119.9897509455506</v>
      </c>
      <c r="P25">
        <f t="shared" si="36"/>
        <v>119.49999686005856</v>
      </c>
      <c r="Q25">
        <f t="shared" si="36"/>
        <v>119.01024277456652</v>
      </c>
      <c r="R25">
        <f t="shared" si="36"/>
        <v>118.52048868907448</v>
      </c>
      <c r="S25">
        <f t="shared" si="36"/>
        <v>118.03073460358245</v>
      </c>
      <c r="T25">
        <f t="shared" si="36"/>
        <v>117.54098051809041</v>
      </c>
      <c r="U25">
        <f t="shared" si="36"/>
        <v>117.54098051809041</v>
      </c>
      <c r="V25">
        <f t="shared" si="36"/>
        <v>117.54098051809041</v>
      </c>
      <c r="W25">
        <f t="shared" si="36"/>
        <v>117.54098051809041</v>
      </c>
      <c r="X25">
        <f t="shared" si="36"/>
        <v>117.54098051809041</v>
      </c>
      <c r="Y25">
        <f t="shared" si="36"/>
        <v>117.54098051809041</v>
      </c>
      <c r="Z25">
        <f t="shared" si="36"/>
        <v>117.54098051809041</v>
      </c>
      <c r="AA25">
        <f t="shared" si="36"/>
        <v>117.54098051809041</v>
      </c>
      <c r="AB25">
        <f t="shared" si="36"/>
        <v>117.54098051809041</v>
      </c>
      <c r="AC25">
        <f t="shared" si="36"/>
        <v>117.54098051809041</v>
      </c>
      <c r="AD25">
        <f t="shared" si="36"/>
        <v>117.54098051809041</v>
      </c>
      <c r="AE25">
        <f t="shared" si="36"/>
        <v>117.54098051809041</v>
      </c>
      <c r="AF25">
        <f t="shared" si="36"/>
        <v>117.54098051809041</v>
      </c>
      <c r="AG25">
        <f t="shared" si="36"/>
        <v>117.54098051809041</v>
      </c>
      <c r="AH25">
        <f t="shared" si="36"/>
        <v>117.54098051809041</v>
      </c>
      <c r="AI25">
        <f t="shared" si="36"/>
        <v>117.54098051809041</v>
      </c>
      <c r="AJ25">
        <f t="shared" si="36"/>
        <v>117.54098051809041</v>
      </c>
      <c r="AK25">
        <f t="shared" si="36"/>
        <v>117.54098051809041</v>
      </c>
      <c r="AL25">
        <f t="shared" si="36"/>
        <v>117.54098051809041</v>
      </c>
      <c r="AM25">
        <f t="shared" si="36"/>
        <v>117.54098051809041</v>
      </c>
      <c r="AN25">
        <f t="shared" si="36"/>
        <v>117.54098051809041</v>
      </c>
    </row>
    <row r="26" spans="1:48" x14ac:dyDescent="0.3">
      <c r="A26" t="s">
        <v>957</v>
      </c>
      <c r="B26">
        <f>EF!H5</f>
        <v>118.18939556126456</v>
      </c>
      <c r="C26">
        <f t="shared" ref="C26:AN26" si="37">B26-(((C9*4)*$B$26)/100)</f>
        <v>118.18939556126456</v>
      </c>
      <c r="D26">
        <f t="shared" si="37"/>
        <v>118.18939556126456</v>
      </c>
      <c r="E26">
        <f t="shared" si="37"/>
        <v>118.18939556126456</v>
      </c>
      <c r="F26">
        <f t="shared" si="37"/>
        <v>118.18939556126456</v>
      </c>
      <c r="G26">
        <f t="shared" si="37"/>
        <v>118.18939556126456</v>
      </c>
      <c r="H26">
        <f t="shared" si="37"/>
        <v>118.18939556126456</v>
      </c>
      <c r="I26">
        <f t="shared" si="37"/>
        <v>118.18939556126456</v>
      </c>
      <c r="J26">
        <f t="shared" si="37"/>
        <v>118.18939556126456</v>
      </c>
      <c r="K26">
        <f t="shared" si="37"/>
        <v>117.71663797901951</v>
      </c>
      <c r="L26">
        <f t="shared" si="37"/>
        <v>117.24388039677446</v>
      </c>
      <c r="M26">
        <f t="shared" si="37"/>
        <v>116.77112281452941</v>
      </c>
      <c r="N26">
        <f t="shared" si="37"/>
        <v>116.29836523228435</v>
      </c>
      <c r="O26">
        <f t="shared" si="37"/>
        <v>115.8256076500393</v>
      </c>
      <c r="P26">
        <f t="shared" si="37"/>
        <v>115.35285006779425</v>
      </c>
      <c r="Q26">
        <f t="shared" si="37"/>
        <v>114.8800924855492</v>
      </c>
      <c r="R26">
        <f t="shared" si="37"/>
        <v>114.40733490330415</v>
      </c>
      <c r="S26">
        <f t="shared" si="37"/>
        <v>113.93457732105909</v>
      </c>
      <c r="T26">
        <f t="shared" si="37"/>
        <v>113.46181973881404</v>
      </c>
      <c r="U26">
        <f t="shared" si="37"/>
        <v>113.46181973881404</v>
      </c>
      <c r="V26">
        <f t="shared" si="37"/>
        <v>113.46181973881404</v>
      </c>
      <c r="W26">
        <f t="shared" si="37"/>
        <v>113.46181973881404</v>
      </c>
      <c r="X26">
        <f t="shared" si="37"/>
        <v>113.46181973881404</v>
      </c>
      <c r="Y26">
        <f t="shared" si="37"/>
        <v>113.46181973881404</v>
      </c>
      <c r="Z26">
        <f t="shared" si="37"/>
        <v>113.46181973881404</v>
      </c>
      <c r="AA26">
        <f t="shared" si="37"/>
        <v>113.46181973881404</v>
      </c>
      <c r="AB26">
        <f t="shared" si="37"/>
        <v>113.46181973881404</v>
      </c>
      <c r="AC26">
        <f t="shared" si="37"/>
        <v>113.46181973881404</v>
      </c>
      <c r="AD26">
        <f t="shared" si="37"/>
        <v>113.46181973881404</v>
      </c>
      <c r="AE26">
        <f t="shared" si="37"/>
        <v>113.46181973881404</v>
      </c>
      <c r="AF26">
        <f t="shared" si="37"/>
        <v>113.46181973881404</v>
      </c>
      <c r="AG26">
        <f t="shared" si="37"/>
        <v>113.46181973881404</v>
      </c>
      <c r="AH26">
        <f t="shared" si="37"/>
        <v>113.46181973881404</v>
      </c>
      <c r="AI26">
        <f t="shared" si="37"/>
        <v>113.46181973881404</v>
      </c>
      <c r="AJ26">
        <f t="shared" si="37"/>
        <v>113.46181973881404</v>
      </c>
      <c r="AK26">
        <f t="shared" si="37"/>
        <v>113.46181973881404</v>
      </c>
      <c r="AL26">
        <f t="shared" si="37"/>
        <v>113.46181973881404</v>
      </c>
      <c r="AM26">
        <f t="shared" si="37"/>
        <v>113.46181973881404</v>
      </c>
      <c r="AN26">
        <f t="shared" si="37"/>
        <v>113.46181973881404</v>
      </c>
    </row>
    <row r="27" spans="1:48" x14ac:dyDescent="0.3">
      <c r="A27" t="s">
        <v>958</v>
      </c>
      <c r="B27">
        <f>EF!H6</f>
        <v>43.047261887683739</v>
      </c>
      <c r="C27">
        <f t="shared" ref="C27:AN27" si="38">B27-(((C10*4)*$B$27)/100)</f>
        <v>43.047261887683739</v>
      </c>
      <c r="D27">
        <f t="shared" si="38"/>
        <v>43.047261887683739</v>
      </c>
      <c r="E27">
        <f t="shared" si="38"/>
        <v>43.047261887683739</v>
      </c>
      <c r="F27">
        <f t="shared" si="38"/>
        <v>43.047261887683739</v>
      </c>
      <c r="G27">
        <f t="shared" si="38"/>
        <v>43.047261887683739</v>
      </c>
      <c r="H27">
        <f t="shared" si="38"/>
        <v>43.047261887683739</v>
      </c>
      <c r="I27">
        <f t="shared" si="38"/>
        <v>43.047261887683739</v>
      </c>
      <c r="J27">
        <f t="shared" si="38"/>
        <v>43.047261887683739</v>
      </c>
      <c r="K27">
        <f t="shared" si="38"/>
        <v>42.70288379258227</v>
      </c>
      <c r="L27">
        <f t="shared" si="38"/>
        <v>42.358505697480801</v>
      </c>
      <c r="M27">
        <f t="shared" si="38"/>
        <v>42.014127602379332</v>
      </c>
      <c r="N27">
        <f t="shared" si="38"/>
        <v>41.669749507277864</v>
      </c>
      <c r="O27">
        <f t="shared" si="38"/>
        <v>41.325371412176395</v>
      </c>
      <c r="P27">
        <f t="shared" si="38"/>
        <v>40.980993317074926</v>
      </c>
      <c r="Q27">
        <f t="shared" si="38"/>
        <v>40.636615221973457</v>
      </c>
      <c r="R27">
        <f t="shared" si="38"/>
        <v>40.292237126871989</v>
      </c>
      <c r="S27">
        <f t="shared" si="38"/>
        <v>39.94785903177052</v>
      </c>
      <c r="T27">
        <f t="shared" si="38"/>
        <v>39.603480936669051</v>
      </c>
      <c r="U27">
        <f t="shared" si="38"/>
        <v>39.603480936669051</v>
      </c>
      <c r="V27">
        <f t="shared" si="38"/>
        <v>39.603480936669051</v>
      </c>
      <c r="W27">
        <f t="shared" si="38"/>
        <v>39.603480936669051</v>
      </c>
      <c r="X27">
        <f t="shared" si="38"/>
        <v>39.603480936669051</v>
      </c>
      <c r="Y27">
        <f t="shared" si="38"/>
        <v>39.603480936669051</v>
      </c>
      <c r="Z27">
        <f t="shared" si="38"/>
        <v>39.603480936669051</v>
      </c>
      <c r="AA27">
        <f t="shared" si="38"/>
        <v>39.603480936669051</v>
      </c>
      <c r="AB27">
        <f t="shared" si="38"/>
        <v>39.603480936669051</v>
      </c>
      <c r="AC27">
        <f t="shared" si="38"/>
        <v>39.603480936669051</v>
      </c>
      <c r="AD27">
        <f t="shared" si="38"/>
        <v>39.603480936669051</v>
      </c>
      <c r="AE27">
        <f t="shared" si="38"/>
        <v>39.603480936669051</v>
      </c>
      <c r="AF27">
        <f t="shared" si="38"/>
        <v>39.603480936669051</v>
      </c>
      <c r="AG27">
        <f t="shared" si="38"/>
        <v>39.603480936669051</v>
      </c>
      <c r="AH27">
        <f t="shared" si="38"/>
        <v>39.603480936669051</v>
      </c>
      <c r="AI27">
        <f t="shared" si="38"/>
        <v>39.603480936669051</v>
      </c>
      <c r="AJ27">
        <f t="shared" si="38"/>
        <v>39.603480936669051</v>
      </c>
      <c r="AK27">
        <f t="shared" si="38"/>
        <v>39.603480936669051</v>
      </c>
      <c r="AL27">
        <f t="shared" si="38"/>
        <v>39.603480936669051</v>
      </c>
      <c r="AM27">
        <f t="shared" si="38"/>
        <v>39.603480936669051</v>
      </c>
      <c r="AN27">
        <f t="shared" si="38"/>
        <v>39.603480936669051</v>
      </c>
    </row>
    <row r="28" spans="1:48" x14ac:dyDescent="0.3">
      <c r="A28" t="s">
        <v>952</v>
      </c>
      <c r="B28">
        <f>EF!H7</f>
        <v>77.790815813890134</v>
      </c>
      <c r="C28">
        <f t="shared" ref="C28:AN28" si="39">B28-(((C10*4)*$B$28)/100)</f>
        <v>77.790815813890134</v>
      </c>
      <c r="D28">
        <f t="shared" si="39"/>
        <v>77.790815813890134</v>
      </c>
      <c r="E28">
        <f t="shared" si="39"/>
        <v>77.790815813890134</v>
      </c>
      <c r="F28">
        <f t="shared" si="39"/>
        <v>77.790815813890134</v>
      </c>
      <c r="G28">
        <f t="shared" si="39"/>
        <v>77.790815813890134</v>
      </c>
      <c r="H28">
        <f t="shared" si="39"/>
        <v>77.790815813890134</v>
      </c>
      <c r="I28">
        <f t="shared" si="39"/>
        <v>77.790815813890134</v>
      </c>
      <c r="J28">
        <f t="shared" si="39"/>
        <v>77.790815813890134</v>
      </c>
      <c r="K28">
        <f t="shared" si="39"/>
        <v>77.168489287379018</v>
      </c>
      <c r="L28">
        <f t="shared" si="39"/>
        <v>76.546162760867901</v>
      </c>
      <c r="M28">
        <f t="shared" si="39"/>
        <v>75.923836234356784</v>
      </c>
      <c r="N28">
        <f t="shared" si="39"/>
        <v>75.301509707845668</v>
      </c>
      <c r="O28">
        <f t="shared" si="39"/>
        <v>74.679183181334551</v>
      </c>
      <c r="P28">
        <f t="shared" si="39"/>
        <v>74.056856654823434</v>
      </c>
      <c r="Q28">
        <f t="shared" si="39"/>
        <v>73.434530128312318</v>
      </c>
      <c r="R28">
        <f t="shared" si="39"/>
        <v>72.812203601801201</v>
      </c>
      <c r="S28">
        <f t="shared" si="39"/>
        <v>72.189877075290084</v>
      </c>
      <c r="T28">
        <f t="shared" si="39"/>
        <v>71.567550548778968</v>
      </c>
      <c r="U28">
        <f t="shared" si="39"/>
        <v>71.567550548778968</v>
      </c>
      <c r="V28">
        <f t="shared" si="39"/>
        <v>71.567550548778968</v>
      </c>
      <c r="W28">
        <f t="shared" si="39"/>
        <v>71.567550548778968</v>
      </c>
      <c r="X28">
        <f t="shared" si="39"/>
        <v>71.567550548778968</v>
      </c>
      <c r="Y28">
        <f t="shared" si="39"/>
        <v>71.567550548778968</v>
      </c>
      <c r="Z28">
        <f t="shared" si="39"/>
        <v>71.567550548778968</v>
      </c>
      <c r="AA28">
        <f t="shared" si="39"/>
        <v>71.567550548778968</v>
      </c>
      <c r="AB28">
        <f t="shared" si="39"/>
        <v>71.567550548778968</v>
      </c>
      <c r="AC28">
        <f t="shared" si="39"/>
        <v>71.567550548778968</v>
      </c>
      <c r="AD28">
        <f t="shared" si="39"/>
        <v>71.567550548778968</v>
      </c>
      <c r="AE28">
        <f t="shared" si="39"/>
        <v>71.567550548778968</v>
      </c>
      <c r="AF28">
        <f t="shared" si="39"/>
        <v>71.567550548778968</v>
      </c>
      <c r="AG28">
        <f t="shared" si="39"/>
        <v>71.567550548778968</v>
      </c>
      <c r="AH28">
        <f t="shared" si="39"/>
        <v>71.567550548778968</v>
      </c>
      <c r="AI28">
        <f t="shared" si="39"/>
        <v>71.567550548778968</v>
      </c>
      <c r="AJ28">
        <f t="shared" si="39"/>
        <v>71.567550548778968</v>
      </c>
      <c r="AK28">
        <f t="shared" si="39"/>
        <v>71.567550548778968</v>
      </c>
      <c r="AL28">
        <f t="shared" si="39"/>
        <v>71.567550548778968</v>
      </c>
      <c r="AM28">
        <f t="shared" si="39"/>
        <v>71.567550548778968</v>
      </c>
      <c r="AN28">
        <f t="shared" si="39"/>
        <v>71.567550548778968</v>
      </c>
    </row>
    <row r="29" spans="1:48" x14ac:dyDescent="0.3">
      <c r="A29" t="s">
        <v>951</v>
      </c>
      <c r="B29">
        <f>EF!H9</f>
        <v>58.9</v>
      </c>
      <c r="C29">
        <f t="shared" ref="C29:AN29" si="40">B29-(((C11*4)*$B$29)/100)</f>
        <v>58.9</v>
      </c>
      <c r="D29">
        <f t="shared" si="40"/>
        <v>58.9</v>
      </c>
      <c r="E29">
        <f t="shared" si="40"/>
        <v>58.9</v>
      </c>
      <c r="F29">
        <f t="shared" si="40"/>
        <v>58.9</v>
      </c>
      <c r="G29">
        <f t="shared" si="40"/>
        <v>58.9</v>
      </c>
      <c r="H29">
        <f t="shared" si="40"/>
        <v>58.9</v>
      </c>
      <c r="I29">
        <f t="shared" si="40"/>
        <v>58.9</v>
      </c>
      <c r="J29">
        <f t="shared" si="40"/>
        <v>58.9</v>
      </c>
      <c r="K29">
        <f t="shared" si="40"/>
        <v>58.664400000000001</v>
      </c>
      <c r="L29">
        <f t="shared" si="40"/>
        <v>58.428800000000003</v>
      </c>
      <c r="M29">
        <f t="shared" si="40"/>
        <v>58.193200000000004</v>
      </c>
      <c r="N29">
        <f t="shared" si="40"/>
        <v>57.957600000000006</v>
      </c>
      <c r="O29">
        <f t="shared" si="40"/>
        <v>57.722000000000008</v>
      </c>
      <c r="P29">
        <f t="shared" si="40"/>
        <v>57.48640000000001</v>
      </c>
      <c r="Q29">
        <f t="shared" si="40"/>
        <v>57.250800000000012</v>
      </c>
      <c r="R29">
        <f t="shared" si="40"/>
        <v>57.015200000000014</v>
      </c>
      <c r="S29">
        <f t="shared" si="40"/>
        <v>56.779600000000016</v>
      </c>
      <c r="T29">
        <f t="shared" si="40"/>
        <v>56.544000000000018</v>
      </c>
      <c r="U29">
        <f t="shared" si="40"/>
        <v>56.544000000000018</v>
      </c>
      <c r="V29">
        <f t="shared" si="40"/>
        <v>56.544000000000018</v>
      </c>
      <c r="W29">
        <f t="shared" si="40"/>
        <v>56.544000000000018</v>
      </c>
      <c r="X29">
        <f t="shared" si="40"/>
        <v>56.544000000000018</v>
      </c>
      <c r="Y29">
        <f t="shared" si="40"/>
        <v>56.544000000000018</v>
      </c>
      <c r="Z29">
        <f t="shared" si="40"/>
        <v>56.544000000000018</v>
      </c>
      <c r="AA29">
        <f t="shared" si="40"/>
        <v>56.544000000000018</v>
      </c>
      <c r="AB29">
        <f t="shared" si="40"/>
        <v>56.544000000000018</v>
      </c>
      <c r="AC29">
        <f t="shared" si="40"/>
        <v>56.544000000000018</v>
      </c>
      <c r="AD29">
        <f t="shared" si="40"/>
        <v>56.544000000000018</v>
      </c>
      <c r="AE29">
        <f t="shared" si="40"/>
        <v>56.544000000000018</v>
      </c>
      <c r="AF29">
        <f t="shared" si="40"/>
        <v>56.544000000000018</v>
      </c>
      <c r="AG29">
        <f t="shared" si="40"/>
        <v>56.544000000000018</v>
      </c>
      <c r="AH29">
        <f t="shared" si="40"/>
        <v>56.544000000000018</v>
      </c>
      <c r="AI29">
        <f t="shared" si="40"/>
        <v>56.544000000000018</v>
      </c>
      <c r="AJ29">
        <f t="shared" si="40"/>
        <v>56.544000000000018</v>
      </c>
      <c r="AK29">
        <f t="shared" si="40"/>
        <v>56.544000000000018</v>
      </c>
      <c r="AL29">
        <f t="shared" si="40"/>
        <v>56.544000000000018</v>
      </c>
      <c r="AM29">
        <f t="shared" si="40"/>
        <v>56.544000000000018</v>
      </c>
      <c r="AN29">
        <f t="shared" si="40"/>
        <v>56.544000000000018</v>
      </c>
    </row>
    <row r="31" spans="1:48" s="111" customFormat="1" ht="15.6" x14ac:dyDescent="0.3">
      <c r="A31" s="107" t="s">
        <v>945</v>
      </c>
      <c r="B31" s="107"/>
      <c r="C31" s="107"/>
      <c r="D31" s="107"/>
      <c r="E31" s="107"/>
      <c r="F31" s="107"/>
      <c r="G31" s="107"/>
      <c r="H31" s="107"/>
      <c r="I31" s="107"/>
      <c r="J31" s="109"/>
      <c r="K31" s="109"/>
      <c r="L31" s="109"/>
      <c r="M31" s="109"/>
      <c r="N31" s="109"/>
      <c r="O31" s="109"/>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110"/>
      <c r="AO31" s="110"/>
      <c r="AP31" s="110"/>
      <c r="AQ31" s="110"/>
      <c r="AR31" s="110"/>
      <c r="AS31" s="110"/>
      <c r="AT31" s="110"/>
      <c r="AU31" s="110"/>
      <c r="AV31" s="110"/>
    </row>
    <row r="32" spans="1:48" x14ac:dyDescent="0.3">
      <c r="A32" t="s">
        <v>1344</v>
      </c>
      <c r="B32">
        <f>'Net zero activities &amp; levers'!$C26/100</f>
        <v>0</v>
      </c>
      <c r="C32">
        <f>B32</f>
        <v>0</v>
      </c>
      <c r="D32">
        <f t="shared" ref="D32:J33" si="41">C32</f>
        <v>0</v>
      </c>
      <c r="E32">
        <f t="shared" si="41"/>
        <v>0</v>
      </c>
      <c r="F32">
        <f t="shared" si="41"/>
        <v>0</v>
      </c>
      <c r="G32">
        <f t="shared" si="41"/>
        <v>0</v>
      </c>
      <c r="H32">
        <f t="shared" si="41"/>
        <v>0</v>
      </c>
      <c r="I32">
        <f t="shared" si="41"/>
        <v>0</v>
      </c>
      <c r="J32">
        <f t="shared" si="41"/>
        <v>0</v>
      </c>
      <c r="K32">
        <f t="shared" ref="K32:S32" si="42">J32+($T32-$J32)/10</f>
        <v>0.02</v>
      </c>
      <c r="L32">
        <f t="shared" si="42"/>
        <v>0.04</v>
      </c>
      <c r="M32">
        <f t="shared" si="42"/>
        <v>0.06</v>
      </c>
      <c r="N32">
        <f t="shared" si="42"/>
        <v>0.08</v>
      </c>
      <c r="O32">
        <f t="shared" si="42"/>
        <v>0.1</v>
      </c>
      <c r="P32">
        <f t="shared" si="42"/>
        <v>0.12000000000000001</v>
      </c>
      <c r="Q32">
        <f t="shared" si="42"/>
        <v>0.14000000000000001</v>
      </c>
      <c r="R32">
        <f t="shared" si="42"/>
        <v>0.16</v>
      </c>
      <c r="S32">
        <f t="shared" si="42"/>
        <v>0.18</v>
      </c>
      <c r="T32">
        <f>'Net zero activities &amp; levers'!$D26/100</f>
        <v>0.2</v>
      </c>
      <c r="U32">
        <f t="shared" ref="U32:AC32" si="43">T32+($AD32-$T32)/10</f>
        <v>0.2</v>
      </c>
      <c r="V32">
        <f t="shared" si="43"/>
        <v>0.2</v>
      </c>
      <c r="W32">
        <f t="shared" si="43"/>
        <v>0.2</v>
      </c>
      <c r="X32">
        <f t="shared" si="43"/>
        <v>0.2</v>
      </c>
      <c r="Y32">
        <f t="shared" si="43"/>
        <v>0.2</v>
      </c>
      <c r="Z32">
        <f t="shared" si="43"/>
        <v>0.2</v>
      </c>
      <c r="AA32">
        <f t="shared" si="43"/>
        <v>0.2</v>
      </c>
      <c r="AB32">
        <f t="shared" si="43"/>
        <v>0.2</v>
      </c>
      <c r="AC32">
        <f t="shared" si="43"/>
        <v>0.2</v>
      </c>
      <c r="AD32">
        <f>'Net zero activities &amp; levers'!$E26/100</f>
        <v>0.2</v>
      </c>
      <c r="AE32">
        <f t="shared" ref="AE32:AM32" si="44">AD32+($AN32-$AD32)/10</f>
        <v>0.2</v>
      </c>
      <c r="AF32">
        <f t="shared" si="44"/>
        <v>0.2</v>
      </c>
      <c r="AG32">
        <f t="shared" si="44"/>
        <v>0.2</v>
      </c>
      <c r="AH32">
        <f t="shared" si="44"/>
        <v>0.2</v>
      </c>
      <c r="AI32">
        <f t="shared" si="44"/>
        <v>0.2</v>
      </c>
      <c r="AJ32">
        <f t="shared" si="44"/>
        <v>0.2</v>
      </c>
      <c r="AK32">
        <f t="shared" si="44"/>
        <v>0.2</v>
      </c>
      <c r="AL32">
        <f t="shared" si="44"/>
        <v>0.2</v>
      </c>
      <c r="AM32">
        <f t="shared" si="44"/>
        <v>0.2</v>
      </c>
      <c r="AN32">
        <f>'Net zero activities &amp; levers'!$F26/100</f>
        <v>0.2</v>
      </c>
    </row>
    <row r="33" spans="1:48" x14ac:dyDescent="0.3">
      <c r="A33" t="s">
        <v>1348</v>
      </c>
      <c r="B33">
        <f>'Net zero activities &amp; levers'!$C27/100</f>
        <v>0</v>
      </c>
      <c r="C33">
        <f>B33</f>
        <v>0</v>
      </c>
      <c r="D33">
        <f t="shared" si="41"/>
        <v>0</v>
      </c>
      <c r="E33">
        <f t="shared" si="41"/>
        <v>0</v>
      </c>
      <c r="F33">
        <f t="shared" si="41"/>
        <v>0</v>
      </c>
      <c r="G33">
        <f t="shared" si="41"/>
        <v>0</v>
      </c>
      <c r="H33">
        <f t="shared" si="41"/>
        <v>0</v>
      </c>
      <c r="I33">
        <f t="shared" si="41"/>
        <v>0</v>
      </c>
      <c r="J33">
        <f t="shared" si="41"/>
        <v>0</v>
      </c>
      <c r="K33">
        <f t="shared" ref="K33:S33" si="45">J33+($T33-$J33)/10</f>
        <v>0.02</v>
      </c>
      <c r="L33">
        <f t="shared" si="45"/>
        <v>0.04</v>
      </c>
      <c r="M33">
        <f t="shared" si="45"/>
        <v>0.06</v>
      </c>
      <c r="N33">
        <f t="shared" si="45"/>
        <v>0.08</v>
      </c>
      <c r="O33">
        <f t="shared" si="45"/>
        <v>0.1</v>
      </c>
      <c r="P33">
        <f t="shared" si="45"/>
        <v>0.12000000000000001</v>
      </c>
      <c r="Q33">
        <f t="shared" si="45"/>
        <v>0.14000000000000001</v>
      </c>
      <c r="R33">
        <f t="shared" si="45"/>
        <v>0.16</v>
      </c>
      <c r="S33">
        <f t="shared" si="45"/>
        <v>0.18</v>
      </c>
      <c r="T33">
        <f>'Net zero activities &amp; levers'!$D27/100</f>
        <v>0.2</v>
      </c>
      <c r="U33">
        <f t="shared" ref="U33:AC33" si="46">T33+($AD33-$T33)/10</f>
        <v>0.2</v>
      </c>
      <c r="V33">
        <f t="shared" si="46"/>
        <v>0.2</v>
      </c>
      <c r="W33">
        <f t="shared" si="46"/>
        <v>0.2</v>
      </c>
      <c r="X33">
        <f t="shared" si="46"/>
        <v>0.2</v>
      </c>
      <c r="Y33">
        <f t="shared" si="46"/>
        <v>0.2</v>
      </c>
      <c r="Z33">
        <f t="shared" si="46"/>
        <v>0.2</v>
      </c>
      <c r="AA33">
        <f t="shared" si="46"/>
        <v>0.2</v>
      </c>
      <c r="AB33">
        <f t="shared" si="46"/>
        <v>0.2</v>
      </c>
      <c r="AC33">
        <f t="shared" si="46"/>
        <v>0.2</v>
      </c>
      <c r="AD33">
        <f>'Net zero activities &amp; levers'!$E27/100</f>
        <v>0.2</v>
      </c>
      <c r="AE33">
        <f t="shared" ref="AE33:AM33" si="47">AD33+($AN33-$AD33)/10</f>
        <v>0.2</v>
      </c>
      <c r="AF33">
        <f t="shared" si="47"/>
        <v>0.2</v>
      </c>
      <c r="AG33">
        <f t="shared" si="47"/>
        <v>0.2</v>
      </c>
      <c r="AH33">
        <f t="shared" si="47"/>
        <v>0.2</v>
      </c>
      <c r="AI33">
        <f t="shared" si="47"/>
        <v>0.2</v>
      </c>
      <c r="AJ33">
        <f t="shared" si="47"/>
        <v>0.2</v>
      </c>
      <c r="AK33">
        <f t="shared" si="47"/>
        <v>0.2</v>
      </c>
      <c r="AL33">
        <f t="shared" si="47"/>
        <v>0.2</v>
      </c>
      <c r="AM33">
        <f t="shared" si="47"/>
        <v>0.2</v>
      </c>
      <c r="AN33">
        <f>'Net zero activities &amp; levers'!$F27/100</f>
        <v>0.2</v>
      </c>
    </row>
    <row r="34" spans="1:48" x14ac:dyDescent="0.3">
      <c r="A34" t="s">
        <v>1027</v>
      </c>
      <c r="B34">
        <f>EF!$P$4</f>
        <v>19.893899204244047</v>
      </c>
      <c r="C34">
        <f t="shared" ref="C34:AN34" si="48">$B$34-($B$34*C32)</f>
        <v>19.893899204244047</v>
      </c>
      <c r="D34">
        <f t="shared" si="48"/>
        <v>19.893899204244047</v>
      </c>
      <c r="E34">
        <f t="shared" si="48"/>
        <v>19.893899204244047</v>
      </c>
      <c r="F34">
        <f t="shared" si="48"/>
        <v>19.893899204244047</v>
      </c>
      <c r="G34">
        <f t="shared" si="48"/>
        <v>19.893899204244047</v>
      </c>
      <c r="H34">
        <f t="shared" si="48"/>
        <v>19.893899204244047</v>
      </c>
      <c r="I34">
        <f t="shared" si="48"/>
        <v>19.893899204244047</v>
      </c>
      <c r="J34">
        <f t="shared" si="48"/>
        <v>19.893899204244047</v>
      </c>
      <c r="K34">
        <f t="shared" si="48"/>
        <v>19.496021220159164</v>
      </c>
      <c r="L34">
        <f t="shared" si="48"/>
        <v>19.098143236074286</v>
      </c>
      <c r="M34">
        <f t="shared" si="48"/>
        <v>18.700265251989403</v>
      </c>
      <c r="N34">
        <f t="shared" si="48"/>
        <v>18.302387267904521</v>
      </c>
      <c r="O34">
        <f t="shared" si="48"/>
        <v>17.904509283819642</v>
      </c>
      <c r="P34">
        <f t="shared" si="48"/>
        <v>17.50663129973476</v>
      </c>
      <c r="Q34">
        <f t="shared" si="48"/>
        <v>17.108753315649881</v>
      </c>
      <c r="R34">
        <f t="shared" si="48"/>
        <v>16.710875331564999</v>
      </c>
      <c r="S34">
        <f t="shared" si="48"/>
        <v>16.31299734748012</v>
      </c>
      <c r="T34">
        <f t="shared" si="48"/>
        <v>15.915119363395238</v>
      </c>
      <c r="U34">
        <f t="shared" si="48"/>
        <v>15.915119363395238</v>
      </c>
      <c r="V34">
        <f t="shared" si="48"/>
        <v>15.915119363395238</v>
      </c>
      <c r="W34">
        <f t="shared" si="48"/>
        <v>15.915119363395238</v>
      </c>
      <c r="X34">
        <f t="shared" si="48"/>
        <v>15.915119363395238</v>
      </c>
      <c r="Y34">
        <f t="shared" si="48"/>
        <v>15.915119363395238</v>
      </c>
      <c r="Z34">
        <f t="shared" si="48"/>
        <v>15.915119363395238</v>
      </c>
      <c r="AA34">
        <f t="shared" si="48"/>
        <v>15.915119363395238</v>
      </c>
      <c r="AB34">
        <f t="shared" si="48"/>
        <v>15.915119363395238</v>
      </c>
      <c r="AC34">
        <f t="shared" si="48"/>
        <v>15.915119363395238</v>
      </c>
      <c r="AD34">
        <f t="shared" si="48"/>
        <v>15.915119363395238</v>
      </c>
      <c r="AE34">
        <f t="shared" si="48"/>
        <v>15.915119363395238</v>
      </c>
      <c r="AF34">
        <f t="shared" si="48"/>
        <v>15.915119363395238</v>
      </c>
      <c r="AG34">
        <f t="shared" si="48"/>
        <v>15.915119363395238</v>
      </c>
      <c r="AH34">
        <f t="shared" si="48"/>
        <v>15.915119363395238</v>
      </c>
      <c r="AI34">
        <f t="shared" si="48"/>
        <v>15.915119363395238</v>
      </c>
      <c r="AJ34">
        <f t="shared" si="48"/>
        <v>15.915119363395238</v>
      </c>
      <c r="AK34">
        <f t="shared" si="48"/>
        <v>15.915119363395238</v>
      </c>
      <c r="AL34">
        <f t="shared" si="48"/>
        <v>15.915119363395238</v>
      </c>
      <c r="AM34">
        <f t="shared" si="48"/>
        <v>15.915119363395238</v>
      </c>
      <c r="AN34">
        <f t="shared" si="48"/>
        <v>15.915119363395238</v>
      </c>
    </row>
    <row r="35" spans="1:48" x14ac:dyDescent="0.3">
      <c r="A35" t="s">
        <v>1026</v>
      </c>
      <c r="B35">
        <f>EF!$P$9</f>
        <v>9.9469496021220323</v>
      </c>
      <c r="C35">
        <f t="shared" ref="C35:AN35" si="49">$B$35-($B$35*C33)</f>
        <v>9.9469496021220323</v>
      </c>
      <c r="D35">
        <f t="shared" si="49"/>
        <v>9.9469496021220323</v>
      </c>
      <c r="E35">
        <f t="shared" si="49"/>
        <v>9.9469496021220323</v>
      </c>
      <c r="F35">
        <f t="shared" si="49"/>
        <v>9.9469496021220323</v>
      </c>
      <c r="G35">
        <f t="shared" si="49"/>
        <v>9.9469496021220323</v>
      </c>
      <c r="H35">
        <f t="shared" si="49"/>
        <v>9.9469496021220323</v>
      </c>
      <c r="I35">
        <f t="shared" si="49"/>
        <v>9.9469496021220323</v>
      </c>
      <c r="J35">
        <f t="shared" si="49"/>
        <v>9.9469496021220323</v>
      </c>
      <c r="K35">
        <f t="shared" si="49"/>
        <v>9.7480106100795911</v>
      </c>
      <c r="L35">
        <f t="shared" si="49"/>
        <v>9.5490716180371518</v>
      </c>
      <c r="M35">
        <f t="shared" si="49"/>
        <v>9.3501326259947106</v>
      </c>
      <c r="N35">
        <f t="shared" si="49"/>
        <v>9.1511936339522695</v>
      </c>
      <c r="O35">
        <f t="shared" si="49"/>
        <v>8.9522546419098283</v>
      </c>
      <c r="P35">
        <f t="shared" si="49"/>
        <v>8.753315649867389</v>
      </c>
      <c r="Q35">
        <f t="shared" si="49"/>
        <v>8.5543766578249478</v>
      </c>
      <c r="R35">
        <f t="shared" si="49"/>
        <v>8.3554376657825067</v>
      </c>
      <c r="S35">
        <f t="shared" si="49"/>
        <v>8.1564986737400673</v>
      </c>
      <c r="T35">
        <f t="shared" si="49"/>
        <v>7.9575596816976262</v>
      </c>
      <c r="U35">
        <f t="shared" si="49"/>
        <v>7.9575596816976262</v>
      </c>
      <c r="V35">
        <f t="shared" si="49"/>
        <v>7.9575596816976262</v>
      </c>
      <c r="W35">
        <f t="shared" si="49"/>
        <v>7.9575596816976262</v>
      </c>
      <c r="X35">
        <f t="shared" si="49"/>
        <v>7.9575596816976262</v>
      </c>
      <c r="Y35">
        <f t="shared" si="49"/>
        <v>7.9575596816976262</v>
      </c>
      <c r="Z35">
        <f t="shared" si="49"/>
        <v>7.9575596816976262</v>
      </c>
      <c r="AA35">
        <f t="shared" si="49"/>
        <v>7.9575596816976262</v>
      </c>
      <c r="AB35">
        <f t="shared" si="49"/>
        <v>7.9575596816976262</v>
      </c>
      <c r="AC35">
        <f t="shared" si="49"/>
        <v>7.9575596816976262</v>
      </c>
      <c r="AD35">
        <f t="shared" si="49"/>
        <v>7.9575596816976262</v>
      </c>
      <c r="AE35">
        <f t="shared" si="49"/>
        <v>7.9575596816976262</v>
      </c>
      <c r="AF35">
        <f t="shared" si="49"/>
        <v>7.9575596816976262</v>
      </c>
      <c r="AG35">
        <f t="shared" si="49"/>
        <v>7.9575596816976262</v>
      </c>
      <c r="AH35">
        <f t="shared" si="49"/>
        <v>7.9575596816976262</v>
      </c>
      <c r="AI35">
        <f t="shared" si="49"/>
        <v>7.9575596816976262</v>
      </c>
      <c r="AJ35">
        <f t="shared" si="49"/>
        <v>7.9575596816976262</v>
      </c>
      <c r="AK35">
        <f t="shared" si="49"/>
        <v>7.9575596816976262</v>
      </c>
      <c r="AL35">
        <f t="shared" si="49"/>
        <v>7.9575596816976262</v>
      </c>
      <c r="AM35">
        <f t="shared" si="49"/>
        <v>7.9575596816976262</v>
      </c>
      <c r="AN35">
        <f t="shared" si="49"/>
        <v>7.9575596816976262</v>
      </c>
    </row>
    <row r="36" spans="1:48" x14ac:dyDescent="0.3">
      <c r="A36" t="s">
        <v>1028</v>
      </c>
      <c r="B36">
        <f>'Net zero activities &amp; levers'!$C$28/100</f>
        <v>0</v>
      </c>
      <c r="C36">
        <f>B36</f>
        <v>0</v>
      </c>
      <c r="D36">
        <f t="shared" ref="D36:J36" si="50">C36</f>
        <v>0</v>
      </c>
      <c r="E36">
        <f t="shared" si="50"/>
        <v>0</v>
      </c>
      <c r="F36">
        <f t="shared" si="50"/>
        <v>0</v>
      </c>
      <c r="G36">
        <f t="shared" si="50"/>
        <v>0</v>
      </c>
      <c r="H36">
        <f t="shared" si="50"/>
        <v>0</v>
      </c>
      <c r="I36">
        <f t="shared" si="50"/>
        <v>0</v>
      </c>
      <c r="J36">
        <f t="shared" si="50"/>
        <v>0</v>
      </c>
      <c r="K36">
        <f t="shared" ref="K36:K37" si="51">J36+($T36-$J36)/10</f>
        <v>6.9999999999999993E-2</v>
      </c>
      <c r="L36">
        <f t="shared" ref="L36:L37" si="52">K36+($T36-$J36)/10</f>
        <v>0.13999999999999999</v>
      </c>
      <c r="M36">
        <f t="shared" ref="M36:M37" si="53">L36+($T36-$J36)/10</f>
        <v>0.20999999999999996</v>
      </c>
      <c r="N36">
        <f t="shared" ref="N36:N37" si="54">M36+($T36-$J36)/10</f>
        <v>0.27999999999999997</v>
      </c>
      <c r="O36">
        <f t="shared" ref="O36:O37" si="55">N36+($T36-$J36)/10</f>
        <v>0.35</v>
      </c>
      <c r="P36">
        <f t="shared" ref="P36:P37" si="56">O36+($T36-$J36)/10</f>
        <v>0.42</v>
      </c>
      <c r="Q36">
        <f t="shared" ref="Q36:Q37" si="57">P36+($T36-$J36)/10</f>
        <v>0.49</v>
      </c>
      <c r="R36">
        <f t="shared" ref="R36:R37" si="58">Q36+($T36-$J36)/10</f>
        <v>0.55999999999999994</v>
      </c>
      <c r="S36">
        <f t="shared" ref="S36:S37" si="59">R36+($T36-$J36)/10</f>
        <v>0.62999999999999989</v>
      </c>
      <c r="T36">
        <f>'Net zero activities &amp; levers'!$D$28/100</f>
        <v>0.7</v>
      </c>
      <c r="U36">
        <f t="shared" ref="U36:U37" si="60">T36+($AD36-$T36)/10</f>
        <v>0.73</v>
      </c>
      <c r="V36">
        <f t="shared" ref="V36:V37" si="61">U36+($AD36-$T36)/10</f>
        <v>0.76</v>
      </c>
      <c r="W36">
        <f t="shared" ref="W36:W37" si="62">V36+($AD36-$T36)/10</f>
        <v>0.79</v>
      </c>
      <c r="X36">
        <f t="shared" ref="X36:X37" si="63">W36+($AD36-$T36)/10</f>
        <v>0.82000000000000006</v>
      </c>
      <c r="Y36">
        <f t="shared" ref="Y36:Y37" si="64">X36+($AD36-$T36)/10</f>
        <v>0.85000000000000009</v>
      </c>
      <c r="Z36">
        <f t="shared" ref="Z36:Z37" si="65">Y36+($AD36-$T36)/10</f>
        <v>0.88000000000000012</v>
      </c>
      <c r="AA36">
        <f t="shared" ref="AA36:AA37" si="66">Z36+($AD36-$T36)/10</f>
        <v>0.91000000000000014</v>
      </c>
      <c r="AB36">
        <f t="shared" ref="AB36:AB37" si="67">AA36+($AD36-$T36)/10</f>
        <v>0.94000000000000017</v>
      </c>
      <c r="AC36">
        <f t="shared" ref="AC36:AC37" si="68">AB36+($AD36-$T36)/10</f>
        <v>0.9700000000000002</v>
      </c>
      <c r="AD36">
        <f>'Net zero activities &amp; levers'!$E$28/100</f>
        <v>1</v>
      </c>
      <c r="AE36">
        <f t="shared" ref="AE36:AE37" si="69">AD36+($AN36-$AD36)/10</f>
        <v>1</v>
      </c>
      <c r="AF36">
        <f t="shared" ref="AF36:AF37" si="70">AE36+($AN36-$AD36)/10</f>
        <v>1</v>
      </c>
      <c r="AG36">
        <f t="shared" ref="AG36:AG37" si="71">AF36+($AN36-$AD36)/10</f>
        <v>1</v>
      </c>
      <c r="AH36">
        <f t="shared" ref="AH36:AH37" si="72">AG36+($AN36-$AD36)/10</f>
        <v>1</v>
      </c>
      <c r="AI36">
        <f t="shared" ref="AI36:AI37" si="73">AH36+($AN36-$AD36)/10</f>
        <v>1</v>
      </c>
      <c r="AJ36">
        <f t="shared" ref="AJ36:AJ37" si="74">AI36+($AN36-$AD36)/10</f>
        <v>1</v>
      </c>
      <c r="AK36">
        <f t="shared" ref="AK36:AK37" si="75">AJ36+($AN36-$AD36)/10</f>
        <v>1</v>
      </c>
      <c r="AL36">
        <f t="shared" ref="AL36:AL37" si="76">AK36+($AN36-$AD36)/10</f>
        <v>1</v>
      </c>
      <c r="AM36">
        <f t="shared" ref="AM36:AM37" si="77">AL36+($AN36-$AD36)/10</f>
        <v>1</v>
      </c>
      <c r="AN36">
        <f>'Net zero activities &amp; levers'!$F$28/100</f>
        <v>1</v>
      </c>
    </row>
    <row r="37" spans="1:48" x14ac:dyDescent="0.3">
      <c r="A37" t="s">
        <v>1029</v>
      </c>
      <c r="B37">
        <f>'Net zero activities &amp; levers'!$C$29/100</f>
        <v>0</v>
      </c>
      <c r="C37">
        <f>B37</f>
        <v>0</v>
      </c>
      <c r="D37">
        <f t="shared" ref="D37:J37" si="78">C37</f>
        <v>0</v>
      </c>
      <c r="E37">
        <f t="shared" si="78"/>
        <v>0</v>
      </c>
      <c r="F37">
        <f t="shared" si="78"/>
        <v>0</v>
      </c>
      <c r="G37">
        <f t="shared" si="78"/>
        <v>0</v>
      </c>
      <c r="H37">
        <f t="shared" si="78"/>
        <v>0</v>
      </c>
      <c r="I37">
        <f t="shared" si="78"/>
        <v>0</v>
      </c>
      <c r="J37">
        <f t="shared" si="78"/>
        <v>0</v>
      </c>
      <c r="K37">
        <f t="shared" si="51"/>
        <v>6.9999999999999993E-2</v>
      </c>
      <c r="L37">
        <f t="shared" si="52"/>
        <v>0.13999999999999999</v>
      </c>
      <c r="M37">
        <f t="shared" si="53"/>
        <v>0.20999999999999996</v>
      </c>
      <c r="N37">
        <f t="shared" si="54"/>
        <v>0.27999999999999997</v>
      </c>
      <c r="O37">
        <f t="shared" si="55"/>
        <v>0.35</v>
      </c>
      <c r="P37">
        <f t="shared" si="56"/>
        <v>0.42</v>
      </c>
      <c r="Q37">
        <f t="shared" si="57"/>
        <v>0.49</v>
      </c>
      <c r="R37">
        <f t="shared" si="58"/>
        <v>0.55999999999999994</v>
      </c>
      <c r="S37">
        <f t="shared" si="59"/>
        <v>0.62999999999999989</v>
      </c>
      <c r="T37">
        <f>'Net zero activities &amp; levers'!$D$29/100</f>
        <v>0.7</v>
      </c>
      <c r="U37">
        <f t="shared" si="60"/>
        <v>0.73</v>
      </c>
      <c r="V37">
        <f t="shared" si="61"/>
        <v>0.76</v>
      </c>
      <c r="W37">
        <f t="shared" si="62"/>
        <v>0.79</v>
      </c>
      <c r="X37">
        <f t="shared" si="63"/>
        <v>0.82000000000000006</v>
      </c>
      <c r="Y37">
        <f t="shared" si="64"/>
        <v>0.85000000000000009</v>
      </c>
      <c r="Z37">
        <f t="shared" si="65"/>
        <v>0.88000000000000012</v>
      </c>
      <c r="AA37">
        <f t="shared" si="66"/>
        <v>0.91000000000000014</v>
      </c>
      <c r="AB37">
        <f t="shared" si="67"/>
        <v>0.94000000000000017</v>
      </c>
      <c r="AC37">
        <f t="shared" si="68"/>
        <v>0.9700000000000002</v>
      </c>
      <c r="AD37">
        <f>'Net zero activities &amp; levers'!$E$29/100</f>
        <v>1</v>
      </c>
      <c r="AE37">
        <f t="shared" si="69"/>
        <v>1</v>
      </c>
      <c r="AF37">
        <f t="shared" si="70"/>
        <v>1</v>
      </c>
      <c r="AG37">
        <f t="shared" si="71"/>
        <v>1</v>
      </c>
      <c r="AH37">
        <f t="shared" si="72"/>
        <v>1</v>
      </c>
      <c r="AI37">
        <f t="shared" si="73"/>
        <v>1</v>
      </c>
      <c r="AJ37">
        <f t="shared" si="74"/>
        <v>1</v>
      </c>
      <c r="AK37">
        <f t="shared" si="75"/>
        <v>1</v>
      </c>
      <c r="AL37">
        <f t="shared" si="76"/>
        <v>1</v>
      </c>
      <c r="AM37">
        <f t="shared" si="77"/>
        <v>1</v>
      </c>
      <c r="AN37">
        <f>'Net zero activities &amp; levers'!$F$29/100</f>
        <v>1</v>
      </c>
    </row>
    <row r="38" spans="1:48" x14ac:dyDescent="0.3">
      <c r="A38" t="s">
        <v>1005</v>
      </c>
      <c r="B38">
        <f>'Net zero Activity data'!AD5*'Net zero supporting data'!B36</f>
        <v>0</v>
      </c>
      <c r="C38">
        <f>'Net zero Activity data'!AE5*'Net zero supporting data'!C36</f>
        <v>0</v>
      </c>
      <c r="D38">
        <f>'Net zero Activity data'!AF5*'Net zero supporting data'!D36</f>
        <v>0</v>
      </c>
      <c r="E38">
        <f>'Net zero Activity data'!AG5*'Net zero supporting data'!E36</f>
        <v>0</v>
      </c>
      <c r="F38">
        <f>'Net zero Activity data'!AH5*'Net zero supporting data'!F36</f>
        <v>0</v>
      </c>
      <c r="G38">
        <f>'Net zero Activity data'!AI5*'Net zero supporting data'!G36</f>
        <v>0</v>
      </c>
      <c r="H38">
        <f>'Net zero Activity data'!AJ5*'Net zero supporting data'!H36</f>
        <v>0</v>
      </c>
      <c r="I38">
        <f>'Net zero Activity data'!AK5*'Net zero supporting data'!I36</f>
        <v>0</v>
      </c>
      <c r="J38">
        <f>'Net zero Activity data'!AL5*'Net zero supporting data'!J36</f>
        <v>0</v>
      </c>
      <c r="K38">
        <f>'Net zero Activity data'!AM5*'Net zero supporting data'!K36</f>
        <v>41756.997808844899</v>
      </c>
      <c r="L38">
        <f>'Net zero Activity data'!AN5*'Net zero supporting data'!L36</f>
        <v>84786.013489874167</v>
      </c>
      <c r="M38">
        <f>'Net zero Activity data'!AO5*'Net zero supporting data'!M36</f>
        <v>128167.99642872797</v>
      </c>
      <c r="N38">
        <f>'Net zero Activity data'!AP5*'Net zero supporting data'!N36</f>
        <v>172397.68609315323</v>
      </c>
      <c r="O38">
        <f>'Net zero Activity data'!AQ5*'Net zero supporting data'!O36</f>
        <v>217677.38587161634</v>
      </c>
      <c r="P38">
        <f>'Net zero Activity data'!AR5*'Net zero supporting data'!P36</f>
        <v>263884.63361375243</v>
      </c>
      <c r="Q38">
        <f>'Net zero Activity data'!AS5*'Net zero supporting data'!Q36</f>
        <v>311315.59557464672</v>
      </c>
      <c r="R38">
        <f>'Net zero Activity data'!AT5*'Net zero supporting data'!R36</f>
        <v>359854.47166903567</v>
      </c>
      <c r="S38">
        <f>'Net zero Activity data'!AU5*'Net zero supporting data'!S36</f>
        <v>409809.63101843518</v>
      </c>
      <c r="T38">
        <f>'Net zero Activity data'!AV5*'Net zero supporting data'!T36</f>
        <v>460994.63432745339</v>
      </c>
      <c r="U38">
        <f>'Net zero Activity data'!AW5*'Net zero supporting data'!U36</f>
        <v>487117.68126280943</v>
      </c>
      <c r="V38">
        <f>'Net zero Activity data'!AX5*'Net zero supporting data'!V36</f>
        <v>513674.26968691952</v>
      </c>
      <c r="W38">
        <f>'Net zero Activity data'!AY5*'Net zero supporting data'!W36</f>
        <v>541124.15503601462</v>
      </c>
      <c r="X38">
        <f>'Net zero Activity data'!AZ5*'Net zero supporting data'!X36</f>
        <v>570095.45956620364</v>
      </c>
      <c r="Y38">
        <f>'Net zero Activity data'!BA5*'Net zero supporting data'!Y36</f>
        <v>599253.23051661276</v>
      </c>
      <c r="Z38">
        <f>'Net zero Activity data'!BB5*'Net zero supporting data'!Z36</f>
        <v>629216.01843343466</v>
      </c>
      <c r="AA38">
        <f>'Net zero Activity data'!BC5*'Net zero supporting data'!AA36</f>
        <v>660412.61885785114</v>
      </c>
      <c r="AB38">
        <f>'Net zero Activity data'!BD5*'Net zero supporting data'!AB36</f>
        <v>691616.35977707559</v>
      </c>
      <c r="AC38">
        <f>'Net zero Activity data'!BE5*'Net zero supporting data'!AC36</f>
        <v>723369.31878328358</v>
      </c>
      <c r="AD38">
        <f>'Net zero Activity data'!BF5*'Net zero supporting data'!AD36</f>
        <v>755694.35311660939</v>
      </c>
      <c r="AE38">
        <f>'Net zero Activity data'!BG5*'Net zero supporting data'!AE36</f>
        <v>766224.10374418576</v>
      </c>
      <c r="AF38">
        <f>'Net zero Activity data'!BH5*'Net zero supporting data'!AF36</f>
        <v>776330.32659557904</v>
      </c>
      <c r="AG38">
        <f>'Net zero Activity data'!BI5*'Net zero supporting data'!AG36</f>
        <v>786828.98815047613</v>
      </c>
      <c r="AH38">
        <f>'Net zero Activity data'!BJ5*'Net zero supporting data'!AH36</f>
        <v>797767.97088992584</v>
      </c>
      <c r="AI38">
        <f>'Net zero Activity data'!BK5*'Net zero supporting data'!AI36</f>
        <v>809224.27492024703</v>
      </c>
      <c r="AJ38">
        <f>'Net zero Activity data'!BL5*'Net zero supporting data'!AJ36</f>
        <v>820883.22588005802</v>
      </c>
      <c r="AK38">
        <f>'Net zero Activity data'!BM5*'Net zero supporting data'!AK36</f>
        <v>823647.46997840214</v>
      </c>
      <c r="AL38">
        <f>'Net zero Activity data'!BN5*'Net zero supporting data'!AL36</f>
        <v>825614.77404733561</v>
      </c>
      <c r="AM38">
        <f>'Net zero Activity data'!BO5*'Net zero supporting data'!AM36</f>
        <v>826420.81446797797</v>
      </c>
      <c r="AN38">
        <f>'Net zero Activity data'!BP5*'Net zero supporting data'!AN36</f>
        <v>826907.52343347447</v>
      </c>
    </row>
    <row r="39" spans="1:48" x14ac:dyDescent="0.3">
      <c r="A39" t="s">
        <v>1008</v>
      </c>
      <c r="B39">
        <f>'Net zero Activity data'!AD10*'Net zero supporting data'!B37</f>
        <v>0</v>
      </c>
      <c r="C39">
        <f>'Net zero Activity data'!AE10*'Net zero supporting data'!C37</f>
        <v>0</v>
      </c>
      <c r="D39">
        <f>'Net zero Activity data'!AF10*'Net zero supporting data'!D37</f>
        <v>0</v>
      </c>
      <c r="E39">
        <f>'Net zero Activity data'!AG10*'Net zero supporting data'!E37</f>
        <v>0</v>
      </c>
      <c r="F39">
        <f>'Net zero Activity data'!AH10*'Net zero supporting data'!F37</f>
        <v>0</v>
      </c>
      <c r="G39">
        <f>'Net zero Activity data'!AI10*'Net zero supporting data'!G37</f>
        <v>0</v>
      </c>
      <c r="H39">
        <f>'Net zero Activity data'!AJ10*'Net zero supporting data'!H37</f>
        <v>0</v>
      </c>
      <c r="I39">
        <f>'Net zero Activity data'!AK10*'Net zero supporting data'!I37</f>
        <v>0</v>
      </c>
      <c r="J39">
        <f>'Net zero Activity data'!AL10*'Net zero supporting data'!J37</f>
        <v>0</v>
      </c>
      <c r="K39">
        <f>'Net zero Activity data'!AM10*'Net zero supporting data'!K37</f>
        <v>42847.880528829141</v>
      </c>
      <c r="L39">
        <f>'Net zero Activity data'!AN10*'Net zero supporting data'!L37</f>
        <v>90348.004127842796</v>
      </c>
      <c r="M39">
        <f>'Net zero Activity data'!AO10*'Net zero supporting data'!M37</f>
        <v>139503.37037967576</v>
      </c>
      <c r="N39">
        <f>'Net zero Activity data'!AP10*'Net zero supporting data'!N37</f>
        <v>191894.88600559995</v>
      </c>
      <c r="O39">
        <f>'Net zero Activity data'!AQ10*'Net zero supporting data'!O37</f>
        <v>248183.99918402662</v>
      </c>
      <c r="P39">
        <f>'Net zero Activity data'!AR10*'Net zero supporting data'!P37</f>
        <v>308543.75364882644</v>
      </c>
      <c r="Q39">
        <f>'Net zero Activity data'!AS10*'Net zero supporting data'!Q37</f>
        <v>373604.44247747591</v>
      </c>
      <c r="R39">
        <f>'Net zero Activity data'!AT10*'Net zero supporting data'!R37</f>
        <v>442999.63153609511</v>
      </c>
      <c r="S39">
        <f>'Net zero Activity data'!AU10*'Net zero supporting data'!S37</f>
        <v>517807.84238569776</v>
      </c>
      <c r="T39">
        <f>'Net zero Activity data'!AV10*'Net zero supporting data'!T37</f>
        <v>597428.05756085902</v>
      </c>
      <c r="U39">
        <f>'Net zero Activity data'!AW10*'Net zero supporting data'!U37</f>
        <v>650331.48727681825</v>
      </c>
      <c r="V39">
        <f>'Net zero Activity data'!AX10*'Net zero supporting data'!V37</f>
        <v>705416.26398853539</v>
      </c>
      <c r="W39">
        <f>'Net zero Activity data'!AY10*'Net zero supporting data'!W37</f>
        <v>764340.00709913659</v>
      </c>
      <c r="X39">
        <f>'Net zero Activity data'!AZ10*'Net zero supporting data'!X37</f>
        <v>829425.32099587796</v>
      </c>
      <c r="Y39">
        <f>'Net zero Activity data'!BA10*'Net zero supporting data'!Y37</f>
        <v>895966.50798409979</v>
      </c>
      <c r="Z39">
        <f>'Net zero Activity data'!BB10*'Net zero supporting data'!Z37</f>
        <v>967230.87346950872</v>
      </c>
      <c r="AA39">
        <f>'Net zero Activity data'!BC10*'Net zero supporting data'!AA37</f>
        <v>1043945.6409908097</v>
      </c>
      <c r="AB39">
        <f>'Net zero Activity data'!BD10*'Net zero supporting data'!AB37</f>
        <v>1121651.1848043418</v>
      </c>
      <c r="AC39">
        <f>'Net zero Activity data'!BE10*'Net zero supporting data'!AC37</f>
        <v>1202365.4236856508</v>
      </c>
      <c r="AD39">
        <f>'Net zero Activity data'!BF10*'Net zero supporting data'!AD37</f>
        <v>1286211.6171502508</v>
      </c>
      <c r="AE39">
        <f>'Net zero Activity data'!BG10*'Net zero supporting data'!AE37</f>
        <v>1334980.1372066648</v>
      </c>
      <c r="AF39">
        <f>'Net zero Activity data'!BH10*'Net zero supporting data'!AF37</f>
        <v>1382530.3391591066</v>
      </c>
      <c r="AG39">
        <f>'Net zero Activity data'!BI10*'Net zero supporting data'!AG37</f>
        <v>1431983.1115351482</v>
      </c>
      <c r="AH39">
        <f>'Net zero Activity data'!BJ10*'Net zero supporting data'!AH37</f>
        <v>1483557.3848712698</v>
      </c>
      <c r="AI39">
        <f>'Net zero Activity data'!BK10*'Net zero supporting data'!AI37</f>
        <v>1537591.1645011755</v>
      </c>
      <c r="AJ39">
        <f>'Net zero Activity data'!BL10*'Net zero supporting data'!AJ37</f>
        <v>1594050.6360329464</v>
      </c>
      <c r="AK39">
        <f>'Net zero Activity data'!BM10*'Net zero supporting data'!AK37</f>
        <v>1615647.2572443776</v>
      </c>
      <c r="AL39">
        <f>'Net zero Activity data'!BN10*'Net zero supporting data'!AL37</f>
        <v>1634069.8828163336</v>
      </c>
      <c r="AM39">
        <f>'Net zero Activity data'!BO10*'Net zero supporting data'!AM37</f>
        <v>1647789.1600235584</v>
      </c>
      <c r="AN39">
        <f>'Net zero Activity data'!BP10*'Net zero supporting data'!AN37</f>
        <v>1660128.4828121238</v>
      </c>
    </row>
    <row r="40" spans="1:48" x14ac:dyDescent="0.3">
      <c r="A40" t="s">
        <v>1030</v>
      </c>
      <c r="B40" s="11">
        <f>'Net zero Activity data'!AD5-'Net zero supporting data'!B38</f>
        <v>590059.9281599375</v>
      </c>
      <c r="C40" s="11">
        <f>'Net zero Activity data'!AE5-'Net zero supporting data'!C38</f>
        <v>593358.66490468476</v>
      </c>
      <c r="D40" s="11">
        <f>'Net zero Activity data'!AF5-'Net zero supporting data'!D38</f>
        <v>598039.0074127327</v>
      </c>
      <c r="E40" s="11">
        <f>'Net zero Activity data'!AG5-'Net zero supporting data'!E38</f>
        <v>601046.62603335571</v>
      </c>
      <c r="F40" s="11">
        <f>'Net zero Activity data'!AH5-'Net zero supporting data'!F38</f>
        <v>603045.20236245089</v>
      </c>
      <c r="G40" s="11">
        <f>'Net zero Activity data'!AI5-'Net zero supporting data'!G38</f>
        <v>604015.06594627816</v>
      </c>
      <c r="H40" s="11">
        <f>'Net zero Activity data'!AJ5-'Net zero supporting data'!H38</f>
        <v>606157.85554919671</v>
      </c>
      <c r="I40" s="11">
        <f>'Net zero Activity data'!AK5-'Net zero supporting data'!I38</f>
        <v>608615.99513645703</v>
      </c>
      <c r="J40" s="11">
        <f>'Net zero Activity data'!AL5-'Net zero supporting data'!J38</f>
        <v>590321.24202673463</v>
      </c>
      <c r="K40" s="11">
        <f>'Net zero Activity data'!AM5-'Net zero supporting data'!K38</f>
        <v>554771.54231751082</v>
      </c>
      <c r="L40" s="11">
        <f>'Net zero Activity data'!AN5-'Net zero supporting data'!L38</f>
        <v>520828.36858065566</v>
      </c>
      <c r="M40" s="11">
        <f>'Net zero Activity data'!AO5-'Net zero supporting data'!M38</f>
        <v>482155.7960890244</v>
      </c>
      <c r="N40" s="11">
        <f>'Net zero Activity data'!AP5-'Net zero supporting data'!N38</f>
        <v>443308.33566810843</v>
      </c>
      <c r="O40" s="11">
        <f>'Net zero Activity data'!AQ5-'Net zero supporting data'!O38</f>
        <v>404258.00233300182</v>
      </c>
      <c r="P40" s="11">
        <f>'Net zero Activity data'!AR5-'Net zero supporting data'!P38</f>
        <v>364412.11308565817</v>
      </c>
      <c r="Q40" s="11">
        <f>'Net zero Activity data'!AS5-'Net zero supporting data'!Q38</f>
        <v>324022.35457769351</v>
      </c>
      <c r="R40" s="11">
        <f>'Net zero Activity data'!AT5-'Net zero supporting data'!R38</f>
        <v>282742.79916852812</v>
      </c>
      <c r="S40" s="11">
        <f>'Net zero Activity data'!AU5-'Net zero supporting data'!S38</f>
        <v>240681.84678860492</v>
      </c>
      <c r="T40" s="11">
        <f>'Net zero Activity data'!AV5-'Net zero supporting data'!T38</f>
        <v>197569.12899748009</v>
      </c>
      <c r="U40" s="11">
        <f>'Net zero Activity data'!AW5-'Net zero supporting data'!U38</f>
        <v>180166.81361775147</v>
      </c>
      <c r="V40" s="11">
        <f>'Net zero Activity data'!AX5-'Net zero supporting data'!V38</f>
        <v>162212.92726955353</v>
      </c>
      <c r="W40" s="11">
        <f>'Net zero Activity data'!AY5-'Net zero supporting data'!W38</f>
        <v>143843.12981970003</v>
      </c>
      <c r="X40" s="11">
        <f>'Net zero Activity data'!AZ5-'Net zero supporting data'!X38</f>
        <v>125142.90575843491</v>
      </c>
      <c r="Y40" s="11">
        <f>'Net zero Activity data'!BA5-'Net zero supporting data'!Y38</f>
        <v>105750.57009116688</v>
      </c>
      <c r="Z40" s="11">
        <f>'Net zero Activity data'!BB5-'Net zero supporting data'!Z38</f>
        <v>85802.184331831872</v>
      </c>
      <c r="AA40" s="11">
        <f>'Net zero Activity data'!BC5-'Net zero supporting data'!AA38</f>
        <v>65315.533733193995</v>
      </c>
      <c r="AB40" s="11">
        <f>'Net zero Activity data'!BD5-'Net zero supporting data'!AB38</f>
        <v>44145.725092153647</v>
      </c>
      <c r="AC40" s="11">
        <f>'Net zero Activity data'!BE5-'Net zero supporting data'!AC38</f>
        <v>22372.246972678695</v>
      </c>
      <c r="AD40" s="11">
        <f>'Net zero Activity data'!BF5-'Net zero supporting data'!AD38</f>
        <v>0</v>
      </c>
      <c r="AE40" s="11">
        <f>'Net zero Activity data'!BG5-'Net zero supporting data'!AE38</f>
        <v>0</v>
      </c>
      <c r="AF40" s="11">
        <f>'Net zero Activity data'!BH5-'Net zero supporting data'!AF38</f>
        <v>0</v>
      </c>
      <c r="AG40" s="11">
        <f>'Net zero Activity data'!BI5-'Net zero supporting data'!AG38</f>
        <v>0</v>
      </c>
      <c r="AH40" s="11">
        <f>'Net zero Activity data'!BJ5-'Net zero supporting data'!AH38</f>
        <v>0</v>
      </c>
      <c r="AI40" s="11">
        <f>'Net zero Activity data'!BK5-'Net zero supporting data'!AI38</f>
        <v>0</v>
      </c>
      <c r="AJ40" s="11">
        <f>'Net zero Activity data'!BL5-'Net zero supporting data'!AJ38</f>
        <v>0</v>
      </c>
      <c r="AK40" s="11">
        <f>'Net zero Activity data'!BM5-'Net zero supporting data'!AK38</f>
        <v>0</v>
      </c>
      <c r="AL40" s="11">
        <f>'Net zero Activity data'!BN5-'Net zero supporting data'!AL38</f>
        <v>0</v>
      </c>
      <c r="AM40" s="11">
        <f>'Net zero Activity data'!BO5-'Net zero supporting data'!AM38</f>
        <v>0</v>
      </c>
      <c r="AN40" s="11">
        <f>'Net zero Activity data'!BP5-'Net zero supporting data'!AN38</f>
        <v>0</v>
      </c>
    </row>
    <row r="41" spans="1:48" x14ac:dyDescent="0.3">
      <c r="A41" t="s">
        <v>1031</v>
      </c>
      <c r="B41" s="11">
        <f>'Net zero Activity data'!AD10-'Net zero supporting data'!B39</f>
        <v>541460.03376820497</v>
      </c>
      <c r="C41" s="11">
        <f>'Net zero Activity data'!AE10-'Net zero supporting data'!C39</f>
        <v>559717.10307730967</v>
      </c>
      <c r="D41" s="11">
        <f>'Net zero Activity data'!AF10-'Net zero supporting data'!D39</f>
        <v>581386.33409904351</v>
      </c>
      <c r="E41" s="11">
        <f>'Net zero Activity data'!AG10-'Net zero supporting data'!E39</f>
        <v>597546.77075746458</v>
      </c>
      <c r="F41" s="11">
        <f>'Net zero Activity data'!AH10-'Net zero supporting data'!F39</f>
        <v>610009.49754182238</v>
      </c>
      <c r="G41" s="11">
        <f>'Net zero Activity data'!AI10-'Net zero supporting data'!G39</f>
        <v>618596.39996388648</v>
      </c>
      <c r="H41" s="11">
        <f>'Net zero Activity data'!AJ10-'Net zero supporting data'!H39</f>
        <v>630321.10002649133</v>
      </c>
      <c r="I41" s="11">
        <f>'Net zero Activity data'!AK10-'Net zero supporting data'!I39</f>
        <v>642612.00897727197</v>
      </c>
      <c r="J41" s="11">
        <f>'Net zero Activity data'!AL10-'Net zero supporting data'!J39</f>
        <v>588158.61646480043</v>
      </c>
      <c r="K41" s="11">
        <f>'Net zero Activity data'!AM10-'Net zero supporting data'!K39</f>
        <v>569264.6984544443</v>
      </c>
      <c r="L41" s="11">
        <f>'Net zero Activity data'!AN10-'Net zero supporting data'!L39</f>
        <v>554994.88249960577</v>
      </c>
      <c r="M41" s="11">
        <f>'Net zero Activity data'!AO10-'Net zero supporting data'!M39</f>
        <v>524798.39333306602</v>
      </c>
      <c r="N41" s="11">
        <f>'Net zero Activity data'!AP10-'Net zero supporting data'!N39</f>
        <v>493443.99258582853</v>
      </c>
      <c r="O41" s="11">
        <f>'Net zero Activity data'!AQ10-'Net zero supporting data'!O39</f>
        <v>460913.14134176378</v>
      </c>
      <c r="P41" s="11">
        <f>'Net zero Activity data'!AR10-'Net zero supporting data'!P39</f>
        <v>426084.23122933175</v>
      </c>
      <c r="Q41" s="11">
        <f>'Net zero Activity data'!AS10-'Net zero supporting data'!Q39</f>
        <v>388853.60339492391</v>
      </c>
      <c r="R41" s="11">
        <f>'Net zero Activity data'!AT10-'Net zero supporting data'!R39</f>
        <v>348071.13906407478</v>
      </c>
      <c r="S41" s="11">
        <f>'Net zero Activity data'!AU10-'Net zero supporting data'!S39</f>
        <v>304109.3677503306</v>
      </c>
      <c r="T41" s="11">
        <f>'Net zero Activity data'!AV10-'Net zero supporting data'!T39</f>
        <v>256040.59609751112</v>
      </c>
      <c r="U41" s="11">
        <f>'Net zero Activity data'!AW10-'Net zero supporting data'!U39</f>
        <v>240533.56378731632</v>
      </c>
      <c r="V41" s="11">
        <f>'Net zero Activity data'!AX10-'Net zero supporting data'!V39</f>
        <v>222763.03073322168</v>
      </c>
      <c r="W41" s="11">
        <f>'Net zero Activity data'!AY10-'Net zero supporting data'!W39</f>
        <v>203178.98922888434</v>
      </c>
      <c r="X41" s="11">
        <f>'Net zero Activity data'!AZ10-'Net zero supporting data'!X39</f>
        <v>182068.97290153406</v>
      </c>
      <c r="Y41" s="11">
        <f>'Net zero Activity data'!BA10-'Net zero supporting data'!Y39</f>
        <v>158111.73670307628</v>
      </c>
      <c r="Z41" s="11">
        <f>'Net zero Activity data'!BB10-'Net zero supporting data'!Z39</f>
        <v>131895.11910947831</v>
      </c>
      <c r="AA41" s="11">
        <f>'Net zero Activity data'!BC10-'Net zero supporting data'!AA39</f>
        <v>103247.37108700292</v>
      </c>
      <c r="AB41" s="11">
        <f>'Net zero Activity data'!BD10-'Net zero supporting data'!AB39</f>
        <v>71594.756476872601</v>
      </c>
      <c r="AC41" s="11">
        <f>'Net zero Activity data'!BE10-'Net zero supporting data'!AC39</f>
        <v>37186.559495432302</v>
      </c>
      <c r="AD41" s="11">
        <f>'Net zero Activity data'!BF10-'Net zero supporting data'!AD39</f>
        <v>0</v>
      </c>
      <c r="AE41" s="11">
        <f>'Net zero Activity data'!BG10-'Net zero supporting data'!AE39</f>
        <v>0</v>
      </c>
      <c r="AF41" s="11">
        <f>'Net zero Activity data'!BH10-'Net zero supporting data'!AF39</f>
        <v>0</v>
      </c>
      <c r="AG41" s="11">
        <f>'Net zero Activity data'!BI10-'Net zero supporting data'!AG39</f>
        <v>0</v>
      </c>
      <c r="AH41" s="11">
        <f>'Net zero Activity data'!BJ10-'Net zero supporting data'!AH39</f>
        <v>0</v>
      </c>
      <c r="AI41" s="11">
        <f>'Net zero Activity data'!BK10-'Net zero supporting data'!AI39</f>
        <v>0</v>
      </c>
      <c r="AJ41" s="11">
        <f>'Net zero Activity data'!BL10-'Net zero supporting data'!AJ39</f>
        <v>0</v>
      </c>
      <c r="AK41" s="11">
        <f>'Net zero Activity data'!BM10-'Net zero supporting data'!AK39</f>
        <v>0</v>
      </c>
      <c r="AL41" s="11">
        <f>'Net zero Activity data'!BN10-'Net zero supporting data'!AL39</f>
        <v>0</v>
      </c>
      <c r="AM41" s="11">
        <f>'Net zero Activity data'!BO10-'Net zero supporting data'!AM39</f>
        <v>0</v>
      </c>
      <c r="AN41" s="11">
        <f>'Net zero Activity data'!BP10-'Net zero supporting data'!AN39</f>
        <v>0</v>
      </c>
    </row>
    <row r="42" spans="1:48" x14ac:dyDescent="0.3">
      <c r="A42" t="s">
        <v>1032</v>
      </c>
      <c r="B42">
        <f>B34*EF!$N$4*0.001*365</f>
        <v>122.4391286182849</v>
      </c>
      <c r="C42">
        <f>C34*EF!$N$4*0.001*365</f>
        <v>122.4391286182849</v>
      </c>
      <c r="D42">
        <f>D34*EF!$N$4*0.001*365</f>
        <v>122.4391286182849</v>
      </c>
      <c r="E42">
        <f>E34*EF!$N$4*0.001*365</f>
        <v>122.4391286182849</v>
      </c>
      <c r="F42">
        <f>F34*EF!$N$4*0.001*365</f>
        <v>122.4391286182849</v>
      </c>
      <c r="G42">
        <f>G34*EF!$N$4*0.001*365</f>
        <v>122.4391286182849</v>
      </c>
      <c r="H42">
        <f>H34*EF!$N$4*0.001*365</f>
        <v>122.4391286182849</v>
      </c>
      <c r="I42">
        <f>I34*EF!$N$4*0.001*365</f>
        <v>122.4391286182849</v>
      </c>
      <c r="J42">
        <f>J34*EF!$N$4*0.001*365</f>
        <v>122.4391286182849</v>
      </c>
      <c r="K42">
        <f>K34*EF!$N$4*0.001*365</f>
        <v>119.99034604591918</v>
      </c>
      <c r="L42">
        <f>L34*EF!$N$4*0.001*365</f>
        <v>117.5415634735535</v>
      </c>
      <c r="M42">
        <f>M34*EF!$N$4*0.001*365</f>
        <v>115.09278090118779</v>
      </c>
      <c r="N42">
        <f>N34*EF!$N$4*0.001*365</f>
        <v>112.64399832882208</v>
      </c>
      <c r="O42">
        <f>O34*EF!$N$4*0.001*365</f>
        <v>110.19521575645642</v>
      </c>
      <c r="P42">
        <f>P34*EF!$N$4*0.001*365</f>
        <v>107.74643318409069</v>
      </c>
      <c r="Q42">
        <f>Q34*EF!$N$4*0.001*365</f>
        <v>105.297650611725</v>
      </c>
      <c r="R42">
        <f>R34*EF!$N$4*0.001*365</f>
        <v>102.84886803935932</v>
      </c>
      <c r="S42">
        <f>S34*EF!$N$4*0.001*365</f>
        <v>100.40008546699363</v>
      </c>
      <c r="T42">
        <f>T34*EF!$N$4*0.001*365</f>
        <v>97.951302894627915</v>
      </c>
      <c r="U42">
        <f>U34*EF!$N$4*0.001*365</f>
        <v>97.951302894627915</v>
      </c>
      <c r="V42">
        <f>V34*EF!$N$4*0.001*365</f>
        <v>97.951302894627915</v>
      </c>
      <c r="W42">
        <f>W34*EF!$N$4*0.001*365</f>
        <v>97.951302894627915</v>
      </c>
      <c r="X42">
        <f>X34*EF!$N$4*0.001*365</f>
        <v>97.951302894627915</v>
      </c>
      <c r="Y42">
        <f>Y34*EF!$N$4*0.001*365</f>
        <v>97.951302894627915</v>
      </c>
      <c r="Z42">
        <f>Z34*EF!$N$4*0.001*365</f>
        <v>97.951302894627915</v>
      </c>
      <c r="AA42">
        <f>AA34*EF!$N$4*0.001*365</f>
        <v>97.951302894627915</v>
      </c>
      <c r="AB42">
        <f>AB34*EF!$N$4*0.001*365</f>
        <v>97.951302894627915</v>
      </c>
      <c r="AC42">
        <f>AC34*EF!$N$4*0.001*365</f>
        <v>97.951302894627915</v>
      </c>
      <c r="AD42">
        <f>AD34*EF!$N$4*0.001*365</f>
        <v>97.951302894627915</v>
      </c>
      <c r="AE42">
        <f>AE34*EF!$N$4*0.001*365</f>
        <v>97.951302894627915</v>
      </c>
      <c r="AF42">
        <f>AF34*EF!$N$4*0.001*365</f>
        <v>97.951302894627915</v>
      </c>
      <c r="AG42">
        <f>AG34*EF!$N$4*0.001*365</f>
        <v>97.951302894627915</v>
      </c>
      <c r="AH42">
        <f>AH34*EF!$N$4*0.001*365</f>
        <v>97.951302894627915</v>
      </c>
      <c r="AI42">
        <f>AI34*EF!$N$4*0.001*365</f>
        <v>97.951302894627915</v>
      </c>
      <c r="AJ42">
        <f>AJ34*EF!$N$4*0.001*365</f>
        <v>97.951302894627915</v>
      </c>
      <c r="AK42">
        <f>AK34*EF!$N$4*0.001*365</f>
        <v>97.951302894627915</v>
      </c>
      <c r="AL42">
        <f>AL34*EF!$N$4*0.001*365</f>
        <v>97.951302894627915</v>
      </c>
      <c r="AM42">
        <f>AM34*EF!$N$4*0.001*365</f>
        <v>97.951302894627915</v>
      </c>
      <c r="AN42">
        <f>AN34*EF!$N$4*0.001*365</f>
        <v>97.951302894627915</v>
      </c>
    </row>
    <row r="43" spans="1:48" x14ac:dyDescent="0.3">
      <c r="A43" t="s">
        <v>1033</v>
      </c>
      <c r="B43">
        <f>B35*EF!$N$9*0.001*365</f>
        <v>58.900292120047261</v>
      </c>
      <c r="C43">
        <f>C35*EF!$N$9*0.001*365</f>
        <v>58.900292120047261</v>
      </c>
      <c r="D43">
        <f>D35*EF!$N$9*0.001*365</f>
        <v>58.900292120047261</v>
      </c>
      <c r="E43">
        <f>E35*EF!$N$9*0.001*365</f>
        <v>58.900292120047261</v>
      </c>
      <c r="F43">
        <f>F35*EF!$N$9*0.001*365</f>
        <v>58.900292120047261</v>
      </c>
      <c r="G43">
        <f>G35*EF!$N$9*0.001*365</f>
        <v>58.900292120047261</v>
      </c>
      <c r="H43">
        <f>H35*EF!$N$9*0.001*365</f>
        <v>58.900292120047261</v>
      </c>
      <c r="I43">
        <f>I35*EF!$N$9*0.001*365</f>
        <v>58.900292120047261</v>
      </c>
      <c r="J43">
        <f>J35*EF!$N$9*0.001*365</f>
        <v>58.900292120047261</v>
      </c>
      <c r="K43">
        <f>K35*EF!$N$9*0.001*365</f>
        <v>57.722286277646319</v>
      </c>
      <c r="L43">
        <f>L35*EF!$N$9*0.001*365</f>
        <v>56.544280435245383</v>
      </c>
      <c r="M43">
        <f>M35*EF!$N$9*0.001*365</f>
        <v>55.36627459284442</v>
      </c>
      <c r="N43">
        <f>N35*EF!$N$9*0.001*365</f>
        <v>54.188268750443484</v>
      </c>
      <c r="O43">
        <f>O35*EF!$N$9*0.001*365</f>
        <v>53.010262908042527</v>
      </c>
      <c r="P43">
        <f>P35*EF!$N$9*0.001*365</f>
        <v>51.832257065641599</v>
      </c>
      <c r="Q43">
        <f>Q35*EF!$N$9*0.001*365</f>
        <v>50.654251223240649</v>
      </c>
      <c r="R43">
        <f>R35*EF!$N$9*0.001*365</f>
        <v>49.4762453808397</v>
      </c>
      <c r="S43">
        <f>S35*EF!$N$9*0.001*365</f>
        <v>48.298239538438764</v>
      </c>
      <c r="T43">
        <f>T35*EF!$N$9*0.001*365</f>
        <v>47.120233696037815</v>
      </c>
      <c r="U43">
        <f>U35*EF!$N$9*0.001*365</f>
        <v>47.120233696037815</v>
      </c>
      <c r="V43">
        <f>V35*EF!$N$9*0.001*365</f>
        <v>47.120233696037815</v>
      </c>
      <c r="W43">
        <f>W35*EF!$N$9*0.001*365</f>
        <v>47.120233696037815</v>
      </c>
      <c r="X43">
        <f>X35*EF!$N$9*0.001*365</f>
        <v>47.120233696037815</v>
      </c>
      <c r="Y43">
        <f>Y35*EF!$N$9*0.001*365</f>
        <v>47.120233696037815</v>
      </c>
      <c r="Z43">
        <f>Z35*EF!$N$9*0.001*365</f>
        <v>47.120233696037815</v>
      </c>
      <c r="AA43">
        <f>AA35*EF!$N$9*0.001*365</f>
        <v>47.120233696037815</v>
      </c>
      <c r="AB43">
        <f>AB35*EF!$N$9*0.001*365</f>
        <v>47.120233696037815</v>
      </c>
      <c r="AC43">
        <f>AC35*EF!$N$9*0.001*365</f>
        <v>47.120233696037815</v>
      </c>
      <c r="AD43">
        <f>AD35*EF!$N$9*0.001*365</f>
        <v>47.120233696037815</v>
      </c>
      <c r="AE43">
        <f>AE35*EF!$N$9*0.001*365</f>
        <v>47.120233696037815</v>
      </c>
      <c r="AF43">
        <f>AF35*EF!$N$9*0.001*365</f>
        <v>47.120233696037815</v>
      </c>
      <c r="AG43">
        <f>AG35*EF!$N$9*0.001*365</f>
        <v>47.120233696037815</v>
      </c>
      <c r="AH43">
        <f>AH35*EF!$N$9*0.001*365</f>
        <v>47.120233696037815</v>
      </c>
      <c r="AI43">
        <f>AI35*EF!$N$9*0.001*365</f>
        <v>47.120233696037815</v>
      </c>
      <c r="AJ43">
        <f>AJ35*EF!$N$9*0.001*365</f>
        <v>47.120233696037815</v>
      </c>
      <c r="AK43">
        <f>AK35*EF!$N$9*0.001*365</f>
        <v>47.120233696037815</v>
      </c>
      <c r="AL43">
        <f>AL35*EF!$N$9*0.001*365</f>
        <v>47.120233696037815</v>
      </c>
      <c r="AM43">
        <f>AM35*EF!$N$9*0.001*365</f>
        <v>47.120233696037815</v>
      </c>
      <c r="AN43">
        <f>AN35*EF!$N$9*0.001*365</f>
        <v>47.120233696037815</v>
      </c>
    </row>
    <row r="45" spans="1:48" s="111" customFormat="1" ht="15.6" x14ac:dyDescent="0.3">
      <c r="A45" s="107" t="s">
        <v>1338</v>
      </c>
      <c r="B45" s="107"/>
      <c r="C45" s="107"/>
      <c r="D45" s="107"/>
      <c r="E45" s="107"/>
      <c r="F45" s="107"/>
      <c r="G45" s="107"/>
      <c r="H45" s="107"/>
      <c r="I45" s="107"/>
      <c r="J45" s="109"/>
      <c r="K45" s="109"/>
      <c r="L45" s="109"/>
      <c r="M45" s="109"/>
      <c r="N45" s="109"/>
      <c r="O45" s="109"/>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c r="AM45" s="110"/>
      <c r="AN45" s="110"/>
      <c r="AO45" s="110"/>
      <c r="AP45" s="110"/>
      <c r="AQ45" s="110"/>
      <c r="AR45" s="110"/>
      <c r="AS45" s="110"/>
      <c r="AT45" s="110"/>
      <c r="AU45" s="110"/>
      <c r="AV45" s="110"/>
    </row>
    <row r="46" spans="1:48" x14ac:dyDescent="0.3">
      <c r="A46" t="s">
        <v>1344</v>
      </c>
      <c r="B46">
        <f>'Net zero activities &amp; levers'!$C32/100</f>
        <v>0</v>
      </c>
      <c r="C46">
        <f>B46</f>
        <v>0</v>
      </c>
      <c r="D46">
        <f t="shared" ref="D46:J46" si="79">C46</f>
        <v>0</v>
      </c>
      <c r="E46">
        <f t="shared" si="79"/>
        <v>0</v>
      </c>
      <c r="F46">
        <f t="shared" si="79"/>
        <v>0</v>
      </c>
      <c r="G46">
        <f t="shared" si="79"/>
        <v>0</v>
      </c>
      <c r="H46">
        <f t="shared" si="79"/>
        <v>0</v>
      </c>
      <c r="I46">
        <f t="shared" si="79"/>
        <v>0</v>
      </c>
      <c r="J46">
        <f t="shared" si="79"/>
        <v>0</v>
      </c>
      <c r="K46">
        <f t="shared" ref="K46" si="80">J46+($T46-$J46)/10</f>
        <v>0.01</v>
      </c>
      <c r="L46">
        <f t="shared" ref="L46" si="81">K46+($T46-$J46)/10</f>
        <v>0.02</v>
      </c>
      <c r="M46">
        <f t="shared" ref="M46" si="82">L46+($T46-$J46)/10</f>
        <v>0.03</v>
      </c>
      <c r="N46">
        <f t="shared" ref="N46" si="83">M46+($T46-$J46)/10</f>
        <v>0.04</v>
      </c>
      <c r="O46">
        <f t="shared" ref="O46" si="84">N46+($T46-$J46)/10</f>
        <v>0.05</v>
      </c>
      <c r="P46">
        <f t="shared" ref="P46" si="85">O46+($T46-$J46)/10</f>
        <v>6.0000000000000005E-2</v>
      </c>
      <c r="Q46">
        <f t="shared" ref="Q46" si="86">P46+($T46-$J46)/10</f>
        <v>7.0000000000000007E-2</v>
      </c>
      <c r="R46">
        <f t="shared" ref="R46" si="87">Q46+($T46-$J46)/10</f>
        <v>0.08</v>
      </c>
      <c r="S46">
        <f t="shared" ref="S46" si="88">R46+($T46-$J46)/10</f>
        <v>0.09</v>
      </c>
      <c r="T46">
        <f>'Net zero activities &amp; levers'!$D32/100</f>
        <v>0.1</v>
      </c>
      <c r="U46">
        <f t="shared" ref="U46:U50" si="89">T46+($AD46-$T46)/10</f>
        <v>0.10500000000000001</v>
      </c>
      <c r="V46">
        <f t="shared" ref="V46:V50" si="90">U46+($AD46-$T46)/10</f>
        <v>0.11000000000000001</v>
      </c>
      <c r="W46">
        <f t="shared" ref="W46:W50" si="91">V46+($AD46-$T46)/10</f>
        <v>0.11500000000000002</v>
      </c>
      <c r="X46">
        <f t="shared" ref="X46:X50" si="92">W46+($AD46-$T46)/10</f>
        <v>0.12000000000000002</v>
      </c>
      <c r="Y46">
        <f t="shared" ref="Y46:Y50" si="93">X46+($AD46-$T46)/10</f>
        <v>0.12500000000000003</v>
      </c>
      <c r="Z46">
        <f t="shared" ref="Z46:Z50" si="94">Y46+($AD46-$T46)/10</f>
        <v>0.13000000000000003</v>
      </c>
      <c r="AA46">
        <f t="shared" ref="AA46:AA50" si="95">Z46+($AD46-$T46)/10</f>
        <v>0.13500000000000004</v>
      </c>
      <c r="AB46">
        <f t="shared" ref="AB46:AB50" si="96">AA46+($AD46-$T46)/10</f>
        <v>0.14000000000000004</v>
      </c>
      <c r="AC46">
        <f t="shared" ref="AC46:AC50" si="97">AB46+($AD46-$T46)/10</f>
        <v>0.14500000000000005</v>
      </c>
      <c r="AD46">
        <f>'Net zero activities &amp; levers'!$E32/100</f>
        <v>0.15</v>
      </c>
      <c r="AE46">
        <f t="shared" ref="AE46:AE50" si="98">AD46+($AN46-$AD46)/10</f>
        <v>0.155</v>
      </c>
      <c r="AF46">
        <f t="shared" ref="AF46:AF50" si="99">AE46+($AN46-$AD46)/10</f>
        <v>0.16</v>
      </c>
      <c r="AG46">
        <f t="shared" ref="AG46:AG50" si="100">AF46+($AN46-$AD46)/10</f>
        <v>0.16500000000000001</v>
      </c>
      <c r="AH46">
        <f t="shared" ref="AH46:AH50" si="101">AG46+($AN46-$AD46)/10</f>
        <v>0.17</v>
      </c>
      <c r="AI46">
        <f t="shared" ref="AI46:AI50" si="102">AH46+($AN46-$AD46)/10</f>
        <v>0.17500000000000002</v>
      </c>
      <c r="AJ46">
        <f t="shared" ref="AJ46:AJ50" si="103">AI46+($AN46-$AD46)/10</f>
        <v>0.18000000000000002</v>
      </c>
      <c r="AK46">
        <f t="shared" ref="AK46:AK50" si="104">AJ46+($AN46-$AD46)/10</f>
        <v>0.18500000000000003</v>
      </c>
      <c r="AL46">
        <f t="shared" ref="AL46:AL50" si="105">AK46+($AN46-$AD46)/10</f>
        <v>0.19000000000000003</v>
      </c>
      <c r="AM46">
        <f t="shared" ref="AM46:AM50" si="106">AL46+($AN46-$AD46)/10</f>
        <v>0.19500000000000003</v>
      </c>
      <c r="AN46">
        <f>'Net zero activities &amp; levers'!$F32/100</f>
        <v>0.2</v>
      </c>
    </row>
    <row r="47" spans="1:48" x14ac:dyDescent="0.3">
      <c r="A47" t="s">
        <v>1345</v>
      </c>
      <c r="B47">
        <f>'Net zero activities &amp; levers'!$C33/100</f>
        <v>0</v>
      </c>
      <c r="C47">
        <f t="shared" ref="C47:J50" si="107">B47</f>
        <v>0</v>
      </c>
      <c r="D47">
        <f t="shared" si="107"/>
        <v>0</v>
      </c>
      <c r="E47">
        <f t="shared" si="107"/>
        <v>0</v>
      </c>
      <c r="F47">
        <f t="shared" si="107"/>
        <v>0</v>
      </c>
      <c r="G47">
        <f t="shared" si="107"/>
        <v>0</v>
      </c>
      <c r="H47">
        <f t="shared" si="107"/>
        <v>0</v>
      </c>
      <c r="I47">
        <f t="shared" si="107"/>
        <v>0</v>
      </c>
      <c r="J47">
        <f t="shared" si="107"/>
        <v>0</v>
      </c>
      <c r="K47">
        <f t="shared" ref="K47:K50" si="108">J47+($T47-$J47)/10</f>
        <v>0.01</v>
      </c>
      <c r="L47">
        <f t="shared" ref="L47:L50" si="109">K47+($T47-$J47)/10</f>
        <v>0.02</v>
      </c>
      <c r="M47">
        <f t="shared" ref="M47:M50" si="110">L47+($T47-$J47)/10</f>
        <v>0.03</v>
      </c>
      <c r="N47">
        <f t="shared" ref="N47:N50" si="111">M47+($T47-$J47)/10</f>
        <v>0.04</v>
      </c>
      <c r="O47">
        <f t="shared" ref="O47:O50" si="112">N47+($T47-$J47)/10</f>
        <v>0.05</v>
      </c>
      <c r="P47">
        <f t="shared" ref="P47:P50" si="113">O47+($T47-$J47)/10</f>
        <v>6.0000000000000005E-2</v>
      </c>
      <c r="Q47">
        <f t="shared" ref="Q47:Q50" si="114">P47+($T47-$J47)/10</f>
        <v>7.0000000000000007E-2</v>
      </c>
      <c r="R47">
        <f t="shared" ref="R47:R50" si="115">Q47+($T47-$J47)/10</f>
        <v>0.08</v>
      </c>
      <c r="S47">
        <f t="shared" ref="S47:S50" si="116">R47+($T47-$J47)/10</f>
        <v>0.09</v>
      </c>
      <c r="T47">
        <f>'Net zero activities &amp; levers'!$D33/100</f>
        <v>0.1</v>
      </c>
      <c r="U47">
        <f t="shared" si="89"/>
        <v>0.10500000000000001</v>
      </c>
      <c r="V47">
        <f t="shared" si="90"/>
        <v>0.11000000000000001</v>
      </c>
      <c r="W47">
        <f t="shared" si="91"/>
        <v>0.11500000000000002</v>
      </c>
      <c r="X47">
        <f t="shared" si="92"/>
        <v>0.12000000000000002</v>
      </c>
      <c r="Y47">
        <f t="shared" si="93"/>
        <v>0.12500000000000003</v>
      </c>
      <c r="Z47">
        <f t="shared" si="94"/>
        <v>0.13000000000000003</v>
      </c>
      <c r="AA47">
        <f t="shared" si="95"/>
        <v>0.13500000000000004</v>
      </c>
      <c r="AB47">
        <f t="shared" si="96"/>
        <v>0.14000000000000004</v>
      </c>
      <c r="AC47">
        <f t="shared" si="97"/>
        <v>0.14500000000000005</v>
      </c>
      <c r="AD47">
        <f>'Net zero activities &amp; levers'!$E33/100</f>
        <v>0.15</v>
      </c>
      <c r="AE47">
        <f t="shared" si="98"/>
        <v>0.155</v>
      </c>
      <c r="AF47">
        <f t="shared" si="99"/>
        <v>0.16</v>
      </c>
      <c r="AG47">
        <f t="shared" si="100"/>
        <v>0.16500000000000001</v>
      </c>
      <c r="AH47">
        <f t="shared" si="101"/>
        <v>0.17</v>
      </c>
      <c r="AI47">
        <f t="shared" si="102"/>
        <v>0.17500000000000002</v>
      </c>
      <c r="AJ47">
        <f t="shared" si="103"/>
        <v>0.18000000000000002</v>
      </c>
      <c r="AK47">
        <f t="shared" si="104"/>
        <v>0.18500000000000003</v>
      </c>
      <c r="AL47">
        <f t="shared" si="105"/>
        <v>0.19000000000000003</v>
      </c>
      <c r="AM47">
        <f t="shared" si="106"/>
        <v>0.19500000000000003</v>
      </c>
      <c r="AN47">
        <f>'Net zero activities &amp; levers'!$F33/100</f>
        <v>0.2</v>
      </c>
    </row>
    <row r="48" spans="1:48" x14ac:dyDescent="0.3">
      <c r="A48" t="s">
        <v>1346</v>
      </c>
      <c r="B48">
        <f>'Net zero activities &amp; levers'!$C34/100</f>
        <v>0</v>
      </c>
      <c r="C48">
        <f t="shared" si="107"/>
        <v>0</v>
      </c>
      <c r="D48">
        <f t="shared" si="107"/>
        <v>0</v>
      </c>
      <c r="E48">
        <f t="shared" si="107"/>
        <v>0</v>
      </c>
      <c r="F48">
        <f t="shared" si="107"/>
        <v>0</v>
      </c>
      <c r="G48">
        <f t="shared" si="107"/>
        <v>0</v>
      </c>
      <c r="H48">
        <f t="shared" si="107"/>
        <v>0</v>
      </c>
      <c r="I48">
        <f t="shared" si="107"/>
        <v>0</v>
      </c>
      <c r="J48">
        <f t="shared" si="107"/>
        <v>0</v>
      </c>
      <c r="K48">
        <f t="shared" si="108"/>
        <v>0.01</v>
      </c>
      <c r="L48">
        <f t="shared" si="109"/>
        <v>0.02</v>
      </c>
      <c r="M48">
        <f t="shared" si="110"/>
        <v>0.03</v>
      </c>
      <c r="N48">
        <f t="shared" si="111"/>
        <v>0.04</v>
      </c>
      <c r="O48">
        <f t="shared" si="112"/>
        <v>0.05</v>
      </c>
      <c r="P48">
        <f t="shared" si="113"/>
        <v>6.0000000000000005E-2</v>
      </c>
      <c r="Q48">
        <f t="shared" si="114"/>
        <v>7.0000000000000007E-2</v>
      </c>
      <c r="R48">
        <f t="shared" si="115"/>
        <v>0.08</v>
      </c>
      <c r="S48">
        <f t="shared" si="116"/>
        <v>0.09</v>
      </c>
      <c r="T48">
        <f>'Net zero activities &amp; levers'!$D34/100</f>
        <v>0.1</v>
      </c>
      <c r="U48">
        <f t="shared" si="89"/>
        <v>0.10500000000000001</v>
      </c>
      <c r="V48">
        <f t="shared" si="90"/>
        <v>0.11000000000000001</v>
      </c>
      <c r="W48">
        <f t="shared" si="91"/>
        <v>0.11500000000000002</v>
      </c>
      <c r="X48">
        <f t="shared" si="92"/>
        <v>0.12000000000000002</v>
      </c>
      <c r="Y48">
        <f t="shared" si="93"/>
        <v>0.12500000000000003</v>
      </c>
      <c r="Z48">
        <f t="shared" si="94"/>
        <v>0.13000000000000003</v>
      </c>
      <c r="AA48">
        <f t="shared" si="95"/>
        <v>0.13500000000000004</v>
      </c>
      <c r="AB48">
        <f t="shared" si="96"/>
        <v>0.14000000000000004</v>
      </c>
      <c r="AC48">
        <f t="shared" si="97"/>
        <v>0.14500000000000005</v>
      </c>
      <c r="AD48">
        <f>'Net zero activities &amp; levers'!$E34/100</f>
        <v>0.15</v>
      </c>
      <c r="AE48">
        <f t="shared" si="98"/>
        <v>0.155</v>
      </c>
      <c r="AF48">
        <f t="shared" si="99"/>
        <v>0.16</v>
      </c>
      <c r="AG48">
        <f t="shared" si="100"/>
        <v>0.16500000000000001</v>
      </c>
      <c r="AH48">
        <f t="shared" si="101"/>
        <v>0.17</v>
      </c>
      <c r="AI48">
        <f t="shared" si="102"/>
        <v>0.17500000000000002</v>
      </c>
      <c r="AJ48">
        <f t="shared" si="103"/>
        <v>0.18000000000000002</v>
      </c>
      <c r="AK48">
        <f t="shared" si="104"/>
        <v>0.18500000000000003</v>
      </c>
      <c r="AL48">
        <f t="shared" si="105"/>
        <v>0.19000000000000003</v>
      </c>
      <c r="AM48">
        <f t="shared" si="106"/>
        <v>0.19500000000000003</v>
      </c>
      <c r="AN48">
        <f>'Net zero activities &amp; levers'!$F34/100</f>
        <v>0.2</v>
      </c>
    </row>
    <row r="49" spans="1:40" x14ac:dyDescent="0.3">
      <c r="A49" t="s">
        <v>1347</v>
      </c>
      <c r="B49">
        <f>'Net zero activities &amp; levers'!$C35/100</f>
        <v>0</v>
      </c>
      <c r="C49">
        <f t="shared" si="107"/>
        <v>0</v>
      </c>
      <c r="D49">
        <f t="shared" si="107"/>
        <v>0</v>
      </c>
      <c r="E49">
        <f t="shared" si="107"/>
        <v>0</v>
      </c>
      <c r="F49">
        <f t="shared" si="107"/>
        <v>0</v>
      </c>
      <c r="G49">
        <f t="shared" si="107"/>
        <v>0</v>
      </c>
      <c r="H49">
        <f t="shared" si="107"/>
        <v>0</v>
      </c>
      <c r="I49">
        <f t="shared" si="107"/>
        <v>0</v>
      </c>
      <c r="J49">
        <f t="shared" si="107"/>
        <v>0</v>
      </c>
      <c r="K49">
        <f t="shared" si="108"/>
        <v>0.01</v>
      </c>
      <c r="L49">
        <f t="shared" si="109"/>
        <v>0.02</v>
      </c>
      <c r="M49">
        <f t="shared" si="110"/>
        <v>0.03</v>
      </c>
      <c r="N49">
        <f t="shared" si="111"/>
        <v>0.04</v>
      </c>
      <c r="O49">
        <f t="shared" si="112"/>
        <v>0.05</v>
      </c>
      <c r="P49">
        <f t="shared" si="113"/>
        <v>6.0000000000000005E-2</v>
      </c>
      <c r="Q49">
        <f t="shared" si="114"/>
        <v>7.0000000000000007E-2</v>
      </c>
      <c r="R49">
        <f t="shared" si="115"/>
        <v>0.08</v>
      </c>
      <c r="S49">
        <f t="shared" si="116"/>
        <v>0.09</v>
      </c>
      <c r="T49">
        <f>'Net zero activities &amp; levers'!$D35/100</f>
        <v>0.1</v>
      </c>
      <c r="U49">
        <f t="shared" si="89"/>
        <v>0.10500000000000001</v>
      </c>
      <c r="V49">
        <f t="shared" si="90"/>
        <v>0.11000000000000001</v>
      </c>
      <c r="W49">
        <f t="shared" si="91"/>
        <v>0.11500000000000002</v>
      </c>
      <c r="X49">
        <f t="shared" si="92"/>
        <v>0.12000000000000002</v>
      </c>
      <c r="Y49">
        <f t="shared" si="93"/>
        <v>0.12500000000000003</v>
      </c>
      <c r="Z49">
        <f t="shared" si="94"/>
        <v>0.13000000000000003</v>
      </c>
      <c r="AA49">
        <f t="shared" si="95"/>
        <v>0.13500000000000004</v>
      </c>
      <c r="AB49">
        <f t="shared" si="96"/>
        <v>0.14000000000000004</v>
      </c>
      <c r="AC49">
        <f t="shared" si="97"/>
        <v>0.14500000000000005</v>
      </c>
      <c r="AD49">
        <f>'Net zero activities &amp; levers'!$E35/100</f>
        <v>0.15</v>
      </c>
      <c r="AE49">
        <f t="shared" si="98"/>
        <v>0.155</v>
      </c>
      <c r="AF49">
        <f t="shared" si="99"/>
        <v>0.16</v>
      </c>
      <c r="AG49">
        <f t="shared" si="100"/>
        <v>0.16500000000000001</v>
      </c>
      <c r="AH49">
        <f t="shared" si="101"/>
        <v>0.17</v>
      </c>
      <c r="AI49">
        <f t="shared" si="102"/>
        <v>0.17500000000000002</v>
      </c>
      <c r="AJ49">
        <f t="shared" si="103"/>
        <v>0.18000000000000002</v>
      </c>
      <c r="AK49">
        <f t="shared" si="104"/>
        <v>0.18500000000000003</v>
      </c>
      <c r="AL49">
        <f t="shared" si="105"/>
        <v>0.19000000000000003</v>
      </c>
      <c r="AM49">
        <f t="shared" si="106"/>
        <v>0.19500000000000003</v>
      </c>
      <c r="AN49">
        <f>'Net zero activities &amp; levers'!$F35/100</f>
        <v>0.2</v>
      </c>
    </row>
    <row r="50" spans="1:40" x14ac:dyDescent="0.3">
      <c r="A50" t="s">
        <v>1348</v>
      </c>
      <c r="B50">
        <f>'Net zero activities &amp; levers'!$C36/100</f>
        <v>0</v>
      </c>
      <c r="C50">
        <f t="shared" si="107"/>
        <v>0</v>
      </c>
      <c r="D50">
        <f t="shared" si="107"/>
        <v>0</v>
      </c>
      <c r="E50">
        <f t="shared" si="107"/>
        <v>0</v>
      </c>
      <c r="F50">
        <f t="shared" si="107"/>
        <v>0</v>
      </c>
      <c r="G50">
        <f t="shared" si="107"/>
        <v>0</v>
      </c>
      <c r="H50">
        <f t="shared" si="107"/>
        <v>0</v>
      </c>
      <c r="I50">
        <f t="shared" si="107"/>
        <v>0</v>
      </c>
      <c r="J50">
        <f t="shared" si="107"/>
        <v>0</v>
      </c>
      <c r="K50">
        <f t="shared" si="108"/>
        <v>0.01</v>
      </c>
      <c r="L50">
        <f t="shared" si="109"/>
        <v>0.02</v>
      </c>
      <c r="M50">
        <f t="shared" si="110"/>
        <v>0.03</v>
      </c>
      <c r="N50">
        <f t="shared" si="111"/>
        <v>0.04</v>
      </c>
      <c r="O50">
        <f t="shared" si="112"/>
        <v>0.05</v>
      </c>
      <c r="P50">
        <f t="shared" si="113"/>
        <v>6.0000000000000005E-2</v>
      </c>
      <c r="Q50">
        <f t="shared" si="114"/>
        <v>7.0000000000000007E-2</v>
      </c>
      <c r="R50">
        <f t="shared" si="115"/>
        <v>0.08</v>
      </c>
      <c r="S50">
        <f t="shared" si="116"/>
        <v>0.09</v>
      </c>
      <c r="T50">
        <f>'Net zero activities &amp; levers'!$D36/100</f>
        <v>0.1</v>
      </c>
      <c r="U50">
        <f t="shared" si="89"/>
        <v>0.10500000000000001</v>
      </c>
      <c r="V50">
        <f t="shared" si="90"/>
        <v>0.11000000000000001</v>
      </c>
      <c r="W50">
        <f t="shared" si="91"/>
        <v>0.11500000000000002</v>
      </c>
      <c r="X50">
        <f t="shared" si="92"/>
        <v>0.12000000000000002</v>
      </c>
      <c r="Y50">
        <f t="shared" si="93"/>
        <v>0.12500000000000003</v>
      </c>
      <c r="Z50">
        <f t="shared" si="94"/>
        <v>0.13000000000000003</v>
      </c>
      <c r="AA50">
        <f t="shared" si="95"/>
        <v>0.13500000000000004</v>
      </c>
      <c r="AB50">
        <f t="shared" si="96"/>
        <v>0.14000000000000004</v>
      </c>
      <c r="AC50">
        <f t="shared" si="97"/>
        <v>0.14500000000000005</v>
      </c>
      <c r="AD50">
        <f>'Net zero activities &amp; levers'!$E36/100</f>
        <v>0.15</v>
      </c>
      <c r="AE50">
        <f t="shared" si="98"/>
        <v>0.155</v>
      </c>
      <c r="AF50">
        <f t="shared" si="99"/>
        <v>0.16</v>
      </c>
      <c r="AG50">
        <f t="shared" si="100"/>
        <v>0.16500000000000001</v>
      </c>
      <c r="AH50">
        <f t="shared" si="101"/>
        <v>0.17</v>
      </c>
      <c r="AI50">
        <f t="shared" si="102"/>
        <v>0.17500000000000002</v>
      </c>
      <c r="AJ50">
        <f t="shared" si="103"/>
        <v>0.18000000000000002</v>
      </c>
      <c r="AK50">
        <f t="shared" si="104"/>
        <v>0.18500000000000003</v>
      </c>
      <c r="AL50">
        <f t="shared" si="105"/>
        <v>0.19000000000000003</v>
      </c>
      <c r="AM50">
        <f t="shared" si="106"/>
        <v>0.19500000000000003</v>
      </c>
      <c r="AN50">
        <f>'Net zero activities &amp; levers'!$F36/100</f>
        <v>0.2</v>
      </c>
    </row>
    <row r="51" spans="1:40" x14ac:dyDescent="0.3">
      <c r="A51" t="s">
        <v>1027</v>
      </c>
      <c r="B51">
        <f>EF!$P$4</f>
        <v>19.893899204244047</v>
      </c>
      <c r="C51">
        <f>$B$51-($B$51*C46)</f>
        <v>19.893899204244047</v>
      </c>
      <c r="D51">
        <f t="shared" ref="D51:AN51" si="117">$B$51-($B$51*D46)</f>
        <v>19.893899204244047</v>
      </c>
      <c r="E51">
        <f t="shared" si="117"/>
        <v>19.893899204244047</v>
      </c>
      <c r="F51">
        <f t="shared" si="117"/>
        <v>19.893899204244047</v>
      </c>
      <c r="G51">
        <f t="shared" si="117"/>
        <v>19.893899204244047</v>
      </c>
      <c r="H51">
        <f t="shared" si="117"/>
        <v>19.893899204244047</v>
      </c>
      <c r="I51">
        <f t="shared" si="117"/>
        <v>19.893899204244047</v>
      </c>
      <c r="J51">
        <f t="shared" si="117"/>
        <v>19.893899204244047</v>
      </c>
      <c r="K51">
        <f t="shared" si="117"/>
        <v>19.694960212201607</v>
      </c>
      <c r="L51">
        <f t="shared" si="117"/>
        <v>19.496021220159164</v>
      </c>
      <c r="M51">
        <f t="shared" si="117"/>
        <v>19.297082228116725</v>
      </c>
      <c r="N51">
        <f t="shared" si="117"/>
        <v>19.098143236074286</v>
      </c>
      <c r="O51">
        <f t="shared" si="117"/>
        <v>18.899204244031843</v>
      </c>
      <c r="P51">
        <f t="shared" si="117"/>
        <v>18.700265251989403</v>
      </c>
      <c r="Q51">
        <f t="shared" si="117"/>
        <v>18.501326259946964</v>
      </c>
      <c r="R51">
        <f t="shared" si="117"/>
        <v>18.302387267904521</v>
      </c>
      <c r="S51">
        <f t="shared" si="117"/>
        <v>18.103448275862082</v>
      </c>
      <c r="T51">
        <f t="shared" si="117"/>
        <v>17.904509283819642</v>
      </c>
      <c r="U51">
        <f t="shared" si="117"/>
        <v>17.805039787798421</v>
      </c>
      <c r="V51">
        <f t="shared" si="117"/>
        <v>17.7055702917772</v>
      </c>
      <c r="W51">
        <f t="shared" si="117"/>
        <v>17.606100795755982</v>
      </c>
      <c r="X51">
        <f t="shared" si="117"/>
        <v>17.50663129973476</v>
      </c>
      <c r="Y51">
        <f t="shared" si="117"/>
        <v>17.407161803713542</v>
      </c>
      <c r="Z51">
        <f t="shared" si="117"/>
        <v>17.307692307692321</v>
      </c>
      <c r="AA51">
        <f t="shared" si="117"/>
        <v>17.208222811671099</v>
      </c>
      <c r="AB51">
        <f t="shared" si="117"/>
        <v>17.108753315649878</v>
      </c>
      <c r="AC51">
        <f t="shared" si="117"/>
        <v>17.00928381962866</v>
      </c>
      <c r="AD51">
        <f t="shared" si="117"/>
        <v>16.909814323607439</v>
      </c>
      <c r="AE51">
        <f t="shared" si="117"/>
        <v>16.810344827586221</v>
      </c>
      <c r="AF51">
        <f t="shared" si="117"/>
        <v>16.710875331564999</v>
      </c>
      <c r="AG51">
        <f t="shared" si="117"/>
        <v>16.611405835543778</v>
      </c>
      <c r="AH51">
        <f t="shared" si="117"/>
        <v>16.51193633952256</v>
      </c>
      <c r="AI51">
        <f t="shared" si="117"/>
        <v>16.412466843501338</v>
      </c>
      <c r="AJ51">
        <f t="shared" si="117"/>
        <v>16.312997347480117</v>
      </c>
      <c r="AK51">
        <f t="shared" si="117"/>
        <v>16.213527851458899</v>
      </c>
      <c r="AL51">
        <f t="shared" si="117"/>
        <v>16.114058355437678</v>
      </c>
      <c r="AM51">
        <f t="shared" si="117"/>
        <v>16.014588859416456</v>
      </c>
      <c r="AN51">
        <f t="shared" si="117"/>
        <v>15.915119363395238</v>
      </c>
    </row>
    <row r="52" spans="1:40" x14ac:dyDescent="0.3">
      <c r="A52" t="s">
        <v>1349</v>
      </c>
      <c r="B52">
        <f>EF!$P$5</f>
        <v>20.888594164456251</v>
      </c>
      <c r="C52">
        <f>$B$52-($B$52*C47)</f>
        <v>20.888594164456251</v>
      </c>
      <c r="D52">
        <f t="shared" ref="D52:AN52" si="118">$B$52-($B$52*D47)</f>
        <v>20.888594164456251</v>
      </c>
      <c r="E52">
        <f t="shared" si="118"/>
        <v>20.888594164456251</v>
      </c>
      <c r="F52">
        <f t="shared" si="118"/>
        <v>20.888594164456251</v>
      </c>
      <c r="G52">
        <f t="shared" si="118"/>
        <v>20.888594164456251</v>
      </c>
      <c r="H52">
        <f t="shared" si="118"/>
        <v>20.888594164456251</v>
      </c>
      <c r="I52">
        <f t="shared" si="118"/>
        <v>20.888594164456251</v>
      </c>
      <c r="J52">
        <f t="shared" si="118"/>
        <v>20.888594164456251</v>
      </c>
      <c r="K52">
        <f t="shared" si="118"/>
        <v>20.679708222811687</v>
      </c>
      <c r="L52">
        <f t="shared" si="118"/>
        <v>20.470822281167127</v>
      </c>
      <c r="M52">
        <f t="shared" si="118"/>
        <v>20.261936339522563</v>
      </c>
      <c r="N52">
        <f t="shared" si="118"/>
        <v>20.053050397878</v>
      </c>
      <c r="O52">
        <f t="shared" si="118"/>
        <v>19.84416445623344</v>
      </c>
      <c r="P52">
        <f t="shared" si="118"/>
        <v>19.635278514588876</v>
      </c>
      <c r="Q52">
        <f t="shared" si="118"/>
        <v>19.426392572944312</v>
      </c>
      <c r="R52">
        <f t="shared" si="118"/>
        <v>19.217506631299752</v>
      </c>
      <c r="S52">
        <f t="shared" si="118"/>
        <v>19.008620689655189</v>
      </c>
      <c r="T52">
        <f t="shared" si="118"/>
        <v>18.799734748010625</v>
      </c>
      <c r="U52">
        <f t="shared" si="118"/>
        <v>18.695291777188345</v>
      </c>
      <c r="V52">
        <f t="shared" si="118"/>
        <v>18.590848806366061</v>
      </c>
      <c r="W52">
        <f t="shared" si="118"/>
        <v>18.486405835543781</v>
      </c>
      <c r="X52">
        <f t="shared" si="118"/>
        <v>18.381962864721501</v>
      </c>
      <c r="Y52">
        <f t="shared" si="118"/>
        <v>18.277519893899218</v>
      </c>
      <c r="Z52">
        <f t="shared" si="118"/>
        <v>18.173076923076938</v>
      </c>
      <c r="AA52">
        <f t="shared" si="118"/>
        <v>18.068633952254658</v>
      </c>
      <c r="AB52">
        <f t="shared" si="118"/>
        <v>17.964190981432374</v>
      </c>
      <c r="AC52">
        <f t="shared" si="118"/>
        <v>17.859748010610094</v>
      </c>
      <c r="AD52">
        <f t="shared" si="118"/>
        <v>17.755305039787814</v>
      </c>
      <c r="AE52">
        <f t="shared" si="118"/>
        <v>17.65086206896553</v>
      </c>
      <c r="AF52">
        <f t="shared" si="118"/>
        <v>17.54641909814325</v>
      </c>
      <c r="AG52">
        <f t="shared" si="118"/>
        <v>17.44197612732097</v>
      </c>
      <c r="AH52">
        <f t="shared" si="118"/>
        <v>17.337533156498687</v>
      </c>
      <c r="AI52">
        <f t="shared" si="118"/>
        <v>17.233090185676406</v>
      </c>
      <c r="AJ52">
        <f t="shared" si="118"/>
        <v>17.128647214854126</v>
      </c>
      <c r="AK52">
        <f t="shared" si="118"/>
        <v>17.024204244031843</v>
      </c>
      <c r="AL52">
        <f t="shared" si="118"/>
        <v>16.919761273209563</v>
      </c>
      <c r="AM52">
        <f t="shared" si="118"/>
        <v>16.815318302387283</v>
      </c>
      <c r="AN52">
        <f t="shared" si="118"/>
        <v>16.710875331564999</v>
      </c>
    </row>
    <row r="53" spans="1:40" x14ac:dyDescent="0.3">
      <c r="A53" t="s">
        <v>1350</v>
      </c>
      <c r="B53">
        <f>EF!$P$6</f>
        <v>23.209549071618053</v>
      </c>
      <c r="C53">
        <f>$B$53-($B$53*C48)</f>
        <v>23.209549071618053</v>
      </c>
      <c r="D53">
        <f t="shared" ref="D53:AN53" si="119">$B$53-($B$53*D48)</f>
        <v>23.209549071618053</v>
      </c>
      <c r="E53">
        <f t="shared" si="119"/>
        <v>23.209549071618053</v>
      </c>
      <c r="F53">
        <f t="shared" si="119"/>
        <v>23.209549071618053</v>
      </c>
      <c r="G53">
        <f t="shared" si="119"/>
        <v>23.209549071618053</v>
      </c>
      <c r="H53">
        <f t="shared" si="119"/>
        <v>23.209549071618053</v>
      </c>
      <c r="I53">
        <f t="shared" si="119"/>
        <v>23.209549071618053</v>
      </c>
      <c r="J53">
        <f t="shared" si="119"/>
        <v>23.209549071618053</v>
      </c>
      <c r="K53">
        <f t="shared" si="119"/>
        <v>22.977453580901873</v>
      </c>
      <c r="L53">
        <f t="shared" si="119"/>
        <v>22.745358090185693</v>
      </c>
      <c r="M53">
        <f t="shared" si="119"/>
        <v>22.51326259946951</v>
      </c>
      <c r="N53">
        <f t="shared" si="119"/>
        <v>22.28116710875333</v>
      </c>
      <c r="O53">
        <f t="shared" si="119"/>
        <v>22.04907161803715</v>
      </c>
      <c r="P53">
        <f t="shared" si="119"/>
        <v>21.81697612732097</v>
      </c>
      <c r="Q53">
        <f t="shared" si="119"/>
        <v>21.58488063660479</v>
      </c>
      <c r="R53">
        <f t="shared" si="119"/>
        <v>21.35278514588861</v>
      </c>
      <c r="S53">
        <f t="shared" si="119"/>
        <v>21.120689655172427</v>
      </c>
      <c r="T53">
        <f t="shared" si="119"/>
        <v>20.888594164456247</v>
      </c>
      <c r="U53">
        <f t="shared" si="119"/>
        <v>20.772546419098155</v>
      </c>
      <c r="V53">
        <f t="shared" si="119"/>
        <v>20.656498673740067</v>
      </c>
      <c r="W53">
        <f t="shared" si="119"/>
        <v>20.540450928381976</v>
      </c>
      <c r="X53">
        <f t="shared" si="119"/>
        <v>20.424403183023887</v>
      </c>
      <c r="Y53">
        <f t="shared" si="119"/>
        <v>20.308355437665796</v>
      </c>
      <c r="Z53">
        <f t="shared" si="119"/>
        <v>20.192307692307704</v>
      </c>
      <c r="AA53">
        <f t="shared" si="119"/>
        <v>20.076259946949616</v>
      </c>
      <c r="AB53">
        <f t="shared" si="119"/>
        <v>19.960212201591524</v>
      </c>
      <c r="AC53">
        <f t="shared" si="119"/>
        <v>19.844164456233436</v>
      </c>
      <c r="AD53">
        <f t="shared" si="119"/>
        <v>19.728116710875344</v>
      </c>
      <c r="AE53">
        <f t="shared" si="119"/>
        <v>19.612068965517253</v>
      </c>
      <c r="AF53">
        <f t="shared" si="119"/>
        <v>19.496021220159164</v>
      </c>
      <c r="AG53">
        <f t="shared" si="119"/>
        <v>19.379973474801073</v>
      </c>
      <c r="AH53">
        <f t="shared" si="119"/>
        <v>19.263925729442985</v>
      </c>
      <c r="AI53">
        <f t="shared" si="119"/>
        <v>19.147877984084893</v>
      </c>
      <c r="AJ53">
        <f t="shared" si="119"/>
        <v>19.031830238726805</v>
      </c>
      <c r="AK53">
        <f t="shared" si="119"/>
        <v>18.915782493368713</v>
      </c>
      <c r="AL53">
        <f t="shared" si="119"/>
        <v>18.799734748010621</v>
      </c>
      <c r="AM53">
        <f t="shared" si="119"/>
        <v>18.683687002652533</v>
      </c>
      <c r="AN53">
        <f t="shared" si="119"/>
        <v>18.567639257294442</v>
      </c>
    </row>
    <row r="54" spans="1:40" x14ac:dyDescent="0.3">
      <c r="A54" t="s">
        <v>1351</v>
      </c>
      <c r="B54">
        <f>EF!$P$7</f>
        <v>23.209549071618053</v>
      </c>
      <c r="C54">
        <f>$B$54-($B$54*C49)</f>
        <v>23.209549071618053</v>
      </c>
      <c r="D54">
        <f t="shared" ref="D54:AN54" si="120">$B$54-($B$54*D49)</f>
        <v>23.209549071618053</v>
      </c>
      <c r="E54">
        <f t="shared" si="120"/>
        <v>23.209549071618053</v>
      </c>
      <c r="F54">
        <f t="shared" si="120"/>
        <v>23.209549071618053</v>
      </c>
      <c r="G54">
        <f t="shared" si="120"/>
        <v>23.209549071618053</v>
      </c>
      <c r="H54">
        <f t="shared" si="120"/>
        <v>23.209549071618053</v>
      </c>
      <c r="I54">
        <f t="shared" si="120"/>
        <v>23.209549071618053</v>
      </c>
      <c r="J54">
        <f t="shared" si="120"/>
        <v>23.209549071618053</v>
      </c>
      <c r="K54">
        <f t="shared" si="120"/>
        <v>22.977453580901873</v>
      </c>
      <c r="L54">
        <f t="shared" si="120"/>
        <v>22.745358090185693</v>
      </c>
      <c r="M54">
        <f t="shared" si="120"/>
        <v>22.51326259946951</v>
      </c>
      <c r="N54">
        <f t="shared" si="120"/>
        <v>22.28116710875333</v>
      </c>
      <c r="O54">
        <f t="shared" si="120"/>
        <v>22.04907161803715</v>
      </c>
      <c r="P54">
        <f t="shared" si="120"/>
        <v>21.81697612732097</v>
      </c>
      <c r="Q54">
        <f t="shared" si="120"/>
        <v>21.58488063660479</v>
      </c>
      <c r="R54">
        <f t="shared" si="120"/>
        <v>21.35278514588861</v>
      </c>
      <c r="S54">
        <f t="shared" si="120"/>
        <v>21.120689655172427</v>
      </c>
      <c r="T54">
        <f t="shared" si="120"/>
        <v>20.888594164456247</v>
      </c>
      <c r="U54">
        <f t="shared" si="120"/>
        <v>20.772546419098155</v>
      </c>
      <c r="V54">
        <f t="shared" si="120"/>
        <v>20.656498673740067</v>
      </c>
      <c r="W54">
        <f t="shared" si="120"/>
        <v>20.540450928381976</v>
      </c>
      <c r="X54">
        <f t="shared" si="120"/>
        <v>20.424403183023887</v>
      </c>
      <c r="Y54">
        <f t="shared" si="120"/>
        <v>20.308355437665796</v>
      </c>
      <c r="Z54">
        <f t="shared" si="120"/>
        <v>20.192307692307704</v>
      </c>
      <c r="AA54">
        <f t="shared" si="120"/>
        <v>20.076259946949616</v>
      </c>
      <c r="AB54">
        <f t="shared" si="120"/>
        <v>19.960212201591524</v>
      </c>
      <c r="AC54">
        <f t="shared" si="120"/>
        <v>19.844164456233436</v>
      </c>
      <c r="AD54">
        <f t="shared" si="120"/>
        <v>19.728116710875344</v>
      </c>
      <c r="AE54">
        <f t="shared" si="120"/>
        <v>19.612068965517253</v>
      </c>
      <c r="AF54">
        <f t="shared" si="120"/>
        <v>19.496021220159164</v>
      </c>
      <c r="AG54">
        <f t="shared" si="120"/>
        <v>19.379973474801073</v>
      </c>
      <c r="AH54">
        <f t="shared" si="120"/>
        <v>19.263925729442985</v>
      </c>
      <c r="AI54">
        <f t="shared" si="120"/>
        <v>19.147877984084893</v>
      </c>
      <c r="AJ54">
        <f t="shared" si="120"/>
        <v>19.031830238726805</v>
      </c>
      <c r="AK54">
        <f t="shared" si="120"/>
        <v>18.915782493368713</v>
      </c>
      <c r="AL54">
        <f t="shared" si="120"/>
        <v>18.799734748010621</v>
      </c>
      <c r="AM54">
        <f t="shared" si="120"/>
        <v>18.683687002652533</v>
      </c>
      <c r="AN54">
        <f t="shared" si="120"/>
        <v>18.567639257294442</v>
      </c>
    </row>
    <row r="55" spans="1:40" x14ac:dyDescent="0.3">
      <c r="A55" t="s">
        <v>1026</v>
      </c>
      <c r="B55">
        <f>EF!$P$9</f>
        <v>9.9469496021220323</v>
      </c>
      <c r="C55">
        <f>$B$55-($B$55*C50)</f>
        <v>9.9469496021220323</v>
      </c>
      <c r="D55">
        <f t="shared" ref="D55:AN55" si="121">$B$55-($B$55*D50)</f>
        <v>9.9469496021220323</v>
      </c>
      <c r="E55">
        <f t="shared" si="121"/>
        <v>9.9469496021220323</v>
      </c>
      <c r="F55">
        <f t="shared" si="121"/>
        <v>9.9469496021220323</v>
      </c>
      <c r="G55">
        <f t="shared" si="121"/>
        <v>9.9469496021220323</v>
      </c>
      <c r="H55">
        <f t="shared" si="121"/>
        <v>9.9469496021220323</v>
      </c>
      <c r="I55">
        <f t="shared" si="121"/>
        <v>9.9469496021220323</v>
      </c>
      <c r="J55">
        <f t="shared" si="121"/>
        <v>9.9469496021220323</v>
      </c>
      <c r="K55">
        <f t="shared" si="121"/>
        <v>9.8474801061008126</v>
      </c>
      <c r="L55">
        <f t="shared" si="121"/>
        <v>9.7480106100795911</v>
      </c>
      <c r="M55">
        <f t="shared" si="121"/>
        <v>9.6485411140583714</v>
      </c>
      <c r="N55">
        <f t="shared" si="121"/>
        <v>9.5490716180371518</v>
      </c>
      <c r="O55">
        <f t="shared" si="121"/>
        <v>9.4496021220159303</v>
      </c>
      <c r="P55">
        <f t="shared" si="121"/>
        <v>9.3501326259947106</v>
      </c>
      <c r="Q55">
        <f t="shared" si="121"/>
        <v>9.2506631299734892</v>
      </c>
      <c r="R55">
        <f t="shared" si="121"/>
        <v>9.1511936339522695</v>
      </c>
      <c r="S55">
        <f t="shared" si="121"/>
        <v>9.0517241379310498</v>
      </c>
      <c r="T55">
        <f t="shared" si="121"/>
        <v>8.9522546419098283</v>
      </c>
      <c r="U55">
        <f t="shared" si="121"/>
        <v>8.9025198938992194</v>
      </c>
      <c r="V55">
        <f t="shared" si="121"/>
        <v>8.8527851458886087</v>
      </c>
      <c r="W55">
        <f t="shared" si="121"/>
        <v>8.8030503978779979</v>
      </c>
      <c r="X55">
        <f t="shared" si="121"/>
        <v>8.753315649867389</v>
      </c>
      <c r="Y55">
        <f t="shared" si="121"/>
        <v>8.7035809018567782</v>
      </c>
      <c r="Z55">
        <f t="shared" si="121"/>
        <v>8.6538461538461675</v>
      </c>
      <c r="AA55">
        <f t="shared" si="121"/>
        <v>8.6041114058355568</v>
      </c>
      <c r="AB55">
        <f t="shared" si="121"/>
        <v>8.5543766578249478</v>
      </c>
      <c r="AC55">
        <f t="shared" si="121"/>
        <v>8.5046419098143371</v>
      </c>
      <c r="AD55">
        <f t="shared" si="121"/>
        <v>8.4549071618037281</v>
      </c>
      <c r="AE55">
        <f t="shared" si="121"/>
        <v>8.4051724137931174</v>
      </c>
      <c r="AF55">
        <f t="shared" si="121"/>
        <v>8.3554376657825067</v>
      </c>
      <c r="AG55">
        <f t="shared" si="121"/>
        <v>8.305702917771896</v>
      </c>
      <c r="AH55">
        <f t="shared" si="121"/>
        <v>8.255968169761287</v>
      </c>
      <c r="AI55">
        <f t="shared" si="121"/>
        <v>8.2062334217506763</v>
      </c>
      <c r="AJ55">
        <f t="shared" si="121"/>
        <v>8.1564986737400655</v>
      </c>
      <c r="AK55">
        <f t="shared" si="121"/>
        <v>8.1067639257294566</v>
      </c>
      <c r="AL55">
        <f t="shared" si="121"/>
        <v>8.0570291777188459</v>
      </c>
      <c r="AM55">
        <f t="shared" si="121"/>
        <v>8.0072944297082351</v>
      </c>
      <c r="AN55">
        <f t="shared" si="121"/>
        <v>7.9575596816976262</v>
      </c>
    </row>
    <row r="56" spans="1:40" x14ac:dyDescent="0.3">
      <c r="A56" t="s">
        <v>1355</v>
      </c>
      <c r="B56">
        <f>B51*EF!$N$4*0.001*365</f>
        <v>122.4391286182849</v>
      </c>
      <c r="C56">
        <f>C51*EF!$N$4*0.001*365</f>
        <v>122.4391286182849</v>
      </c>
      <c r="D56">
        <f>D51*EF!$N$4*0.001*365</f>
        <v>122.4391286182849</v>
      </c>
      <c r="E56">
        <f>E51*EF!$N$4*0.001*365</f>
        <v>122.4391286182849</v>
      </c>
      <c r="F56">
        <f>F51*EF!$N$4*0.001*365</f>
        <v>122.4391286182849</v>
      </c>
      <c r="G56">
        <f>G51*EF!$N$4*0.001*365</f>
        <v>122.4391286182849</v>
      </c>
      <c r="H56">
        <f>H51*EF!$N$4*0.001*365</f>
        <v>122.4391286182849</v>
      </c>
      <c r="I56">
        <f>I51*EF!$N$4*0.001*365</f>
        <v>122.4391286182849</v>
      </c>
      <c r="J56">
        <f>J51*EF!$N$4*0.001*365</f>
        <v>122.4391286182849</v>
      </c>
      <c r="K56">
        <f>K51*EF!$N$4*0.001*365</f>
        <v>121.21473733210205</v>
      </c>
      <c r="L56">
        <f>L51*EF!$N$4*0.001*365</f>
        <v>119.99034604591918</v>
      </c>
      <c r="M56">
        <f>M51*EF!$N$4*0.001*365</f>
        <v>118.76595475973633</v>
      </c>
      <c r="N56">
        <f>N51*EF!$N$4*0.001*365</f>
        <v>117.5415634735535</v>
      </c>
      <c r="O56">
        <f>O51*EF!$N$4*0.001*365</f>
        <v>116.31717218737063</v>
      </c>
      <c r="P56">
        <f>P51*EF!$N$4*0.001*365</f>
        <v>115.09278090118779</v>
      </c>
      <c r="Q56">
        <f>Q51*EF!$N$4*0.001*365</f>
        <v>113.86838961500496</v>
      </c>
      <c r="R56">
        <f>R51*EF!$N$4*0.001*365</f>
        <v>112.64399832882208</v>
      </c>
      <c r="S56">
        <f>S51*EF!$N$4*0.001*365</f>
        <v>111.41960704263926</v>
      </c>
      <c r="T56">
        <f>T51*EF!$N$4*0.001*365</f>
        <v>110.19521575645642</v>
      </c>
      <c r="U56">
        <f>U51*EF!$N$4*0.001*365</f>
        <v>109.58302011336498</v>
      </c>
      <c r="V56">
        <f>V51*EF!$N$4*0.001*365</f>
        <v>108.97082447027353</v>
      </c>
      <c r="W56">
        <f>W51*EF!$N$4*0.001*365</f>
        <v>108.35862882718213</v>
      </c>
      <c r="X56">
        <f>X51*EF!$N$4*0.001*365</f>
        <v>107.74643318409069</v>
      </c>
      <c r="Y56">
        <f>Y51*EF!$N$4*0.001*365</f>
        <v>107.13423754099929</v>
      </c>
      <c r="Z56">
        <f>Z51*EF!$N$4*0.001*365</f>
        <v>106.52204189790785</v>
      </c>
      <c r="AA56">
        <f>AA51*EF!$N$4*0.001*365</f>
        <v>105.90984625481644</v>
      </c>
      <c r="AB56">
        <f>AB51*EF!$N$4*0.001*365</f>
        <v>105.29765061172498</v>
      </c>
      <c r="AC56">
        <f>AC51*EF!$N$4*0.001*365</f>
        <v>104.68545496863356</v>
      </c>
      <c r="AD56">
        <f>AD51*EF!$N$4*0.001*365</f>
        <v>104.07325932554215</v>
      </c>
      <c r="AE56">
        <f>AE51*EF!$N$4*0.001*365</f>
        <v>103.46106368245073</v>
      </c>
      <c r="AF56">
        <f>AF51*EF!$N$4*0.001*365</f>
        <v>102.84886803935932</v>
      </c>
      <c r="AG56">
        <f>AG51*EF!$N$4*0.001*365</f>
        <v>102.23667239626788</v>
      </c>
      <c r="AH56">
        <f>AH51*EF!$N$4*0.001*365</f>
        <v>101.62447675317648</v>
      </c>
      <c r="AI56">
        <f>AI51*EF!$N$4*0.001*365</f>
        <v>101.01228111008503</v>
      </c>
      <c r="AJ56">
        <f>AJ51*EF!$N$4*0.001*365</f>
        <v>100.40008546699359</v>
      </c>
      <c r="AK56">
        <f>AK51*EF!$N$4*0.001*365</f>
        <v>99.787889823902191</v>
      </c>
      <c r="AL56">
        <f>AL51*EF!$N$4*0.001*365</f>
        <v>99.175694180810751</v>
      </c>
      <c r="AM56">
        <f>AM51*EF!$N$4*0.001*365</f>
        <v>98.56349853771934</v>
      </c>
      <c r="AN56">
        <f>AN51*EF!$N$4*0.001*365</f>
        <v>97.951302894627915</v>
      </c>
    </row>
    <row r="57" spans="1:40" x14ac:dyDescent="0.3">
      <c r="A57" t="s">
        <v>1356</v>
      </c>
      <c r="B57">
        <f>B52*EF!$N$5*0.001*365</f>
        <v>118.18998173260263</v>
      </c>
      <c r="C57">
        <f>C52*EF!$N$5*0.001*365</f>
        <v>118.18998173260263</v>
      </c>
      <c r="D57">
        <f>D52*EF!$N$5*0.001*365</f>
        <v>118.18998173260263</v>
      </c>
      <c r="E57">
        <f>E52*EF!$N$5*0.001*365</f>
        <v>118.18998173260263</v>
      </c>
      <c r="F57">
        <f>F52*EF!$N$5*0.001*365</f>
        <v>118.18998173260263</v>
      </c>
      <c r="G57">
        <f>G52*EF!$N$5*0.001*365</f>
        <v>118.18998173260263</v>
      </c>
      <c r="H57">
        <f>H52*EF!$N$5*0.001*365</f>
        <v>118.18998173260263</v>
      </c>
      <c r="I57">
        <f>I52*EF!$N$5*0.001*365</f>
        <v>118.18998173260263</v>
      </c>
      <c r="J57">
        <f>J52*EF!$N$5*0.001*365</f>
        <v>118.18998173260263</v>
      </c>
      <c r="K57">
        <f>K52*EF!$N$5*0.001*365</f>
        <v>117.00808191527661</v>
      </c>
      <c r="L57">
        <f>L52*EF!$N$5*0.001*365</f>
        <v>115.82618209795059</v>
      </c>
      <c r="M57">
        <f>M52*EF!$N$5*0.001*365</f>
        <v>114.64428228062455</v>
      </c>
      <c r="N57">
        <f>N52*EF!$N$5*0.001*365</f>
        <v>113.46238246329854</v>
      </c>
      <c r="O57">
        <f>O52*EF!$N$5*0.001*365</f>
        <v>112.28048264597251</v>
      </c>
      <c r="P57">
        <f>P52*EF!$N$5*0.001*365</f>
        <v>111.09858282864649</v>
      </c>
      <c r="Q57">
        <f>Q52*EF!$N$5*0.001*365</f>
        <v>109.91668301132043</v>
      </c>
      <c r="R57">
        <f>R52*EF!$N$5*0.001*365</f>
        <v>108.73478319399443</v>
      </c>
      <c r="S57">
        <f>S52*EF!$N$5*0.001*365</f>
        <v>107.5528833766684</v>
      </c>
      <c r="T57">
        <f>T52*EF!$N$5*0.001*365</f>
        <v>106.37098355934235</v>
      </c>
      <c r="U57">
        <f>U52*EF!$N$5*0.001*365</f>
        <v>105.78003365067936</v>
      </c>
      <c r="V57">
        <f>V52*EF!$N$5*0.001*365</f>
        <v>105.18908374201635</v>
      </c>
      <c r="W57">
        <f>W52*EF!$N$5*0.001*365</f>
        <v>104.59813383335333</v>
      </c>
      <c r="X57">
        <f>X52*EF!$N$5*0.001*365</f>
        <v>104.00718392469032</v>
      </c>
      <c r="Y57">
        <f>Y52*EF!$N$5*0.001*365</f>
        <v>103.41623401602729</v>
      </c>
      <c r="Z57">
        <f>Z52*EF!$N$5*0.001*365</f>
        <v>102.8252841073643</v>
      </c>
      <c r="AA57">
        <f>AA52*EF!$N$5*0.001*365</f>
        <v>102.23433419870126</v>
      </c>
      <c r="AB57">
        <f>AB52*EF!$N$5*0.001*365</f>
        <v>101.64338429003824</v>
      </c>
      <c r="AC57">
        <f>AC52*EF!$N$5*0.001*365</f>
        <v>101.05243438137526</v>
      </c>
      <c r="AD57">
        <f>AD52*EF!$N$5*0.001*365</f>
        <v>100.46148447271224</v>
      </c>
      <c r="AE57">
        <f>AE52*EF!$N$5*0.001*365</f>
        <v>99.870534564049208</v>
      </c>
      <c r="AF57">
        <f>AF52*EF!$N$5*0.001*365</f>
        <v>99.279584655386216</v>
      </c>
      <c r="AG57">
        <f>AG52*EF!$N$5*0.001*365</f>
        <v>98.68863474672321</v>
      </c>
      <c r="AH57">
        <f>AH52*EF!$N$5*0.001*365</f>
        <v>98.097684838060161</v>
      </c>
      <c r="AI57">
        <f>AI52*EF!$N$5*0.001*365</f>
        <v>97.506734929397183</v>
      </c>
      <c r="AJ57">
        <f>AJ52*EF!$N$5*0.001*365</f>
        <v>96.915785020734177</v>
      </c>
      <c r="AK57">
        <f>AK52*EF!$N$5*0.001*365</f>
        <v>96.324835112071128</v>
      </c>
      <c r="AL57">
        <f>AL52*EF!$N$5*0.001*365</f>
        <v>95.733885203408136</v>
      </c>
      <c r="AM57">
        <f>AM52*EF!$N$5*0.001*365</f>
        <v>95.142935294745129</v>
      </c>
      <c r="AN57">
        <f>AN52*EF!$N$5*0.001*365</f>
        <v>94.551985386082094</v>
      </c>
    </row>
    <row r="58" spans="1:40" x14ac:dyDescent="0.3">
      <c r="A58" t="s">
        <v>1357</v>
      </c>
      <c r="B58">
        <f>B53*EF!$N$6*0.001*365</f>
        <v>43.047475384596716</v>
      </c>
      <c r="C58">
        <f>C53*EF!$N$6*0.001*365</f>
        <v>43.047475384596716</v>
      </c>
      <c r="D58">
        <f>D53*EF!$N$6*0.001*365</f>
        <v>43.047475384596716</v>
      </c>
      <c r="E58">
        <f>E53*EF!$N$6*0.001*365</f>
        <v>43.047475384596716</v>
      </c>
      <c r="F58">
        <f>F53*EF!$N$6*0.001*365</f>
        <v>43.047475384596716</v>
      </c>
      <c r="G58">
        <f>G53*EF!$N$6*0.001*365</f>
        <v>43.047475384596716</v>
      </c>
      <c r="H58">
        <f>H53*EF!$N$6*0.001*365</f>
        <v>43.047475384596716</v>
      </c>
      <c r="I58">
        <f>I53*EF!$N$6*0.001*365</f>
        <v>43.047475384596716</v>
      </c>
      <c r="J58">
        <f>J53*EF!$N$6*0.001*365</f>
        <v>43.047475384596716</v>
      </c>
      <c r="K58">
        <f>K53*EF!$N$6*0.001*365</f>
        <v>42.617000630750752</v>
      </c>
      <c r="L58">
        <f>L53*EF!$N$6*0.001*365</f>
        <v>42.186525876904781</v>
      </c>
      <c r="M58">
        <f>M53*EF!$N$6*0.001*365</f>
        <v>41.756051123058818</v>
      </c>
      <c r="N58">
        <f>N53*EF!$N$6*0.001*365</f>
        <v>41.325576369212847</v>
      </c>
      <c r="O58">
        <f>O53*EF!$N$6*0.001*365</f>
        <v>40.895101615366883</v>
      </c>
      <c r="P58">
        <f>P53*EF!$N$6*0.001*365</f>
        <v>40.464626861520912</v>
      </c>
      <c r="Q58">
        <f>Q53*EF!$N$6*0.001*365</f>
        <v>40.034152107674949</v>
      </c>
      <c r="R58">
        <f>R53*EF!$N$6*0.001*365</f>
        <v>39.603677353828978</v>
      </c>
      <c r="S58">
        <f>S53*EF!$N$6*0.001*365</f>
        <v>39.173202599983007</v>
      </c>
      <c r="T58">
        <f>T53*EF!$N$6*0.001*365</f>
        <v>38.742727846137043</v>
      </c>
      <c r="U58">
        <f>U53*EF!$N$6*0.001*365</f>
        <v>38.527490469214058</v>
      </c>
      <c r="V58">
        <f>V53*EF!$N$6*0.001*365</f>
        <v>38.312253092291073</v>
      </c>
      <c r="W58">
        <f>W53*EF!$N$6*0.001*365</f>
        <v>38.097015715368087</v>
      </c>
      <c r="X58">
        <f>X53*EF!$N$6*0.001*365</f>
        <v>37.881778338445109</v>
      </c>
      <c r="Y58">
        <f>Y53*EF!$N$6*0.001*365</f>
        <v>37.666540961522131</v>
      </c>
      <c r="Z58">
        <f>Z53*EF!$N$6*0.001*365</f>
        <v>37.451303584599138</v>
      </c>
      <c r="AA58">
        <f>AA53*EF!$N$6*0.001*365</f>
        <v>37.23606620767616</v>
      </c>
      <c r="AB58">
        <f>AB53*EF!$N$6*0.001*365</f>
        <v>37.020828830753175</v>
      </c>
      <c r="AC58">
        <f>AC53*EF!$N$6*0.001*365</f>
        <v>36.805591453830196</v>
      </c>
      <c r="AD58">
        <f>AD53*EF!$N$6*0.001*365</f>
        <v>36.590354076907204</v>
      </c>
      <c r="AE58">
        <f>AE53*EF!$N$6*0.001*365</f>
        <v>36.375116699984218</v>
      </c>
      <c r="AF58">
        <f>AF53*EF!$N$6*0.001*365</f>
        <v>36.15987932306124</v>
      </c>
      <c r="AG58">
        <f>AG53*EF!$N$6*0.001*365</f>
        <v>35.944641946138255</v>
      </c>
      <c r="AH58">
        <f>AH53*EF!$N$6*0.001*365</f>
        <v>35.729404569215276</v>
      </c>
      <c r="AI58">
        <f>AI53*EF!$N$6*0.001*365</f>
        <v>35.514167192292291</v>
      </c>
      <c r="AJ58">
        <f>AJ53*EF!$N$6*0.001*365</f>
        <v>35.298929815369313</v>
      </c>
      <c r="AK58">
        <f>AK53*EF!$N$6*0.001*365</f>
        <v>35.08369243844632</v>
      </c>
      <c r="AL58">
        <f>AL53*EF!$N$6*0.001*365</f>
        <v>34.868455061523335</v>
      </c>
      <c r="AM58">
        <f>AM53*EF!$N$6*0.001*365</f>
        <v>34.653217684600357</v>
      </c>
      <c r="AN58">
        <f>AN53*EF!$N$6*0.001*365</f>
        <v>34.437980307677371</v>
      </c>
    </row>
    <row r="59" spans="1:40" x14ac:dyDescent="0.3">
      <c r="A59" t="s">
        <v>1358</v>
      </c>
      <c r="B59">
        <f>B54*EF!$N$7*0.001*365</f>
        <v>77.791201624701472</v>
      </c>
      <c r="C59">
        <f>C54*EF!$N$7*0.001*365</f>
        <v>77.791201624701472</v>
      </c>
      <c r="D59">
        <f>D54*EF!$N$7*0.001*365</f>
        <v>77.791201624701472</v>
      </c>
      <c r="E59">
        <f>E54*EF!$N$7*0.001*365</f>
        <v>77.791201624701472</v>
      </c>
      <c r="F59">
        <f>F54*EF!$N$7*0.001*365</f>
        <v>77.791201624701472</v>
      </c>
      <c r="G59">
        <f>G54*EF!$N$7*0.001*365</f>
        <v>77.791201624701472</v>
      </c>
      <c r="H59">
        <f>H54*EF!$N$7*0.001*365</f>
        <v>77.791201624701472</v>
      </c>
      <c r="I59">
        <f>I54*EF!$N$7*0.001*365</f>
        <v>77.791201624701472</v>
      </c>
      <c r="J59">
        <f>J54*EF!$N$7*0.001*365</f>
        <v>77.791201624701472</v>
      </c>
      <c r="K59">
        <f>K54*EF!$N$7*0.001*365</f>
        <v>77.013289608454457</v>
      </c>
      <c r="L59">
        <f>L54*EF!$N$7*0.001*365</f>
        <v>76.235377592207456</v>
      </c>
      <c r="M59">
        <f>M54*EF!$N$7*0.001*365</f>
        <v>75.457465575960427</v>
      </c>
      <c r="N59">
        <f>N54*EF!$N$7*0.001*365</f>
        <v>74.679553559713412</v>
      </c>
      <c r="O59">
        <f>O54*EF!$N$7*0.001*365</f>
        <v>73.901641543466397</v>
      </c>
      <c r="P59">
        <f>P54*EF!$N$7*0.001*365</f>
        <v>73.123729527219396</v>
      </c>
      <c r="Q59">
        <f>Q54*EF!$N$7*0.001*365</f>
        <v>72.345817510972367</v>
      </c>
      <c r="R59">
        <f>R54*EF!$N$7*0.001*365</f>
        <v>71.567905494725366</v>
      </c>
      <c r="S59">
        <f>S54*EF!$N$7*0.001*365</f>
        <v>70.789993478478337</v>
      </c>
      <c r="T59">
        <f>T54*EF!$N$7*0.001*365</f>
        <v>70.012081462231322</v>
      </c>
      <c r="U59">
        <f>U54*EF!$N$7*0.001*365</f>
        <v>69.623125454107821</v>
      </c>
      <c r="V59">
        <f>V54*EF!$N$7*0.001*365</f>
        <v>69.234169445984321</v>
      </c>
      <c r="W59">
        <f>W54*EF!$N$7*0.001*365</f>
        <v>68.845213437860792</v>
      </c>
      <c r="X59">
        <f>X54*EF!$N$7*0.001*365</f>
        <v>68.456257429737292</v>
      </c>
      <c r="Y59">
        <f>Y54*EF!$N$7*0.001*365</f>
        <v>68.067301421613791</v>
      </c>
      <c r="Z59">
        <f>Z54*EF!$N$7*0.001*365</f>
        <v>67.678345413490277</v>
      </c>
      <c r="AA59">
        <f>AA54*EF!$N$7*0.001*365</f>
        <v>67.289389405366776</v>
      </c>
      <c r="AB59">
        <f>AB54*EF!$N$7*0.001*365</f>
        <v>66.900433397243262</v>
      </c>
      <c r="AC59">
        <f>AC54*EF!$N$7*0.001*365</f>
        <v>66.511477389119761</v>
      </c>
      <c r="AD59">
        <f>AD54*EF!$N$7*0.001*365</f>
        <v>66.122521380996247</v>
      </c>
      <c r="AE59">
        <f>AE54*EF!$N$7*0.001*365</f>
        <v>65.733565372872746</v>
      </c>
      <c r="AF59">
        <f>AF54*EF!$N$7*0.001*365</f>
        <v>65.344609364749246</v>
      </c>
      <c r="AG59">
        <f>AG54*EF!$N$7*0.001*365</f>
        <v>64.955653356625717</v>
      </c>
      <c r="AH59">
        <f>AH54*EF!$N$7*0.001*365</f>
        <v>64.566697348502217</v>
      </c>
      <c r="AI59">
        <f>AI54*EF!$N$7*0.001*365</f>
        <v>64.177741340378716</v>
      </c>
      <c r="AJ59">
        <f>AJ54*EF!$N$7*0.001*365</f>
        <v>63.788785332255223</v>
      </c>
      <c r="AK59">
        <f>AK54*EF!$N$7*0.001*365</f>
        <v>63.399829324131701</v>
      </c>
      <c r="AL59">
        <f>AL54*EF!$N$7*0.001*365</f>
        <v>63.010873316008194</v>
      </c>
      <c r="AM59">
        <f>AM54*EF!$N$7*0.001*365</f>
        <v>62.621917307884694</v>
      </c>
      <c r="AN59">
        <f>AN54*EF!$N$7*0.001*365</f>
        <v>62.232961299761172</v>
      </c>
    </row>
    <row r="60" spans="1:40" x14ac:dyDescent="0.3">
      <c r="A60" t="s">
        <v>1359</v>
      </c>
      <c r="B60">
        <f>B55*EF!$N$9*0.001*365</f>
        <v>58.900292120047261</v>
      </c>
      <c r="C60">
        <f>C55*EF!$N$9*0.001*365</f>
        <v>58.900292120047261</v>
      </c>
      <c r="D60">
        <f>D55*EF!$N$9*0.001*365</f>
        <v>58.900292120047261</v>
      </c>
      <c r="E60">
        <f>E55*EF!$N$9*0.001*365</f>
        <v>58.900292120047261</v>
      </c>
      <c r="F60">
        <f>F55*EF!$N$9*0.001*365</f>
        <v>58.900292120047261</v>
      </c>
      <c r="G60">
        <f>G55*EF!$N$9*0.001*365</f>
        <v>58.900292120047261</v>
      </c>
      <c r="H60">
        <f>H55*EF!$N$9*0.001*365</f>
        <v>58.900292120047261</v>
      </c>
      <c r="I60">
        <f>I55*EF!$N$9*0.001*365</f>
        <v>58.900292120047261</v>
      </c>
      <c r="J60">
        <f>J55*EF!$N$9*0.001*365</f>
        <v>58.900292120047261</v>
      </c>
      <c r="K60">
        <f>K55*EF!$N$9*0.001*365</f>
        <v>58.311289198846787</v>
      </c>
      <c r="L60">
        <f>L55*EF!$N$9*0.001*365</f>
        <v>57.722286277646319</v>
      </c>
      <c r="M60">
        <f>M55*EF!$N$9*0.001*365</f>
        <v>57.133283356445851</v>
      </c>
      <c r="N60">
        <f>N55*EF!$N$9*0.001*365</f>
        <v>56.544280435245383</v>
      </c>
      <c r="O60">
        <f>O55*EF!$N$9*0.001*365</f>
        <v>55.955277514044894</v>
      </c>
      <c r="P60">
        <f>P55*EF!$N$9*0.001*365</f>
        <v>55.36627459284442</v>
      </c>
      <c r="Q60">
        <f>Q55*EF!$N$9*0.001*365</f>
        <v>54.777271671643952</v>
      </c>
      <c r="R60">
        <f>R55*EF!$N$9*0.001*365</f>
        <v>54.188268750443484</v>
      </c>
      <c r="S60">
        <f>S55*EF!$N$9*0.001*365</f>
        <v>53.599265829243016</v>
      </c>
      <c r="T60">
        <f>T55*EF!$N$9*0.001*365</f>
        <v>53.010262908042527</v>
      </c>
      <c r="U60">
        <f>U55*EF!$N$9*0.001*365</f>
        <v>52.715761447442297</v>
      </c>
      <c r="V60">
        <f>V55*EF!$N$9*0.001*365</f>
        <v>52.421259986842067</v>
      </c>
      <c r="W60">
        <f>W55*EF!$N$9*0.001*365</f>
        <v>52.126758526241829</v>
      </c>
      <c r="X60">
        <f>X55*EF!$N$9*0.001*365</f>
        <v>51.832257065641599</v>
      </c>
      <c r="Y60">
        <f>Y55*EF!$N$9*0.001*365</f>
        <v>51.537755605041355</v>
      </c>
      <c r="Z60">
        <f>Z55*EF!$N$9*0.001*365</f>
        <v>51.243254144441117</v>
      </c>
      <c r="AA60">
        <f>AA55*EF!$N$9*0.001*365</f>
        <v>50.94875268384088</v>
      </c>
      <c r="AB60">
        <f>AB55*EF!$N$9*0.001*365</f>
        <v>50.654251223240649</v>
      </c>
      <c r="AC60">
        <f>AC55*EF!$N$9*0.001*365</f>
        <v>50.359749762640398</v>
      </c>
      <c r="AD60">
        <f>AD55*EF!$N$9*0.001*365</f>
        <v>50.065248302040182</v>
      </c>
      <c r="AE60">
        <f>AE55*EF!$N$9*0.001*365</f>
        <v>49.770746841439937</v>
      </c>
      <c r="AF60">
        <f>AF55*EF!$N$9*0.001*365</f>
        <v>49.4762453808397</v>
      </c>
      <c r="AG60">
        <f>AG55*EF!$N$9*0.001*365</f>
        <v>49.181743920239462</v>
      </c>
      <c r="AH60">
        <f>AH55*EF!$N$9*0.001*365</f>
        <v>48.887242459639232</v>
      </c>
      <c r="AI60">
        <f>AI55*EF!$N$9*0.001*365</f>
        <v>48.592740999038988</v>
      </c>
      <c r="AJ60">
        <f>AJ55*EF!$N$9*0.001*365</f>
        <v>48.29823953843875</v>
      </c>
      <c r="AK60">
        <f>AK55*EF!$N$9*0.001*365</f>
        <v>48.00373807783852</v>
      </c>
      <c r="AL60">
        <f>AL55*EF!$N$9*0.001*365</f>
        <v>47.709236617238282</v>
      </c>
      <c r="AM60">
        <f>AM55*EF!$N$9*0.001*365</f>
        <v>47.414735156638045</v>
      </c>
      <c r="AN60">
        <f>AN55*EF!$N$9*0.001*365</f>
        <v>47.120233696037815</v>
      </c>
    </row>
    <row r="61" spans="1:40" x14ac:dyDescent="0.3">
      <c r="A61" t="s">
        <v>1110</v>
      </c>
      <c r="B61">
        <f>'Net zero activities &amp; levers'!$C37/100</f>
        <v>0</v>
      </c>
      <c r="C61">
        <f>B61</f>
        <v>0</v>
      </c>
      <c r="D61">
        <f t="shared" ref="D61:J61" si="122">C61</f>
        <v>0</v>
      </c>
      <c r="E61">
        <f t="shared" si="122"/>
        <v>0</v>
      </c>
      <c r="F61">
        <f t="shared" si="122"/>
        <v>0</v>
      </c>
      <c r="G61">
        <f t="shared" si="122"/>
        <v>0</v>
      </c>
      <c r="H61">
        <f t="shared" si="122"/>
        <v>0</v>
      </c>
      <c r="I61">
        <f t="shared" si="122"/>
        <v>0</v>
      </c>
      <c r="J61">
        <f t="shared" si="122"/>
        <v>0</v>
      </c>
      <c r="K61">
        <f t="shared" ref="K61:K62" si="123">J61+($T61-$J61)/10</f>
        <v>2E-3</v>
      </c>
      <c r="L61">
        <f t="shared" ref="L61:L62" si="124">K61+($T61-$J61)/10</f>
        <v>4.0000000000000001E-3</v>
      </c>
      <c r="M61">
        <f t="shared" ref="M61:M62" si="125">L61+($T61-$J61)/10</f>
        <v>6.0000000000000001E-3</v>
      </c>
      <c r="N61">
        <f t="shared" ref="N61:N62" si="126">M61+($T61-$J61)/10</f>
        <v>8.0000000000000002E-3</v>
      </c>
      <c r="O61">
        <f t="shared" ref="O61:O62" si="127">N61+($T61-$J61)/10</f>
        <v>0.01</v>
      </c>
      <c r="P61">
        <f t="shared" ref="P61:P62" si="128">O61+($T61-$J61)/10</f>
        <v>1.2E-2</v>
      </c>
      <c r="Q61">
        <f t="shared" ref="Q61:Q62" si="129">P61+($T61-$J61)/10</f>
        <v>1.4E-2</v>
      </c>
      <c r="R61">
        <f t="shared" ref="R61:R62" si="130">Q61+($T61-$J61)/10</f>
        <v>1.6E-2</v>
      </c>
      <c r="S61">
        <f t="shared" ref="S61:S62" si="131">R61+($T61-$J61)/10</f>
        <v>1.8000000000000002E-2</v>
      </c>
      <c r="T61">
        <f>'Net zero activities &amp; levers'!$D37/100</f>
        <v>0.02</v>
      </c>
      <c r="U61">
        <f t="shared" ref="U61:U62" si="132">T61+($AD61-$T61)/10</f>
        <v>2.1500000000000002E-2</v>
      </c>
      <c r="V61">
        <f t="shared" ref="V61:V62" si="133">U61+($AD61-$T61)/10</f>
        <v>2.3000000000000003E-2</v>
      </c>
      <c r="W61">
        <f t="shared" ref="W61:W62" si="134">V61+($AD61-$T61)/10</f>
        <v>2.4500000000000004E-2</v>
      </c>
      <c r="X61">
        <f t="shared" ref="X61:X62" si="135">W61+($AD61-$T61)/10</f>
        <v>2.6000000000000006E-2</v>
      </c>
      <c r="Y61">
        <f t="shared" ref="Y61:Y62" si="136">X61+($AD61-$T61)/10</f>
        <v>2.7500000000000007E-2</v>
      </c>
      <c r="Z61">
        <f t="shared" ref="Z61:Z62" si="137">Y61+($AD61-$T61)/10</f>
        <v>2.9000000000000008E-2</v>
      </c>
      <c r="AA61">
        <f t="shared" ref="AA61:AA62" si="138">Z61+($AD61-$T61)/10</f>
        <v>3.050000000000001E-2</v>
      </c>
      <c r="AB61">
        <f t="shared" ref="AB61:AB62" si="139">AA61+($AD61-$T61)/10</f>
        <v>3.2000000000000008E-2</v>
      </c>
      <c r="AC61">
        <f t="shared" ref="AC61:AC62" si="140">AB61+($AD61-$T61)/10</f>
        <v>3.3500000000000009E-2</v>
      </c>
      <c r="AD61">
        <f>'Net zero activities &amp; levers'!$E37/100</f>
        <v>3.5000000000000003E-2</v>
      </c>
      <c r="AE61">
        <f t="shared" ref="AE61:AE62" si="141">AD61+($AN61-$AD61)/10</f>
        <v>3.6500000000000005E-2</v>
      </c>
      <c r="AF61">
        <f t="shared" ref="AF61:AF62" si="142">AE61+($AN61-$AD61)/10</f>
        <v>3.8000000000000006E-2</v>
      </c>
      <c r="AG61">
        <f t="shared" ref="AG61:AG62" si="143">AF61+($AN61-$AD61)/10</f>
        <v>3.9500000000000007E-2</v>
      </c>
      <c r="AH61">
        <f t="shared" ref="AH61:AH62" si="144">AG61+($AN61-$AD61)/10</f>
        <v>4.1000000000000009E-2</v>
      </c>
      <c r="AI61">
        <f t="shared" ref="AI61:AI62" si="145">AH61+($AN61-$AD61)/10</f>
        <v>4.250000000000001E-2</v>
      </c>
      <c r="AJ61">
        <f t="shared" ref="AJ61:AJ62" si="146">AI61+($AN61-$AD61)/10</f>
        <v>4.4000000000000011E-2</v>
      </c>
      <c r="AK61">
        <f t="shared" ref="AK61:AK62" si="147">AJ61+($AN61-$AD61)/10</f>
        <v>4.5500000000000013E-2</v>
      </c>
      <c r="AL61">
        <f t="shared" ref="AL61:AL62" si="148">AK61+($AN61-$AD61)/10</f>
        <v>4.7000000000000014E-2</v>
      </c>
      <c r="AM61">
        <f t="shared" ref="AM61:AM62" si="149">AL61+($AN61-$AD61)/10</f>
        <v>4.8500000000000015E-2</v>
      </c>
      <c r="AN61">
        <f>'Net zero activities &amp; levers'!$F37/100</f>
        <v>0.05</v>
      </c>
    </row>
    <row r="62" spans="1:40" x14ac:dyDescent="0.3">
      <c r="A62" t="s">
        <v>1361</v>
      </c>
      <c r="B62">
        <f>'Net zero activities &amp; levers'!$C38/100</f>
        <v>0</v>
      </c>
      <c r="C62">
        <f>B62</f>
        <v>0</v>
      </c>
      <c r="D62">
        <f t="shared" ref="D62:J62" si="150">C62</f>
        <v>0</v>
      </c>
      <c r="E62">
        <f t="shared" si="150"/>
        <v>0</v>
      </c>
      <c r="F62">
        <f t="shared" si="150"/>
        <v>0</v>
      </c>
      <c r="G62">
        <f t="shared" si="150"/>
        <v>0</v>
      </c>
      <c r="H62">
        <f t="shared" si="150"/>
        <v>0</v>
      </c>
      <c r="I62">
        <f t="shared" si="150"/>
        <v>0</v>
      </c>
      <c r="J62">
        <f t="shared" si="150"/>
        <v>0</v>
      </c>
      <c r="K62">
        <f t="shared" si="123"/>
        <v>2E-3</v>
      </c>
      <c r="L62">
        <f t="shared" si="124"/>
        <v>4.0000000000000001E-3</v>
      </c>
      <c r="M62">
        <f t="shared" si="125"/>
        <v>6.0000000000000001E-3</v>
      </c>
      <c r="N62">
        <f t="shared" si="126"/>
        <v>8.0000000000000002E-3</v>
      </c>
      <c r="O62">
        <f t="shared" si="127"/>
        <v>0.01</v>
      </c>
      <c r="P62">
        <f t="shared" si="128"/>
        <v>1.2E-2</v>
      </c>
      <c r="Q62">
        <f t="shared" si="129"/>
        <v>1.4E-2</v>
      </c>
      <c r="R62">
        <f t="shared" si="130"/>
        <v>1.6E-2</v>
      </c>
      <c r="S62">
        <f t="shared" si="131"/>
        <v>1.8000000000000002E-2</v>
      </c>
      <c r="T62">
        <f>'Net zero activities &amp; levers'!$D38/100</f>
        <v>0.02</v>
      </c>
      <c r="U62">
        <f t="shared" si="132"/>
        <v>2.1500000000000002E-2</v>
      </c>
      <c r="V62">
        <f t="shared" si="133"/>
        <v>2.3000000000000003E-2</v>
      </c>
      <c r="W62">
        <f t="shared" si="134"/>
        <v>2.4500000000000004E-2</v>
      </c>
      <c r="X62">
        <f t="shared" si="135"/>
        <v>2.6000000000000006E-2</v>
      </c>
      <c r="Y62">
        <f t="shared" si="136"/>
        <v>2.7500000000000007E-2</v>
      </c>
      <c r="Z62">
        <f t="shared" si="137"/>
        <v>2.9000000000000008E-2</v>
      </c>
      <c r="AA62">
        <f t="shared" si="138"/>
        <v>3.050000000000001E-2</v>
      </c>
      <c r="AB62">
        <f t="shared" si="139"/>
        <v>3.2000000000000008E-2</v>
      </c>
      <c r="AC62">
        <f t="shared" si="140"/>
        <v>3.3500000000000009E-2</v>
      </c>
      <c r="AD62">
        <f>'Net zero activities &amp; levers'!$E38/100</f>
        <v>3.5000000000000003E-2</v>
      </c>
      <c r="AE62">
        <f t="shared" si="141"/>
        <v>3.6500000000000005E-2</v>
      </c>
      <c r="AF62">
        <f t="shared" si="142"/>
        <v>3.8000000000000006E-2</v>
      </c>
      <c r="AG62">
        <f t="shared" si="143"/>
        <v>3.9500000000000007E-2</v>
      </c>
      <c r="AH62">
        <f t="shared" si="144"/>
        <v>4.1000000000000009E-2</v>
      </c>
      <c r="AI62">
        <f t="shared" si="145"/>
        <v>4.250000000000001E-2</v>
      </c>
      <c r="AJ62">
        <f t="shared" si="146"/>
        <v>4.4000000000000011E-2</v>
      </c>
      <c r="AK62">
        <f t="shared" si="147"/>
        <v>4.5500000000000013E-2</v>
      </c>
      <c r="AL62">
        <f t="shared" si="148"/>
        <v>4.7000000000000014E-2</v>
      </c>
      <c r="AM62">
        <f t="shared" si="149"/>
        <v>4.8500000000000015E-2</v>
      </c>
      <c r="AN62">
        <f>'Net zero activities &amp; levers'!$F38/100</f>
        <v>0.05</v>
      </c>
    </row>
    <row r="63" spans="1:40" x14ac:dyDescent="0.3">
      <c r="A63" t="s">
        <v>840</v>
      </c>
      <c r="B63">
        <f>'Intermediate calculations'!Y16-('Intermediate calculations'!Y16*B61)</f>
        <v>0.59036032260533733</v>
      </c>
      <c r="C63">
        <f>'Intermediate calculations'!Z16-('Intermediate calculations'!Z16*C61)</f>
        <v>0.58537997662592556</v>
      </c>
      <c r="D63">
        <f>'Intermediate calculations'!AA16-('Intermediate calculations'!AA16*D61)</f>
        <v>0.58070166069623075</v>
      </c>
      <c r="E63">
        <f>'Intermediate calculations'!AB16-('Intermediate calculations'!AB16*E61)</f>
        <v>0.57629082711126922</v>
      </c>
      <c r="F63">
        <f>'Intermediate calculations'!AC16-('Intermediate calculations'!AC16*F61)</f>
        <v>0.57211853646492172</v>
      </c>
      <c r="G63">
        <f>'Intermediate calculations'!AD16-('Intermediate calculations'!AD16*G61)</f>
        <v>0.56816030581489985</v>
      </c>
      <c r="H63">
        <f>'Intermediate calculations'!AE16-('Intermediate calculations'!AE16*H61)</f>
        <v>0.56439523816734538</v>
      </c>
      <c r="I63">
        <f>'Intermediate calculations'!AF16-('Intermediate calculations'!AF16*I61)</f>
        <v>0.56080535465675874</v>
      </c>
      <c r="J63">
        <f>'Intermediate calculations'!AG16-('Intermediate calculations'!AG16*J61)</f>
        <v>0.5573750752965374</v>
      </c>
      <c r="K63">
        <f>'Intermediate calculations'!AH16-('Intermediate calculations'!AH16*K61)</f>
        <v>0.5529826287001901</v>
      </c>
      <c r="L63">
        <f>'Intermediate calculations'!AI16-('Intermediate calculations'!AI16*L61)</f>
        <v>0.5487368724638586</v>
      </c>
      <c r="M63">
        <f>'Intermediate calculations'!AJ16-('Intermediate calculations'!AJ16*M61)</f>
        <v>0.5446265441251249</v>
      </c>
      <c r="N63">
        <f>'Intermediate calculations'!AK16-('Intermediate calculations'!AK16*N61)</f>
        <v>0.54064164751972599</v>
      </c>
      <c r="O63">
        <f>'Intermediate calculations'!AL16-('Intermediate calculations'!AL16*O61)</f>
        <v>0.53677326916313883</v>
      </c>
      <c r="P63">
        <f>'Intermediate calculations'!AM16-('Intermediate calculations'!AM16*P61)</f>
        <v>0.53301342679603991</v>
      </c>
      <c r="Q63">
        <f>'Intermediate calculations'!AN16-('Intermediate calculations'!AN16*Q61)</f>
        <v>0.52935494355666879</v>
      </c>
      <c r="R63">
        <f>'Intermediate calculations'!AO16-('Intermediate calculations'!AO16*R61)</f>
        <v>0.52579134274303252</v>
      </c>
      <c r="S63">
        <f>'Intermediate calculations'!AP16-('Intermediate calculations'!AP16*S61)</f>
        <v>0.52231675924684706</v>
      </c>
      <c r="T63">
        <f>'Intermediate calculations'!AQ16-('Intermediate calculations'!AQ16*T61)</f>
        <v>0.51892586458463175</v>
      </c>
      <c r="U63">
        <f>'Intermediate calculations'!AR16-('Intermediate calculations'!AR16*U61)</f>
        <v>0.51587740933228432</v>
      </c>
      <c r="V63">
        <f>'Intermediate calculations'!AS16-('Intermediate calculations'!AS16*V61)</f>
        <v>0.51290111290286688</v>
      </c>
      <c r="W63">
        <f>'Intermediate calculations'!AT16-('Intermediate calculations'!AT16*W61)</f>
        <v>0.50999300373735235</v>
      </c>
      <c r="X63">
        <f>'Intermediate calculations'!AU16-('Intermediate calculations'!AU16*X61)</f>
        <v>0.5071494341995284</v>
      </c>
      <c r="Y63">
        <f>'Intermediate calculations'!AV16-('Intermediate calculations'!AV16*Y61)</f>
        <v>0.50436704615173222</v>
      </c>
      <c r="Z63">
        <f>'Intermediate calculations'!AW16-('Intermediate calculations'!AW16*Z61)</f>
        <v>0.50164274099209616</v>
      </c>
      <c r="AA63">
        <f>'Intermediate calculations'!AX16-('Intermediate calculations'!AX16*AA61)</f>
        <v>0.49897365347642769</v>
      </c>
      <c r="AB63">
        <f>'Intermediate calculations'!AY16-('Intermediate calculations'!AY16*AB61)</f>
        <v>0.49635712876474869</v>
      </c>
      <c r="AC63">
        <f>'Intermediate calculations'!AZ16-('Intermediate calculations'!AZ16*AC61)</f>
        <v>0.4937907022269083</v>
      </c>
      <c r="AD63">
        <f>'Intermediate calculations'!BA16-('Intermediate calculations'!BA16*AD61)</f>
        <v>0.49127208161829822</v>
      </c>
      <c r="AE63">
        <f>'Intermediate calculations'!BB16-('Intermediate calculations'!BB16*AE61)</f>
        <v>0.48879913129924263</v>
      </c>
      <c r="AF63">
        <f>'Intermediate calculations'!BC16-('Intermediate calculations'!BC16*AF61)</f>
        <v>0.48636985822293316</v>
      </c>
      <c r="AG63">
        <f>'Intermediate calculations'!BD16-('Intermediate calculations'!BD16*AG61)</f>
        <v>0.48398239945906635</v>
      </c>
      <c r="AH63">
        <f>'Intermediate calculations'!BE16-('Intermediate calculations'!BE16*AH61)</f>
        <v>0.48163501105535744</v>
      </c>
      <c r="AI63">
        <f>'Intermediate calculations'!BF16-('Intermediate calculations'!BF16*AI61)</f>
        <v>0.47932605806822493</v>
      </c>
      <c r="AJ63">
        <f>'Intermediate calculations'!BG16-('Intermediate calculations'!BG16*AJ61)</f>
        <v>0.47705400561826306</v>
      </c>
      <c r="AK63">
        <f>'Intermediate calculations'!BH16-('Intermediate calculations'!BH16*AK61)</f>
        <v>0.47481741084651313</v>
      </c>
      <c r="AL63">
        <f>'Intermediate calculations'!BI16-('Intermediate calculations'!BI16*AL61)</f>
        <v>0.47261491566471203</v>
      </c>
      <c r="AM63">
        <f>'Intermediate calculations'!BJ16-('Intermediate calculations'!BJ16*AM61)</f>
        <v>0.47044524020719375</v>
      </c>
      <c r="AN63">
        <f>'Intermediate calculations'!BK16-('Intermediate calculations'!BK16*AN61)</f>
        <v>0.4683071769044167</v>
      </c>
    </row>
    <row r="64" spans="1:40" x14ac:dyDescent="0.3">
      <c r="A64" t="s">
        <v>1363</v>
      </c>
      <c r="B64">
        <f>'Intermediate calculations'!Y11-('Intermediate calculations'!Y11*B62)</f>
        <v>40.711692719818267</v>
      </c>
      <c r="C64">
        <f>'Intermediate calculations'!Z11-('Intermediate calculations'!Z11*C62)</f>
        <v>39.98751157220714</v>
      </c>
      <c r="D64">
        <f>'Intermediate calculations'!AA11-('Intermediate calculations'!AA11*D62)</f>
        <v>39.307247949386728</v>
      </c>
      <c r="E64">
        <f>'Intermediate calculations'!AB11-('Intermediate calculations'!AB11*E62)</f>
        <v>38.665878345611468</v>
      </c>
      <c r="F64">
        <f>'Intermediate calculations'!AC11-('Intermediate calculations'!AC11*F62)</f>
        <v>38.059194745530348</v>
      </c>
      <c r="G64">
        <f>'Intermediate calculations'!AD11-('Intermediate calculations'!AD11*G62)</f>
        <v>37.483637138389781</v>
      </c>
      <c r="H64">
        <f>'Intermediate calculations'!AE11-('Intermediate calculations'!AE11*H62)</f>
        <v>36.936166938305114</v>
      </c>
      <c r="I64">
        <f>'Intermediate calculations'!AF11-('Intermediate calculations'!AF11*I62)</f>
        <v>36.414169878013752</v>
      </c>
      <c r="J64">
        <f>'Intermediate calculations'!AG11-('Intermediate calculations'!AG11*J62)</f>
        <v>35.915380505953856</v>
      </c>
      <c r="K64">
        <f>'Intermediate calculations'!AH11-('Intermediate calculations'!AH11*K62)</f>
        <v>35.366947118654608</v>
      </c>
      <c r="L64">
        <f>'Intermediate calculations'!AI11-('Intermediate calculations'!AI11*L62)</f>
        <v>34.839843653754123</v>
      </c>
      <c r="M64">
        <f>'Intermediate calculations'!AJ11-('Intermediate calculations'!AJ11*M62)</f>
        <v>34.332432461379753</v>
      </c>
      <c r="N64">
        <f>'Intermediate calculations'!AK11-('Intermediate calculations'!AK11*N62)</f>
        <v>33.843260021286596</v>
      </c>
      <c r="O64">
        <f>'Intermediate calculations'!AL11-('Intermediate calculations'!AL11*O62)</f>
        <v>33.371030243307864</v>
      </c>
      <c r="P64">
        <f>'Intermediate calculations'!AM11-('Intermediate calculations'!AM11*P62)</f>
        <v>32.914582444683504</v>
      </c>
      <c r="Q64">
        <f>'Intermediate calculations'!AN11-('Intermediate calculations'!AN11*Q62)</f>
        <v>32.4728730537405</v>
      </c>
      <c r="R64">
        <f>'Intermediate calculations'!AO11-('Intermediate calculations'!AO11*R62)</f>
        <v>32.044960307496652</v>
      </c>
      <c r="S64">
        <f>'Intermediate calculations'!AP11-('Intermediate calculations'!AP11*S62)</f>
        <v>31.629991373464911</v>
      </c>
      <c r="T64">
        <f>'Intermediate calculations'!AQ11-('Intermediate calculations'!AQ11*T62)</f>
        <v>31.227191448589796</v>
      </c>
      <c r="U64">
        <f>'Intermediate calculations'!AR11-('Intermediate calculations'!AR11*U62)</f>
        <v>30.851619233395489</v>
      </c>
      <c r="V64">
        <f>'Intermediate calculations'!AS11-('Intermediate calculations'!AS11*V62)</f>
        <v>30.486539473828905</v>
      </c>
      <c r="W64">
        <f>'Intermediate calculations'!AT11-('Intermediate calculations'!AT11*W62)</f>
        <v>30.131374674232919</v>
      </c>
      <c r="X64">
        <f>'Intermediate calculations'!AU11-('Intermediate calculations'!AU11*X62)</f>
        <v>29.785594439854027</v>
      </c>
      <c r="Y64">
        <f>'Intermediate calculations'!AV11-('Intermediate calculations'!AV11*Y62)</f>
        <v>29.448710471285562</v>
      </c>
      <c r="Z64">
        <f>'Intermediate calculations'!AW11-('Intermediate calculations'!AW11*Z62)</f>
        <v>29.120272207649723</v>
      </c>
      <c r="AA64">
        <f>'Intermediate calculations'!AX11-('Intermediate calculations'!AX11*AA62)</f>
        <v>28.799863020094548</v>
      </c>
      <c r="AB64">
        <f>'Intermediate calculations'!AY11-('Intermediate calculations'!AY11*AB62)</f>
        <v>28.487096874181884</v>
      </c>
      <c r="AC64">
        <f>'Intermediate calculations'!AZ11-('Intermediate calculations'!AZ11*AC62)</f>
        <v>28.181615393465904</v>
      </c>
      <c r="AD64">
        <f>'Intermediate calculations'!BA11-('Intermediate calculations'!BA11*AD62)</f>
        <v>27.883085267703127</v>
      </c>
      <c r="AE64">
        <f>'Intermediate calculations'!BB11-('Intermediate calculations'!BB11*AE62)</f>
        <v>27.591195958228621</v>
      </c>
      <c r="AF64">
        <f>'Intermediate calculations'!BC11-('Intermediate calculations'!BC11*AF62)</f>
        <v>27.305657660492475</v>
      </c>
      <c r="AG64">
        <f>'Intermediate calculations'!BD11-('Intermediate calculations'!BD11*AG62)</f>
        <v>27.026199489899401</v>
      </c>
      <c r="AH64">
        <f>'Intermediate calculations'!BE11-('Intermediate calculations'!BE11*AH62)</f>
        <v>26.752567862185963</v>
      </c>
      <c r="AI64">
        <f>'Intermediate calculations'!BF11-('Intermediate calculations'!BF11*AI62)</f>
        <v>26.484525043804286</v>
      </c>
      <c r="AJ64">
        <f>'Intermediate calculations'!BG11-('Intermediate calculations'!BG11*AJ62)</f>
        <v>26.221847851318088</v>
      </c>
      <c r="AK64">
        <f>'Intermediate calculations'!BH11-('Intermediate calculations'!BH11*AK62)</f>
        <v>25.964326481781818</v>
      </c>
      <c r="AL64">
        <f>'Intermediate calculations'!BI11-('Intermediate calculations'!BI11*AL62)</f>
        <v>25.711763458570147</v>
      </c>
      <c r="AM64">
        <f>'Intermediate calculations'!BJ11-('Intermediate calculations'!BJ11*AM62)</f>
        <v>25.463972679233418</v>
      </c>
      <c r="AN64">
        <f>'Intermediate calculations'!BK11-('Intermediate calculations'!BK11*AN62)</f>
        <v>25.22077855374236</v>
      </c>
    </row>
    <row r="65" spans="1:40" x14ac:dyDescent="0.3">
      <c r="A65" t="s">
        <v>849</v>
      </c>
      <c r="B65">
        <f>'Intermediate calculations'!Y64</f>
        <v>0.57999999999999996</v>
      </c>
      <c r="C65">
        <f>'Intermediate calculations'!Y64-('Intermediate calculations'!Y64*C62)</f>
        <v>0.57999999999999996</v>
      </c>
      <c r="D65">
        <f>'Intermediate calculations'!Z64-('Intermediate calculations'!Z64*D62)</f>
        <v>0.57999999999999996</v>
      </c>
      <c r="E65">
        <f>'Intermediate calculations'!AA64-('Intermediate calculations'!AA64*E62)</f>
        <v>0.57999999999999996</v>
      </c>
      <c r="F65">
        <f>'Intermediate calculations'!AB64-('Intermediate calculations'!AB64*F62)</f>
        <v>0.57999999999999996</v>
      </c>
      <c r="G65">
        <f>'Intermediate calculations'!AC64-('Intermediate calculations'!AC64*G62)</f>
        <v>0.57999999999999996</v>
      </c>
      <c r="H65">
        <f>'Intermediate calculations'!AD64-('Intermediate calculations'!AD64*H62)</f>
        <v>0.57999999999999996</v>
      </c>
      <c r="I65">
        <f>'Intermediate calculations'!AE64-('Intermediate calculations'!AE64*I62)</f>
        <v>0.57999999999999996</v>
      </c>
      <c r="J65">
        <f>'Intermediate calculations'!AF64-('Intermediate calculations'!AF64*J62)</f>
        <v>0.57999999999999996</v>
      </c>
      <c r="K65">
        <f>'Intermediate calculations'!AG64-('Intermediate calculations'!AG64*K62)</f>
        <v>0.57883999999999991</v>
      </c>
      <c r="L65">
        <f>'Intermediate calculations'!AH64-('Intermediate calculations'!AH64*L62)</f>
        <v>0.57767999999999997</v>
      </c>
      <c r="M65">
        <f>'Intermediate calculations'!AI64-('Intermediate calculations'!AI64*M62)</f>
        <v>0.57651999999999992</v>
      </c>
      <c r="N65">
        <f>'Intermediate calculations'!AJ64-('Intermediate calculations'!AJ64*N62)</f>
        <v>0.57535999999999998</v>
      </c>
      <c r="O65">
        <f>'Intermediate calculations'!AK64-('Intermediate calculations'!AK64*O62)</f>
        <v>0.57419999999999993</v>
      </c>
      <c r="P65">
        <f>'Intermediate calculations'!AL64-('Intermediate calculations'!AL64*P62)</f>
        <v>0.57303999999999999</v>
      </c>
      <c r="Q65">
        <f>'Intermediate calculations'!AM64-('Intermediate calculations'!AM64*Q62)</f>
        <v>0.57187999999999994</v>
      </c>
      <c r="R65">
        <f>'Intermediate calculations'!AN64-('Intermediate calculations'!AN64*R62)</f>
        <v>0.57072000000000001</v>
      </c>
      <c r="S65">
        <f>'Intermediate calculations'!AO64-('Intermediate calculations'!AO64*S62)</f>
        <v>0.56955999999999996</v>
      </c>
      <c r="T65">
        <f>'Intermediate calculations'!AP64-('Intermediate calculations'!AP64*T62)</f>
        <v>0.56840000000000002</v>
      </c>
      <c r="U65">
        <f>'Intermediate calculations'!AQ64-('Intermediate calculations'!AQ64*U62)</f>
        <v>0.56752999999999998</v>
      </c>
      <c r="V65">
        <f>'Intermediate calculations'!AR64-('Intermediate calculations'!AR64*V62)</f>
        <v>0.56665999999999994</v>
      </c>
      <c r="W65">
        <f>'Intermediate calculations'!AS64-('Intermediate calculations'!AS64*W62)</f>
        <v>0.5657899999999999</v>
      </c>
      <c r="X65">
        <f>'Intermediate calculations'!AT64-('Intermediate calculations'!AT64*X62)</f>
        <v>0.56491999999999998</v>
      </c>
      <c r="Y65">
        <f>'Intermediate calculations'!AU64-('Intermediate calculations'!AU64*Y62)</f>
        <v>0.56404999999999994</v>
      </c>
      <c r="Z65">
        <f>'Intermediate calculations'!AV64-('Intermediate calculations'!AV64*Z62)</f>
        <v>0.5631799999999999</v>
      </c>
      <c r="AA65">
        <f>'Intermediate calculations'!AW64-('Intermediate calculations'!AW64*AA62)</f>
        <v>0.56230999999999998</v>
      </c>
      <c r="AB65">
        <f>'Intermediate calculations'!AX64-('Intermediate calculations'!AX64*AB62)</f>
        <v>0.56143999999999994</v>
      </c>
      <c r="AC65">
        <f>'Intermediate calculations'!AY64-('Intermediate calculations'!AY64*AC62)</f>
        <v>0.56057000000000001</v>
      </c>
      <c r="AD65">
        <f>'Intermediate calculations'!AZ64-('Intermediate calculations'!AZ64*AD62)</f>
        <v>0.55969999999999998</v>
      </c>
      <c r="AE65">
        <f>'Intermediate calculations'!BA64-('Intermediate calculations'!BA64*AE62)</f>
        <v>0.55882999999999994</v>
      </c>
      <c r="AF65">
        <f>'Intermediate calculations'!BB64-('Intermediate calculations'!BB64*AF62)</f>
        <v>0.55796000000000001</v>
      </c>
      <c r="AG65">
        <f>'Intermediate calculations'!BC64-('Intermediate calculations'!BC64*AG62)</f>
        <v>0.55708999999999997</v>
      </c>
      <c r="AH65">
        <f>'Intermediate calculations'!BD64-('Intermediate calculations'!BD64*AH62)</f>
        <v>0.55621999999999994</v>
      </c>
      <c r="AI65">
        <f>'Intermediate calculations'!BE64-('Intermediate calculations'!BE64*AI62)</f>
        <v>0.55535000000000001</v>
      </c>
      <c r="AJ65">
        <f>'Intermediate calculations'!BF64-('Intermediate calculations'!BF64*AJ62)</f>
        <v>0.55447999999999997</v>
      </c>
      <c r="AK65">
        <f>'Intermediate calculations'!BG64-('Intermediate calculations'!BG64*AK62)</f>
        <v>0.55360999999999994</v>
      </c>
      <c r="AL65">
        <f>'Intermediate calculations'!BH64-('Intermediate calculations'!BH64*AL62)</f>
        <v>0.55274000000000001</v>
      </c>
      <c r="AM65">
        <f>'Intermediate calculations'!BI64-('Intermediate calculations'!BI64*AM62)</f>
        <v>0.55186999999999997</v>
      </c>
      <c r="AN65">
        <f>'Intermediate calculations'!BJ64-('Intermediate calculations'!BJ64*AN62)</f>
        <v>0.55099999999999993</v>
      </c>
    </row>
    <row r="66" spans="1:40" x14ac:dyDescent="0.3">
      <c r="A66" t="s">
        <v>1028</v>
      </c>
      <c r="B66">
        <f>'Net zero activities &amp; levers'!$C39/100</f>
        <v>0</v>
      </c>
      <c r="C66">
        <f>B66</f>
        <v>0</v>
      </c>
      <c r="D66">
        <f t="shared" ref="D66:J66" si="151">C66</f>
        <v>0</v>
      </c>
      <c r="E66">
        <f t="shared" si="151"/>
        <v>0</v>
      </c>
      <c r="F66">
        <f t="shared" si="151"/>
        <v>0</v>
      </c>
      <c r="G66">
        <f t="shared" si="151"/>
        <v>0</v>
      </c>
      <c r="H66">
        <f t="shared" si="151"/>
        <v>0</v>
      </c>
      <c r="I66">
        <f t="shared" si="151"/>
        <v>0</v>
      </c>
      <c r="J66">
        <f t="shared" si="151"/>
        <v>0</v>
      </c>
      <c r="K66">
        <f t="shared" ref="K66:K70" si="152">J66+($T66-$J66)/10</f>
        <v>0.04</v>
      </c>
      <c r="L66">
        <f t="shared" ref="L66:L70" si="153">K66+($T66-$J66)/10</f>
        <v>0.08</v>
      </c>
      <c r="M66">
        <f t="shared" ref="M66:M70" si="154">L66+($T66-$J66)/10</f>
        <v>0.12</v>
      </c>
      <c r="N66">
        <f t="shared" ref="N66:N70" si="155">M66+($T66-$J66)/10</f>
        <v>0.16</v>
      </c>
      <c r="O66">
        <f t="shared" ref="O66:O70" si="156">N66+($T66-$J66)/10</f>
        <v>0.2</v>
      </c>
      <c r="P66">
        <f t="shared" ref="P66:P70" si="157">O66+($T66-$J66)/10</f>
        <v>0.24000000000000002</v>
      </c>
      <c r="Q66">
        <f t="shared" ref="Q66:Q70" si="158">P66+($T66-$J66)/10</f>
        <v>0.28000000000000003</v>
      </c>
      <c r="R66">
        <f t="shared" ref="R66:R70" si="159">Q66+($T66-$J66)/10</f>
        <v>0.32</v>
      </c>
      <c r="S66">
        <f t="shared" ref="S66:S70" si="160">R66+($T66-$J66)/10</f>
        <v>0.36</v>
      </c>
      <c r="T66">
        <f>'Net zero activities &amp; levers'!$D39/100</f>
        <v>0.4</v>
      </c>
      <c r="U66">
        <f t="shared" ref="U66:U70" si="161">T66+($AD66-$T66)/10</f>
        <v>0.42000000000000004</v>
      </c>
      <c r="V66">
        <f t="shared" ref="V66:V70" si="162">U66+($AD66-$T66)/10</f>
        <v>0.44000000000000006</v>
      </c>
      <c r="W66">
        <f t="shared" ref="W66:W70" si="163">V66+($AD66-$T66)/10</f>
        <v>0.46000000000000008</v>
      </c>
      <c r="X66">
        <f t="shared" ref="X66:X70" si="164">W66+($AD66-$T66)/10</f>
        <v>0.48000000000000009</v>
      </c>
      <c r="Y66">
        <f t="shared" ref="Y66:Y70" si="165">X66+($AD66-$T66)/10</f>
        <v>0.50000000000000011</v>
      </c>
      <c r="Z66">
        <f t="shared" ref="Z66:Z70" si="166">Y66+($AD66-$T66)/10</f>
        <v>0.52000000000000013</v>
      </c>
      <c r="AA66">
        <f t="shared" ref="AA66:AA70" si="167">Z66+($AD66-$T66)/10</f>
        <v>0.54000000000000015</v>
      </c>
      <c r="AB66">
        <f t="shared" ref="AB66:AB70" si="168">AA66+($AD66-$T66)/10</f>
        <v>0.56000000000000016</v>
      </c>
      <c r="AC66">
        <f t="shared" ref="AC66:AC70" si="169">AB66+($AD66-$T66)/10</f>
        <v>0.58000000000000018</v>
      </c>
      <c r="AD66">
        <f>'Net zero activities &amp; levers'!$E39/100</f>
        <v>0.6</v>
      </c>
      <c r="AE66">
        <f t="shared" ref="AE66:AE70" si="170">AD66+($AN66-$AD66)/10</f>
        <v>0.62</v>
      </c>
      <c r="AF66">
        <f t="shared" ref="AF66:AF70" si="171">AE66+($AN66-$AD66)/10</f>
        <v>0.64</v>
      </c>
      <c r="AG66">
        <f t="shared" ref="AG66:AG70" si="172">AF66+($AN66-$AD66)/10</f>
        <v>0.66</v>
      </c>
      <c r="AH66">
        <f t="shared" ref="AH66:AH70" si="173">AG66+($AN66-$AD66)/10</f>
        <v>0.68</v>
      </c>
      <c r="AI66">
        <f t="shared" ref="AI66:AI70" si="174">AH66+($AN66-$AD66)/10</f>
        <v>0.70000000000000007</v>
      </c>
      <c r="AJ66">
        <f t="shared" ref="AJ66:AJ70" si="175">AI66+($AN66-$AD66)/10</f>
        <v>0.72000000000000008</v>
      </c>
      <c r="AK66">
        <f t="shared" ref="AK66:AK70" si="176">AJ66+($AN66-$AD66)/10</f>
        <v>0.7400000000000001</v>
      </c>
      <c r="AL66">
        <f t="shared" ref="AL66:AL70" si="177">AK66+($AN66-$AD66)/10</f>
        <v>0.76000000000000012</v>
      </c>
      <c r="AM66">
        <f t="shared" ref="AM66:AM70" si="178">AL66+($AN66-$AD66)/10</f>
        <v>0.78000000000000014</v>
      </c>
      <c r="AN66">
        <f>'Net zero activities &amp; levers'!$F39/100</f>
        <v>0.8</v>
      </c>
    </row>
    <row r="67" spans="1:40" x14ac:dyDescent="0.3">
      <c r="A67" t="s">
        <v>1072</v>
      </c>
      <c r="B67">
        <f>'Net zero activities &amp; levers'!$C40/100</f>
        <v>0</v>
      </c>
      <c r="C67">
        <f t="shared" ref="C67:J70" si="179">B67</f>
        <v>0</v>
      </c>
      <c r="D67">
        <f t="shared" si="179"/>
        <v>0</v>
      </c>
      <c r="E67">
        <f t="shared" si="179"/>
        <v>0</v>
      </c>
      <c r="F67">
        <f t="shared" si="179"/>
        <v>0</v>
      </c>
      <c r="G67">
        <f t="shared" si="179"/>
        <v>0</v>
      </c>
      <c r="H67">
        <f t="shared" si="179"/>
        <v>0</v>
      </c>
      <c r="I67">
        <f t="shared" si="179"/>
        <v>0</v>
      </c>
      <c r="J67">
        <f t="shared" si="179"/>
        <v>0</v>
      </c>
      <c r="K67">
        <f t="shared" si="152"/>
        <v>0.04</v>
      </c>
      <c r="L67">
        <f t="shared" si="153"/>
        <v>0.08</v>
      </c>
      <c r="M67">
        <f t="shared" si="154"/>
        <v>0.12</v>
      </c>
      <c r="N67">
        <f t="shared" si="155"/>
        <v>0.16</v>
      </c>
      <c r="O67">
        <f t="shared" si="156"/>
        <v>0.2</v>
      </c>
      <c r="P67">
        <f t="shared" si="157"/>
        <v>0.24000000000000002</v>
      </c>
      <c r="Q67">
        <f t="shared" si="158"/>
        <v>0.28000000000000003</v>
      </c>
      <c r="R67">
        <f t="shared" si="159"/>
        <v>0.32</v>
      </c>
      <c r="S67">
        <f t="shared" si="160"/>
        <v>0.36</v>
      </c>
      <c r="T67">
        <f>'Net zero activities &amp; levers'!$D40/100</f>
        <v>0.4</v>
      </c>
      <c r="U67">
        <f t="shared" si="161"/>
        <v>0.42000000000000004</v>
      </c>
      <c r="V67">
        <f t="shared" si="162"/>
        <v>0.44000000000000006</v>
      </c>
      <c r="W67">
        <f t="shared" si="163"/>
        <v>0.46000000000000008</v>
      </c>
      <c r="X67">
        <f t="shared" si="164"/>
        <v>0.48000000000000009</v>
      </c>
      <c r="Y67">
        <f t="shared" si="165"/>
        <v>0.50000000000000011</v>
      </c>
      <c r="Z67">
        <f t="shared" si="166"/>
        <v>0.52000000000000013</v>
      </c>
      <c r="AA67">
        <f t="shared" si="167"/>
        <v>0.54000000000000015</v>
      </c>
      <c r="AB67">
        <f t="shared" si="168"/>
        <v>0.56000000000000016</v>
      </c>
      <c r="AC67">
        <f t="shared" si="169"/>
        <v>0.58000000000000018</v>
      </c>
      <c r="AD67">
        <f>'Net zero activities &amp; levers'!$E40/100</f>
        <v>0.6</v>
      </c>
      <c r="AE67">
        <f t="shared" si="170"/>
        <v>0.62</v>
      </c>
      <c r="AF67">
        <f t="shared" si="171"/>
        <v>0.64</v>
      </c>
      <c r="AG67">
        <f t="shared" si="172"/>
        <v>0.66</v>
      </c>
      <c r="AH67">
        <f t="shared" si="173"/>
        <v>0.68</v>
      </c>
      <c r="AI67">
        <f t="shared" si="174"/>
        <v>0.70000000000000007</v>
      </c>
      <c r="AJ67">
        <f t="shared" si="175"/>
        <v>0.72000000000000008</v>
      </c>
      <c r="AK67">
        <f t="shared" si="176"/>
        <v>0.7400000000000001</v>
      </c>
      <c r="AL67">
        <f t="shared" si="177"/>
        <v>0.76000000000000012</v>
      </c>
      <c r="AM67">
        <f t="shared" si="178"/>
        <v>0.78000000000000014</v>
      </c>
      <c r="AN67">
        <f>'Net zero activities &amp; levers'!$F40/100</f>
        <v>0.8</v>
      </c>
    </row>
    <row r="68" spans="1:40" x14ac:dyDescent="0.3">
      <c r="A68" t="s">
        <v>1073</v>
      </c>
      <c r="B68">
        <f>'Net zero activities &amp; levers'!$C41/100</f>
        <v>0</v>
      </c>
      <c r="C68">
        <f t="shared" si="179"/>
        <v>0</v>
      </c>
      <c r="D68">
        <f t="shared" si="179"/>
        <v>0</v>
      </c>
      <c r="E68">
        <f t="shared" si="179"/>
        <v>0</v>
      </c>
      <c r="F68">
        <f t="shared" si="179"/>
        <v>0</v>
      </c>
      <c r="G68">
        <f t="shared" si="179"/>
        <v>0</v>
      </c>
      <c r="H68">
        <f t="shared" si="179"/>
        <v>0</v>
      </c>
      <c r="I68">
        <f t="shared" si="179"/>
        <v>0</v>
      </c>
      <c r="J68">
        <f t="shared" si="179"/>
        <v>0</v>
      </c>
      <c r="K68">
        <f t="shared" si="152"/>
        <v>0.04</v>
      </c>
      <c r="L68">
        <f t="shared" si="153"/>
        <v>0.08</v>
      </c>
      <c r="M68">
        <f t="shared" si="154"/>
        <v>0.12</v>
      </c>
      <c r="N68">
        <f t="shared" si="155"/>
        <v>0.16</v>
      </c>
      <c r="O68">
        <f t="shared" si="156"/>
        <v>0.2</v>
      </c>
      <c r="P68">
        <f t="shared" si="157"/>
        <v>0.24000000000000002</v>
      </c>
      <c r="Q68">
        <f t="shared" si="158"/>
        <v>0.28000000000000003</v>
      </c>
      <c r="R68">
        <f t="shared" si="159"/>
        <v>0.32</v>
      </c>
      <c r="S68">
        <f t="shared" si="160"/>
        <v>0.36</v>
      </c>
      <c r="T68">
        <f>'Net zero activities &amp; levers'!$D41/100</f>
        <v>0.4</v>
      </c>
      <c r="U68">
        <f t="shared" si="161"/>
        <v>0.42000000000000004</v>
      </c>
      <c r="V68">
        <f t="shared" si="162"/>
        <v>0.44000000000000006</v>
      </c>
      <c r="W68">
        <f t="shared" si="163"/>
        <v>0.46000000000000008</v>
      </c>
      <c r="X68">
        <f t="shared" si="164"/>
        <v>0.48000000000000009</v>
      </c>
      <c r="Y68">
        <f t="shared" si="165"/>
        <v>0.50000000000000011</v>
      </c>
      <c r="Z68">
        <f t="shared" si="166"/>
        <v>0.52000000000000013</v>
      </c>
      <c r="AA68">
        <f t="shared" si="167"/>
        <v>0.54000000000000015</v>
      </c>
      <c r="AB68">
        <f t="shared" si="168"/>
        <v>0.56000000000000016</v>
      </c>
      <c r="AC68">
        <f t="shared" si="169"/>
        <v>0.58000000000000018</v>
      </c>
      <c r="AD68">
        <f>'Net zero activities &amp; levers'!$E41/100</f>
        <v>0.6</v>
      </c>
      <c r="AE68">
        <f t="shared" si="170"/>
        <v>0.62</v>
      </c>
      <c r="AF68">
        <f t="shared" si="171"/>
        <v>0.64</v>
      </c>
      <c r="AG68">
        <f t="shared" si="172"/>
        <v>0.66</v>
      </c>
      <c r="AH68">
        <f t="shared" si="173"/>
        <v>0.68</v>
      </c>
      <c r="AI68">
        <f t="shared" si="174"/>
        <v>0.70000000000000007</v>
      </c>
      <c r="AJ68">
        <f t="shared" si="175"/>
        <v>0.72000000000000008</v>
      </c>
      <c r="AK68">
        <f t="shared" si="176"/>
        <v>0.7400000000000001</v>
      </c>
      <c r="AL68">
        <f t="shared" si="177"/>
        <v>0.76000000000000012</v>
      </c>
      <c r="AM68">
        <f t="shared" si="178"/>
        <v>0.78000000000000014</v>
      </c>
      <c r="AN68">
        <f>'Net zero activities &amp; levers'!$F41/100</f>
        <v>0.8</v>
      </c>
    </row>
    <row r="69" spans="1:40" x14ac:dyDescent="0.3">
      <c r="A69" t="s">
        <v>1074</v>
      </c>
      <c r="B69">
        <f>'Net zero activities &amp; levers'!$C42/100</f>
        <v>0</v>
      </c>
      <c r="C69">
        <f t="shared" si="179"/>
        <v>0</v>
      </c>
      <c r="D69">
        <f t="shared" si="179"/>
        <v>0</v>
      </c>
      <c r="E69">
        <f t="shared" si="179"/>
        <v>0</v>
      </c>
      <c r="F69">
        <f t="shared" si="179"/>
        <v>0</v>
      </c>
      <c r="G69">
        <f t="shared" si="179"/>
        <v>0</v>
      </c>
      <c r="H69">
        <f t="shared" si="179"/>
        <v>0</v>
      </c>
      <c r="I69">
        <f t="shared" si="179"/>
        <v>0</v>
      </c>
      <c r="J69">
        <f t="shared" si="179"/>
        <v>0</v>
      </c>
      <c r="K69">
        <f t="shared" si="152"/>
        <v>0.04</v>
      </c>
      <c r="L69">
        <f t="shared" si="153"/>
        <v>0.08</v>
      </c>
      <c r="M69">
        <f t="shared" si="154"/>
        <v>0.12</v>
      </c>
      <c r="N69">
        <f t="shared" si="155"/>
        <v>0.16</v>
      </c>
      <c r="O69">
        <f t="shared" si="156"/>
        <v>0.2</v>
      </c>
      <c r="P69">
        <f t="shared" si="157"/>
        <v>0.24000000000000002</v>
      </c>
      <c r="Q69">
        <f t="shared" si="158"/>
        <v>0.28000000000000003</v>
      </c>
      <c r="R69">
        <f t="shared" si="159"/>
        <v>0.32</v>
      </c>
      <c r="S69">
        <f t="shared" si="160"/>
        <v>0.36</v>
      </c>
      <c r="T69">
        <f>'Net zero activities &amp; levers'!$D42/100</f>
        <v>0.4</v>
      </c>
      <c r="U69">
        <f t="shared" si="161"/>
        <v>0.42000000000000004</v>
      </c>
      <c r="V69">
        <f t="shared" si="162"/>
        <v>0.44000000000000006</v>
      </c>
      <c r="W69">
        <f t="shared" si="163"/>
        <v>0.46000000000000008</v>
      </c>
      <c r="X69">
        <f t="shared" si="164"/>
        <v>0.48000000000000009</v>
      </c>
      <c r="Y69">
        <f t="shared" si="165"/>
        <v>0.50000000000000011</v>
      </c>
      <c r="Z69">
        <f t="shared" si="166"/>
        <v>0.52000000000000013</v>
      </c>
      <c r="AA69">
        <f t="shared" si="167"/>
        <v>0.54000000000000015</v>
      </c>
      <c r="AB69">
        <f t="shared" si="168"/>
        <v>0.56000000000000016</v>
      </c>
      <c r="AC69">
        <f t="shared" si="169"/>
        <v>0.58000000000000018</v>
      </c>
      <c r="AD69">
        <f>'Net zero activities &amp; levers'!$E42/100</f>
        <v>0.6</v>
      </c>
      <c r="AE69">
        <f t="shared" si="170"/>
        <v>0.62</v>
      </c>
      <c r="AF69">
        <f t="shared" si="171"/>
        <v>0.64</v>
      </c>
      <c r="AG69">
        <f t="shared" si="172"/>
        <v>0.66</v>
      </c>
      <c r="AH69">
        <f t="shared" si="173"/>
        <v>0.68</v>
      </c>
      <c r="AI69">
        <f t="shared" si="174"/>
        <v>0.70000000000000007</v>
      </c>
      <c r="AJ69">
        <f t="shared" si="175"/>
        <v>0.72000000000000008</v>
      </c>
      <c r="AK69">
        <f t="shared" si="176"/>
        <v>0.7400000000000001</v>
      </c>
      <c r="AL69">
        <f t="shared" si="177"/>
        <v>0.76000000000000012</v>
      </c>
      <c r="AM69">
        <f t="shared" si="178"/>
        <v>0.78000000000000014</v>
      </c>
      <c r="AN69">
        <f>'Net zero activities &amp; levers'!$F42/100</f>
        <v>0.8</v>
      </c>
    </row>
    <row r="70" spans="1:40" x14ac:dyDescent="0.3">
      <c r="A70" t="s">
        <v>1029</v>
      </c>
      <c r="B70">
        <f>'Net zero activities &amp; levers'!$C43/100</f>
        <v>0</v>
      </c>
      <c r="C70">
        <f t="shared" si="179"/>
        <v>0</v>
      </c>
      <c r="D70">
        <f t="shared" si="179"/>
        <v>0</v>
      </c>
      <c r="E70">
        <f t="shared" si="179"/>
        <v>0</v>
      </c>
      <c r="F70">
        <f t="shared" si="179"/>
        <v>0</v>
      </c>
      <c r="G70">
        <f t="shared" si="179"/>
        <v>0</v>
      </c>
      <c r="H70">
        <f t="shared" si="179"/>
        <v>0</v>
      </c>
      <c r="I70">
        <f t="shared" si="179"/>
        <v>0</v>
      </c>
      <c r="J70">
        <f t="shared" si="179"/>
        <v>0</v>
      </c>
      <c r="K70">
        <f t="shared" si="152"/>
        <v>0.04</v>
      </c>
      <c r="L70">
        <f t="shared" si="153"/>
        <v>0.08</v>
      </c>
      <c r="M70">
        <f t="shared" si="154"/>
        <v>0.12</v>
      </c>
      <c r="N70">
        <f t="shared" si="155"/>
        <v>0.16</v>
      </c>
      <c r="O70">
        <f t="shared" si="156"/>
        <v>0.2</v>
      </c>
      <c r="P70">
        <f t="shared" si="157"/>
        <v>0.24000000000000002</v>
      </c>
      <c r="Q70">
        <f t="shared" si="158"/>
        <v>0.28000000000000003</v>
      </c>
      <c r="R70">
        <f t="shared" si="159"/>
        <v>0.32</v>
      </c>
      <c r="S70">
        <f t="shared" si="160"/>
        <v>0.36</v>
      </c>
      <c r="T70">
        <f>'Net zero activities &amp; levers'!$D43/100</f>
        <v>0.4</v>
      </c>
      <c r="U70">
        <f t="shared" si="161"/>
        <v>0.42000000000000004</v>
      </c>
      <c r="V70">
        <f t="shared" si="162"/>
        <v>0.44000000000000006</v>
      </c>
      <c r="W70">
        <f t="shared" si="163"/>
        <v>0.46000000000000008</v>
      </c>
      <c r="X70">
        <f t="shared" si="164"/>
        <v>0.48000000000000009</v>
      </c>
      <c r="Y70">
        <f t="shared" si="165"/>
        <v>0.50000000000000011</v>
      </c>
      <c r="Z70">
        <f t="shared" si="166"/>
        <v>0.52000000000000013</v>
      </c>
      <c r="AA70">
        <f t="shared" si="167"/>
        <v>0.54000000000000015</v>
      </c>
      <c r="AB70">
        <f t="shared" si="168"/>
        <v>0.56000000000000016</v>
      </c>
      <c r="AC70">
        <f t="shared" si="169"/>
        <v>0.58000000000000018</v>
      </c>
      <c r="AD70">
        <f>'Net zero activities &amp; levers'!$E43/100</f>
        <v>0.6</v>
      </c>
      <c r="AE70">
        <f t="shared" si="170"/>
        <v>0.62</v>
      </c>
      <c r="AF70">
        <f t="shared" si="171"/>
        <v>0.64</v>
      </c>
      <c r="AG70">
        <f t="shared" si="172"/>
        <v>0.66</v>
      </c>
      <c r="AH70">
        <f t="shared" si="173"/>
        <v>0.68</v>
      </c>
      <c r="AI70">
        <f t="shared" si="174"/>
        <v>0.70000000000000007</v>
      </c>
      <c r="AJ70">
        <f t="shared" si="175"/>
        <v>0.72000000000000008</v>
      </c>
      <c r="AK70">
        <f t="shared" si="176"/>
        <v>0.7400000000000001</v>
      </c>
      <c r="AL70">
        <f t="shared" si="177"/>
        <v>0.76000000000000012</v>
      </c>
      <c r="AM70">
        <f t="shared" si="178"/>
        <v>0.78000000000000014</v>
      </c>
      <c r="AN70">
        <f>'Net zero activities &amp; levers'!$F43/100</f>
        <v>0.8</v>
      </c>
    </row>
    <row r="71" spans="1:40" x14ac:dyDescent="0.3">
      <c r="A71" t="s">
        <v>1005</v>
      </c>
      <c r="B71">
        <f>'Net zero Activity data'!AD5*'Net zero supporting data'!B66</f>
        <v>0</v>
      </c>
      <c r="C71">
        <f>'Net zero Activity data'!AE5*'Net zero supporting data'!C66</f>
        <v>0</v>
      </c>
      <c r="D71">
        <f>'Net zero Activity data'!AF5*'Net zero supporting data'!D66</f>
        <v>0</v>
      </c>
      <c r="E71">
        <f>'Net zero Activity data'!AG5*'Net zero supporting data'!E66</f>
        <v>0</v>
      </c>
      <c r="F71">
        <f>'Net zero Activity data'!AH5*'Net zero supporting data'!F66</f>
        <v>0</v>
      </c>
      <c r="G71">
        <f>'Net zero Activity data'!AI5*'Net zero supporting data'!G66</f>
        <v>0</v>
      </c>
      <c r="H71">
        <f>'Net zero Activity data'!AJ5*'Net zero supporting data'!H66</f>
        <v>0</v>
      </c>
      <c r="I71">
        <f>'Net zero Activity data'!AK5*'Net zero supporting data'!I66</f>
        <v>0</v>
      </c>
      <c r="J71">
        <f>'Net zero Activity data'!AL5*'Net zero supporting data'!J66</f>
        <v>0</v>
      </c>
      <c r="K71">
        <f>'Net zero Activity data'!AM5*'Net zero supporting data'!K66</f>
        <v>23861.141605054228</v>
      </c>
      <c r="L71">
        <f>'Net zero Activity data'!AN5*'Net zero supporting data'!L66</f>
        <v>48449.150565642391</v>
      </c>
      <c r="M71">
        <f>'Net zero Activity data'!AO5*'Net zero supporting data'!M66</f>
        <v>73238.855102130285</v>
      </c>
      <c r="N71">
        <f>'Net zero Activity data'!AP5*'Net zero supporting data'!N66</f>
        <v>98512.963481801868</v>
      </c>
      <c r="O71">
        <f>'Net zero Activity data'!AQ5*'Net zero supporting data'!O66</f>
        <v>124387.07764092363</v>
      </c>
      <c r="P71">
        <f>'Net zero Activity data'!AR5*'Net zero supporting data'!P66</f>
        <v>150791.21920785855</v>
      </c>
      <c r="Q71">
        <f>'Net zero Activity data'!AS5*'Net zero supporting data'!Q66</f>
        <v>177894.62604265529</v>
      </c>
      <c r="R71">
        <f>'Net zero Activity data'!AT5*'Net zero supporting data'!R66</f>
        <v>205631.12666802041</v>
      </c>
      <c r="S71">
        <f>'Net zero Activity data'!AU5*'Net zero supporting data'!S66</f>
        <v>234176.93201053442</v>
      </c>
      <c r="T71">
        <f>'Net zero Activity data'!AV5*'Net zero supporting data'!T66</f>
        <v>263425.50532997341</v>
      </c>
      <c r="U71">
        <f>'Net zero Activity data'!AW5*'Net zero supporting data'!U66</f>
        <v>280259.4878498356</v>
      </c>
      <c r="V71">
        <f>'Net zero Activity data'!AX5*'Net zero supporting data'!V66</f>
        <v>297390.3666608482</v>
      </c>
      <c r="W71">
        <f>'Net zero Activity data'!AY5*'Net zero supporting data'!W66</f>
        <v>315084.95103362878</v>
      </c>
      <c r="X71">
        <f>'Net zero Activity data'!AZ5*'Net zero supporting data'!X66</f>
        <v>333714.41535582655</v>
      </c>
      <c r="Y71">
        <f>'Net zero Activity data'!BA5*'Net zero supporting data'!Y66</f>
        <v>352501.90030388988</v>
      </c>
      <c r="Z71">
        <f>'Net zero Activity data'!BB5*'Net zero supporting data'!Z66</f>
        <v>371809.46543793869</v>
      </c>
      <c r="AA71">
        <f>'Net zero Activity data'!BC5*'Net zero supporting data'!AA66</f>
        <v>391893.2023991645</v>
      </c>
      <c r="AB71">
        <f>'Net zero Activity data'!BD5*'Net zero supporting data'!AB66</f>
        <v>412026.7675267685</v>
      </c>
      <c r="AC71">
        <f>'Net zero Activity data'!BE5*'Net zero supporting data'!AC66</f>
        <v>432530.10813845828</v>
      </c>
      <c r="AD71">
        <f>'Net zero Activity data'!BF5*'Net zero supporting data'!AD66</f>
        <v>453416.61186996562</v>
      </c>
      <c r="AE71">
        <f>'Net zero Activity data'!BG5*'Net zero supporting data'!AE66</f>
        <v>475058.94432139519</v>
      </c>
      <c r="AF71">
        <f>'Net zero Activity data'!BH5*'Net zero supporting data'!AF66</f>
        <v>496851.40902117058</v>
      </c>
      <c r="AG71">
        <f>'Net zero Activity data'!BI5*'Net zero supporting data'!AG66</f>
        <v>519307.13217931427</v>
      </c>
      <c r="AH71">
        <f>'Net zero Activity data'!BJ5*'Net zero supporting data'!AH66</f>
        <v>542482.22020514961</v>
      </c>
      <c r="AI71">
        <f>'Net zero Activity data'!BK5*'Net zero supporting data'!AI66</f>
        <v>566456.99244417297</v>
      </c>
      <c r="AJ71">
        <f>'Net zero Activity data'!BL5*'Net zero supporting data'!AJ66</f>
        <v>591035.92263364187</v>
      </c>
      <c r="AK71">
        <f>'Net zero Activity data'!BM5*'Net zero supporting data'!AK66</f>
        <v>609499.12778401771</v>
      </c>
      <c r="AL71">
        <f>'Net zero Activity data'!BN5*'Net zero supporting data'!AL66</f>
        <v>627467.22827597521</v>
      </c>
      <c r="AM71">
        <f>'Net zero Activity data'!BO5*'Net zero supporting data'!AM66</f>
        <v>644608.23528502288</v>
      </c>
      <c r="AN71">
        <f>'Net zero Activity data'!BP5*'Net zero supporting data'!AN66</f>
        <v>661526.01874677965</v>
      </c>
    </row>
    <row r="72" spans="1:40" x14ac:dyDescent="0.3">
      <c r="A72" t="s">
        <v>1006</v>
      </c>
      <c r="B72">
        <f>'Net zero Activity data'!AD6*'Net zero supporting data'!B67</f>
        <v>0</v>
      </c>
      <c r="C72">
        <f>'Net zero Activity data'!AE6*'Net zero supporting data'!C67</f>
        <v>0</v>
      </c>
      <c r="D72">
        <f>'Net zero Activity data'!AF6*'Net zero supporting data'!D67</f>
        <v>0</v>
      </c>
      <c r="E72">
        <f>'Net zero Activity data'!AG6*'Net zero supporting data'!E67</f>
        <v>0</v>
      </c>
      <c r="F72">
        <f>'Net zero Activity data'!AH6*'Net zero supporting data'!F67</f>
        <v>0</v>
      </c>
      <c r="G72">
        <f>'Net zero Activity data'!AI6*'Net zero supporting data'!G67</f>
        <v>0</v>
      </c>
      <c r="H72">
        <f>'Net zero Activity data'!AJ6*'Net zero supporting data'!H67</f>
        <v>0</v>
      </c>
      <c r="I72">
        <f>'Net zero Activity data'!AK6*'Net zero supporting data'!I67</f>
        <v>0</v>
      </c>
      <c r="J72">
        <f>'Net zero Activity data'!AL6*'Net zero supporting data'!J67</f>
        <v>0</v>
      </c>
      <c r="K72">
        <f>'Net zero Activity data'!AM6*'Net zero supporting data'!K67</f>
        <v>19770.660187044934</v>
      </c>
      <c r="L72">
        <f>'Net zero Activity data'!AN6*'Net zero supporting data'!L67</f>
        <v>40143.581897246549</v>
      </c>
      <c r="M72">
        <f>'Net zero Activity data'!AO6*'Net zero supporting data'!M67</f>
        <v>60683.622798907949</v>
      </c>
      <c r="N72">
        <f>'Net zero Activity data'!AP6*'Net zero supporting data'!N67</f>
        <v>81625.02688492155</v>
      </c>
      <c r="O72">
        <f>'Net zero Activity data'!AQ6*'Net zero supporting data'!O67</f>
        <v>103063.5786167653</v>
      </c>
      <c r="P72">
        <f>'Net zero Activity data'!AR6*'Net zero supporting data'!P67</f>
        <v>124941.2959150828</v>
      </c>
      <c r="Q72">
        <f>'Net zero Activity data'!AS6*'Net zero supporting data'!Q67</f>
        <v>147398.40443534293</v>
      </c>
      <c r="R72">
        <f>'Net zero Activity data'!AT6*'Net zero supporting data'!R67</f>
        <v>170380.07638207407</v>
      </c>
      <c r="S72">
        <f>'Net zero Activity data'!AU6*'Net zero supporting data'!S67</f>
        <v>194032.31509444283</v>
      </c>
      <c r="T72">
        <f>'Net zero Activity data'!AV6*'Net zero supporting data'!T67</f>
        <v>218266.84727340654</v>
      </c>
      <c r="U72">
        <f>'Net zero Activity data'!AW6*'Net zero supporting data'!U67</f>
        <v>232215.00421843518</v>
      </c>
      <c r="V72">
        <f>'Net zero Activity data'!AX6*'Net zero supporting data'!V67</f>
        <v>246409.16094755993</v>
      </c>
      <c r="W72">
        <f>'Net zero Activity data'!AY6*'Net zero supporting data'!W67</f>
        <v>261070.38799929246</v>
      </c>
      <c r="X72">
        <f>'Net zero Activity data'!AZ6*'Net zero supporting data'!X67</f>
        <v>276506.2298662563</v>
      </c>
      <c r="Y72">
        <f>'Net zero Activity data'!BA6*'Net zero supporting data'!Y67</f>
        <v>292073.00310893735</v>
      </c>
      <c r="Z72">
        <f>'Net zero Activity data'!BB6*'Net zero supporting data'!Z67</f>
        <v>308070.69993429206</v>
      </c>
      <c r="AA72">
        <f>'Net zero Activity data'!BC6*'Net zero supporting data'!AA67</f>
        <v>324711.5105593077</v>
      </c>
      <c r="AB72">
        <f>'Net zero Activity data'!BD6*'Net zero supporting data'!AB67</f>
        <v>341393.60737932246</v>
      </c>
      <c r="AC72">
        <f>'Net zero Activity data'!BE6*'Net zero supporting data'!AC67</f>
        <v>358382.08960043686</v>
      </c>
      <c r="AD72">
        <f>'Net zero Activity data'!BF6*'Net zero supporting data'!AD67</f>
        <v>375688.04983511439</v>
      </c>
      <c r="AE72">
        <f>'Net zero Activity data'!BG6*'Net zero supporting data'!AE67</f>
        <v>393620.26815201313</v>
      </c>
      <c r="AF72">
        <f>'Net zero Activity data'!BH6*'Net zero supporting data'!AF67</f>
        <v>411676.88176039845</v>
      </c>
      <c r="AG72">
        <f>'Net zero Activity data'!BI6*'Net zero supporting data'!AG67</f>
        <v>430283.05237714609</v>
      </c>
      <c r="AH72">
        <f>'Net zero Activity data'!BJ6*'Net zero supporting data'!AH67</f>
        <v>449485.26816998108</v>
      </c>
      <c r="AI72">
        <f>'Net zero Activity data'!BK6*'Net zero supporting data'!AI67</f>
        <v>469350.0794537433</v>
      </c>
      <c r="AJ72">
        <f>'Net zero Activity data'!BL6*'Net zero supporting data'!AJ67</f>
        <v>489715.47875358892</v>
      </c>
      <c r="AK72">
        <f>'Net zero Activity data'!BM6*'Net zero supporting data'!AK67</f>
        <v>505013.5630210432</v>
      </c>
      <c r="AL72">
        <f>'Net zero Activity data'!BN6*'Net zero supporting data'!AL67</f>
        <v>519901.41771437938</v>
      </c>
      <c r="AM72">
        <f>'Net zero Activity data'!BO6*'Net zero supporting data'!AM67</f>
        <v>534103.96637901908</v>
      </c>
      <c r="AN72">
        <f>'Net zero Activity data'!BP6*'Net zero supporting data'!AN67</f>
        <v>548121.55839018885</v>
      </c>
    </row>
    <row r="73" spans="1:40" x14ac:dyDescent="0.3">
      <c r="A73" t="s">
        <v>1007</v>
      </c>
      <c r="B73">
        <f>'Net zero Activity data'!AD7*'Net zero supporting data'!B68</f>
        <v>0</v>
      </c>
      <c r="C73">
        <f>'Net zero Activity data'!AE7*'Net zero supporting data'!C68</f>
        <v>0</v>
      </c>
      <c r="D73">
        <f>'Net zero Activity data'!AF7*'Net zero supporting data'!D68</f>
        <v>0</v>
      </c>
      <c r="E73">
        <f>'Net zero Activity data'!AG7*'Net zero supporting data'!E68</f>
        <v>0</v>
      </c>
      <c r="F73">
        <f>'Net zero Activity data'!AH7*'Net zero supporting data'!F68</f>
        <v>0</v>
      </c>
      <c r="G73">
        <f>'Net zero Activity data'!AI7*'Net zero supporting data'!G68</f>
        <v>0</v>
      </c>
      <c r="H73">
        <f>'Net zero Activity data'!AJ7*'Net zero supporting data'!H68</f>
        <v>0</v>
      </c>
      <c r="I73">
        <f>'Net zero Activity data'!AK7*'Net zero supporting data'!I68</f>
        <v>0</v>
      </c>
      <c r="J73">
        <f>'Net zero Activity data'!AL7*'Net zero supporting data'!J68</f>
        <v>0</v>
      </c>
      <c r="K73">
        <f>'Net zero Activity data'!AM7*'Net zero supporting data'!K68</f>
        <v>24542.888508055785</v>
      </c>
      <c r="L73">
        <f>'Net zero Activity data'!AN7*'Net zero supporting data'!L68</f>
        <v>49833.412010375039</v>
      </c>
      <c r="M73">
        <f>'Net zero Activity data'!AO7*'Net zero supporting data'!M68</f>
        <v>75331.393819334029</v>
      </c>
      <c r="N73">
        <f>'Net zero Activity data'!AP7*'Net zero supporting data'!N68</f>
        <v>101327.61958128194</v>
      </c>
      <c r="O73">
        <f>'Net zero Activity data'!AQ7*'Net zero supporting data'!O68</f>
        <v>127940.99414495005</v>
      </c>
      <c r="P73">
        <f>'Net zero Activity data'!AR7*'Net zero supporting data'!P68</f>
        <v>155099.53975665453</v>
      </c>
      <c r="Q73">
        <f>'Net zero Activity data'!AS7*'Net zero supporting data'!Q68</f>
        <v>182977.32964387402</v>
      </c>
      <c r="R73">
        <f>'Net zero Activity data'!AT7*'Net zero supporting data'!R68</f>
        <v>211506.30171567816</v>
      </c>
      <c r="S73">
        <f>'Net zero Activity data'!AU7*'Net zero supporting data'!S68</f>
        <v>240867.70149654977</v>
      </c>
      <c r="T73">
        <f>'Net zero Activity data'!AV7*'Net zero supporting data'!T68</f>
        <v>270951.94833940122</v>
      </c>
      <c r="U73">
        <f>'Net zero Activity data'!AW7*'Net zero supporting data'!U68</f>
        <v>288266.90178840241</v>
      </c>
      <c r="V73">
        <f>'Net zero Activity data'!AX7*'Net zero supporting data'!V68</f>
        <v>305887.2342797296</v>
      </c>
      <c r="W73">
        <f>'Net zero Activity data'!AY7*'Net zero supporting data'!W68</f>
        <v>324087.37820601824</v>
      </c>
      <c r="X73">
        <f>'Net zero Activity data'!AZ7*'Net zero supporting data'!X68</f>
        <v>343249.11293742165</v>
      </c>
      <c r="Y73">
        <f>'Net zero Activity data'!BA7*'Net zero supporting data'!Y68</f>
        <v>362573.38316971541</v>
      </c>
      <c r="Z73">
        <f>'Net zero Activity data'!BB7*'Net zero supporting data'!Z68</f>
        <v>382432.59302187985</v>
      </c>
      <c r="AA73">
        <f>'Net zero Activity data'!BC7*'Net zero supporting data'!AA68</f>
        <v>403090.15103914065</v>
      </c>
      <c r="AB73">
        <f>'Net zero Activity data'!BD7*'Net zero supporting data'!AB68</f>
        <v>423798.96088467631</v>
      </c>
      <c r="AC73">
        <f>'Net zero Activity data'!BE7*'Net zero supporting data'!AC68</f>
        <v>444888.11122812855</v>
      </c>
      <c r="AD73">
        <f>'Net zero Activity data'!BF7*'Net zero supporting data'!AD68</f>
        <v>466371.37220910756</v>
      </c>
      <c r="AE73">
        <f>'Net zero Activity data'!BG7*'Net zero supporting data'!AE68</f>
        <v>488632.05701629224</v>
      </c>
      <c r="AF73">
        <f>'Net zero Activity data'!BH7*'Net zero supporting data'!AF68</f>
        <v>511047.1635646327</v>
      </c>
      <c r="AG73">
        <f>'Net zero Activity data'!BI7*'Net zero supporting data'!AG68</f>
        <v>534144.4788130091</v>
      </c>
      <c r="AH73">
        <f>'Net zero Activity data'!BJ7*'Net zero supporting data'!AH68</f>
        <v>557981.71221101109</v>
      </c>
      <c r="AI73">
        <f>'Net zero Activity data'!BK7*'Net zero supporting data'!AI68</f>
        <v>582641.47794257803</v>
      </c>
      <c r="AJ73">
        <f>'Net zero Activity data'!BL7*'Net zero supporting data'!AJ68</f>
        <v>607922.66328031744</v>
      </c>
      <c r="AK73">
        <f>'Net zero Activity data'!BM7*'Net zero supporting data'!AK68</f>
        <v>626913.38857784693</v>
      </c>
      <c r="AL73">
        <f>'Net zero Activity data'!BN7*'Net zero supporting data'!AL68</f>
        <v>645394.86336957454</v>
      </c>
      <c r="AM73">
        <f>'Net zero Activity data'!BO7*'Net zero supporting data'!AM68</f>
        <v>663025.6134360237</v>
      </c>
      <c r="AN73">
        <f>'Net zero Activity data'!BP7*'Net zero supporting data'!AN68</f>
        <v>680426.76213954482</v>
      </c>
    </row>
    <row r="74" spans="1:40" x14ac:dyDescent="0.3">
      <c r="A74" t="s">
        <v>1353</v>
      </c>
      <c r="B74">
        <f>'Net zero Activity data'!AD8*'Net zero supporting data'!B69</f>
        <v>0</v>
      </c>
      <c r="C74">
        <f>'Net zero Activity data'!AE8*'Net zero supporting data'!C69</f>
        <v>0</v>
      </c>
      <c r="D74">
        <f>'Net zero Activity data'!AF8*'Net zero supporting data'!D69</f>
        <v>0</v>
      </c>
      <c r="E74">
        <f>'Net zero Activity data'!AG8*'Net zero supporting data'!E69</f>
        <v>0</v>
      </c>
      <c r="F74">
        <f>'Net zero Activity data'!AH8*'Net zero supporting data'!F69</f>
        <v>0</v>
      </c>
      <c r="G74">
        <f>'Net zero Activity data'!AI8*'Net zero supporting data'!G69</f>
        <v>0</v>
      </c>
      <c r="H74">
        <f>'Net zero Activity data'!AJ8*'Net zero supporting data'!H69</f>
        <v>0</v>
      </c>
      <c r="I74">
        <f>'Net zero Activity data'!AK8*'Net zero supporting data'!I69</f>
        <v>0</v>
      </c>
      <c r="J74">
        <f>'Net zero Activity data'!AL8*'Net zero supporting data'!J69</f>
        <v>0</v>
      </c>
      <c r="K74">
        <f>'Net zero Activity data'!AM8*'Net zero supporting data'!K69</f>
        <v>190168.40921600885</v>
      </c>
      <c r="L74">
        <f>'Net zero Activity data'!AN8*'Net zero supporting data'!L69</f>
        <v>391677.52198977733</v>
      </c>
      <c r="M74">
        <f>'Net zero Activity data'!AO8*'Net zero supporting data'!M69</f>
        <v>590913.5872202114</v>
      </c>
      <c r="N74">
        <f>'Net zero Activity data'!AP8*'Net zero supporting data'!N69</f>
        <v>794417.96933356079</v>
      </c>
      <c r="O74">
        <f>'Net zero Activity data'!AQ8*'Net zero supporting data'!O69</f>
        <v>1004414.8855418083</v>
      </c>
      <c r="P74">
        <f>'Net zero Activity data'!AR8*'Net zero supporting data'!P69</f>
        <v>1220979.0186320427</v>
      </c>
      <c r="Q74">
        <f>'Net zero Activity data'!AS8*'Net zero supporting data'!Q69</f>
        <v>1445925.0757621571</v>
      </c>
      <c r="R74">
        <f>'Net zero Activity data'!AT8*'Net zero supporting data'!R69</f>
        <v>1677112.6399186829</v>
      </c>
      <c r="S74">
        <f>'Net zero Activity data'!AU8*'Net zero supporting data'!S69</f>
        <v>1917911.5141654236</v>
      </c>
      <c r="T74">
        <f>'Net zero Activity data'!AV8*'Net zero supporting data'!T69</f>
        <v>2165291.2017445057</v>
      </c>
      <c r="U74">
        <f>'Net zero Activity data'!AW8*'Net zero supporting data'!U69</f>
        <v>2297001.2666088161</v>
      </c>
      <c r="V74">
        <f>'Net zero Activity data'!AX8*'Net zero supporting data'!V69</f>
        <v>2426549.3580025751</v>
      </c>
      <c r="W74">
        <f>'Net zero Activity data'!AY8*'Net zero supporting data'!W69</f>
        <v>2559120.8582435152</v>
      </c>
      <c r="X74">
        <f>'Net zero Activity data'!AZ8*'Net zero supporting data'!X69</f>
        <v>2701484.8228850402</v>
      </c>
      <c r="Y74">
        <f>'Net zero Activity data'!BA8*'Net zero supporting data'!Y69</f>
        <v>2837343.0666249455</v>
      </c>
      <c r="Z74">
        <f>'Net zero Activity data'!BB8*'Net zero supporting data'!Z69</f>
        <v>2976658.1135838232</v>
      </c>
      <c r="AA74">
        <f>'Net zero Activity data'!BC8*'Net zero supporting data'!AA69</f>
        <v>3120662.1270086765</v>
      </c>
      <c r="AB74">
        <f>'Net zero Activity data'!BD8*'Net zero supporting data'!AB69</f>
        <v>3255316.5545258466</v>
      </c>
      <c r="AC74">
        <f>'Net zero Activity data'!BE8*'Net zero supporting data'!AC69</f>
        <v>3386398.8534294763</v>
      </c>
      <c r="AD74">
        <f>'Net zero Activity data'!BF8*'Net zero supporting data'!AD69</f>
        <v>3513835.6588295633</v>
      </c>
      <c r="AE74">
        <f>'Net zero Activity data'!BG8*'Net zero supporting data'!AE69</f>
        <v>3665221.5085364534</v>
      </c>
      <c r="AF74">
        <f>'Net zero Activity data'!BH8*'Net zero supporting data'!AF69</f>
        <v>3810334.8863620497</v>
      </c>
      <c r="AG74">
        <f>'Net zero Activity data'!BI8*'Net zero supporting data'!AG69</f>
        <v>3957478.2030930887</v>
      </c>
      <c r="AH74">
        <f>'Net zero Activity data'!BJ8*'Net zero supporting data'!AH69</f>
        <v>4107014.1117399898</v>
      </c>
      <c r="AI74">
        <f>'Net zero Activity data'!BK8*'Net zero supporting data'!AI69</f>
        <v>4259618.3195972051</v>
      </c>
      <c r="AJ74">
        <f>'Net zero Activity data'!BL8*'Net zero supporting data'!AJ69</f>
        <v>4414914.9325310113</v>
      </c>
      <c r="AK74">
        <f>'Net zero Activity data'!BM8*'Net zero supporting data'!AK69</f>
        <v>4469444.1566326497</v>
      </c>
      <c r="AL74">
        <f>'Net zero Activity data'!BN8*'Net zero supporting data'!AL69</f>
        <v>4511000.5794955073</v>
      </c>
      <c r="AM74">
        <f>'Net zero Activity data'!BO8*'Net zero supporting data'!AM69</f>
        <v>4535429.8100613495</v>
      </c>
      <c r="AN74">
        <f>'Net zero Activity data'!BP8*'Net zero supporting data'!AN69</f>
        <v>4551993.6321388474</v>
      </c>
    </row>
    <row r="75" spans="1:40" x14ac:dyDescent="0.3">
      <c r="A75" t="s">
        <v>1008</v>
      </c>
      <c r="B75">
        <f>'Net zero Activity data'!AD10*'Net zero supporting data'!B70</f>
        <v>0</v>
      </c>
      <c r="C75">
        <f>'Net zero Activity data'!AE10*'Net zero supporting data'!C70</f>
        <v>0</v>
      </c>
      <c r="D75">
        <f>'Net zero Activity data'!AF10*'Net zero supporting data'!D70</f>
        <v>0</v>
      </c>
      <c r="E75">
        <f>'Net zero Activity data'!AG10*'Net zero supporting data'!E70</f>
        <v>0</v>
      </c>
      <c r="F75">
        <f>'Net zero Activity data'!AH10*'Net zero supporting data'!F70</f>
        <v>0</v>
      </c>
      <c r="G75">
        <f>'Net zero Activity data'!AI10*'Net zero supporting data'!G70</f>
        <v>0</v>
      </c>
      <c r="H75">
        <f>'Net zero Activity data'!AJ10*'Net zero supporting data'!H70</f>
        <v>0</v>
      </c>
      <c r="I75">
        <f>'Net zero Activity data'!AK10*'Net zero supporting data'!I70</f>
        <v>0</v>
      </c>
      <c r="J75">
        <f>'Net zero Activity data'!AL10*'Net zero supporting data'!J70</f>
        <v>0</v>
      </c>
      <c r="K75">
        <f>'Net zero Activity data'!AM10*'Net zero supporting data'!K70</f>
        <v>24484.50315933094</v>
      </c>
      <c r="L75">
        <f>'Net zero Activity data'!AN10*'Net zero supporting data'!L70</f>
        <v>51627.430930195893</v>
      </c>
      <c r="M75">
        <f>'Net zero Activity data'!AO10*'Net zero supporting data'!M70</f>
        <v>79716.211645529009</v>
      </c>
      <c r="N75">
        <f>'Net zero Activity data'!AP10*'Net zero supporting data'!N70</f>
        <v>109654.22057462856</v>
      </c>
      <c r="O75">
        <f>'Net zero Activity data'!AQ10*'Net zero supporting data'!O70</f>
        <v>141819.42810515809</v>
      </c>
      <c r="P75">
        <f>'Net zero Activity data'!AR10*'Net zero supporting data'!P70</f>
        <v>176310.71637075799</v>
      </c>
      <c r="Q75">
        <f>'Net zero Activity data'!AS10*'Net zero supporting data'!Q70</f>
        <v>213488.25284427198</v>
      </c>
      <c r="R75">
        <f>'Net zero Activity data'!AT10*'Net zero supporting data'!R70</f>
        <v>253142.64659205437</v>
      </c>
      <c r="S75">
        <f>'Net zero Activity data'!AU10*'Net zero supporting data'!S70</f>
        <v>295890.1956489702</v>
      </c>
      <c r="T75">
        <f>'Net zero Activity data'!AV10*'Net zero supporting data'!T70</f>
        <v>341387.46146334807</v>
      </c>
      <c r="U75">
        <f>'Net zero Activity data'!AW10*'Net zero supporting data'!U70</f>
        <v>374163.32144693658</v>
      </c>
      <c r="V75">
        <f>'Net zero Activity data'!AX10*'Net zero supporting data'!V70</f>
        <v>408398.88967757317</v>
      </c>
      <c r="W75">
        <f>'Net zero Activity data'!AY10*'Net zero supporting data'!W70</f>
        <v>445058.73831088969</v>
      </c>
      <c r="X75">
        <f>'Net zero Activity data'!AZ10*'Net zero supporting data'!X70</f>
        <v>485517.26107075787</v>
      </c>
      <c r="Y75">
        <f>'Net zero Activity data'!BA10*'Net zero supporting data'!Y70</f>
        <v>527039.12234358815</v>
      </c>
      <c r="Z75">
        <f>'Net zero Activity data'!BB10*'Net zero supporting data'!Z70</f>
        <v>571545.51614107343</v>
      </c>
      <c r="AA75">
        <f>'Net zero Activity data'!BC10*'Net zero supporting data'!AA70</f>
        <v>619484.2265220189</v>
      </c>
      <c r="AB75">
        <f>'Net zero Activity data'!BD10*'Net zero supporting data'!AB70</f>
        <v>668217.72711748024</v>
      </c>
      <c r="AC75">
        <f>'Net zero Activity data'!BE10*'Net zero supporting data'!AC70</f>
        <v>718940.15024502843</v>
      </c>
      <c r="AD75">
        <f>'Net zero Activity data'!BF10*'Net zero supporting data'!AD70</f>
        <v>771726.97029015049</v>
      </c>
      <c r="AE75">
        <f>'Net zero Activity data'!BG10*'Net zero supporting data'!AE70</f>
        <v>827687.68506813212</v>
      </c>
      <c r="AF75">
        <f>'Net zero Activity data'!BH10*'Net zero supporting data'!AF70</f>
        <v>884819.41706182819</v>
      </c>
      <c r="AG75">
        <f>'Net zero Activity data'!BI10*'Net zero supporting data'!AG70</f>
        <v>945108.85361319792</v>
      </c>
      <c r="AH75">
        <f>'Net zero Activity data'!BJ10*'Net zero supporting data'!AH70</f>
        <v>1008819.0217124636</v>
      </c>
      <c r="AI75">
        <f>'Net zero Activity data'!BK10*'Net zero supporting data'!AI70</f>
        <v>1076313.815150823</v>
      </c>
      <c r="AJ75">
        <f>'Net zero Activity data'!BL10*'Net zero supporting data'!AJ70</f>
        <v>1147716.4579437214</v>
      </c>
      <c r="AK75">
        <f>'Net zero Activity data'!BM10*'Net zero supporting data'!AK70</f>
        <v>1195578.9703608395</v>
      </c>
      <c r="AL75">
        <f>'Net zero Activity data'!BN10*'Net zero supporting data'!AL70</f>
        <v>1241893.1109404138</v>
      </c>
      <c r="AM75">
        <f>'Net zero Activity data'!BO10*'Net zero supporting data'!AM70</f>
        <v>1285275.5448183757</v>
      </c>
      <c r="AN75">
        <f>'Net zero Activity data'!BP10*'Net zero supporting data'!AN70</f>
        <v>1328102.7862496991</v>
      </c>
    </row>
    <row r="76" spans="1:40" x14ac:dyDescent="0.3">
      <c r="A76" t="s">
        <v>1030</v>
      </c>
      <c r="B76" s="11">
        <f>'Net zero Activity data'!AD5-'Net zero supporting data'!B71</f>
        <v>590059.9281599375</v>
      </c>
      <c r="C76" s="11">
        <f>'Net zero Activity data'!AE5-'Net zero supporting data'!C71</f>
        <v>593358.66490468476</v>
      </c>
      <c r="D76" s="11">
        <f>'Net zero Activity data'!AF5-'Net zero supporting data'!D71</f>
        <v>598039.0074127327</v>
      </c>
      <c r="E76" s="11">
        <f>'Net zero Activity data'!AG5-'Net zero supporting data'!E71</f>
        <v>601046.62603335571</v>
      </c>
      <c r="F76" s="11">
        <f>'Net zero Activity data'!AH5-'Net zero supporting data'!F71</f>
        <v>603045.20236245089</v>
      </c>
      <c r="G76" s="11">
        <f>'Net zero Activity data'!AI5-'Net zero supporting data'!G71</f>
        <v>604015.06594627816</v>
      </c>
      <c r="H76" s="11">
        <f>'Net zero Activity data'!AJ5-'Net zero supporting data'!H71</f>
        <v>606157.85554919671</v>
      </c>
      <c r="I76" s="11">
        <f>'Net zero Activity data'!AK5-'Net zero supporting data'!I71</f>
        <v>608615.99513645703</v>
      </c>
      <c r="J76" s="11">
        <f>'Net zero Activity data'!AL5-'Net zero supporting data'!J71</f>
        <v>590321.24202673463</v>
      </c>
      <c r="K76" s="11">
        <f>'Net zero Activity data'!AM5-'Net zero supporting data'!K71</f>
        <v>572667.39852130145</v>
      </c>
      <c r="L76" s="11">
        <f>'Net zero Activity data'!AN5-'Net zero supporting data'!L71</f>
        <v>557165.23150488746</v>
      </c>
      <c r="M76" s="11">
        <f>'Net zero Activity data'!AO5-'Net zero supporting data'!M71</f>
        <v>537084.93741562206</v>
      </c>
      <c r="N76" s="11">
        <f>'Net zero Activity data'!AP5-'Net zero supporting data'!N71</f>
        <v>517193.05827945977</v>
      </c>
      <c r="O76" s="11">
        <f>'Net zero Activity data'!AQ5-'Net zero supporting data'!O71</f>
        <v>497548.31056369451</v>
      </c>
      <c r="P76" s="11">
        <f>'Net zero Activity data'!AR5-'Net zero supporting data'!P71</f>
        <v>477505.52749155206</v>
      </c>
      <c r="Q76" s="11">
        <f>'Net zero Activity data'!AS5-'Net zero supporting data'!Q71</f>
        <v>457443.32410968491</v>
      </c>
      <c r="R76" s="11">
        <f>'Net zero Activity data'!AT5-'Net zero supporting data'!R71</f>
        <v>436966.1441695434</v>
      </c>
      <c r="S76" s="11">
        <f>'Net zero Activity data'!AU5-'Net zero supporting data'!S71</f>
        <v>416314.54579650564</v>
      </c>
      <c r="T76" s="11">
        <f>'Net zero Activity data'!AV5-'Net zero supporting data'!T71</f>
        <v>395138.25799496006</v>
      </c>
      <c r="U76" s="11">
        <f>'Net zero Activity data'!AW5-'Net zero supporting data'!U71</f>
        <v>387025.0070307253</v>
      </c>
      <c r="V76" s="11">
        <f>'Net zero Activity data'!AX5-'Net zero supporting data'!V71</f>
        <v>378496.83029562485</v>
      </c>
      <c r="W76" s="11">
        <f>'Net zero Activity data'!AY5-'Net zero supporting data'!W71</f>
        <v>369882.33382208587</v>
      </c>
      <c r="X76" s="11">
        <f>'Net zero Activity data'!AZ5-'Net zero supporting data'!X71</f>
        <v>361523.949968812</v>
      </c>
      <c r="Y76" s="11">
        <f>'Net zero Activity data'!BA5-'Net zero supporting data'!Y71</f>
        <v>352501.90030388976</v>
      </c>
      <c r="Z76" s="11">
        <f>'Net zero Activity data'!BB5-'Net zero supporting data'!Z71</f>
        <v>343208.73732732784</v>
      </c>
      <c r="AA76" s="11">
        <f>'Net zero Activity data'!BC5-'Net zero supporting data'!AA71</f>
        <v>333834.95019188063</v>
      </c>
      <c r="AB76" s="11">
        <f>'Net zero Activity data'!BD5-'Net zero supporting data'!AB71</f>
        <v>323735.31734246074</v>
      </c>
      <c r="AC76" s="11">
        <f>'Net zero Activity data'!BE5-'Net zero supporting data'!AC71</f>
        <v>313211.457617504</v>
      </c>
      <c r="AD76" s="11">
        <f>'Net zero Activity data'!BF5-'Net zero supporting data'!AD71</f>
        <v>302277.74124664377</v>
      </c>
      <c r="AE76" s="11">
        <f>'Net zero Activity data'!BG5-'Net zero supporting data'!AE71</f>
        <v>291165.15942279057</v>
      </c>
      <c r="AF76" s="11">
        <f>'Net zero Activity data'!BH5-'Net zero supporting data'!AF71</f>
        <v>279478.91757440846</v>
      </c>
      <c r="AG76" s="11">
        <f>'Net zero Activity data'!BI5-'Net zero supporting data'!AG71</f>
        <v>267521.85597116186</v>
      </c>
      <c r="AH76" s="11">
        <f>'Net zero Activity data'!BJ5-'Net zero supporting data'!AH71</f>
        <v>255285.75068477623</v>
      </c>
      <c r="AI76" s="11">
        <f>'Net zero Activity data'!BK5-'Net zero supporting data'!AI71</f>
        <v>242767.28247607406</v>
      </c>
      <c r="AJ76" s="11">
        <f>'Net zero Activity data'!BL5-'Net zero supporting data'!AJ71</f>
        <v>229847.30324641615</v>
      </c>
      <c r="AK76" s="11">
        <f>'Net zero Activity data'!BM5-'Net zero supporting data'!AK71</f>
        <v>214148.34219438443</v>
      </c>
      <c r="AL76" s="11">
        <f>'Net zero Activity data'!BN5-'Net zero supporting data'!AL71</f>
        <v>198147.5457713604</v>
      </c>
      <c r="AM76" s="11">
        <f>'Net zero Activity data'!BO5-'Net zero supporting data'!AM71</f>
        <v>181812.57918295509</v>
      </c>
      <c r="AN76" s="11">
        <f>'Net zero Activity data'!BP5-'Net zero supporting data'!AN71</f>
        <v>165381.50468669483</v>
      </c>
    </row>
    <row r="77" spans="1:40" x14ac:dyDescent="0.3">
      <c r="A77" t="s">
        <v>1111</v>
      </c>
      <c r="B77" s="11">
        <f>'Net zero Activity data'!AD6-'Net zero supporting data'!B72</f>
        <v>488906.79761823389</v>
      </c>
      <c r="C77" s="11">
        <f>'Net zero Activity data'!AE6-'Net zero supporting data'!C72</f>
        <v>491640.03663531021</v>
      </c>
      <c r="D77" s="11">
        <f>'Net zero Activity data'!AF6-'Net zero supporting data'!D72</f>
        <v>495518.03471340711</v>
      </c>
      <c r="E77" s="11">
        <f>'Net zero Activity data'!AG6-'Net zero supporting data'!E72</f>
        <v>498010.06157049473</v>
      </c>
      <c r="F77" s="11">
        <f>'Net zero Activity data'!AH6-'Net zero supporting data'!F72</f>
        <v>499666.02481460216</v>
      </c>
      <c r="G77" s="11">
        <f>'Net zero Activity data'!AI6-'Net zero supporting data'!G72</f>
        <v>500469.62606977334</v>
      </c>
      <c r="H77" s="11">
        <f>'Net zero Activity data'!AJ6-'Net zero supporting data'!H72</f>
        <v>502245.08031219151</v>
      </c>
      <c r="I77" s="11">
        <f>'Net zero Activity data'!AK6-'Net zero supporting data'!I72</f>
        <v>504281.82454163581</v>
      </c>
      <c r="J77" s="11">
        <f>'Net zero Activity data'!AL6-'Net zero supporting data'!J72</f>
        <v>489123.3148221515</v>
      </c>
      <c r="K77" s="11">
        <f>'Net zero Activity data'!AM6-'Net zero supporting data'!K72</f>
        <v>474495.84448907839</v>
      </c>
      <c r="L77" s="11">
        <f>'Net zero Activity data'!AN6-'Net zero supporting data'!L72</f>
        <v>461651.19181833533</v>
      </c>
      <c r="M77" s="11">
        <f>'Net zero Activity data'!AO6-'Net zero supporting data'!M72</f>
        <v>445013.23385865835</v>
      </c>
      <c r="N77" s="11">
        <f>'Net zero Activity data'!AP6-'Net zero supporting data'!N72</f>
        <v>428531.39114583813</v>
      </c>
      <c r="O77" s="11">
        <f>'Net zero Activity data'!AQ6-'Net zero supporting data'!O72</f>
        <v>412254.31446706119</v>
      </c>
      <c r="P77" s="11">
        <f>'Net zero Activity data'!AR6-'Net zero supporting data'!P72</f>
        <v>395647.43706442881</v>
      </c>
      <c r="Q77" s="11">
        <f>'Net zero Activity data'!AS6-'Net zero supporting data'!Q72</f>
        <v>379024.4685480246</v>
      </c>
      <c r="R77" s="11">
        <f>'Net zero Activity data'!AT6-'Net zero supporting data'!R72</f>
        <v>362057.66231190739</v>
      </c>
      <c r="S77" s="11">
        <f>'Net zero Activity data'!AU6-'Net zero supporting data'!S72</f>
        <v>344946.33794567618</v>
      </c>
      <c r="T77" s="11">
        <f>'Net zero Activity data'!AV6-'Net zero supporting data'!T72</f>
        <v>327400.27091010974</v>
      </c>
      <c r="U77" s="11">
        <f>'Net zero Activity data'!AW6-'Net zero supporting data'!U72</f>
        <v>320677.86296831525</v>
      </c>
      <c r="V77" s="11">
        <f>'Net zero Activity data'!AX6-'Net zero supporting data'!V72</f>
        <v>313611.65938780346</v>
      </c>
      <c r="W77" s="11">
        <f>'Net zero Activity data'!AY6-'Net zero supporting data'!W72</f>
        <v>306473.93373829976</v>
      </c>
      <c r="X77" s="11">
        <f>'Net zero Activity data'!AZ6-'Net zero supporting data'!X72</f>
        <v>299548.41568844422</v>
      </c>
      <c r="Y77" s="11">
        <f>'Net zero Activity data'!BA6-'Net zero supporting data'!Y72</f>
        <v>292073.00310893724</v>
      </c>
      <c r="Z77" s="11">
        <f>'Net zero Activity data'!BB6-'Net zero supporting data'!Z72</f>
        <v>284372.9537855002</v>
      </c>
      <c r="AA77" s="11">
        <f>'Net zero Activity data'!BC6-'Net zero supporting data'!AA72</f>
        <v>276606.10158755822</v>
      </c>
      <c r="AB77" s="11">
        <f>'Net zero Activity data'!BD6-'Net zero supporting data'!AB72</f>
        <v>268237.83436946751</v>
      </c>
      <c r="AC77" s="11">
        <f>'Net zero Activity data'!BE6-'Net zero supporting data'!AC72</f>
        <v>259518.06488307472</v>
      </c>
      <c r="AD77" s="11">
        <f>'Net zero Activity data'!BF6-'Net zero supporting data'!AD72</f>
        <v>250458.6998900763</v>
      </c>
      <c r="AE77" s="11">
        <f>'Net zero Activity data'!BG6-'Net zero supporting data'!AE72</f>
        <v>241251.13209316932</v>
      </c>
      <c r="AF77" s="11">
        <f>'Net zero Activity data'!BH6-'Net zero supporting data'!AF72</f>
        <v>231568.24599022412</v>
      </c>
      <c r="AG77" s="11">
        <f>'Net zero Activity data'!BI6-'Net zero supporting data'!AG72</f>
        <v>221660.96637610556</v>
      </c>
      <c r="AH77" s="11">
        <f>'Net zero Activity data'!BJ6-'Net zero supporting data'!AH72</f>
        <v>211522.47913881461</v>
      </c>
      <c r="AI77" s="11">
        <f>'Net zero Activity data'!BK6-'Net zero supporting data'!AI72</f>
        <v>201150.03405160422</v>
      </c>
      <c r="AJ77" s="11">
        <f>'Net zero Activity data'!BL6-'Net zero supporting data'!AJ72</f>
        <v>190444.90840417339</v>
      </c>
      <c r="AK77" s="11">
        <f>'Net zero Activity data'!BM6-'Net zero supporting data'!AK72</f>
        <v>177437.19781820429</v>
      </c>
      <c r="AL77" s="11">
        <f>'Net zero Activity data'!BN6-'Net zero supporting data'!AL72</f>
        <v>164179.39506769867</v>
      </c>
      <c r="AM77" s="11">
        <f>'Net zero Activity data'!BO6-'Net zero supporting data'!AM72</f>
        <v>150644.70846587699</v>
      </c>
      <c r="AN77" s="11">
        <f>'Net zero Activity data'!BP6-'Net zero supporting data'!AN72</f>
        <v>137030.38959754712</v>
      </c>
    </row>
    <row r="78" spans="1:40" x14ac:dyDescent="0.3">
      <c r="A78" t="s">
        <v>1112</v>
      </c>
      <c r="B78" s="11">
        <f>'Net zero Activity data'!AD7-'Net zero supporting data'!B73</f>
        <v>606918.78325022152</v>
      </c>
      <c r="C78" s="11">
        <f>'Net zero Activity data'!AE7-'Net zero supporting data'!C73</f>
        <v>610311.76961624727</v>
      </c>
      <c r="D78" s="11">
        <f>'Net zero Activity data'!AF7-'Net zero supporting data'!D73</f>
        <v>615125.83619595377</v>
      </c>
      <c r="E78" s="11">
        <f>'Net zero Activity data'!AG7-'Net zero supporting data'!E73</f>
        <v>618219.38677716604</v>
      </c>
      <c r="F78" s="11">
        <f>'Net zero Activity data'!AH7-'Net zero supporting data'!F73</f>
        <v>620275.06528709247</v>
      </c>
      <c r="G78" s="11">
        <f>'Net zero Activity data'!AI7-'Net zero supporting data'!G73</f>
        <v>621272.63925902906</v>
      </c>
      <c r="H78" s="11">
        <f>'Net zero Activity data'!AJ7-'Net zero supporting data'!H73</f>
        <v>623476.65142203099</v>
      </c>
      <c r="I78" s="11">
        <f>'Net zero Activity data'!AK7-'Net zero supporting data'!I73</f>
        <v>626005.02356892731</v>
      </c>
      <c r="J78" s="11">
        <f>'Net zero Activity data'!AL7-'Net zero supporting data'!J73</f>
        <v>607187.56322749855</v>
      </c>
      <c r="K78" s="11">
        <f>'Net zero Activity data'!AM7-'Net zero supporting data'!K73</f>
        <v>589029.32419333875</v>
      </c>
      <c r="L78" s="11">
        <f>'Net zero Activity data'!AN7-'Net zero supporting data'!L73</f>
        <v>573084.23811931291</v>
      </c>
      <c r="M78" s="11">
        <f>'Net zero Activity data'!AO7-'Net zero supporting data'!M73</f>
        <v>552430.22134178295</v>
      </c>
      <c r="N78" s="11">
        <f>'Net zero Activity data'!AP7-'Net zero supporting data'!N73</f>
        <v>531970.00280173018</v>
      </c>
      <c r="O78" s="11">
        <f>'Net zero Activity data'!AQ7-'Net zero supporting data'!O73</f>
        <v>511763.97657980013</v>
      </c>
      <c r="P78" s="11">
        <f>'Net zero Activity data'!AR7-'Net zero supporting data'!P73</f>
        <v>491148.54256273934</v>
      </c>
      <c r="Q78" s="11">
        <f>'Net zero Activity data'!AS7-'Net zero supporting data'!Q73</f>
        <v>470513.1333699617</v>
      </c>
      <c r="R78" s="11">
        <f>'Net zero Activity data'!AT7-'Net zero supporting data'!R73</f>
        <v>449450.89114581607</v>
      </c>
      <c r="S78" s="11">
        <f>'Net zero Activity data'!AU7-'Net zero supporting data'!S73</f>
        <v>428209.24710497737</v>
      </c>
      <c r="T78" s="11">
        <f>'Net zero Activity data'!AV7-'Net zero supporting data'!T73</f>
        <v>406427.92250910186</v>
      </c>
      <c r="U78" s="11">
        <f>'Net zero Activity data'!AW7-'Net zero supporting data'!U73</f>
        <v>398082.86437446036</v>
      </c>
      <c r="V78" s="11">
        <f>'Net zero Activity data'!AX7-'Net zero supporting data'!V73</f>
        <v>389311.02544692851</v>
      </c>
      <c r="W78" s="11">
        <f>'Net zero Activity data'!AY7-'Net zero supporting data'!W73</f>
        <v>380450.40050271701</v>
      </c>
      <c r="X78" s="11">
        <f>'Net zero Activity data'!AZ7-'Net zero supporting data'!X73</f>
        <v>371853.20568220667</v>
      </c>
      <c r="Y78" s="11">
        <f>'Net zero Activity data'!BA7-'Net zero supporting data'!Y73</f>
        <v>362573.38316971529</v>
      </c>
      <c r="Z78" s="11">
        <f>'Net zero Activity data'!BB7-'Net zero supporting data'!Z73</f>
        <v>353014.70125096588</v>
      </c>
      <c r="AA78" s="11">
        <f>'Net zero Activity data'!BC7-'Net zero supporting data'!AA73</f>
        <v>343373.09162593447</v>
      </c>
      <c r="AB78" s="11">
        <f>'Net zero Activity data'!BD7-'Net zero supporting data'!AB73</f>
        <v>332984.8978379597</v>
      </c>
      <c r="AC78" s="11">
        <f>'Net zero Activity data'!BE7-'Net zero supporting data'!AC73</f>
        <v>322160.35640657565</v>
      </c>
      <c r="AD78" s="11">
        <f>'Net zero Activity data'!BF7-'Net zero supporting data'!AD73</f>
        <v>310914.2481394051</v>
      </c>
      <c r="AE78" s="11">
        <f>'Net zero Activity data'!BG7-'Net zero supporting data'!AE73</f>
        <v>299484.16397772753</v>
      </c>
      <c r="AF78" s="11">
        <f>'Net zero Activity data'!BH7-'Net zero supporting data'!AF73</f>
        <v>287464.02950510586</v>
      </c>
      <c r="AG78" s="11">
        <f>'Net zero Activity data'!BI7-'Net zero supporting data'!AG73</f>
        <v>275165.33757033793</v>
      </c>
      <c r="AH78" s="11">
        <f>'Net zero Activity data'!BJ7-'Net zero supporting data'!AH73</f>
        <v>262579.62927576993</v>
      </c>
      <c r="AI78" s="11">
        <f>'Net zero Activity data'!BK7-'Net zero supporting data'!AI73</f>
        <v>249703.49054681906</v>
      </c>
      <c r="AJ78" s="11">
        <f>'Net zero Activity data'!BL7-'Net zero supporting data'!AJ73</f>
        <v>236414.3690534567</v>
      </c>
      <c r="AK78" s="11">
        <f>'Net zero Activity data'!BM7-'Net zero supporting data'!AK73</f>
        <v>220266.86625708116</v>
      </c>
      <c r="AL78" s="11">
        <f>'Net zero Activity data'!BN7-'Net zero supporting data'!AL73</f>
        <v>203808.90422197082</v>
      </c>
      <c r="AM78" s="11">
        <f>'Net zero Activity data'!BO7-'Net zero supporting data'!AM73</f>
        <v>187007.22430246801</v>
      </c>
      <c r="AN78" s="11">
        <f>'Net zero Activity data'!BP7-'Net zero supporting data'!AN73</f>
        <v>170106.69053488621</v>
      </c>
    </row>
    <row r="79" spans="1:40" x14ac:dyDescent="0.3">
      <c r="A79" t="s">
        <v>1354</v>
      </c>
      <c r="B79" s="11">
        <f>'Net zero Activity data'!AD8-'Net zero supporting data'!B74</f>
        <v>5954880.1627134737</v>
      </c>
      <c r="C79" s="11">
        <f>'Net zero Activity data'!AE8-'Net zero supporting data'!C74</f>
        <v>5903235.3888004757</v>
      </c>
      <c r="D79" s="11">
        <f>'Net zero Activity data'!AF8-'Net zero supporting data'!D74</f>
        <v>5883575.7867908729</v>
      </c>
      <c r="E79" s="11">
        <f>'Net zero Activity data'!AG8-'Net zero supporting data'!E74</f>
        <v>5805008.3335930631</v>
      </c>
      <c r="F79" s="11">
        <f>'Net zero Activity data'!AH8-'Net zero supporting data'!F74</f>
        <v>5690965.7565264786</v>
      </c>
      <c r="G79" s="11">
        <f>'Net zero Activity data'!AI8-'Net zero supporting data'!G74</f>
        <v>5543806.2775503108</v>
      </c>
      <c r="H79" s="11">
        <f>'Net zero Activity data'!AJ8-'Net zero supporting data'!H74</f>
        <v>5427737.2925172504</v>
      </c>
      <c r="I79" s="11">
        <f>'Net zero Activity data'!AK8-'Net zero supporting data'!I74</f>
        <v>5317922.8374796044</v>
      </c>
      <c r="J79" s="11">
        <f>'Net zero Activity data'!AL8-'Net zero supporting data'!J74</f>
        <v>4678221.8105234597</v>
      </c>
      <c r="K79" s="11">
        <f>'Net zero Activity data'!AM8-'Net zero supporting data'!K74</f>
        <v>4564041.8211842123</v>
      </c>
      <c r="L79" s="11">
        <f>'Net zero Activity data'!AN8-'Net zero supporting data'!L74</f>
        <v>4504291.5028824387</v>
      </c>
      <c r="M79" s="11">
        <f>'Net zero Activity data'!AO8-'Net zero supporting data'!M74</f>
        <v>4333366.3062815499</v>
      </c>
      <c r="N79" s="11">
        <f>'Net zero Activity data'!AP8-'Net zero supporting data'!N74</f>
        <v>4170694.3390011941</v>
      </c>
      <c r="O79" s="11">
        <f>'Net zero Activity data'!AQ8-'Net zero supporting data'!O74</f>
        <v>4017659.5421672328</v>
      </c>
      <c r="P79" s="11">
        <f>'Net zero Activity data'!AR8-'Net zero supporting data'!P74</f>
        <v>3866433.5590014686</v>
      </c>
      <c r="Q79" s="11">
        <f>'Net zero Activity data'!AS8-'Net zero supporting data'!Q74</f>
        <v>3718093.0519598322</v>
      </c>
      <c r="R79" s="11">
        <f>'Net zero Activity data'!AT8-'Net zero supporting data'!R74</f>
        <v>3563864.3598272009</v>
      </c>
      <c r="S79" s="11">
        <f>'Net zero Activity data'!AU8-'Net zero supporting data'!S74</f>
        <v>3409620.4696274195</v>
      </c>
      <c r="T79" s="11">
        <f>'Net zero Activity data'!AV8-'Net zero supporting data'!T74</f>
        <v>3247936.8026167578</v>
      </c>
      <c r="U79" s="11">
        <f>'Net zero Activity data'!AW8-'Net zero supporting data'!U74</f>
        <v>3172049.3681740784</v>
      </c>
      <c r="V79" s="11">
        <f>'Net zero Activity data'!AX8-'Net zero supporting data'!V74</f>
        <v>3088335.5465487316</v>
      </c>
      <c r="W79" s="11">
        <f>'Net zero Activity data'!AY8-'Net zero supporting data'!W74</f>
        <v>3004185.3553293427</v>
      </c>
      <c r="X79" s="11">
        <f>'Net zero Activity data'!AZ8-'Net zero supporting data'!X74</f>
        <v>2926608.5581254596</v>
      </c>
      <c r="Y79" s="11">
        <f>'Net zero Activity data'!BA8-'Net zero supporting data'!Y74</f>
        <v>2837343.0666249446</v>
      </c>
      <c r="Z79" s="11">
        <f>'Net zero Activity data'!BB8-'Net zero supporting data'!Z74</f>
        <v>2747684.4125389126</v>
      </c>
      <c r="AA79" s="11">
        <f>'Net zero Activity data'!BC8-'Net zero supporting data'!AA74</f>
        <v>2658341.8118962785</v>
      </c>
      <c r="AB79" s="11">
        <f>'Net zero Activity data'!BD8-'Net zero supporting data'!AB74</f>
        <v>2557748.7214131635</v>
      </c>
      <c r="AC79" s="11">
        <f>'Net zero Activity data'!BE8-'Net zero supporting data'!AC74</f>
        <v>2452219.8593799635</v>
      </c>
      <c r="AD79" s="11">
        <f>'Net zero Activity data'!BF8-'Net zero supporting data'!AD74</f>
        <v>2342557.1058863755</v>
      </c>
      <c r="AE79" s="11">
        <f>'Net zero Activity data'!BG8-'Net zero supporting data'!AE74</f>
        <v>2246426.085877181</v>
      </c>
      <c r="AF79" s="11">
        <f>'Net zero Activity data'!BH8-'Net zero supporting data'!AF74</f>
        <v>2143313.3735786527</v>
      </c>
      <c r="AG79" s="11">
        <f>'Net zero Activity data'!BI8-'Net zero supporting data'!AG74</f>
        <v>2038700.8925025002</v>
      </c>
      <c r="AH79" s="11">
        <f>'Net zero Activity data'!BJ8-'Net zero supporting data'!AH74</f>
        <v>1932712.5231717597</v>
      </c>
      <c r="AI79" s="11">
        <f>'Net zero Activity data'!BK8-'Net zero supporting data'!AI74</f>
        <v>1825550.7083988022</v>
      </c>
      <c r="AJ79" s="11">
        <f>'Net zero Activity data'!BL8-'Net zero supporting data'!AJ74</f>
        <v>1716911.3626509476</v>
      </c>
      <c r="AK79" s="11">
        <f>'Net zero Activity data'!BM8-'Net zero supporting data'!AK74</f>
        <v>1570345.2442222815</v>
      </c>
      <c r="AL79" s="11">
        <f>'Net zero Activity data'!BN8-'Net zero supporting data'!AL74</f>
        <v>1424526.4987880541</v>
      </c>
      <c r="AM79" s="11">
        <f>'Net zero Activity data'!BO8-'Net zero supporting data'!AM74</f>
        <v>1279223.7925814055</v>
      </c>
      <c r="AN79" s="11">
        <f>'Net zero Activity data'!BP8-'Net zero supporting data'!AN74</f>
        <v>1137998.4080347111</v>
      </c>
    </row>
    <row r="80" spans="1:40" x14ac:dyDescent="0.3">
      <c r="A80" t="s">
        <v>1031</v>
      </c>
      <c r="B80" s="11">
        <f>'Net zero Activity data'!AD10-'Net zero supporting data'!B75</f>
        <v>541460.03376820497</v>
      </c>
      <c r="C80" s="11">
        <f>'Net zero Activity data'!AE10-'Net zero supporting data'!C75</f>
        <v>559717.10307730967</v>
      </c>
      <c r="D80" s="11">
        <f>'Net zero Activity data'!AF10-'Net zero supporting data'!D75</f>
        <v>581386.33409904351</v>
      </c>
      <c r="E80" s="11">
        <f>'Net zero Activity data'!AG10-'Net zero supporting data'!E75</f>
        <v>597546.77075746458</v>
      </c>
      <c r="F80" s="11">
        <f>'Net zero Activity data'!AH10-'Net zero supporting data'!F75</f>
        <v>610009.49754182238</v>
      </c>
      <c r="G80" s="11">
        <f>'Net zero Activity data'!AI10-'Net zero supporting data'!G75</f>
        <v>618596.39996388648</v>
      </c>
      <c r="H80" s="11">
        <f>'Net zero Activity data'!AJ10-'Net zero supporting data'!H75</f>
        <v>630321.10002649133</v>
      </c>
      <c r="I80" s="11">
        <f>'Net zero Activity data'!AK10-'Net zero supporting data'!I75</f>
        <v>642612.00897727197</v>
      </c>
      <c r="J80" s="11">
        <f>'Net zero Activity data'!AL10-'Net zero supporting data'!J75</f>
        <v>588158.61646480043</v>
      </c>
      <c r="K80" s="11">
        <f>'Net zero Activity data'!AM10-'Net zero supporting data'!K75</f>
        <v>587628.07582394255</v>
      </c>
      <c r="L80" s="11">
        <f>'Net zero Activity data'!AN10-'Net zero supporting data'!L75</f>
        <v>593715.45569725276</v>
      </c>
      <c r="M80" s="11">
        <f>'Net zero Activity data'!AO10-'Net zero supporting data'!M75</f>
        <v>584585.55206721276</v>
      </c>
      <c r="N80" s="11">
        <f>'Net zero Activity data'!AP10-'Net zero supporting data'!N75</f>
        <v>575684.65801679995</v>
      </c>
      <c r="O80" s="11">
        <f>'Net zero Activity data'!AQ10-'Net zero supporting data'!O75</f>
        <v>567277.71242063236</v>
      </c>
      <c r="P80" s="11">
        <f>'Net zero Activity data'!AR10-'Net zero supporting data'!P75</f>
        <v>558317.26850740018</v>
      </c>
      <c r="Q80" s="11">
        <f>'Net zero Activity data'!AS10-'Net zero supporting data'!Q75</f>
        <v>548969.79302812787</v>
      </c>
      <c r="R80" s="11">
        <f>'Net zero Activity data'!AT10-'Net zero supporting data'!R75</f>
        <v>537928.1240081155</v>
      </c>
      <c r="S80" s="11">
        <f>'Net zero Activity data'!AU10-'Net zero supporting data'!S75</f>
        <v>526027.01448705816</v>
      </c>
      <c r="T80" s="11">
        <f>'Net zero Activity data'!AV10-'Net zero supporting data'!T75</f>
        <v>512081.19219502207</v>
      </c>
      <c r="U80" s="11">
        <f>'Net zero Activity data'!AW10-'Net zero supporting data'!U75</f>
        <v>516701.729617198</v>
      </c>
      <c r="V80" s="11">
        <f>'Net zero Activity data'!AX10-'Net zero supporting data'!V75</f>
        <v>519780.40504418389</v>
      </c>
      <c r="W80" s="11">
        <f>'Net zero Activity data'!AY10-'Net zero supporting data'!W75</f>
        <v>522460.25801713124</v>
      </c>
      <c r="X80" s="11">
        <f>'Net zero Activity data'!AZ10-'Net zero supporting data'!X75</f>
        <v>525977.03282665415</v>
      </c>
      <c r="Y80" s="11">
        <f>'Net zero Activity data'!BA10-'Net zero supporting data'!Y75</f>
        <v>527039.12234358792</v>
      </c>
      <c r="Z80" s="11">
        <f>'Net zero Activity data'!BB10-'Net zero supporting data'!Z75</f>
        <v>527580.4764379136</v>
      </c>
      <c r="AA80" s="11">
        <f>'Net zero Activity data'!BC10-'Net zero supporting data'!AA75</f>
        <v>527708.78555579367</v>
      </c>
      <c r="AB80" s="11">
        <f>'Net zero Activity data'!BD10-'Net zero supporting data'!AB75</f>
        <v>525028.21416373411</v>
      </c>
      <c r="AC80" s="11">
        <f>'Net zero Activity data'!BE10-'Net zero supporting data'!AC75</f>
        <v>520611.83293605468</v>
      </c>
      <c r="AD80" s="11">
        <f>'Net zero Activity data'!BF10-'Net zero supporting data'!AD75</f>
        <v>514484.64686010033</v>
      </c>
      <c r="AE80" s="11">
        <f>'Net zero Activity data'!BG10-'Net zero supporting data'!AE75</f>
        <v>507292.45213853265</v>
      </c>
      <c r="AF80" s="11">
        <f>'Net zero Activity data'!BH10-'Net zero supporting data'!AF75</f>
        <v>497710.92209727841</v>
      </c>
      <c r="AG80" s="11">
        <f>'Net zero Activity data'!BI10-'Net zero supporting data'!AG75</f>
        <v>486874.25792195031</v>
      </c>
      <c r="AH80" s="11">
        <f>'Net zero Activity data'!BJ10-'Net zero supporting data'!AH75</f>
        <v>474738.36315880623</v>
      </c>
      <c r="AI80" s="11">
        <f>'Net zero Activity data'!BK10-'Net zero supporting data'!AI75</f>
        <v>461277.34935035254</v>
      </c>
      <c r="AJ80" s="11">
        <f>'Net zero Activity data'!BL10-'Net zero supporting data'!AJ75</f>
        <v>446334.17808922497</v>
      </c>
      <c r="AK80" s="11">
        <f>'Net zero Activity data'!BM10-'Net zero supporting data'!AK75</f>
        <v>420068.28688353812</v>
      </c>
      <c r="AL80" s="11">
        <f>'Net zero Activity data'!BN10-'Net zero supporting data'!AL75</f>
        <v>392176.77187591977</v>
      </c>
      <c r="AM80" s="11">
        <f>'Net zero Activity data'!BO10-'Net zero supporting data'!AM75</f>
        <v>362513.61520518269</v>
      </c>
      <c r="AN80" s="11">
        <f>'Net zero Activity data'!BP10-'Net zero supporting data'!AN75</f>
        <v>332025.69656242477</v>
      </c>
    </row>
    <row r="82" spans="1:48" x14ac:dyDescent="0.3">
      <c r="A82" t="s">
        <v>1365</v>
      </c>
      <c r="B82">
        <f>'Intermediate calculations'!Y16-(('Intermediate calculations'!Y16-'Net zero supporting data'!B99)+('Intermediate calculations'!Y16-'Net zero supporting data'!B63))</f>
        <v>0.59036032260533733</v>
      </c>
      <c r="C82">
        <f>'Intermediate calculations'!Z16-(('Intermediate calculations'!Z16-'Net zero supporting data'!C99)+('Intermediate calculations'!Z16-'Net zero supporting data'!C63))</f>
        <v>0.58537997662592556</v>
      </c>
      <c r="D82">
        <f>'Intermediate calculations'!AA16-(('Intermediate calculations'!AA16-'Net zero supporting data'!D99)+('Intermediate calculations'!AA16-'Net zero supporting data'!D63))</f>
        <v>0.58070166069623075</v>
      </c>
      <c r="E82">
        <f>'Intermediate calculations'!AB16-(('Intermediate calculations'!AB16-'Net zero supporting data'!E99)+('Intermediate calculations'!AB16-'Net zero supporting data'!E63))</f>
        <v>0.57629082711126922</v>
      </c>
      <c r="F82">
        <f>'Intermediate calculations'!AC16-(('Intermediate calculations'!AC16-'Net zero supporting data'!F99)+('Intermediate calculations'!AC16-'Net zero supporting data'!F63))</f>
        <v>0.57211853646492172</v>
      </c>
      <c r="G82">
        <f>'Intermediate calculations'!AD16-(('Intermediate calculations'!AD16-'Net zero supporting data'!G99)+('Intermediate calculations'!AD16-'Net zero supporting data'!G63))</f>
        <v>0.56816030581489985</v>
      </c>
      <c r="H82">
        <f>'Intermediate calculations'!AE16-(('Intermediate calculations'!AE16-'Net zero supporting data'!H99)+('Intermediate calculations'!AE16-'Net zero supporting data'!H63))</f>
        <v>0.56439523816734538</v>
      </c>
      <c r="I82">
        <f>'Intermediate calculations'!AF16-(('Intermediate calculations'!AF16-'Net zero supporting data'!I99)+('Intermediate calculations'!AF16-'Net zero supporting data'!I63))</f>
        <v>0.56080535465675874</v>
      </c>
      <c r="J82">
        <f>'Intermediate calculations'!AG16-(('Intermediate calculations'!AG16-'Net zero supporting data'!J99)+('Intermediate calculations'!AG16-'Net zero supporting data'!J63))</f>
        <v>0.5573750752965374</v>
      </c>
      <c r="K82">
        <f>'Intermediate calculations'!AH16-(('Intermediate calculations'!AH16-'Net zero supporting data'!K99)+('Intermediate calculations'!AH16-'Net zero supporting data'!K63))</f>
        <v>0.54965808383826509</v>
      </c>
      <c r="L82">
        <f>'Intermediate calculations'!AI16-(('Intermediate calculations'!AI16-'Net zero supporting data'!L99)+('Intermediate calculations'!AI16-'Net zero supporting data'!L63))</f>
        <v>0.54212558484381212</v>
      </c>
      <c r="M82">
        <f>'Intermediate calculations'!AJ16-(('Intermediate calculations'!AJ16-'Net zero supporting data'!M99)+('Intermediate calculations'!AJ16-'Net zero supporting data'!M63))</f>
        <v>0.53476409161581684</v>
      </c>
      <c r="N82">
        <f>'Intermediate calculations'!AK16-(('Intermediate calculations'!AK16-'Net zero supporting data'!N99)+('Intermediate calculations'!AK16-'Net zero supporting data'!N63))</f>
        <v>0.52756160766037774</v>
      </c>
      <c r="O82">
        <f>'Intermediate calculations'!AL16-(('Intermediate calculations'!AL16-'Net zero supporting data'!O99)+('Intermediate calculations'!AL16-'Net zero supporting data'!O63))</f>
        <v>0.52050741252183164</v>
      </c>
      <c r="P82">
        <f>'Intermediate calculations'!AM16-(('Intermediate calculations'!AM16-'Net zero supporting data'!P99)+('Intermediate calculations'!AM16-'Net zero supporting data'!P63))</f>
        <v>0.51359188492897778</v>
      </c>
      <c r="Q82">
        <f>'Intermediate calculations'!AN16-(('Intermediate calculations'!AN16-'Net zero supporting data'!Q99)+('Intermediate calculations'!AN16-'Net zero supporting data'!Q63))</f>
        <v>0.50680635569725696</v>
      </c>
      <c r="R82">
        <f>'Intermediate calculations'!AO16-(('Intermediate calculations'!AO16-'Net zero supporting data'!R99)+('Intermediate calculations'!AO16-'Net zero supporting data'!R63))</f>
        <v>0.50014298456044559</v>
      </c>
      <c r="S82">
        <f>'Intermediate calculations'!AP16-(('Intermediate calculations'!AP16-'Net zero supporting data'!S99)+('Intermediate calculations'!AP16-'Net zero supporting data'!S63))</f>
        <v>0.49359465639620581</v>
      </c>
      <c r="T82">
        <f>'Intermediate calculations'!AQ16-(('Intermediate calculations'!AQ16-'Net zero supporting data'!T99)+('Intermediate calculations'!AQ16-'Net zero supporting data'!T63))</f>
        <v>0.48715489328353184</v>
      </c>
      <c r="U82">
        <f>'Intermediate calculations'!AR16-(('Intermediate calculations'!AR16-'Net zero supporting data'!U99)+('Intermediate calculations'!AR16-'Net zero supporting data'!U63))</f>
        <v>0.48424466067624239</v>
      </c>
      <c r="V82">
        <f>'Intermediate calculations'!AS16-(('Intermediate calculations'!AS16-'Net zero supporting data'!V99)+('Intermediate calculations'!AS16-'Net zero supporting data'!V63))</f>
        <v>0.48140257986891394</v>
      </c>
      <c r="W82">
        <f>'Intermediate calculations'!AT16-(('Intermediate calculations'!AT16-'Net zero supporting data'!W99)+('Intermediate calculations'!AT16-'Net zero supporting data'!W63))</f>
        <v>0.47862490509640809</v>
      </c>
      <c r="X82">
        <f>'Intermediate calculations'!AU16-(('Intermediate calculations'!AU16-'Net zero supporting data'!X99)+('Intermediate calculations'!AU16-'Net zero supporting data'!X63))</f>
        <v>0.47590819595315087</v>
      </c>
      <c r="Y82">
        <f>'Intermediate calculations'!AV16-(('Intermediate calculations'!AV16-'Net zero supporting data'!Y99)+('Intermediate calculations'!AV16-'Net zero supporting data'!Y63))</f>
        <v>0.4732492849495688</v>
      </c>
      <c r="Z82">
        <f>'Intermediate calculations'!AW16-(('Intermediate calculations'!AW16-'Net zero supporting data'!Z99)+('Intermediate calculations'!AW16-'Net zero supporting data'!Z63))</f>
        <v>0.47064524927270812</v>
      </c>
      <c r="AA82">
        <f>'Intermediate calculations'!AX16-(('Intermediate calculations'!AX16-'Net zero supporting data'!AA99)+('Intermediate calculations'!AX16-'Net zero supporting data'!AA63))</f>
        <v>0.46809338611326562</v>
      </c>
      <c r="AB82">
        <f>'Intermediate calculations'!AY16-(('Intermediate calculations'!AY16-'Net zero supporting data'!AB99)+('Intermediate calculations'!AY16-'Net zero supporting data'!AB63))</f>
        <v>0.46559119103139651</v>
      </c>
      <c r="AC82">
        <f>'Intermediate calculations'!AZ16-(('Intermediate calculations'!AZ16-'Net zero supporting data'!AC99)+('Intermediate calculations'!AZ16-'Net zero supporting data'!AC63))</f>
        <v>0.46313633892259948</v>
      </c>
      <c r="AD82">
        <f>'Intermediate calculations'!BA16-(('Intermediate calculations'!BA16-'Net zero supporting data'!AD99)+('Intermediate calculations'!BA16-'Net zero supporting data'!AD63))</f>
        <v>0.46072666721716049</v>
      </c>
      <c r="AE82">
        <f>'Intermediate calculations'!BB16-(('Intermediate calculations'!BB16-'Net zero supporting data'!AE99)+('Intermediate calculations'!BB16-'Net zero supporting data'!AE63))</f>
        <v>0.45836016100556898</v>
      </c>
      <c r="AF82">
        <f>'Intermediate calculations'!BC16-(('Intermediate calculations'!BC16-'Net zero supporting data'!AF99)+('Intermediate calculations'!BC16-'Net zero supporting data'!AF63))</f>
        <v>0.45603493983065041</v>
      </c>
      <c r="AG82">
        <f>'Intermediate calculations'!BD16-(('Intermediate calculations'!BD16-'Net zero supporting data'!AG99)+('Intermediate calculations'!BD16-'Net zero supporting data'!AG63))</f>
        <v>0.453749245927006</v>
      </c>
      <c r="AH82">
        <f>'Intermediate calculations'!BE16-(('Intermediate calculations'!BE16-'Net zero supporting data'!AH99)+('Intermediate calculations'!BE16-'Net zero supporting data'!AH63))</f>
        <v>0.45150143372134133</v>
      </c>
      <c r="AI82">
        <f>'Intermediate calculations'!BF16-(('Intermediate calculations'!BF16-'Net zero supporting data'!AI99)+('Intermediate calculations'!BF16-'Net zero supporting data'!AI63))</f>
        <v>0.44928996043470693</v>
      </c>
      <c r="AJ82">
        <f>'Intermediate calculations'!BG16-(('Intermediate calculations'!BG16-'Net zero supporting data'!AJ99)+('Intermediate calculations'!BG16-'Net zero supporting data'!AJ63))</f>
        <v>0.44711337765058967</v>
      </c>
      <c r="AK82">
        <f>'Intermediate calculations'!BH16-(('Intermediate calculations'!BH16-'Net zero supporting data'!AK99)+('Intermediate calculations'!BH16-'Net zero supporting data'!AK63))</f>
        <v>0.44497032373201256</v>
      </c>
      <c r="AL82">
        <f>'Intermediate calculations'!BI16-(('Intermediate calculations'!BI16-'Net zero supporting data'!AL99)+('Intermediate calculations'!BI16-'Net zero supporting data'!AL63))</f>
        <v>0.44285951698697568</v>
      </c>
      <c r="AM82">
        <f>'Intermediate calculations'!BJ16-(('Intermediate calculations'!BJ16-'Net zero supporting data'!AM99)+('Intermediate calculations'!BJ16-'Net zero supporting data'!AM63))</f>
        <v>0.44077974949523197</v>
      </c>
      <c r="AN82">
        <f>'Intermediate calculations'!BK16-(('Intermediate calculations'!BK16-'Net zero supporting data'!AN99)+('Intermediate calculations'!BK16-'Net zero supporting data'!AN63))</f>
        <v>0.43872988152097986</v>
      </c>
    </row>
    <row r="83" spans="1:48" x14ac:dyDescent="0.3">
      <c r="A83" t="s">
        <v>1366</v>
      </c>
      <c r="B83">
        <f>'Intermediate calculations'!Y11-(('Intermediate calculations'!Y11-'Net zero supporting data'!B100)+('Intermediate calculations'!Y11-'Net zero supporting data'!B64))</f>
        <v>40.711692719818267</v>
      </c>
      <c r="C83">
        <f>'Intermediate calculations'!Z11-(('Intermediate calculations'!Z11-'Net zero supporting data'!C100)+('Intermediate calculations'!Z11-'Net zero supporting data'!C64))</f>
        <v>39.98751157220714</v>
      </c>
      <c r="D83">
        <f>'Intermediate calculations'!AA11-(('Intermediate calculations'!AA11-'Net zero supporting data'!D100)+('Intermediate calculations'!AA11-'Net zero supporting data'!D64))</f>
        <v>39.307247949386728</v>
      </c>
      <c r="E83">
        <f>'Intermediate calculations'!AB11-(('Intermediate calculations'!AB11-'Net zero supporting data'!E100)+('Intermediate calculations'!AB11-'Net zero supporting data'!E64))</f>
        <v>38.665878345611468</v>
      </c>
      <c r="F83">
        <f>'Intermediate calculations'!AC11-(('Intermediate calculations'!AC11-'Net zero supporting data'!F100)+('Intermediate calculations'!AC11-'Net zero supporting data'!F64))</f>
        <v>38.059194745530348</v>
      </c>
      <c r="G83">
        <f>'Intermediate calculations'!AD11-(('Intermediate calculations'!AD11-'Net zero supporting data'!G100)+('Intermediate calculations'!AD11-'Net zero supporting data'!G64))</f>
        <v>37.483637138389781</v>
      </c>
      <c r="H83">
        <f>'Intermediate calculations'!AE11-(('Intermediate calculations'!AE11-'Net zero supporting data'!H100)+('Intermediate calculations'!AE11-'Net zero supporting data'!H64))</f>
        <v>36.936166938305114</v>
      </c>
      <c r="I83">
        <f>'Intermediate calculations'!AF11-(('Intermediate calculations'!AF11-'Net zero supporting data'!I100)+('Intermediate calculations'!AF11-'Net zero supporting data'!I64))</f>
        <v>36.414169878013752</v>
      </c>
      <c r="J83">
        <f>'Intermediate calculations'!AG11-(('Intermediate calculations'!AG11-'Net zero supporting data'!J100)+('Intermediate calculations'!AG11-'Net zero supporting data'!J64))</f>
        <v>35.915380505953856</v>
      </c>
      <c r="K83">
        <f>'Intermediate calculations'!AH11-(('Intermediate calculations'!AH11-'Net zero supporting data'!K100)+('Intermediate calculations'!AH11-'Net zero supporting data'!K64))</f>
        <v>35.154320182069512</v>
      </c>
      <c r="L83">
        <f>'Intermediate calculations'!AI11-(('Intermediate calculations'!AI11-'Net zero supporting data'!L100)+('Intermediate calculations'!AI11-'Net zero supporting data'!L64))</f>
        <v>34.420086501299252</v>
      </c>
      <c r="M83">
        <f>'Intermediate calculations'!AJ11-(('Intermediate calculations'!AJ11-'Net zero supporting data'!M100)+('Intermediate calculations'!AJ11-'Net zero supporting data'!M64))</f>
        <v>33.710718392662613</v>
      </c>
      <c r="N83">
        <f>'Intermediate calculations'!AK11-(('Intermediate calculations'!AK11-'Net zero supporting data'!N100)+('Intermediate calculations'!AK11-'Net zero supporting data'!N64))</f>
        <v>33.024471472384498</v>
      </c>
      <c r="O83">
        <f>'Intermediate calculations'!AL11-(('Intermediate calculations'!AL11-'Net zero supporting data'!O100)+('Intermediate calculations'!AL11-'Net zero supporting data'!O64))</f>
        <v>32.359786902601563</v>
      </c>
      <c r="P83">
        <f>'Intermediate calculations'!AM11-(('Intermediate calculations'!AM11-'Net zero supporting data'!P100)+('Intermediate calculations'!AM11-'Net zero supporting data'!P64))</f>
        <v>31.715265675444023</v>
      </c>
      <c r="Q83">
        <f>'Intermediate calculations'!AN11-(('Intermediate calculations'!AN11-'Net zero supporting data'!Q100)+('Intermediate calculations'!AN11-'Net zero supporting data'!Q64))</f>
        <v>31.089647223865143</v>
      </c>
      <c r="R83">
        <f>'Intermediate calculations'!AO11-(('Intermediate calculations'!AO11-'Net zero supporting data'!R100)+('Intermediate calculations'!AO11-'Net zero supporting data'!R64))</f>
        <v>30.481791512009011</v>
      </c>
      <c r="S83">
        <f>'Intermediate calculations'!AP11-(('Intermediate calculations'!AP11-'Net zero supporting data'!S100)+('Intermediate calculations'!AP11-'Net zero supporting data'!S64))</f>
        <v>29.89066394559617</v>
      </c>
      <c r="T83">
        <f>'Intermediate calculations'!AQ11-(('Intermediate calculations'!AQ11-'Net zero supporting data'!T100)+('Intermediate calculations'!AQ11-'Net zero supporting data'!T64))</f>
        <v>29.315322584390422</v>
      </c>
      <c r="U83">
        <f>'Intermediate calculations'!AR11-(('Intermediate calculations'!AR11-'Net zero supporting data'!U100)+('Intermediate calculations'!AR11-'Net zero supporting data'!U64))</f>
        <v>28.959849019799446</v>
      </c>
      <c r="V83">
        <f>'Intermediate calculations'!AS11-(('Intermediate calculations'!AS11-'Net zero supporting data'!V100)+('Intermediate calculations'!AS11-'Net zero supporting data'!V64))</f>
        <v>28.614285258445349</v>
      </c>
      <c r="W83">
        <f>'Intermediate calculations'!AT11-(('Intermediate calculations'!AT11-'Net zero supporting data'!W100)+('Intermediate calculations'!AT11-'Net zero supporting data'!W64))</f>
        <v>28.278086636863392</v>
      </c>
      <c r="X83">
        <f>'Intermediate calculations'!AU11-(('Intermediate calculations'!AU11-'Net zero supporting data'!X100)+('Intermediate calculations'!AU11-'Net zero supporting data'!X64))</f>
        <v>27.95075289325111</v>
      </c>
      <c r="Y83">
        <f>'Intermediate calculations'!AV11-(('Intermediate calculations'!AV11-'Net zero supporting data'!Y100)+('Intermediate calculations'!AV11-'Net zero supporting data'!Y64))</f>
        <v>27.631823449920901</v>
      </c>
      <c r="Z83">
        <f>'Intermediate calculations'!AW11-(('Intermediate calculations'!AW11-'Net zero supporting data'!Z100)+('Intermediate calculations'!AW11-'Net zero supporting data'!Z64))</f>
        <v>27.320873307074045</v>
      </c>
      <c r="AA83">
        <f>'Intermediate calculations'!AX11-(('Intermediate calculations'!AX11-'Net zero supporting data'!AA100)+('Intermediate calculations'!AX11-'Net zero supporting data'!AA64))</f>
        <v>27.017509455158322</v>
      </c>
      <c r="AB83">
        <f>'Intermediate calculations'!AY11-(('Intermediate calculations'!AY11-'Net zero supporting data'!AB100)+('Intermediate calculations'!AY11-'Net zero supporting data'!AB64))</f>
        <v>26.721367729087966</v>
      </c>
      <c r="AC83">
        <f>'Intermediate calculations'!AZ11-(('Intermediate calculations'!AZ11-'Net zero supporting data'!AC100)+('Intermediate calculations'!AZ11-'Net zero supporting data'!AC64))</f>
        <v>26.432110040534756</v>
      </c>
      <c r="AD83">
        <f>'Intermediate calculations'!BA11-(('Intermediate calculations'!BA11-'Net zero supporting data'!AD100)+('Intermediate calculations'!BA11-'Net zero supporting data'!AD64))</f>
        <v>26.149421934996198</v>
      </c>
      <c r="AE83">
        <f>'Intermediate calculations'!BB11-(('Intermediate calculations'!BB11-'Net zero supporting data'!AE100)+('Intermediate calculations'!BB11-'Net zero supporting data'!AE64))</f>
        <v>25.873010428914956</v>
      </c>
      <c r="AF83">
        <f>'Intermediate calculations'!BC11-(('Intermediate calculations'!BC11-'Net zero supporting data'!AF100)+('Intermediate calculations'!BC11-'Net zero supporting data'!AF64))</f>
        <v>25.60260208915199</v>
      </c>
      <c r="AG83">
        <f>'Intermediate calculations'!BD11-(('Intermediate calculations'!BD11-'Net zero supporting data'!AG100)+('Intermediate calculations'!BD11-'Net zero supporting data'!AG64))</f>
        <v>25.33794132290933</v>
      </c>
      <c r="AH83">
        <f>'Intermediate calculations'!BE11-(('Intermediate calculations'!BE11-'Net zero supporting data'!AH100)+('Intermediate calculations'!BE11-'Net zero supporting data'!AH64))</f>
        <v>25.078788850996016</v>
      </c>
      <c r="AI83">
        <f>'Intermediate calculations'!BF11-(('Intermediate calculations'!BF11-'Net zero supporting data'!AI100)+('Intermediate calculations'!BF11-'Net zero supporting data'!AI64))</f>
        <v>24.824920341320468</v>
      </c>
      <c r="AJ83">
        <f>'Intermediate calculations'!BG11-(('Intermediate calculations'!BG11-'Net zero supporting data'!AJ100)+('Intermediate calculations'!BG11-'Net zero supporting data'!AJ64))</f>
        <v>24.576125182825322</v>
      </c>
      <c r="AK83">
        <f>'Intermediate calculations'!BH11-(('Intermediate calculations'!BH11-'Net zero supporting data'!AK100)+('Intermediate calculations'!BH11-'Net zero supporting data'!AK64))</f>
        <v>24.332205382874633</v>
      </c>
      <c r="AL83">
        <f>'Intermediate calculations'!BI11-(('Intermediate calculations'!BI11-'Net zero supporting data'!AL100)+('Intermediate calculations'!BI11-'Net zero supporting data'!AL64))</f>
        <v>24.092974573455553</v>
      </c>
      <c r="AM83">
        <f>'Intermediate calculations'!BJ11-(('Intermediate calculations'!BJ11-'Net zero supporting data'!AM100)+('Intermediate calculations'!BJ11-'Net zero supporting data'!AM64))</f>
        <v>23.858257113543448</v>
      </c>
      <c r="AN83">
        <f>'Intermediate calculations'!BK11-(('Intermediate calculations'!BK11-'Net zero supporting data'!AN100)+('Intermediate calculations'!BK11-'Net zero supporting data'!AN64))</f>
        <v>23.627887276663895</v>
      </c>
    </row>
    <row r="84" spans="1:48" x14ac:dyDescent="0.3">
      <c r="A84" t="s">
        <v>1373</v>
      </c>
      <c r="B84">
        <f>'Intermediate calculations'!Y64+(('Intermediate calculations'!Y64-'Net zero supporting data'!B101)+('Intermediate calculations'!Y64-'Net zero supporting data'!B65))</f>
        <v>0.57999999999999996</v>
      </c>
      <c r="C84">
        <f>'Intermediate calculations'!Z64+(('Intermediate calculations'!Z64-'Net zero supporting data'!C101)+('Intermediate calculations'!Z64-'Net zero supporting data'!C65))</f>
        <v>0.57999999999999996</v>
      </c>
      <c r="D84">
        <f>'Intermediate calculations'!AA64+(('Intermediate calculations'!AA64-'Net zero supporting data'!D101)+('Intermediate calculations'!AA64-'Net zero supporting data'!D65))</f>
        <v>0.57999999999999996</v>
      </c>
      <c r="E84">
        <f>'Intermediate calculations'!AB64+(('Intermediate calculations'!AB64-'Net zero supporting data'!E101)+('Intermediate calculations'!AB64-'Net zero supporting data'!E65))</f>
        <v>0.57999999999999996</v>
      </c>
      <c r="F84">
        <f>'Intermediate calculations'!AC64+(('Intermediate calculations'!AC64-'Net zero supporting data'!F101)+('Intermediate calculations'!AC64-'Net zero supporting data'!F65))</f>
        <v>0.57999999999999996</v>
      </c>
      <c r="G84">
        <f>'Intermediate calculations'!AD64+(('Intermediate calculations'!AD64-'Net zero supporting data'!G101)+('Intermediate calculations'!AD64-'Net zero supporting data'!G65))</f>
        <v>0.57999999999999996</v>
      </c>
      <c r="H84">
        <f>'Intermediate calculations'!AE64+(('Intermediate calculations'!AE64-'Net zero supporting data'!H101)+('Intermediate calculations'!AE64-'Net zero supporting data'!H65))</f>
        <v>0.57999999999999996</v>
      </c>
      <c r="I84">
        <f>'Intermediate calculations'!AF64+(('Intermediate calculations'!AF64-'Net zero supporting data'!I101)+('Intermediate calculations'!AF64-'Net zero supporting data'!I65))</f>
        <v>0.57999999999999996</v>
      </c>
      <c r="J84">
        <f>'Intermediate calculations'!AG64+(('Intermediate calculations'!AG64-'Net zero supporting data'!J101)+('Intermediate calculations'!AG64-'Net zero supporting data'!J65))</f>
        <v>0.57999999999999996</v>
      </c>
      <c r="K84">
        <f>'Intermediate calculations'!AH64+(('Intermediate calculations'!AH64-'Net zero supporting data'!K101)+('Intermediate calculations'!AH64-'Net zero supporting data'!K65))</f>
        <v>0.57767999999999997</v>
      </c>
      <c r="L84">
        <f>'Intermediate calculations'!AI64+(('Intermediate calculations'!AI64-'Net zero supporting data'!L101)+('Intermediate calculations'!AI64-'Net zero supporting data'!L65))</f>
        <v>0.57535999999999998</v>
      </c>
      <c r="M84">
        <f>'Intermediate calculations'!AJ64+(('Intermediate calculations'!AJ64-'Net zero supporting data'!M101)+('Intermediate calculations'!AJ64-'Net zero supporting data'!M65))</f>
        <v>0.57303999999999999</v>
      </c>
      <c r="N84">
        <f>'Intermediate calculations'!AK64+(('Intermediate calculations'!AK64-'Net zero supporting data'!N101)+('Intermediate calculations'!AK64-'Net zero supporting data'!N65))</f>
        <v>0.57071999999999989</v>
      </c>
      <c r="O84">
        <f>'Intermediate calculations'!AL64+(('Intermediate calculations'!AL64-'Net zero supporting data'!O101)+('Intermediate calculations'!AL64-'Net zero supporting data'!O65))</f>
        <v>0.56840000000000002</v>
      </c>
      <c r="P84">
        <f>'Intermediate calculations'!AM64+(('Intermediate calculations'!AM64-'Net zero supporting data'!P101)+('Intermediate calculations'!AM64-'Net zero supporting data'!P65))</f>
        <v>0.56607999999999992</v>
      </c>
      <c r="Q84">
        <f>'Intermediate calculations'!AN64+(('Intermediate calculations'!AN64-'Net zero supporting data'!Q101)+('Intermediate calculations'!AN64-'Net zero supporting data'!Q65))</f>
        <v>0.56375999999999993</v>
      </c>
      <c r="R84">
        <f>'Intermediate calculations'!AO64+(('Intermediate calculations'!AO64-'Net zero supporting data'!R101)+('Intermediate calculations'!AO64-'Net zero supporting data'!R65))</f>
        <v>0.56143999999999994</v>
      </c>
      <c r="S84">
        <f>'Intermediate calculations'!AP64+(('Intermediate calculations'!AP64-'Net zero supporting data'!S101)+('Intermediate calculations'!AP64-'Net zero supporting data'!S65))</f>
        <v>0.55911999999999995</v>
      </c>
      <c r="T84">
        <f>'Intermediate calculations'!AQ64+(('Intermediate calculations'!AQ64-'Net zero supporting data'!T101)+('Intermediate calculations'!AQ64-'Net zero supporting data'!T65))</f>
        <v>0.55679999999999996</v>
      </c>
      <c r="U84">
        <f>'Intermediate calculations'!AR64+(('Intermediate calculations'!AR64-'Net zero supporting data'!U101)+('Intermediate calculations'!AR64-'Net zero supporting data'!U65))</f>
        <v>0.55767</v>
      </c>
      <c r="V84">
        <f>'Intermediate calculations'!AS64+(('Intermediate calculations'!AS64-'Net zero supporting data'!V101)+('Intermediate calculations'!AS64-'Net zero supporting data'!V65))</f>
        <v>0.55854000000000004</v>
      </c>
      <c r="W84">
        <f>'Intermediate calculations'!AT64+(('Intermediate calculations'!AT64-'Net zero supporting data'!W101)+('Intermediate calculations'!AT64-'Net zero supporting data'!W65))</f>
        <v>0.55941000000000007</v>
      </c>
      <c r="X84">
        <f>'Intermediate calculations'!AU64+(('Intermediate calculations'!AU64-'Net zero supporting data'!X101)+('Intermediate calculations'!AU64-'Net zero supporting data'!X65))</f>
        <v>0.56028</v>
      </c>
      <c r="Y84">
        <f>'Intermediate calculations'!AV64+(('Intermediate calculations'!AV64-'Net zero supporting data'!Y101)+('Intermediate calculations'!AV64-'Net zero supporting data'!Y65))</f>
        <v>0.56115000000000004</v>
      </c>
      <c r="Z84">
        <f>'Intermediate calculations'!AW64+(('Intermediate calculations'!AW64-'Net zero supporting data'!Z101)+('Intermediate calculations'!AW64-'Net zero supporting data'!Z65))</f>
        <v>0.56202000000000008</v>
      </c>
      <c r="AA84">
        <f>'Intermediate calculations'!AX64+(('Intermediate calculations'!AX64-'Net zero supporting data'!AA101)+('Intermediate calculations'!AX64-'Net zero supporting data'!AA65))</f>
        <v>0.56289</v>
      </c>
      <c r="AB84">
        <f>'Intermediate calculations'!AY64+(('Intermediate calculations'!AY64-'Net zero supporting data'!AB101)+('Intermediate calculations'!AY64-'Net zero supporting data'!AB65))</f>
        <v>0.56376000000000004</v>
      </c>
      <c r="AC84">
        <f>'Intermediate calculations'!AZ64+(('Intermediate calculations'!AZ64-'Net zero supporting data'!AC101)+('Intermediate calculations'!AZ64-'Net zero supporting data'!AC65))</f>
        <v>0.56462999999999997</v>
      </c>
      <c r="AD84">
        <f>'Intermediate calculations'!BA64+(('Intermediate calculations'!BA64-'Net zero supporting data'!AD101)+('Intermediate calculations'!BA64-'Net zero supporting data'!AD65))</f>
        <v>0.5655</v>
      </c>
      <c r="AE84">
        <f>'Intermediate calculations'!BB64+(('Intermediate calculations'!BB64-'Net zero supporting data'!AE101)+('Intermediate calculations'!BB64-'Net zero supporting data'!AE65))</f>
        <v>0.56637000000000004</v>
      </c>
      <c r="AF84">
        <f>'Intermediate calculations'!BC64+(('Intermediate calculations'!BC64-'Net zero supporting data'!AF101)+('Intermediate calculations'!BC64-'Net zero supporting data'!AF65))</f>
        <v>0.56723999999999997</v>
      </c>
      <c r="AG84">
        <f>'Intermediate calculations'!BD64+(('Intermediate calculations'!BD64-'Net zero supporting data'!AG101)+('Intermediate calculations'!BD64-'Net zero supporting data'!AG65))</f>
        <v>0.56811</v>
      </c>
      <c r="AH84">
        <f>'Intermediate calculations'!BE64+(('Intermediate calculations'!BE64-'Net zero supporting data'!AH101)+('Intermediate calculations'!BE64-'Net zero supporting data'!AH65))</f>
        <v>0.56898000000000004</v>
      </c>
      <c r="AI84">
        <f>'Intermediate calculations'!BF64+(('Intermediate calculations'!BF64-'Net zero supporting data'!AI101)+('Intermediate calculations'!BF64-'Net zero supporting data'!AI65))</f>
        <v>0.56984999999999997</v>
      </c>
      <c r="AJ84">
        <f>'Intermediate calculations'!BG64+(('Intermediate calculations'!BG64-'Net zero supporting data'!AJ101)+('Intermediate calculations'!BG64-'Net zero supporting data'!AJ65))</f>
        <v>0.57072000000000001</v>
      </c>
      <c r="AK84">
        <f>'Intermediate calculations'!BH64+(('Intermediate calculations'!BH64-'Net zero supporting data'!AK101)+('Intermediate calculations'!BH64-'Net zero supporting data'!AK65))</f>
        <v>0.57159000000000004</v>
      </c>
      <c r="AL84">
        <f>'Intermediate calculations'!BI64+(('Intermediate calculations'!BI64-'Net zero supporting data'!AL101)+('Intermediate calculations'!BI64-'Net zero supporting data'!AL65))</f>
        <v>0.57245999999999997</v>
      </c>
      <c r="AM84">
        <f>'Intermediate calculations'!BJ64+(('Intermediate calculations'!BJ64-'Net zero supporting data'!AM101)+('Intermediate calculations'!BJ64-'Net zero supporting data'!AM65))</f>
        <v>0.57333000000000001</v>
      </c>
      <c r="AN84">
        <f>'Intermediate calculations'!BK64+(('Intermediate calculations'!BK64-'Net zero supporting data'!AN101)+('Intermediate calculations'!BK64-'Net zero supporting data'!AN65))</f>
        <v>0.57420000000000004</v>
      </c>
    </row>
    <row r="86" spans="1:48" s="111" customFormat="1" ht="15.6" x14ac:dyDescent="0.3">
      <c r="A86" s="107" t="s">
        <v>987</v>
      </c>
      <c r="B86" s="107" t="s">
        <v>1044</v>
      </c>
      <c r="C86" s="107"/>
      <c r="D86" s="107"/>
      <c r="E86" s="107"/>
      <c r="F86" s="107"/>
      <c r="G86" s="107"/>
      <c r="H86" s="107"/>
      <c r="I86" s="107"/>
      <c r="J86" s="109"/>
      <c r="K86" s="109"/>
      <c r="L86" s="109"/>
      <c r="M86" s="109"/>
      <c r="N86" s="109"/>
      <c r="O86" s="109"/>
      <c r="P86" s="110"/>
      <c r="Q86" s="110"/>
      <c r="R86" s="110"/>
      <c r="S86" s="110"/>
      <c r="T86" s="110"/>
      <c r="U86" s="110"/>
      <c r="V86" s="110"/>
      <c r="W86" s="110"/>
      <c r="X86" s="110"/>
      <c r="Y86" s="110"/>
      <c r="Z86" s="110"/>
      <c r="AA86" s="110"/>
      <c r="AB86" s="110"/>
      <c r="AC86" s="110"/>
      <c r="AD86" s="110"/>
      <c r="AE86" s="110"/>
      <c r="AF86" s="110"/>
      <c r="AG86" s="110"/>
      <c r="AH86" s="110"/>
      <c r="AI86" s="110"/>
      <c r="AJ86" s="110"/>
      <c r="AK86" s="110"/>
      <c r="AL86" s="110"/>
      <c r="AM86" s="110"/>
      <c r="AN86" s="110"/>
      <c r="AO86" s="110"/>
      <c r="AP86" s="110"/>
      <c r="AQ86" s="110"/>
      <c r="AR86" s="110"/>
      <c r="AS86" s="110"/>
      <c r="AT86" s="110"/>
      <c r="AU86" s="110"/>
      <c r="AV86" s="110"/>
    </row>
    <row r="87" spans="1:48" x14ac:dyDescent="0.3">
      <c r="A87" t="s">
        <v>1062</v>
      </c>
      <c r="B87">
        <f>'Net zero activities &amp; levers'!C46</f>
        <v>70</v>
      </c>
      <c r="C87">
        <f>B87</f>
        <v>70</v>
      </c>
      <c r="D87">
        <f t="shared" ref="D87:J87" si="180">C87</f>
        <v>70</v>
      </c>
      <c r="E87">
        <f t="shared" si="180"/>
        <v>70</v>
      </c>
      <c r="F87">
        <f t="shared" si="180"/>
        <v>70</v>
      </c>
      <c r="G87">
        <f t="shared" si="180"/>
        <v>70</v>
      </c>
      <c r="H87">
        <f t="shared" si="180"/>
        <v>70</v>
      </c>
      <c r="I87">
        <f t="shared" si="180"/>
        <v>70</v>
      </c>
      <c r="J87">
        <f t="shared" si="180"/>
        <v>70</v>
      </c>
      <c r="K87">
        <f t="shared" ref="K87:K96" si="181">J87+($T87-$J87)/10</f>
        <v>71</v>
      </c>
      <c r="L87">
        <f t="shared" ref="L87:L96" si="182">K87+($T87-$J87)/10</f>
        <v>72</v>
      </c>
      <c r="M87">
        <f t="shared" ref="M87:M96" si="183">L87+($T87-$J87)/10</f>
        <v>73</v>
      </c>
      <c r="N87">
        <f t="shared" ref="N87:N96" si="184">M87+($T87-$J87)/10</f>
        <v>74</v>
      </c>
      <c r="O87">
        <f t="shared" ref="O87:O96" si="185">N87+($T87-$J87)/10</f>
        <v>75</v>
      </c>
      <c r="P87">
        <f t="shared" ref="P87:P96" si="186">O87+($T87-$J87)/10</f>
        <v>76</v>
      </c>
      <c r="Q87">
        <f t="shared" ref="Q87:Q96" si="187">P87+($T87-$J87)/10</f>
        <v>77</v>
      </c>
      <c r="R87">
        <f t="shared" ref="R87:R96" si="188">Q87+($T87-$J87)/10</f>
        <v>78</v>
      </c>
      <c r="S87">
        <f t="shared" ref="S87:S96" si="189">R87+($T87-$J87)/10</f>
        <v>79</v>
      </c>
      <c r="T87">
        <f>'Net zero activities &amp; levers'!D46</f>
        <v>80</v>
      </c>
      <c r="U87">
        <f t="shared" ref="U87" si="190">T87+($AD87-$T87)/10</f>
        <v>80.5</v>
      </c>
      <c r="V87">
        <f t="shared" ref="V87" si="191">U87+($AD87-$T87)/10</f>
        <v>81</v>
      </c>
      <c r="W87">
        <f t="shared" ref="W87" si="192">V87+($AD87-$T87)/10</f>
        <v>81.5</v>
      </c>
      <c r="X87">
        <f t="shared" ref="X87" si="193">W87+($AD87-$T87)/10</f>
        <v>82</v>
      </c>
      <c r="Y87">
        <f t="shared" ref="Y87" si="194">X87+($AD87-$T87)/10</f>
        <v>82.5</v>
      </c>
      <c r="Z87">
        <f t="shared" ref="Z87" si="195">Y87+($AD87-$T87)/10</f>
        <v>83</v>
      </c>
      <c r="AA87">
        <f t="shared" ref="AA87" si="196">Z87+($AD87-$T87)/10</f>
        <v>83.5</v>
      </c>
      <c r="AB87">
        <f t="shared" ref="AB87" si="197">AA87+($AD87-$T87)/10</f>
        <v>84</v>
      </c>
      <c r="AC87">
        <f t="shared" ref="AC87" si="198">AB87+($AD87-$T87)/10</f>
        <v>84.5</v>
      </c>
      <c r="AD87">
        <f>'Net zero activities &amp; levers'!E46</f>
        <v>85</v>
      </c>
      <c r="AE87">
        <f t="shared" ref="AE87:AE96" si="199">AD87+($AN87-$AD87)/10</f>
        <v>85</v>
      </c>
      <c r="AF87">
        <f t="shared" ref="AF87:AF96" si="200">AE87+($AN87-$AD87)/10</f>
        <v>85</v>
      </c>
      <c r="AG87">
        <f t="shared" ref="AG87:AG96" si="201">AF87+($AN87-$AD87)/10</f>
        <v>85</v>
      </c>
      <c r="AH87">
        <f t="shared" ref="AH87:AH96" si="202">AG87+($AN87-$AD87)/10</f>
        <v>85</v>
      </c>
      <c r="AI87">
        <f t="shared" ref="AI87:AI96" si="203">AH87+($AN87-$AD87)/10</f>
        <v>85</v>
      </c>
      <c r="AJ87">
        <f t="shared" ref="AJ87:AJ96" si="204">AI87+($AN87-$AD87)/10</f>
        <v>85</v>
      </c>
      <c r="AK87">
        <f t="shared" ref="AK87:AK96" si="205">AJ87+($AN87-$AD87)/10</f>
        <v>85</v>
      </c>
      <c r="AL87">
        <f t="shared" ref="AL87:AL96" si="206">AK87+($AN87-$AD87)/10</f>
        <v>85</v>
      </c>
      <c r="AM87">
        <f t="shared" ref="AM87:AM96" si="207">AL87+($AN87-$AD87)/10</f>
        <v>85</v>
      </c>
      <c r="AN87">
        <f>'Net zero activities &amp; levers'!F46</f>
        <v>85</v>
      </c>
    </row>
    <row r="88" spans="1:48" x14ac:dyDescent="0.3">
      <c r="A88" t="s">
        <v>1063</v>
      </c>
      <c r="B88">
        <f>'Net zero activities &amp; levers'!C47</f>
        <v>70</v>
      </c>
      <c r="C88">
        <f t="shared" ref="C88:J96" si="208">B88</f>
        <v>70</v>
      </c>
      <c r="D88">
        <f t="shared" si="208"/>
        <v>70</v>
      </c>
      <c r="E88">
        <f t="shared" si="208"/>
        <v>70</v>
      </c>
      <c r="F88">
        <f t="shared" si="208"/>
        <v>70</v>
      </c>
      <c r="G88">
        <f t="shared" si="208"/>
        <v>70</v>
      </c>
      <c r="H88">
        <f t="shared" si="208"/>
        <v>70</v>
      </c>
      <c r="I88">
        <f t="shared" si="208"/>
        <v>70</v>
      </c>
      <c r="J88">
        <f t="shared" si="208"/>
        <v>70</v>
      </c>
      <c r="K88">
        <f t="shared" si="181"/>
        <v>71</v>
      </c>
      <c r="L88">
        <f t="shared" si="182"/>
        <v>72</v>
      </c>
      <c r="M88">
        <f t="shared" si="183"/>
        <v>73</v>
      </c>
      <c r="N88">
        <f t="shared" si="184"/>
        <v>74</v>
      </c>
      <c r="O88">
        <f t="shared" si="185"/>
        <v>75</v>
      </c>
      <c r="P88">
        <f t="shared" si="186"/>
        <v>76</v>
      </c>
      <c r="Q88">
        <f t="shared" si="187"/>
        <v>77</v>
      </c>
      <c r="R88">
        <f t="shared" si="188"/>
        <v>78</v>
      </c>
      <c r="S88">
        <f t="shared" si="189"/>
        <v>79</v>
      </c>
      <c r="T88">
        <f>'Net zero activities &amp; levers'!D47</f>
        <v>80</v>
      </c>
      <c r="U88">
        <f t="shared" ref="U88:U96" si="209">T88+($AD88-$T88)/10</f>
        <v>80</v>
      </c>
      <c r="V88">
        <f t="shared" ref="V88:V96" si="210">U88+($AD88-$T88)/10</f>
        <v>80</v>
      </c>
      <c r="W88">
        <f t="shared" ref="W88:W96" si="211">V88+($AD88-$T88)/10</f>
        <v>80</v>
      </c>
      <c r="X88">
        <f t="shared" ref="X88:X96" si="212">W88+($AD88-$T88)/10</f>
        <v>80</v>
      </c>
      <c r="Y88">
        <f t="shared" ref="Y88:Y96" si="213">X88+($AD88-$T88)/10</f>
        <v>80</v>
      </c>
      <c r="Z88">
        <f t="shared" ref="Z88:Z96" si="214">Y88+($AD88-$T88)/10</f>
        <v>80</v>
      </c>
      <c r="AA88">
        <f t="shared" ref="AA88:AA96" si="215">Z88+($AD88-$T88)/10</f>
        <v>80</v>
      </c>
      <c r="AB88">
        <f t="shared" ref="AB88:AB96" si="216">AA88+($AD88-$T88)/10</f>
        <v>80</v>
      </c>
      <c r="AC88">
        <f t="shared" ref="AC88:AC96" si="217">AB88+($AD88-$T88)/10</f>
        <v>80</v>
      </c>
      <c r="AD88">
        <f>'Net zero activities &amp; levers'!E47</f>
        <v>80</v>
      </c>
      <c r="AE88">
        <f t="shared" si="199"/>
        <v>80</v>
      </c>
      <c r="AF88">
        <f t="shared" si="200"/>
        <v>80</v>
      </c>
      <c r="AG88">
        <f t="shared" si="201"/>
        <v>80</v>
      </c>
      <c r="AH88">
        <f t="shared" si="202"/>
        <v>80</v>
      </c>
      <c r="AI88">
        <f t="shared" si="203"/>
        <v>80</v>
      </c>
      <c r="AJ88">
        <f t="shared" si="204"/>
        <v>80</v>
      </c>
      <c r="AK88">
        <f t="shared" si="205"/>
        <v>80</v>
      </c>
      <c r="AL88">
        <f t="shared" si="206"/>
        <v>80</v>
      </c>
      <c r="AM88">
        <f t="shared" si="207"/>
        <v>80</v>
      </c>
      <c r="AN88">
        <f>'Net zero activities &amp; levers'!F47</f>
        <v>80</v>
      </c>
    </row>
    <row r="89" spans="1:48" x14ac:dyDescent="0.3">
      <c r="A89" t="s">
        <v>1064</v>
      </c>
      <c r="B89">
        <f>'Net zero activities &amp; levers'!C48</f>
        <v>60</v>
      </c>
      <c r="C89">
        <f t="shared" si="208"/>
        <v>60</v>
      </c>
      <c r="D89">
        <f t="shared" si="208"/>
        <v>60</v>
      </c>
      <c r="E89">
        <f t="shared" si="208"/>
        <v>60</v>
      </c>
      <c r="F89">
        <f t="shared" si="208"/>
        <v>60</v>
      </c>
      <c r="G89">
        <f t="shared" si="208"/>
        <v>60</v>
      </c>
      <c r="H89">
        <f t="shared" si="208"/>
        <v>60</v>
      </c>
      <c r="I89">
        <f t="shared" si="208"/>
        <v>60</v>
      </c>
      <c r="J89">
        <f t="shared" si="208"/>
        <v>60</v>
      </c>
      <c r="K89">
        <f t="shared" si="181"/>
        <v>61</v>
      </c>
      <c r="L89">
        <f t="shared" si="182"/>
        <v>62</v>
      </c>
      <c r="M89">
        <f t="shared" si="183"/>
        <v>63</v>
      </c>
      <c r="N89">
        <f t="shared" si="184"/>
        <v>64</v>
      </c>
      <c r="O89">
        <f t="shared" si="185"/>
        <v>65</v>
      </c>
      <c r="P89">
        <f t="shared" si="186"/>
        <v>66</v>
      </c>
      <c r="Q89">
        <f t="shared" si="187"/>
        <v>67</v>
      </c>
      <c r="R89">
        <f t="shared" si="188"/>
        <v>68</v>
      </c>
      <c r="S89">
        <f t="shared" si="189"/>
        <v>69</v>
      </c>
      <c r="T89">
        <f>'Net zero activities &amp; levers'!D48</f>
        <v>70</v>
      </c>
      <c r="U89">
        <f t="shared" si="209"/>
        <v>70</v>
      </c>
      <c r="V89">
        <f t="shared" si="210"/>
        <v>70</v>
      </c>
      <c r="W89">
        <f t="shared" si="211"/>
        <v>70</v>
      </c>
      <c r="X89">
        <f t="shared" si="212"/>
        <v>70</v>
      </c>
      <c r="Y89">
        <f t="shared" si="213"/>
        <v>70</v>
      </c>
      <c r="Z89">
        <f t="shared" si="214"/>
        <v>70</v>
      </c>
      <c r="AA89">
        <f t="shared" si="215"/>
        <v>70</v>
      </c>
      <c r="AB89">
        <f t="shared" si="216"/>
        <v>70</v>
      </c>
      <c r="AC89">
        <f t="shared" si="217"/>
        <v>70</v>
      </c>
      <c r="AD89">
        <f>'Net zero activities &amp; levers'!E48</f>
        <v>70</v>
      </c>
      <c r="AE89">
        <f t="shared" si="199"/>
        <v>70</v>
      </c>
      <c r="AF89">
        <f t="shared" si="200"/>
        <v>70</v>
      </c>
      <c r="AG89">
        <f t="shared" si="201"/>
        <v>70</v>
      </c>
      <c r="AH89">
        <f t="shared" si="202"/>
        <v>70</v>
      </c>
      <c r="AI89">
        <f t="shared" si="203"/>
        <v>70</v>
      </c>
      <c r="AJ89">
        <f t="shared" si="204"/>
        <v>70</v>
      </c>
      <c r="AK89">
        <f t="shared" si="205"/>
        <v>70</v>
      </c>
      <c r="AL89">
        <f t="shared" si="206"/>
        <v>70</v>
      </c>
      <c r="AM89">
        <f t="shared" si="207"/>
        <v>70</v>
      </c>
      <c r="AN89">
        <f>'Net zero activities &amp; levers'!F48</f>
        <v>70</v>
      </c>
    </row>
    <row r="90" spans="1:48" x14ac:dyDescent="0.3">
      <c r="A90" t="s">
        <v>1065</v>
      </c>
      <c r="B90">
        <f>'Net zero activities &amp; levers'!C49</f>
        <v>60</v>
      </c>
      <c r="C90">
        <f t="shared" si="208"/>
        <v>60</v>
      </c>
      <c r="D90">
        <f t="shared" si="208"/>
        <v>60</v>
      </c>
      <c r="E90">
        <f t="shared" si="208"/>
        <v>60</v>
      </c>
      <c r="F90">
        <f t="shared" si="208"/>
        <v>60</v>
      </c>
      <c r="G90">
        <f t="shared" si="208"/>
        <v>60</v>
      </c>
      <c r="H90">
        <f t="shared" si="208"/>
        <v>60</v>
      </c>
      <c r="I90">
        <f t="shared" si="208"/>
        <v>60</v>
      </c>
      <c r="J90">
        <f t="shared" si="208"/>
        <v>60</v>
      </c>
      <c r="K90">
        <f t="shared" si="181"/>
        <v>61</v>
      </c>
      <c r="L90">
        <f t="shared" si="182"/>
        <v>62</v>
      </c>
      <c r="M90">
        <f t="shared" si="183"/>
        <v>63</v>
      </c>
      <c r="N90">
        <f t="shared" si="184"/>
        <v>64</v>
      </c>
      <c r="O90">
        <f t="shared" si="185"/>
        <v>65</v>
      </c>
      <c r="P90">
        <f t="shared" si="186"/>
        <v>66</v>
      </c>
      <c r="Q90">
        <f t="shared" si="187"/>
        <v>67</v>
      </c>
      <c r="R90">
        <f t="shared" si="188"/>
        <v>68</v>
      </c>
      <c r="S90">
        <f t="shared" si="189"/>
        <v>69</v>
      </c>
      <c r="T90">
        <f>'Net zero activities &amp; levers'!D49</f>
        <v>70</v>
      </c>
      <c r="U90">
        <f t="shared" si="209"/>
        <v>70</v>
      </c>
      <c r="V90">
        <f t="shared" si="210"/>
        <v>70</v>
      </c>
      <c r="W90">
        <f t="shared" si="211"/>
        <v>70</v>
      </c>
      <c r="X90">
        <f t="shared" si="212"/>
        <v>70</v>
      </c>
      <c r="Y90">
        <f t="shared" si="213"/>
        <v>70</v>
      </c>
      <c r="Z90">
        <f t="shared" si="214"/>
        <v>70</v>
      </c>
      <c r="AA90">
        <f t="shared" si="215"/>
        <v>70</v>
      </c>
      <c r="AB90">
        <f t="shared" si="216"/>
        <v>70</v>
      </c>
      <c r="AC90">
        <f t="shared" si="217"/>
        <v>70</v>
      </c>
      <c r="AD90">
        <f>'Net zero activities &amp; levers'!E49</f>
        <v>70</v>
      </c>
      <c r="AE90">
        <f t="shared" si="199"/>
        <v>70</v>
      </c>
      <c r="AF90">
        <f t="shared" si="200"/>
        <v>70</v>
      </c>
      <c r="AG90">
        <f t="shared" si="201"/>
        <v>70</v>
      </c>
      <c r="AH90">
        <f t="shared" si="202"/>
        <v>70</v>
      </c>
      <c r="AI90">
        <f t="shared" si="203"/>
        <v>70</v>
      </c>
      <c r="AJ90">
        <f t="shared" si="204"/>
        <v>70</v>
      </c>
      <c r="AK90">
        <f t="shared" si="205"/>
        <v>70</v>
      </c>
      <c r="AL90">
        <f t="shared" si="206"/>
        <v>70</v>
      </c>
      <c r="AM90">
        <f t="shared" si="207"/>
        <v>70</v>
      </c>
      <c r="AN90">
        <f>'Net zero activities &amp; levers'!F49</f>
        <v>70</v>
      </c>
    </row>
    <row r="91" spans="1:48" x14ac:dyDescent="0.3">
      <c r="A91" t="s">
        <v>1066</v>
      </c>
      <c r="B91">
        <f>'Net zero activities &amp; levers'!C50</f>
        <v>75</v>
      </c>
      <c r="C91">
        <f t="shared" si="208"/>
        <v>75</v>
      </c>
      <c r="D91">
        <f t="shared" si="208"/>
        <v>75</v>
      </c>
      <c r="E91">
        <f t="shared" si="208"/>
        <v>75</v>
      </c>
      <c r="F91">
        <f t="shared" si="208"/>
        <v>75</v>
      </c>
      <c r="G91">
        <f t="shared" si="208"/>
        <v>75</v>
      </c>
      <c r="H91">
        <f t="shared" si="208"/>
        <v>75</v>
      </c>
      <c r="I91">
        <f t="shared" si="208"/>
        <v>75</v>
      </c>
      <c r="J91">
        <f t="shared" si="208"/>
        <v>75</v>
      </c>
      <c r="K91">
        <f t="shared" si="181"/>
        <v>75.5</v>
      </c>
      <c r="L91">
        <f t="shared" si="182"/>
        <v>76</v>
      </c>
      <c r="M91">
        <f t="shared" si="183"/>
        <v>76.5</v>
      </c>
      <c r="N91">
        <f t="shared" si="184"/>
        <v>77</v>
      </c>
      <c r="O91">
        <f t="shared" si="185"/>
        <v>77.5</v>
      </c>
      <c r="P91">
        <f t="shared" si="186"/>
        <v>78</v>
      </c>
      <c r="Q91">
        <f t="shared" si="187"/>
        <v>78.5</v>
      </c>
      <c r="R91">
        <f t="shared" si="188"/>
        <v>79</v>
      </c>
      <c r="S91">
        <f t="shared" si="189"/>
        <v>79.5</v>
      </c>
      <c r="T91">
        <f>'Net zero activities &amp; levers'!D50</f>
        <v>80</v>
      </c>
      <c r="U91">
        <f t="shared" si="209"/>
        <v>80.5</v>
      </c>
      <c r="V91">
        <f t="shared" si="210"/>
        <v>81</v>
      </c>
      <c r="W91">
        <f t="shared" si="211"/>
        <v>81.5</v>
      </c>
      <c r="X91">
        <f t="shared" si="212"/>
        <v>82</v>
      </c>
      <c r="Y91">
        <f t="shared" si="213"/>
        <v>82.5</v>
      </c>
      <c r="Z91">
        <f t="shared" si="214"/>
        <v>83</v>
      </c>
      <c r="AA91">
        <f t="shared" si="215"/>
        <v>83.5</v>
      </c>
      <c r="AB91">
        <f t="shared" si="216"/>
        <v>84</v>
      </c>
      <c r="AC91">
        <f t="shared" si="217"/>
        <v>84.5</v>
      </c>
      <c r="AD91">
        <f>'Net zero activities &amp; levers'!E50</f>
        <v>85</v>
      </c>
      <c r="AE91">
        <f t="shared" si="199"/>
        <v>85</v>
      </c>
      <c r="AF91">
        <f t="shared" si="200"/>
        <v>85</v>
      </c>
      <c r="AG91">
        <f t="shared" si="201"/>
        <v>85</v>
      </c>
      <c r="AH91">
        <f t="shared" si="202"/>
        <v>85</v>
      </c>
      <c r="AI91">
        <f t="shared" si="203"/>
        <v>85</v>
      </c>
      <c r="AJ91">
        <f t="shared" si="204"/>
        <v>85</v>
      </c>
      <c r="AK91">
        <f t="shared" si="205"/>
        <v>85</v>
      </c>
      <c r="AL91">
        <f t="shared" si="206"/>
        <v>85</v>
      </c>
      <c r="AM91">
        <f t="shared" si="207"/>
        <v>85</v>
      </c>
      <c r="AN91">
        <f>'Net zero activities &amp; levers'!F50</f>
        <v>85</v>
      </c>
    </row>
    <row r="92" spans="1:48" x14ac:dyDescent="0.3">
      <c r="A92" t="s">
        <v>1067</v>
      </c>
      <c r="B92">
        <f>'Net zero activities &amp; levers'!C51</f>
        <v>50</v>
      </c>
      <c r="C92">
        <f t="shared" si="208"/>
        <v>50</v>
      </c>
      <c r="D92">
        <f t="shared" si="208"/>
        <v>50</v>
      </c>
      <c r="E92">
        <f t="shared" si="208"/>
        <v>50</v>
      </c>
      <c r="F92">
        <f t="shared" si="208"/>
        <v>50</v>
      </c>
      <c r="G92">
        <f t="shared" si="208"/>
        <v>50</v>
      </c>
      <c r="H92">
        <f t="shared" si="208"/>
        <v>50</v>
      </c>
      <c r="I92">
        <f t="shared" si="208"/>
        <v>50</v>
      </c>
      <c r="J92">
        <f t="shared" si="208"/>
        <v>50</v>
      </c>
      <c r="K92">
        <f t="shared" si="181"/>
        <v>51</v>
      </c>
      <c r="L92">
        <f t="shared" si="182"/>
        <v>52</v>
      </c>
      <c r="M92">
        <f t="shared" si="183"/>
        <v>53</v>
      </c>
      <c r="N92">
        <f t="shared" si="184"/>
        <v>54</v>
      </c>
      <c r="O92">
        <f t="shared" si="185"/>
        <v>55</v>
      </c>
      <c r="P92">
        <f t="shared" si="186"/>
        <v>56</v>
      </c>
      <c r="Q92">
        <f t="shared" si="187"/>
        <v>57</v>
      </c>
      <c r="R92">
        <f t="shared" si="188"/>
        <v>58</v>
      </c>
      <c r="S92">
        <f t="shared" si="189"/>
        <v>59</v>
      </c>
      <c r="T92">
        <f>'Net zero activities &amp; levers'!D51</f>
        <v>60</v>
      </c>
      <c r="U92">
        <f t="shared" si="209"/>
        <v>60</v>
      </c>
      <c r="V92">
        <f t="shared" si="210"/>
        <v>60</v>
      </c>
      <c r="W92">
        <f t="shared" si="211"/>
        <v>60</v>
      </c>
      <c r="X92">
        <f t="shared" si="212"/>
        <v>60</v>
      </c>
      <c r="Y92">
        <f t="shared" si="213"/>
        <v>60</v>
      </c>
      <c r="Z92">
        <f t="shared" si="214"/>
        <v>60</v>
      </c>
      <c r="AA92">
        <f t="shared" si="215"/>
        <v>60</v>
      </c>
      <c r="AB92">
        <f t="shared" si="216"/>
        <v>60</v>
      </c>
      <c r="AC92">
        <f t="shared" si="217"/>
        <v>60</v>
      </c>
      <c r="AD92">
        <f>'Net zero activities &amp; levers'!E51</f>
        <v>60</v>
      </c>
      <c r="AE92">
        <f t="shared" si="199"/>
        <v>60</v>
      </c>
      <c r="AF92">
        <f t="shared" si="200"/>
        <v>60</v>
      </c>
      <c r="AG92">
        <f t="shared" si="201"/>
        <v>60</v>
      </c>
      <c r="AH92">
        <f t="shared" si="202"/>
        <v>60</v>
      </c>
      <c r="AI92">
        <f t="shared" si="203"/>
        <v>60</v>
      </c>
      <c r="AJ92">
        <f t="shared" si="204"/>
        <v>60</v>
      </c>
      <c r="AK92">
        <f t="shared" si="205"/>
        <v>60</v>
      </c>
      <c r="AL92">
        <f t="shared" si="206"/>
        <v>60</v>
      </c>
      <c r="AM92">
        <f t="shared" si="207"/>
        <v>60</v>
      </c>
      <c r="AN92">
        <f>'Net zero activities &amp; levers'!F51</f>
        <v>60</v>
      </c>
    </row>
    <row r="93" spans="1:48" x14ac:dyDescent="0.3">
      <c r="A93" t="s">
        <v>1068</v>
      </c>
      <c r="B93">
        <f>'Net zero activities &amp; levers'!C52</f>
        <v>60</v>
      </c>
      <c r="C93">
        <f t="shared" si="208"/>
        <v>60</v>
      </c>
      <c r="D93">
        <f t="shared" si="208"/>
        <v>60</v>
      </c>
      <c r="E93">
        <f t="shared" si="208"/>
        <v>60</v>
      </c>
      <c r="F93">
        <f t="shared" si="208"/>
        <v>60</v>
      </c>
      <c r="G93">
        <f t="shared" si="208"/>
        <v>60</v>
      </c>
      <c r="H93">
        <f t="shared" si="208"/>
        <v>60</v>
      </c>
      <c r="I93">
        <f t="shared" si="208"/>
        <v>60</v>
      </c>
      <c r="J93">
        <f t="shared" si="208"/>
        <v>60</v>
      </c>
      <c r="K93">
        <f t="shared" si="181"/>
        <v>61</v>
      </c>
      <c r="L93">
        <f t="shared" si="182"/>
        <v>62</v>
      </c>
      <c r="M93">
        <f t="shared" si="183"/>
        <v>63</v>
      </c>
      <c r="N93">
        <f t="shared" si="184"/>
        <v>64</v>
      </c>
      <c r="O93">
        <f t="shared" si="185"/>
        <v>65</v>
      </c>
      <c r="P93">
        <f t="shared" si="186"/>
        <v>66</v>
      </c>
      <c r="Q93">
        <f t="shared" si="187"/>
        <v>67</v>
      </c>
      <c r="R93">
        <f t="shared" si="188"/>
        <v>68</v>
      </c>
      <c r="S93">
        <f t="shared" si="189"/>
        <v>69</v>
      </c>
      <c r="T93">
        <f>'Net zero activities &amp; levers'!D52</f>
        <v>70</v>
      </c>
      <c r="U93">
        <f t="shared" si="209"/>
        <v>70</v>
      </c>
      <c r="V93">
        <f t="shared" si="210"/>
        <v>70</v>
      </c>
      <c r="W93">
        <f t="shared" si="211"/>
        <v>70</v>
      </c>
      <c r="X93">
        <f t="shared" si="212"/>
        <v>70</v>
      </c>
      <c r="Y93">
        <f t="shared" si="213"/>
        <v>70</v>
      </c>
      <c r="Z93">
        <f t="shared" si="214"/>
        <v>70</v>
      </c>
      <c r="AA93">
        <f t="shared" si="215"/>
        <v>70</v>
      </c>
      <c r="AB93">
        <f t="shared" si="216"/>
        <v>70</v>
      </c>
      <c r="AC93">
        <f t="shared" si="217"/>
        <v>70</v>
      </c>
      <c r="AD93">
        <f>'Net zero activities &amp; levers'!E52</f>
        <v>70</v>
      </c>
      <c r="AE93">
        <f t="shared" si="199"/>
        <v>70</v>
      </c>
      <c r="AF93">
        <f t="shared" si="200"/>
        <v>70</v>
      </c>
      <c r="AG93">
        <f t="shared" si="201"/>
        <v>70</v>
      </c>
      <c r="AH93">
        <f t="shared" si="202"/>
        <v>70</v>
      </c>
      <c r="AI93">
        <f t="shared" si="203"/>
        <v>70</v>
      </c>
      <c r="AJ93">
        <f t="shared" si="204"/>
        <v>70</v>
      </c>
      <c r="AK93">
        <f t="shared" si="205"/>
        <v>70</v>
      </c>
      <c r="AL93">
        <f t="shared" si="206"/>
        <v>70</v>
      </c>
      <c r="AM93">
        <f t="shared" si="207"/>
        <v>70</v>
      </c>
      <c r="AN93">
        <f>'Net zero activities &amp; levers'!F52</f>
        <v>70</v>
      </c>
    </row>
    <row r="94" spans="1:48" x14ac:dyDescent="0.3">
      <c r="A94" t="s">
        <v>1069</v>
      </c>
      <c r="B94">
        <f>'Net zero activities &amp; levers'!C53</f>
        <v>50</v>
      </c>
      <c r="C94">
        <f t="shared" si="208"/>
        <v>50</v>
      </c>
      <c r="D94">
        <f t="shared" si="208"/>
        <v>50</v>
      </c>
      <c r="E94">
        <f t="shared" si="208"/>
        <v>50</v>
      </c>
      <c r="F94">
        <f t="shared" si="208"/>
        <v>50</v>
      </c>
      <c r="G94">
        <f t="shared" si="208"/>
        <v>50</v>
      </c>
      <c r="H94">
        <f t="shared" si="208"/>
        <v>50</v>
      </c>
      <c r="I94">
        <f t="shared" si="208"/>
        <v>50</v>
      </c>
      <c r="J94">
        <f t="shared" si="208"/>
        <v>50</v>
      </c>
      <c r="K94">
        <f t="shared" si="181"/>
        <v>51</v>
      </c>
      <c r="L94">
        <f t="shared" si="182"/>
        <v>52</v>
      </c>
      <c r="M94">
        <f t="shared" si="183"/>
        <v>53</v>
      </c>
      <c r="N94">
        <f t="shared" si="184"/>
        <v>54</v>
      </c>
      <c r="O94">
        <f t="shared" si="185"/>
        <v>55</v>
      </c>
      <c r="P94">
        <f t="shared" si="186"/>
        <v>56</v>
      </c>
      <c r="Q94">
        <f t="shared" si="187"/>
        <v>57</v>
      </c>
      <c r="R94">
        <f t="shared" si="188"/>
        <v>58</v>
      </c>
      <c r="S94">
        <f t="shared" si="189"/>
        <v>59</v>
      </c>
      <c r="T94">
        <f>'Net zero activities &amp; levers'!D53</f>
        <v>60</v>
      </c>
      <c r="U94">
        <f t="shared" si="209"/>
        <v>60</v>
      </c>
      <c r="V94">
        <f t="shared" si="210"/>
        <v>60</v>
      </c>
      <c r="W94">
        <f t="shared" si="211"/>
        <v>60</v>
      </c>
      <c r="X94">
        <f t="shared" si="212"/>
        <v>60</v>
      </c>
      <c r="Y94">
        <f t="shared" si="213"/>
        <v>60</v>
      </c>
      <c r="Z94">
        <f t="shared" si="214"/>
        <v>60</v>
      </c>
      <c r="AA94">
        <f t="shared" si="215"/>
        <v>60</v>
      </c>
      <c r="AB94">
        <f t="shared" si="216"/>
        <v>60</v>
      </c>
      <c r="AC94">
        <f t="shared" si="217"/>
        <v>60</v>
      </c>
      <c r="AD94">
        <f>'Net zero activities &amp; levers'!E53</f>
        <v>60</v>
      </c>
      <c r="AE94">
        <f t="shared" si="199"/>
        <v>60</v>
      </c>
      <c r="AF94">
        <f t="shared" si="200"/>
        <v>60</v>
      </c>
      <c r="AG94">
        <f t="shared" si="201"/>
        <v>60</v>
      </c>
      <c r="AH94">
        <f t="shared" si="202"/>
        <v>60</v>
      </c>
      <c r="AI94">
        <f t="shared" si="203"/>
        <v>60</v>
      </c>
      <c r="AJ94">
        <f t="shared" si="204"/>
        <v>60</v>
      </c>
      <c r="AK94">
        <f t="shared" si="205"/>
        <v>60</v>
      </c>
      <c r="AL94">
        <f t="shared" si="206"/>
        <v>60</v>
      </c>
      <c r="AM94">
        <f t="shared" si="207"/>
        <v>60</v>
      </c>
      <c r="AN94">
        <f>'Net zero activities &amp; levers'!F53</f>
        <v>60</v>
      </c>
    </row>
    <row r="95" spans="1:48" x14ac:dyDescent="0.3">
      <c r="A95" t="s">
        <v>1070</v>
      </c>
      <c r="B95">
        <f>'Net zero activities &amp; levers'!C54</f>
        <v>60</v>
      </c>
      <c r="C95">
        <f t="shared" si="208"/>
        <v>60</v>
      </c>
      <c r="D95">
        <f t="shared" si="208"/>
        <v>60</v>
      </c>
      <c r="E95">
        <f t="shared" si="208"/>
        <v>60</v>
      </c>
      <c r="F95">
        <f t="shared" si="208"/>
        <v>60</v>
      </c>
      <c r="G95">
        <f t="shared" si="208"/>
        <v>60</v>
      </c>
      <c r="H95">
        <f t="shared" si="208"/>
        <v>60</v>
      </c>
      <c r="I95">
        <f t="shared" si="208"/>
        <v>60</v>
      </c>
      <c r="J95">
        <f t="shared" si="208"/>
        <v>60</v>
      </c>
      <c r="K95">
        <f t="shared" si="181"/>
        <v>61</v>
      </c>
      <c r="L95">
        <f t="shared" si="182"/>
        <v>62</v>
      </c>
      <c r="M95">
        <f t="shared" si="183"/>
        <v>63</v>
      </c>
      <c r="N95">
        <f t="shared" si="184"/>
        <v>64</v>
      </c>
      <c r="O95">
        <f t="shared" si="185"/>
        <v>65</v>
      </c>
      <c r="P95">
        <f t="shared" si="186"/>
        <v>66</v>
      </c>
      <c r="Q95">
        <f t="shared" si="187"/>
        <v>67</v>
      </c>
      <c r="R95">
        <f t="shared" si="188"/>
        <v>68</v>
      </c>
      <c r="S95">
        <f t="shared" si="189"/>
        <v>69</v>
      </c>
      <c r="T95">
        <f>'Net zero activities &amp; levers'!D54</f>
        <v>70</v>
      </c>
      <c r="U95">
        <f t="shared" si="209"/>
        <v>70</v>
      </c>
      <c r="V95">
        <f t="shared" si="210"/>
        <v>70</v>
      </c>
      <c r="W95">
        <f t="shared" si="211"/>
        <v>70</v>
      </c>
      <c r="X95">
        <f t="shared" si="212"/>
        <v>70</v>
      </c>
      <c r="Y95">
        <f t="shared" si="213"/>
        <v>70</v>
      </c>
      <c r="Z95">
        <f t="shared" si="214"/>
        <v>70</v>
      </c>
      <c r="AA95">
        <f t="shared" si="215"/>
        <v>70</v>
      </c>
      <c r="AB95">
        <f t="shared" si="216"/>
        <v>70</v>
      </c>
      <c r="AC95">
        <f t="shared" si="217"/>
        <v>70</v>
      </c>
      <c r="AD95">
        <f>'Net zero activities &amp; levers'!E54</f>
        <v>70</v>
      </c>
      <c r="AE95">
        <f t="shared" si="199"/>
        <v>70</v>
      </c>
      <c r="AF95">
        <f t="shared" si="200"/>
        <v>70</v>
      </c>
      <c r="AG95">
        <f t="shared" si="201"/>
        <v>70</v>
      </c>
      <c r="AH95">
        <f t="shared" si="202"/>
        <v>70</v>
      </c>
      <c r="AI95">
        <f t="shared" si="203"/>
        <v>70</v>
      </c>
      <c r="AJ95">
        <f t="shared" si="204"/>
        <v>70</v>
      </c>
      <c r="AK95">
        <f t="shared" si="205"/>
        <v>70</v>
      </c>
      <c r="AL95">
        <f t="shared" si="206"/>
        <v>70</v>
      </c>
      <c r="AM95">
        <f t="shared" si="207"/>
        <v>70</v>
      </c>
      <c r="AN95">
        <f>'Net zero activities &amp; levers'!F54</f>
        <v>70</v>
      </c>
    </row>
    <row r="96" spans="1:48" x14ac:dyDescent="0.3">
      <c r="A96" t="s">
        <v>1071</v>
      </c>
      <c r="B96">
        <f>'Net zero activities &amp; levers'!C55</f>
        <v>50</v>
      </c>
      <c r="C96">
        <f t="shared" si="208"/>
        <v>50</v>
      </c>
      <c r="D96">
        <f t="shared" si="208"/>
        <v>50</v>
      </c>
      <c r="E96">
        <f t="shared" si="208"/>
        <v>50</v>
      </c>
      <c r="F96">
        <f t="shared" si="208"/>
        <v>50</v>
      </c>
      <c r="G96">
        <f t="shared" si="208"/>
        <v>50</v>
      </c>
      <c r="H96">
        <f t="shared" si="208"/>
        <v>50</v>
      </c>
      <c r="I96">
        <f t="shared" si="208"/>
        <v>50</v>
      </c>
      <c r="J96">
        <f t="shared" si="208"/>
        <v>50</v>
      </c>
      <c r="K96">
        <f t="shared" si="181"/>
        <v>51</v>
      </c>
      <c r="L96">
        <f t="shared" si="182"/>
        <v>52</v>
      </c>
      <c r="M96">
        <f t="shared" si="183"/>
        <v>53</v>
      </c>
      <c r="N96">
        <f t="shared" si="184"/>
        <v>54</v>
      </c>
      <c r="O96">
        <f t="shared" si="185"/>
        <v>55</v>
      </c>
      <c r="P96">
        <f t="shared" si="186"/>
        <v>56</v>
      </c>
      <c r="Q96">
        <f t="shared" si="187"/>
        <v>57</v>
      </c>
      <c r="R96">
        <f t="shared" si="188"/>
        <v>58</v>
      </c>
      <c r="S96">
        <f t="shared" si="189"/>
        <v>59</v>
      </c>
      <c r="T96">
        <f>'Net zero activities &amp; levers'!D55</f>
        <v>60</v>
      </c>
      <c r="U96">
        <f t="shared" si="209"/>
        <v>60</v>
      </c>
      <c r="V96">
        <f t="shared" si="210"/>
        <v>60</v>
      </c>
      <c r="W96">
        <f t="shared" si="211"/>
        <v>60</v>
      </c>
      <c r="X96">
        <f t="shared" si="212"/>
        <v>60</v>
      </c>
      <c r="Y96">
        <f t="shared" si="213"/>
        <v>60</v>
      </c>
      <c r="Z96">
        <f t="shared" si="214"/>
        <v>60</v>
      </c>
      <c r="AA96">
        <f t="shared" si="215"/>
        <v>60</v>
      </c>
      <c r="AB96">
        <f t="shared" si="216"/>
        <v>60</v>
      </c>
      <c r="AC96">
        <f t="shared" si="217"/>
        <v>60</v>
      </c>
      <c r="AD96">
        <f>'Net zero activities &amp; levers'!E55</f>
        <v>60</v>
      </c>
      <c r="AE96">
        <f t="shared" si="199"/>
        <v>60</v>
      </c>
      <c r="AF96">
        <f t="shared" si="200"/>
        <v>60</v>
      </c>
      <c r="AG96">
        <f t="shared" si="201"/>
        <v>60</v>
      </c>
      <c r="AH96">
        <f t="shared" si="202"/>
        <v>60</v>
      </c>
      <c r="AI96">
        <f t="shared" si="203"/>
        <v>60</v>
      </c>
      <c r="AJ96">
        <f t="shared" si="204"/>
        <v>60</v>
      </c>
      <c r="AK96">
        <f t="shared" si="205"/>
        <v>60</v>
      </c>
      <c r="AL96">
        <f t="shared" si="206"/>
        <v>60</v>
      </c>
      <c r="AM96">
        <f t="shared" si="207"/>
        <v>60</v>
      </c>
      <c r="AN96">
        <f>'Net zero activities &amp; levers'!F55</f>
        <v>60</v>
      </c>
    </row>
    <row r="97" spans="1:40" x14ac:dyDescent="0.3">
      <c r="A97" t="s">
        <v>1110</v>
      </c>
      <c r="B97">
        <v>0</v>
      </c>
      <c r="C97">
        <f t="shared" ref="C97:I97" si="218">B97+(((C88-B88)*0.6)/100)</f>
        <v>0</v>
      </c>
      <c r="D97">
        <f t="shared" si="218"/>
        <v>0</v>
      </c>
      <c r="E97">
        <f t="shared" si="218"/>
        <v>0</v>
      </c>
      <c r="F97">
        <f t="shared" si="218"/>
        <v>0</v>
      </c>
      <c r="G97">
        <f t="shared" si="218"/>
        <v>0</v>
      </c>
      <c r="H97">
        <f t="shared" si="218"/>
        <v>0</v>
      </c>
      <c r="I97">
        <f t="shared" si="218"/>
        <v>0</v>
      </c>
      <c r="J97">
        <f>I97+(((J88-I88)*0.6)/100)</f>
        <v>0</v>
      </c>
      <c r="K97">
        <f>J97+(((K88-J88)*0.6)/100)</f>
        <v>6.0000000000000001E-3</v>
      </c>
      <c r="L97">
        <f t="shared" ref="L97:AN97" si="219">K97+(((L88-K88)*0.6)/100)</f>
        <v>1.2E-2</v>
      </c>
      <c r="M97">
        <f t="shared" si="219"/>
        <v>1.8000000000000002E-2</v>
      </c>
      <c r="N97">
        <f t="shared" si="219"/>
        <v>2.4E-2</v>
      </c>
      <c r="O97">
        <f t="shared" si="219"/>
        <v>0.03</v>
      </c>
      <c r="P97">
        <f t="shared" si="219"/>
        <v>3.5999999999999997E-2</v>
      </c>
      <c r="Q97">
        <f t="shared" si="219"/>
        <v>4.1999999999999996E-2</v>
      </c>
      <c r="R97">
        <f t="shared" si="219"/>
        <v>4.7999999999999994E-2</v>
      </c>
      <c r="S97">
        <f t="shared" si="219"/>
        <v>5.3999999999999992E-2</v>
      </c>
      <c r="T97">
        <f t="shared" si="219"/>
        <v>5.9999999999999991E-2</v>
      </c>
      <c r="U97">
        <f t="shared" si="219"/>
        <v>5.9999999999999991E-2</v>
      </c>
      <c r="V97">
        <f t="shared" si="219"/>
        <v>5.9999999999999991E-2</v>
      </c>
      <c r="W97">
        <f t="shared" si="219"/>
        <v>5.9999999999999991E-2</v>
      </c>
      <c r="X97">
        <f t="shared" si="219"/>
        <v>5.9999999999999991E-2</v>
      </c>
      <c r="Y97">
        <f t="shared" si="219"/>
        <v>5.9999999999999991E-2</v>
      </c>
      <c r="Z97">
        <f t="shared" si="219"/>
        <v>5.9999999999999991E-2</v>
      </c>
      <c r="AA97">
        <f t="shared" si="219"/>
        <v>5.9999999999999991E-2</v>
      </c>
      <c r="AB97">
        <f t="shared" si="219"/>
        <v>5.9999999999999991E-2</v>
      </c>
      <c r="AC97">
        <f t="shared" si="219"/>
        <v>5.9999999999999991E-2</v>
      </c>
      <c r="AD97">
        <f t="shared" si="219"/>
        <v>5.9999999999999991E-2</v>
      </c>
      <c r="AE97">
        <f t="shared" si="219"/>
        <v>5.9999999999999991E-2</v>
      </c>
      <c r="AF97">
        <f t="shared" si="219"/>
        <v>5.9999999999999991E-2</v>
      </c>
      <c r="AG97">
        <f t="shared" si="219"/>
        <v>5.9999999999999991E-2</v>
      </c>
      <c r="AH97">
        <f t="shared" si="219"/>
        <v>5.9999999999999991E-2</v>
      </c>
      <c r="AI97">
        <f t="shared" si="219"/>
        <v>5.9999999999999991E-2</v>
      </c>
      <c r="AJ97">
        <f t="shared" si="219"/>
        <v>5.9999999999999991E-2</v>
      </c>
      <c r="AK97">
        <f t="shared" si="219"/>
        <v>5.9999999999999991E-2</v>
      </c>
      <c r="AL97">
        <f t="shared" si="219"/>
        <v>5.9999999999999991E-2</v>
      </c>
      <c r="AM97">
        <f t="shared" si="219"/>
        <v>5.9999999999999991E-2</v>
      </c>
      <c r="AN97">
        <f t="shared" si="219"/>
        <v>5.9999999999999991E-2</v>
      </c>
    </row>
    <row r="98" spans="1:40" x14ac:dyDescent="0.3">
      <c r="A98" t="s">
        <v>1360</v>
      </c>
      <c r="B98">
        <v>0</v>
      </c>
      <c r="C98">
        <f>B98+(((C90-B90)*0.6)/100)</f>
        <v>0</v>
      </c>
      <c r="D98">
        <f t="shared" ref="D98:AN98" si="220">C98+(((D90-C90)*0.6)/100)</f>
        <v>0</v>
      </c>
      <c r="E98">
        <f t="shared" si="220"/>
        <v>0</v>
      </c>
      <c r="F98">
        <f t="shared" si="220"/>
        <v>0</v>
      </c>
      <c r="G98">
        <f t="shared" si="220"/>
        <v>0</v>
      </c>
      <c r="H98">
        <f t="shared" si="220"/>
        <v>0</v>
      </c>
      <c r="I98">
        <f t="shared" si="220"/>
        <v>0</v>
      </c>
      <c r="J98">
        <f t="shared" si="220"/>
        <v>0</v>
      </c>
      <c r="K98">
        <f t="shared" si="220"/>
        <v>6.0000000000000001E-3</v>
      </c>
      <c r="L98">
        <f t="shared" si="220"/>
        <v>1.2E-2</v>
      </c>
      <c r="M98">
        <f t="shared" si="220"/>
        <v>1.8000000000000002E-2</v>
      </c>
      <c r="N98">
        <f t="shared" si="220"/>
        <v>2.4E-2</v>
      </c>
      <c r="O98">
        <f t="shared" si="220"/>
        <v>0.03</v>
      </c>
      <c r="P98">
        <f t="shared" si="220"/>
        <v>3.5999999999999997E-2</v>
      </c>
      <c r="Q98">
        <f t="shared" si="220"/>
        <v>4.1999999999999996E-2</v>
      </c>
      <c r="R98">
        <f t="shared" si="220"/>
        <v>4.7999999999999994E-2</v>
      </c>
      <c r="S98">
        <f t="shared" si="220"/>
        <v>5.3999999999999992E-2</v>
      </c>
      <c r="T98">
        <f t="shared" si="220"/>
        <v>5.9999999999999991E-2</v>
      </c>
      <c r="U98">
        <f t="shared" si="220"/>
        <v>5.9999999999999991E-2</v>
      </c>
      <c r="V98">
        <f t="shared" si="220"/>
        <v>5.9999999999999991E-2</v>
      </c>
      <c r="W98">
        <f t="shared" si="220"/>
        <v>5.9999999999999991E-2</v>
      </c>
      <c r="X98">
        <f t="shared" si="220"/>
        <v>5.9999999999999991E-2</v>
      </c>
      <c r="Y98">
        <f t="shared" si="220"/>
        <v>5.9999999999999991E-2</v>
      </c>
      <c r="Z98">
        <f t="shared" si="220"/>
        <v>5.9999999999999991E-2</v>
      </c>
      <c r="AA98">
        <f t="shared" si="220"/>
        <v>5.9999999999999991E-2</v>
      </c>
      <c r="AB98">
        <f t="shared" si="220"/>
        <v>5.9999999999999991E-2</v>
      </c>
      <c r="AC98">
        <f t="shared" si="220"/>
        <v>5.9999999999999991E-2</v>
      </c>
      <c r="AD98">
        <f t="shared" si="220"/>
        <v>5.9999999999999991E-2</v>
      </c>
      <c r="AE98">
        <f t="shared" si="220"/>
        <v>5.9999999999999991E-2</v>
      </c>
      <c r="AF98">
        <f t="shared" si="220"/>
        <v>5.9999999999999991E-2</v>
      </c>
      <c r="AG98">
        <f t="shared" si="220"/>
        <v>5.9999999999999991E-2</v>
      </c>
      <c r="AH98">
        <f t="shared" si="220"/>
        <v>5.9999999999999991E-2</v>
      </c>
      <c r="AI98">
        <f t="shared" si="220"/>
        <v>5.9999999999999991E-2</v>
      </c>
      <c r="AJ98">
        <f t="shared" si="220"/>
        <v>5.9999999999999991E-2</v>
      </c>
      <c r="AK98">
        <f t="shared" si="220"/>
        <v>5.9999999999999991E-2</v>
      </c>
      <c r="AL98">
        <f t="shared" si="220"/>
        <v>5.9999999999999991E-2</v>
      </c>
      <c r="AM98">
        <f t="shared" si="220"/>
        <v>5.9999999999999991E-2</v>
      </c>
      <c r="AN98">
        <f t="shared" si="220"/>
        <v>5.9999999999999991E-2</v>
      </c>
    </row>
    <row r="99" spans="1:40" x14ac:dyDescent="0.3">
      <c r="A99" t="s">
        <v>840</v>
      </c>
      <c r="B99">
        <f>'Intermediate calculations'!Y16</f>
        <v>0.59036032260533733</v>
      </c>
      <c r="C99">
        <f>'Intermediate calculations'!Z16-('Intermediate calculations'!Z16*C97)</f>
        <v>0.58537997662592556</v>
      </c>
      <c r="D99">
        <f>'Intermediate calculations'!AA16-('Intermediate calculations'!AA16*D97)</f>
        <v>0.58070166069623075</v>
      </c>
      <c r="E99">
        <f>'Intermediate calculations'!AB16-('Intermediate calculations'!AB16*E97)</f>
        <v>0.57629082711126922</v>
      </c>
      <c r="F99">
        <f>'Intermediate calculations'!AC16-('Intermediate calculations'!AC16*F97)</f>
        <v>0.57211853646492172</v>
      </c>
      <c r="G99">
        <f>'Intermediate calculations'!AD16-('Intermediate calculations'!AD16*G97)</f>
        <v>0.56816030581489985</v>
      </c>
      <c r="H99">
        <f>'Intermediate calculations'!AE16-('Intermediate calculations'!AE16*H97)</f>
        <v>0.56439523816734538</v>
      </c>
      <c r="I99">
        <f>'Intermediate calculations'!AF16-('Intermediate calculations'!AF16*I97)</f>
        <v>0.56080535465675874</v>
      </c>
      <c r="J99">
        <f>'Intermediate calculations'!AG16-('Intermediate calculations'!AG16*J97)</f>
        <v>0.5573750752965374</v>
      </c>
      <c r="K99">
        <f>'Intermediate calculations'!AH16-('Intermediate calculations'!AH16*K97)</f>
        <v>0.55076626545890672</v>
      </c>
      <c r="L99">
        <f>'Intermediate calculations'!AI16-('Intermediate calculations'!AI16*L97)</f>
        <v>0.54432934738382766</v>
      </c>
      <c r="M99">
        <f>'Intermediate calculations'!AJ16-('Intermediate calculations'!AJ16*M97)</f>
        <v>0.53805157578558616</v>
      </c>
      <c r="N99">
        <f>'Intermediate calculations'!AK16-('Intermediate calculations'!AK16*N97)</f>
        <v>0.53192162094682716</v>
      </c>
      <c r="O99">
        <f>'Intermediate calculations'!AL16-('Intermediate calculations'!AL16*O97)</f>
        <v>0.5259293647356007</v>
      </c>
      <c r="P99">
        <f>'Intermediate calculations'!AM16-('Intermediate calculations'!AM16*P97)</f>
        <v>0.52006573221799846</v>
      </c>
      <c r="Q99">
        <f>'Intermediate calculations'!AN16-('Intermediate calculations'!AN16*Q97)</f>
        <v>0.5143225516503942</v>
      </c>
      <c r="R99">
        <f>'Intermediate calculations'!AO16-('Intermediate calculations'!AO16*R97)</f>
        <v>0.50869243728797453</v>
      </c>
      <c r="S99">
        <f>'Intermediate calculations'!AP16-('Intermediate calculations'!AP16*S97)</f>
        <v>0.50316869067975289</v>
      </c>
      <c r="T99">
        <f>'Intermediate calculations'!AQ16-('Intermediate calculations'!AQ16*T97)</f>
        <v>0.49774521705056513</v>
      </c>
      <c r="U99">
        <f>'Intermediate calculations'!AR16-('Intermediate calculations'!AR16*U97)</f>
        <v>0.4955797289446574</v>
      </c>
      <c r="V99">
        <f>'Intermediate calculations'!AS16-('Intermediate calculations'!AS16*V97)</f>
        <v>0.49347701753192924</v>
      </c>
      <c r="W99">
        <f>'Intermediate calculations'!AT16-('Intermediate calculations'!AT16*W97)</f>
        <v>0.49143354537479367</v>
      </c>
      <c r="X99">
        <f>'Intermediate calculations'!AU16-('Intermediate calculations'!AU16*X97)</f>
        <v>0.48944606585991451</v>
      </c>
      <c r="Y99">
        <f>'Intermediate calculations'!AV16-('Intermediate calculations'!AV16*Y97)</f>
        <v>0.487511592167227</v>
      </c>
      <c r="Z99">
        <f>'Intermediate calculations'!AW16-('Intermediate calculations'!AW16*Z97)</f>
        <v>0.48562737027041236</v>
      </c>
      <c r="AA99">
        <f>'Intermediate calculations'!AX16-('Intermediate calculations'!AX16*AA97)</f>
        <v>0.48379085535620636</v>
      </c>
      <c r="AB99">
        <f>'Intermediate calculations'!AY16-('Intermediate calculations'!AY16*AB97)</f>
        <v>0.48199969115585101</v>
      </c>
      <c r="AC99">
        <f>'Intermediate calculations'!AZ16-('Intermediate calculations'!AZ16*AC97)</f>
        <v>0.48025169176750526</v>
      </c>
      <c r="AD99">
        <f>'Intermediate calculations'!BA16-('Intermediate calculations'!BA16*AD97)</f>
        <v>0.47854482561782413</v>
      </c>
      <c r="AE99">
        <f>'Intermediate calculations'!BB16-('Intermediate calculations'!BB16*AE97)</f>
        <v>0.47687720126755379</v>
      </c>
      <c r="AF99">
        <f>'Intermediate calculations'!BC16-('Intermediate calculations'!BC16*AF97)</f>
        <v>0.47524705481242946</v>
      </c>
      <c r="AG99">
        <f>'Intermediate calculations'!BD16-('Intermediate calculations'!BD16*AG97)</f>
        <v>0.47365273866894575</v>
      </c>
      <c r="AH99">
        <f>'Intermediate calculations'!BE16-('Intermediate calculations'!BE16*AH97)</f>
        <v>0.47209271156625232</v>
      </c>
      <c r="AI99">
        <f>'Intermediate calculations'!BF16-('Intermediate calculations'!BF16*AI97)</f>
        <v>0.47056552959178222</v>
      </c>
      <c r="AJ99">
        <f>'Intermediate calculations'!BG16-('Intermediate calculations'!BG16*AJ97)</f>
        <v>0.46906983816021686</v>
      </c>
      <c r="AK99">
        <f>'Intermediate calculations'!BH16-('Intermediate calculations'!BH16*AK97)</f>
        <v>0.46760436479384215</v>
      </c>
      <c r="AL99">
        <f>'Intermediate calculations'!BI16-('Intermediate calculations'!BI16*AL97)</f>
        <v>0.46616791261786916</v>
      </c>
      <c r="AM99">
        <f>'Intermediate calculations'!BJ16-('Intermediate calculations'!BJ16*AM97)</f>
        <v>0.46475935448740108</v>
      </c>
      <c r="AN99">
        <f>'Intermediate calculations'!BK16-('Intermediate calculations'!BK16*AN97)</f>
        <v>0.46337762767384388</v>
      </c>
    </row>
    <row r="100" spans="1:40" x14ac:dyDescent="0.3">
      <c r="A100" t="s">
        <v>1109</v>
      </c>
      <c r="B100">
        <f>'Intermediate calculations'!Y11</f>
        <v>40.711692719818267</v>
      </c>
      <c r="C100">
        <f>'Intermediate calculations'!Z11-('Intermediate calculations'!Z11*C98)</f>
        <v>39.98751157220714</v>
      </c>
      <c r="D100">
        <f>'Intermediate calculations'!AA11-('Intermediate calculations'!AA11*D98)</f>
        <v>39.307247949386728</v>
      </c>
      <c r="E100">
        <f>'Intermediate calculations'!AB11-('Intermediate calculations'!AB11*E98)</f>
        <v>38.665878345611468</v>
      </c>
      <c r="F100">
        <f>'Intermediate calculations'!AC11-('Intermediate calculations'!AC11*F98)</f>
        <v>38.059194745530348</v>
      </c>
      <c r="G100">
        <f>'Intermediate calculations'!AD11-('Intermediate calculations'!AD11*G98)</f>
        <v>37.483637138389781</v>
      </c>
      <c r="H100">
        <f>'Intermediate calculations'!AE11-('Intermediate calculations'!AE11*H98)</f>
        <v>36.936166938305114</v>
      </c>
      <c r="I100">
        <f>'Intermediate calculations'!AF11-('Intermediate calculations'!AF11*I98)</f>
        <v>36.414169878013752</v>
      </c>
      <c r="J100">
        <f>'Intermediate calculations'!AG11-('Intermediate calculations'!AG11*J98)</f>
        <v>35.915380505953856</v>
      </c>
      <c r="K100">
        <f>'Intermediate calculations'!AH11-('Intermediate calculations'!AH11*K98)</f>
        <v>35.225195827597879</v>
      </c>
      <c r="L100">
        <f>'Intermediate calculations'!AI11-('Intermediate calculations'!AI11*L98)</f>
        <v>34.560005552117545</v>
      </c>
      <c r="M100">
        <f>'Intermediate calculations'!AJ11-('Intermediate calculations'!AJ11*M98)</f>
        <v>33.917956415568327</v>
      </c>
      <c r="N100">
        <f>'Intermediate calculations'!AK11-('Intermediate calculations'!AK11*N98)</f>
        <v>33.297400988685197</v>
      </c>
      <c r="O100">
        <f>'Intermediate calculations'!AL11-('Intermediate calculations'!AL11*O98)</f>
        <v>32.696868016170328</v>
      </c>
      <c r="P100">
        <f>'Intermediate calculations'!AM11-('Intermediate calculations'!AM11*P98)</f>
        <v>32.115037931857181</v>
      </c>
      <c r="Q100">
        <f>'Intermediate calculations'!AN11-('Intermediate calculations'!AN11*Q98)</f>
        <v>31.550722500490259</v>
      </c>
      <c r="R100">
        <f>'Intermediate calculations'!AO11-('Intermediate calculations'!AO11*R98)</f>
        <v>31.00284777717156</v>
      </c>
      <c r="S100">
        <f>'Intermediate calculations'!AP11-('Intermediate calculations'!AP11*S98)</f>
        <v>30.470439754885749</v>
      </c>
      <c r="T100">
        <f>'Intermediate calculations'!AQ11-('Intermediate calculations'!AQ11*T98)</f>
        <v>29.952612205790214</v>
      </c>
      <c r="U100">
        <f>'Intermediate calculations'!AR11-('Intermediate calculations'!AR11*U98)</f>
        <v>29.637733346338027</v>
      </c>
      <c r="V100">
        <f>'Intermediate calculations'!AS11-('Intermediate calculations'!AS11*V98)</f>
        <v>29.331982707675714</v>
      </c>
      <c r="W100">
        <f>'Intermediate calculations'!AT11-('Intermediate calculations'!AT11*W98)</f>
        <v>29.034845918789284</v>
      </c>
      <c r="X100">
        <f>'Intermediate calculations'!AU11-('Intermediate calculations'!AU11*X98)</f>
        <v>28.745850896779039</v>
      </c>
      <c r="Y100">
        <f>'Intermediate calculations'!AV11-('Intermediate calculations'!AV11*Y98)</f>
        <v>28.464563334713038</v>
      </c>
      <c r="Z100">
        <f>'Intermediate calculations'!AW11-('Intermediate calculations'!AW11*Z98)</f>
        <v>28.190582775685623</v>
      </c>
      <c r="AA100">
        <f>'Intermediate calculations'!AX11-('Intermediate calculations'!AX11*AA98)</f>
        <v>27.923539184000905</v>
      </c>
      <c r="AB100">
        <f>'Intermediate calculations'!AY11-('Intermediate calculations'!AY11*AB98)</f>
        <v>27.663089939804724</v>
      </c>
      <c r="AC100">
        <f>'Intermediate calculations'!AZ11-('Intermediate calculations'!AZ11*AC98)</f>
        <v>27.408917195921315</v>
      </c>
      <c r="AD100">
        <f>'Intermediate calculations'!BA11-('Intermediate calculations'!BA11*AD98)</f>
        <v>27.160725545741908</v>
      </c>
      <c r="AE100">
        <f>'Intermediate calculations'!BB11-('Intermediate calculations'!BB11*AE98)</f>
        <v>26.918239959247437</v>
      </c>
      <c r="AF100">
        <f>'Intermediate calculations'!BC11-('Intermediate calculations'!BC11*AF98)</f>
        <v>26.681203951000967</v>
      </c>
      <c r="AG100">
        <f>'Intermediate calculations'!BD11-('Intermediate calculations'!BD11*AG98)</f>
        <v>26.449377949511128</v>
      </c>
      <c r="AH100">
        <f>'Intermediate calculations'!BE11-('Intermediate calculations'!BE11*AH98)</f>
        <v>26.222537841975811</v>
      </c>
      <c r="AI100">
        <f>'Intermediate calculations'!BF11-('Intermediate calculations'!BF11*AI98)</f>
        <v>26.000473672246507</v>
      </c>
      <c r="AJ100">
        <f>'Intermediate calculations'!BG11-('Intermediate calculations'!BG11*AJ98)</f>
        <v>25.782988473053351</v>
      </c>
      <c r="AK100">
        <f>'Intermediate calculations'!BH11-('Intermediate calculations'!BH11*AK98)</f>
        <v>25.569897216212581</v>
      </c>
      <c r="AL100">
        <f>'Intermediate calculations'!BI11-('Intermediate calculations'!BI11*AL98)</f>
        <v>25.36102586679532</v>
      </c>
      <c r="AM100">
        <f>'Intermediate calculations'!BJ11-('Intermediate calculations'!BJ11*AM98)</f>
        <v>25.15621052914284</v>
      </c>
      <c r="AN100">
        <f>'Intermediate calculations'!BK11-('Intermediate calculations'!BK11*AN98)</f>
        <v>24.955296674229281</v>
      </c>
    </row>
    <row r="101" spans="1:40" x14ac:dyDescent="0.3">
      <c r="A101" t="s">
        <v>849</v>
      </c>
      <c r="B101">
        <f>'Intermediate calculations'!Y64</f>
        <v>0.57999999999999996</v>
      </c>
      <c r="C101">
        <f>'Intermediate calculations'!Y64+('Intermediate calculations'!Y64*C98)</f>
        <v>0.57999999999999996</v>
      </c>
      <c r="D101">
        <f>'Intermediate calculations'!Z64+('Intermediate calculations'!Z64*D98)</f>
        <v>0.57999999999999996</v>
      </c>
      <c r="E101">
        <f>'Intermediate calculations'!AA64+('Intermediate calculations'!AA64*E98)</f>
        <v>0.57999999999999996</v>
      </c>
      <c r="F101">
        <f>'Intermediate calculations'!AB64+('Intermediate calculations'!AB64*F98)</f>
        <v>0.57999999999999996</v>
      </c>
      <c r="G101">
        <f>'Intermediate calculations'!AC64+('Intermediate calculations'!AC64*G98)</f>
        <v>0.57999999999999996</v>
      </c>
      <c r="H101">
        <f>'Intermediate calculations'!AD64+('Intermediate calculations'!AD64*H98)</f>
        <v>0.57999999999999996</v>
      </c>
      <c r="I101">
        <f>'Intermediate calculations'!AE64+('Intermediate calculations'!AE64*I98)</f>
        <v>0.57999999999999996</v>
      </c>
      <c r="J101">
        <f>'Intermediate calculations'!AF64+('Intermediate calculations'!AF64*J98)</f>
        <v>0.57999999999999996</v>
      </c>
      <c r="K101">
        <f>'Intermediate calculations'!AG64+('Intermediate calculations'!AG64*K98)</f>
        <v>0.58348</v>
      </c>
      <c r="L101">
        <f>'Intermediate calculations'!AH64+('Intermediate calculations'!AH64*L98)</f>
        <v>0.58695999999999993</v>
      </c>
      <c r="M101">
        <f>'Intermediate calculations'!AI64+('Intermediate calculations'!AI64*M98)</f>
        <v>0.59043999999999996</v>
      </c>
      <c r="N101">
        <f>'Intermediate calculations'!AJ64+('Intermediate calculations'!AJ64*N98)</f>
        <v>0.59392</v>
      </c>
      <c r="O101">
        <f>'Intermediate calculations'!AK64+('Intermediate calculations'!AK64*O98)</f>
        <v>0.59739999999999993</v>
      </c>
      <c r="P101">
        <f>'Intermediate calculations'!AL64+('Intermediate calculations'!AL64*P98)</f>
        <v>0.60087999999999997</v>
      </c>
      <c r="Q101">
        <f>'Intermediate calculations'!AM64+('Intermediate calculations'!AM64*Q98)</f>
        <v>0.60436000000000001</v>
      </c>
      <c r="R101">
        <f>'Intermediate calculations'!AN64+('Intermediate calculations'!AN64*R98)</f>
        <v>0.60783999999999994</v>
      </c>
      <c r="S101">
        <f>'Intermediate calculations'!AO64+('Intermediate calculations'!AO64*S98)</f>
        <v>0.61131999999999997</v>
      </c>
      <c r="T101">
        <f>'Intermediate calculations'!AP64+('Intermediate calculations'!AP64*T98)</f>
        <v>0.6147999999999999</v>
      </c>
      <c r="U101">
        <f>'Intermediate calculations'!AQ64+('Intermediate calculations'!AQ64*U98)</f>
        <v>0.6147999999999999</v>
      </c>
      <c r="V101">
        <f>'Intermediate calculations'!AR64+('Intermediate calculations'!AR64*V98)</f>
        <v>0.6147999999999999</v>
      </c>
      <c r="W101">
        <f>'Intermediate calculations'!AS64+('Intermediate calculations'!AS64*W98)</f>
        <v>0.6147999999999999</v>
      </c>
      <c r="X101">
        <f>'Intermediate calculations'!AT64+('Intermediate calculations'!AT64*X98)</f>
        <v>0.6147999999999999</v>
      </c>
      <c r="Y101">
        <f>'Intermediate calculations'!AU64+('Intermediate calculations'!AU64*Y98)</f>
        <v>0.6147999999999999</v>
      </c>
      <c r="Z101">
        <f>'Intermediate calculations'!AV64+('Intermediate calculations'!AV64*Z98)</f>
        <v>0.6147999999999999</v>
      </c>
      <c r="AA101">
        <f>'Intermediate calculations'!AW64+('Intermediate calculations'!AW64*AA98)</f>
        <v>0.6147999999999999</v>
      </c>
      <c r="AB101">
        <f>'Intermediate calculations'!AX64+('Intermediate calculations'!AX64*AB98)</f>
        <v>0.6147999999999999</v>
      </c>
      <c r="AC101">
        <f>'Intermediate calculations'!AY64+('Intermediate calculations'!AY64*AC98)</f>
        <v>0.6147999999999999</v>
      </c>
      <c r="AD101">
        <f>'Intermediate calculations'!AZ64+('Intermediate calculations'!AZ64*AD98)</f>
        <v>0.6147999999999999</v>
      </c>
      <c r="AE101">
        <f>'Intermediate calculations'!BA64+('Intermediate calculations'!BA64*AE98)</f>
        <v>0.6147999999999999</v>
      </c>
      <c r="AF101">
        <f>'Intermediate calculations'!BB64+('Intermediate calculations'!BB64*AF98)</f>
        <v>0.6147999999999999</v>
      </c>
      <c r="AG101">
        <f>'Intermediate calculations'!BC64+('Intermediate calculations'!BC64*AG98)</f>
        <v>0.6147999999999999</v>
      </c>
      <c r="AH101">
        <f>'Intermediate calculations'!BD64+('Intermediate calculations'!BD64*AH98)</f>
        <v>0.6147999999999999</v>
      </c>
      <c r="AI101">
        <f>'Intermediate calculations'!BE64+('Intermediate calculations'!BE64*AI98)</f>
        <v>0.6147999999999999</v>
      </c>
      <c r="AJ101">
        <f>'Intermediate calculations'!BF64+('Intermediate calculations'!BF64*AJ98)</f>
        <v>0.6147999999999999</v>
      </c>
      <c r="AK101">
        <f>'Intermediate calculations'!BG64+('Intermediate calculations'!BG64*AK98)</f>
        <v>0.6147999999999999</v>
      </c>
      <c r="AL101">
        <f>'Intermediate calculations'!BH64+('Intermediate calculations'!BH64*AL98)</f>
        <v>0.6147999999999999</v>
      </c>
      <c r="AM101">
        <f>'Intermediate calculations'!BI64+('Intermediate calculations'!BI64*AM98)</f>
        <v>0.6147999999999999</v>
      </c>
      <c r="AN101">
        <f>'Intermediate calculations'!BJ64+('Intermediate calculations'!BJ64*AN98)</f>
        <v>0.6147999999999999</v>
      </c>
    </row>
    <row r="102" spans="1:40" x14ac:dyDescent="0.3">
      <c r="A102" t="s">
        <v>1052</v>
      </c>
      <c r="B102">
        <f>(EF!$P$4-(EF!$P$4*((B87-B87)*0.015)))</f>
        <v>19.893899204244047</v>
      </c>
      <c r="C102">
        <f t="shared" ref="C102:AN102" si="221">(B102-(B102*((C87-B87)*0.015)))</f>
        <v>19.893899204244047</v>
      </c>
      <c r="D102">
        <f t="shared" si="221"/>
        <v>19.893899204244047</v>
      </c>
      <c r="E102">
        <f t="shared" si="221"/>
        <v>19.893899204244047</v>
      </c>
      <c r="F102">
        <f t="shared" si="221"/>
        <v>19.893899204244047</v>
      </c>
      <c r="G102">
        <f t="shared" si="221"/>
        <v>19.893899204244047</v>
      </c>
      <c r="H102">
        <f t="shared" si="221"/>
        <v>19.893899204244047</v>
      </c>
      <c r="I102">
        <f t="shared" si="221"/>
        <v>19.893899204244047</v>
      </c>
      <c r="J102">
        <f t="shared" si="221"/>
        <v>19.893899204244047</v>
      </c>
      <c r="K102">
        <f t="shared" si="221"/>
        <v>19.595490716180386</v>
      </c>
      <c r="L102">
        <f t="shared" si="221"/>
        <v>19.301558355437681</v>
      </c>
      <c r="M102">
        <f t="shared" si="221"/>
        <v>19.012034980106115</v>
      </c>
      <c r="N102">
        <f t="shared" si="221"/>
        <v>18.726854455404524</v>
      </c>
      <c r="O102">
        <f t="shared" si="221"/>
        <v>18.445951638573458</v>
      </c>
      <c r="P102">
        <f t="shared" si="221"/>
        <v>18.169262363994857</v>
      </c>
      <c r="Q102">
        <f t="shared" si="221"/>
        <v>17.896723428534933</v>
      </c>
      <c r="R102">
        <f t="shared" si="221"/>
        <v>17.628272577106909</v>
      </c>
      <c r="S102">
        <f t="shared" si="221"/>
        <v>17.363848488450305</v>
      </c>
      <c r="T102">
        <f t="shared" si="221"/>
        <v>17.103390761123549</v>
      </c>
      <c r="U102">
        <f t="shared" si="221"/>
        <v>16.975115330415122</v>
      </c>
      <c r="V102">
        <f t="shared" si="221"/>
        <v>16.847801965437007</v>
      </c>
      <c r="W102">
        <f t="shared" si="221"/>
        <v>16.721443450696231</v>
      </c>
      <c r="X102">
        <f t="shared" si="221"/>
        <v>16.596032624816008</v>
      </c>
      <c r="Y102">
        <f t="shared" si="221"/>
        <v>16.471562380129889</v>
      </c>
      <c r="Z102">
        <f t="shared" si="221"/>
        <v>16.348025662278914</v>
      </c>
      <c r="AA102">
        <f t="shared" si="221"/>
        <v>16.225415469811821</v>
      </c>
      <c r="AB102">
        <f t="shared" si="221"/>
        <v>16.103724853788233</v>
      </c>
      <c r="AC102">
        <f t="shared" si="221"/>
        <v>15.982946917384821</v>
      </c>
      <c r="AD102">
        <f t="shared" si="221"/>
        <v>15.863074815504435</v>
      </c>
      <c r="AE102">
        <f t="shared" si="221"/>
        <v>15.863074815504435</v>
      </c>
      <c r="AF102">
        <f t="shared" si="221"/>
        <v>15.863074815504435</v>
      </c>
      <c r="AG102">
        <f t="shared" si="221"/>
        <v>15.863074815504435</v>
      </c>
      <c r="AH102">
        <f t="shared" si="221"/>
        <v>15.863074815504435</v>
      </c>
      <c r="AI102">
        <f t="shared" si="221"/>
        <v>15.863074815504435</v>
      </c>
      <c r="AJ102">
        <f t="shared" si="221"/>
        <v>15.863074815504435</v>
      </c>
      <c r="AK102">
        <f t="shared" si="221"/>
        <v>15.863074815504435</v>
      </c>
      <c r="AL102">
        <f t="shared" si="221"/>
        <v>15.863074815504435</v>
      </c>
      <c r="AM102">
        <f t="shared" si="221"/>
        <v>15.863074815504435</v>
      </c>
      <c r="AN102">
        <f t="shared" si="221"/>
        <v>15.863074815504435</v>
      </c>
    </row>
    <row r="103" spans="1:40" x14ac:dyDescent="0.3">
      <c r="A103" t="s">
        <v>1053</v>
      </c>
      <c r="B103">
        <f>(EF!$P$5-(EF!$P$5*((B88-B88)*0.015)))</f>
        <v>20.888594164456251</v>
      </c>
      <c r="C103">
        <f t="shared" ref="C103:AN103" si="222">(B103-(B103*((C88-B88)*0.015)))</f>
        <v>20.888594164456251</v>
      </c>
      <c r="D103">
        <f t="shared" si="222"/>
        <v>20.888594164456251</v>
      </c>
      <c r="E103">
        <f t="shared" si="222"/>
        <v>20.888594164456251</v>
      </c>
      <c r="F103">
        <f t="shared" si="222"/>
        <v>20.888594164456251</v>
      </c>
      <c r="G103">
        <f t="shared" si="222"/>
        <v>20.888594164456251</v>
      </c>
      <c r="H103">
        <f t="shared" si="222"/>
        <v>20.888594164456251</v>
      </c>
      <c r="I103">
        <f t="shared" si="222"/>
        <v>20.888594164456251</v>
      </c>
      <c r="J103">
        <f t="shared" si="222"/>
        <v>20.888594164456251</v>
      </c>
      <c r="K103">
        <f t="shared" si="222"/>
        <v>20.575265251989407</v>
      </c>
      <c r="L103">
        <f t="shared" si="222"/>
        <v>20.266636273209567</v>
      </c>
      <c r="M103">
        <f t="shared" si="222"/>
        <v>19.962636729111424</v>
      </c>
      <c r="N103">
        <f t="shared" si="222"/>
        <v>19.663197178174752</v>
      </c>
      <c r="O103">
        <f t="shared" si="222"/>
        <v>19.368249220502129</v>
      </c>
      <c r="P103">
        <f t="shared" si="222"/>
        <v>19.077725482194598</v>
      </c>
      <c r="Q103">
        <f t="shared" si="222"/>
        <v>18.79155959996168</v>
      </c>
      <c r="R103">
        <f t="shared" si="222"/>
        <v>18.509686205962254</v>
      </c>
      <c r="S103">
        <f t="shared" si="222"/>
        <v>18.232040912872819</v>
      </c>
      <c r="T103">
        <f t="shared" si="222"/>
        <v>17.958560299179727</v>
      </c>
      <c r="U103">
        <f t="shared" si="222"/>
        <v>17.958560299179727</v>
      </c>
      <c r="V103">
        <f t="shared" si="222"/>
        <v>17.958560299179727</v>
      </c>
      <c r="W103">
        <f t="shared" si="222"/>
        <v>17.958560299179727</v>
      </c>
      <c r="X103">
        <f t="shared" si="222"/>
        <v>17.958560299179727</v>
      </c>
      <c r="Y103">
        <f t="shared" si="222"/>
        <v>17.958560299179727</v>
      </c>
      <c r="Z103">
        <f t="shared" si="222"/>
        <v>17.958560299179727</v>
      </c>
      <c r="AA103">
        <f t="shared" si="222"/>
        <v>17.958560299179727</v>
      </c>
      <c r="AB103">
        <f t="shared" si="222"/>
        <v>17.958560299179727</v>
      </c>
      <c r="AC103">
        <f t="shared" si="222"/>
        <v>17.958560299179727</v>
      </c>
      <c r="AD103">
        <f t="shared" si="222"/>
        <v>17.958560299179727</v>
      </c>
      <c r="AE103">
        <f t="shared" si="222"/>
        <v>17.958560299179727</v>
      </c>
      <c r="AF103">
        <f t="shared" si="222"/>
        <v>17.958560299179727</v>
      </c>
      <c r="AG103">
        <f t="shared" si="222"/>
        <v>17.958560299179727</v>
      </c>
      <c r="AH103">
        <f t="shared" si="222"/>
        <v>17.958560299179727</v>
      </c>
      <c r="AI103">
        <f t="shared" si="222"/>
        <v>17.958560299179727</v>
      </c>
      <c r="AJ103">
        <f t="shared" si="222"/>
        <v>17.958560299179727</v>
      </c>
      <c r="AK103">
        <f t="shared" si="222"/>
        <v>17.958560299179727</v>
      </c>
      <c r="AL103">
        <f t="shared" si="222"/>
        <v>17.958560299179727</v>
      </c>
      <c r="AM103">
        <f t="shared" si="222"/>
        <v>17.958560299179727</v>
      </c>
      <c r="AN103">
        <f t="shared" si="222"/>
        <v>17.958560299179727</v>
      </c>
    </row>
    <row r="104" spans="1:40" x14ac:dyDescent="0.3">
      <c r="A104" t="s">
        <v>1054</v>
      </c>
      <c r="B104">
        <f>(EF!$P$6-(EF!$P$6*((B89-B89)*0.015)))</f>
        <v>23.209549071618053</v>
      </c>
      <c r="C104">
        <f t="shared" ref="C104:AN104" si="223">(B104-(B104*((C89-B89)*0.015)))</f>
        <v>23.209549071618053</v>
      </c>
      <c r="D104">
        <f t="shared" si="223"/>
        <v>23.209549071618053</v>
      </c>
      <c r="E104">
        <f t="shared" si="223"/>
        <v>23.209549071618053</v>
      </c>
      <c r="F104">
        <f t="shared" si="223"/>
        <v>23.209549071618053</v>
      </c>
      <c r="G104">
        <f t="shared" si="223"/>
        <v>23.209549071618053</v>
      </c>
      <c r="H104">
        <f t="shared" si="223"/>
        <v>23.209549071618053</v>
      </c>
      <c r="I104">
        <f t="shared" si="223"/>
        <v>23.209549071618053</v>
      </c>
      <c r="J104">
        <f t="shared" si="223"/>
        <v>23.209549071618053</v>
      </c>
      <c r="K104">
        <f t="shared" si="223"/>
        <v>22.861405835543781</v>
      </c>
      <c r="L104">
        <f t="shared" si="223"/>
        <v>22.518484748010625</v>
      </c>
      <c r="M104">
        <f t="shared" si="223"/>
        <v>22.180707476790467</v>
      </c>
      <c r="N104">
        <f t="shared" si="223"/>
        <v>21.84799686463861</v>
      </c>
      <c r="O104">
        <f t="shared" si="223"/>
        <v>21.520276911669029</v>
      </c>
      <c r="P104">
        <f t="shared" si="223"/>
        <v>21.197472757993992</v>
      </c>
      <c r="Q104">
        <f t="shared" si="223"/>
        <v>20.879510666624082</v>
      </c>
      <c r="R104">
        <f t="shared" si="223"/>
        <v>20.566318006624719</v>
      </c>
      <c r="S104">
        <f t="shared" si="223"/>
        <v>20.257823236525347</v>
      </c>
      <c r="T104">
        <f t="shared" si="223"/>
        <v>19.953955887977468</v>
      </c>
      <c r="U104">
        <f t="shared" si="223"/>
        <v>19.953955887977468</v>
      </c>
      <c r="V104">
        <f t="shared" si="223"/>
        <v>19.953955887977468</v>
      </c>
      <c r="W104">
        <f t="shared" si="223"/>
        <v>19.953955887977468</v>
      </c>
      <c r="X104">
        <f t="shared" si="223"/>
        <v>19.953955887977468</v>
      </c>
      <c r="Y104">
        <f t="shared" si="223"/>
        <v>19.953955887977468</v>
      </c>
      <c r="Z104">
        <f t="shared" si="223"/>
        <v>19.953955887977468</v>
      </c>
      <c r="AA104">
        <f t="shared" si="223"/>
        <v>19.953955887977468</v>
      </c>
      <c r="AB104">
        <f t="shared" si="223"/>
        <v>19.953955887977468</v>
      </c>
      <c r="AC104">
        <f t="shared" si="223"/>
        <v>19.953955887977468</v>
      </c>
      <c r="AD104">
        <f t="shared" si="223"/>
        <v>19.953955887977468</v>
      </c>
      <c r="AE104">
        <f t="shared" si="223"/>
        <v>19.953955887977468</v>
      </c>
      <c r="AF104">
        <f t="shared" si="223"/>
        <v>19.953955887977468</v>
      </c>
      <c r="AG104">
        <f t="shared" si="223"/>
        <v>19.953955887977468</v>
      </c>
      <c r="AH104">
        <f t="shared" si="223"/>
        <v>19.953955887977468</v>
      </c>
      <c r="AI104">
        <f t="shared" si="223"/>
        <v>19.953955887977468</v>
      </c>
      <c r="AJ104">
        <f t="shared" si="223"/>
        <v>19.953955887977468</v>
      </c>
      <c r="AK104">
        <f t="shared" si="223"/>
        <v>19.953955887977468</v>
      </c>
      <c r="AL104">
        <f t="shared" si="223"/>
        <v>19.953955887977468</v>
      </c>
      <c r="AM104">
        <f t="shared" si="223"/>
        <v>19.953955887977468</v>
      </c>
      <c r="AN104">
        <f t="shared" si="223"/>
        <v>19.953955887977468</v>
      </c>
    </row>
    <row r="105" spans="1:40" x14ac:dyDescent="0.3">
      <c r="A105" t="s">
        <v>1055</v>
      </c>
      <c r="B105">
        <f>(EF!$P$7-(EF!$P$7*((B90-B90)*0.015)))</f>
        <v>23.209549071618053</v>
      </c>
      <c r="C105">
        <f t="shared" ref="C105:AN105" si="224">(B105-(B105*((C90-B90)*0.015)))</f>
        <v>23.209549071618053</v>
      </c>
      <c r="D105">
        <f t="shared" si="224"/>
        <v>23.209549071618053</v>
      </c>
      <c r="E105">
        <f t="shared" si="224"/>
        <v>23.209549071618053</v>
      </c>
      <c r="F105">
        <f t="shared" si="224"/>
        <v>23.209549071618053</v>
      </c>
      <c r="G105">
        <f t="shared" si="224"/>
        <v>23.209549071618053</v>
      </c>
      <c r="H105">
        <f t="shared" si="224"/>
        <v>23.209549071618053</v>
      </c>
      <c r="I105">
        <f t="shared" si="224"/>
        <v>23.209549071618053</v>
      </c>
      <c r="J105">
        <f t="shared" si="224"/>
        <v>23.209549071618053</v>
      </c>
      <c r="K105">
        <f t="shared" si="224"/>
        <v>22.861405835543781</v>
      </c>
      <c r="L105">
        <f t="shared" si="224"/>
        <v>22.518484748010625</v>
      </c>
      <c r="M105">
        <f t="shared" si="224"/>
        <v>22.180707476790467</v>
      </c>
      <c r="N105">
        <f t="shared" si="224"/>
        <v>21.84799686463861</v>
      </c>
      <c r="O105">
        <f t="shared" si="224"/>
        <v>21.520276911669029</v>
      </c>
      <c r="P105">
        <f t="shared" si="224"/>
        <v>21.197472757993992</v>
      </c>
      <c r="Q105">
        <f t="shared" si="224"/>
        <v>20.879510666624082</v>
      </c>
      <c r="R105">
        <f t="shared" si="224"/>
        <v>20.566318006624719</v>
      </c>
      <c r="S105">
        <f t="shared" si="224"/>
        <v>20.257823236525347</v>
      </c>
      <c r="T105">
        <f t="shared" si="224"/>
        <v>19.953955887977468</v>
      </c>
      <c r="U105">
        <f t="shared" si="224"/>
        <v>19.953955887977468</v>
      </c>
      <c r="V105">
        <f t="shared" si="224"/>
        <v>19.953955887977468</v>
      </c>
      <c r="W105">
        <f t="shared" si="224"/>
        <v>19.953955887977468</v>
      </c>
      <c r="X105">
        <f t="shared" si="224"/>
        <v>19.953955887977468</v>
      </c>
      <c r="Y105">
        <f t="shared" si="224"/>
        <v>19.953955887977468</v>
      </c>
      <c r="Z105">
        <f t="shared" si="224"/>
        <v>19.953955887977468</v>
      </c>
      <c r="AA105">
        <f t="shared" si="224"/>
        <v>19.953955887977468</v>
      </c>
      <c r="AB105">
        <f t="shared" si="224"/>
        <v>19.953955887977468</v>
      </c>
      <c r="AC105">
        <f t="shared" si="224"/>
        <v>19.953955887977468</v>
      </c>
      <c r="AD105">
        <f t="shared" si="224"/>
        <v>19.953955887977468</v>
      </c>
      <c r="AE105">
        <f t="shared" si="224"/>
        <v>19.953955887977468</v>
      </c>
      <c r="AF105">
        <f t="shared" si="224"/>
        <v>19.953955887977468</v>
      </c>
      <c r="AG105">
        <f t="shared" si="224"/>
        <v>19.953955887977468</v>
      </c>
      <c r="AH105">
        <f t="shared" si="224"/>
        <v>19.953955887977468</v>
      </c>
      <c r="AI105">
        <f t="shared" si="224"/>
        <v>19.953955887977468</v>
      </c>
      <c r="AJ105">
        <f t="shared" si="224"/>
        <v>19.953955887977468</v>
      </c>
      <c r="AK105">
        <f t="shared" si="224"/>
        <v>19.953955887977468</v>
      </c>
      <c r="AL105">
        <f t="shared" si="224"/>
        <v>19.953955887977468</v>
      </c>
      <c r="AM105">
        <f t="shared" si="224"/>
        <v>19.953955887977468</v>
      </c>
      <c r="AN105">
        <f t="shared" si="224"/>
        <v>19.953955887977468</v>
      </c>
    </row>
    <row r="106" spans="1:40" x14ac:dyDescent="0.3">
      <c r="A106" t="s">
        <v>1057</v>
      </c>
      <c r="B106">
        <f>(EF!$P$8-(EF!$P$8*((B91-B91)*0.015)))</f>
        <v>23.209549071618053</v>
      </c>
      <c r="C106">
        <f t="shared" ref="C106:AN106" si="225">(B106-(B106*((C91-B91)*0.015)))</f>
        <v>23.209549071618053</v>
      </c>
      <c r="D106">
        <f t="shared" si="225"/>
        <v>23.209549071618053</v>
      </c>
      <c r="E106">
        <f t="shared" si="225"/>
        <v>23.209549071618053</v>
      </c>
      <c r="F106">
        <f t="shared" si="225"/>
        <v>23.209549071618053</v>
      </c>
      <c r="G106">
        <f t="shared" si="225"/>
        <v>23.209549071618053</v>
      </c>
      <c r="H106">
        <f t="shared" si="225"/>
        <v>23.209549071618053</v>
      </c>
      <c r="I106">
        <f t="shared" si="225"/>
        <v>23.209549071618053</v>
      </c>
      <c r="J106">
        <f t="shared" si="225"/>
        <v>23.209549071618053</v>
      </c>
      <c r="K106">
        <f t="shared" si="225"/>
        <v>23.035477453580917</v>
      </c>
      <c r="L106">
        <f t="shared" si="225"/>
        <v>22.862711372679062</v>
      </c>
      <c r="M106">
        <f t="shared" si="225"/>
        <v>22.691241037383968</v>
      </c>
      <c r="N106">
        <f t="shared" si="225"/>
        <v>22.521056729603586</v>
      </c>
      <c r="O106">
        <f t="shared" si="225"/>
        <v>22.352148804131559</v>
      </c>
      <c r="P106">
        <f t="shared" si="225"/>
        <v>22.184507688100574</v>
      </c>
      <c r="Q106">
        <f t="shared" si="225"/>
        <v>22.01812388043982</v>
      </c>
      <c r="R106">
        <f t="shared" si="225"/>
        <v>21.85298795133652</v>
      </c>
      <c r="S106">
        <f t="shared" si="225"/>
        <v>21.689090541701496</v>
      </c>
      <c r="T106">
        <f t="shared" si="225"/>
        <v>21.526422362638733</v>
      </c>
      <c r="U106">
        <f t="shared" si="225"/>
        <v>21.364974194918943</v>
      </c>
      <c r="V106">
        <f t="shared" si="225"/>
        <v>21.204736888457052</v>
      </c>
      <c r="W106">
        <f t="shared" si="225"/>
        <v>21.045701361793625</v>
      </c>
      <c r="X106">
        <f t="shared" si="225"/>
        <v>20.887858601580174</v>
      </c>
      <c r="Y106">
        <f t="shared" si="225"/>
        <v>20.731199662068324</v>
      </c>
      <c r="Z106">
        <f t="shared" si="225"/>
        <v>20.575715664602811</v>
      </c>
      <c r="AA106">
        <f t="shared" si="225"/>
        <v>20.421397797118289</v>
      </c>
      <c r="AB106">
        <f t="shared" si="225"/>
        <v>20.268237313639901</v>
      </c>
      <c r="AC106">
        <f t="shared" si="225"/>
        <v>20.116225533787603</v>
      </c>
      <c r="AD106">
        <f t="shared" si="225"/>
        <v>19.965353842284195</v>
      </c>
      <c r="AE106">
        <f t="shared" si="225"/>
        <v>19.965353842284195</v>
      </c>
      <c r="AF106">
        <f t="shared" si="225"/>
        <v>19.965353842284195</v>
      </c>
      <c r="AG106">
        <f t="shared" si="225"/>
        <v>19.965353842284195</v>
      </c>
      <c r="AH106">
        <f t="shared" si="225"/>
        <v>19.965353842284195</v>
      </c>
      <c r="AI106">
        <f t="shared" si="225"/>
        <v>19.965353842284195</v>
      </c>
      <c r="AJ106">
        <f t="shared" si="225"/>
        <v>19.965353842284195</v>
      </c>
      <c r="AK106">
        <f t="shared" si="225"/>
        <v>19.965353842284195</v>
      </c>
      <c r="AL106">
        <f t="shared" si="225"/>
        <v>19.965353842284195</v>
      </c>
      <c r="AM106">
        <f t="shared" si="225"/>
        <v>19.965353842284195</v>
      </c>
      <c r="AN106">
        <f t="shared" si="225"/>
        <v>19.965353842284195</v>
      </c>
    </row>
    <row r="107" spans="1:40" x14ac:dyDescent="0.3">
      <c r="A107" t="s">
        <v>1056</v>
      </c>
      <c r="B107">
        <f>(EF!$P$9-(EF!$P$9*((B92-B92)*0.015)))</f>
        <v>9.9469496021220323</v>
      </c>
      <c r="C107">
        <f t="shared" ref="C107:AN107" si="226">(B107-(B107*((C92-B92)*0.015)))</f>
        <v>9.9469496021220323</v>
      </c>
      <c r="D107">
        <f t="shared" si="226"/>
        <v>9.9469496021220323</v>
      </c>
      <c r="E107">
        <f t="shared" si="226"/>
        <v>9.9469496021220323</v>
      </c>
      <c r="F107">
        <f t="shared" si="226"/>
        <v>9.9469496021220323</v>
      </c>
      <c r="G107">
        <f t="shared" si="226"/>
        <v>9.9469496021220323</v>
      </c>
      <c r="H107">
        <f t="shared" si="226"/>
        <v>9.9469496021220323</v>
      </c>
      <c r="I107">
        <f t="shared" si="226"/>
        <v>9.9469496021220323</v>
      </c>
      <c r="J107">
        <f t="shared" si="226"/>
        <v>9.9469496021220323</v>
      </c>
      <c r="K107">
        <f t="shared" si="226"/>
        <v>9.7977453580902019</v>
      </c>
      <c r="L107">
        <f t="shared" si="226"/>
        <v>9.6507791777188494</v>
      </c>
      <c r="M107">
        <f t="shared" si="226"/>
        <v>9.5060174900530665</v>
      </c>
      <c r="N107">
        <f t="shared" si="226"/>
        <v>9.363427227702271</v>
      </c>
      <c r="O107">
        <f t="shared" si="226"/>
        <v>9.2229758192867362</v>
      </c>
      <c r="P107">
        <f t="shared" si="226"/>
        <v>9.0846311819974357</v>
      </c>
      <c r="Q107">
        <f t="shared" si="226"/>
        <v>8.9483617142674738</v>
      </c>
      <c r="R107">
        <f t="shared" si="226"/>
        <v>8.8141362885534615</v>
      </c>
      <c r="S107">
        <f t="shared" si="226"/>
        <v>8.6819242442251596</v>
      </c>
      <c r="T107">
        <f t="shared" si="226"/>
        <v>8.5516953805617817</v>
      </c>
      <c r="U107">
        <f t="shared" si="226"/>
        <v>8.5516953805617817</v>
      </c>
      <c r="V107">
        <f t="shared" si="226"/>
        <v>8.5516953805617817</v>
      </c>
      <c r="W107">
        <f t="shared" si="226"/>
        <v>8.5516953805617817</v>
      </c>
      <c r="X107">
        <f t="shared" si="226"/>
        <v>8.5516953805617817</v>
      </c>
      <c r="Y107">
        <f t="shared" si="226"/>
        <v>8.5516953805617817</v>
      </c>
      <c r="Z107">
        <f t="shared" si="226"/>
        <v>8.5516953805617817</v>
      </c>
      <c r="AA107">
        <f t="shared" si="226"/>
        <v>8.5516953805617817</v>
      </c>
      <c r="AB107">
        <f t="shared" si="226"/>
        <v>8.5516953805617817</v>
      </c>
      <c r="AC107">
        <f t="shared" si="226"/>
        <v>8.5516953805617817</v>
      </c>
      <c r="AD107">
        <f t="shared" si="226"/>
        <v>8.5516953805617817</v>
      </c>
      <c r="AE107">
        <f t="shared" si="226"/>
        <v>8.5516953805617817</v>
      </c>
      <c r="AF107">
        <f t="shared" si="226"/>
        <v>8.5516953805617817</v>
      </c>
      <c r="AG107">
        <f t="shared" si="226"/>
        <v>8.5516953805617817</v>
      </c>
      <c r="AH107">
        <f t="shared" si="226"/>
        <v>8.5516953805617817</v>
      </c>
      <c r="AI107">
        <f t="shared" si="226"/>
        <v>8.5516953805617817</v>
      </c>
      <c r="AJ107">
        <f t="shared" si="226"/>
        <v>8.5516953805617817</v>
      </c>
      <c r="AK107">
        <f t="shared" si="226"/>
        <v>8.5516953805617817</v>
      </c>
      <c r="AL107">
        <f t="shared" si="226"/>
        <v>8.5516953805617817</v>
      </c>
      <c r="AM107">
        <f t="shared" si="226"/>
        <v>8.5516953805617817</v>
      </c>
      <c r="AN107">
        <f t="shared" si="226"/>
        <v>8.5516953805617817</v>
      </c>
    </row>
    <row r="108" spans="1:40" x14ac:dyDescent="0.3">
      <c r="A108" t="s">
        <v>1058</v>
      </c>
      <c r="B108">
        <f>(EF!$P$10-(EF!$P$10*((B93-B93)*0.015)))</f>
        <v>22.214854111405852</v>
      </c>
      <c r="C108">
        <f t="shared" ref="C108:AN108" si="227">(B108-(B108*((C93-B93)*0.015)))</f>
        <v>22.214854111405852</v>
      </c>
      <c r="D108">
        <f t="shared" si="227"/>
        <v>22.214854111405852</v>
      </c>
      <c r="E108">
        <f t="shared" si="227"/>
        <v>22.214854111405852</v>
      </c>
      <c r="F108">
        <f t="shared" si="227"/>
        <v>22.214854111405852</v>
      </c>
      <c r="G108">
        <f t="shared" si="227"/>
        <v>22.214854111405852</v>
      </c>
      <c r="H108">
        <f t="shared" si="227"/>
        <v>22.214854111405852</v>
      </c>
      <c r="I108">
        <f t="shared" si="227"/>
        <v>22.214854111405852</v>
      </c>
      <c r="J108">
        <f t="shared" si="227"/>
        <v>22.214854111405852</v>
      </c>
      <c r="K108">
        <f t="shared" si="227"/>
        <v>21.881631299734764</v>
      </c>
      <c r="L108">
        <f t="shared" si="227"/>
        <v>21.553406830238742</v>
      </c>
      <c r="M108">
        <f t="shared" si="227"/>
        <v>21.230105727785162</v>
      </c>
      <c r="N108">
        <f t="shared" si="227"/>
        <v>20.911654141868386</v>
      </c>
      <c r="O108">
        <f t="shared" si="227"/>
        <v>20.597979329740362</v>
      </c>
      <c r="P108">
        <f t="shared" si="227"/>
        <v>20.289009639794255</v>
      </c>
      <c r="Q108">
        <f t="shared" si="227"/>
        <v>19.984674495197343</v>
      </c>
      <c r="R108">
        <f t="shared" si="227"/>
        <v>19.684904377769382</v>
      </c>
      <c r="S108">
        <f t="shared" si="227"/>
        <v>19.38963081210284</v>
      </c>
      <c r="T108">
        <f t="shared" si="227"/>
        <v>19.098786349921298</v>
      </c>
      <c r="U108">
        <f t="shared" si="227"/>
        <v>19.098786349921298</v>
      </c>
      <c r="V108">
        <f t="shared" si="227"/>
        <v>19.098786349921298</v>
      </c>
      <c r="W108">
        <f t="shared" si="227"/>
        <v>19.098786349921298</v>
      </c>
      <c r="X108">
        <f t="shared" si="227"/>
        <v>19.098786349921298</v>
      </c>
      <c r="Y108">
        <f t="shared" si="227"/>
        <v>19.098786349921298</v>
      </c>
      <c r="Z108">
        <f t="shared" si="227"/>
        <v>19.098786349921298</v>
      </c>
      <c r="AA108">
        <f t="shared" si="227"/>
        <v>19.098786349921298</v>
      </c>
      <c r="AB108">
        <f t="shared" si="227"/>
        <v>19.098786349921298</v>
      </c>
      <c r="AC108">
        <f t="shared" si="227"/>
        <v>19.098786349921298</v>
      </c>
      <c r="AD108">
        <f t="shared" si="227"/>
        <v>19.098786349921298</v>
      </c>
      <c r="AE108">
        <f t="shared" si="227"/>
        <v>19.098786349921298</v>
      </c>
      <c r="AF108">
        <f t="shared" si="227"/>
        <v>19.098786349921298</v>
      </c>
      <c r="AG108">
        <f t="shared" si="227"/>
        <v>19.098786349921298</v>
      </c>
      <c r="AH108">
        <f t="shared" si="227"/>
        <v>19.098786349921298</v>
      </c>
      <c r="AI108">
        <f t="shared" si="227"/>
        <v>19.098786349921298</v>
      </c>
      <c r="AJ108">
        <f t="shared" si="227"/>
        <v>19.098786349921298</v>
      </c>
      <c r="AK108">
        <f t="shared" si="227"/>
        <v>19.098786349921298</v>
      </c>
      <c r="AL108">
        <f t="shared" si="227"/>
        <v>19.098786349921298</v>
      </c>
      <c r="AM108">
        <f t="shared" si="227"/>
        <v>19.098786349921298</v>
      </c>
      <c r="AN108">
        <f t="shared" si="227"/>
        <v>19.098786349921298</v>
      </c>
    </row>
    <row r="109" spans="1:40" x14ac:dyDescent="0.3">
      <c r="A109" t="s">
        <v>1059</v>
      </c>
      <c r="B109">
        <f>(EF!$P$11-(EF!$P$11*((B94-B94)*0.015)))</f>
        <v>22.214854111405852</v>
      </c>
      <c r="C109">
        <f t="shared" ref="C109:AN109" si="228">(B109-(B109*((C94-B94)*0.015)))</f>
        <v>22.214854111405852</v>
      </c>
      <c r="D109">
        <f t="shared" si="228"/>
        <v>22.214854111405852</v>
      </c>
      <c r="E109">
        <f t="shared" si="228"/>
        <v>22.214854111405852</v>
      </c>
      <c r="F109">
        <f t="shared" si="228"/>
        <v>22.214854111405852</v>
      </c>
      <c r="G109">
        <f t="shared" si="228"/>
        <v>22.214854111405852</v>
      </c>
      <c r="H109">
        <f t="shared" si="228"/>
        <v>22.214854111405852</v>
      </c>
      <c r="I109">
        <f t="shared" si="228"/>
        <v>22.214854111405852</v>
      </c>
      <c r="J109">
        <f t="shared" si="228"/>
        <v>22.214854111405852</v>
      </c>
      <c r="K109">
        <f t="shared" si="228"/>
        <v>21.881631299734764</v>
      </c>
      <c r="L109">
        <f t="shared" si="228"/>
        <v>21.553406830238742</v>
      </c>
      <c r="M109">
        <f t="shared" si="228"/>
        <v>21.230105727785162</v>
      </c>
      <c r="N109">
        <f t="shared" si="228"/>
        <v>20.911654141868386</v>
      </c>
      <c r="O109">
        <f t="shared" si="228"/>
        <v>20.597979329740362</v>
      </c>
      <c r="P109">
        <f t="shared" si="228"/>
        <v>20.289009639794255</v>
      </c>
      <c r="Q109">
        <f t="shared" si="228"/>
        <v>19.984674495197343</v>
      </c>
      <c r="R109">
        <f t="shared" si="228"/>
        <v>19.684904377769382</v>
      </c>
      <c r="S109">
        <f t="shared" si="228"/>
        <v>19.38963081210284</v>
      </c>
      <c r="T109">
        <f t="shared" si="228"/>
        <v>19.098786349921298</v>
      </c>
      <c r="U109">
        <f t="shared" si="228"/>
        <v>19.098786349921298</v>
      </c>
      <c r="V109">
        <f t="shared" si="228"/>
        <v>19.098786349921298</v>
      </c>
      <c r="W109">
        <f t="shared" si="228"/>
        <v>19.098786349921298</v>
      </c>
      <c r="X109">
        <f t="shared" si="228"/>
        <v>19.098786349921298</v>
      </c>
      <c r="Y109">
        <f t="shared" si="228"/>
        <v>19.098786349921298</v>
      </c>
      <c r="Z109">
        <f t="shared" si="228"/>
        <v>19.098786349921298</v>
      </c>
      <c r="AA109">
        <f t="shared" si="228"/>
        <v>19.098786349921298</v>
      </c>
      <c r="AB109">
        <f t="shared" si="228"/>
        <v>19.098786349921298</v>
      </c>
      <c r="AC109">
        <f t="shared" si="228"/>
        <v>19.098786349921298</v>
      </c>
      <c r="AD109">
        <f t="shared" si="228"/>
        <v>19.098786349921298</v>
      </c>
      <c r="AE109">
        <f t="shared" si="228"/>
        <v>19.098786349921298</v>
      </c>
      <c r="AF109">
        <f t="shared" si="228"/>
        <v>19.098786349921298</v>
      </c>
      <c r="AG109">
        <f t="shared" si="228"/>
        <v>19.098786349921298</v>
      </c>
      <c r="AH109">
        <f t="shared" si="228"/>
        <v>19.098786349921298</v>
      </c>
      <c r="AI109">
        <f t="shared" si="228"/>
        <v>19.098786349921298</v>
      </c>
      <c r="AJ109">
        <f t="shared" si="228"/>
        <v>19.098786349921298</v>
      </c>
      <c r="AK109">
        <f t="shared" si="228"/>
        <v>19.098786349921298</v>
      </c>
      <c r="AL109">
        <f t="shared" si="228"/>
        <v>19.098786349921298</v>
      </c>
      <c r="AM109">
        <f t="shared" si="228"/>
        <v>19.098786349921298</v>
      </c>
      <c r="AN109">
        <f t="shared" si="228"/>
        <v>19.098786349921298</v>
      </c>
    </row>
    <row r="110" spans="1:40" x14ac:dyDescent="0.3">
      <c r="A110" t="s">
        <v>1060</v>
      </c>
      <c r="B110">
        <f>(EF!$P$12-(EF!$P$12*((B95-B95)*0.015)))</f>
        <v>18.236074270557044</v>
      </c>
      <c r="C110">
        <f t="shared" ref="C110:AN110" si="229">(B110-(B110*((C95-B95)*0.015)))</f>
        <v>18.236074270557044</v>
      </c>
      <c r="D110">
        <f t="shared" si="229"/>
        <v>18.236074270557044</v>
      </c>
      <c r="E110">
        <f t="shared" si="229"/>
        <v>18.236074270557044</v>
      </c>
      <c r="F110">
        <f t="shared" si="229"/>
        <v>18.236074270557044</v>
      </c>
      <c r="G110">
        <f t="shared" si="229"/>
        <v>18.236074270557044</v>
      </c>
      <c r="H110">
        <f t="shared" si="229"/>
        <v>18.236074270557044</v>
      </c>
      <c r="I110">
        <f t="shared" si="229"/>
        <v>18.236074270557044</v>
      </c>
      <c r="J110">
        <f t="shared" si="229"/>
        <v>18.236074270557044</v>
      </c>
      <c r="K110">
        <f t="shared" si="229"/>
        <v>17.962533156498687</v>
      </c>
      <c r="L110">
        <f t="shared" si="229"/>
        <v>17.693095159151206</v>
      </c>
      <c r="M110">
        <f t="shared" si="229"/>
        <v>17.427698731763936</v>
      </c>
      <c r="N110">
        <f t="shared" si="229"/>
        <v>17.166283250787476</v>
      </c>
      <c r="O110">
        <f t="shared" si="229"/>
        <v>16.908789002025664</v>
      </c>
      <c r="P110">
        <f t="shared" si="229"/>
        <v>16.655157166995277</v>
      </c>
      <c r="Q110">
        <f t="shared" si="229"/>
        <v>16.405329809490347</v>
      </c>
      <c r="R110">
        <f t="shared" si="229"/>
        <v>16.159249862347991</v>
      </c>
      <c r="S110">
        <f t="shared" si="229"/>
        <v>15.916861114412772</v>
      </c>
      <c r="T110">
        <f t="shared" si="229"/>
        <v>15.678108197696581</v>
      </c>
      <c r="U110">
        <f t="shared" si="229"/>
        <v>15.678108197696581</v>
      </c>
      <c r="V110">
        <f t="shared" si="229"/>
        <v>15.678108197696581</v>
      </c>
      <c r="W110">
        <f t="shared" si="229"/>
        <v>15.678108197696581</v>
      </c>
      <c r="X110">
        <f t="shared" si="229"/>
        <v>15.678108197696581</v>
      </c>
      <c r="Y110">
        <f t="shared" si="229"/>
        <v>15.678108197696581</v>
      </c>
      <c r="Z110">
        <f t="shared" si="229"/>
        <v>15.678108197696581</v>
      </c>
      <c r="AA110">
        <f t="shared" si="229"/>
        <v>15.678108197696581</v>
      </c>
      <c r="AB110">
        <f t="shared" si="229"/>
        <v>15.678108197696581</v>
      </c>
      <c r="AC110">
        <f t="shared" si="229"/>
        <v>15.678108197696581</v>
      </c>
      <c r="AD110">
        <f t="shared" si="229"/>
        <v>15.678108197696581</v>
      </c>
      <c r="AE110">
        <f t="shared" si="229"/>
        <v>15.678108197696581</v>
      </c>
      <c r="AF110">
        <f t="shared" si="229"/>
        <v>15.678108197696581</v>
      </c>
      <c r="AG110">
        <f t="shared" si="229"/>
        <v>15.678108197696581</v>
      </c>
      <c r="AH110">
        <f t="shared" si="229"/>
        <v>15.678108197696581</v>
      </c>
      <c r="AI110">
        <f t="shared" si="229"/>
        <v>15.678108197696581</v>
      </c>
      <c r="AJ110">
        <f t="shared" si="229"/>
        <v>15.678108197696581</v>
      </c>
      <c r="AK110">
        <f t="shared" si="229"/>
        <v>15.678108197696581</v>
      </c>
      <c r="AL110">
        <f t="shared" si="229"/>
        <v>15.678108197696581</v>
      </c>
      <c r="AM110">
        <f t="shared" si="229"/>
        <v>15.678108197696581</v>
      </c>
      <c r="AN110">
        <f t="shared" si="229"/>
        <v>15.678108197696581</v>
      </c>
    </row>
    <row r="111" spans="1:40" x14ac:dyDescent="0.3">
      <c r="A111" t="s">
        <v>1061</v>
      </c>
      <c r="B111">
        <f>(EF!$P$13-(EF!$P$13*((B96-B96)*0.015)))</f>
        <v>18.236074270557044</v>
      </c>
      <c r="C111">
        <f t="shared" ref="C111:AN111" si="230">(B111-(B111*((C96-B96)*0.015)))</f>
        <v>18.236074270557044</v>
      </c>
      <c r="D111">
        <f t="shared" si="230"/>
        <v>18.236074270557044</v>
      </c>
      <c r="E111">
        <f t="shared" si="230"/>
        <v>18.236074270557044</v>
      </c>
      <c r="F111">
        <f t="shared" si="230"/>
        <v>18.236074270557044</v>
      </c>
      <c r="G111">
        <f t="shared" si="230"/>
        <v>18.236074270557044</v>
      </c>
      <c r="H111">
        <f t="shared" si="230"/>
        <v>18.236074270557044</v>
      </c>
      <c r="I111">
        <f t="shared" si="230"/>
        <v>18.236074270557044</v>
      </c>
      <c r="J111">
        <f t="shared" si="230"/>
        <v>18.236074270557044</v>
      </c>
      <c r="K111">
        <f t="shared" si="230"/>
        <v>17.962533156498687</v>
      </c>
      <c r="L111">
        <f t="shared" si="230"/>
        <v>17.693095159151206</v>
      </c>
      <c r="M111">
        <f t="shared" si="230"/>
        <v>17.427698731763936</v>
      </c>
      <c r="N111">
        <f t="shared" si="230"/>
        <v>17.166283250787476</v>
      </c>
      <c r="O111">
        <f t="shared" si="230"/>
        <v>16.908789002025664</v>
      </c>
      <c r="P111">
        <f t="shared" si="230"/>
        <v>16.655157166995277</v>
      </c>
      <c r="Q111">
        <f t="shared" si="230"/>
        <v>16.405329809490347</v>
      </c>
      <c r="R111">
        <f t="shared" si="230"/>
        <v>16.159249862347991</v>
      </c>
      <c r="S111">
        <f t="shared" si="230"/>
        <v>15.916861114412772</v>
      </c>
      <c r="T111">
        <f t="shared" si="230"/>
        <v>15.678108197696581</v>
      </c>
      <c r="U111">
        <f t="shared" si="230"/>
        <v>15.678108197696581</v>
      </c>
      <c r="V111">
        <f t="shared" si="230"/>
        <v>15.678108197696581</v>
      </c>
      <c r="W111">
        <f t="shared" si="230"/>
        <v>15.678108197696581</v>
      </c>
      <c r="X111">
        <f t="shared" si="230"/>
        <v>15.678108197696581</v>
      </c>
      <c r="Y111">
        <f t="shared" si="230"/>
        <v>15.678108197696581</v>
      </c>
      <c r="Z111">
        <f t="shared" si="230"/>
        <v>15.678108197696581</v>
      </c>
      <c r="AA111">
        <f t="shared" si="230"/>
        <v>15.678108197696581</v>
      </c>
      <c r="AB111">
        <f t="shared" si="230"/>
        <v>15.678108197696581</v>
      </c>
      <c r="AC111">
        <f t="shared" si="230"/>
        <v>15.678108197696581</v>
      </c>
      <c r="AD111">
        <f t="shared" si="230"/>
        <v>15.678108197696581</v>
      </c>
      <c r="AE111">
        <f t="shared" si="230"/>
        <v>15.678108197696581</v>
      </c>
      <c r="AF111">
        <f t="shared" si="230"/>
        <v>15.678108197696581</v>
      </c>
      <c r="AG111">
        <f t="shared" si="230"/>
        <v>15.678108197696581</v>
      </c>
      <c r="AH111">
        <f t="shared" si="230"/>
        <v>15.678108197696581</v>
      </c>
      <c r="AI111">
        <f t="shared" si="230"/>
        <v>15.678108197696581</v>
      </c>
      <c r="AJ111">
        <f t="shared" si="230"/>
        <v>15.678108197696581</v>
      </c>
      <c r="AK111">
        <f t="shared" si="230"/>
        <v>15.678108197696581</v>
      </c>
      <c r="AL111">
        <f t="shared" si="230"/>
        <v>15.678108197696581</v>
      </c>
      <c r="AM111">
        <f t="shared" si="230"/>
        <v>15.678108197696581</v>
      </c>
      <c r="AN111">
        <f t="shared" si="230"/>
        <v>15.678108197696581</v>
      </c>
    </row>
    <row r="112" spans="1:40" x14ac:dyDescent="0.3">
      <c r="A112" t="s">
        <v>1028</v>
      </c>
      <c r="B112">
        <f>'Net zero activities &amp; levers'!C56/100</f>
        <v>0</v>
      </c>
      <c r="C112">
        <f>B112</f>
        <v>0</v>
      </c>
      <c r="D112">
        <f t="shared" ref="D112:J112" si="231">C112</f>
        <v>0</v>
      </c>
      <c r="E112">
        <f t="shared" si="231"/>
        <v>0</v>
      </c>
      <c r="F112">
        <f t="shared" si="231"/>
        <v>0</v>
      </c>
      <c r="G112">
        <f t="shared" si="231"/>
        <v>0</v>
      </c>
      <c r="H112">
        <f t="shared" si="231"/>
        <v>0</v>
      </c>
      <c r="I112">
        <f t="shared" si="231"/>
        <v>0</v>
      </c>
      <c r="J112">
        <f t="shared" si="231"/>
        <v>0</v>
      </c>
      <c r="K112">
        <f t="shared" ref="K112:K121" si="232">J112+($T112-$J112)/10</f>
        <v>8.4999999999999992E-2</v>
      </c>
      <c r="L112">
        <f t="shared" ref="L112:L121" si="233">K112+($T112-$J112)/10</f>
        <v>0.16999999999999998</v>
      </c>
      <c r="M112">
        <f t="shared" ref="M112:M121" si="234">L112+($T112-$J112)/10</f>
        <v>0.255</v>
      </c>
      <c r="N112">
        <f t="shared" ref="N112:N121" si="235">M112+($T112-$J112)/10</f>
        <v>0.33999999999999997</v>
      </c>
      <c r="O112">
        <f t="shared" ref="O112:O121" si="236">N112+($T112-$J112)/10</f>
        <v>0.42499999999999993</v>
      </c>
      <c r="P112">
        <f t="shared" ref="P112:P121" si="237">O112+($T112-$J112)/10</f>
        <v>0.5099999999999999</v>
      </c>
      <c r="Q112">
        <f t="shared" ref="Q112:Q121" si="238">P112+($T112-$J112)/10</f>
        <v>0.59499999999999986</v>
      </c>
      <c r="R112">
        <f t="shared" ref="R112:R121" si="239">Q112+($T112-$J112)/10</f>
        <v>0.67999999999999983</v>
      </c>
      <c r="S112">
        <f t="shared" ref="S112:S121" si="240">R112+($T112-$J112)/10</f>
        <v>0.76499999999999979</v>
      </c>
      <c r="T112">
        <f>'Net zero activities &amp; levers'!D56/100</f>
        <v>0.85</v>
      </c>
      <c r="U112">
        <f t="shared" ref="U112:U121" si="241">T112+($AD112-$T112)/10</f>
        <v>0.85</v>
      </c>
      <c r="V112">
        <f t="shared" ref="V112:V121" si="242">U112+($AD112-$T112)/10</f>
        <v>0.85</v>
      </c>
      <c r="W112">
        <f t="shared" ref="W112:W121" si="243">V112+($AD112-$T112)/10</f>
        <v>0.85</v>
      </c>
      <c r="X112">
        <f t="shared" ref="X112:X121" si="244">W112+($AD112-$T112)/10</f>
        <v>0.85</v>
      </c>
      <c r="Y112">
        <f t="shared" ref="Y112:Y121" si="245">X112+($AD112-$T112)/10</f>
        <v>0.85</v>
      </c>
      <c r="Z112">
        <f t="shared" ref="Z112:Z121" si="246">Y112+($AD112-$T112)/10</f>
        <v>0.85</v>
      </c>
      <c r="AA112">
        <f t="shared" ref="AA112:AA121" si="247">Z112+($AD112-$T112)/10</f>
        <v>0.85</v>
      </c>
      <c r="AB112">
        <f t="shared" ref="AB112:AB121" si="248">AA112+($AD112-$T112)/10</f>
        <v>0.85</v>
      </c>
      <c r="AC112">
        <f t="shared" ref="AC112:AC121" si="249">AB112+($AD112-$T112)/10</f>
        <v>0.85</v>
      </c>
      <c r="AD112">
        <f>'Net zero activities &amp; levers'!E56/100</f>
        <v>0.85</v>
      </c>
      <c r="AE112">
        <f t="shared" ref="AE112:AE121" si="250">AD112+($AN112-$AD112)/10</f>
        <v>0.85</v>
      </c>
      <c r="AF112">
        <f t="shared" ref="AF112:AF121" si="251">AE112+($AN112-$AD112)/10</f>
        <v>0.85</v>
      </c>
      <c r="AG112">
        <f t="shared" ref="AG112:AG121" si="252">AF112+($AN112-$AD112)/10</f>
        <v>0.85</v>
      </c>
      <c r="AH112">
        <f t="shared" ref="AH112:AH121" si="253">AG112+($AN112-$AD112)/10</f>
        <v>0.85</v>
      </c>
      <c r="AI112">
        <f t="shared" ref="AI112:AI121" si="254">AH112+($AN112-$AD112)/10</f>
        <v>0.85</v>
      </c>
      <c r="AJ112">
        <f t="shared" ref="AJ112:AJ121" si="255">AI112+($AN112-$AD112)/10</f>
        <v>0.85</v>
      </c>
      <c r="AK112">
        <f t="shared" ref="AK112:AK121" si="256">AJ112+($AN112-$AD112)/10</f>
        <v>0.85</v>
      </c>
      <c r="AL112">
        <f t="shared" ref="AL112:AL121" si="257">AK112+($AN112-$AD112)/10</f>
        <v>0.85</v>
      </c>
      <c r="AM112">
        <f t="shared" ref="AM112:AM121" si="258">AL112+($AN112-$AD112)/10</f>
        <v>0.85</v>
      </c>
      <c r="AN112">
        <f>'Net zero activities &amp; levers'!F56/100</f>
        <v>0.85</v>
      </c>
    </row>
    <row r="113" spans="1:40" x14ac:dyDescent="0.3">
      <c r="A113" t="s">
        <v>1072</v>
      </c>
      <c r="B113">
        <f>'Net zero activities &amp; levers'!C57/100</f>
        <v>0</v>
      </c>
      <c r="C113">
        <f t="shared" ref="C113:J121" si="259">B113</f>
        <v>0</v>
      </c>
      <c r="D113">
        <f t="shared" si="259"/>
        <v>0</v>
      </c>
      <c r="E113">
        <f t="shared" si="259"/>
        <v>0</v>
      </c>
      <c r="F113">
        <f t="shared" si="259"/>
        <v>0</v>
      </c>
      <c r="G113">
        <f t="shared" si="259"/>
        <v>0</v>
      </c>
      <c r="H113">
        <f t="shared" si="259"/>
        <v>0</v>
      </c>
      <c r="I113">
        <f t="shared" si="259"/>
        <v>0</v>
      </c>
      <c r="J113">
        <f t="shared" si="259"/>
        <v>0</v>
      </c>
      <c r="K113">
        <f t="shared" si="232"/>
        <v>8.4999999999999992E-2</v>
      </c>
      <c r="L113">
        <f t="shared" si="233"/>
        <v>0.16999999999999998</v>
      </c>
      <c r="M113">
        <f t="shared" si="234"/>
        <v>0.255</v>
      </c>
      <c r="N113">
        <f t="shared" si="235"/>
        <v>0.33999999999999997</v>
      </c>
      <c r="O113">
        <f t="shared" si="236"/>
        <v>0.42499999999999993</v>
      </c>
      <c r="P113">
        <f t="shared" si="237"/>
        <v>0.5099999999999999</v>
      </c>
      <c r="Q113">
        <f t="shared" si="238"/>
        <v>0.59499999999999986</v>
      </c>
      <c r="R113">
        <f t="shared" si="239"/>
        <v>0.67999999999999983</v>
      </c>
      <c r="S113">
        <f t="shared" si="240"/>
        <v>0.76499999999999979</v>
      </c>
      <c r="T113">
        <f>'Net zero activities &amp; levers'!D57/100</f>
        <v>0.85</v>
      </c>
      <c r="U113">
        <f t="shared" si="241"/>
        <v>0.85</v>
      </c>
      <c r="V113">
        <f t="shared" si="242"/>
        <v>0.85</v>
      </c>
      <c r="W113">
        <f t="shared" si="243"/>
        <v>0.85</v>
      </c>
      <c r="X113">
        <f t="shared" si="244"/>
        <v>0.85</v>
      </c>
      <c r="Y113">
        <f t="shared" si="245"/>
        <v>0.85</v>
      </c>
      <c r="Z113">
        <f t="shared" si="246"/>
        <v>0.85</v>
      </c>
      <c r="AA113">
        <f t="shared" si="247"/>
        <v>0.85</v>
      </c>
      <c r="AB113">
        <f t="shared" si="248"/>
        <v>0.85</v>
      </c>
      <c r="AC113">
        <f t="shared" si="249"/>
        <v>0.85</v>
      </c>
      <c r="AD113">
        <f>'Net zero activities &amp; levers'!E57/100</f>
        <v>0.85</v>
      </c>
      <c r="AE113">
        <f t="shared" si="250"/>
        <v>0.85</v>
      </c>
      <c r="AF113">
        <f t="shared" si="251"/>
        <v>0.85</v>
      </c>
      <c r="AG113">
        <f t="shared" si="252"/>
        <v>0.85</v>
      </c>
      <c r="AH113">
        <f t="shared" si="253"/>
        <v>0.85</v>
      </c>
      <c r="AI113">
        <f t="shared" si="254"/>
        <v>0.85</v>
      </c>
      <c r="AJ113">
        <f t="shared" si="255"/>
        <v>0.85</v>
      </c>
      <c r="AK113">
        <f t="shared" si="256"/>
        <v>0.85</v>
      </c>
      <c r="AL113">
        <f t="shared" si="257"/>
        <v>0.85</v>
      </c>
      <c r="AM113">
        <f t="shared" si="258"/>
        <v>0.85</v>
      </c>
      <c r="AN113">
        <f>'Net zero activities &amp; levers'!F57/100</f>
        <v>0.85</v>
      </c>
    </row>
    <row r="114" spans="1:40" x14ac:dyDescent="0.3">
      <c r="A114" t="s">
        <v>1073</v>
      </c>
      <c r="B114">
        <f>'Net zero activities &amp; levers'!C58/100</f>
        <v>0</v>
      </c>
      <c r="C114">
        <f t="shared" si="259"/>
        <v>0</v>
      </c>
      <c r="D114">
        <f t="shared" si="259"/>
        <v>0</v>
      </c>
      <c r="E114">
        <f t="shared" si="259"/>
        <v>0</v>
      </c>
      <c r="F114">
        <f t="shared" si="259"/>
        <v>0</v>
      </c>
      <c r="G114">
        <f t="shared" si="259"/>
        <v>0</v>
      </c>
      <c r="H114">
        <f t="shared" si="259"/>
        <v>0</v>
      </c>
      <c r="I114">
        <f t="shared" si="259"/>
        <v>0</v>
      </c>
      <c r="J114">
        <f t="shared" si="259"/>
        <v>0</v>
      </c>
      <c r="K114">
        <f t="shared" si="232"/>
        <v>0.06</v>
      </c>
      <c r="L114">
        <f t="shared" si="233"/>
        <v>0.12</v>
      </c>
      <c r="M114">
        <f t="shared" si="234"/>
        <v>0.18</v>
      </c>
      <c r="N114">
        <f t="shared" si="235"/>
        <v>0.24</v>
      </c>
      <c r="O114">
        <f t="shared" si="236"/>
        <v>0.3</v>
      </c>
      <c r="P114">
        <f t="shared" si="237"/>
        <v>0.36</v>
      </c>
      <c r="Q114">
        <f t="shared" si="238"/>
        <v>0.42</v>
      </c>
      <c r="R114">
        <f t="shared" si="239"/>
        <v>0.48</v>
      </c>
      <c r="S114">
        <f t="shared" si="240"/>
        <v>0.54</v>
      </c>
      <c r="T114">
        <f>'Net zero activities &amp; levers'!D58/100</f>
        <v>0.6</v>
      </c>
      <c r="U114">
        <f t="shared" si="241"/>
        <v>0.6</v>
      </c>
      <c r="V114">
        <f t="shared" si="242"/>
        <v>0.6</v>
      </c>
      <c r="W114">
        <f t="shared" si="243"/>
        <v>0.6</v>
      </c>
      <c r="X114">
        <f t="shared" si="244"/>
        <v>0.6</v>
      </c>
      <c r="Y114">
        <f t="shared" si="245"/>
        <v>0.6</v>
      </c>
      <c r="Z114">
        <f t="shared" si="246"/>
        <v>0.6</v>
      </c>
      <c r="AA114">
        <f t="shared" si="247"/>
        <v>0.6</v>
      </c>
      <c r="AB114">
        <f t="shared" si="248"/>
        <v>0.6</v>
      </c>
      <c r="AC114">
        <f t="shared" si="249"/>
        <v>0.6</v>
      </c>
      <c r="AD114">
        <f>'Net zero activities &amp; levers'!E58/100</f>
        <v>0.6</v>
      </c>
      <c r="AE114">
        <f t="shared" si="250"/>
        <v>0.6</v>
      </c>
      <c r="AF114">
        <f t="shared" si="251"/>
        <v>0.6</v>
      </c>
      <c r="AG114">
        <f t="shared" si="252"/>
        <v>0.6</v>
      </c>
      <c r="AH114">
        <f t="shared" si="253"/>
        <v>0.6</v>
      </c>
      <c r="AI114">
        <f t="shared" si="254"/>
        <v>0.6</v>
      </c>
      <c r="AJ114">
        <f t="shared" si="255"/>
        <v>0.6</v>
      </c>
      <c r="AK114">
        <f t="shared" si="256"/>
        <v>0.6</v>
      </c>
      <c r="AL114">
        <f t="shared" si="257"/>
        <v>0.6</v>
      </c>
      <c r="AM114">
        <f t="shared" si="258"/>
        <v>0.6</v>
      </c>
      <c r="AN114">
        <f>'Net zero activities &amp; levers'!F58/100</f>
        <v>0.6</v>
      </c>
    </row>
    <row r="115" spans="1:40" x14ac:dyDescent="0.3">
      <c r="A115" t="s">
        <v>1074</v>
      </c>
      <c r="B115">
        <f>'Net zero activities &amp; levers'!C59/100</f>
        <v>0</v>
      </c>
      <c r="C115">
        <f t="shared" si="259"/>
        <v>0</v>
      </c>
      <c r="D115">
        <f t="shared" si="259"/>
        <v>0</v>
      </c>
      <c r="E115">
        <f t="shared" si="259"/>
        <v>0</v>
      </c>
      <c r="F115">
        <f t="shared" si="259"/>
        <v>0</v>
      </c>
      <c r="G115">
        <f t="shared" si="259"/>
        <v>0</v>
      </c>
      <c r="H115">
        <f t="shared" si="259"/>
        <v>0</v>
      </c>
      <c r="I115">
        <f t="shared" si="259"/>
        <v>0</v>
      </c>
      <c r="J115">
        <f t="shared" si="259"/>
        <v>0</v>
      </c>
      <c r="K115">
        <f t="shared" si="232"/>
        <v>0.06</v>
      </c>
      <c r="L115">
        <f t="shared" si="233"/>
        <v>0.12</v>
      </c>
      <c r="M115">
        <f t="shared" si="234"/>
        <v>0.18</v>
      </c>
      <c r="N115">
        <f t="shared" si="235"/>
        <v>0.24</v>
      </c>
      <c r="O115">
        <f t="shared" si="236"/>
        <v>0.3</v>
      </c>
      <c r="P115">
        <f t="shared" si="237"/>
        <v>0.36</v>
      </c>
      <c r="Q115">
        <f t="shared" si="238"/>
        <v>0.42</v>
      </c>
      <c r="R115">
        <f t="shared" si="239"/>
        <v>0.48</v>
      </c>
      <c r="S115">
        <f t="shared" si="240"/>
        <v>0.54</v>
      </c>
      <c r="T115">
        <f>'Net zero activities &amp; levers'!D59/100</f>
        <v>0.6</v>
      </c>
      <c r="U115">
        <f t="shared" si="241"/>
        <v>0.6</v>
      </c>
      <c r="V115">
        <f t="shared" si="242"/>
        <v>0.6</v>
      </c>
      <c r="W115">
        <f t="shared" si="243"/>
        <v>0.6</v>
      </c>
      <c r="X115">
        <f t="shared" si="244"/>
        <v>0.6</v>
      </c>
      <c r="Y115">
        <f t="shared" si="245"/>
        <v>0.6</v>
      </c>
      <c r="Z115">
        <f t="shared" si="246"/>
        <v>0.6</v>
      </c>
      <c r="AA115">
        <f t="shared" si="247"/>
        <v>0.6</v>
      </c>
      <c r="AB115">
        <f t="shared" si="248"/>
        <v>0.6</v>
      </c>
      <c r="AC115">
        <f t="shared" si="249"/>
        <v>0.6</v>
      </c>
      <c r="AD115">
        <f>'Net zero activities &amp; levers'!E59/100</f>
        <v>0.6</v>
      </c>
      <c r="AE115">
        <f t="shared" si="250"/>
        <v>0.6</v>
      </c>
      <c r="AF115">
        <f t="shared" si="251"/>
        <v>0.6</v>
      </c>
      <c r="AG115">
        <f t="shared" si="252"/>
        <v>0.6</v>
      </c>
      <c r="AH115">
        <f t="shared" si="253"/>
        <v>0.6</v>
      </c>
      <c r="AI115">
        <f t="shared" si="254"/>
        <v>0.6</v>
      </c>
      <c r="AJ115">
        <f t="shared" si="255"/>
        <v>0.6</v>
      </c>
      <c r="AK115">
        <f t="shared" si="256"/>
        <v>0.6</v>
      </c>
      <c r="AL115">
        <f t="shared" si="257"/>
        <v>0.6</v>
      </c>
      <c r="AM115">
        <f t="shared" si="258"/>
        <v>0.6</v>
      </c>
      <c r="AN115">
        <f>'Net zero activities &amp; levers'!F59/100</f>
        <v>0.6</v>
      </c>
    </row>
    <row r="116" spans="1:40" x14ac:dyDescent="0.3">
      <c r="A116" t="s">
        <v>1075</v>
      </c>
      <c r="B116">
        <f>'Net zero activities &amp; levers'!C60/100</f>
        <v>0</v>
      </c>
      <c r="C116">
        <f t="shared" si="259"/>
        <v>0</v>
      </c>
      <c r="D116">
        <f t="shared" si="259"/>
        <v>0</v>
      </c>
      <c r="E116">
        <f t="shared" si="259"/>
        <v>0</v>
      </c>
      <c r="F116">
        <f t="shared" si="259"/>
        <v>0</v>
      </c>
      <c r="G116">
        <f t="shared" si="259"/>
        <v>0</v>
      </c>
      <c r="H116">
        <f t="shared" si="259"/>
        <v>0</v>
      </c>
      <c r="I116">
        <f t="shared" si="259"/>
        <v>0</v>
      </c>
      <c r="J116">
        <f t="shared" si="259"/>
        <v>0</v>
      </c>
      <c r="K116">
        <f t="shared" si="232"/>
        <v>0.06</v>
      </c>
      <c r="L116">
        <f t="shared" si="233"/>
        <v>0.12</v>
      </c>
      <c r="M116">
        <f t="shared" si="234"/>
        <v>0.18</v>
      </c>
      <c r="N116">
        <f t="shared" si="235"/>
        <v>0.24</v>
      </c>
      <c r="O116">
        <f t="shared" si="236"/>
        <v>0.3</v>
      </c>
      <c r="P116">
        <f t="shared" si="237"/>
        <v>0.36</v>
      </c>
      <c r="Q116">
        <f t="shared" si="238"/>
        <v>0.42</v>
      </c>
      <c r="R116">
        <f t="shared" si="239"/>
        <v>0.48</v>
      </c>
      <c r="S116">
        <f t="shared" si="240"/>
        <v>0.54</v>
      </c>
      <c r="T116">
        <f>'Net zero activities &amp; levers'!D60/100</f>
        <v>0.6</v>
      </c>
      <c r="U116">
        <f t="shared" si="241"/>
        <v>0.6</v>
      </c>
      <c r="V116">
        <f t="shared" si="242"/>
        <v>0.6</v>
      </c>
      <c r="W116">
        <f t="shared" si="243"/>
        <v>0.6</v>
      </c>
      <c r="X116">
        <f t="shared" si="244"/>
        <v>0.6</v>
      </c>
      <c r="Y116">
        <f t="shared" si="245"/>
        <v>0.6</v>
      </c>
      <c r="Z116">
        <f t="shared" si="246"/>
        <v>0.6</v>
      </c>
      <c r="AA116">
        <f t="shared" si="247"/>
        <v>0.6</v>
      </c>
      <c r="AB116">
        <f t="shared" si="248"/>
        <v>0.6</v>
      </c>
      <c r="AC116">
        <f t="shared" si="249"/>
        <v>0.6</v>
      </c>
      <c r="AD116">
        <f>'Net zero activities &amp; levers'!E60/100</f>
        <v>0.6</v>
      </c>
      <c r="AE116">
        <f t="shared" si="250"/>
        <v>0.6</v>
      </c>
      <c r="AF116">
        <f t="shared" si="251"/>
        <v>0.6</v>
      </c>
      <c r="AG116">
        <f t="shared" si="252"/>
        <v>0.6</v>
      </c>
      <c r="AH116">
        <f t="shared" si="253"/>
        <v>0.6</v>
      </c>
      <c r="AI116">
        <f t="shared" si="254"/>
        <v>0.6</v>
      </c>
      <c r="AJ116">
        <f t="shared" si="255"/>
        <v>0.6</v>
      </c>
      <c r="AK116">
        <f t="shared" si="256"/>
        <v>0.6</v>
      </c>
      <c r="AL116">
        <f t="shared" si="257"/>
        <v>0.6</v>
      </c>
      <c r="AM116">
        <f t="shared" si="258"/>
        <v>0.6</v>
      </c>
      <c r="AN116">
        <f>'Net zero activities &amp; levers'!F60/100</f>
        <v>0.6</v>
      </c>
    </row>
    <row r="117" spans="1:40" x14ac:dyDescent="0.3">
      <c r="A117" t="s">
        <v>1029</v>
      </c>
      <c r="B117">
        <f>'Net zero activities &amp; levers'!C61/100</f>
        <v>0</v>
      </c>
      <c r="C117">
        <f t="shared" si="259"/>
        <v>0</v>
      </c>
      <c r="D117">
        <f t="shared" si="259"/>
        <v>0</v>
      </c>
      <c r="E117">
        <f t="shared" si="259"/>
        <v>0</v>
      </c>
      <c r="F117">
        <f t="shared" si="259"/>
        <v>0</v>
      </c>
      <c r="G117">
        <f t="shared" si="259"/>
        <v>0</v>
      </c>
      <c r="H117">
        <f t="shared" si="259"/>
        <v>0</v>
      </c>
      <c r="I117">
        <f t="shared" si="259"/>
        <v>0</v>
      </c>
      <c r="J117">
        <f t="shared" si="259"/>
        <v>0</v>
      </c>
      <c r="K117">
        <f t="shared" si="232"/>
        <v>8.4999999999999992E-2</v>
      </c>
      <c r="L117">
        <f t="shared" si="233"/>
        <v>0.16999999999999998</v>
      </c>
      <c r="M117">
        <f t="shared" si="234"/>
        <v>0.255</v>
      </c>
      <c r="N117">
        <f t="shared" si="235"/>
        <v>0.33999999999999997</v>
      </c>
      <c r="O117">
        <f t="shared" si="236"/>
        <v>0.42499999999999993</v>
      </c>
      <c r="P117">
        <f t="shared" si="237"/>
        <v>0.5099999999999999</v>
      </c>
      <c r="Q117">
        <f t="shared" si="238"/>
        <v>0.59499999999999986</v>
      </c>
      <c r="R117">
        <f t="shared" si="239"/>
        <v>0.67999999999999983</v>
      </c>
      <c r="S117">
        <f t="shared" si="240"/>
        <v>0.76499999999999979</v>
      </c>
      <c r="T117">
        <f>'Net zero activities &amp; levers'!D61/100</f>
        <v>0.85</v>
      </c>
      <c r="U117">
        <f t="shared" si="241"/>
        <v>0.85</v>
      </c>
      <c r="V117">
        <f t="shared" si="242"/>
        <v>0.85</v>
      </c>
      <c r="W117">
        <f t="shared" si="243"/>
        <v>0.85</v>
      </c>
      <c r="X117">
        <f t="shared" si="244"/>
        <v>0.85</v>
      </c>
      <c r="Y117">
        <f t="shared" si="245"/>
        <v>0.85</v>
      </c>
      <c r="Z117">
        <f t="shared" si="246"/>
        <v>0.85</v>
      </c>
      <c r="AA117">
        <f t="shared" si="247"/>
        <v>0.85</v>
      </c>
      <c r="AB117">
        <f t="shared" si="248"/>
        <v>0.85</v>
      </c>
      <c r="AC117">
        <f t="shared" si="249"/>
        <v>0.85</v>
      </c>
      <c r="AD117">
        <f>'Net zero activities &amp; levers'!E61/100</f>
        <v>0.85</v>
      </c>
      <c r="AE117">
        <f t="shared" si="250"/>
        <v>0.85</v>
      </c>
      <c r="AF117">
        <f t="shared" si="251"/>
        <v>0.85</v>
      </c>
      <c r="AG117">
        <f t="shared" si="252"/>
        <v>0.85</v>
      </c>
      <c r="AH117">
        <f t="shared" si="253"/>
        <v>0.85</v>
      </c>
      <c r="AI117">
        <f t="shared" si="254"/>
        <v>0.85</v>
      </c>
      <c r="AJ117">
        <f t="shared" si="255"/>
        <v>0.85</v>
      </c>
      <c r="AK117">
        <f t="shared" si="256"/>
        <v>0.85</v>
      </c>
      <c r="AL117">
        <f t="shared" si="257"/>
        <v>0.85</v>
      </c>
      <c r="AM117">
        <f t="shared" si="258"/>
        <v>0.85</v>
      </c>
      <c r="AN117">
        <f>'Net zero activities &amp; levers'!F61/100</f>
        <v>0.85</v>
      </c>
    </row>
    <row r="118" spans="1:40" x14ac:dyDescent="0.3">
      <c r="A118" t="s">
        <v>1076</v>
      </c>
      <c r="B118">
        <f>'Net zero activities &amp; levers'!C62/100</f>
        <v>0</v>
      </c>
      <c r="C118">
        <f t="shared" si="259"/>
        <v>0</v>
      </c>
      <c r="D118">
        <f t="shared" si="259"/>
        <v>0</v>
      </c>
      <c r="E118">
        <f t="shared" si="259"/>
        <v>0</v>
      </c>
      <c r="F118">
        <f t="shared" si="259"/>
        <v>0</v>
      </c>
      <c r="G118">
        <f t="shared" si="259"/>
        <v>0</v>
      </c>
      <c r="H118">
        <f t="shared" si="259"/>
        <v>0</v>
      </c>
      <c r="I118">
        <f t="shared" si="259"/>
        <v>0</v>
      </c>
      <c r="J118">
        <f t="shared" si="259"/>
        <v>0</v>
      </c>
      <c r="K118">
        <f t="shared" si="232"/>
        <v>0.06</v>
      </c>
      <c r="L118">
        <f t="shared" si="233"/>
        <v>0.12</v>
      </c>
      <c r="M118">
        <f t="shared" si="234"/>
        <v>0.18</v>
      </c>
      <c r="N118">
        <f t="shared" si="235"/>
        <v>0.24</v>
      </c>
      <c r="O118">
        <f t="shared" si="236"/>
        <v>0.3</v>
      </c>
      <c r="P118">
        <f t="shared" si="237"/>
        <v>0.36</v>
      </c>
      <c r="Q118">
        <f t="shared" si="238"/>
        <v>0.42</v>
      </c>
      <c r="R118">
        <f t="shared" si="239"/>
        <v>0.48</v>
      </c>
      <c r="S118">
        <f t="shared" si="240"/>
        <v>0.54</v>
      </c>
      <c r="T118">
        <f>'Net zero activities &amp; levers'!D62/100</f>
        <v>0.6</v>
      </c>
      <c r="U118">
        <f t="shared" si="241"/>
        <v>0.6</v>
      </c>
      <c r="V118">
        <f t="shared" si="242"/>
        <v>0.6</v>
      </c>
      <c r="W118">
        <f t="shared" si="243"/>
        <v>0.6</v>
      </c>
      <c r="X118">
        <f t="shared" si="244"/>
        <v>0.6</v>
      </c>
      <c r="Y118">
        <f t="shared" si="245"/>
        <v>0.6</v>
      </c>
      <c r="Z118">
        <f t="shared" si="246"/>
        <v>0.6</v>
      </c>
      <c r="AA118">
        <f t="shared" si="247"/>
        <v>0.6</v>
      </c>
      <c r="AB118">
        <f t="shared" si="248"/>
        <v>0.6</v>
      </c>
      <c r="AC118">
        <f t="shared" si="249"/>
        <v>0.6</v>
      </c>
      <c r="AD118">
        <f>'Net zero activities &amp; levers'!E62/100</f>
        <v>0.6</v>
      </c>
      <c r="AE118">
        <f t="shared" si="250"/>
        <v>0.6</v>
      </c>
      <c r="AF118">
        <f t="shared" si="251"/>
        <v>0.6</v>
      </c>
      <c r="AG118">
        <f t="shared" si="252"/>
        <v>0.6</v>
      </c>
      <c r="AH118">
        <f t="shared" si="253"/>
        <v>0.6</v>
      </c>
      <c r="AI118">
        <f t="shared" si="254"/>
        <v>0.6</v>
      </c>
      <c r="AJ118">
        <f t="shared" si="255"/>
        <v>0.6</v>
      </c>
      <c r="AK118">
        <f t="shared" si="256"/>
        <v>0.6</v>
      </c>
      <c r="AL118">
        <f t="shared" si="257"/>
        <v>0.6</v>
      </c>
      <c r="AM118">
        <f t="shared" si="258"/>
        <v>0.6</v>
      </c>
      <c r="AN118">
        <f>'Net zero activities &amp; levers'!F62/100</f>
        <v>0.6</v>
      </c>
    </row>
    <row r="119" spans="1:40" x14ac:dyDescent="0.3">
      <c r="A119" t="s">
        <v>1077</v>
      </c>
      <c r="B119">
        <f>'Net zero activities &amp; levers'!C63/100</f>
        <v>0</v>
      </c>
      <c r="C119">
        <f t="shared" si="259"/>
        <v>0</v>
      </c>
      <c r="D119">
        <f t="shared" si="259"/>
        <v>0</v>
      </c>
      <c r="E119">
        <f t="shared" si="259"/>
        <v>0</v>
      </c>
      <c r="F119">
        <f t="shared" si="259"/>
        <v>0</v>
      </c>
      <c r="G119">
        <f t="shared" si="259"/>
        <v>0</v>
      </c>
      <c r="H119">
        <f t="shared" si="259"/>
        <v>0</v>
      </c>
      <c r="I119">
        <f t="shared" si="259"/>
        <v>0</v>
      </c>
      <c r="J119">
        <f t="shared" si="259"/>
        <v>0</v>
      </c>
      <c r="K119">
        <f t="shared" si="232"/>
        <v>0.04</v>
      </c>
      <c r="L119">
        <f t="shared" si="233"/>
        <v>0.08</v>
      </c>
      <c r="M119">
        <f t="shared" si="234"/>
        <v>0.12</v>
      </c>
      <c r="N119">
        <f t="shared" si="235"/>
        <v>0.16</v>
      </c>
      <c r="O119">
        <f t="shared" si="236"/>
        <v>0.2</v>
      </c>
      <c r="P119">
        <f t="shared" si="237"/>
        <v>0.24000000000000002</v>
      </c>
      <c r="Q119">
        <f t="shared" si="238"/>
        <v>0.28000000000000003</v>
      </c>
      <c r="R119">
        <f t="shared" si="239"/>
        <v>0.32</v>
      </c>
      <c r="S119">
        <f t="shared" si="240"/>
        <v>0.36</v>
      </c>
      <c r="T119">
        <f>'Net zero activities &amp; levers'!D63/100</f>
        <v>0.4</v>
      </c>
      <c r="U119">
        <f t="shared" si="241"/>
        <v>0.4</v>
      </c>
      <c r="V119">
        <f t="shared" si="242"/>
        <v>0.4</v>
      </c>
      <c r="W119">
        <f t="shared" si="243"/>
        <v>0.4</v>
      </c>
      <c r="X119">
        <f t="shared" si="244"/>
        <v>0.4</v>
      </c>
      <c r="Y119">
        <f t="shared" si="245"/>
        <v>0.4</v>
      </c>
      <c r="Z119">
        <f t="shared" si="246"/>
        <v>0.4</v>
      </c>
      <c r="AA119">
        <f t="shared" si="247"/>
        <v>0.4</v>
      </c>
      <c r="AB119">
        <f t="shared" si="248"/>
        <v>0.4</v>
      </c>
      <c r="AC119">
        <f t="shared" si="249"/>
        <v>0.4</v>
      </c>
      <c r="AD119">
        <f>'Net zero activities &amp; levers'!E63/100</f>
        <v>0.4</v>
      </c>
      <c r="AE119">
        <f t="shared" si="250"/>
        <v>0.4</v>
      </c>
      <c r="AF119">
        <f t="shared" si="251"/>
        <v>0.4</v>
      </c>
      <c r="AG119">
        <f t="shared" si="252"/>
        <v>0.4</v>
      </c>
      <c r="AH119">
        <f t="shared" si="253"/>
        <v>0.4</v>
      </c>
      <c r="AI119">
        <f t="shared" si="254"/>
        <v>0.4</v>
      </c>
      <c r="AJ119">
        <f t="shared" si="255"/>
        <v>0.4</v>
      </c>
      <c r="AK119">
        <f t="shared" si="256"/>
        <v>0.4</v>
      </c>
      <c r="AL119">
        <f t="shared" si="257"/>
        <v>0.4</v>
      </c>
      <c r="AM119">
        <f t="shared" si="258"/>
        <v>0.4</v>
      </c>
      <c r="AN119">
        <f>'Net zero activities &amp; levers'!F63/100</f>
        <v>0.4</v>
      </c>
    </row>
    <row r="120" spans="1:40" x14ac:dyDescent="0.3">
      <c r="A120" t="s">
        <v>1078</v>
      </c>
      <c r="B120">
        <f>'Net zero activities &amp; levers'!C64/100</f>
        <v>0</v>
      </c>
      <c r="C120">
        <f t="shared" si="259"/>
        <v>0</v>
      </c>
      <c r="D120">
        <f t="shared" si="259"/>
        <v>0</v>
      </c>
      <c r="E120">
        <f t="shared" si="259"/>
        <v>0</v>
      </c>
      <c r="F120">
        <f t="shared" si="259"/>
        <v>0</v>
      </c>
      <c r="G120">
        <f t="shared" si="259"/>
        <v>0</v>
      </c>
      <c r="H120">
        <f t="shared" si="259"/>
        <v>0</v>
      </c>
      <c r="I120">
        <f t="shared" si="259"/>
        <v>0</v>
      </c>
      <c r="J120">
        <f t="shared" si="259"/>
        <v>0</v>
      </c>
      <c r="K120">
        <f t="shared" si="232"/>
        <v>0</v>
      </c>
      <c r="L120">
        <f t="shared" si="233"/>
        <v>0</v>
      </c>
      <c r="M120">
        <f t="shared" si="234"/>
        <v>0</v>
      </c>
      <c r="N120">
        <f t="shared" si="235"/>
        <v>0</v>
      </c>
      <c r="O120">
        <f t="shared" si="236"/>
        <v>0</v>
      </c>
      <c r="P120">
        <f t="shared" si="237"/>
        <v>0</v>
      </c>
      <c r="Q120">
        <f t="shared" si="238"/>
        <v>0</v>
      </c>
      <c r="R120">
        <f t="shared" si="239"/>
        <v>0</v>
      </c>
      <c r="S120">
        <f t="shared" si="240"/>
        <v>0</v>
      </c>
      <c r="T120">
        <f>'Net zero activities &amp; levers'!D64/100</f>
        <v>0</v>
      </c>
      <c r="U120">
        <f t="shared" si="241"/>
        <v>0.04</v>
      </c>
      <c r="V120">
        <f t="shared" si="242"/>
        <v>0.08</v>
      </c>
      <c r="W120">
        <f t="shared" si="243"/>
        <v>0.12</v>
      </c>
      <c r="X120">
        <f t="shared" si="244"/>
        <v>0.16</v>
      </c>
      <c r="Y120">
        <f t="shared" si="245"/>
        <v>0.2</v>
      </c>
      <c r="Z120">
        <f t="shared" si="246"/>
        <v>0.24000000000000002</v>
      </c>
      <c r="AA120">
        <f t="shared" si="247"/>
        <v>0.28000000000000003</v>
      </c>
      <c r="AB120">
        <f t="shared" si="248"/>
        <v>0.32</v>
      </c>
      <c r="AC120">
        <f t="shared" si="249"/>
        <v>0.36</v>
      </c>
      <c r="AD120">
        <f>'Net zero activities &amp; levers'!E64/100</f>
        <v>0.4</v>
      </c>
      <c r="AE120">
        <f t="shared" si="250"/>
        <v>0.4</v>
      </c>
      <c r="AF120">
        <f t="shared" si="251"/>
        <v>0.4</v>
      </c>
      <c r="AG120">
        <f t="shared" si="252"/>
        <v>0.4</v>
      </c>
      <c r="AH120">
        <f t="shared" si="253"/>
        <v>0.4</v>
      </c>
      <c r="AI120">
        <f t="shared" si="254"/>
        <v>0.4</v>
      </c>
      <c r="AJ120">
        <f t="shared" si="255"/>
        <v>0.4</v>
      </c>
      <c r="AK120">
        <f t="shared" si="256"/>
        <v>0.4</v>
      </c>
      <c r="AL120">
        <f t="shared" si="257"/>
        <v>0.4</v>
      </c>
      <c r="AM120">
        <f t="shared" si="258"/>
        <v>0.4</v>
      </c>
      <c r="AN120">
        <f>'Net zero activities &amp; levers'!F64/100</f>
        <v>0.4</v>
      </c>
    </row>
    <row r="121" spans="1:40" x14ac:dyDescent="0.3">
      <c r="A121" t="s">
        <v>1079</v>
      </c>
      <c r="B121">
        <f>'Net zero activities &amp; levers'!C65/100</f>
        <v>0</v>
      </c>
      <c r="C121">
        <f t="shared" si="259"/>
        <v>0</v>
      </c>
      <c r="D121">
        <f t="shared" si="259"/>
        <v>0</v>
      </c>
      <c r="E121">
        <f t="shared" si="259"/>
        <v>0</v>
      </c>
      <c r="F121">
        <f t="shared" si="259"/>
        <v>0</v>
      </c>
      <c r="G121">
        <f t="shared" si="259"/>
        <v>0</v>
      </c>
      <c r="H121">
        <f t="shared" si="259"/>
        <v>0</v>
      </c>
      <c r="I121">
        <f t="shared" si="259"/>
        <v>0</v>
      </c>
      <c r="J121">
        <f t="shared" si="259"/>
        <v>0</v>
      </c>
      <c r="K121">
        <f t="shared" si="232"/>
        <v>0</v>
      </c>
      <c r="L121">
        <f t="shared" si="233"/>
        <v>0</v>
      </c>
      <c r="M121">
        <f t="shared" si="234"/>
        <v>0</v>
      </c>
      <c r="N121">
        <f t="shared" si="235"/>
        <v>0</v>
      </c>
      <c r="O121">
        <f t="shared" si="236"/>
        <v>0</v>
      </c>
      <c r="P121">
        <f t="shared" si="237"/>
        <v>0</v>
      </c>
      <c r="Q121">
        <f t="shared" si="238"/>
        <v>0</v>
      </c>
      <c r="R121">
        <f t="shared" si="239"/>
        <v>0</v>
      </c>
      <c r="S121">
        <f t="shared" si="240"/>
        <v>0</v>
      </c>
      <c r="T121">
        <f>'Net zero activities &amp; levers'!D65/100</f>
        <v>0</v>
      </c>
      <c r="U121">
        <f t="shared" si="241"/>
        <v>0.02</v>
      </c>
      <c r="V121">
        <f t="shared" si="242"/>
        <v>0.04</v>
      </c>
      <c r="W121">
        <f t="shared" si="243"/>
        <v>0.06</v>
      </c>
      <c r="X121">
        <f t="shared" si="244"/>
        <v>0.08</v>
      </c>
      <c r="Y121">
        <f t="shared" si="245"/>
        <v>0.1</v>
      </c>
      <c r="Z121">
        <f t="shared" si="246"/>
        <v>0.12000000000000001</v>
      </c>
      <c r="AA121">
        <f t="shared" si="247"/>
        <v>0.14000000000000001</v>
      </c>
      <c r="AB121">
        <f t="shared" si="248"/>
        <v>0.16</v>
      </c>
      <c r="AC121">
        <f t="shared" si="249"/>
        <v>0.18</v>
      </c>
      <c r="AD121">
        <f>'Net zero activities &amp; levers'!E65/100</f>
        <v>0.2</v>
      </c>
      <c r="AE121">
        <f t="shared" si="250"/>
        <v>0.2</v>
      </c>
      <c r="AF121">
        <f t="shared" si="251"/>
        <v>0.2</v>
      </c>
      <c r="AG121">
        <f t="shared" si="252"/>
        <v>0.2</v>
      </c>
      <c r="AH121">
        <f t="shared" si="253"/>
        <v>0.2</v>
      </c>
      <c r="AI121">
        <f t="shared" si="254"/>
        <v>0.2</v>
      </c>
      <c r="AJ121">
        <f t="shared" si="255"/>
        <v>0.2</v>
      </c>
      <c r="AK121">
        <f t="shared" si="256"/>
        <v>0.2</v>
      </c>
      <c r="AL121">
        <f t="shared" si="257"/>
        <v>0.2</v>
      </c>
      <c r="AM121">
        <f t="shared" si="258"/>
        <v>0.2</v>
      </c>
      <c r="AN121">
        <f>'Net zero activities &amp; levers'!F65/100</f>
        <v>0.2</v>
      </c>
    </row>
    <row r="122" spans="1:40" x14ac:dyDescent="0.3">
      <c r="A122" t="s">
        <v>1080</v>
      </c>
      <c r="B122">
        <f>'Net zero Activity data'!AD5*'Net zero supporting data'!B112</f>
        <v>0</v>
      </c>
      <c r="C122">
        <f>'Net zero Activity data'!AE5*'Net zero supporting data'!C112</f>
        <v>0</v>
      </c>
      <c r="D122">
        <f>'Net zero Activity data'!AF5*'Net zero supporting data'!D112</f>
        <v>0</v>
      </c>
      <c r="E122">
        <f>'Net zero Activity data'!AG5*'Net zero supporting data'!E112</f>
        <v>0</v>
      </c>
      <c r="F122">
        <f>'Net zero Activity data'!AH5*'Net zero supporting data'!F112</f>
        <v>0</v>
      </c>
      <c r="G122">
        <f>'Net zero Activity data'!AI5*'Net zero supporting data'!G112</f>
        <v>0</v>
      </c>
      <c r="H122">
        <f>'Net zero Activity data'!AJ5*'Net zero supporting data'!H112</f>
        <v>0</v>
      </c>
      <c r="I122">
        <f>'Net zero Activity data'!AK5*'Net zero supporting data'!I112</f>
        <v>0</v>
      </c>
      <c r="J122">
        <f>'Net zero Activity data'!AL5*'Net zero supporting data'!J112</f>
        <v>0</v>
      </c>
      <c r="K122">
        <f>'Net zero Activity data'!AM5*'Net zero supporting data'!K112</f>
        <v>50704.925910740232</v>
      </c>
      <c r="L122">
        <f>'Net zero Activity data'!AN5*'Net zero supporting data'!L112</f>
        <v>102954.44495199007</v>
      </c>
      <c r="M122">
        <f>'Net zero Activity data'!AO5*'Net zero supporting data'!M112</f>
        <v>155632.56709202687</v>
      </c>
      <c r="N122">
        <f>'Net zero Activity data'!AP5*'Net zero supporting data'!N112</f>
        <v>209340.04739882893</v>
      </c>
      <c r="O122">
        <f>'Net zero Activity data'!AQ5*'Net zero supporting data'!O112</f>
        <v>264322.53998696269</v>
      </c>
      <c r="P122">
        <f>'Net zero Activity data'!AR5*'Net zero supporting data'!P112</f>
        <v>320431.34081669932</v>
      </c>
      <c r="Q122">
        <f>'Net zero Activity data'!AS5*'Net zero supporting data'!Q112</f>
        <v>378026.08034064237</v>
      </c>
      <c r="R122">
        <f>'Net zero Activity data'!AT5*'Net zero supporting data'!R112</f>
        <v>436966.14416954329</v>
      </c>
      <c r="S122">
        <f>'Net zero Activity data'!AU5*'Net zero supporting data'!S112</f>
        <v>497625.98052238551</v>
      </c>
      <c r="T122">
        <f>'Net zero Activity data'!AV5*'Net zero supporting data'!T112</f>
        <v>559779.19882619346</v>
      </c>
      <c r="U122">
        <f>'Net zero Activity data'!AW5*'Net zero supporting data'!U112</f>
        <v>567191.82064847671</v>
      </c>
      <c r="V122">
        <f>'Net zero Activity data'!AX5*'Net zero supporting data'!V112</f>
        <v>574504.11741300207</v>
      </c>
      <c r="W122">
        <f>'Net zero Activity data'!AY5*'Net zero supporting data'!W112</f>
        <v>582222.19212735747</v>
      </c>
      <c r="X122">
        <f>'Net zero Activity data'!AZ5*'Net zero supporting data'!X112</f>
        <v>590952.61052594276</v>
      </c>
      <c r="Y122">
        <f>'Net zero Activity data'!BA5*'Net zero supporting data'!Y112</f>
        <v>599253.23051661265</v>
      </c>
      <c r="Z122">
        <f>'Net zero Activity data'!BB5*'Net zero supporting data'!Z112</f>
        <v>607765.47235047654</v>
      </c>
      <c r="AA122">
        <f>'Net zero Activity data'!BC5*'Net zero supporting data'!AA112</f>
        <v>616868.92970238836</v>
      </c>
      <c r="AB122">
        <f>'Net zero Activity data'!BD5*'Net zero supporting data'!AB112</f>
        <v>625397.77213884483</v>
      </c>
      <c r="AC122">
        <f>'Net zero Activity data'!BE5*'Net zero supporting data'!AC112</f>
        <v>633880.33089256787</v>
      </c>
      <c r="AD122">
        <f>'Net zero Activity data'!BF5*'Net zero supporting data'!AD112</f>
        <v>642340.20014911797</v>
      </c>
      <c r="AE122">
        <f>'Net zero Activity data'!BG5*'Net zero supporting data'!AE112</f>
        <v>651290.48818255786</v>
      </c>
      <c r="AF122">
        <f>'Net zero Activity data'!BH5*'Net zero supporting data'!AF112</f>
        <v>659880.77760624222</v>
      </c>
      <c r="AG122">
        <f>'Net zero Activity data'!BI5*'Net zero supporting data'!AG112</f>
        <v>668804.6399279047</v>
      </c>
      <c r="AH122">
        <f>'Net zero Activity data'!BJ5*'Net zero supporting data'!AH112</f>
        <v>678102.7752564369</v>
      </c>
      <c r="AI122">
        <f>'Net zero Activity data'!BK5*'Net zero supporting data'!AI112</f>
        <v>687840.63368221</v>
      </c>
      <c r="AJ122">
        <f>'Net zero Activity data'!BL5*'Net zero supporting data'!AJ112</f>
        <v>697750.74199804931</v>
      </c>
      <c r="AK122">
        <f>'Net zero Activity data'!BM5*'Net zero supporting data'!AK112</f>
        <v>700100.34948164178</v>
      </c>
      <c r="AL122">
        <f>'Net zero Activity data'!BN5*'Net zero supporting data'!AL112</f>
        <v>701772.55794023525</v>
      </c>
      <c r="AM122">
        <f>'Net zero Activity data'!BO5*'Net zero supporting data'!AM112</f>
        <v>702457.69229778124</v>
      </c>
      <c r="AN122">
        <f>'Net zero Activity data'!BP5*'Net zero supporting data'!AN112</f>
        <v>702871.3949184533</v>
      </c>
    </row>
    <row r="123" spans="1:40" x14ac:dyDescent="0.3">
      <c r="A123" t="s">
        <v>1082</v>
      </c>
      <c r="B123">
        <f>'Net zero Activity data'!AD6*'Net zero supporting data'!B113</f>
        <v>0</v>
      </c>
      <c r="C123">
        <f>'Net zero Activity data'!AE6*'Net zero supporting data'!C113</f>
        <v>0</v>
      </c>
      <c r="D123">
        <f>'Net zero Activity data'!AF6*'Net zero supporting data'!D113</f>
        <v>0</v>
      </c>
      <c r="E123">
        <f>'Net zero Activity data'!AG6*'Net zero supporting data'!E113</f>
        <v>0</v>
      </c>
      <c r="F123">
        <f>'Net zero Activity data'!AH6*'Net zero supporting data'!F113</f>
        <v>0</v>
      </c>
      <c r="G123">
        <f>'Net zero Activity data'!AI6*'Net zero supporting data'!G113</f>
        <v>0</v>
      </c>
      <c r="H123">
        <f>'Net zero Activity data'!AJ6*'Net zero supporting data'!H113</f>
        <v>0</v>
      </c>
      <c r="I123">
        <f>'Net zero Activity data'!AK6*'Net zero supporting data'!I113</f>
        <v>0</v>
      </c>
      <c r="J123">
        <f>'Net zero Activity data'!AL6*'Net zero supporting data'!J113</f>
        <v>0</v>
      </c>
      <c r="K123">
        <f>'Net zero Activity data'!AM6*'Net zero supporting data'!K113</f>
        <v>42012.652897470478</v>
      </c>
      <c r="L123">
        <f>'Net zero Activity data'!AN6*'Net zero supporting data'!L113</f>
        <v>85305.111531648916</v>
      </c>
      <c r="M123">
        <f>'Net zero Activity data'!AO6*'Net zero supporting data'!M113</f>
        <v>128952.6984476794</v>
      </c>
      <c r="N123">
        <f>'Net zero Activity data'!AP6*'Net zero supporting data'!N113</f>
        <v>173453.18213045827</v>
      </c>
      <c r="O123">
        <f>'Net zero Activity data'!AQ6*'Net zero supporting data'!O113</f>
        <v>219010.10456062621</v>
      </c>
      <c r="P123">
        <f>'Net zero Activity data'!AR6*'Net zero supporting data'!P113</f>
        <v>265500.25381955085</v>
      </c>
      <c r="Q123">
        <f>'Net zero Activity data'!AS6*'Net zero supporting data'!Q113</f>
        <v>313221.60942510358</v>
      </c>
      <c r="R123">
        <f>'Net zero Activity data'!AT6*'Net zero supporting data'!R113</f>
        <v>362057.66231190728</v>
      </c>
      <c r="S123">
        <f>'Net zero Activity data'!AU6*'Net zero supporting data'!S113</f>
        <v>412318.66957569093</v>
      </c>
      <c r="T123">
        <f>'Net zero Activity data'!AV6*'Net zero supporting data'!T113</f>
        <v>463817.05045598885</v>
      </c>
      <c r="U123">
        <f>'Net zero Activity data'!AW6*'Net zero supporting data'!U113</f>
        <v>469958.93710873782</v>
      </c>
      <c r="V123">
        <f>'Net zero Activity data'!AX6*'Net zero supporting data'!V113</f>
        <v>476017.69728505885</v>
      </c>
      <c r="W123">
        <f>'Net zero Activity data'!AY6*'Net zero supporting data'!W113</f>
        <v>482412.67347695335</v>
      </c>
      <c r="X123">
        <f>'Net zero Activity data'!AZ6*'Net zero supporting data'!X113</f>
        <v>489646.4487214954</v>
      </c>
      <c r="Y123">
        <f>'Net zero Activity data'!BA6*'Net zero supporting data'!Y113</f>
        <v>496524.10528519336</v>
      </c>
      <c r="Z123">
        <f>'Net zero Activity data'!BB6*'Net zero supporting data'!Z113</f>
        <v>503577.10566182341</v>
      </c>
      <c r="AA123">
        <f>'Net zero Activity data'!BC6*'Net zero supporting data'!AA113</f>
        <v>511119.97032483603</v>
      </c>
      <c r="AB123">
        <f>'Net zero Activity data'!BD6*'Net zero supporting data'!AB113</f>
        <v>518186.72548647149</v>
      </c>
      <c r="AC123">
        <f>'Net zero Activity data'!BE6*'Net zero supporting data'!AC113</f>
        <v>525215.13131098484</v>
      </c>
      <c r="AD123">
        <f>'Net zero Activity data'!BF6*'Net zero supporting data'!AD113</f>
        <v>532224.73726641212</v>
      </c>
      <c r="AE123">
        <f>'Net zero Activity data'!BG6*'Net zero supporting data'!AE113</f>
        <v>539640.69020840502</v>
      </c>
      <c r="AF123">
        <f>'Net zero Activity data'!BH6*'Net zero supporting data'!AF113</f>
        <v>546758.35858802916</v>
      </c>
      <c r="AG123">
        <f>'Net zero Activity data'!BI6*'Net zero supporting data'!AG113</f>
        <v>554152.41594026389</v>
      </c>
      <c r="AH123">
        <f>'Net zero Activity data'!BJ6*'Net zero supporting data'!AH113</f>
        <v>561856.58521247632</v>
      </c>
      <c r="AI123">
        <f>'Net zero Activity data'!BK6*'Net zero supporting data'!AI113</f>
        <v>569925.09647954535</v>
      </c>
      <c r="AJ123">
        <f>'Net zero Activity data'!BL6*'Net zero supporting data'!AJ113</f>
        <v>578136.32908409799</v>
      </c>
      <c r="AK123">
        <f>'Net zero Activity data'!BM6*'Net zero supporting data'!AK113</f>
        <v>580083.14671336033</v>
      </c>
      <c r="AL123">
        <f>'Net zero Activity data'!BN6*'Net zero supporting data'!AL113</f>
        <v>581468.69086476637</v>
      </c>
      <c r="AM123">
        <f>'Net zero Activity data'!BO6*'Net zero supporting data'!AM113</f>
        <v>582036.37361816166</v>
      </c>
      <c r="AN123">
        <f>'Net zero Activity data'!BP6*'Net zero supporting data'!AN113</f>
        <v>582379.15578957554</v>
      </c>
    </row>
    <row r="124" spans="1:40" x14ac:dyDescent="0.3">
      <c r="A124" t="s">
        <v>1081</v>
      </c>
      <c r="B124">
        <f>'Net zero Activity data'!AD7*'Net zero supporting data'!B114</f>
        <v>0</v>
      </c>
      <c r="C124">
        <f>'Net zero Activity data'!AE7*'Net zero supporting data'!C114</f>
        <v>0</v>
      </c>
      <c r="D124">
        <f>'Net zero Activity data'!AF7*'Net zero supporting data'!D114</f>
        <v>0</v>
      </c>
      <c r="E124">
        <f>'Net zero Activity data'!AG7*'Net zero supporting data'!E114</f>
        <v>0</v>
      </c>
      <c r="F124">
        <f>'Net zero Activity data'!AH7*'Net zero supporting data'!F114</f>
        <v>0</v>
      </c>
      <c r="G124">
        <f>'Net zero Activity data'!AI7*'Net zero supporting data'!G114</f>
        <v>0</v>
      </c>
      <c r="H124">
        <f>'Net zero Activity data'!AJ7*'Net zero supporting data'!H114</f>
        <v>0</v>
      </c>
      <c r="I124">
        <f>'Net zero Activity data'!AK7*'Net zero supporting data'!I114</f>
        <v>0</v>
      </c>
      <c r="J124">
        <f>'Net zero Activity data'!AL7*'Net zero supporting data'!J114</f>
        <v>0</v>
      </c>
      <c r="K124">
        <f>'Net zero Activity data'!AM7*'Net zero supporting data'!K114</f>
        <v>36814.332762083672</v>
      </c>
      <c r="L124">
        <f>'Net zero Activity data'!AN7*'Net zero supporting data'!L114</f>
        <v>74750.118015562548</v>
      </c>
      <c r="M124">
        <f>'Net zero Activity data'!AO7*'Net zero supporting data'!M114</f>
        <v>112997.09072900105</v>
      </c>
      <c r="N124">
        <f>'Net zero Activity data'!AP7*'Net zero supporting data'!N114</f>
        <v>151991.42937192289</v>
      </c>
      <c r="O124">
        <f>'Net zero Activity data'!AQ7*'Net zero supporting data'!O114</f>
        <v>191911.49121742506</v>
      </c>
      <c r="P124">
        <f>'Net zero Activity data'!AR7*'Net zero supporting data'!P114</f>
        <v>232649.30963498179</v>
      </c>
      <c r="Q124">
        <f>'Net zero Activity data'!AS7*'Net zero supporting data'!Q114</f>
        <v>274465.994465811</v>
      </c>
      <c r="R124">
        <f>'Net zero Activity data'!AT7*'Net zero supporting data'!R114</f>
        <v>317259.45257351722</v>
      </c>
      <c r="S124">
        <f>'Net zero Activity data'!AU7*'Net zero supporting data'!S114</f>
        <v>361301.55224482471</v>
      </c>
      <c r="T124">
        <f>'Net zero Activity data'!AV7*'Net zero supporting data'!T114</f>
        <v>406427.92250910186</v>
      </c>
      <c r="U124">
        <f>'Net zero Activity data'!AW7*'Net zero supporting data'!U114</f>
        <v>411809.85969771765</v>
      </c>
      <c r="V124">
        <f>'Net zero Activity data'!AX7*'Net zero supporting data'!V114</f>
        <v>417118.95583599486</v>
      </c>
      <c r="W124">
        <f>'Net zero Activity data'!AY7*'Net zero supporting data'!W114</f>
        <v>422722.66722524114</v>
      </c>
      <c r="X124">
        <f>'Net zero Activity data'!AZ7*'Net zero supporting data'!X114</f>
        <v>429061.39117177698</v>
      </c>
      <c r="Y124">
        <f>'Net zero Activity data'!BA7*'Net zero supporting data'!Y114</f>
        <v>435088.0598036584</v>
      </c>
      <c r="Z124">
        <f>'Net zero Activity data'!BB7*'Net zero supporting data'!Z114</f>
        <v>441268.37656370742</v>
      </c>
      <c r="AA124">
        <f>'Net zero Activity data'!BC7*'Net zero supporting data'!AA114</f>
        <v>447877.94559904508</v>
      </c>
      <c r="AB124">
        <f>'Net zero Activity data'!BD7*'Net zero supporting data'!AB114</f>
        <v>454070.31523358158</v>
      </c>
      <c r="AC124">
        <f>'Net zero Activity data'!BE7*'Net zero supporting data'!AC114</f>
        <v>460229.08058082248</v>
      </c>
      <c r="AD124">
        <f>'Net zero Activity data'!BF7*'Net zero supporting data'!AD114</f>
        <v>466371.37220910756</v>
      </c>
      <c r="AE124">
        <f>'Net zero Activity data'!BG7*'Net zero supporting data'!AE114</f>
        <v>472869.73259641184</v>
      </c>
      <c r="AF124">
        <f>'Net zero Activity data'!BH7*'Net zero supporting data'!AF114</f>
        <v>479106.71584184311</v>
      </c>
      <c r="AG124">
        <f>'Net zero Activity data'!BI7*'Net zero supporting data'!AG114</f>
        <v>485585.88983000821</v>
      </c>
      <c r="AH124">
        <f>'Net zero Activity data'!BJ7*'Net zero supporting data'!AH114</f>
        <v>492336.80489206861</v>
      </c>
      <c r="AI124">
        <f>'Net zero Activity data'!BK7*'Net zero supporting data'!AI114</f>
        <v>499406.98109363823</v>
      </c>
      <c r="AJ124">
        <f>'Net zero Activity data'!BL7*'Net zero supporting data'!AJ114</f>
        <v>506602.21940026444</v>
      </c>
      <c r="AK124">
        <f>'Net zero Activity data'!BM7*'Net zero supporting data'!AK114</f>
        <v>508308.1529009568</v>
      </c>
      <c r="AL124">
        <f>'Net zero Activity data'!BN7*'Net zero supporting data'!AL114</f>
        <v>509522.26055492717</v>
      </c>
      <c r="AM124">
        <f>'Net zero Activity data'!BO7*'Net zero supporting data'!AM114</f>
        <v>510019.70264309499</v>
      </c>
      <c r="AN124">
        <f>'Net zero Activity data'!BP7*'Net zero supporting data'!AN114</f>
        <v>510320.07160465862</v>
      </c>
    </row>
    <row r="125" spans="1:40" x14ac:dyDescent="0.3">
      <c r="A125" t="s">
        <v>1018</v>
      </c>
      <c r="B125">
        <f>'Net zero Activity data'!AD8*'Net zero supporting data'!B115</f>
        <v>0</v>
      </c>
      <c r="C125">
        <f>'Net zero Activity data'!AE8*'Net zero supporting data'!C115</f>
        <v>0</v>
      </c>
      <c r="D125">
        <f>'Net zero Activity data'!AF8*'Net zero supporting data'!D115</f>
        <v>0</v>
      </c>
      <c r="E125">
        <f>'Net zero Activity data'!AG8*'Net zero supporting data'!E115</f>
        <v>0</v>
      </c>
      <c r="F125">
        <f>'Net zero Activity data'!AH8*'Net zero supporting data'!F115</f>
        <v>0</v>
      </c>
      <c r="G125">
        <f>'Net zero Activity data'!AI8*'Net zero supporting data'!G115</f>
        <v>0</v>
      </c>
      <c r="H125">
        <f>'Net zero Activity data'!AJ8*'Net zero supporting data'!H115</f>
        <v>0</v>
      </c>
      <c r="I125">
        <f>'Net zero Activity data'!AK8*'Net zero supporting data'!I115</f>
        <v>0</v>
      </c>
      <c r="J125">
        <f>'Net zero Activity data'!AL8*'Net zero supporting data'!J115</f>
        <v>0</v>
      </c>
      <c r="K125">
        <f>'Net zero Activity data'!AM8*'Net zero supporting data'!K115</f>
        <v>285252.61382401327</v>
      </c>
      <c r="L125">
        <f>'Net zero Activity data'!AN8*'Net zero supporting data'!L115</f>
        <v>587516.28298466594</v>
      </c>
      <c r="M125">
        <f>'Net zero Activity data'!AO8*'Net zero supporting data'!M115</f>
        <v>886370.38083031704</v>
      </c>
      <c r="N125">
        <f>'Net zero Activity data'!AP8*'Net zero supporting data'!N115</f>
        <v>1191626.954000341</v>
      </c>
      <c r="O125">
        <f>'Net zero Activity data'!AQ8*'Net zero supporting data'!O115</f>
        <v>1506622.3283127123</v>
      </c>
      <c r="P125">
        <f>'Net zero Activity data'!AR8*'Net zero supporting data'!P115</f>
        <v>1831468.527948064</v>
      </c>
      <c r="Q125">
        <f>'Net zero Activity data'!AS8*'Net zero supporting data'!Q115</f>
        <v>2168887.6136432355</v>
      </c>
      <c r="R125">
        <f>'Net zero Activity data'!AT8*'Net zero supporting data'!R115</f>
        <v>2515668.9598780242</v>
      </c>
      <c r="S125">
        <f>'Net zero Activity data'!AU8*'Net zero supporting data'!S115</f>
        <v>2876867.2712481357</v>
      </c>
      <c r="T125">
        <f>'Net zero Activity data'!AV8*'Net zero supporting data'!T115</f>
        <v>3247936.8026167578</v>
      </c>
      <c r="U125">
        <f>'Net zero Activity data'!AW8*'Net zero supporting data'!U115</f>
        <v>3281430.3808697364</v>
      </c>
      <c r="V125">
        <f>'Net zero Activity data'!AX8*'Net zero supporting data'!V115</f>
        <v>3308930.942730784</v>
      </c>
      <c r="W125">
        <f>'Net zero Activity data'!AY8*'Net zero supporting data'!W115</f>
        <v>3337983.7281437148</v>
      </c>
      <c r="X125">
        <f>'Net zero Activity data'!AZ8*'Net zero supporting data'!X115</f>
        <v>3376856.0286062998</v>
      </c>
      <c r="Y125">
        <f>'Net zero Activity data'!BA8*'Net zero supporting data'!Y115</f>
        <v>3404811.6799499341</v>
      </c>
      <c r="Z125">
        <f>'Net zero Activity data'!BB8*'Net zero supporting data'!Z115</f>
        <v>3434605.5156736416</v>
      </c>
      <c r="AA125">
        <f>'Net zero Activity data'!BC8*'Net zero supporting data'!AA115</f>
        <v>3467402.3633429729</v>
      </c>
      <c r="AB125">
        <f>'Net zero Activity data'!BD8*'Net zero supporting data'!AB115</f>
        <v>3487839.165563406</v>
      </c>
      <c r="AC125">
        <f>'Net zero Activity data'!BE8*'Net zero supporting data'!AC115</f>
        <v>3503171.2276856638</v>
      </c>
      <c r="AD125">
        <f>'Net zero Activity data'!BF8*'Net zero supporting data'!AD115</f>
        <v>3513835.6588295633</v>
      </c>
      <c r="AE125">
        <f>'Net zero Activity data'!BG8*'Net zero supporting data'!AE115</f>
        <v>3546988.5566481804</v>
      </c>
      <c r="AF125">
        <f>'Net zero Activity data'!BH8*'Net zero supporting data'!AF115</f>
        <v>3572188.9559644214</v>
      </c>
      <c r="AG125">
        <f>'Net zero Activity data'!BI8*'Net zero supporting data'!AG115</f>
        <v>3597707.4573573531</v>
      </c>
      <c r="AH125">
        <f>'Net zero Activity data'!BJ8*'Net zero supporting data'!AH115</f>
        <v>3623835.9809470498</v>
      </c>
      <c r="AI125">
        <f>'Net zero Activity data'!BK8*'Net zero supporting data'!AI115</f>
        <v>3651101.4167976044</v>
      </c>
      <c r="AJ125">
        <f>'Net zero Activity data'!BL8*'Net zero supporting data'!AJ115</f>
        <v>3679095.7771091755</v>
      </c>
      <c r="AK125">
        <f>'Net zero Activity data'!BM8*'Net zero supporting data'!AK115</f>
        <v>3623873.6405129586</v>
      </c>
      <c r="AL125">
        <f>'Net zero Activity data'!BN8*'Net zero supporting data'!AL115</f>
        <v>3561316.2469701366</v>
      </c>
      <c r="AM125">
        <f>'Net zero Activity data'!BO8*'Net zero supporting data'!AM115</f>
        <v>3488792.1615856527</v>
      </c>
      <c r="AN125">
        <f>'Net zero Activity data'!BP8*'Net zero supporting data'!AN115</f>
        <v>3413995.2241041348</v>
      </c>
    </row>
    <row r="126" spans="1:40" x14ac:dyDescent="0.3">
      <c r="A126" t="s">
        <v>1083</v>
      </c>
      <c r="B126">
        <f>'Net zero Activity data'!AD9*'Net zero supporting data'!B116</f>
        <v>0</v>
      </c>
      <c r="C126">
        <f>'Net zero Activity data'!AE9*'Net zero supporting data'!C116</f>
        <v>0</v>
      </c>
      <c r="D126">
        <f>'Net zero Activity data'!AF9*'Net zero supporting data'!D116</f>
        <v>0</v>
      </c>
      <c r="E126">
        <f>'Net zero Activity data'!AG9*'Net zero supporting data'!E116</f>
        <v>0</v>
      </c>
      <c r="F126">
        <f>'Net zero Activity data'!AH9*'Net zero supporting data'!F116</f>
        <v>0</v>
      </c>
      <c r="G126">
        <f>'Net zero Activity data'!AI9*'Net zero supporting data'!G116</f>
        <v>0</v>
      </c>
      <c r="H126">
        <f>'Net zero Activity data'!AJ9*'Net zero supporting data'!H116</f>
        <v>0</v>
      </c>
      <c r="I126">
        <f>'Net zero Activity data'!AK9*'Net zero supporting data'!I116</f>
        <v>0</v>
      </c>
      <c r="J126">
        <f>'Net zero Activity data'!AL9*'Net zero supporting data'!J116</f>
        <v>0</v>
      </c>
      <c r="K126">
        <f>'Net zero Activity data'!AM9*'Net zero supporting data'!K116</f>
        <v>252959.86508921933</v>
      </c>
      <c r="L126">
        <f>'Net zero Activity data'!AN9*'Net zero supporting data'!L116</f>
        <v>521005.00566564704</v>
      </c>
      <c r="M126">
        <f>'Net zero Activity data'!AO9*'Net zero supporting data'!M116</f>
        <v>786026.56413254526</v>
      </c>
      <c r="N126">
        <f>'Net zero Activity data'!AP9*'Net zero supporting data'!N116</f>
        <v>1056725.7893965289</v>
      </c>
      <c r="O126">
        <f>'Net zero Activity data'!AQ9*'Net zero supporting data'!O116</f>
        <v>1336061.3100131599</v>
      </c>
      <c r="P126">
        <f>'Net zero Activity data'!AR9*'Net zero supporting data'!P116</f>
        <v>1624132.4681803586</v>
      </c>
      <c r="Q126">
        <f>'Net zero Activity data'!AS9*'Net zero supporting data'!Q116</f>
        <v>1923353.1668156995</v>
      </c>
      <c r="R126">
        <f>'Net zero Activity data'!AT9*'Net zero supporting data'!R116</f>
        <v>2230876.2474390026</v>
      </c>
      <c r="S126">
        <f>'Net zero Activity data'!AU9*'Net zero supporting data'!S116</f>
        <v>2551184.1839370253</v>
      </c>
      <c r="T126">
        <f>'Net zero Activity data'!AV9*'Net zero supporting data'!T116</f>
        <v>2880245.8438299554</v>
      </c>
      <c r="U126">
        <f>'Net zero Activity data'!AW9*'Net zero supporting data'!U116</f>
        <v>2909947.6962429737</v>
      </c>
      <c r="V126">
        <f>'Net zero Activity data'!AX9*'Net zero supporting data'!V116</f>
        <v>2934334.9869499402</v>
      </c>
      <c r="W126">
        <f>'Net zero Activity data'!AY9*'Net zero supporting data'!W116</f>
        <v>2960098.7777878223</v>
      </c>
      <c r="X126">
        <f>'Net zero Activity data'!AZ9*'Net zero supporting data'!X116</f>
        <v>2994570.4404621902</v>
      </c>
      <c r="Y126">
        <f>'Net zero Activity data'!BA9*'Net zero supporting data'!Y116</f>
        <v>3019361.3010876775</v>
      </c>
      <c r="Z126">
        <f>'Net zero Activity data'!BB9*'Net zero supporting data'!Z116</f>
        <v>3045782.2497483226</v>
      </c>
      <c r="AA126">
        <f>'Net zero Activity data'!BC9*'Net zero supporting data'!AA116</f>
        <v>3074866.2467381074</v>
      </c>
      <c r="AB126">
        <f>'Net zero Activity data'!BD9*'Net zero supporting data'!AB116</f>
        <v>3092989.4487071713</v>
      </c>
      <c r="AC126">
        <f>'Net zero Activity data'!BE9*'Net zero supporting data'!AC116</f>
        <v>3106585.8056835127</v>
      </c>
      <c r="AD126">
        <f>'Net zero Activity data'!BF9*'Net zero supporting data'!AD116</f>
        <v>3116042.9427356506</v>
      </c>
      <c r="AE126">
        <f>'Net zero Activity data'!BG9*'Net zero supporting data'!AE116</f>
        <v>3145442.6823106506</v>
      </c>
      <c r="AF126">
        <f>'Net zero Activity data'!BH9*'Net zero supporting data'!AF116</f>
        <v>3167790.2062326004</v>
      </c>
      <c r="AG126">
        <f>'Net zero Activity data'!BI9*'Net zero supporting data'!AG116</f>
        <v>3190419.8206753884</v>
      </c>
      <c r="AH126">
        <f>'Net zero Activity data'!BJ9*'Net zero supporting data'!AH116</f>
        <v>3213590.3981983266</v>
      </c>
      <c r="AI126">
        <f>'Net zero Activity data'!BK9*'Net zero supporting data'!AI116</f>
        <v>3237769.1809337237</v>
      </c>
      <c r="AJ126">
        <f>'Net zero Activity data'!BL9*'Net zero supporting data'!AJ116</f>
        <v>3262594.3683798346</v>
      </c>
      <c r="AK126">
        <f>'Net zero Activity data'!BM9*'Net zero supporting data'!AK116</f>
        <v>3213623.7944171517</v>
      </c>
      <c r="AL126">
        <f>'Net zero Activity data'!BN9*'Net zero supporting data'!AL116</f>
        <v>3158148.3699546498</v>
      </c>
      <c r="AM126">
        <f>'Net zero Activity data'!BO9*'Net zero supporting data'!AM116</f>
        <v>3093834.5583872767</v>
      </c>
      <c r="AN126">
        <f>'Net zero Activity data'!BP9*'Net zero supporting data'!AN116</f>
        <v>3027505.1987338555</v>
      </c>
    </row>
    <row r="127" spans="1:40" x14ac:dyDescent="0.3">
      <c r="A127" t="s">
        <v>1084</v>
      </c>
      <c r="B127">
        <f>'Net zero Activity data'!AD10*'Net zero supporting data'!B117</f>
        <v>0</v>
      </c>
      <c r="C127">
        <f>'Net zero Activity data'!AE10*'Net zero supporting data'!C117</f>
        <v>0</v>
      </c>
      <c r="D127">
        <f>'Net zero Activity data'!AF10*'Net zero supporting data'!D117</f>
        <v>0</v>
      </c>
      <c r="E127">
        <f>'Net zero Activity data'!AG10*'Net zero supporting data'!E117</f>
        <v>0</v>
      </c>
      <c r="F127">
        <f>'Net zero Activity data'!AH10*'Net zero supporting data'!F117</f>
        <v>0</v>
      </c>
      <c r="G127">
        <f>'Net zero Activity data'!AI10*'Net zero supporting data'!G117</f>
        <v>0</v>
      </c>
      <c r="H127">
        <f>'Net zero Activity data'!AJ10*'Net zero supporting data'!H117</f>
        <v>0</v>
      </c>
      <c r="I127">
        <f>'Net zero Activity data'!AK10*'Net zero supporting data'!I117</f>
        <v>0</v>
      </c>
      <c r="J127">
        <f>'Net zero Activity data'!AL10*'Net zero supporting data'!J117</f>
        <v>0</v>
      </c>
      <c r="K127">
        <f>'Net zero Activity data'!AM10*'Net zero supporting data'!K117</f>
        <v>52029.569213578237</v>
      </c>
      <c r="L127">
        <f>'Net zero Activity data'!AN10*'Net zero supporting data'!L117</f>
        <v>109708.29072666625</v>
      </c>
      <c r="M127">
        <f>'Net zero Activity data'!AO10*'Net zero supporting data'!M117</f>
        <v>169396.94974674916</v>
      </c>
      <c r="N127">
        <f>'Net zero Activity data'!AP10*'Net zero supporting data'!N117</f>
        <v>233015.21872108566</v>
      </c>
      <c r="O127">
        <f>'Net zero Activity data'!AQ10*'Net zero supporting data'!O117</f>
        <v>301366.28472346085</v>
      </c>
      <c r="P127">
        <f>'Net zero Activity data'!AR10*'Net zero supporting data'!P117</f>
        <v>374660.27228786063</v>
      </c>
      <c r="Q127">
        <f>'Net zero Activity data'!AS10*'Net zero supporting data'!Q117</f>
        <v>453662.5372940778</v>
      </c>
      <c r="R127">
        <f>'Net zero Activity data'!AT10*'Net zero supporting data'!R117</f>
        <v>537928.12400811538</v>
      </c>
      <c r="S127">
        <f>'Net zero Activity data'!AU10*'Net zero supporting data'!S117</f>
        <v>628766.66575406154</v>
      </c>
      <c r="T127">
        <f>'Net zero Activity data'!AV10*'Net zero supporting data'!T117</f>
        <v>725448.35560961463</v>
      </c>
      <c r="U127">
        <f>'Net zero Activity data'!AW10*'Net zero supporting data'!U117</f>
        <v>757235.29340451432</v>
      </c>
      <c r="V127">
        <f>'Net zero Activity data'!AX10*'Net zero supporting data'!V117</f>
        <v>788952.40051349346</v>
      </c>
      <c r="W127">
        <f>'Net zero Activity data'!AY10*'Net zero supporting data'!W117</f>
        <v>822391.14687881782</v>
      </c>
      <c r="X127">
        <f>'Net zero Activity data'!AZ10*'Net zero supporting data'!X117</f>
        <v>859770.14981280023</v>
      </c>
      <c r="Y127">
        <f>'Net zero Activity data'!BA10*'Net zero supporting data'!Y117</f>
        <v>895966.50798409968</v>
      </c>
      <c r="Z127">
        <f>'Net zero Activity data'!BB10*'Net zero supporting data'!Z117</f>
        <v>934257.09369213891</v>
      </c>
      <c r="AA127">
        <f>'Net zero Activity data'!BC10*'Net zero supporting data'!AA117</f>
        <v>975114.06026614062</v>
      </c>
      <c r="AB127">
        <f>'Net zero Activity data'!BD10*'Net zero supporting data'!AB117</f>
        <v>1014259.0500890322</v>
      </c>
      <c r="AC127">
        <f>'Net zero Activity data'!BE10*'Net zero supporting data'!AC117</f>
        <v>1053619.1857039207</v>
      </c>
      <c r="AD127">
        <f>'Net zero Activity data'!BF10*'Net zero supporting data'!AD117</f>
        <v>1093279.8745777132</v>
      </c>
      <c r="AE127">
        <f>'Net zero Activity data'!BG10*'Net zero supporting data'!AE117</f>
        <v>1134733.116625665</v>
      </c>
      <c r="AF127">
        <f>'Net zero Activity data'!BH10*'Net zero supporting data'!AF117</f>
        <v>1175150.7882852405</v>
      </c>
      <c r="AG127">
        <f>'Net zero Activity data'!BI10*'Net zero supporting data'!AG117</f>
        <v>1217185.6448048761</v>
      </c>
      <c r="AH127">
        <f>'Net zero Activity data'!BJ10*'Net zero supporting data'!AH117</f>
        <v>1261023.7771405794</v>
      </c>
      <c r="AI127">
        <f>'Net zero Activity data'!BK10*'Net zero supporting data'!AI117</f>
        <v>1306952.4898259991</v>
      </c>
      <c r="AJ127">
        <f>'Net zero Activity data'!BL10*'Net zero supporting data'!AJ117</f>
        <v>1354943.0406280044</v>
      </c>
      <c r="AK127">
        <f>'Net zero Activity data'!BM10*'Net zero supporting data'!AK117</f>
        <v>1373300.168657721</v>
      </c>
      <c r="AL127">
        <f>'Net zero Activity data'!BN10*'Net zero supporting data'!AL117</f>
        <v>1388959.4003938835</v>
      </c>
      <c r="AM127">
        <f>'Net zero Activity data'!BO10*'Net zero supporting data'!AM117</f>
        <v>1400620.7860200247</v>
      </c>
      <c r="AN127">
        <f>'Net zero Activity data'!BP10*'Net zero supporting data'!AN117</f>
        <v>1411109.2103903051</v>
      </c>
    </row>
    <row r="128" spans="1:40" x14ac:dyDescent="0.3">
      <c r="A128" t="s">
        <v>1019</v>
      </c>
      <c r="B128">
        <f>'Net zero Activity data'!AD11*'Net zero supporting data'!B118</f>
        <v>0</v>
      </c>
      <c r="C128">
        <f>'Net zero Activity data'!AE11*'Net zero supporting data'!C118</f>
        <v>0</v>
      </c>
      <c r="D128">
        <f>'Net zero Activity data'!AF11*'Net zero supporting data'!D118</f>
        <v>0</v>
      </c>
      <c r="E128">
        <f>'Net zero Activity data'!AG11*'Net zero supporting data'!E118</f>
        <v>0</v>
      </c>
      <c r="F128">
        <f>'Net zero Activity data'!AH11*'Net zero supporting data'!F118</f>
        <v>0</v>
      </c>
      <c r="G128">
        <f>'Net zero Activity data'!AI11*'Net zero supporting data'!G118</f>
        <v>0</v>
      </c>
      <c r="H128">
        <f>'Net zero Activity data'!AJ11*'Net zero supporting data'!H118</f>
        <v>0</v>
      </c>
      <c r="I128">
        <f>'Net zero Activity data'!AK11*'Net zero supporting data'!I118</f>
        <v>0</v>
      </c>
      <c r="J128">
        <f>'Net zero Activity data'!AL11*'Net zero supporting data'!J118</f>
        <v>0</v>
      </c>
      <c r="K128">
        <f>'Net zero Activity data'!AM11*'Net zero supporting data'!K118</f>
        <v>1165816.2207790986</v>
      </c>
      <c r="L128">
        <f>'Net zero Activity data'!AN11*'Net zero supporting data'!L118</f>
        <v>2335910.2299850043</v>
      </c>
      <c r="M128">
        <f>'Net zero Activity data'!AO11*'Net zero supporting data'!M118</f>
        <v>3510609.7792958845</v>
      </c>
      <c r="N128">
        <f>'Net zero Activity data'!AP11*'Net zero supporting data'!N118</f>
        <v>4690909.1289137295</v>
      </c>
      <c r="O128">
        <f>'Net zero Activity data'!AQ11*'Net zero supporting data'!O118</f>
        <v>5877600.6005857363</v>
      </c>
      <c r="P128">
        <f>'Net zero Activity data'!AR11*'Net zero supporting data'!P118</f>
        <v>7063585.906157393</v>
      </c>
      <c r="Q128">
        <f>'Net zero Activity data'!AS11*'Net zero supporting data'!Q118</f>
        <v>8254643.7316375673</v>
      </c>
      <c r="R128">
        <f>'Net zero Activity data'!AT11*'Net zero supporting data'!R118</f>
        <v>9451239.9809105601</v>
      </c>
      <c r="S128">
        <f>'Net zero Activity data'!AU11*'Net zero supporting data'!S118</f>
        <v>10654027.392114654</v>
      </c>
      <c r="T128">
        <f>'Net zero Activity data'!AV11*'Net zero supporting data'!T118</f>
        <v>11863377.679299008</v>
      </c>
      <c r="U128">
        <f>'Net zero Activity data'!AW11*'Net zero supporting data'!U118</f>
        <v>11880530.067522751</v>
      </c>
      <c r="V128">
        <f>'Net zero Activity data'!AX11*'Net zero supporting data'!V118</f>
        <v>11899150.933707779</v>
      </c>
      <c r="W128">
        <f>'Net zero Activity data'!AY11*'Net zero supporting data'!W118</f>
        <v>11919389.959121246</v>
      </c>
      <c r="X128">
        <f>'Net zero Activity data'!AZ11*'Net zero supporting data'!X118</f>
        <v>11941444.709297268</v>
      </c>
      <c r="Y128">
        <f>'Net zero Activity data'!BA11*'Net zero supporting data'!Y118</f>
        <v>11964652.925158994</v>
      </c>
      <c r="Z128">
        <f>'Net zero Activity data'!BB11*'Net zero supporting data'!Z118</f>
        <v>11979487.542950675</v>
      </c>
      <c r="AA128">
        <f>'Net zero Activity data'!BC11*'Net zero supporting data'!AA118</f>
        <v>11995736.398204276</v>
      </c>
      <c r="AB128">
        <f>'Net zero Activity data'!BD11*'Net zero supporting data'!AB118</f>
        <v>12012863.569737339</v>
      </c>
      <c r="AC128">
        <f>'Net zero Activity data'!BE11*'Net zero supporting data'!AC118</f>
        <v>12031051.393751778</v>
      </c>
      <c r="AD128">
        <f>'Net zero Activity data'!BF11*'Net zero supporting data'!AD118</f>
        <v>12050272.293523373</v>
      </c>
      <c r="AE128">
        <f>'Net zero Activity data'!BG11*'Net zero supporting data'!AE118</f>
        <v>12061629.423018316</v>
      </c>
      <c r="AF128">
        <f>'Net zero Activity data'!BH11*'Net zero supporting data'!AF118</f>
        <v>12073753.296571499</v>
      </c>
      <c r="AG128">
        <f>'Net zero Activity data'!BI11*'Net zero supporting data'!AG118</f>
        <v>12086904.308186015</v>
      </c>
      <c r="AH128">
        <f>'Net zero Activity data'!BJ11*'Net zero supporting data'!AH118</f>
        <v>12101069.743623538</v>
      </c>
      <c r="AI128">
        <f>'Net zero Activity data'!BK11*'Net zero supporting data'!AI118</f>
        <v>12116249.30933057</v>
      </c>
      <c r="AJ128">
        <f>'Net zero Activity data'!BL11*'Net zero supporting data'!AJ118</f>
        <v>12123135.914412366</v>
      </c>
      <c r="AK128">
        <f>'Net zero Activity data'!BM11*'Net zero supporting data'!AK118</f>
        <v>12127573.876105184</v>
      </c>
      <c r="AL128">
        <f>'Net zero Activity data'!BN11*'Net zero supporting data'!AL118</f>
        <v>12132438.720870746</v>
      </c>
      <c r="AM128">
        <f>'Net zero Activity data'!BO11*'Net zero supporting data'!AM118</f>
        <v>12137577.301270785</v>
      </c>
      <c r="AN128">
        <f>'Net zero Activity data'!BP11*'Net zero supporting data'!AN118</f>
        <v>12143269.52975262</v>
      </c>
    </row>
    <row r="129" spans="1:40" x14ac:dyDescent="0.3">
      <c r="A129" t="s">
        <v>1085</v>
      </c>
      <c r="B129">
        <f>'Net zero Activity data'!AD12*'Net zero supporting data'!B119</f>
        <v>0</v>
      </c>
      <c r="C129">
        <f>'Net zero Activity data'!AE12*'Net zero supporting data'!C119</f>
        <v>0</v>
      </c>
      <c r="D129">
        <f>'Net zero Activity data'!AF12*'Net zero supporting data'!D119</f>
        <v>0</v>
      </c>
      <c r="E129">
        <f>'Net zero Activity data'!AG12*'Net zero supporting data'!E119</f>
        <v>0</v>
      </c>
      <c r="F129">
        <f>'Net zero Activity data'!AH12*'Net zero supporting data'!F119</f>
        <v>0</v>
      </c>
      <c r="G129">
        <f>'Net zero Activity data'!AI12*'Net zero supporting data'!G119</f>
        <v>0</v>
      </c>
      <c r="H129">
        <f>'Net zero Activity data'!AJ12*'Net zero supporting data'!H119</f>
        <v>0</v>
      </c>
      <c r="I129">
        <f>'Net zero Activity data'!AK12*'Net zero supporting data'!I119</f>
        <v>0</v>
      </c>
      <c r="J129">
        <f>'Net zero Activity data'!AL12*'Net zero supporting data'!J119</f>
        <v>0</v>
      </c>
      <c r="K129">
        <f>'Net zero Activity data'!AM12*'Net zero supporting data'!K119</f>
        <v>116134.94919638532</v>
      </c>
      <c r="L129">
        <f>'Net zero Activity data'!AN12*'Net zero supporting data'!L119</f>
        <v>232696.03823605413</v>
      </c>
      <c r="M129">
        <f>'Net zero Activity data'!AO12*'Net zero supporting data'!M119</f>
        <v>349715.91671146749</v>
      </c>
      <c r="N129">
        <f>'Net zero Activity data'!AP12*'Net zero supporting data'!N119</f>
        <v>467293.62970021839</v>
      </c>
      <c r="O129">
        <f>'Net zero Activity data'!AQ12*'Net zero supporting data'!O119</f>
        <v>585508.10580547573</v>
      </c>
      <c r="P129">
        <f>'Net zero Activity data'!AR12*'Net zero supporting data'!P119</f>
        <v>703652.23586242239</v>
      </c>
      <c r="Q129">
        <f>'Net zero Activity data'!AS12*'Net zero supporting data'!Q119</f>
        <v>822301.67441600293</v>
      </c>
      <c r="R129">
        <f>'Net zero Activity data'!AT12*'Net zero supporting data'!R119</f>
        <v>941502.83334741218</v>
      </c>
      <c r="S129">
        <f>'Net zero Activity data'!AU12*'Net zero supporting data'!S119</f>
        <v>1061320.7363792374</v>
      </c>
      <c r="T129">
        <f>'Net zero Activity data'!AV12*'Net zero supporting data'!T119</f>
        <v>1181792.4124972194</v>
      </c>
      <c r="U129">
        <f>'Net zero Activity data'!AW12*'Net zero supporting data'!U119</f>
        <v>1183501.0795233394</v>
      </c>
      <c r="V129">
        <f>'Net zero Activity data'!AX12*'Net zero supporting data'!V119</f>
        <v>1185356.0317103534</v>
      </c>
      <c r="W129">
        <f>'Net zero Activity data'!AY12*'Net zero supporting data'!W119</f>
        <v>1187372.1798358331</v>
      </c>
      <c r="X129">
        <f>'Net zero Activity data'!AZ12*'Net zero supporting data'!X119</f>
        <v>1189569.2047575822</v>
      </c>
      <c r="Y129">
        <f>'Net zero Activity data'!BA12*'Net zero supporting data'!Y119</f>
        <v>1191881.1343070264</v>
      </c>
      <c r="Z129">
        <f>'Net zero Activity data'!BB12*'Net zero supporting data'!Z119</f>
        <v>1193358.9123245885</v>
      </c>
      <c r="AA129">
        <f>'Net zero Activity data'!BC12*'Net zero supporting data'!AA119</f>
        <v>1194977.5722349088</v>
      </c>
      <c r="AB129">
        <f>'Net zero Activity data'!BD12*'Net zero supporting data'!AB119</f>
        <v>1196683.7272535281</v>
      </c>
      <c r="AC129">
        <f>'Net zero Activity data'!BE12*'Net zero supporting data'!AC119</f>
        <v>1198495.5411400241</v>
      </c>
      <c r="AD129">
        <f>'Net zero Activity data'!BF12*'Net zero supporting data'!AD119</f>
        <v>1200410.266787769</v>
      </c>
      <c r="AE129">
        <f>'Net zero Activity data'!BG12*'Net zero supporting data'!AE119</f>
        <v>1201541.6283466523</v>
      </c>
      <c r="AF129">
        <f>'Net zero Activity data'!BH12*'Net zero supporting data'!AF119</f>
        <v>1202749.3705396894</v>
      </c>
      <c r="AG129">
        <f>'Net zero Activity data'!BI12*'Net zero supporting data'!AG119</f>
        <v>1204059.4329993732</v>
      </c>
      <c r="AH129">
        <f>'Net zero Activity data'!BJ12*'Net zero supporting data'!AH119</f>
        <v>1205470.5491732261</v>
      </c>
      <c r="AI129">
        <f>'Net zero Activity data'!BK12*'Net zero supporting data'!AI119</f>
        <v>1206982.6898183711</v>
      </c>
      <c r="AJ129">
        <f>'Net zero Activity data'!BL12*'Net zero supporting data'!AJ119</f>
        <v>1207668.7117805423</v>
      </c>
      <c r="AK129">
        <f>'Net zero Activity data'!BM12*'Net zero supporting data'!AK119</f>
        <v>1208110.8075813593</v>
      </c>
      <c r="AL129">
        <f>'Net zero Activity data'!BN12*'Net zero supporting data'!AL119</f>
        <v>1208595.4281327182</v>
      </c>
      <c r="AM129">
        <f>'Net zero Activity data'!BO12*'Net zero supporting data'!AM119</f>
        <v>1209107.3173679712</v>
      </c>
      <c r="AN129">
        <f>'Net zero Activity data'!BP12*'Net zero supporting data'!AN119</f>
        <v>1209674.3592857018</v>
      </c>
    </row>
    <row r="130" spans="1:40" x14ac:dyDescent="0.3">
      <c r="A130" t="s">
        <v>1086</v>
      </c>
      <c r="B130">
        <f>'Net zero Activity data'!AD13*'Net zero supporting data'!B120</f>
        <v>0</v>
      </c>
      <c r="C130">
        <f>'Net zero Activity data'!AE13*'Net zero supporting data'!C120</f>
        <v>0</v>
      </c>
      <c r="D130">
        <f>'Net zero Activity data'!AF13*'Net zero supporting data'!D120</f>
        <v>0</v>
      </c>
      <c r="E130">
        <f>'Net zero Activity data'!AG13*'Net zero supporting data'!E120</f>
        <v>0</v>
      </c>
      <c r="F130">
        <f>'Net zero Activity data'!AH13*'Net zero supporting data'!F120</f>
        <v>0</v>
      </c>
      <c r="G130">
        <f>'Net zero Activity data'!AI13*'Net zero supporting data'!G120</f>
        <v>0</v>
      </c>
      <c r="H130">
        <f>'Net zero Activity data'!AJ13*'Net zero supporting data'!H120</f>
        <v>0</v>
      </c>
      <c r="I130">
        <f>'Net zero Activity data'!AK13*'Net zero supporting data'!I120</f>
        <v>0</v>
      </c>
      <c r="J130">
        <f>'Net zero Activity data'!AL13*'Net zero supporting data'!J120</f>
        <v>0</v>
      </c>
      <c r="K130">
        <f>'Net zero Activity data'!AM13*'Net zero supporting data'!K120</f>
        <v>0</v>
      </c>
      <c r="L130">
        <f>'Net zero Activity data'!AN13*'Net zero supporting data'!L120</f>
        <v>0</v>
      </c>
      <c r="M130">
        <f>'Net zero Activity data'!AO13*'Net zero supporting data'!M120</f>
        <v>0</v>
      </c>
      <c r="N130">
        <f>'Net zero Activity data'!AP13*'Net zero supporting data'!N120</f>
        <v>0</v>
      </c>
      <c r="O130">
        <f>'Net zero Activity data'!AQ13*'Net zero supporting data'!O120</f>
        <v>0</v>
      </c>
      <c r="P130">
        <f>'Net zero Activity data'!AR13*'Net zero supporting data'!P120</f>
        <v>0</v>
      </c>
      <c r="Q130">
        <f>'Net zero Activity data'!AS13*'Net zero supporting data'!Q120</f>
        <v>0</v>
      </c>
      <c r="R130">
        <f>'Net zero Activity data'!AT13*'Net zero supporting data'!R120</f>
        <v>0</v>
      </c>
      <c r="S130">
        <f>'Net zero Activity data'!AU13*'Net zero supporting data'!S120</f>
        <v>0</v>
      </c>
      <c r="T130">
        <f>'Net zero Activity data'!AV13*'Net zero supporting data'!T120</f>
        <v>0</v>
      </c>
      <c r="U130">
        <f>'Net zero Activity data'!AW13*'Net zero supporting data'!U120</f>
        <v>89034.979480240931</v>
      </c>
      <c r="V130">
        <f>'Net zero Activity data'!AX13*'Net zero supporting data'!V120</f>
        <v>178480.27977604084</v>
      </c>
      <c r="W130">
        <f>'Net zero Activity data'!AY13*'Net zero supporting data'!W120</f>
        <v>268379.45580894797</v>
      </c>
      <c r="X130">
        <f>'Net zero Activity data'!AZ13*'Net zero supporting data'!X120</f>
        <v>358784.9873529991</v>
      </c>
      <c r="Y130">
        <f>'Net zero Activity data'!BA13*'Net zero supporting data'!Y120</f>
        <v>449711.40923445835</v>
      </c>
      <c r="Z130">
        <f>'Net zero Activity data'!BB13*'Net zero supporting data'!Z120</f>
        <v>540567.94594753406</v>
      </c>
      <c r="AA130">
        <f>'Net zero Activity data'!BC13*'Net zero supporting data'!AA120</f>
        <v>631820.09209810337</v>
      </c>
      <c r="AB130">
        <f>'Net zero Activity data'!BD13*'Net zero supporting data'!AB120</f>
        <v>723460.77998308686</v>
      </c>
      <c r="AC130">
        <f>'Net zero Activity data'!BE13*'Net zero supporting data'!AC120</f>
        <v>815529.9930574781</v>
      </c>
      <c r="AD130">
        <f>'Net zero Activity data'!BF13*'Net zero supporting data'!AD120</f>
        <v>908053.02709782368</v>
      </c>
      <c r="AE130">
        <f>'Net zero Activity data'!BG13*'Net zero supporting data'!AE120</f>
        <v>909095.76412760152</v>
      </c>
      <c r="AF130">
        <f>'Net zero Activity data'!BH13*'Net zero supporting data'!AF120</f>
        <v>910204.19087000459</v>
      </c>
      <c r="AG130">
        <f>'Net zero Activity data'!BI13*'Net zero supporting data'!AG120</f>
        <v>911406.60237819934</v>
      </c>
      <c r="AH130">
        <f>'Net zero Activity data'!BJ13*'Net zero supporting data'!AH120</f>
        <v>912701.85029474518</v>
      </c>
      <c r="AI130">
        <f>'Net zero Activity data'!BK13*'Net zero supporting data'!AI120</f>
        <v>914090.0840412582</v>
      </c>
      <c r="AJ130">
        <f>'Net zero Activity data'!BL13*'Net zero supporting data'!AJ120</f>
        <v>914579.3940647454</v>
      </c>
      <c r="AK130">
        <f>'Net zero Activity data'!BM13*'Net zero supporting data'!AK120</f>
        <v>914796.69675743172</v>
      </c>
      <c r="AL130">
        <f>'Net zero Activity data'!BN13*'Net zero supporting data'!AL120</f>
        <v>915049.31263860932</v>
      </c>
      <c r="AM130">
        <f>'Net zero Activity data'!BO13*'Net zero supporting data'!AM120</f>
        <v>915321.27348942263</v>
      </c>
      <c r="AN130">
        <f>'Net zero Activity data'!BP13*'Net zero supporting data'!AN120</f>
        <v>915642.55182000087</v>
      </c>
    </row>
    <row r="131" spans="1:40" x14ac:dyDescent="0.3">
      <c r="A131" t="s">
        <v>1087</v>
      </c>
      <c r="B131">
        <f>'Net zero Activity data'!AD14*'Net zero supporting data'!B121</f>
        <v>0</v>
      </c>
      <c r="C131">
        <f>'Net zero Activity data'!AE14*'Net zero supporting data'!C121</f>
        <v>0</v>
      </c>
      <c r="D131">
        <f>'Net zero Activity data'!AF14*'Net zero supporting data'!D121</f>
        <v>0</v>
      </c>
      <c r="E131">
        <f>'Net zero Activity data'!AG14*'Net zero supporting data'!E121</f>
        <v>0</v>
      </c>
      <c r="F131">
        <f>'Net zero Activity data'!AH14*'Net zero supporting data'!F121</f>
        <v>0</v>
      </c>
      <c r="G131">
        <f>'Net zero Activity data'!AI14*'Net zero supporting data'!G121</f>
        <v>0</v>
      </c>
      <c r="H131">
        <f>'Net zero Activity data'!AJ14*'Net zero supporting data'!H121</f>
        <v>0</v>
      </c>
      <c r="I131">
        <f>'Net zero Activity data'!AK14*'Net zero supporting data'!I121</f>
        <v>0</v>
      </c>
      <c r="J131">
        <f>'Net zero Activity data'!AL14*'Net zero supporting data'!J121</f>
        <v>0</v>
      </c>
      <c r="K131">
        <f>'Net zero Activity data'!AM14*'Net zero supporting data'!K121</f>
        <v>0</v>
      </c>
      <c r="L131">
        <f>'Net zero Activity data'!AN14*'Net zero supporting data'!L121</f>
        <v>0</v>
      </c>
      <c r="M131">
        <f>'Net zero Activity data'!AO14*'Net zero supporting data'!M121</f>
        <v>0</v>
      </c>
      <c r="N131">
        <f>'Net zero Activity data'!AP14*'Net zero supporting data'!N121</f>
        <v>0</v>
      </c>
      <c r="O131">
        <f>'Net zero Activity data'!AQ14*'Net zero supporting data'!O121</f>
        <v>0</v>
      </c>
      <c r="P131">
        <f>'Net zero Activity data'!AR14*'Net zero supporting data'!P121</f>
        <v>0</v>
      </c>
      <c r="Q131">
        <f>'Net zero Activity data'!AS14*'Net zero supporting data'!Q121</f>
        <v>0</v>
      </c>
      <c r="R131">
        <f>'Net zero Activity data'!AT14*'Net zero supporting data'!R121</f>
        <v>0</v>
      </c>
      <c r="S131">
        <f>'Net zero Activity data'!AU14*'Net zero supporting data'!S121</f>
        <v>0</v>
      </c>
      <c r="T131">
        <f>'Net zero Activity data'!AV14*'Net zero supporting data'!T121</f>
        <v>0</v>
      </c>
      <c r="U131">
        <f>'Net zero Activity data'!AW14*'Net zero supporting data'!U121</f>
        <v>86416.303613175012</v>
      </c>
      <c r="V131">
        <f>'Net zero Activity data'!AX14*'Net zero supporting data'!V121</f>
        <v>173230.85978262787</v>
      </c>
      <c r="W131">
        <f>'Net zero Activity data'!AY14*'Net zero supporting data'!W121</f>
        <v>260485.94240280244</v>
      </c>
      <c r="X131">
        <f>'Net zero Activity data'!AZ14*'Net zero supporting data'!X121</f>
        <v>348232.48772496963</v>
      </c>
      <c r="Y131">
        <f>'Net zero Activity data'!BA14*'Net zero supporting data'!Y121</f>
        <v>436484.60308050358</v>
      </c>
      <c r="Z131">
        <f>'Net zero Activity data'!BB14*'Net zero supporting data'!Z121</f>
        <v>524668.888713783</v>
      </c>
      <c r="AA131">
        <f>'Net zero Activity data'!BC14*'Net zero supporting data'!AA121</f>
        <v>613237.14821286488</v>
      </c>
      <c r="AB131">
        <f>'Net zero Activity data'!BD14*'Net zero supporting data'!AB121</f>
        <v>702182.52174829005</v>
      </c>
      <c r="AC131">
        <f>'Net zero Activity data'!BE14*'Net zero supporting data'!AC121</f>
        <v>791543.81679108157</v>
      </c>
      <c r="AD131">
        <f>'Net zero Activity data'!BF14*'Net zero supporting data'!AD121</f>
        <v>881345.58512435807</v>
      </c>
      <c r="AE131">
        <f>'Net zero Activity data'!BG14*'Net zero supporting data'!AE121</f>
        <v>882357.65341796598</v>
      </c>
      <c r="AF131">
        <f>'Net zero Activity data'!BH14*'Net zero supporting data'!AF121</f>
        <v>883433.47937382781</v>
      </c>
      <c r="AG131">
        <f>'Net zero Activity data'!BI14*'Net zero supporting data'!AG121</f>
        <v>884600.52583766379</v>
      </c>
      <c r="AH131">
        <f>'Net zero Activity data'!BJ14*'Net zero supporting data'!AH121</f>
        <v>885857.67822725233</v>
      </c>
      <c r="AI131">
        <f>'Net zero Activity data'!BK14*'Net zero supporting data'!AI121</f>
        <v>887205.08156945615</v>
      </c>
      <c r="AJ131">
        <f>'Net zero Activity data'!BL14*'Net zero supporting data'!AJ121</f>
        <v>887680.00012166449</v>
      </c>
      <c r="AK131">
        <f>'Net zero Activity data'!BM14*'Net zero supporting data'!AK121</f>
        <v>887890.91155868361</v>
      </c>
      <c r="AL131">
        <f>'Net zero Activity data'!BN14*'Net zero supporting data'!AL121</f>
        <v>888136.09756100294</v>
      </c>
      <c r="AM131">
        <f>'Net zero Activity data'!BO14*'Net zero supporting data'!AM121</f>
        <v>888400.05956326297</v>
      </c>
      <c r="AN131">
        <f>'Net zero Activity data'!BP14*'Net zero supporting data'!AN121</f>
        <v>888711.88853117719</v>
      </c>
    </row>
    <row r="132" spans="1:40" x14ac:dyDescent="0.3">
      <c r="A132" t="s">
        <v>1098</v>
      </c>
      <c r="B132" s="11">
        <f>'Activity data'!AD5-'Net zero supporting data'!B122</f>
        <v>590059.9281599375</v>
      </c>
      <c r="C132" s="11">
        <f>'Activity data'!AE5-'Net zero supporting data'!C122</f>
        <v>593358.66490468476</v>
      </c>
      <c r="D132" s="11">
        <f>'Activity data'!AF5-'Net zero supporting data'!D122</f>
        <v>598039.0074127327</v>
      </c>
      <c r="E132" s="11">
        <f>'Activity data'!AG5-'Net zero supporting data'!E122</f>
        <v>601046.62603335571</v>
      </c>
      <c r="F132" s="11">
        <f>'Activity data'!AH5-'Net zero supporting data'!F122</f>
        <v>603045.20236245089</v>
      </c>
      <c r="G132" s="11">
        <f>'Activity data'!AI5-'Net zero supporting data'!G122</f>
        <v>604015.06594627816</v>
      </c>
      <c r="H132" s="11">
        <f>'Activity data'!AJ5-'Net zero supporting data'!H122</f>
        <v>606157.85554919671</v>
      </c>
      <c r="I132" s="11">
        <f>'Activity data'!AK5-'Net zero supporting data'!I122</f>
        <v>608615.99513645703</v>
      </c>
      <c r="J132" s="11">
        <f>'Activity data'!AL5-'Net zero supporting data'!J122</f>
        <v>590321.24202673463</v>
      </c>
      <c r="K132" s="11">
        <f>'Activity data'!AM5-'Net zero supporting data'!K122</f>
        <v>545823.61421561544</v>
      </c>
      <c r="L132" s="11">
        <f>'Activity data'!AN5-'Net zero supporting data'!L122</f>
        <v>502659.93711853982</v>
      </c>
      <c r="M132" s="11">
        <f>'Activity data'!AO5-'Net zero supporting data'!M122</f>
        <v>454691.22542572551</v>
      </c>
      <c r="N132" s="11">
        <f>'Activity data'!AP5-'Net zero supporting data'!N122</f>
        <v>406365.97436243272</v>
      </c>
      <c r="O132" s="11">
        <f>'Activity data'!AQ5-'Net zero supporting data'!O122</f>
        <v>357612.84821765544</v>
      </c>
      <c r="P132" s="11">
        <f>'Activity data'!AR5-'Net zero supporting data'!P122</f>
        <v>307865.40588271129</v>
      </c>
      <c r="Q132" s="11">
        <f>'Activity data'!AS5-'Net zero supporting data'!Q122</f>
        <v>257311.86981169786</v>
      </c>
      <c r="R132" s="11">
        <f>'Activity data'!AT5-'Net zero supporting data'!R122</f>
        <v>205631.1266680205</v>
      </c>
      <c r="S132" s="11">
        <f>'Activity data'!AU5-'Net zero supporting data'!S122</f>
        <v>152865.49728465459</v>
      </c>
      <c r="T132" s="11">
        <f>'Activity data'!AV5-'Net zero supporting data'!T122</f>
        <v>98784.564498740016</v>
      </c>
      <c r="U132" s="11">
        <f>'Activity data'!AW5-'Net zero supporting data'!U122</f>
        <v>100092.67423208419</v>
      </c>
      <c r="V132" s="11">
        <f>'Activity data'!AX5-'Net zero supporting data'!V122</f>
        <v>101383.07954347099</v>
      </c>
      <c r="W132" s="11">
        <f>'Activity data'!AY5-'Net zero supporting data'!W122</f>
        <v>102745.09272835718</v>
      </c>
      <c r="X132" s="11">
        <f>'Activity data'!AZ5-'Net zero supporting data'!X122</f>
        <v>104285.75479869579</v>
      </c>
      <c r="Y132" s="11">
        <f>'Activity data'!BA5-'Net zero supporting data'!Y122</f>
        <v>105750.570091167</v>
      </c>
      <c r="Z132" s="11">
        <f>'Activity data'!BB5-'Net zero supporting data'!Z122</f>
        <v>107252.73041478998</v>
      </c>
      <c r="AA132" s="11">
        <f>'Activity data'!BC5-'Net zero supporting data'!AA122</f>
        <v>108859.22288865678</v>
      </c>
      <c r="AB132" s="11">
        <f>'Activity data'!BD5-'Net zero supporting data'!AB122</f>
        <v>110364.31273038441</v>
      </c>
      <c r="AC132" s="11">
        <f>'Activity data'!BE5-'Net zero supporting data'!AC122</f>
        <v>111861.23486339441</v>
      </c>
      <c r="AD132" s="11">
        <f>'Activity data'!BF5-'Net zero supporting data'!AD122</f>
        <v>113354.15296749142</v>
      </c>
      <c r="AE132" s="11">
        <f>'Activity data'!BG5-'Net zero supporting data'!AE122</f>
        <v>114933.6155616279</v>
      </c>
      <c r="AF132" s="11">
        <f>'Activity data'!BH5-'Net zero supporting data'!AF122</f>
        <v>116449.54898933682</v>
      </c>
      <c r="AG132" s="11">
        <f>'Activity data'!BI5-'Net zero supporting data'!AG122</f>
        <v>118024.34822257143</v>
      </c>
      <c r="AH132" s="11">
        <f>'Activity data'!BJ5-'Net zero supporting data'!AH122</f>
        <v>119665.19563348894</v>
      </c>
      <c r="AI132" s="11">
        <f>'Activity data'!BK5-'Net zero supporting data'!AI122</f>
        <v>121383.64123803703</v>
      </c>
      <c r="AJ132" s="11">
        <f>'Activity data'!BL5-'Net zero supporting data'!AJ122</f>
        <v>123132.4838820087</v>
      </c>
      <c r="AK132" s="11">
        <f>'Activity data'!BM5-'Net zero supporting data'!AK122</f>
        <v>123547.12049676036</v>
      </c>
      <c r="AL132" s="11">
        <f>'Activity data'!BN5-'Net zero supporting data'!AL122</f>
        <v>123842.21610710036</v>
      </c>
      <c r="AM132" s="11">
        <f>'Activity data'!BO5-'Net zero supporting data'!AM122</f>
        <v>123963.12217019673</v>
      </c>
      <c r="AN132" s="11">
        <f>'Activity data'!BP5-'Net zero supporting data'!AN122</f>
        <v>124036.12851502118</v>
      </c>
    </row>
    <row r="133" spans="1:40" x14ac:dyDescent="0.3">
      <c r="A133" t="s">
        <v>1099</v>
      </c>
      <c r="B133" s="11">
        <f>'Activity data'!AD6-'Net zero supporting data'!B123</f>
        <v>488906.79761823389</v>
      </c>
      <c r="C133" s="11">
        <f>'Activity data'!AE6-'Net zero supporting data'!C123</f>
        <v>491640.03663531021</v>
      </c>
      <c r="D133" s="11">
        <f>'Activity data'!AF6-'Net zero supporting data'!D123</f>
        <v>495518.03471340711</v>
      </c>
      <c r="E133" s="11">
        <f>'Activity data'!AG6-'Net zero supporting data'!E123</f>
        <v>498010.06157049473</v>
      </c>
      <c r="F133" s="11">
        <f>'Activity data'!AH6-'Net zero supporting data'!F123</f>
        <v>499666.02481460216</v>
      </c>
      <c r="G133" s="11">
        <f>'Activity data'!AI6-'Net zero supporting data'!G123</f>
        <v>500469.62606977334</v>
      </c>
      <c r="H133" s="11">
        <f>'Activity data'!AJ6-'Net zero supporting data'!H123</f>
        <v>502245.08031219151</v>
      </c>
      <c r="I133" s="11">
        <f>'Activity data'!AK6-'Net zero supporting data'!I123</f>
        <v>504281.82454163581</v>
      </c>
      <c r="J133" s="11">
        <f>'Activity data'!AL6-'Net zero supporting data'!J123</f>
        <v>489123.3148221515</v>
      </c>
      <c r="K133" s="11">
        <f>'Activity data'!AM6-'Net zero supporting data'!K123</f>
        <v>452253.85177865287</v>
      </c>
      <c r="L133" s="11">
        <f>'Activity data'!AN6-'Net zero supporting data'!L123</f>
        <v>416489.66218393296</v>
      </c>
      <c r="M133" s="11">
        <f>'Activity data'!AO6-'Net zero supporting data'!M123</f>
        <v>376744.15820988687</v>
      </c>
      <c r="N133" s="11">
        <f>'Activity data'!AP6-'Net zero supporting data'!N123</f>
        <v>336703.23590030137</v>
      </c>
      <c r="O133" s="11">
        <f>'Activity data'!AQ6-'Net zero supporting data'!O123</f>
        <v>296307.78852320026</v>
      </c>
      <c r="P133" s="11">
        <f>'Activity data'!AR6-'Net zero supporting data'!P123</f>
        <v>255088.47915996076</v>
      </c>
      <c r="Q133" s="11">
        <f>'Activity data'!AS6-'Net zero supporting data'!Q123</f>
        <v>213201.26355826395</v>
      </c>
      <c r="R133" s="11">
        <f>'Activity data'!AT6-'Net zero supporting data'!R123</f>
        <v>170380.07638207416</v>
      </c>
      <c r="S133" s="11">
        <f>'Activity data'!AU6-'Net zero supporting data'!S123</f>
        <v>126659.98346442805</v>
      </c>
      <c r="T133" s="11">
        <f>'Activity data'!AV6-'Net zero supporting data'!T123</f>
        <v>81850.067727527465</v>
      </c>
      <c r="U133" s="11">
        <f>'Activity data'!AW6-'Net zero supporting data'!U123</f>
        <v>82933.930078012578</v>
      </c>
      <c r="V133" s="11">
        <f>'Activity data'!AX6-'Net zero supporting data'!V123</f>
        <v>84003.123050304537</v>
      </c>
      <c r="W133" s="11">
        <f>'Activity data'!AY6-'Net zero supporting data'!W123</f>
        <v>85131.648260638874</v>
      </c>
      <c r="X133" s="11">
        <f>'Activity data'!AZ6-'Net zero supporting data'!X123</f>
        <v>86408.196833205118</v>
      </c>
      <c r="Y133" s="11">
        <f>'Activity data'!BA6-'Net zero supporting data'!Y123</f>
        <v>87621.900932681223</v>
      </c>
      <c r="Z133" s="11">
        <f>'Activity data'!BB6-'Net zero supporting data'!Z123</f>
        <v>88866.548057968845</v>
      </c>
      <c r="AA133" s="11">
        <f>'Activity data'!BC6-'Net zero supporting data'!AA123</f>
        <v>90197.641822029895</v>
      </c>
      <c r="AB133" s="11">
        <f>'Activity data'!BD6-'Net zero supporting data'!AB123</f>
        <v>91444.716262318485</v>
      </c>
      <c r="AC133" s="11">
        <f>'Activity data'!BE6-'Net zero supporting data'!AC123</f>
        <v>92685.023172526737</v>
      </c>
      <c r="AD133" s="11">
        <f>'Activity data'!BF6-'Net zero supporting data'!AD123</f>
        <v>93922.012458778569</v>
      </c>
      <c r="AE133" s="11">
        <f>'Activity data'!BG6-'Net zero supporting data'!AE123</f>
        <v>95230.710036777426</v>
      </c>
      <c r="AF133" s="11">
        <f>'Activity data'!BH6-'Net zero supporting data'!AF123</f>
        <v>96486.769162593409</v>
      </c>
      <c r="AG133" s="11">
        <f>'Activity data'!BI6-'Net zero supporting data'!AG123</f>
        <v>97791.602812987752</v>
      </c>
      <c r="AH133" s="11">
        <f>'Activity data'!BJ6-'Net zero supporting data'!AH123</f>
        <v>99151.162096319371</v>
      </c>
      <c r="AI133" s="11">
        <f>'Activity data'!BK6-'Net zero supporting data'!AI123</f>
        <v>100575.01702580217</v>
      </c>
      <c r="AJ133" s="11">
        <f>'Activity data'!BL6-'Net zero supporting data'!AJ123</f>
        <v>102024.05807366432</v>
      </c>
      <c r="AK133" s="11">
        <f>'Activity data'!BM6-'Net zero supporting data'!AK123</f>
        <v>102367.61412588716</v>
      </c>
      <c r="AL133" s="11">
        <f>'Activity data'!BN6-'Net zero supporting data'!AL123</f>
        <v>102612.12191731168</v>
      </c>
      <c r="AM133" s="11">
        <f>'Activity data'!BO6-'Net zero supporting data'!AM123</f>
        <v>102712.30122673442</v>
      </c>
      <c r="AN133" s="11">
        <f>'Activity data'!BP6-'Net zero supporting data'!AN123</f>
        <v>102772.79219816043</v>
      </c>
    </row>
    <row r="134" spans="1:40" x14ac:dyDescent="0.3">
      <c r="A134" t="s">
        <v>1100</v>
      </c>
      <c r="B134" s="11">
        <f>'Activity data'!AD7-'Net zero supporting data'!B124</f>
        <v>606918.78325022152</v>
      </c>
      <c r="C134" s="11">
        <f>'Activity data'!AE7-'Net zero supporting data'!C124</f>
        <v>610311.76961624727</v>
      </c>
      <c r="D134" s="11">
        <f>'Activity data'!AF7-'Net zero supporting data'!D124</f>
        <v>615125.83619595377</v>
      </c>
      <c r="E134" s="11">
        <f>'Activity data'!AG7-'Net zero supporting data'!E124</f>
        <v>618219.38677716604</v>
      </c>
      <c r="F134" s="11">
        <f>'Activity data'!AH7-'Net zero supporting data'!F124</f>
        <v>620275.06528709247</v>
      </c>
      <c r="G134" s="11">
        <f>'Activity data'!AI7-'Net zero supporting data'!G124</f>
        <v>621272.63925902906</v>
      </c>
      <c r="H134" s="11">
        <f>'Activity data'!AJ7-'Net zero supporting data'!H124</f>
        <v>623476.65142203099</v>
      </c>
      <c r="I134" s="11">
        <f>'Activity data'!AK7-'Net zero supporting data'!I124</f>
        <v>626005.02356892731</v>
      </c>
      <c r="J134" s="11">
        <f>'Activity data'!AL7-'Net zero supporting data'!J124</f>
        <v>607187.56322749855</v>
      </c>
      <c r="K134" s="11">
        <f>'Activity data'!AM7-'Net zero supporting data'!K124</f>
        <v>576757.87993931095</v>
      </c>
      <c r="L134" s="11">
        <f>'Activity data'!AN7-'Net zero supporting data'!L124</f>
        <v>548167.53211412544</v>
      </c>
      <c r="M134" s="11">
        <f>'Activity data'!AO7-'Net zero supporting data'!M124</f>
        <v>514764.5244321159</v>
      </c>
      <c r="N134" s="11">
        <f>'Activity data'!AP7-'Net zero supporting data'!N124</f>
        <v>481306.19301108923</v>
      </c>
      <c r="O134" s="11">
        <f>'Activity data'!AQ7-'Net zero supporting data'!O124</f>
        <v>447793.4795073251</v>
      </c>
      <c r="P134" s="11">
        <f>'Activity data'!AR7-'Net zero supporting data'!P124</f>
        <v>413598.77268441208</v>
      </c>
      <c r="Q134" s="11">
        <f>'Activity data'!AS7-'Net zero supporting data'!Q124</f>
        <v>379024.46854802471</v>
      </c>
      <c r="R134" s="11">
        <f>'Activity data'!AT7-'Net zero supporting data'!R124</f>
        <v>343697.74028797704</v>
      </c>
      <c r="S134" s="11">
        <f>'Activity data'!AU7-'Net zero supporting data'!S124</f>
        <v>307775.39635670243</v>
      </c>
      <c r="T134" s="11">
        <f>'Activity data'!AV7-'Net zero supporting data'!T124</f>
        <v>270951.94833940122</v>
      </c>
      <c r="U134" s="11">
        <f>'Activity data'!AW7-'Net zero supporting data'!U124</f>
        <v>274539.90646514512</v>
      </c>
      <c r="V134" s="11">
        <f>'Activity data'!AX7-'Net zero supporting data'!V124</f>
        <v>278079.30389066326</v>
      </c>
      <c r="W134" s="11">
        <f>'Activity data'!AY7-'Net zero supporting data'!W124</f>
        <v>281815.11148349411</v>
      </c>
      <c r="X134" s="11">
        <f>'Activity data'!AZ7-'Net zero supporting data'!X124</f>
        <v>286040.92744785134</v>
      </c>
      <c r="Y134" s="11">
        <f>'Activity data'!BA7-'Net zero supporting data'!Y124</f>
        <v>290058.7065357723</v>
      </c>
      <c r="Z134" s="11">
        <f>'Activity data'!BB7-'Net zero supporting data'!Z124</f>
        <v>294178.9177091383</v>
      </c>
      <c r="AA134" s="11">
        <f>'Activity data'!BC7-'Net zero supporting data'!AA124</f>
        <v>298585.29706603003</v>
      </c>
      <c r="AB134" s="11">
        <f>'Activity data'!BD7-'Net zero supporting data'!AB124</f>
        <v>302713.54348905443</v>
      </c>
      <c r="AC134" s="11">
        <f>'Activity data'!BE7-'Net zero supporting data'!AC124</f>
        <v>306819.38705388171</v>
      </c>
      <c r="AD134" s="11">
        <f>'Activity data'!BF7-'Net zero supporting data'!AD124</f>
        <v>310914.2481394051</v>
      </c>
      <c r="AE134" s="11">
        <f>'Activity data'!BG7-'Net zero supporting data'!AE124</f>
        <v>315246.48839760793</v>
      </c>
      <c r="AF134" s="11">
        <f>'Activity data'!BH7-'Net zero supporting data'!AF124</f>
        <v>319404.47722789546</v>
      </c>
      <c r="AG134" s="11">
        <f>'Activity data'!BI7-'Net zero supporting data'!AG124</f>
        <v>323723.92655333882</v>
      </c>
      <c r="AH134" s="11">
        <f>'Activity data'!BJ7-'Net zero supporting data'!AH124</f>
        <v>328224.53659471241</v>
      </c>
      <c r="AI134" s="11">
        <f>'Activity data'!BK7-'Net zero supporting data'!AI124</f>
        <v>332937.98739575886</v>
      </c>
      <c r="AJ134" s="11">
        <f>'Activity data'!BL7-'Net zero supporting data'!AJ124</f>
        <v>337734.8129335097</v>
      </c>
      <c r="AK134" s="11">
        <f>'Activity data'!BM7-'Net zero supporting data'!AK124</f>
        <v>338872.10193397128</v>
      </c>
      <c r="AL134" s="11">
        <f>'Activity data'!BN7-'Net zero supporting data'!AL124</f>
        <v>339681.50703661819</v>
      </c>
      <c r="AM134" s="11">
        <f>'Activity data'!BO7-'Net zero supporting data'!AM124</f>
        <v>340013.13509539672</v>
      </c>
      <c r="AN134" s="11">
        <f>'Activity data'!BP7-'Net zero supporting data'!AN124</f>
        <v>340213.38106977241</v>
      </c>
    </row>
    <row r="135" spans="1:40" x14ac:dyDescent="0.3">
      <c r="A135" t="s">
        <v>1101</v>
      </c>
      <c r="B135" s="11">
        <f>'Activity data'!AD8-'Net zero supporting data'!B125</f>
        <v>5954880.1627134737</v>
      </c>
      <c r="C135" s="11">
        <f>'Activity data'!AE8-'Net zero supporting data'!C125</f>
        <v>5903235.3888004757</v>
      </c>
      <c r="D135" s="11">
        <f>'Activity data'!AF8-'Net zero supporting data'!D125</f>
        <v>5883575.7867908729</v>
      </c>
      <c r="E135" s="11">
        <f>'Activity data'!AG8-'Net zero supporting data'!E125</f>
        <v>5805008.3335930631</v>
      </c>
      <c r="F135" s="11">
        <f>'Activity data'!AH8-'Net zero supporting data'!F125</f>
        <v>5690965.7565264786</v>
      </c>
      <c r="G135" s="11">
        <f>'Activity data'!AI8-'Net zero supporting data'!G125</f>
        <v>5543806.2775503108</v>
      </c>
      <c r="H135" s="11">
        <f>'Activity data'!AJ8-'Net zero supporting data'!H125</f>
        <v>5427737.2925172504</v>
      </c>
      <c r="I135" s="11">
        <f>'Activity data'!AK8-'Net zero supporting data'!I125</f>
        <v>5317922.8374796044</v>
      </c>
      <c r="J135" s="11">
        <f>'Activity data'!AL8-'Net zero supporting data'!J125</f>
        <v>4678221.8105234597</v>
      </c>
      <c r="K135" s="11">
        <f>'Activity data'!AM8-'Net zero supporting data'!K125</f>
        <v>4468957.6165762078</v>
      </c>
      <c r="L135" s="11">
        <f>'Activity data'!AN8-'Net zero supporting data'!L125</f>
        <v>4308452.7418875508</v>
      </c>
      <c r="M135" s="11">
        <f>'Activity data'!AO8-'Net zero supporting data'!M125</f>
        <v>4037909.5126714446</v>
      </c>
      <c r="N135" s="11">
        <f>'Activity data'!AP8-'Net zero supporting data'!N125</f>
        <v>3773485.354334414</v>
      </c>
      <c r="O135" s="11">
        <f>'Activity data'!AQ8-'Net zero supporting data'!O125</f>
        <v>3515452.0993963289</v>
      </c>
      <c r="P135" s="11">
        <f>'Activity data'!AR8-'Net zero supporting data'!P125</f>
        <v>3255944.0496854475</v>
      </c>
      <c r="Q135" s="11">
        <f>'Activity data'!AS8-'Net zero supporting data'!Q125</f>
        <v>2995130.514078754</v>
      </c>
      <c r="R135" s="11">
        <f>'Activity data'!AT8-'Net zero supporting data'!R125</f>
        <v>2725308.0398678598</v>
      </c>
      <c r="S135" s="11">
        <f>'Activity data'!AU8-'Net zero supporting data'!S125</f>
        <v>2450664.7125447076</v>
      </c>
      <c r="T135" s="11">
        <f>'Activity data'!AV8-'Net zero supporting data'!T125</f>
        <v>2165291.2017445057</v>
      </c>
      <c r="U135" s="11">
        <f>'Activity data'!AW8-'Net zero supporting data'!U125</f>
        <v>2187620.2539131581</v>
      </c>
      <c r="V135" s="11">
        <f>'Activity data'!AX8-'Net zero supporting data'!V125</f>
        <v>2205953.9618205228</v>
      </c>
      <c r="W135" s="11">
        <f>'Activity data'!AY8-'Net zero supporting data'!W125</f>
        <v>2225322.4854291431</v>
      </c>
      <c r="X135" s="11">
        <f>'Activity data'!AZ8-'Net zero supporting data'!X125</f>
        <v>2251237.3524042</v>
      </c>
      <c r="Y135" s="11">
        <f>'Activity data'!BA8-'Net zero supporting data'!Y125</f>
        <v>2269874.4532999559</v>
      </c>
      <c r="Z135" s="11">
        <f>'Activity data'!BB8-'Net zero supporting data'!Z125</f>
        <v>2289737.0104490942</v>
      </c>
      <c r="AA135" s="11">
        <f>'Activity data'!BC8-'Net zero supporting data'!AA125</f>
        <v>2311601.5755619821</v>
      </c>
      <c r="AB135" s="11">
        <f>'Activity data'!BD8-'Net zero supporting data'!AB125</f>
        <v>2325226.1103756041</v>
      </c>
      <c r="AC135" s="11">
        <f>'Activity data'!BE8-'Net zero supporting data'!AC125</f>
        <v>2335447.4851237759</v>
      </c>
      <c r="AD135" s="11">
        <f>'Activity data'!BF8-'Net zero supporting data'!AD125</f>
        <v>2342557.1058863755</v>
      </c>
      <c r="AE135" s="11">
        <f>'Activity data'!BG8-'Net zero supporting data'!AE125</f>
        <v>2364659.037765454</v>
      </c>
      <c r="AF135" s="11">
        <f>'Activity data'!BH8-'Net zero supporting data'!AF125</f>
        <v>2381459.3039762811</v>
      </c>
      <c r="AG135" s="11">
        <f>'Activity data'!BI8-'Net zero supporting data'!AG125</f>
        <v>2398471.6382382358</v>
      </c>
      <c r="AH135" s="11">
        <f>'Activity data'!BJ8-'Net zero supporting data'!AH125</f>
        <v>2415890.6539646997</v>
      </c>
      <c r="AI135" s="11">
        <f>'Activity data'!BK8-'Net zero supporting data'!AI125</f>
        <v>2434067.6111984029</v>
      </c>
      <c r="AJ135" s="11">
        <f>'Activity data'!BL8-'Net zero supporting data'!AJ125</f>
        <v>2452730.5180727835</v>
      </c>
      <c r="AK135" s="11">
        <f>'Activity data'!BM8-'Net zero supporting data'!AK125</f>
        <v>2415915.7603419726</v>
      </c>
      <c r="AL135" s="11">
        <f>'Activity data'!BN8-'Net zero supporting data'!AL125</f>
        <v>2374210.8313134247</v>
      </c>
      <c r="AM135" s="11">
        <f>'Activity data'!BO8-'Net zero supporting data'!AM125</f>
        <v>2325861.4410571023</v>
      </c>
      <c r="AN135" s="11">
        <f>'Activity data'!BP8-'Net zero supporting data'!AN125</f>
        <v>2275996.8160694237</v>
      </c>
    </row>
    <row r="136" spans="1:40" x14ac:dyDescent="0.3">
      <c r="A136" t="s">
        <v>1102</v>
      </c>
      <c r="B136" s="11">
        <f>'Activity data'!AD9-'Net zero supporting data'!B126</f>
        <v>5280742.7858025134</v>
      </c>
      <c r="C136" s="11">
        <f>'Activity data'!AE9-'Net zero supporting data'!C126</f>
        <v>5234944.5900683459</v>
      </c>
      <c r="D136" s="11">
        <f>'Activity data'!AF9-'Net zero supporting data'!D126</f>
        <v>5217510.6033805842</v>
      </c>
      <c r="E136" s="11">
        <f>'Activity data'!AG9-'Net zero supporting data'!E126</f>
        <v>5147837.5788466781</v>
      </c>
      <c r="F136" s="11">
        <f>'Activity data'!AH9-'Net zero supporting data'!F126</f>
        <v>5046705.4822027264</v>
      </c>
      <c r="G136" s="11">
        <f>'Activity data'!AI9-'Net zero supporting data'!G126</f>
        <v>4916205.5668842373</v>
      </c>
      <c r="H136" s="11">
        <f>'Activity data'!AJ9-'Net zero supporting data'!H126</f>
        <v>4813276.4669492599</v>
      </c>
      <c r="I136" s="11">
        <f>'Activity data'!AK9-'Net zero supporting data'!I126</f>
        <v>4715893.8370102141</v>
      </c>
      <c r="J136" s="11">
        <f>'Activity data'!AL9-'Net zero supporting data'!J126</f>
        <v>4148611.7942377846</v>
      </c>
      <c r="K136" s="11">
        <f>'Activity data'!AM9-'Net zero supporting data'!K126</f>
        <v>3963037.8863977692</v>
      </c>
      <c r="L136" s="11">
        <f>'Activity data'!AN9-'Net zero supporting data'!L126</f>
        <v>3820703.3748814119</v>
      </c>
      <c r="M136" s="11">
        <f>'Activity data'!AO9-'Net zero supporting data'!M126</f>
        <v>3580787.6810482619</v>
      </c>
      <c r="N136" s="11">
        <f>'Activity data'!AP9-'Net zero supporting data'!N126</f>
        <v>3346298.333089008</v>
      </c>
      <c r="O136" s="11">
        <f>'Activity data'!AQ9-'Net zero supporting data'!O126</f>
        <v>3117476.3900307063</v>
      </c>
      <c r="P136" s="11">
        <f>'Activity data'!AR9-'Net zero supporting data'!P126</f>
        <v>2887346.610098416</v>
      </c>
      <c r="Q136" s="11">
        <f>'Activity data'!AS9-'Net zero supporting data'!Q126</f>
        <v>2656059.1351264422</v>
      </c>
      <c r="R136" s="11">
        <f>'Activity data'!AT9-'Net zero supporting data'!R126</f>
        <v>2416782.6013922533</v>
      </c>
      <c r="S136" s="11">
        <f>'Activity data'!AU9-'Net zero supporting data'!S126</f>
        <v>2173230.9715019101</v>
      </c>
      <c r="T136" s="11">
        <f>'Activity data'!AV9-'Net zero supporting data'!T126</f>
        <v>1920163.8958866368</v>
      </c>
      <c r="U136" s="11">
        <f>'Activity data'!AW9-'Net zero supporting data'!U126</f>
        <v>1939965.1308286493</v>
      </c>
      <c r="V136" s="11">
        <f>'Activity data'!AX9-'Net zero supporting data'!V126</f>
        <v>1956223.3246332938</v>
      </c>
      <c r="W136" s="11">
        <f>'Activity data'!AY9-'Net zero supporting data'!W126</f>
        <v>1973399.1851918818</v>
      </c>
      <c r="X136" s="11">
        <f>'Activity data'!AZ9-'Net zero supporting data'!X126</f>
        <v>1996380.2936414606</v>
      </c>
      <c r="Y136" s="11">
        <f>'Activity data'!BA9-'Net zero supporting data'!Y126</f>
        <v>2012907.5340584517</v>
      </c>
      <c r="Z136" s="11">
        <f>'Activity data'!BB9-'Net zero supporting data'!Z126</f>
        <v>2030521.4998322153</v>
      </c>
      <c r="AA136" s="11">
        <f>'Activity data'!BC9-'Net zero supporting data'!AA126</f>
        <v>2049910.8311587381</v>
      </c>
      <c r="AB136" s="11">
        <f>'Activity data'!BD9-'Net zero supporting data'!AB126</f>
        <v>2061992.9658047813</v>
      </c>
      <c r="AC136" s="11">
        <f>'Activity data'!BE9-'Net zero supporting data'!AC126</f>
        <v>2071057.2037890083</v>
      </c>
      <c r="AD136" s="11">
        <f>'Activity data'!BF9-'Net zero supporting data'!AD126</f>
        <v>2077361.9618237671</v>
      </c>
      <c r="AE136" s="11">
        <f>'Activity data'!BG9-'Net zero supporting data'!AE126</f>
        <v>2096961.7882071002</v>
      </c>
      <c r="AF136" s="11">
        <f>'Activity data'!BH9-'Net zero supporting data'!AF126</f>
        <v>2111860.1374884001</v>
      </c>
      <c r="AG136" s="11">
        <f>'Activity data'!BI9-'Net zero supporting data'!AG126</f>
        <v>2126946.5471169255</v>
      </c>
      <c r="AH136" s="11">
        <f>'Activity data'!BJ9-'Net zero supporting data'!AH126</f>
        <v>2142393.5987988845</v>
      </c>
      <c r="AI136" s="11">
        <f>'Activity data'!BK9-'Net zero supporting data'!AI126</f>
        <v>2158512.7872891496</v>
      </c>
      <c r="AJ136" s="11">
        <f>'Activity data'!BL9-'Net zero supporting data'!AJ126</f>
        <v>2175062.9122532229</v>
      </c>
      <c r="AK136" s="11">
        <f>'Activity data'!BM9-'Net zero supporting data'!AK126</f>
        <v>2142415.8629447683</v>
      </c>
      <c r="AL136" s="11">
        <f>'Activity data'!BN9-'Net zero supporting data'!AL126</f>
        <v>2105432.2466364331</v>
      </c>
      <c r="AM136" s="11">
        <f>'Activity data'!BO9-'Net zero supporting data'!AM126</f>
        <v>2062556.3722581845</v>
      </c>
      <c r="AN136" s="11">
        <f>'Activity data'!BP9-'Net zero supporting data'!AN126</f>
        <v>2018336.7991559035</v>
      </c>
    </row>
    <row r="137" spans="1:40" x14ac:dyDescent="0.3">
      <c r="A137" t="s">
        <v>1103</v>
      </c>
      <c r="B137" s="11">
        <f>'Activity data'!AD10-'Net zero supporting data'!B127</f>
        <v>541460.03376820497</v>
      </c>
      <c r="C137" s="11">
        <f>'Activity data'!AE10-'Net zero supporting data'!C127</f>
        <v>559717.10307730967</v>
      </c>
      <c r="D137" s="11">
        <f>'Activity data'!AF10-'Net zero supporting data'!D127</f>
        <v>581386.33409904351</v>
      </c>
      <c r="E137" s="11">
        <f>'Activity data'!AG10-'Net zero supporting data'!E127</f>
        <v>597546.77075746458</v>
      </c>
      <c r="F137" s="11">
        <f>'Activity data'!AH10-'Net zero supporting data'!F127</f>
        <v>610009.49754182238</v>
      </c>
      <c r="G137" s="11">
        <f>'Activity data'!AI10-'Net zero supporting data'!G127</f>
        <v>618596.39996388648</v>
      </c>
      <c r="H137" s="11">
        <f>'Activity data'!AJ10-'Net zero supporting data'!H127</f>
        <v>630321.10002649133</v>
      </c>
      <c r="I137" s="11">
        <f>'Activity data'!AK10-'Net zero supporting data'!I127</f>
        <v>642612.00897727197</v>
      </c>
      <c r="J137" s="11">
        <f>'Activity data'!AL10-'Net zero supporting data'!J127</f>
        <v>588158.61646480043</v>
      </c>
      <c r="K137" s="11">
        <f>'Activity data'!AM10-'Net zero supporting data'!K127</f>
        <v>560083.00976969523</v>
      </c>
      <c r="L137" s="11">
        <f>'Activity data'!AN10-'Net zero supporting data'!L127</f>
        <v>535634.59590078238</v>
      </c>
      <c r="M137" s="11">
        <f>'Activity data'!AO10-'Net zero supporting data'!M127</f>
        <v>494904.81396599265</v>
      </c>
      <c r="N137" s="11">
        <f>'Activity data'!AP10-'Net zero supporting data'!N127</f>
        <v>452323.65987034282</v>
      </c>
      <c r="O137" s="11">
        <f>'Activity data'!AQ10-'Net zero supporting data'!O127</f>
        <v>407730.85580232955</v>
      </c>
      <c r="P137" s="11">
        <f>'Activity data'!AR10-'Net zero supporting data'!P127</f>
        <v>359967.71259029757</v>
      </c>
      <c r="Q137" s="11">
        <f>'Activity data'!AS10-'Net zero supporting data'!Q127</f>
        <v>308795.50857832201</v>
      </c>
      <c r="R137" s="11">
        <f>'Activity data'!AT10-'Net zero supporting data'!R127</f>
        <v>253142.64659205452</v>
      </c>
      <c r="S137" s="11">
        <f>'Activity data'!AU10-'Net zero supporting data'!S127</f>
        <v>193150.54438196681</v>
      </c>
      <c r="T137" s="11">
        <f>'Activity data'!AV10-'Net zero supporting data'!T127</f>
        <v>128020.2980487555</v>
      </c>
      <c r="U137" s="11">
        <f>'Activity data'!AW10-'Net zero supporting data'!U127</f>
        <v>133629.75765962026</v>
      </c>
      <c r="V137" s="11">
        <f>'Activity data'!AX10-'Net zero supporting data'!V127</f>
        <v>139226.89420826361</v>
      </c>
      <c r="W137" s="11">
        <f>'Activity data'!AY10-'Net zero supporting data'!W127</f>
        <v>145127.84944920312</v>
      </c>
      <c r="X137" s="11">
        <f>'Activity data'!AZ10-'Net zero supporting data'!X127</f>
        <v>151724.14408461179</v>
      </c>
      <c r="Y137" s="11">
        <f>'Activity data'!BA10-'Net zero supporting data'!Y127</f>
        <v>158111.7367030764</v>
      </c>
      <c r="Z137" s="11">
        <f>'Activity data'!BB10-'Net zero supporting data'!Z127</f>
        <v>164868.89888684812</v>
      </c>
      <c r="AA137" s="11">
        <f>'Activity data'!BC10-'Net zero supporting data'!AA127</f>
        <v>172078.95181167196</v>
      </c>
      <c r="AB137" s="11">
        <f>'Activity data'!BD10-'Net zero supporting data'!AB127</f>
        <v>178986.8911921822</v>
      </c>
      <c r="AC137" s="11">
        <f>'Activity data'!BE10-'Net zero supporting data'!AC127</f>
        <v>185932.79747716244</v>
      </c>
      <c r="AD137" s="11">
        <f>'Activity data'!BF10-'Net zero supporting data'!AD127</f>
        <v>192931.74257253762</v>
      </c>
      <c r="AE137" s="11">
        <f>'Activity data'!BG10-'Net zero supporting data'!AE127</f>
        <v>200247.02058099979</v>
      </c>
      <c r="AF137" s="11">
        <f>'Activity data'!BH10-'Net zero supporting data'!AF127</f>
        <v>207379.55087386607</v>
      </c>
      <c r="AG137" s="11">
        <f>'Activity data'!BI10-'Net zero supporting data'!AG127</f>
        <v>214797.46673027216</v>
      </c>
      <c r="AH137" s="11">
        <f>'Activity data'!BJ10-'Net zero supporting data'!AH127</f>
        <v>222533.60773069039</v>
      </c>
      <c r="AI137" s="11">
        <f>'Activity data'!BK10-'Net zero supporting data'!AI127</f>
        <v>230638.67467517639</v>
      </c>
      <c r="AJ137" s="11">
        <f>'Activity data'!BL10-'Net zero supporting data'!AJ127</f>
        <v>239107.59540494205</v>
      </c>
      <c r="AK137" s="11">
        <f>'Activity data'!BM10-'Net zero supporting data'!AK127</f>
        <v>242347.08858665661</v>
      </c>
      <c r="AL137" s="11">
        <f>'Activity data'!BN10-'Net zero supporting data'!AL127</f>
        <v>245110.48242245009</v>
      </c>
      <c r="AM137" s="11">
        <f>'Activity data'!BO10-'Net zero supporting data'!AM127</f>
        <v>247168.37400353374</v>
      </c>
      <c r="AN137" s="11">
        <f>'Activity data'!BP10-'Net zero supporting data'!AN127</f>
        <v>249019.27242181869</v>
      </c>
    </row>
    <row r="138" spans="1:40" x14ac:dyDescent="0.3">
      <c r="A138" t="s">
        <v>1104</v>
      </c>
      <c r="B138" s="11">
        <f>'Activity data'!AD11-'Net zero supporting data'!B128</f>
        <v>19018725.346340861</v>
      </c>
      <c r="C138" s="11">
        <f>'Activity data'!AE11-'Net zero supporting data'!C128</f>
        <v>19029008.710617676</v>
      </c>
      <c r="D138" s="11">
        <f>'Activity data'!AF11-'Net zero supporting data'!D128</f>
        <v>19053595.848806612</v>
      </c>
      <c r="E138" s="11">
        <f>'Activity data'!AG11-'Net zero supporting data'!E128</f>
        <v>19089849.781156227</v>
      </c>
      <c r="F138" s="11">
        <f>'Activity data'!AH11-'Net zero supporting data'!F128</f>
        <v>19137540.12500564</v>
      </c>
      <c r="G138" s="11">
        <f>'Activity data'!AI11-'Net zero supporting data'!G128</f>
        <v>19196163.290059295</v>
      </c>
      <c r="H138" s="11">
        <f>'Activity data'!AJ11-'Net zero supporting data'!H128</f>
        <v>19262005.106249526</v>
      </c>
      <c r="I138" s="11">
        <f>'Activity data'!AK11-'Net zero supporting data'!I128</f>
        <v>19334649.891006477</v>
      </c>
      <c r="J138" s="11">
        <f>'Activity data'!AL11-'Net zero supporting data'!J128</f>
        <v>19401079.547165584</v>
      </c>
      <c r="K138" s="11">
        <f>'Activity data'!AM11-'Net zero supporting data'!K128</f>
        <v>18264454.125539213</v>
      </c>
      <c r="L138" s="11">
        <f>'Activity data'!AN11-'Net zero supporting data'!L128</f>
        <v>17130008.353223369</v>
      </c>
      <c r="M138" s="11">
        <f>'Activity data'!AO11-'Net zero supporting data'!M128</f>
        <v>15992777.883459032</v>
      </c>
      <c r="N138" s="11">
        <f>'Activity data'!AP11-'Net zero supporting data'!N128</f>
        <v>14854545.574893478</v>
      </c>
      <c r="O138" s="11">
        <f>'Activity data'!AQ11-'Net zero supporting data'!O128</f>
        <v>13714401.401366718</v>
      </c>
      <c r="P138" s="11">
        <f>'Activity data'!AR11-'Net zero supporting data'!P128</f>
        <v>12557486.05539092</v>
      </c>
      <c r="Q138" s="11">
        <f>'Activity data'!AS11-'Net zero supporting data'!Q128</f>
        <v>11399269.915118545</v>
      </c>
      <c r="R138" s="11">
        <f>'Activity data'!AT11-'Net zero supporting data'!R128</f>
        <v>10238843.312653108</v>
      </c>
      <c r="S138" s="11">
        <f>'Activity data'!AU11-'Net zero supporting data'!S128</f>
        <v>9075652.9636532217</v>
      </c>
      <c r="T138" s="11">
        <f>'Activity data'!AV11-'Net zero supporting data'!T128</f>
        <v>7908918.4528660066</v>
      </c>
      <c r="U138" s="11">
        <f>'Activity data'!AW11-'Net zero supporting data'!U128</f>
        <v>7920353.3783485014</v>
      </c>
      <c r="V138" s="11">
        <f>'Activity data'!AX11-'Net zero supporting data'!V128</f>
        <v>7932767.2891385201</v>
      </c>
      <c r="W138" s="11">
        <f>'Activity data'!AY11-'Net zero supporting data'!W128</f>
        <v>7946259.9727474973</v>
      </c>
      <c r="X138" s="11">
        <f>'Activity data'!AZ11-'Net zero supporting data'!X128</f>
        <v>7960963.1395315137</v>
      </c>
      <c r="Y138" s="11">
        <f>'Activity data'!BA11-'Net zero supporting data'!Y128</f>
        <v>7976435.2834393289</v>
      </c>
      <c r="Z138" s="11">
        <f>'Activity data'!BB11-'Net zero supporting data'!Z128</f>
        <v>7986325.0286337845</v>
      </c>
      <c r="AA138" s="11">
        <f>'Activity data'!BC11-'Net zero supporting data'!AA128</f>
        <v>7997157.5988028515</v>
      </c>
      <c r="AB138" s="11">
        <f>'Activity data'!BD11-'Net zero supporting data'!AB128</f>
        <v>8008575.7131582256</v>
      </c>
      <c r="AC138" s="11">
        <f>'Activity data'!BE11-'Net zero supporting data'!AC128</f>
        <v>8020700.9291678518</v>
      </c>
      <c r="AD138" s="11">
        <f>'Activity data'!BF11-'Net zero supporting data'!AD128</f>
        <v>8033514.862348916</v>
      </c>
      <c r="AE138" s="11">
        <f>'Activity data'!BG11-'Net zero supporting data'!AE128</f>
        <v>8041086.2820122112</v>
      </c>
      <c r="AF138" s="11">
        <f>'Activity data'!BH11-'Net zero supporting data'!AF128</f>
        <v>8049168.8643809985</v>
      </c>
      <c r="AG138" s="11">
        <f>'Activity data'!BI11-'Net zero supporting data'!AG128</f>
        <v>8057936.2054573428</v>
      </c>
      <c r="AH138" s="11">
        <f>'Activity data'!BJ11-'Net zero supporting data'!AH128</f>
        <v>8067379.8290823605</v>
      </c>
      <c r="AI138" s="11">
        <f>'Activity data'!BK11-'Net zero supporting data'!AI128</f>
        <v>8077499.5395537149</v>
      </c>
      <c r="AJ138" s="11">
        <f>'Activity data'!BL11-'Net zero supporting data'!AJ128</f>
        <v>8082090.609608246</v>
      </c>
      <c r="AK138" s="11">
        <f>'Activity data'!BM11-'Net zero supporting data'!AK128</f>
        <v>8085049.2507367898</v>
      </c>
      <c r="AL138" s="11">
        <f>'Activity data'!BN11-'Net zero supporting data'!AL128</f>
        <v>8088292.4805804994</v>
      </c>
      <c r="AM138" s="11">
        <f>'Activity data'!BO11-'Net zero supporting data'!AM128</f>
        <v>8091718.2008471917</v>
      </c>
      <c r="AN138" s="11">
        <f>'Activity data'!BP11-'Net zero supporting data'!AN128</f>
        <v>8095513.019835081</v>
      </c>
    </row>
    <row r="139" spans="1:40" x14ac:dyDescent="0.3">
      <c r="A139" t="s">
        <v>1105</v>
      </c>
      <c r="B139" s="11">
        <f>'Activity data'!AD12-'Net zero supporting data'!B129</f>
        <v>2841878.5000279448</v>
      </c>
      <c r="C139" s="11">
        <f>'Activity data'!AE12-'Net zero supporting data'!C129</f>
        <v>2843415.0946899978</v>
      </c>
      <c r="D139" s="11">
        <f>'Activity data'!AF12-'Net zero supporting data'!D129</f>
        <v>2847089.0348791489</v>
      </c>
      <c r="E139" s="11">
        <f>'Activity data'!AG12-'Net zero supporting data'!E129</f>
        <v>2852506.2891382868</v>
      </c>
      <c r="F139" s="11">
        <f>'Activity data'!AH12-'Net zero supporting data'!F129</f>
        <v>2859632.432472107</v>
      </c>
      <c r="G139" s="11">
        <f>'Activity data'!AI12-'Net zero supporting data'!G129</f>
        <v>2868392.215755987</v>
      </c>
      <c r="H139" s="11">
        <f>'Activity data'!AJ12-'Net zero supporting data'!H129</f>
        <v>2878230.6480602738</v>
      </c>
      <c r="I139" s="11">
        <f>'Activity data'!AK12-'Net zero supporting data'!I129</f>
        <v>2889085.61589752</v>
      </c>
      <c r="J139" s="11">
        <f>'Activity data'!AL12-'Net zero supporting data'!J129</f>
        <v>2899011.8863580758</v>
      </c>
      <c r="K139" s="11">
        <f>'Activity data'!AM12-'Net zero supporting data'!K129</f>
        <v>2787238.7807132476</v>
      </c>
      <c r="L139" s="11">
        <f>'Activity data'!AN12-'Net zero supporting data'!L129</f>
        <v>2676004.4397146222</v>
      </c>
      <c r="M139" s="11">
        <f>'Activity data'!AO12-'Net zero supporting data'!M129</f>
        <v>2564583.3892174284</v>
      </c>
      <c r="N139" s="11">
        <f>'Activity data'!AP12-'Net zero supporting data'!N129</f>
        <v>2453291.5559261465</v>
      </c>
      <c r="O139" s="11">
        <f>'Activity data'!AQ12-'Net zero supporting data'!O129</f>
        <v>2342032.4232219029</v>
      </c>
      <c r="P139" s="11">
        <f>'Activity data'!AR12-'Net zero supporting data'!P129</f>
        <v>2228232.0802310039</v>
      </c>
      <c r="Q139" s="11">
        <f>'Activity data'!AS12-'Net zero supporting data'!Q129</f>
        <v>2114490.0199268647</v>
      </c>
      <c r="R139" s="11">
        <f>'Activity data'!AT12-'Net zero supporting data'!R129</f>
        <v>2000693.5208632508</v>
      </c>
      <c r="S139" s="11">
        <f>'Activity data'!AU12-'Net zero supporting data'!S129</f>
        <v>1886792.4202297553</v>
      </c>
      <c r="T139" s="11">
        <f>'Activity data'!AV12-'Net zero supporting data'!T129</f>
        <v>1772688.6187458287</v>
      </c>
      <c r="U139" s="11">
        <f>'Activity data'!AW12-'Net zero supporting data'!U129</f>
        <v>1775251.6192850089</v>
      </c>
      <c r="V139" s="11">
        <f>'Activity data'!AX12-'Net zero supporting data'!V129</f>
        <v>1778034.0475655303</v>
      </c>
      <c r="W139" s="11">
        <f>'Activity data'!AY12-'Net zero supporting data'!W129</f>
        <v>1781058.2697537495</v>
      </c>
      <c r="X139" s="11">
        <f>'Activity data'!AZ12-'Net zero supporting data'!X129</f>
        <v>1784353.8071363734</v>
      </c>
      <c r="Y139" s="11">
        <f>'Activity data'!BA12-'Net zero supporting data'!Y129</f>
        <v>1787821.7014605394</v>
      </c>
      <c r="Z139" s="11">
        <f>'Activity data'!BB12-'Net zero supporting data'!Z129</f>
        <v>1790038.3684868824</v>
      </c>
      <c r="AA139" s="11">
        <f>'Activity data'!BC12-'Net zero supporting data'!AA129</f>
        <v>1792466.3583523633</v>
      </c>
      <c r="AB139" s="11">
        <f>'Activity data'!BD12-'Net zero supporting data'!AB129</f>
        <v>1795025.5908802922</v>
      </c>
      <c r="AC139" s="11">
        <f>'Activity data'!BE12-'Net zero supporting data'!AC129</f>
        <v>1797743.3117100359</v>
      </c>
      <c r="AD139" s="11">
        <f>'Activity data'!BF12-'Net zero supporting data'!AD129</f>
        <v>1800615.4001816537</v>
      </c>
      <c r="AE139" s="11">
        <f>'Activity data'!BG12-'Net zero supporting data'!AE129</f>
        <v>1802312.4425199782</v>
      </c>
      <c r="AF139" s="11">
        <f>'Activity data'!BH12-'Net zero supporting data'!AF129</f>
        <v>1804124.0558095342</v>
      </c>
      <c r="AG139" s="11">
        <f>'Activity data'!BI12-'Net zero supporting data'!AG129</f>
        <v>1806089.1494990594</v>
      </c>
      <c r="AH139" s="11">
        <f>'Activity data'!BJ12-'Net zero supporting data'!AH129</f>
        <v>1808205.8237598389</v>
      </c>
      <c r="AI139" s="11">
        <f>'Activity data'!BK12-'Net zero supporting data'!AI129</f>
        <v>1810474.0347275566</v>
      </c>
      <c r="AJ139" s="11">
        <f>'Activity data'!BL12-'Net zero supporting data'!AJ129</f>
        <v>1811503.0676708135</v>
      </c>
      <c r="AK139" s="11">
        <f>'Activity data'!BM12-'Net zero supporting data'!AK129</f>
        <v>1812166.211372039</v>
      </c>
      <c r="AL139" s="11">
        <f>'Activity data'!BN12-'Net zero supporting data'!AL129</f>
        <v>1812893.1421990774</v>
      </c>
      <c r="AM139" s="11">
        <f>'Activity data'!BO12-'Net zero supporting data'!AM129</f>
        <v>1813660.9760519566</v>
      </c>
      <c r="AN139" s="11">
        <f>'Activity data'!BP12-'Net zero supporting data'!AN129</f>
        <v>1814511.5389285523</v>
      </c>
    </row>
    <row r="140" spans="1:40" x14ac:dyDescent="0.3">
      <c r="A140" t="s">
        <v>1106</v>
      </c>
      <c r="B140" s="11">
        <f>'Activity data'!AD13-'Net zero supporting data'!B130</f>
        <v>2068089.0408217218</v>
      </c>
      <c r="C140" s="11">
        <f>'Activity data'!AE13-'Net zero supporting data'!C130</f>
        <v>2073465.0740723512</v>
      </c>
      <c r="D140" s="11">
        <f>'Activity data'!AF13-'Net zero supporting data'!D130</f>
        <v>2080881.121959276</v>
      </c>
      <c r="E140" s="11">
        <f>'Activity data'!AG13-'Net zero supporting data'!E130</f>
        <v>2089915.8268703574</v>
      </c>
      <c r="F140" s="11">
        <f>'Activity data'!AH13-'Net zero supporting data'!F130</f>
        <v>2100556.3029240505</v>
      </c>
      <c r="G140" s="11">
        <f>'Activity data'!AI13-'Net zero supporting data'!G130</f>
        <v>2112737.7866022554</v>
      </c>
      <c r="H140" s="11">
        <f>'Activity data'!AJ13-'Net zero supporting data'!H130</f>
        <v>2125847.6846541641</v>
      </c>
      <c r="I140" s="11">
        <f>'Activity data'!AK13-'Net zero supporting data'!I130</f>
        <v>2139834.1013227375</v>
      </c>
      <c r="J140" s="11">
        <f>'Activity data'!AL13-'Net zero supporting data'!J130</f>
        <v>2152518.1972765964</v>
      </c>
      <c r="K140" s="11">
        <f>'Activity data'!AM13-'Net zero supporting data'!K130</f>
        <v>2158713.8811234804</v>
      </c>
      <c r="L140" s="11">
        <f>'Activity data'!AN13-'Net zero supporting data'!L130</f>
        <v>2165815.5173630901</v>
      </c>
      <c r="M140" s="11">
        <f>'Activity data'!AO13-'Net zero supporting data'!M130</f>
        <v>2173054.5836930173</v>
      </c>
      <c r="N140" s="11">
        <f>'Activity data'!AP13-'Net zero supporting data'!N130</f>
        <v>2180905.8949472066</v>
      </c>
      <c r="O140" s="11">
        <f>'Activity data'!AQ13-'Net zero supporting data'!O130</f>
        <v>2189356.4752765815</v>
      </c>
      <c r="P140" s="11">
        <f>'Activity data'!AR13-'Net zero supporting data'!P130</f>
        <v>2194764.4771991875</v>
      </c>
      <c r="Q140" s="11">
        <f>'Activity data'!AS13-'Net zero supporting data'!Q130</f>
        <v>2200681.1312507591</v>
      </c>
      <c r="R140" s="11">
        <f>'Activity data'!AT13-'Net zero supporting data'!R130</f>
        <v>2207037.2348991744</v>
      </c>
      <c r="S140" s="11">
        <f>'Activity data'!AU13-'Net zero supporting data'!S130</f>
        <v>2213853.1980795516</v>
      </c>
      <c r="T140" s="11">
        <f>'Activity data'!AV13-'Net zero supporting data'!T130</f>
        <v>2221065.0201840056</v>
      </c>
      <c r="U140" s="11">
        <f>'Activity data'!AW13-'Net zero supporting data'!U130</f>
        <v>2136839.5075257821</v>
      </c>
      <c r="V140" s="11">
        <f>'Activity data'!AX13-'Net zero supporting data'!V130</f>
        <v>2052523.2174244695</v>
      </c>
      <c r="W140" s="11">
        <f>'Activity data'!AY13-'Net zero supporting data'!W130</f>
        <v>1968116.0092656186</v>
      </c>
      <c r="X140" s="11">
        <f>'Activity data'!AZ13-'Net zero supporting data'!X130</f>
        <v>1883621.1836032451</v>
      </c>
      <c r="Y140" s="11">
        <f>'Activity data'!BA13-'Net zero supporting data'!Y130</f>
        <v>1798845.6369378332</v>
      </c>
      <c r="Z140" s="11">
        <f>'Activity data'!BB13-'Net zero supporting data'!Z130</f>
        <v>1711798.4955005245</v>
      </c>
      <c r="AA140" s="11">
        <f>'Activity data'!BC13-'Net zero supporting data'!AA130</f>
        <v>1624680.2368236943</v>
      </c>
      <c r="AB140" s="11">
        <f>'Activity data'!BD13-'Net zero supporting data'!AB130</f>
        <v>1537354.1574640595</v>
      </c>
      <c r="AC140" s="11">
        <f>'Activity data'!BE13-'Net zero supporting data'!AC130</f>
        <v>1449831.0987688499</v>
      </c>
      <c r="AD140" s="11">
        <f>'Activity data'!BF13-'Net zero supporting data'!AD130</f>
        <v>1362079.5406467356</v>
      </c>
      <c r="AE140" s="11">
        <f>'Activity data'!BG13-'Net zero supporting data'!AE130</f>
        <v>1363643.6461914023</v>
      </c>
      <c r="AF140" s="11">
        <f>'Activity data'!BH13-'Net zero supporting data'!AF130</f>
        <v>1365306.2863050066</v>
      </c>
      <c r="AG140" s="11">
        <f>'Activity data'!BI13-'Net zero supporting data'!AG130</f>
        <v>1367109.9035672988</v>
      </c>
      <c r="AH140" s="11">
        <f>'Activity data'!BJ13-'Net zero supporting data'!AH130</f>
        <v>1369052.7754421178</v>
      </c>
      <c r="AI140" s="11">
        <f>'Activity data'!BK13-'Net zero supporting data'!AI130</f>
        <v>1371135.126061887</v>
      </c>
      <c r="AJ140" s="11">
        <f>'Activity data'!BL13-'Net zero supporting data'!AJ130</f>
        <v>1371869.0910971179</v>
      </c>
      <c r="AK140" s="11">
        <f>'Activity data'!BM13-'Net zero supporting data'!AK130</f>
        <v>1372195.0451361476</v>
      </c>
      <c r="AL140" s="11">
        <f>'Activity data'!BN13-'Net zero supporting data'!AL130</f>
        <v>1372573.968957914</v>
      </c>
      <c r="AM140" s="11">
        <f>'Activity data'!BO13-'Net zero supporting data'!AM130</f>
        <v>1372981.9102341337</v>
      </c>
      <c r="AN140" s="11">
        <f>'Activity data'!BP13-'Net zero supporting data'!AN130</f>
        <v>1373463.8277300012</v>
      </c>
    </row>
    <row r="141" spans="1:40" x14ac:dyDescent="0.3">
      <c r="A141" t="s">
        <v>1107</v>
      </c>
      <c r="B141" s="11">
        <f>'Activity data'!AD14-'Net zero supporting data'!B131</f>
        <v>4014525.785124518</v>
      </c>
      <c r="C141" s="11">
        <f>'Activity data'!AE14-'Net zero supporting data'!C131</f>
        <v>4024961.6143757398</v>
      </c>
      <c r="D141" s="11">
        <f>'Activity data'!AF14-'Net zero supporting data'!D131</f>
        <v>4039357.4720385941</v>
      </c>
      <c r="E141" s="11">
        <f>'Activity data'!AG14-'Net zero supporting data'!E131</f>
        <v>4056895.4286306929</v>
      </c>
      <c r="F141" s="11">
        <f>'Activity data'!AH14-'Net zero supporting data'!F131</f>
        <v>4077550.4703819798</v>
      </c>
      <c r="G141" s="11">
        <f>'Activity data'!AI14-'Net zero supporting data'!G131</f>
        <v>4101196.8798749652</v>
      </c>
      <c r="H141" s="11">
        <f>'Activity data'!AJ14-'Net zero supporting data'!H131</f>
        <v>4126645.5055051413</v>
      </c>
      <c r="I141" s="11">
        <f>'Activity data'!AK14-'Net zero supporting data'!I131</f>
        <v>4153795.6084500193</v>
      </c>
      <c r="J141" s="11">
        <f>'Activity data'!AL14-'Net zero supporting data'!J131</f>
        <v>4178417.6770663336</v>
      </c>
      <c r="K141" s="11">
        <f>'Activity data'!AM14-'Net zero supporting data'!K131</f>
        <v>4190444.5927691082</v>
      </c>
      <c r="L141" s="11">
        <f>'Activity data'!AN14-'Net zero supporting data'!L131</f>
        <v>4204230.1219401155</v>
      </c>
      <c r="M141" s="11">
        <f>'Activity data'!AO14-'Net zero supporting data'!M131</f>
        <v>4218282.4271687977</v>
      </c>
      <c r="N141" s="11">
        <f>'Activity data'!AP14-'Net zero supporting data'!N131</f>
        <v>4233523.2078386946</v>
      </c>
      <c r="O141" s="11">
        <f>'Activity data'!AQ14-'Net zero supporting data'!O131</f>
        <v>4249927.275536892</v>
      </c>
      <c r="P141" s="11">
        <f>'Activity data'!AR14-'Net zero supporting data'!P131</f>
        <v>4260425.1616219515</v>
      </c>
      <c r="Q141" s="11">
        <f>'Activity data'!AS14-'Net zero supporting data'!Q131</f>
        <v>4271910.4312514728</v>
      </c>
      <c r="R141" s="11">
        <f>'Activity data'!AT14-'Net zero supporting data'!R131</f>
        <v>4284248.750098397</v>
      </c>
      <c r="S141" s="11">
        <f>'Activity data'!AU14-'Net zero supporting data'!S131</f>
        <v>4297479.7374485405</v>
      </c>
      <c r="T141" s="11">
        <f>'Activity data'!AV14-'Net zero supporting data'!T131</f>
        <v>4311479.1568277748</v>
      </c>
      <c r="U141" s="11">
        <f>'Activity data'!AW14-'Net zero supporting data'!U131</f>
        <v>4234398.8770455755</v>
      </c>
      <c r="V141" s="11">
        <f>'Activity data'!AX14-'Net zero supporting data'!V131</f>
        <v>4157540.6347830687</v>
      </c>
      <c r="W141" s="11">
        <f>'Activity data'!AY14-'Net zero supporting data'!W131</f>
        <v>4080946.4309772383</v>
      </c>
      <c r="X141" s="11">
        <f>'Activity data'!AZ14-'Net zero supporting data'!X131</f>
        <v>4004673.6088371505</v>
      </c>
      <c r="Y141" s="11">
        <f>'Activity data'!BA14-'Net zero supporting data'!Y131</f>
        <v>3928361.4277245319</v>
      </c>
      <c r="Z141" s="11">
        <f>'Activity data'!BB14-'Net zero supporting data'!Z131</f>
        <v>3847571.8505677418</v>
      </c>
      <c r="AA141" s="11">
        <f>'Activity data'!BC14-'Net zero supporting data'!AA131</f>
        <v>3767028.1961647412</v>
      </c>
      <c r="AB141" s="11">
        <f>'Activity data'!BD14-'Net zero supporting data'!AB131</f>
        <v>3686458.239178523</v>
      </c>
      <c r="AC141" s="11">
        <f>'Activity data'!BE14-'Net zero supporting data'!AC131</f>
        <v>3605921.8320482606</v>
      </c>
      <c r="AD141" s="11">
        <f>'Activity data'!BF14-'Net zero supporting data'!AD131</f>
        <v>3525382.3404974318</v>
      </c>
      <c r="AE141" s="11">
        <f>'Activity data'!BG14-'Net zero supporting data'!AE131</f>
        <v>3529430.6136718639</v>
      </c>
      <c r="AF141" s="11">
        <f>'Activity data'!BH14-'Net zero supporting data'!AF131</f>
        <v>3533733.9174953112</v>
      </c>
      <c r="AG141" s="11">
        <f>'Activity data'!BI14-'Net zero supporting data'!AG131</f>
        <v>3538402.1033506552</v>
      </c>
      <c r="AH141" s="11">
        <f>'Activity data'!BJ14-'Net zero supporting data'!AH131</f>
        <v>3543430.7129090093</v>
      </c>
      <c r="AI141" s="11">
        <f>'Activity data'!BK14-'Net zero supporting data'!AI131</f>
        <v>3548820.3262778246</v>
      </c>
      <c r="AJ141" s="11">
        <f>'Activity data'!BL14-'Net zero supporting data'!AJ131</f>
        <v>3550720.000486658</v>
      </c>
      <c r="AK141" s="11">
        <f>'Activity data'!BM14-'Net zero supporting data'!AK131</f>
        <v>3551563.6462347344</v>
      </c>
      <c r="AL141" s="11">
        <f>'Activity data'!BN14-'Net zero supporting data'!AL131</f>
        <v>3552544.3902440118</v>
      </c>
      <c r="AM141" s="11">
        <f>'Activity data'!BO14-'Net zero supporting data'!AM131</f>
        <v>3553600.2382530519</v>
      </c>
      <c r="AN141" s="11">
        <f>'Activity data'!BP14-'Net zero supporting data'!AN131</f>
        <v>3554847.5541247083</v>
      </c>
    </row>
    <row r="142" spans="1:40" x14ac:dyDescent="0.3">
      <c r="A142" t="s">
        <v>1088</v>
      </c>
      <c r="B142">
        <f>B102*EF!$N$4*0.001*365</f>
        <v>122.4391286182849</v>
      </c>
      <c r="C142">
        <f>C102*EF!$N$4*0.001*365</f>
        <v>122.4391286182849</v>
      </c>
      <c r="D142">
        <f>D102*EF!$N$4*0.001*365</f>
        <v>122.4391286182849</v>
      </c>
      <c r="E142">
        <f>E102*EF!$N$4*0.001*365</f>
        <v>122.4391286182849</v>
      </c>
      <c r="F142">
        <f>F102*EF!$N$4*0.001*365</f>
        <v>122.4391286182849</v>
      </c>
      <c r="G142">
        <f>G102*EF!$N$4*0.001*365</f>
        <v>122.4391286182849</v>
      </c>
      <c r="H142">
        <f>H102*EF!$N$4*0.001*365</f>
        <v>122.4391286182849</v>
      </c>
      <c r="I142">
        <f>I102*EF!$N$4*0.001*365</f>
        <v>122.4391286182849</v>
      </c>
      <c r="J142">
        <f>J102*EF!$N$4*0.001*365</f>
        <v>122.4391286182849</v>
      </c>
      <c r="K142">
        <f>K102*EF!$N$4*0.001*365</f>
        <v>120.60254168901061</v>
      </c>
      <c r="L142">
        <f>L102*EF!$N$4*0.001*365</f>
        <v>118.79350356367546</v>
      </c>
      <c r="M142">
        <f>M102*EF!$N$4*0.001*365</f>
        <v>117.01160101022033</v>
      </c>
      <c r="N142">
        <f>N102*EF!$N$4*0.001*365</f>
        <v>115.25642699506703</v>
      </c>
      <c r="O142">
        <f>O102*EF!$N$4*0.001*365</f>
        <v>113.52758059014101</v>
      </c>
      <c r="P142">
        <f>P102*EF!$N$4*0.001*365</f>
        <v>111.82466688128891</v>
      </c>
      <c r="Q142">
        <f>Q102*EF!$N$4*0.001*365</f>
        <v>110.1472968780696</v>
      </c>
      <c r="R142">
        <f>R102*EF!$N$4*0.001*365</f>
        <v>108.49508742489853</v>
      </c>
      <c r="S142">
        <f>S102*EF!$N$4*0.001*365</f>
        <v>106.86766111352507</v>
      </c>
      <c r="T142">
        <f>T102*EF!$N$4*0.001*365</f>
        <v>105.26464619682218</v>
      </c>
      <c r="U142">
        <f>U102*EF!$N$4*0.001*365</f>
        <v>104.475161350346</v>
      </c>
      <c r="V142">
        <f>V102*EF!$N$4*0.001*365</f>
        <v>103.6915976402184</v>
      </c>
      <c r="W142">
        <f>W102*EF!$N$4*0.001*365</f>
        <v>102.91391065791676</v>
      </c>
      <c r="X142">
        <f>X102*EF!$N$4*0.001*365</f>
        <v>102.14205632798239</v>
      </c>
      <c r="Y142">
        <f>Y102*EF!$N$4*0.001*365</f>
        <v>101.37599090552251</v>
      </c>
      <c r="Z142">
        <f>Z102*EF!$N$4*0.001*365</f>
        <v>100.61567097373111</v>
      </c>
      <c r="AA142">
        <f>AA102*EF!$N$4*0.001*365</f>
        <v>99.861053441428098</v>
      </c>
      <c r="AB142">
        <f>AB102*EF!$N$4*0.001*365</f>
        <v>99.112095540617403</v>
      </c>
      <c r="AC142">
        <f>AC102*EF!$N$4*0.001*365</f>
        <v>98.368754824062762</v>
      </c>
      <c r="AD142">
        <f>AD102*EF!$N$4*0.001*365</f>
        <v>97.630989162882287</v>
      </c>
      <c r="AE142">
        <f>AE102*EF!$N$4*0.001*365</f>
        <v>97.630989162882287</v>
      </c>
      <c r="AF142">
        <f>AF102*EF!$N$4*0.001*365</f>
        <v>97.630989162882287</v>
      </c>
      <c r="AG142">
        <f>AG102*EF!$N$4*0.001*365</f>
        <v>97.630989162882287</v>
      </c>
      <c r="AH142">
        <f>AH102*EF!$N$4*0.001*365</f>
        <v>97.630989162882287</v>
      </c>
      <c r="AI142">
        <f>AI102*EF!$N$4*0.001*365</f>
        <v>97.630989162882287</v>
      </c>
      <c r="AJ142">
        <f>AJ102*EF!$N$4*0.001*365</f>
        <v>97.630989162882287</v>
      </c>
      <c r="AK142">
        <f>AK102*EF!$N$4*0.001*365</f>
        <v>97.630989162882287</v>
      </c>
      <c r="AL142">
        <f>AL102*EF!$N$4*0.001*365</f>
        <v>97.630989162882287</v>
      </c>
      <c r="AM142">
        <f>AM102*EF!$N$4*0.001*365</f>
        <v>97.630989162882287</v>
      </c>
      <c r="AN142">
        <f>AN102*EF!$N$4*0.001*365</f>
        <v>97.630989162882287</v>
      </c>
    </row>
    <row r="143" spans="1:40" x14ac:dyDescent="0.3">
      <c r="A143" t="s">
        <v>1089</v>
      </c>
      <c r="B143">
        <f>B103*EF!$N$5*0.001*365</f>
        <v>118.18998173260263</v>
      </c>
      <c r="C143">
        <f>C103*EF!$N$5*0.001*365</f>
        <v>118.18998173260263</v>
      </c>
      <c r="D143">
        <f>D103*EF!$N$5*0.001*365</f>
        <v>118.18998173260263</v>
      </c>
      <c r="E143">
        <f>E103*EF!$N$5*0.001*365</f>
        <v>118.18998173260263</v>
      </c>
      <c r="F143">
        <f>F103*EF!$N$5*0.001*365</f>
        <v>118.18998173260263</v>
      </c>
      <c r="G143">
        <f>G103*EF!$N$5*0.001*365</f>
        <v>118.18998173260263</v>
      </c>
      <c r="H143">
        <f>H103*EF!$N$5*0.001*365</f>
        <v>118.18998173260263</v>
      </c>
      <c r="I143">
        <f>I103*EF!$N$5*0.001*365</f>
        <v>118.18998173260263</v>
      </c>
      <c r="J143">
        <f>J103*EF!$N$5*0.001*365</f>
        <v>118.18998173260263</v>
      </c>
      <c r="K143">
        <f>K103*EF!$N$5*0.001*365</f>
        <v>116.4171320066136</v>
      </c>
      <c r="L143">
        <f>L103*EF!$N$5*0.001*365</f>
        <v>114.67087502651438</v>
      </c>
      <c r="M143">
        <f>M103*EF!$N$5*0.001*365</f>
        <v>112.95081190111668</v>
      </c>
      <c r="N143">
        <f>N103*EF!$N$5*0.001*365</f>
        <v>111.25654972259993</v>
      </c>
      <c r="O143">
        <f>O103*EF!$N$5*0.001*365</f>
        <v>109.58770147676091</v>
      </c>
      <c r="P143">
        <f>P103*EF!$N$5*0.001*365</f>
        <v>107.94388595460951</v>
      </c>
      <c r="Q143">
        <f>Q103*EF!$N$5*0.001*365</f>
        <v>106.32472766529037</v>
      </c>
      <c r="R143">
        <f>R103*EF!$N$5*0.001*365</f>
        <v>104.729856750311</v>
      </c>
      <c r="S143">
        <f>S103*EF!$N$5*0.001*365</f>
        <v>103.15890889905636</v>
      </c>
      <c r="T143">
        <f>T103*EF!$N$5*0.001*365</f>
        <v>101.61152526557049</v>
      </c>
      <c r="U143">
        <f>U103*EF!$N$5*0.001*365</f>
        <v>101.61152526557049</v>
      </c>
      <c r="V143">
        <f>V103*EF!$N$5*0.001*365</f>
        <v>101.61152526557049</v>
      </c>
      <c r="W143">
        <f>W103*EF!$N$5*0.001*365</f>
        <v>101.61152526557049</v>
      </c>
      <c r="X143">
        <f>X103*EF!$N$5*0.001*365</f>
        <v>101.61152526557049</v>
      </c>
      <c r="Y143">
        <f>Y103*EF!$N$5*0.001*365</f>
        <v>101.61152526557049</v>
      </c>
      <c r="Z143">
        <f>Z103*EF!$N$5*0.001*365</f>
        <v>101.61152526557049</v>
      </c>
      <c r="AA143">
        <f>AA103*EF!$N$5*0.001*365</f>
        <v>101.61152526557049</v>
      </c>
      <c r="AB143">
        <f>AB103*EF!$N$5*0.001*365</f>
        <v>101.61152526557049</v>
      </c>
      <c r="AC143">
        <f>AC103*EF!$N$5*0.001*365</f>
        <v>101.61152526557049</v>
      </c>
      <c r="AD143">
        <f>AD103*EF!$N$5*0.001*365</f>
        <v>101.61152526557049</v>
      </c>
      <c r="AE143">
        <f>AE103*EF!$N$5*0.001*365</f>
        <v>101.61152526557049</v>
      </c>
      <c r="AF143">
        <f>AF103*EF!$N$5*0.001*365</f>
        <v>101.61152526557049</v>
      </c>
      <c r="AG143">
        <f>AG103*EF!$N$5*0.001*365</f>
        <v>101.61152526557049</v>
      </c>
      <c r="AH143">
        <f>AH103*EF!$N$5*0.001*365</f>
        <v>101.61152526557049</v>
      </c>
      <c r="AI143">
        <f>AI103*EF!$N$5*0.001*365</f>
        <v>101.61152526557049</v>
      </c>
      <c r="AJ143">
        <f>AJ103*EF!$N$5*0.001*365</f>
        <v>101.61152526557049</v>
      </c>
      <c r="AK143">
        <f>AK103*EF!$N$5*0.001*365</f>
        <v>101.61152526557049</v>
      </c>
      <c r="AL143">
        <f>AL103*EF!$N$5*0.001*365</f>
        <v>101.61152526557049</v>
      </c>
      <c r="AM143">
        <f>AM103*EF!$N$5*0.001*365</f>
        <v>101.61152526557049</v>
      </c>
      <c r="AN143">
        <f>AN103*EF!$N$5*0.001*365</f>
        <v>101.61152526557049</v>
      </c>
    </row>
    <row r="144" spans="1:40" x14ac:dyDescent="0.3">
      <c r="A144" t="s">
        <v>1090</v>
      </c>
      <c r="B144">
        <f>B104*EF!$N$6*0.001*365</f>
        <v>43.047475384596716</v>
      </c>
      <c r="C144">
        <f>C104*EF!$N$6*0.001*365</f>
        <v>43.047475384596716</v>
      </c>
      <c r="D144">
        <f>D104*EF!$N$6*0.001*365</f>
        <v>43.047475384596716</v>
      </c>
      <c r="E144">
        <f>E104*EF!$N$6*0.001*365</f>
        <v>43.047475384596716</v>
      </c>
      <c r="F144">
        <f>F104*EF!$N$6*0.001*365</f>
        <v>43.047475384596716</v>
      </c>
      <c r="G144">
        <f>G104*EF!$N$6*0.001*365</f>
        <v>43.047475384596716</v>
      </c>
      <c r="H144">
        <f>H104*EF!$N$6*0.001*365</f>
        <v>43.047475384596716</v>
      </c>
      <c r="I144">
        <f>I104*EF!$N$6*0.001*365</f>
        <v>43.047475384596716</v>
      </c>
      <c r="J144">
        <f>J104*EF!$N$6*0.001*365</f>
        <v>43.047475384596716</v>
      </c>
      <c r="K144">
        <f>K104*EF!$N$6*0.001*365</f>
        <v>42.40176325382776</v>
      </c>
      <c r="L144">
        <f>L104*EF!$N$6*0.001*365</f>
        <v>41.765736805020346</v>
      </c>
      <c r="M144">
        <f>M104*EF!$N$6*0.001*365</f>
        <v>41.139250752945046</v>
      </c>
      <c r="N144">
        <f>N104*EF!$N$6*0.001*365</f>
        <v>40.522161991650869</v>
      </c>
      <c r="O144">
        <f>O104*EF!$N$6*0.001*365</f>
        <v>39.9143295617761</v>
      </c>
      <c r="P144">
        <f>P104*EF!$N$6*0.001*365</f>
        <v>39.315614618349464</v>
      </c>
      <c r="Q144">
        <f>Q104*EF!$N$6*0.001*365</f>
        <v>38.725880399074214</v>
      </c>
      <c r="R144">
        <f>R104*EF!$N$6*0.001*365</f>
        <v>38.1449921930881</v>
      </c>
      <c r="S144">
        <f>S104*EF!$N$6*0.001*365</f>
        <v>37.57281731019178</v>
      </c>
      <c r="T144">
        <f>T104*EF!$N$6*0.001*365</f>
        <v>37.009225050538909</v>
      </c>
      <c r="U144">
        <f>U104*EF!$N$6*0.001*365</f>
        <v>37.009225050538909</v>
      </c>
      <c r="V144">
        <f>V104*EF!$N$6*0.001*365</f>
        <v>37.009225050538909</v>
      </c>
      <c r="W144">
        <f>W104*EF!$N$6*0.001*365</f>
        <v>37.009225050538909</v>
      </c>
      <c r="X144">
        <f>X104*EF!$N$6*0.001*365</f>
        <v>37.009225050538909</v>
      </c>
      <c r="Y144">
        <f>Y104*EF!$N$6*0.001*365</f>
        <v>37.009225050538909</v>
      </c>
      <c r="Z144">
        <f>Z104*EF!$N$6*0.001*365</f>
        <v>37.009225050538909</v>
      </c>
      <c r="AA144">
        <f>AA104*EF!$N$6*0.001*365</f>
        <v>37.009225050538909</v>
      </c>
      <c r="AB144">
        <f>AB104*EF!$N$6*0.001*365</f>
        <v>37.009225050538909</v>
      </c>
      <c r="AC144">
        <f>AC104*EF!$N$6*0.001*365</f>
        <v>37.009225050538909</v>
      </c>
      <c r="AD144">
        <f>AD104*EF!$N$6*0.001*365</f>
        <v>37.009225050538909</v>
      </c>
      <c r="AE144">
        <f>AE104*EF!$N$6*0.001*365</f>
        <v>37.009225050538909</v>
      </c>
      <c r="AF144">
        <f>AF104*EF!$N$6*0.001*365</f>
        <v>37.009225050538909</v>
      </c>
      <c r="AG144">
        <f>AG104*EF!$N$6*0.001*365</f>
        <v>37.009225050538909</v>
      </c>
      <c r="AH144">
        <f>AH104*EF!$N$6*0.001*365</f>
        <v>37.009225050538909</v>
      </c>
      <c r="AI144">
        <f>AI104*EF!$N$6*0.001*365</f>
        <v>37.009225050538909</v>
      </c>
      <c r="AJ144">
        <f>AJ104*EF!$N$6*0.001*365</f>
        <v>37.009225050538909</v>
      </c>
      <c r="AK144">
        <f>AK104*EF!$N$6*0.001*365</f>
        <v>37.009225050538909</v>
      </c>
      <c r="AL144">
        <f>AL104*EF!$N$6*0.001*365</f>
        <v>37.009225050538909</v>
      </c>
      <c r="AM144">
        <f>AM104*EF!$N$6*0.001*365</f>
        <v>37.009225050538909</v>
      </c>
      <c r="AN144">
        <f>AN104*EF!$N$6*0.001*365</f>
        <v>37.009225050538909</v>
      </c>
    </row>
    <row r="145" spans="1:48" x14ac:dyDescent="0.3">
      <c r="A145" t="s">
        <v>1091</v>
      </c>
      <c r="B145">
        <f>B105*EF!$N$7*0.001*365</f>
        <v>77.791201624701472</v>
      </c>
      <c r="C145">
        <f>C105*EF!$N$7*0.001*365</f>
        <v>77.791201624701472</v>
      </c>
      <c r="D145">
        <f>D105*EF!$N$7*0.001*365</f>
        <v>77.791201624701472</v>
      </c>
      <c r="E145">
        <f>E105*EF!$N$7*0.001*365</f>
        <v>77.791201624701472</v>
      </c>
      <c r="F145">
        <f>F105*EF!$N$7*0.001*365</f>
        <v>77.791201624701472</v>
      </c>
      <c r="G145">
        <f>G105*EF!$N$7*0.001*365</f>
        <v>77.791201624701472</v>
      </c>
      <c r="H145">
        <f>H105*EF!$N$7*0.001*365</f>
        <v>77.791201624701472</v>
      </c>
      <c r="I145">
        <f>I105*EF!$N$7*0.001*365</f>
        <v>77.791201624701472</v>
      </c>
      <c r="J145">
        <f>J105*EF!$N$7*0.001*365</f>
        <v>77.791201624701472</v>
      </c>
      <c r="K145">
        <f>K105*EF!$N$7*0.001*365</f>
        <v>76.624333600330942</v>
      </c>
      <c r="L145">
        <f>L105*EF!$N$7*0.001*365</f>
        <v>75.474968596325994</v>
      </c>
      <c r="M145">
        <f>M105*EF!$N$7*0.001*365</f>
        <v>74.342844067381108</v>
      </c>
      <c r="N145">
        <f>N105*EF!$N$7*0.001*365</f>
        <v>73.227701406370386</v>
      </c>
      <c r="O145">
        <f>O105*EF!$N$7*0.001*365</f>
        <v>72.129285885274825</v>
      </c>
      <c r="P145">
        <f>P105*EF!$N$7*0.001*365</f>
        <v>71.047346596995695</v>
      </c>
      <c r="Q145">
        <f>Q105*EF!$N$7*0.001*365</f>
        <v>69.981636398040749</v>
      </c>
      <c r="R145">
        <f>R105*EF!$N$7*0.001*365</f>
        <v>68.931911852070144</v>
      </c>
      <c r="S145">
        <f>S105*EF!$N$7*0.001*365</f>
        <v>67.897933174289093</v>
      </c>
      <c r="T145">
        <f>T105*EF!$N$7*0.001*365</f>
        <v>66.879464176674745</v>
      </c>
      <c r="U145">
        <f>U105*EF!$N$7*0.001*365</f>
        <v>66.879464176674745</v>
      </c>
      <c r="V145">
        <f>V105*EF!$N$7*0.001*365</f>
        <v>66.879464176674745</v>
      </c>
      <c r="W145">
        <f>W105*EF!$N$7*0.001*365</f>
        <v>66.879464176674745</v>
      </c>
      <c r="X145">
        <f>X105*EF!$N$7*0.001*365</f>
        <v>66.879464176674745</v>
      </c>
      <c r="Y145">
        <f>Y105*EF!$N$7*0.001*365</f>
        <v>66.879464176674745</v>
      </c>
      <c r="Z145">
        <f>Z105*EF!$N$7*0.001*365</f>
        <v>66.879464176674745</v>
      </c>
      <c r="AA145">
        <f>AA105*EF!$N$7*0.001*365</f>
        <v>66.879464176674745</v>
      </c>
      <c r="AB145">
        <f>AB105*EF!$N$7*0.001*365</f>
        <v>66.879464176674745</v>
      </c>
      <c r="AC145">
        <f>AC105*EF!$N$7*0.001*365</f>
        <v>66.879464176674745</v>
      </c>
      <c r="AD145">
        <f>AD105*EF!$N$7*0.001*365</f>
        <v>66.879464176674745</v>
      </c>
      <c r="AE145">
        <f>AE105*EF!$N$7*0.001*365</f>
        <v>66.879464176674745</v>
      </c>
      <c r="AF145">
        <f>AF105*EF!$N$7*0.001*365</f>
        <v>66.879464176674745</v>
      </c>
      <c r="AG145">
        <f>AG105*EF!$N$7*0.001*365</f>
        <v>66.879464176674745</v>
      </c>
      <c r="AH145">
        <f>AH105*EF!$N$7*0.001*365</f>
        <v>66.879464176674745</v>
      </c>
      <c r="AI145">
        <f>AI105*EF!$N$7*0.001*365</f>
        <v>66.879464176674745</v>
      </c>
      <c r="AJ145">
        <f>AJ105*EF!$N$7*0.001*365</f>
        <v>66.879464176674745</v>
      </c>
      <c r="AK145">
        <f>AK105*EF!$N$7*0.001*365</f>
        <v>66.879464176674745</v>
      </c>
      <c r="AL145">
        <f>AL105*EF!$N$7*0.001*365</f>
        <v>66.879464176674745</v>
      </c>
      <c r="AM145">
        <f>AM105*EF!$N$7*0.001*365</f>
        <v>66.879464176674745</v>
      </c>
      <c r="AN145">
        <f>AN105*EF!$N$7*0.001*365</f>
        <v>66.879464176674745</v>
      </c>
    </row>
    <row r="146" spans="1:48" x14ac:dyDescent="0.3">
      <c r="A146" t="s">
        <v>1092</v>
      </c>
      <c r="B146">
        <f>B106*EF!$N$8*0.001*365</f>
        <v>61.771996934628113</v>
      </c>
      <c r="C146">
        <f>C106*EF!$N$8*0.001*365</f>
        <v>61.771996934628113</v>
      </c>
      <c r="D146">
        <f>D106*EF!$N$8*0.001*365</f>
        <v>61.771996934628113</v>
      </c>
      <c r="E146">
        <f>E106*EF!$N$8*0.001*365</f>
        <v>61.771996934628113</v>
      </c>
      <c r="F146">
        <f>F106*EF!$N$8*0.001*365</f>
        <v>61.771996934628113</v>
      </c>
      <c r="G146">
        <f>G106*EF!$N$8*0.001*365</f>
        <v>61.771996934628113</v>
      </c>
      <c r="H146">
        <f>H106*EF!$N$8*0.001*365</f>
        <v>61.771996934628113</v>
      </c>
      <c r="I146">
        <f>I106*EF!$N$8*0.001*365</f>
        <v>61.771996934628113</v>
      </c>
      <c r="J146">
        <f>J106*EF!$N$8*0.001*365</f>
        <v>61.771996934628113</v>
      </c>
      <c r="K146">
        <f>K106*EF!$N$8*0.001*365</f>
        <v>61.308706957618398</v>
      </c>
      <c r="L146">
        <f>L106*EF!$N$8*0.001*365</f>
        <v>60.848891655436262</v>
      </c>
      <c r="M146">
        <f>M106*EF!$N$8*0.001*365</f>
        <v>60.392524968020489</v>
      </c>
      <c r="N146">
        <f>N106*EF!$N$8*0.001*365</f>
        <v>59.939581030760337</v>
      </c>
      <c r="O146">
        <f>O106*EF!$N$8*0.001*365</f>
        <v>59.490034173029628</v>
      </c>
      <c r="P146">
        <f>P106*EF!$N$8*0.001*365</f>
        <v>59.043858916731914</v>
      </c>
      <c r="Q146">
        <f>Q106*EF!$N$8*0.001*365</f>
        <v>58.601029974856424</v>
      </c>
      <c r="R146">
        <f>R106*EF!$N$8*0.001*365</f>
        <v>58.161522250045003</v>
      </c>
      <c r="S146">
        <f>S106*EF!$N$8*0.001*365</f>
        <v>57.725310833169658</v>
      </c>
      <c r="T146">
        <f>T106*EF!$N$8*0.001*365</f>
        <v>57.292371001920877</v>
      </c>
      <c r="U146">
        <f>U106*EF!$N$8*0.001*365</f>
        <v>56.862678219406469</v>
      </c>
      <c r="V146">
        <f>V106*EF!$N$8*0.001*365</f>
        <v>56.436208132760925</v>
      </c>
      <c r="W146">
        <f>W106*EF!$N$8*0.001*365</f>
        <v>56.012936571765223</v>
      </c>
      <c r="X146">
        <f>X106*EF!$N$8*0.001*365</f>
        <v>55.592839547476984</v>
      </c>
      <c r="Y146">
        <f>Y106*EF!$N$8*0.001*365</f>
        <v>55.175893250870914</v>
      </c>
      <c r="Z146">
        <f>Z106*EF!$N$8*0.001*365</f>
        <v>54.762074051489378</v>
      </c>
      <c r="AA146">
        <f>AA106*EF!$N$8*0.001*365</f>
        <v>54.351358496103209</v>
      </c>
      <c r="AB146">
        <f>AB106*EF!$N$8*0.001*365</f>
        <v>53.943723307382434</v>
      </c>
      <c r="AC146">
        <f>AC106*EF!$N$8*0.001*365</f>
        <v>53.539145382577068</v>
      </c>
      <c r="AD146">
        <f>AD106*EF!$N$8*0.001*365</f>
        <v>53.137601792207732</v>
      </c>
      <c r="AE146">
        <f>AE106*EF!$N$8*0.001*365</f>
        <v>53.137601792207732</v>
      </c>
      <c r="AF146">
        <f>AF106*EF!$N$8*0.001*365</f>
        <v>53.137601792207732</v>
      </c>
      <c r="AG146">
        <f>AG106*EF!$N$8*0.001*365</f>
        <v>53.137601792207732</v>
      </c>
      <c r="AH146">
        <f>AH106*EF!$N$8*0.001*365</f>
        <v>53.137601792207732</v>
      </c>
      <c r="AI146">
        <f>AI106*EF!$N$8*0.001*365</f>
        <v>53.137601792207732</v>
      </c>
      <c r="AJ146">
        <f>AJ106*EF!$N$8*0.001*365</f>
        <v>53.137601792207732</v>
      </c>
      <c r="AK146">
        <f>AK106*EF!$N$8*0.001*365</f>
        <v>53.137601792207732</v>
      </c>
      <c r="AL146">
        <f>AL106*EF!$N$8*0.001*365</f>
        <v>53.137601792207732</v>
      </c>
      <c r="AM146">
        <f>AM106*EF!$N$8*0.001*365</f>
        <v>53.137601792207732</v>
      </c>
      <c r="AN146">
        <f>AN106*EF!$N$8*0.001*365</f>
        <v>53.137601792207732</v>
      </c>
    </row>
    <row r="147" spans="1:48" x14ac:dyDescent="0.3">
      <c r="A147" t="s">
        <v>1093</v>
      </c>
      <c r="B147">
        <f>B107*EF!$N$9*0.001*365</f>
        <v>58.900292120047261</v>
      </c>
      <c r="C147">
        <f>C107*EF!$N$9*0.001*365</f>
        <v>58.900292120047261</v>
      </c>
      <c r="D147">
        <f>D107*EF!$N$9*0.001*365</f>
        <v>58.900292120047261</v>
      </c>
      <c r="E147">
        <f>E107*EF!$N$9*0.001*365</f>
        <v>58.900292120047261</v>
      </c>
      <c r="F147">
        <f>F107*EF!$N$9*0.001*365</f>
        <v>58.900292120047261</v>
      </c>
      <c r="G147">
        <f>G107*EF!$N$9*0.001*365</f>
        <v>58.900292120047261</v>
      </c>
      <c r="H147">
        <f>H107*EF!$N$9*0.001*365</f>
        <v>58.900292120047261</v>
      </c>
      <c r="I147">
        <f>I107*EF!$N$9*0.001*365</f>
        <v>58.900292120047261</v>
      </c>
      <c r="J147">
        <f>J107*EF!$N$9*0.001*365</f>
        <v>58.900292120047261</v>
      </c>
      <c r="K147">
        <f>K107*EF!$N$9*0.001*365</f>
        <v>58.016787738246549</v>
      </c>
      <c r="L147">
        <f>L107*EF!$N$9*0.001*365</f>
        <v>57.146535922172852</v>
      </c>
      <c r="M147">
        <f>M107*EF!$N$9*0.001*365</f>
        <v>56.289337883340266</v>
      </c>
      <c r="N147">
        <f>N107*EF!$N$9*0.001*365</f>
        <v>55.444997815090154</v>
      </c>
      <c r="O147">
        <f>O107*EF!$N$9*0.001*365</f>
        <v>54.613322847863806</v>
      </c>
      <c r="P147">
        <f>P107*EF!$N$9*0.001*365</f>
        <v>53.794123005145849</v>
      </c>
      <c r="Q147">
        <f>Q107*EF!$N$9*0.001*365</f>
        <v>52.987211160068668</v>
      </c>
      <c r="R147">
        <f>R107*EF!$N$9*0.001*365</f>
        <v>52.192402992667638</v>
      </c>
      <c r="S147">
        <f>S107*EF!$N$9*0.001*365</f>
        <v>51.409516947777625</v>
      </c>
      <c r="T147">
        <f>T107*EF!$N$9*0.001*365</f>
        <v>50.638374193560956</v>
      </c>
      <c r="U147">
        <f>U107*EF!$N$9*0.001*365</f>
        <v>50.638374193560956</v>
      </c>
      <c r="V147">
        <f>V107*EF!$N$9*0.001*365</f>
        <v>50.638374193560956</v>
      </c>
      <c r="W147">
        <f>W107*EF!$N$9*0.001*365</f>
        <v>50.638374193560956</v>
      </c>
      <c r="X147">
        <f>X107*EF!$N$9*0.001*365</f>
        <v>50.638374193560956</v>
      </c>
      <c r="Y147">
        <f>Y107*EF!$N$9*0.001*365</f>
        <v>50.638374193560956</v>
      </c>
      <c r="Z147">
        <f>Z107*EF!$N$9*0.001*365</f>
        <v>50.638374193560956</v>
      </c>
      <c r="AA147">
        <f>AA107*EF!$N$9*0.001*365</f>
        <v>50.638374193560956</v>
      </c>
      <c r="AB147">
        <f>AB107*EF!$N$9*0.001*365</f>
        <v>50.638374193560956</v>
      </c>
      <c r="AC147">
        <f>AC107*EF!$N$9*0.001*365</f>
        <v>50.638374193560956</v>
      </c>
      <c r="AD147">
        <f>AD107*EF!$N$9*0.001*365</f>
        <v>50.638374193560956</v>
      </c>
      <c r="AE147">
        <f>AE107*EF!$N$9*0.001*365</f>
        <v>50.638374193560956</v>
      </c>
      <c r="AF147">
        <f>AF107*EF!$N$9*0.001*365</f>
        <v>50.638374193560956</v>
      </c>
      <c r="AG147">
        <f>AG107*EF!$N$9*0.001*365</f>
        <v>50.638374193560956</v>
      </c>
      <c r="AH147">
        <f>AH107*EF!$N$9*0.001*365</f>
        <v>50.638374193560956</v>
      </c>
      <c r="AI147">
        <f>AI107*EF!$N$9*0.001*365</f>
        <v>50.638374193560956</v>
      </c>
      <c r="AJ147">
        <f>AJ107*EF!$N$9*0.001*365</f>
        <v>50.638374193560956</v>
      </c>
      <c r="AK147">
        <f>AK107*EF!$N$9*0.001*365</f>
        <v>50.638374193560956</v>
      </c>
      <c r="AL147">
        <f>AL107*EF!$N$9*0.001*365</f>
        <v>50.638374193560956</v>
      </c>
      <c r="AM147">
        <f>AM107*EF!$N$9*0.001*365</f>
        <v>50.638374193560956</v>
      </c>
      <c r="AN147">
        <f>AN107*EF!$N$9*0.001*365</f>
        <v>50.638374193560956</v>
      </c>
    </row>
    <row r="148" spans="1:48" x14ac:dyDescent="0.3">
      <c r="A148" t="s">
        <v>1094</v>
      </c>
      <c r="B148">
        <f>B108*EF!$N$10*0.001*365</f>
        <v>6.9716028867564583</v>
      </c>
      <c r="C148">
        <f>C108*EF!$N$10*0.001*365</f>
        <v>6.9716028867564583</v>
      </c>
      <c r="D148">
        <f>D108*EF!$N$10*0.001*365</f>
        <v>6.9716028867564583</v>
      </c>
      <c r="E148">
        <f>E108*EF!$N$10*0.001*365</f>
        <v>6.9716028867564583</v>
      </c>
      <c r="F148">
        <f>F108*EF!$N$10*0.001*365</f>
        <v>6.9716028867564583</v>
      </c>
      <c r="G148">
        <f>G108*EF!$N$10*0.001*365</f>
        <v>6.9716028867564583</v>
      </c>
      <c r="H148">
        <f>H108*EF!$N$10*0.001*365</f>
        <v>6.9716028867564583</v>
      </c>
      <c r="I148">
        <f>I108*EF!$N$10*0.001*365</f>
        <v>6.9716028867564583</v>
      </c>
      <c r="J148">
        <f>J108*EF!$N$10*0.001*365</f>
        <v>6.9716028867564583</v>
      </c>
      <c r="K148">
        <f>K108*EF!$N$10*0.001*365</f>
        <v>6.8670288434551106</v>
      </c>
      <c r="L148">
        <f>L108*EF!$N$10*0.001*365</f>
        <v>6.7640234108032846</v>
      </c>
      <c r="M148">
        <f>M108*EF!$N$10*0.001*365</f>
        <v>6.6625630596412364</v>
      </c>
      <c r="N148">
        <f>N108*EF!$N$10*0.001*365</f>
        <v>6.5626246137466184</v>
      </c>
      <c r="O148">
        <f>O108*EF!$N$10*0.001*365</f>
        <v>6.4641852445404187</v>
      </c>
      <c r="P148">
        <f>P108*EF!$N$10*0.001*365</f>
        <v>6.3672224658723113</v>
      </c>
      <c r="Q148">
        <f>Q108*EF!$N$10*0.001*365</f>
        <v>6.271714128884228</v>
      </c>
      <c r="R148">
        <f>R108*EF!$N$10*0.001*365</f>
        <v>6.1776384169509635</v>
      </c>
      <c r="S148">
        <f>S108*EF!$N$10*0.001*365</f>
        <v>6.0849738406967004</v>
      </c>
      <c r="T148">
        <f>T108*EF!$N$10*0.001*365</f>
        <v>5.9936992330862502</v>
      </c>
      <c r="U148">
        <f>U108*EF!$N$10*0.001*365</f>
        <v>5.9936992330862502</v>
      </c>
      <c r="V148">
        <f>V108*EF!$N$10*0.001*365</f>
        <v>5.9936992330862502</v>
      </c>
      <c r="W148">
        <f>W108*EF!$N$10*0.001*365</f>
        <v>5.9936992330862502</v>
      </c>
      <c r="X148">
        <f>X108*EF!$N$10*0.001*365</f>
        <v>5.9936992330862502</v>
      </c>
      <c r="Y148">
        <f>Y108*EF!$N$10*0.001*365</f>
        <v>5.9936992330862502</v>
      </c>
      <c r="Z148">
        <f>Z108*EF!$N$10*0.001*365</f>
        <v>5.9936992330862502</v>
      </c>
      <c r="AA148">
        <f>AA108*EF!$N$10*0.001*365</f>
        <v>5.9936992330862502</v>
      </c>
      <c r="AB148">
        <f>AB108*EF!$N$10*0.001*365</f>
        <v>5.9936992330862502</v>
      </c>
      <c r="AC148">
        <f>AC108*EF!$N$10*0.001*365</f>
        <v>5.9936992330862502</v>
      </c>
      <c r="AD148">
        <f>AD108*EF!$N$10*0.001*365</f>
        <v>5.9936992330862502</v>
      </c>
      <c r="AE148">
        <f>AE108*EF!$N$10*0.001*365</f>
        <v>5.9936992330862502</v>
      </c>
      <c r="AF148">
        <f>AF108*EF!$N$10*0.001*365</f>
        <v>5.9936992330862502</v>
      </c>
      <c r="AG148">
        <f>AG108*EF!$N$10*0.001*365</f>
        <v>5.9936992330862502</v>
      </c>
      <c r="AH148">
        <f>AH108*EF!$N$10*0.001*365</f>
        <v>5.9936992330862502</v>
      </c>
      <c r="AI148">
        <f>AI108*EF!$N$10*0.001*365</f>
        <v>5.9936992330862502</v>
      </c>
      <c r="AJ148">
        <f>AJ108*EF!$N$10*0.001*365</f>
        <v>5.9936992330862502</v>
      </c>
      <c r="AK148">
        <f>AK108*EF!$N$10*0.001*365</f>
        <v>5.9936992330862502</v>
      </c>
      <c r="AL148">
        <f>AL108*EF!$N$10*0.001*365</f>
        <v>5.9936992330862502</v>
      </c>
      <c r="AM148">
        <f>AM108*EF!$N$10*0.001*365</f>
        <v>5.9936992330862502</v>
      </c>
      <c r="AN148">
        <f>AN108*EF!$N$10*0.001*365</f>
        <v>5.9936992330862502</v>
      </c>
    </row>
    <row r="149" spans="1:48" x14ac:dyDescent="0.3">
      <c r="A149" t="s">
        <v>1095</v>
      </c>
      <c r="B149">
        <f>B109*EF!$N$11*0.001*365</f>
        <v>5.0563008645373637</v>
      </c>
      <c r="C149">
        <f>C109*EF!$N$11*0.001*365</f>
        <v>5.0563008645373637</v>
      </c>
      <c r="D149">
        <f>D109*EF!$N$11*0.001*365</f>
        <v>5.0563008645373637</v>
      </c>
      <c r="E149">
        <f>E109*EF!$N$11*0.001*365</f>
        <v>5.0563008645373637</v>
      </c>
      <c r="F149">
        <f>F109*EF!$N$11*0.001*365</f>
        <v>5.0563008645373637</v>
      </c>
      <c r="G149">
        <f>G109*EF!$N$11*0.001*365</f>
        <v>5.0563008645373637</v>
      </c>
      <c r="H149">
        <f>H109*EF!$N$11*0.001*365</f>
        <v>5.0563008645373637</v>
      </c>
      <c r="I149">
        <f>I109*EF!$N$11*0.001*365</f>
        <v>5.0563008645373637</v>
      </c>
      <c r="J149">
        <f>J109*EF!$N$11*0.001*365</f>
        <v>5.0563008645373637</v>
      </c>
      <c r="K149">
        <f>K109*EF!$N$11*0.001*365</f>
        <v>4.9804563515693028</v>
      </c>
      <c r="L149">
        <f>L109*EF!$N$11*0.001*365</f>
        <v>4.9057495062957628</v>
      </c>
      <c r="M149">
        <f>M109*EF!$N$11*0.001*365</f>
        <v>4.832163263701327</v>
      </c>
      <c r="N149">
        <f>N109*EF!$N$11*0.001*365</f>
        <v>4.7596808147458072</v>
      </c>
      <c r="O149">
        <f>O109*EF!$N$11*0.001*365</f>
        <v>4.68828560252462</v>
      </c>
      <c r="P149">
        <f>P109*EF!$N$11*0.001*365</f>
        <v>4.617961318486751</v>
      </c>
      <c r="Q149">
        <f>Q109*EF!$N$11*0.001*365</f>
        <v>4.5486918987094498</v>
      </c>
      <c r="R149">
        <f>R109*EF!$N$11*0.001*365</f>
        <v>4.4804615202288085</v>
      </c>
      <c r="S149">
        <f>S109*EF!$N$11*0.001*365</f>
        <v>4.4132545974253752</v>
      </c>
      <c r="T149">
        <f>T109*EF!$N$11*0.001*365</f>
        <v>4.3470557784639947</v>
      </c>
      <c r="U149">
        <f>U109*EF!$N$11*0.001*365</f>
        <v>4.3470557784639947</v>
      </c>
      <c r="V149">
        <f>V109*EF!$N$11*0.001*365</f>
        <v>4.3470557784639947</v>
      </c>
      <c r="W149">
        <f>W109*EF!$N$11*0.001*365</f>
        <v>4.3470557784639947</v>
      </c>
      <c r="X149">
        <f>X109*EF!$N$11*0.001*365</f>
        <v>4.3470557784639947</v>
      </c>
      <c r="Y149">
        <f>Y109*EF!$N$11*0.001*365</f>
        <v>4.3470557784639947</v>
      </c>
      <c r="Z149">
        <f>Z109*EF!$N$11*0.001*365</f>
        <v>4.3470557784639947</v>
      </c>
      <c r="AA149">
        <f>AA109*EF!$N$11*0.001*365</f>
        <v>4.3470557784639947</v>
      </c>
      <c r="AB149">
        <f>AB109*EF!$N$11*0.001*365</f>
        <v>4.3470557784639947</v>
      </c>
      <c r="AC149">
        <f>AC109*EF!$N$11*0.001*365</f>
        <v>4.3470557784639947</v>
      </c>
      <c r="AD149">
        <f>AD109*EF!$N$11*0.001*365</f>
        <v>4.3470557784639947</v>
      </c>
      <c r="AE149">
        <f>AE109*EF!$N$11*0.001*365</f>
        <v>4.3470557784639947</v>
      </c>
      <c r="AF149">
        <f>AF109*EF!$N$11*0.001*365</f>
        <v>4.3470557784639947</v>
      </c>
      <c r="AG149">
        <f>AG109*EF!$N$11*0.001*365</f>
        <v>4.3470557784639947</v>
      </c>
      <c r="AH149">
        <f>AH109*EF!$N$11*0.001*365</f>
        <v>4.3470557784639947</v>
      </c>
      <c r="AI149">
        <f>AI109*EF!$N$11*0.001*365</f>
        <v>4.3470557784639947</v>
      </c>
      <c r="AJ149">
        <f>AJ109*EF!$N$11*0.001*365</f>
        <v>4.3470557784639947</v>
      </c>
      <c r="AK149">
        <f>AK109*EF!$N$11*0.001*365</f>
        <v>4.3470557784639947</v>
      </c>
      <c r="AL149">
        <f>AL109*EF!$N$11*0.001*365</f>
        <v>4.3470557784639947</v>
      </c>
      <c r="AM149">
        <f>AM109*EF!$N$11*0.001*365</f>
        <v>4.3470557784639947</v>
      </c>
      <c r="AN149">
        <f>AN109*EF!$N$11*0.001*365</f>
        <v>4.3470557784639947</v>
      </c>
    </row>
    <row r="150" spans="1:48" x14ac:dyDescent="0.3">
      <c r="A150" t="s">
        <v>1096</v>
      </c>
      <c r="B150">
        <f>B110*EF!$N$12*0.001*365</f>
        <v>7.3127843653063831</v>
      </c>
      <c r="C150">
        <f>C110*EF!$N$12*0.001*365</f>
        <v>7.3127843653063831</v>
      </c>
      <c r="D150">
        <f>D110*EF!$N$12*0.001*365</f>
        <v>7.3127843653063831</v>
      </c>
      <c r="E150">
        <f>E110*EF!$N$12*0.001*365</f>
        <v>7.3127843653063831</v>
      </c>
      <c r="F150">
        <f>F110*EF!$N$12*0.001*365</f>
        <v>7.3127843653063831</v>
      </c>
      <c r="G150">
        <f>G110*EF!$N$12*0.001*365</f>
        <v>7.3127843653063831</v>
      </c>
      <c r="H150">
        <f>H110*EF!$N$12*0.001*365</f>
        <v>7.3127843653063831</v>
      </c>
      <c r="I150">
        <f>I110*EF!$N$12*0.001*365</f>
        <v>7.3127843653063831</v>
      </c>
      <c r="J150">
        <f>J110*EF!$N$12*0.001*365</f>
        <v>7.3127843653063831</v>
      </c>
      <c r="K150">
        <f>K110*EF!$N$12*0.001*365</f>
        <v>7.2030925998267863</v>
      </c>
      <c r="L150">
        <f>L110*EF!$N$12*0.001*365</f>
        <v>7.095046210829385</v>
      </c>
      <c r="M150">
        <f>M110*EF!$N$12*0.001*365</f>
        <v>6.9886205176669423</v>
      </c>
      <c r="N150">
        <f>N110*EF!$N$12*0.001*365</f>
        <v>6.8837912099019389</v>
      </c>
      <c r="O150">
        <f>O110*EF!$N$12*0.001*365</f>
        <v>6.7805343417534107</v>
      </c>
      <c r="P150">
        <f>P110*EF!$N$12*0.001*365</f>
        <v>6.6788263266271075</v>
      </c>
      <c r="Q150">
        <f>Q110*EF!$N$12*0.001*365</f>
        <v>6.5786439317277017</v>
      </c>
      <c r="R150">
        <f>R110*EF!$N$12*0.001*365</f>
        <v>6.4799642727517863</v>
      </c>
      <c r="S150">
        <f>S110*EF!$N$12*0.001*365</f>
        <v>6.3827648086605082</v>
      </c>
      <c r="T150">
        <f>T110*EF!$N$12*0.001*365</f>
        <v>6.2870233365306021</v>
      </c>
      <c r="U150">
        <f>U110*EF!$N$12*0.001*365</f>
        <v>6.2870233365306021</v>
      </c>
      <c r="V150">
        <f>V110*EF!$N$12*0.001*365</f>
        <v>6.2870233365306021</v>
      </c>
      <c r="W150">
        <f>W110*EF!$N$12*0.001*365</f>
        <v>6.2870233365306021</v>
      </c>
      <c r="X150">
        <f>X110*EF!$N$12*0.001*365</f>
        <v>6.2870233365306021</v>
      </c>
      <c r="Y150">
        <f>Y110*EF!$N$12*0.001*365</f>
        <v>6.2870233365306021</v>
      </c>
      <c r="Z150">
        <f>Z110*EF!$N$12*0.001*365</f>
        <v>6.2870233365306021</v>
      </c>
      <c r="AA150">
        <f>AA110*EF!$N$12*0.001*365</f>
        <v>6.2870233365306021</v>
      </c>
      <c r="AB150">
        <f>AB110*EF!$N$12*0.001*365</f>
        <v>6.2870233365306021</v>
      </c>
      <c r="AC150">
        <f>AC110*EF!$N$12*0.001*365</f>
        <v>6.2870233365306021</v>
      </c>
      <c r="AD150">
        <f>AD110*EF!$N$12*0.001*365</f>
        <v>6.2870233365306021</v>
      </c>
      <c r="AE150">
        <f>AE110*EF!$N$12*0.001*365</f>
        <v>6.2870233365306021</v>
      </c>
      <c r="AF150">
        <f>AF110*EF!$N$12*0.001*365</f>
        <v>6.2870233365306021</v>
      </c>
      <c r="AG150">
        <f>AG110*EF!$N$12*0.001*365</f>
        <v>6.2870233365306021</v>
      </c>
      <c r="AH150">
        <f>AH110*EF!$N$12*0.001*365</f>
        <v>6.2870233365306021</v>
      </c>
      <c r="AI150">
        <f>AI110*EF!$N$12*0.001*365</f>
        <v>6.2870233365306021</v>
      </c>
      <c r="AJ150">
        <f>AJ110*EF!$N$12*0.001*365</f>
        <v>6.2870233365306021</v>
      </c>
      <c r="AK150">
        <f>AK110*EF!$N$12*0.001*365</f>
        <v>6.2870233365306021</v>
      </c>
      <c r="AL150">
        <f>AL110*EF!$N$12*0.001*365</f>
        <v>6.2870233365306021</v>
      </c>
      <c r="AM150">
        <f>AM110*EF!$N$12*0.001*365</f>
        <v>6.2870233365306021</v>
      </c>
      <c r="AN150">
        <f>AN110*EF!$N$12*0.001*365</f>
        <v>6.2870233365306021</v>
      </c>
    </row>
    <row r="151" spans="1:48" x14ac:dyDescent="0.3">
      <c r="A151" t="s">
        <v>1097</v>
      </c>
      <c r="B151">
        <f>B111*EF!$N$13*0.001*365</f>
        <v>5.5750576498816118</v>
      </c>
      <c r="C151">
        <f>C111*EF!$N$13*0.001*365</f>
        <v>5.5750576498816118</v>
      </c>
      <c r="D151">
        <f>D111*EF!$N$13*0.001*365</f>
        <v>5.5750576498816118</v>
      </c>
      <c r="E151">
        <f>E111*EF!$N$13*0.001*365</f>
        <v>5.5750576498816118</v>
      </c>
      <c r="F151">
        <f>F111*EF!$N$13*0.001*365</f>
        <v>5.5750576498816118</v>
      </c>
      <c r="G151">
        <f>G111*EF!$N$13*0.001*365</f>
        <v>5.5750576498816118</v>
      </c>
      <c r="H151">
        <f>H111*EF!$N$13*0.001*365</f>
        <v>5.5750576498816118</v>
      </c>
      <c r="I151">
        <f>I111*EF!$N$13*0.001*365</f>
        <v>5.5750576498816118</v>
      </c>
      <c r="J151">
        <f>J111*EF!$N$13*0.001*365</f>
        <v>5.5750576498816118</v>
      </c>
      <c r="K151">
        <f>K111*EF!$N$13*0.001*365</f>
        <v>5.4914317851333871</v>
      </c>
      <c r="L151">
        <f>L111*EF!$N$13*0.001*365</f>
        <v>5.409060308356386</v>
      </c>
      <c r="M151">
        <f>M111*EF!$N$13*0.001*365</f>
        <v>5.32792440373104</v>
      </c>
      <c r="N151">
        <f>N111*EF!$N$13*0.001*365</f>
        <v>5.2480055376750734</v>
      </c>
      <c r="O151">
        <f>O111*EF!$N$13*0.001*365</f>
        <v>5.1692854546099474</v>
      </c>
      <c r="P151">
        <f>P111*EF!$N$13*0.001*365</f>
        <v>5.0917461727907982</v>
      </c>
      <c r="Q151">
        <f>Q111*EF!$N$13*0.001*365</f>
        <v>5.0153699801989351</v>
      </c>
      <c r="R151">
        <f>R111*EF!$N$13*0.001*365</f>
        <v>4.9401394304959512</v>
      </c>
      <c r="S151">
        <f>S111*EF!$N$13*0.001*365</f>
        <v>4.8660373390385114</v>
      </c>
      <c r="T151">
        <f>T111*EF!$N$13*0.001*365</f>
        <v>4.7930467789529345</v>
      </c>
      <c r="U151">
        <f>U111*EF!$N$13*0.001*365</f>
        <v>4.7930467789529345</v>
      </c>
      <c r="V151">
        <f>V111*EF!$N$13*0.001*365</f>
        <v>4.7930467789529345</v>
      </c>
      <c r="W151">
        <f>W111*EF!$N$13*0.001*365</f>
        <v>4.7930467789529345</v>
      </c>
      <c r="X151">
        <f>X111*EF!$N$13*0.001*365</f>
        <v>4.7930467789529345</v>
      </c>
      <c r="Y151">
        <f>Y111*EF!$N$13*0.001*365</f>
        <v>4.7930467789529345</v>
      </c>
      <c r="Z151">
        <f>Z111*EF!$N$13*0.001*365</f>
        <v>4.7930467789529345</v>
      </c>
      <c r="AA151">
        <f>AA111*EF!$N$13*0.001*365</f>
        <v>4.7930467789529345</v>
      </c>
      <c r="AB151">
        <f>AB111*EF!$N$13*0.001*365</f>
        <v>4.7930467789529345</v>
      </c>
      <c r="AC151">
        <f>AC111*EF!$N$13*0.001*365</f>
        <v>4.7930467789529345</v>
      </c>
      <c r="AD151">
        <f>AD111*EF!$N$13*0.001*365</f>
        <v>4.7930467789529345</v>
      </c>
      <c r="AE151">
        <f>AE111*EF!$N$13*0.001*365</f>
        <v>4.7930467789529345</v>
      </c>
      <c r="AF151">
        <f>AF111*EF!$N$13*0.001*365</f>
        <v>4.7930467789529345</v>
      </c>
      <c r="AG151">
        <f>AG111*EF!$N$13*0.001*365</f>
        <v>4.7930467789529345</v>
      </c>
      <c r="AH151">
        <f>AH111*EF!$N$13*0.001*365</f>
        <v>4.7930467789529345</v>
      </c>
      <c r="AI151">
        <f>AI111*EF!$N$13*0.001*365</f>
        <v>4.7930467789529345</v>
      </c>
      <c r="AJ151">
        <f>AJ111*EF!$N$13*0.001*365</f>
        <v>4.7930467789529345</v>
      </c>
      <c r="AK151">
        <f>AK111*EF!$N$13*0.001*365</f>
        <v>4.7930467789529345</v>
      </c>
      <c r="AL151">
        <f>AL111*EF!$N$13*0.001*365</f>
        <v>4.7930467789529345</v>
      </c>
      <c r="AM151">
        <f>AM111*EF!$N$13*0.001*365</f>
        <v>4.7930467789529345</v>
      </c>
      <c r="AN151">
        <f>AN111*EF!$N$13*0.001*365</f>
        <v>4.7930467789529345</v>
      </c>
    </row>
    <row r="153" spans="1:48" s="111" customFormat="1" ht="15.6" x14ac:dyDescent="0.3">
      <c r="A153" s="107" t="s">
        <v>1116</v>
      </c>
      <c r="B153" s="107"/>
      <c r="C153" s="107"/>
      <c r="D153" s="107"/>
      <c r="E153" s="107"/>
      <c r="F153" s="107"/>
      <c r="G153" s="107"/>
      <c r="H153" s="107"/>
      <c r="I153" s="107"/>
      <c r="J153" s="109"/>
      <c r="K153" s="109"/>
      <c r="L153" s="109"/>
      <c r="M153" s="109"/>
      <c r="N153" s="109"/>
      <c r="O153" s="109"/>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row>
    <row r="154" spans="1:48" x14ac:dyDescent="0.3">
      <c r="A154" t="s">
        <v>1117</v>
      </c>
      <c r="B154">
        <f>'Net zero activities &amp; levers'!$C68/100</f>
        <v>0</v>
      </c>
      <c r="C154">
        <f>B154</f>
        <v>0</v>
      </c>
      <c r="D154">
        <f t="shared" ref="D154:J154" si="260">C154</f>
        <v>0</v>
      </c>
      <c r="E154">
        <f t="shared" si="260"/>
        <v>0</v>
      </c>
      <c r="F154">
        <f t="shared" si="260"/>
        <v>0</v>
      </c>
      <c r="G154">
        <f t="shared" si="260"/>
        <v>0</v>
      </c>
      <c r="H154">
        <f t="shared" si="260"/>
        <v>0</v>
      </c>
      <c r="I154">
        <f t="shared" si="260"/>
        <v>0</v>
      </c>
      <c r="J154">
        <f t="shared" si="260"/>
        <v>0</v>
      </c>
      <c r="K154">
        <f t="shared" ref="K154:K156" si="261">J154+($T154-$J154)/10</f>
        <v>0.05</v>
      </c>
      <c r="L154">
        <f t="shared" ref="L154:L156" si="262">K154+($T154-$J154)/10</f>
        <v>0.1</v>
      </c>
      <c r="M154">
        <f t="shared" ref="M154:M156" si="263">L154+($T154-$J154)/10</f>
        <v>0.15000000000000002</v>
      </c>
      <c r="N154">
        <f t="shared" ref="N154:N156" si="264">M154+($T154-$J154)/10</f>
        <v>0.2</v>
      </c>
      <c r="O154">
        <f t="shared" ref="O154:O156" si="265">N154+($T154-$J154)/10</f>
        <v>0.25</v>
      </c>
      <c r="P154">
        <f t="shared" ref="P154:P156" si="266">O154+($T154-$J154)/10</f>
        <v>0.3</v>
      </c>
      <c r="Q154">
        <f t="shared" ref="Q154:Q156" si="267">P154+($T154-$J154)/10</f>
        <v>0.35</v>
      </c>
      <c r="R154">
        <f t="shared" ref="R154:R156" si="268">Q154+($T154-$J154)/10</f>
        <v>0.39999999999999997</v>
      </c>
      <c r="S154">
        <f t="shared" ref="S154:S156" si="269">R154+($T154-$J154)/10</f>
        <v>0.44999999999999996</v>
      </c>
      <c r="T154">
        <f>'Net zero activities &amp; levers'!$D68/100</f>
        <v>0.5</v>
      </c>
      <c r="U154">
        <f t="shared" ref="U154:U156" si="270">T154+($AD154-$T154)/10</f>
        <v>0.55000000000000004</v>
      </c>
      <c r="V154">
        <f t="shared" ref="V154:V156" si="271">U154+($AD154-$T154)/10</f>
        <v>0.60000000000000009</v>
      </c>
      <c r="W154">
        <f t="shared" ref="W154:W156" si="272">V154+($AD154-$T154)/10</f>
        <v>0.65000000000000013</v>
      </c>
      <c r="X154">
        <f t="shared" ref="X154:X156" si="273">W154+($AD154-$T154)/10</f>
        <v>0.70000000000000018</v>
      </c>
      <c r="Y154">
        <f t="shared" ref="Y154:Y156" si="274">X154+($AD154-$T154)/10</f>
        <v>0.75000000000000022</v>
      </c>
      <c r="Z154">
        <f t="shared" ref="Z154:Z156" si="275">Y154+($AD154-$T154)/10</f>
        <v>0.80000000000000027</v>
      </c>
      <c r="AA154">
        <f t="shared" ref="AA154:AA156" si="276">Z154+($AD154-$T154)/10</f>
        <v>0.85000000000000031</v>
      </c>
      <c r="AB154">
        <f t="shared" ref="AB154:AB156" si="277">AA154+($AD154-$T154)/10</f>
        <v>0.90000000000000036</v>
      </c>
      <c r="AC154">
        <f t="shared" ref="AC154:AC156" si="278">AB154+($AD154-$T154)/10</f>
        <v>0.9500000000000004</v>
      </c>
      <c r="AD154">
        <f>'Net zero activities &amp; levers'!$E68/100</f>
        <v>1</v>
      </c>
      <c r="AE154">
        <f t="shared" ref="AE154:AE156" si="279">AD154+($AN154-$AD154)/10</f>
        <v>1</v>
      </c>
      <c r="AF154">
        <f t="shared" ref="AF154:AF156" si="280">AE154+($AN154-$AD154)/10</f>
        <v>1</v>
      </c>
      <c r="AG154">
        <f t="shared" ref="AG154:AG156" si="281">AF154+($AN154-$AD154)/10</f>
        <v>1</v>
      </c>
      <c r="AH154">
        <f t="shared" ref="AH154:AH156" si="282">AG154+($AN154-$AD154)/10</f>
        <v>1</v>
      </c>
      <c r="AI154">
        <f t="shared" ref="AI154:AI156" si="283">AH154+($AN154-$AD154)/10</f>
        <v>1</v>
      </c>
      <c r="AJ154">
        <f t="shared" ref="AJ154:AJ156" si="284">AI154+($AN154-$AD154)/10</f>
        <v>1</v>
      </c>
      <c r="AK154">
        <f t="shared" ref="AK154:AK156" si="285">AJ154+($AN154-$AD154)/10</f>
        <v>1</v>
      </c>
      <c r="AL154">
        <f t="shared" ref="AL154:AL156" si="286">AK154+($AN154-$AD154)/10</f>
        <v>1</v>
      </c>
      <c r="AM154">
        <f t="shared" ref="AM154:AM156" si="287">AL154+($AN154-$AD154)/10</f>
        <v>1</v>
      </c>
      <c r="AN154">
        <f>'Net zero activities &amp; levers'!$F68/100</f>
        <v>1</v>
      </c>
    </row>
    <row r="155" spans="1:48" x14ac:dyDescent="0.3">
      <c r="A155" t="s">
        <v>1118</v>
      </c>
      <c r="B155">
        <f>'Net zero activities &amp; levers'!$C69/100</f>
        <v>0</v>
      </c>
      <c r="C155">
        <f t="shared" ref="C155:J156" si="288">B155</f>
        <v>0</v>
      </c>
      <c r="D155">
        <f t="shared" si="288"/>
        <v>0</v>
      </c>
      <c r="E155">
        <f t="shared" si="288"/>
        <v>0</v>
      </c>
      <c r="F155">
        <f t="shared" si="288"/>
        <v>0</v>
      </c>
      <c r="G155">
        <f t="shared" si="288"/>
        <v>0</v>
      </c>
      <c r="H155">
        <f t="shared" si="288"/>
        <v>0</v>
      </c>
      <c r="I155">
        <f t="shared" si="288"/>
        <v>0</v>
      </c>
      <c r="J155">
        <f t="shared" si="288"/>
        <v>0</v>
      </c>
      <c r="K155">
        <f t="shared" si="261"/>
        <v>0.05</v>
      </c>
      <c r="L155">
        <f t="shared" si="262"/>
        <v>0.1</v>
      </c>
      <c r="M155">
        <f t="shared" si="263"/>
        <v>0.15000000000000002</v>
      </c>
      <c r="N155">
        <f t="shared" si="264"/>
        <v>0.2</v>
      </c>
      <c r="O155">
        <f t="shared" si="265"/>
        <v>0.25</v>
      </c>
      <c r="P155">
        <f t="shared" si="266"/>
        <v>0.3</v>
      </c>
      <c r="Q155">
        <f t="shared" si="267"/>
        <v>0.35</v>
      </c>
      <c r="R155">
        <f t="shared" si="268"/>
        <v>0.39999999999999997</v>
      </c>
      <c r="S155">
        <f t="shared" si="269"/>
        <v>0.44999999999999996</v>
      </c>
      <c r="T155">
        <f>'Net zero activities &amp; levers'!$D69/100</f>
        <v>0.5</v>
      </c>
      <c r="U155">
        <f t="shared" si="270"/>
        <v>0.55000000000000004</v>
      </c>
      <c r="V155">
        <f t="shared" si="271"/>
        <v>0.60000000000000009</v>
      </c>
      <c r="W155">
        <f t="shared" si="272"/>
        <v>0.65000000000000013</v>
      </c>
      <c r="X155">
        <f t="shared" si="273"/>
        <v>0.70000000000000018</v>
      </c>
      <c r="Y155">
        <f t="shared" si="274"/>
        <v>0.75000000000000022</v>
      </c>
      <c r="Z155">
        <f t="shared" si="275"/>
        <v>0.80000000000000027</v>
      </c>
      <c r="AA155">
        <f t="shared" si="276"/>
        <v>0.85000000000000031</v>
      </c>
      <c r="AB155">
        <f t="shared" si="277"/>
        <v>0.90000000000000036</v>
      </c>
      <c r="AC155">
        <f t="shared" si="278"/>
        <v>0.9500000000000004</v>
      </c>
      <c r="AD155">
        <f>'Net zero activities &amp; levers'!$E69/100</f>
        <v>1</v>
      </c>
      <c r="AE155">
        <f t="shared" si="279"/>
        <v>1</v>
      </c>
      <c r="AF155">
        <f t="shared" si="280"/>
        <v>1</v>
      </c>
      <c r="AG155">
        <f t="shared" si="281"/>
        <v>1</v>
      </c>
      <c r="AH155">
        <f t="shared" si="282"/>
        <v>1</v>
      </c>
      <c r="AI155">
        <f t="shared" si="283"/>
        <v>1</v>
      </c>
      <c r="AJ155">
        <f t="shared" si="284"/>
        <v>1</v>
      </c>
      <c r="AK155">
        <f t="shared" si="285"/>
        <v>1</v>
      </c>
      <c r="AL155">
        <f t="shared" si="286"/>
        <v>1</v>
      </c>
      <c r="AM155">
        <f t="shared" si="287"/>
        <v>1</v>
      </c>
      <c r="AN155">
        <f>'Net zero activities &amp; levers'!$F69/100</f>
        <v>1</v>
      </c>
    </row>
    <row r="156" spans="1:48" x14ac:dyDescent="0.3">
      <c r="A156" t="s">
        <v>1125</v>
      </c>
      <c r="B156">
        <f>'Net zero activities &amp; levers'!$C70/100</f>
        <v>0</v>
      </c>
      <c r="C156">
        <f t="shared" si="288"/>
        <v>0</v>
      </c>
      <c r="D156">
        <f t="shared" si="288"/>
        <v>0</v>
      </c>
      <c r="E156">
        <f t="shared" si="288"/>
        <v>0</v>
      </c>
      <c r="F156">
        <f t="shared" si="288"/>
        <v>0</v>
      </c>
      <c r="G156">
        <f t="shared" si="288"/>
        <v>0</v>
      </c>
      <c r="H156">
        <f t="shared" si="288"/>
        <v>0</v>
      </c>
      <c r="I156">
        <f t="shared" si="288"/>
        <v>0</v>
      </c>
      <c r="J156">
        <f t="shared" si="288"/>
        <v>0</v>
      </c>
      <c r="K156">
        <f t="shared" si="261"/>
        <v>0.05</v>
      </c>
      <c r="L156">
        <f t="shared" si="262"/>
        <v>0.1</v>
      </c>
      <c r="M156">
        <f t="shared" si="263"/>
        <v>0.15000000000000002</v>
      </c>
      <c r="N156">
        <f t="shared" si="264"/>
        <v>0.2</v>
      </c>
      <c r="O156">
        <f t="shared" si="265"/>
        <v>0.25</v>
      </c>
      <c r="P156">
        <f t="shared" si="266"/>
        <v>0.3</v>
      </c>
      <c r="Q156">
        <f t="shared" si="267"/>
        <v>0.35</v>
      </c>
      <c r="R156">
        <f t="shared" si="268"/>
        <v>0.39999999999999997</v>
      </c>
      <c r="S156">
        <f t="shared" si="269"/>
        <v>0.44999999999999996</v>
      </c>
      <c r="T156">
        <f>'Net zero activities &amp; levers'!$D70/100</f>
        <v>0.5</v>
      </c>
      <c r="U156">
        <f t="shared" si="270"/>
        <v>0.55000000000000004</v>
      </c>
      <c r="V156">
        <f t="shared" si="271"/>
        <v>0.60000000000000009</v>
      </c>
      <c r="W156">
        <f t="shared" si="272"/>
        <v>0.65000000000000013</v>
      </c>
      <c r="X156">
        <f t="shared" si="273"/>
        <v>0.70000000000000018</v>
      </c>
      <c r="Y156">
        <f t="shared" si="274"/>
        <v>0.75000000000000022</v>
      </c>
      <c r="Z156">
        <f t="shared" si="275"/>
        <v>0.80000000000000027</v>
      </c>
      <c r="AA156">
        <f t="shared" si="276"/>
        <v>0.85000000000000031</v>
      </c>
      <c r="AB156">
        <f t="shared" si="277"/>
        <v>0.90000000000000036</v>
      </c>
      <c r="AC156">
        <f t="shared" si="278"/>
        <v>0.9500000000000004</v>
      </c>
      <c r="AD156">
        <f>'Net zero activities &amp; levers'!$E70/100</f>
        <v>1</v>
      </c>
      <c r="AE156">
        <f t="shared" si="279"/>
        <v>1</v>
      </c>
      <c r="AF156">
        <f t="shared" si="280"/>
        <v>1</v>
      </c>
      <c r="AG156">
        <f t="shared" si="281"/>
        <v>1</v>
      </c>
      <c r="AH156">
        <f t="shared" si="282"/>
        <v>1</v>
      </c>
      <c r="AI156">
        <f t="shared" si="283"/>
        <v>1</v>
      </c>
      <c r="AJ156">
        <f t="shared" si="284"/>
        <v>1</v>
      </c>
      <c r="AK156">
        <f t="shared" si="285"/>
        <v>1</v>
      </c>
      <c r="AL156">
        <f t="shared" si="286"/>
        <v>1</v>
      </c>
      <c r="AM156">
        <f t="shared" si="287"/>
        <v>1</v>
      </c>
      <c r="AN156">
        <f>'Net zero activities &amp; levers'!$F70/100</f>
        <v>1</v>
      </c>
    </row>
    <row r="157" spans="1:48" x14ac:dyDescent="0.3">
      <c r="A157" t="s">
        <v>1128</v>
      </c>
      <c r="B157">
        <f>'Net zero Activity data'!AD47*'Net zero supporting data'!B154</f>
        <v>0</v>
      </c>
      <c r="C157">
        <f>'Net zero Activity data'!AE47*'Net zero supporting data'!C154</f>
        <v>0</v>
      </c>
      <c r="D157">
        <f>'Net zero Activity data'!AF47*'Net zero supporting data'!D154</f>
        <v>0</v>
      </c>
      <c r="E157">
        <f>'Net zero Activity data'!AG47*'Net zero supporting data'!E154</f>
        <v>0</v>
      </c>
      <c r="F157">
        <f>'Net zero Activity data'!AH47*'Net zero supporting data'!F154</f>
        <v>0</v>
      </c>
      <c r="G157">
        <f>'Net zero Activity data'!AI47*'Net zero supporting data'!G154</f>
        <v>0</v>
      </c>
      <c r="H157">
        <f>'Net zero Activity data'!AJ47*'Net zero supporting data'!H154</f>
        <v>0</v>
      </c>
      <c r="I157">
        <f>'Net zero Activity data'!AK47*'Net zero supporting data'!I154</f>
        <v>0</v>
      </c>
      <c r="J157">
        <f>'Net zero Activity data'!AL47*'Net zero supporting data'!J154</f>
        <v>0</v>
      </c>
      <c r="K157">
        <f>'Net zero Activity data'!AM47*'Net zero supporting data'!K154</f>
        <v>21013.634767466567</v>
      </c>
      <c r="L157">
        <f>'Net zero Activity data'!AN47*'Net zero supporting data'!L154</f>
        <v>42016.344496037047</v>
      </c>
      <c r="M157">
        <f>'Net zero Activity data'!AO47*'Net zero supporting data'!M154</f>
        <v>63002.150504458972</v>
      </c>
      <c r="N157">
        <f>'Net zero Activity data'!AP47*'Net zero supporting data'!N154</f>
        <v>83986.842140598543</v>
      </c>
      <c r="O157">
        <f>'Net zero Activity data'!AQ47*'Net zero supporting data'!O154</f>
        <v>104961.64394086148</v>
      </c>
      <c r="P157">
        <f>'Net zero Activity data'!AR47*'Net zero supporting data'!P154</f>
        <v>125924.74289044728</v>
      </c>
      <c r="Q157">
        <f>'Net zero Activity data'!AS47*'Net zero supporting data'!Q154</f>
        <v>146876.40319136166</v>
      </c>
      <c r="R157">
        <f>'Net zero Activity data'!AT47*'Net zero supporting data'!R154</f>
        <v>167815.08497653436</v>
      </c>
      <c r="S157">
        <f>'Net zero Activity data'!AU47*'Net zero supporting data'!S154</f>
        <v>188742.7453849641</v>
      </c>
      <c r="T157">
        <f>'Net zero Activity data'!AV47*'Net zero supporting data'!T154</f>
        <v>209656.55632922886</v>
      </c>
      <c r="U157">
        <f>'Net zero Activity data'!AW47*'Net zero supporting data'!U154</f>
        <v>230559.12887804868</v>
      </c>
      <c r="V157">
        <f>'Net zero Activity data'!AX47*'Net zero supporting data'!V154</f>
        <v>251444.43959948441</v>
      </c>
      <c r="W157">
        <f>'Net zero Activity data'!AY47*'Net zero supporting data'!W154</f>
        <v>272320.29458682489</v>
      </c>
      <c r="X157">
        <f>'Net zero Activity data'!AZ47*'Net zero supporting data'!X154</f>
        <v>293182.05085601122</v>
      </c>
      <c r="Y157">
        <f>'Net zero Activity data'!BA47*'Net zero supporting data'!Y154</f>
        <v>314022.94054569351</v>
      </c>
      <c r="Z157">
        <f>'Net zero Activity data'!BB47*'Net zero supporting data'!Z154</f>
        <v>334857.93205132044</v>
      </c>
      <c r="AA157">
        <f>'Net zero Activity data'!BC47*'Net zero supporting data'!AA154</f>
        <v>355677.59586328553</v>
      </c>
      <c r="AB157">
        <f>'Net zero Activity data'!BD47*'Net zero supporting data'!AB154</f>
        <v>376480.1417611108</v>
      </c>
      <c r="AC157">
        <f>'Net zero Activity data'!BE47*'Net zero supporting data'!AC154</f>
        <v>397279.61538672354</v>
      </c>
      <c r="AD157">
        <f>'Net zero Activity data'!BF47*'Net zero supporting data'!AD154</f>
        <v>418070.26579002623</v>
      </c>
      <c r="AE157">
        <f>'Net zero Activity data'!BG47*'Net zero supporting data'!AE154</f>
        <v>417954.40016196517</v>
      </c>
      <c r="AF157">
        <f>'Net zero Activity data'!BH47*'Net zero supporting data'!AF154</f>
        <v>417832.14494376682</v>
      </c>
      <c r="AG157">
        <f>'Net zero Activity data'!BI47*'Net zero supporting data'!AG154</f>
        <v>417716.95585713111</v>
      </c>
      <c r="AH157">
        <f>'Net zero Activity data'!BJ47*'Net zero supporting data'!AH154</f>
        <v>417600.29588104103</v>
      </c>
      <c r="AI157">
        <f>'Net zero Activity data'!BK47*'Net zero supporting data'!AI154</f>
        <v>417481.82309513097</v>
      </c>
      <c r="AJ157">
        <f>'Net zero Activity data'!BL47*'Net zero supporting data'!AJ154</f>
        <v>417360.95234438259</v>
      </c>
      <c r="AK157">
        <f>'Net zero Activity data'!BM47*'Net zero supporting data'!AK154</f>
        <v>417238.18790389877</v>
      </c>
      <c r="AL157">
        <f>'Net zero Activity data'!BN47*'Net zero supporting data'!AL154</f>
        <v>417200.46675715427</v>
      </c>
      <c r="AM157">
        <f>'Net zero Activity data'!BO47*'Net zero supporting data'!AM154</f>
        <v>417170.67309656093</v>
      </c>
      <c r="AN157">
        <f>'Net zero Activity data'!BP47*'Net zero supporting data'!AN154</f>
        <v>417152.11164868152</v>
      </c>
    </row>
    <row r="158" spans="1:48" x14ac:dyDescent="0.3">
      <c r="A158" t="s">
        <v>1129</v>
      </c>
      <c r="B158">
        <f>'Net zero Activity data'!AD48*'Net zero supporting data'!B155</f>
        <v>0</v>
      </c>
      <c r="C158">
        <f>'Net zero Activity data'!AE48*'Net zero supporting data'!C155</f>
        <v>0</v>
      </c>
      <c r="D158">
        <f>'Net zero Activity data'!AF48*'Net zero supporting data'!D155</f>
        <v>0</v>
      </c>
      <c r="E158">
        <f>'Net zero Activity data'!AG48*'Net zero supporting data'!E155</f>
        <v>0</v>
      </c>
      <c r="F158">
        <f>'Net zero Activity data'!AH48*'Net zero supporting data'!F155</f>
        <v>0</v>
      </c>
      <c r="G158">
        <f>'Net zero Activity data'!AI48*'Net zero supporting data'!G155</f>
        <v>0</v>
      </c>
      <c r="H158">
        <f>'Net zero Activity data'!AJ48*'Net zero supporting data'!H155</f>
        <v>0</v>
      </c>
      <c r="I158">
        <f>'Net zero Activity data'!AK48*'Net zero supporting data'!I155</f>
        <v>0</v>
      </c>
      <c r="J158">
        <f>'Net zero Activity data'!AL48*'Net zero supporting data'!J155</f>
        <v>0</v>
      </c>
      <c r="K158">
        <f>'Net zero Activity data'!AM48*'Net zero supporting data'!K155</f>
        <v>138.68998946527935</v>
      </c>
      <c r="L158">
        <f>'Net zero Activity data'!AN48*'Net zero supporting data'!L155</f>
        <v>277.30787367384454</v>
      </c>
      <c r="M158">
        <f>'Net zero Activity data'!AO48*'Net zero supporting data'!M155</f>
        <v>415.81419332942932</v>
      </c>
      <c r="N158">
        <f>'Net zero Activity data'!AP48*'Net zero supporting data'!N155</f>
        <v>554.31315812795037</v>
      </c>
      <c r="O158">
        <f>'Net zero Activity data'!AQ48*'Net zero supporting data'!O155</f>
        <v>692.74685000968589</v>
      </c>
      <c r="P158">
        <f>'Net zero Activity data'!AR48*'Net zero supporting data'!P155</f>
        <v>831.10330307695222</v>
      </c>
      <c r="Q158">
        <f>'Net zero Activity data'!AS48*'Net zero supporting data'!Q155</f>
        <v>969.38426106298709</v>
      </c>
      <c r="R158">
        <f>'Net zero Activity data'!AT48*'Net zero supporting data'!R155</f>
        <v>1107.5795608451269</v>
      </c>
      <c r="S158">
        <f>'Net zero Activity data'!AU48*'Net zero supporting data'!S155</f>
        <v>1245.7021195407633</v>
      </c>
      <c r="T158">
        <f>'Net zero Activity data'!AV48*'Net zero supporting data'!T155</f>
        <v>1383.7332717729107</v>
      </c>
      <c r="U158">
        <f>'Net zero Activity data'!AW48*'Net zero supporting data'!U155</f>
        <v>1521.6902505951214</v>
      </c>
      <c r="V158">
        <f>'Net zero Activity data'!AX48*'Net zero supporting data'!V155</f>
        <v>1659.5333013565973</v>
      </c>
      <c r="W158">
        <f>'Net zero Activity data'!AY48*'Net zero supporting data'!W155</f>
        <v>1797.3139442730449</v>
      </c>
      <c r="X158">
        <f>'Net zero Activity data'!AZ48*'Net zero supporting data'!X155</f>
        <v>1935.0015356496745</v>
      </c>
      <c r="Y158">
        <f>'Net zero Activity data'!BA48*'Net zero supporting data'!Y155</f>
        <v>2072.5514076015779</v>
      </c>
      <c r="Z158">
        <f>'Net zero Activity data'!BB48*'Net zero supporting data'!Z155</f>
        <v>2210.0623515387151</v>
      </c>
      <c r="AA158">
        <f>'Net zero Activity data'!BC48*'Net zero supporting data'!AA155</f>
        <v>2347.4721326976851</v>
      </c>
      <c r="AB158">
        <f>'Net zero Activity data'!BD48*'Net zero supporting data'!AB155</f>
        <v>2484.7689356233323</v>
      </c>
      <c r="AC158">
        <f>'Net zero Activity data'!BE48*'Net zero supporting data'!AC155</f>
        <v>2622.0454615523759</v>
      </c>
      <c r="AD158">
        <f>'Net zero Activity data'!BF48*'Net zero supporting data'!AD155</f>
        <v>2759.2637542141733</v>
      </c>
      <c r="AE158">
        <f>'Net zero Activity data'!BG48*'Net zero supporting data'!AE155</f>
        <v>2758.4990410689702</v>
      </c>
      <c r="AF158">
        <f>'Net zero Activity data'!BH48*'Net zero supporting data'!AF155</f>
        <v>2757.6921566288615</v>
      </c>
      <c r="AG158">
        <f>'Net zero Activity data'!BI48*'Net zero supporting data'!AG155</f>
        <v>2756.9319086570654</v>
      </c>
      <c r="AH158">
        <f>'Net zero Activity data'!BJ48*'Net zero supporting data'!AH155</f>
        <v>2756.1619528148713</v>
      </c>
      <c r="AI158">
        <f>'Net zero Activity data'!BK48*'Net zero supporting data'!AI155</f>
        <v>2755.3800324278645</v>
      </c>
      <c r="AJ158">
        <f>'Net zero Activity data'!BL48*'Net zero supporting data'!AJ155</f>
        <v>2754.5822854729254</v>
      </c>
      <c r="AK158">
        <f>'Net zero Activity data'!BM48*'Net zero supporting data'!AK155</f>
        <v>2753.7720401657325</v>
      </c>
      <c r="AL158">
        <f>'Net zero Activity data'!BN48*'Net zero supporting data'!AL155</f>
        <v>2753.5230805972187</v>
      </c>
      <c r="AM158">
        <f>'Net zero Activity data'!BO48*'Net zero supporting data'!AM155</f>
        <v>2753.3264424373024</v>
      </c>
      <c r="AN158">
        <f>'Net zero Activity data'!BP48*'Net zero supporting data'!AN155</f>
        <v>2753.2039368812984</v>
      </c>
    </row>
    <row r="159" spans="1:48" x14ac:dyDescent="0.3">
      <c r="A159" t="s">
        <v>1132</v>
      </c>
      <c r="B159">
        <f>'Net zero Activity data'!AD50*'Net zero supporting data'!B156</f>
        <v>0</v>
      </c>
      <c r="C159">
        <f>'Net zero Activity data'!AE50*'Net zero supporting data'!C156</f>
        <v>0</v>
      </c>
      <c r="D159">
        <f>'Net zero Activity data'!AF50*'Net zero supporting data'!D156</f>
        <v>0</v>
      </c>
      <c r="E159">
        <f>'Net zero Activity data'!AG50*'Net zero supporting data'!E156</f>
        <v>0</v>
      </c>
      <c r="F159">
        <f>'Net zero Activity data'!AH50*'Net zero supporting data'!F156</f>
        <v>0</v>
      </c>
      <c r="G159">
        <f>'Net zero Activity data'!AI50*'Net zero supporting data'!G156</f>
        <v>0</v>
      </c>
      <c r="H159">
        <f>'Net zero Activity data'!AJ50*'Net zero supporting data'!H156</f>
        <v>0</v>
      </c>
      <c r="I159">
        <f>'Net zero Activity data'!AK50*'Net zero supporting data'!I156</f>
        <v>0</v>
      </c>
      <c r="J159">
        <f>'Net zero Activity data'!AL50*'Net zero supporting data'!J156</f>
        <v>0</v>
      </c>
      <c r="K159">
        <f>'Net zero Activity data'!AM50*'Net zero supporting data'!K156</f>
        <v>1025422.823282205</v>
      </c>
      <c r="L159">
        <f>'Net zero Activity data'!AN50*'Net zero supporting data'!L156</f>
        <v>2082082.4745502677</v>
      </c>
      <c r="M159">
        <f>'Net zero Activity data'!AO50*'Net zero supporting data'!M156</f>
        <v>3147409.9108851957</v>
      </c>
      <c r="N159">
        <f>'Net zero Activity data'!AP50*'Net zero supporting data'!N156</f>
        <v>4233554.4047066327</v>
      </c>
      <c r="O159">
        <f>'Net zero Activity data'!AQ50*'Net zero supporting data'!O156</f>
        <v>5345483.9020510837</v>
      </c>
      <c r="P159">
        <f>'Net zero Activity data'!AR50*'Net zero supporting data'!P156</f>
        <v>6480191.1109540453</v>
      </c>
      <c r="Q159">
        <f>'Net zero Activity data'!AS50*'Net zero supporting data'!Q156</f>
        <v>7644948.9593889453</v>
      </c>
      <c r="R159">
        <f>'Net zero Activity data'!AT50*'Net zero supporting data'!R156</f>
        <v>8836913.7551221922</v>
      </c>
      <c r="S159">
        <f>'Net zero Activity data'!AU50*'Net zero supporting data'!S156</f>
        <v>10063658.090815868</v>
      </c>
      <c r="T159">
        <f>'Net zero Activity data'!AV50*'Net zero supporting data'!T156</f>
        <v>11320603.593534095</v>
      </c>
      <c r="U159">
        <f>'Net zero Activity data'!AW50*'Net zero supporting data'!U156</f>
        <v>12617562.700029761</v>
      </c>
      <c r="V159">
        <f>'Net zero Activity data'!AX50*'Net zero supporting data'!V156</f>
        <v>13942068.707926644</v>
      </c>
      <c r="W159">
        <f>'Net zero Activity data'!AY50*'Net zero supporting data'!W156</f>
        <v>15306818.564407513</v>
      </c>
      <c r="X159">
        <f>'Net zero Activity data'!AZ50*'Net zero supporting data'!X156</f>
        <v>16731447.621667909</v>
      </c>
      <c r="Y159">
        <f>'Net zero Activity data'!BA50*'Net zero supporting data'!Y156</f>
        <v>18178350.380958762</v>
      </c>
      <c r="Z159">
        <f>'Net zero Activity data'!BB50*'Net zero supporting data'!Z156</f>
        <v>19665673.907838132</v>
      </c>
      <c r="AA159">
        <f>'Net zero Activity data'!BC50*'Net zero supporting data'!AA156</f>
        <v>21207752.418903854</v>
      </c>
      <c r="AB159">
        <f>'Net zero Activity data'!BD50*'Net zero supporting data'!AB156</f>
        <v>22765734.251498409</v>
      </c>
      <c r="AC159">
        <f>'Net zero Activity data'!BE50*'Net zero supporting data'!AC156</f>
        <v>24356433.995686907</v>
      </c>
      <c r="AD159">
        <f>'Net zero Activity data'!BF50*'Net zero supporting data'!AD156</f>
        <v>25980525.154659446</v>
      </c>
      <c r="AE159">
        <f>'Net zero Activity data'!BG50*'Net zero supporting data'!AE156</f>
        <v>26342534.543672077</v>
      </c>
      <c r="AF159">
        <f>'Net zero Activity data'!BH50*'Net zero supporting data'!AF156</f>
        <v>26689983.186005257</v>
      </c>
      <c r="AG159">
        <f>'Net zero Activity data'!BI50*'Net zero supporting data'!AG156</f>
        <v>27050923.742848575</v>
      </c>
      <c r="AH159">
        <f>'Net zero Activity data'!BJ50*'Net zero supporting data'!AH156</f>
        <v>27427002.398268681</v>
      </c>
      <c r="AI159">
        <f>'Net zero Activity data'!BK50*'Net zero supporting data'!AI156</f>
        <v>27820866.390783198</v>
      </c>
      <c r="AJ159">
        <f>'Net zero Activity data'!BL50*'Net zero supporting data'!AJ156</f>
        <v>28221697.318577059</v>
      </c>
      <c r="AK159">
        <f>'Net zero Activity data'!BM50*'Net zero supporting data'!AK156</f>
        <v>28316731.128257472</v>
      </c>
      <c r="AL159">
        <f>'Net zero Activity data'!BN50*'Net zero supporting data'!AL156</f>
        <v>28384366.399897385</v>
      </c>
      <c r="AM159">
        <f>'Net zero Activity data'!BO50*'Net zero supporting data'!AM156</f>
        <v>28412077.806417499</v>
      </c>
      <c r="AN159">
        <f>'Net zero Activity data'!BP50*'Net zero supporting data'!AN156</f>
        <v>28428810.70175929</v>
      </c>
    </row>
    <row r="160" spans="1:48" x14ac:dyDescent="0.3">
      <c r="A160" t="s">
        <v>1134</v>
      </c>
      <c r="B160">
        <f>'Net zero Activity data'!AD51*'Net zero supporting data'!B156</f>
        <v>0</v>
      </c>
      <c r="C160">
        <f>'Net zero Activity data'!AE51*'Net zero supporting data'!C156</f>
        <v>0</v>
      </c>
      <c r="D160">
        <f>'Net zero Activity data'!AF51*'Net zero supporting data'!D156</f>
        <v>0</v>
      </c>
      <c r="E160">
        <f>'Net zero Activity data'!AG51*'Net zero supporting data'!E156</f>
        <v>0</v>
      </c>
      <c r="F160">
        <f>'Net zero Activity data'!AH51*'Net zero supporting data'!F156</f>
        <v>0</v>
      </c>
      <c r="G160">
        <f>'Net zero Activity data'!AI51*'Net zero supporting data'!G156</f>
        <v>0</v>
      </c>
      <c r="H160">
        <f>'Net zero Activity data'!AJ51*'Net zero supporting data'!H156</f>
        <v>0</v>
      </c>
      <c r="I160">
        <f>'Net zero Activity data'!AK51*'Net zero supporting data'!I156</f>
        <v>0</v>
      </c>
      <c r="J160">
        <f>'Net zero Activity data'!AL51*'Net zero supporting data'!J156</f>
        <v>0</v>
      </c>
      <c r="K160">
        <f>'Net zero Activity data'!AM51*'Net zero supporting data'!K156</f>
        <v>2998306.3561283755</v>
      </c>
      <c r="L160">
        <f>'Net zero Activity data'!AN51*'Net zero supporting data'!L156</f>
        <v>6087948.284050934</v>
      </c>
      <c r="M160">
        <f>'Net zero Activity data'!AO51*'Net zero supporting data'!M156</f>
        <v>9202934.5620985981</v>
      </c>
      <c r="N160">
        <f>'Net zero Activity data'!AP51*'Net zero supporting data'!N156</f>
        <v>12378789.307631612</v>
      </c>
      <c r="O160">
        <f>'Net zero Activity data'!AQ51*'Net zero supporting data'!O156</f>
        <v>15630038.649618393</v>
      </c>
      <c r="P160">
        <f>'Net zero Activity data'!AR51*'Net zero supporting data'!P156</f>
        <v>18947889.354275588</v>
      </c>
      <c r="Q160">
        <f>'Net zero Activity data'!AS51*'Net zero supporting data'!Q156</f>
        <v>22353607.250366986</v>
      </c>
      <c r="R160">
        <f>'Net zero Activity data'!AT51*'Net zero supporting data'!R156</f>
        <v>25838877.464939442</v>
      </c>
      <c r="S160">
        <f>'Net zero Activity data'!AU51*'Net zero supporting data'!S156</f>
        <v>29425842.037545379</v>
      </c>
      <c r="T160">
        <f>'Net zero Activity data'!AV51*'Net zero supporting data'!T156</f>
        <v>33101113.939573113</v>
      </c>
      <c r="U160">
        <f>'Net zero Activity data'!AW51*'Net zero supporting data'!U156</f>
        <v>36893384.44921276</v>
      </c>
      <c r="V160">
        <f>'Net zero Activity data'!AX51*'Net zero supporting data'!V156</f>
        <v>40766201.293191388</v>
      </c>
      <c r="W160">
        <f>'Net zero Activity data'!AY51*'Net zero supporting data'!W156</f>
        <v>44756689.973864876</v>
      </c>
      <c r="X160">
        <f>'Net zero Activity data'!AZ51*'Net zero supporting data'!X156</f>
        <v>48922263.686995953</v>
      </c>
      <c r="Y160">
        <f>'Net zero Activity data'!BA51*'Net zero supporting data'!Y156</f>
        <v>53152965.053672619</v>
      </c>
      <c r="Z160">
        <f>'Net zero Activity data'!BB51*'Net zero supporting data'!Z156</f>
        <v>57501855.563040964</v>
      </c>
      <c r="AA160">
        <f>'Net zero Activity data'!BC51*'Net zero supporting data'!AA156</f>
        <v>62010848.045359515</v>
      </c>
      <c r="AB160">
        <f>'Net zero Activity data'!BD51*'Net zero supporting data'!AB156</f>
        <v>66566341.374880627</v>
      </c>
      <c r="AC160">
        <f>'Net zero Activity data'!BE51*'Net zero supporting data'!AC156</f>
        <v>71217500.921365172</v>
      </c>
      <c r="AD160">
        <f>'Net zero Activity data'!BF51*'Net zero supporting data'!AD156</f>
        <v>75966295.988450512</v>
      </c>
      <c r="AE160">
        <f>'Net zero Activity data'!BG51*'Net zero supporting data'!AE156</f>
        <v>77024800.858256787</v>
      </c>
      <c r="AF160">
        <f>'Net zero Activity data'!BH51*'Net zero supporting data'!AF156</f>
        <v>78040730.530468747</v>
      </c>
      <c r="AG160">
        <f>'Net zero Activity data'!BI51*'Net zero supporting data'!AG156</f>
        <v>79096110.166260213</v>
      </c>
      <c r="AH160">
        <f>'Net zero Activity data'!BJ51*'Net zero supporting data'!AH156</f>
        <v>80195753.159714431</v>
      </c>
      <c r="AI160">
        <f>'Net zero Activity data'!BK51*'Net zero supporting data'!AI156</f>
        <v>81347399.958862558</v>
      </c>
      <c r="AJ160">
        <f>'Net zero Activity data'!BL51*'Net zero supporting data'!AJ156</f>
        <v>82519417.873082906</v>
      </c>
      <c r="AK160">
        <f>'Net zero Activity data'!BM51*'Net zero supporting data'!AK156</f>
        <v>82797293.954190448</v>
      </c>
      <c r="AL160">
        <f>'Net zero Activity data'!BN51*'Net zero supporting data'!AL156</f>
        <v>82995057.511088192</v>
      </c>
      <c r="AM160">
        <f>'Net zero Activity data'!BO51*'Net zero supporting data'!AM156</f>
        <v>83076084.853585392</v>
      </c>
      <c r="AN160">
        <f>'Net zero Activity data'!BP51*'Net zero supporting data'!AN156</f>
        <v>83125011.350363687</v>
      </c>
    </row>
    <row r="161" spans="1:40" x14ac:dyDescent="0.3">
      <c r="A161" t="s">
        <v>1133</v>
      </c>
      <c r="B161">
        <f>'Net zero Activity data'!AD52*'Net zero supporting data'!B156</f>
        <v>0</v>
      </c>
      <c r="C161">
        <f>'Net zero Activity data'!AE52*'Net zero supporting data'!C156</f>
        <v>0</v>
      </c>
      <c r="D161">
        <f>'Net zero Activity data'!AF52*'Net zero supporting data'!D156</f>
        <v>0</v>
      </c>
      <c r="E161">
        <f>'Net zero Activity data'!AG52*'Net zero supporting data'!E156</f>
        <v>0</v>
      </c>
      <c r="F161">
        <f>'Net zero Activity data'!AH52*'Net zero supporting data'!F156</f>
        <v>0</v>
      </c>
      <c r="G161">
        <f>'Net zero Activity data'!AI52*'Net zero supporting data'!G156</f>
        <v>0</v>
      </c>
      <c r="H161">
        <f>'Net zero Activity data'!AJ52*'Net zero supporting data'!H156</f>
        <v>0</v>
      </c>
      <c r="I161">
        <f>'Net zero Activity data'!AK52*'Net zero supporting data'!I156</f>
        <v>0</v>
      </c>
      <c r="J161">
        <f>'Net zero Activity data'!AL52*'Net zero supporting data'!J156</f>
        <v>0</v>
      </c>
      <c r="K161">
        <f>'Net zero Activity data'!AM52*'Net zero supporting data'!K156</f>
        <v>160392.48444596573</v>
      </c>
      <c r="L161">
        <f>'Net zero Activity data'!AN52*'Net zero supporting data'!L156</f>
        <v>325670.90699776215</v>
      </c>
      <c r="M161">
        <f>'Net zero Activity data'!AO52*'Net zero supporting data'!M156</f>
        <v>492305.10938003694</v>
      </c>
      <c r="N161">
        <f>'Net zero Activity data'!AP52*'Net zero supporting data'!N156</f>
        <v>662195.43157289701</v>
      </c>
      <c r="O161">
        <f>'Net zero Activity data'!AQ52*'Net zero supporting data'!O156</f>
        <v>836118.93957223906</v>
      </c>
      <c r="P161">
        <f>'Net zero Activity data'!AR52*'Net zero supporting data'!P156</f>
        <v>1013605.2449502945</v>
      </c>
      <c r="Q161">
        <f>'Net zero Activity data'!AS52*'Net zero supporting data'!Q156</f>
        <v>1195791.9496409872</v>
      </c>
      <c r="R161">
        <f>'Net zero Activity data'!AT52*'Net zero supporting data'!R156</f>
        <v>1382234.2548237818</v>
      </c>
      <c r="S161">
        <f>'Net zero Activity data'!AU52*'Net zero supporting data'!S156</f>
        <v>1574116.6347693806</v>
      </c>
      <c r="T161">
        <f>'Net zero Activity data'!AV52*'Net zero supporting data'!T156</f>
        <v>1770722.958928284</v>
      </c>
      <c r="U161">
        <f>'Net zero Activity data'!AW52*'Net zero supporting data'!U156</f>
        <v>1973588.0489111803</v>
      </c>
      <c r="V161">
        <f>'Net zero Activity data'!AX52*'Net zero supporting data'!V156</f>
        <v>2180761.9136299333</v>
      </c>
      <c r="W161">
        <f>'Net zero Activity data'!AY52*'Net zero supporting data'!W156</f>
        <v>2394230.5581326894</v>
      </c>
      <c r="X161">
        <f>'Net zero Activity data'!AZ52*'Net zero supporting data'!X156</f>
        <v>2617065.2646750305</v>
      </c>
      <c r="Y161">
        <f>'Net zero Activity data'!BA52*'Net zero supporting data'!Y156</f>
        <v>2843383.9334672457</v>
      </c>
      <c r="Z161">
        <f>'Net zero Activity data'!BB52*'Net zero supporting data'!Z156</f>
        <v>3076025.0549975247</v>
      </c>
      <c r="AA161">
        <f>'Net zero Activity data'!BC52*'Net zero supporting data'!AA156</f>
        <v>3317230.7293640077</v>
      </c>
      <c r="AB161">
        <f>'Net zero Activity data'!BD52*'Net zero supporting data'!AB156</f>
        <v>3560923.936866127</v>
      </c>
      <c r="AC161">
        <f>'Net zero Activity data'!BE52*'Net zero supporting data'!AC156</f>
        <v>3809734.7475727843</v>
      </c>
      <c r="AD161">
        <f>'Net zero Activity data'!BF52*'Net zero supporting data'!AD156</f>
        <v>4063768.5081248884</v>
      </c>
      <c r="AE161">
        <f>'Net zero Activity data'!BG52*'Net zero supporting data'!AE156</f>
        <v>4120392.5504010785</v>
      </c>
      <c r="AF161">
        <f>'Net zero Activity data'!BH52*'Net zero supporting data'!AF156</f>
        <v>4174739.059661346</v>
      </c>
      <c r="AG161">
        <f>'Net zero Activity data'!BI52*'Net zero supporting data'!AG156</f>
        <v>4231195.9195390185</v>
      </c>
      <c r="AH161">
        <f>'Net zero Activity data'!BJ52*'Net zero supporting data'!AH156</f>
        <v>4290020.6194777749</v>
      </c>
      <c r="AI161">
        <f>'Net zero Activity data'!BK52*'Net zero supporting data'!AI156</f>
        <v>4351627.2298036562</v>
      </c>
      <c r="AJ161">
        <f>'Net zero Activity data'!BL52*'Net zero supporting data'!AJ156</f>
        <v>4414323.579925702</v>
      </c>
      <c r="AK161">
        <f>'Net zero Activity data'!BM52*'Net zero supporting data'!AK156</f>
        <v>4429188.3834925061</v>
      </c>
      <c r="AL161">
        <f>'Net zero Activity data'!BN52*'Net zero supporting data'!AL156</f>
        <v>4439767.6187193757</v>
      </c>
      <c r="AM161">
        <f>'Net zero Activity data'!BO52*'Net zero supporting data'!AM156</f>
        <v>4444102.1246795869</v>
      </c>
      <c r="AN161">
        <f>'Net zero Activity data'!BP52*'Net zero supporting data'!AN156</f>
        <v>4446719.4163907785</v>
      </c>
    </row>
    <row r="162" spans="1:40" x14ac:dyDescent="0.3">
      <c r="A162" t="s">
        <v>1135</v>
      </c>
      <c r="B162">
        <f>'Net zero Activity data'!AD53*'Net zero supporting data'!B156</f>
        <v>0</v>
      </c>
      <c r="C162">
        <f>'Net zero Activity data'!AE53*'Net zero supporting data'!C156</f>
        <v>0</v>
      </c>
      <c r="D162">
        <f>'Net zero Activity data'!AF53*'Net zero supporting data'!D156</f>
        <v>0</v>
      </c>
      <c r="E162">
        <f>'Net zero Activity data'!AG53*'Net zero supporting data'!E156</f>
        <v>0</v>
      </c>
      <c r="F162">
        <f>'Net zero Activity data'!AH53*'Net zero supporting data'!F156</f>
        <v>0</v>
      </c>
      <c r="G162">
        <f>'Net zero Activity data'!AI53*'Net zero supporting data'!G156</f>
        <v>0</v>
      </c>
      <c r="H162">
        <f>'Net zero Activity data'!AJ53*'Net zero supporting data'!H156</f>
        <v>0</v>
      </c>
      <c r="I162">
        <f>'Net zero Activity data'!AK53*'Net zero supporting data'!I156</f>
        <v>0</v>
      </c>
      <c r="J162">
        <f>'Net zero Activity data'!AL53*'Net zero supporting data'!J156</f>
        <v>0</v>
      </c>
      <c r="K162">
        <f>'Net zero Activity data'!AM53*'Net zero supporting data'!K156</f>
        <v>1016109.4225657942</v>
      </c>
      <c r="L162">
        <f>'Net zero Activity data'!AN53*'Net zero supporting data'!L156</f>
        <v>2092814.5865119339</v>
      </c>
      <c r="M162">
        <f>'Net zero Activity data'!AO53*'Net zero supporting data'!M156</f>
        <v>3157374.3839576966</v>
      </c>
      <c r="N162">
        <f>'Net zero Activity data'!AP53*'Net zero supporting data'!N156</f>
        <v>4244740.6876002923</v>
      </c>
      <c r="O162">
        <f>'Net zero Activity data'!AQ53*'Net zero supporting data'!O156</f>
        <v>5366797.9533083178</v>
      </c>
      <c r="P162">
        <f>'Net zero Activity data'!AR53*'Net zero supporting data'!P156</f>
        <v>6523945.2267696317</v>
      </c>
      <c r="Q162">
        <f>'Net zero Activity data'!AS53*'Net zero supporting data'!Q156</f>
        <v>7725878.8663327852</v>
      </c>
      <c r="R162">
        <f>'Net zero Activity data'!AT53*'Net zero supporting data'!R156</f>
        <v>8961162.1780454442</v>
      </c>
      <c r="S162">
        <f>'Net zero Activity data'!AU53*'Net zero supporting data'!S156</f>
        <v>10247800.721608292</v>
      </c>
      <c r="T162">
        <f>'Net zero Activity data'!AV53*'Net zero supporting data'!T156</f>
        <v>11569601.921590813</v>
      </c>
      <c r="U162">
        <f>'Net zero Activity data'!AW53*'Net zero supporting data'!U156</f>
        <v>12857801.768322252</v>
      </c>
      <c r="V162">
        <f>'Net zero Activity data'!AX53*'Net zero supporting data'!V156</f>
        <v>14144245.822487429</v>
      </c>
      <c r="W162">
        <f>'Net zero Activity data'!AY53*'Net zero supporting data'!W156</f>
        <v>15457470.047302967</v>
      </c>
      <c r="X162">
        <f>'Net zero Activity data'!AZ53*'Net zero supporting data'!X156</f>
        <v>16840362.15003673</v>
      </c>
      <c r="Y162">
        <f>'Net zero Activity data'!BA53*'Net zero supporting data'!Y156</f>
        <v>18192618.029051468</v>
      </c>
      <c r="Z162">
        <f>'Net zero Activity data'!BB53*'Net zero supporting data'!Z156</f>
        <v>19575266.879345357</v>
      </c>
      <c r="AA162">
        <f>'Net zero Activity data'!BC53*'Net zero supporting data'!AA156</f>
        <v>20997326.833151266</v>
      </c>
      <c r="AB162">
        <f>'Net zero Activity data'!BD53*'Net zero supporting data'!AB156</f>
        <v>22363501.415194992</v>
      </c>
      <c r="AC162">
        <f>'Net zero Activity data'!BE53*'Net zero supporting data'!AC156</f>
        <v>23709686.535832703</v>
      </c>
      <c r="AD162">
        <f>'Net zero Activity data'!BF53*'Net zero supporting data'!AD156</f>
        <v>25033541.143901248</v>
      </c>
      <c r="AE162">
        <f>'Net zero Activity data'!BG53*'Net zero supporting data'!AE156</f>
        <v>25269731.59563636</v>
      </c>
      <c r="AF162">
        <f>'Net zero Activity data'!BH53*'Net zero supporting data'!AF156</f>
        <v>25449266.239364117</v>
      </c>
      <c r="AG162">
        <f>'Net zero Activity data'!BI53*'Net zero supporting data'!AG156</f>
        <v>25631067.130633876</v>
      </c>
      <c r="AH162">
        <f>'Net zero Activity data'!BJ53*'Net zero supporting data'!AH156</f>
        <v>25817213.989457067</v>
      </c>
      <c r="AI162">
        <f>'Net zero Activity data'!BK53*'Net zero supporting data'!AI156</f>
        <v>26011460.526985411</v>
      </c>
      <c r="AJ162">
        <f>'Net zero Activity data'!BL53*'Net zero supporting data'!AJ156</f>
        <v>26210900.124820881</v>
      </c>
      <c r="AK162">
        <f>'Net zero Activity data'!BM53*'Net zero supporting data'!AK156</f>
        <v>25817482.286663931</v>
      </c>
      <c r="AL162">
        <f>'Net zero Activity data'!BN53*'Net zero supporting data'!AL156</f>
        <v>25371806.040771689</v>
      </c>
      <c r="AM162">
        <f>'Net zero Activity data'!BO53*'Net zero supporting data'!AM156</f>
        <v>24855124.314113755</v>
      </c>
      <c r="AN162">
        <f>'Net zero Activity data'!BP53*'Net zero supporting data'!AN156</f>
        <v>24322250.157869045</v>
      </c>
    </row>
    <row r="163" spans="1:40" x14ac:dyDescent="0.3">
      <c r="A163" t="s">
        <v>1136</v>
      </c>
      <c r="B163">
        <f>'Net zero Activity data'!AD55*'Net zero supporting data'!B156</f>
        <v>0</v>
      </c>
      <c r="C163">
        <f>'Net zero Activity data'!AE55*'Net zero supporting data'!C156</f>
        <v>0</v>
      </c>
      <c r="D163">
        <f>'Net zero Activity data'!AF55*'Net zero supporting data'!D156</f>
        <v>0</v>
      </c>
      <c r="E163">
        <f>'Net zero Activity data'!AG55*'Net zero supporting data'!E156</f>
        <v>0</v>
      </c>
      <c r="F163">
        <f>'Net zero Activity data'!AH55*'Net zero supporting data'!F156</f>
        <v>0</v>
      </c>
      <c r="G163">
        <f>'Net zero Activity data'!AI55*'Net zero supporting data'!G156</f>
        <v>0</v>
      </c>
      <c r="H163">
        <f>'Net zero Activity data'!AJ55*'Net zero supporting data'!H156</f>
        <v>0</v>
      </c>
      <c r="I163">
        <f>'Net zero Activity data'!AK55*'Net zero supporting data'!I156</f>
        <v>0</v>
      </c>
      <c r="J163">
        <f>'Net zero Activity data'!AL55*'Net zero supporting data'!J156</f>
        <v>0</v>
      </c>
      <c r="K163">
        <f>'Net zero Activity data'!AM55*'Net zero supporting data'!K156</f>
        <v>1235859.5756341561</v>
      </c>
      <c r="L163">
        <f>'Net zero Activity data'!AN55*'Net zero supporting data'!L156</f>
        <v>2605903.5980951926</v>
      </c>
      <c r="M163">
        <f>'Net zero Activity data'!AO55*'Net zero supporting data'!M156</f>
        <v>4023689.7132160626</v>
      </c>
      <c r="N163">
        <f>'Net zero Activity data'!AP55*'Net zero supporting data'!N156</f>
        <v>5534815.9455794217</v>
      </c>
      <c r="O163">
        <f>'Net zero Activity data'!AQ55*'Net zero supporting data'!O156</f>
        <v>7158360.4165529152</v>
      </c>
      <c r="P163">
        <f>'Net zero Activity data'!AR55*'Net zero supporting data'!P156</f>
        <v>8899314.2191116922</v>
      </c>
      <c r="Q163">
        <f>'Net zero Activity data'!AS55*'Net zero supporting data'!Q156</f>
        <v>10775856.869386811</v>
      </c>
      <c r="R163">
        <f>'Net zero Activity data'!AT55*'Net zero supporting data'!R156</f>
        <v>12777419.323411433</v>
      </c>
      <c r="S163">
        <f>'Net zero Activity data'!AU55*'Net zero supporting data'!S156</f>
        <v>14935109.332193458</v>
      </c>
      <c r="T163">
        <f>'Net zero Activity data'!AV55*'Net zero supporting data'!T156</f>
        <v>17231591.774821382</v>
      </c>
      <c r="U163">
        <f>'Net zero Activity data'!AW55*'Net zero supporting data'!U156</f>
        <v>19785290.417697139</v>
      </c>
      <c r="V163">
        <f>'Net zero Activity data'!AX55*'Net zero supporting data'!V156</f>
        <v>22488005.808197971</v>
      </c>
      <c r="W163">
        <f>'Net zero Activity data'!AY55*'Net zero supporting data'!W156</f>
        <v>25394559.015072767</v>
      </c>
      <c r="X163">
        <f>'Net zero Activity data'!AZ55*'Net zero supporting data'!X156</f>
        <v>28590996.696135856</v>
      </c>
      <c r="Y163">
        <f>'Net zero Activity data'!BA55*'Net zero supporting data'!Y156</f>
        <v>31922870.160455093</v>
      </c>
      <c r="Z163">
        <f>'Net zero Activity data'!BB55*'Net zero supporting data'!Z156</f>
        <v>35506288.990522616</v>
      </c>
      <c r="AA163">
        <f>'Net zero Activity data'!BC55*'Net zero supporting data'!AA156</f>
        <v>39375242.074492395</v>
      </c>
      <c r="AB163">
        <f>'Net zero Activity data'!BD55*'Net zero supporting data'!AB156</f>
        <v>43365094.132246234</v>
      </c>
      <c r="AC163">
        <f>'Net zero Activity data'!BE55*'Net zero supporting data'!AC156</f>
        <v>47550618.251708433</v>
      </c>
      <c r="AD163">
        <f>'Net zero Activity data'!BF55*'Net zero supporting data'!AD156</f>
        <v>51937404.912911206</v>
      </c>
      <c r="AE163">
        <f>'Net zero Activity data'!BG55*'Net zero supporting data'!AE156</f>
        <v>53906684.570628293</v>
      </c>
      <c r="AF163">
        <f>'Net zero Activity data'!BH55*'Net zero supporting data'!AF156</f>
        <v>55826768.372986138</v>
      </c>
      <c r="AG163">
        <f>'Net zero Activity data'!BI55*'Net zero supporting data'!AG156</f>
        <v>57823678.235028274</v>
      </c>
      <c r="AH163">
        <f>'Net zero Activity data'!BJ55*'Net zero supporting data'!AH156</f>
        <v>59906254.602424279</v>
      </c>
      <c r="AI163">
        <f>'Net zero Activity data'!BK55*'Net zero supporting data'!AI156</f>
        <v>62088146.177802265</v>
      </c>
      <c r="AJ163">
        <f>'Net zero Activity data'!BL55*'Net zero supporting data'!AJ156</f>
        <v>64367987.531289287</v>
      </c>
      <c r="AK163">
        <f>'Net zero Activity data'!BM55*'Net zero supporting data'!AK156</f>
        <v>65240062.115014531</v>
      </c>
      <c r="AL163">
        <f>'Net zero Activity data'!BN55*'Net zero supporting data'!AL156</f>
        <v>65983970.311093166</v>
      </c>
      <c r="AM163">
        <f>'Net zero Activity data'!BO55*'Net zero supporting data'!AM156</f>
        <v>66537956.642675854</v>
      </c>
      <c r="AN163">
        <f>'Net zero Activity data'!BP55*'Net zero supporting data'!AN156</f>
        <v>67036220.221915454</v>
      </c>
    </row>
    <row r="164" spans="1:40" x14ac:dyDescent="0.3">
      <c r="A164" t="s">
        <v>1137</v>
      </c>
      <c r="B164">
        <f>'Net zero Activity data'!AD56*'Net zero supporting data'!B156</f>
        <v>0</v>
      </c>
      <c r="C164">
        <f>'Net zero Activity data'!AE56*'Net zero supporting data'!C156</f>
        <v>0</v>
      </c>
      <c r="D164">
        <f>'Net zero Activity data'!AF56*'Net zero supporting data'!D156</f>
        <v>0</v>
      </c>
      <c r="E164">
        <f>'Net zero Activity data'!AG56*'Net zero supporting data'!E156</f>
        <v>0</v>
      </c>
      <c r="F164">
        <f>'Net zero Activity data'!AH56*'Net zero supporting data'!F156</f>
        <v>0</v>
      </c>
      <c r="G164">
        <f>'Net zero Activity data'!AI56*'Net zero supporting data'!G156</f>
        <v>0</v>
      </c>
      <c r="H164">
        <f>'Net zero Activity data'!AJ56*'Net zero supporting data'!H156</f>
        <v>0</v>
      </c>
      <c r="I164">
        <f>'Net zero Activity data'!AK56*'Net zero supporting data'!I156</f>
        <v>0</v>
      </c>
      <c r="J164">
        <f>'Net zero Activity data'!AL56*'Net zero supporting data'!J156</f>
        <v>0</v>
      </c>
      <c r="K164">
        <f>'Net zero Activity data'!AM56*'Net zero supporting data'!K156</f>
        <v>189708.3567399944</v>
      </c>
      <c r="L164">
        <f>'Net zero Activity data'!AN56*'Net zero supporting data'!L156</f>
        <v>380112.8199489729</v>
      </c>
      <c r="M164">
        <f>'Net zero Activity data'!AO56*'Net zero supporting data'!M156</f>
        <v>571266.7232752206</v>
      </c>
      <c r="N164">
        <f>'Net zero Activity data'!AP56*'Net zero supporting data'!N156</f>
        <v>763331.85848808277</v>
      </c>
      <c r="O164">
        <f>'Net zero Activity data'!AQ56*'Net zero supporting data'!O156</f>
        <v>956437.15676383825</v>
      </c>
      <c r="P164">
        <f>'Net zero Activity data'!AR56*'Net zero supporting data'!P156</f>
        <v>1149427.5436083619</v>
      </c>
      <c r="Q164">
        <f>'Net zero Activity data'!AS56*'Net zero supporting data'!Q156</f>
        <v>1343243.3602240831</v>
      </c>
      <c r="R164">
        <f>'Net zero Activity data'!AT56*'Net zero supporting data'!R156</f>
        <v>1537960.4211851291</v>
      </c>
      <c r="S164">
        <f>'Net zero Activity data'!AU56*'Net zero supporting data'!S156</f>
        <v>1733684.9438157987</v>
      </c>
      <c r="T164">
        <f>'Net zero Activity data'!AV56*'Net zero supporting data'!T156</f>
        <v>1930477.4155755963</v>
      </c>
      <c r="U164">
        <f>'Net zero Activity data'!AW56*'Net zero supporting data'!U156</f>
        <v>2126595.406507547</v>
      </c>
      <c r="V164">
        <f>'Net zero Activity data'!AX56*'Net zero supporting data'!V156</f>
        <v>2323558.3756688223</v>
      </c>
      <c r="W164">
        <f>'Net zero Activity data'!AY56*'Net zero supporting data'!W156</f>
        <v>2521469.6749287224</v>
      </c>
      <c r="X164">
        <f>'Net zero Activity data'!AZ56*'Net zero supporting data'!X156</f>
        <v>2720453.3077638065</v>
      </c>
      <c r="Y164">
        <f>'Net zero Activity data'!BA56*'Net zero supporting data'!Y156</f>
        <v>2920436.2638041805</v>
      </c>
      <c r="Z164">
        <f>'Net zero Activity data'!BB56*'Net zero supporting data'!Z156</f>
        <v>3118994.3743848805</v>
      </c>
      <c r="AA164">
        <f>'Net zero Activity data'!BC56*'Net zero supporting data'!AA156</f>
        <v>3318426.5058490289</v>
      </c>
      <c r="AB164">
        <f>'Net zero Activity data'!BD56*'Net zero supporting data'!AB156</f>
        <v>3518644.7233171407</v>
      </c>
      <c r="AC164">
        <f>'Net zero Activity data'!BE56*'Net zero supporting data'!AC156</f>
        <v>3719748.2787225093</v>
      </c>
      <c r="AD164">
        <f>'Net zero Activity data'!BF56*'Net zero supporting data'!AD156</f>
        <v>3921779.9758285671</v>
      </c>
      <c r="AE164">
        <f>'Net zero Activity data'!BG56*'Net zero supporting data'!AE156</f>
        <v>3925476.1713958737</v>
      </c>
      <c r="AF164">
        <f>'Net zero Activity data'!BH56*'Net zero supporting data'!AF156</f>
        <v>3929421.90501684</v>
      </c>
      <c r="AG164">
        <f>'Net zero Activity data'!BI56*'Net zero supporting data'!AG156</f>
        <v>3933701.9223272717</v>
      </c>
      <c r="AH164">
        <f>'Net zero Activity data'!BJ56*'Net zero supporting data'!AH156</f>
        <v>3938312.08545841</v>
      </c>
      <c r="AI164">
        <f>'Net zero Activity data'!BK56*'Net zero supporting data'!AI156</f>
        <v>3943252.2988728071</v>
      </c>
      <c r="AJ164">
        <f>'Net zero Activity data'!BL56*'Net zero supporting data'!AJ156</f>
        <v>3945493.5552737722</v>
      </c>
      <c r="AK164">
        <f>'Net zero Activity data'!BM56*'Net zero supporting data'!AK156</f>
        <v>3946937.8968518241</v>
      </c>
      <c r="AL164">
        <f>'Net zero Activity data'!BN56*'Net zero supporting data'!AL156</f>
        <v>3948521.1681939466</v>
      </c>
      <c r="AM164">
        <f>'Net zero Activity data'!BO56*'Net zero supporting data'!AM156</f>
        <v>3950193.5272266869</v>
      </c>
      <c r="AN164">
        <f>'Net zero Activity data'!BP56*'Net zero supporting data'!AN156</f>
        <v>3952046.0718940711</v>
      </c>
    </row>
    <row r="165" spans="1:40" x14ac:dyDescent="0.3">
      <c r="A165" t="s">
        <v>1138</v>
      </c>
      <c r="B165">
        <f>'Net zero Activity data'!AD58*'Net zero supporting data'!B156</f>
        <v>0</v>
      </c>
      <c r="C165">
        <f>'Net zero Activity data'!AE58*'Net zero supporting data'!C156</f>
        <v>0</v>
      </c>
      <c r="D165">
        <f>'Net zero Activity data'!AF58*'Net zero supporting data'!D156</f>
        <v>0</v>
      </c>
      <c r="E165">
        <f>'Net zero Activity data'!AG58*'Net zero supporting data'!E156</f>
        <v>0</v>
      </c>
      <c r="F165">
        <f>'Net zero Activity data'!AH58*'Net zero supporting data'!F156</f>
        <v>0</v>
      </c>
      <c r="G165">
        <f>'Net zero Activity data'!AI58*'Net zero supporting data'!G156</f>
        <v>0</v>
      </c>
      <c r="H165">
        <f>'Net zero Activity data'!AJ58*'Net zero supporting data'!H156</f>
        <v>0</v>
      </c>
      <c r="I165">
        <f>'Net zero Activity data'!AK58*'Net zero supporting data'!I156</f>
        <v>0</v>
      </c>
      <c r="J165">
        <f>'Net zero Activity data'!AL58*'Net zero supporting data'!J156</f>
        <v>0</v>
      </c>
      <c r="K165">
        <f>'Net zero Activity data'!AM58*'Net zero supporting data'!K156</f>
        <v>23959.785795573429</v>
      </c>
      <c r="L165">
        <f>'Net zero Activity data'!AN58*'Net zero supporting data'!L156</f>
        <v>48077.215162707696</v>
      </c>
      <c r="M165">
        <f>'Net zero Activity data'!AO58*'Net zero supporting data'!M156</f>
        <v>72356.864153219591</v>
      </c>
      <c r="N165">
        <f>'Net zero Activity data'!AP58*'Net zero supporting data'!N156</f>
        <v>96824.388892229414</v>
      </c>
      <c r="O165">
        <f>'Net zero Activity data'!AQ58*'Net zero supporting data'!O156</f>
        <v>121499.45538516222</v>
      </c>
      <c r="P165">
        <f>'Net zero Activity data'!AR58*'Net zero supporting data'!P156</f>
        <v>146159.49025553587</v>
      </c>
      <c r="Q165">
        <f>'Net zero Activity data'!AS58*'Net zero supporting data'!Q156</f>
        <v>170979.09213045274</v>
      </c>
      <c r="R165">
        <f>'Net zero Activity data'!AT58*'Net zero supporting data'!R156</f>
        <v>195969.0530679053</v>
      </c>
      <c r="S165">
        <f>'Net zero Activity data'!AU58*'Net zero supporting data'!S156</f>
        <v>221146.04434332348</v>
      </c>
      <c r="T165">
        <f>'Net zero Activity data'!AV58*'Net zero supporting data'!T156</f>
        <v>246518.27454759265</v>
      </c>
      <c r="U165">
        <f>'Net zero Activity data'!AW58*'Net zero supporting data'!U156</f>
        <v>271757.29039929289</v>
      </c>
      <c r="V165">
        <f>'Net zero Activity data'!AX58*'Net zero supporting data'!V156</f>
        <v>297145.6275119498</v>
      </c>
      <c r="W165">
        <f>'Net zero Activity data'!AY58*'Net zero supporting data'!W156</f>
        <v>322700.18999688211</v>
      </c>
      <c r="X165">
        <f>'Net zero Activity data'!AZ58*'Net zero supporting data'!X156</f>
        <v>348441.73092892859</v>
      </c>
      <c r="Y165">
        <f>'Net zero Activity data'!BA58*'Net zero supporting data'!Y156</f>
        <v>374354.46387672814</v>
      </c>
      <c r="Z165">
        <f>'Net zero Activity data'!BB58*'Net zero supporting data'!Z156</f>
        <v>399987.92200954258</v>
      </c>
      <c r="AA165">
        <f>'Net zero Activity data'!BC58*'Net zero supporting data'!AA156</f>
        <v>425767.16860132595</v>
      </c>
      <c r="AB165">
        <f>'Net zero Activity data'!BD58*'Net zero supporting data'!AB156</f>
        <v>451674.28521678277</v>
      </c>
      <c r="AC165">
        <f>'Net zero Activity data'!BE58*'Net zero supporting data'!AC156</f>
        <v>477726.00746385282</v>
      </c>
      <c r="AD165">
        <f>'Net zero Activity data'!BF58*'Net zero supporting data'!AD156</f>
        <v>503928.66350965435</v>
      </c>
      <c r="AE165">
        <f>'Net zero Activity data'!BG58*'Net zero supporting data'!AE156</f>
        <v>504507.33574808895</v>
      </c>
      <c r="AF165">
        <f>'Net zero Activity data'!BH58*'Net zero supporting data'!AF156</f>
        <v>505122.46282792778</v>
      </c>
      <c r="AG165">
        <f>'Net zero Activity data'!BI58*'Net zero supporting data'!AG156</f>
        <v>505789.7472333879</v>
      </c>
      <c r="AH165">
        <f>'Net zero Activity data'!BJ58*'Net zero supporting data'!AH156</f>
        <v>506508.55167764454</v>
      </c>
      <c r="AI165">
        <f>'Net zero Activity data'!BK58*'Net zero supporting data'!AI156</f>
        <v>507278.9590829864</v>
      </c>
      <c r="AJ165">
        <f>'Net zero Activity data'!BL58*'Net zero supporting data'!AJ156</f>
        <v>507550.50417872373</v>
      </c>
      <c r="AK165">
        <f>'Net zero Activity data'!BM58*'Net zero supporting data'!AK156</f>
        <v>507671.09741748252</v>
      </c>
      <c r="AL165">
        <f>'Net zero Activity data'!BN58*'Net zero supporting data'!AL156</f>
        <v>507811.28789048828</v>
      </c>
      <c r="AM165">
        <f>'Net zero Activity data'!BO58*'Net zero supporting data'!AM156</f>
        <v>507962.21395316022</v>
      </c>
      <c r="AN165">
        <f>'Net zero Activity data'!BP58*'Net zero supporting data'!AN156</f>
        <v>508140.50900302135</v>
      </c>
    </row>
    <row r="166" spans="1:40" x14ac:dyDescent="0.3">
      <c r="A166" t="s">
        <v>1139</v>
      </c>
      <c r="B166">
        <f>'Net zero Activity data'!AD62*'Net zero supporting data'!B156</f>
        <v>0</v>
      </c>
      <c r="C166">
        <f>'Net zero Activity data'!AE62*'Net zero supporting data'!C156</f>
        <v>0</v>
      </c>
      <c r="D166">
        <f>'Net zero Activity data'!AF62*'Net zero supporting data'!D156</f>
        <v>0</v>
      </c>
      <c r="E166">
        <f>'Net zero Activity data'!AG62*'Net zero supporting data'!E156</f>
        <v>0</v>
      </c>
      <c r="F166">
        <f>'Net zero Activity data'!AH62*'Net zero supporting data'!F156</f>
        <v>0</v>
      </c>
      <c r="G166">
        <f>'Net zero Activity data'!AI62*'Net zero supporting data'!G156</f>
        <v>0</v>
      </c>
      <c r="H166">
        <f>'Net zero Activity data'!AJ62*'Net zero supporting data'!H156</f>
        <v>0</v>
      </c>
      <c r="I166">
        <f>'Net zero Activity data'!AK62*'Net zero supporting data'!I156</f>
        <v>0</v>
      </c>
      <c r="J166">
        <f>'Net zero Activity data'!AL62*'Net zero supporting data'!J156</f>
        <v>0</v>
      </c>
      <c r="K166">
        <f>'Net zero Activity data'!AM62*'Net zero supporting data'!K156</f>
        <v>326932.46398230601</v>
      </c>
      <c r="L166">
        <f>'Net zero Activity data'!AN62*'Net zero supporting data'!L156</f>
        <v>671386.07805448922</v>
      </c>
      <c r="M166">
        <f>'Net zero Activity data'!AO62*'Net zero supporting data'!M156</f>
        <v>1009465.3611868707</v>
      </c>
      <c r="N166">
        <f>'Net zero Activity data'!AP62*'Net zero supporting data'!N156</f>
        <v>1352843.8738484478</v>
      </c>
      <c r="O166">
        <f>'Net zero Activity data'!AQ62*'Net zero supporting data'!O156</f>
        <v>1705535.6081370127</v>
      </c>
      <c r="P166">
        <f>'Net zero Activity data'!AR62*'Net zero supporting data'!P156</f>
        <v>2068447.2898027007</v>
      </c>
      <c r="Q166">
        <f>'Net zero Activity data'!AS62*'Net zero supporting data'!Q156</f>
        <v>2444361.4179055369</v>
      </c>
      <c r="R166">
        <f>'Net zero Activity data'!AT62*'Net zero supporting data'!R156</f>
        <v>2829598.7051825612</v>
      </c>
      <c r="S166">
        <f>'Net zero Activity data'!AU62*'Net zero supporting data'!S156</f>
        <v>3230113.287972033</v>
      </c>
      <c r="T166">
        <f>'Net zero Activity data'!AV62*'Net zero supporting data'!T156</f>
        <v>3640672.1314835502</v>
      </c>
      <c r="U166">
        <f>'Net zero Activity data'!AW62*'Net zero supporting data'!U156</f>
        <v>4075385.2988604209</v>
      </c>
      <c r="V166">
        <f>'Net zero Activity data'!AX62*'Net zero supporting data'!V156</f>
        <v>4516821.883166967</v>
      </c>
      <c r="W166">
        <f>'Net zero Activity data'!AY62*'Net zero supporting data'!W156</f>
        <v>4975008.1071068952</v>
      </c>
      <c r="X166">
        <f>'Net zero Activity data'!AZ62*'Net zero supporting data'!X156</f>
        <v>5465141.6682110848</v>
      </c>
      <c r="Y166">
        <f>'Net zero Activity data'!BA62*'Net zero supporting data'!Y156</f>
        <v>5954354.8428678205</v>
      </c>
      <c r="Z166">
        <f>'Net zero Activity data'!BB62*'Net zero supporting data'!Z156</f>
        <v>6465113.381489398</v>
      </c>
      <c r="AA166">
        <f>'Net zero Activity data'!BC62*'Net zero supporting data'!AA156</f>
        <v>7000414.784678556</v>
      </c>
      <c r="AB166">
        <f>'Net zero Activity data'!BD62*'Net zero supporting data'!AB156</f>
        <v>7528120.7976739015</v>
      </c>
      <c r="AC166">
        <f>'Net zero Activity data'!BE62*'Net zero supporting data'!AC156</f>
        <v>8061094.0849224422</v>
      </c>
      <c r="AD166">
        <f>'Net zero Activity data'!BF62*'Net zero supporting data'!AD156</f>
        <v>8599106.8354249448</v>
      </c>
      <c r="AE166">
        <f>'Net zero Activity data'!BG62*'Net zero supporting data'!AE156</f>
        <v>8730443.317077972</v>
      </c>
      <c r="AF166">
        <f>'Net zero Activity data'!BH62*'Net zero supporting data'!AF156</f>
        <v>8844360.7844112776</v>
      </c>
      <c r="AG166">
        <f>'Net zero Activity data'!BI62*'Net zero supporting data'!AG156</f>
        <v>8961952.5492605828</v>
      </c>
      <c r="AH166">
        <f>'Net zero Activity data'!BJ62*'Net zero supporting data'!AH156</f>
        <v>9084105.5793093536</v>
      </c>
      <c r="AI166">
        <f>'Net zero Activity data'!BK62*'Net zero supporting data'!AI156</f>
        <v>9212348.3138719723</v>
      </c>
      <c r="AJ166">
        <f>'Net zero Activity data'!BL62*'Net zero supporting data'!AJ156</f>
        <v>9347011.6891012806</v>
      </c>
      <c r="AK166">
        <f>'Net zero Activity data'!BM62*'Net zero supporting data'!AK156</f>
        <v>9265067.1759196986</v>
      </c>
      <c r="AL166">
        <f>'Net zero Activity data'!BN62*'Net zero supporting data'!AL156</f>
        <v>9164185.643876642</v>
      </c>
      <c r="AM166">
        <f>'Net zero Activity data'!BO62*'Net zero supporting data'!AM156</f>
        <v>9036890.6825515591</v>
      </c>
      <c r="AN166">
        <f>'Net zero Activity data'!BP62*'Net zero supporting data'!AN156</f>
        <v>8903352.7640309483</v>
      </c>
    </row>
    <row r="167" spans="1:40" x14ac:dyDescent="0.3">
      <c r="A167" t="s">
        <v>1140</v>
      </c>
      <c r="B167">
        <f>'Net zero Activity data'!AD64*'Net zero supporting data'!B156</f>
        <v>0</v>
      </c>
      <c r="C167">
        <f>'Net zero Activity data'!AE64*'Net zero supporting data'!C156</f>
        <v>0</v>
      </c>
      <c r="D167">
        <f>'Net zero Activity data'!AF64*'Net zero supporting data'!D156</f>
        <v>0</v>
      </c>
      <c r="E167">
        <f>'Net zero Activity data'!AG64*'Net zero supporting data'!E156</f>
        <v>0</v>
      </c>
      <c r="F167">
        <f>'Net zero Activity data'!AH64*'Net zero supporting data'!F156</f>
        <v>0</v>
      </c>
      <c r="G167">
        <f>'Net zero Activity data'!AI64*'Net zero supporting data'!G156</f>
        <v>0</v>
      </c>
      <c r="H167">
        <f>'Net zero Activity data'!AJ64*'Net zero supporting data'!H156</f>
        <v>0</v>
      </c>
      <c r="I167">
        <f>'Net zero Activity data'!AK64*'Net zero supporting data'!I156</f>
        <v>0</v>
      </c>
      <c r="J167">
        <f>'Net zero Activity data'!AL64*'Net zero supporting data'!J156</f>
        <v>0</v>
      </c>
      <c r="K167">
        <f>'Net zero Activity data'!AM64*'Net zero supporting data'!K156</f>
        <v>546266.64803981688</v>
      </c>
      <c r="L167">
        <f>'Net zero Activity data'!AN64*'Net zero supporting data'!L156</f>
        <v>1127892.3648553714</v>
      </c>
      <c r="M167">
        <f>'Net zero Activity data'!AO64*'Net zero supporting data'!M156</f>
        <v>1724275.7903998746</v>
      </c>
      <c r="N167">
        <f>'Net zero Activity data'!AP64*'Net zero supporting data'!N156</f>
        <v>2346186.0088550444</v>
      </c>
      <c r="O167">
        <f>'Net zero Activity data'!AQ64*'Net zero supporting data'!O156</f>
        <v>2998040.8478409932</v>
      </c>
      <c r="P167">
        <f>'Net zero Activity data'!AR64*'Net zero supporting data'!P156</f>
        <v>3678594.9870183514</v>
      </c>
      <c r="Q167">
        <f>'Net zero Activity data'!AS64*'Net zero supporting data'!Q156</f>
        <v>4393478.5083545167</v>
      </c>
      <c r="R167">
        <f>'Net zero Activity data'!AT64*'Net zero supporting data'!R156</f>
        <v>5140059.255702286</v>
      </c>
      <c r="S167">
        <f>'Net zero Activity data'!AU64*'Net zero supporting data'!S156</f>
        <v>5925437.7112913299</v>
      </c>
      <c r="T167">
        <f>'Net zero Activity data'!AV64*'Net zero supporting data'!T156</f>
        <v>6745392.4932953808</v>
      </c>
      <c r="U167">
        <f>'Net zero Activity data'!AW64*'Net zero supporting data'!U156</f>
        <v>7611690.7087108074</v>
      </c>
      <c r="V167">
        <f>'Net zero Activity data'!AX64*'Net zero supporting data'!V156</f>
        <v>8510694.0581201594</v>
      </c>
      <c r="W167">
        <f>'Net zero Activity data'!AY64*'Net zero supporting data'!W156</f>
        <v>9454551.3678351603</v>
      </c>
      <c r="X167">
        <f>'Net zero Activity data'!AZ64*'Net zero supporting data'!X156</f>
        <v>10462265.839111054</v>
      </c>
      <c r="Y167">
        <f>'Net zero Activity data'!BA64*'Net zero supporting data'!Y156</f>
        <v>11498033.190303046</v>
      </c>
      <c r="Z167">
        <f>'Net zero Activity data'!BB64*'Net zero supporting data'!Z156</f>
        <v>12582773.611229755</v>
      </c>
      <c r="AA167">
        <f>'Net zero Activity data'!BC64*'Net zero supporting data'!AA156</f>
        <v>13727629.255517179</v>
      </c>
      <c r="AB167">
        <f>'Net zero Activity data'!BD64*'Net zero supporting data'!AB156</f>
        <v>14895101.768474609</v>
      </c>
      <c r="AC167">
        <f>'Net zero Activity data'!BE64*'Net zero supporting data'!AC156</f>
        <v>16101534.799729586</v>
      </c>
      <c r="AD167">
        <f>'Net zero Activity data'!BF64*'Net zero supporting data'!AD156</f>
        <v>17347682.480223093</v>
      </c>
      <c r="AE167">
        <f>'Net zero Activity data'!BG64*'Net zero supporting data'!AE156</f>
        <v>17770682.5904673</v>
      </c>
      <c r="AF167">
        <f>'Net zero Activity data'!BH64*'Net zero supporting data'!AF156</f>
        <v>18180213.878449038</v>
      </c>
      <c r="AG167">
        <f>'Net zero Activity data'!BI64*'Net zero supporting data'!AG156</f>
        <v>18603927.357872151</v>
      </c>
      <c r="AH167">
        <f>'Net zero Activity data'!BJ64*'Net zero supporting data'!AH156</f>
        <v>19043591.826239809</v>
      </c>
      <c r="AI167">
        <f>'Net zero Activity data'!BK64*'Net zero supporting data'!AI156</f>
        <v>19501991.632835105</v>
      </c>
      <c r="AJ167">
        <f>'Net zero Activity data'!BL64*'Net zero supporting data'!AJ156</f>
        <v>19972633.445720825</v>
      </c>
      <c r="AK167">
        <f>'Net zero Activity data'!BM64*'Net zero supporting data'!AK156</f>
        <v>20137482.593597423</v>
      </c>
      <c r="AL167">
        <f>'Net zero Activity data'!BN64*'Net zero supporting data'!AL156</f>
        <v>20274017.834229618</v>
      </c>
      <c r="AM167">
        <f>'Net zero Activity data'!BO64*'Net zero supporting data'!AM156</f>
        <v>20369365.504729442</v>
      </c>
      <c r="AN167">
        <f>'Net zero Activity data'!BP64*'Net zero supporting data'!AN156</f>
        <v>20452517.467479631</v>
      </c>
    </row>
    <row r="168" spans="1:40" x14ac:dyDescent="0.3">
      <c r="A168" t="s">
        <v>1141</v>
      </c>
      <c r="B168">
        <f>'Net zero Activity data'!AD65*'Net zero supporting data'!B156</f>
        <v>0</v>
      </c>
      <c r="C168">
        <f>'Net zero Activity data'!AE65*'Net zero supporting data'!C156</f>
        <v>0</v>
      </c>
      <c r="D168">
        <f>'Net zero Activity data'!AF65*'Net zero supporting data'!D156</f>
        <v>0</v>
      </c>
      <c r="E168">
        <f>'Net zero Activity data'!AG65*'Net zero supporting data'!E156</f>
        <v>0</v>
      </c>
      <c r="F168">
        <f>'Net zero Activity data'!AH65*'Net zero supporting data'!F156</f>
        <v>0</v>
      </c>
      <c r="G168">
        <f>'Net zero Activity data'!AI65*'Net zero supporting data'!G156</f>
        <v>0</v>
      </c>
      <c r="H168">
        <f>'Net zero Activity data'!AJ65*'Net zero supporting data'!H156</f>
        <v>0</v>
      </c>
      <c r="I168">
        <f>'Net zero Activity data'!AK65*'Net zero supporting data'!I156</f>
        <v>0</v>
      </c>
      <c r="J168">
        <f>'Net zero Activity data'!AL65*'Net zero supporting data'!J156</f>
        <v>0</v>
      </c>
      <c r="K168">
        <f>'Net zero Activity data'!AM65*'Net zero supporting data'!K156</f>
        <v>2220964.2816062858</v>
      </c>
      <c r="L168">
        <f>'Net zero Activity data'!AN65*'Net zero supporting data'!L156</f>
        <v>4711992.8595600855</v>
      </c>
      <c r="M168">
        <f>'Net zero Activity data'!AO65*'Net zero supporting data'!M156</f>
        <v>7224158.6268942952</v>
      </c>
      <c r="N168">
        <f>'Net zero Activity data'!AP65*'Net zero supporting data'!N156</f>
        <v>9881393.7540371697</v>
      </c>
      <c r="O168">
        <f>'Net zero Activity data'!AQ65*'Net zero supporting data'!O156</f>
        <v>12730240.228592651</v>
      </c>
      <c r="P168">
        <f>'Net zero Activity data'!AR65*'Net zero supporting data'!P156</f>
        <v>15797842.2295301</v>
      </c>
      <c r="Q168">
        <f>'Net zero Activity data'!AS65*'Net zero supporting data'!Q156</f>
        <v>19112221.796848744</v>
      </c>
      <c r="R168">
        <f>'Net zero Activity data'!AT65*'Net zero supporting data'!R156</f>
        <v>22637825.922161385</v>
      </c>
      <c r="S168">
        <f>'Net zero Activity data'!AU65*'Net zero supporting data'!S156</f>
        <v>26448763.557259377</v>
      </c>
      <c r="T168">
        <f>'Net zero Activity data'!AV65*'Net zero supporting data'!T156</f>
        <v>30491726.588457398</v>
      </c>
      <c r="U168">
        <f>'Net zero Activity data'!AW65*'Net zero supporting data'!U156</f>
        <v>34958838.866212919</v>
      </c>
      <c r="V168">
        <f>'Net zero Activity data'!AX65*'Net zero supporting data'!V156</f>
        <v>39638049.238642424</v>
      </c>
      <c r="W168">
        <f>'Net zero Activity data'!AY65*'Net zero supporting data'!W156</f>
        <v>44656641.934225485</v>
      </c>
      <c r="X168">
        <f>'Net zero Activity data'!AZ65*'Net zero supporting data'!X156</f>
        <v>50212189.082647637</v>
      </c>
      <c r="Y168">
        <f>'Net zero Activity data'!BA65*'Net zero supporting data'!Y156</f>
        <v>55911529.590381898</v>
      </c>
      <c r="Z168">
        <f>'Net zero Activity data'!BB65*'Net zero supporting data'!Z156</f>
        <v>62066506.425395496</v>
      </c>
      <c r="AA168">
        <f>'Net zero Activity data'!BC65*'Net zero supporting data'!AA156</f>
        <v>68707154.700075388</v>
      </c>
      <c r="AB168">
        <f>'Net zero Activity data'!BD65*'Net zero supporting data'!AB156</f>
        <v>75431784.276853085</v>
      </c>
      <c r="AC168">
        <f>'Net zero Activity data'!BE65*'Net zero supporting data'!AC156</f>
        <v>82409520.517327175</v>
      </c>
      <c r="AD168">
        <f>'Net zero Activity data'!BF65*'Net zero supporting data'!AD156</f>
        <v>89643966.489442006</v>
      </c>
      <c r="AE168">
        <f>'Net zero Activity data'!BG65*'Net zero supporting data'!AE156</f>
        <v>92863514.641776413</v>
      </c>
      <c r="AF168">
        <f>'Net zero Activity data'!BH65*'Net zero supporting data'!AF156</f>
        <v>95909508.705964968</v>
      </c>
      <c r="AG168">
        <f>'Net zero Activity data'!BI65*'Net zero supporting data'!AG156</f>
        <v>99066495.115663901</v>
      </c>
      <c r="AH168">
        <f>'Net zero Activity data'!BJ65*'Net zero supporting data'!AH156</f>
        <v>102350758.45726582</v>
      </c>
      <c r="AI168">
        <f>'Net zero Activity data'!BK65*'Net zero supporting data'!AI156</f>
        <v>105788451.82895119</v>
      </c>
      <c r="AJ168">
        <f>'Net zero Activity data'!BL65*'Net zero supporting data'!AJ156</f>
        <v>109418602.66846222</v>
      </c>
      <c r="AK168">
        <f>'Net zero Activity data'!BM65*'Net zero supporting data'!AK156</f>
        <v>109971274.54345918</v>
      </c>
      <c r="AL168">
        <f>'Net zero Activity data'!BN65*'Net zero supporting data'!AL156</f>
        <v>110240904.75958242</v>
      </c>
      <c r="AM168">
        <f>'Net zero Activity data'!BO65*'Net zero supporting data'!AM156</f>
        <v>110105200.41602933</v>
      </c>
      <c r="AN168">
        <f>'Net zero Activity data'!BP65*'Net zero supporting data'!AN156</f>
        <v>109854108.06472076</v>
      </c>
    </row>
    <row r="169" spans="1:40" x14ac:dyDescent="0.3">
      <c r="A169" t="s">
        <v>1130</v>
      </c>
      <c r="B169">
        <f>'Net zero Activity data'!AD47-'Net zero supporting data'!B157</f>
        <v>420412.44040319067</v>
      </c>
      <c r="C169">
        <f>'Net zero Activity data'!AE47-'Net zero supporting data'!C157</f>
        <v>420370.63208542793</v>
      </c>
      <c r="D169">
        <f>'Net zero Activity data'!AF47-'Net zero supporting data'!D157</f>
        <v>420293.97941895307</v>
      </c>
      <c r="E169">
        <f>'Net zero Activity data'!AG47-'Net zero supporting data'!E157</f>
        <v>420202.36042538215</v>
      </c>
      <c r="F169">
        <f>'Net zero Activity data'!AH47-'Net zero supporting data'!F157</f>
        <v>420140.46793410828</v>
      </c>
      <c r="G169">
        <f>'Net zero Activity data'!AI47-'Net zero supporting data'!G157</f>
        <v>420097.87517675856</v>
      </c>
      <c r="H169">
        <f>'Net zero Activity data'!AJ47-'Net zero supporting data'!H157</f>
        <v>420074.55150380987</v>
      </c>
      <c r="I169">
        <f>'Net zero Activity data'!AK47-'Net zero supporting data'!I157</f>
        <v>420036.81808268238</v>
      </c>
      <c r="J169">
        <f>'Net zero Activity data'!AL47-'Net zero supporting data'!J157</f>
        <v>419997.18193188205</v>
      </c>
      <c r="K169">
        <f>'Net zero Activity data'!AM47-'Net zero supporting data'!K157</f>
        <v>399259.06058186473</v>
      </c>
      <c r="L169">
        <f>'Net zero Activity data'!AN47-'Net zero supporting data'!L157</f>
        <v>378147.10046433337</v>
      </c>
      <c r="M169">
        <f>'Net zero Activity data'!AO47-'Net zero supporting data'!M157</f>
        <v>357012.1861919341</v>
      </c>
      <c r="N169">
        <f>'Net zero Activity data'!AP47-'Net zero supporting data'!N157</f>
        <v>335947.36856239417</v>
      </c>
      <c r="O169">
        <f>'Net zero Activity data'!AQ47-'Net zero supporting data'!O157</f>
        <v>314884.93182258448</v>
      </c>
      <c r="P169">
        <f>'Net zero Activity data'!AR47-'Net zero supporting data'!P157</f>
        <v>293824.40007771034</v>
      </c>
      <c r="Q169">
        <f>'Net zero Activity data'!AS47-'Net zero supporting data'!Q157</f>
        <v>272770.46306967165</v>
      </c>
      <c r="R169">
        <f>'Net zero Activity data'!AT47-'Net zero supporting data'!R157</f>
        <v>251722.62746480154</v>
      </c>
      <c r="S169">
        <f>'Net zero Activity data'!AU47-'Net zero supporting data'!S157</f>
        <v>230685.57769273396</v>
      </c>
      <c r="T169">
        <f>'Net zero Activity data'!AV47-'Net zero supporting data'!T157</f>
        <v>209656.55632922886</v>
      </c>
      <c r="U169">
        <f>'Net zero Activity data'!AW47-'Net zero supporting data'!U157</f>
        <v>188639.28726385796</v>
      </c>
      <c r="V169">
        <f>'Net zero Activity data'!AX47-'Net zero supporting data'!V157</f>
        <v>167629.6263996562</v>
      </c>
      <c r="W169">
        <f>'Net zero Activity data'!AY47-'Net zero supporting data'!W157</f>
        <v>146634.00477752101</v>
      </c>
      <c r="X169">
        <f>'Net zero Activity data'!AZ47-'Net zero supporting data'!X157</f>
        <v>125649.45036686183</v>
      </c>
      <c r="Y169">
        <f>'Net zero Activity data'!BA47-'Net zero supporting data'!Y157</f>
        <v>104674.31351523107</v>
      </c>
      <c r="Z169">
        <f>'Net zero Activity data'!BB47-'Net zero supporting data'!Z157</f>
        <v>83714.483012829965</v>
      </c>
      <c r="AA169">
        <f>'Net zero Activity data'!BC47-'Net zero supporting data'!AA157</f>
        <v>62766.634564109088</v>
      </c>
      <c r="AB169">
        <f>'Net zero Activity data'!BD47-'Net zero supporting data'!AB157</f>
        <v>41831.126862345496</v>
      </c>
      <c r="AC169">
        <f>'Net zero Activity data'!BE47-'Net zero supporting data'!AC157</f>
        <v>20909.453441406309</v>
      </c>
      <c r="AD169">
        <f>'Net zero Activity data'!BF47-'Net zero supporting data'!AD157</f>
        <v>0</v>
      </c>
      <c r="AE169">
        <f>'Net zero Activity data'!BG47-'Net zero supporting data'!AE157</f>
        <v>0</v>
      </c>
      <c r="AF169">
        <f>'Net zero Activity data'!BH47-'Net zero supporting data'!AF157</f>
        <v>0</v>
      </c>
      <c r="AG169">
        <f>'Net zero Activity data'!BI47-'Net zero supporting data'!AG157</f>
        <v>0</v>
      </c>
      <c r="AH169">
        <f>'Net zero Activity data'!BJ47-'Net zero supporting data'!AH157</f>
        <v>0</v>
      </c>
      <c r="AI169">
        <f>'Net zero Activity data'!BK47-'Net zero supporting data'!AI157</f>
        <v>0</v>
      </c>
      <c r="AJ169">
        <f>'Net zero Activity data'!BL47-'Net zero supporting data'!AJ157</f>
        <v>0</v>
      </c>
      <c r="AK169">
        <f>'Net zero Activity data'!BM47-'Net zero supporting data'!AK157</f>
        <v>0</v>
      </c>
      <c r="AL169">
        <f>'Net zero Activity data'!BN47-'Net zero supporting data'!AL157</f>
        <v>0</v>
      </c>
      <c r="AM169">
        <f>'Net zero Activity data'!BO47-'Net zero supporting data'!AM157</f>
        <v>0</v>
      </c>
      <c r="AN169">
        <f>'Net zero Activity data'!BP47-'Net zero supporting data'!AN157</f>
        <v>0</v>
      </c>
    </row>
    <row r="170" spans="1:40" x14ac:dyDescent="0.3">
      <c r="A170" t="s">
        <v>1131</v>
      </c>
      <c r="B170">
        <f>'Net zero Activity data'!AD48-'Net zero supporting data'!B158</f>
        <v>2774.7221066610591</v>
      </c>
      <c r="C170">
        <f>'Net zero Activity data'!AE48-'Net zero supporting data'!C158</f>
        <v>2774.4461717638246</v>
      </c>
      <c r="D170">
        <f>'Net zero Activity data'!AF48-'Net zero supporting data'!D158</f>
        <v>2773.9402641650904</v>
      </c>
      <c r="E170">
        <f>'Net zero Activity data'!AG48-'Net zero supporting data'!E158</f>
        <v>2773.3355788075228</v>
      </c>
      <c r="F170">
        <f>'Net zero Activity data'!AH48-'Net zero supporting data'!F158</f>
        <v>2772.9270883651152</v>
      </c>
      <c r="G170">
        <f>'Net zero Activity data'!AI48-'Net zero supporting data'!G158</f>
        <v>2772.6459761666069</v>
      </c>
      <c r="H170">
        <f>'Net zero Activity data'!AJ48-'Net zero supporting data'!H158</f>
        <v>2772.4920399251459</v>
      </c>
      <c r="I170">
        <f>'Net zero Activity data'!AK48-'Net zero supporting data'!I158</f>
        <v>2772.2429993457044</v>
      </c>
      <c r="J170">
        <f>'Net zero Activity data'!AL48-'Net zero supporting data'!J158</f>
        <v>2771.9814007504219</v>
      </c>
      <c r="K170">
        <f>'Net zero Activity data'!AM48-'Net zero supporting data'!K158</f>
        <v>2635.1097998403079</v>
      </c>
      <c r="L170">
        <f>'Net zero Activity data'!AN48-'Net zero supporting data'!L158</f>
        <v>2495.7708630646011</v>
      </c>
      <c r="M170">
        <f>'Net zero Activity data'!AO48-'Net zero supporting data'!M158</f>
        <v>2356.2804288667658</v>
      </c>
      <c r="N170">
        <f>'Net zero Activity data'!AP48-'Net zero supporting data'!N158</f>
        <v>2217.2526325118015</v>
      </c>
      <c r="O170">
        <f>'Net zero Activity data'!AQ48-'Net zero supporting data'!O158</f>
        <v>2078.2405500290579</v>
      </c>
      <c r="P170">
        <f>'Net zero Activity data'!AR48-'Net zero supporting data'!P158</f>
        <v>1939.2410405128885</v>
      </c>
      <c r="Q170">
        <f>'Net zero Activity data'!AS48-'Net zero supporting data'!Q158</f>
        <v>1800.2850562598333</v>
      </c>
      <c r="R170">
        <f>'Net zero Activity data'!AT48-'Net zero supporting data'!R158</f>
        <v>1661.3693412676905</v>
      </c>
      <c r="S170">
        <f>'Net zero Activity data'!AU48-'Net zero supporting data'!S158</f>
        <v>1522.5248127720442</v>
      </c>
      <c r="T170">
        <f>'Net zero Activity data'!AV48-'Net zero supporting data'!T158</f>
        <v>1383.7332717729107</v>
      </c>
      <c r="U170">
        <f>'Net zero Activity data'!AW48-'Net zero supporting data'!U158</f>
        <v>1245.0192959414628</v>
      </c>
      <c r="V170">
        <f>'Net zero Activity data'!AX48-'Net zero supporting data'!V158</f>
        <v>1106.3555342377313</v>
      </c>
      <c r="W170">
        <f>'Net zero Activity data'!AY48-'Net zero supporting data'!W158</f>
        <v>967.7844315316388</v>
      </c>
      <c r="X170">
        <f>'Net zero Activity data'!AZ48-'Net zero supporting data'!X158</f>
        <v>829.28637242128821</v>
      </c>
      <c r="Y170">
        <f>'Net zero Activity data'!BA48-'Net zero supporting data'!Y158</f>
        <v>690.85046920052491</v>
      </c>
      <c r="Z170">
        <f>'Net zero Activity data'!BB48-'Net zero supporting data'!Z158</f>
        <v>552.51558788467764</v>
      </c>
      <c r="AA170">
        <f>'Net zero Activity data'!BC48-'Net zero supporting data'!AA158</f>
        <v>414.25978812311996</v>
      </c>
      <c r="AB170">
        <f>'Net zero Activity data'!BD48-'Net zero supporting data'!AB158</f>
        <v>276.08543729148005</v>
      </c>
      <c r="AC170">
        <f>'Net zero Activity data'!BE48-'Net zero supporting data'!AC158</f>
        <v>138.00239271328201</v>
      </c>
      <c r="AD170">
        <f>'Net zero Activity data'!BF48-'Net zero supporting data'!AD158</f>
        <v>0</v>
      </c>
      <c r="AE170">
        <f>'Net zero Activity data'!BG48-'Net zero supporting data'!AE158</f>
        <v>0</v>
      </c>
      <c r="AF170">
        <f>'Net zero Activity data'!BH48-'Net zero supporting data'!AF158</f>
        <v>0</v>
      </c>
      <c r="AG170">
        <f>'Net zero Activity data'!BI48-'Net zero supporting data'!AG158</f>
        <v>0</v>
      </c>
      <c r="AH170">
        <f>'Net zero Activity data'!BJ48-'Net zero supporting data'!AH158</f>
        <v>0</v>
      </c>
      <c r="AI170">
        <f>'Net zero Activity data'!BK48-'Net zero supporting data'!AI158</f>
        <v>0</v>
      </c>
      <c r="AJ170">
        <f>'Net zero Activity data'!BL48-'Net zero supporting data'!AJ158</f>
        <v>0</v>
      </c>
      <c r="AK170">
        <f>'Net zero Activity data'!BM48-'Net zero supporting data'!AK158</f>
        <v>0</v>
      </c>
      <c r="AL170">
        <f>'Net zero Activity data'!BN48-'Net zero supporting data'!AL158</f>
        <v>0</v>
      </c>
      <c r="AM170">
        <f>'Net zero Activity data'!BO48-'Net zero supporting data'!AM158</f>
        <v>0</v>
      </c>
      <c r="AN170">
        <f>'Net zero Activity data'!BP48-'Net zero supporting data'!AN158</f>
        <v>0</v>
      </c>
    </row>
    <row r="171" spans="1:40" x14ac:dyDescent="0.3">
      <c r="A171" t="s">
        <v>1142</v>
      </c>
      <c r="B171">
        <f>'Net zero Activity data'!AD50-'Net zero supporting data'!B159</f>
        <v>20286067.697994635</v>
      </c>
      <c r="C171">
        <f>'Net zero Activity data'!AE50-'Net zero supporting data'!C159</f>
        <v>20399477.190366853</v>
      </c>
      <c r="D171">
        <f>'Net zero Activity data'!AF50-'Net zero supporting data'!D159</f>
        <v>20560385.837839566</v>
      </c>
      <c r="E171">
        <f>'Net zero Activity data'!AG50-'Net zero supporting data'!E159</f>
        <v>20663786.784143396</v>
      </c>
      <c r="F171">
        <f>'Net zero Activity data'!AH50-'Net zero supporting data'!F159</f>
        <v>20732497.185878467</v>
      </c>
      <c r="G171">
        <f>'Net zero Activity data'!AI50-'Net zero supporting data'!G159</f>
        <v>20765840.779266838</v>
      </c>
      <c r="H171">
        <f>'Net zero Activity data'!AJ50-'Net zero supporting data'!H159</f>
        <v>20839509.186275803</v>
      </c>
      <c r="I171">
        <f>'Net zero Activity data'!AK50-'Net zero supporting data'!I159</f>
        <v>20924019.222796645</v>
      </c>
      <c r="J171">
        <f>'Net zero Activity data'!AL50-'Net zero supporting data'!J159</f>
        <v>20295051.583426073</v>
      </c>
      <c r="K171">
        <f>'Net zero Activity data'!AM50-'Net zero supporting data'!K159</f>
        <v>19483033.642361894</v>
      </c>
      <c r="L171">
        <f>'Net zero Activity data'!AN50-'Net zero supporting data'!L159</f>
        <v>18738742.270952411</v>
      </c>
      <c r="M171">
        <f>'Net zero Activity data'!AO50-'Net zero supporting data'!M159</f>
        <v>17835322.828349438</v>
      </c>
      <c r="N171">
        <f>'Net zero Activity data'!AP50-'Net zero supporting data'!N159</f>
        <v>16934217.618826531</v>
      </c>
      <c r="O171">
        <f>'Net zero Activity data'!AQ50-'Net zero supporting data'!O159</f>
        <v>16036451.706153251</v>
      </c>
      <c r="P171">
        <f>'Net zero Activity data'!AR50-'Net zero supporting data'!P159</f>
        <v>15120445.925559439</v>
      </c>
      <c r="Q171">
        <f>'Net zero Activity data'!AS50-'Net zero supporting data'!Q159</f>
        <v>14197762.3531509</v>
      </c>
      <c r="R171">
        <f>'Net zero Activity data'!AT50-'Net zero supporting data'!R159</f>
        <v>13255370.632683292</v>
      </c>
      <c r="S171">
        <f>'Net zero Activity data'!AU50-'Net zero supporting data'!S159</f>
        <v>12300026.555441618</v>
      </c>
      <c r="T171">
        <f>'Net zero Activity data'!AV50-'Net zero supporting data'!T159</f>
        <v>11320603.593534095</v>
      </c>
      <c r="U171">
        <f>'Net zero Activity data'!AW50-'Net zero supporting data'!U159</f>
        <v>10323460.390933439</v>
      </c>
      <c r="V171">
        <f>'Net zero Activity data'!AX50-'Net zero supporting data'!V159</f>
        <v>9294712.4719510917</v>
      </c>
      <c r="W171">
        <f>'Net zero Activity data'!AY50-'Net zero supporting data'!W159</f>
        <v>8242133.0731425025</v>
      </c>
      <c r="X171">
        <f>'Net zero Activity data'!AZ50-'Net zero supporting data'!X159</f>
        <v>7170620.4092862401</v>
      </c>
      <c r="Y171">
        <f>'Net zero Activity data'!BA50-'Net zero supporting data'!Y159</f>
        <v>6059450.1269862466</v>
      </c>
      <c r="Z171">
        <f>'Net zero Activity data'!BB50-'Net zero supporting data'!Z159</f>
        <v>4916418.4769595228</v>
      </c>
      <c r="AA171">
        <f>'Net zero Activity data'!BC50-'Net zero supporting data'!AA159</f>
        <v>3742544.5445124358</v>
      </c>
      <c r="AB171">
        <f>'Net zero Activity data'!BD50-'Net zero supporting data'!AB159</f>
        <v>2529526.0279442556</v>
      </c>
      <c r="AC171">
        <f>'Net zero Activity data'!BE50-'Net zero supporting data'!AC159</f>
        <v>1281917.5787203535</v>
      </c>
      <c r="AD171">
        <f>'Net zero Activity data'!BF50-'Net zero supporting data'!AD159</f>
        <v>0</v>
      </c>
      <c r="AE171">
        <f>'Net zero Activity data'!BG50-'Net zero supporting data'!AE159</f>
        <v>0</v>
      </c>
      <c r="AF171">
        <f>'Net zero Activity data'!BH50-'Net zero supporting data'!AF159</f>
        <v>0</v>
      </c>
      <c r="AG171">
        <f>'Net zero Activity data'!BI50-'Net zero supporting data'!AG159</f>
        <v>0</v>
      </c>
      <c r="AH171">
        <f>'Net zero Activity data'!BJ50-'Net zero supporting data'!AH159</f>
        <v>0</v>
      </c>
      <c r="AI171">
        <f>'Net zero Activity data'!BK50-'Net zero supporting data'!AI159</f>
        <v>0</v>
      </c>
      <c r="AJ171">
        <f>'Net zero Activity data'!BL50-'Net zero supporting data'!AJ159</f>
        <v>0</v>
      </c>
      <c r="AK171">
        <f>'Net zero Activity data'!BM50-'Net zero supporting data'!AK159</f>
        <v>0</v>
      </c>
      <c r="AL171">
        <f>'Net zero Activity data'!BN50-'Net zero supporting data'!AL159</f>
        <v>0</v>
      </c>
      <c r="AM171">
        <f>'Net zero Activity data'!BO50-'Net zero supporting data'!AM159</f>
        <v>0</v>
      </c>
      <c r="AN171">
        <f>'Net zero Activity data'!BP50-'Net zero supporting data'!AN159</f>
        <v>0</v>
      </c>
    </row>
    <row r="172" spans="1:40" x14ac:dyDescent="0.3">
      <c r="A172" t="s">
        <v>1143</v>
      </c>
      <c r="B172">
        <f>'Net zero Activity data'!AD51-'Net zero supporting data'!B160</f>
        <v>59315868.867694005</v>
      </c>
      <c r="C172">
        <f>'Net zero Activity data'!AE51-'Net zero supporting data'!C160</f>
        <v>59647474.907762945</v>
      </c>
      <c r="D172">
        <f>'Net zero Activity data'!AF51-'Net zero supporting data'!D160</f>
        <v>60117967.088665649</v>
      </c>
      <c r="E172">
        <f>'Net zero Activity data'!AG51-'Net zero supporting data'!E160</f>
        <v>60420308.43263936</v>
      </c>
      <c r="F172">
        <f>'Net zero Activity data'!AH51-'Net zero supporting data'!F160</f>
        <v>60621215.63850297</v>
      </c>
      <c r="G172">
        <f>'Net zero Activity data'!AI51-'Net zero supporting data'!G160</f>
        <v>60718711.330740944</v>
      </c>
      <c r="H172">
        <f>'Net zero Activity data'!AJ51-'Net zero supporting data'!H160</f>
        <v>60934115.599073708</v>
      </c>
      <c r="I172">
        <f>'Net zero Activity data'!AK51-'Net zero supporting data'!I160</f>
        <v>61181220.475134537</v>
      </c>
      <c r="J172">
        <f>'Net zero Activity data'!AL51-'Net zero supporting data'!J160</f>
        <v>59342137.486043647</v>
      </c>
      <c r="K172">
        <f>'Net zero Activity data'!AM51-'Net zero supporting data'!K160</f>
        <v>56967820.766439132</v>
      </c>
      <c r="L172">
        <f>'Net zero Activity data'!AN51-'Net zero supporting data'!L160</f>
        <v>54791534.556458406</v>
      </c>
      <c r="M172">
        <f>'Net zero Activity data'!AO51-'Net zero supporting data'!M160</f>
        <v>52149962.518558711</v>
      </c>
      <c r="N172">
        <f>'Net zero Activity data'!AP51-'Net zero supporting data'!N160</f>
        <v>49515157.23052644</v>
      </c>
      <c r="O172">
        <f>'Net zero Activity data'!AQ51-'Net zero supporting data'!O160</f>
        <v>46890115.948855177</v>
      </c>
      <c r="P172">
        <f>'Net zero Activity data'!AR51-'Net zero supporting data'!P160</f>
        <v>44211741.82664305</v>
      </c>
      <c r="Q172">
        <f>'Net zero Activity data'!AS51-'Net zero supporting data'!Q160</f>
        <v>41513842.036395833</v>
      </c>
      <c r="R172">
        <f>'Net zero Activity data'!AT51-'Net zero supporting data'!R160</f>
        <v>38758316.197409168</v>
      </c>
      <c r="S172">
        <f>'Net zero Activity data'!AU51-'Net zero supporting data'!S160</f>
        <v>35964918.045888796</v>
      </c>
      <c r="T172">
        <f>'Net zero Activity data'!AV51-'Net zero supporting data'!T160</f>
        <v>33101113.939573113</v>
      </c>
      <c r="U172">
        <f>'Net zero Activity data'!AW51-'Net zero supporting data'!U160</f>
        <v>30185496.367537707</v>
      </c>
      <c r="V172">
        <f>'Net zero Activity data'!AX51-'Net zero supporting data'!V160</f>
        <v>27177467.528794244</v>
      </c>
      <c r="W172">
        <f>'Net zero Activity data'!AY51-'Net zero supporting data'!W160</f>
        <v>24099756.139773376</v>
      </c>
      <c r="X172">
        <f>'Net zero Activity data'!AZ51-'Net zero supporting data'!X160</f>
        <v>20966684.437283963</v>
      </c>
      <c r="Y172">
        <f>'Net zero Activity data'!BA51-'Net zero supporting data'!Y160</f>
        <v>17717655.017890848</v>
      </c>
      <c r="Z172">
        <f>'Net zero Activity data'!BB51-'Net zero supporting data'!Z160</f>
        <v>14375463.890760221</v>
      </c>
      <c r="AA172">
        <f>'Net zero Activity data'!BC51-'Net zero supporting data'!AA160</f>
        <v>10943090.831534006</v>
      </c>
      <c r="AB172">
        <f>'Net zero Activity data'!BD51-'Net zero supporting data'!AB160</f>
        <v>7396260.1527644843</v>
      </c>
      <c r="AC172">
        <f>'Net zero Activity data'!BE51-'Net zero supporting data'!AC160</f>
        <v>3748289.5221770853</v>
      </c>
      <c r="AD172">
        <f>'Net zero Activity data'!BF51-'Net zero supporting data'!AD160</f>
        <v>0</v>
      </c>
      <c r="AE172">
        <f>'Net zero Activity data'!BG51-'Net zero supporting data'!AE160</f>
        <v>0</v>
      </c>
      <c r="AF172">
        <f>'Net zero Activity data'!BH51-'Net zero supporting data'!AF160</f>
        <v>0</v>
      </c>
      <c r="AG172">
        <f>'Net zero Activity data'!BI51-'Net zero supporting data'!AG160</f>
        <v>0</v>
      </c>
      <c r="AH172">
        <f>'Net zero Activity data'!BJ51-'Net zero supporting data'!AH160</f>
        <v>0</v>
      </c>
      <c r="AI172">
        <f>'Net zero Activity data'!BK51-'Net zero supporting data'!AI160</f>
        <v>0</v>
      </c>
      <c r="AJ172">
        <f>'Net zero Activity data'!BL51-'Net zero supporting data'!AJ160</f>
        <v>0</v>
      </c>
      <c r="AK172">
        <f>'Net zero Activity data'!BM51-'Net zero supporting data'!AK160</f>
        <v>0</v>
      </c>
      <c r="AL172">
        <f>'Net zero Activity data'!BN51-'Net zero supporting data'!AL160</f>
        <v>0</v>
      </c>
      <c r="AM172">
        <f>'Net zero Activity data'!BO51-'Net zero supporting data'!AM160</f>
        <v>0</v>
      </c>
      <c r="AN172">
        <f>'Net zero Activity data'!BP51-'Net zero supporting data'!AN160</f>
        <v>0</v>
      </c>
    </row>
    <row r="173" spans="1:40" x14ac:dyDescent="0.3">
      <c r="A173" t="s">
        <v>1144</v>
      </c>
      <c r="B173">
        <f>'Net zero Activity data'!AD52-'Net zero supporting data'!B161</f>
        <v>3173064.5386902587</v>
      </c>
      <c r="C173">
        <f>'Net zero Activity data'!AE52-'Net zero supporting data'!C161</f>
        <v>3190803.5921112783</v>
      </c>
      <c r="D173">
        <f>'Net zero Activity data'!AF52-'Net zero supporting data'!D161</f>
        <v>3215972.2709733113</v>
      </c>
      <c r="E173">
        <f>'Net zero Activity data'!AG52-'Net zero supporting data'!E161</f>
        <v>3232145.8281588736</v>
      </c>
      <c r="F173">
        <f>'Net zero Activity data'!AH52-'Net zero supporting data'!F161</f>
        <v>3242893.2308803108</v>
      </c>
      <c r="G173">
        <f>'Net zero Activity data'!AI52-'Net zero supporting data'!G161</f>
        <v>3248108.7006967515</v>
      </c>
      <c r="H173">
        <f>'Net zero Activity data'!AJ52-'Net zero supporting data'!H161</f>
        <v>3259631.6145202648</v>
      </c>
      <c r="I173">
        <f>'Net zero Activity data'!AK52-'Net zero supporting data'!I161</f>
        <v>3272850.3321169834</v>
      </c>
      <c r="J173">
        <f>'Net zero Activity data'!AL52-'Net zero supporting data'!J161</f>
        <v>3174469.7616593693</v>
      </c>
      <c r="K173">
        <f>'Net zero Activity data'!AM52-'Net zero supporting data'!K161</f>
        <v>3047457.2044733488</v>
      </c>
      <c r="L173">
        <f>'Net zero Activity data'!AN52-'Net zero supporting data'!L161</f>
        <v>2931038.1629798594</v>
      </c>
      <c r="M173">
        <f>'Net zero Activity data'!AO52-'Net zero supporting data'!M161</f>
        <v>2789728.9531535422</v>
      </c>
      <c r="N173">
        <f>'Net zero Activity data'!AP52-'Net zero supporting data'!N161</f>
        <v>2648781.726291588</v>
      </c>
      <c r="O173">
        <f>'Net zero Activity data'!AQ52-'Net zero supporting data'!O161</f>
        <v>2508356.818716717</v>
      </c>
      <c r="P173">
        <f>'Net zero Activity data'!AR52-'Net zero supporting data'!P161</f>
        <v>2365078.9048840208</v>
      </c>
      <c r="Q173">
        <f>'Net zero Activity data'!AS52-'Net zero supporting data'!Q161</f>
        <v>2220756.4779046904</v>
      </c>
      <c r="R173">
        <f>'Net zero Activity data'!AT52-'Net zero supporting data'!R161</f>
        <v>2073351.382235673</v>
      </c>
      <c r="S173">
        <f>'Net zero Activity data'!AU52-'Net zero supporting data'!S161</f>
        <v>1923920.331384799</v>
      </c>
      <c r="T173">
        <f>'Net zero Activity data'!AV52-'Net zero supporting data'!T161</f>
        <v>1770722.958928284</v>
      </c>
      <c r="U173">
        <f>'Net zero Activity data'!AW52-'Net zero supporting data'!U161</f>
        <v>1614753.8582000565</v>
      </c>
      <c r="V173">
        <f>'Net zero Activity data'!AX52-'Net zero supporting data'!V161</f>
        <v>1453841.2757532881</v>
      </c>
      <c r="W173">
        <f>'Net zero Activity data'!AY52-'Net zero supporting data'!W161</f>
        <v>1289201.0697637554</v>
      </c>
      <c r="X173">
        <f>'Net zero Activity data'!AZ52-'Net zero supporting data'!X161</f>
        <v>1121599.3991464404</v>
      </c>
      <c r="Y173">
        <f>'Net zero Activity data'!BA52-'Net zero supporting data'!Y161</f>
        <v>947794.64448908065</v>
      </c>
      <c r="Z173">
        <f>'Net zero Activity data'!BB52-'Net zero supporting data'!Z161</f>
        <v>769006.26374938013</v>
      </c>
      <c r="AA173">
        <f>'Net zero Activity data'!BC52-'Net zero supporting data'!AA161</f>
        <v>585393.65812305873</v>
      </c>
      <c r="AB173">
        <f>'Net zero Activity data'!BD52-'Net zero supporting data'!AB161</f>
        <v>395658.21520734578</v>
      </c>
      <c r="AC173">
        <f>'Net zero Activity data'!BE52-'Net zero supporting data'!AC161</f>
        <v>200512.35513540823</v>
      </c>
      <c r="AD173">
        <f>'Net zero Activity data'!BF52-'Net zero supporting data'!AD161</f>
        <v>0</v>
      </c>
      <c r="AE173">
        <f>'Net zero Activity data'!BG52-'Net zero supporting data'!AE161</f>
        <v>0</v>
      </c>
      <c r="AF173">
        <f>'Net zero Activity data'!BH52-'Net zero supporting data'!AF161</f>
        <v>0</v>
      </c>
      <c r="AG173">
        <f>'Net zero Activity data'!BI52-'Net zero supporting data'!AG161</f>
        <v>0</v>
      </c>
      <c r="AH173">
        <f>'Net zero Activity data'!BJ52-'Net zero supporting data'!AH161</f>
        <v>0</v>
      </c>
      <c r="AI173">
        <f>'Net zero Activity data'!BK52-'Net zero supporting data'!AI161</f>
        <v>0</v>
      </c>
      <c r="AJ173">
        <f>'Net zero Activity data'!BL52-'Net zero supporting data'!AJ161</f>
        <v>0</v>
      </c>
      <c r="AK173">
        <f>'Net zero Activity data'!BM52-'Net zero supporting data'!AK161</f>
        <v>0</v>
      </c>
      <c r="AL173">
        <f>'Net zero Activity data'!BN52-'Net zero supporting data'!AL161</f>
        <v>0</v>
      </c>
      <c r="AM173">
        <f>'Net zero Activity data'!BO52-'Net zero supporting data'!AM161</f>
        <v>0</v>
      </c>
      <c r="AN173">
        <f>'Net zero Activity data'!BP52-'Net zero supporting data'!AN161</f>
        <v>0</v>
      </c>
    </row>
    <row r="174" spans="1:40" x14ac:dyDescent="0.3">
      <c r="A174" t="s">
        <v>1145</v>
      </c>
      <c r="B174">
        <f>'Net zero Activity data'!AD53-'Net zero supporting data'!B162</f>
        <v>25454532.089860566</v>
      </c>
      <c r="C174">
        <f>'Net zero Activity data'!AE53-'Net zero supporting data'!C162</f>
        <v>25233773.062151939</v>
      </c>
      <c r="D174">
        <f>'Net zero Activity data'!AF53-'Net zero supporting data'!D162</f>
        <v>25149736.783242289</v>
      </c>
      <c r="E174">
        <f>'Net zero Activity data'!AG53-'Net zero supporting data'!E162</f>
        <v>24813894.968798291</v>
      </c>
      <c r="F174">
        <f>'Net zero Activity data'!AH53-'Net zero supporting data'!F162</f>
        <v>24326412.373308245</v>
      </c>
      <c r="G174">
        <f>'Net zero Activity data'!AI53-'Net zero supporting data'!G162</f>
        <v>23697369.373689063</v>
      </c>
      <c r="H174">
        <f>'Net zero Activity data'!AJ53-'Net zero supporting data'!H162</f>
        <v>23201224.762306102</v>
      </c>
      <c r="I174">
        <f>'Net zero Activity data'!AK53-'Net zero supporting data'!I162</f>
        <v>22731815.556191605</v>
      </c>
      <c r="J174">
        <f>'Net zero Activity data'!AL53-'Net zero supporting data'!J162</f>
        <v>19997370.886669975</v>
      </c>
      <c r="K174">
        <f>'Net zero Activity data'!AM53-'Net zero supporting data'!K162</f>
        <v>19306079.028750088</v>
      </c>
      <c r="L174">
        <f>'Net zero Activity data'!AN53-'Net zero supporting data'!L162</f>
        <v>18835331.278607406</v>
      </c>
      <c r="M174">
        <f>'Net zero Activity data'!AO53-'Net zero supporting data'!M162</f>
        <v>17891788.17576028</v>
      </c>
      <c r="N174">
        <f>'Net zero Activity data'!AP53-'Net zero supporting data'!N162</f>
        <v>16978962.750401169</v>
      </c>
      <c r="O174">
        <f>'Net zero Activity data'!AQ53-'Net zero supporting data'!O162</f>
        <v>16100393.859924953</v>
      </c>
      <c r="P174">
        <f>'Net zero Activity data'!AR53-'Net zero supporting data'!P162</f>
        <v>15222538.862462474</v>
      </c>
      <c r="Q174">
        <f>'Net zero Activity data'!AS53-'Net zero supporting data'!Q162</f>
        <v>14348060.751760889</v>
      </c>
      <c r="R174">
        <f>'Net zero Activity data'!AT53-'Net zero supporting data'!R162</f>
        <v>13441743.26706817</v>
      </c>
      <c r="S174">
        <f>'Net zero Activity data'!AU53-'Net zero supporting data'!S162</f>
        <v>12525089.770854581</v>
      </c>
      <c r="T174">
        <f>'Net zero Activity data'!AV53-'Net zero supporting data'!T162</f>
        <v>11569601.921590813</v>
      </c>
      <c r="U174">
        <f>'Net zero Activity data'!AW53-'Net zero supporting data'!U162</f>
        <v>10520019.628627297</v>
      </c>
      <c r="V174">
        <f>'Net zero Activity data'!AX53-'Net zero supporting data'!V162</f>
        <v>9429497.2149916142</v>
      </c>
      <c r="W174">
        <f>'Net zero Activity data'!AY53-'Net zero supporting data'!W162</f>
        <v>8323253.102393901</v>
      </c>
      <c r="X174">
        <f>'Net zero Activity data'!AZ53-'Net zero supporting data'!X162</f>
        <v>7217298.0643014498</v>
      </c>
      <c r="Y174">
        <f>'Net zero Activity data'!BA53-'Net zero supporting data'!Y162</f>
        <v>6064206.0096838176</v>
      </c>
      <c r="Z174">
        <f>'Net zero Activity data'!BB53-'Net zero supporting data'!Z162</f>
        <v>4893816.7198363319</v>
      </c>
      <c r="AA174">
        <f>'Net zero Activity data'!BC53-'Net zero supporting data'!AA162</f>
        <v>3705410.6176149212</v>
      </c>
      <c r="AB174">
        <f>'Net zero Activity data'!BD53-'Net zero supporting data'!AB162</f>
        <v>2484833.4905772135</v>
      </c>
      <c r="AC174">
        <f>'Net zero Activity data'!BE53-'Net zero supporting data'!AC162</f>
        <v>1247878.2387280278</v>
      </c>
      <c r="AD174">
        <f>'Net zero Activity data'!BF53-'Net zero supporting data'!AD162</f>
        <v>0</v>
      </c>
      <c r="AE174">
        <f>'Net zero Activity data'!BG53-'Net zero supporting data'!AE162</f>
        <v>0</v>
      </c>
      <c r="AF174">
        <f>'Net zero Activity data'!BH53-'Net zero supporting data'!AF162</f>
        <v>0</v>
      </c>
      <c r="AG174">
        <f>'Net zero Activity data'!BI53-'Net zero supporting data'!AG162</f>
        <v>0</v>
      </c>
      <c r="AH174">
        <f>'Net zero Activity data'!BJ53-'Net zero supporting data'!AH162</f>
        <v>0</v>
      </c>
      <c r="AI174">
        <f>'Net zero Activity data'!BK53-'Net zero supporting data'!AI162</f>
        <v>0</v>
      </c>
      <c r="AJ174">
        <f>'Net zero Activity data'!BL53-'Net zero supporting data'!AJ162</f>
        <v>0</v>
      </c>
      <c r="AK174">
        <f>'Net zero Activity data'!BM53-'Net zero supporting data'!AK162</f>
        <v>0</v>
      </c>
      <c r="AL174">
        <f>'Net zero Activity data'!BN53-'Net zero supporting data'!AL162</f>
        <v>0</v>
      </c>
      <c r="AM174">
        <f>'Net zero Activity data'!BO53-'Net zero supporting data'!AM162</f>
        <v>0</v>
      </c>
      <c r="AN174">
        <f>'Net zero Activity data'!BP53-'Net zero supporting data'!AN162</f>
        <v>0</v>
      </c>
    </row>
    <row r="175" spans="1:40" x14ac:dyDescent="0.3">
      <c r="A175" t="s">
        <v>1146</v>
      </c>
      <c r="B175">
        <f>'Net zero Activity data'!AD55-'Net zero supporting data'!B163</f>
        <v>21864231.859672833</v>
      </c>
      <c r="C175">
        <f>'Net zero Activity data'!AE55-'Net zero supporting data'!C163</f>
        <v>22601454.870712772</v>
      </c>
      <c r="D175">
        <f>'Net zero Activity data'!AF55-'Net zero supporting data'!D163</f>
        <v>23476461.448728886</v>
      </c>
      <c r="E175">
        <f>'Net zero Activity data'!AG55-'Net zero supporting data'!E163</f>
        <v>24129022.140224971</v>
      </c>
      <c r="F175">
        <f>'Net zero Activity data'!AH55-'Net zero supporting data'!F163</f>
        <v>24632268.790066544</v>
      </c>
      <c r="G175">
        <f>'Net zero Activity data'!AI55-'Net zero supporting data'!G163</f>
        <v>24979009.110318448</v>
      </c>
      <c r="H175">
        <f>'Net zero Activity data'!AJ55-'Net zero supporting data'!H163</f>
        <v>25452454.137959503</v>
      </c>
      <c r="I175">
        <f>'Net zero Activity data'!AK55-'Net zero supporting data'!I163</f>
        <v>25948762.759661093</v>
      </c>
      <c r="J175">
        <f>'Net zero Activity data'!AL55-'Net zero supporting data'!J163</f>
        <v>23749927.157423221</v>
      </c>
      <c r="K175">
        <f>'Net zero Activity data'!AM55-'Net zero supporting data'!K163</f>
        <v>23481331.937048968</v>
      </c>
      <c r="L175">
        <f>'Net zero Activity data'!AN55-'Net zero supporting data'!L163</f>
        <v>23453132.38285673</v>
      </c>
      <c r="M175">
        <f>'Net zero Activity data'!AO55-'Net zero supporting data'!M163</f>
        <v>22800908.374891017</v>
      </c>
      <c r="N175">
        <f>'Net zero Activity data'!AP55-'Net zero supporting data'!N163</f>
        <v>22139263.782317687</v>
      </c>
      <c r="O175">
        <f>'Net zero Activity data'!AQ55-'Net zero supporting data'!O163</f>
        <v>21475081.249658745</v>
      </c>
      <c r="P175">
        <f>'Net zero Activity data'!AR55-'Net zero supporting data'!P163</f>
        <v>20765066.511260618</v>
      </c>
      <c r="Q175">
        <f>'Net zero Activity data'!AS55-'Net zero supporting data'!Q163</f>
        <v>20012305.614575505</v>
      </c>
      <c r="R175">
        <f>'Net zero Activity data'!AT55-'Net zero supporting data'!R163</f>
        <v>19166128.985117152</v>
      </c>
      <c r="S175">
        <f>'Net zero Activity data'!AU55-'Net zero supporting data'!S163</f>
        <v>18254022.517125338</v>
      </c>
      <c r="T175">
        <f>'Net zero Activity data'!AV55-'Net zero supporting data'!T163</f>
        <v>17231591.774821382</v>
      </c>
      <c r="U175">
        <f>'Net zero Activity data'!AW55-'Net zero supporting data'!U163</f>
        <v>16187964.887206748</v>
      </c>
      <c r="V175">
        <f>'Net zero Activity data'!AX55-'Net zero supporting data'!V163</f>
        <v>14992003.872131977</v>
      </c>
      <c r="W175">
        <f>'Net zero Activity data'!AY55-'Net zero supporting data'!W163</f>
        <v>13673993.315808404</v>
      </c>
      <c r="X175">
        <f>'Net zero Activity data'!AZ55-'Net zero supporting data'!X163</f>
        <v>12253284.298343927</v>
      </c>
      <c r="Y175">
        <f>'Net zero Activity data'!BA55-'Net zero supporting data'!Y163</f>
        <v>10640956.720151685</v>
      </c>
      <c r="Z175">
        <f>'Net zero Activity data'!BB55-'Net zero supporting data'!Z163</f>
        <v>8876572.2476306409</v>
      </c>
      <c r="AA175">
        <f>'Net zero Activity data'!BC55-'Net zero supporting data'!AA163</f>
        <v>6948572.1307927594</v>
      </c>
      <c r="AB175">
        <f>'Net zero Activity data'!BD55-'Net zero supporting data'!AB163</f>
        <v>4818343.7924717888</v>
      </c>
      <c r="AC175">
        <f>'Net zero Activity data'!BE55-'Net zero supporting data'!AC163</f>
        <v>2502664.1185109466</v>
      </c>
      <c r="AD175">
        <f>'Net zero Activity data'!BF55-'Net zero supporting data'!AD163</f>
        <v>0</v>
      </c>
      <c r="AE175">
        <f>'Net zero Activity data'!BG55-'Net zero supporting data'!AE163</f>
        <v>0</v>
      </c>
      <c r="AF175">
        <f>'Net zero Activity data'!BH55-'Net zero supporting data'!AF163</f>
        <v>0</v>
      </c>
      <c r="AG175">
        <f>'Net zero Activity data'!BI55-'Net zero supporting data'!AG163</f>
        <v>0</v>
      </c>
      <c r="AH175">
        <f>'Net zero Activity data'!BJ55-'Net zero supporting data'!AH163</f>
        <v>0</v>
      </c>
      <c r="AI175">
        <f>'Net zero Activity data'!BK55-'Net zero supporting data'!AI163</f>
        <v>0</v>
      </c>
      <c r="AJ175">
        <f>'Net zero Activity data'!BL55-'Net zero supporting data'!AJ163</f>
        <v>0</v>
      </c>
      <c r="AK175">
        <f>'Net zero Activity data'!BM55-'Net zero supporting data'!AK163</f>
        <v>0</v>
      </c>
      <c r="AL175">
        <f>'Net zero Activity data'!BN55-'Net zero supporting data'!AL163</f>
        <v>0</v>
      </c>
      <c r="AM175">
        <f>'Net zero Activity data'!BO55-'Net zero supporting data'!AM163</f>
        <v>0</v>
      </c>
      <c r="AN175">
        <f>'Net zero Activity data'!BP55-'Net zero supporting data'!AN163</f>
        <v>0</v>
      </c>
    </row>
    <row r="176" spans="1:40" x14ac:dyDescent="0.3">
      <c r="A176" t="s">
        <v>1147</v>
      </c>
      <c r="B176">
        <f>'Net zero Activity data'!AD56-'Net zero supporting data'!B164</f>
        <v>3713804.3562294119</v>
      </c>
      <c r="C176">
        <f>'Net zero Activity data'!AE56-'Net zero supporting data'!C164</f>
        <v>3715812.3984274277</v>
      </c>
      <c r="D176">
        <f>'Net zero Activity data'!AF56-'Net zero supporting data'!D164</f>
        <v>3720613.5519879563</v>
      </c>
      <c r="E176">
        <f>'Net zero Activity data'!AG56-'Net zero supporting data'!E164</f>
        <v>3727692.891398909</v>
      </c>
      <c r="F176">
        <f>'Net zero Activity data'!AH56-'Net zero supporting data'!F164</f>
        <v>3737005.4296217775</v>
      </c>
      <c r="G176">
        <f>'Net zero Activity data'!AI56-'Net zero supporting data'!G164</f>
        <v>3748452.8301066947</v>
      </c>
      <c r="H176">
        <f>'Net zero Activity data'!AJ56-'Net zero supporting data'!H164</f>
        <v>3761309.8233770868</v>
      </c>
      <c r="I176">
        <f>'Net zero Activity data'!AK56-'Net zero supporting data'!I164</f>
        <v>3775495.2387072272</v>
      </c>
      <c r="J176">
        <f>'Net zero Activity data'!AL56-'Net zero supporting data'!J164</f>
        <v>3788467.0200403007</v>
      </c>
      <c r="K176">
        <f>'Net zero Activity data'!AM56-'Net zero supporting data'!K164</f>
        <v>3604458.7780598933</v>
      </c>
      <c r="L176">
        <f>'Net zero Activity data'!AN56-'Net zero supporting data'!L164</f>
        <v>3421015.3795407563</v>
      </c>
      <c r="M176">
        <f>'Net zero Activity data'!AO56-'Net zero supporting data'!M164</f>
        <v>3237178.0985595826</v>
      </c>
      <c r="N176">
        <f>'Net zero Activity data'!AP56-'Net zero supporting data'!N164</f>
        <v>3053327.4339523306</v>
      </c>
      <c r="O176">
        <f>'Net zero Activity data'!AQ56-'Net zero supporting data'!O164</f>
        <v>2869311.4702915149</v>
      </c>
      <c r="P176">
        <f>'Net zero Activity data'!AR56-'Net zero supporting data'!P164</f>
        <v>2681997.6017528446</v>
      </c>
      <c r="Q176">
        <f>'Net zero Activity data'!AS56-'Net zero supporting data'!Q164</f>
        <v>2494594.8118447261</v>
      </c>
      <c r="R176">
        <f>'Net zero Activity data'!AT56-'Net zero supporting data'!R164</f>
        <v>2306940.6317776944</v>
      </c>
      <c r="S176">
        <f>'Net zero Activity data'!AU56-'Net zero supporting data'!S164</f>
        <v>2118948.264663754</v>
      </c>
      <c r="T176">
        <f>'Net zero Activity data'!AV56-'Net zero supporting data'!T164</f>
        <v>1930477.4155755963</v>
      </c>
      <c r="U176">
        <f>'Net zero Activity data'!AW56-'Net zero supporting data'!U164</f>
        <v>1739941.6962334476</v>
      </c>
      <c r="V176">
        <f>'Net zero Activity data'!AX56-'Net zero supporting data'!V164</f>
        <v>1549038.9171125479</v>
      </c>
      <c r="W176">
        <f>'Net zero Activity data'!AY56-'Net zero supporting data'!W164</f>
        <v>1357714.440346234</v>
      </c>
      <c r="X176">
        <f>'Net zero Activity data'!AZ56-'Net zero supporting data'!X164</f>
        <v>1165908.560470202</v>
      </c>
      <c r="Y176">
        <f>'Net zero Activity data'!BA56-'Net zero supporting data'!Y164</f>
        <v>973478.75460139243</v>
      </c>
      <c r="Z176">
        <f>'Net zero Activity data'!BB56-'Net zero supporting data'!Z164</f>
        <v>779748.59359621909</v>
      </c>
      <c r="AA176">
        <f>'Net zero Activity data'!BC56-'Net zero supporting data'!AA164</f>
        <v>585604.67750276858</v>
      </c>
      <c r="AB176">
        <f>'Net zero Activity data'!BD56-'Net zero supporting data'!AB164</f>
        <v>390960.52481301408</v>
      </c>
      <c r="AC176">
        <f>'Net zero Activity data'!BE56-'Net zero supporting data'!AC164</f>
        <v>195776.22519592009</v>
      </c>
      <c r="AD176">
        <f>'Net zero Activity data'!BF56-'Net zero supporting data'!AD164</f>
        <v>0</v>
      </c>
      <c r="AE176">
        <f>'Net zero Activity data'!BG56-'Net zero supporting data'!AE164</f>
        <v>0</v>
      </c>
      <c r="AF176">
        <f>'Net zero Activity data'!BH56-'Net zero supporting data'!AF164</f>
        <v>0</v>
      </c>
      <c r="AG176">
        <f>'Net zero Activity data'!BI56-'Net zero supporting data'!AG164</f>
        <v>0</v>
      </c>
      <c r="AH176">
        <f>'Net zero Activity data'!BJ56-'Net zero supporting data'!AH164</f>
        <v>0</v>
      </c>
      <c r="AI176">
        <f>'Net zero Activity data'!BK56-'Net zero supporting data'!AI164</f>
        <v>0</v>
      </c>
      <c r="AJ176">
        <f>'Net zero Activity data'!BL56-'Net zero supporting data'!AJ164</f>
        <v>0</v>
      </c>
      <c r="AK176">
        <f>'Net zero Activity data'!BM56-'Net zero supporting data'!AK164</f>
        <v>0</v>
      </c>
      <c r="AL176">
        <f>'Net zero Activity data'!BN56-'Net zero supporting data'!AL164</f>
        <v>0</v>
      </c>
      <c r="AM176">
        <f>'Net zero Activity data'!BO56-'Net zero supporting data'!AM164</f>
        <v>0</v>
      </c>
      <c r="AN176">
        <f>'Net zero Activity data'!BP56-'Net zero supporting data'!AN164</f>
        <v>0</v>
      </c>
    </row>
    <row r="177" spans="1:48" x14ac:dyDescent="0.3">
      <c r="A177" t="s">
        <v>1148</v>
      </c>
      <c r="B177">
        <f>'Net zero Activity data'!AD58-'Net zero supporting data'!B165</f>
        <v>459078.62878496031</v>
      </c>
      <c r="C177">
        <f>'Net zero Activity data'!AE58-'Net zero supporting data'!C165</f>
        <v>460272.01162500517</v>
      </c>
      <c r="D177">
        <f>'Net zero Activity data'!AF58-'Net zero supporting data'!D165</f>
        <v>461918.24108018389</v>
      </c>
      <c r="E177">
        <f>'Net zero Activity data'!AG58-'Net zero supporting data'!E165</f>
        <v>463923.7833272469</v>
      </c>
      <c r="F177">
        <f>'Net zero Activity data'!AH58-'Net zero supporting data'!F165</f>
        <v>466285.77793189295</v>
      </c>
      <c r="G177">
        <f>'Net zero Activity data'!AI58-'Net zero supporting data'!G165</f>
        <v>468989.84855611261</v>
      </c>
      <c r="H177">
        <f>'Net zero Activity data'!AJ58-'Net zero supporting data'!H165</f>
        <v>471900.01049903827</v>
      </c>
      <c r="I177">
        <f>'Net zero Activity data'!AK58-'Net zero supporting data'!I165</f>
        <v>475004.74383453937</v>
      </c>
      <c r="J177">
        <f>'Net zero Activity data'!AL58-'Net zero supporting data'!J165</f>
        <v>477820.38535815617</v>
      </c>
      <c r="K177">
        <f>'Net zero Activity data'!AM58-'Net zero supporting data'!K165</f>
        <v>455235.93011589511</v>
      </c>
      <c r="L177">
        <f>'Net zero Activity data'!AN58-'Net zero supporting data'!L165</f>
        <v>432694.93646436918</v>
      </c>
      <c r="M177">
        <f>'Net zero Activity data'!AO58-'Net zero supporting data'!M165</f>
        <v>410022.23020157753</v>
      </c>
      <c r="N177">
        <f>'Net zero Activity data'!AP58-'Net zero supporting data'!N165</f>
        <v>387297.5555689176</v>
      </c>
      <c r="O177">
        <f>'Net zero Activity data'!AQ58-'Net zero supporting data'!O165</f>
        <v>364498.36615548667</v>
      </c>
      <c r="P177">
        <f>'Net zero Activity data'!AR58-'Net zero supporting data'!P165</f>
        <v>341038.81059625041</v>
      </c>
      <c r="Q177">
        <f>'Net zero Activity data'!AS58-'Net zero supporting data'!Q165</f>
        <v>317532.59967084083</v>
      </c>
      <c r="R177">
        <f>'Net zero Activity data'!AT58-'Net zero supporting data'!R165</f>
        <v>293953.57960185799</v>
      </c>
      <c r="S177">
        <f>'Net zero Activity data'!AU58-'Net zero supporting data'!S165</f>
        <v>270289.60975295096</v>
      </c>
      <c r="T177">
        <f>'Net zero Activity data'!AV58-'Net zero supporting data'!T165</f>
        <v>246518.27454759265</v>
      </c>
      <c r="U177">
        <f>'Net zero Activity data'!AW58-'Net zero supporting data'!U165</f>
        <v>222346.87396305776</v>
      </c>
      <c r="V177">
        <f>'Net zero Activity data'!AX58-'Net zero supporting data'!V165</f>
        <v>198097.0850079665</v>
      </c>
      <c r="W177">
        <f>'Net zero Activity data'!AY58-'Net zero supporting data'!W165</f>
        <v>173761.64076755184</v>
      </c>
      <c r="X177">
        <f>'Net zero Activity data'!AZ58-'Net zero supporting data'!X165</f>
        <v>149332.17039811215</v>
      </c>
      <c r="Y177">
        <f>'Net zero Activity data'!BA58-'Net zero supporting data'!Y165</f>
        <v>124784.82129224256</v>
      </c>
      <c r="Z177">
        <f>'Net zero Activity data'!BB58-'Net zero supporting data'!Z165</f>
        <v>99996.980502385471</v>
      </c>
      <c r="AA177">
        <f>'Net zero Activity data'!BC58-'Net zero supporting data'!AA165</f>
        <v>75135.382694351487</v>
      </c>
      <c r="AB177">
        <f>'Net zero Activity data'!BD58-'Net zero supporting data'!AB165</f>
        <v>50186.031690753473</v>
      </c>
      <c r="AC177">
        <f>'Net zero Activity data'!BE58-'Net zero supporting data'!AC165</f>
        <v>25143.474077044695</v>
      </c>
      <c r="AD177">
        <f>'Net zero Activity data'!BF58-'Net zero supporting data'!AD165</f>
        <v>0</v>
      </c>
      <c r="AE177">
        <f>'Net zero Activity data'!BG58-'Net zero supporting data'!AE165</f>
        <v>0</v>
      </c>
      <c r="AF177">
        <f>'Net zero Activity data'!BH58-'Net zero supporting data'!AF165</f>
        <v>0</v>
      </c>
      <c r="AG177">
        <f>'Net zero Activity data'!BI58-'Net zero supporting data'!AG165</f>
        <v>0</v>
      </c>
      <c r="AH177">
        <f>'Net zero Activity data'!BJ58-'Net zero supporting data'!AH165</f>
        <v>0</v>
      </c>
      <c r="AI177">
        <f>'Net zero Activity data'!BK58-'Net zero supporting data'!AI165</f>
        <v>0</v>
      </c>
      <c r="AJ177">
        <f>'Net zero Activity data'!BL58-'Net zero supporting data'!AJ165</f>
        <v>0</v>
      </c>
      <c r="AK177">
        <f>'Net zero Activity data'!BM58-'Net zero supporting data'!AK165</f>
        <v>0</v>
      </c>
      <c r="AL177">
        <f>'Net zero Activity data'!BN58-'Net zero supporting data'!AL165</f>
        <v>0</v>
      </c>
      <c r="AM177">
        <f>'Net zero Activity data'!BO58-'Net zero supporting data'!AM165</f>
        <v>0</v>
      </c>
      <c r="AN177">
        <f>'Net zero Activity data'!BP58-'Net zero supporting data'!AN165</f>
        <v>0</v>
      </c>
    </row>
    <row r="178" spans="1:48" x14ac:dyDescent="0.3">
      <c r="A178" t="s">
        <v>1149</v>
      </c>
      <c r="B178">
        <f>'Net zero Activity data'!AD62-'Net zero supporting data'!B166</f>
        <v>7930919.3723073695</v>
      </c>
      <c r="C178">
        <f>'Net zero Activity data'!AE62-'Net zero supporting data'!C166</f>
        <v>7887809.5503911264</v>
      </c>
      <c r="D178">
        <f>'Net zero Activity data'!AF62-'Net zero supporting data'!D166</f>
        <v>7891347.8708342696</v>
      </c>
      <c r="E178">
        <f>'Net zero Activity data'!AG62-'Net zero supporting data'!E166</f>
        <v>7818899.2502508275</v>
      </c>
      <c r="F178">
        <f>'Net zero Activity data'!AH62-'Net zero supporting data'!F166</f>
        <v>7700573.9427559087</v>
      </c>
      <c r="G178">
        <f>'Net zero Activity data'!AI62-'Net zero supporting data'!G166</f>
        <v>7538263.5038453452</v>
      </c>
      <c r="H178">
        <f>'Net zero Activity data'!AJ62-'Net zero supporting data'!H166</f>
        <v>7420408.1254293481</v>
      </c>
      <c r="I178">
        <f>'Net zero Activity data'!AK62-'Net zero supporting data'!I166</f>
        <v>7312981.3674521036</v>
      </c>
      <c r="J178">
        <f>'Net zero Activity data'!AL62-'Net zero supporting data'!J166</f>
        <v>6456996.1902685687</v>
      </c>
      <c r="K178">
        <f>'Net zero Activity data'!AM62-'Net zero supporting data'!K166</f>
        <v>6211716.8156638136</v>
      </c>
      <c r="L178">
        <f>'Net zero Activity data'!AN62-'Net zero supporting data'!L166</f>
        <v>6042474.7024904024</v>
      </c>
      <c r="M178">
        <f>'Net zero Activity data'!AO62-'Net zero supporting data'!M166</f>
        <v>5720303.713392267</v>
      </c>
      <c r="N178">
        <f>'Net zero Activity data'!AP62-'Net zero supporting data'!N166</f>
        <v>5411375.4953937912</v>
      </c>
      <c r="O178">
        <f>'Net zero Activity data'!AQ62-'Net zero supporting data'!O166</f>
        <v>5116606.8244110383</v>
      </c>
      <c r="P178">
        <f>'Net zero Activity data'!AR62-'Net zero supporting data'!P166</f>
        <v>4826377.0095396359</v>
      </c>
      <c r="Q178">
        <f>'Net zero Activity data'!AS62-'Net zero supporting data'!Q166</f>
        <v>4539528.3475388549</v>
      </c>
      <c r="R178">
        <f>'Net zero Activity data'!AT62-'Net zero supporting data'!R166</f>
        <v>4244398.0577738415</v>
      </c>
      <c r="S178">
        <f>'Net zero Activity data'!AU62-'Net zero supporting data'!S166</f>
        <v>3947916.2408547075</v>
      </c>
      <c r="T178">
        <f>'Net zero Activity data'!AV62-'Net zero supporting data'!T166</f>
        <v>3640672.1314835502</v>
      </c>
      <c r="U178">
        <f>'Net zero Activity data'!AW62-'Net zero supporting data'!U166</f>
        <v>3334406.1536130714</v>
      </c>
      <c r="V178">
        <f>'Net zero Activity data'!AX62-'Net zero supporting data'!V166</f>
        <v>3011214.588777977</v>
      </c>
      <c r="W178">
        <f>'Net zero Activity data'!AY62-'Net zero supporting data'!W166</f>
        <v>2678850.519211404</v>
      </c>
      <c r="X178">
        <f>'Net zero Activity data'!AZ62-'Net zero supporting data'!X166</f>
        <v>2342203.5720904628</v>
      </c>
      <c r="Y178">
        <f>'Net zero Activity data'!BA62-'Net zero supporting data'!Y166</f>
        <v>1984784.9476226047</v>
      </c>
      <c r="Z178">
        <f>'Net zero Activity data'!BB62-'Net zero supporting data'!Z166</f>
        <v>1616278.3453723462</v>
      </c>
      <c r="AA178">
        <f>'Net zero Activity data'!BC62-'Net zero supporting data'!AA166</f>
        <v>1235367.3149432717</v>
      </c>
      <c r="AB178">
        <f>'Net zero Activity data'!BD62-'Net zero supporting data'!AB166</f>
        <v>836457.86640820839</v>
      </c>
      <c r="AC178">
        <f>'Net zero Activity data'!BE62-'Net zero supporting data'!AC166</f>
        <v>424268.10973275639</v>
      </c>
      <c r="AD178">
        <f>'Net zero Activity data'!BF62-'Net zero supporting data'!AD166</f>
        <v>0</v>
      </c>
      <c r="AE178">
        <f>'Net zero Activity data'!BG62-'Net zero supporting data'!AE166</f>
        <v>0</v>
      </c>
      <c r="AF178">
        <f>'Net zero Activity data'!BH62-'Net zero supporting data'!AF166</f>
        <v>0</v>
      </c>
      <c r="AG178">
        <f>'Net zero Activity data'!BI62-'Net zero supporting data'!AG166</f>
        <v>0</v>
      </c>
      <c r="AH178">
        <f>'Net zero Activity data'!BJ62-'Net zero supporting data'!AH166</f>
        <v>0</v>
      </c>
      <c r="AI178">
        <f>'Net zero Activity data'!BK62-'Net zero supporting data'!AI166</f>
        <v>0</v>
      </c>
      <c r="AJ178">
        <f>'Net zero Activity data'!BL62-'Net zero supporting data'!AJ166</f>
        <v>0</v>
      </c>
      <c r="AK178">
        <f>'Net zero Activity data'!BM62-'Net zero supporting data'!AK166</f>
        <v>0</v>
      </c>
      <c r="AL178">
        <f>'Net zero Activity data'!BN62-'Net zero supporting data'!AL166</f>
        <v>0</v>
      </c>
      <c r="AM178">
        <f>'Net zero Activity data'!BO62-'Net zero supporting data'!AM166</f>
        <v>0</v>
      </c>
      <c r="AN178">
        <f>'Net zero Activity data'!BP62-'Net zero supporting data'!AN166</f>
        <v>0</v>
      </c>
    </row>
    <row r="179" spans="1:48" x14ac:dyDescent="0.3">
      <c r="A179" t="s">
        <v>1150</v>
      </c>
      <c r="B179">
        <f>'Net zero Activity data'!AD64-'Net zero supporting data'!B167</f>
        <v>9991382.773665214</v>
      </c>
      <c r="C179">
        <f>'Net zero Activity data'!AE64-'Net zero supporting data'!C167</f>
        <v>10194527.393101327</v>
      </c>
      <c r="D179">
        <f>'Net zero Activity data'!AF64-'Net zero supporting data'!D167</f>
        <v>10431984.200032009</v>
      </c>
      <c r="E179">
        <f>'Net zero Activity data'!AG64-'Net zero supporting data'!E167</f>
        <v>10614285.632427368</v>
      </c>
      <c r="F179">
        <f>'Net zero Activity data'!AH64-'Net zero supporting data'!F167</f>
        <v>10760627.916590163</v>
      </c>
      <c r="G179">
        <f>'Net zero Activity data'!AI64-'Net zero supporting data'!G167</f>
        <v>10870140.745282177</v>
      </c>
      <c r="H179">
        <f>'Net zero Activity data'!AJ64-'Net zero supporting data'!H167</f>
        <v>11010566.420753065</v>
      </c>
      <c r="I179">
        <f>'Net zero Activity data'!AK64-'Net zero supporting data'!I167</f>
        <v>11156570.25077576</v>
      </c>
      <c r="J179">
        <f>'Net zero Activity data'!AL64-'Net zero supporting data'!J167</f>
        <v>10660007.069226997</v>
      </c>
      <c r="K179">
        <f>'Net zero Activity data'!AM64-'Net zero supporting data'!K167</f>
        <v>10379066.31275652</v>
      </c>
      <c r="L179">
        <f>'Net zero Activity data'!AN64-'Net zero supporting data'!L167</f>
        <v>10151031.283698343</v>
      </c>
      <c r="M179">
        <f>'Net zero Activity data'!AO64-'Net zero supporting data'!M167</f>
        <v>9770896.145599287</v>
      </c>
      <c r="N179">
        <f>'Net zero Activity data'!AP64-'Net zero supporting data'!N167</f>
        <v>9384744.0354201775</v>
      </c>
      <c r="O179">
        <f>'Net zero Activity data'!AQ64-'Net zero supporting data'!O167</f>
        <v>8994122.5435229801</v>
      </c>
      <c r="P179">
        <f>'Net zero Activity data'!AR64-'Net zero supporting data'!P167</f>
        <v>8583388.3030428216</v>
      </c>
      <c r="Q179">
        <f>'Net zero Activity data'!AS64-'Net zero supporting data'!Q167</f>
        <v>8159317.229801245</v>
      </c>
      <c r="R179">
        <f>'Net zero Activity data'!AT64-'Net zero supporting data'!R167</f>
        <v>7710088.8835534295</v>
      </c>
      <c r="S179">
        <f>'Net zero Activity data'!AU64-'Net zero supporting data'!S167</f>
        <v>7242201.6471338496</v>
      </c>
      <c r="T179">
        <f>'Net zero Activity data'!AV64-'Net zero supporting data'!T167</f>
        <v>6745392.4932953808</v>
      </c>
      <c r="U179">
        <f>'Net zero Activity data'!AW64-'Net zero supporting data'!U167</f>
        <v>6227746.9434906589</v>
      </c>
      <c r="V179">
        <f>'Net zero Activity data'!AX64-'Net zero supporting data'!V167</f>
        <v>5673796.0387467723</v>
      </c>
      <c r="W179">
        <f>'Net zero Activity data'!AY64-'Net zero supporting data'!W167</f>
        <v>5090912.2749881595</v>
      </c>
      <c r="X179">
        <f>'Net zero Activity data'!AZ64-'Net zero supporting data'!X167</f>
        <v>4483828.2167618759</v>
      </c>
      <c r="Y179">
        <f>'Net zero Activity data'!BA64-'Net zero supporting data'!Y167</f>
        <v>3832677.7301010117</v>
      </c>
      <c r="Z179">
        <f>'Net zero Activity data'!BB64-'Net zero supporting data'!Z167</f>
        <v>3145693.4028074332</v>
      </c>
      <c r="AA179">
        <f>'Net zero Activity data'!BC64-'Net zero supporting data'!AA167</f>
        <v>2422522.8097971436</v>
      </c>
      <c r="AB179">
        <f>'Net zero Activity data'!BD64-'Net zero supporting data'!AB167</f>
        <v>1655011.3076082841</v>
      </c>
      <c r="AC179">
        <f>'Net zero Activity data'!BE64-'Net zero supporting data'!AC167</f>
        <v>847449.1999857612</v>
      </c>
      <c r="AD179">
        <f>'Net zero Activity data'!BF64-'Net zero supporting data'!AD167</f>
        <v>0</v>
      </c>
      <c r="AE179">
        <f>'Net zero Activity data'!BG64-'Net zero supporting data'!AE167</f>
        <v>0</v>
      </c>
      <c r="AF179">
        <f>'Net zero Activity data'!BH64-'Net zero supporting data'!AF167</f>
        <v>0</v>
      </c>
      <c r="AG179">
        <f>'Net zero Activity data'!BI64-'Net zero supporting data'!AG167</f>
        <v>0</v>
      </c>
      <c r="AH179">
        <f>'Net zero Activity data'!BJ64-'Net zero supporting data'!AH167</f>
        <v>0</v>
      </c>
      <c r="AI179">
        <f>'Net zero Activity data'!BK64-'Net zero supporting data'!AI167</f>
        <v>0</v>
      </c>
      <c r="AJ179">
        <f>'Net zero Activity data'!BL64-'Net zero supporting data'!AJ167</f>
        <v>0</v>
      </c>
      <c r="AK179">
        <f>'Net zero Activity data'!BM64-'Net zero supporting data'!AK167</f>
        <v>0</v>
      </c>
      <c r="AL179">
        <f>'Net zero Activity data'!BN64-'Net zero supporting data'!AL167</f>
        <v>0</v>
      </c>
      <c r="AM179">
        <f>'Net zero Activity data'!BO64-'Net zero supporting data'!AM167</f>
        <v>0</v>
      </c>
      <c r="AN179">
        <f>'Net zero Activity data'!BP64-'Net zero supporting data'!AN167</f>
        <v>0</v>
      </c>
    </row>
    <row r="180" spans="1:48" x14ac:dyDescent="0.3">
      <c r="A180" t="s">
        <v>1151</v>
      </c>
      <c r="B180">
        <f>'Net zero Activity data'!AD65-'Net zero supporting data'!B168</f>
        <v>50031084.230106659</v>
      </c>
      <c r="C180">
        <f>'Net zero Activity data'!AE65-'Net zero supporting data'!C168</f>
        <v>50689904.185566761</v>
      </c>
      <c r="D180">
        <f>'Net zero Activity data'!AF65-'Net zero supporting data'!D168</f>
        <v>51748158.015700452</v>
      </c>
      <c r="E180">
        <f>'Net zero Activity data'!AG65-'Net zero supporting data'!E168</f>
        <v>52052013.608416207</v>
      </c>
      <c r="F180">
        <f>'Net zero Activity data'!AH65-'Net zero supporting data'!F168</f>
        <v>51865691.663914956</v>
      </c>
      <c r="G180">
        <f>'Net zero Activity data'!AI65-'Net zero supporting data'!G168</f>
        <v>51191174.53318394</v>
      </c>
      <c r="H180">
        <f>'Net zero Activity data'!AJ65-'Net zero supporting data'!H168</f>
        <v>50907218.229325019</v>
      </c>
      <c r="I180">
        <f>'Net zero Activity data'!AK65-'Net zero supporting data'!I168</f>
        <v>50687682.526318632</v>
      </c>
      <c r="J180">
        <f>'Net zero Activity data'!AL65-'Net zero supporting data'!J168</f>
        <v>42727085.276336648</v>
      </c>
      <c r="K180">
        <f>'Net zero Activity data'!AM65-'Net zero supporting data'!K168</f>
        <v>42198321.350519426</v>
      </c>
      <c r="L180">
        <f>'Net zero Activity data'!AN65-'Net zero supporting data'!L168</f>
        <v>42407935.736040764</v>
      </c>
      <c r="M180">
        <f>'Net zero Activity data'!AO65-'Net zero supporting data'!M168</f>
        <v>40936898.885734335</v>
      </c>
      <c r="N180">
        <f>'Net zero Activity data'!AP65-'Net zero supporting data'!N168</f>
        <v>39525575.016148679</v>
      </c>
      <c r="O180">
        <f>'Net zero Activity data'!AQ65-'Net zero supporting data'!O168</f>
        <v>38190720.685777955</v>
      </c>
      <c r="P180">
        <f>'Net zero Activity data'!AR65-'Net zero supporting data'!P168</f>
        <v>36861631.868903562</v>
      </c>
      <c r="Q180">
        <f>'Net zero Activity data'!AS65-'Net zero supporting data'!Q168</f>
        <v>35494126.194147669</v>
      </c>
      <c r="R180">
        <f>'Net zero Activity data'!AT65-'Net zero supporting data'!R168</f>
        <v>33956738.883242086</v>
      </c>
      <c r="S180">
        <f>'Net zero Activity data'!AU65-'Net zero supporting data'!S168</f>
        <v>32326266.569983687</v>
      </c>
      <c r="T180">
        <f>'Net zero Activity data'!AV65-'Net zero supporting data'!T168</f>
        <v>30491726.588457398</v>
      </c>
      <c r="U180">
        <f>'Net zero Activity data'!AW65-'Net zero supporting data'!U168</f>
        <v>28602686.345083289</v>
      </c>
      <c r="V180">
        <f>'Net zero Activity data'!AX65-'Net zero supporting data'!V168</f>
        <v>26425366.159094945</v>
      </c>
      <c r="W180">
        <f>'Net zero Activity data'!AY65-'Net zero supporting data'!W168</f>
        <v>24045884.118429095</v>
      </c>
      <c r="X180">
        <f>'Net zero Activity data'!AZ65-'Net zero supporting data'!X168</f>
        <v>21519509.60684897</v>
      </c>
      <c r="Y180">
        <f>'Net zero Activity data'!BA65-'Net zero supporting data'!Y168</f>
        <v>18637176.530127279</v>
      </c>
      <c r="Z180">
        <f>'Net zero Activity data'!BB65-'Net zero supporting data'!Z168</f>
        <v>15516626.60634885</v>
      </c>
      <c r="AA180">
        <f>'Net zero Activity data'!BC65-'Net zero supporting data'!AA168</f>
        <v>12124792.00589563</v>
      </c>
      <c r="AB180">
        <f>'Net zero Activity data'!BD65-'Net zero supporting data'!AB168</f>
        <v>8381309.3640947491</v>
      </c>
      <c r="AC180">
        <f>'Net zero Activity data'!BE65-'Net zero supporting data'!AC168</f>
        <v>4337343.1851224452</v>
      </c>
      <c r="AD180">
        <f>'Net zero Activity data'!BF65-'Net zero supporting data'!AD168</f>
        <v>0</v>
      </c>
      <c r="AE180">
        <f>'Net zero Activity data'!BG65-'Net zero supporting data'!AE168</f>
        <v>0</v>
      </c>
      <c r="AF180">
        <f>'Net zero Activity data'!BH65-'Net zero supporting data'!AF168</f>
        <v>0</v>
      </c>
      <c r="AG180">
        <f>'Net zero Activity data'!BI65-'Net zero supporting data'!AG168</f>
        <v>0</v>
      </c>
      <c r="AH180">
        <f>'Net zero Activity data'!BJ65-'Net zero supporting data'!AH168</f>
        <v>0</v>
      </c>
      <c r="AI180">
        <f>'Net zero Activity data'!BK65-'Net zero supporting data'!AI168</f>
        <v>0</v>
      </c>
      <c r="AJ180">
        <f>'Net zero Activity data'!BL65-'Net zero supporting data'!AJ168</f>
        <v>0</v>
      </c>
      <c r="AK180">
        <f>'Net zero Activity data'!BM65-'Net zero supporting data'!AK168</f>
        <v>0</v>
      </c>
      <c r="AL180">
        <f>'Net zero Activity data'!BN65-'Net zero supporting data'!AL168</f>
        <v>0</v>
      </c>
      <c r="AM180">
        <f>'Net zero Activity data'!BO65-'Net zero supporting data'!AM168</f>
        <v>0</v>
      </c>
      <c r="AN180">
        <f>'Net zero Activity data'!BP65-'Net zero supporting data'!AN168</f>
        <v>0</v>
      </c>
    </row>
    <row r="181" spans="1:48" x14ac:dyDescent="0.3">
      <c r="A181" t="s">
        <v>1119</v>
      </c>
      <c r="B181">
        <f t="shared" ref="B181:K182" si="289">SNEF-(SNEF*0.35)</f>
        <v>6.5000000000000006E-3</v>
      </c>
      <c r="C181">
        <f t="shared" si="289"/>
        <v>6.5000000000000006E-3</v>
      </c>
      <c r="D181">
        <f t="shared" si="289"/>
        <v>6.5000000000000006E-3</v>
      </c>
      <c r="E181">
        <f t="shared" si="289"/>
        <v>6.5000000000000006E-3</v>
      </c>
      <c r="F181">
        <f t="shared" si="289"/>
        <v>6.5000000000000006E-3</v>
      </c>
      <c r="G181">
        <f t="shared" si="289"/>
        <v>6.5000000000000006E-3</v>
      </c>
      <c r="H181">
        <f t="shared" si="289"/>
        <v>6.5000000000000006E-3</v>
      </c>
      <c r="I181">
        <f t="shared" si="289"/>
        <v>6.5000000000000006E-3</v>
      </c>
      <c r="J181">
        <f t="shared" si="289"/>
        <v>6.5000000000000006E-3</v>
      </c>
      <c r="K181">
        <f t="shared" si="289"/>
        <v>6.5000000000000006E-3</v>
      </c>
      <c r="L181">
        <f t="shared" ref="L181:U182" si="290">SNEF-(SNEF*0.35)</f>
        <v>6.5000000000000006E-3</v>
      </c>
      <c r="M181">
        <f t="shared" si="290"/>
        <v>6.5000000000000006E-3</v>
      </c>
      <c r="N181">
        <f t="shared" si="290"/>
        <v>6.5000000000000006E-3</v>
      </c>
      <c r="O181">
        <f t="shared" si="290"/>
        <v>6.5000000000000006E-3</v>
      </c>
      <c r="P181">
        <f t="shared" si="290"/>
        <v>6.5000000000000006E-3</v>
      </c>
      <c r="Q181">
        <f t="shared" si="290"/>
        <v>6.5000000000000006E-3</v>
      </c>
      <c r="R181">
        <f t="shared" si="290"/>
        <v>6.5000000000000006E-3</v>
      </c>
      <c r="S181">
        <f t="shared" si="290"/>
        <v>6.5000000000000006E-3</v>
      </c>
      <c r="T181">
        <f t="shared" si="290"/>
        <v>6.5000000000000006E-3</v>
      </c>
      <c r="U181">
        <f t="shared" si="290"/>
        <v>6.5000000000000006E-3</v>
      </c>
      <c r="V181">
        <f t="shared" ref="V181:AE182" si="291">SNEF-(SNEF*0.35)</f>
        <v>6.5000000000000006E-3</v>
      </c>
      <c r="W181">
        <f t="shared" si="291"/>
        <v>6.5000000000000006E-3</v>
      </c>
      <c r="X181">
        <f t="shared" si="291"/>
        <v>6.5000000000000006E-3</v>
      </c>
      <c r="Y181">
        <f t="shared" si="291"/>
        <v>6.5000000000000006E-3</v>
      </c>
      <c r="Z181">
        <f t="shared" si="291"/>
        <v>6.5000000000000006E-3</v>
      </c>
      <c r="AA181">
        <f t="shared" si="291"/>
        <v>6.5000000000000006E-3</v>
      </c>
      <c r="AB181">
        <f t="shared" si="291"/>
        <v>6.5000000000000006E-3</v>
      </c>
      <c r="AC181">
        <f t="shared" si="291"/>
        <v>6.5000000000000006E-3</v>
      </c>
      <c r="AD181">
        <f t="shared" si="291"/>
        <v>6.5000000000000006E-3</v>
      </c>
      <c r="AE181">
        <f t="shared" si="291"/>
        <v>6.5000000000000006E-3</v>
      </c>
      <c r="AF181">
        <f t="shared" ref="AF181:AN182" si="292">SNEF-(SNEF*0.35)</f>
        <v>6.5000000000000006E-3</v>
      </c>
      <c r="AG181">
        <f t="shared" si="292"/>
        <v>6.5000000000000006E-3</v>
      </c>
      <c r="AH181">
        <f t="shared" si="292"/>
        <v>6.5000000000000006E-3</v>
      </c>
      <c r="AI181">
        <f t="shared" si="292"/>
        <v>6.5000000000000006E-3</v>
      </c>
      <c r="AJ181">
        <f t="shared" si="292"/>
        <v>6.5000000000000006E-3</v>
      </c>
      <c r="AK181">
        <f t="shared" si="292"/>
        <v>6.5000000000000006E-3</v>
      </c>
      <c r="AL181">
        <f t="shared" si="292"/>
        <v>6.5000000000000006E-3</v>
      </c>
      <c r="AM181">
        <f t="shared" si="292"/>
        <v>6.5000000000000006E-3</v>
      </c>
      <c r="AN181">
        <f t="shared" si="292"/>
        <v>6.5000000000000006E-3</v>
      </c>
    </row>
    <row r="182" spans="1:48" x14ac:dyDescent="0.3">
      <c r="A182" t="s">
        <v>1120</v>
      </c>
      <c r="B182">
        <f t="shared" si="289"/>
        <v>6.5000000000000006E-3</v>
      </c>
      <c r="C182">
        <f t="shared" si="289"/>
        <v>6.5000000000000006E-3</v>
      </c>
      <c r="D182">
        <f t="shared" si="289"/>
        <v>6.5000000000000006E-3</v>
      </c>
      <c r="E182">
        <f t="shared" si="289"/>
        <v>6.5000000000000006E-3</v>
      </c>
      <c r="F182">
        <f t="shared" si="289"/>
        <v>6.5000000000000006E-3</v>
      </c>
      <c r="G182">
        <f t="shared" si="289"/>
        <v>6.5000000000000006E-3</v>
      </c>
      <c r="H182">
        <f t="shared" si="289"/>
        <v>6.5000000000000006E-3</v>
      </c>
      <c r="I182">
        <f t="shared" si="289"/>
        <v>6.5000000000000006E-3</v>
      </c>
      <c r="J182">
        <f t="shared" si="289"/>
        <v>6.5000000000000006E-3</v>
      </c>
      <c r="K182">
        <f t="shared" si="289"/>
        <v>6.5000000000000006E-3</v>
      </c>
      <c r="L182">
        <f t="shared" si="290"/>
        <v>6.5000000000000006E-3</v>
      </c>
      <c r="M182">
        <f t="shared" si="290"/>
        <v>6.5000000000000006E-3</v>
      </c>
      <c r="N182">
        <f t="shared" si="290"/>
        <v>6.5000000000000006E-3</v>
      </c>
      <c r="O182">
        <f t="shared" si="290"/>
        <v>6.5000000000000006E-3</v>
      </c>
      <c r="P182">
        <f t="shared" si="290"/>
        <v>6.5000000000000006E-3</v>
      </c>
      <c r="Q182">
        <f t="shared" si="290"/>
        <v>6.5000000000000006E-3</v>
      </c>
      <c r="R182">
        <f t="shared" si="290"/>
        <v>6.5000000000000006E-3</v>
      </c>
      <c r="S182">
        <f t="shared" si="290"/>
        <v>6.5000000000000006E-3</v>
      </c>
      <c r="T182">
        <f t="shared" si="290"/>
        <v>6.5000000000000006E-3</v>
      </c>
      <c r="U182">
        <f t="shared" si="290"/>
        <v>6.5000000000000006E-3</v>
      </c>
      <c r="V182">
        <f t="shared" si="291"/>
        <v>6.5000000000000006E-3</v>
      </c>
      <c r="W182">
        <f t="shared" si="291"/>
        <v>6.5000000000000006E-3</v>
      </c>
      <c r="X182">
        <f t="shared" si="291"/>
        <v>6.5000000000000006E-3</v>
      </c>
      <c r="Y182">
        <f t="shared" si="291"/>
        <v>6.5000000000000006E-3</v>
      </c>
      <c r="Z182">
        <f t="shared" si="291"/>
        <v>6.5000000000000006E-3</v>
      </c>
      <c r="AA182">
        <f t="shared" si="291"/>
        <v>6.5000000000000006E-3</v>
      </c>
      <c r="AB182">
        <f t="shared" si="291"/>
        <v>6.5000000000000006E-3</v>
      </c>
      <c r="AC182">
        <f t="shared" si="291"/>
        <v>6.5000000000000006E-3</v>
      </c>
      <c r="AD182">
        <f t="shared" si="291"/>
        <v>6.5000000000000006E-3</v>
      </c>
      <c r="AE182">
        <f t="shared" si="291"/>
        <v>6.5000000000000006E-3</v>
      </c>
      <c r="AF182">
        <f t="shared" si="292"/>
        <v>6.5000000000000006E-3</v>
      </c>
      <c r="AG182">
        <f t="shared" si="292"/>
        <v>6.5000000000000006E-3</v>
      </c>
      <c r="AH182">
        <f t="shared" si="292"/>
        <v>6.5000000000000006E-3</v>
      </c>
      <c r="AI182">
        <f t="shared" si="292"/>
        <v>6.5000000000000006E-3</v>
      </c>
      <c r="AJ182">
        <f t="shared" si="292"/>
        <v>6.5000000000000006E-3</v>
      </c>
      <c r="AK182">
        <f t="shared" si="292"/>
        <v>6.5000000000000006E-3</v>
      </c>
      <c r="AL182">
        <f t="shared" si="292"/>
        <v>6.5000000000000006E-3</v>
      </c>
      <c r="AM182">
        <f t="shared" si="292"/>
        <v>6.5000000000000006E-3</v>
      </c>
      <c r="AN182">
        <f t="shared" si="292"/>
        <v>6.5000000000000006E-3</v>
      </c>
    </row>
    <row r="183" spans="1:48" x14ac:dyDescent="0.3">
      <c r="A183" t="s">
        <v>1121</v>
      </c>
      <c r="B183">
        <f t="shared" ref="B183:AN183" si="293">ManureNEF-(ManureNEF*0.35)</f>
        <v>6.5000000000000006E-3</v>
      </c>
      <c r="C183">
        <f t="shared" si="293"/>
        <v>6.5000000000000006E-3</v>
      </c>
      <c r="D183">
        <f t="shared" si="293"/>
        <v>6.5000000000000006E-3</v>
      </c>
      <c r="E183">
        <f t="shared" si="293"/>
        <v>6.5000000000000006E-3</v>
      </c>
      <c r="F183">
        <f t="shared" si="293"/>
        <v>6.5000000000000006E-3</v>
      </c>
      <c r="G183">
        <f t="shared" si="293"/>
        <v>6.5000000000000006E-3</v>
      </c>
      <c r="H183">
        <f t="shared" si="293"/>
        <v>6.5000000000000006E-3</v>
      </c>
      <c r="I183">
        <f t="shared" si="293"/>
        <v>6.5000000000000006E-3</v>
      </c>
      <c r="J183">
        <f t="shared" si="293"/>
        <v>6.5000000000000006E-3</v>
      </c>
      <c r="K183">
        <f t="shared" si="293"/>
        <v>6.5000000000000006E-3</v>
      </c>
      <c r="L183">
        <f t="shared" si="293"/>
        <v>6.5000000000000006E-3</v>
      </c>
      <c r="M183">
        <f t="shared" si="293"/>
        <v>6.5000000000000006E-3</v>
      </c>
      <c r="N183">
        <f t="shared" si="293"/>
        <v>6.5000000000000006E-3</v>
      </c>
      <c r="O183">
        <f t="shared" si="293"/>
        <v>6.5000000000000006E-3</v>
      </c>
      <c r="P183">
        <f t="shared" si="293"/>
        <v>6.5000000000000006E-3</v>
      </c>
      <c r="Q183">
        <f t="shared" si="293"/>
        <v>6.5000000000000006E-3</v>
      </c>
      <c r="R183">
        <f t="shared" si="293"/>
        <v>6.5000000000000006E-3</v>
      </c>
      <c r="S183">
        <f t="shared" si="293"/>
        <v>6.5000000000000006E-3</v>
      </c>
      <c r="T183">
        <f t="shared" si="293"/>
        <v>6.5000000000000006E-3</v>
      </c>
      <c r="U183">
        <f t="shared" si="293"/>
        <v>6.5000000000000006E-3</v>
      </c>
      <c r="V183">
        <f t="shared" si="293"/>
        <v>6.5000000000000006E-3</v>
      </c>
      <c r="W183">
        <f t="shared" si="293"/>
        <v>6.5000000000000006E-3</v>
      </c>
      <c r="X183">
        <f t="shared" si="293"/>
        <v>6.5000000000000006E-3</v>
      </c>
      <c r="Y183">
        <f t="shared" si="293"/>
        <v>6.5000000000000006E-3</v>
      </c>
      <c r="Z183">
        <f t="shared" si="293"/>
        <v>6.5000000000000006E-3</v>
      </c>
      <c r="AA183">
        <f t="shared" si="293"/>
        <v>6.5000000000000006E-3</v>
      </c>
      <c r="AB183">
        <f t="shared" si="293"/>
        <v>6.5000000000000006E-3</v>
      </c>
      <c r="AC183">
        <f t="shared" si="293"/>
        <v>6.5000000000000006E-3</v>
      </c>
      <c r="AD183">
        <f t="shared" si="293"/>
        <v>6.5000000000000006E-3</v>
      </c>
      <c r="AE183">
        <f t="shared" si="293"/>
        <v>6.5000000000000006E-3</v>
      </c>
      <c r="AF183">
        <f t="shared" si="293"/>
        <v>6.5000000000000006E-3</v>
      </c>
      <c r="AG183">
        <f t="shared" si="293"/>
        <v>6.5000000000000006E-3</v>
      </c>
      <c r="AH183">
        <f t="shared" si="293"/>
        <v>6.5000000000000006E-3</v>
      </c>
      <c r="AI183">
        <f t="shared" si="293"/>
        <v>6.5000000000000006E-3</v>
      </c>
      <c r="AJ183">
        <f t="shared" si="293"/>
        <v>6.5000000000000006E-3</v>
      </c>
      <c r="AK183">
        <f t="shared" si="293"/>
        <v>6.5000000000000006E-3</v>
      </c>
      <c r="AL183">
        <f t="shared" si="293"/>
        <v>6.5000000000000006E-3</v>
      </c>
      <c r="AM183">
        <f t="shared" si="293"/>
        <v>6.5000000000000006E-3</v>
      </c>
      <c r="AN183">
        <f t="shared" si="293"/>
        <v>6.5000000000000006E-3</v>
      </c>
    </row>
    <row r="184" spans="1:48" x14ac:dyDescent="0.3">
      <c r="A184" t="s">
        <v>1122</v>
      </c>
      <c r="B184">
        <f t="shared" ref="B184:AN184" si="294">MSVolatEF-(MSVolatEF*0.35)</f>
        <v>6.5000000000000006E-3</v>
      </c>
      <c r="C184">
        <f t="shared" si="294"/>
        <v>6.5000000000000006E-3</v>
      </c>
      <c r="D184">
        <f t="shared" si="294"/>
        <v>6.5000000000000006E-3</v>
      </c>
      <c r="E184">
        <f t="shared" si="294"/>
        <v>6.5000000000000006E-3</v>
      </c>
      <c r="F184">
        <f t="shared" si="294"/>
        <v>6.5000000000000006E-3</v>
      </c>
      <c r="G184">
        <f t="shared" si="294"/>
        <v>6.5000000000000006E-3</v>
      </c>
      <c r="H184">
        <f t="shared" si="294"/>
        <v>6.5000000000000006E-3</v>
      </c>
      <c r="I184">
        <f t="shared" si="294"/>
        <v>6.5000000000000006E-3</v>
      </c>
      <c r="J184">
        <f t="shared" si="294"/>
        <v>6.5000000000000006E-3</v>
      </c>
      <c r="K184">
        <f t="shared" si="294"/>
        <v>6.5000000000000006E-3</v>
      </c>
      <c r="L184">
        <f t="shared" si="294"/>
        <v>6.5000000000000006E-3</v>
      </c>
      <c r="M184">
        <f t="shared" si="294"/>
        <v>6.5000000000000006E-3</v>
      </c>
      <c r="N184">
        <f t="shared" si="294"/>
        <v>6.5000000000000006E-3</v>
      </c>
      <c r="O184">
        <f t="shared" si="294"/>
        <v>6.5000000000000006E-3</v>
      </c>
      <c r="P184">
        <f t="shared" si="294"/>
        <v>6.5000000000000006E-3</v>
      </c>
      <c r="Q184">
        <f t="shared" si="294"/>
        <v>6.5000000000000006E-3</v>
      </c>
      <c r="R184">
        <f t="shared" si="294"/>
        <v>6.5000000000000006E-3</v>
      </c>
      <c r="S184">
        <f t="shared" si="294"/>
        <v>6.5000000000000006E-3</v>
      </c>
      <c r="T184">
        <f t="shared" si="294"/>
        <v>6.5000000000000006E-3</v>
      </c>
      <c r="U184">
        <f t="shared" si="294"/>
        <v>6.5000000000000006E-3</v>
      </c>
      <c r="V184">
        <f t="shared" si="294"/>
        <v>6.5000000000000006E-3</v>
      </c>
      <c r="W184">
        <f t="shared" si="294"/>
        <v>6.5000000000000006E-3</v>
      </c>
      <c r="X184">
        <f t="shared" si="294"/>
        <v>6.5000000000000006E-3</v>
      </c>
      <c r="Y184">
        <f t="shared" si="294"/>
        <v>6.5000000000000006E-3</v>
      </c>
      <c r="Z184">
        <f t="shared" si="294"/>
        <v>6.5000000000000006E-3</v>
      </c>
      <c r="AA184">
        <f t="shared" si="294"/>
        <v>6.5000000000000006E-3</v>
      </c>
      <c r="AB184">
        <f t="shared" si="294"/>
        <v>6.5000000000000006E-3</v>
      </c>
      <c r="AC184">
        <f t="shared" si="294"/>
        <v>6.5000000000000006E-3</v>
      </c>
      <c r="AD184">
        <f t="shared" si="294"/>
        <v>6.5000000000000006E-3</v>
      </c>
      <c r="AE184">
        <f t="shared" si="294"/>
        <v>6.5000000000000006E-3</v>
      </c>
      <c r="AF184">
        <f t="shared" si="294"/>
        <v>6.5000000000000006E-3</v>
      </c>
      <c r="AG184">
        <f t="shared" si="294"/>
        <v>6.5000000000000006E-3</v>
      </c>
      <c r="AH184">
        <f t="shared" si="294"/>
        <v>6.5000000000000006E-3</v>
      </c>
      <c r="AI184">
        <f t="shared" si="294"/>
        <v>6.5000000000000006E-3</v>
      </c>
      <c r="AJ184">
        <f t="shared" si="294"/>
        <v>6.5000000000000006E-3</v>
      </c>
      <c r="AK184">
        <f t="shared" si="294"/>
        <v>6.5000000000000006E-3</v>
      </c>
      <c r="AL184">
        <f t="shared" si="294"/>
        <v>6.5000000000000006E-3</v>
      </c>
      <c r="AM184">
        <f t="shared" si="294"/>
        <v>6.5000000000000006E-3</v>
      </c>
      <c r="AN184">
        <f t="shared" si="294"/>
        <v>6.5000000000000006E-3</v>
      </c>
    </row>
    <row r="185" spans="1:48" x14ac:dyDescent="0.3">
      <c r="A185" t="s">
        <v>1123</v>
      </c>
      <c r="B185">
        <f t="shared" ref="B185:AN185" si="295">MSLeachEF-(MSLeachEF*0.35)</f>
        <v>4.875E-3</v>
      </c>
      <c r="C185">
        <f t="shared" si="295"/>
        <v>4.875E-3</v>
      </c>
      <c r="D185">
        <f t="shared" si="295"/>
        <v>4.875E-3</v>
      </c>
      <c r="E185">
        <f t="shared" si="295"/>
        <v>4.875E-3</v>
      </c>
      <c r="F185">
        <f t="shared" si="295"/>
        <v>4.875E-3</v>
      </c>
      <c r="G185">
        <f t="shared" si="295"/>
        <v>4.875E-3</v>
      </c>
      <c r="H185">
        <f t="shared" si="295"/>
        <v>4.875E-3</v>
      </c>
      <c r="I185">
        <f t="shared" si="295"/>
        <v>4.875E-3</v>
      </c>
      <c r="J185">
        <f t="shared" si="295"/>
        <v>4.875E-3</v>
      </c>
      <c r="K185">
        <f t="shared" si="295"/>
        <v>4.875E-3</v>
      </c>
      <c r="L185">
        <f t="shared" si="295"/>
        <v>4.875E-3</v>
      </c>
      <c r="M185">
        <f t="shared" si="295"/>
        <v>4.875E-3</v>
      </c>
      <c r="N185">
        <f t="shared" si="295"/>
        <v>4.875E-3</v>
      </c>
      <c r="O185">
        <f t="shared" si="295"/>
        <v>4.875E-3</v>
      </c>
      <c r="P185">
        <f t="shared" si="295"/>
        <v>4.875E-3</v>
      </c>
      <c r="Q185">
        <f t="shared" si="295"/>
        <v>4.875E-3</v>
      </c>
      <c r="R185">
        <f t="shared" si="295"/>
        <v>4.875E-3</v>
      </c>
      <c r="S185">
        <f t="shared" si="295"/>
        <v>4.875E-3</v>
      </c>
      <c r="T185">
        <f t="shared" si="295"/>
        <v>4.875E-3</v>
      </c>
      <c r="U185">
        <f t="shared" si="295"/>
        <v>4.875E-3</v>
      </c>
      <c r="V185">
        <f t="shared" si="295"/>
        <v>4.875E-3</v>
      </c>
      <c r="W185">
        <f t="shared" si="295"/>
        <v>4.875E-3</v>
      </c>
      <c r="X185">
        <f t="shared" si="295"/>
        <v>4.875E-3</v>
      </c>
      <c r="Y185">
        <f t="shared" si="295"/>
        <v>4.875E-3</v>
      </c>
      <c r="Z185">
        <f t="shared" si="295"/>
        <v>4.875E-3</v>
      </c>
      <c r="AA185">
        <f t="shared" si="295"/>
        <v>4.875E-3</v>
      </c>
      <c r="AB185">
        <f t="shared" si="295"/>
        <v>4.875E-3</v>
      </c>
      <c r="AC185">
        <f t="shared" si="295"/>
        <v>4.875E-3</v>
      </c>
      <c r="AD185">
        <f t="shared" si="295"/>
        <v>4.875E-3</v>
      </c>
      <c r="AE185">
        <f t="shared" si="295"/>
        <v>4.875E-3</v>
      </c>
      <c r="AF185">
        <f t="shared" si="295"/>
        <v>4.875E-3</v>
      </c>
      <c r="AG185">
        <f t="shared" si="295"/>
        <v>4.875E-3</v>
      </c>
      <c r="AH185">
        <f t="shared" si="295"/>
        <v>4.875E-3</v>
      </c>
      <c r="AI185">
        <f t="shared" si="295"/>
        <v>4.875E-3</v>
      </c>
      <c r="AJ185">
        <f t="shared" si="295"/>
        <v>4.875E-3</v>
      </c>
      <c r="AK185">
        <f t="shared" si="295"/>
        <v>4.875E-3</v>
      </c>
      <c r="AL185">
        <f t="shared" si="295"/>
        <v>4.875E-3</v>
      </c>
      <c r="AM185">
        <f t="shared" si="295"/>
        <v>4.875E-3</v>
      </c>
      <c r="AN185">
        <f t="shared" si="295"/>
        <v>4.875E-3</v>
      </c>
    </row>
    <row r="187" spans="1:48" s="111" customFormat="1" ht="15.6" x14ac:dyDescent="0.3">
      <c r="A187" s="107" t="s">
        <v>98</v>
      </c>
      <c r="B187" s="107"/>
      <c r="C187" s="107"/>
      <c r="D187" s="107"/>
      <c r="E187" s="107"/>
      <c r="F187" s="107"/>
      <c r="G187" s="107"/>
      <c r="H187" s="107"/>
      <c r="I187" s="107"/>
      <c r="J187" s="109"/>
      <c r="K187" s="109"/>
      <c r="L187" s="109"/>
      <c r="M187" s="109"/>
      <c r="N187" s="109"/>
      <c r="O187" s="109"/>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row>
    <row r="188" spans="1:48" x14ac:dyDescent="0.3">
      <c r="A188" t="s">
        <v>1219</v>
      </c>
      <c r="B188">
        <f>'Net zero activities &amp; levers'!$C73/100</f>
        <v>0</v>
      </c>
      <c r="C188">
        <f>B188</f>
        <v>0</v>
      </c>
      <c r="D188">
        <f t="shared" ref="D188:J188" si="296">C188</f>
        <v>0</v>
      </c>
      <c r="E188">
        <f t="shared" si="296"/>
        <v>0</v>
      </c>
      <c r="F188">
        <f t="shared" si="296"/>
        <v>0</v>
      </c>
      <c r="G188">
        <f t="shared" si="296"/>
        <v>0</v>
      </c>
      <c r="H188">
        <f t="shared" si="296"/>
        <v>0</v>
      </c>
      <c r="I188">
        <f t="shared" si="296"/>
        <v>0</v>
      </c>
      <c r="J188">
        <f t="shared" si="296"/>
        <v>0</v>
      </c>
      <c r="K188">
        <f t="shared" ref="K188" si="297">J188+($T188-$J188)/10</f>
        <v>0.08</v>
      </c>
      <c r="L188">
        <f t="shared" ref="L188" si="298">K188+($T188-$J188)/10</f>
        <v>0.16</v>
      </c>
      <c r="M188">
        <f t="shared" ref="M188" si="299">L188+($T188-$J188)/10</f>
        <v>0.24</v>
      </c>
      <c r="N188">
        <f t="shared" ref="N188" si="300">M188+($T188-$J188)/10</f>
        <v>0.32</v>
      </c>
      <c r="O188">
        <f t="shared" ref="O188" si="301">N188+($T188-$J188)/10</f>
        <v>0.4</v>
      </c>
      <c r="P188">
        <f t="shared" ref="P188" si="302">O188+($T188-$J188)/10</f>
        <v>0.48000000000000004</v>
      </c>
      <c r="Q188">
        <f t="shared" ref="Q188" si="303">P188+($T188-$J188)/10</f>
        <v>0.56000000000000005</v>
      </c>
      <c r="R188">
        <f t="shared" ref="R188" si="304">Q188+($T188-$J188)/10</f>
        <v>0.64</v>
      </c>
      <c r="S188">
        <f t="shared" ref="S188" si="305">R188+($T188-$J188)/10</f>
        <v>0.72</v>
      </c>
      <c r="T188">
        <f>'Net zero activities &amp; levers'!$D73/100</f>
        <v>0.8</v>
      </c>
      <c r="U188">
        <f t="shared" ref="U188:U189" si="306">T188+($AD188-$T188)/10</f>
        <v>0.82000000000000006</v>
      </c>
      <c r="V188">
        <f t="shared" ref="V188:V189" si="307">U188+($AD188-$T188)/10</f>
        <v>0.84000000000000008</v>
      </c>
      <c r="W188">
        <f t="shared" ref="W188:W189" si="308">V188+($AD188-$T188)/10</f>
        <v>0.8600000000000001</v>
      </c>
      <c r="X188">
        <f t="shared" ref="X188:X189" si="309">W188+($AD188-$T188)/10</f>
        <v>0.88000000000000012</v>
      </c>
      <c r="Y188">
        <f t="shared" ref="Y188:Y189" si="310">X188+($AD188-$T188)/10</f>
        <v>0.90000000000000013</v>
      </c>
      <c r="Z188">
        <f t="shared" ref="Z188:Z189" si="311">Y188+($AD188-$T188)/10</f>
        <v>0.92000000000000015</v>
      </c>
      <c r="AA188">
        <f t="shared" ref="AA188:AA189" si="312">Z188+($AD188-$T188)/10</f>
        <v>0.94000000000000017</v>
      </c>
      <c r="AB188">
        <f t="shared" ref="AB188:AB189" si="313">AA188+($AD188-$T188)/10</f>
        <v>0.96000000000000019</v>
      </c>
      <c r="AC188">
        <f t="shared" ref="AC188:AC189" si="314">AB188+($AD188-$T188)/10</f>
        <v>0.9800000000000002</v>
      </c>
      <c r="AD188">
        <f>'Net zero activities &amp; levers'!$E73/100</f>
        <v>1</v>
      </c>
      <c r="AE188">
        <f t="shared" ref="AE188:AE189" si="315">AD188+($AN188-$AD188)/10</f>
        <v>1</v>
      </c>
      <c r="AF188">
        <f t="shared" ref="AF188:AF189" si="316">AE188+($AN188-$AD188)/10</f>
        <v>1</v>
      </c>
      <c r="AG188">
        <f t="shared" ref="AG188:AG189" si="317">AF188+($AN188-$AD188)/10</f>
        <v>1</v>
      </c>
      <c r="AH188">
        <f t="shared" ref="AH188:AH189" si="318">AG188+($AN188-$AD188)/10</f>
        <v>1</v>
      </c>
      <c r="AI188">
        <f t="shared" ref="AI188:AI189" si="319">AH188+($AN188-$AD188)/10</f>
        <v>1</v>
      </c>
      <c r="AJ188">
        <f t="shared" ref="AJ188:AJ189" si="320">AI188+($AN188-$AD188)/10</f>
        <v>1</v>
      </c>
      <c r="AK188">
        <f t="shared" ref="AK188:AK189" si="321">AJ188+($AN188-$AD188)/10</f>
        <v>1</v>
      </c>
      <c r="AL188">
        <f t="shared" ref="AL188:AL189" si="322">AK188+($AN188-$AD188)/10</f>
        <v>1</v>
      </c>
      <c r="AM188">
        <f t="shared" ref="AM188:AM189" si="323">AL188+($AN188-$AD188)/10</f>
        <v>1</v>
      </c>
      <c r="AN188">
        <f>'Net zero activities &amp; levers'!$F73/100</f>
        <v>1</v>
      </c>
    </row>
    <row r="189" spans="1:48" x14ac:dyDescent="0.3">
      <c r="A189" t="s">
        <v>1220</v>
      </c>
      <c r="B189">
        <f>'Net zero activities &amp; levers'!$C74/100</f>
        <v>0</v>
      </c>
      <c r="C189">
        <f t="shared" ref="C189:J189" si="324">B189</f>
        <v>0</v>
      </c>
      <c r="D189">
        <f t="shared" si="324"/>
        <v>0</v>
      </c>
      <c r="E189">
        <f t="shared" si="324"/>
        <v>0</v>
      </c>
      <c r="F189">
        <f t="shared" si="324"/>
        <v>0</v>
      </c>
      <c r="G189">
        <f t="shared" si="324"/>
        <v>0</v>
      </c>
      <c r="H189">
        <f t="shared" si="324"/>
        <v>0</v>
      </c>
      <c r="I189">
        <f t="shared" si="324"/>
        <v>0</v>
      </c>
      <c r="J189">
        <f t="shared" si="324"/>
        <v>0</v>
      </c>
      <c r="K189">
        <f t="shared" ref="K189" si="325">J189+($T189-$J189)/10</f>
        <v>0</v>
      </c>
      <c r="L189">
        <f t="shared" ref="L189" si="326">K189+($T189-$J189)/10</f>
        <v>0</v>
      </c>
      <c r="M189">
        <f t="shared" ref="M189" si="327">L189+($T189-$J189)/10</f>
        <v>0</v>
      </c>
      <c r="N189">
        <f t="shared" ref="N189" si="328">M189+($T189-$J189)/10</f>
        <v>0</v>
      </c>
      <c r="O189">
        <f t="shared" ref="O189" si="329">N189+($T189-$J189)/10</f>
        <v>0</v>
      </c>
      <c r="P189">
        <f t="shared" ref="P189" si="330">O189+($T189-$J189)/10</f>
        <v>0</v>
      </c>
      <c r="Q189">
        <f t="shared" ref="Q189" si="331">P189+($T189-$J189)/10</f>
        <v>0</v>
      </c>
      <c r="R189">
        <f t="shared" ref="R189" si="332">Q189+($T189-$J189)/10</f>
        <v>0</v>
      </c>
      <c r="S189">
        <f t="shared" ref="S189" si="333">R189+($T189-$J189)/10</f>
        <v>0</v>
      </c>
      <c r="T189">
        <f>'Net zero activities &amp; levers'!$D74/100</f>
        <v>0</v>
      </c>
      <c r="U189">
        <f t="shared" si="306"/>
        <v>0</v>
      </c>
      <c r="V189">
        <f t="shared" si="307"/>
        <v>0</v>
      </c>
      <c r="W189">
        <f t="shared" si="308"/>
        <v>0</v>
      </c>
      <c r="X189">
        <f t="shared" si="309"/>
        <v>0</v>
      </c>
      <c r="Y189">
        <f t="shared" si="310"/>
        <v>0</v>
      </c>
      <c r="Z189">
        <f t="shared" si="311"/>
        <v>0</v>
      </c>
      <c r="AA189">
        <f t="shared" si="312"/>
        <v>0</v>
      </c>
      <c r="AB189">
        <f t="shared" si="313"/>
        <v>0</v>
      </c>
      <c r="AC189">
        <f t="shared" si="314"/>
        <v>0</v>
      </c>
      <c r="AD189">
        <f>'Net zero activities &amp; levers'!$E74/100</f>
        <v>0</v>
      </c>
      <c r="AE189">
        <f t="shared" si="315"/>
        <v>0</v>
      </c>
      <c r="AF189">
        <f t="shared" si="316"/>
        <v>0</v>
      </c>
      <c r="AG189">
        <f t="shared" si="317"/>
        <v>0</v>
      </c>
      <c r="AH189">
        <f t="shared" si="318"/>
        <v>0</v>
      </c>
      <c r="AI189">
        <f t="shared" si="319"/>
        <v>0</v>
      </c>
      <c r="AJ189">
        <f t="shared" si="320"/>
        <v>0</v>
      </c>
      <c r="AK189">
        <f t="shared" si="321"/>
        <v>0</v>
      </c>
      <c r="AL189">
        <f t="shared" si="322"/>
        <v>0</v>
      </c>
      <c r="AM189">
        <f t="shared" si="323"/>
        <v>0</v>
      </c>
      <c r="AN189">
        <f>'Net zero activities &amp; levers'!$F74/100</f>
        <v>0</v>
      </c>
    </row>
    <row r="190" spans="1:48" x14ac:dyDescent="0.3">
      <c r="A190" t="s">
        <v>1221</v>
      </c>
      <c r="B190">
        <f t="shared" ref="B190:AN190" si="334">(-11.06*B188)+12.459</f>
        <v>12.459</v>
      </c>
      <c r="C190">
        <f t="shared" si="334"/>
        <v>12.459</v>
      </c>
      <c r="D190">
        <f t="shared" si="334"/>
        <v>12.459</v>
      </c>
      <c r="E190">
        <f t="shared" si="334"/>
        <v>12.459</v>
      </c>
      <c r="F190">
        <f t="shared" si="334"/>
        <v>12.459</v>
      </c>
      <c r="G190">
        <f t="shared" si="334"/>
        <v>12.459</v>
      </c>
      <c r="H190">
        <f t="shared" si="334"/>
        <v>12.459</v>
      </c>
      <c r="I190">
        <f t="shared" si="334"/>
        <v>12.459</v>
      </c>
      <c r="J190">
        <f t="shared" si="334"/>
        <v>12.459</v>
      </c>
      <c r="K190">
        <f t="shared" si="334"/>
        <v>11.574199999999999</v>
      </c>
      <c r="L190">
        <f t="shared" si="334"/>
        <v>10.689399999999999</v>
      </c>
      <c r="M190">
        <f t="shared" si="334"/>
        <v>9.8046000000000006</v>
      </c>
      <c r="N190">
        <f t="shared" si="334"/>
        <v>8.9197999999999986</v>
      </c>
      <c r="O190">
        <f t="shared" si="334"/>
        <v>8.0350000000000001</v>
      </c>
      <c r="P190">
        <f t="shared" si="334"/>
        <v>7.150199999999999</v>
      </c>
      <c r="Q190">
        <f t="shared" si="334"/>
        <v>6.2653999999999987</v>
      </c>
      <c r="R190">
        <f t="shared" si="334"/>
        <v>5.3805999999999994</v>
      </c>
      <c r="S190">
        <f t="shared" si="334"/>
        <v>4.4957999999999991</v>
      </c>
      <c r="T190">
        <f t="shared" si="334"/>
        <v>3.6109999999999989</v>
      </c>
      <c r="U190">
        <f t="shared" si="334"/>
        <v>3.3897999999999993</v>
      </c>
      <c r="V190">
        <f t="shared" si="334"/>
        <v>3.1685999999999979</v>
      </c>
      <c r="W190">
        <f t="shared" si="334"/>
        <v>2.9473999999999982</v>
      </c>
      <c r="X190">
        <f t="shared" si="334"/>
        <v>2.7261999999999986</v>
      </c>
      <c r="Y190">
        <f t="shared" si="334"/>
        <v>2.5049999999999972</v>
      </c>
      <c r="Z190">
        <f t="shared" si="334"/>
        <v>2.2837999999999976</v>
      </c>
      <c r="AA190">
        <f t="shared" si="334"/>
        <v>2.062599999999998</v>
      </c>
      <c r="AB190">
        <f t="shared" si="334"/>
        <v>1.8413999999999966</v>
      </c>
      <c r="AC190">
        <f t="shared" si="334"/>
        <v>1.620199999999997</v>
      </c>
      <c r="AD190">
        <f t="shared" si="334"/>
        <v>1.3989999999999991</v>
      </c>
      <c r="AE190">
        <f t="shared" si="334"/>
        <v>1.3989999999999991</v>
      </c>
      <c r="AF190">
        <f t="shared" si="334"/>
        <v>1.3989999999999991</v>
      </c>
      <c r="AG190">
        <f t="shared" si="334"/>
        <v>1.3989999999999991</v>
      </c>
      <c r="AH190">
        <f t="shared" si="334"/>
        <v>1.3989999999999991</v>
      </c>
      <c r="AI190">
        <f t="shared" si="334"/>
        <v>1.3989999999999991</v>
      </c>
      <c r="AJ190">
        <f t="shared" si="334"/>
        <v>1.3989999999999991</v>
      </c>
      <c r="AK190">
        <f t="shared" si="334"/>
        <v>1.3989999999999991</v>
      </c>
      <c r="AL190">
        <f t="shared" si="334"/>
        <v>1.3989999999999991</v>
      </c>
      <c r="AM190">
        <f t="shared" si="334"/>
        <v>1.3989999999999991</v>
      </c>
      <c r="AN190">
        <f t="shared" si="334"/>
        <v>1.3989999999999991</v>
      </c>
    </row>
    <row r="191" spans="1:48" x14ac:dyDescent="0.3">
      <c r="A191" t="s">
        <v>1222</v>
      </c>
      <c r="B191">
        <f t="shared" ref="B191:AN191" si="335">(-4.2751*B188)+4.2839</f>
        <v>4.2839</v>
      </c>
      <c r="C191">
        <f t="shared" si="335"/>
        <v>4.2839</v>
      </c>
      <c r="D191">
        <f t="shared" si="335"/>
        <v>4.2839</v>
      </c>
      <c r="E191">
        <f t="shared" si="335"/>
        <v>4.2839</v>
      </c>
      <c r="F191">
        <f t="shared" si="335"/>
        <v>4.2839</v>
      </c>
      <c r="G191">
        <f t="shared" si="335"/>
        <v>4.2839</v>
      </c>
      <c r="H191">
        <f t="shared" si="335"/>
        <v>4.2839</v>
      </c>
      <c r="I191">
        <f t="shared" si="335"/>
        <v>4.2839</v>
      </c>
      <c r="J191">
        <f t="shared" si="335"/>
        <v>4.2839</v>
      </c>
      <c r="K191">
        <f t="shared" si="335"/>
        <v>3.9418920000000002</v>
      </c>
      <c r="L191">
        <f t="shared" si="335"/>
        <v>3.5998839999999999</v>
      </c>
      <c r="M191">
        <f t="shared" si="335"/>
        <v>3.257876</v>
      </c>
      <c r="N191">
        <f t="shared" si="335"/>
        <v>2.9158679999999997</v>
      </c>
      <c r="O191">
        <f t="shared" si="335"/>
        <v>2.5738599999999998</v>
      </c>
      <c r="P191">
        <f t="shared" si="335"/>
        <v>2.2318519999999999</v>
      </c>
      <c r="Q191">
        <f t="shared" si="335"/>
        <v>1.8898439999999996</v>
      </c>
      <c r="R191">
        <f t="shared" si="335"/>
        <v>1.5478359999999998</v>
      </c>
      <c r="S191">
        <f t="shared" si="335"/>
        <v>1.2058279999999999</v>
      </c>
      <c r="T191">
        <f t="shared" si="335"/>
        <v>0.86381999999999959</v>
      </c>
      <c r="U191">
        <f t="shared" si="335"/>
        <v>0.77831799999999962</v>
      </c>
      <c r="V191">
        <f t="shared" si="335"/>
        <v>0.69281599999999965</v>
      </c>
      <c r="W191">
        <f t="shared" si="335"/>
        <v>0.60731399999999969</v>
      </c>
      <c r="X191">
        <f t="shared" si="335"/>
        <v>0.52181199999999928</v>
      </c>
      <c r="Y191">
        <f t="shared" si="335"/>
        <v>0.43630999999999931</v>
      </c>
      <c r="Z191">
        <f t="shared" si="335"/>
        <v>0.35080799999999934</v>
      </c>
      <c r="AA191">
        <f t="shared" si="335"/>
        <v>0.26530599999999893</v>
      </c>
      <c r="AB191">
        <f t="shared" si="335"/>
        <v>0.17980399999999896</v>
      </c>
      <c r="AC191">
        <f t="shared" si="335"/>
        <v>9.4301999999998998E-2</v>
      </c>
      <c r="AD191">
        <f t="shared" si="335"/>
        <v>8.799999999999919E-3</v>
      </c>
      <c r="AE191">
        <f t="shared" si="335"/>
        <v>8.799999999999919E-3</v>
      </c>
      <c r="AF191">
        <f t="shared" si="335"/>
        <v>8.799999999999919E-3</v>
      </c>
      <c r="AG191">
        <f t="shared" si="335"/>
        <v>8.799999999999919E-3</v>
      </c>
      <c r="AH191">
        <f t="shared" si="335"/>
        <v>8.799999999999919E-3</v>
      </c>
      <c r="AI191">
        <f t="shared" si="335"/>
        <v>8.799999999999919E-3</v>
      </c>
      <c r="AJ191">
        <f t="shared" si="335"/>
        <v>8.799999999999919E-3</v>
      </c>
      <c r="AK191">
        <f t="shared" si="335"/>
        <v>8.799999999999919E-3</v>
      </c>
      <c r="AL191">
        <f t="shared" si="335"/>
        <v>8.799999999999919E-3</v>
      </c>
      <c r="AM191">
        <f t="shared" si="335"/>
        <v>8.799999999999919E-3</v>
      </c>
      <c r="AN191">
        <f t="shared" si="335"/>
        <v>8.799999999999919E-3</v>
      </c>
    </row>
    <row r="192" spans="1:48" x14ac:dyDescent="0.3">
      <c r="A192" t="s">
        <v>1223</v>
      </c>
      <c r="B192">
        <f t="shared" ref="B192:AN192" si="336">(-0.427*B188)+0.87</f>
        <v>0.87</v>
      </c>
      <c r="C192">
        <f t="shared" si="336"/>
        <v>0.87</v>
      </c>
      <c r="D192">
        <f t="shared" si="336"/>
        <v>0.87</v>
      </c>
      <c r="E192">
        <f t="shared" si="336"/>
        <v>0.87</v>
      </c>
      <c r="F192">
        <f t="shared" si="336"/>
        <v>0.87</v>
      </c>
      <c r="G192">
        <f t="shared" si="336"/>
        <v>0.87</v>
      </c>
      <c r="H192">
        <f t="shared" si="336"/>
        <v>0.87</v>
      </c>
      <c r="I192">
        <f t="shared" si="336"/>
        <v>0.87</v>
      </c>
      <c r="J192">
        <f t="shared" si="336"/>
        <v>0.87</v>
      </c>
      <c r="K192">
        <f t="shared" si="336"/>
        <v>0.83584000000000003</v>
      </c>
      <c r="L192">
        <f t="shared" si="336"/>
        <v>0.80167999999999995</v>
      </c>
      <c r="M192">
        <f t="shared" si="336"/>
        <v>0.76751999999999998</v>
      </c>
      <c r="N192">
        <f t="shared" si="336"/>
        <v>0.73336000000000001</v>
      </c>
      <c r="O192">
        <f t="shared" si="336"/>
        <v>0.69920000000000004</v>
      </c>
      <c r="P192">
        <f t="shared" si="336"/>
        <v>0.66503999999999996</v>
      </c>
      <c r="Q192">
        <f t="shared" si="336"/>
        <v>0.63088</v>
      </c>
      <c r="R192">
        <f t="shared" si="336"/>
        <v>0.59671999999999992</v>
      </c>
      <c r="S192">
        <f t="shared" si="336"/>
        <v>0.56255999999999995</v>
      </c>
      <c r="T192">
        <f t="shared" si="336"/>
        <v>0.52839999999999998</v>
      </c>
      <c r="U192">
        <f t="shared" si="336"/>
        <v>0.51985999999999999</v>
      </c>
      <c r="V192">
        <f t="shared" si="336"/>
        <v>0.51132</v>
      </c>
      <c r="W192">
        <f t="shared" si="336"/>
        <v>0.50278</v>
      </c>
      <c r="X192">
        <f t="shared" si="336"/>
        <v>0.49423999999999996</v>
      </c>
      <c r="Y192">
        <f t="shared" si="336"/>
        <v>0.48569999999999997</v>
      </c>
      <c r="Z192">
        <f t="shared" si="336"/>
        <v>0.47715999999999992</v>
      </c>
      <c r="AA192">
        <f t="shared" si="336"/>
        <v>0.46861999999999993</v>
      </c>
      <c r="AB192">
        <f t="shared" si="336"/>
        <v>0.46007999999999993</v>
      </c>
      <c r="AC192">
        <f t="shared" si="336"/>
        <v>0.45153999999999994</v>
      </c>
      <c r="AD192">
        <f t="shared" si="336"/>
        <v>0.443</v>
      </c>
      <c r="AE192">
        <f t="shared" si="336"/>
        <v>0.443</v>
      </c>
      <c r="AF192">
        <f t="shared" si="336"/>
        <v>0.443</v>
      </c>
      <c r="AG192">
        <f t="shared" si="336"/>
        <v>0.443</v>
      </c>
      <c r="AH192">
        <f t="shared" si="336"/>
        <v>0.443</v>
      </c>
      <c r="AI192">
        <f t="shared" si="336"/>
        <v>0.443</v>
      </c>
      <c r="AJ192">
        <f t="shared" si="336"/>
        <v>0.443</v>
      </c>
      <c r="AK192">
        <f t="shared" si="336"/>
        <v>0.443</v>
      </c>
      <c r="AL192">
        <f t="shared" si="336"/>
        <v>0.443</v>
      </c>
      <c r="AM192">
        <f t="shared" si="336"/>
        <v>0.443</v>
      </c>
      <c r="AN192">
        <f t="shared" si="336"/>
        <v>0.443</v>
      </c>
    </row>
    <row r="193" spans="1:48" x14ac:dyDescent="0.3">
      <c r="A193" t="s">
        <v>1224</v>
      </c>
      <c r="B193">
        <f t="shared" ref="B193:AN193" si="337">(-13.996*B188)+14.057</f>
        <v>14.057</v>
      </c>
      <c r="C193">
        <f t="shared" si="337"/>
        <v>14.057</v>
      </c>
      <c r="D193">
        <f t="shared" si="337"/>
        <v>14.057</v>
      </c>
      <c r="E193">
        <f t="shared" si="337"/>
        <v>14.057</v>
      </c>
      <c r="F193">
        <f t="shared" si="337"/>
        <v>14.057</v>
      </c>
      <c r="G193">
        <f t="shared" si="337"/>
        <v>14.057</v>
      </c>
      <c r="H193">
        <f t="shared" si="337"/>
        <v>14.057</v>
      </c>
      <c r="I193">
        <f t="shared" si="337"/>
        <v>14.057</v>
      </c>
      <c r="J193">
        <f t="shared" si="337"/>
        <v>14.057</v>
      </c>
      <c r="K193">
        <f t="shared" si="337"/>
        <v>12.93732</v>
      </c>
      <c r="L193">
        <f t="shared" si="337"/>
        <v>11.817640000000001</v>
      </c>
      <c r="M193">
        <f t="shared" si="337"/>
        <v>10.69796</v>
      </c>
      <c r="N193">
        <f t="shared" si="337"/>
        <v>9.5782799999999995</v>
      </c>
      <c r="O193">
        <f t="shared" si="337"/>
        <v>8.4586000000000006</v>
      </c>
      <c r="P193">
        <f t="shared" si="337"/>
        <v>7.3389199999999999</v>
      </c>
      <c r="Q193">
        <f t="shared" si="337"/>
        <v>6.2192399999999992</v>
      </c>
      <c r="R193">
        <f t="shared" si="337"/>
        <v>5.0995600000000003</v>
      </c>
      <c r="S193">
        <f t="shared" si="337"/>
        <v>3.9798799999999996</v>
      </c>
      <c r="T193">
        <f t="shared" si="337"/>
        <v>2.860199999999999</v>
      </c>
      <c r="U193">
        <f t="shared" si="337"/>
        <v>2.5802799999999984</v>
      </c>
      <c r="V193">
        <f t="shared" si="337"/>
        <v>2.3003599999999995</v>
      </c>
      <c r="W193">
        <f t="shared" si="337"/>
        <v>2.0204399999999989</v>
      </c>
      <c r="X193">
        <f t="shared" si="337"/>
        <v>1.7405199999999983</v>
      </c>
      <c r="Y193">
        <f t="shared" si="337"/>
        <v>1.4605999999999977</v>
      </c>
      <c r="Z193">
        <f t="shared" si="337"/>
        <v>1.1806799999999971</v>
      </c>
      <c r="AA193">
        <f t="shared" si="337"/>
        <v>0.90075999999999823</v>
      </c>
      <c r="AB193">
        <f t="shared" si="337"/>
        <v>0.62083999999999762</v>
      </c>
      <c r="AC193">
        <f t="shared" si="337"/>
        <v>0.340919999999997</v>
      </c>
      <c r="AD193">
        <f t="shared" si="337"/>
        <v>6.0999999999999943E-2</v>
      </c>
      <c r="AE193">
        <f t="shared" si="337"/>
        <v>6.0999999999999943E-2</v>
      </c>
      <c r="AF193">
        <f t="shared" si="337"/>
        <v>6.0999999999999943E-2</v>
      </c>
      <c r="AG193">
        <f t="shared" si="337"/>
        <v>6.0999999999999943E-2</v>
      </c>
      <c r="AH193">
        <f t="shared" si="337"/>
        <v>6.0999999999999943E-2</v>
      </c>
      <c r="AI193">
        <f t="shared" si="337"/>
        <v>6.0999999999999943E-2</v>
      </c>
      <c r="AJ193">
        <f t="shared" si="337"/>
        <v>6.0999999999999943E-2</v>
      </c>
      <c r="AK193">
        <f t="shared" si="337"/>
        <v>6.0999999999999943E-2</v>
      </c>
      <c r="AL193">
        <f t="shared" si="337"/>
        <v>6.0999999999999943E-2</v>
      </c>
      <c r="AM193">
        <f t="shared" si="337"/>
        <v>6.0999999999999943E-2</v>
      </c>
      <c r="AN193">
        <f t="shared" si="337"/>
        <v>6.0999999999999943E-2</v>
      </c>
    </row>
    <row r="194" spans="1:48" x14ac:dyDescent="0.3">
      <c r="A194" t="s">
        <v>1225</v>
      </c>
      <c r="B194">
        <f t="shared" ref="B194:AN194" si="338">(-0.3345*B188)+0.3451</f>
        <v>0.34510000000000002</v>
      </c>
      <c r="C194">
        <f t="shared" si="338"/>
        <v>0.34510000000000002</v>
      </c>
      <c r="D194">
        <f t="shared" si="338"/>
        <v>0.34510000000000002</v>
      </c>
      <c r="E194">
        <f t="shared" si="338"/>
        <v>0.34510000000000002</v>
      </c>
      <c r="F194">
        <f t="shared" si="338"/>
        <v>0.34510000000000002</v>
      </c>
      <c r="G194">
        <f t="shared" si="338"/>
        <v>0.34510000000000002</v>
      </c>
      <c r="H194">
        <f t="shared" si="338"/>
        <v>0.34510000000000002</v>
      </c>
      <c r="I194">
        <f t="shared" si="338"/>
        <v>0.34510000000000002</v>
      </c>
      <c r="J194">
        <f t="shared" si="338"/>
        <v>0.34510000000000002</v>
      </c>
      <c r="K194">
        <f t="shared" si="338"/>
        <v>0.31834000000000001</v>
      </c>
      <c r="L194">
        <f t="shared" si="338"/>
        <v>0.29158000000000001</v>
      </c>
      <c r="M194">
        <f t="shared" si="338"/>
        <v>0.26482</v>
      </c>
      <c r="N194">
        <f t="shared" si="338"/>
        <v>0.23805999999999999</v>
      </c>
      <c r="O194">
        <f t="shared" si="338"/>
        <v>0.21130000000000002</v>
      </c>
      <c r="P194">
        <f t="shared" si="338"/>
        <v>0.18454000000000001</v>
      </c>
      <c r="Q194">
        <f t="shared" si="338"/>
        <v>0.15777999999999998</v>
      </c>
      <c r="R194">
        <f t="shared" si="338"/>
        <v>0.13102</v>
      </c>
      <c r="S194">
        <f t="shared" si="338"/>
        <v>0.10426000000000002</v>
      </c>
      <c r="T194">
        <f t="shared" si="338"/>
        <v>7.7500000000000013E-2</v>
      </c>
      <c r="U194">
        <f t="shared" si="338"/>
        <v>7.0809999999999984E-2</v>
      </c>
      <c r="V194">
        <f t="shared" si="338"/>
        <v>6.4119999999999955E-2</v>
      </c>
      <c r="W194">
        <f t="shared" si="338"/>
        <v>5.7429999999999981E-2</v>
      </c>
      <c r="X194">
        <f t="shared" si="338"/>
        <v>5.0739999999999952E-2</v>
      </c>
      <c r="Y194">
        <f t="shared" si="338"/>
        <v>4.4049999999999978E-2</v>
      </c>
      <c r="Z194">
        <f t="shared" si="338"/>
        <v>3.7359999999999949E-2</v>
      </c>
      <c r="AA194">
        <f t="shared" si="338"/>
        <v>3.066999999999992E-2</v>
      </c>
      <c r="AB194">
        <f t="shared" si="338"/>
        <v>2.3979999999999946E-2</v>
      </c>
      <c r="AC194">
        <f t="shared" si="338"/>
        <v>1.7289999999999917E-2</v>
      </c>
      <c r="AD194">
        <f t="shared" si="338"/>
        <v>1.0599999999999998E-2</v>
      </c>
      <c r="AE194">
        <f t="shared" si="338"/>
        <v>1.0599999999999998E-2</v>
      </c>
      <c r="AF194">
        <f t="shared" si="338"/>
        <v>1.0599999999999998E-2</v>
      </c>
      <c r="AG194">
        <f t="shared" si="338"/>
        <v>1.0599999999999998E-2</v>
      </c>
      <c r="AH194">
        <f t="shared" si="338"/>
        <v>1.0599999999999998E-2</v>
      </c>
      <c r="AI194">
        <f t="shared" si="338"/>
        <v>1.0599999999999998E-2</v>
      </c>
      <c r="AJ194">
        <f t="shared" si="338"/>
        <v>1.0599999999999998E-2</v>
      </c>
      <c r="AK194">
        <f t="shared" si="338"/>
        <v>1.0599999999999998E-2</v>
      </c>
      <c r="AL194">
        <f t="shared" si="338"/>
        <v>1.0599999999999998E-2</v>
      </c>
      <c r="AM194">
        <f t="shared" si="338"/>
        <v>1.0599999999999998E-2</v>
      </c>
      <c r="AN194">
        <f t="shared" si="338"/>
        <v>1.0599999999999998E-2</v>
      </c>
    </row>
    <row r="195" spans="1:48" x14ac:dyDescent="0.3">
      <c r="A195" t="s">
        <v>1226</v>
      </c>
      <c r="B195">
        <f t="shared" ref="B195:AN195" si="339">(-0.0124*B188)+0.0235</f>
        <v>2.35E-2</v>
      </c>
      <c r="C195">
        <f t="shared" si="339"/>
        <v>2.35E-2</v>
      </c>
      <c r="D195">
        <f t="shared" si="339"/>
        <v>2.35E-2</v>
      </c>
      <c r="E195">
        <f t="shared" si="339"/>
        <v>2.35E-2</v>
      </c>
      <c r="F195">
        <f t="shared" si="339"/>
        <v>2.35E-2</v>
      </c>
      <c r="G195">
        <f t="shared" si="339"/>
        <v>2.35E-2</v>
      </c>
      <c r="H195">
        <f t="shared" si="339"/>
        <v>2.35E-2</v>
      </c>
      <c r="I195">
        <f t="shared" si="339"/>
        <v>2.35E-2</v>
      </c>
      <c r="J195">
        <f t="shared" si="339"/>
        <v>2.35E-2</v>
      </c>
      <c r="K195">
        <f t="shared" si="339"/>
        <v>2.2508E-2</v>
      </c>
      <c r="L195">
        <f t="shared" si="339"/>
        <v>2.1516E-2</v>
      </c>
      <c r="M195">
        <f t="shared" si="339"/>
        <v>2.0524000000000001E-2</v>
      </c>
      <c r="N195">
        <f t="shared" si="339"/>
        <v>1.9532000000000001E-2</v>
      </c>
      <c r="O195">
        <f t="shared" si="339"/>
        <v>1.8540000000000001E-2</v>
      </c>
      <c r="P195">
        <f t="shared" si="339"/>
        <v>1.7548000000000001E-2</v>
      </c>
      <c r="Q195">
        <f t="shared" si="339"/>
        <v>1.6556000000000001E-2</v>
      </c>
      <c r="R195">
        <f t="shared" si="339"/>
        <v>1.5564E-2</v>
      </c>
      <c r="S195">
        <f t="shared" si="339"/>
        <v>1.4572E-2</v>
      </c>
      <c r="T195">
        <f t="shared" si="339"/>
        <v>1.358E-2</v>
      </c>
      <c r="U195">
        <f t="shared" si="339"/>
        <v>1.3332E-2</v>
      </c>
      <c r="V195">
        <f t="shared" si="339"/>
        <v>1.3084E-2</v>
      </c>
      <c r="W195">
        <f t="shared" si="339"/>
        <v>1.2835999999999998E-2</v>
      </c>
      <c r="X195">
        <f t="shared" si="339"/>
        <v>1.2587999999999998E-2</v>
      </c>
      <c r="Y195">
        <f t="shared" si="339"/>
        <v>1.2339999999999999E-2</v>
      </c>
      <c r="Z195">
        <f t="shared" si="339"/>
        <v>1.2091999999999999E-2</v>
      </c>
      <c r="AA195">
        <f t="shared" si="339"/>
        <v>1.1843999999999999E-2</v>
      </c>
      <c r="AB195">
        <f t="shared" si="339"/>
        <v>1.1595999999999999E-2</v>
      </c>
      <c r="AC195">
        <f t="shared" si="339"/>
        <v>1.1347999999999999E-2</v>
      </c>
      <c r="AD195">
        <f t="shared" si="339"/>
        <v>1.11E-2</v>
      </c>
      <c r="AE195">
        <f t="shared" si="339"/>
        <v>1.11E-2</v>
      </c>
      <c r="AF195">
        <f t="shared" si="339"/>
        <v>1.11E-2</v>
      </c>
      <c r="AG195">
        <f t="shared" si="339"/>
        <v>1.11E-2</v>
      </c>
      <c r="AH195">
        <f t="shared" si="339"/>
        <v>1.11E-2</v>
      </c>
      <c r="AI195">
        <f t="shared" si="339"/>
        <v>1.11E-2</v>
      </c>
      <c r="AJ195">
        <f t="shared" si="339"/>
        <v>1.11E-2</v>
      </c>
      <c r="AK195">
        <f t="shared" si="339"/>
        <v>1.11E-2</v>
      </c>
      <c r="AL195">
        <f t="shared" si="339"/>
        <v>1.11E-2</v>
      </c>
      <c r="AM195">
        <f t="shared" si="339"/>
        <v>1.11E-2</v>
      </c>
      <c r="AN195">
        <f t="shared" si="339"/>
        <v>1.11E-2</v>
      </c>
    </row>
    <row r="196" spans="1:48" x14ac:dyDescent="0.3">
      <c r="A196" t="s">
        <v>1236</v>
      </c>
      <c r="B196">
        <f>'Net zero activities &amp; levers'!$C$75/100</f>
        <v>0</v>
      </c>
      <c r="C196">
        <f>B196</f>
        <v>0</v>
      </c>
      <c r="D196">
        <f t="shared" ref="D196:J196" si="340">C196</f>
        <v>0</v>
      </c>
      <c r="E196">
        <f t="shared" si="340"/>
        <v>0</v>
      </c>
      <c r="F196">
        <f t="shared" si="340"/>
        <v>0</v>
      </c>
      <c r="G196">
        <f t="shared" si="340"/>
        <v>0</v>
      </c>
      <c r="H196">
        <f t="shared" si="340"/>
        <v>0</v>
      </c>
      <c r="I196">
        <f t="shared" si="340"/>
        <v>0</v>
      </c>
      <c r="J196">
        <f t="shared" si="340"/>
        <v>0</v>
      </c>
      <c r="K196">
        <f t="shared" ref="K196" si="341">J196+($T196-$J196)/10</f>
        <v>0.03</v>
      </c>
      <c r="L196">
        <f t="shared" ref="L196" si="342">K196+($T196-$J196)/10</f>
        <v>0.06</v>
      </c>
      <c r="M196">
        <f t="shared" ref="M196" si="343">L196+($T196-$J196)/10</f>
        <v>0.09</v>
      </c>
      <c r="N196">
        <f t="shared" ref="N196" si="344">M196+($T196-$J196)/10</f>
        <v>0.12</v>
      </c>
      <c r="O196">
        <f t="shared" ref="O196" si="345">N196+($T196-$J196)/10</f>
        <v>0.15</v>
      </c>
      <c r="P196">
        <f t="shared" ref="P196" si="346">O196+($T196-$J196)/10</f>
        <v>0.18</v>
      </c>
      <c r="Q196">
        <f t="shared" ref="Q196" si="347">P196+($T196-$J196)/10</f>
        <v>0.21</v>
      </c>
      <c r="R196">
        <f t="shared" ref="R196" si="348">Q196+($T196-$J196)/10</f>
        <v>0.24</v>
      </c>
      <c r="S196">
        <f t="shared" ref="S196" si="349">R196+($T196-$J196)/10</f>
        <v>0.27</v>
      </c>
      <c r="T196">
        <f>'Net zero activities &amp; levers'!$D$75/100</f>
        <v>0.3</v>
      </c>
      <c r="U196">
        <f t="shared" ref="U196" si="350">T196+($AD196-$T196)/10</f>
        <v>0.31</v>
      </c>
      <c r="V196">
        <f t="shared" ref="V196" si="351">U196+($AD196-$T196)/10</f>
        <v>0.32</v>
      </c>
      <c r="W196">
        <f t="shared" ref="W196" si="352">V196+($AD196-$T196)/10</f>
        <v>0.33</v>
      </c>
      <c r="X196">
        <f t="shared" ref="X196" si="353">W196+($AD196-$T196)/10</f>
        <v>0.34</v>
      </c>
      <c r="Y196">
        <f t="shared" ref="Y196" si="354">X196+($AD196-$T196)/10</f>
        <v>0.35000000000000003</v>
      </c>
      <c r="Z196">
        <f t="shared" ref="Z196" si="355">Y196+($AD196-$T196)/10</f>
        <v>0.36000000000000004</v>
      </c>
      <c r="AA196">
        <f t="shared" ref="AA196" si="356">Z196+($AD196-$T196)/10</f>
        <v>0.37000000000000005</v>
      </c>
      <c r="AB196">
        <f t="shared" ref="AB196" si="357">AA196+($AD196-$T196)/10</f>
        <v>0.38000000000000006</v>
      </c>
      <c r="AC196">
        <f t="shared" ref="AC196" si="358">AB196+($AD196-$T196)/10</f>
        <v>0.39000000000000007</v>
      </c>
      <c r="AD196">
        <f>'Net zero activities &amp; levers'!$E$75/100</f>
        <v>0.4</v>
      </c>
      <c r="AE196">
        <f t="shared" ref="AE196" si="359">AD196+($AN196-$AD196)/10</f>
        <v>0.41000000000000003</v>
      </c>
      <c r="AF196">
        <f t="shared" ref="AF196" si="360">AE196+($AN196-$AD196)/10</f>
        <v>0.42000000000000004</v>
      </c>
      <c r="AG196">
        <f t="shared" ref="AG196" si="361">AF196+($AN196-$AD196)/10</f>
        <v>0.43000000000000005</v>
      </c>
      <c r="AH196">
        <f t="shared" ref="AH196" si="362">AG196+($AN196-$AD196)/10</f>
        <v>0.44000000000000006</v>
      </c>
      <c r="AI196">
        <f t="shared" ref="AI196" si="363">AH196+($AN196-$AD196)/10</f>
        <v>0.45000000000000007</v>
      </c>
      <c r="AJ196">
        <f t="shared" ref="AJ196" si="364">AI196+($AN196-$AD196)/10</f>
        <v>0.46000000000000008</v>
      </c>
      <c r="AK196">
        <f t="shared" ref="AK196" si="365">AJ196+($AN196-$AD196)/10</f>
        <v>0.47000000000000008</v>
      </c>
      <c r="AL196">
        <f t="shared" ref="AL196" si="366">AK196+($AN196-$AD196)/10</f>
        <v>0.48000000000000009</v>
      </c>
      <c r="AM196">
        <f t="shared" ref="AM196" si="367">AL196+($AN196-$AD196)/10</f>
        <v>0.4900000000000001</v>
      </c>
      <c r="AN196">
        <f>'Net zero activities &amp; levers'!$F$75/100</f>
        <v>0.5</v>
      </c>
    </row>
    <row r="197" spans="1:48" x14ac:dyDescent="0.3">
      <c r="A197" t="s">
        <v>1237</v>
      </c>
      <c r="B197">
        <f>'Net zero Activity data'!AD9*'Net zero supporting data'!B196</f>
        <v>0</v>
      </c>
      <c r="C197">
        <f>'Net zero Activity data'!AE9*'Net zero supporting data'!C196</f>
        <v>0</v>
      </c>
      <c r="D197">
        <f>'Net zero Activity data'!AF9*'Net zero supporting data'!D196</f>
        <v>0</v>
      </c>
      <c r="E197">
        <f>'Net zero Activity data'!AG9*'Net zero supporting data'!E196</f>
        <v>0</v>
      </c>
      <c r="F197">
        <f>'Net zero Activity data'!AH9*'Net zero supporting data'!F196</f>
        <v>0</v>
      </c>
      <c r="G197">
        <f>'Net zero Activity data'!AI9*'Net zero supporting data'!G196</f>
        <v>0</v>
      </c>
      <c r="H197">
        <f>'Net zero Activity data'!AJ9*'Net zero supporting data'!H196</f>
        <v>0</v>
      </c>
      <c r="I197">
        <f>'Net zero Activity data'!AK9*'Net zero supporting data'!I196</f>
        <v>0</v>
      </c>
      <c r="J197">
        <f>'Net zero Activity data'!AL9*'Net zero supporting data'!J196</f>
        <v>0</v>
      </c>
      <c r="K197">
        <f>'Net zero Activity data'!AM9*'Net zero supporting data'!K196</f>
        <v>126479.93254460966</v>
      </c>
      <c r="L197">
        <f>'Net zero Activity data'!AN9*'Net zero supporting data'!L196</f>
        <v>260502.50283282352</v>
      </c>
      <c r="M197">
        <f>'Net zero Activity data'!AO9*'Net zero supporting data'!M196</f>
        <v>393013.28206627263</v>
      </c>
      <c r="N197">
        <f>'Net zero Activity data'!AP9*'Net zero supporting data'!N196</f>
        <v>528362.89469826443</v>
      </c>
      <c r="O197">
        <f>'Net zero Activity data'!AQ9*'Net zero supporting data'!O196</f>
        <v>668030.65500657994</v>
      </c>
      <c r="P197">
        <f>'Net zero Activity data'!AR9*'Net zero supporting data'!P196</f>
        <v>812066.23409017932</v>
      </c>
      <c r="Q197">
        <f>'Net zero Activity data'!AS9*'Net zero supporting data'!Q196</f>
        <v>961676.58340784977</v>
      </c>
      <c r="R197">
        <f>'Net zero Activity data'!AT9*'Net zero supporting data'!R196</f>
        <v>1115438.1237195013</v>
      </c>
      <c r="S197">
        <f>'Net zero Activity data'!AU9*'Net zero supporting data'!S196</f>
        <v>1275592.0919685126</v>
      </c>
      <c r="T197">
        <f>'Net zero Activity data'!AV9*'Net zero supporting data'!T196</f>
        <v>1440122.9219149777</v>
      </c>
      <c r="U197">
        <f>'Net zero Activity data'!AW9*'Net zero supporting data'!U196</f>
        <v>1503472.976392203</v>
      </c>
      <c r="V197">
        <f>'Net zero Activity data'!AX9*'Net zero supporting data'!V196</f>
        <v>1564978.6597066349</v>
      </c>
      <c r="W197">
        <f>'Net zero Activity data'!AY9*'Net zero supporting data'!W196</f>
        <v>1628054.3277833024</v>
      </c>
      <c r="X197">
        <f>'Net zero Activity data'!AZ9*'Net zero supporting data'!X196</f>
        <v>1696923.2495952414</v>
      </c>
      <c r="Y197">
        <f>'Net zero Activity data'!BA9*'Net zero supporting data'!Y196</f>
        <v>1761294.0923011454</v>
      </c>
      <c r="Z197">
        <f>'Net zero Activity data'!BB9*'Net zero supporting data'!Z196</f>
        <v>1827469.3498489938</v>
      </c>
      <c r="AA197">
        <f>'Net zero Activity data'!BC9*'Net zero supporting data'!AA196</f>
        <v>1896167.5188218332</v>
      </c>
      <c r="AB197">
        <f>'Net zero Activity data'!BD9*'Net zero supporting data'!AB196</f>
        <v>1958893.3175145423</v>
      </c>
      <c r="AC197">
        <f>'Net zero Activity data'!BE9*'Net zero supporting data'!AC196</f>
        <v>2019280.7736942836</v>
      </c>
      <c r="AD197">
        <f>'Net zero Activity data'!BF9*'Net zero supporting data'!AD196</f>
        <v>2077361.9618237671</v>
      </c>
      <c r="AE197">
        <f>'Net zero Activity data'!BG9*'Net zero supporting data'!AE196</f>
        <v>2149385.8329122779</v>
      </c>
      <c r="AF197">
        <f>'Net zero Activity data'!BH9*'Net zero supporting data'!AF196</f>
        <v>2217453.1443628203</v>
      </c>
      <c r="AG197">
        <f>'Net zero Activity data'!BI9*'Net zero supporting data'!AG196</f>
        <v>2286467.5381506952</v>
      </c>
      <c r="AH197">
        <f>'Net zero Activity data'!BJ9*'Net zero supporting data'!AH196</f>
        <v>2356632.9586787731</v>
      </c>
      <c r="AI197">
        <f>'Net zero Activity data'!BK9*'Net zero supporting data'!AI196</f>
        <v>2428326.8857002934</v>
      </c>
      <c r="AJ197">
        <f>'Net zero Activity data'!BL9*'Net zero supporting data'!AJ196</f>
        <v>2501322.3490912067</v>
      </c>
      <c r="AK197">
        <f>'Net zero Activity data'!BM9*'Net zero supporting data'!AK196</f>
        <v>2517338.638960103</v>
      </c>
      <c r="AL197">
        <f>'Net zero Activity data'!BN9*'Net zero supporting data'!AL196</f>
        <v>2526518.6959637203</v>
      </c>
      <c r="AM197">
        <f>'Net zero Activity data'!BO9*'Net zero supporting data'!AM196</f>
        <v>2526631.5560162766</v>
      </c>
      <c r="AN197">
        <f>'Net zero Activity data'!BP9*'Net zero supporting data'!AN196</f>
        <v>2522920.9989448795</v>
      </c>
    </row>
    <row r="198" spans="1:48" x14ac:dyDescent="0.3">
      <c r="A198" t="s">
        <v>1238</v>
      </c>
      <c r="B198" s="11">
        <f>'Net zero Activity data'!AD9-'Net zero supporting data'!B197</f>
        <v>5280742.7858025134</v>
      </c>
      <c r="C198" s="11">
        <f>'Net zero Activity data'!AE9-'Net zero supporting data'!C197</f>
        <v>5234944.5900683459</v>
      </c>
      <c r="D198" s="11">
        <f>'Net zero Activity data'!AF9-'Net zero supporting data'!D197</f>
        <v>5217510.6033805842</v>
      </c>
      <c r="E198" s="11">
        <f>'Net zero Activity data'!AG9-'Net zero supporting data'!E197</f>
        <v>5147837.5788466781</v>
      </c>
      <c r="F198" s="11">
        <f>'Net zero Activity data'!AH9-'Net zero supporting data'!F197</f>
        <v>5046705.4822027264</v>
      </c>
      <c r="G198" s="11">
        <f>'Net zero Activity data'!AI9-'Net zero supporting data'!G197</f>
        <v>4916205.5668842373</v>
      </c>
      <c r="H198" s="11">
        <f>'Net zero Activity data'!AJ9-'Net zero supporting data'!H197</f>
        <v>4813276.4669492599</v>
      </c>
      <c r="I198" s="11">
        <f>'Net zero Activity data'!AK9-'Net zero supporting data'!I197</f>
        <v>4715893.8370102141</v>
      </c>
      <c r="J198" s="11">
        <f>'Net zero Activity data'!AL9-'Net zero supporting data'!J197</f>
        <v>4148611.7942377846</v>
      </c>
      <c r="K198" s="11">
        <f>'Net zero Activity data'!AM9-'Net zero supporting data'!K197</f>
        <v>4089517.8189423792</v>
      </c>
      <c r="L198" s="11">
        <f>'Net zero Activity data'!AN9-'Net zero supporting data'!L197</f>
        <v>4081205.8777142353</v>
      </c>
      <c r="M198" s="11">
        <f>'Net zero Activity data'!AO9-'Net zero supporting data'!M197</f>
        <v>3973800.9631145345</v>
      </c>
      <c r="N198" s="11">
        <f>'Net zero Activity data'!AP9-'Net zero supporting data'!N197</f>
        <v>3874661.2277872725</v>
      </c>
      <c r="O198" s="11">
        <f>'Net zero Activity data'!AQ9-'Net zero supporting data'!O197</f>
        <v>3785507.0450372864</v>
      </c>
      <c r="P198" s="11">
        <f>'Net zero Activity data'!AR9-'Net zero supporting data'!P197</f>
        <v>3699412.8441885952</v>
      </c>
      <c r="Q198" s="11">
        <f>'Net zero Activity data'!AS9-'Net zero supporting data'!Q197</f>
        <v>3617735.7185342917</v>
      </c>
      <c r="R198" s="11">
        <f>'Net zero Activity data'!AT9-'Net zero supporting data'!R197</f>
        <v>3532220.7251117546</v>
      </c>
      <c r="S198" s="11">
        <f>'Net zero Activity data'!AU9-'Net zero supporting data'!S197</f>
        <v>3448823.0634704228</v>
      </c>
      <c r="T198" s="11">
        <f>'Net zero Activity data'!AV9-'Net zero supporting data'!T197</f>
        <v>3360286.8178016143</v>
      </c>
      <c r="U198" s="11">
        <f>'Net zero Activity data'!AW9-'Net zero supporting data'!U197</f>
        <v>3346439.8506794199</v>
      </c>
      <c r="V198" s="11">
        <f>'Net zero Activity data'!AX9-'Net zero supporting data'!V197</f>
        <v>3325579.6518765991</v>
      </c>
      <c r="W198" s="11">
        <f>'Net zero Activity data'!AY9-'Net zero supporting data'!W197</f>
        <v>3305443.6351964017</v>
      </c>
      <c r="X198" s="11">
        <f>'Net zero Activity data'!AZ9-'Net zero supporting data'!X197</f>
        <v>3294027.4845084092</v>
      </c>
      <c r="Y198" s="11">
        <f>'Net zero Activity data'!BA9-'Net zero supporting data'!Y197</f>
        <v>3270974.7428449839</v>
      </c>
      <c r="Z198" s="11">
        <f>'Net zero Activity data'!BB9-'Net zero supporting data'!Z197</f>
        <v>3248834.3997315438</v>
      </c>
      <c r="AA198" s="11">
        <f>'Net zero Activity data'!BC9-'Net zero supporting data'!AA197</f>
        <v>3228609.5590750123</v>
      </c>
      <c r="AB198" s="11">
        <f>'Net zero Activity data'!BD9-'Net zero supporting data'!AB197</f>
        <v>3196089.0969974101</v>
      </c>
      <c r="AC198" s="11">
        <f>'Net zero Activity data'!BE9-'Net zero supporting data'!AC197</f>
        <v>3158362.2357782377</v>
      </c>
      <c r="AD198" s="11">
        <f>'Net zero Activity data'!BF9-'Net zero supporting data'!AD197</f>
        <v>3116042.9427356506</v>
      </c>
      <c r="AE198" s="11">
        <f>'Net zero Activity data'!BG9-'Net zero supporting data'!AE197</f>
        <v>3093018.6376054729</v>
      </c>
      <c r="AF198" s="11">
        <f>'Net zero Activity data'!BH9-'Net zero supporting data'!AF197</f>
        <v>3062197.1993581802</v>
      </c>
      <c r="AG198" s="11">
        <f>'Net zero Activity data'!BI9-'Net zero supporting data'!AG197</f>
        <v>3030898.8296416188</v>
      </c>
      <c r="AH198" s="11">
        <f>'Net zero Activity data'!BJ9-'Net zero supporting data'!AH197</f>
        <v>2999351.038318438</v>
      </c>
      <c r="AI198" s="11">
        <f>'Net zero Activity data'!BK9-'Net zero supporting data'!AI197</f>
        <v>2967955.0825225799</v>
      </c>
      <c r="AJ198" s="11">
        <f>'Net zero Activity data'!BL9-'Net zero supporting data'!AJ197</f>
        <v>2936334.9315418508</v>
      </c>
      <c r="AK198" s="11">
        <f>'Net zero Activity data'!BM9-'Net zero supporting data'!AK197</f>
        <v>2838701.018401817</v>
      </c>
      <c r="AL198" s="11">
        <f>'Net zero Activity data'!BN9-'Net zero supporting data'!AL197</f>
        <v>2737061.9206273626</v>
      </c>
      <c r="AM198" s="11">
        <f>'Net zero Activity data'!BO9-'Net zero supporting data'!AM197</f>
        <v>2629759.3746291846</v>
      </c>
      <c r="AN198" s="11">
        <f>'Net zero Activity data'!BP9-'Net zero supporting data'!AN197</f>
        <v>2522920.9989448795</v>
      </c>
    </row>
    <row r="199" spans="1:48" x14ac:dyDescent="0.3">
      <c r="A199" t="s">
        <v>1239</v>
      </c>
      <c r="B199">
        <v>0.4</v>
      </c>
      <c r="C199">
        <v>0.4</v>
      </c>
      <c r="D199">
        <v>0.4</v>
      </c>
      <c r="E199">
        <v>0.4</v>
      </c>
      <c r="F199">
        <v>0.4</v>
      </c>
      <c r="G199">
        <v>0.4</v>
      </c>
      <c r="H199">
        <v>0.4</v>
      </c>
      <c r="I199">
        <v>0.4</v>
      </c>
      <c r="J199">
        <v>0.4</v>
      </c>
      <c r="K199">
        <v>0.4</v>
      </c>
      <c r="L199">
        <v>0.4</v>
      </c>
      <c r="M199">
        <v>0.4</v>
      </c>
      <c r="N199">
        <v>0.4</v>
      </c>
      <c r="O199">
        <v>0.4</v>
      </c>
      <c r="P199">
        <v>0.4</v>
      </c>
      <c r="Q199">
        <v>0.4</v>
      </c>
      <c r="R199">
        <v>0.4</v>
      </c>
      <c r="S199">
        <v>0.4</v>
      </c>
      <c r="T199">
        <v>0.4</v>
      </c>
      <c r="U199">
        <v>0.4</v>
      </c>
      <c r="V199">
        <v>0.4</v>
      </c>
      <c r="W199">
        <v>0.4</v>
      </c>
      <c r="X199">
        <v>0.4</v>
      </c>
      <c r="Y199">
        <v>0.4</v>
      </c>
      <c r="Z199">
        <v>0.4</v>
      </c>
      <c r="AA199">
        <v>0.4</v>
      </c>
      <c r="AB199">
        <v>0.4</v>
      </c>
      <c r="AC199">
        <v>0.4</v>
      </c>
      <c r="AD199">
        <v>0.4</v>
      </c>
      <c r="AE199">
        <v>0.4</v>
      </c>
      <c r="AF199">
        <v>0.4</v>
      </c>
      <c r="AG199">
        <v>0.4</v>
      </c>
      <c r="AH199">
        <v>0.4</v>
      </c>
      <c r="AI199">
        <v>0.4</v>
      </c>
      <c r="AJ199">
        <v>0.4</v>
      </c>
      <c r="AK199">
        <v>0.4</v>
      </c>
      <c r="AL199">
        <v>0.4</v>
      </c>
      <c r="AM199">
        <v>0.4</v>
      </c>
      <c r="AN199">
        <v>0.4</v>
      </c>
    </row>
    <row r="201" spans="1:48" s="111" customFormat="1" ht="15.6" x14ac:dyDescent="0.3">
      <c r="A201" s="107" t="s">
        <v>1376</v>
      </c>
      <c r="B201" s="107"/>
      <c r="C201" s="107"/>
      <c r="D201" s="107"/>
      <c r="E201" s="107"/>
      <c r="F201" s="107"/>
      <c r="G201" s="107"/>
      <c r="H201" s="107"/>
      <c r="I201" s="107"/>
      <c r="J201" s="109"/>
      <c r="K201" s="109"/>
      <c r="L201" s="109"/>
      <c r="M201" s="109"/>
      <c r="N201" s="109"/>
      <c r="O201" s="109"/>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row>
    <row r="202" spans="1:48" x14ac:dyDescent="0.3">
      <c r="A202" t="s">
        <v>1370</v>
      </c>
      <c r="B202">
        <f>'Net zero activities &amp; levers'!$C78/100</f>
        <v>0</v>
      </c>
      <c r="C202">
        <f>B202</f>
        <v>0</v>
      </c>
      <c r="D202">
        <f t="shared" ref="D202:J202" si="368">C202</f>
        <v>0</v>
      </c>
      <c r="E202">
        <f t="shared" si="368"/>
        <v>0</v>
      </c>
      <c r="F202">
        <f t="shared" si="368"/>
        <v>0</v>
      </c>
      <c r="G202">
        <f t="shared" si="368"/>
        <v>0</v>
      </c>
      <c r="H202">
        <f t="shared" si="368"/>
        <v>0</v>
      </c>
      <c r="I202">
        <f t="shared" si="368"/>
        <v>0</v>
      </c>
      <c r="J202">
        <f t="shared" si="368"/>
        <v>0</v>
      </c>
      <c r="K202">
        <f t="shared" ref="K202:K204" si="369">J202+($T202-$J202)/10</f>
        <v>1.4999999999999999E-2</v>
      </c>
      <c r="L202">
        <f t="shared" ref="L202:L204" si="370">K202+($T202-$J202)/10</f>
        <v>0.03</v>
      </c>
      <c r="M202">
        <f t="shared" ref="M202:M204" si="371">L202+($T202-$J202)/10</f>
        <v>4.4999999999999998E-2</v>
      </c>
      <c r="N202">
        <f t="shared" ref="N202:N204" si="372">M202+($T202-$J202)/10</f>
        <v>0.06</v>
      </c>
      <c r="O202">
        <f t="shared" ref="O202:O204" si="373">N202+($T202-$J202)/10</f>
        <v>7.4999999999999997E-2</v>
      </c>
      <c r="P202">
        <f t="shared" ref="P202:P204" si="374">O202+($T202-$J202)/10</f>
        <v>0.09</v>
      </c>
      <c r="Q202">
        <f t="shared" ref="Q202:Q204" si="375">P202+($T202-$J202)/10</f>
        <v>0.105</v>
      </c>
      <c r="R202">
        <f t="shared" ref="R202:R204" si="376">Q202+($T202-$J202)/10</f>
        <v>0.12</v>
      </c>
      <c r="S202">
        <f t="shared" ref="S202:S204" si="377">R202+($T202-$J202)/10</f>
        <v>0.13500000000000001</v>
      </c>
      <c r="T202">
        <f>'Net zero activities &amp; levers'!$D78/100</f>
        <v>0.15</v>
      </c>
      <c r="U202">
        <f t="shared" ref="U202:U204" si="378">T202+($AD202-$T202)/10</f>
        <v>0.16</v>
      </c>
      <c r="V202">
        <f t="shared" ref="V202:V204" si="379">U202+($AD202-$T202)/10</f>
        <v>0.17</v>
      </c>
      <c r="W202">
        <f t="shared" ref="W202:W204" si="380">V202+($AD202-$T202)/10</f>
        <v>0.18000000000000002</v>
      </c>
      <c r="X202">
        <f t="shared" ref="X202:X204" si="381">W202+($AD202-$T202)/10</f>
        <v>0.19000000000000003</v>
      </c>
      <c r="Y202">
        <f t="shared" ref="Y202:Y204" si="382">X202+($AD202-$T202)/10</f>
        <v>0.20000000000000004</v>
      </c>
      <c r="Z202">
        <f t="shared" ref="Z202:Z204" si="383">Y202+($AD202-$T202)/10</f>
        <v>0.21000000000000005</v>
      </c>
      <c r="AA202">
        <f t="shared" ref="AA202:AA204" si="384">Z202+($AD202-$T202)/10</f>
        <v>0.22000000000000006</v>
      </c>
      <c r="AB202">
        <f t="shared" ref="AB202:AB204" si="385">AA202+($AD202-$T202)/10</f>
        <v>0.23000000000000007</v>
      </c>
      <c r="AC202">
        <f t="shared" ref="AC202:AC204" si="386">AB202+($AD202-$T202)/10</f>
        <v>0.24000000000000007</v>
      </c>
      <c r="AD202">
        <f>'Net zero activities &amp; levers'!$E78/100</f>
        <v>0.25</v>
      </c>
      <c r="AE202">
        <f t="shared" ref="AE202:AE204" si="387">AD202+($AN202-$AD202)/10</f>
        <v>0.255</v>
      </c>
      <c r="AF202">
        <f t="shared" ref="AF202:AF204" si="388">AE202+($AN202-$AD202)/10</f>
        <v>0.26</v>
      </c>
      <c r="AG202">
        <f t="shared" ref="AG202:AG204" si="389">AF202+($AN202-$AD202)/10</f>
        <v>0.26500000000000001</v>
      </c>
      <c r="AH202">
        <f t="shared" ref="AH202:AH204" si="390">AG202+($AN202-$AD202)/10</f>
        <v>0.27</v>
      </c>
      <c r="AI202">
        <f t="shared" ref="AI202:AI204" si="391">AH202+($AN202-$AD202)/10</f>
        <v>0.27500000000000002</v>
      </c>
      <c r="AJ202">
        <f t="shared" ref="AJ202:AJ204" si="392">AI202+($AN202-$AD202)/10</f>
        <v>0.28000000000000003</v>
      </c>
      <c r="AK202">
        <f t="shared" ref="AK202:AK204" si="393">AJ202+($AN202-$AD202)/10</f>
        <v>0.28500000000000003</v>
      </c>
      <c r="AL202">
        <f t="shared" ref="AL202:AL204" si="394">AK202+($AN202-$AD202)/10</f>
        <v>0.29000000000000004</v>
      </c>
      <c r="AM202">
        <f t="shared" ref="AM202:AM204" si="395">AL202+($AN202-$AD202)/10</f>
        <v>0.29500000000000004</v>
      </c>
      <c r="AN202">
        <f>'Net zero activities &amp; levers'!$F78/100</f>
        <v>0.3</v>
      </c>
    </row>
    <row r="203" spans="1:48" x14ac:dyDescent="0.3">
      <c r="A203" t="s">
        <v>1371</v>
      </c>
      <c r="B203">
        <f>'Net zero activities &amp; levers'!$C79/100</f>
        <v>0</v>
      </c>
      <c r="C203">
        <f t="shared" ref="C203:J204" si="396">B203</f>
        <v>0</v>
      </c>
      <c r="D203">
        <f t="shared" si="396"/>
        <v>0</v>
      </c>
      <c r="E203">
        <f t="shared" si="396"/>
        <v>0</v>
      </c>
      <c r="F203">
        <f t="shared" si="396"/>
        <v>0</v>
      </c>
      <c r="G203">
        <f t="shared" si="396"/>
        <v>0</v>
      </c>
      <c r="H203">
        <f t="shared" si="396"/>
        <v>0</v>
      </c>
      <c r="I203">
        <f t="shared" si="396"/>
        <v>0</v>
      </c>
      <c r="J203">
        <f t="shared" si="396"/>
        <v>0</v>
      </c>
      <c r="K203">
        <f t="shared" si="369"/>
        <v>5.0000000000000001E-3</v>
      </c>
      <c r="L203">
        <f t="shared" si="370"/>
        <v>0.01</v>
      </c>
      <c r="M203">
        <f t="shared" si="371"/>
        <v>1.4999999999999999E-2</v>
      </c>
      <c r="N203">
        <f t="shared" si="372"/>
        <v>0.02</v>
      </c>
      <c r="O203">
        <f t="shared" si="373"/>
        <v>2.5000000000000001E-2</v>
      </c>
      <c r="P203">
        <f t="shared" si="374"/>
        <v>3.0000000000000002E-2</v>
      </c>
      <c r="Q203">
        <f t="shared" si="375"/>
        <v>3.5000000000000003E-2</v>
      </c>
      <c r="R203">
        <f t="shared" si="376"/>
        <v>0.04</v>
      </c>
      <c r="S203">
        <f t="shared" si="377"/>
        <v>4.4999999999999998E-2</v>
      </c>
      <c r="T203">
        <f>'Net zero activities &amp; levers'!$D79/100</f>
        <v>0.05</v>
      </c>
      <c r="U203">
        <f t="shared" si="378"/>
        <v>5.3333333333333337E-2</v>
      </c>
      <c r="V203">
        <f t="shared" si="379"/>
        <v>5.6666666666666671E-2</v>
      </c>
      <c r="W203">
        <f t="shared" si="380"/>
        <v>6.0000000000000005E-2</v>
      </c>
      <c r="X203">
        <f t="shared" si="381"/>
        <v>6.3333333333333339E-2</v>
      </c>
      <c r="Y203">
        <f t="shared" si="382"/>
        <v>6.666666666666668E-2</v>
      </c>
      <c r="Z203">
        <f t="shared" si="383"/>
        <v>7.0000000000000007E-2</v>
      </c>
      <c r="AA203">
        <f t="shared" si="384"/>
        <v>7.3333333333333334E-2</v>
      </c>
      <c r="AB203">
        <f t="shared" si="385"/>
        <v>7.6666666666666661E-2</v>
      </c>
      <c r="AC203">
        <f t="shared" si="386"/>
        <v>7.9999999999999988E-2</v>
      </c>
      <c r="AD203">
        <f>'Net zero activities &amp; levers'!$E79/100</f>
        <v>8.3333333333333343E-2</v>
      </c>
      <c r="AE203">
        <f t="shared" si="387"/>
        <v>8.5000000000000006E-2</v>
      </c>
      <c r="AF203">
        <f t="shared" si="388"/>
        <v>8.666666666666667E-2</v>
      </c>
      <c r="AG203">
        <f t="shared" si="389"/>
        <v>8.8333333333333333E-2</v>
      </c>
      <c r="AH203">
        <f t="shared" si="390"/>
        <v>0.09</v>
      </c>
      <c r="AI203">
        <f t="shared" si="391"/>
        <v>9.166666666666666E-2</v>
      </c>
      <c r="AJ203">
        <f t="shared" si="392"/>
        <v>9.3333333333333324E-2</v>
      </c>
      <c r="AK203">
        <f t="shared" si="393"/>
        <v>9.4999999999999987E-2</v>
      </c>
      <c r="AL203">
        <f t="shared" si="394"/>
        <v>9.6666666666666651E-2</v>
      </c>
      <c r="AM203">
        <f t="shared" si="395"/>
        <v>9.8333333333333314E-2</v>
      </c>
      <c r="AN203">
        <f>'Net zero activities &amp; levers'!$F79/100</f>
        <v>0.1</v>
      </c>
    </row>
    <row r="204" spans="1:48" x14ac:dyDescent="0.3">
      <c r="A204" t="s">
        <v>1372</v>
      </c>
      <c r="B204">
        <f>'Net zero activities &amp; levers'!$C80/100</f>
        <v>0</v>
      </c>
      <c r="C204">
        <f t="shared" si="396"/>
        <v>0</v>
      </c>
      <c r="D204">
        <f t="shared" si="396"/>
        <v>0</v>
      </c>
      <c r="E204">
        <f t="shared" si="396"/>
        <v>0</v>
      </c>
      <c r="F204">
        <f t="shared" si="396"/>
        <v>0</v>
      </c>
      <c r="G204">
        <f t="shared" si="396"/>
        <v>0</v>
      </c>
      <c r="H204">
        <f t="shared" si="396"/>
        <v>0</v>
      </c>
      <c r="I204">
        <f t="shared" si="396"/>
        <v>0</v>
      </c>
      <c r="J204">
        <f t="shared" si="396"/>
        <v>0</v>
      </c>
      <c r="K204">
        <f t="shared" si="369"/>
        <v>1.0499999999999999E-2</v>
      </c>
      <c r="L204">
        <f t="shared" si="370"/>
        <v>2.0999999999999998E-2</v>
      </c>
      <c r="M204">
        <f t="shared" si="371"/>
        <v>3.15E-2</v>
      </c>
      <c r="N204">
        <f t="shared" si="372"/>
        <v>4.1999999999999996E-2</v>
      </c>
      <c r="O204">
        <f t="shared" si="373"/>
        <v>5.2499999999999991E-2</v>
      </c>
      <c r="P204">
        <f t="shared" si="374"/>
        <v>6.2999999999999987E-2</v>
      </c>
      <c r="Q204">
        <f t="shared" si="375"/>
        <v>7.3499999999999982E-2</v>
      </c>
      <c r="R204">
        <f t="shared" si="376"/>
        <v>8.3999999999999977E-2</v>
      </c>
      <c r="S204">
        <f t="shared" si="377"/>
        <v>9.4499999999999973E-2</v>
      </c>
      <c r="T204">
        <f>'Net zero activities &amp; levers'!$D80/100</f>
        <v>0.105</v>
      </c>
      <c r="U204">
        <f t="shared" si="378"/>
        <v>0.11199999999999999</v>
      </c>
      <c r="V204">
        <f t="shared" si="379"/>
        <v>0.11899999999999998</v>
      </c>
      <c r="W204">
        <f t="shared" si="380"/>
        <v>0.12599999999999997</v>
      </c>
      <c r="X204">
        <f t="shared" si="381"/>
        <v>0.13299999999999998</v>
      </c>
      <c r="Y204">
        <f t="shared" si="382"/>
        <v>0.13999999999999999</v>
      </c>
      <c r="Z204">
        <f t="shared" si="383"/>
        <v>0.14699999999999999</v>
      </c>
      <c r="AA204">
        <f t="shared" si="384"/>
        <v>0.154</v>
      </c>
      <c r="AB204">
        <f t="shared" si="385"/>
        <v>0.161</v>
      </c>
      <c r="AC204">
        <f t="shared" si="386"/>
        <v>0.16800000000000001</v>
      </c>
      <c r="AD204">
        <f>'Net zero activities &amp; levers'!$E80/100</f>
        <v>0.17499999999999996</v>
      </c>
      <c r="AE204">
        <f t="shared" si="387"/>
        <v>0.17849999999999996</v>
      </c>
      <c r="AF204">
        <f t="shared" si="388"/>
        <v>0.18199999999999997</v>
      </c>
      <c r="AG204">
        <f t="shared" si="389"/>
        <v>0.18549999999999997</v>
      </c>
      <c r="AH204">
        <f t="shared" si="390"/>
        <v>0.18899999999999997</v>
      </c>
      <c r="AI204">
        <f t="shared" si="391"/>
        <v>0.19249999999999998</v>
      </c>
      <c r="AJ204">
        <f t="shared" si="392"/>
        <v>0.19599999999999998</v>
      </c>
      <c r="AK204">
        <f t="shared" si="393"/>
        <v>0.19949999999999998</v>
      </c>
      <c r="AL204">
        <f t="shared" si="394"/>
        <v>0.20299999999999999</v>
      </c>
      <c r="AM204">
        <f t="shared" si="395"/>
        <v>0.20649999999999999</v>
      </c>
      <c r="AN204">
        <f>'Net zero activities &amp; levers'!$F80/100</f>
        <v>0.21</v>
      </c>
    </row>
    <row r="205" spans="1:48" x14ac:dyDescent="0.3">
      <c r="A205" t="s">
        <v>318</v>
      </c>
      <c r="B205">
        <f>'Intermediate calculations'!Y5-('Intermediate calculations'!Y5*'Net zero supporting data'!B202)</f>
        <v>920446.2624380854</v>
      </c>
      <c r="C205">
        <f>'Intermediate calculations'!Z5-('Intermediate calculations'!Z5*'Net zero supporting data'!C202)</f>
        <v>941691.58339834888</v>
      </c>
      <c r="D205">
        <f>'Intermediate calculations'!AA5-('Intermediate calculations'!AA5*'Net zero supporting data'!D202)</f>
        <v>967640.07013586559</v>
      </c>
      <c r="E205">
        <f>'Intermediate calculations'!AB5-('Intermediate calculations'!AB5*'Net zero supporting data'!E202)</f>
        <v>985205.95615670993</v>
      </c>
      <c r="F205">
        <f>'Intermediate calculations'!AC5-('Intermediate calculations'!AC5*'Net zero supporting data'!F202)</f>
        <v>997182.14033234725</v>
      </c>
      <c r="G205">
        <f>'Intermediate calculations'!AD5-('Intermediate calculations'!AD5*'Net zero supporting data'!G202)</f>
        <v>1003428.5497078975</v>
      </c>
      <c r="H205">
        <f>'Intermediate calculations'!AE5-('Intermediate calculations'!AE5*'Net zero supporting data'!H202)</f>
        <v>1014063.5244529055</v>
      </c>
      <c r="I205">
        <f>'Intermediate calculations'!AF5-('Intermediate calculations'!AF5*'Net zero supporting data'!I202)</f>
        <v>1025355.6611865474</v>
      </c>
      <c r="J205">
        <f>'Intermediate calculations'!AG5-('Intermediate calculations'!AG5*'Net zero supporting data'!J202)</f>
        <v>942611.7054097075</v>
      </c>
      <c r="K205">
        <f>'Intermediate calculations'!AH5-('Intermediate calculations'!AH5*'Net zero supporting data'!K202)</f>
        <v>959375.1484801661</v>
      </c>
      <c r="L205">
        <f>'Intermediate calculations'!AI5-('Intermediate calculations'!AI5*'Net zero supporting data'!L202)</f>
        <v>987622.52823699487</v>
      </c>
      <c r="M205">
        <f>'Intermediate calculations'!AJ5-('Intermediate calculations'!AJ5*'Net zero supporting data'!M202)</f>
        <v>995301.32442575612</v>
      </c>
      <c r="N205">
        <f>'Intermediate calculations'!AK5-('Intermediate calculations'!AK5*'Net zero supporting data'!N202)</f>
        <v>1004856.8239097297</v>
      </c>
      <c r="O205">
        <f>'Intermediate calculations'!AL5-('Intermediate calculations'!AL5*'Net zero supporting data'!O202)</f>
        <v>1016969.5671418931</v>
      </c>
      <c r="P205">
        <f>'Intermediate calculations'!AM5-('Intermediate calculations'!AM5*'Net zero supporting data'!P202)</f>
        <v>1030254.8512805118</v>
      </c>
      <c r="Q205">
        <f>'Intermediate calculations'!AN5-('Intermediate calculations'!AN5*'Net zero supporting data'!Q202)</f>
        <v>1045243.9088944446</v>
      </c>
      <c r="R205">
        <f>'Intermediate calculations'!AO5-('Intermediate calculations'!AO5*'Net zero supporting data'!R202)</f>
        <v>1059943.2720565607</v>
      </c>
      <c r="S205">
        <f>'Intermediate calculations'!AP5-('Intermediate calculations'!AP5*'Net zero supporting data'!S202)</f>
        <v>1076030.4691093483</v>
      </c>
      <c r="T205">
        <f>'Intermediate calculations'!AQ5-('Intermediate calculations'!AQ5*'Net zero supporting data'!T202)</f>
        <v>1091577.2136335219</v>
      </c>
      <c r="U205">
        <f>'Intermediate calculations'!AR5-('Intermediate calculations'!AR5*'Net zero supporting data'!U202)</f>
        <v>1116392.277933015</v>
      </c>
      <c r="V205">
        <f>'Intermediate calculations'!AS5-('Intermediate calculations'!AS5*'Net zero supporting data'!V202)</f>
        <v>1139830.7344345059</v>
      </c>
      <c r="W205">
        <f>'Intermediate calculations'!AT5-('Intermediate calculations'!AT5*'Net zero supporting data'!W202)</f>
        <v>1164247.5081924614</v>
      </c>
      <c r="X205">
        <f>'Intermediate calculations'!AU5-('Intermediate calculations'!AU5*'Net zero supporting data'!X202)</f>
        <v>1192381.8818223525</v>
      </c>
      <c r="Y205">
        <f>'Intermediate calculations'!AV5-('Intermediate calculations'!AV5*'Net zero supporting data'!Y202)</f>
        <v>1217556.8088716867</v>
      </c>
      <c r="Z205">
        <f>'Intermediate calculations'!AW5-('Intermediate calculations'!AW5*'Net zero supporting data'!Z202)</f>
        <v>1243916.513427593</v>
      </c>
      <c r="AA205">
        <f>'Intermediate calculations'!AX5-('Intermediate calculations'!AX5*'Net zero supporting data'!AA202)</f>
        <v>1271917.6384101065</v>
      </c>
      <c r="AB205">
        <f>'Intermediate calculations'!AY5-('Intermediate calculations'!AY5*'Net zero supporting data'!AB202)</f>
        <v>1296322.6042767446</v>
      </c>
      <c r="AC205">
        <f>'Intermediate calculations'!AZ5-('Intermediate calculations'!AZ5*'Net zero supporting data'!AC202)</f>
        <v>1319517.8261001185</v>
      </c>
      <c r="AD205">
        <f>'Intermediate calculations'!BA5-('Intermediate calculations'!BA5*'Net zero supporting data'!AD202)</f>
        <v>1341609.621818946</v>
      </c>
      <c r="AE205">
        <f>'Intermediate calculations'!BB5-('Intermediate calculations'!BB5*'Net zero supporting data'!AE202)</f>
        <v>1375103.9785801265</v>
      </c>
      <c r="AF205">
        <f>'Intermediate calculations'!BC5-('Intermediate calculations'!BC5*'Net zero supporting data'!AF202)</f>
        <v>1406550.5955870426</v>
      </c>
      <c r="AG205">
        <f>'Intermediate calculations'!BD5-('Intermediate calculations'!BD5*'Net zero supporting data'!AG202)</f>
        <v>1438947.138084261</v>
      </c>
      <c r="AH205">
        <f>'Intermediate calculations'!BE5-('Intermediate calculations'!BE5*'Net zero supporting data'!AH202)</f>
        <v>1472451.3647997594</v>
      </c>
      <c r="AI205">
        <f>'Intermediate calculations'!BF5-('Intermediate calculations'!BF5*'Net zero supporting data'!AI202)</f>
        <v>1507323.3766152435</v>
      </c>
      <c r="AJ205">
        <f>'Intermediate calculations'!BG5-('Intermediate calculations'!BG5*'Net zero supporting data'!AJ202)</f>
        <v>1543470.198752109</v>
      </c>
      <c r="AK205">
        <f>'Intermediate calculations'!BH5-('Intermediate calculations'!BH5*'Net zero supporting data'!AK202)</f>
        <v>1547029.5175857148</v>
      </c>
      <c r="AL205">
        <f>'Intermediate calculations'!BI5-('Intermediate calculations'!BI5*'Net zero supporting data'!AL202)</f>
        <v>1547439.191391127</v>
      </c>
      <c r="AM205">
        <f>'Intermediate calculations'!BJ5-('Intermediate calculations'!BJ5*'Net zero supporting data'!AM202)</f>
        <v>1543436.3636934948</v>
      </c>
      <c r="AN205">
        <f>'Intermediate calculations'!BK5-('Intermediate calculations'!BK5*'Net zero supporting data'!AN202)</f>
        <v>1538074.8416959266</v>
      </c>
    </row>
    <row r="206" spans="1:48" x14ac:dyDescent="0.3">
      <c r="A206" t="s">
        <v>332</v>
      </c>
      <c r="B206">
        <f>'Intermediate calculations'!Y19+('Intermediate calculations'!Y19*'Net zero supporting data'!B203)</f>
        <v>168493.35641070595</v>
      </c>
      <c r="C206">
        <f>'Intermediate calculations'!Z19+('Intermediate calculations'!Z19*'Net zero supporting data'!C203)</f>
        <v>171016.70205543257</v>
      </c>
      <c r="D206">
        <f>'Intermediate calculations'!AA19+('Intermediate calculations'!AA19*'Net zero supporting data'!D203)</f>
        <v>173641.86960514102</v>
      </c>
      <c r="E206">
        <f>'Intermediate calculations'!AB19+('Intermediate calculations'!AB19*'Net zero supporting data'!E203)</f>
        <v>176346.34777530449</v>
      </c>
      <c r="F206">
        <f>'Intermediate calculations'!AC19+('Intermediate calculations'!AC19*'Net zero supporting data'!F203)</f>
        <v>179139.45099554921</v>
      </c>
      <c r="G206">
        <f>'Intermediate calculations'!AD19+('Intermediate calculations'!AD19*'Net zero supporting data'!G203)</f>
        <v>182024.83461097442</v>
      </c>
      <c r="H206">
        <f>'Intermediate calculations'!AE19+('Intermediate calculations'!AE19*'Net zero supporting data'!H203)</f>
        <v>184957.32897191923</v>
      </c>
      <c r="I206">
        <f>'Intermediate calculations'!AF19+('Intermediate calculations'!AF19*'Net zero supporting data'!I203)</f>
        <v>187938.21358431841</v>
      </c>
      <c r="J206">
        <f>'Intermediate calculations'!AG19+('Intermediate calculations'!AG19*'Net zero supporting data'!J203)</f>
        <v>190779.51608648655</v>
      </c>
      <c r="K206">
        <f>'Intermediate calculations'!AH19+('Intermediate calculations'!AH19*'Net zero supporting data'!K203)</f>
        <v>193982.16782499026</v>
      </c>
      <c r="L206">
        <f>'Intermediate calculations'!AI19+('Intermediate calculations'!AI19*'Net zero supporting data'!L203)</f>
        <v>197258.27523777753</v>
      </c>
      <c r="M206">
        <f>'Intermediate calculations'!AJ19+('Intermediate calculations'!AJ19*'Net zero supporting data'!M203)</f>
        <v>200542.21293416133</v>
      </c>
      <c r="N206">
        <f>'Intermediate calculations'!AK19+('Intermediate calculations'!AK19*'Net zero supporting data'!N203)</f>
        <v>203880.63810302826</v>
      </c>
      <c r="O206">
        <f>'Intermediate calculations'!AL19+('Intermediate calculations'!AL19*'Net zero supporting data'!O203)</f>
        <v>207276.09781169015</v>
      </c>
      <c r="P206">
        <f>'Intermediate calculations'!AM19+('Intermediate calculations'!AM19*'Net zero supporting data'!P203)</f>
        <v>210383.04048114803</v>
      </c>
      <c r="Q206">
        <f>'Intermediate calculations'!AN19+('Intermediate calculations'!AN19*'Net zero supporting data'!Q203)</f>
        <v>213536.59279458178</v>
      </c>
      <c r="R206">
        <f>'Intermediate calculations'!AO19+('Intermediate calculations'!AO19*'Net zero supporting data'!R203)</f>
        <v>216732.95639854373</v>
      </c>
      <c r="S206">
        <f>'Intermediate calculations'!AP19+('Intermediate calculations'!AP19*'Net zero supporting data'!S203)</f>
        <v>219976.78866833405</v>
      </c>
      <c r="T206">
        <f>'Intermediate calculations'!AQ19+('Intermediate calculations'!AQ19*'Net zero supporting data'!T203)</f>
        <v>223264.24751747915</v>
      </c>
      <c r="U206">
        <f>'Intermediate calculations'!AR19+('Intermediate calculations'!AR19*'Net zero supporting data'!U203)</f>
        <v>225955.57671851703</v>
      </c>
      <c r="V206">
        <f>'Intermediate calculations'!AS19+('Intermediate calculations'!AS19*'Net zero supporting data'!V203)</f>
        <v>228674.40319041416</v>
      </c>
      <c r="W206">
        <f>'Intermediate calculations'!AT19+('Intermediate calculations'!AT19*'Net zero supporting data'!W203)</f>
        <v>231427.02948001595</v>
      </c>
      <c r="X206">
        <f>'Intermediate calculations'!AU19+('Intermediate calculations'!AU19*'Net zero supporting data'!X203)</f>
        <v>234221.14082528517</v>
      </c>
      <c r="Y206">
        <f>'Intermediate calculations'!AV19+('Intermediate calculations'!AV19*'Net zero supporting data'!Y203)</f>
        <v>237039.86229761259</v>
      </c>
      <c r="Z206">
        <f>'Intermediate calculations'!AW19+('Intermediate calculations'!AW19*'Net zero supporting data'!Z203)</f>
        <v>239609.92231327255</v>
      </c>
      <c r="AA206">
        <f>'Intermediate calculations'!AX19+('Intermediate calculations'!AX19*'Net zero supporting data'!AA203)</f>
        <v>242211.37883459695</v>
      </c>
      <c r="AB206">
        <f>'Intermediate calculations'!AY19+('Intermediate calculations'!AY19*'Net zero supporting data'!AB203)</f>
        <v>244830.20296750398</v>
      </c>
      <c r="AC206">
        <f>'Intermediate calculations'!AZ19+('Intermediate calculations'!AZ19*'Net zero supporting data'!AC203)</f>
        <v>247473.0285923155</v>
      </c>
      <c r="AD206">
        <f>'Intermediate calculations'!BA19+('Intermediate calculations'!BA19*'Net zero supporting data'!AD203)</f>
        <v>250140.35425089014</v>
      </c>
      <c r="AE206">
        <f>'Intermediate calculations'!BB19+('Intermediate calculations'!BB19*'Net zero supporting data'!AE203)</f>
        <v>252180.34033442425</v>
      </c>
      <c r="AF206">
        <f>'Intermediate calculations'!BC19+('Intermediate calculations'!BC19*'Net zero supporting data'!AF203)</f>
        <v>254230.61482820025</v>
      </c>
      <c r="AG206">
        <f>'Intermediate calculations'!BD19+('Intermediate calculations'!BD19*'Net zero supporting data'!AG203)</f>
        <v>256300.01936989004</v>
      </c>
      <c r="AH206">
        <f>'Intermediate calculations'!BE19+('Intermediate calculations'!BE19*'Net zero supporting data'!AH203)</f>
        <v>258389.23871848837</v>
      </c>
      <c r="AI206">
        <f>'Intermediate calculations'!BF19+('Intermediate calculations'!BF19*'Net zero supporting data'!AI203)</f>
        <v>260499.28442661572</v>
      </c>
      <c r="AJ206">
        <f>'Intermediate calculations'!BG19+('Intermediate calculations'!BG19*'Net zero supporting data'!AJ203)</f>
        <v>262346.56594028452</v>
      </c>
      <c r="AK206">
        <f>'Intermediate calculations'!BH19+('Intermediate calculations'!BH19*'Net zero supporting data'!AK203)</f>
        <v>264107.46150225645</v>
      </c>
      <c r="AL206">
        <f>'Intermediate calculations'!BI19+('Intermediate calculations'!BI19*'Net zero supporting data'!AL203)</f>
        <v>265870.15380377253</v>
      </c>
      <c r="AM206">
        <f>'Intermediate calculations'!BJ19+('Intermediate calculations'!BJ19*'Net zero supporting data'!AM203)</f>
        <v>267630.55176847446</v>
      </c>
      <c r="AN206">
        <f>'Intermediate calculations'!BK19+('Intermediate calculations'!BK19*'Net zero supporting data'!AN203)</f>
        <v>269397.94188003888</v>
      </c>
    </row>
    <row r="207" spans="1:48" x14ac:dyDescent="0.3">
      <c r="A207" t="s">
        <v>338</v>
      </c>
      <c r="B207">
        <f>'Intermediate calculations'!Y39+('Intermediate calculations'!Y39*'Net zero supporting data'!B204)</f>
        <v>1780536.5679391939</v>
      </c>
      <c r="C207">
        <f>'Intermediate calculations'!Z39+('Intermediate calculations'!Z39*'Net zero supporting data'!C204)</f>
        <v>1834642.5186756081</v>
      </c>
      <c r="D207">
        <f>'Intermediate calculations'!AA39+('Intermediate calculations'!AA39*'Net zero supporting data'!D204)</f>
        <v>1905076.8868757137</v>
      </c>
      <c r="E207">
        <f>'Intermediate calculations'!AB39+('Intermediate calculations'!AB39*'Net zero supporting data'!E204)</f>
        <v>1943924.6182197323</v>
      </c>
      <c r="F207">
        <f>'Intermediate calculations'!AC39+('Intermediate calculations'!AC39*'Net zero supporting data'!F204)</f>
        <v>1961369.2810630382</v>
      </c>
      <c r="G207">
        <f>'Intermediate calculations'!AD39+('Intermediate calculations'!AD39*'Net zero supporting data'!G204)</f>
        <v>1956860.8704089574</v>
      </c>
      <c r="H207">
        <f>'Intermediate calculations'!AE39+('Intermediate calculations'!AE39*'Net zero supporting data'!H204)</f>
        <v>1968044.8895064972</v>
      </c>
      <c r="I207">
        <f>'Intermediate calculations'!AF39+('Intermediate calculations'!AF39*'Net zero supporting data'!I204)</f>
        <v>1981185.0437649265</v>
      </c>
      <c r="J207">
        <f>'Intermediate calculations'!AG39+('Intermediate calculations'!AG39*'Net zero supporting data'!J204)</f>
        <v>1649789.7930508428</v>
      </c>
      <c r="K207">
        <f>'Intermediate calculations'!AH39+('Intermediate calculations'!AH39*'Net zero supporting data'!K204)</f>
        <v>1762178.7688054424</v>
      </c>
      <c r="L207">
        <f>'Intermediate calculations'!AI39+('Intermediate calculations'!AI39*'Net zero supporting data'!L204)</f>
        <v>1924153.9893849748</v>
      </c>
      <c r="M207">
        <f>'Intermediate calculations'!AJ39+('Intermediate calculations'!AJ39*'Net zero supporting data'!M204)</f>
        <v>2012784.1293238443</v>
      </c>
      <c r="N207">
        <f>'Intermediate calculations'!AK39+('Intermediate calculations'!AK39*'Net zero supporting data'!N204)</f>
        <v>2113097.8660126198</v>
      </c>
      <c r="O207">
        <f>'Intermediate calculations'!AL39+('Intermediate calculations'!AL39*'Net zero supporting data'!O204)</f>
        <v>2228754.1581559223</v>
      </c>
      <c r="P207">
        <f>'Intermediate calculations'!AM39+('Intermediate calculations'!AM39*'Net zero supporting data'!P204)</f>
        <v>2358318.9893626501</v>
      </c>
      <c r="Q207">
        <f>'Intermediate calculations'!AN39+('Intermediate calculations'!AN39*'Net zero supporting data'!Q204)</f>
        <v>2501591.5984464302</v>
      </c>
      <c r="R207">
        <f>'Intermediate calculations'!AO39+('Intermediate calculations'!AO39*'Net zero supporting data'!R204)</f>
        <v>2650533.553216571</v>
      </c>
      <c r="S207">
        <f>'Intermediate calculations'!AP39+('Intermediate calculations'!AP39*'Net zero supporting data'!S204)</f>
        <v>2813191.1747653866</v>
      </c>
      <c r="T207">
        <f>'Intermediate calculations'!AQ39+('Intermediate calculations'!AQ39*'Net zero supporting data'!T204)</f>
        <v>2981330.6522286031</v>
      </c>
      <c r="U207">
        <f>'Intermediate calculations'!AR39+('Intermediate calculations'!AR39*'Net zero supporting data'!U204)</f>
        <v>3163633.399326229</v>
      </c>
      <c r="V207">
        <f>'Intermediate calculations'!AS39+('Intermediate calculations'!AS39*'Net zero supporting data'!V204)</f>
        <v>3345462.5587278302</v>
      </c>
      <c r="W207">
        <f>'Intermediate calculations'!AT39+('Intermediate calculations'!AT39*'Net zero supporting data'!W204)</f>
        <v>3538514.2757544187</v>
      </c>
      <c r="X207">
        <f>'Intermediate calculations'!AU39+('Intermediate calculations'!AU39*'Net zero supporting data'!X204)</f>
        <v>3757327.5015197783</v>
      </c>
      <c r="Y207">
        <f>'Intermediate calculations'!AV39+('Intermediate calculations'!AV39*'Net zero supporting data'!Y204)</f>
        <v>3968421.438038249</v>
      </c>
      <c r="Z207">
        <f>'Intermediate calculations'!AW39+('Intermediate calculations'!AW39*'Net zero supporting data'!Z204)</f>
        <v>4196147.5588242803</v>
      </c>
      <c r="AA207">
        <f>'Intermediate calculations'!AX39+('Intermediate calculations'!AX39*'Net zero supporting data'!AA204)</f>
        <v>4440810.8882973185</v>
      </c>
      <c r="AB207">
        <f>'Intermediate calculations'!AY39+('Intermediate calculations'!AY39*'Net zero supporting data'!AB204)</f>
        <v>4674349.2577977981</v>
      </c>
      <c r="AC207">
        <f>'Intermediate calculations'!AZ39+('Intermediate calculations'!AZ39*'Net zero supporting data'!AC204)</f>
        <v>4909389.8852144377</v>
      </c>
      <c r="AD207">
        <f>'Intermediate calculations'!BA39+('Intermediate calculations'!BA39*'Net zero supporting data'!AD204)</f>
        <v>5146489.0119272489</v>
      </c>
      <c r="AE207">
        <f>'Intermediate calculations'!BB39+('Intermediate calculations'!BB39*'Net zero supporting data'!AE204)</f>
        <v>5391608.6772603113</v>
      </c>
      <c r="AF207">
        <f>'Intermediate calculations'!BC39+('Intermediate calculations'!BC39*'Net zero supporting data'!AF204)</f>
        <v>5629355.7138874494</v>
      </c>
      <c r="AG207">
        <f>'Intermediate calculations'!BD39+('Intermediate calculations'!BD39*'Net zero supporting data'!AG204)</f>
        <v>5877166.4511127826</v>
      </c>
      <c r="AH207">
        <f>'Intermediate calculations'!BE39+('Intermediate calculations'!BE39*'Net zero supporting data'!AH204)</f>
        <v>6136240.3549273284</v>
      </c>
      <c r="AI207">
        <f>'Intermediate calculations'!BF39+('Intermediate calculations'!BF39*'Net zero supporting data'!AI204)</f>
        <v>6408437.0985298054</v>
      </c>
      <c r="AJ207">
        <f>'Intermediate calculations'!BG39+('Intermediate calculations'!BG39*'Net zero supporting data'!AJ204)</f>
        <v>6696495.057246374</v>
      </c>
      <c r="AK207">
        <f>'Intermediate calculations'!BH39+('Intermediate calculations'!BH39*'Net zero supporting data'!AK204)</f>
        <v>6789990.3312093606</v>
      </c>
      <c r="AL207">
        <f>'Intermediate calculations'!BI39+('Intermediate calculations'!BI39*'Net zero supporting data'!AL204)</f>
        <v>6865557.6060554814</v>
      </c>
      <c r="AM207">
        <f>'Intermediate calculations'!BJ39+('Intermediate calculations'!BJ39*'Net zero supporting data'!AM204)</f>
        <v>6914738.2026390852</v>
      </c>
      <c r="AN207">
        <f>'Intermediate calculations'!BK39+('Intermediate calculations'!BK39*'Net zero supporting data'!AN204)</f>
        <v>6956041.7218295597</v>
      </c>
    </row>
    <row r="209" spans="1:48" s="111" customFormat="1" ht="15.6" x14ac:dyDescent="0.3">
      <c r="A209" s="107" t="s">
        <v>1377</v>
      </c>
      <c r="B209" s="107"/>
      <c r="C209" s="107"/>
      <c r="D209" s="107"/>
      <c r="E209" s="107"/>
      <c r="F209" s="107"/>
      <c r="G209" s="107"/>
      <c r="H209" s="107"/>
      <c r="I209" s="107"/>
      <c r="J209" s="109"/>
      <c r="K209" s="109"/>
      <c r="L209" s="109"/>
      <c r="M209" s="109"/>
      <c r="N209" s="109"/>
      <c r="O209" s="109"/>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row>
    <row r="210" spans="1:48" x14ac:dyDescent="0.3">
      <c r="A210" t="s">
        <v>1370</v>
      </c>
      <c r="B210">
        <f>'Net zero activities &amp; levers'!$C$83/100</f>
        <v>0</v>
      </c>
      <c r="C210">
        <f>B210</f>
        <v>0</v>
      </c>
      <c r="D210">
        <f t="shared" ref="D210:J210" si="397">C210</f>
        <v>0</v>
      </c>
      <c r="E210">
        <f t="shared" si="397"/>
        <v>0</v>
      </c>
      <c r="F210">
        <f t="shared" si="397"/>
        <v>0</v>
      </c>
      <c r="G210">
        <f t="shared" si="397"/>
        <v>0</v>
      </c>
      <c r="H210">
        <f t="shared" si="397"/>
        <v>0</v>
      </c>
      <c r="I210">
        <f t="shared" si="397"/>
        <v>0</v>
      </c>
      <c r="J210">
        <f t="shared" si="397"/>
        <v>0</v>
      </c>
      <c r="K210">
        <f t="shared" ref="K210" si="398">J210+($T210-$J210)/10</f>
        <v>1.4999999999999999E-2</v>
      </c>
      <c r="L210">
        <f t="shared" ref="L210" si="399">K210+($T210-$J210)/10</f>
        <v>0.03</v>
      </c>
      <c r="M210">
        <f t="shared" ref="M210" si="400">L210+($T210-$J210)/10</f>
        <v>4.4999999999999998E-2</v>
      </c>
      <c r="N210">
        <f t="shared" ref="N210" si="401">M210+($T210-$J210)/10</f>
        <v>0.06</v>
      </c>
      <c r="O210">
        <f t="shared" ref="O210" si="402">N210+($T210-$J210)/10</f>
        <v>7.4999999999999997E-2</v>
      </c>
      <c r="P210">
        <f t="shared" ref="P210" si="403">O210+($T210-$J210)/10</f>
        <v>0.09</v>
      </c>
      <c r="Q210">
        <f t="shared" ref="Q210" si="404">P210+($T210-$J210)/10</f>
        <v>0.105</v>
      </c>
      <c r="R210">
        <f t="shared" ref="R210" si="405">Q210+($T210-$J210)/10</f>
        <v>0.12</v>
      </c>
      <c r="S210">
        <f t="shared" ref="S210" si="406">R210+($T210-$J210)/10</f>
        <v>0.13500000000000001</v>
      </c>
      <c r="T210">
        <f>'Net zero activities &amp; levers'!$D$83/100</f>
        <v>0.15</v>
      </c>
      <c r="U210">
        <f t="shared" ref="U210" si="407">T210+($AD210-$T210)/10</f>
        <v>0.16</v>
      </c>
      <c r="V210">
        <f t="shared" ref="V210" si="408">U210+($AD210-$T210)/10</f>
        <v>0.17</v>
      </c>
      <c r="W210">
        <f t="shared" ref="W210" si="409">V210+($AD210-$T210)/10</f>
        <v>0.18000000000000002</v>
      </c>
      <c r="X210">
        <f t="shared" ref="X210" si="410">W210+($AD210-$T210)/10</f>
        <v>0.19000000000000003</v>
      </c>
      <c r="Y210">
        <f t="shared" ref="Y210" si="411">X210+($AD210-$T210)/10</f>
        <v>0.20000000000000004</v>
      </c>
      <c r="Z210">
        <f t="shared" ref="Z210" si="412">Y210+($AD210-$T210)/10</f>
        <v>0.21000000000000005</v>
      </c>
      <c r="AA210">
        <f t="shared" ref="AA210" si="413">Z210+($AD210-$T210)/10</f>
        <v>0.22000000000000006</v>
      </c>
      <c r="AB210">
        <f t="shared" ref="AB210" si="414">AA210+($AD210-$T210)/10</f>
        <v>0.23000000000000007</v>
      </c>
      <c r="AC210">
        <f t="shared" ref="AC210" si="415">AB210+($AD210-$T210)/10</f>
        <v>0.24000000000000007</v>
      </c>
      <c r="AD210">
        <f>'Net zero activities &amp; levers'!$E$83/100</f>
        <v>0.25</v>
      </c>
      <c r="AE210">
        <f t="shared" ref="AE210" si="416">AD210+($AN210-$AD210)/10</f>
        <v>0.255</v>
      </c>
      <c r="AF210">
        <f t="shared" ref="AF210" si="417">AE210+($AN210-$AD210)/10</f>
        <v>0.26</v>
      </c>
      <c r="AG210">
        <f t="shared" ref="AG210" si="418">AF210+($AN210-$AD210)/10</f>
        <v>0.26500000000000001</v>
      </c>
      <c r="AH210">
        <f t="shared" ref="AH210" si="419">AG210+($AN210-$AD210)/10</f>
        <v>0.27</v>
      </c>
      <c r="AI210">
        <f t="shared" ref="AI210" si="420">AH210+($AN210-$AD210)/10</f>
        <v>0.27500000000000002</v>
      </c>
      <c r="AJ210">
        <f t="shared" ref="AJ210" si="421">AI210+($AN210-$AD210)/10</f>
        <v>0.28000000000000003</v>
      </c>
      <c r="AK210">
        <f t="shared" ref="AK210" si="422">AJ210+($AN210-$AD210)/10</f>
        <v>0.28500000000000003</v>
      </c>
      <c r="AL210">
        <f t="shared" ref="AL210" si="423">AK210+($AN210-$AD210)/10</f>
        <v>0.29000000000000004</v>
      </c>
      <c r="AM210">
        <f t="shared" ref="AM210" si="424">AL210+($AN210-$AD210)/10</f>
        <v>0.29500000000000004</v>
      </c>
      <c r="AN210">
        <f>'Net zero activities &amp; levers'!$F$83/100</f>
        <v>0.3</v>
      </c>
    </row>
    <row r="212" spans="1:48" s="111" customFormat="1" ht="15.6" x14ac:dyDescent="0.3">
      <c r="A212" s="107" t="s">
        <v>1256</v>
      </c>
      <c r="B212" s="107"/>
      <c r="C212" s="107"/>
      <c r="D212" s="107"/>
      <c r="E212" s="107"/>
      <c r="F212" s="107"/>
      <c r="G212" s="107"/>
      <c r="H212" s="107"/>
      <c r="I212" s="107"/>
      <c r="J212" s="109"/>
      <c r="K212" s="109"/>
      <c r="L212" s="109"/>
      <c r="M212" s="109"/>
      <c r="N212" s="109"/>
      <c r="O212" s="109"/>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row>
    <row r="213" spans="1:48" x14ac:dyDescent="0.3">
      <c r="A213" t="s">
        <v>1261</v>
      </c>
      <c r="B213">
        <f>'Net zero activities &amp; levers'!$C89/100</f>
        <v>0</v>
      </c>
      <c r="C213">
        <f>B213</f>
        <v>0</v>
      </c>
      <c r="D213">
        <f t="shared" ref="D213:J213" si="425">C213</f>
        <v>0</v>
      </c>
      <c r="E213">
        <f t="shared" si="425"/>
        <v>0</v>
      </c>
      <c r="F213">
        <f t="shared" si="425"/>
        <v>0</v>
      </c>
      <c r="G213">
        <f t="shared" si="425"/>
        <v>0</v>
      </c>
      <c r="H213">
        <f t="shared" si="425"/>
        <v>0</v>
      </c>
      <c r="I213">
        <f t="shared" si="425"/>
        <v>0</v>
      </c>
      <c r="J213">
        <f t="shared" si="425"/>
        <v>0</v>
      </c>
      <c r="K213">
        <f t="shared" ref="K213" si="426">J213+($T213-$J213)/10</f>
        <v>5.0000000000000001E-4</v>
      </c>
      <c r="L213">
        <f t="shared" ref="L213" si="427">K213+($T213-$J213)/10</f>
        <v>1E-3</v>
      </c>
      <c r="M213">
        <f t="shared" ref="M213" si="428">L213+($T213-$J213)/10</f>
        <v>1.5E-3</v>
      </c>
      <c r="N213">
        <f t="shared" ref="N213" si="429">M213+($T213-$J213)/10</f>
        <v>2E-3</v>
      </c>
      <c r="O213">
        <f t="shared" ref="O213" si="430">N213+($T213-$J213)/10</f>
        <v>2.5000000000000001E-3</v>
      </c>
      <c r="P213">
        <f t="shared" ref="P213" si="431">O213+($T213-$J213)/10</f>
        <v>3.0000000000000001E-3</v>
      </c>
      <c r="Q213">
        <f t="shared" ref="Q213" si="432">P213+($T213-$J213)/10</f>
        <v>3.5000000000000001E-3</v>
      </c>
      <c r="R213">
        <f t="shared" ref="R213" si="433">Q213+($T213-$J213)/10</f>
        <v>4.0000000000000001E-3</v>
      </c>
      <c r="S213">
        <f t="shared" ref="S213" si="434">R213+($T213-$J213)/10</f>
        <v>4.5000000000000005E-3</v>
      </c>
      <c r="T213">
        <f>'Net zero activities &amp; levers'!$D89/100</f>
        <v>5.0000000000000001E-3</v>
      </c>
      <c r="U213">
        <f t="shared" ref="U213:U216" si="435">T213+($AD213-$T213)/10</f>
        <v>5.3E-3</v>
      </c>
      <c r="V213">
        <f t="shared" ref="V213:V216" si="436">U213+($AD213-$T213)/10</f>
        <v>5.5999999999999999E-3</v>
      </c>
      <c r="W213">
        <f t="shared" ref="W213:W216" si="437">V213+($AD213-$T213)/10</f>
        <v>5.8999999999999999E-3</v>
      </c>
      <c r="X213">
        <f t="shared" ref="X213:X216" si="438">W213+($AD213-$T213)/10</f>
        <v>6.1999999999999998E-3</v>
      </c>
      <c r="Y213">
        <f t="shared" ref="Y213:Y216" si="439">X213+($AD213-$T213)/10</f>
        <v>6.4999999999999997E-3</v>
      </c>
      <c r="Z213">
        <f t="shared" ref="Z213:Z216" si="440">Y213+($AD213-$T213)/10</f>
        <v>6.7999999999999996E-3</v>
      </c>
      <c r="AA213">
        <f t="shared" ref="AA213:AA216" si="441">Z213+($AD213-$T213)/10</f>
        <v>7.0999999999999995E-3</v>
      </c>
      <c r="AB213">
        <f t="shared" ref="AB213:AB216" si="442">AA213+($AD213-$T213)/10</f>
        <v>7.3999999999999995E-3</v>
      </c>
      <c r="AC213">
        <f t="shared" ref="AC213:AC216" si="443">AB213+($AD213-$T213)/10</f>
        <v>7.6999999999999994E-3</v>
      </c>
      <c r="AD213">
        <f>'Net zero activities &amp; levers'!$E89/100</f>
        <v>8.0000000000000002E-3</v>
      </c>
      <c r="AE213">
        <f t="shared" ref="AE213:AE216" si="444">AD213+($AN213-$AD213)/10</f>
        <v>8.2000000000000007E-3</v>
      </c>
      <c r="AF213">
        <f t="shared" ref="AF213:AF216" si="445">AE213+($AN213-$AD213)/10</f>
        <v>8.4000000000000012E-3</v>
      </c>
      <c r="AG213">
        <f t="shared" ref="AG213:AG216" si="446">AF213+($AN213-$AD213)/10</f>
        <v>8.6000000000000017E-3</v>
      </c>
      <c r="AH213">
        <f t="shared" ref="AH213:AH216" si="447">AG213+($AN213-$AD213)/10</f>
        <v>8.8000000000000023E-3</v>
      </c>
      <c r="AI213">
        <f t="shared" ref="AI213:AI216" si="448">AH213+($AN213-$AD213)/10</f>
        <v>9.0000000000000028E-3</v>
      </c>
      <c r="AJ213">
        <f t="shared" ref="AJ213:AJ216" si="449">AI213+($AN213-$AD213)/10</f>
        <v>9.2000000000000033E-3</v>
      </c>
      <c r="AK213">
        <f t="shared" ref="AK213:AK216" si="450">AJ213+($AN213-$AD213)/10</f>
        <v>9.4000000000000038E-3</v>
      </c>
      <c r="AL213">
        <f t="shared" ref="AL213:AL216" si="451">AK213+($AN213-$AD213)/10</f>
        <v>9.6000000000000044E-3</v>
      </c>
      <c r="AM213">
        <f t="shared" ref="AM213:AM216" si="452">AL213+($AN213-$AD213)/10</f>
        <v>9.8000000000000049E-3</v>
      </c>
      <c r="AN213">
        <f>'Net zero activities &amp; levers'!$F89/100</f>
        <v>0.01</v>
      </c>
    </row>
    <row r="214" spans="1:48" x14ac:dyDescent="0.3">
      <c r="A214" t="s">
        <v>1262</v>
      </c>
      <c r="B214">
        <f>'Net zero activities &amp; levers'!$C90/100</f>
        <v>0</v>
      </c>
      <c r="C214">
        <f t="shared" ref="C214:J216" si="453">B214</f>
        <v>0</v>
      </c>
      <c r="D214">
        <f t="shared" si="453"/>
        <v>0</v>
      </c>
      <c r="E214">
        <f t="shared" si="453"/>
        <v>0</v>
      </c>
      <c r="F214">
        <f t="shared" si="453"/>
        <v>0</v>
      </c>
      <c r="G214">
        <f t="shared" si="453"/>
        <v>0</v>
      </c>
      <c r="H214">
        <f t="shared" si="453"/>
        <v>0</v>
      </c>
      <c r="I214">
        <f t="shared" si="453"/>
        <v>0</v>
      </c>
      <c r="J214">
        <f t="shared" si="453"/>
        <v>0</v>
      </c>
      <c r="K214">
        <f t="shared" ref="K214:K216" si="454">J214+($T214-$J214)/10</f>
        <v>2.0000000000000001E-4</v>
      </c>
      <c r="L214">
        <f t="shared" ref="L214:L216" si="455">K214+($T214-$J214)/10</f>
        <v>4.0000000000000002E-4</v>
      </c>
      <c r="M214">
        <f t="shared" ref="M214:M216" si="456">L214+($T214-$J214)/10</f>
        <v>6.0000000000000006E-4</v>
      </c>
      <c r="N214">
        <f t="shared" ref="N214:N216" si="457">M214+($T214-$J214)/10</f>
        <v>8.0000000000000004E-4</v>
      </c>
      <c r="O214">
        <f t="shared" ref="O214:O216" si="458">N214+($T214-$J214)/10</f>
        <v>1E-3</v>
      </c>
      <c r="P214">
        <f t="shared" ref="P214:P216" si="459">O214+($T214-$J214)/10</f>
        <v>1.2000000000000001E-3</v>
      </c>
      <c r="Q214">
        <f t="shared" ref="Q214:Q216" si="460">P214+($T214-$J214)/10</f>
        <v>1.4000000000000002E-3</v>
      </c>
      <c r="R214">
        <f t="shared" ref="R214:R216" si="461">Q214+($T214-$J214)/10</f>
        <v>1.6000000000000003E-3</v>
      </c>
      <c r="S214">
        <f t="shared" ref="S214:S216" si="462">R214+($T214-$J214)/10</f>
        <v>1.8000000000000004E-3</v>
      </c>
      <c r="T214">
        <f>'Net zero activities &amp; levers'!$D90/100</f>
        <v>2E-3</v>
      </c>
      <c r="U214">
        <f t="shared" si="435"/>
        <v>2.0999999999999999E-3</v>
      </c>
      <c r="V214">
        <f t="shared" si="436"/>
        <v>2.1999999999999997E-3</v>
      </c>
      <c r="W214">
        <f t="shared" si="437"/>
        <v>2.2999999999999995E-3</v>
      </c>
      <c r="X214">
        <f t="shared" si="438"/>
        <v>2.3999999999999994E-3</v>
      </c>
      <c r="Y214">
        <f t="shared" si="439"/>
        <v>2.4999999999999992E-3</v>
      </c>
      <c r="Z214">
        <f t="shared" si="440"/>
        <v>2.599999999999999E-3</v>
      </c>
      <c r="AA214">
        <f t="shared" si="441"/>
        <v>2.6999999999999988E-3</v>
      </c>
      <c r="AB214">
        <f t="shared" si="442"/>
        <v>2.7999999999999987E-3</v>
      </c>
      <c r="AC214">
        <f t="shared" si="443"/>
        <v>2.8999999999999985E-3</v>
      </c>
      <c r="AD214">
        <f>'Net zero activities &amp; levers'!$E90/100</f>
        <v>3.0000000000000001E-3</v>
      </c>
      <c r="AE214">
        <f t="shared" si="444"/>
        <v>3.0999999999999999E-3</v>
      </c>
      <c r="AF214">
        <f t="shared" si="445"/>
        <v>3.1999999999999997E-3</v>
      </c>
      <c r="AG214">
        <f t="shared" si="446"/>
        <v>3.2999999999999995E-3</v>
      </c>
      <c r="AH214">
        <f t="shared" si="447"/>
        <v>3.3999999999999994E-3</v>
      </c>
      <c r="AI214">
        <f t="shared" si="448"/>
        <v>3.4999999999999992E-3</v>
      </c>
      <c r="AJ214">
        <f t="shared" si="449"/>
        <v>3.599999999999999E-3</v>
      </c>
      <c r="AK214">
        <f t="shared" si="450"/>
        <v>3.6999999999999989E-3</v>
      </c>
      <c r="AL214">
        <f t="shared" si="451"/>
        <v>3.7999999999999987E-3</v>
      </c>
      <c r="AM214">
        <f t="shared" si="452"/>
        <v>3.8999999999999985E-3</v>
      </c>
      <c r="AN214">
        <f>'Net zero activities &amp; levers'!$F90/100</f>
        <v>4.0000000000000001E-3</v>
      </c>
    </row>
    <row r="215" spans="1:48" x14ac:dyDescent="0.3">
      <c r="A215" t="s">
        <v>1263</v>
      </c>
      <c r="B215">
        <f>'Net zero activities &amp; levers'!$C91/100</f>
        <v>0</v>
      </c>
      <c r="C215">
        <f t="shared" si="453"/>
        <v>0</v>
      </c>
      <c r="D215">
        <f t="shared" si="453"/>
        <v>0</v>
      </c>
      <c r="E215">
        <f t="shared" si="453"/>
        <v>0</v>
      </c>
      <c r="F215">
        <f t="shared" si="453"/>
        <v>0</v>
      </c>
      <c r="G215">
        <f t="shared" si="453"/>
        <v>0</v>
      </c>
      <c r="H215">
        <f t="shared" si="453"/>
        <v>0</v>
      </c>
      <c r="I215">
        <f t="shared" si="453"/>
        <v>0</v>
      </c>
      <c r="J215">
        <f t="shared" si="453"/>
        <v>0</v>
      </c>
      <c r="K215">
        <f t="shared" si="454"/>
        <v>2.0000000000000001E-4</v>
      </c>
      <c r="L215">
        <f t="shared" si="455"/>
        <v>4.0000000000000002E-4</v>
      </c>
      <c r="M215">
        <f t="shared" si="456"/>
        <v>6.0000000000000006E-4</v>
      </c>
      <c r="N215">
        <f t="shared" si="457"/>
        <v>8.0000000000000004E-4</v>
      </c>
      <c r="O215">
        <f t="shared" si="458"/>
        <v>1E-3</v>
      </c>
      <c r="P215">
        <f t="shared" si="459"/>
        <v>1.2000000000000001E-3</v>
      </c>
      <c r="Q215">
        <f t="shared" si="460"/>
        <v>1.4000000000000002E-3</v>
      </c>
      <c r="R215">
        <f t="shared" si="461"/>
        <v>1.6000000000000003E-3</v>
      </c>
      <c r="S215">
        <f t="shared" si="462"/>
        <v>1.8000000000000004E-3</v>
      </c>
      <c r="T215">
        <f>'Net zero activities &amp; levers'!$D91/100</f>
        <v>2E-3</v>
      </c>
      <c r="U215">
        <f t="shared" si="435"/>
        <v>2.0999999999999999E-3</v>
      </c>
      <c r="V215">
        <f t="shared" si="436"/>
        <v>2.1999999999999997E-3</v>
      </c>
      <c r="W215">
        <f t="shared" si="437"/>
        <v>2.2999999999999995E-3</v>
      </c>
      <c r="X215">
        <f t="shared" si="438"/>
        <v>2.3999999999999994E-3</v>
      </c>
      <c r="Y215">
        <f t="shared" si="439"/>
        <v>2.4999999999999992E-3</v>
      </c>
      <c r="Z215">
        <f t="shared" si="440"/>
        <v>2.599999999999999E-3</v>
      </c>
      <c r="AA215">
        <f t="shared" si="441"/>
        <v>2.6999999999999988E-3</v>
      </c>
      <c r="AB215">
        <f t="shared" si="442"/>
        <v>2.7999999999999987E-3</v>
      </c>
      <c r="AC215">
        <f t="shared" si="443"/>
        <v>2.8999999999999985E-3</v>
      </c>
      <c r="AD215">
        <f>'Net zero activities &amp; levers'!$E91/100</f>
        <v>3.0000000000000001E-3</v>
      </c>
      <c r="AE215">
        <f t="shared" si="444"/>
        <v>3.0999999999999999E-3</v>
      </c>
      <c r="AF215">
        <f t="shared" si="445"/>
        <v>3.1999999999999997E-3</v>
      </c>
      <c r="AG215">
        <f t="shared" si="446"/>
        <v>3.2999999999999995E-3</v>
      </c>
      <c r="AH215">
        <f t="shared" si="447"/>
        <v>3.3999999999999994E-3</v>
      </c>
      <c r="AI215">
        <f t="shared" si="448"/>
        <v>3.4999999999999992E-3</v>
      </c>
      <c r="AJ215">
        <f t="shared" si="449"/>
        <v>3.599999999999999E-3</v>
      </c>
      <c r="AK215">
        <f t="shared" si="450"/>
        <v>3.6999999999999989E-3</v>
      </c>
      <c r="AL215">
        <f t="shared" si="451"/>
        <v>3.7999999999999987E-3</v>
      </c>
      <c r="AM215">
        <f t="shared" si="452"/>
        <v>3.8999999999999985E-3</v>
      </c>
      <c r="AN215">
        <f>'Net zero activities &amp; levers'!$F91/100</f>
        <v>4.0000000000000001E-3</v>
      </c>
    </row>
    <row r="216" spans="1:48" x14ac:dyDescent="0.3">
      <c r="A216" t="s">
        <v>1264</v>
      </c>
      <c r="B216">
        <f>'Net zero activities &amp; levers'!$C92/100</f>
        <v>0</v>
      </c>
      <c r="C216">
        <f t="shared" si="453"/>
        <v>0</v>
      </c>
      <c r="D216">
        <f t="shared" si="453"/>
        <v>0</v>
      </c>
      <c r="E216">
        <f t="shared" si="453"/>
        <v>0</v>
      </c>
      <c r="F216">
        <f t="shared" si="453"/>
        <v>0</v>
      </c>
      <c r="G216">
        <f t="shared" si="453"/>
        <v>0</v>
      </c>
      <c r="H216">
        <f t="shared" si="453"/>
        <v>0</v>
      </c>
      <c r="I216">
        <f t="shared" si="453"/>
        <v>0</v>
      </c>
      <c r="J216">
        <f t="shared" si="453"/>
        <v>0</v>
      </c>
      <c r="K216">
        <f t="shared" si="454"/>
        <v>2.0000000000000001E-4</v>
      </c>
      <c r="L216">
        <f t="shared" si="455"/>
        <v>4.0000000000000002E-4</v>
      </c>
      <c r="M216">
        <f t="shared" si="456"/>
        <v>6.0000000000000006E-4</v>
      </c>
      <c r="N216">
        <f t="shared" si="457"/>
        <v>8.0000000000000004E-4</v>
      </c>
      <c r="O216">
        <f t="shared" si="458"/>
        <v>1E-3</v>
      </c>
      <c r="P216">
        <f t="shared" si="459"/>
        <v>1.2000000000000001E-3</v>
      </c>
      <c r="Q216">
        <f t="shared" si="460"/>
        <v>1.4000000000000002E-3</v>
      </c>
      <c r="R216">
        <f t="shared" si="461"/>
        <v>1.6000000000000003E-3</v>
      </c>
      <c r="S216">
        <f t="shared" si="462"/>
        <v>1.8000000000000004E-3</v>
      </c>
      <c r="T216">
        <f>'Net zero activities &amp; levers'!$D92/100</f>
        <v>2E-3</v>
      </c>
      <c r="U216">
        <f t="shared" si="435"/>
        <v>2.0999999999999999E-3</v>
      </c>
      <c r="V216">
        <f t="shared" si="436"/>
        <v>2.1999999999999997E-3</v>
      </c>
      <c r="W216">
        <f t="shared" si="437"/>
        <v>2.2999999999999995E-3</v>
      </c>
      <c r="X216">
        <f t="shared" si="438"/>
        <v>2.3999999999999994E-3</v>
      </c>
      <c r="Y216">
        <f t="shared" si="439"/>
        <v>2.4999999999999992E-3</v>
      </c>
      <c r="Z216">
        <f t="shared" si="440"/>
        <v>2.599999999999999E-3</v>
      </c>
      <c r="AA216">
        <f t="shared" si="441"/>
        <v>2.6999999999999988E-3</v>
      </c>
      <c r="AB216">
        <f t="shared" si="442"/>
        <v>2.7999999999999987E-3</v>
      </c>
      <c r="AC216">
        <f t="shared" si="443"/>
        <v>2.8999999999999985E-3</v>
      </c>
      <c r="AD216">
        <f>'Net zero activities &amp; levers'!$E92/100</f>
        <v>3.0000000000000001E-3</v>
      </c>
      <c r="AE216">
        <f t="shared" si="444"/>
        <v>3.0999999999999999E-3</v>
      </c>
      <c r="AF216">
        <f t="shared" si="445"/>
        <v>3.1999999999999997E-3</v>
      </c>
      <c r="AG216">
        <f t="shared" si="446"/>
        <v>3.2999999999999995E-3</v>
      </c>
      <c r="AH216">
        <f t="shared" si="447"/>
        <v>3.3999999999999994E-3</v>
      </c>
      <c r="AI216">
        <f t="shared" si="448"/>
        <v>3.4999999999999992E-3</v>
      </c>
      <c r="AJ216">
        <f t="shared" si="449"/>
        <v>3.599999999999999E-3</v>
      </c>
      <c r="AK216">
        <f t="shared" si="450"/>
        <v>3.6999999999999989E-3</v>
      </c>
      <c r="AL216">
        <f t="shared" si="451"/>
        <v>3.7999999999999987E-3</v>
      </c>
      <c r="AM216">
        <f t="shared" si="452"/>
        <v>3.8999999999999985E-3</v>
      </c>
      <c r="AN216">
        <f>'Net zero activities &amp; levers'!$F92/100</f>
        <v>4.0000000000000001E-3</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F9DC3429-16BA-475A-AFA4-3553534313F2}">
          <x14:colorSeries rgb="FF376092"/>
          <x14:colorNegative rgb="FFD00000"/>
          <x14:colorAxis rgb="FF000000"/>
          <x14:colorMarkers rgb="FFD00000"/>
          <x14:colorFirst rgb="FFD00000"/>
          <x14:colorLast rgb="FFD00000"/>
          <x14:colorHigh rgb="FFD00000"/>
          <x14:colorLow rgb="FFD00000"/>
          <x14:sparklines>
            <x14:sparkline>
              <xm:f>'Net zero supporting data'!B38:AN38</xm:f>
              <xm:sqref>AO38</xm:sqref>
            </x14:sparkline>
            <x14:sparkline>
              <xm:f>'Net zero supporting data'!B39:AN39</xm:f>
              <xm:sqref>AO39</xm:sqref>
            </x14:sparkline>
            <x14:sparkline>
              <xm:f>'Net zero supporting data'!B40:AN40</xm:f>
              <xm:sqref>AO40</xm:sqref>
            </x14:sparkline>
            <x14:sparkline>
              <xm:f>'Net zero supporting data'!B41:AN41</xm:f>
              <xm:sqref>AO41</xm:sqref>
            </x14:sparkline>
          </x14:sparklines>
        </x14:sparklineGroup>
      </x14:sparklineGroup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4225-57D6-462D-ACB6-8F83B6760900}">
  <sheetPr>
    <tabColor rgb="FFFF00FF"/>
  </sheetPr>
  <dimension ref="A1:BC1562"/>
  <sheetViews>
    <sheetView workbookViewId="0">
      <pane xSplit="10" ySplit="3" topLeftCell="AU1042" activePane="bottomRight" state="frozen"/>
      <selection pane="topRight" activeCell="H1" sqref="H1"/>
      <selection pane="bottomLeft" activeCell="A4" sqref="A4"/>
      <selection pane="bottomRight" activeCell="AU1058" sqref="AU1058"/>
    </sheetView>
  </sheetViews>
  <sheetFormatPr defaultColWidth="8.77734375" defaultRowHeight="14.4" x14ac:dyDescent="0.3"/>
  <cols>
    <col min="1" max="1" width="16.109375" customWidth="1"/>
    <col min="2" max="2" width="22.6640625" customWidth="1"/>
    <col min="4" max="4" width="15.44140625" customWidth="1"/>
    <col min="5" max="5" width="31" customWidth="1"/>
    <col min="6" max="6" width="27.6640625" customWidth="1"/>
    <col min="7" max="7" width="48.44140625" customWidth="1"/>
    <col min="8" max="8" width="33.33203125" customWidth="1"/>
    <col min="9" max="9" width="7.44140625" customWidth="1"/>
    <col min="10" max="10" width="14" customWidth="1"/>
    <col min="11" max="16" width="9.6640625" customWidth="1"/>
    <col min="17" max="17" width="9.44140625" customWidth="1"/>
    <col min="19" max="19" width="10" customWidth="1"/>
    <col min="32" max="33" width="9.44140625" customWidth="1"/>
    <col min="34" max="34" width="9.6640625" customWidth="1"/>
  </cols>
  <sheetData>
    <row r="1" spans="1:55" ht="18" x14ac:dyDescent="0.35">
      <c r="D1" s="1" t="s">
        <v>658</v>
      </c>
    </row>
    <row r="2" spans="1:55" x14ac:dyDescent="0.3">
      <c r="K2" s="79">
        <f>K668-K1467</f>
        <v>0</v>
      </c>
    </row>
    <row r="3" spans="1:55" s="19" customFormat="1" ht="15.6" x14ac:dyDescent="0.3">
      <c r="D3" s="17" t="s">
        <v>4</v>
      </c>
      <c r="E3" s="17" t="s">
        <v>313</v>
      </c>
      <c r="F3" s="17" t="s">
        <v>315</v>
      </c>
      <c r="G3" s="17" t="s">
        <v>149</v>
      </c>
      <c r="H3" s="17" t="s">
        <v>150</v>
      </c>
      <c r="I3" s="17" t="s">
        <v>5</v>
      </c>
      <c r="J3" s="17" t="s">
        <v>0</v>
      </c>
      <c r="K3" s="17">
        <v>2012</v>
      </c>
      <c r="L3" s="17">
        <v>2013</v>
      </c>
      <c r="M3" s="17">
        <v>2014</v>
      </c>
      <c r="N3" s="17">
        <v>2015</v>
      </c>
      <c r="O3" s="17">
        <v>2016</v>
      </c>
      <c r="P3" s="17">
        <v>2017</v>
      </c>
      <c r="Q3" s="17">
        <v>2018</v>
      </c>
      <c r="R3" s="17">
        <v>2019</v>
      </c>
      <c r="S3" s="17">
        <v>2020</v>
      </c>
      <c r="T3" s="17">
        <v>2021</v>
      </c>
      <c r="U3" s="17">
        <v>2022</v>
      </c>
      <c r="V3" s="17">
        <v>2023</v>
      </c>
      <c r="W3" s="17">
        <v>2024</v>
      </c>
      <c r="X3" s="17">
        <v>2025</v>
      </c>
      <c r="Y3" s="17">
        <v>2026</v>
      </c>
      <c r="Z3" s="17">
        <v>2027</v>
      </c>
      <c r="AA3" s="17">
        <v>2028</v>
      </c>
      <c r="AB3" s="17">
        <v>2029</v>
      </c>
      <c r="AC3" s="17">
        <v>2030</v>
      </c>
      <c r="AD3" s="17">
        <v>2031</v>
      </c>
      <c r="AE3" s="17">
        <v>2032</v>
      </c>
      <c r="AF3" s="17">
        <v>2033</v>
      </c>
      <c r="AG3" s="17">
        <v>2034</v>
      </c>
      <c r="AH3" s="17">
        <v>2035</v>
      </c>
      <c r="AI3" s="17">
        <v>2036</v>
      </c>
      <c r="AJ3" s="17">
        <v>2037</v>
      </c>
      <c r="AK3" s="17">
        <v>2038</v>
      </c>
      <c r="AL3" s="17">
        <v>2039</v>
      </c>
      <c r="AM3" s="17">
        <v>2040</v>
      </c>
      <c r="AN3" s="17">
        <v>2041</v>
      </c>
      <c r="AO3" s="17">
        <v>2042</v>
      </c>
      <c r="AP3" s="17">
        <v>2043</v>
      </c>
      <c r="AQ3" s="17">
        <v>2044</v>
      </c>
      <c r="AR3" s="17">
        <v>2045</v>
      </c>
      <c r="AS3" s="17">
        <v>2046</v>
      </c>
      <c r="AT3" s="17">
        <v>2047</v>
      </c>
      <c r="AU3" s="17">
        <v>2048</v>
      </c>
      <c r="AV3" s="17">
        <v>2049</v>
      </c>
      <c r="AW3" s="17">
        <v>2050</v>
      </c>
      <c r="AX3" s="17"/>
      <c r="AY3" s="17"/>
      <c r="AZ3" s="17"/>
      <c r="BA3" s="17"/>
      <c r="BB3" s="17"/>
      <c r="BC3" s="17"/>
    </row>
    <row r="4" spans="1:55" x14ac:dyDescent="0.3">
      <c r="A4" s="95" t="str">
        <f>B4&amp;" "&amp;C4</f>
        <v>FS Cattle</v>
      </c>
      <c r="B4" s="95" t="s">
        <v>1004</v>
      </c>
      <c r="C4" s="95" t="s">
        <v>1108</v>
      </c>
      <c r="D4" t="str">
        <f>'IPCC Categories'!A5</f>
        <v>3A Livestock</v>
      </c>
      <c r="E4" t="str">
        <f>'IPCC Categories'!B5</f>
        <v>3A1 Enteric fermentation (CH4)</v>
      </c>
      <c r="F4" t="str">
        <f>EF!C4</f>
        <v>3A1ai Dairy cattle</v>
      </c>
      <c r="G4" t="str">
        <f>EF!D4</f>
        <v>TMR</v>
      </c>
      <c r="H4" t="str">
        <f>'IPCC Categories'!F5&amp;" Emissions"</f>
        <v>Enteric fermentation Emissions</v>
      </c>
      <c r="I4" t="s">
        <v>121</v>
      </c>
      <c r="J4" t="s">
        <v>286</v>
      </c>
      <c r="K4" s="93">
        <f>IF('Net zero activities &amp; levers'!$C$5="Off",('Activity data'!AD5*EF!$H4)*kgtoGg,IF('Net zero activities &amp; levers'!$C$5="On",(((('Activity data'!AD5-'Net zero supporting data'!B15)*EF!$H4)+('Net zero supporting data'!B15*'Net zero supporting data'!B25))*kgtoGg)))</f>
        <v>72.246065125367707</v>
      </c>
      <c r="L4" s="93">
        <f>IF('Net zero activities &amp; levers'!$C$5="Off",('Activity data'!AE5*EF!$H4)*kgtoGg,IF('Net zero activities &amp; levers'!$C$5="On",(((('Activity data'!AE5-'Net zero supporting data'!C15)*EF!$H4)+('Net zero supporting data'!C15*'Net zero supporting data'!C25))*kgtoGg)))</f>
        <v>72.649957574793376</v>
      </c>
      <c r="M4" s="93">
        <f>IF('Net zero activities &amp; levers'!$C$5="Off",('Activity data'!AF5*EF!$H4)*kgtoGg,IF('Net zero activities &amp; levers'!$C$5="On",(((('Activity data'!AF5-'Net zero supporting data'!D15)*EF!$H4)+('Net zero supporting data'!D15*'Net zero supporting data'!D25))*kgtoGg)))</f>
        <v>73.223011790998029</v>
      </c>
      <c r="N4" s="93">
        <f>IF('Net zero activities &amp; levers'!$C$5="Off",('Activity data'!AG5*EF!$H4)*kgtoGg,IF('Net zero activities &amp; levers'!$C$5="On",(((('Activity data'!AG5-'Net zero supporting data'!E15)*EF!$H4)+('Net zero supporting data'!E15*'Net zero supporting data'!E25))*kgtoGg)))</f>
        <v>73.591260167761035</v>
      </c>
      <c r="O4" s="93">
        <f>IF('Net zero activities &amp; levers'!$C$5="Off",('Activity data'!AH5*EF!$H4)*kgtoGg,IF('Net zero activities &amp; levers'!$C$5="On",(((('Activity data'!AH5-'Net zero supporting data'!F15)*EF!$H4)+('Net zero supporting data'!F15*'Net zero supporting data'!F25))*kgtoGg)))</f>
        <v>73.835962898346551</v>
      </c>
      <c r="P4" s="93">
        <f>IF('Net zero activities &amp; levers'!$C$5="Off",('Activity data'!AI5*EF!$H4)*kgtoGg,IF('Net zero activities &amp; levers'!$C$5="On",(((('Activity data'!AI5-'Net zero supporting data'!G15)*EF!$H4)+('Net zero supporting data'!G15*'Net zero supporting data'!G25))*kgtoGg)))</f>
        <v>73.954711561483904</v>
      </c>
      <c r="Q4" s="93">
        <f>IF('Net zero activities &amp; levers'!$C$5="Off",('Activity data'!AJ5*EF!$H4)*kgtoGg,IF('Net zero activities &amp; levers'!$C$5="On",(((('Activity data'!AJ5-'Net zero supporting data'!H15)*EF!$H4)+('Net zero supporting data'!H15*'Net zero supporting data'!H25))*kgtoGg)))</f>
        <v>74.217071552078707</v>
      </c>
      <c r="R4" s="93">
        <f>IF('Net zero activities &amp; levers'!$C$5="Off",('Activity data'!AK5*EF!$H4)*kgtoGg,IF('Net zero activities &amp; levers'!$C$5="On",(((('Activity data'!AK5-'Net zero supporting data'!I15)*EF!$H4)+('Net zero supporting data'!I15*'Net zero supporting data'!I25))*kgtoGg)))</f>
        <v>74.518042528471312</v>
      </c>
      <c r="S4" s="93">
        <f>IF('Net zero activities &amp; levers'!$C$5="Off",('Activity data'!AL5*EF!$H4)*kgtoGg,IF('Net zero activities &amp; levers'!$C$5="On",(((('Activity data'!AL5-'Net zero supporting data'!J15)*EF!$H4)+('Net zero supporting data'!J15*'Net zero supporting data'!J25))*kgtoGg)))</f>
        <v>72.278060008832611</v>
      </c>
      <c r="T4" s="93">
        <f>IF('Net zero activities &amp; levers'!$C$5="Off",('Activity data'!AM5*EF!$H4)*kgtoGg,IF('Net zero activities &amp; levers'!$C$5="On",(((('Activity data'!AM5-'Net zero supporting data'!K15)*EF!$H4)+('Net zero supporting data'!K15*'Net zero supporting data'!K25))*kgtoGg)))</f>
        <v>73.038072409871731</v>
      </c>
      <c r="U4" s="93">
        <f>IF('Net zero activities &amp; levers'!$C$5="Off",('Activity data'!AN5*EF!$H4)*kgtoGg,IF('Net zero activities &amp; levers'!$C$5="On",(((('Activity data'!AN5-'Net zero supporting data'!L15)*EF!$H4)+('Net zero supporting data'!L15*'Net zero supporting data'!L25))*kgtoGg)))</f>
        <v>74.1505294629453</v>
      </c>
      <c r="V4" s="93">
        <f>IF('Net zero activities &amp; levers'!$C$5="Off",('Activity data'!AO5*EF!$H4)*kgtoGg,IF('Net zero activities &amp; levers'!$C$5="On",(((('Activity data'!AO5-'Net zero supporting data'!M15)*EF!$H4)+('Net zero supporting data'!M15*'Net zero supporting data'!M25))*kgtoGg)))</f>
        <v>74.727142714641815</v>
      </c>
      <c r="W4" s="93">
        <f>IF('Net zero activities &amp; levers'!$C$5="Off",('Activity data'!AP5*EF!$H4)*kgtoGg,IF('Net zero activities &amp; levers'!$C$5="On",(((('Activity data'!AP5-'Net zero supporting data'!N15)*EF!$H4)+('Net zero supporting data'!N15*'Net zero supporting data'!N25))*kgtoGg)))</f>
        <v>75.386134904907664</v>
      </c>
      <c r="X4" s="93">
        <f>IF('Net zero activities &amp; levers'!$C$5="Off",('Activity data'!AQ5*EF!$H4)*kgtoGg,IF('Net zero activities &amp; levers'!$C$5="On",(((('Activity data'!AQ5-'Net zero supporting data'!O15)*EF!$H4)+('Net zero supporting data'!O15*'Net zero supporting data'!O25))*kgtoGg)))</f>
        <v>76.148849321322899</v>
      </c>
      <c r="Y4" s="93">
        <f>IF('Net zero activities &amp; levers'!$C$5="Off",('Activity data'!AR5*EF!$H4)*kgtoGg,IF('Net zero activities &amp; levers'!$C$5="On",(((('Activity data'!AR5-'Net zero supporting data'!P15)*EF!$H4)+('Net zero supporting data'!P15*'Net zero supporting data'!P25))*kgtoGg)))</f>
        <v>76.927724649348932</v>
      </c>
      <c r="Z4" s="93">
        <f>IF('Net zero activities &amp; levers'!$C$5="Off",('Activity data'!AS5*EF!$H4)*kgtoGg,IF('Net zero activities &amp; levers'!$C$5="On",(((('Activity data'!AS5-'Net zero supporting data'!Q15)*EF!$H4)+('Net zero supporting data'!Q15*'Net zero supporting data'!Q25))*kgtoGg)))</f>
        <v>77.789839188812167</v>
      </c>
      <c r="AA4" s="93">
        <f>IF('Net zero activities &amp; levers'!$C$5="Off",('Activity data'!AT5*EF!$H4)*kgtoGg,IF('Net zero activities &amp; levers'!$C$5="On",(((('Activity data'!AT5-'Net zero supporting data'!R15)*EF!$H4)+('Net zero supporting data'!R15*'Net zero supporting data'!R25))*kgtoGg)))</f>
        <v>78.678659679683463</v>
      </c>
      <c r="AB4" s="93">
        <f>IF('Net zero activities &amp; levers'!$C$5="Off",('Activity data'!AU5*EF!$H4)*kgtoGg,IF('Net zero activities &amp; levers'!$C$5="On",(((('Activity data'!AU5-'Net zero supporting data'!S15)*EF!$H4)+('Net zero supporting data'!S15*'Net zero supporting data'!S25))*kgtoGg)))</f>
        <v>79.645214708438644</v>
      </c>
      <c r="AC4" s="93">
        <f>IF('Net zero activities &amp; levers'!$C$5="Off",('Activity data'!AV5*EF!$H4)*kgtoGg,IF('Net zero activities &amp; levers'!$C$5="On",(((('Activity data'!AV5-'Net zero supporting data'!T15)*EF!$H4)+('Net zero supporting data'!T15*'Net zero supporting data'!T25))*kgtoGg)))</f>
        <v>80.63357341135027</v>
      </c>
      <c r="AD4" s="93">
        <f>IF('Net zero activities &amp; levers'!$C$5="Off",('Activity data'!AW5*EF!$H4)*kgtoGg,IF('Net zero activities &amp; levers'!$C$5="On",(((('Activity data'!AW5-'Net zero supporting data'!U15)*EF!$H4)+('Net zero supporting data'!U15*'Net zero supporting data'!U25))*kgtoGg)))</f>
        <v>81.701326888312266</v>
      </c>
      <c r="AE4" s="93">
        <f>IF('Net zero activities &amp; levers'!$C$5="Off",('Activity data'!AX5*EF!$H4)*kgtoGg,IF('Net zero activities &amp; levers'!$C$5="On",(((('Activity data'!AX5-'Net zero supporting data'!V15)*EF!$H4)+('Net zero supporting data'!V15*'Net zero supporting data'!V25))*kgtoGg)))</f>
        <v>82.754629010299467</v>
      </c>
      <c r="AF4" s="93">
        <f>IF('Net zero activities &amp; levers'!$C$5="Off",('Activity data'!AY5*EF!$H4)*kgtoGg,IF('Net zero activities &amp; levers'!$C$5="On",(((('Activity data'!AY5-'Net zero supporting data'!W15)*EF!$H4)+('Net zero supporting data'!W15*'Net zero supporting data'!W25))*kgtoGg)))</f>
        <v>83.866381546619579</v>
      </c>
      <c r="AG4" s="93">
        <f>IF('Net zero activities &amp; levers'!$C$5="Off",('Activity data'!AZ5*EF!$H4)*kgtoGg,IF('Net zero activities &amp; levers'!$C$5="On",(((('Activity data'!AZ5-'Net zero supporting data'!X15)*EF!$H4)+('Net zero supporting data'!X15*'Net zero supporting data'!X25))*kgtoGg)))</f>
        <v>85.123957452137844</v>
      </c>
      <c r="AH4" s="93">
        <f>IF('Net zero activities &amp; levers'!$C$5="Off",('Activity data'!BA5*EF!$H4)*kgtoGg,IF('Net zero activities &amp; levers'!$C$5="On",(((('Activity data'!BA5-'Net zero supporting data'!Y15)*EF!$H4)+('Net zero supporting data'!Y15*'Net zero supporting data'!Y25))*kgtoGg)))</f>
        <v>86.31962290876946</v>
      </c>
      <c r="AI4" s="93">
        <f>IF('Net zero activities &amp; levers'!$C$5="Off",('Activity data'!BB5*EF!$H4)*kgtoGg,IF('Net zero activities &amp; levers'!$C$5="On",(((('Activity data'!BB5-'Net zero supporting data'!Z15)*EF!$H4)+('Net zero supporting data'!Z15*'Net zero supporting data'!Z25))*kgtoGg)))</f>
        <v>87.545771501366829</v>
      </c>
      <c r="AJ4" s="93">
        <f>IF('Net zero activities &amp; levers'!$C$5="Off",('Activity data'!BC5*EF!$H4)*kgtoGg,IF('Net zero activities &amp; levers'!$C$5="On",(((('Activity data'!BC5-'Net zero supporting data'!AA15)*EF!$H4)+('Net zero supporting data'!AA15*'Net zero supporting data'!AA25))*kgtoGg)))</f>
        <v>88.857081922014302</v>
      </c>
      <c r="AK4" s="93">
        <f>IF('Net zero activities &amp; levers'!$C$5="Off",('Activity data'!BD5*EF!$H4)*kgtoGg,IF('Net zero activities &amp; levers'!$C$5="On",(((('Activity data'!BD5-'Net zero supporting data'!AB15)*EF!$H4)+('Net zero supporting data'!AB15*'Net zero supporting data'!AB25))*kgtoGg)))</f>
        <v>90.085621753712104</v>
      </c>
      <c r="AL4" s="93">
        <f>IF('Net zero activities &amp; levers'!$C$5="Off",('Activity data'!BE5*EF!$H4)*kgtoGg,IF('Net zero activities &amp; levers'!$C$5="On",(((('Activity data'!BE5-'Net zero supporting data'!AC15)*EF!$H4)+('Net zero supporting data'!AC15*'Net zero supporting data'!AC25))*kgtoGg)))</f>
        <v>91.307494637553916</v>
      </c>
      <c r="AM4" s="93">
        <f>IF('Net zero activities &amp; levers'!$C$5="Off",('Activity data'!BF5*EF!$H4)*kgtoGg,IF('Net zero activities &amp; levers'!$C$5="On",(((('Activity data'!BF5-'Net zero supporting data'!AD15)*EF!$H4)+('Net zero supporting data'!AD15*'Net zero supporting data'!AD25))*kgtoGg)))</f>
        <v>92.526099205531537</v>
      </c>
      <c r="AN4" s="93">
        <f>IF('Net zero activities &amp; levers'!$C$5="Off",('Activity data'!BG5*EF!$H4)*kgtoGg,IF('Net zero activities &amp; levers'!$C$5="On",(((('Activity data'!BG5-'Net zero supporting data'!AE15)*EF!$H4)+('Net zero supporting data'!AE15*'Net zero supporting data'!AE25))*kgtoGg)))</f>
        <v>93.815346302798517</v>
      </c>
      <c r="AO4" s="93">
        <f>IF('Net zero activities &amp; levers'!$C$5="Off",('Activity data'!BH5*EF!$H4)*kgtoGg,IF('Net zero activities &amp; levers'!$C$5="On",(((('Activity data'!BH5-'Net zero supporting data'!AF15)*EF!$H4)+('Net zero supporting data'!AF15*'Net zero supporting data'!AF25))*kgtoGg)))</f>
        <v>95.052737285389242</v>
      </c>
      <c r="AP4" s="93">
        <f>IF('Net zero activities &amp; levers'!$C$5="Off",('Activity data'!BI5*EF!$H4)*kgtoGg,IF('Net zero activities &amp; levers'!$C$5="On",(((('Activity data'!BI5-'Net zero supporting data'!AG15)*EF!$H4)+('Net zero supporting data'!AG15*'Net zero supporting data'!AG25))*kgtoGg)))</f>
        <v>96.338177882566526</v>
      </c>
      <c r="AQ4" s="93">
        <f>IF('Net zero activities &amp; levers'!$C$5="Off",('Activity data'!BJ5*EF!$H4)*kgtoGg,IF('Net zero activities &amp; levers'!$C$5="On",(((('Activity data'!BJ5-'Net zero supporting data'!AH15)*EF!$H4)+('Net zero supporting data'!AH15*'Net zero supporting data'!AH25))*kgtoGg)))</f>
        <v>97.677530754509618</v>
      </c>
      <c r="AR4" s="93">
        <f>IF('Net zero activities &amp; levers'!$C$5="Off",('Activity data'!BK5*EF!$H4)*kgtoGg,IF('Net zero activities &amp; levers'!$C$5="On",(((('Activity data'!BK5-'Net zero supporting data'!AI15)*EF!$H4)+('Net zero supporting data'!AI15*'Net zero supporting data'!AI25))*kgtoGg)))</f>
        <v>99.08022368038182</v>
      </c>
      <c r="AS4" s="93">
        <f>IF('Net zero activities &amp; levers'!$C$5="Off",('Activity data'!BL5*EF!$H4)*kgtoGg,IF('Net zero activities &amp; levers'!$C$5="On",(((('Activity data'!BL5-'Net zero supporting data'!AJ15)*EF!$H4)+('Net zero supporting data'!AJ15*'Net zero supporting data'!AJ25))*kgtoGg)))</f>
        <v>100.50772839666152</v>
      </c>
      <c r="AT4" s="93">
        <f>IF('Net zero activities &amp; levers'!$C$5="Off",('Activity data'!BM5*EF!$H4)*kgtoGg,IF('Net zero activities &amp; levers'!$C$5="On",(((('Activity data'!BM5-'Net zero supporting data'!AK15)*EF!$H4)+('Net zero supporting data'!AK15*'Net zero supporting data'!AK25))*kgtoGg)))</f>
        <v>100.84617835677685</v>
      </c>
      <c r="AU4" s="93">
        <f>IF('Net zero activities &amp; levers'!$C$5="Off",('Activity data'!BN5*EF!$H4)*kgtoGg,IF('Net zero activities &amp; levers'!$C$5="On",(((('Activity data'!BN5-'Net zero supporting data'!AL15)*EF!$H4)+('Net zero supporting data'!AL15*'Net zero supporting data'!AL25))*kgtoGg)))</f>
        <v>101.08705215806816</v>
      </c>
      <c r="AV4" s="93">
        <f>IF('Net zero activities &amp; levers'!$C$5="Off",('Activity data'!BO5*EF!$H4)*kgtoGg,IF('Net zero activities &amp; levers'!$C$5="On",(((('Activity data'!BO5-'Net zero supporting data'!AM15)*EF!$H4)+('Net zero supporting data'!AM15*'Net zero supporting data'!AM25))*kgtoGg)))</f>
        <v>101.18574255533849</v>
      </c>
      <c r="AW4" s="93">
        <f>IF('Net zero activities &amp; levers'!$C$5="Off",('Activity data'!BP5*EF!$H4)*kgtoGg,IF('Net zero activities &amp; levers'!$C$5="On",(((('Activity data'!BP5-'Net zero supporting data'!AN15)*EF!$H4)+('Net zero supporting data'!AN15*'Net zero supporting data'!AN25))*kgtoGg)))</f>
        <v>101.24533448141288</v>
      </c>
      <c r="AY4" s="79"/>
    </row>
    <row r="5" spans="1:55" x14ac:dyDescent="0.3">
      <c r="A5" s="95" t="str">
        <f t="shared" ref="A5:A471" si="0">B5&amp;" "&amp;C5</f>
        <v>FS Cattle</v>
      </c>
      <c r="B5" s="95" t="s">
        <v>1004</v>
      </c>
      <c r="C5" s="95" t="s">
        <v>1108</v>
      </c>
      <c r="D5" t="str">
        <f>D4</f>
        <v>3A Livestock</v>
      </c>
      <c r="E5" t="str">
        <f>E4</f>
        <v>3A1 Enteric fermentation (CH4)</v>
      </c>
      <c r="F5" t="str">
        <f>EF!C5</f>
        <v>3A1ai Dairy cattle</v>
      </c>
      <c r="G5" t="str">
        <f>EF!D5</f>
        <v>Pasture</v>
      </c>
      <c r="H5" t="str">
        <f t="shared" ref="H5:J6" si="1">H4</f>
        <v>Enteric fermentation Emissions</v>
      </c>
      <c r="I5" t="str">
        <f t="shared" si="1"/>
        <v>CH4</v>
      </c>
      <c r="J5" t="str">
        <f t="shared" si="1"/>
        <v>Gg CH4</v>
      </c>
      <c r="K5" s="93">
        <f>IF('Net zero activities &amp; levers'!$C$5="Off",('Activity data'!AD6*EF!$H5)*kgtoGg,IF('Net zero activities &amp; levers'!$C$5="On",(((('Activity data'!AD6-'Net zero supporting data'!B16)*EF!$H5)+('Net zero supporting data'!B16*'Net zero supporting data'!B26))*kgtoGg)))</f>
        <v>57.783598896292567</v>
      </c>
      <c r="L5" s="93">
        <f>IF('Net zero activities &amp; levers'!$C$5="Off",('Activity data'!AE6*EF!$H5)*kgtoGg,IF('Net zero activities &amp; levers'!$C$5="On",(((('Activity data'!AE6-'Net zero supporting data'!C16)*EF!$H5)+('Net zero supporting data'!C16*'Net zero supporting data'!C26))*kgtoGg)))</f>
        <v>58.106638763645272</v>
      </c>
      <c r="M5" s="93">
        <f>IF('Net zero activities &amp; levers'!$C$5="Off",('Activity data'!AF6*EF!$H5)*kgtoGg,IF('Net zero activities &amp; levers'!$C$5="On",(((('Activity data'!AF6-'Net zero supporting data'!D16)*EF!$H5)+('Net zero supporting data'!D16*'Net zero supporting data'!D26))*kgtoGg)))</f>
        <v>58.564977012483297</v>
      </c>
      <c r="N5" s="93">
        <f>IF('Net zero activities &amp; levers'!$C$5="Off",('Activity data'!AG6*EF!$H5)*kgtoGg,IF('Net zero activities &amp; levers'!$C$5="On",(((('Activity data'!AG6-'Net zero supporting data'!E16)*EF!$H5)+('Net zero supporting data'!E16*'Net zero supporting data'!E26))*kgtoGg)))</f>
        <v>58.859508160444918</v>
      </c>
      <c r="O5" s="93">
        <f>IF('Net zero activities &amp; levers'!$C$5="Off",('Activity data'!AH6*EF!$H5)*kgtoGg,IF('Net zero activities &amp; levers'!$C$5="On",(((('Activity data'!AH6-'Net zero supporting data'!F16)*EF!$H5)+('Net zero supporting data'!F16*'Net zero supporting data'!F26))*kgtoGg)))</f>
        <v>59.055225455337649</v>
      </c>
      <c r="P5" s="93">
        <f>IF('Net zero activities &amp; levers'!$C$5="Off",('Activity data'!AI6*EF!$H5)*kgtoGg,IF('Net zero activities &amp; levers'!$C$5="On",(((('Activity data'!AI6-'Net zero supporting data'!G16)*EF!$H5)+('Net zero supporting data'!G16*'Net zero supporting data'!G26))*kgtoGg)))</f>
        <v>59.150202601958597</v>
      </c>
      <c r="Q5" s="93">
        <f>IF('Net zero activities &amp; levers'!$C$5="Off",('Activity data'!AJ6*EF!$H5)*kgtoGg,IF('Net zero activities &amp; levers'!$C$5="On",(((('Activity data'!AJ6-'Net zero supporting data'!H16)*EF!$H5)+('Net zero supporting data'!H16*'Net zero supporting data'!H26))*kgtoGg)))</f>
        <v>59.360042465716688</v>
      </c>
      <c r="R5" s="93">
        <f>IF('Net zero activities &amp; levers'!$C$5="Off",('Activity data'!AK6*EF!$H5)*kgtoGg,IF('Net zero activities &amp; levers'!$C$5="On",(((('Activity data'!AK6-'Net zero supporting data'!I16)*EF!$H5)+('Net zero supporting data'!I16*'Net zero supporting data'!I26))*kgtoGg)))</f>
        <v>59.600764035107602</v>
      </c>
      <c r="S5" s="93">
        <f>IF('Net zero activities &amp; levers'!$C$5="Off",('Activity data'!AL6*EF!$H5)*kgtoGg,IF('Net zero activities &amp; levers'!$C$5="On",(((('Activity data'!AL6-'Net zero supporting data'!J16)*EF!$H5)+('Net zero supporting data'!J16*'Net zero supporting data'!J26))*kgtoGg)))</f>
        <v>57.809188933752196</v>
      </c>
      <c r="T5" s="93">
        <f>IF('Net zero activities &amp; levers'!$C$5="Off",('Activity data'!AM6*EF!$H5)*kgtoGg,IF('Net zero activities &amp; levers'!$C$5="On",(((('Activity data'!AM6-'Net zero supporting data'!K16)*EF!$H5)+('Net zero supporting data'!K16*'Net zero supporting data'!K26))*kgtoGg)))</f>
        <v>58.417059433849957</v>
      </c>
      <c r="U5" s="93">
        <f>IF('Net zero activities &amp; levers'!$C$5="Off",('Activity data'!AN6*EF!$H5)*kgtoGg,IF('Net zero activities &amp; levers'!$C$5="On",(((('Activity data'!AN6-'Net zero supporting data'!L16)*EF!$H5)+('Net zero supporting data'!L16*'Net zero supporting data'!L26))*kgtoGg)))</f>
        <v>59.306821001246142</v>
      </c>
      <c r="V5" s="93">
        <f>IF('Net zero activities &amp; levers'!$C$5="Off",('Activity data'!AO6*EF!$H5)*kgtoGg,IF('Net zero activities &amp; levers'!$C$5="On",(((('Activity data'!AO6-'Net zero supporting data'!M16)*EF!$H5)+('Net zero supporting data'!M16*'Net zero supporting data'!M26))*kgtoGg)))</f>
        <v>59.768005825589199</v>
      </c>
      <c r="W5" s="93">
        <f>IF('Net zero activities &amp; levers'!$C$5="Off",('Activity data'!AP6*EF!$H5)*kgtoGg,IF('Net zero activities &amp; levers'!$C$5="On",(((('Activity data'!AP6-'Net zero supporting data'!N16)*EF!$H5)+('Net zero supporting data'!N16*'Net zero supporting data'!N26))*kgtoGg)))</f>
        <v>60.295078688755297</v>
      </c>
      <c r="X5" s="93">
        <f>IF('Net zero activities &amp; levers'!$C$5="Off",('Activity data'!AQ6*EF!$H5)*kgtoGg,IF('Net zero activities &amp; levers'!$C$5="On",(((('Activity data'!AQ6-'Net zero supporting data'!O16)*EF!$H5)+('Net zero supporting data'!O16*'Net zero supporting data'!O26))*kgtoGg)))</f>
        <v>60.905110305481806</v>
      </c>
      <c r="Y5" s="93">
        <f>IF('Net zero activities &amp; levers'!$C$5="Off",('Activity data'!AR6*EF!$H5)*kgtoGg,IF('Net zero activities &amp; levers'!$C$5="On",(((('Activity data'!AR6-'Net zero supporting data'!P16)*EF!$H5)+('Net zero supporting data'!P16*'Net zero supporting data'!P26))*kgtoGg)))</f>
        <v>61.528067686853028</v>
      </c>
      <c r="Z5" s="93">
        <f>IF('Net zero activities &amp; levers'!$C$5="Off",('Activity data'!AS6*EF!$H5)*kgtoGg,IF('Net zero activities &amp; levers'!$C$5="On",(((('Activity data'!AS6-'Net zero supporting data'!Q16)*EF!$H5)+('Net zero supporting data'!Q16*'Net zero supporting data'!Q26))*kgtoGg)))</f>
        <v>62.217601167528549</v>
      </c>
      <c r="AA5" s="93">
        <f>IF('Net zero activities &amp; levers'!$C$5="Off",('Activity data'!AT6*EF!$H5)*kgtoGg,IF('Net zero activities &amp; levers'!$C$5="On",(((('Activity data'!AT6-'Net zero supporting data'!R16)*EF!$H5)+('Net zero supporting data'!R16*'Net zero supporting data'!R26))*kgtoGg)))</f>
        <v>62.928494510248186</v>
      </c>
      <c r="AB5" s="93">
        <f>IF('Net zero activities &amp; levers'!$C$5="Off",('Activity data'!AU6*EF!$H5)*kgtoGg,IF('Net zero activities &amp; levers'!$C$5="On",(((('Activity data'!AU6-'Net zero supporting data'!S16)*EF!$H5)+('Net zero supporting data'!S16*'Net zero supporting data'!S26))*kgtoGg)))</f>
        <v>63.701561223236183</v>
      </c>
      <c r="AC5" s="93">
        <f>IF('Net zero activities &amp; levers'!$C$5="Off",('Activity data'!AV6*EF!$H5)*kgtoGg,IF('Net zero activities &amp; levers'!$C$5="On",(((('Activity data'!AV6-'Net zero supporting data'!T16)*EF!$H5)+('Net zero supporting data'!T16*'Net zero supporting data'!T26))*kgtoGg)))</f>
        <v>64.492066875766909</v>
      </c>
      <c r="AD5" s="93">
        <f>IF('Net zero activities &amp; levers'!$C$5="Off",('Activity data'!AW6*EF!$H5)*kgtoGg,IF('Net zero activities &amp; levers'!$C$5="On",(((('Activity data'!AW6-'Net zero supporting data'!U16)*EF!$H5)+('Net zero supporting data'!U16*'Net zero supporting data'!U26))*kgtoGg)))</f>
        <v>65.346073782936557</v>
      </c>
      <c r="AE5" s="93">
        <f>IF('Net zero activities &amp; levers'!$C$5="Off",('Activity data'!AX6*EF!$H5)*kgtoGg,IF('Net zero activities &amp; levers'!$C$5="On",(((('Activity data'!AX6-'Net zero supporting data'!V16)*EF!$H5)+('Net zero supporting data'!V16*'Net zero supporting data'!V26))*kgtoGg)))</f>
        <v>66.18852225716013</v>
      </c>
      <c r="AF5" s="93">
        <f>IF('Net zero activities &amp; levers'!$C$5="Off",('Activity data'!AY6*EF!$H5)*kgtoGg,IF('Net zero activities &amp; levers'!$C$5="On",(((('Activity data'!AY6-'Net zero supporting data'!W16)*EF!$H5)+('Net zero supporting data'!W16*'Net zero supporting data'!W26))*kgtoGg)))</f>
        <v>67.077720340393881</v>
      </c>
      <c r="AG5" s="93">
        <f>IF('Net zero activities &amp; levers'!$C$5="Off",('Activity data'!AZ6*EF!$H5)*kgtoGg,IF('Net zero activities &amp; levers'!$C$5="On",(((('Activity data'!AZ6-'Net zero supporting data'!X16)*EF!$H5)+('Net zero supporting data'!X16*'Net zero supporting data'!X26))*kgtoGg)))</f>
        <v>68.083550368368549</v>
      </c>
      <c r="AH5" s="93">
        <f>IF('Net zero activities &amp; levers'!$C$5="Off",('Activity data'!BA6*EF!$H5)*kgtoGg,IF('Net zero activities &amp; levers'!$C$5="On",(((('Activity data'!BA6-'Net zero supporting data'!Y16)*EF!$H5)+('Net zero supporting data'!Y16*'Net zero supporting data'!Y26))*kgtoGg)))</f>
        <v>69.039863394417281</v>
      </c>
      <c r="AI5" s="93">
        <f>IF('Net zero activities &amp; levers'!$C$5="Off",('Activity data'!BB6*EF!$H5)*kgtoGg,IF('Net zero activities &amp; levers'!$C$5="On",(((('Activity data'!BB6-'Net zero supporting data'!Z16)*EF!$H5)+('Net zero supporting data'!Z16*'Net zero supporting data'!Z26))*kgtoGg)))</f>
        <v>70.020557337249372</v>
      </c>
      <c r="AJ5" s="93">
        <f>IF('Net zero activities &amp; levers'!$C$5="Off",('Activity data'!BC6*EF!$H5)*kgtoGg,IF('Net zero activities &amp; levers'!$C$5="On",(((('Activity data'!BC6-'Net zero supporting data'!AA16)*EF!$H5)+('Net zero supporting data'!AA16*'Net zero supporting data'!AA26))*kgtoGg)))</f>
        <v>71.069365119981001</v>
      </c>
      <c r="AK5" s="93">
        <f>IF('Net zero activities &amp; levers'!$C$5="Off",('Activity data'!BD6*EF!$H5)*kgtoGg,IF('Net zero activities &amp; levers'!$C$5="On",(((('Activity data'!BD6-'Net zero supporting data'!AB16)*EF!$H5)+('Net zero supporting data'!AB16*'Net zero supporting data'!AB26))*kgtoGg)))</f>
        <v>72.051971615431754</v>
      </c>
      <c r="AL5" s="93">
        <f>IF('Net zero activities &amp; levers'!$C$5="Off",('Activity data'!BE6*EF!$H5)*kgtoGg,IF('Net zero activities &amp; levers'!$C$5="On",(((('Activity data'!BE6-'Net zero supporting data'!AC16)*EF!$H5)+('Net zero supporting data'!AC16*'Net zero supporting data'!AC26))*kgtoGg)))</f>
        <v>73.029245775618222</v>
      </c>
      <c r="AM5" s="93">
        <f>IF('Net zero activities &amp; levers'!$C$5="Off",('Activity data'!BF6*EF!$H5)*kgtoGg,IF('Net zero activities &amp; levers'!$C$5="On",(((('Activity data'!BF6-'Net zero supporting data'!AD16)*EF!$H5)+('Net zero supporting data'!AD16*'Net zero supporting data'!AD26))*kgtoGg)))</f>
        <v>74.003905882670679</v>
      </c>
      <c r="AN5" s="93">
        <f>IF('Net zero activities &amp; levers'!$C$5="Off",('Activity data'!BG6*EF!$H5)*kgtoGg,IF('Net zero activities &amp; levers'!$C$5="On",(((('Activity data'!BG6-'Net zero supporting data'!AE16)*EF!$H5)+('Net zero supporting data'!AE16*'Net zero supporting data'!AE26))*kgtoGg)))</f>
        <v>75.035067054111778</v>
      </c>
      <c r="AO5" s="93">
        <f>IF('Net zero activities &amp; levers'!$C$5="Off",('Activity data'!BH6*EF!$H5)*kgtoGg,IF('Net zero activities &amp; levers'!$C$5="On",(((('Activity data'!BH6-'Net zero supporting data'!AF16)*EF!$H5)+('Net zero supporting data'!AF16*'Net zero supporting data'!AF26))*kgtoGg)))</f>
        <v>76.024752846574486</v>
      </c>
      <c r="AP5" s="93">
        <f>IF('Net zero activities &amp; levers'!$C$5="Off",('Activity data'!BI6*EF!$H5)*kgtoGg,IF('Net zero activities &amp; levers'!$C$5="On",(((('Activity data'!BI6-'Net zero supporting data'!AG16)*EF!$H5)+('Net zero supporting data'!AG16*'Net zero supporting data'!AG26))*kgtoGg)))</f>
        <v>77.05286951622854</v>
      </c>
      <c r="AQ5" s="93">
        <f>IF('Net zero activities &amp; levers'!$C$5="Off",('Activity data'!BJ6*EF!$H5)*kgtoGg,IF('Net zero activities &amp; levers'!$C$5="On",(((('Activity data'!BJ6-'Net zero supporting data'!AH16)*EF!$H5)+('Net zero supporting data'!AH16*'Net zero supporting data'!AH26))*kgtoGg)))</f>
        <v>78.12410611573965</v>
      </c>
      <c r="AR5" s="93">
        <f>IF('Net zero activities &amp; levers'!$C$5="Off",('Activity data'!BK6*EF!$H5)*kgtoGg,IF('Net zero activities &amp; levers'!$C$5="On",(((('Activity data'!BK6-'Net zero supporting data'!AI16)*EF!$H5)+('Net zero supporting data'!AI16*'Net zero supporting data'!AI26))*kgtoGg)))</f>
        <v>79.246003138956311</v>
      </c>
      <c r="AS5" s="93">
        <f>IF('Net zero activities &amp; levers'!$C$5="Off",('Activity data'!BL6*EF!$H5)*kgtoGg,IF('Net zero activities &amp; levers'!$C$5="On",(((('Activity data'!BL6-'Net zero supporting data'!AJ16)*EF!$H5)+('Net zero supporting data'!AJ16*'Net zero supporting data'!AJ26))*kgtoGg)))</f>
        <v>80.387745042891623</v>
      </c>
      <c r="AT5" s="93">
        <f>IF('Net zero activities &amp; levers'!$C$5="Off",('Activity data'!BM6*EF!$H5)*kgtoGg,IF('Net zero activities &amp; levers'!$C$5="On",(((('Activity data'!BM6-'Net zero supporting data'!AK16)*EF!$H5)+('Net zero supporting data'!AK16*'Net zero supporting data'!AK26))*kgtoGg)))</f>
        <v>80.658442923915771</v>
      </c>
      <c r="AU5" s="93">
        <f>IF('Net zero activities &amp; levers'!$C$5="Off",('Activity data'!BN6*EF!$H5)*kgtoGg,IF('Net zero activities &amp; levers'!$C$5="On",(((('Activity data'!BN6-'Net zero supporting data'!AL16)*EF!$H5)+('Net zero supporting data'!AL16*'Net zero supporting data'!AL26))*kgtoGg)))</f>
        <v>80.851097777772381</v>
      </c>
      <c r="AV5" s="93">
        <f>IF('Net zero activities &amp; levers'!$C$5="Off",('Activity data'!BO6*EF!$H5)*kgtoGg,IF('Net zero activities &amp; levers'!$C$5="On",(((('Activity data'!BO6-'Net zero supporting data'!AM16)*EF!$H5)+('Net zero supporting data'!AM16*'Net zero supporting data'!AM26))*kgtoGg)))</f>
        <v>80.930031991295138</v>
      </c>
      <c r="AW5" s="93">
        <f>IF('Net zero activities &amp; levers'!$C$5="Off",('Activity data'!BP6*EF!$H5)*kgtoGg,IF('Net zero activities &amp; levers'!$C$5="On",(((('Activity data'!BP6-'Net zero supporting data'!AN16)*EF!$H5)+('Net zero supporting data'!AN16*'Net zero supporting data'!AN26))*kgtoGg)))</f>
        <v>80.977694600293489</v>
      </c>
      <c r="AY5" s="79"/>
    </row>
    <row r="6" spans="1:55" x14ac:dyDescent="0.3">
      <c r="A6" s="95" t="str">
        <f t="shared" si="0"/>
        <v>FS Cattle</v>
      </c>
      <c r="B6" s="95" t="s">
        <v>1004</v>
      </c>
      <c r="C6" s="95" t="s">
        <v>1108</v>
      </c>
      <c r="D6" t="str">
        <f t="shared" ref="D6:E8" si="2">D5</f>
        <v>3A Livestock</v>
      </c>
      <c r="E6" t="str">
        <f t="shared" si="2"/>
        <v>3A1 Enteric fermentation (CH4)</v>
      </c>
      <c r="F6" t="str">
        <f>EF!C6</f>
        <v>3A1aii Other cattle</v>
      </c>
      <c r="G6" t="str">
        <f>EF!D6</f>
        <v>Non-lactating</v>
      </c>
      <c r="H6" t="str">
        <f t="shared" si="1"/>
        <v>Enteric fermentation Emissions</v>
      </c>
      <c r="I6" t="str">
        <f t="shared" si="1"/>
        <v>CH4</v>
      </c>
      <c r="J6" t="str">
        <f t="shared" si="1"/>
        <v>Gg CH4</v>
      </c>
      <c r="K6" s="93">
        <f>IF('Net zero activities &amp; levers'!$C$5="Off",('Activity data'!AD7*EF!$H6)*kgtoGg,IF('Net zero activities &amp; levers'!$C$5="On",(((('Activity data'!AD7-'Net zero supporting data'!B17)*EF!$H6)+('Net zero supporting data'!B17*'Net zero supporting data'!B27))*kgtoGg)))</f>
        <v>26.126191807126649</v>
      </c>
      <c r="L6" s="93">
        <f>IF('Net zero activities &amp; levers'!$C$5="Off",('Activity data'!AE7*EF!$H6)*kgtoGg,IF('Net zero activities &amp; levers'!$C$5="On",(((('Activity data'!AE7-'Net zero supporting data'!C17)*EF!$H6)+('Net zero supporting data'!C17*'Net zero supporting data'!C27))*kgtoGg)))</f>
        <v>26.272250579806297</v>
      </c>
      <c r="M6" s="93">
        <f>IF('Net zero activities &amp; levers'!$C$5="Off",('Activity data'!AF7*EF!$H6)*kgtoGg,IF('Net zero activities &amp; levers'!$C$5="On",(((('Activity data'!AF7-'Net zero supporting data'!D17)*EF!$H6)+('Net zero supporting data'!D17*'Net zero supporting data'!D27))*kgtoGg)))</f>
        <v>26.479482964607669</v>
      </c>
      <c r="N6" s="93">
        <f>IF('Net zero activities &amp; levers'!$C$5="Off",('Activity data'!AG7*EF!$H6)*kgtoGg,IF('Net zero activities &amp; levers'!$C$5="On",(((('Activity data'!AG7-'Net zero supporting data'!E17)*EF!$H6)+('Net zero supporting data'!E17*'Net zero supporting data'!E27))*kgtoGg)))</f>
        <v>26.61265184663991</v>
      </c>
      <c r="O6" s="93">
        <f>IF('Net zero activities &amp; levers'!$C$5="Off",('Activity data'!AH7*EF!$H6)*kgtoGg,IF('Net zero activities &amp; levers'!$C$5="On",(((('Activity data'!AH7-'Net zero supporting data'!F17)*EF!$H6)+('Net zero supporting data'!F17*'Net zero supporting data'!F27))*kgtoGg)))</f>
        <v>26.701143177813595</v>
      </c>
      <c r="P6" s="93">
        <f>IF('Net zero activities &amp; levers'!$C$5="Off",('Activity data'!AI7*EF!$H6)*kgtoGg,IF('Net zero activities &amp; levers'!$C$5="On",(((('Activity data'!AI7-'Net zero supporting data'!G17)*EF!$H6)+('Net zero supporting data'!G17*'Net zero supporting data'!G27))*kgtoGg)))</f>
        <v>26.744086005835889</v>
      </c>
      <c r="Q6" s="93">
        <f>IF('Net zero activities &amp; levers'!$C$5="Off",('Activity data'!AJ7*EF!$H6)*kgtoGg,IF('Net zero activities &amp; levers'!$C$5="On",(((('Activity data'!AJ7-'Net zero supporting data'!H17)*EF!$H6)+('Net zero supporting data'!H17*'Net zero supporting data'!H27))*kgtoGg)))</f>
        <v>26.838962694620271</v>
      </c>
      <c r="R6" s="93">
        <f>IF('Net zero activities &amp; levers'!$C$5="Off",('Activity data'!AK7*EF!$H6)*kgtoGg,IF('Net zero activities &amp; levers'!$C$5="On",(((('Activity data'!AK7-'Net zero supporting data'!I17)*EF!$H6)+('Net zero supporting data'!I17*'Net zero supporting data'!I27))*kgtoGg)))</f>
        <v>26.947802192577246</v>
      </c>
      <c r="S6" s="93">
        <f>IF('Net zero activities &amp; levers'!$C$5="Off",('Activity data'!AL7*EF!$H6)*kgtoGg,IF('Net zero activities &amp; levers'!$C$5="On",(((('Activity data'!AL7-'Net zero supporting data'!J17)*EF!$H6)+('Net zero supporting data'!J17*'Net zero supporting data'!J27))*kgtoGg)))</f>
        <v>26.137762049198656</v>
      </c>
      <c r="T6" s="93">
        <f>IF('Net zero activities &amp; levers'!$C$5="Off",('Activity data'!AM7*EF!$H6)*kgtoGg,IF('Net zero activities &amp; levers'!$C$5="On",(((('Activity data'!AM7-'Net zero supporting data'!K17)*EF!$H6)+('Net zero supporting data'!K17*'Net zero supporting data'!K27))*kgtoGg)))</f>
        <v>26.412603727162519</v>
      </c>
      <c r="U6" s="93">
        <f>IF('Net zero activities &amp; levers'!$C$5="Off",('Activity data'!AN7*EF!$H6)*kgtoGg,IF('Net zero activities &amp; levers'!$C$5="On",(((('Activity data'!AN7-'Net zero supporting data'!L17)*EF!$H6)+('Net zero supporting data'!L17*'Net zero supporting data'!L27))*kgtoGg)))</f>
        <v>26.814899219593229</v>
      </c>
      <c r="V6" s="93">
        <f>IF('Net zero activities &amp; levers'!$C$5="Off",('Activity data'!AO7*EF!$H6)*kgtoGg,IF('Net zero activities &amp; levers'!$C$5="On",(((('Activity data'!AO7-'Net zero supporting data'!M17)*EF!$H6)+('Net zero supporting data'!M17*'Net zero supporting data'!M27))*kgtoGg)))</f>
        <v>27.023418650875932</v>
      </c>
      <c r="W6" s="93">
        <f>IF('Net zero activities &amp; levers'!$C$5="Off",('Activity data'!AP7*EF!$H6)*kgtoGg,IF('Net zero activities &amp; levers'!$C$5="On",(((('Activity data'!AP7-'Net zero supporting data'!N17)*EF!$H6)+('Net zero supporting data'!N17*'Net zero supporting data'!N27))*kgtoGg)))</f>
        <v>27.261728603568962</v>
      </c>
      <c r="X6" s="93">
        <f>IF('Net zero activities &amp; levers'!$C$5="Off",('Activity data'!AQ7*EF!$H6)*kgtoGg,IF('Net zero activities &amp; levers'!$C$5="On",(((('Activity data'!AQ7-'Net zero supporting data'!O17)*EF!$H6)+('Net zero supporting data'!O17*'Net zero supporting data'!O27))*kgtoGg)))</f>
        <v>27.53754740564138</v>
      </c>
      <c r="Y6" s="93">
        <f>IF('Net zero activities &amp; levers'!$C$5="Off",('Activity data'!AR7*EF!$H6)*kgtoGg,IF('Net zero activities &amp; levers'!$C$5="On",(((('Activity data'!AR7-'Net zero supporting data'!P17)*EF!$H6)+('Net zero supporting data'!P17*'Net zero supporting data'!P27))*kgtoGg)))</f>
        <v>27.819210444016349</v>
      </c>
      <c r="Z6" s="93">
        <f>IF('Net zero activities &amp; levers'!$C$5="Off",('Activity data'!AS7*EF!$H6)*kgtoGg,IF('Net zero activities &amp; levers'!$C$5="On",(((('Activity data'!AS7-'Net zero supporting data'!Q17)*EF!$H6)+('Net zero supporting data'!Q17*'Net zero supporting data'!Q27))*kgtoGg)))</f>
        <v>28.13097510246029</v>
      </c>
      <c r="AA6" s="93">
        <f>IF('Net zero activities &amp; levers'!$C$5="Off",('Activity data'!AT7*EF!$H6)*kgtoGg,IF('Net zero activities &amp; levers'!$C$5="On",(((('Activity data'!AT7-'Net zero supporting data'!R17)*EF!$H6)+('Net zero supporting data'!R17*'Net zero supporting data'!R27))*kgtoGg)))</f>
        <v>28.452397377657032</v>
      </c>
      <c r="AB6" s="93">
        <f>IF('Net zero activities &amp; levers'!$C$5="Off",('Activity data'!AU7*EF!$H6)*kgtoGg,IF('Net zero activities &amp; levers'!$C$5="On",(((('Activity data'!AU7-'Net zero supporting data'!S17)*EF!$H6)+('Net zero supporting data'!S17*'Net zero supporting data'!S27))*kgtoGg)))</f>
        <v>28.801930629462248</v>
      </c>
      <c r="AC6" s="93">
        <f>IF('Net zero activities &amp; levers'!$C$5="Off",('Activity data'!AV7*EF!$H6)*kgtoGg,IF('Net zero activities &amp; levers'!$C$5="On",(((('Activity data'!AV7-'Net zero supporting data'!T17)*EF!$H6)+('Net zero supporting data'!T17*'Net zero supporting data'!T27))*kgtoGg)))</f>
        <v>29.159348697860899</v>
      </c>
      <c r="AD6" s="93">
        <f>IF('Net zero activities &amp; levers'!$C$5="Off",('Activity data'!AW7*EF!$H6)*kgtoGg,IF('Net zero activities &amp; levers'!$C$5="On",(((('Activity data'!AW7-'Net zero supporting data'!U17)*EF!$H6)+('Net zero supporting data'!U17*'Net zero supporting data'!U27))*kgtoGg)))</f>
        <v>29.545478130563247</v>
      </c>
      <c r="AE6" s="93">
        <f>IF('Net zero activities &amp; levers'!$C$5="Off",('Activity data'!AX7*EF!$H6)*kgtoGg,IF('Net zero activities &amp; levers'!$C$5="On",(((('Activity data'!AX7-'Net zero supporting data'!V17)*EF!$H6)+('Net zero supporting data'!V17*'Net zero supporting data'!V27))*kgtoGg)))</f>
        <v>29.92638155031543</v>
      </c>
      <c r="AF6" s="93">
        <f>IF('Net zero activities &amp; levers'!$C$5="Off",('Activity data'!AY7*EF!$H6)*kgtoGg,IF('Net zero activities &amp; levers'!$C$5="On",(((('Activity data'!AY7-'Net zero supporting data'!W17)*EF!$H6)+('Net zero supporting data'!W17*'Net zero supporting data'!W27))*kgtoGg)))</f>
        <v>30.328422269841898</v>
      </c>
      <c r="AG6" s="93">
        <f>IF('Net zero activities &amp; levers'!$C$5="Off",('Activity data'!AZ7*EF!$H6)*kgtoGg,IF('Net zero activities &amp; levers'!$C$5="On",(((('Activity data'!AZ7-'Net zero supporting data'!X17)*EF!$H6)+('Net zero supporting data'!X17*'Net zero supporting data'!X27))*kgtoGg)))</f>
        <v>30.783196786108999</v>
      </c>
      <c r="AH6" s="93">
        <f>IF('Net zero activities &amp; levers'!$C$5="Off",('Activity data'!BA7*EF!$H6)*kgtoGg,IF('Net zero activities &amp; levers'!$C$5="On",(((('Activity data'!BA7-'Net zero supporting data'!Y17)*EF!$H6)+('Net zero supporting data'!Y17*'Net zero supporting data'!Y27))*kgtoGg)))</f>
        <v>31.215582757620478</v>
      </c>
      <c r="AI6" s="93">
        <f>IF('Net zero activities &amp; levers'!$C$5="Off",('Activity data'!BB7*EF!$H6)*kgtoGg,IF('Net zero activities &amp; levers'!$C$5="On",(((('Activity data'!BB7-'Net zero supporting data'!Z17)*EF!$H6)+('Net zero supporting data'!Z17*'Net zero supporting data'!Z27))*kgtoGg)))</f>
        <v>31.658992281151598</v>
      </c>
      <c r="AJ6" s="93">
        <f>IF('Net zero activities &amp; levers'!$C$5="Off",('Activity data'!BC7*EF!$H6)*kgtoGg,IF('Net zero activities &amp; levers'!$C$5="On",(((('Activity data'!BC7-'Net zero supporting data'!AA17)*EF!$H6)+('Net zero supporting data'!AA17*'Net zero supporting data'!AA27))*kgtoGg)))</f>
        <v>32.133198696533107</v>
      </c>
      <c r="AK6" s="93">
        <f>IF('Net zero activities &amp; levers'!$C$5="Off",('Activity data'!BD7*EF!$H6)*kgtoGg,IF('Net zero activities &amp; levers'!$C$5="On",(((('Activity data'!BD7-'Net zero supporting data'!AB17)*EF!$H6)+('Net zero supporting data'!AB17*'Net zero supporting data'!AB27))*kgtoGg)))</f>
        <v>32.57747295880516</v>
      </c>
      <c r="AL6" s="93">
        <f>IF('Net zero activities &amp; levers'!$C$5="Off",('Activity data'!BE7*EF!$H6)*kgtoGg,IF('Net zero activities &amp; levers'!$C$5="On",(((('Activity data'!BE7-'Net zero supporting data'!AC17)*EF!$H6)+('Net zero supporting data'!AC17*'Net zero supporting data'!AC27))*kgtoGg)))</f>
        <v>33.019336266817611</v>
      </c>
      <c r="AM6" s="93">
        <f>IF('Net zero activities &amp; levers'!$C$5="Off",('Activity data'!BF7*EF!$H6)*kgtoGg,IF('Net zero activities &amp; levers'!$C$5="On",(((('Activity data'!BF7-'Net zero supporting data'!AD17)*EF!$H6)+('Net zero supporting data'!AD17*'Net zero supporting data'!AD27))*kgtoGg)))</f>
        <v>33.460017660673138</v>
      </c>
      <c r="AN6" s="93">
        <f>IF('Net zero activities &amp; levers'!$C$5="Off",('Activity data'!BG7*EF!$H6)*kgtoGg,IF('Net zero activities &amp; levers'!$C$5="On",(((('Activity data'!BG7-'Net zero supporting data'!AE17)*EF!$H6)+('Net zero supporting data'!AE17*'Net zero supporting data'!AE27))*kgtoGg)))</f>
        <v>33.926245363061206</v>
      </c>
      <c r="AO6" s="93">
        <f>IF('Net zero activities &amp; levers'!$C$5="Off",('Activity data'!BH7*EF!$H6)*kgtoGg,IF('Net zero activities &amp; levers'!$C$5="On",(((('Activity data'!BH7-'Net zero supporting data'!AF17)*EF!$H6)+('Net zero supporting data'!AF17*'Net zero supporting data'!AF27))*kgtoGg)))</f>
        <v>34.37372044831983</v>
      </c>
      <c r="AP6" s="93">
        <f>IF('Net zero activities &amp; levers'!$C$5="Off",('Activity data'!BI7*EF!$H6)*kgtoGg,IF('Net zero activities &amp; levers'!$C$5="On",(((('Activity data'!BI7-'Net zero supporting data'!AG17)*EF!$H6)+('Net zero supporting data'!AG17*'Net zero supporting data'!AG27))*kgtoGg)))</f>
        <v>34.838571614127183</v>
      </c>
      <c r="AQ6" s="93">
        <f>IF('Net zero activities &amp; levers'!$C$5="Off",('Activity data'!BJ7*EF!$H6)*kgtoGg,IF('Net zero activities &amp; levers'!$C$5="On",(((('Activity data'!BJ7-'Net zero supporting data'!AH17)*EF!$H6)+('Net zero supporting data'!AH17*'Net zero supporting data'!AH27))*kgtoGg)))</f>
        <v>35.322918961890544</v>
      </c>
      <c r="AR6" s="93">
        <f>IF('Net zero activities &amp; levers'!$C$5="Off",('Activity data'!BK7*EF!$H6)*kgtoGg,IF('Net zero activities &amp; levers'!$C$5="On",(((('Activity data'!BK7-'Net zero supporting data'!AI17)*EF!$H6)+('Net zero supporting data'!AI17*'Net zero supporting data'!AI27))*kgtoGg)))</f>
        <v>35.830171839458941</v>
      </c>
      <c r="AS6" s="93">
        <f>IF('Net zero activities &amp; levers'!$C$5="Off",('Activity data'!BL7*EF!$H6)*kgtoGg,IF('Net zero activities &amp; levers'!$C$5="On",(((('Activity data'!BL7-'Net zero supporting data'!AJ17)*EF!$H6)+('Net zero supporting data'!AJ17*'Net zero supporting data'!AJ27))*kgtoGg)))</f>
        <v>36.346397352341668</v>
      </c>
      <c r="AT6" s="93">
        <f>IF('Net zero activities &amp; levers'!$C$5="Off",('Activity data'!BM7*EF!$H6)*kgtoGg,IF('Net zero activities &amp; levers'!$C$5="On",(((('Activity data'!BM7-'Net zero supporting data'!AK17)*EF!$H6)+('Net zero supporting data'!AK17*'Net zero supporting data'!AK27))*kgtoGg)))</f>
        <v>36.468790295953795</v>
      </c>
      <c r="AU6" s="93">
        <f>IF('Net zero activities &amp; levers'!$C$5="Off",('Activity data'!BN7*EF!$H6)*kgtoGg,IF('Net zero activities &amp; levers'!$C$5="On",(((('Activity data'!BN7-'Net zero supporting data'!AL17)*EF!$H6)+('Net zero supporting data'!AL17*'Net zero supporting data'!AL27))*kgtoGg)))</f>
        <v>36.555896979520966</v>
      </c>
      <c r="AV6" s="93">
        <f>IF('Net zero activities &amp; levers'!$C$5="Off",('Activity data'!BO7*EF!$H6)*kgtoGg,IF('Net zero activities &amp; levers'!$C$5="On",(((('Activity data'!BO7-'Net zero supporting data'!AM17)*EF!$H6)+('Net zero supporting data'!AM17*'Net zero supporting data'!AM27))*kgtoGg)))</f>
        <v>36.591586179259828</v>
      </c>
      <c r="AW6" s="93">
        <f>IF('Net zero activities &amp; levers'!$C$5="Off",('Activity data'!BP7*EF!$H6)*kgtoGg,IF('Net zero activities &amp; levers'!$C$5="On",(((('Activity data'!BP7-'Net zero supporting data'!AN17)*EF!$H6)+('Net zero supporting data'!AN17*'Net zero supporting data'!AN27))*kgtoGg)))</f>
        <v>36.613136281512098</v>
      </c>
      <c r="AY6" s="79"/>
    </row>
    <row r="7" spans="1:55" x14ac:dyDescent="0.3">
      <c r="A7" s="95" t="str">
        <f t="shared" si="0"/>
        <v>FS Cattle</v>
      </c>
      <c r="B7" s="95" t="s">
        <v>1004</v>
      </c>
      <c r="C7" s="95" t="s">
        <v>1108</v>
      </c>
      <c r="D7" t="str">
        <f t="shared" si="2"/>
        <v>3A Livestock</v>
      </c>
      <c r="E7" t="str">
        <f t="shared" si="2"/>
        <v>3A1 Enteric fermentation (CH4)</v>
      </c>
      <c r="F7" t="str">
        <f>EF!C7</f>
        <v>3A1aii Other cattle</v>
      </c>
      <c r="G7" t="str">
        <f>EF!D7</f>
        <v>Commercial</v>
      </c>
      <c r="H7" t="str">
        <f t="shared" ref="H7:J7" si="3">H6</f>
        <v>Enteric fermentation Emissions</v>
      </c>
      <c r="I7" t="str">
        <f t="shared" si="3"/>
        <v>CH4</v>
      </c>
      <c r="J7" t="str">
        <f t="shared" si="3"/>
        <v>Gg CH4</v>
      </c>
      <c r="K7" s="93">
        <f>IF('Net zero activities &amp; levers'!$C$5="Off",('Activity data'!AD8*EF!$H7)*kgtoGg,IF('Net zero activities &amp; levers'!$C$5="On",(((('Activity data'!AD8-'Net zero supporting data'!B18)*EF!$H7)+('Net zero supporting data'!B18*'Net zero supporting data'!B28))*kgtoGg)))</f>
        <v>463.23498593143194</v>
      </c>
      <c r="L7" s="93">
        <f>IF('Net zero activities &amp; levers'!$C$5="Off",('Activity data'!AE8*EF!$H7)*kgtoGg,IF('Net zero activities &amp; levers'!$C$5="On",(((('Activity data'!AE8-'Net zero supporting data'!C18)*EF!$H7)+('Net zero supporting data'!C18*'Net zero supporting data'!C28))*kgtoGg)))</f>
        <v>459.2174968362159</v>
      </c>
      <c r="M7" s="93">
        <f>IF('Net zero activities &amp; levers'!$C$5="Off",('Activity data'!AF8*EF!$H7)*kgtoGg,IF('Net zero activities &amp; levers'!$C$5="On",(((('Activity data'!AF8-'Net zero supporting data'!D18)*EF!$H7)+('Net zero supporting data'!D18*'Net zero supporting data'!D28))*kgtoGg)))</f>
        <v>457.68816035731248</v>
      </c>
      <c r="N7" s="93">
        <f>IF('Net zero activities &amp; levers'!$C$5="Off",('Activity data'!AG8*EF!$H7)*kgtoGg,IF('Net zero activities &amp; levers'!$C$5="On",(((('Activity data'!AG8-'Net zero supporting data'!E18)*EF!$H7)+('Net zero supporting data'!E18*'Net zero supporting data'!E28))*kgtoGg)))</f>
        <v>451.57633407663525</v>
      </c>
      <c r="O7" s="93">
        <f>IF('Net zero activities &amp; levers'!$C$5="Off",('Activity data'!AH8*EF!$H7)*kgtoGg,IF('Net zero activities &amp; levers'!$C$5="On",(((('Activity data'!AH8-'Net zero supporting data'!F18)*EF!$H7)+('Net zero supporting data'!F18*'Net zero supporting data'!F28))*kgtoGg)))</f>
        <v>442.70486896910717</v>
      </c>
      <c r="P7" s="93">
        <f>IF('Net zero activities &amp; levers'!$C$5="Off",('Activity data'!AI8*EF!$H7)*kgtoGg,IF('Net zero activities &amp; levers'!$C$5="On",(((('Activity data'!AI8-'Net zero supporting data'!G18)*EF!$H7)+('Net zero supporting data'!G18*'Net zero supporting data'!G28))*kgtoGg)))</f>
        <v>431.25721304480408</v>
      </c>
      <c r="Q7" s="93">
        <f>IF('Net zero activities &amp; levers'!$C$5="Off",('Activity data'!AJ8*EF!$H7)*kgtoGg,IF('Net zero activities &amp; levers'!$C$5="On",(((('Activity data'!AJ8-'Net zero supporting data'!H18)*EF!$H7)+('Net zero supporting data'!H18*'Net zero supporting data'!H28))*kgtoGg)))</f>
        <v>422.22811200839215</v>
      </c>
      <c r="R7" s="93">
        <f>IF('Net zero activities &amp; levers'!$C$5="Off",('Activity data'!AK8*EF!$H7)*kgtoGg,IF('Net zero activities &amp; levers'!$C$5="On",(((('Activity data'!AK8-'Net zero supporting data'!I18)*EF!$H7)+('Net zero supporting data'!I18*'Net zero supporting data'!I28))*kgtoGg)))</f>
        <v>413.68555596285586</v>
      </c>
      <c r="S7" s="93">
        <f>IF('Net zero activities &amp; levers'!$C$5="Off",('Activity data'!AL8*EF!$H7)*kgtoGg,IF('Net zero activities &amp; levers'!$C$5="On",(((('Activity data'!AL8-'Net zero supporting data'!J18)*EF!$H7)+('Net zero supporting data'!J18*'Net zero supporting data'!J28))*kgtoGg)))</f>
        <v>363.92269119895411</v>
      </c>
      <c r="T7" s="93">
        <f>IF('Net zero activities &amp; levers'!$C$5="Off",('Activity data'!AM8*EF!$H7)*kgtoGg,IF('Net zero activities &amp; levers'!$C$5="On",(((('Activity data'!AM8-'Net zero supporting data'!K18)*EF!$H7)+('Net zero supporting data'!K18*'Net zero supporting data'!K28))*kgtoGg)))</f>
        <v>369.83389237357579</v>
      </c>
      <c r="U7" s="93">
        <f>IF('Net zero activities &amp; levers'!$C$5="Off",('Activity data'!AN8*EF!$H7)*kgtoGg,IF('Net zero activities &amp; levers'!$C$5="On",(((('Activity data'!AN8-'Net zero supporting data'!L18)*EF!$H7)+('Net zero supporting data'!L18*'Net zero supporting data'!L28))*kgtoGg)))</f>
        <v>380.86142464434585</v>
      </c>
      <c r="V7" s="93">
        <f>IF('Net zero activities &amp; levers'!$C$5="Off",('Activity data'!AO8*EF!$H7)*kgtoGg,IF('Net zero activities &amp; levers'!$C$5="On",(((('Activity data'!AO8-'Net zero supporting data'!M18)*EF!$H7)+('Net zero supporting data'!M18*'Net zero supporting data'!M28))*kgtoGg)))</f>
        <v>383.06375021143805</v>
      </c>
      <c r="W7" s="93">
        <f>IF('Net zero activities &amp; levers'!$C$5="Off",('Activity data'!AP8*EF!$H7)*kgtoGg,IF('Net zero activities &amp; levers'!$C$5="On",(((('Activity data'!AP8-'Net zero supporting data'!N18)*EF!$H7)+('Net zero supporting data'!N18*'Net zero supporting data'!N28))*kgtoGg)))</f>
        <v>386.24013707294779</v>
      </c>
      <c r="X7" s="93">
        <f>IF('Net zero activities &amp; levers'!$C$5="Off",('Activity data'!AQ8*EF!$H7)*kgtoGg,IF('Net zero activities &amp; levers'!$C$5="On",(((('Activity data'!AQ8-'Net zero supporting data'!O18)*EF!$H7)+('Net zero supporting data'!O18*'Net zero supporting data'!O28))*kgtoGg)))</f>
        <v>390.6712668095617</v>
      </c>
      <c r="Y7" s="93">
        <f>IF('Net zero activities &amp; levers'!$C$5="Off",('Activity data'!AR8*EF!$H7)*kgtoGg,IF('Net zero activities &amp; levers'!$C$5="On",(((('Activity data'!AR8-'Net zero supporting data'!P18)*EF!$H7)+('Net zero supporting data'!P18*'Net zero supporting data'!P28))*kgtoGg)))</f>
        <v>395.75397479595648</v>
      </c>
      <c r="Z7" s="93">
        <f>IF('Net zero activities &amp; levers'!$C$5="Off",('Activity data'!AS8*EF!$H7)*kgtoGg,IF('Net zero activities &amp; levers'!$C$5="On",(((('Activity data'!AS8-'Net zero supporting data'!Q18)*EF!$H7)+('Net zero supporting data'!Q18*'Net zero supporting data'!Q28))*kgtoGg)))</f>
        <v>401.71318303321101</v>
      </c>
      <c r="AA7" s="93">
        <f>IF('Net zero activities &amp; levers'!$C$5="Off",('Activity data'!AT8*EF!$H7)*kgtoGg,IF('Net zero activities &amp; levers'!$C$5="On",(((('Activity data'!AT8-'Net zero supporting data'!R18)*EF!$H7)+('Net zero supporting data'!R18*'Net zero supporting data'!R28))*kgtoGg)))</f>
        <v>407.69987647206653</v>
      </c>
      <c r="AB7" s="93">
        <f>IF('Net zero activities &amp; levers'!$C$5="Off",('Activity data'!AU8*EF!$H7)*kgtoGg,IF('Net zero activities &amp; levers'!$C$5="On",(((('Activity data'!AU8-'Net zero supporting data'!S18)*EF!$H7)+('Net zero supporting data'!S18*'Net zero supporting data'!S28))*kgtoGg)))</f>
        <v>414.43305929383774</v>
      </c>
      <c r="AC7" s="93">
        <f>IF('Net zero activities &amp; levers'!$C$5="Off",('Activity data'!AV8*EF!$H7)*kgtoGg,IF('Net zero activities &amp; levers'!$C$5="On",(((('Activity data'!AV8-'Net zero supporting data'!T18)*EF!$H7)+('Net zero supporting data'!T18*'Net zero supporting data'!T28))*kgtoGg)))</f>
        <v>421.09942264585908</v>
      </c>
      <c r="AD7" s="93">
        <f>IF('Net zero activities &amp; levers'!$C$5="Off",('Activity data'!AW8*EF!$H7)*kgtoGg,IF('Net zero activities &amp; levers'!$C$5="On",(((('Activity data'!AW8-'Net zero supporting data'!U18)*EF!$H7)+('Net zero supporting data'!U18*'Net zero supporting data'!U28))*kgtoGg)))</f>
        <v>425.44191060723506</v>
      </c>
      <c r="AE7" s="93">
        <f>IF('Net zero activities &amp; levers'!$C$5="Off",('Activity data'!AX8*EF!$H7)*kgtoGg,IF('Net zero activities &amp; levers'!$C$5="On",(((('Activity data'!AX8-'Net zero supporting data'!V18)*EF!$H7)+('Net zero supporting data'!V18*'Net zero supporting data'!V28))*kgtoGg)))</f>
        <v>429.00739584475377</v>
      </c>
      <c r="AF7" s="93">
        <f>IF('Net zero activities &amp; levers'!$C$5="Off",('Activity data'!AY8*EF!$H7)*kgtoGg,IF('Net zero activities &amp; levers'!$C$5="On",(((('Activity data'!AY8-'Net zero supporting data'!W18)*EF!$H7)+('Net zero supporting data'!W18*'Net zero supporting data'!W28))*kgtoGg)))</f>
        <v>432.77412897631666</v>
      </c>
      <c r="AG7" s="93">
        <f>IF('Net zero activities &amp; levers'!$C$5="Off",('Activity data'!AZ8*EF!$H7)*kgtoGg,IF('Net zero activities &amp; levers'!$C$5="On",(((('Activity data'!AZ8-'Net zero supporting data'!X18)*EF!$H7)+('Net zero supporting data'!X18*'Net zero supporting data'!X28))*kgtoGg)))</f>
        <v>437.81397558556199</v>
      </c>
      <c r="AH7" s="93">
        <f>IF('Net zero activities &amp; levers'!$C$5="Off",('Activity data'!BA8*EF!$H7)*kgtoGg,IF('Net zero activities &amp; levers'!$C$5="On",(((('Activity data'!BA8-'Net zero supporting data'!Y18)*EF!$H7)+('Net zero supporting data'!Y18*'Net zero supporting data'!Y28))*kgtoGg)))</f>
        <v>441.43846379327863</v>
      </c>
      <c r="AI7" s="93">
        <f>IF('Net zero activities &amp; levers'!$C$5="Off",('Activity data'!BB8*EF!$H7)*kgtoGg,IF('Net zero activities &amp; levers'!$C$5="On",(((('Activity data'!BB8-'Net zero supporting data'!Z18)*EF!$H7)+('Net zero supporting data'!Z18*'Net zero supporting data'!Z28))*kgtoGg)))</f>
        <v>445.30127510523226</v>
      </c>
      <c r="AJ7" s="93">
        <f>IF('Net zero activities &amp; levers'!$C$5="Off",('Activity data'!BC8*EF!$H7)*kgtoGg,IF('Net zero activities &amp; levers'!$C$5="On",(((('Activity data'!BC8-'Net zero supporting data'!AA18)*EF!$H7)+('Net zero supporting data'!AA18*'Net zero supporting data'!AA28))*kgtoGg)))</f>
        <v>449.5534309991009</v>
      </c>
      <c r="AK7" s="93">
        <f>IF('Net zero activities &amp; levers'!$C$5="Off",('Activity data'!BD8*EF!$H7)*kgtoGg,IF('Net zero activities &amp; levers'!$C$5="On",(((('Activity data'!BD8-'Net zero supporting data'!AB18)*EF!$H7)+('Net zero supporting data'!AB18*'Net zero supporting data'!AB28))*kgtoGg)))</f>
        <v>452.20309019469192</v>
      </c>
      <c r="AL7" s="93">
        <f>IF('Net zero activities &amp; levers'!$C$5="Off",('Activity data'!BE8*EF!$H7)*kgtoGg,IF('Net zero activities &amp; levers'!$C$5="On",(((('Activity data'!BE8-'Net zero supporting data'!AC18)*EF!$H7)+('Net zero supporting data'!AC18*'Net zero supporting data'!AC28))*kgtoGg)))</f>
        <v>454.19091289569144</v>
      </c>
      <c r="AM7" s="93">
        <f>IF('Net zero activities &amp; levers'!$C$5="Off",('Activity data'!BF8*EF!$H7)*kgtoGg,IF('Net zero activities &amp; levers'!$C$5="On",(((('Activity data'!BF8-'Net zero supporting data'!AD18)*EF!$H7)+('Net zero supporting data'!AD18*'Net zero supporting data'!AD28))*kgtoGg)))</f>
        <v>455.5735708938164</v>
      </c>
      <c r="AN7" s="93">
        <f>IF('Net zero activities &amp; levers'!$C$5="Off",('Activity data'!BG8*EF!$H7)*kgtoGg,IF('Net zero activities &amp; levers'!$C$5="On",(((('Activity data'!BG8-'Net zero supporting data'!AE18)*EF!$H7)+('Net zero supporting data'!AE18*'Net zero supporting data'!AE28))*kgtoGg)))</f>
        <v>459.87188917365768</v>
      </c>
      <c r="AO7" s="93">
        <f>IF('Net zero activities &amp; levers'!$C$5="Off",('Activity data'!BH8*EF!$H7)*kgtoGg,IF('Net zero activities &amp; levers'!$C$5="On",(((('Activity data'!BH8-'Net zero supporting data'!AF18)*EF!$H7)+('Net zero supporting data'!AF18*'Net zero supporting data'!AF28))*kgtoGg)))</f>
        <v>463.13915520973467</v>
      </c>
      <c r="AP7" s="93">
        <f>IF('Net zero activities &amp; levers'!$C$5="Off",('Activity data'!BI8*EF!$H7)*kgtoGg,IF('Net zero activities &amp; levers'!$C$5="On",(((('Activity data'!BI8-'Net zero supporting data'!AG18)*EF!$H7)+('Net zero supporting data'!AG18*'Net zero supporting data'!AG28))*kgtoGg)))</f>
        <v>466.44766361257473</v>
      </c>
      <c r="AQ7" s="93">
        <f>IF('Net zero activities &amp; levers'!$C$5="Off",('Activity data'!BJ8*EF!$H7)*kgtoGg,IF('Net zero activities &amp; levers'!$C$5="On",(((('Activity data'!BJ8-'Net zero supporting data'!AH18)*EF!$H7)+('Net zero supporting data'!AH18*'Net zero supporting data'!AH28))*kgtoGg)))</f>
        <v>469.83526222266636</v>
      </c>
      <c r="AR7" s="93">
        <f>IF('Net zero activities &amp; levers'!$C$5="Off",('Activity data'!BK8*EF!$H7)*kgtoGg,IF('Net zero activities &amp; levers'!$C$5="On",(((('Activity data'!BK8-'Net zero supporting data'!AI18)*EF!$H7)+('Net zero supporting data'!AI18*'Net zero supporting data'!AI28))*kgtoGg)))</f>
        <v>473.37026305322627</v>
      </c>
      <c r="AS7" s="93">
        <f>IF('Net zero activities &amp; levers'!$C$5="Off",('Activity data'!BL8*EF!$H7)*kgtoGg,IF('Net zero activities &amp; levers'!$C$5="On",(((('Activity data'!BL8-'Net zero supporting data'!AJ18)*EF!$H7)+('Net zero supporting data'!AJ18*'Net zero supporting data'!AJ28))*kgtoGg)))</f>
        <v>476.99976993126808</v>
      </c>
      <c r="AT7" s="93">
        <f>IF('Net zero activities &amp; levers'!$C$5="Off",('Activity data'!BM8*EF!$H7)*kgtoGg,IF('Net zero activities &amp; levers'!$C$5="On",(((('Activity data'!BM8-'Net zero supporting data'!AK18)*EF!$H7)+('Net zero supporting data'!AK18*'Net zero supporting data'!AK28))*kgtoGg)))</f>
        <v>469.84014483659178</v>
      </c>
      <c r="AU7" s="93">
        <f>IF('Net zero activities &amp; levers'!$C$5="Off",('Activity data'!BN8*EF!$H7)*kgtoGg,IF('Net zero activities &amp; levers'!$C$5="On",(((('Activity data'!BN8-'Net zero supporting data'!AL18)*EF!$H7)+('Net zero supporting data'!AL18*'Net zero supporting data'!AL28))*kgtoGg)))</f>
        <v>461.72949370511395</v>
      </c>
      <c r="AV7" s="93">
        <f>IF('Net zero activities &amp; levers'!$C$5="Off",('Activity data'!BO8*EF!$H7)*kgtoGg,IF('Net zero activities &amp; levers'!$C$5="On",(((('Activity data'!BO8-'Net zero supporting data'!AM18)*EF!$H7)+('Net zero supporting data'!AM18*'Net zero supporting data'!AM28))*kgtoGg)))</f>
        <v>452.32664742475527</v>
      </c>
      <c r="AW7" s="93">
        <f>IF('Net zero activities &amp; levers'!$C$5="Off",('Activity data'!BP8*EF!$H7)*kgtoGg,IF('Net zero activities &amp; levers'!$C$5="On",(((('Activity data'!BP8-'Net zero supporting data'!AN18)*EF!$H7)+('Net zero supporting data'!AN18*'Net zero supporting data'!AN28))*kgtoGg)))</f>
        <v>442.62912277964222</v>
      </c>
      <c r="AY7" s="79"/>
    </row>
    <row r="8" spans="1:55" x14ac:dyDescent="0.3">
      <c r="A8" s="95" t="str">
        <f t="shared" si="0"/>
        <v>FS Cattle</v>
      </c>
      <c r="B8" s="95" t="s">
        <v>1004</v>
      </c>
      <c r="C8" s="95" t="s">
        <v>1108</v>
      </c>
      <c r="D8" t="str">
        <f t="shared" si="2"/>
        <v>3A Livestock</v>
      </c>
      <c r="E8" t="str">
        <f t="shared" si="2"/>
        <v>3A1 Enteric fermentation (CH4)</v>
      </c>
      <c r="F8" t="str">
        <f>EF!C8</f>
        <v>3A1aii Other cattle</v>
      </c>
      <c r="G8" t="s">
        <v>123</v>
      </c>
      <c r="H8" t="str">
        <f t="shared" ref="H8:J8" si="4">H7</f>
        <v>Enteric fermentation Emissions</v>
      </c>
      <c r="I8" t="str">
        <f t="shared" si="4"/>
        <v>CH4</v>
      </c>
      <c r="J8" t="str">
        <f t="shared" si="4"/>
        <v>Gg CH4</v>
      </c>
      <c r="K8" s="27">
        <f>K1383</f>
        <v>326.20040935577742</v>
      </c>
      <c r="L8" s="27">
        <f t="shared" ref="L8:AW8" si="5">L1383</f>
        <v>323.37137738012308</v>
      </c>
      <c r="M8" s="27">
        <f t="shared" si="5"/>
        <v>322.29445054900748</v>
      </c>
      <c r="N8" s="27">
        <f t="shared" si="5"/>
        <v>317.99063003627219</v>
      </c>
      <c r="O8" s="27">
        <f t="shared" si="5"/>
        <v>311.74352945546792</v>
      </c>
      <c r="P8" s="27">
        <f t="shared" si="5"/>
        <v>303.68232906672063</v>
      </c>
      <c r="Q8" s="27">
        <f t="shared" si="5"/>
        <v>297.32422455466599</v>
      </c>
      <c r="R8" s="27">
        <f t="shared" si="5"/>
        <v>291.30873487096773</v>
      </c>
      <c r="S8" s="27">
        <f t="shared" si="5"/>
        <v>256.26676405768438</v>
      </c>
      <c r="T8" s="27">
        <f t="shared" si="5"/>
        <v>260.42930855779127</v>
      </c>
      <c r="U8" s="27">
        <f t="shared" si="5"/>
        <v>268.19466663772192</v>
      </c>
      <c r="V8" s="27">
        <f t="shared" si="5"/>
        <v>269.7454983394245</v>
      </c>
      <c r="W8" s="27">
        <f t="shared" si="5"/>
        <v>271.98224367594827</v>
      </c>
      <c r="X8" s="27">
        <f t="shared" si="5"/>
        <v>275.10255275857435</v>
      </c>
      <c r="Y8" s="27">
        <f t="shared" si="5"/>
        <v>278.68168964622578</v>
      </c>
      <c r="Z8" s="27">
        <f t="shared" si="5"/>
        <v>282.87803971792886</v>
      </c>
      <c r="AA8" s="27">
        <f t="shared" si="5"/>
        <v>287.09374429498189</v>
      </c>
      <c r="AB8" s="27">
        <f t="shared" si="5"/>
        <v>291.83511111621357</v>
      </c>
      <c r="AC8" s="27">
        <f t="shared" si="5"/>
        <v>296.52942506137316</v>
      </c>
      <c r="AD8" s="27">
        <f t="shared" si="5"/>
        <v>299.58731445583493</v>
      </c>
      <c r="AE8" s="27">
        <f t="shared" si="5"/>
        <v>302.09805474824185</v>
      </c>
      <c r="AF8" s="27">
        <f t="shared" si="5"/>
        <v>304.75050960758114</v>
      </c>
      <c r="AG8" s="27">
        <f t="shared" si="5"/>
        <v>308.29946440796289</v>
      </c>
      <c r="AH8" s="27">
        <f t="shared" si="5"/>
        <v>310.85175336058825</v>
      </c>
      <c r="AI8" s="27">
        <f t="shared" si="5"/>
        <v>313.57186446940221</v>
      </c>
      <c r="AJ8" s="27">
        <f t="shared" si="5"/>
        <v>316.5661439071601</v>
      </c>
      <c r="AK8" s="27">
        <f t="shared" si="5"/>
        <v>318.43197861417656</v>
      </c>
      <c r="AL8" s="27">
        <f t="shared" si="5"/>
        <v>319.83176187426193</v>
      </c>
      <c r="AM8" s="27">
        <f t="shared" si="5"/>
        <v>320.80540078040053</v>
      </c>
      <c r="AN8" s="27">
        <f t="shared" si="5"/>
        <v>323.83218680694904</v>
      </c>
      <c r="AO8" s="27">
        <f t="shared" si="5"/>
        <v>326.13292736155017</v>
      </c>
      <c r="AP8" s="27">
        <f t="shared" si="5"/>
        <v>328.46270993009568</v>
      </c>
      <c r="AQ8" s="27">
        <f t="shared" si="5"/>
        <v>330.84818617197112</v>
      </c>
      <c r="AR8" s="27">
        <f t="shared" si="5"/>
        <v>333.33745998120867</v>
      </c>
      <c r="AS8" s="27">
        <f t="shared" si="5"/>
        <v>335.89328297673717</v>
      </c>
      <c r="AT8" s="27">
        <f t="shared" si="5"/>
        <v>330.85162440679704</v>
      </c>
      <c r="AU8" s="27">
        <f t="shared" si="5"/>
        <v>325.14027314970184</v>
      </c>
      <c r="AV8" s="27">
        <f t="shared" si="5"/>
        <v>318.5189850369415</v>
      </c>
      <c r="AW8" s="27">
        <f t="shared" si="5"/>
        <v>311.6901905696734</v>
      </c>
      <c r="AY8" s="79"/>
    </row>
    <row r="9" spans="1:55" x14ac:dyDescent="0.3">
      <c r="A9" s="95" t="str">
        <f t="shared" si="0"/>
        <v>FS Cattle</v>
      </c>
      <c r="B9" s="95" t="s">
        <v>1004</v>
      </c>
      <c r="C9" s="95" t="s">
        <v>1108</v>
      </c>
      <c r="D9" t="str">
        <f>D7</f>
        <v>3A Livestock</v>
      </c>
      <c r="E9" t="str">
        <f>E7</f>
        <v>3A1 Enteric fermentation (CH4)</v>
      </c>
      <c r="F9" t="str">
        <f>EF!C9</f>
        <v>3A1aii Other cattle</v>
      </c>
      <c r="G9" t="str">
        <f>EF!D9</f>
        <v>Feedlot</v>
      </c>
      <c r="H9" t="str">
        <f>H6</f>
        <v>Enteric fermentation Emissions</v>
      </c>
      <c r="I9" t="str">
        <f>I6</f>
        <v>CH4</v>
      </c>
      <c r="J9" t="str">
        <f>J6</f>
        <v>Gg CH4</v>
      </c>
      <c r="K9" s="93">
        <f>IF('Net zero activities &amp; levers'!$C$5="Off",('Activity data'!AD10*EF!$H9)*kgtoGg,IF('Net zero activities &amp; levers'!$C$5="On",(((('Activity data'!AD10-'Net zero supporting data'!B19)*EF!$H9)+('Net zero supporting data'!B19*'Net zero supporting data'!B29))*kgtoGg)))</f>
        <v>31.891995988947272</v>
      </c>
      <c r="L9" s="93">
        <f>IF('Net zero activities &amp; levers'!$C$5="Off",('Activity data'!AE10*EF!$H9)*kgtoGg,IF('Net zero activities &amp; levers'!$C$5="On",(((('Activity data'!AE10-'Net zero supporting data'!C19)*EF!$H9)+('Net zero supporting data'!C19*'Net zero supporting data'!C29))*kgtoGg)))</f>
        <v>32.967337371253535</v>
      </c>
      <c r="M9" s="93">
        <f>IF('Net zero activities &amp; levers'!$C$5="Off",('Activity data'!AF10*EF!$H9)*kgtoGg,IF('Net zero activities &amp; levers'!$C$5="On",(((('Activity data'!AF10-'Net zero supporting data'!D19)*EF!$H9)+('Net zero supporting data'!D19*'Net zero supporting data'!D29))*kgtoGg)))</f>
        <v>34.243655078433662</v>
      </c>
      <c r="N9" s="93">
        <f>IF('Net zero activities &amp; levers'!$C$5="Off",('Activity data'!AG10*EF!$H9)*kgtoGg,IF('Net zero activities &amp; levers'!$C$5="On",(((('Activity data'!AG10-'Net zero supporting data'!E19)*EF!$H9)+('Net zero supporting data'!E19*'Net zero supporting data'!E29))*kgtoGg)))</f>
        <v>35.19550479761466</v>
      </c>
      <c r="O9" s="93">
        <f>IF('Net zero activities &amp; levers'!$C$5="Off",('Activity data'!AH10*EF!$H9)*kgtoGg,IF('Net zero activities &amp; levers'!$C$5="On",(((('Activity data'!AH10-'Net zero supporting data'!F19)*EF!$H9)+('Net zero supporting data'!F19*'Net zero supporting data'!F29))*kgtoGg)))</f>
        <v>35.929559405213332</v>
      </c>
      <c r="P9" s="93">
        <f>IF('Net zero activities &amp; levers'!$C$5="Off",('Activity data'!AI10*EF!$H9)*kgtoGg,IF('Net zero activities &amp; levers'!$C$5="On",(((('Activity data'!AI10-'Net zero supporting data'!G19)*EF!$H9)+('Net zero supporting data'!G19*'Net zero supporting data'!G29))*kgtoGg)))</f>
        <v>36.435327957872907</v>
      </c>
      <c r="Q9" s="93">
        <f>IF('Net zero activities &amp; levers'!$C$5="Off",('Activity data'!AJ10*EF!$H9)*kgtoGg,IF('Net zero activities &amp; levers'!$C$5="On",(((('Activity data'!AJ10-'Net zero supporting data'!H19)*EF!$H9)+('Net zero supporting data'!H19*'Net zero supporting data'!H29))*kgtoGg)))</f>
        <v>37.125912791560339</v>
      </c>
      <c r="R9" s="93">
        <f>IF('Net zero activities &amp; levers'!$C$5="Off",('Activity data'!AK10*EF!$H9)*kgtoGg,IF('Net zero activities &amp; levers'!$C$5="On",(((('Activity data'!AK10-'Net zero supporting data'!I19)*EF!$H9)+('Net zero supporting data'!I19*'Net zero supporting data'!I29))*kgtoGg)))</f>
        <v>37.849847328761314</v>
      </c>
      <c r="S9" s="93">
        <f>IF('Net zero activities &amp; levers'!$C$5="Off",('Activity data'!AL10*EF!$H9)*kgtoGg,IF('Net zero activities &amp; levers'!$C$5="On",(((('Activity data'!AL10-'Net zero supporting data'!J19)*EF!$H9)+('Net zero supporting data'!J19*'Net zero supporting data'!J29))*kgtoGg)))</f>
        <v>34.642542509776739</v>
      </c>
      <c r="T9" s="93">
        <f>IF('Net zero activities &amp; levers'!$C$5="Off",('Activity data'!AM10*EF!$H9)*kgtoGg,IF('Net zero activities &amp; levers'!$C$5="On",(((('Activity data'!AM10-'Net zero supporting data'!K19)*EF!$H9)+('Net zero supporting data'!K19*'Net zero supporting data'!K29))*kgtoGg)))</f>
        <v>36.053430902114805</v>
      </c>
      <c r="U9" s="93">
        <f>IF('Net zero activities &amp; levers'!$C$5="Off",('Activity data'!AN10*EF!$H9)*kgtoGg,IF('Net zero activities &amp; levers'!$C$5="On",(((('Activity data'!AN10-'Net zero supporting data'!L19)*EF!$H9)+('Net zero supporting data'!L19*'Net zero supporting data'!L29))*kgtoGg)))</f>
        <v>38.010696022356719</v>
      </c>
      <c r="V9" s="93">
        <f>IF('Net zero activities &amp; levers'!$C$5="Off",('Activity data'!AO10*EF!$H9)*kgtoGg,IF('Net zero activities &amp; levers'!$C$5="On",(((('Activity data'!AO10-'Net zero supporting data'!M19)*EF!$H9)+('Net zero supporting data'!M19*'Net zero supporting data'!M29))*kgtoGg)))</f>
        <v>39.127373882680487</v>
      </c>
      <c r="W9" s="93">
        <f>IF('Net zero activities &amp; levers'!$C$5="Off",('Activity data'!AP10*EF!$H9)*kgtoGg,IF('Net zero activities &amp; levers'!$C$5="On",(((('Activity data'!AP10-'Net zero supporting data'!N19)*EF!$H9)+('Net zero supporting data'!N19*'Net zero supporting data'!N29))*kgtoGg)))</f>
        <v>40.366459949035139</v>
      </c>
      <c r="X9" s="93">
        <f>IF('Net zero activities &amp; levers'!$C$5="Off",('Activity data'!AQ10*EF!$H9)*kgtoGg,IF('Net zero activities &amp; levers'!$C$5="On",(((('Activity data'!AQ10-'Net zero supporting data'!O19)*EF!$H9)+('Net zero supporting data'!O19*'Net zero supporting data'!O29))*kgtoGg)))</f>
        <v>41.765821576969046</v>
      </c>
      <c r="Y9" s="93">
        <f>IF('Net zero activities &amp; levers'!$C$5="Off",('Activity data'!AR10*EF!$H9)*kgtoGg,IF('Net zero activities &amp; levers'!$C$5="On",(((('Activity data'!AR10-'Net zero supporting data'!P19)*EF!$H9)+('Net zero supporting data'!P19*'Net zero supporting data'!P29))*kgtoGg)))</f>
        <v>43.269588309323517</v>
      </c>
      <c r="Z9" s="93">
        <f>IF('Net zero activities &amp; levers'!$C$5="Off",('Activity data'!AS10*EF!$H9)*kgtoGg,IF('Net zero activities &amp; levers'!$C$5="On",(((('Activity data'!AS10-'Net zero supporting data'!Q19)*EF!$H9)+('Net zero supporting data'!Q19*'Net zero supporting data'!Q29))*kgtoGg)))</f>
        <v>44.908778901884347</v>
      </c>
      <c r="AA9" s="93">
        <f>IF('Net zero activities &amp; levers'!$C$5="Off",('Activity data'!AT10*EF!$H9)*kgtoGg,IF('Net zero activities &amp; levers'!$C$5="On",(((('Activity data'!AT10-'Net zero supporting data'!R19)*EF!$H9)+('Net zero supporting data'!R19*'Net zero supporting data'!R29))*kgtoGg)))</f>
        <v>46.594068388350003</v>
      </c>
      <c r="AB9" s="93">
        <f>IF('Net zero activities &amp; levers'!$C$5="Off",('Activity data'!AU10*EF!$H9)*kgtoGg,IF('Net zero activities &amp; levers'!$C$5="On",(((('Activity data'!AU10-'Net zero supporting data'!S19)*EF!$H9)+('Net zero supporting data'!S19*'Net zero supporting data'!S29))*kgtoGg)))</f>
        <v>48.410923677012072</v>
      </c>
      <c r="AC9" s="93">
        <f>IF('Net zero activities &amp; levers'!$C$5="Off",('Activity data'!AV10*EF!$H9)*kgtoGg,IF('Net zero activities &amp; levers'!$C$5="On",(((('Activity data'!AV10-'Net zero supporting data'!T19)*EF!$H9)+('Net zero supporting data'!T19*'Net zero supporting data'!T29))*kgtoGg)))</f>
        <v>50.269303700477998</v>
      </c>
      <c r="AD9" s="93">
        <f>IF('Net zero activities &amp; levers'!$C$5="Off",('Activity data'!AW10*EF!$H9)*kgtoGg,IF('Net zero activities &amp; levers'!$C$5="On",(((('Activity data'!AW10-'Net zero supporting data'!U19)*EF!$H9)+('Net zero supporting data'!U19*'Net zero supporting data'!U29))*kgtoGg)))</f>
        <v>52.471951507677524</v>
      </c>
      <c r="AE9" s="93">
        <f>IF('Net zero activities &amp; levers'!$C$5="Off",('Activity data'!AX10*EF!$H9)*kgtoGg,IF('Net zero activities &amp; levers'!$C$5="On",(((('Activity data'!AX10-'Net zero supporting data'!V19)*EF!$H9)+('Net zero supporting data'!V19*'Net zero supporting data'!V29))*kgtoGg)))</f>
        <v>54.669760459111487</v>
      </c>
      <c r="AF9" s="93">
        <f>IF('Net zero activities &amp; levers'!$C$5="Off",('Activity data'!AY10*EF!$H9)*kgtoGg,IF('Net zero activities &amp; levers'!$C$5="On",(((('Activity data'!AY10-'Net zero supporting data'!W19)*EF!$H9)+('Net zero supporting data'!W19*'Net zero supporting data'!W29))*kgtoGg)))</f>
        <v>56.986868883720433</v>
      </c>
      <c r="AG9" s="93">
        <f>IF('Net zero activities &amp; levers'!$C$5="Off",('Activity data'!AZ10*EF!$H9)*kgtoGg,IF('Net zero activities &amp; levers'!$C$5="On",(((('Activity data'!AZ10-'Net zero supporting data'!X19)*EF!$H9)+('Net zero supporting data'!X19*'Net zero supporting data'!X29))*kgtoGg)))</f>
        <v>59.577013910557568</v>
      </c>
      <c r="AH9" s="93">
        <f>IF('Net zero activities &amp; levers'!$C$5="Off",('Activity data'!BA10*EF!$H9)*kgtoGg,IF('Net zero activities &amp; levers'!$C$5="On",(((('Activity data'!BA10-'Net zero supporting data'!Y19)*EF!$H9)+('Net zero supporting data'!Y19*'Net zero supporting data'!Y29))*kgtoGg)))</f>
        <v>62.085208612074666</v>
      </c>
      <c r="AI9" s="93">
        <f>IF('Net zero activities &amp; levers'!$C$5="Off",('Activity data'!BB10*EF!$H9)*kgtoGg,IF('Net zero activities &amp; levers'!$C$5="On",(((('Activity data'!BB10-'Net zero supporting data'!Z19)*EF!$H9)+('Net zero supporting data'!Z19*'Net zero supporting data'!Z29))*kgtoGg)))</f>
        <v>64.738520962902328</v>
      </c>
      <c r="AJ9" s="93">
        <f>IF('Net zero activities &amp; levers'!$C$5="Off",('Activity data'!BC10*EF!$H9)*kgtoGg,IF('Net zero activities &amp; levers'!$C$5="On",(((('Activity data'!BC10-'Net zero supporting data'!AA19)*EF!$H9)+('Net zero supporting data'!AA19*'Net zero supporting data'!AA29))*kgtoGg)))</f>
        <v>67.569668411383148</v>
      </c>
      <c r="AK9" s="93">
        <f>IF('Net zero activities &amp; levers'!$C$5="Off",('Activity data'!BD10*EF!$H9)*kgtoGg,IF('Net zero activities &amp; levers'!$C$5="On",(((('Activity data'!BD10-'Net zero supporting data'!AB19)*EF!$H9)+('Net zero supporting data'!AB19*'Net zero supporting data'!AB29))*kgtoGg)))</f>
        <v>70.282185941463524</v>
      </c>
      <c r="AL9" s="93">
        <f>IF('Net zero activities &amp; levers'!$C$5="Off",('Activity data'!BE10*EF!$H9)*kgtoGg,IF('Net zero activities &amp; levers'!$C$5="On",(((('Activity data'!BE10-'Net zero supporting data'!AC19)*EF!$H9)+('Net zero supporting data'!AC19*'Net zero supporting data'!AC29))*kgtoGg)))</f>
        <v>73.009611809365794</v>
      </c>
      <c r="AM9" s="93">
        <f>IF('Net zero activities &amp; levers'!$C$5="Off",('Activity data'!BF10*EF!$H9)*kgtoGg,IF('Net zero activities &amp; levers'!$C$5="On",(((('Activity data'!BF10-'Net zero supporting data'!AD19)*EF!$H9)+('Net zero supporting data'!AD19*'Net zero supporting data'!AD29))*kgtoGg)))</f>
        <v>75.757864250149765</v>
      </c>
      <c r="AN9" s="93">
        <f>IF('Net zero activities &amp; levers'!$C$5="Off",('Activity data'!BG10*EF!$H9)*kgtoGg,IF('Net zero activities &amp; levers'!$C$5="On",(((('Activity data'!BG10-'Net zero supporting data'!AE19)*EF!$H9)+('Net zero supporting data'!AE19*'Net zero supporting data'!AE29))*kgtoGg)))</f>
        <v>78.63033008147255</v>
      </c>
      <c r="AO9" s="93">
        <f>IF('Net zero activities &amp; levers'!$C$5="Off",('Activity data'!BH10*EF!$H9)*kgtoGg,IF('Net zero activities &amp; levers'!$C$5="On",(((('Activity data'!BH10-'Net zero supporting data'!AF19)*EF!$H9)+('Net zero supporting data'!AF19*'Net zero supporting data'!AF29))*kgtoGg)))</f>
        <v>81.431036976471376</v>
      </c>
      <c r="AP9" s="93">
        <f>IF('Net zero activities &amp; levers'!$C$5="Off",('Activity data'!BI10*EF!$H9)*kgtoGg,IF('Net zero activities &amp; levers'!$C$5="On",(((('Activity data'!BI10-'Net zero supporting data'!AG19)*EF!$H9)+('Net zero supporting data'!AG19*'Net zero supporting data'!AG29))*kgtoGg)))</f>
        <v>84.343805269420216</v>
      </c>
      <c r="AQ9" s="93">
        <f>IF('Net zero activities &amp; levers'!$C$5="Off",('Activity data'!BJ10*EF!$H9)*kgtoGg,IF('Net zero activities &amp; levers'!$C$5="On",(((('Activity data'!BJ10-'Net zero supporting data'!AH19)*EF!$H9)+('Net zero supporting data'!AH19*'Net zero supporting data'!AH29))*kgtoGg)))</f>
        <v>87.381529968917789</v>
      </c>
      <c r="AR9" s="93">
        <f>IF('Net zero activities &amp; levers'!$C$5="Off",('Activity data'!BK10*EF!$H9)*kgtoGg,IF('Net zero activities &amp; levers'!$C$5="On",(((('Activity data'!BK10-'Net zero supporting data'!AI19)*EF!$H9)+('Net zero supporting data'!AI19*'Net zero supporting data'!AI29))*kgtoGg)))</f>
        <v>90.56411958911923</v>
      </c>
      <c r="AS9" s="93">
        <f>IF('Net zero activities &amp; levers'!$C$5="Off",('Activity data'!BL10*EF!$H9)*kgtoGg,IF('Net zero activities &amp; levers'!$C$5="On",(((('Activity data'!BL10-'Net zero supporting data'!AJ19)*EF!$H9)+('Net zero supporting data'!AJ19*'Net zero supporting data'!AJ29))*kgtoGg)))</f>
        <v>93.889582462340528</v>
      </c>
      <c r="AT9" s="93">
        <f>IF('Net zero activities &amp; levers'!$C$5="Off",('Activity data'!BM10*EF!$H9)*kgtoGg,IF('Net zero activities &amp; levers'!$C$5="On",(((('Activity data'!BM10-'Net zero supporting data'!AK19)*EF!$H9)+('Net zero supporting data'!AK19*'Net zero supporting data'!AK29))*kgtoGg)))</f>
        <v>95.161623451693828</v>
      </c>
      <c r="AU9" s="93">
        <f>IF('Net zero activities &amp; levers'!$C$5="Off",('Activity data'!BN10*EF!$H9)*kgtoGg,IF('Net zero activities &amp; levers'!$C$5="On",(((('Activity data'!BN10-'Net zero supporting data'!AL19)*EF!$H9)+('Net zero supporting data'!AL19*'Net zero supporting data'!AL29))*kgtoGg)))</f>
        <v>96.246716097882043</v>
      </c>
      <c r="AV9" s="93">
        <f>IF('Net zero activities &amp; levers'!$C$5="Off",('Activity data'!BO10*EF!$H9)*kgtoGg,IF('Net zero activities &amp; levers'!$C$5="On",(((('Activity data'!BO10-'Net zero supporting data'!AM19)*EF!$H9)+('Net zero supporting data'!AM19*'Net zero supporting data'!AM29))*kgtoGg)))</f>
        <v>97.054781525387583</v>
      </c>
      <c r="AW9" s="93">
        <f>IF('Net zero activities &amp; levers'!$C$5="Off",('Activity data'!BP10*EF!$H9)*kgtoGg,IF('Net zero activities &amp; levers'!$C$5="On",(((('Activity data'!BP10-'Net zero supporting data'!AN19)*EF!$H9)+('Net zero supporting data'!AN19*'Net zero supporting data'!AN29))*kgtoGg)))</f>
        <v>97.781567637634097</v>
      </c>
      <c r="AY9" s="79"/>
    </row>
    <row r="10" spans="1:55" x14ac:dyDescent="0.3">
      <c r="A10" s="95" t="str">
        <f t="shared" si="0"/>
        <v>FS Sheep</v>
      </c>
      <c r="B10" s="95" t="s">
        <v>1004</v>
      </c>
      <c r="C10" s="95" t="s">
        <v>152</v>
      </c>
      <c r="D10" t="s">
        <v>15</v>
      </c>
      <c r="E10" t="s">
        <v>16</v>
      </c>
      <c r="F10" t="s">
        <v>18</v>
      </c>
      <c r="G10" t="s">
        <v>122</v>
      </c>
      <c r="H10" t="s">
        <v>1020</v>
      </c>
      <c r="I10" t="s">
        <v>121</v>
      </c>
      <c r="J10" t="s">
        <v>286</v>
      </c>
      <c r="K10" s="27">
        <f>K1385</f>
        <v>132.59034293279757</v>
      </c>
      <c r="L10" s="27">
        <f t="shared" ref="L10:AW17" si="6">L1385</f>
        <v>132.66203410931632</v>
      </c>
      <c r="M10" s="27">
        <f t="shared" si="6"/>
        <v>132.83344502276296</v>
      </c>
      <c r="N10" s="27">
        <f t="shared" si="6"/>
        <v>133.08619178866664</v>
      </c>
      <c r="O10" s="27">
        <f t="shared" si="6"/>
        <v>133.41866827856941</v>
      </c>
      <c r="P10" s="27">
        <f t="shared" si="6"/>
        <v>133.8273636783253</v>
      </c>
      <c r="Q10" s="27">
        <f t="shared" si="6"/>
        <v>134.2863843975903</v>
      </c>
      <c r="R10" s="27">
        <f t="shared" si="6"/>
        <v>134.79283247693314</v>
      </c>
      <c r="S10" s="27">
        <f t="shared" si="6"/>
        <v>135.25595136269689</v>
      </c>
      <c r="T10" s="27">
        <f t="shared" si="6"/>
        <v>135.45945701303151</v>
      </c>
      <c r="U10" s="27">
        <f t="shared" si="6"/>
        <v>135.70798113166347</v>
      </c>
      <c r="V10" s="27">
        <f t="shared" si="6"/>
        <v>135.96919937925796</v>
      </c>
      <c r="W10" s="27">
        <f t="shared" si="6"/>
        <v>136.26247262957938</v>
      </c>
      <c r="X10" s="27">
        <f t="shared" si="6"/>
        <v>136.58698029827343</v>
      </c>
      <c r="Y10" s="27">
        <f t="shared" si="6"/>
        <v>136.78964350738272</v>
      </c>
      <c r="Z10" s="27">
        <f t="shared" si="6"/>
        <v>137.0186015592445</v>
      </c>
      <c r="AA10" s="27">
        <f t="shared" si="6"/>
        <v>137.27076072273411</v>
      </c>
      <c r="AB10" s="27">
        <f t="shared" si="6"/>
        <v>137.54681434679034</v>
      </c>
      <c r="AC10" s="27">
        <f t="shared" si="6"/>
        <v>137.84391314305282</v>
      </c>
      <c r="AD10" s="27">
        <f t="shared" si="6"/>
        <v>138.04321155337277</v>
      </c>
      <c r="AE10" s="27">
        <f t="shared" si="6"/>
        <v>138.25957262105894</v>
      </c>
      <c r="AF10" s="27">
        <f t="shared" si="6"/>
        <v>138.49473553474263</v>
      </c>
      <c r="AG10" s="27">
        <f t="shared" si="6"/>
        <v>138.75099586378536</v>
      </c>
      <c r="AH10" s="27">
        <f t="shared" si="6"/>
        <v>139.02065863419776</v>
      </c>
      <c r="AI10" s="27">
        <f t="shared" si="6"/>
        <v>139.193026219692</v>
      </c>
      <c r="AJ10" s="27">
        <f t="shared" si="6"/>
        <v>139.38182622697491</v>
      </c>
      <c r="AK10" s="27">
        <f t="shared" si="6"/>
        <v>139.58083163749211</v>
      </c>
      <c r="AL10" s="27">
        <f t="shared" si="6"/>
        <v>139.79216106672223</v>
      </c>
      <c r="AM10" s="27">
        <f t="shared" si="6"/>
        <v>140.01549409297075</v>
      </c>
      <c r="AN10" s="27">
        <f t="shared" si="6"/>
        <v>140.14745576644822</v>
      </c>
      <c r="AO10" s="27">
        <f t="shared" si="6"/>
        <v>140.28832645422361</v>
      </c>
      <c r="AP10" s="27">
        <f t="shared" si="6"/>
        <v>140.44113174726405</v>
      </c>
      <c r="AQ10" s="27">
        <f t="shared" si="6"/>
        <v>140.60572391526784</v>
      </c>
      <c r="AR10" s="27">
        <f t="shared" si="6"/>
        <v>140.78209954735451</v>
      </c>
      <c r="AS10" s="27">
        <f t="shared" si="6"/>
        <v>140.86211694361444</v>
      </c>
      <c r="AT10" s="27">
        <f t="shared" si="6"/>
        <v>140.91368286545006</v>
      </c>
      <c r="AU10" s="27">
        <f t="shared" si="6"/>
        <v>140.97020886145611</v>
      </c>
      <c r="AV10" s="27">
        <f t="shared" si="6"/>
        <v>141.02991546858686</v>
      </c>
      <c r="AW10" s="27">
        <f t="shared" si="6"/>
        <v>141.09605506808808</v>
      </c>
      <c r="AY10" s="79"/>
    </row>
    <row r="11" spans="1:55" x14ac:dyDescent="0.3">
      <c r="A11" s="95" t="str">
        <f t="shared" si="0"/>
        <v>FS Sheep</v>
      </c>
      <c r="B11" s="95" t="s">
        <v>1004</v>
      </c>
      <c r="C11" s="95" t="s">
        <v>152</v>
      </c>
      <c r="D11" t="s">
        <v>15</v>
      </c>
      <c r="E11" t="s">
        <v>16</v>
      </c>
      <c r="F11" t="s">
        <v>18</v>
      </c>
      <c r="G11" t="s">
        <v>123</v>
      </c>
      <c r="H11" t="s">
        <v>1020</v>
      </c>
      <c r="I11" t="s">
        <v>121</v>
      </c>
      <c r="J11" t="s">
        <v>286</v>
      </c>
      <c r="K11" s="27">
        <f t="shared" ref="K11:Z53" si="7">K1386</f>
        <v>14.369321450610597</v>
      </c>
      <c r="L11" s="27">
        <f t="shared" si="7"/>
        <v>14.377090896995487</v>
      </c>
      <c r="M11" s="27">
        <f t="shared" si="7"/>
        <v>14.395667351818489</v>
      </c>
      <c r="N11" s="27">
        <f t="shared" si="7"/>
        <v>14.423058483363512</v>
      </c>
      <c r="O11" s="27">
        <f t="shared" si="7"/>
        <v>14.459090229360317</v>
      </c>
      <c r="P11" s="27">
        <f t="shared" si="7"/>
        <v>14.503382109482045</v>
      </c>
      <c r="Q11" s="27">
        <f t="shared" si="7"/>
        <v>14.553127936528831</v>
      </c>
      <c r="R11" s="27">
        <f t="shared" si="7"/>
        <v>14.608013647578019</v>
      </c>
      <c r="S11" s="27">
        <f t="shared" si="7"/>
        <v>14.658203608567563</v>
      </c>
      <c r="T11" s="27">
        <f t="shared" si="7"/>
        <v>14.680258292506014</v>
      </c>
      <c r="U11" s="27">
        <f t="shared" si="7"/>
        <v>14.707191799651872</v>
      </c>
      <c r="V11" s="27">
        <f t="shared" si="7"/>
        <v>14.735501017996329</v>
      </c>
      <c r="W11" s="27">
        <f t="shared" si="7"/>
        <v>14.767284159313563</v>
      </c>
      <c r="X11" s="27">
        <f t="shared" si="7"/>
        <v>14.802452293745619</v>
      </c>
      <c r="Y11" s="27">
        <f t="shared" si="7"/>
        <v>14.824415679113581</v>
      </c>
      <c r="Z11" s="27">
        <f t="shared" si="7"/>
        <v>14.849228736936167</v>
      </c>
      <c r="AA11" s="27">
        <f t="shared" si="6"/>
        <v>14.876556187765189</v>
      </c>
      <c r="AB11" s="27">
        <f t="shared" si="6"/>
        <v>14.906473172471083</v>
      </c>
      <c r="AC11" s="27">
        <f t="shared" si="6"/>
        <v>14.938670902800874</v>
      </c>
      <c r="AD11" s="27">
        <f t="shared" si="6"/>
        <v>14.960269632083405</v>
      </c>
      <c r="AE11" s="27">
        <f t="shared" si="6"/>
        <v>14.983717506658669</v>
      </c>
      <c r="AF11" s="27">
        <f t="shared" si="6"/>
        <v>15.009203009035685</v>
      </c>
      <c r="AG11" s="27">
        <f t="shared" si="6"/>
        <v>15.036974918826434</v>
      </c>
      <c r="AH11" s="27">
        <f t="shared" si="6"/>
        <v>15.066199302334384</v>
      </c>
      <c r="AI11" s="27">
        <f t="shared" si="6"/>
        <v>15.084879435358006</v>
      </c>
      <c r="AJ11" s="27">
        <f t="shared" si="6"/>
        <v>15.105340412639743</v>
      </c>
      <c r="AK11" s="27">
        <f t="shared" si="6"/>
        <v>15.126907388415511</v>
      </c>
      <c r="AL11" s="27">
        <f t="shared" si="6"/>
        <v>15.14980996512972</v>
      </c>
      <c r="AM11" s="27">
        <f t="shared" si="6"/>
        <v>15.174013417460552</v>
      </c>
      <c r="AN11" s="27">
        <f t="shared" si="6"/>
        <v>15.188314607603177</v>
      </c>
      <c r="AO11" s="27">
        <f t="shared" si="6"/>
        <v>15.203581301623565</v>
      </c>
      <c r="AP11" s="27">
        <f t="shared" si="6"/>
        <v>15.220141394360979</v>
      </c>
      <c r="AQ11" s="27">
        <f t="shared" si="6"/>
        <v>15.237978875718865</v>
      </c>
      <c r="AR11" s="27">
        <f t="shared" si="6"/>
        <v>15.25709337604709</v>
      </c>
      <c r="AS11" s="27">
        <f t="shared" si="6"/>
        <v>15.265765166639579</v>
      </c>
      <c r="AT11" s="27">
        <f t="shared" si="6"/>
        <v>15.271353562373108</v>
      </c>
      <c r="AU11" s="27">
        <f t="shared" si="6"/>
        <v>15.277479500272968</v>
      </c>
      <c r="AV11" s="27">
        <f t="shared" si="6"/>
        <v>15.283950133138154</v>
      </c>
      <c r="AW11" s="27">
        <f t="shared" si="6"/>
        <v>15.291117933935899</v>
      </c>
      <c r="AY11" s="79"/>
    </row>
    <row r="12" spans="1:55" x14ac:dyDescent="0.3">
      <c r="A12" s="95" t="str">
        <f t="shared" si="0"/>
        <v>FS Goats</v>
      </c>
      <c r="B12" s="95" t="s">
        <v>1004</v>
      </c>
      <c r="C12" s="95" t="s">
        <v>153</v>
      </c>
      <c r="D12" t="s">
        <v>15</v>
      </c>
      <c r="E12" t="s">
        <v>16</v>
      </c>
      <c r="F12" t="s">
        <v>19</v>
      </c>
      <c r="G12" t="s">
        <v>122</v>
      </c>
      <c r="H12" t="s">
        <v>1020</v>
      </c>
      <c r="I12" t="s">
        <v>121</v>
      </c>
      <c r="J12" t="s">
        <v>286</v>
      </c>
      <c r="K12" s="27">
        <f t="shared" si="7"/>
        <v>15.123414197798359</v>
      </c>
      <c r="L12" s="27">
        <f t="shared" si="6"/>
        <v>15.162727774721576</v>
      </c>
      <c r="M12" s="27">
        <f t="shared" si="6"/>
        <v>15.216959464794312</v>
      </c>
      <c r="N12" s="27">
        <f t="shared" si="6"/>
        <v>15.283027985940228</v>
      </c>
      <c r="O12" s="27">
        <f t="shared" si="6"/>
        <v>15.360839106953575</v>
      </c>
      <c r="P12" s="27">
        <f t="shared" si="6"/>
        <v>15.449919228540612</v>
      </c>
      <c r="Q12" s="27">
        <f t="shared" si="6"/>
        <v>15.545788610572222</v>
      </c>
      <c r="R12" s="27">
        <f t="shared" si="6"/>
        <v>15.648067752449878</v>
      </c>
      <c r="S12" s="27">
        <f t="shared" si="6"/>
        <v>15.740823350999253</v>
      </c>
      <c r="T12" s="27">
        <f t="shared" si="6"/>
        <v>15.786130826260475</v>
      </c>
      <c r="U12" s="27">
        <f t="shared" si="6"/>
        <v>15.838063303157622</v>
      </c>
      <c r="V12" s="27">
        <f t="shared" si="6"/>
        <v>15.891000771686212</v>
      </c>
      <c r="W12" s="27">
        <f t="shared" si="6"/>
        <v>15.94841543311963</v>
      </c>
      <c r="X12" s="27">
        <f t="shared" si="6"/>
        <v>16.010212398342233</v>
      </c>
      <c r="Y12" s="27">
        <f t="shared" si="6"/>
        <v>16.04975975411061</v>
      </c>
      <c r="Z12" s="27">
        <f t="shared" si="6"/>
        <v>16.093026754767141</v>
      </c>
      <c r="AA12" s="27">
        <f t="shared" si="6"/>
        <v>16.139507339626743</v>
      </c>
      <c r="AB12" s="27">
        <f t="shared" si="6"/>
        <v>16.189350761403606</v>
      </c>
      <c r="AC12" s="27">
        <f t="shared" si="6"/>
        <v>16.242088999774211</v>
      </c>
      <c r="AD12" s="27">
        <f t="shared" si="6"/>
        <v>16.277259419124743</v>
      </c>
      <c r="AE12" s="27">
        <f t="shared" si="6"/>
        <v>16.31476657866423</v>
      </c>
      <c r="AF12" s="27">
        <f t="shared" si="6"/>
        <v>16.354927956284293</v>
      </c>
      <c r="AG12" s="27">
        <f t="shared" si="6"/>
        <v>16.39815145947275</v>
      </c>
      <c r="AH12" s="27">
        <f t="shared" si="6"/>
        <v>16.443131260504089</v>
      </c>
      <c r="AI12" s="27">
        <f t="shared" si="6"/>
        <v>16.470988408557865</v>
      </c>
      <c r="AJ12" s="27">
        <f t="shared" si="6"/>
        <v>16.501218486314869</v>
      </c>
      <c r="AK12" s="27">
        <f t="shared" si="6"/>
        <v>16.532770131598127</v>
      </c>
      <c r="AL12" s="27">
        <f t="shared" si="6"/>
        <v>16.566015013383382</v>
      </c>
      <c r="AM12" s="27">
        <f t="shared" si="6"/>
        <v>16.600907614824543</v>
      </c>
      <c r="AN12" s="27">
        <f t="shared" si="6"/>
        <v>16.619970797900123</v>
      </c>
      <c r="AO12" s="27">
        <f t="shared" si="6"/>
        <v>16.64023491177819</v>
      </c>
      <c r="AP12" s="27">
        <f t="shared" si="6"/>
        <v>16.662217242949243</v>
      </c>
      <c r="AQ12" s="27">
        <f t="shared" si="6"/>
        <v>16.685896797291566</v>
      </c>
      <c r="AR12" s="27">
        <f t="shared" si="6"/>
        <v>16.711276306511749</v>
      </c>
      <c r="AS12" s="27">
        <f t="shared" si="6"/>
        <v>16.720221808869553</v>
      </c>
      <c r="AT12" s="27">
        <f t="shared" si="6"/>
        <v>16.72419450850062</v>
      </c>
      <c r="AU12" s="27">
        <f t="shared" si="6"/>
        <v>16.728812799261537</v>
      </c>
      <c r="AV12" s="27">
        <f t="shared" si="6"/>
        <v>16.733784752247175</v>
      </c>
      <c r="AW12" s="27">
        <f t="shared" si="6"/>
        <v>16.739658320998576</v>
      </c>
      <c r="AY12" s="79"/>
    </row>
    <row r="13" spans="1:55" x14ac:dyDescent="0.3">
      <c r="A13" s="95" t="str">
        <f t="shared" si="0"/>
        <v>FS Goats</v>
      </c>
      <c r="B13" s="95" t="s">
        <v>1004</v>
      </c>
      <c r="C13" s="95" t="s">
        <v>153</v>
      </c>
      <c r="D13" t="s">
        <v>15</v>
      </c>
      <c r="E13" t="s">
        <v>16</v>
      </c>
      <c r="F13" t="s">
        <v>19</v>
      </c>
      <c r="G13" t="s">
        <v>123</v>
      </c>
      <c r="H13" t="s">
        <v>1020</v>
      </c>
      <c r="I13" t="s">
        <v>121</v>
      </c>
      <c r="J13" t="s">
        <v>286</v>
      </c>
      <c r="K13" s="27">
        <f t="shared" si="7"/>
        <v>22.381101687842744</v>
      </c>
      <c r="L13" s="27">
        <f t="shared" si="6"/>
        <v>22.439281748993185</v>
      </c>
      <c r="M13" s="27">
        <f t="shared" si="6"/>
        <v>22.519539087339325</v>
      </c>
      <c r="N13" s="27">
        <f t="shared" si="6"/>
        <v>22.617313721478975</v>
      </c>
      <c r="O13" s="27">
        <f t="shared" si="6"/>
        <v>22.73246619889365</v>
      </c>
      <c r="P13" s="27">
        <f t="shared" si="6"/>
        <v>22.864295641209328</v>
      </c>
      <c r="Q13" s="27">
        <f t="shared" si="6"/>
        <v>23.006172492556328</v>
      </c>
      <c r="R13" s="27">
        <f t="shared" si="6"/>
        <v>23.157535130977113</v>
      </c>
      <c r="S13" s="27">
        <f t="shared" si="6"/>
        <v>23.294803902175122</v>
      </c>
      <c r="T13" s="27">
        <f t="shared" si="6"/>
        <v>23.361854318025564</v>
      </c>
      <c r="U13" s="27">
        <f t="shared" si="6"/>
        <v>23.438709056719805</v>
      </c>
      <c r="V13" s="27">
        <f t="shared" si="6"/>
        <v>23.517051079938867</v>
      </c>
      <c r="W13" s="27">
        <f t="shared" si="6"/>
        <v>23.602018889396962</v>
      </c>
      <c r="X13" s="27">
        <f t="shared" si="6"/>
        <v>23.693472058936443</v>
      </c>
      <c r="Y13" s="27">
        <f t="shared" si="6"/>
        <v>23.75199808879723</v>
      </c>
      <c r="Z13" s="27">
        <f t="shared" si="6"/>
        <v>23.816028811539901</v>
      </c>
      <c r="AA13" s="27">
        <f t="shared" si="6"/>
        <v>23.884815309261068</v>
      </c>
      <c r="AB13" s="27">
        <f t="shared" si="6"/>
        <v>23.958578460667738</v>
      </c>
      <c r="AC13" s="27">
        <f t="shared" si="6"/>
        <v>24.036625643689554</v>
      </c>
      <c r="AD13" s="27">
        <f t="shared" si="6"/>
        <v>24.088674256627954</v>
      </c>
      <c r="AE13" s="27">
        <f t="shared" si="6"/>
        <v>24.144181005348596</v>
      </c>
      <c r="AF13" s="27">
        <f t="shared" si="6"/>
        <v>24.20361572456493</v>
      </c>
      <c r="AG13" s="27">
        <f t="shared" si="6"/>
        <v>24.267582075516717</v>
      </c>
      <c r="AH13" s="27">
        <f t="shared" si="6"/>
        <v>24.334147567119</v>
      </c>
      <c r="AI13" s="27">
        <f t="shared" si="6"/>
        <v>24.375373288716684</v>
      </c>
      <c r="AJ13" s="27">
        <f t="shared" si="6"/>
        <v>24.420110702865486</v>
      </c>
      <c r="AK13" s="27">
        <f t="shared" si="6"/>
        <v>24.466803901389813</v>
      </c>
      <c r="AL13" s="27">
        <f t="shared" si="6"/>
        <v>24.516002916248802</v>
      </c>
      <c r="AM13" s="27">
        <f t="shared" si="6"/>
        <v>24.567640387179249</v>
      </c>
      <c r="AN13" s="27">
        <f t="shared" si="6"/>
        <v>24.595851942673818</v>
      </c>
      <c r="AO13" s="27">
        <f t="shared" si="6"/>
        <v>24.625840752567356</v>
      </c>
      <c r="AP13" s="27">
        <f t="shared" si="6"/>
        <v>24.658372347803756</v>
      </c>
      <c r="AQ13" s="27">
        <f t="shared" si="6"/>
        <v>24.693415659236397</v>
      </c>
      <c r="AR13" s="27">
        <f t="shared" si="6"/>
        <v>24.730974729510827</v>
      </c>
      <c r="AS13" s="27">
        <f t="shared" si="6"/>
        <v>24.744213155391417</v>
      </c>
      <c r="AT13" s="27">
        <f t="shared" si="6"/>
        <v>24.750092343335041</v>
      </c>
      <c r="AU13" s="27">
        <f t="shared" si="6"/>
        <v>24.756926939927592</v>
      </c>
      <c r="AV13" s="27">
        <f t="shared" si="6"/>
        <v>24.764284920334894</v>
      </c>
      <c r="AW13" s="27">
        <f t="shared" si="6"/>
        <v>24.772977199589842</v>
      </c>
      <c r="AY13" s="79"/>
    </row>
    <row r="14" spans="1:55" x14ac:dyDescent="0.3">
      <c r="A14" s="95" t="str">
        <f t="shared" si="0"/>
        <v>FS Horses</v>
      </c>
      <c r="B14" s="95" t="s">
        <v>1004</v>
      </c>
      <c r="C14" s="95" t="s">
        <v>3</v>
      </c>
      <c r="D14" t="s">
        <v>15</v>
      </c>
      <c r="E14" t="s">
        <v>16</v>
      </c>
      <c r="F14" t="s">
        <v>20</v>
      </c>
      <c r="G14" t="s">
        <v>3</v>
      </c>
      <c r="H14" t="s">
        <v>1020</v>
      </c>
      <c r="I14" t="s">
        <v>121</v>
      </c>
      <c r="J14" t="s">
        <v>286</v>
      </c>
      <c r="K14" s="27">
        <f t="shared" si="7"/>
        <v>5.5526214800767901</v>
      </c>
      <c r="L14" s="27">
        <f t="shared" si="6"/>
        <v>5.5795235710196511</v>
      </c>
      <c r="M14" s="27">
        <f t="shared" si="6"/>
        <v>5.6203482259438022</v>
      </c>
      <c r="N14" s="27">
        <f t="shared" si="6"/>
        <v>5.629075655008374</v>
      </c>
      <c r="O14" s="27">
        <f t="shared" si="6"/>
        <v>5.6165815405282276</v>
      </c>
      <c r="P14" s="27">
        <f t="shared" si="6"/>
        <v>5.5833231296706103</v>
      </c>
      <c r="Q14" s="27">
        <f t="shared" si="6"/>
        <v>5.5648827699457346</v>
      </c>
      <c r="R14" s="27">
        <f t="shared" si="6"/>
        <v>5.5483103177944013</v>
      </c>
      <c r="S14" s="27">
        <f t="shared" si="6"/>
        <v>5.2311192904529218</v>
      </c>
      <c r="T14" s="27">
        <f t="shared" si="6"/>
        <v>5.2959023096135693</v>
      </c>
      <c r="U14" s="27">
        <f t="shared" si="6"/>
        <v>5.3988006154965325</v>
      </c>
      <c r="V14" s="27">
        <f t="shared" si="6"/>
        <v>5.4367829372956962</v>
      </c>
      <c r="W14" s="27">
        <f t="shared" si="6"/>
        <v>5.4819188324690939</v>
      </c>
      <c r="X14" s="27">
        <f t="shared" si="6"/>
        <v>5.5365687700280883</v>
      </c>
      <c r="Y14" s="27">
        <f t="shared" si="6"/>
        <v>5.601958980764981</v>
      </c>
      <c r="Z14" s="27">
        <f t="shared" si="6"/>
        <v>5.6746319691397513</v>
      </c>
      <c r="AA14" s="27">
        <f t="shared" si="6"/>
        <v>5.7481685306176677</v>
      </c>
      <c r="AB14" s="27">
        <f t="shared" si="6"/>
        <v>5.8282774259733703</v>
      </c>
      <c r="AC14" s="27">
        <f t="shared" si="6"/>
        <v>5.9086647601730373</v>
      </c>
      <c r="AD14" s="27">
        <f t="shared" si="6"/>
        <v>6.0051030471917946</v>
      </c>
      <c r="AE14" s="27">
        <f t="shared" si="6"/>
        <v>6.0980124130473197</v>
      </c>
      <c r="AF14" s="27">
        <f t="shared" si="6"/>
        <v>6.195439489414623</v>
      </c>
      <c r="AG14" s="27">
        <f t="shared" si="6"/>
        <v>6.3068676222722697</v>
      </c>
      <c r="AH14" s="27">
        <f t="shared" si="6"/>
        <v>6.4095401663804648</v>
      </c>
      <c r="AI14" s="27">
        <f t="shared" si="6"/>
        <v>6.5228948238532292</v>
      </c>
      <c r="AJ14" s="27">
        <f t="shared" si="6"/>
        <v>6.6437484965413081</v>
      </c>
      <c r="AK14" s="27">
        <f t="shared" si="6"/>
        <v>6.7539654911689828</v>
      </c>
      <c r="AL14" s="27">
        <f t="shared" si="6"/>
        <v>6.8618111039503944</v>
      </c>
      <c r="AM14" s="27">
        <f t="shared" si="6"/>
        <v>6.9676727679478478</v>
      </c>
      <c r="AN14" s="27">
        <f t="shared" si="6"/>
        <v>7.0885986695240639</v>
      </c>
      <c r="AO14" s="27">
        <f t="shared" si="6"/>
        <v>7.202615789032512</v>
      </c>
      <c r="AP14" s="27">
        <f t="shared" si="6"/>
        <v>7.3203542233012309</v>
      </c>
      <c r="AQ14" s="27">
        <f t="shared" si="6"/>
        <v>7.4423988374450394</v>
      </c>
      <c r="AR14" s="27">
        <f t="shared" si="6"/>
        <v>7.5697005662835739</v>
      </c>
      <c r="AS14" s="27">
        <f t="shared" si="6"/>
        <v>7.7079925213190776</v>
      </c>
      <c r="AT14" s="27">
        <f t="shared" si="6"/>
        <v>7.7309775584942866</v>
      </c>
      <c r="AU14" s="27">
        <f t="shared" si="6"/>
        <v>7.7430605044202654</v>
      </c>
      <c r="AV14" s="27">
        <f t="shared" si="6"/>
        <v>7.7396666487885506</v>
      </c>
      <c r="AW14" s="27">
        <f t="shared" si="6"/>
        <v>7.7316472006042485</v>
      </c>
      <c r="AY14" s="79"/>
    </row>
    <row r="15" spans="1:55" x14ac:dyDescent="0.3">
      <c r="A15" s="95" t="str">
        <f t="shared" si="0"/>
        <v>FS Mules&amp;Asses</v>
      </c>
      <c r="B15" s="95" t="s">
        <v>1004</v>
      </c>
      <c r="C15" s="95" t="s">
        <v>1323</v>
      </c>
      <c r="D15" t="s">
        <v>15</v>
      </c>
      <c r="E15" t="s">
        <v>16</v>
      </c>
      <c r="F15" t="s">
        <v>140</v>
      </c>
      <c r="G15" t="s">
        <v>124</v>
      </c>
      <c r="H15" t="s">
        <v>1020</v>
      </c>
      <c r="I15" t="s">
        <v>121</v>
      </c>
      <c r="J15" t="s">
        <v>286</v>
      </c>
      <c r="K15" s="27">
        <f t="shared" si="7"/>
        <v>1.67</v>
      </c>
      <c r="L15" s="27">
        <f t="shared" si="6"/>
        <v>1.67</v>
      </c>
      <c r="M15" s="27">
        <f t="shared" si="6"/>
        <v>1.67</v>
      </c>
      <c r="N15" s="27">
        <f t="shared" si="6"/>
        <v>1.67</v>
      </c>
      <c r="O15" s="27">
        <f t="shared" si="6"/>
        <v>1.67</v>
      </c>
      <c r="P15" s="27">
        <f t="shared" si="6"/>
        <v>1.67</v>
      </c>
      <c r="Q15" s="27">
        <f t="shared" si="6"/>
        <v>1.67</v>
      </c>
      <c r="R15" s="27">
        <f t="shared" si="6"/>
        <v>1.67</v>
      </c>
      <c r="S15" s="27">
        <f t="shared" si="6"/>
        <v>1.67</v>
      </c>
      <c r="T15" s="27">
        <f t="shared" si="6"/>
        <v>1.67</v>
      </c>
      <c r="U15" s="27">
        <f t="shared" si="6"/>
        <v>1.67</v>
      </c>
      <c r="V15" s="27">
        <f t="shared" si="6"/>
        <v>1.67</v>
      </c>
      <c r="W15" s="27">
        <f t="shared" si="6"/>
        <v>1.67</v>
      </c>
      <c r="X15" s="27">
        <f t="shared" si="6"/>
        <v>1.67</v>
      </c>
      <c r="Y15" s="27">
        <f t="shared" si="6"/>
        <v>1.67</v>
      </c>
      <c r="Z15" s="27">
        <f t="shared" si="6"/>
        <v>1.67</v>
      </c>
      <c r="AA15" s="27">
        <f t="shared" si="6"/>
        <v>1.67</v>
      </c>
      <c r="AB15" s="27">
        <f t="shared" si="6"/>
        <v>1.67</v>
      </c>
      <c r="AC15" s="27">
        <f t="shared" si="6"/>
        <v>1.67</v>
      </c>
      <c r="AD15" s="27">
        <f t="shared" si="6"/>
        <v>1.67</v>
      </c>
      <c r="AE15" s="27">
        <f t="shared" si="6"/>
        <v>1.67</v>
      </c>
      <c r="AF15" s="27">
        <f t="shared" si="6"/>
        <v>1.67</v>
      </c>
      <c r="AG15" s="27">
        <f t="shared" si="6"/>
        <v>1.67</v>
      </c>
      <c r="AH15" s="27">
        <f t="shared" si="6"/>
        <v>1.67</v>
      </c>
      <c r="AI15" s="27">
        <f t="shared" si="6"/>
        <v>1.67</v>
      </c>
      <c r="AJ15" s="27">
        <f t="shared" si="6"/>
        <v>1.67</v>
      </c>
      <c r="AK15" s="27">
        <f t="shared" si="6"/>
        <v>1.67</v>
      </c>
      <c r="AL15" s="27">
        <f t="shared" si="6"/>
        <v>1.67</v>
      </c>
      <c r="AM15" s="27">
        <f t="shared" si="6"/>
        <v>1.67</v>
      </c>
      <c r="AN15" s="27">
        <f t="shared" si="6"/>
        <v>1.67</v>
      </c>
      <c r="AO15" s="27">
        <f t="shared" si="6"/>
        <v>1.67</v>
      </c>
      <c r="AP15" s="27">
        <f t="shared" si="6"/>
        <v>1.67</v>
      </c>
      <c r="AQ15" s="27">
        <f t="shared" si="6"/>
        <v>1.67</v>
      </c>
      <c r="AR15" s="27">
        <f t="shared" si="6"/>
        <v>1.67</v>
      </c>
      <c r="AS15" s="27">
        <f t="shared" si="6"/>
        <v>1.67</v>
      </c>
      <c r="AT15" s="27">
        <f t="shared" si="6"/>
        <v>1.67</v>
      </c>
      <c r="AU15" s="27">
        <f t="shared" si="6"/>
        <v>1.67</v>
      </c>
      <c r="AV15" s="27">
        <f t="shared" si="6"/>
        <v>1.67</v>
      </c>
      <c r="AW15" s="27">
        <f t="shared" si="6"/>
        <v>1.67</v>
      </c>
      <c r="AY15" s="79"/>
    </row>
    <row r="16" spans="1:55" x14ac:dyDescent="0.3">
      <c r="A16" s="95" t="str">
        <f t="shared" si="0"/>
        <v>FS Swine</v>
      </c>
      <c r="B16" s="95" t="s">
        <v>1004</v>
      </c>
      <c r="C16" s="95" t="s">
        <v>155</v>
      </c>
      <c r="D16" t="s">
        <v>15</v>
      </c>
      <c r="E16" t="s">
        <v>16</v>
      </c>
      <c r="F16" t="s">
        <v>21</v>
      </c>
      <c r="G16" t="s">
        <v>122</v>
      </c>
      <c r="H16" t="s">
        <v>1020</v>
      </c>
      <c r="I16" t="s">
        <v>121</v>
      </c>
      <c r="J16" t="s">
        <v>286</v>
      </c>
      <c r="K16" s="27">
        <f t="shared" si="7"/>
        <v>1.8400999552016302</v>
      </c>
      <c r="L16" s="27">
        <f t="shared" si="6"/>
        <v>1.8300977880312246</v>
      </c>
      <c r="M16" s="27">
        <f t="shared" si="6"/>
        <v>1.8309187348828151</v>
      </c>
      <c r="N16" s="27">
        <f t="shared" si="6"/>
        <v>1.8141094978660448</v>
      </c>
      <c r="O16" s="27">
        <f t="shared" si="6"/>
        <v>1.7866561368117295</v>
      </c>
      <c r="P16" s="27">
        <f t="shared" si="6"/>
        <v>1.7489975228040078</v>
      </c>
      <c r="Q16" s="27">
        <f t="shared" si="6"/>
        <v>1.721653192801009</v>
      </c>
      <c r="R16" s="27">
        <f t="shared" si="6"/>
        <v>1.6967284692901872</v>
      </c>
      <c r="S16" s="27">
        <f t="shared" si="6"/>
        <v>1.4981262376638635</v>
      </c>
      <c r="T16" s="27">
        <f t="shared" si="6"/>
        <v>1.5170710584409277</v>
      </c>
      <c r="U16" s="27">
        <f t="shared" si="6"/>
        <v>1.5577229248664515</v>
      </c>
      <c r="V16" s="27">
        <f t="shared" si="6"/>
        <v>1.561413903145964</v>
      </c>
      <c r="W16" s="27">
        <f t="shared" si="6"/>
        <v>1.5694069216965754</v>
      </c>
      <c r="X16" s="27">
        <f t="shared" si="6"/>
        <v>1.5828459974443794</v>
      </c>
      <c r="Y16" s="27">
        <f t="shared" si="6"/>
        <v>1.5997093513071265</v>
      </c>
      <c r="Z16" s="27">
        <f t="shared" si="6"/>
        <v>1.6203739618637112</v>
      </c>
      <c r="AA16" s="27">
        <f t="shared" si="6"/>
        <v>1.6412802243411935</v>
      </c>
      <c r="AB16" s="27">
        <f t="shared" si="6"/>
        <v>1.6654174874794287</v>
      </c>
      <c r="AC16" s="27">
        <f t="shared" si="6"/>
        <v>1.6893881557889758</v>
      </c>
      <c r="AD16" s="27">
        <f t="shared" si="6"/>
        <v>1.7191899551215701</v>
      </c>
      <c r="AE16" s="27">
        <f t="shared" si="6"/>
        <v>1.7466246880722003</v>
      </c>
      <c r="AF16" s="27">
        <f t="shared" si="6"/>
        <v>1.7758174373307805</v>
      </c>
      <c r="AG16" s="27">
        <f t="shared" si="6"/>
        <v>1.8114287830343814</v>
      </c>
      <c r="AH16" s="27">
        <f t="shared" si="6"/>
        <v>1.8420072235043694</v>
      </c>
      <c r="AI16" s="27">
        <f t="shared" si="6"/>
        <v>1.8750119445784728</v>
      </c>
      <c r="AJ16" s="27">
        <f t="shared" si="6"/>
        <v>1.9108329767517882</v>
      </c>
      <c r="AK16" s="27">
        <f t="shared" si="6"/>
        <v>1.940715836653381</v>
      </c>
      <c r="AL16" s="27">
        <f t="shared" si="6"/>
        <v>1.9687395447209077</v>
      </c>
      <c r="AM16" s="27">
        <f t="shared" si="6"/>
        <v>1.9951301179393999</v>
      </c>
      <c r="AN16" s="27">
        <f t="shared" si="6"/>
        <v>2.0256022791934827</v>
      </c>
      <c r="AO16" s="27">
        <f t="shared" si="6"/>
        <v>2.0520329509348483</v>
      </c>
      <c r="AP16" s="27">
        <f t="shared" si="6"/>
        <v>2.0793161183803317</v>
      </c>
      <c r="AQ16" s="27">
        <f t="shared" si="6"/>
        <v>2.1076575721978217</v>
      </c>
      <c r="AR16" s="27">
        <f t="shared" si="6"/>
        <v>2.1374119347182106</v>
      </c>
      <c r="AS16" s="27">
        <f t="shared" si="6"/>
        <v>2.1686559884141765</v>
      </c>
      <c r="AT16" s="27">
        <f t="shared" si="6"/>
        <v>2.149643552660391</v>
      </c>
      <c r="AU16" s="27">
        <f t="shared" si="6"/>
        <v>2.1262374260968961</v>
      </c>
      <c r="AV16" s="27">
        <f t="shared" si="6"/>
        <v>2.0967029621040374</v>
      </c>
      <c r="AW16" s="27">
        <f t="shared" si="6"/>
        <v>2.0657200323386067</v>
      </c>
      <c r="AY16" s="79"/>
    </row>
    <row r="17" spans="1:51" x14ac:dyDescent="0.3">
      <c r="A17" s="95" t="str">
        <f t="shared" si="0"/>
        <v>FS Swine</v>
      </c>
      <c r="B17" s="95" t="s">
        <v>1004</v>
      </c>
      <c r="C17" s="95" t="s">
        <v>155</v>
      </c>
      <c r="D17" t="s">
        <v>15</v>
      </c>
      <c r="E17" t="s">
        <v>16</v>
      </c>
      <c r="F17" t="s">
        <v>21</v>
      </c>
      <c r="G17" t="s">
        <v>123</v>
      </c>
      <c r="H17" t="s">
        <v>1020</v>
      </c>
      <c r="I17" t="s">
        <v>121</v>
      </c>
      <c r="J17" t="s">
        <v>286</v>
      </c>
      <c r="K17" s="27">
        <f t="shared" si="7"/>
        <v>0.25496723934882604</v>
      </c>
      <c r="L17" s="27">
        <f t="shared" si="6"/>
        <v>0.25358132281546886</v>
      </c>
      <c r="M17" s="27">
        <f t="shared" si="6"/>
        <v>0.25369507454499335</v>
      </c>
      <c r="N17" s="27">
        <f t="shared" si="6"/>
        <v>0.25136595935447842</v>
      </c>
      <c r="O17" s="27">
        <f t="shared" si="6"/>
        <v>0.247561977044127</v>
      </c>
      <c r="P17" s="27">
        <f t="shared" ref="L17:AW23" si="8">P1392</f>
        <v>0.24234393830437836</v>
      </c>
      <c r="Q17" s="27">
        <f t="shared" si="8"/>
        <v>0.23855506351363695</v>
      </c>
      <c r="R17" s="27">
        <f t="shared" si="8"/>
        <v>0.23510145332951485</v>
      </c>
      <c r="S17" s="27">
        <f t="shared" si="8"/>
        <v>0.2075828054521873</v>
      </c>
      <c r="T17" s="27">
        <f t="shared" si="8"/>
        <v>0.21020783059814849</v>
      </c>
      <c r="U17" s="27">
        <f t="shared" si="8"/>
        <v>0.21584061925595663</v>
      </c>
      <c r="V17" s="27">
        <f t="shared" si="8"/>
        <v>0.21635204720298934</v>
      </c>
      <c r="W17" s="27">
        <f t="shared" si="8"/>
        <v>0.21745957283938341</v>
      </c>
      <c r="X17" s="27">
        <f t="shared" si="8"/>
        <v>0.21932171300906883</v>
      </c>
      <c r="Y17" s="27">
        <f t="shared" si="8"/>
        <v>0.22165832671768446</v>
      </c>
      <c r="Z17" s="27">
        <f t="shared" si="8"/>
        <v>0.22452164872958766</v>
      </c>
      <c r="AA17" s="27">
        <f t="shared" si="8"/>
        <v>0.22741845442425518</v>
      </c>
      <c r="AB17" s="27">
        <f t="shared" si="8"/>
        <v>0.23076295281978809</v>
      </c>
      <c r="AC17" s="27">
        <f t="shared" si="8"/>
        <v>0.23408436756519632</v>
      </c>
      <c r="AD17" s="27">
        <f t="shared" si="8"/>
        <v>0.23821375329882435</v>
      </c>
      <c r="AE17" s="27">
        <f t="shared" si="8"/>
        <v>0.24201515446886457</v>
      </c>
      <c r="AF17" s="27">
        <f t="shared" si="8"/>
        <v>0.24606014923473155</v>
      </c>
      <c r="AG17" s="27">
        <f t="shared" si="8"/>
        <v>0.2509945151521249</v>
      </c>
      <c r="AH17" s="27">
        <f t="shared" si="8"/>
        <v>0.25523151354353607</v>
      </c>
      <c r="AI17" s="27">
        <f t="shared" si="8"/>
        <v>0.25980470131736011</v>
      </c>
      <c r="AJ17" s="27">
        <f t="shared" si="8"/>
        <v>0.26476812173266839</v>
      </c>
      <c r="AK17" s="27">
        <f t="shared" si="8"/>
        <v>0.26890873935043363</v>
      </c>
      <c r="AL17" s="27">
        <f t="shared" si="8"/>
        <v>0.27279174986956156</v>
      </c>
      <c r="AM17" s="27">
        <f t="shared" si="8"/>
        <v>0.27644847057070121</v>
      </c>
      <c r="AN17" s="27">
        <f t="shared" si="8"/>
        <v>0.28067074274128789</v>
      </c>
      <c r="AO17" s="27">
        <f t="shared" si="8"/>
        <v>0.28433301955890389</v>
      </c>
      <c r="AP17" s="27">
        <f t="shared" si="8"/>
        <v>0.28811341956630698</v>
      </c>
      <c r="AQ17" s="27">
        <f t="shared" si="8"/>
        <v>0.29204045745278195</v>
      </c>
      <c r="AR17" s="27">
        <f t="shared" si="8"/>
        <v>0.29616327026464162</v>
      </c>
      <c r="AS17" s="27">
        <f t="shared" si="8"/>
        <v>0.30049249710604664</v>
      </c>
      <c r="AT17" s="27">
        <f t="shared" si="8"/>
        <v>0.2978581031190588</v>
      </c>
      <c r="AU17" s="27">
        <f t="shared" si="8"/>
        <v>0.29461491219517799</v>
      </c>
      <c r="AV17" s="27">
        <f t="shared" si="8"/>
        <v>0.2905225688805555</v>
      </c>
      <c r="AW17" s="27">
        <f t="shared" si="8"/>
        <v>0.28622952379520583</v>
      </c>
      <c r="AY17" s="79"/>
    </row>
    <row r="18" spans="1:51" x14ac:dyDescent="0.3">
      <c r="A18" s="95" t="str">
        <f t="shared" si="0"/>
        <v>FS Cattle MMCH4</v>
      </c>
      <c r="B18" s="95" t="s">
        <v>1004</v>
      </c>
      <c r="C18" s="95" t="s">
        <v>1229</v>
      </c>
      <c r="D18" t="s">
        <v>15</v>
      </c>
      <c r="E18" t="s">
        <v>22</v>
      </c>
      <c r="F18" t="s">
        <v>6</v>
      </c>
      <c r="G18" t="s">
        <v>136</v>
      </c>
      <c r="H18" t="s">
        <v>1227</v>
      </c>
      <c r="I18" t="s">
        <v>121</v>
      </c>
      <c r="J18" t="s">
        <v>286</v>
      </c>
      <c r="K18" s="27">
        <f t="shared" si="7"/>
        <v>7.351330651107908</v>
      </c>
      <c r="L18" s="27">
        <f t="shared" si="8"/>
        <v>7.392428348789597</v>
      </c>
      <c r="M18" s="27">
        <f t="shared" si="8"/>
        <v>7.4507389435191715</v>
      </c>
      <c r="N18" s="27">
        <f t="shared" si="8"/>
        <v>7.4882097119910753</v>
      </c>
      <c r="O18" s="27">
        <f t="shared" si="8"/>
        <v>7.5131092090175429</v>
      </c>
      <c r="P18" s="27">
        <f t="shared" si="8"/>
        <v>7.5251923679492405</v>
      </c>
      <c r="Q18" s="27">
        <f t="shared" si="8"/>
        <v>7.5518885629203734</v>
      </c>
      <c r="R18" s="27">
        <f t="shared" si="8"/>
        <v>7.5825135825669046</v>
      </c>
      <c r="S18" s="27">
        <f t="shared" si="8"/>
        <v>7.3545862604907306</v>
      </c>
      <c r="T18" s="27">
        <f t="shared" si="8"/>
        <v>7.4319206101094348</v>
      </c>
      <c r="U18" s="27">
        <f t="shared" si="8"/>
        <v>7.5451176350008202</v>
      </c>
      <c r="V18" s="27">
        <f t="shared" si="8"/>
        <v>7.6037903760515064</v>
      </c>
      <c r="W18" s="27">
        <f t="shared" si="8"/>
        <v>7.6708455087945229</v>
      </c>
      <c r="X18" s="27">
        <f t="shared" si="8"/>
        <v>7.748454799455617</v>
      </c>
      <c r="Y18" s="27">
        <f t="shared" si="8"/>
        <v>7.8277085285324004</v>
      </c>
      <c r="Z18" s="27">
        <f t="shared" si="8"/>
        <v>7.9154321855609755</v>
      </c>
      <c r="AA18" s="27">
        <f t="shared" si="8"/>
        <v>8.0058732816474745</v>
      </c>
      <c r="AB18" s="27">
        <f t="shared" si="8"/>
        <v>8.10422418278708</v>
      </c>
      <c r="AC18" s="27">
        <f t="shared" si="8"/>
        <v>8.2047936963570631</v>
      </c>
      <c r="AD18" s="27">
        <f t="shared" si="8"/>
        <v>8.3134419507553705</v>
      </c>
      <c r="AE18" s="27">
        <f t="shared" si="8"/>
        <v>8.4206197210713736</v>
      </c>
      <c r="AF18" s="27">
        <f t="shared" si="8"/>
        <v>8.5337450585207524</v>
      </c>
      <c r="AG18" s="27">
        <f t="shared" si="8"/>
        <v>8.6617085162438627</v>
      </c>
      <c r="AH18" s="27">
        <f t="shared" si="8"/>
        <v>8.7833723342601697</v>
      </c>
      <c r="AI18" s="27">
        <f t="shared" si="8"/>
        <v>8.9081379352092647</v>
      </c>
      <c r="AJ18" s="27">
        <f t="shared" si="8"/>
        <v>9.0415690981618067</v>
      </c>
      <c r="AK18" s="27">
        <f t="shared" si="8"/>
        <v>9.1665780174046034</v>
      </c>
      <c r="AL18" s="27">
        <f t="shared" si="8"/>
        <v>9.290908547616274</v>
      </c>
      <c r="AM18" s="27">
        <f t="shared" si="8"/>
        <v>9.414906513410104</v>
      </c>
      <c r="AN18" s="27">
        <f t="shared" si="8"/>
        <v>9.5460926435688069</v>
      </c>
      <c r="AO18" s="27">
        <f t="shared" si="8"/>
        <v>9.6720022033758184</v>
      </c>
      <c r="AP18" s="27">
        <f t="shared" si="8"/>
        <v>9.8028010066851721</v>
      </c>
      <c r="AQ18" s="27">
        <f t="shared" si="8"/>
        <v>9.939085602989195</v>
      </c>
      <c r="AR18" s="27">
        <f t="shared" si="8"/>
        <v>10.081815307121353</v>
      </c>
      <c r="AS18" s="27">
        <f t="shared" si="8"/>
        <v>10.227069711733948</v>
      </c>
      <c r="AT18" s="27">
        <f t="shared" si="8"/>
        <v>10.261508370245586</v>
      </c>
      <c r="AU18" s="27">
        <f t="shared" si="8"/>
        <v>10.28601825816002</v>
      </c>
      <c r="AV18" s="27">
        <f t="shared" si="8"/>
        <v>10.296060407046117</v>
      </c>
      <c r="AW18" s="27">
        <f t="shared" si="8"/>
        <v>10.302124127636974</v>
      </c>
      <c r="AY18" s="79"/>
    </row>
    <row r="19" spans="1:51" x14ac:dyDescent="0.3">
      <c r="A19" s="95" t="str">
        <f t="shared" si="0"/>
        <v>FS Cattle MMCH4</v>
      </c>
      <c r="B19" s="95" t="s">
        <v>1004</v>
      </c>
      <c r="C19" s="95" t="s">
        <v>1229</v>
      </c>
      <c r="D19" t="s">
        <v>15</v>
      </c>
      <c r="E19" t="s">
        <v>22</v>
      </c>
      <c r="F19" t="s">
        <v>6</v>
      </c>
      <c r="G19" t="s">
        <v>137</v>
      </c>
      <c r="H19" t="s">
        <v>1227</v>
      </c>
      <c r="I19" t="s">
        <v>121</v>
      </c>
      <c r="J19" t="s">
        <v>286</v>
      </c>
      <c r="K19" s="27">
        <f t="shared" si="7"/>
        <v>2.0944490884992821</v>
      </c>
      <c r="L19" s="27">
        <f t="shared" si="8"/>
        <v>2.1061581299686467</v>
      </c>
      <c r="M19" s="27">
        <f t="shared" si="8"/>
        <v>2.1227712545548472</v>
      </c>
      <c r="N19" s="27">
        <f t="shared" si="8"/>
        <v>2.1334469567638776</v>
      </c>
      <c r="O19" s="27">
        <f t="shared" si="8"/>
        <v>2.1405410097083357</v>
      </c>
      <c r="P19" s="27">
        <f t="shared" si="8"/>
        <v>2.143983592066792</v>
      </c>
      <c r="Q19" s="27">
        <f t="shared" si="8"/>
        <v>2.151589537694508</v>
      </c>
      <c r="R19" s="27">
        <f t="shared" si="8"/>
        <v>2.1603148348588084</v>
      </c>
      <c r="S19" s="27">
        <f t="shared" si="8"/>
        <v>2.0953766359635408</v>
      </c>
      <c r="T19" s="27">
        <f t="shared" si="8"/>
        <v>2.117409770610283</v>
      </c>
      <c r="U19" s="27">
        <f t="shared" si="8"/>
        <v>2.149660449685487</v>
      </c>
      <c r="V19" s="27">
        <f t="shared" si="8"/>
        <v>2.1663767524673299</v>
      </c>
      <c r="W19" s="27">
        <f t="shared" si="8"/>
        <v>2.1854812613403793</v>
      </c>
      <c r="X19" s="27">
        <f t="shared" si="8"/>
        <v>2.207592728746584</v>
      </c>
      <c r="Y19" s="27">
        <f t="shared" si="8"/>
        <v>2.23017270895738</v>
      </c>
      <c r="Z19" s="27">
        <f t="shared" si="8"/>
        <v>2.2551658349944512</v>
      </c>
      <c r="AA19" s="27">
        <f t="shared" si="8"/>
        <v>2.2809331797448467</v>
      </c>
      <c r="AB19" s="27">
        <f t="shared" si="8"/>
        <v>2.3089540871181105</v>
      </c>
      <c r="AC19" s="27">
        <f t="shared" si="8"/>
        <v>2.3376070937674198</v>
      </c>
      <c r="AD19" s="27">
        <f t="shared" si="8"/>
        <v>2.3685617941055517</v>
      </c>
      <c r="AE19" s="27">
        <f t="shared" si="8"/>
        <v>2.3990975425298058</v>
      </c>
      <c r="AF19" s="27">
        <f t="shared" si="8"/>
        <v>2.4313277973165794</v>
      </c>
      <c r="AG19" s="27">
        <f t="shared" si="8"/>
        <v>2.4677855435545331</v>
      </c>
      <c r="AH19" s="27">
        <f t="shared" si="8"/>
        <v>2.5024484753203891</v>
      </c>
      <c r="AI19" s="27">
        <f t="shared" si="8"/>
        <v>2.5379951282443072</v>
      </c>
      <c r="AJ19" s="27">
        <f t="shared" si="8"/>
        <v>2.5760106645991079</v>
      </c>
      <c r="AK19" s="27">
        <f t="shared" si="8"/>
        <v>2.6116266407248583</v>
      </c>
      <c r="AL19" s="27">
        <f t="shared" si="8"/>
        <v>2.6470493387414713</v>
      </c>
      <c r="AM19" s="27">
        <f t="shared" si="8"/>
        <v>2.6823772866679478</v>
      </c>
      <c r="AN19" s="27">
        <f t="shared" si="8"/>
        <v>2.719753196387535</v>
      </c>
      <c r="AO19" s="27">
        <f t="shared" si="8"/>
        <v>2.755625771746582</v>
      </c>
      <c r="AP19" s="27">
        <f t="shared" si="8"/>
        <v>2.792891329149688</v>
      </c>
      <c r="AQ19" s="27">
        <f t="shared" si="8"/>
        <v>2.8317198300092477</v>
      </c>
      <c r="AR19" s="27">
        <f t="shared" si="8"/>
        <v>2.8723845902967362</v>
      </c>
      <c r="AS19" s="27">
        <f t="shared" si="8"/>
        <v>2.9137686566351899</v>
      </c>
      <c r="AT19" s="27">
        <f t="shared" si="8"/>
        <v>2.9235804880371647</v>
      </c>
      <c r="AU19" s="27">
        <f t="shared" si="8"/>
        <v>2.9305635384314317</v>
      </c>
      <c r="AV19" s="27">
        <f t="shared" si="8"/>
        <v>2.9334246217616835</v>
      </c>
      <c r="AW19" s="27">
        <f t="shared" si="8"/>
        <v>2.9351522211130368</v>
      </c>
      <c r="AY19" s="79"/>
    </row>
    <row r="20" spans="1:51" x14ac:dyDescent="0.3">
      <c r="A20" s="95" t="str">
        <f t="shared" si="0"/>
        <v>FS Cattle MMCH4</v>
      </c>
      <c r="B20" s="95" t="s">
        <v>1004</v>
      </c>
      <c r="C20" s="95" t="s">
        <v>1229</v>
      </c>
      <c r="D20" t="s">
        <v>15</v>
      </c>
      <c r="E20" t="s">
        <v>22</v>
      </c>
      <c r="F20" t="s">
        <v>67</v>
      </c>
      <c r="G20" t="s">
        <v>307</v>
      </c>
      <c r="H20" t="s">
        <v>1227</v>
      </c>
      <c r="I20" t="s">
        <v>121</v>
      </c>
      <c r="J20" t="s">
        <v>286</v>
      </c>
      <c r="K20" s="27">
        <f t="shared" si="7"/>
        <v>0.43258377187145641</v>
      </c>
      <c r="L20" s="27">
        <f t="shared" si="8"/>
        <v>0.43500213637199736</v>
      </c>
      <c r="M20" s="27">
        <f t="shared" si="8"/>
        <v>0.43843338143569016</v>
      </c>
      <c r="N20" s="27">
        <f t="shared" si="8"/>
        <v>0.44063832189202168</v>
      </c>
      <c r="O20" s="27">
        <f t="shared" si="8"/>
        <v>0.44210351490980387</v>
      </c>
      <c r="P20" s="27">
        <f t="shared" si="8"/>
        <v>0.44281453971808232</v>
      </c>
      <c r="Q20" s="27">
        <f t="shared" si="8"/>
        <v>0.44438545813589125</v>
      </c>
      <c r="R20" s="27">
        <f t="shared" si="8"/>
        <v>0.44618756541973886</v>
      </c>
      <c r="S20" s="27">
        <f t="shared" si="8"/>
        <v>0.43277534586715866</v>
      </c>
      <c r="T20" s="27">
        <f t="shared" si="8"/>
        <v>0.4373260301229735</v>
      </c>
      <c r="U20" s="27">
        <f t="shared" si="8"/>
        <v>0.44398702774586812</v>
      </c>
      <c r="V20" s="27">
        <f t="shared" si="8"/>
        <v>0.44743958304970527</v>
      </c>
      <c r="W20" s="27">
        <f t="shared" si="8"/>
        <v>0.45138539417179691</v>
      </c>
      <c r="X20" s="27">
        <f t="shared" si="8"/>
        <v>0.45595225713576731</v>
      </c>
      <c r="Y20" s="27">
        <f t="shared" si="8"/>
        <v>0.46061588589714619</v>
      </c>
      <c r="Z20" s="27">
        <f t="shared" si="8"/>
        <v>0.46577792148509239</v>
      </c>
      <c r="AA20" s="27">
        <f t="shared" si="8"/>
        <v>0.47109986282252775</v>
      </c>
      <c r="AB20" s="27">
        <f t="shared" si="8"/>
        <v>0.47688725095688084</v>
      </c>
      <c r="AC20" s="27">
        <f t="shared" si="8"/>
        <v>0.48280519174612069</v>
      </c>
      <c r="AD20" s="27">
        <f t="shared" si="8"/>
        <v>0.48919852023662819</v>
      </c>
      <c r="AE20" s="27">
        <f t="shared" si="8"/>
        <v>0.4955053191475276</v>
      </c>
      <c r="AF20" s="27">
        <f t="shared" si="8"/>
        <v>0.50216209837438885</v>
      </c>
      <c r="AG20" s="27">
        <f t="shared" si="8"/>
        <v>0.50969201613087478</v>
      </c>
      <c r="AH20" s="27">
        <f t="shared" si="8"/>
        <v>0.51685123611370132</v>
      </c>
      <c r="AI20" s="27">
        <f t="shared" si="8"/>
        <v>0.52419297828526779</v>
      </c>
      <c r="AJ20" s="27">
        <f t="shared" si="8"/>
        <v>0.53204463922865186</v>
      </c>
      <c r="AK20" s="27">
        <f t="shared" si="8"/>
        <v>0.53940069929044132</v>
      </c>
      <c r="AL20" s="27">
        <f t="shared" si="8"/>
        <v>0.54671684003696541</v>
      </c>
      <c r="AM20" s="27">
        <f t="shared" si="8"/>
        <v>0.55401341126919512</v>
      </c>
      <c r="AN20" s="27">
        <f t="shared" si="8"/>
        <v>0.56173296487038149</v>
      </c>
      <c r="AO20" s="27">
        <f t="shared" si="8"/>
        <v>0.56914202247926249</v>
      </c>
      <c r="AP20" s="27">
        <f t="shared" si="8"/>
        <v>0.57683878411020695</v>
      </c>
      <c r="AQ20" s="27">
        <f t="shared" si="8"/>
        <v>0.58485835328960278</v>
      </c>
      <c r="AR20" s="27">
        <f t="shared" si="8"/>
        <v>0.59325718020977147</v>
      </c>
      <c r="AS20" s="27">
        <f t="shared" si="8"/>
        <v>0.60180457131627674</v>
      </c>
      <c r="AT20" s="27">
        <f t="shared" si="8"/>
        <v>0.60383108943989172</v>
      </c>
      <c r="AU20" s="27">
        <f t="shared" si="8"/>
        <v>0.60527335618932376</v>
      </c>
      <c r="AV20" s="27">
        <f t="shared" si="8"/>
        <v>0.60586427922747954</v>
      </c>
      <c r="AW20" s="27">
        <f t="shared" si="8"/>
        <v>0.60622109451021655</v>
      </c>
      <c r="AY20" s="79"/>
    </row>
    <row r="21" spans="1:51" x14ac:dyDescent="0.3">
      <c r="A21" s="95" t="str">
        <f t="shared" si="0"/>
        <v>FS Cattle MMCH4</v>
      </c>
      <c r="B21" s="95" t="s">
        <v>1004</v>
      </c>
      <c r="C21" s="95" t="s">
        <v>1229</v>
      </c>
      <c r="D21" t="s">
        <v>15</v>
      </c>
      <c r="E21" t="s">
        <v>22</v>
      </c>
      <c r="F21" t="s">
        <v>67</v>
      </c>
      <c r="G21" t="s">
        <v>122</v>
      </c>
      <c r="H21" t="s">
        <v>1227</v>
      </c>
      <c r="I21" t="s">
        <v>121</v>
      </c>
      <c r="J21" t="s">
        <v>286</v>
      </c>
      <c r="K21" s="27">
        <f t="shared" si="7"/>
        <v>9.4871637196006553E-2</v>
      </c>
      <c r="L21" s="27">
        <f t="shared" si="8"/>
        <v>9.404884578461549E-2</v>
      </c>
      <c r="M21" s="27">
        <f t="shared" si="8"/>
        <v>9.3735634002294246E-2</v>
      </c>
      <c r="N21" s="27">
        <f t="shared" si="8"/>
        <v>9.2483917307495084E-2</v>
      </c>
      <c r="O21" s="27">
        <f t="shared" si="8"/>
        <v>9.0667019955957343E-2</v>
      </c>
      <c r="P21" s="27">
        <f t="shared" si="8"/>
        <v>8.8322512540543865E-2</v>
      </c>
      <c r="Q21" s="27">
        <f t="shared" si="8"/>
        <v>8.6473330972337892E-2</v>
      </c>
      <c r="R21" s="27">
        <f t="shared" si="8"/>
        <v>8.4723794986300283E-2</v>
      </c>
      <c r="S21" s="27">
        <f t="shared" si="8"/>
        <v>7.4532240818123416E-2</v>
      </c>
      <c r="T21" s="27">
        <f t="shared" si="8"/>
        <v>7.5742869009566477E-2</v>
      </c>
      <c r="U21" s="27">
        <f t="shared" si="8"/>
        <v>7.8001334092155483E-2</v>
      </c>
      <c r="V21" s="27">
        <f t="shared" si="8"/>
        <v>7.8452375655366738E-2</v>
      </c>
      <c r="W21" s="27">
        <f t="shared" si="8"/>
        <v>7.9102907310080586E-2</v>
      </c>
      <c r="X21" s="27">
        <f t="shared" si="8"/>
        <v>8.0010413317847237E-2</v>
      </c>
      <c r="Y21" s="27">
        <f t="shared" si="8"/>
        <v>8.1051364115397456E-2</v>
      </c>
      <c r="Z21" s="27">
        <f t="shared" si="8"/>
        <v>8.2271824268517132E-2</v>
      </c>
      <c r="AA21" s="27">
        <f t="shared" si="8"/>
        <v>8.3497913456907769E-2</v>
      </c>
      <c r="AB21" s="27">
        <f t="shared" si="8"/>
        <v>8.4876885462998888E-2</v>
      </c>
      <c r="AC21" s="27">
        <f t="shared" si="8"/>
        <v>8.6242172681273321E-2</v>
      </c>
      <c r="AD21" s="27">
        <f t="shared" si="8"/>
        <v>8.7131524640671032E-2</v>
      </c>
      <c r="AE21" s="27">
        <f t="shared" si="8"/>
        <v>8.7861744576890749E-2</v>
      </c>
      <c r="AF21" s="27">
        <f t="shared" si="8"/>
        <v>8.863318056494178E-2</v>
      </c>
      <c r="AG21" s="27">
        <f t="shared" si="8"/>
        <v>8.9665353249555477E-2</v>
      </c>
      <c r="AH21" s="27">
        <f t="shared" si="8"/>
        <v>9.0407657135718758E-2</v>
      </c>
      <c r="AI21" s="27">
        <f t="shared" si="8"/>
        <v>9.1198770165766427E-2</v>
      </c>
      <c r="AJ21" s="27">
        <f t="shared" si="8"/>
        <v>9.2069621900880569E-2</v>
      </c>
      <c r="AK21" s="27">
        <f t="shared" si="8"/>
        <v>9.2612278465111636E-2</v>
      </c>
      <c r="AL21" s="27">
        <f t="shared" si="8"/>
        <v>9.3019389326395155E-2</v>
      </c>
      <c r="AM21" s="27">
        <f t="shared" si="8"/>
        <v>9.3302561003725443E-2</v>
      </c>
      <c r="AN21" s="27">
        <f t="shared" si="8"/>
        <v>9.4182866906307741E-2</v>
      </c>
      <c r="AO21" s="27">
        <f t="shared" si="8"/>
        <v>9.4852010834144421E-2</v>
      </c>
      <c r="AP21" s="27">
        <f t="shared" si="8"/>
        <v>9.5529601297703756E-2</v>
      </c>
      <c r="AQ21" s="27">
        <f t="shared" si="8"/>
        <v>9.6223389625578193E-2</v>
      </c>
      <c r="AR21" s="27">
        <f t="shared" si="8"/>
        <v>9.6947366282069555E-2</v>
      </c>
      <c r="AS21" s="27">
        <f t="shared" si="8"/>
        <v>9.7690698003963641E-2</v>
      </c>
      <c r="AT21" s="27">
        <f t="shared" si="8"/>
        <v>9.6224389596631696E-2</v>
      </c>
      <c r="AU21" s="27">
        <f t="shared" si="8"/>
        <v>9.4563308773857144E-2</v>
      </c>
      <c r="AV21" s="27">
        <f t="shared" si="8"/>
        <v>9.2637583282449518E-2</v>
      </c>
      <c r="AW21" s="27">
        <f t="shared" si="8"/>
        <v>9.065150695451285E-2</v>
      </c>
      <c r="AY21" s="79"/>
    </row>
    <row r="22" spans="1:51" x14ac:dyDescent="0.3">
      <c r="A22" s="95" t="str">
        <f t="shared" si="0"/>
        <v>FS Cattle MMCH4</v>
      </c>
      <c r="B22" s="95" t="s">
        <v>1004</v>
      </c>
      <c r="C22" s="95" t="s">
        <v>1229</v>
      </c>
      <c r="D22" t="s">
        <v>15</v>
      </c>
      <c r="E22" t="s">
        <v>22</v>
      </c>
      <c r="F22" t="s">
        <v>67</v>
      </c>
      <c r="G22" t="s">
        <v>123</v>
      </c>
      <c r="H22" t="s">
        <v>1227</v>
      </c>
      <c r="I22" t="s">
        <v>121</v>
      </c>
      <c r="J22" t="s">
        <v>286</v>
      </c>
      <c r="K22" s="27">
        <f t="shared" si="7"/>
        <v>6.9689449734106304E-2</v>
      </c>
      <c r="L22" s="27">
        <f t="shared" si="8"/>
        <v>6.9085055392440989E-2</v>
      </c>
      <c r="M22" s="27">
        <f t="shared" si="8"/>
        <v>6.8854980763127793E-2</v>
      </c>
      <c r="N22" s="27">
        <f t="shared" si="8"/>
        <v>6.7935512624264269E-2</v>
      </c>
      <c r="O22" s="27">
        <f t="shared" si="8"/>
        <v>6.660088216573827E-2</v>
      </c>
      <c r="P22" s="27">
        <f t="shared" si="8"/>
        <v>6.4878687456057696E-2</v>
      </c>
      <c r="Q22" s="27">
        <f t="shared" si="8"/>
        <v>6.3520342119606069E-2</v>
      </c>
      <c r="R22" s="27">
        <f t="shared" si="8"/>
        <v>6.2235193009075998E-2</v>
      </c>
      <c r="S22" s="27">
        <f t="shared" si="8"/>
        <v>5.4748826979066356E-2</v>
      </c>
      <c r="T22" s="27">
        <f t="shared" si="8"/>
        <v>5.5638112913069561E-2</v>
      </c>
      <c r="U22" s="27">
        <f t="shared" si="8"/>
        <v>5.7297103877082825E-2</v>
      </c>
      <c r="V22" s="27">
        <f t="shared" si="8"/>
        <v>5.7628423534637221E-2</v>
      </c>
      <c r="W22" s="27">
        <f t="shared" si="8"/>
        <v>5.8106281769105768E-2</v>
      </c>
      <c r="X22" s="27">
        <f t="shared" si="8"/>
        <v>5.8772904546796331E-2</v>
      </c>
      <c r="Y22" s="27">
        <f t="shared" si="8"/>
        <v>5.9537551288705921E-2</v>
      </c>
      <c r="Z22" s="27">
        <f t="shared" si="8"/>
        <v>6.0434059444432087E-2</v>
      </c>
      <c r="AA22" s="27">
        <f t="shared" si="8"/>
        <v>6.1334702496341778E-2</v>
      </c>
      <c r="AB22" s="27">
        <f t="shared" si="8"/>
        <v>6.2347648020879123E-2</v>
      </c>
      <c r="AC22" s="27">
        <f t="shared" si="8"/>
        <v>6.3350541169797603E-2</v>
      </c>
      <c r="AD22" s="27">
        <f t="shared" si="8"/>
        <v>6.4003828606403412E-2</v>
      </c>
      <c r="AE22" s="27">
        <f t="shared" si="8"/>
        <v>6.4540223118441709E-2</v>
      </c>
      <c r="AF22" s="27">
        <f t="shared" si="8"/>
        <v>6.5106893528074167E-2</v>
      </c>
      <c r="AG22" s="27">
        <f t="shared" si="8"/>
        <v>6.5865092169388781E-2</v>
      </c>
      <c r="AH22" s="27">
        <f t="shared" si="8"/>
        <v>6.641036313646749E-2</v>
      </c>
      <c r="AI22" s="27">
        <f t="shared" si="8"/>
        <v>6.6991487626051227E-2</v>
      </c>
      <c r="AJ22" s="27">
        <f t="shared" si="8"/>
        <v>6.7631185432622337E-2</v>
      </c>
      <c r="AK22" s="27">
        <f t="shared" si="8"/>
        <v>6.8029802326707703E-2</v>
      </c>
      <c r="AL22" s="27">
        <f t="shared" si="8"/>
        <v>6.832885199784397E-2</v>
      </c>
      <c r="AM22" s="27">
        <f t="shared" si="8"/>
        <v>6.8536860196676486E-2</v>
      </c>
      <c r="AN22" s="27">
        <f t="shared" si="8"/>
        <v>6.9183502710306752E-2</v>
      </c>
      <c r="AO22" s="27">
        <f t="shared" si="8"/>
        <v>6.9675032882043061E-2</v>
      </c>
      <c r="AP22" s="27">
        <f t="shared" si="8"/>
        <v>7.0172767589129104E-2</v>
      </c>
      <c r="AQ22" s="27">
        <f t="shared" si="8"/>
        <v>7.0682400691608652E-2</v>
      </c>
      <c r="AR22" s="27">
        <f t="shared" si="8"/>
        <v>7.1214209104559126E-2</v>
      </c>
      <c r="AS22" s="27">
        <f t="shared" si="8"/>
        <v>7.1760235084501689E-2</v>
      </c>
      <c r="AT22" s="27">
        <f t="shared" si="8"/>
        <v>7.0683135236036573E-2</v>
      </c>
      <c r="AU22" s="27">
        <f t="shared" si="8"/>
        <v>6.9462962253632216E-2</v>
      </c>
      <c r="AV22" s="27">
        <f t="shared" si="8"/>
        <v>6.8048390377341353E-2</v>
      </c>
      <c r="AW22" s="27">
        <f t="shared" si="8"/>
        <v>6.658948684711255E-2</v>
      </c>
      <c r="AY22" s="79"/>
    </row>
    <row r="23" spans="1:51" x14ac:dyDescent="0.3">
      <c r="A23" s="95" t="str">
        <f t="shared" si="0"/>
        <v>FS Cattle MMCH4</v>
      </c>
      <c r="B23" s="95" t="s">
        <v>1004</v>
      </c>
      <c r="C23" s="95" t="s">
        <v>1229</v>
      </c>
      <c r="D23" t="s">
        <v>15</v>
      </c>
      <c r="E23" t="s">
        <v>22</v>
      </c>
      <c r="F23" t="s">
        <v>67</v>
      </c>
      <c r="G23" t="s">
        <v>135</v>
      </c>
      <c r="H23" t="s">
        <v>1227</v>
      </c>
      <c r="I23" t="s">
        <v>121</v>
      </c>
      <c r="J23" t="s">
        <v>286</v>
      </c>
      <c r="K23" s="27">
        <f t="shared" si="7"/>
        <v>0.47107022937833831</v>
      </c>
      <c r="L23" s="27">
        <f t="shared" si="8"/>
        <v>0.48695387967725939</v>
      </c>
      <c r="M23" s="27">
        <f t="shared" si="8"/>
        <v>0.50580611066616787</v>
      </c>
      <c r="N23" s="27">
        <f t="shared" si="8"/>
        <v>0.51986569055899412</v>
      </c>
      <c r="O23" s="27">
        <f t="shared" si="8"/>
        <v>0.5307082628613855</v>
      </c>
      <c r="P23" s="27">
        <f t="shared" si="8"/>
        <v>0.53817886796858128</v>
      </c>
      <c r="Q23" s="27">
        <f t="shared" si="8"/>
        <v>0.54837935702304741</v>
      </c>
      <c r="R23" s="27">
        <f t="shared" si="8"/>
        <v>0.55907244781022658</v>
      </c>
      <c r="S23" s="27">
        <f t="shared" si="8"/>
        <v>0.5116979963243764</v>
      </c>
      <c r="T23" s="27">
        <f t="shared" si="8"/>
        <v>0.53253794371544794</v>
      </c>
      <c r="U23" s="27">
        <f t="shared" si="8"/>
        <v>0.56144831136588025</v>
      </c>
      <c r="V23" s="27">
        <f t="shared" si="8"/>
        <v>0.57794253443008525</v>
      </c>
      <c r="W23" s="27">
        <f t="shared" si="8"/>
        <v>0.59624482437454274</v>
      </c>
      <c r="X23" s="27">
        <f t="shared" si="8"/>
        <v>0.61691451225743765</v>
      </c>
      <c r="Y23" s="27">
        <f t="shared" si="8"/>
        <v>0.63912634684399761</v>
      </c>
      <c r="Z23" s="27">
        <f t="shared" si="8"/>
        <v>0.66333849990898774</v>
      </c>
      <c r="AA23" s="27">
        <f t="shared" si="8"/>
        <v>0.68823157042214766</v>
      </c>
      <c r="AB23" s="27">
        <f t="shared" si="8"/>
        <v>0.71506797281834467</v>
      </c>
      <c r="AC23" s="27">
        <f t="shared" si="8"/>
        <v>0.74251772868278199</v>
      </c>
      <c r="AD23" s="27">
        <f t="shared" si="8"/>
        <v>0.7750525944257971</v>
      </c>
      <c r="AE23" s="27">
        <f t="shared" si="8"/>
        <v>0.80751598640792854</v>
      </c>
      <c r="AF23" s="27">
        <f t="shared" si="8"/>
        <v>0.84174152680537817</v>
      </c>
      <c r="AG23" s="27">
        <f t="shared" si="8"/>
        <v>0.88000003569074847</v>
      </c>
      <c r="AH23" s="27">
        <f t="shared" si="8"/>
        <v>0.91704807287784318</v>
      </c>
      <c r="AI23" s="27">
        <f t="shared" si="8"/>
        <v>0.95623961354371867</v>
      </c>
      <c r="AJ23" s="27">
        <f t="shared" si="8"/>
        <v>0.99805792050769693</v>
      </c>
      <c r="AK23" s="27">
        <f t="shared" si="8"/>
        <v>1.0381239689146564</v>
      </c>
      <c r="AL23" s="27">
        <f t="shared" si="8"/>
        <v>1.0784102253675423</v>
      </c>
      <c r="AM23" s="27">
        <f t="shared" si="8"/>
        <v>1.1190041069207182</v>
      </c>
      <c r="AN23" s="27">
        <f t="shared" si="8"/>
        <v>1.1614327193697984</v>
      </c>
      <c r="AO23" s="27">
        <f t="shared" si="8"/>
        <v>1.2028013950684227</v>
      </c>
      <c r="AP23" s="27">
        <f t="shared" si="8"/>
        <v>1.2458253070355789</v>
      </c>
      <c r="AQ23" s="27">
        <f t="shared" ref="L23:AW30" si="9">AQ1398</f>
        <v>1.2906949248380046</v>
      </c>
      <c r="AR23" s="27">
        <f t="shared" si="9"/>
        <v>1.3377043131160224</v>
      </c>
      <c r="AS23" s="27">
        <f t="shared" si="9"/>
        <v>1.3868240533486631</v>
      </c>
      <c r="AT23" s="27">
        <f t="shared" si="9"/>
        <v>1.4056131138026084</v>
      </c>
      <c r="AU23" s="27">
        <f t="shared" si="9"/>
        <v>1.4216407980502102</v>
      </c>
      <c r="AV23" s="27">
        <f t="shared" si="9"/>
        <v>1.4335765692204958</v>
      </c>
      <c r="AW23" s="27">
        <f t="shared" si="9"/>
        <v>1.4443117800465477</v>
      </c>
      <c r="AY23" s="79"/>
    </row>
    <row r="24" spans="1:51" x14ac:dyDescent="0.3">
      <c r="A24" s="95" t="str">
        <f t="shared" si="0"/>
        <v>FS Sheep MMCH4</v>
      </c>
      <c r="B24" s="95" t="s">
        <v>1004</v>
      </c>
      <c r="C24" s="95" t="s">
        <v>1324</v>
      </c>
      <c r="D24" t="s">
        <v>15</v>
      </c>
      <c r="E24" t="s">
        <v>22</v>
      </c>
      <c r="F24" t="s">
        <v>18</v>
      </c>
      <c r="G24" t="s">
        <v>122</v>
      </c>
      <c r="H24" t="s">
        <v>1227</v>
      </c>
      <c r="I24" t="s">
        <v>121</v>
      </c>
      <c r="J24" t="s">
        <v>286</v>
      </c>
      <c r="K24" s="27">
        <f t="shared" si="7"/>
        <v>3.6054675351507588E-2</v>
      </c>
      <c r="L24" s="27">
        <f t="shared" si="9"/>
        <v>3.6074169999743479E-2</v>
      </c>
      <c r="M24" s="27">
        <f t="shared" si="9"/>
        <v>3.6120780972302438E-2</v>
      </c>
      <c r="N24" s="27">
        <f t="shared" si="9"/>
        <v>3.6189509224973292E-2</v>
      </c>
      <c r="O24" s="27">
        <f t="shared" si="9"/>
        <v>3.6279918010713667E-2</v>
      </c>
      <c r="P24" s="27">
        <f t="shared" si="9"/>
        <v>3.6391052650159628E-2</v>
      </c>
      <c r="Q24" s="27">
        <f t="shared" si="9"/>
        <v>3.6515872019705298E-2</v>
      </c>
      <c r="R24" s="27">
        <f t="shared" si="9"/>
        <v>3.6653588090719266E-2</v>
      </c>
      <c r="S24" s="27">
        <f t="shared" si="9"/>
        <v>3.6779521855622693E-2</v>
      </c>
      <c r="T24" s="27">
        <f t="shared" si="9"/>
        <v>3.6834860200729257E-2</v>
      </c>
      <c r="U24" s="27">
        <f t="shared" si="9"/>
        <v>3.6902440208564632E-2</v>
      </c>
      <c r="V24" s="27">
        <f t="shared" si="9"/>
        <v>3.697347207185564E-2</v>
      </c>
      <c r="W24" s="27">
        <f t="shared" si="9"/>
        <v>3.7053220502968609E-2</v>
      </c>
      <c r="X24" s="27">
        <f t="shared" si="9"/>
        <v>3.714146236421613E-2</v>
      </c>
      <c r="Y24" s="27">
        <f t="shared" si="9"/>
        <v>3.7196571628197998E-2</v>
      </c>
      <c r="Z24" s="27">
        <f t="shared" si="9"/>
        <v>3.7258831126487216E-2</v>
      </c>
      <c r="AA24" s="27">
        <f t="shared" si="9"/>
        <v>3.7327399595166219E-2</v>
      </c>
      <c r="AB24" s="27">
        <f t="shared" si="9"/>
        <v>3.7402465573387562E-2</v>
      </c>
      <c r="AC24" s="27">
        <f t="shared" si="9"/>
        <v>3.7483254267417832E-2</v>
      </c>
      <c r="AD24" s="27">
        <f t="shared" si="9"/>
        <v>3.7537448557312683E-2</v>
      </c>
      <c r="AE24" s="27">
        <f t="shared" si="9"/>
        <v>3.759628261627642E-2</v>
      </c>
      <c r="AF24" s="27">
        <f t="shared" si="9"/>
        <v>3.7660229373785575E-2</v>
      </c>
      <c r="AG24" s="27">
        <f t="shared" si="9"/>
        <v>3.7729913053341259E-2</v>
      </c>
      <c r="AH24" s="27">
        <f t="shared" si="9"/>
        <v>3.7803241196451468E-2</v>
      </c>
      <c r="AI24" s="27">
        <f t="shared" si="9"/>
        <v>3.7850112312391396E-2</v>
      </c>
      <c r="AJ24" s="27">
        <f t="shared" si="9"/>
        <v>3.7901451820370476E-2</v>
      </c>
      <c r="AK24" s="27">
        <f t="shared" si="9"/>
        <v>3.7955566436191537E-2</v>
      </c>
      <c r="AL24" s="27">
        <f t="shared" si="9"/>
        <v>3.8013032265109208E-2</v>
      </c>
      <c r="AM24" s="27">
        <f t="shared" si="9"/>
        <v>3.8073762176342195E-2</v>
      </c>
      <c r="AN24" s="27">
        <f t="shared" si="9"/>
        <v>3.8109645900532299E-2</v>
      </c>
      <c r="AO24" s="27">
        <f t="shared" si="9"/>
        <v>3.8147952211549679E-2</v>
      </c>
      <c r="AP24" s="27">
        <f t="shared" si="9"/>
        <v>3.8189503844275732E-2</v>
      </c>
      <c r="AQ24" s="27">
        <f t="shared" si="9"/>
        <v>3.8234260627096527E-2</v>
      </c>
      <c r="AR24" s="27">
        <f t="shared" si="9"/>
        <v>3.8282221632507191E-2</v>
      </c>
      <c r="AS24" s="27">
        <f t="shared" si="9"/>
        <v>3.8303980390956796E-2</v>
      </c>
      <c r="AT24" s="27">
        <f t="shared" si="9"/>
        <v>3.8318002472277804E-2</v>
      </c>
      <c r="AU24" s="27">
        <f t="shared" si="9"/>
        <v>3.8333373323501507E-2</v>
      </c>
      <c r="AV24" s="27">
        <f t="shared" si="9"/>
        <v>3.8349609063517129E-2</v>
      </c>
      <c r="AW24" s="27">
        <f t="shared" si="9"/>
        <v>3.8367594097231859E-2</v>
      </c>
      <c r="AY24" s="79"/>
    </row>
    <row r="25" spans="1:51" x14ac:dyDescent="0.3">
      <c r="A25" s="95" t="str">
        <f t="shared" si="0"/>
        <v>FS Sheep MMCH4</v>
      </c>
      <c r="B25" s="95" t="s">
        <v>1004</v>
      </c>
      <c r="C25" s="95" t="s">
        <v>1324</v>
      </c>
      <c r="D25" t="s">
        <v>15</v>
      </c>
      <c r="E25" t="s">
        <v>22</v>
      </c>
      <c r="F25" t="s">
        <v>18</v>
      </c>
      <c r="G25" t="s">
        <v>123</v>
      </c>
      <c r="H25" t="s">
        <v>1227</v>
      </c>
      <c r="I25" t="s">
        <v>121</v>
      </c>
      <c r="J25" t="s">
        <v>286</v>
      </c>
      <c r="K25" s="27">
        <f t="shared" si="7"/>
        <v>4.1176157807460215E-3</v>
      </c>
      <c r="L25" s="27">
        <f t="shared" si="9"/>
        <v>4.1198421624963379E-3</v>
      </c>
      <c r="M25" s="27">
        <f t="shared" si="9"/>
        <v>4.1251653577350569E-3</v>
      </c>
      <c r="N25" s="27">
        <f t="shared" si="9"/>
        <v>4.1330144517851795E-3</v>
      </c>
      <c r="O25" s="27">
        <f t="shared" si="9"/>
        <v>4.1433395660526989E-3</v>
      </c>
      <c r="P25" s="27">
        <f t="shared" si="9"/>
        <v>4.1560316716037502E-3</v>
      </c>
      <c r="Q25" s="27">
        <f t="shared" si="9"/>
        <v>4.1702866385608306E-3</v>
      </c>
      <c r="R25" s="27">
        <f t="shared" si="9"/>
        <v>4.1860144702980757E-3</v>
      </c>
      <c r="S25" s="27">
        <f t="shared" si="9"/>
        <v>4.2003967065168081E-3</v>
      </c>
      <c r="T25" s="27">
        <f t="shared" si="9"/>
        <v>4.2067166092997236E-3</v>
      </c>
      <c r="U25" s="27">
        <f t="shared" si="9"/>
        <v>4.2144345683164958E-3</v>
      </c>
      <c r="V25" s="27">
        <f t="shared" si="9"/>
        <v>4.2225467456796619E-3</v>
      </c>
      <c r="W25" s="27">
        <f t="shared" si="9"/>
        <v>4.2316543966358575E-3</v>
      </c>
      <c r="X25" s="27">
        <f t="shared" si="9"/>
        <v>4.2417320377975895E-3</v>
      </c>
      <c r="Y25" s="27">
        <f t="shared" si="9"/>
        <v>4.2480257784241436E-3</v>
      </c>
      <c r="Z25" s="27">
        <f t="shared" si="9"/>
        <v>4.2551361098903872E-3</v>
      </c>
      <c r="AA25" s="27">
        <f t="shared" si="9"/>
        <v>4.2629669558470248E-3</v>
      </c>
      <c r="AB25" s="27">
        <f t="shared" si="9"/>
        <v>4.2715398483639559E-3</v>
      </c>
      <c r="AC25" s="27">
        <f t="shared" si="9"/>
        <v>4.2807663023037507E-3</v>
      </c>
      <c r="AD25" s="27">
        <f t="shared" si="9"/>
        <v>4.2869555485283185E-3</v>
      </c>
      <c r="AE25" s="27">
        <f t="shared" si="9"/>
        <v>4.2936746784961411E-3</v>
      </c>
      <c r="AF25" s="27">
        <f t="shared" si="9"/>
        <v>4.3009777030076704E-3</v>
      </c>
      <c r="AG25" s="27">
        <f t="shared" si="9"/>
        <v>4.3089359113621063E-3</v>
      </c>
      <c r="AH25" s="27">
        <f t="shared" si="9"/>
        <v>4.3173103348259087E-3</v>
      </c>
      <c r="AI25" s="27">
        <f t="shared" si="9"/>
        <v>4.3226632396787153E-3</v>
      </c>
      <c r="AJ25" s="27">
        <f t="shared" si="9"/>
        <v>4.3285264562011056E-3</v>
      </c>
      <c r="AK25" s="27">
        <f t="shared" si="9"/>
        <v>4.3347066032666795E-3</v>
      </c>
      <c r="AL25" s="27">
        <f t="shared" si="9"/>
        <v>4.3412694748415342E-3</v>
      </c>
      <c r="AM25" s="27">
        <f t="shared" si="9"/>
        <v>4.3482051201751372E-3</v>
      </c>
      <c r="AN25" s="27">
        <f t="shared" si="9"/>
        <v>4.3523032125184075E-3</v>
      </c>
      <c r="AO25" s="27">
        <f t="shared" si="9"/>
        <v>4.3566779758246795E-3</v>
      </c>
      <c r="AP25" s="27">
        <f t="shared" si="9"/>
        <v>4.361423370338997E-3</v>
      </c>
      <c r="AQ25" s="27">
        <f t="shared" si="9"/>
        <v>4.3665348082715704E-3</v>
      </c>
      <c r="AR25" s="27">
        <f t="shared" si="9"/>
        <v>4.3720121836969238E-3</v>
      </c>
      <c r="AS25" s="27">
        <f t="shared" si="9"/>
        <v>4.3744971376255895E-3</v>
      </c>
      <c r="AT25" s="27">
        <f t="shared" si="9"/>
        <v>4.3760985261490854E-3</v>
      </c>
      <c r="AU25" s="27">
        <f t="shared" si="9"/>
        <v>4.3778539506244196E-3</v>
      </c>
      <c r="AV25" s="27">
        <f t="shared" si="9"/>
        <v>4.3797081495223055E-3</v>
      </c>
      <c r="AW25" s="27">
        <f t="shared" si="9"/>
        <v>4.381762126098687E-3</v>
      </c>
      <c r="AY25" s="79"/>
    </row>
    <row r="26" spans="1:51" x14ac:dyDescent="0.3">
      <c r="A26" s="95" t="str">
        <f t="shared" si="0"/>
        <v>FS Goats MMCH4</v>
      </c>
      <c r="B26" s="95" t="s">
        <v>1004</v>
      </c>
      <c r="C26" s="95" t="s">
        <v>1325</v>
      </c>
      <c r="D26" t="s">
        <v>15</v>
      </c>
      <c r="E26" t="s">
        <v>22</v>
      </c>
      <c r="F26" t="s">
        <v>19</v>
      </c>
      <c r="G26" t="s">
        <v>122</v>
      </c>
      <c r="H26" t="s">
        <v>1227</v>
      </c>
      <c r="I26" t="s">
        <v>121</v>
      </c>
      <c r="J26" t="s">
        <v>286</v>
      </c>
      <c r="K26" s="27">
        <f t="shared" si="7"/>
        <v>1.5789672763163301E-2</v>
      </c>
      <c r="L26" s="27">
        <f t="shared" si="9"/>
        <v>1.5830718290757027E-2</v>
      </c>
      <c r="M26" s="27">
        <f t="shared" si="9"/>
        <v>1.588733914557475E-2</v>
      </c>
      <c r="N26" s="27">
        <f t="shared" si="9"/>
        <v>1.5956318300360577E-2</v>
      </c>
      <c r="O26" s="27">
        <f t="shared" si="9"/>
        <v>1.6037557372574476E-2</v>
      </c>
      <c r="P26" s="27">
        <f t="shared" si="9"/>
        <v>1.6130561898613765E-2</v>
      </c>
      <c r="Q26" s="27">
        <f t="shared" si="9"/>
        <v>1.6230654784419023E-2</v>
      </c>
      <c r="R26" s="27">
        <f t="shared" si="9"/>
        <v>1.6337439810579345E-2</v>
      </c>
      <c r="S26" s="27">
        <f t="shared" si="9"/>
        <v>1.6434281735880792E-2</v>
      </c>
      <c r="T26" s="27">
        <f t="shared" si="9"/>
        <v>1.6481585221637597E-2</v>
      </c>
      <c r="U26" s="27">
        <f t="shared" si="9"/>
        <v>1.6535805571967339E-2</v>
      </c>
      <c r="V26" s="27">
        <f t="shared" si="9"/>
        <v>1.6591075188605784E-2</v>
      </c>
      <c r="W26" s="27">
        <f t="shared" si="9"/>
        <v>1.6651019239861981E-2</v>
      </c>
      <c r="X26" s="27">
        <f t="shared" si="9"/>
        <v>1.6715538656301921E-2</v>
      </c>
      <c r="Y26" s="27">
        <f t="shared" si="9"/>
        <v>1.675682826181454E-2</v>
      </c>
      <c r="Z26" s="27">
        <f t="shared" si="9"/>
        <v>1.6802001380323034E-2</v>
      </c>
      <c r="AA26" s="27">
        <f t="shared" si="9"/>
        <v>1.6850529656754189E-2</v>
      </c>
      <c r="AB26" s="27">
        <f t="shared" si="9"/>
        <v>1.6902568919116488E-2</v>
      </c>
      <c r="AC26" s="27">
        <f t="shared" si="9"/>
        <v>1.6957630528557751E-2</v>
      </c>
      <c r="AD26" s="27">
        <f t="shared" si="9"/>
        <v>1.6994350372716287E-2</v>
      </c>
      <c r="AE26" s="27">
        <f t="shared" si="9"/>
        <v>1.7033509901620177E-2</v>
      </c>
      <c r="AF26" s="27">
        <f t="shared" si="9"/>
        <v>1.7075440579577206E-2</v>
      </c>
      <c r="AG26" s="27">
        <f t="shared" si="9"/>
        <v>1.7120568284346587E-2</v>
      </c>
      <c r="AH26" s="27">
        <f t="shared" si="9"/>
        <v>1.7167529660259997E-2</v>
      </c>
      <c r="AI26" s="27">
        <f t="shared" si="9"/>
        <v>1.7196614048621731E-2</v>
      </c>
      <c r="AJ26" s="27">
        <f t="shared" si="9"/>
        <v>1.7228175905563897E-2</v>
      </c>
      <c r="AK26" s="27">
        <f t="shared" si="9"/>
        <v>1.7261117551388462E-2</v>
      </c>
      <c r="AL26" s="27">
        <f t="shared" si="9"/>
        <v>1.7295827028863175E-2</v>
      </c>
      <c r="AM26" s="27">
        <f t="shared" si="9"/>
        <v>1.7332256815907665E-2</v>
      </c>
      <c r="AN26" s="27">
        <f t="shared" si="9"/>
        <v>1.7352159823168515E-2</v>
      </c>
      <c r="AO26" s="27">
        <f t="shared" si="9"/>
        <v>1.7373316667964631E-2</v>
      </c>
      <c r="AP26" s="27">
        <f t="shared" si="9"/>
        <v>1.7396267425724934E-2</v>
      </c>
      <c r="AQ26" s="27">
        <f t="shared" si="9"/>
        <v>1.7420990177436466E-2</v>
      </c>
      <c r="AR26" s="27">
        <f t="shared" si="9"/>
        <v>1.7447487775150525E-2</v>
      </c>
      <c r="AS26" s="27">
        <f t="shared" si="9"/>
        <v>1.7456827369575736E-2</v>
      </c>
      <c r="AT26" s="27">
        <f t="shared" si="9"/>
        <v>1.746097508558354E-2</v>
      </c>
      <c r="AU26" s="27">
        <f t="shared" si="9"/>
        <v>1.746579683409127E-2</v>
      </c>
      <c r="AV26" s="27">
        <f t="shared" si="9"/>
        <v>1.7470987825332424E-2</v>
      </c>
      <c r="AW26" s="27">
        <f t="shared" si="9"/>
        <v>1.7477120152816387E-2</v>
      </c>
      <c r="AY26" s="79"/>
    </row>
    <row r="27" spans="1:51" x14ac:dyDescent="0.3">
      <c r="A27" s="95" t="str">
        <f t="shared" si="0"/>
        <v>FS Goats MMCH4</v>
      </c>
      <c r="B27" s="95" t="s">
        <v>1004</v>
      </c>
      <c r="C27" s="95" t="s">
        <v>1325</v>
      </c>
      <c r="D27" t="s">
        <v>15</v>
      </c>
      <c r="E27" t="s">
        <v>22</v>
      </c>
      <c r="F27" t="s">
        <v>19</v>
      </c>
      <c r="G27" t="s">
        <v>123</v>
      </c>
      <c r="H27" t="s">
        <v>1227</v>
      </c>
      <c r="I27" t="s">
        <v>121</v>
      </c>
      <c r="J27" t="s">
        <v>286</v>
      </c>
      <c r="K27" s="27">
        <f t="shared" si="7"/>
        <v>2.6592218800664803E-2</v>
      </c>
      <c r="L27" s="27">
        <f t="shared" si="9"/>
        <v>2.6661345733624896E-2</v>
      </c>
      <c r="M27" s="27">
        <f t="shared" si="9"/>
        <v>2.6756703894783639E-2</v>
      </c>
      <c r="N27" s="27">
        <f t="shared" si="9"/>
        <v>2.6872875319249704E-2</v>
      </c>
      <c r="O27" s="27">
        <f t="shared" si="9"/>
        <v>2.7009694315810229E-2</v>
      </c>
      <c r="P27" s="27">
        <f t="shared" si="9"/>
        <v>2.7166328132291764E-2</v>
      </c>
      <c r="Q27" s="27">
        <f t="shared" si="9"/>
        <v>2.7334899828466052E-2</v>
      </c>
      <c r="R27" s="27">
        <f t="shared" si="9"/>
        <v>2.7514742110372921E-2</v>
      </c>
      <c r="S27" s="27">
        <f t="shared" si="9"/>
        <v>2.7677838692887386E-2</v>
      </c>
      <c r="T27" s="27">
        <f t="shared" si="9"/>
        <v>2.7757504982502564E-2</v>
      </c>
      <c r="U27" s="27">
        <f t="shared" si="9"/>
        <v>2.7848820327731318E-2</v>
      </c>
      <c r="V27" s="27">
        <f t="shared" si="9"/>
        <v>2.7941902797566111E-2</v>
      </c>
      <c r="W27" s="27">
        <f t="shared" si="9"/>
        <v>2.804285772872351E-2</v>
      </c>
      <c r="X27" s="27">
        <f t="shared" si="9"/>
        <v>2.8151518273156369E-2</v>
      </c>
      <c r="Y27" s="27">
        <f t="shared" si="9"/>
        <v>2.82210562705838E-2</v>
      </c>
      <c r="Z27" s="27">
        <f t="shared" si="9"/>
        <v>2.8297134696609751E-2</v>
      </c>
      <c r="AA27" s="27">
        <f t="shared" si="9"/>
        <v>2.8378863720651775E-2</v>
      </c>
      <c r="AB27" s="27">
        <f t="shared" si="9"/>
        <v>2.8466505780859123E-2</v>
      </c>
      <c r="AC27" s="27">
        <f t="shared" si="9"/>
        <v>2.8559237934827175E-2</v>
      </c>
      <c r="AD27" s="27">
        <f t="shared" si="9"/>
        <v>2.8621079756683557E-2</v>
      </c>
      <c r="AE27" s="27">
        <f t="shared" si="9"/>
        <v>2.8687030380003167E-2</v>
      </c>
      <c r="AF27" s="27">
        <f t="shared" si="9"/>
        <v>2.8757648041269384E-2</v>
      </c>
      <c r="AG27" s="27">
        <f t="shared" si="9"/>
        <v>2.8833649983627477E-2</v>
      </c>
      <c r="AH27" s="27">
        <f t="shared" si="9"/>
        <v>2.8912740108052549E-2</v>
      </c>
      <c r="AI27" s="27">
        <f t="shared" si="9"/>
        <v>2.8961722657000817E-2</v>
      </c>
      <c r="AJ27" s="27">
        <f t="shared" si="9"/>
        <v>2.9014877641157257E-2</v>
      </c>
      <c r="AK27" s="27">
        <f t="shared" si="9"/>
        <v>2.9070356400379201E-2</v>
      </c>
      <c r="AL27" s="27">
        <f t="shared" si="9"/>
        <v>2.9128812457911796E-2</v>
      </c>
      <c r="AM27" s="27">
        <f t="shared" si="9"/>
        <v>2.9190165779318728E-2</v>
      </c>
      <c r="AN27" s="27">
        <f t="shared" si="9"/>
        <v>2.9223685481203028E-2</v>
      </c>
      <c r="AO27" s="27">
        <f t="shared" si="9"/>
        <v>2.9259316836861168E-2</v>
      </c>
      <c r="AP27" s="27">
        <f t="shared" si="9"/>
        <v>2.9297969415743415E-2</v>
      </c>
      <c r="AQ27" s="27">
        <f t="shared" si="9"/>
        <v>2.9339606302886588E-2</v>
      </c>
      <c r="AR27" s="27">
        <f t="shared" si="9"/>
        <v>2.9384232301580378E-2</v>
      </c>
      <c r="AS27" s="27">
        <f t="shared" si="9"/>
        <v>2.939996160402952E-2</v>
      </c>
      <c r="AT27" s="27">
        <f t="shared" si="9"/>
        <v>2.9406946990823593E-2</v>
      </c>
      <c r="AU27" s="27">
        <f t="shared" si="9"/>
        <v>2.9415067551220409E-2</v>
      </c>
      <c r="AV27" s="27">
        <f t="shared" si="9"/>
        <v>2.9423809972735263E-2</v>
      </c>
      <c r="AW27" s="27">
        <f t="shared" si="9"/>
        <v>2.9434137748152581E-2</v>
      </c>
      <c r="AY27" s="79"/>
    </row>
    <row r="28" spans="1:51" x14ac:dyDescent="0.3">
      <c r="A28" s="95" t="str">
        <f t="shared" si="0"/>
        <v>FS Horses MMCH4</v>
      </c>
      <c r="B28" s="95" t="s">
        <v>1004</v>
      </c>
      <c r="C28" s="95" t="s">
        <v>1326</v>
      </c>
      <c r="D28" t="s">
        <v>15</v>
      </c>
      <c r="E28" t="s">
        <v>22</v>
      </c>
      <c r="F28" t="s">
        <v>20</v>
      </c>
      <c r="G28" t="s">
        <v>3</v>
      </c>
      <c r="H28" t="s">
        <v>1227</v>
      </c>
      <c r="I28" t="s">
        <v>121</v>
      </c>
      <c r="J28" t="s">
        <v>286</v>
      </c>
      <c r="K28" s="27">
        <f t="shared" si="7"/>
        <v>4.1336182129460552E-3</v>
      </c>
      <c r="L28" s="27">
        <f t="shared" si="9"/>
        <v>4.1536453250924071E-3</v>
      </c>
      <c r="M28" s="27">
        <f t="shared" si="9"/>
        <v>4.1840370126470534E-3</v>
      </c>
      <c r="N28" s="27">
        <f t="shared" si="9"/>
        <v>4.1905340987284569E-3</v>
      </c>
      <c r="O28" s="27">
        <f t="shared" si="9"/>
        <v>4.1812329246154589E-3</v>
      </c>
      <c r="P28" s="27">
        <f t="shared" si="9"/>
        <v>4.1564738854214548E-3</v>
      </c>
      <c r="Q28" s="27">
        <f t="shared" si="9"/>
        <v>4.1427460620707141E-3</v>
      </c>
      <c r="R28" s="27">
        <f t="shared" si="9"/>
        <v>4.1304087921358321E-3</v>
      </c>
      <c r="S28" s="27">
        <f t="shared" si="9"/>
        <v>3.8942776940038416E-3</v>
      </c>
      <c r="T28" s="27">
        <f t="shared" si="9"/>
        <v>3.9425050527123239E-3</v>
      </c>
      <c r="U28" s="27">
        <f t="shared" si="9"/>
        <v>4.0191071248696416E-3</v>
      </c>
      <c r="V28" s="27">
        <f t="shared" si="9"/>
        <v>4.0473828533201294E-3</v>
      </c>
      <c r="W28" s="27">
        <f t="shared" si="9"/>
        <v>4.0809840197269919E-3</v>
      </c>
      <c r="X28" s="27">
        <f t="shared" si="9"/>
        <v>4.1216678621320202E-3</v>
      </c>
      <c r="Y28" s="27">
        <f t="shared" si="9"/>
        <v>4.1703472412361522E-3</v>
      </c>
      <c r="Z28" s="27">
        <f t="shared" si="9"/>
        <v>4.2244482436929265E-3</v>
      </c>
      <c r="AA28" s="27">
        <f t="shared" si="9"/>
        <v>4.2791921283487086E-3</v>
      </c>
      <c r="AB28" s="27">
        <f t="shared" si="9"/>
        <v>4.3388287504468421E-3</v>
      </c>
      <c r="AC28" s="27">
        <f t="shared" si="9"/>
        <v>4.3986726547954836E-3</v>
      </c>
      <c r="AD28" s="27">
        <f t="shared" si="9"/>
        <v>4.4704656017983358E-3</v>
      </c>
      <c r="AE28" s="27">
        <f t="shared" si="9"/>
        <v>4.539631463046338E-3</v>
      </c>
      <c r="AF28" s="27">
        <f t="shared" si="9"/>
        <v>4.6121605087864415E-3</v>
      </c>
      <c r="AG28" s="27">
        <f t="shared" si="9"/>
        <v>4.6951125632471334E-3</v>
      </c>
      <c r="AH28" s="27">
        <f t="shared" si="9"/>
        <v>4.7715465683054572E-3</v>
      </c>
      <c r="AI28" s="27">
        <f t="shared" si="9"/>
        <v>4.855932813312959E-3</v>
      </c>
      <c r="AJ28" s="27">
        <f t="shared" si="9"/>
        <v>4.945901658536307E-3</v>
      </c>
      <c r="AK28" s="27">
        <f t="shared" si="9"/>
        <v>5.0279520878702428E-3</v>
      </c>
      <c r="AL28" s="27">
        <f t="shared" si="9"/>
        <v>5.1082371551630715E-3</v>
      </c>
      <c r="AM28" s="27">
        <f t="shared" si="9"/>
        <v>5.1870452828056204E-3</v>
      </c>
      <c r="AN28" s="27">
        <f t="shared" si="9"/>
        <v>5.27706789842347E-3</v>
      </c>
      <c r="AO28" s="27">
        <f t="shared" si="9"/>
        <v>5.3619473096130918E-3</v>
      </c>
      <c r="AP28" s="27">
        <f t="shared" si="9"/>
        <v>5.4495970329020271E-3</v>
      </c>
      <c r="AQ28" s="27">
        <f t="shared" si="9"/>
        <v>5.5404524678757516E-3</v>
      </c>
      <c r="AR28" s="27">
        <f t="shared" si="9"/>
        <v>5.6352215326777718E-3</v>
      </c>
      <c r="AS28" s="27">
        <f t="shared" si="9"/>
        <v>5.7381722103153144E-3</v>
      </c>
      <c r="AT28" s="27">
        <f t="shared" si="9"/>
        <v>5.7552832935457467E-3</v>
      </c>
      <c r="AU28" s="27">
        <f t="shared" si="9"/>
        <v>5.7642783755128633E-3</v>
      </c>
      <c r="AV28" s="27">
        <f t="shared" si="9"/>
        <v>5.7617518385425876E-3</v>
      </c>
      <c r="AW28" s="27">
        <f t="shared" si="9"/>
        <v>5.7557818048942742E-3</v>
      </c>
      <c r="AY28" s="79"/>
    </row>
    <row r="29" spans="1:51" x14ac:dyDescent="0.3">
      <c r="A29" s="95" t="str">
        <f t="shared" si="0"/>
        <v>FS Mules MMCH4</v>
      </c>
      <c r="B29" s="95" t="s">
        <v>1004</v>
      </c>
      <c r="C29" s="95" t="s">
        <v>1327</v>
      </c>
      <c r="D29" t="s">
        <v>15</v>
      </c>
      <c r="E29" t="s">
        <v>22</v>
      </c>
      <c r="F29" t="s">
        <v>140</v>
      </c>
      <c r="G29" t="s">
        <v>124</v>
      </c>
      <c r="H29" t="s">
        <v>1227</v>
      </c>
      <c r="I29" t="s">
        <v>121</v>
      </c>
      <c r="J29" t="s">
        <v>286</v>
      </c>
      <c r="K29" s="27">
        <f t="shared" si="7"/>
        <v>7.515E-4</v>
      </c>
      <c r="L29" s="27">
        <f t="shared" si="9"/>
        <v>7.515E-4</v>
      </c>
      <c r="M29" s="27">
        <f t="shared" si="9"/>
        <v>7.515E-4</v>
      </c>
      <c r="N29" s="27">
        <f t="shared" si="9"/>
        <v>7.515E-4</v>
      </c>
      <c r="O29" s="27">
        <f t="shared" si="9"/>
        <v>7.515E-4</v>
      </c>
      <c r="P29" s="27">
        <f t="shared" si="9"/>
        <v>7.515E-4</v>
      </c>
      <c r="Q29" s="27">
        <f t="shared" si="9"/>
        <v>7.515E-4</v>
      </c>
      <c r="R29" s="27">
        <f t="shared" si="9"/>
        <v>7.515E-4</v>
      </c>
      <c r="S29" s="27">
        <f t="shared" si="9"/>
        <v>7.515E-4</v>
      </c>
      <c r="T29" s="27">
        <f t="shared" si="9"/>
        <v>7.515E-4</v>
      </c>
      <c r="U29" s="27">
        <f t="shared" si="9"/>
        <v>7.515E-4</v>
      </c>
      <c r="V29" s="27">
        <f t="shared" si="9"/>
        <v>7.515E-4</v>
      </c>
      <c r="W29" s="27">
        <f t="shared" si="9"/>
        <v>7.515E-4</v>
      </c>
      <c r="X29" s="27">
        <f t="shared" si="9"/>
        <v>7.515E-4</v>
      </c>
      <c r="Y29" s="27">
        <f t="shared" si="9"/>
        <v>7.515E-4</v>
      </c>
      <c r="Z29" s="27">
        <f t="shared" si="9"/>
        <v>7.515E-4</v>
      </c>
      <c r="AA29" s="27">
        <f t="shared" si="9"/>
        <v>7.515E-4</v>
      </c>
      <c r="AB29" s="27">
        <f t="shared" si="9"/>
        <v>7.515E-4</v>
      </c>
      <c r="AC29" s="27">
        <f t="shared" si="9"/>
        <v>7.515E-4</v>
      </c>
      <c r="AD29" s="27">
        <f t="shared" si="9"/>
        <v>7.515E-4</v>
      </c>
      <c r="AE29" s="27">
        <f t="shared" si="9"/>
        <v>7.515E-4</v>
      </c>
      <c r="AF29" s="27">
        <f t="shared" si="9"/>
        <v>7.515E-4</v>
      </c>
      <c r="AG29" s="27">
        <f t="shared" si="9"/>
        <v>7.515E-4</v>
      </c>
      <c r="AH29" s="27">
        <f t="shared" si="9"/>
        <v>7.515E-4</v>
      </c>
      <c r="AI29" s="27">
        <f t="shared" si="9"/>
        <v>7.515E-4</v>
      </c>
      <c r="AJ29" s="27">
        <f t="shared" si="9"/>
        <v>7.515E-4</v>
      </c>
      <c r="AK29" s="27">
        <f t="shared" si="9"/>
        <v>7.515E-4</v>
      </c>
      <c r="AL29" s="27">
        <f t="shared" si="9"/>
        <v>7.515E-4</v>
      </c>
      <c r="AM29" s="27">
        <f t="shared" si="9"/>
        <v>7.515E-4</v>
      </c>
      <c r="AN29" s="27">
        <f t="shared" si="9"/>
        <v>7.515E-4</v>
      </c>
      <c r="AO29" s="27">
        <f t="shared" si="9"/>
        <v>7.515E-4</v>
      </c>
      <c r="AP29" s="27">
        <f t="shared" si="9"/>
        <v>7.515E-4</v>
      </c>
      <c r="AQ29" s="27">
        <f t="shared" si="9"/>
        <v>7.515E-4</v>
      </c>
      <c r="AR29" s="27">
        <f t="shared" si="9"/>
        <v>7.515E-4</v>
      </c>
      <c r="AS29" s="27">
        <f t="shared" si="9"/>
        <v>7.515E-4</v>
      </c>
      <c r="AT29" s="27">
        <f t="shared" si="9"/>
        <v>7.515E-4</v>
      </c>
      <c r="AU29" s="27">
        <f t="shared" si="9"/>
        <v>7.515E-4</v>
      </c>
      <c r="AV29" s="27">
        <f t="shared" si="9"/>
        <v>7.515E-4</v>
      </c>
      <c r="AW29" s="27">
        <f t="shared" si="9"/>
        <v>7.515E-4</v>
      </c>
      <c r="AY29" s="79"/>
    </row>
    <row r="30" spans="1:51" x14ac:dyDescent="0.3">
      <c r="A30" s="95" t="str">
        <f t="shared" si="0"/>
        <v>FS Swine MMCH4</v>
      </c>
      <c r="B30" s="95" t="s">
        <v>1004</v>
      </c>
      <c r="C30" s="95" t="s">
        <v>1230</v>
      </c>
      <c r="D30" t="s">
        <v>15</v>
      </c>
      <c r="E30" t="s">
        <v>22</v>
      </c>
      <c r="F30" t="s">
        <v>21</v>
      </c>
      <c r="G30" t="s">
        <v>122</v>
      </c>
      <c r="H30" t="s">
        <v>1227</v>
      </c>
      <c r="I30" t="s">
        <v>121</v>
      </c>
      <c r="J30" t="s">
        <v>286</v>
      </c>
      <c r="K30" s="27">
        <f t="shared" si="7"/>
        <v>23.279067868377393</v>
      </c>
      <c r="L30" s="27">
        <f t="shared" si="9"/>
        <v>23.152530650802596</v>
      </c>
      <c r="M30" s="27">
        <f t="shared" si="9"/>
        <v>23.162916433064304</v>
      </c>
      <c r="N30" s="27">
        <f t="shared" si="9"/>
        <v>22.950263110497293</v>
      </c>
      <c r="O30" s="27">
        <f t="shared" si="9"/>
        <v>22.602951186820601</v>
      </c>
      <c r="P30" s="27">
        <f t="shared" si="9"/>
        <v>22.126532811374943</v>
      </c>
      <c r="Q30" s="27">
        <f t="shared" si="9"/>
        <v>21.780600237355962</v>
      </c>
      <c r="R30" s="27">
        <f t="shared" si="9"/>
        <v>21.465278056857681</v>
      </c>
      <c r="S30" s="27">
        <f t="shared" si="9"/>
        <v>18.952765181798245</v>
      </c>
      <c r="T30" s="27">
        <f t="shared" si="9"/>
        <v>19.192435731964196</v>
      </c>
      <c r="U30" s="27">
        <f t="shared" si="9"/>
        <v>19.706721684105471</v>
      </c>
      <c r="V30" s="27">
        <f t="shared" si="9"/>
        <v>19.753416176775058</v>
      </c>
      <c r="W30" s="27">
        <f t="shared" si="9"/>
        <v>19.854535695194098</v>
      </c>
      <c r="X30" s="27">
        <f t="shared" si="9"/>
        <v>20.024553174699502</v>
      </c>
      <c r="Y30" s="27">
        <f t="shared" si="9"/>
        <v>20.23789112840667</v>
      </c>
      <c r="Z30" s="27">
        <f t="shared" si="9"/>
        <v>20.499318704805695</v>
      </c>
      <c r="AA30" s="27">
        <f t="shared" si="9"/>
        <v>20.763803414840964</v>
      </c>
      <c r="AB30" s="27">
        <f t="shared" si="9"/>
        <v>21.06916344985618</v>
      </c>
      <c r="AC30" s="27">
        <f t="shared" si="9"/>
        <v>21.372415897013145</v>
      </c>
      <c r="AD30" s="27">
        <f t="shared" si="9"/>
        <v>21.74943786655458</v>
      </c>
      <c r="AE30" s="27">
        <f t="shared" si="9"/>
        <v>22.096514126462726</v>
      </c>
      <c r="AF30" s="27">
        <f t="shared" ref="L30:AW38" si="10">AF1405</f>
        <v>22.465831015653421</v>
      </c>
      <c r="AG30" s="27">
        <f t="shared" si="10"/>
        <v>22.916349440576454</v>
      </c>
      <c r="AH30" s="27">
        <f t="shared" si="10"/>
        <v>23.303196681672105</v>
      </c>
      <c r="AI30" s="27">
        <f t="shared" si="10"/>
        <v>23.720738750345618</v>
      </c>
      <c r="AJ30" s="27">
        <f t="shared" si="10"/>
        <v>24.1739099146189</v>
      </c>
      <c r="AK30" s="27">
        <f t="shared" si="10"/>
        <v>24.551957379803568</v>
      </c>
      <c r="AL30" s="27">
        <f t="shared" si="10"/>
        <v>24.90648475217996</v>
      </c>
      <c r="AM30" s="27">
        <f t="shared" si="10"/>
        <v>25.240351368122212</v>
      </c>
      <c r="AN30" s="27">
        <f t="shared" si="10"/>
        <v>25.625854072975109</v>
      </c>
      <c r="AO30" s="27">
        <f t="shared" si="10"/>
        <v>25.960227974531257</v>
      </c>
      <c r="AP30" s="27">
        <f t="shared" si="10"/>
        <v>26.305386782253809</v>
      </c>
      <c r="AQ30" s="27">
        <f t="shared" si="10"/>
        <v>26.663933949781747</v>
      </c>
      <c r="AR30" s="27">
        <f t="shared" si="10"/>
        <v>27.040355797157176</v>
      </c>
      <c r="AS30" s="27">
        <f t="shared" si="10"/>
        <v>27.435623697912018</v>
      </c>
      <c r="AT30" s="27">
        <f t="shared" si="10"/>
        <v>27.195097752022821</v>
      </c>
      <c r="AU30" s="27">
        <f t="shared" si="10"/>
        <v>26.898987311246398</v>
      </c>
      <c r="AV30" s="27">
        <f t="shared" si="10"/>
        <v>26.52534739576117</v>
      </c>
      <c r="AW30" s="27">
        <f t="shared" si="10"/>
        <v>26.133382968648512</v>
      </c>
      <c r="AY30" s="79"/>
    </row>
    <row r="31" spans="1:51" x14ac:dyDescent="0.3">
      <c r="A31" s="95" t="str">
        <f t="shared" si="0"/>
        <v>FS Swine MMCH4</v>
      </c>
      <c r="B31" s="95" t="s">
        <v>1004</v>
      </c>
      <c r="C31" s="95" t="s">
        <v>1230</v>
      </c>
      <c r="D31" t="s">
        <v>15</v>
      </c>
      <c r="E31" t="s">
        <v>22</v>
      </c>
      <c r="F31" t="s">
        <v>21</v>
      </c>
      <c r="G31" t="s">
        <v>123</v>
      </c>
      <c r="H31" t="s">
        <v>1227</v>
      </c>
      <c r="I31" t="s">
        <v>121</v>
      </c>
      <c r="J31" t="s">
        <v>286</v>
      </c>
      <c r="K31" s="27">
        <f t="shared" si="7"/>
        <v>7.7932061732677776E-2</v>
      </c>
      <c r="L31" s="27">
        <f t="shared" si="10"/>
        <v>7.7508449141861113E-2</v>
      </c>
      <c r="M31" s="27">
        <f t="shared" si="10"/>
        <v>7.7543217949140597E-2</v>
      </c>
      <c r="N31" s="27">
        <f t="shared" si="10"/>
        <v>7.6831311787104617E-2</v>
      </c>
      <c r="O31" s="27">
        <f t="shared" si="10"/>
        <v>7.5668604825232008E-2</v>
      </c>
      <c r="P31" s="27">
        <f t="shared" si="10"/>
        <v>7.4073684167079379E-2</v>
      </c>
      <c r="Q31" s="27">
        <f t="shared" si="10"/>
        <v>7.2915594897087016E-2</v>
      </c>
      <c r="R31" s="27">
        <f t="shared" si="10"/>
        <v>7.1859980996426681E-2</v>
      </c>
      <c r="S31" s="27">
        <f t="shared" si="10"/>
        <v>6.344876326252144E-2</v>
      </c>
      <c r="T31" s="27">
        <f t="shared" si="10"/>
        <v>6.4251115840238279E-2</v>
      </c>
      <c r="U31" s="27">
        <f t="shared" si="10"/>
        <v>6.5972806966237654E-2</v>
      </c>
      <c r="V31" s="27">
        <f t="shared" si="10"/>
        <v>6.6129127576060945E-2</v>
      </c>
      <c r="W31" s="27">
        <f t="shared" si="10"/>
        <v>6.6467648542465979E-2</v>
      </c>
      <c r="X31" s="27">
        <f t="shared" si="10"/>
        <v>6.7036821362587692E-2</v>
      </c>
      <c r="Y31" s="27">
        <f t="shared" si="10"/>
        <v>6.775101948564978E-2</v>
      </c>
      <c r="Z31" s="27">
        <f t="shared" si="10"/>
        <v>6.8626208738834141E-2</v>
      </c>
      <c r="AA31" s="27">
        <f t="shared" si="10"/>
        <v>6.951163245366497E-2</v>
      </c>
      <c r="AB31" s="27">
        <f t="shared" si="10"/>
        <v>7.0533895769105751E-2</v>
      </c>
      <c r="AC31" s="27">
        <f t="shared" si="10"/>
        <v>7.1549103446923737E-2</v>
      </c>
      <c r="AD31" s="27">
        <f t="shared" si="10"/>
        <v>7.2811271656192611E-2</v>
      </c>
      <c r="AE31" s="27">
        <f t="shared" si="10"/>
        <v>7.3973189679115328E-2</v>
      </c>
      <c r="AF31" s="27">
        <f t="shared" si="10"/>
        <v>7.5209563350521091E-2</v>
      </c>
      <c r="AG31" s="27">
        <f t="shared" si="10"/>
        <v>7.6717777936316622E-2</v>
      </c>
      <c r="AH31" s="27">
        <f t="shared" si="10"/>
        <v>7.801283851368343E-2</v>
      </c>
      <c r="AI31" s="27">
        <f t="shared" si="10"/>
        <v>7.9410657122909484E-2</v>
      </c>
      <c r="AJ31" s="27">
        <f t="shared" si="10"/>
        <v>8.0927752366984504E-2</v>
      </c>
      <c r="AK31" s="27">
        <f t="shared" si="10"/>
        <v>8.2193353660010307E-2</v>
      </c>
      <c r="AL31" s="27">
        <f t="shared" si="10"/>
        <v>8.3380216004592958E-2</v>
      </c>
      <c r="AM31" s="27">
        <f t="shared" si="10"/>
        <v>8.4497911690313968E-2</v>
      </c>
      <c r="AN31" s="27">
        <f t="shared" si="10"/>
        <v>8.5788471121755847E-2</v>
      </c>
      <c r="AO31" s="27">
        <f t="shared" si="10"/>
        <v>8.6907865063352116E-2</v>
      </c>
      <c r="AP31" s="27">
        <f t="shared" si="10"/>
        <v>8.8063363971774958E-2</v>
      </c>
      <c r="AQ31" s="27">
        <f t="shared" si="10"/>
        <v>8.9263683509990727E-2</v>
      </c>
      <c r="AR31" s="27">
        <f t="shared" si="10"/>
        <v>9.0523842671562632E-2</v>
      </c>
      <c r="AS31" s="27">
        <f t="shared" si="10"/>
        <v>9.1847093353967207E-2</v>
      </c>
      <c r="AT31" s="27">
        <f t="shared" si="10"/>
        <v>9.1041877141302144E-2</v>
      </c>
      <c r="AU31" s="27">
        <f t="shared" si="10"/>
        <v>9.0050578981051232E-2</v>
      </c>
      <c r="AV31" s="27">
        <f t="shared" si="10"/>
        <v>8.8799732979655169E-2</v>
      </c>
      <c r="AW31" s="27">
        <f t="shared" si="10"/>
        <v>8.7487541439019989E-2</v>
      </c>
      <c r="AY31" s="79"/>
    </row>
    <row r="32" spans="1:51" x14ac:dyDescent="0.3">
      <c r="A32" s="95" t="str">
        <f t="shared" si="0"/>
        <v>FS Poultry MMCH4</v>
      </c>
      <c r="B32" s="95" t="s">
        <v>1004</v>
      </c>
      <c r="C32" s="95" t="s">
        <v>1231</v>
      </c>
      <c r="D32" t="s">
        <v>15</v>
      </c>
      <c r="E32" t="s">
        <v>22</v>
      </c>
      <c r="F32" t="s">
        <v>28</v>
      </c>
      <c r="G32" t="s">
        <v>131</v>
      </c>
      <c r="H32" t="s">
        <v>1227</v>
      </c>
      <c r="I32" t="s">
        <v>121</v>
      </c>
      <c r="J32" t="s">
        <v>286</v>
      </c>
      <c r="K32" s="27">
        <f t="shared" si="7"/>
        <v>0.55586528215230246</v>
      </c>
      <c r="L32" s="27">
        <f t="shared" si="10"/>
        <v>0.56716712532642333</v>
      </c>
      <c r="M32" s="27">
        <f t="shared" si="10"/>
        <v>0.58037790885594753</v>
      </c>
      <c r="N32" s="27">
        <f t="shared" si="10"/>
        <v>0.5905201523722613</v>
      </c>
      <c r="O32" s="27">
        <f t="shared" si="10"/>
        <v>0.5986618277459016</v>
      </c>
      <c r="P32" s="27">
        <f t="shared" si="10"/>
        <v>0.60475451589519691</v>
      </c>
      <c r="Q32" s="27">
        <f t="shared" si="10"/>
        <v>0.61256702388185857</v>
      </c>
      <c r="R32" s="27">
        <f t="shared" si="10"/>
        <v>0.6206898695388976</v>
      </c>
      <c r="S32" s="27">
        <f t="shared" si="10"/>
        <v>0.59306384026239212</v>
      </c>
      <c r="T32" s="27">
        <f t="shared" si="10"/>
        <v>0.60782510553672808</v>
      </c>
      <c r="U32" s="27">
        <f t="shared" si="10"/>
        <v>0.62749693593989653</v>
      </c>
      <c r="V32" s="27">
        <f t="shared" si="10"/>
        <v>0.63952779473480192</v>
      </c>
      <c r="W32" s="27">
        <f t="shared" si="10"/>
        <v>0.65264407206550135</v>
      </c>
      <c r="X32" s="27">
        <f t="shared" si="10"/>
        <v>0.66717765079794833</v>
      </c>
      <c r="Y32" s="27">
        <f t="shared" si="10"/>
        <v>0.68218893777565714</v>
      </c>
      <c r="Z32" s="27">
        <f t="shared" si="10"/>
        <v>0.6983681341066772</v>
      </c>
      <c r="AA32" s="27">
        <f t="shared" si="10"/>
        <v>0.71491117725499365</v>
      </c>
      <c r="AB32" s="27">
        <f t="shared" si="10"/>
        <v>0.73257463286693114</v>
      </c>
      <c r="AC32" s="27">
        <f t="shared" si="10"/>
        <v>0.7505526685248175</v>
      </c>
      <c r="AD32" s="27">
        <f t="shared" si="10"/>
        <v>0.76994977468450398</v>
      </c>
      <c r="AE32" s="27">
        <f t="shared" si="10"/>
        <v>0.78914658446111008</v>
      </c>
      <c r="AF32" s="27">
        <f t="shared" si="10"/>
        <v>0.80922915626502845</v>
      </c>
      <c r="AG32" s="27">
        <f t="shared" si="10"/>
        <v>0.83151801683952153</v>
      </c>
      <c r="AH32" s="27">
        <f t="shared" si="10"/>
        <v>0.85291597213422199</v>
      </c>
      <c r="AI32" s="27">
        <f t="shared" si="10"/>
        <v>0.87504492147223956</v>
      </c>
      <c r="AJ32" s="27">
        <f t="shared" si="10"/>
        <v>0.89850514567918238</v>
      </c>
      <c r="AK32" s="27">
        <f t="shared" si="10"/>
        <v>0.92075676441275556</v>
      </c>
      <c r="AL32" s="27">
        <f t="shared" si="10"/>
        <v>0.94294773672658772</v>
      </c>
      <c r="AM32" s="27">
        <f t="shared" si="10"/>
        <v>0.96512911525862388</v>
      </c>
      <c r="AN32" s="27">
        <f t="shared" si="10"/>
        <v>0.98866250207381989</v>
      </c>
      <c r="AO32" s="27">
        <f t="shared" si="10"/>
        <v>1.0114465581050009</v>
      </c>
      <c r="AP32" s="27">
        <f t="shared" si="10"/>
        <v>1.0350196328361636</v>
      </c>
      <c r="AQ32" s="27">
        <f t="shared" si="10"/>
        <v>1.0594801323783987</v>
      </c>
      <c r="AR32" s="27">
        <f t="shared" si="10"/>
        <v>1.0849829625275211</v>
      </c>
      <c r="AS32" s="27">
        <f t="shared" si="10"/>
        <v>1.1111668702046387</v>
      </c>
      <c r="AT32" s="27">
        <f t="shared" si="10"/>
        <v>1.1203381651267506</v>
      </c>
      <c r="AU32" s="27">
        <f t="shared" si="10"/>
        <v>1.1279342308342708</v>
      </c>
      <c r="AV32" s="27">
        <f t="shared" si="10"/>
        <v>1.13323884791937</v>
      </c>
      <c r="AW32" s="27">
        <f t="shared" si="10"/>
        <v>1.137864963271239</v>
      </c>
      <c r="AY32" s="79"/>
    </row>
    <row r="33" spans="1:51" x14ac:dyDescent="0.3">
      <c r="A33" s="95" t="str">
        <f t="shared" si="0"/>
        <v>FS Poultry MMCH4</v>
      </c>
      <c r="B33" s="95" t="s">
        <v>1004</v>
      </c>
      <c r="C33" s="95" t="s">
        <v>1231</v>
      </c>
      <c r="D33" t="s">
        <v>15</v>
      </c>
      <c r="E33" t="s">
        <v>22</v>
      </c>
      <c r="F33" t="s">
        <v>28</v>
      </c>
      <c r="G33" t="s">
        <v>132</v>
      </c>
      <c r="H33" t="s">
        <v>1227</v>
      </c>
      <c r="I33" t="s">
        <v>121</v>
      </c>
      <c r="J33" t="s">
        <v>286</v>
      </c>
      <c r="K33" s="27">
        <f t="shared" si="7"/>
        <v>2.2100196981344111</v>
      </c>
      <c r="L33" s="27">
        <f t="shared" si="10"/>
        <v>2.2391217074451477</v>
      </c>
      <c r="M33" s="27">
        <f t="shared" si="10"/>
        <v>2.2858678822724823</v>
      </c>
      <c r="N33" s="27">
        <f t="shared" si="10"/>
        <v>2.2992900748078591</v>
      </c>
      <c r="O33" s="27">
        <f t="shared" si="10"/>
        <v>2.2910596881616572</v>
      </c>
      <c r="P33" s="27">
        <f t="shared" si="10"/>
        <v>2.2612642885898917</v>
      </c>
      <c r="Q33" s="27">
        <f t="shared" si="10"/>
        <v>2.2487211059946204</v>
      </c>
      <c r="R33" s="27">
        <f t="shared" si="10"/>
        <v>2.2390235702415184</v>
      </c>
      <c r="S33" s="27">
        <f t="shared" si="10"/>
        <v>1.8873806466050964</v>
      </c>
      <c r="T33" s="27">
        <f t="shared" si="10"/>
        <v>1.9621300984115682</v>
      </c>
      <c r="U33" s="27">
        <f t="shared" si="10"/>
        <v>2.0814254172868796</v>
      </c>
      <c r="V33" s="27">
        <f t="shared" si="10"/>
        <v>2.1274151344864149</v>
      </c>
      <c r="W33" s="27">
        <f t="shared" si="10"/>
        <v>2.1824506881567056</v>
      </c>
      <c r="X33" s="27">
        <f t="shared" si="10"/>
        <v>2.2493281606911828</v>
      </c>
      <c r="Y33" s="27">
        <f t="shared" si="10"/>
        <v>2.3261233859270511</v>
      </c>
      <c r="Z33" s="27">
        <f t="shared" si="10"/>
        <v>2.4121225146398793</v>
      </c>
      <c r="AA33" s="27">
        <f t="shared" si="10"/>
        <v>2.4999478814416944</v>
      </c>
      <c r="AB33" s="27">
        <f t="shared" si="10"/>
        <v>2.5962654285530302</v>
      </c>
      <c r="AC33" s="27">
        <f t="shared" si="10"/>
        <v>2.6938179504840183</v>
      </c>
      <c r="AD33" s="27">
        <f t="shared" si="10"/>
        <v>2.8076989520027458</v>
      </c>
      <c r="AE33" s="27">
        <f t="shared" si="10"/>
        <v>2.9182147779075716</v>
      </c>
      <c r="AF33" s="27">
        <f t="shared" si="10"/>
        <v>3.0347920342807941</v>
      </c>
      <c r="AG33" s="27">
        <f t="shared" si="10"/>
        <v>3.1685994721864104</v>
      </c>
      <c r="AH33" s="27">
        <f t="shared" si="10"/>
        <v>3.2930349508119656</v>
      </c>
      <c r="AI33" s="27">
        <f t="shared" si="10"/>
        <v>3.427074485424797</v>
      </c>
      <c r="AJ33" s="27">
        <f t="shared" si="10"/>
        <v>3.5705841120118782</v>
      </c>
      <c r="AK33" s="27">
        <f t="shared" si="10"/>
        <v>3.702270113838861</v>
      </c>
      <c r="AL33" s="27">
        <f t="shared" si="10"/>
        <v>3.8318633402397859</v>
      </c>
      <c r="AM33" s="27">
        <f t="shared" si="10"/>
        <v>3.9598368656050509</v>
      </c>
      <c r="AN33" s="27">
        <f t="shared" si="10"/>
        <v>4.1020537482739581</v>
      </c>
      <c r="AO33" s="27">
        <f t="shared" si="10"/>
        <v>4.2366042379514601</v>
      </c>
      <c r="AP33" s="27">
        <f t="shared" si="10"/>
        <v>4.376057584996432</v>
      </c>
      <c r="AQ33" s="27">
        <f t="shared" si="10"/>
        <v>4.5211331273416295</v>
      </c>
      <c r="AR33" s="27">
        <f t="shared" si="10"/>
        <v>4.67298612402322</v>
      </c>
      <c r="AS33" s="27">
        <f t="shared" si="10"/>
        <v>4.8333405314076359</v>
      </c>
      <c r="AT33" s="27">
        <f t="shared" si="10"/>
        <v>4.8577536687430269</v>
      </c>
      <c r="AU33" s="27">
        <f t="shared" si="10"/>
        <v>4.8696640260341857</v>
      </c>
      <c r="AV33" s="27">
        <f t="shared" si="10"/>
        <v>4.8636695672494161</v>
      </c>
      <c r="AW33" s="27">
        <f t="shared" si="10"/>
        <v>4.8525780818062749</v>
      </c>
      <c r="AY33" s="79"/>
    </row>
    <row r="34" spans="1:51" x14ac:dyDescent="0.3">
      <c r="A34" s="95" t="str">
        <f t="shared" si="0"/>
        <v>FS Poultry MMCH4</v>
      </c>
      <c r="B34" s="95" t="s">
        <v>1004</v>
      </c>
      <c r="C34" s="95" t="s">
        <v>1231</v>
      </c>
      <c r="D34" t="s">
        <v>15</v>
      </c>
      <c r="E34" t="s">
        <v>22</v>
      </c>
      <c r="F34" t="s">
        <v>28</v>
      </c>
      <c r="G34" t="s">
        <v>134</v>
      </c>
      <c r="H34" t="s">
        <v>1227</v>
      </c>
      <c r="I34" t="s">
        <v>121</v>
      </c>
      <c r="J34" t="s">
        <v>286</v>
      </c>
      <c r="K34" s="27">
        <f t="shared" si="7"/>
        <v>2.3161053423012622E-2</v>
      </c>
      <c r="L34" s="27">
        <f t="shared" si="10"/>
        <v>2.3631963555267657E-2</v>
      </c>
      <c r="M34" s="27">
        <f t="shared" si="10"/>
        <v>2.4182412868997839E-2</v>
      </c>
      <c r="N34" s="27">
        <f t="shared" si="10"/>
        <v>2.460500634884424E-2</v>
      </c>
      <c r="O34" s="27">
        <f t="shared" si="10"/>
        <v>2.4944242822745925E-2</v>
      </c>
      <c r="P34" s="27">
        <f t="shared" si="10"/>
        <v>2.5198104828966561E-2</v>
      </c>
      <c r="Q34" s="27">
        <f t="shared" si="10"/>
        <v>2.5523625995077459E-2</v>
      </c>
      <c r="R34" s="27">
        <f t="shared" si="10"/>
        <v>2.5862077897454098E-2</v>
      </c>
      <c r="S34" s="27">
        <f t="shared" si="10"/>
        <v>2.4710993344266366E-2</v>
      </c>
      <c r="T34" s="27">
        <f t="shared" si="10"/>
        <v>2.5326046064030362E-2</v>
      </c>
      <c r="U34" s="27">
        <f t="shared" si="10"/>
        <v>2.6145705664162376E-2</v>
      </c>
      <c r="V34" s="27">
        <f t="shared" si="10"/>
        <v>2.6646991447283438E-2</v>
      </c>
      <c r="W34" s="27">
        <f t="shared" si="10"/>
        <v>2.7193503002729248E-2</v>
      </c>
      <c r="X34" s="27">
        <f t="shared" si="10"/>
        <v>2.7799068783247873E-2</v>
      </c>
      <c r="Y34" s="27">
        <f t="shared" si="10"/>
        <v>2.842453907398574E-2</v>
      </c>
      <c r="Z34" s="27">
        <f t="shared" si="10"/>
        <v>2.9098672254444909E-2</v>
      </c>
      <c r="AA34" s="27">
        <f t="shared" si="10"/>
        <v>2.9787965718958094E-2</v>
      </c>
      <c r="AB34" s="27">
        <f t="shared" si="10"/>
        <v>3.0523943036122159E-2</v>
      </c>
      <c r="AC34" s="27">
        <f t="shared" si="10"/>
        <v>3.1273027855200759E-2</v>
      </c>
      <c r="AD34" s="27">
        <f t="shared" si="10"/>
        <v>3.2081240611854363E-2</v>
      </c>
      <c r="AE34" s="27">
        <f t="shared" si="10"/>
        <v>3.2881107685879617E-2</v>
      </c>
      <c r="AF34" s="27">
        <f t="shared" si="10"/>
        <v>3.3717881511042887E-2</v>
      </c>
      <c r="AG34" s="27">
        <f t="shared" si="10"/>
        <v>3.4646584034980096E-2</v>
      </c>
      <c r="AH34" s="27">
        <f t="shared" si="10"/>
        <v>3.5538165505592613E-2</v>
      </c>
      <c r="AI34" s="27">
        <f t="shared" si="10"/>
        <v>3.6460205061343343E-2</v>
      </c>
      <c r="AJ34" s="27">
        <f t="shared" si="10"/>
        <v>3.7437714403299294E-2</v>
      </c>
      <c r="AK34" s="27">
        <f t="shared" si="10"/>
        <v>3.8364865183864859E-2</v>
      </c>
      <c r="AL34" s="27">
        <f t="shared" si="10"/>
        <v>3.9289489030274523E-2</v>
      </c>
      <c r="AM34" s="27">
        <f t="shared" si="10"/>
        <v>4.0213713135776041E-2</v>
      </c>
      <c r="AN34" s="27">
        <f t="shared" si="10"/>
        <v>4.1194270919742537E-2</v>
      </c>
      <c r="AO34" s="27">
        <f t="shared" si="10"/>
        <v>4.2143606587708417E-2</v>
      </c>
      <c r="AP34" s="27">
        <f t="shared" si="10"/>
        <v>4.312581803484019E-2</v>
      </c>
      <c r="AQ34" s="27">
        <f t="shared" si="10"/>
        <v>4.4145005515766646E-2</v>
      </c>
      <c r="AR34" s="27">
        <f t="shared" si="10"/>
        <v>4.5207623438646753E-2</v>
      </c>
      <c r="AS34" s="27">
        <f t="shared" si="10"/>
        <v>4.6298619591859998E-2</v>
      </c>
      <c r="AT34" s="27">
        <f t="shared" si="10"/>
        <v>4.6680756880281324E-2</v>
      </c>
      <c r="AU34" s="27">
        <f t="shared" si="10"/>
        <v>4.6997259618094658E-2</v>
      </c>
      <c r="AV34" s="27">
        <f t="shared" si="10"/>
        <v>4.721828532997379E-2</v>
      </c>
      <c r="AW34" s="27">
        <f t="shared" si="10"/>
        <v>4.7411040136301673E-2</v>
      </c>
      <c r="AY34" s="79"/>
    </row>
    <row r="35" spans="1:51" x14ac:dyDescent="0.3">
      <c r="A35" s="95" t="str">
        <f t="shared" si="0"/>
        <v>FS Poultry MMCH4</v>
      </c>
      <c r="B35" s="95" t="s">
        <v>1004</v>
      </c>
      <c r="C35" s="95" t="s">
        <v>1231</v>
      </c>
      <c r="D35" t="s">
        <v>15</v>
      </c>
      <c r="E35" t="s">
        <v>22</v>
      </c>
      <c r="F35" t="s">
        <v>28</v>
      </c>
      <c r="G35" t="s">
        <v>133</v>
      </c>
      <c r="H35" t="s">
        <v>1227</v>
      </c>
      <c r="I35" t="s">
        <v>121</v>
      </c>
      <c r="J35" t="s">
        <v>286</v>
      </c>
      <c r="K35" s="27">
        <f t="shared" si="7"/>
        <v>9.2084154088933862E-2</v>
      </c>
      <c r="L35" s="27">
        <f t="shared" si="10"/>
        <v>9.3296737810214581E-2</v>
      </c>
      <c r="M35" s="27">
        <f t="shared" si="10"/>
        <v>9.5244495094686854E-2</v>
      </c>
      <c r="N35" s="27">
        <f t="shared" si="10"/>
        <v>9.5803753116994225E-2</v>
      </c>
      <c r="O35" s="27">
        <f t="shared" si="10"/>
        <v>9.5460820340069155E-2</v>
      </c>
      <c r="P35" s="27">
        <f t="shared" si="10"/>
        <v>9.4219345357912251E-2</v>
      </c>
      <c r="Q35" s="27">
        <f t="shared" si="10"/>
        <v>9.3696712749775937E-2</v>
      </c>
      <c r="R35" s="27">
        <f t="shared" si="10"/>
        <v>9.3292648760063338E-2</v>
      </c>
      <c r="S35" s="27">
        <f t="shared" si="10"/>
        <v>7.8640860275212429E-2</v>
      </c>
      <c r="T35" s="27">
        <f t="shared" si="10"/>
        <v>8.1755420767148743E-2</v>
      </c>
      <c r="U35" s="27">
        <f t="shared" si="10"/>
        <v>8.6726059053620061E-2</v>
      </c>
      <c r="V35" s="27">
        <f t="shared" si="10"/>
        <v>8.8642297270267373E-2</v>
      </c>
      <c r="W35" s="27">
        <f t="shared" si="10"/>
        <v>9.0935445339862836E-2</v>
      </c>
      <c r="X35" s="27">
        <f t="shared" si="10"/>
        <v>9.3722006695466042E-2</v>
      </c>
      <c r="Y35" s="27">
        <f t="shared" si="10"/>
        <v>9.6921807746960562E-2</v>
      </c>
      <c r="Z35" s="27">
        <f t="shared" si="10"/>
        <v>0.10050510477666173</v>
      </c>
      <c r="AA35" s="27">
        <f t="shared" si="10"/>
        <v>0.10416449506007071</v>
      </c>
      <c r="AB35" s="27">
        <f t="shared" si="10"/>
        <v>0.10817772618970968</v>
      </c>
      <c r="AC35" s="27">
        <f t="shared" si="10"/>
        <v>0.11224241460350089</v>
      </c>
      <c r="AD35" s="27">
        <f t="shared" si="10"/>
        <v>0.11698745633344786</v>
      </c>
      <c r="AE35" s="27">
        <f t="shared" si="10"/>
        <v>0.12159228241281558</v>
      </c>
      <c r="AF35" s="27">
        <f t="shared" si="10"/>
        <v>0.12644966809503322</v>
      </c>
      <c r="AG35" s="27">
        <f t="shared" si="10"/>
        <v>0.13202497800776722</v>
      </c>
      <c r="AH35" s="27">
        <f t="shared" si="10"/>
        <v>0.13720978961716535</v>
      </c>
      <c r="AI35" s="27">
        <f t="shared" si="10"/>
        <v>0.14279477022603335</v>
      </c>
      <c r="AJ35" s="27">
        <f t="shared" si="10"/>
        <v>0.14877433800049503</v>
      </c>
      <c r="AK35" s="27">
        <f t="shared" si="10"/>
        <v>0.15426125474328603</v>
      </c>
      <c r="AL35" s="27">
        <f t="shared" si="10"/>
        <v>0.15966097250999123</v>
      </c>
      <c r="AM35" s="27">
        <f t="shared" si="10"/>
        <v>0.16499320273354395</v>
      </c>
      <c r="AN35" s="27">
        <f t="shared" si="10"/>
        <v>0.17091890617808173</v>
      </c>
      <c r="AO35" s="27">
        <f t="shared" si="10"/>
        <v>0.17652517658131101</v>
      </c>
      <c r="AP35" s="27">
        <f t="shared" si="10"/>
        <v>0.18233573270818484</v>
      </c>
      <c r="AQ35" s="27">
        <f t="shared" si="10"/>
        <v>0.18838054697256806</v>
      </c>
      <c r="AR35" s="27">
        <f t="shared" si="10"/>
        <v>0.19470775516763436</v>
      </c>
      <c r="AS35" s="27">
        <f t="shared" si="10"/>
        <v>0.2013891888086517</v>
      </c>
      <c r="AT35" s="27">
        <f t="shared" si="10"/>
        <v>0.20240640286429301</v>
      </c>
      <c r="AU35" s="27">
        <f t="shared" si="10"/>
        <v>0.20290266775142457</v>
      </c>
      <c r="AV35" s="27">
        <f t="shared" si="10"/>
        <v>0.20265289863539254</v>
      </c>
      <c r="AW35" s="27">
        <f t="shared" si="10"/>
        <v>0.20219075340859499</v>
      </c>
      <c r="AY35" s="79"/>
    </row>
    <row r="36" spans="1:51" x14ac:dyDescent="0.3">
      <c r="A36" s="95" t="str">
        <f t="shared" si="0"/>
        <v>FS Cattle MMN2O</v>
      </c>
      <c r="B36" s="95" t="s">
        <v>1004</v>
      </c>
      <c r="C36" s="95" t="s">
        <v>1232</v>
      </c>
      <c r="D36" t="s">
        <v>15</v>
      </c>
      <c r="E36" t="s">
        <v>657</v>
      </c>
      <c r="F36" t="s">
        <v>6</v>
      </c>
      <c r="G36" t="s">
        <v>136</v>
      </c>
      <c r="H36" t="s">
        <v>1227</v>
      </c>
      <c r="I36" t="s">
        <v>139</v>
      </c>
      <c r="J36" t="s">
        <v>287</v>
      </c>
      <c r="K36" s="27">
        <f>K1411</f>
        <v>5.9474079071945893E-2</v>
      </c>
      <c r="L36" s="27">
        <f t="shared" ref="L36:AW36" si="11">L1411</f>
        <v>5.9806569587962516E-2</v>
      </c>
      <c r="M36" s="27">
        <f t="shared" si="11"/>
        <v>6.0278316688762053E-2</v>
      </c>
      <c r="N36" s="27">
        <f t="shared" si="11"/>
        <v>6.0581464452445992E-2</v>
      </c>
      <c r="O36" s="27">
        <f t="shared" si="11"/>
        <v>6.078290752789528E-2</v>
      </c>
      <c r="P36" s="27">
        <f t="shared" si="11"/>
        <v>6.0880663265441157E-2</v>
      </c>
      <c r="Q36" s="27">
        <f t="shared" si="11"/>
        <v>6.1096642070638009E-2</v>
      </c>
      <c r="R36" s="27">
        <f t="shared" si="11"/>
        <v>6.1344406036983767E-2</v>
      </c>
      <c r="S36" s="27">
        <f t="shared" si="11"/>
        <v>5.9500417755247011E-2</v>
      </c>
      <c r="T36" s="27">
        <f t="shared" si="11"/>
        <v>6.0126071727634615E-2</v>
      </c>
      <c r="U36" s="27">
        <f t="shared" si="11"/>
        <v>6.104186359289164E-2</v>
      </c>
      <c r="V36" s="27">
        <f t="shared" si="11"/>
        <v>6.1516540546796637E-2</v>
      </c>
      <c r="W36" s="27">
        <f t="shared" si="11"/>
        <v>6.2059033118034318E-2</v>
      </c>
      <c r="X36" s="27">
        <f t="shared" si="11"/>
        <v>6.2686911431302672E-2</v>
      </c>
      <c r="Y36" s="27">
        <f t="shared" si="11"/>
        <v>6.3328093657155735E-2</v>
      </c>
      <c r="Z36" s="27">
        <f t="shared" si="11"/>
        <v>6.403779969028206E-2</v>
      </c>
      <c r="AA36" s="27">
        <f t="shared" si="11"/>
        <v>6.476949047597555E-2</v>
      </c>
      <c r="AB36" s="27">
        <f t="shared" si="11"/>
        <v>6.5565173536469165E-2</v>
      </c>
      <c r="AC36" s="27">
        <f t="shared" si="11"/>
        <v>6.637880571901654E-2</v>
      </c>
      <c r="AD36" s="27">
        <f t="shared" si="11"/>
        <v>6.7257796908474193E-2</v>
      </c>
      <c r="AE36" s="27">
        <f t="shared" si="11"/>
        <v>6.8124891518831304E-2</v>
      </c>
      <c r="AF36" s="27">
        <f t="shared" si="11"/>
        <v>6.9040103414992046E-2</v>
      </c>
      <c r="AG36" s="27">
        <f t="shared" si="11"/>
        <v>7.0075359365803738E-2</v>
      </c>
      <c r="AH36" s="27">
        <f t="shared" si="11"/>
        <v>7.1059649676811054E-2</v>
      </c>
      <c r="AI36" s="27">
        <f t="shared" si="11"/>
        <v>7.2069034177178609E-2</v>
      </c>
      <c r="AJ36" s="27">
        <f t="shared" si="11"/>
        <v>7.3148525212574408E-2</v>
      </c>
      <c r="AK36" s="27">
        <f t="shared" si="11"/>
        <v>7.4159878217982214E-2</v>
      </c>
      <c r="AL36" s="27">
        <f t="shared" si="11"/>
        <v>7.5165742888720646E-2</v>
      </c>
      <c r="AM36" s="27">
        <f t="shared" si="11"/>
        <v>7.6168917031251032E-2</v>
      </c>
      <c r="AN36" s="27">
        <f t="shared" si="11"/>
        <v>7.7230245197332834E-2</v>
      </c>
      <c r="AO36" s="27">
        <f t="shared" si="11"/>
        <v>7.8248884607158259E-2</v>
      </c>
      <c r="AP36" s="27">
        <f t="shared" si="11"/>
        <v>7.9307079203447303E-2</v>
      </c>
      <c r="AQ36" s="27">
        <f t="shared" si="11"/>
        <v>8.0409655218804749E-2</v>
      </c>
      <c r="AR36" s="27">
        <f t="shared" si="11"/>
        <v>8.1564373746965665E-2</v>
      </c>
      <c r="AS36" s="27">
        <f t="shared" si="11"/>
        <v>8.2739517725039347E-2</v>
      </c>
      <c r="AT36" s="27">
        <f t="shared" si="11"/>
        <v>8.3018134970904087E-2</v>
      </c>
      <c r="AU36" s="27">
        <f t="shared" si="11"/>
        <v>8.3216426012492323E-2</v>
      </c>
      <c r="AV36" s="27">
        <f t="shared" si="11"/>
        <v>8.3297669475104599E-2</v>
      </c>
      <c r="AW36" s="27">
        <f t="shared" si="11"/>
        <v>8.3346726471042673E-2</v>
      </c>
      <c r="AY36" s="79"/>
    </row>
    <row r="37" spans="1:51" x14ac:dyDescent="0.3">
      <c r="A37" s="95" t="str">
        <f t="shared" si="0"/>
        <v>FS Cattle MMN2O</v>
      </c>
      <c r="B37" s="95" t="s">
        <v>1004</v>
      </c>
      <c r="C37" s="95" t="s">
        <v>1232</v>
      </c>
      <c r="D37" t="s">
        <v>15</v>
      </c>
      <c r="E37" t="s">
        <v>657</v>
      </c>
      <c r="F37" t="s">
        <v>6</v>
      </c>
      <c r="G37" t="s">
        <v>137</v>
      </c>
      <c r="H37" t="s">
        <v>1227</v>
      </c>
      <c r="I37" t="s">
        <v>139</v>
      </c>
      <c r="J37" t="s">
        <v>287</v>
      </c>
      <c r="K37" s="27">
        <f t="shared" si="7"/>
        <v>0.26041511380118898</v>
      </c>
      <c r="L37" s="27">
        <f t="shared" si="10"/>
        <v>0.26187096745907484</v>
      </c>
      <c r="M37" s="27">
        <f t="shared" si="10"/>
        <v>0.26393657447404822</v>
      </c>
      <c r="N37" s="27">
        <f t="shared" si="10"/>
        <v>0.26526394701365208</v>
      </c>
      <c r="O37" s="27">
        <f t="shared" si="10"/>
        <v>0.26614599213711043</v>
      </c>
      <c r="P37" s="27">
        <f t="shared" si="10"/>
        <v>0.26657402855087203</v>
      </c>
      <c r="Q37" s="27">
        <f t="shared" si="10"/>
        <v>0.26751972028770321</v>
      </c>
      <c r="R37" s="27">
        <f t="shared" si="10"/>
        <v>0.26860458755254496</v>
      </c>
      <c r="S37" s="27">
        <f t="shared" si="10"/>
        <v>0.26053044120627478</v>
      </c>
      <c r="T37" s="27">
        <f t="shared" si="10"/>
        <v>0.26326994979492208</v>
      </c>
      <c r="U37" s="27">
        <f t="shared" si="10"/>
        <v>0.26727986548475752</v>
      </c>
      <c r="V37" s="27">
        <f t="shared" si="10"/>
        <v>0.2693583012486882</v>
      </c>
      <c r="W37" s="27">
        <f t="shared" si="10"/>
        <v>0.27173367665390064</v>
      </c>
      <c r="X37" s="27">
        <f t="shared" si="10"/>
        <v>0.27448292481300673</v>
      </c>
      <c r="Y37" s="27">
        <f t="shared" si="10"/>
        <v>0.27729042591127234</v>
      </c>
      <c r="Z37" s="27">
        <f t="shared" si="10"/>
        <v>0.28039796755405094</v>
      </c>
      <c r="AA37" s="27">
        <f t="shared" si="10"/>
        <v>0.28360177234089196</v>
      </c>
      <c r="AB37" s="27">
        <f t="shared" si="10"/>
        <v>0.28708577575853983</v>
      </c>
      <c r="AC37" s="27">
        <f t="shared" si="10"/>
        <v>0.29064837177880054</v>
      </c>
      <c r="AD37" s="27">
        <f t="shared" si="10"/>
        <v>0.29449715084700523</v>
      </c>
      <c r="AE37" s="27">
        <f t="shared" si="10"/>
        <v>0.29829383917166835</v>
      </c>
      <c r="AF37" s="27">
        <f t="shared" si="10"/>
        <v>0.30230121539018168</v>
      </c>
      <c r="AG37" s="27">
        <f t="shared" si="10"/>
        <v>0.30683422036395941</v>
      </c>
      <c r="AH37" s="27">
        <f t="shared" si="10"/>
        <v>0.31114406554952856</v>
      </c>
      <c r="AI37" s="27">
        <f t="shared" si="10"/>
        <v>0.31556378895902254</v>
      </c>
      <c r="AJ37" s="27">
        <f t="shared" si="10"/>
        <v>0.32029048309563773</v>
      </c>
      <c r="AK37" s="27">
        <f t="shared" si="10"/>
        <v>0.32471882586455802</v>
      </c>
      <c r="AL37" s="27">
        <f t="shared" si="10"/>
        <v>0.32912313723492953</v>
      </c>
      <c r="AM37" s="27">
        <f t="shared" si="10"/>
        <v>0.33351566777203023</v>
      </c>
      <c r="AN37" s="27">
        <f t="shared" si="10"/>
        <v>0.33816283338541037</v>
      </c>
      <c r="AO37" s="27">
        <f t="shared" si="10"/>
        <v>0.34262308063885955</v>
      </c>
      <c r="AP37" s="27">
        <f t="shared" si="10"/>
        <v>0.34725652550284908</v>
      </c>
      <c r="AQ37" s="27">
        <f t="shared" si="10"/>
        <v>0.35208430027455134</v>
      </c>
      <c r="AR37" s="27">
        <f t="shared" si="10"/>
        <v>0.3571403879283947</v>
      </c>
      <c r="AS37" s="27">
        <f t="shared" si="10"/>
        <v>0.36228591111358999</v>
      </c>
      <c r="AT37" s="27">
        <f t="shared" si="10"/>
        <v>0.36350587353959202</v>
      </c>
      <c r="AU37" s="27">
        <f t="shared" si="10"/>
        <v>0.36437411706629697</v>
      </c>
      <c r="AV37" s="27">
        <f t="shared" si="10"/>
        <v>0.36472985230241872</v>
      </c>
      <c r="AW37" s="27">
        <f t="shared" si="10"/>
        <v>0.36494465484126087</v>
      </c>
      <c r="AY37" s="79"/>
    </row>
    <row r="38" spans="1:51" x14ac:dyDescent="0.3">
      <c r="A38" s="95" t="str">
        <f t="shared" si="0"/>
        <v>FS Cattle MMN2O</v>
      </c>
      <c r="B38" s="95" t="s">
        <v>1004</v>
      </c>
      <c r="C38" s="95" t="s">
        <v>1232</v>
      </c>
      <c r="D38" t="s">
        <v>15</v>
      </c>
      <c r="E38" t="s">
        <v>657</v>
      </c>
      <c r="F38" t="s">
        <v>67</v>
      </c>
      <c r="G38" t="s">
        <v>307</v>
      </c>
      <c r="H38" t="s">
        <v>1227</v>
      </c>
      <c r="I38" t="s">
        <v>139</v>
      </c>
      <c r="J38" t="s">
        <v>287</v>
      </c>
      <c r="K38" s="27">
        <f t="shared" si="7"/>
        <v>1.1586934798802538E-2</v>
      </c>
      <c r="L38" s="27">
        <f t="shared" si="10"/>
        <v>1.1651711689683764E-2</v>
      </c>
      <c r="M38" s="27">
        <f t="shared" si="10"/>
        <v>1.1743619004328788E-2</v>
      </c>
      <c r="N38" s="27">
        <f t="shared" si="10"/>
        <v>1.1802679244134426E-2</v>
      </c>
      <c r="O38" s="27">
        <f t="shared" si="10"/>
        <v>1.1841925043604099E-2</v>
      </c>
      <c r="P38" s="27">
        <f t="shared" si="10"/>
        <v>1.1860970136438286E-2</v>
      </c>
      <c r="Q38" s="27">
        <f t="shared" si="10"/>
        <v>1.1903047834366352E-2</v>
      </c>
      <c r="R38" s="27">
        <f t="shared" si="10"/>
        <v>1.1951318021451857E-2</v>
      </c>
      <c r="S38" s="27">
        <f t="shared" si="10"/>
        <v>1.1592066187314282E-2</v>
      </c>
      <c r="T38" s="27">
        <f t="shared" si="10"/>
        <v>1.1713958142562505E-2</v>
      </c>
      <c r="U38" s="27">
        <f t="shared" ref="L38:AW44" si="12">U1413</f>
        <v>1.1892375711990867E-2</v>
      </c>
      <c r="V38" s="27">
        <f t="shared" si="12"/>
        <v>1.1984853830210035E-2</v>
      </c>
      <c r="W38" s="27">
        <f t="shared" si="12"/>
        <v>1.2090544009021577E-2</v>
      </c>
      <c r="X38" s="27">
        <f t="shared" si="12"/>
        <v>1.221286931764253E-2</v>
      </c>
      <c r="Y38" s="27">
        <f t="shared" si="12"/>
        <v>1.2337786538069315E-2</v>
      </c>
      <c r="Z38" s="27">
        <f t="shared" si="12"/>
        <v>1.2476053790971267E-2</v>
      </c>
      <c r="AA38" s="27">
        <f t="shared" si="12"/>
        <v>1.2618604185344915E-2</v>
      </c>
      <c r="AB38" s="27">
        <f t="shared" si="12"/>
        <v>1.2773621764201382E-2</v>
      </c>
      <c r="AC38" s="27">
        <f t="shared" si="12"/>
        <v>1.293213624978054E-2</v>
      </c>
      <c r="AD38" s="27">
        <f t="shared" si="12"/>
        <v>1.3103384191066813E-2</v>
      </c>
      <c r="AE38" s="27">
        <f t="shared" si="12"/>
        <v>1.3272314401864145E-2</v>
      </c>
      <c r="AF38" s="27">
        <f t="shared" si="12"/>
        <v>1.345061897981439E-2</v>
      </c>
      <c r="AG38" s="27">
        <f t="shared" si="12"/>
        <v>1.3652310933507637E-2</v>
      </c>
      <c r="AH38" s="27">
        <f t="shared" si="12"/>
        <v>1.3844073594396234E-2</v>
      </c>
      <c r="AI38" s="27">
        <f t="shared" si="12"/>
        <v>1.4040725187412617E-2</v>
      </c>
      <c r="AJ38" s="27">
        <f t="shared" si="12"/>
        <v>1.4251035165107133E-2</v>
      </c>
      <c r="AK38" s="27">
        <f t="shared" si="12"/>
        <v>1.4448070268720213E-2</v>
      </c>
      <c r="AL38" s="27">
        <f t="shared" si="12"/>
        <v>1.4644036117004574E-2</v>
      </c>
      <c r="AM38" s="27">
        <f t="shared" si="12"/>
        <v>1.4839477787774847E-2</v>
      </c>
      <c r="AN38" s="27">
        <f t="shared" si="12"/>
        <v>1.5046249215805637E-2</v>
      </c>
      <c r="AO38" s="27">
        <f t="shared" si="12"/>
        <v>1.5244703880582538E-2</v>
      </c>
      <c r="AP38" s="27">
        <f t="shared" si="12"/>
        <v>1.5450864816287217E-2</v>
      </c>
      <c r="AQ38" s="27">
        <f t="shared" si="12"/>
        <v>1.5665672285356487E-2</v>
      </c>
      <c r="AR38" s="27">
        <f t="shared" si="12"/>
        <v>1.589063832948109E-2</v>
      </c>
      <c r="AS38" s="27">
        <f t="shared" si="12"/>
        <v>1.6119583726629205E-2</v>
      </c>
      <c r="AT38" s="27">
        <f t="shared" si="12"/>
        <v>1.6173864850642101E-2</v>
      </c>
      <c r="AU38" s="27">
        <f t="shared" si="12"/>
        <v>1.6212496560555425E-2</v>
      </c>
      <c r="AV38" s="27">
        <f t="shared" si="12"/>
        <v>1.6228324677927005E-2</v>
      </c>
      <c r="AW38" s="27">
        <f t="shared" si="12"/>
        <v>1.6237882122484858E-2</v>
      </c>
      <c r="AY38" s="79"/>
    </row>
    <row r="39" spans="1:51" x14ac:dyDescent="0.3">
      <c r="A39" s="95" t="str">
        <f t="shared" si="0"/>
        <v>FS Cattle MMN2O</v>
      </c>
      <c r="B39" s="95" t="s">
        <v>1004</v>
      </c>
      <c r="C39" s="95" t="s">
        <v>1232</v>
      </c>
      <c r="D39" t="s">
        <v>15</v>
      </c>
      <c r="E39" t="s">
        <v>657</v>
      </c>
      <c r="F39" t="s">
        <v>67</v>
      </c>
      <c r="G39" t="s">
        <v>122</v>
      </c>
      <c r="H39" t="s">
        <v>1227</v>
      </c>
      <c r="I39" t="s">
        <v>139</v>
      </c>
      <c r="J39" t="s">
        <v>287</v>
      </c>
      <c r="K39" s="27">
        <f t="shared" si="7"/>
        <v>0.52525224947331306</v>
      </c>
      <c r="L39" s="27">
        <f t="shared" si="12"/>
        <v>0.52069690445710348</v>
      </c>
      <c r="M39" s="27">
        <f t="shared" si="12"/>
        <v>0.51896282251134873</v>
      </c>
      <c r="N39" s="27">
        <f t="shared" si="12"/>
        <v>0.51203275332440912</v>
      </c>
      <c r="O39" s="27">
        <f t="shared" si="12"/>
        <v>0.50197358865556674</v>
      </c>
      <c r="P39" s="27">
        <f t="shared" si="12"/>
        <v>0.48899333628247271</v>
      </c>
      <c r="Q39" s="27">
        <f t="shared" si="12"/>
        <v>0.47875543160314177</v>
      </c>
      <c r="R39" s="27">
        <f t="shared" si="12"/>
        <v>0.46906920988966794</v>
      </c>
      <c r="S39" s="27">
        <f t="shared" si="12"/>
        <v>0.41264416115350733</v>
      </c>
      <c r="T39" s="27">
        <f t="shared" si="12"/>
        <v>0.41934674582080395</v>
      </c>
      <c r="U39" s="27">
        <f t="shared" si="12"/>
        <v>0.43185062896277993</v>
      </c>
      <c r="V39" s="27">
        <f t="shared" si="12"/>
        <v>0.43434779885132324</v>
      </c>
      <c r="W39" s="27">
        <f t="shared" si="12"/>
        <v>0.43794943602225234</v>
      </c>
      <c r="X39" s="27">
        <f t="shared" si="12"/>
        <v>0.44297379932068648</v>
      </c>
      <c r="Y39" s="27">
        <f t="shared" si="12"/>
        <v>0.44873697326986872</v>
      </c>
      <c r="Z39" s="27">
        <f t="shared" si="12"/>
        <v>0.45549399211939318</v>
      </c>
      <c r="AA39" s="27">
        <f t="shared" si="12"/>
        <v>0.46228217585155068</v>
      </c>
      <c r="AB39" s="27">
        <f t="shared" si="12"/>
        <v>0.46991678793970998</v>
      </c>
      <c r="AC39" s="27">
        <f t="shared" si="12"/>
        <v>0.47747563485930333</v>
      </c>
      <c r="AD39" s="27">
        <f t="shared" si="12"/>
        <v>0.48239948914340336</v>
      </c>
      <c r="AE39" s="27">
        <f t="shared" si="12"/>
        <v>0.48644231664639292</v>
      </c>
      <c r="AF39" s="27">
        <f t="shared" si="12"/>
        <v>0.49071333483501467</v>
      </c>
      <c r="AG39" s="27">
        <f t="shared" si="12"/>
        <v>0.49642790918475599</v>
      </c>
      <c r="AH39" s="27">
        <f t="shared" si="12"/>
        <v>0.50053763889453751</v>
      </c>
      <c r="AI39" s="27">
        <f t="shared" si="12"/>
        <v>0.50491759807835224</v>
      </c>
      <c r="AJ39" s="27">
        <f t="shared" si="12"/>
        <v>0.50973902676184191</v>
      </c>
      <c r="AK39" s="27">
        <f t="shared" si="12"/>
        <v>0.51274341869053752</v>
      </c>
      <c r="AL39" s="27">
        <f t="shared" si="12"/>
        <v>0.51499736836395149</v>
      </c>
      <c r="AM39" s="27">
        <f t="shared" si="12"/>
        <v>0.51656513471542254</v>
      </c>
      <c r="AN39" s="27">
        <f t="shared" si="12"/>
        <v>0.52143890594170261</v>
      </c>
      <c r="AO39" s="27">
        <f t="shared" si="12"/>
        <v>0.52514358906624359</v>
      </c>
      <c r="AP39" s="27">
        <f t="shared" si="12"/>
        <v>0.52889503602895283</v>
      </c>
      <c r="AQ39" s="27">
        <f t="shared" si="12"/>
        <v>0.53273616168720928</v>
      </c>
      <c r="AR39" s="27">
        <f t="shared" si="12"/>
        <v>0.53674442357271479</v>
      </c>
      <c r="AS39" s="27">
        <f t="shared" si="12"/>
        <v>0.54085984384551011</v>
      </c>
      <c r="AT39" s="27">
        <f t="shared" si="12"/>
        <v>0.53274169797877946</v>
      </c>
      <c r="AU39" s="27">
        <f t="shared" si="12"/>
        <v>0.52354520401592364</v>
      </c>
      <c r="AV39" s="27">
        <f t="shared" si="12"/>
        <v>0.51288351759282347</v>
      </c>
      <c r="AW39" s="27">
        <f t="shared" si="12"/>
        <v>0.50188770167031349</v>
      </c>
      <c r="AY39" s="79"/>
    </row>
    <row r="40" spans="1:51" x14ac:dyDescent="0.3">
      <c r="A40" s="95" t="str">
        <f t="shared" si="0"/>
        <v>FS Cattle MMN2O</v>
      </c>
      <c r="B40" s="95" t="s">
        <v>1004</v>
      </c>
      <c r="C40" s="95" t="s">
        <v>1232</v>
      </c>
      <c r="D40" t="s">
        <v>15</v>
      </c>
      <c r="E40" t="s">
        <v>657</v>
      </c>
      <c r="F40" t="s">
        <v>67</v>
      </c>
      <c r="G40" t="s">
        <v>123</v>
      </c>
      <c r="H40" t="s">
        <v>1227</v>
      </c>
      <c r="I40" t="s">
        <v>139</v>
      </c>
      <c r="J40" t="s">
        <v>287</v>
      </c>
      <c r="K40" s="27">
        <f t="shared" si="7"/>
        <v>0.80452586370517887</v>
      </c>
      <c r="L40" s="27">
        <f t="shared" si="12"/>
        <v>0.79754846782098032</v>
      </c>
      <c r="M40" s="27">
        <f t="shared" si="12"/>
        <v>0.79489238443144172</v>
      </c>
      <c r="N40" s="27">
        <f t="shared" si="12"/>
        <v>0.78427763712907439</v>
      </c>
      <c r="O40" s="27">
        <f t="shared" si="12"/>
        <v>0.76887007218962322</v>
      </c>
      <c r="P40" s="27">
        <f t="shared" si="12"/>
        <v>0.74898829393537225</v>
      </c>
      <c r="Q40" s="27">
        <f t="shared" si="12"/>
        <v>0.73330695394505496</v>
      </c>
      <c r="R40" s="27">
        <f t="shared" si="12"/>
        <v>0.71847062359542491</v>
      </c>
      <c r="S40" s="27">
        <f t="shared" si="12"/>
        <v>0.63204469945214758</v>
      </c>
      <c r="T40" s="27">
        <f t="shared" si="12"/>
        <v>0.6423110100180156</v>
      </c>
      <c r="U40" s="27">
        <f t="shared" si="12"/>
        <v>0.66146313624794417</v>
      </c>
      <c r="V40" s="27">
        <f t="shared" si="12"/>
        <v>0.6652880370711457</v>
      </c>
      <c r="W40" s="27">
        <f t="shared" si="12"/>
        <v>0.6708046441082407</v>
      </c>
      <c r="X40" s="27">
        <f t="shared" si="12"/>
        <v>0.67850043261042148</v>
      </c>
      <c r="Y40" s="27">
        <f t="shared" si="12"/>
        <v>0.68732785315702249</v>
      </c>
      <c r="Z40" s="27">
        <f t="shared" si="12"/>
        <v>0.69767754024819972</v>
      </c>
      <c r="AA40" s="27">
        <f t="shared" si="12"/>
        <v>0.70807496241170254</v>
      </c>
      <c r="AB40" s="27">
        <f t="shared" si="12"/>
        <v>0.71976885404270319</v>
      </c>
      <c r="AC40" s="27">
        <f t="shared" si="12"/>
        <v>0.73134669659873019</v>
      </c>
      <c r="AD40" s="27">
        <f t="shared" si="12"/>
        <v>0.73888853601902071</v>
      </c>
      <c r="AE40" s="27">
        <f t="shared" si="12"/>
        <v>0.74508091176213287</v>
      </c>
      <c r="AF40" s="27">
        <f t="shared" si="12"/>
        <v>0.7516228058721478</v>
      </c>
      <c r="AG40" s="27">
        <f t="shared" si="12"/>
        <v>0.76037578669049388</v>
      </c>
      <c r="AH40" s="27">
        <f t="shared" si="12"/>
        <v>0.76667063616076714</v>
      </c>
      <c r="AI40" s="27">
        <f t="shared" si="12"/>
        <v>0.77337939456948435</v>
      </c>
      <c r="AJ40" s="27">
        <f t="shared" si="12"/>
        <v>0.78076434928365657</v>
      </c>
      <c r="AK40" s="27">
        <f t="shared" si="12"/>
        <v>0.78536615920216046</v>
      </c>
      <c r="AL40" s="27">
        <f t="shared" si="12"/>
        <v>0.78881852101416539</v>
      </c>
      <c r="AM40" s="27">
        <f t="shared" si="12"/>
        <v>0.79121985976001552</v>
      </c>
      <c r="AN40" s="27">
        <f t="shared" si="12"/>
        <v>0.79868498724734416</v>
      </c>
      <c r="AO40" s="27">
        <f t="shared" si="12"/>
        <v>0.80435942918169867</v>
      </c>
      <c r="AP40" s="27">
        <f t="shared" si="12"/>
        <v>0.81010549901927509</v>
      </c>
      <c r="AQ40" s="27">
        <f t="shared" si="12"/>
        <v>0.81598892920145427</v>
      </c>
      <c r="AR40" s="27">
        <f t="shared" si="12"/>
        <v>0.82212836098613751</v>
      </c>
      <c r="AS40" s="27">
        <f t="shared" si="12"/>
        <v>0.82843192665920329</v>
      </c>
      <c r="AT40" s="27">
        <f t="shared" si="12"/>
        <v>0.81599740910755991</v>
      </c>
      <c r="AU40" s="27">
        <f t="shared" si="12"/>
        <v>0.80191119195009897</v>
      </c>
      <c r="AV40" s="27">
        <f t="shared" si="12"/>
        <v>0.78558074788879373</v>
      </c>
      <c r="AW40" s="27">
        <f t="shared" si="12"/>
        <v>0.76873851958597172</v>
      </c>
      <c r="AY40" s="79"/>
    </row>
    <row r="41" spans="1:51" x14ac:dyDescent="0.3">
      <c r="A41" s="95" t="str">
        <f t="shared" si="0"/>
        <v>FS Cattle MMN2O</v>
      </c>
      <c r="B41" s="95" t="s">
        <v>1004</v>
      </c>
      <c r="C41" s="95" t="s">
        <v>1232</v>
      </c>
      <c r="D41" t="s">
        <v>15</v>
      </c>
      <c r="E41" t="s">
        <v>657</v>
      </c>
      <c r="F41" t="s">
        <v>67</v>
      </c>
      <c r="G41" t="s">
        <v>135</v>
      </c>
      <c r="H41" t="s">
        <v>1227</v>
      </c>
      <c r="I41" t="s">
        <v>139</v>
      </c>
      <c r="J41" t="s">
        <v>287</v>
      </c>
      <c r="K41" s="27">
        <f t="shared" si="7"/>
        <v>0.97926119892671493</v>
      </c>
      <c r="L41" s="27">
        <f t="shared" si="12"/>
        <v>1.0122801448609142</v>
      </c>
      <c r="M41" s="27">
        <f t="shared" si="12"/>
        <v>1.0514701788925804</v>
      </c>
      <c r="N41" s="27">
        <f t="shared" si="12"/>
        <v>1.0806972456941153</v>
      </c>
      <c r="O41" s="27">
        <f t="shared" si="12"/>
        <v>1.1032367943433714</v>
      </c>
      <c r="P41" s="27">
        <f t="shared" si="12"/>
        <v>1.1187666946803865</v>
      </c>
      <c r="Q41" s="27">
        <f t="shared" si="12"/>
        <v>1.1399714801203362</v>
      </c>
      <c r="R41" s="27">
        <f t="shared" si="12"/>
        <v>1.1622002864669057</v>
      </c>
      <c r="S41" s="27">
        <f t="shared" si="12"/>
        <v>1.0637182358780759</v>
      </c>
      <c r="T41" s="27">
        <f t="shared" si="12"/>
        <v>1.1070403364801074</v>
      </c>
      <c r="U41" s="27">
        <f t="shared" si="12"/>
        <v>1.167139233674557</v>
      </c>
      <c r="V41" s="27">
        <f t="shared" si="12"/>
        <v>1.2014274387995842</v>
      </c>
      <c r="W41" s="27">
        <f t="shared" si="12"/>
        <v>1.2394742549139584</v>
      </c>
      <c r="X41" s="27">
        <f t="shared" si="12"/>
        <v>1.2824424199036168</v>
      </c>
      <c r="Y41" s="27">
        <f t="shared" si="12"/>
        <v>1.3286164007902908</v>
      </c>
      <c r="Z41" s="27">
        <f t="shared" si="12"/>
        <v>1.3789486454543383</v>
      </c>
      <c r="AA41" s="27">
        <f t="shared" si="12"/>
        <v>1.4306963818966387</v>
      </c>
      <c r="AB41" s="27">
        <f t="shared" si="12"/>
        <v>1.4864839183326823</v>
      </c>
      <c r="AC41" s="27">
        <f t="shared" si="12"/>
        <v>1.5435464944872577</v>
      </c>
      <c r="AD41" s="27">
        <f t="shared" si="12"/>
        <v>1.6111800014411353</v>
      </c>
      <c r="AE41" s="27">
        <f t="shared" si="12"/>
        <v>1.6786649286792732</v>
      </c>
      <c r="AF41" s="27">
        <f t="shared" si="12"/>
        <v>1.7498130115622672</v>
      </c>
      <c r="AG41" s="27">
        <f t="shared" si="12"/>
        <v>1.8293448328146484</v>
      </c>
      <c r="AH41" s="27">
        <f t="shared" si="12"/>
        <v>1.9063603244571439</v>
      </c>
      <c r="AI41" s="27">
        <f t="shared" si="12"/>
        <v>1.9878317329791768</v>
      </c>
      <c r="AJ41" s="27">
        <f t="shared" si="12"/>
        <v>2.0747636655461594</v>
      </c>
      <c r="AK41" s="27">
        <f t="shared" si="12"/>
        <v>2.1580530015142441</v>
      </c>
      <c r="AL41" s="27">
        <f t="shared" si="12"/>
        <v>2.2418001061580344</v>
      </c>
      <c r="AM41" s="27">
        <f t="shared" si="12"/>
        <v>2.326186702125502</v>
      </c>
      <c r="AN41" s="27">
        <f t="shared" si="12"/>
        <v>2.4143873382610392</v>
      </c>
      <c r="AO41" s="27">
        <f t="shared" si="12"/>
        <v>2.5003845769659914</v>
      </c>
      <c r="AP41" s="27">
        <f t="shared" si="12"/>
        <v>2.5898227222528956</v>
      </c>
      <c r="AQ41" s="27">
        <f t="shared" si="12"/>
        <v>2.6830977224212833</v>
      </c>
      <c r="AR41" s="27">
        <f t="shared" si="12"/>
        <v>2.7808208792989615</v>
      </c>
      <c r="AS41" s="27">
        <f t="shared" si="12"/>
        <v>2.8829310376391781</v>
      </c>
      <c r="AT41" s="27">
        <f t="shared" si="12"/>
        <v>2.9219897527083054</v>
      </c>
      <c r="AU41" s="27">
        <f t="shared" si="12"/>
        <v>2.955308116539189</v>
      </c>
      <c r="AV41" s="27">
        <f t="shared" si="12"/>
        <v>2.9801202079374365</v>
      </c>
      <c r="AW41" s="27">
        <f t="shared" si="12"/>
        <v>3.0024365734571252</v>
      </c>
      <c r="AY41" s="79"/>
    </row>
    <row r="42" spans="1:51" x14ac:dyDescent="0.3">
      <c r="A42" s="95" t="str">
        <f t="shared" si="0"/>
        <v>FS Sheep MMN2O</v>
      </c>
      <c r="B42" s="95" t="s">
        <v>1004</v>
      </c>
      <c r="C42" s="95" t="s">
        <v>1328</v>
      </c>
      <c r="D42" t="s">
        <v>15</v>
      </c>
      <c r="E42" t="s">
        <v>657</v>
      </c>
      <c r="F42" t="s">
        <v>18</v>
      </c>
      <c r="G42" t="s">
        <v>122</v>
      </c>
      <c r="H42" t="s">
        <v>1227</v>
      </c>
      <c r="I42" t="s">
        <v>139</v>
      </c>
      <c r="J42" t="s">
        <v>287</v>
      </c>
      <c r="K42" s="27">
        <f t="shared" si="7"/>
        <v>0.1171883187565219</v>
      </c>
      <c r="L42" s="27">
        <f t="shared" si="12"/>
        <v>0.11725168210757804</v>
      </c>
      <c r="M42" s="27">
        <f t="shared" si="12"/>
        <v>0.11740318150277541</v>
      </c>
      <c r="N42" s="27">
        <f t="shared" si="12"/>
        <v>0.11762656857541021</v>
      </c>
      <c r="O42" s="27">
        <f t="shared" si="12"/>
        <v>0.1179204237689029</v>
      </c>
      <c r="P42" s="27">
        <f t="shared" si="12"/>
        <v>0.11828164409401502</v>
      </c>
      <c r="Q42" s="27">
        <f t="shared" si="12"/>
        <v>0.1186873438242913</v>
      </c>
      <c r="R42" s="27">
        <f t="shared" si="12"/>
        <v>0.11913496163447934</v>
      </c>
      <c r="S42" s="27">
        <f t="shared" si="12"/>
        <v>0.11954428347803586</v>
      </c>
      <c r="T42" s="27">
        <f t="shared" si="12"/>
        <v>0.11972414940561894</v>
      </c>
      <c r="U42" s="27">
        <f t="shared" si="12"/>
        <v>0.11994380434419684</v>
      </c>
      <c r="V42" s="27">
        <f t="shared" si="12"/>
        <v>0.12017467883012861</v>
      </c>
      <c r="W42" s="27">
        <f t="shared" si="12"/>
        <v>0.12043388472990403</v>
      </c>
      <c r="X42" s="27">
        <f t="shared" si="12"/>
        <v>0.12072069678028939</v>
      </c>
      <c r="Y42" s="27">
        <f t="shared" si="12"/>
        <v>0.12089981812671623</v>
      </c>
      <c r="Z42" s="27">
        <f t="shared" si="12"/>
        <v>0.12110217984152867</v>
      </c>
      <c r="AA42" s="27">
        <f t="shared" si="12"/>
        <v>0.12132504756910802</v>
      </c>
      <c r="AB42" s="27">
        <f t="shared" si="12"/>
        <v>0.12156903411725499</v>
      </c>
      <c r="AC42" s="27">
        <f t="shared" si="12"/>
        <v>0.12183162117803532</v>
      </c>
      <c r="AD42" s="27">
        <f t="shared" si="12"/>
        <v>0.12200776858907328</v>
      </c>
      <c r="AE42" s="27">
        <f t="shared" si="12"/>
        <v>0.12219899661673859</v>
      </c>
      <c r="AF42" s="27">
        <f t="shared" si="12"/>
        <v>0.12240684242118335</v>
      </c>
      <c r="AG42" s="27">
        <f t="shared" si="12"/>
        <v>0.12263333491271973</v>
      </c>
      <c r="AH42" s="27">
        <f t="shared" si="12"/>
        <v>0.12287167298468532</v>
      </c>
      <c r="AI42" s="27">
        <f t="shared" si="12"/>
        <v>0.12302401792252464</v>
      </c>
      <c r="AJ42" s="27">
        <f t="shared" si="12"/>
        <v>0.12319088645114676</v>
      </c>
      <c r="AK42" s="27">
        <f t="shared" si="12"/>
        <v>0.12336677489796816</v>
      </c>
      <c r="AL42" s="27">
        <f t="shared" si="12"/>
        <v>0.12355355577482134</v>
      </c>
      <c r="AM42" s="27">
        <f t="shared" si="12"/>
        <v>0.12375094588099321</v>
      </c>
      <c r="AN42" s="27">
        <f t="shared" si="12"/>
        <v>0.12386757855810271</v>
      </c>
      <c r="AO42" s="27">
        <f t="shared" si="12"/>
        <v>0.12399208535623993</v>
      </c>
      <c r="AP42" s="27">
        <f t="shared" si="12"/>
        <v>0.12412714040619617</v>
      </c>
      <c r="AQ42" s="27">
        <f t="shared" si="12"/>
        <v>0.1242726131383893</v>
      </c>
      <c r="AR42" s="27">
        <f t="shared" si="12"/>
        <v>0.12442850053815514</v>
      </c>
      <c r="AS42" s="27">
        <f t="shared" si="12"/>
        <v>0.12449922291454818</v>
      </c>
      <c r="AT42" s="27">
        <f t="shared" si="12"/>
        <v>0.12454479881058539</v>
      </c>
      <c r="AU42" s="27">
        <f t="shared" si="12"/>
        <v>0.12459475860623467</v>
      </c>
      <c r="AV42" s="27">
        <f t="shared" si="12"/>
        <v>0.12464752954530567</v>
      </c>
      <c r="AW42" s="27">
        <f t="shared" si="12"/>
        <v>0.12470598620434532</v>
      </c>
      <c r="AY42" s="79"/>
    </row>
    <row r="43" spans="1:51" x14ac:dyDescent="0.3">
      <c r="A43" s="95" t="str">
        <f t="shared" si="0"/>
        <v>FS Sheep MMN2O</v>
      </c>
      <c r="B43" s="95" t="s">
        <v>1004</v>
      </c>
      <c r="C43" s="95" t="s">
        <v>1328</v>
      </c>
      <c r="D43" t="s">
        <v>15</v>
      </c>
      <c r="E43" t="s">
        <v>657</v>
      </c>
      <c r="F43" t="s">
        <v>18</v>
      </c>
      <c r="G43" t="s">
        <v>123</v>
      </c>
      <c r="H43" t="s">
        <v>1227</v>
      </c>
      <c r="I43" t="s">
        <v>139</v>
      </c>
      <c r="J43" t="s">
        <v>287</v>
      </c>
      <c r="K43" s="27">
        <f t="shared" si="7"/>
        <v>6.266545072674834E-2</v>
      </c>
      <c r="L43" s="27">
        <f t="shared" si="12"/>
        <v>6.269933373655362E-2</v>
      </c>
      <c r="M43" s="27">
        <f t="shared" si="12"/>
        <v>6.2780346741822493E-2</v>
      </c>
      <c r="N43" s="27">
        <f t="shared" si="12"/>
        <v>6.2899801067490158E-2</v>
      </c>
      <c r="O43" s="27">
        <f t="shared" si="12"/>
        <v>6.3056937617822231E-2</v>
      </c>
      <c r="P43" s="27">
        <f t="shared" si="12"/>
        <v>6.3250097095874355E-2</v>
      </c>
      <c r="Q43" s="27">
        <f t="shared" si="12"/>
        <v>6.3467041555247503E-2</v>
      </c>
      <c r="R43" s="27">
        <f t="shared" si="12"/>
        <v>6.3706401349179126E-2</v>
      </c>
      <c r="S43" s="27">
        <f t="shared" si="12"/>
        <v>6.3925282702636074E-2</v>
      </c>
      <c r="T43" s="27">
        <f t="shared" si="12"/>
        <v>6.402146446837842E-2</v>
      </c>
      <c r="U43" s="27">
        <f t="shared" si="12"/>
        <v>6.4138923067293366E-2</v>
      </c>
      <c r="V43" s="27">
        <f t="shared" si="12"/>
        <v>6.4262381223155141E-2</v>
      </c>
      <c r="W43" s="27">
        <f t="shared" si="12"/>
        <v>6.4400989360150498E-2</v>
      </c>
      <c r="X43" s="27">
        <f t="shared" si="12"/>
        <v>6.4554359649970958E-2</v>
      </c>
      <c r="Y43" s="27">
        <f t="shared" si="12"/>
        <v>6.4650143257311041E-2</v>
      </c>
      <c r="Z43" s="27">
        <f t="shared" si="12"/>
        <v>6.4758354452787853E-2</v>
      </c>
      <c r="AA43" s="27">
        <f t="shared" si="12"/>
        <v>6.4877531063130933E-2</v>
      </c>
      <c r="AB43" s="27">
        <f t="shared" si="12"/>
        <v>6.500800078206817E-2</v>
      </c>
      <c r="AC43" s="27">
        <f t="shared" si="12"/>
        <v>6.5148416965979825E-2</v>
      </c>
      <c r="AD43" s="27">
        <f t="shared" si="12"/>
        <v>6.5242610286817326E-2</v>
      </c>
      <c r="AE43" s="27">
        <f t="shared" si="12"/>
        <v>6.5344867838358231E-2</v>
      </c>
      <c r="AF43" s="27">
        <f t="shared" si="12"/>
        <v>6.5456011603840999E-2</v>
      </c>
      <c r="AG43" s="27">
        <f t="shared" si="12"/>
        <v>6.5577126525694585E-2</v>
      </c>
      <c r="AH43" s="27">
        <f t="shared" si="12"/>
        <v>6.570457577032536E-2</v>
      </c>
      <c r="AI43" s="27">
        <f t="shared" si="12"/>
        <v>6.5786040922287098E-2</v>
      </c>
      <c r="AJ43" s="27">
        <f t="shared" si="12"/>
        <v>6.5875272440148028E-2</v>
      </c>
      <c r="AK43" s="27">
        <f t="shared" si="12"/>
        <v>6.5969327282086584E-2</v>
      </c>
      <c r="AL43" s="27">
        <f t="shared" si="12"/>
        <v>6.6069206757782967E-2</v>
      </c>
      <c r="AM43" s="27">
        <f t="shared" si="12"/>
        <v>6.6174759428079058E-2</v>
      </c>
      <c r="AN43" s="27">
        <f t="shared" si="12"/>
        <v>6.623712775418944E-2</v>
      </c>
      <c r="AO43" s="27">
        <f t="shared" si="12"/>
        <v>6.6303706699144024E-2</v>
      </c>
      <c r="AP43" s="27">
        <f t="shared" si="12"/>
        <v>6.6375926231502153E-2</v>
      </c>
      <c r="AQ43" s="27">
        <f t="shared" si="12"/>
        <v>6.6453716530296997E-2</v>
      </c>
      <c r="AR43" s="27">
        <f t="shared" si="12"/>
        <v>6.653707598346266E-2</v>
      </c>
      <c r="AS43" s="27">
        <f t="shared" si="12"/>
        <v>6.6574894169098925E-2</v>
      </c>
      <c r="AT43" s="27">
        <f t="shared" si="12"/>
        <v>6.659926548953217E-2</v>
      </c>
      <c r="AU43" s="27">
        <f t="shared" si="12"/>
        <v>6.66259810627719E-2</v>
      </c>
      <c r="AV43" s="27">
        <f t="shared" si="12"/>
        <v>6.6654199870902653E-2</v>
      </c>
      <c r="AW43" s="27">
        <f t="shared" si="12"/>
        <v>6.6685459069136477E-2</v>
      </c>
      <c r="AY43" s="79"/>
    </row>
    <row r="44" spans="1:51" x14ac:dyDescent="0.3">
      <c r="A44" s="95" t="str">
        <f t="shared" si="0"/>
        <v>FS Goats MMN2O</v>
      </c>
      <c r="B44" s="95" t="s">
        <v>1004</v>
      </c>
      <c r="C44" s="95" t="s">
        <v>1329</v>
      </c>
      <c r="D44" t="s">
        <v>15</v>
      </c>
      <c r="E44" t="s">
        <v>657</v>
      </c>
      <c r="F44" t="s">
        <v>19</v>
      </c>
      <c r="G44" t="s">
        <v>122</v>
      </c>
      <c r="H44" t="s">
        <v>1227</v>
      </c>
      <c r="I44" t="s">
        <v>139</v>
      </c>
      <c r="J44" t="s">
        <v>287</v>
      </c>
      <c r="K44" s="27">
        <f t="shared" si="7"/>
        <v>1.4486129996083084E-2</v>
      </c>
      <c r="L44" s="27">
        <f t="shared" si="12"/>
        <v>1.4523786941695514E-2</v>
      </c>
      <c r="M44" s="27">
        <f t="shared" si="12"/>
        <v>1.457573336741831E-2</v>
      </c>
      <c r="N44" s="27">
        <f t="shared" si="12"/>
        <v>1.4639017833045654E-2</v>
      </c>
      <c r="O44" s="27">
        <f t="shared" si="12"/>
        <v>1.4713550078172181E-2</v>
      </c>
      <c r="P44" s="27">
        <f t="shared" si="12"/>
        <v>1.4798876460462532E-2</v>
      </c>
      <c r="Q44" s="27">
        <f t="shared" si="12"/>
        <v>1.4890706011157261E-2</v>
      </c>
      <c r="R44" s="27">
        <f t="shared" si="12"/>
        <v>1.4988675221399694E-2</v>
      </c>
      <c r="S44" s="27">
        <f t="shared" si="12"/>
        <v>1.5077522200056563E-2</v>
      </c>
      <c r="T44" s="27">
        <f t="shared" si="12"/>
        <v>1.5120920467659648E-2</v>
      </c>
      <c r="U44" s="27">
        <f t="shared" si="12"/>
        <v>1.5170664566545743E-2</v>
      </c>
      <c r="V44" s="27">
        <f t="shared" si="12"/>
        <v>1.522137130781058E-2</v>
      </c>
      <c r="W44" s="27">
        <f t="shared" si="12"/>
        <v>1.527636657794784E-2</v>
      </c>
      <c r="X44" s="27">
        <f t="shared" si="12"/>
        <v>1.5335559486365858E-2</v>
      </c>
      <c r="Y44" s="27">
        <f t="shared" si="12"/>
        <v>1.5373440359637548E-2</v>
      </c>
      <c r="Z44" s="27">
        <f t="shared" si="12"/>
        <v>1.5414884136013281E-2</v>
      </c>
      <c r="AA44" s="27">
        <f t="shared" si="12"/>
        <v>1.5459406079654034E-2</v>
      </c>
      <c r="AB44" s="27">
        <f t="shared" si="12"/>
        <v>1.5507149153927192E-2</v>
      </c>
      <c r="AC44" s="27">
        <f t="shared" si="12"/>
        <v>1.55576650603759E-2</v>
      </c>
      <c r="AD44" s="27">
        <f t="shared" si="12"/>
        <v>1.5591353436562988E-2</v>
      </c>
      <c r="AE44" s="27">
        <f t="shared" si="12"/>
        <v>1.5627280085252663E-2</v>
      </c>
      <c r="AF44" s="27">
        <f t="shared" si="12"/>
        <v>1.5665749106164011E-2</v>
      </c>
      <c r="AG44" s="27">
        <f t="shared" si="12"/>
        <v>1.5707151218007597E-2</v>
      </c>
      <c r="AH44" s="27">
        <f t="shared" si="12"/>
        <v>1.575023561921594E-2</v>
      </c>
      <c r="AI44" s="27">
        <f t="shared" si="12"/>
        <v>1.5776918897393025E-2</v>
      </c>
      <c r="AJ44" s="27">
        <f t="shared" si="12"/>
        <v>1.5805875112600263E-2</v>
      </c>
      <c r="AK44" s="27">
        <f t="shared" si="12"/>
        <v>1.5836097205917665E-2</v>
      </c>
      <c r="AL44" s="27">
        <f t="shared" si="12"/>
        <v>1.5867941184595159E-2</v>
      </c>
      <c r="AM44" s="27">
        <f t="shared" si="12"/>
        <v>1.5901363449816974E-2</v>
      </c>
      <c r="AN44" s="27">
        <f t="shared" si="12"/>
        <v>1.5919623331121565E-2</v>
      </c>
      <c r="AO44" s="27">
        <f t="shared" si="12"/>
        <v>1.5939033537312693E-2</v>
      </c>
      <c r="AP44" s="27">
        <f t="shared" si="12"/>
        <v>1.5960089556991585E-2</v>
      </c>
      <c r="AQ44" s="27">
        <f t="shared" si="12"/>
        <v>1.5982771280705937E-2</v>
      </c>
      <c r="AR44" s="27">
        <f t="shared" si="12"/>
        <v>1.6007081325051208E-2</v>
      </c>
      <c r="AS44" s="27">
        <f t="shared" si="12"/>
        <v>1.6015649873683192E-2</v>
      </c>
      <c r="AT44" s="27">
        <f t="shared" si="12"/>
        <v>1.601945516807891E-2</v>
      </c>
      <c r="AU44" s="27">
        <f t="shared" si="12"/>
        <v>1.602387884909745E-2</v>
      </c>
      <c r="AV44" s="27">
        <f t="shared" ref="L44:AW51" si="13">AV1419</f>
        <v>1.6028641289399778E-2</v>
      </c>
      <c r="AW44" s="27">
        <f t="shared" si="13"/>
        <v>1.6034267352361548E-2</v>
      </c>
      <c r="AY44" s="79"/>
    </row>
    <row r="45" spans="1:51" x14ac:dyDescent="0.3">
      <c r="A45" s="95" t="str">
        <f t="shared" si="0"/>
        <v>FS Goats MMN2O</v>
      </c>
      <c r="B45" s="95" t="s">
        <v>1004</v>
      </c>
      <c r="C45" s="95" t="s">
        <v>1329</v>
      </c>
      <c r="D45" t="s">
        <v>15</v>
      </c>
      <c r="E45" t="s">
        <v>657</v>
      </c>
      <c r="F45" t="s">
        <v>19</v>
      </c>
      <c r="G45" t="s">
        <v>123</v>
      </c>
      <c r="H45" t="s">
        <v>1227</v>
      </c>
      <c r="I45" t="s">
        <v>139</v>
      </c>
      <c r="J45" t="s">
        <v>287</v>
      </c>
      <c r="K45" s="27">
        <f t="shared" si="7"/>
        <v>0.11484439540301131</v>
      </c>
      <c r="L45" s="27">
        <f t="shared" si="13"/>
        <v>0.11514293539628438</v>
      </c>
      <c r="M45" s="27">
        <f t="shared" si="13"/>
        <v>0.1155547607669731</v>
      </c>
      <c r="N45" s="27">
        <f t="shared" si="13"/>
        <v>0.11605647283191664</v>
      </c>
      <c r="O45" s="27">
        <f t="shared" si="13"/>
        <v>0.11664735601685972</v>
      </c>
      <c r="P45" s="27">
        <f t="shared" si="13"/>
        <v>0.11732381389682567</v>
      </c>
      <c r="Q45" s="27">
        <f t="shared" si="13"/>
        <v>0.11805182815822728</v>
      </c>
      <c r="R45" s="27">
        <f t="shared" si="13"/>
        <v>0.11882851694408277</v>
      </c>
      <c r="S45" s="27">
        <f t="shared" si="13"/>
        <v>0.11953288571269048</v>
      </c>
      <c r="T45" s="27">
        <f t="shared" si="13"/>
        <v>0.11987694225544984</v>
      </c>
      <c r="U45" s="27">
        <f t="shared" si="13"/>
        <v>0.12027130782879383</v>
      </c>
      <c r="V45" s="27">
        <f t="shared" si="13"/>
        <v>0.12067330512172106</v>
      </c>
      <c r="W45" s="27">
        <f t="shared" si="13"/>
        <v>0.12110930138508789</v>
      </c>
      <c r="X45" s="27">
        <f t="shared" si="13"/>
        <v>0.12157857604859369</v>
      </c>
      <c r="Y45" s="27">
        <f t="shared" si="13"/>
        <v>0.12187889131494858</v>
      </c>
      <c r="Z45" s="27">
        <f t="shared" si="13"/>
        <v>0.12220745287296136</v>
      </c>
      <c r="AA45" s="27">
        <f t="shared" si="13"/>
        <v>0.1225604177918853</v>
      </c>
      <c r="AB45" s="27">
        <f t="shared" si="13"/>
        <v>0.12293891946908028</v>
      </c>
      <c r="AC45" s="27">
        <f t="shared" si="13"/>
        <v>0.1233394038452322</v>
      </c>
      <c r="AD45" s="27">
        <f t="shared" si="13"/>
        <v>0.12360648147026812</v>
      </c>
      <c r="AE45" s="27">
        <f t="shared" si="13"/>
        <v>0.12389130386581051</v>
      </c>
      <c r="AF45" s="27">
        <f t="shared" si="13"/>
        <v>0.12419628189993717</v>
      </c>
      <c r="AG45" s="27">
        <f t="shared" si="13"/>
        <v>0.12452451314626521</v>
      </c>
      <c r="AH45" s="27">
        <f t="shared" si="13"/>
        <v>0.12486608139184988</v>
      </c>
      <c r="AI45" s="27">
        <f t="shared" si="13"/>
        <v>0.12507762339447212</v>
      </c>
      <c r="AJ45" s="27">
        <f t="shared" si="13"/>
        <v>0.12530718498404322</v>
      </c>
      <c r="AK45" s="27">
        <f t="shared" si="13"/>
        <v>0.12554678231167932</v>
      </c>
      <c r="AL45" s="27">
        <f t="shared" si="13"/>
        <v>0.12579923776247484</v>
      </c>
      <c r="AM45" s="27">
        <f t="shared" si="13"/>
        <v>0.12606420568996382</v>
      </c>
      <c r="AN45" s="27">
        <f t="shared" si="13"/>
        <v>0.12620896795767253</v>
      </c>
      <c r="AO45" s="27">
        <f t="shared" si="13"/>
        <v>0.1263628498705969</v>
      </c>
      <c r="AP45" s="27">
        <f t="shared" si="13"/>
        <v>0.12652977960616255</v>
      </c>
      <c r="AQ45" s="27">
        <f t="shared" si="13"/>
        <v>0.1267095977389128</v>
      </c>
      <c r="AR45" s="27">
        <f t="shared" si="13"/>
        <v>0.12690232501291954</v>
      </c>
      <c r="AS45" s="27">
        <f t="shared" si="13"/>
        <v>0.12697025549451732</v>
      </c>
      <c r="AT45" s="27">
        <f t="shared" si="13"/>
        <v>0.1270004234368404</v>
      </c>
      <c r="AU45" s="27">
        <f t="shared" si="13"/>
        <v>0.12703549387816376</v>
      </c>
      <c r="AV45" s="27">
        <f t="shared" si="13"/>
        <v>0.12707324996466249</v>
      </c>
      <c r="AW45" s="27">
        <f t="shared" si="13"/>
        <v>0.1271178527536419</v>
      </c>
      <c r="AY45" s="79"/>
    </row>
    <row r="46" spans="1:51" x14ac:dyDescent="0.3">
      <c r="A46" s="95" t="str">
        <f t="shared" si="0"/>
        <v>FS Horses MMN2O</v>
      </c>
      <c r="B46" s="95" t="s">
        <v>1004</v>
      </c>
      <c r="C46" s="95" t="s">
        <v>1330</v>
      </c>
      <c r="D46" t="s">
        <v>15</v>
      </c>
      <c r="E46" t="s">
        <v>657</v>
      </c>
      <c r="F46" t="s">
        <v>20</v>
      </c>
      <c r="G46" t="s">
        <v>3</v>
      </c>
      <c r="H46" t="s">
        <v>1227</v>
      </c>
      <c r="I46" t="s">
        <v>139</v>
      </c>
      <c r="J46" t="s">
        <v>287</v>
      </c>
      <c r="K46" s="27" t="str">
        <f t="shared" si="7"/>
        <v>NO</v>
      </c>
      <c r="L46" s="27" t="str">
        <f t="shared" si="13"/>
        <v>NO</v>
      </c>
      <c r="M46" s="27" t="str">
        <f t="shared" si="13"/>
        <v>NO</v>
      </c>
      <c r="N46" s="27" t="str">
        <f t="shared" si="13"/>
        <v>NO</v>
      </c>
      <c r="O46" s="27" t="str">
        <f t="shared" si="13"/>
        <v>NO</v>
      </c>
      <c r="P46" s="27" t="str">
        <f t="shared" si="13"/>
        <v>NO</v>
      </c>
      <c r="Q46" s="27" t="str">
        <f t="shared" si="13"/>
        <v>NO</v>
      </c>
      <c r="R46" s="27" t="str">
        <f t="shared" si="13"/>
        <v>NO</v>
      </c>
      <c r="S46" s="27" t="str">
        <f t="shared" si="13"/>
        <v>NO</v>
      </c>
      <c r="T46" s="27" t="str">
        <f t="shared" si="13"/>
        <v>NO</v>
      </c>
      <c r="U46" s="27" t="str">
        <f t="shared" si="13"/>
        <v>NO</v>
      </c>
      <c r="V46" s="27" t="str">
        <f t="shared" si="13"/>
        <v>NO</v>
      </c>
      <c r="W46" s="27" t="str">
        <f t="shared" si="13"/>
        <v>NO</v>
      </c>
      <c r="X46" s="27" t="str">
        <f t="shared" si="13"/>
        <v>NO</v>
      </c>
      <c r="Y46" s="27" t="str">
        <f t="shared" si="13"/>
        <v>NO</v>
      </c>
      <c r="Z46" s="27" t="str">
        <f t="shared" si="13"/>
        <v>NO</v>
      </c>
      <c r="AA46" s="27" t="str">
        <f t="shared" si="13"/>
        <v>NO</v>
      </c>
      <c r="AB46" s="27" t="str">
        <f t="shared" si="13"/>
        <v>NO</v>
      </c>
      <c r="AC46" s="27" t="str">
        <f t="shared" si="13"/>
        <v>NO</v>
      </c>
      <c r="AD46" s="27" t="str">
        <f t="shared" si="13"/>
        <v>NO</v>
      </c>
      <c r="AE46" s="27" t="str">
        <f t="shared" si="13"/>
        <v>NO</v>
      </c>
      <c r="AF46" s="27" t="str">
        <f t="shared" si="13"/>
        <v>NO</v>
      </c>
      <c r="AG46" s="27" t="str">
        <f t="shared" si="13"/>
        <v>NO</v>
      </c>
      <c r="AH46" s="27" t="str">
        <f t="shared" si="13"/>
        <v>NO</v>
      </c>
      <c r="AI46" s="27" t="str">
        <f t="shared" si="13"/>
        <v>NO</v>
      </c>
      <c r="AJ46" s="27" t="str">
        <f t="shared" si="13"/>
        <v>NO</v>
      </c>
      <c r="AK46" s="27" t="str">
        <f t="shared" si="13"/>
        <v>NO</v>
      </c>
      <c r="AL46" s="27" t="str">
        <f t="shared" si="13"/>
        <v>NO</v>
      </c>
      <c r="AM46" s="27" t="str">
        <f t="shared" si="13"/>
        <v>NO</v>
      </c>
      <c r="AN46" s="27" t="str">
        <f t="shared" si="13"/>
        <v>NO</v>
      </c>
      <c r="AO46" s="27" t="str">
        <f t="shared" si="13"/>
        <v>NO</v>
      </c>
      <c r="AP46" s="27" t="str">
        <f t="shared" si="13"/>
        <v>NO</v>
      </c>
      <c r="AQ46" s="27" t="str">
        <f t="shared" si="13"/>
        <v>NO</v>
      </c>
      <c r="AR46" s="27" t="str">
        <f t="shared" si="13"/>
        <v>NO</v>
      </c>
      <c r="AS46" s="27" t="str">
        <f t="shared" si="13"/>
        <v>NO</v>
      </c>
      <c r="AT46" s="27" t="str">
        <f t="shared" si="13"/>
        <v>NO</v>
      </c>
      <c r="AU46" s="27" t="str">
        <f t="shared" si="13"/>
        <v>NO</v>
      </c>
      <c r="AV46" s="27" t="str">
        <f t="shared" si="13"/>
        <v>NO</v>
      </c>
      <c r="AW46" s="27" t="str">
        <f t="shared" si="13"/>
        <v>NO</v>
      </c>
      <c r="AY46" s="79"/>
    </row>
    <row r="47" spans="1:51" x14ac:dyDescent="0.3">
      <c r="A47" s="95" t="str">
        <f t="shared" si="0"/>
        <v>FS Mules MMN2O</v>
      </c>
      <c r="B47" s="95" t="s">
        <v>1004</v>
      </c>
      <c r="C47" s="95" t="s">
        <v>1331</v>
      </c>
      <c r="D47" t="s">
        <v>15</v>
      </c>
      <c r="E47" t="s">
        <v>657</v>
      </c>
      <c r="F47" t="s">
        <v>140</v>
      </c>
      <c r="G47" t="s">
        <v>124</v>
      </c>
      <c r="H47" t="s">
        <v>1227</v>
      </c>
      <c r="I47" t="s">
        <v>139</v>
      </c>
      <c r="J47" t="s">
        <v>287</v>
      </c>
      <c r="K47" s="27" t="str">
        <f t="shared" si="7"/>
        <v>NO</v>
      </c>
      <c r="L47" s="27" t="str">
        <f t="shared" si="13"/>
        <v>NO</v>
      </c>
      <c r="M47" s="27" t="str">
        <f t="shared" si="13"/>
        <v>NO</v>
      </c>
      <c r="N47" s="27" t="str">
        <f t="shared" si="13"/>
        <v>NO</v>
      </c>
      <c r="O47" s="27" t="str">
        <f t="shared" si="13"/>
        <v>NO</v>
      </c>
      <c r="P47" s="27" t="str">
        <f t="shared" si="13"/>
        <v>NO</v>
      </c>
      <c r="Q47" s="27" t="str">
        <f t="shared" si="13"/>
        <v>NO</v>
      </c>
      <c r="R47" s="27" t="str">
        <f t="shared" si="13"/>
        <v>NO</v>
      </c>
      <c r="S47" s="27" t="str">
        <f t="shared" si="13"/>
        <v>NO</v>
      </c>
      <c r="T47" s="27" t="str">
        <f t="shared" si="13"/>
        <v>NO</v>
      </c>
      <c r="U47" s="27" t="str">
        <f t="shared" si="13"/>
        <v>NO</v>
      </c>
      <c r="V47" s="27" t="str">
        <f t="shared" si="13"/>
        <v>NO</v>
      </c>
      <c r="W47" s="27" t="str">
        <f t="shared" si="13"/>
        <v>NO</v>
      </c>
      <c r="X47" s="27" t="str">
        <f t="shared" si="13"/>
        <v>NO</v>
      </c>
      <c r="Y47" s="27" t="str">
        <f t="shared" si="13"/>
        <v>NO</v>
      </c>
      <c r="Z47" s="27" t="str">
        <f t="shared" si="13"/>
        <v>NO</v>
      </c>
      <c r="AA47" s="27" t="str">
        <f t="shared" si="13"/>
        <v>NO</v>
      </c>
      <c r="AB47" s="27" t="str">
        <f t="shared" si="13"/>
        <v>NO</v>
      </c>
      <c r="AC47" s="27" t="str">
        <f t="shared" si="13"/>
        <v>NO</v>
      </c>
      <c r="AD47" s="27" t="str">
        <f t="shared" si="13"/>
        <v>NO</v>
      </c>
      <c r="AE47" s="27" t="str">
        <f t="shared" si="13"/>
        <v>NO</v>
      </c>
      <c r="AF47" s="27" t="str">
        <f t="shared" si="13"/>
        <v>NO</v>
      </c>
      <c r="AG47" s="27" t="str">
        <f t="shared" si="13"/>
        <v>NO</v>
      </c>
      <c r="AH47" s="27" t="str">
        <f t="shared" si="13"/>
        <v>NO</v>
      </c>
      <c r="AI47" s="27" t="str">
        <f t="shared" si="13"/>
        <v>NO</v>
      </c>
      <c r="AJ47" s="27" t="str">
        <f t="shared" si="13"/>
        <v>NO</v>
      </c>
      <c r="AK47" s="27" t="str">
        <f t="shared" si="13"/>
        <v>NO</v>
      </c>
      <c r="AL47" s="27" t="str">
        <f t="shared" si="13"/>
        <v>NO</v>
      </c>
      <c r="AM47" s="27" t="str">
        <f t="shared" si="13"/>
        <v>NO</v>
      </c>
      <c r="AN47" s="27" t="str">
        <f t="shared" si="13"/>
        <v>NO</v>
      </c>
      <c r="AO47" s="27" t="str">
        <f t="shared" si="13"/>
        <v>NO</v>
      </c>
      <c r="AP47" s="27" t="str">
        <f t="shared" si="13"/>
        <v>NO</v>
      </c>
      <c r="AQ47" s="27" t="str">
        <f t="shared" si="13"/>
        <v>NO</v>
      </c>
      <c r="AR47" s="27" t="str">
        <f t="shared" si="13"/>
        <v>NO</v>
      </c>
      <c r="AS47" s="27" t="str">
        <f t="shared" si="13"/>
        <v>NO</v>
      </c>
      <c r="AT47" s="27" t="str">
        <f t="shared" si="13"/>
        <v>NO</v>
      </c>
      <c r="AU47" s="27" t="str">
        <f t="shared" si="13"/>
        <v>NO</v>
      </c>
      <c r="AV47" s="27" t="str">
        <f t="shared" si="13"/>
        <v>NO</v>
      </c>
      <c r="AW47" s="27" t="str">
        <f t="shared" si="13"/>
        <v>NO</v>
      </c>
      <c r="AY47" s="79"/>
    </row>
    <row r="48" spans="1:51" x14ac:dyDescent="0.3">
      <c r="A48" s="95" t="str">
        <f t="shared" si="0"/>
        <v>FS Swine MMN2O</v>
      </c>
      <c r="B48" s="95" t="s">
        <v>1004</v>
      </c>
      <c r="C48" s="95" t="s">
        <v>1233</v>
      </c>
      <c r="D48" t="s">
        <v>15</v>
      </c>
      <c r="E48" t="s">
        <v>657</v>
      </c>
      <c r="F48" t="s">
        <v>21</v>
      </c>
      <c r="G48" t="s">
        <v>122</v>
      </c>
      <c r="H48" t="s">
        <v>1227</v>
      </c>
      <c r="I48" t="s">
        <v>139</v>
      </c>
      <c r="J48" t="s">
        <v>287</v>
      </c>
      <c r="K48" s="27">
        <f t="shared" si="7"/>
        <v>9.7466979224281824E-2</v>
      </c>
      <c r="L48" s="27">
        <f t="shared" si="13"/>
        <v>9.6937181363551506E-2</v>
      </c>
      <c r="M48" s="27">
        <f t="shared" si="13"/>
        <v>9.6980665528366608E-2</v>
      </c>
      <c r="N48" s="27">
        <f t="shared" si="13"/>
        <v>9.6090308702663593E-2</v>
      </c>
      <c r="O48" s="27">
        <f t="shared" si="13"/>
        <v>9.4636150647850484E-2</v>
      </c>
      <c r="P48" s="27">
        <f t="shared" si="13"/>
        <v>9.2641437622218326E-2</v>
      </c>
      <c r="Q48" s="27">
        <f t="shared" si="13"/>
        <v>9.1193054757597189E-2</v>
      </c>
      <c r="R48" s="27">
        <f t="shared" si="13"/>
        <v>8.9872834352323558E-2</v>
      </c>
      <c r="S48" s="27">
        <f t="shared" si="13"/>
        <v>7.9353210388908066E-2</v>
      </c>
      <c r="T48" s="27">
        <f t="shared" si="13"/>
        <v>8.0356685470718767E-2</v>
      </c>
      <c r="U48" s="27">
        <f t="shared" si="13"/>
        <v>8.2509946009160923E-2</v>
      </c>
      <c r="V48" s="27">
        <f t="shared" si="13"/>
        <v>8.2705450879572748E-2</v>
      </c>
      <c r="W48" s="27">
        <f t="shared" si="13"/>
        <v>8.3128827539525094E-2</v>
      </c>
      <c r="X48" s="27">
        <f t="shared" si="13"/>
        <v>8.3840672628701915E-2</v>
      </c>
      <c r="Y48" s="27">
        <f t="shared" si="13"/>
        <v>8.4733895932113168E-2</v>
      </c>
      <c r="Z48" s="27">
        <f t="shared" si="13"/>
        <v>8.5828465366834875E-2</v>
      </c>
      <c r="AA48" s="27">
        <f t="shared" si="13"/>
        <v>8.6935834694674932E-2</v>
      </c>
      <c r="AB48" s="27">
        <f t="shared" si="13"/>
        <v>8.8214344657231616E-2</v>
      </c>
      <c r="AC48" s="27">
        <f t="shared" si="13"/>
        <v>8.9484030373768036E-2</v>
      </c>
      <c r="AD48" s="27">
        <f t="shared" si="13"/>
        <v>9.1062581228130657E-2</v>
      </c>
      <c r="AE48" s="27">
        <f t="shared" si="13"/>
        <v>9.2515752583830088E-2</v>
      </c>
      <c r="AF48" s="27">
        <f t="shared" si="13"/>
        <v>9.4062043086931529E-2</v>
      </c>
      <c r="AG48" s="27">
        <f t="shared" si="13"/>
        <v>9.5948315776645976E-2</v>
      </c>
      <c r="AH48" s="27">
        <f t="shared" si="13"/>
        <v>9.7568003997154984E-2</v>
      </c>
      <c r="AI48" s="27">
        <f t="shared" si="13"/>
        <v>9.931620819342124E-2</v>
      </c>
      <c r="AJ48" s="27">
        <f t="shared" si="13"/>
        <v>0.10121358762042433</v>
      </c>
      <c r="AK48" s="27">
        <f t="shared" si="13"/>
        <v>0.10279643211588628</v>
      </c>
      <c r="AL48" s="27">
        <f t="shared" si="13"/>
        <v>0.10428080048635653</v>
      </c>
      <c r="AM48" s="27">
        <f t="shared" si="13"/>
        <v>0.10567866446887142</v>
      </c>
      <c r="AN48" s="27">
        <f t="shared" si="13"/>
        <v>0.10729272325925118</v>
      </c>
      <c r="AO48" s="27">
        <f t="shared" si="13"/>
        <v>0.10869271119263345</v>
      </c>
      <c r="AP48" s="27">
        <f t="shared" si="13"/>
        <v>0.110137854380135</v>
      </c>
      <c r="AQ48" s="27">
        <f t="shared" si="13"/>
        <v>0.1116390532050176</v>
      </c>
      <c r="AR48" s="27">
        <f t="shared" si="13"/>
        <v>0.11321509141175116</v>
      </c>
      <c r="AS48" s="27">
        <f t="shared" si="13"/>
        <v>0.114870036037916</v>
      </c>
      <c r="AT48" s="27">
        <f t="shared" si="13"/>
        <v>0.11386297950526468</v>
      </c>
      <c r="AU48" s="27">
        <f t="shared" si="13"/>
        <v>0.11262319660921266</v>
      </c>
      <c r="AV48" s="27">
        <f t="shared" si="13"/>
        <v>0.11105880605518059</v>
      </c>
      <c r="AW48" s="27">
        <f t="shared" si="13"/>
        <v>0.1094176927215173</v>
      </c>
      <c r="AY48" s="79"/>
    </row>
    <row r="49" spans="1:51" x14ac:dyDescent="0.3">
      <c r="A49" s="95" t="str">
        <f t="shared" si="0"/>
        <v>FS Swine MMN2O</v>
      </c>
      <c r="B49" s="95" t="s">
        <v>1004</v>
      </c>
      <c r="C49" s="95" t="s">
        <v>1233</v>
      </c>
      <c r="D49" t="s">
        <v>15</v>
      </c>
      <c r="E49" t="s">
        <v>657</v>
      </c>
      <c r="F49" t="s">
        <v>21</v>
      </c>
      <c r="G49" t="s">
        <v>123</v>
      </c>
      <c r="H49" t="s">
        <v>1227</v>
      </c>
      <c r="I49" t="s">
        <v>139</v>
      </c>
      <c r="J49" t="s">
        <v>287</v>
      </c>
      <c r="K49" s="27">
        <f t="shared" si="7"/>
        <v>3.8131055665722169E-2</v>
      </c>
      <c r="L49" s="27">
        <f t="shared" si="13"/>
        <v>3.7923788015899962E-2</v>
      </c>
      <c r="M49" s="27">
        <f t="shared" si="13"/>
        <v>3.7940799901590251E-2</v>
      </c>
      <c r="N49" s="27">
        <f t="shared" si="13"/>
        <v>3.759247428451009E-2</v>
      </c>
      <c r="O49" s="27">
        <f t="shared" si="13"/>
        <v>3.7023578211438569E-2</v>
      </c>
      <c r="P49" s="27">
        <f t="shared" si="13"/>
        <v>3.6243206089281201E-2</v>
      </c>
      <c r="Q49" s="27">
        <f t="shared" si="13"/>
        <v>3.567656938754183E-2</v>
      </c>
      <c r="R49" s="27">
        <f t="shared" si="13"/>
        <v>3.5160072434777256E-2</v>
      </c>
      <c r="S49" s="27">
        <f t="shared" si="13"/>
        <v>3.1044582551701744E-2</v>
      </c>
      <c r="T49" s="27">
        <f t="shared" si="13"/>
        <v>3.1437162320852502E-2</v>
      </c>
      <c r="U49" s="27">
        <f t="shared" si="13"/>
        <v>3.2279561440098872E-2</v>
      </c>
      <c r="V49" s="27">
        <f t="shared" si="13"/>
        <v>3.2356046903749484E-2</v>
      </c>
      <c r="W49" s="27">
        <f t="shared" si="13"/>
        <v>3.2521680425139969E-2</v>
      </c>
      <c r="X49" s="27">
        <f t="shared" si="13"/>
        <v>3.2800168636601942E-2</v>
      </c>
      <c r="Y49" s="27">
        <f t="shared" si="13"/>
        <v>3.314961567779854E-2</v>
      </c>
      <c r="Z49" s="27">
        <f t="shared" si="13"/>
        <v>3.3577833402176044E-2</v>
      </c>
      <c r="AA49" s="27">
        <f t="shared" si="13"/>
        <v>3.4011058703898145E-2</v>
      </c>
      <c r="AB49" s="27">
        <f t="shared" si="13"/>
        <v>3.4511237686969419E-2</v>
      </c>
      <c r="AC49" s="27">
        <f t="shared" si="13"/>
        <v>3.5007964446334923E-2</v>
      </c>
      <c r="AD49" s="27">
        <f t="shared" si="13"/>
        <v>3.5625525501144749E-2</v>
      </c>
      <c r="AE49" s="27">
        <f t="shared" si="13"/>
        <v>3.6194035557545495E-2</v>
      </c>
      <c r="AF49" s="27">
        <f t="shared" si="13"/>
        <v>3.6798975709773488E-2</v>
      </c>
      <c r="AG49" s="27">
        <f t="shared" si="13"/>
        <v>3.7536923776951441E-2</v>
      </c>
      <c r="AH49" s="27">
        <f t="shared" si="13"/>
        <v>3.817057860229723E-2</v>
      </c>
      <c r="AI49" s="27">
        <f t="shared" si="13"/>
        <v>3.8854511479394858E-2</v>
      </c>
      <c r="AJ49" s="27">
        <f t="shared" si="13"/>
        <v>3.9596804727075885E-2</v>
      </c>
      <c r="AK49" s="27">
        <f t="shared" si="13"/>
        <v>4.0216045541216196E-2</v>
      </c>
      <c r="AL49" s="27">
        <f t="shared" si="13"/>
        <v>4.0796760501434604E-2</v>
      </c>
      <c r="AM49" s="27">
        <f t="shared" si="13"/>
        <v>4.1343633193648956E-2</v>
      </c>
      <c r="AN49" s="27">
        <f t="shared" si="13"/>
        <v>4.1975085671950317E-2</v>
      </c>
      <c r="AO49" s="27">
        <f t="shared" si="13"/>
        <v>4.252278929674716E-2</v>
      </c>
      <c r="AP49" s="27">
        <f t="shared" si="13"/>
        <v>4.3088158571204301E-2</v>
      </c>
      <c r="AQ49" s="27">
        <f t="shared" si="13"/>
        <v>4.3675457945951471E-2</v>
      </c>
      <c r="AR49" s="27">
        <f t="shared" si="13"/>
        <v>4.4292036002135757E-2</v>
      </c>
      <c r="AS49" s="27">
        <f t="shared" si="13"/>
        <v>4.4939483847203046E-2</v>
      </c>
      <c r="AT49" s="27">
        <f t="shared" si="13"/>
        <v>4.4545502941970565E-2</v>
      </c>
      <c r="AU49" s="27">
        <f t="shared" si="13"/>
        <v>4.4060474771414608E-2</v>
      </c>
      <c r="AV49" s="27">
        <f t="shared" si="13"/>
        <v>4.3448453512794687E-2</v>
      </c>
      <c r="AW49" s="27">
        <f t="shared" si="13"/>
        <v>4.2806416749393235E-2</v>
      </c>
      <c r="AY49" s="79"/>
    </row>
    <row r="50" spans="1:51" x14ac:dyDescent="0.3">
      <c r="A50" s="95" t="str">
        <f t="shared" si="0"/>
        <v>FS Poultry MMN2O</v>
      </c>
      <c r="B50" s="95" t="s">
        <v>1004</v>
      </c>
      <c r="C50" s="95" t="s">
        <v>1234</v>
      </c>
      <c r="D50" t="s">
        <v>15</v>
      </c>
      <c r="E50" t="s">
        <v>657</v>
      </c>
      <c r="F50" t="s">
        <v>28</v>
      </c>
      <c r="G50" t="s">
        <v>131</v>
      </c>
      <c r="H50" t="s">
        <v>1227</v>
      </c>
      <c r="I50" t="s">
        <v>139</v>
      </c>
      <c r="J50" t="s">
        <v>287</v>
      </c>
      <c r="K50" s="27">
        <f t="shared" si="7"/>
        <v>0.32784224726088984</v>
      </c>
      <c r="L50" s="27">
        <f t="shared" si="13"/>
        <v>0.33450793008613733</v>
      </c>
      <c r="M50" s="27">
        <f t="shared" si="13"/>
        <v>0.34229948156355033</v>
      </c>
      <c r="N50" s="27">
        <f t="shared" si="13"/>
        <v>0.34828124731402299</v>
      </c>
      <c r="O50" s="27">
        <f t="shared" si="13"/>
        <v>0.35308310351311478</v>
      </c>
      <c r="P50" s="27">
        <f t="shared" si="13"/>
        <v>0.3566764932045714</v>
      </c>
      <c r="Q50" s="27">
        <f t="shared" si="13"/>
        <v>0.36128421068096001</v>
      </c>
      <c r="R50" s="27">
        <f t="shared" si="13"/>
        <v>0.36607496135357964</v>
      </c>
      <c r="S50" s="27">
        <f t="shared" si="13"/>
        <v>0.34978148195901088</v>
      </c>
      <c r="T50" s="27">
        <f t="shared" si="13"/>
        <v>0.35848748777612982</v>
      </c>
      <c r="U50" s="27">
        <f t="shared" si="13"/>
        <v>0.37008968221816879</v>
      </c>
      <c r="V50" s="27">
        <f t="shared" si="13"/>
        <v>0.37718532914997255</v>
      </c>
      <c r="W50" s="27">
        <f t="shared" si="13"/>
        <v>0.38492114207778078</v>
      </c>
      <c r="X50" s="27">
        <f t="shared" si="13"/>
        <v>0.39349286127913036</v>
      </c>
      <c r="Y50" s="27">
        <f t="shared" si="13"/>
        <v>0.40234632670513226</v>
      </c>
      <c r="Z50" s="27">
        <f t="shared" si="13"/>
        <v>0.41188861015823597</v>
      </c>
      <c r="AA50" s="27">
        <f t="shared" si="13"/>
        <v>0.42164548581932815</v>
      </c>
      <c r="AB50" s="27">
        <f t="shared" si="13"/>
        <v>0.43206316644832626</v>
      </c>
      <c r="AC50" s="27">
        <f t="shared" si="13"/>
        <v>0.44266638237250944</v>
      </c>
      <c r="AD50" s="27">
        <f t="shared" si="13"/>
        <v>0.45410654796286065</v>
      </c>
      <c r="AE50" s="27">
        <f t="shared" si="13"/>
        <v>0.46542858130344616</v>
      </c>
      <c r="AF50" s="27">
        <f t="shared" si="13"/>
        <v>0.4772730257801403</v>
      </c>
      <c r="AG50" s="27">
        <f t="shared" si="13"/>
        <v>0.49041871120833058</v>
      </c>
      <c r="AH50" s="27">
        <f t="shared" si="13"/>
        <v>0.50303895207575822</v>
      </c>
      <c r="AI50" s="27">
        <f t="shared" si="13"/>
        <v>0.51609032389809528</v>
      </c>
      <c r="AJ50" s="27">
        <f t="shared" si="13"/>
        <v>0.52992686464312622</v>
      </c>
      <c r="AK50" s="27">
        <f t="shared" si="13"/>
        <v>0.54305058530896999</v>
      </c>
      <c r="AL50" s="27">
        <f t="shared" si="13"/>
        <v>0.55613853749065978</v>
      </c>
      <c r="AM50" s="27">
        <f t="shared" si="13"/>
        <v>0.56922083138232038</v>
      </c>
      <c r="AN50" s="27">
        <f t="shared" si="13"/>
        <v>0.58310052249970834</v>
      </c>
      <c r="AO50" s="27">
        <f t="shared" si="13"/>
        <v>0.59653826788660902</v>
      </c>
      <c r="AP50" s="27">
        <f t="shared" si="13"/>
        <v>0.61044136643017999</v>
      </c>
      <c r="AQ50" s="27">
        <f t="shared" si="13"/>
        <v>0.62486785679849377</v>
      </c>
      <c r="AR50" s="27">
        <f t="shared" si="13"/>
        <v>0.6399091004524019</v>
      </c>
      <c r="AS50" s="27">
        <f t="shared" si="13"/>
        <v>0.65535203493771454</v>
      </c>
      <c r="AT50" s="27">
        <f t="shared" si="13"/>
        <v>0.66076114760241544</v>
      </c>
      <c r="AU50" s="27">
        <f t="shared" si="13"/>
        <v>0.6652412101856594</v>
      </c>
      <c r="AV50" s="27">
        <f t="shared" si="13"/>
        <v>0.66836980562393489</v>
      </c>
      <c r="AW50" s="27">
        <f t="shared" si="13"/>
        <v>0.67109822940167552</v>
      </c>
      <c r="AY50" s="79"/>
    </row>
    <row r="51" spans="1:51" x14ac:dyDescent="0.3">
      <c r="A51" s="95" t="str">
        <f t="shared" si="0"/>
        <v>FS Poultry MMN2O</v>
      </c>
      <c r="B51" s="95" t="s">
        <v>1004</v>
      </c>
      <c r="C51" s="95" t="s">
        <v>1234</v>
      </c>
      <c r="D51" t="s">
        <v>15</v>
      </c>
      <c r="E51" t="s">
        <v>657</v>
      </c>
      <c r="F51" t="s">
        <v>28</v>
      </c>
      <c r="G51" t="s">
        <v>132</v>
      </c>
      <c r="H51" t="s">
        <v>1227</v>
      </c>
      <c r="I51" t="s">
        <v>139</v>
      </c>
      <c r="J51" t="s">
        <v>287</v>
      </c>
      <c r="K51" s="27">
        <f t="shared" si="7"/>
        <v>1.7017151675634961</v>
      </c>
      <c r="L51" s="27">
        <f t="shared" si="13"/>
        <v>1.7241237147327637</v>
      </c>
      <c r="M51" s="27">
        <f t="shared" si="13"/>
        <v>1.7601182693498112</v>
      </c>
      <c r="N51" s="27">
        <f t="shared" si="13"/>
        <v>1.7704533576020511</v>
      </c>
      <c r="O51" s="27">
        <f t="shared" si="13"/>
        <v>1.7641159598844758</v>
      </c>
      <c r="P51" s="27">
        <f t="shared" si="13"/>
        <v>1.7411735022142167</v>
      </c>
      <c r="Q51" s="27">
        <f t="shared" si="13"/>
        <v>1.7315152516158574</v>
      </c>
      <c r="R51" s="27">
        <f t="shared" si="13"/>
        <v>1.7240481490859689</v>
      </c>
      <c r="S51" s="27">
        <f t="shared" si="13"/>
        <v>1.4532830978859241</v>
      </c>
      <c r="T51" s="27">
        <f t="shared" si="13"/>
        <v>1.5108401757769072</v>
      </c>
      <c r="U51" s="27">
        <f t="shared" si="13"/>
        <v>1.6026975713108973</v>
      </c>
      <c r="V51" s="27">
        <f t="shared" si="13"/>
        <v>1.6381096535545392</v>
      </c>
      <c r="W51" s="27">
        <f t="shared" si="13"/>
        <v>1.6804870298806631</v>
      </c>
      <c r="X51" s="27">
        <f t="shared" si="13"/>
        <v>1.7319826837322108</v>
      </c>
      <c r="Y51" s="27">
        <f t="shared" si="13"/>
        <v>1.7911150071638293</v>
      </c>
      <c r="Z51" s="27">
        <f t="shared" si="13"/>
        <v>1.8573343362727066</v>
      </c>
      <c r="AA51" s="27">
        <f t="shared" si="13"/>
        <v>1.9249598687101048</v>
      </c>
      <c r="AB51" s="27">
        <f t="shared" si="13"/>
        <v>1.9991243799858327</v>
      </c>
      <c r="AC51" s="27">
        <f t="shared" si="13"/>
        <v>2.0742398218726938</v>
      </c>
      <c r="AD51" s="27">
        <f t="shared" si="13"/>
        <v>2.1619281930421144</v>
      </c>
      <c r="AE51" s="27">
        <f t="shared" si="13"/>
        <v>2.2470253789888299</v>
      </c>
      <c r="AF51" s="27">
        <f t="shared" si="13"/>
        <v>2.3367898663962117</v>
      </c>
      <c r="AG51" s="27">
        <f t="shared" si="13"/>
        <v>2.4398215935835355</v>
      </c>
      <c r="AH51" s="27">
        <f t="shared" si="13"/>
        <v>2.5356369121252129</v>
      </c>
      <c r="AI51" s="27">
        <f t="shared" si="13"/>
        <v>2.6388473537770931</v>
      </c>
      <c r="AJ51" s="27">
        <f t="shared" si="13"/>
        <v>2.7493497662491455</v>
      </c>
      <c r="AK51" s="27">
        <f t="shared" ref="L51:AW53" si="14">AK1426</f>
        <v>2.8507479876559225</v>
      </c>
      <c r="AL51" s="27">
        <f t="shared" si="14"/>
        <v>2.9505347719846347</v>
      </c>
      <c r="AM51" s="27">
        <f t="shared" si="14"/>
        <v>3.0490743865158891</v>
      </c>
      <c r="AN51" s="27">
        <f t="shared" si="14"/>
        <v>3.1585813861709466</v>
      </c>
      <c r="AO51" s="27">
        <f t="shared" si="14"/>
        <v>3.2621852632226234</v>
      </c>
      <c r="AP51" s="27">
        <f t="shared" si="14"/>
        <v>3.3695643404472522</v>
      </c>
      <c r="AQ51" s="27">
        <f t="shared" si="14"/>
        <v>3.4812725080530544</v>
      </c>
      <c r="AR51" s="27">
        <f t="shared" si="14"/>
        <v>3.5981993154978791</v>
      </c>
      <c r="AS51" s="27">
        <f t="shared" si="14"/>
        <v>3.7216722091838785</v>
      </c>
      <c r="AT51" s="27">
        <f t="shared" si="14"/>
        <v>3.7404703249321303</v>
      </c>
      <c r="AU51" s="27">
        <f t="shared" si="14"/>
        <v>3.749641300046322</v>
      </c>
      <c r="AV51" s="27">
        <f t="shared" si="14"/>
        <v>3.7450255667820502</v>
      </c>
      <c r="AW51" s="27">
        <f t="shared" si="14"/>
        <v>3.7364851229908305</v>
      </c>
      <c r="AY51" s="79"/>
    </row>
    <row r="52" spans="1:51" x14ac:dyDescent="0.3">
      <c r="A52" s="95" t="str">
        <f t="shared" si="0"/>
        <v>FS Poultry MMN2O</v>
      </c>
      <c r="B52" s="95" t="s">
        <v>1004</v>
      </c>
      <c r="C52" s="95" t="s">
        <v>1234</v>
      </c>
      <c r="D52" t="s">
        <v>15</v>
      </c>
      <c r="E52" t="s">
        <v>657</v>
      </c>
      <c r="F52" t="s">
        <v>28</v>
      </c>
      <c r="G52" t="s">
        <v>134</v>
      </c>
      <c r="H52" t="s">
        <v>1227</v>
      </c>
      <c r="I52" t="s">
        <v>139</v>
      </c>
      <c r="J52" t="s">
        <v>287</v>
      </c>
      <c r="K52" s="27">
        <f t="shared" si="7"/>
        <v>1.3660093635870424E-2</v>
      </c>
      <c r="L52" s="27">
        <f t="shared" si="14"/>
        <v>1.3937830420255735E-2</v>
      </c>
      <c r="M52" s="27">
        <f t="shared" si="14"/>
        <v>1.4262478398481276E-2</v>
      </c>
      <c r="N52" s="27">
        <f t="shared" si="14"/>
        <v>1.4511718638084306E-2</v>
      </c>
      <c r="O52" s="27">
        <f t="shared" si="14"/>
        <v>1.4711795979713132E-2</v>
      </c>
      <c r="P52" s="27">
        <f t="shared" si="14"/>
        <v>1.4861520550190493E-2</v>
      </c>
      <c r="Q52" s="27">
        <f t="shared" si="14"/>
        <v>1.5053508778373347E-2</v>
      </c>
      <c r="R52" s="27">
        <f t="shared" si="14"/>
        <v>1.5253123389732504E-2</v>
      </c>
      <c r="S52" s="27">
        <f t="shared" si="14"/>
        <v>1.45742284149588E-2</v>
      </c>
      <c r="T52" s="27">
        <f t="shared" si="14"/>
        <v>1.4936978657338758E-2</v>
      </c>
      <c r="U52" s="27">
        <f t="shared" si="14"/>
        <v>1.5420403425757045E-2</v>
      </c>
      <c r="V52" s="27">
        <f t="shared" si="14"/>
        <v>1.5716055381248869E-2</v>
      </c>
      <c r="W52" s="27">
        <f t="shared" si="14"/>
        <v>1.6038380919907547E-2</v>
      </c>
      <c r="X52" s="27">
        <f t="shared" si="14"/>
        <v>1.6395535886630449E-2</v>
      </c>
      <c r="Y52" s="27">
        <f t="shared" si="14"/>
        <v>1.6764430279380526E-2</v>
      </c>
      <c r="Z52" s="27">
        <f t="shared" si="14"/>
        <v>1.7162025423259852E-2</v>
      </c>
      <c r="AA52" s="27">
        <f t="shared" si="14"/>
        <v>1.7568561909138691E-2</v>
      </c>
      <c r="AB52" s="27">
        <f t="shared" si="14"/>
        <v>1.8002631935346944E-2</v>
      </c>
      <c r="AC52" s="27">
        <f t="shared" si="14"/>
        <v>1.8444432598854574E-2</v>
      </c>
      <c r="AD52" s="27">
        <f t="shared" si="14"/>
        <v>1.8921106165119213E-2</v>
      </c>
      <c r="AE52" s="27">
        <f t="shared" si="14"/>
        <v>1.9392857554310274E-2</v>
      </c>
      <c r="AF52" s="27">
        <f t="shared" si="14"/>
        <v>1.988637607417253E-2</v>
      </c>
      <c r="AG52" s="27">
        <f t="shared" si="14"/>
        <v>2.0434112967013793E-2</v>
      </c>
      <c r="AH52" s="27">
        <f t="shared" si="14"/>
        <v>2.0959956336489938E-2</v>
      </c>
      <c r="AI52" s="27">
        <f t="shared" si="14"/>
        <v>2.1503763495753996E-2</v>
      </c>
      <c r="AJ52" s="27">
        <f t="shared" si="14"/>
        <v>2.2080286026796948E-2</v>
      </c>
      <c r="AK52" s="27">
        <f t="shared" si="14"/>
        <v>2.2627107721207101E-2</v>
      </c>
      <c r="AL52" s="27">
        <f t="shared" si="14"/>
        <v>2.3172439062110847E-2</v>
      </c>
      <c r="AM52" s="27">
        <f t="shared" si="14"/>
        <v>2.371753464093004E-2</v>
      </c>
      <c r="AN52" s="27">
        <f t="shared" si="14"/>
        <v>2.4295855104154534E-2</v>
      </c>
      <c r="AO52" s="27">
        <f t="shared" si="14"/>
        <v>2.4855761161942075E-2</v>
      </c>
      <c r="AP52" s="27">
        <f t="shared" si="14"/>
        <v>2.5435056934590854E-2</v>
      </c>
      <c r="AQ52" s="27">
        <f t="shared" si="14"/>
        <v>2.6036160699937267E-2</v>
      </c>
      <c r="AR52" s="27">
        <f t="shared" si="14"/>
        <v>2.6662879185516769E-2</v>
      </c>
      <c r="AS52" s="27">
        <f t="shared" si="14"/>
        <v>2.7306334789071466E-2</v>
      </c>
      <c r="AT52" s="27">
        <f t="shared" si="14"/>
        <v>2.7531714483434007E-2</v>
      </c>
      <c r="AU52" s="27">
        <f t="shared" si="14"/>
        <v>2.7718383757735835E-2</v>
      </c>
      <c r="AV52" s="27">
        <f t="shared" si="14"/>
        <v>2.7848741900997311E-2</v>
      </c>
      <c r="AW52" s="27">
        <f t="shared" si="14"/>
        <v>2.7962426225069836E-2</v>
      </c>
      <c r="AY52" s="79"/>
    </row>
    <row r="53" spans="1:51" x14ac:dyDescent="0.3">
      <c r="A53" s="95" t="str">
        <f t="shared" si="0"/>
        <v>FS Poultry MMN2O</v>
      </c>
      <c r="B53" s="95" t="s">
        <v>1004</v>
      </c>
      <c r="C53" s="95" t="s">
        <v>1234</v>
      </c>
      <c r="D53" t="s">
        <v>15</v>
      </c>
      <c r="E53" t="s">
        <v>657</v>
      </c>
      <c r="F53" t="s">
        <v>28</v>
      </c>
      <c r="G53" t="s">
        <v>133</v>
      </c>
      <c r="H53" t="s">
        <v>1227</v>
      </c>
      <c r="I53" t="s">
        <v>139</v>
      </c>
      <c r="J53" t="s">
        <v>287</v>
      </c>
      <c r="K53" s="27">
        <f t="shared" si="7"/>
        <v>7.0904798648479067E-2</v>
      </c>
      <c r="L53" s="27">
        <f t="shared" si="14"/>
        <v>7.1838488113865229E-2</v>
      </c>
      <c r="M53" s="27">
        <f t="shared" si="14"/>
        <v>7.333826122290886E-2</v>
      </c>
      <c r="N53" s="27">
        <f t="shared" si="14"/>
        <v>7.3768889900085552E-2</v>
      </c>
      <c r="O53" s="27">
        <f t="shared" si="14"/>
        <v>7.3504831661853232E-2</v>
      </c>
      <c r="P53" s="27">
        <f t="shared" si="14"/>
        <v>7.2548895925592424E-2</v>
      </c>
      <c r="Q53" s="27">
        <f t="shared" si="14"/>
        <v>7.2146468817327461E-2</v>
      </c>
      <c r="R53" s="27">
        <f t="shared" si="14"/>
        <v>7.1835339545248775E-2</v>
      </c>
      <c r="S53" s="27">
        <f t="shared" si="14"/>
        <v>6.0553462411913554E-2</v>
      </c>
      <c r="T53" s="27">
        <f t="shared" si="14"/>
        <v>6.2951673990704532E-2</v>
      </c>
      <c r="U53" s="27">
        <f t="shared" si="14"/>
        <v>6.6779065471287438E-2</v>
      </c>
      <c r="V53" s="27">
        <f t="shared" si="14"/>
        <v>6.8254568898105869E-2</v>
      </c>
      <c r="W53" s="27">
        <f t="shared" si="14"/>
        <v>7.0020292911694371E-2</v>
      </c>
      <c r="X53" s="27">
        <f t="shared" si="14"/>
        <v>7.2165945155508851E-2</v>
      </c>
      <c r="Y53" s="27">
        <f t="shared" si="14"/>
        <v>7.4629791965159634E-2</v>
      </c>
      <c r="Z53" s="27">
        <f t="shared" si="14"/>
        <v>7.738893067802953E-2</v>
      </c>
      <c r="AA53" s="27">
        <f t="shared" si="14"/>
        <v>8.0206661196254428E-2</v>
      </c>
      <c r="AB53" s="27">
        <f t="shared" si="14"/>
        <v>8.3296849166076437E-2</v>
      </c>
      <c r="AC53" s="27">
        <f t="shared" si="14"/>
        <v>8.6426659244695656E-2</v>
      </c>
      <c r="AD53" s="27">
        <f t="shared" si="14"/>
        <v>9.0080341376754844E-2</v>
      </c>
      <c r="AE53" s="27">
        <f t="shared" si="14"/>
        <v>9.3626057457867992E-2</v>
      </c>
      <c r="AF53" s="27">
        <f t="shared" si="14"/>
        <v>9.7366244433175556E-2</v>
      </c>
      <c r="AG53" s="27">
        <f t="shared" si="14"/>
        <v>0.10165923306598072</v>
      </c>
      <c r="AH53" s="27">
        <f t="shared" si="14"/>
        <v>0.10565153800521729</v>
      </c>
      <c r="AI53" s="27">
        <f t="shared" si="14"/>
        <v>0.10995197307404567</v>
      </c>
      <c r="AJ53" s="27">
        <f t="shared" si="14"/>
        <v>0.11455624026038116</v>
      </c>
      <c r="AK53" s="27">
        <f t="shared" si="14"/>
        <v>0.11878116615233021</v>
      </c>
      <c r="AL53" s="27">
        <f t="shared" si="14"/>
        <v>0.12293894883269324</v>
      </c>
      <c r="AM53" s="27">
        <f t="shared" si="14"/>
        <v>0.12704476610482884</v>
      </c>
      <c r="AN53" s="27">
        <f t="shared" si="14"/>
        <v>0.13160755775712291</v>
      </c>
      <c r="AO53" s="27">
        <f t="shared" si="14"/>
        <v>0.13592438596760945</v>
      </c>
      <c r="AP53" s="27">
        <f t="shared" si="14"/>
        <v>0.14039851418530233</v>
      </c>
      <c r="AQ53" s="27">
        <f t="shared" si="14"/>
        <v>0.14505302116887739</v>
      </c>
      <c r="AR53" s="27">
        <f t="shared" si="14"/>
        <v>0.14992497147907843</v>
      </c>
      <c r="AS53" s="27">
        <f t="shared" si="14"/>
        <v>0.15506967538266181</v>
      </c>
      <c r="AT53" s="27">
        <f t="shared" si="14"/>
        <v>0.15585293020550561</v>
      </c>
      <c r="AU53" s="27">
        <f t="shared" si="14"/>
        <v>0.1562350541685969</v>
      </c>
      <c r="AV53" s="27">
        <f t="shared" si="14"/>
        <v>0.15604273194925225</v>
      </c>
      <c r="AW53" s="27">
        <f t="shared" si="14"/>
        <v>0.15568688012461812</v>
      </c>
      <c r="AY53" s="79"/>
    </row>
    <row r="54" spans="1:51" x14ac:dyDescent="0.3">
      <c r="A54" s="95" t="str">
        <f t="shared" si="0"/>
        <v>FS Synthetic</v>
      </c>
      <c r="B54" s="95" t="s">
        <v>1004</v>
      </c>
      <c r="C54" s="95" t="s">
        <v>1126</v>
      </c>
      <c r="D54" t="s">
        <v>369</v>
      </c>
      <c r="E54" t="s">
        <v>55</v>
      </c>
      <c r="H54" t="s">
        <v>419</v>
      </c>
      <c r="I54" t="s">
        <v>139</v>
      </c>
      <c r="J54" t="s">
        <v>287</v>
      </c>
      <c r="K54" s="22">
        <f>K1463</f>
        <v>6.6064812063358538</v>
      </c>
      <c r="L54" s="22">
        <f t="shared" ref="L54:AW61" si="15">L1463</f>
        <v>6.6058242184852958</v>
      </c>
      <c r="M54" s="22">
        <f t="shared" si="15"/>
        <v>6.6046196765835479</v>
      </c>
      <c r="N54" s="22">
        <f t="shared" si="15"/>
        <v>6.6031799495417181</v>
      </c>
      <c r="O54" s="22">
        <f t="shared" si="15"/>
        <v>6.6022073532502725</v>
      </c>
      <c r="P54" s="22">
        <f t="shared" si="15"/>
        <v>6.6015380384919204</v>
      </c>
      <c r="Q54" s="22">
        <f t="shared" si="15"/>
        <v>6.6011715236312982</v>
      </c>
      <c r="R54" s="22">
        <f t="shared" si="15"/>
        <v>6.6005785698707236</v>
      </c>
      <c r="S54" s="22">
        <f t="shared" si="15"/>
        <v>6.599955716072432</v>
      </c>
      <c r="T54" s="22">
        <f t="shared" si="15"/>
        <v>6.6042852126323481</v>
      </c>
      <c r="U54" s="22">
        <f t="shared" si="15"/>
        <v>6.6025684208058211</v>
      </c>
      <c r="V54" s="22">
        <f t="shared" si="15"/>
        <v>6.6002252909433183</v>
      </c>
      <c r="W54" s="22">
        <f t="shared" si="15"/>
        <v>6.598966168189885</v>
      </c>
      <c r="X54" s="22">
        <f t="shared" si="15"/>
        <v>6.597589047711292</v>
      </c>
      <c r="Y54" s="22">
        <f t="shared" si="15"/>
        <v>6.5960579609281904</v>
      </c>
      <c r="Z54" s="22">
        <f t="shared" si="15"/>
        <v>6.5944507555305236</v>
      </c>
      <c r="AA54" s="22">
        <f t="shared" si="15"/>
        <v>6.5927354812209922</v>
      </c>
      <c r="AB54" s="22">
        <f t="shared" si="15"/>
        <v>6.5910165055066825</v>
      </c>
      <c r="AC54" s="22">
        <f t="shared" si="15"/>
        <v>6.589206056061478</v>
      </c>
      <c r="AD54" s="22">
        <f t="shared" si="15"/>
        <v>6.5874036822299606</v>
      </c>
      <c r="AE54" s="22">
        <f t="shared" si="15"/>
        <v>6.5854496085579246</v>
      </c>
      <c r="AF54" s="22">
        <f t="shared" si="15"/>
        <v>6.5835675614397218</v>
      </c>
      <c r="AG54" s="22">
        <f t="shared" si="15"/>
        <v>6.5816378763594336</v>
      </c>
      <c r="AH54" s="22">
        <f t="shared" si="15"/>
        <v>6.5795282781002431</v>
      </c>
      <c r="AI54" s="22">
        <f t="shared" si="15"/>
        <v>6.5775665224366495</v>
      </c>
      <c r="AJ54" s="22">
        <f t="shared" si="15"/>
        <v>6.5755521924304867</v>
      </c>
      <c r="AK54" s="22">
        <f t="shared" si="15"/>
        <v>6.573462792654313</v>
      </c>
      <c r="AL54" s="22">
        <f t="shared" si="15"/>
        <v>6.5715425101563261</v>
      </c>
      <c r="AM54" s="22">
        <f t="shared" si="15"/>
        <v>6.5696756052718408</v>
      </c>
      <c r="AN54" s="22">
        <f t="shared" si="15"/>
        <v>6.5678548596880235</v>
      </c>
      <c r="AO54" s="22">
        <f t="shared" si="15"/>
        <v>6.5659337062591927</v>
      </c>
      <c r="AP54" s="22">
        <f t="shared" si="15"/>
        <v>6.564123592040632</v>
      </c>
      <c r="AQ54" s="22">
        <f t="shared" si="15"/>
        <v>6.5622903638449301</v>
      </c>
      <c r="AR54" s="22">
        <f t="shared" si="15"/>
        <v>6.5604286486377719</v>
      </c>
      <c r="AS54" s="22">
        <f t="shared" si="15"/>
        <v>6.5585292511260116</v>
      </c>
      <c r="AT54" s="22">
        <f t="shared" si="15"/>
        <v>6.5566000956326942</v>
      </c>
      <c r="AU54" s="22">
        <f t="shared" si="15"/>
        <v>6.5560073347552805</v>
      </c>
      <c r="AV54" s="22">
        <f t="shared" si="15"/>
        <v>6.5555391486602428</v>
      </c>
      <c r="AW54" s="22">
        <f t="shared" si="15"/>
        <v>6.5552474687649953</v>
      </c>
      <c r="AY54" s="79"/>
    </row>
    <row r="55" spans="1:51" x14ac:dyDescent="0.3">
      <c r="A55" s="95" t="str">
        <f t="shared" si="0"/>
        <v>FS Organic</v>
      </c>
      <c r="B55" s="95" t="s">
        <v>1004</v>
      </c>
      <c r="C55" s="95" t="s">
        <v>1127</v>
      </c>
      <c r="D55" t="s">
        <v>369</v>
      </c>
      <c r="E55" t="s">
        <v>55</v>
      </c>
      <c r="H55" t="s">
        <v>420</v>
      </c>
      <c r="I55" t="s">
        <v>139</v>
      </c>
      <c r="J55" t="s">
        <v>287</v>
      </c>
      <c r="K55" s="22">
        <f t="shared" ref="K55:Z118" si="16">K1464</f>
        <v>4.3602775961816637E-2</v>
      </c>
      <c r="L55" s="22">
        <f t="shared" si="16"/>
        <v>4.3598439842002956E-2</v>
      </c>
      <c r="M55" s="22">
        <f t="shared" si="16"/>
        <v>4.3590489865451415E-2</v>
      </c>
      <c r="N55" s="22">
        <f t="shared" si="16"/>
        <v>4.3580987666975365E-2</v>
      </c>
      <c r="O55" s="22">
        <f t="shared" si="16"/>
        <v>4.3574568531451807E-2</v>
      </c>
      <c r="P55" s="22">
        <f t="shared" si="16"/>
        <v>4.3570151054046678E-2</v>
      </c>
      <c r="Q55" s="22">
        <f t="shared" si="16"/>
        <v>4.356773205596657E-2</v>
      </c>
      <c r="R55" s="22">
        <f t="shared" si="16"/>
        <v>4.3563818561146786E-2</v>
      </c>
      <c r="S55" s="22">
        <f t="shared" si="16"/>
        <v>4.3559707726078062E-2</v>
      </c>
      <c r="T55" s="22">
        <f t="shared" si="16"/>
        <v>4.3588282403373507E-2</v>
      </c>
      <c r="U55" s="22">
        <f t="shared" si="16"/>
        <v>4.3576951577318432E-2</v>
      </c>
      <c r="V55" s="22">
        <f t="shared" si="16"/>
        <v>4.356148692022592E-2</v>
      </c>
      <c r="W55" s="22">
        <f t="shared" si="16"/>
        <v>4.3553176710053244E-2</v>
      </c>
      <c r="X55" s="22">
        <f t="shared" si="16"/>
        <v>4.3544087714894535E-2</v>
      </c>
      <c r="Y55" s="22">
        <f t="shared" si="16"/>
        <v>4.3533982542126072E-2</v>
      </c>
      <c r="Z55" s="22">
        <f t="shared" si="16"/>
        <v>4.3523374986501467E-2</v>
      </c>
      <c r="AA55" s="22">
        <f t="shared" si="15"/>
        <v>4.3512054176058558E-2</v>
      </c>
      <c r="AB55" s="22">
        <f t="shared" si="15"/>
        <v>4.3500708936344119E-2</v>
      </c>
      <c r="AC55" s="22">
        <f t="shared" si="15"/>
        <v>4.3488759970005758E-2</v>
      </c>
      <c r="AD55" s="22">
        <f t="shared" si="15"/>
        <v>4.3476864302717751E-2</v>
      </c>
      <c r="AE55" s="22">
        <f t="shared" si="15"/>
        <v>4.3463967416482306E-2</v>
      </c>
      <c r="AF55" s="22">
        <f t="shared" si="15"/>
        <v>4.3451545905502167E-2</v>
      </c>
      <c r="AG55" s="22">
        <f t="shared" si="15"/>
        <v>4.3438809983972274E-2</v>
      </c>
      <c r="AH55" s="22">
        <f t="shared" si="15"/>
        <v>4.342488663546161E-2</v>
      </c>
      <c r="AI55" s="22">
        <f t="shared" si="15"/>
        <v>4.3411939048081889E-2</v>
      </c>
      <c r="AJ55" s="22">
        <f t="shared" si="15"/>
        <v>4.3398644470041221E-2</v>
      </c>
      <c r="AK55" s="22">
        <f t="shared" si="15"/>
        <v>4.3384854431518481E-2</v>
      </c>
      <c r="AL55" s="22">
        <f t="shared" si="15"/>
        <v>4.3372180567031765E-2</v>
      </c>
      <c r="AM55" s="22">
        <f t="shared" si="15"/>
        <v>4.3359858994794151E-2</v>
      </c>
      <c r="AN55" s="22">
        <f t="shared" si="15"/>
        <v>4.3347842073940955E-2</v>
      </c>
      <c r="AO55" s="22">
        <f t="shared" si="15"/>
        <v>4.3335162461310681E-2</v>
      </c>
      <c r="AP55" s="22">
        <f t="shared" si="15"/>
        <v>4.3323215707468173E-2</v>
      </c>
      <c r="AQ55" s="22">
        <f t="shared" si="15"/>
        <v>4.3311116401376547E-2</v>
      </c>
      <c r="AR55" s="22">
        <f t="shared" si="15"/>
        <v>4.32988290810093E-2</v>
      </c>
      <c r="AS55" s="22">
        <f t="shared" si="15"/>
        <v>4.3286293057431681E-2</v>
      </c>
      <c r="AT55" s="22">
        <f t="shared" si="15"/>
        <v>4.3273560631175802E-2</v>
      </c>
      <c r="AU55" s="22">
        <f t="shared" si="15"/>
        <v>4.326964840938486E-2</v>
      </c>
      <c r="AV55" s="22">
        <f t="shared" si="15"/>
        <v>4.3266558381157602E-2</v>
      </c>
      <c r="AW55" s="22">
        <f t="shared" si="15"/>
        <v>4.326463329384897E-2</v>
      </c>
      <c r="AY55" s="79"/>
    </row>
    <row r="56" spans="1:51" x14ac:dyDescent="0.3">
      <c r="A56" s="95" t="str">
        <f t="shared" si="0"/>
        <v>FS Crop residues</v>
      </c>
      <c r="B56" s="95" t="s">
        <v>1004</v>
      </c>
      <c r="C56" s="95" t="s">
        <v>58</v>
      </c>
      <c r="D56" t="s">
        <v>369</v>
      </c>
      <c r="E56" t="s">
        <v>55</v>
      </c>
      <c r="H56" t="s">
        <v>58</v>
      </c>
      <c r="I56" t="s">
        <v>139</v>
      </c>
      <c r="J56" t="s">
        <v>287</v>
      </c>
      <c r="K56" s="22">
        <f t="shared" si="16"/>
        <v>2.94930909510781</v>
      </c>
      <c r="L56" s="22">
        <f t="shared" si="15"/>
        <v>2.9542138952234782</v>
      </c>
      <c r="M56" s="22">
        <f t="shared" si="15"/>
        <v>2.9632065078783478</v>
      </c>
      <c r="N56" s="22">
        <f t="shared" si="15"/>
        <v>2.9739549157146588</v>
      </c>
      <c r="O56" s="22">
        <f t="shared" si="15"/>
        <v>2.9812159181802835</v>
      </c>
      <c r="P56" s="22">
        <f t="shared" si="15"/>
        <v>2.9862127459015309</v>
      </c>
      <c r="Q56" s="22">
        <f t="shared" si="15"/>
        <v>2.9889489945692191</v>
      </c>
      <c r="R56" s="22">
        <f t="shared" si="15"/>
        <v>2.993375742599615</v>
      </c>
      <c r="S56" s="22">
        <f t="shared" si="15"/>
        <v>2.9980257119701434</v>
      </c>
      <c r="T56" s="22">
        <f t="shared" si="15"/>
        <v>2.9657034776855355</v>
      </c>
      <c r="U56" s="22">
        <f t="shared" si="15"/>
        <v>2.9785203368438653</v>
      </c>
      <c r="V56" s="22">
        <f t="shared" si="15"/>
        <v>2.9960131772531153</v>
      </c>
      <c r="W56" s="22">
        <f t="shared" si="15"/>
        <v>3.0054132680180357</v>
      </c>
      <c r="X56" s="22">
        <f t="shared" si="15"/>
        <v>3.0156942810945373</v>
      </c>
      <c r="Y56" s="22">
        <f t="shared" si="15"/>
        <v>3.0271247430497872</v>
      </c>
      <c r="Z56" s="22">
        <f t="shared" si="15"/>
        <v>3.0391234751628531</v>
      </c>
      <c r="AA56" s="22">
        <f t="shared" si="15"/>
        <v>3.0519290051656554</v>
      </c>
      <c r="AB56" s="22">
        <f t="shared" si="15"/>
        <v>3.0647621683287483</v>
      </c>
      <c r="AC56" s="22">
        <f t="shared" si="15"/>
        <v>3.078278236610247</v>
      </c>
      <c r="AD56" s="22">
        <f t="shared" si="15"/>
        <v>3.0917340156932256</v>
      </c>
      <c r="AE56" s="22">
        <f t="shared" si="15"/>
        <v>3.1063223231702981</v>
      </c>
      <c r="AF56" s="22">
        <f t="shared" si="15"/>
        <v>3.1203729101259317</v>
      </c>
      <c r="AG56" s="22">
        <f t="shared" si="15"/>
        <v>3.1347791424435716</v>
      </c>
      <c r="AH56" s="22">
        <f t="shared" si="15"/>
        <v>3.1505285322943979</v>
      </c>
      <c r="AI56" s="22">
        <f t="shared" si="15"/>
        <v>3.165174190349632</v>
      </c>
      <c r="AJ56" s="22">
        <f t="shared" si="15"/>
        <v>3.1802123467460328</v>
      </c>
      <c r="AK56" s="22">
        <f t="shared" si="15"/>
        <v>3.1958109430597368</v>
      </c>
      <c r="AL56" s="22">
        <f t="shared" si="15"/>
        <v>3.2101469795788988</v>
      </c>
      <c r="AM56" s="22">
        <f t="shared" si="15"/>
        <v>3.2240845208676738</v>
      </c>
      <c r="AN56" s="22">
        <f t="shared" si="15"/>
        <v>3.2376774558702412</v>
      </c>
      <c r="AO56" s="22">
        <f t="shared" si="15"/>
        <v>3.2520199943996095</v>
      </c>
      <c r="AP56" s="22">
        <f t="shared" si="15"/>
        <v>3.2655335600173556</v>
      </c>
      <c r="AQ56" s="22">
        <f t="shared" si="15"/>
        <v>3.2792196850479614</v>
      </c>
      <c r="AR56" s="22">
        <f t="shared" si="15"/>
        <v>3.2931184823478818</v>
      </c>
      <c r="AS56" s="22">
        <f t="shared" si="15"/>
        <v>3.3072986001803124</v>
      </c>
      <c r="AT56" s="22">
        <f t="shared" si="15"/>
        <v>3.3217008788202178</v>
      </c>
      <c r="AU56" s="22">
        <f t="shared" si="15"/>
        <v>3.3261261868645517</v>
      </c>
      <c r="AV56" s="22">
        <f t="shared" si="15"/>
        <v>3.3296214710028345</v>
      </c>
      <c r="AW56" s="22">
        <f t="shared" si="15"/>
        <v>3.3317990327077256</v>
      </c>
      <c r="AY56" s="79"/>
    </row>
    <row r="57" spans="1:51" x14ac:dyDescent="0.3">
      <c r="A57" s="95" t="str">
        <f t="shared" si="0"/>
        <v>FS Organic</v>
      </c>
      <c r="B57" s="95" t="s">
        <v>1004</v>
      </c>
      <c r="C57" s="95" t="s">
        <v>1127</v>
      </c>
      <c r="D57" t="s">
        <v>369</v>
      </c>
      <c r="E57" t="s">
        <v>55</v>
      </c>
      <c r="F57" t="s">
        <v>421</v>
      </c>
      <c r="G57" t="s">
        <v>1152</v>
      </c>
      <c r="H57" t="s">
        <v>1153</v>
      </c>
      <c r="I57" t="s">
        <v>139</v>
      </c>
      <c r="J57" t="s">
        <v>287</v>
      </c>
      <c r="K57" s="22">
        <f t="shared" si="16"/>
        <v>0.31878106382562998</v>
      </c>
      <c r="L57" s="22">
        <f t="shared" si="15"/>
        <v>0.32056321299147905</v>
      </c>
      <c r="M57" s="22">
        <f t="shared" si="15"/>
        <v>0.32309177745176459</v>
      </c>
      <c r="N57" s="22">
        <f t="shared" si="15"/>
        <v>0.32471664946511047</v>
      </c>
      <c r="O57" s="22">
        <f t="shared" si="15"/>
        <v>0.32579638434951874</v>
      </c>
      <c r="P57" s="22">
        <f t="shared" si="15"/>
        <v>0.32632035510276458</v>
      </c>
      <c r="Q57" s="22">
        <f t="shared" si="15"/>
        <v>0.32747800149861978</v>
      </c>
      <c r="R57" s="22">
        <f t="shared" si="15"/>
        <v>0.32880601635823298</v>
      </c>
      <c r="S57" s="22">
        <f t="shared" si="15"/>
        <v>0.31892223916812396</v>
      </c>
      <c r="T57" s="22">
        <f t="shared" si="15"/>
        <v>0.32227574446012153</v>
      </c>
      <c r="U57" s="22">
        <f t="shared" si="15"/>
        <v>0.32718438885789924</v>
      </c>
      <c r="V57" s="22">
        <f t="shared" si="15"/>
        <v>0.3297286573308299</v>
      </c>
      <c r="W57" s="22">
        <f t="shared" si="15"/>
        <v>0.33263641751266398</v>
      </c>
      <c r="X57" s="22">
        <f t="shared" si="15"/>
        <v>0.3360018452717824</v>
      </c>
      <c r="Y57" s="22">
        <f t="shared" si="15"/>
        <v>0.33943858200235472</v>
      </c>
      <c r="Z57" s="22">
        <f t="shared" si="15"/>
        <v>0.34324260633991188</v>
      </c>
      <c r="AA57" s="22">
        <f t="shared" si="15"/>
        <v>0.34716446895122904</v>
      </c>
      <c r="AB57" s="22">
        <f t="shared" si="15"/>
        <v>0.35142933015547478</v>
      </c>
      <c r="AC57" s="22">
        <f t="shared" si="15"/>
        <v>0.3557903986539287</v>
      </c>
      <c r="AD57" s="22">
        <f t="shared" si="15"/>
        <v>0.36050179142942168</v>
      </c>
      <c r="AE57" s="22">
        <f t="shared" si="15"/>
        <v>0.36514941854093586</v>
      </c>
      <c r="AF57" s="22">
        <f t="shared" si="15"/>
        <v>0.37005495430435736</v>
      </c>
      <c r="AG57" s="22">
        <f t="shared" si="15"/>
        <v>0.37560392620070809</v>
      </c>
      <c r="AH57" s="22">
        <f t="shared" si="15"/>
        <v>0.38087972226770728</v>
      </c>
      <c r="AI57" s="22">
        <f t="shared" si="15"/>
        <v>0.38629002318967742</v>
      </c>
      <c r="AJ57" s="22">
        <f t="shared" si="15"/>
        <v>0.39207609513939878</v>
      </c>
      <c r="AK57" s="22">
        <f t="shared" si="15"/>
        <v>0.39749694724838469</v>
      </c>
      <c r="AL57" s="22">
        <f t="shared" si="15"/>
        <v>0.4028883818835427</v>
      </c>
      <c r="AM57" s="22">
        <f t="shared" si="15"/>
        <v>0.40826539528750555</v>
      </c>
      <c r="AN57" s="22">
        <f t="shared" si="15"/>
        <v>0.41395411425770406</v>
      </c>
      <c r="AO57" s="22">
        <f t="shared" si="15"/>
        <v>0.41941402149436835</v>
      </c>
      <c r="AP57" s="22">
        <f t="shared" si="15"/>
        <v>0.4250859445304776</v>
      </c>
      <c r="AQ57" s="22">
        <f t="shared" si="15"/>
        <v>0.43099575197279355</v>
      </c>
      <c r="AR57" s="22">
        <f t="shared" si="15"/>
        <v>0.43718504328373597</v>
      </c>
      <c r="AS57" s="22">
        <f t="shared" si="15"/>
        <v>0.44348381500621098</v>
      </c>
      <c r="AT57" s="22">
        <f t="shared" si="15"/>
        <v>0.44497720344404595</v>
      </c>
      <c r="AU57" s="22">
        <f t="shared" si="15"/>
        <v>0.44604004342695891</v>
      </c>
      <c r="AV57" s="22">
        <f t="shared" si="15"/>
        <v>0.44647550838656064</v>
      </c>
      <c r="AW57" s="22">
        <f t="shared" si="15"/>
        <v>0.44673845388478889</v>
      </c>
      <c r="AY57" s="79"/>
    </row>
    <row r="58" spans="1:51" x14ac:dyDescent="0.3">
      <c r="A58" s="95" t="str">
        <f t="shared" si="0"/>
        <v>FS Organic</v>
      </c>
      <c r="B58" s="95" t="s">
        <v>1004</v>
      </c>
      <c r="C58" s="95" t="s">
        <v>1127</v>
      </c>
      <c r="D58" t="s">
        <v>369</v>
      </c>
      <c r="E58" t="s">
        <v>55</v>
      </c>
      <c r="F58" t="s">
        <v>421</v>
      </c>
      <c r="G58" t="s">
        <v>1154</v>
      </c>
      <c r="H58" t="s">
        <v>1155</v>
      </c>
      <c r="I58" t="s">
        <v>139</v>
      </c>
      <c r="J58" t="s">
        <v>287</v>
      </c>
      <c r="K58" s="22">
        <f t="shared" si="16"/>
        <v>0.93210651077804862</v>
      </c>
      <c r="L58" s="22">
        <f t="shared" si="15"/>
        <v>0.93731746283627471</v>
      </c>
      <c r="M58" s="22">
        <f t="shared" si="15"/>
        <v>0.94471091139331731</v>
      </c>
      <c r="N58" s="22">
        <f t="shared" si="15"/>
        <v>0.94946198965576145</v>
      </c>
      <c r="O58" s="22">
        <f t="shared" si="15"/>
        <v>0.95261910289076079</v>
      </c>
      <c r="P58" s="22">
        <f t="shared" si="15"/>
        <v>0.95415117805450056</v>
      </c>
      <c r="Q58" s="22">
        <f t="shared" si="15"/>
        <v>0.95753610227115837</v>
      </c>
      <c r="R58" s="22">
        <f t="shared" si="15"/>
        <v>0.96141917889497119</v>
      </c>
      <c r="S58" s="22">
        <f t="shared" si="15"/>
        <v>0.93251930335211441</v>
      </c>
      <c r="T58" s="22">
        <f t="shared" si="15"/>
        <v>0.94232485478320349</v>
      </c>
      <c r="U58" s="22">
        <f t="shared" si="15"/>
        <v>0.95667758749371812</v>
      </c>
      <c r="V58" s="22">
        <f t="shared" si="15"/>
        <v>0.96411695412461496</v>
      </c>
      <c r="W58" s="22">
        <f t="shared" si="15"/>
        <v>0.97261915988534076</v>
      </c>
      <c r="X58" s="22">
        <f t="shared" si="15"/>
        <v>0.98245957226172753</v>
      </c>
      <c r="Y58" s="22">
        <f t="shared" si="15"/>
        <v>0.99250848998586416</v>
      </c>
      <c r="Z58" s="22">
        <f t="shared" si="15"/>
        <v>1.0036313459348443</v>
      </c>
      <c r="AA58" s="22">
        <f t="shared" si="15"/>
        <v>1.0150987575511923</v>
      </c>
      <c r="AB58" s="22">
        <f t="shared" si="15"/>
        <v>1.0275690870253942</v>
      </c>
      <c r="AC58" s="22">
        <f t="shared" si="15"/>
        <v>1.0403207238151548</v>
      </c>
      <c r="AD58" s="22">
        <f t="shared" si="15"/>
        <v>1.054096698548936</v>
      </c>
      <c r="AE58" s="22">
        <f t="shared" si="15"/>
        <v>1.0676862243454883</v>
      </c>
      <c r="AF58" s="22">
        <f t="shared" si="15"/>
        <v>1.0820298675000297</v>
      </c>
      <c r="AG58" s="22">
        <f t="shared" si="15"/>
        <v>1.0982548990958272</v>
      </c>
      <c r="AH58" s="22">
        <f t="shared" si="15"/>
        <v>1.1136811725531401</v>
      </c>
      <c r="AI58" s="22">
        <f t="shared" si="15"/>
        <v>1.1295007342740186</v>
      </c>
      <c r="AJ58" s="22">
        <f t="shared" si="15"/>
        <v>1.146419039494041</v>
      </c>
      <c r="AK58" s="22">
        <f t="shared" si="15"/>
        <v>1.1622694525772803</v>
      </c>
      <c r="AL58" s="22">
        <f t="shared" si="15"/>
        <v>1.1780338498270926</v>
      </c>
      <c r="AM58" s="22">
        <f t="shared" si="15"/>
        <v>1.1937560798185081</v>
      </c>
      <c r="AN58" s="22">
        <f t="shared" si="15"/>
        <v>1.2103897277726068</v>
      </c>
      <c r="AO58" s="22">
        <f t="shared" si="15"/>
        <v>1.2263543369073659</v>
      </c>
      <c r="AP58" s="22">
        <f t="shared" si="15"/>
        <v>1.2429388740412319</v>
      </c>
      <c r="AQ58" s="22">
        <f t="shared" si="15"/>
        <v>1.260218978224084</v>
      </c>
      <c r="AR58" s="22">
        <f t="shared" si="15"/>
        <v>1.2783162850678402</v>
      </c>
      <c r="AS58" s="22">
        <f t="shared" si="15"/>
        <v>1.2967337094341598</v>
      </c>
      <c r="AT58" s="22">
        <f t="shared" si="15"/>
        <v>1.3011003335658498</v>
      </c>
      <c r="AU58" s="22">
        <f t="shared" si="15"/>
        <v>1.3042080466028143</v>
      </c>
      <c r="AV58" s="22">
        <f t="shared" si="15"/>
        <v>1.3054813334134847</v>
      </c>
      <c r="AW58" s="22">
        <f t="shared" si="15"/>
        <v>1.3062501783628579</v>
      </c>
      <c r="AY58" s="79"/>
    </row>
    <row r="59" spans="1:51" x14ac:dyDescent="0.3">
      <c r="A59" s="95" t="str">
        <f t="shared" si="0"/>
        <v>FS Organic</v>
      </c>
      <c r="B59" s="95" t="s">
        <v>1004</v>
      </c>
      <c r="C59" s="95" t="s">
        <v>1127</v>
      </c>
      <c r="D59" t="s">
        <v>369</v>
      </c>
      <c r="E59" t="s">
        <v>55</v>
      </c>
      <c r="F59" t="s">
        <v>421</v>
      </c>
      <c r="G59" t="s">
        <v>1156</v>
      </c>
      <c r="H59" t="s">
        <v>1157</v>
      </c>
      <c r="I59" t="s">
        <v>139</v>
      </c>
      <c r="J59" t="s">
        <v>287</v>
      </c>
      <c r="K59" s="22">
        <f t="shared" si="16"/>
        <v>4.9862442750846919E-2</v>
      </c>
      <c r="L59" s="22">
        <f t="shared" si="15"/>
        <v>5.0141199304605803E-2</v>
      </c>
      <c r="M59" s="22">
        <f t="shared" si="15"/>
        <v>5.0536707115294892E-2</v>
      </c>
      <c r="N59" s="22">
        <f t="shared" si="15"/>
        <v>5.0790863013925151E-2</v>
      </c>
      <c r="O59" s="22">
        <f t="shared" si="15"/>
        <v>5.0959750770976316E-2</v>
      </c>
      <c r="P59" s="22">
        <f t="shared" si="15"/>
        <v>5.1041708153806091E-2</v>
      </c>
      <c r="Q59" s="22">
        <f t="shared" si="15"/>
        <v>5.122278251388987E-2</v>
      </c>
      <c r="R59" s="22">
        <f t="shared" si="15"/>
        <v>5.1430505218981168E-2</v>
      </c>
      <c r="S59" s="22">
        <f t="shared" si="15"/>
        <v>4.9884524826075798E-2</v>
      </c>
      <c r="T59" s="22">
        <f t="shared" si="15"/>
        <v>5.0409066540160655E-2</v>
      </c>
      <c r="U59" s="22">
        <f t="shared" si="15"/>
        <v>5.1176856813934052E-2</v>
      </c>
      <c r="V59" s="22">
        <f t="shared" si="15"/>
        <v>5.1574820982670536E-2</v>
      </c>
      <c r="W59" s="22">
        <f t="shared" si="15"/>
        <v>5.2029641052156198E-2</v>
      </c>
      <c r="X59" s="22">
        <f t="shared" si="15"/>
        <v>5.255604763025503E-2</v>
      </c>
      <c r="Y59" s="22">
        <f t="shared" si="15"/>
        <v>5.3093608068824946E-2</v>
      </c>
      <c r="Z59" s="22">
        <f t="shared" si="15"/>
        <v>5.3688618147146365E-2</v>
      </c>
      <c r="AA59" s="22">
        <f t="shared" si="15"/>
        <v>5.4302060010934287E-2</v>
      </c>
      <c r="AB59" s="22">
        <f t="shared" si="15"/>
        <v>5.4969152325279956E-2</v>
      </c>
      <c r="AC59" s="22">
        <f t="shared" si="15"/>
        <v>5.5651292994888926E-2</v>
      </c>
      <c r="AD59" s="22">
        <f t="shared" si="15"/>
        <v>5.6388229968890861E-2</v>
      </c>
      <c r="AE59" s="22">
        <f t="shared" si="15"/>
        <v>5.711519297602205E-2</v>
      </c>
      <c r="AF59" s="22">
        <f t="shared" si="15"/>
        <v>5.7882497009801276E-2</v>
      </c>
      <c r="AG59" s="22">
        <f t="shared" si="15"/>
        <v>5.8750444717194539E-2</v>
      </c>
      <c r="AH59" s="22">
        <f t="shared" si="15"/>
        <v>5.9575663367885126E-2</v>
      </c>
      <c r="AI59" s="22">
        <f t="shared" si="15"/>
        <v>6.0421920723165649E-2</v>
      </c>
      <c r="AJ59" s="22">
        <f t="shared" si="15"/>
        <v>6.1326954660511038E-2</v>
      </c>
      <c r="AK59" s="22">
        <f t="shared" si="15"/>
        <v>6.2174862389725999E-2</v>
      </c>
      <c r="AL59" s="22">
        <f t="shared" si="15"/>
        <v>6.3018168756843018E-2</v>
      </c>
      <c r="AM59" s="22">
        <f t="shared" si="15"/>
        <v>6.3859219413391094E-2</v>
      </c>
      <c r="AN59" s="22">
        <f t="shared" si="15"/>
        <v>6.4749025792016954E-2</v>
      </c>
      <c r="AO59" s="22">
        <f t="shared" si="15"/>
        <v>6.5603042366106867E-2</v>
      </c>
      <c r="AP59" s="22">
        <f t="shared" si="15"/>
        <v>6.6490221592755999E-2</v>
      </c>
      <c r="AQ59" s="22">
        <f t="shared" si="15"/>
        <v>6.7414609734650743E-2</v>
      </c>
      <c r="AR59" s="22">
        <f t="shared" si="15"/>
        <v>6.8382713611200324E-2</v>
      </c>
      <c r="AS59" s="22">
        <f t="shared" si="15"/>
        <v>6.9367941970261027E-2</v>
      </c>
      <c r="AT59" s="22">
        <f t="shared" si="15"/>
        <v>6.9601531740596523E-2</v>
      </c>
      <c r="AU59" s="22">
        <f t="shared" si="15"/>
        <v>6.9767776865590186E-2</v>
      </c>
      <c r="AV59" s="22">
        <f t="shared" si="15"/>
        <v>6.983589053067922E-2</v>
      </c>
      <c r="AW59" s="22">
        <f t="shared" si="15"/>
        <v>6.9877019400426524E-2</v>
      </c>
      <c r="AY59" s="79"/>
    </row>
    <row r="60" spans="1:51" x14ac:dyDescent="0.3">
      <c r="A60" s="95" t="str">
        <f t="shared" si="0"/>
        <v>FS Organic</v>
      </c>
      <c r="B60" s="95" t="s">
        <v>1004</v>
      </c>
      <c r="C60" s="95" t="s">
        <v>1127</v>
      </c>
      <c r="D60" t="s">
        <v>369</v>
      </c>
      <c r="E60" t="s">
        <v>55</v>
      </c>
      <c r="F60" t="s">
        <v>421</v>
      </c>
      <c r="G60" t="s">
        <v>1158</v>
      </c>
      <c r="H60" t="s">
        <v>1159</v>
      </c>
      <c r="I60" t="s">
        <v>139</v>
      </c>
      <c r="J60" t="s">
        <v>287</v>
      </c>
      <c r="K60" s="22">
        <f t="shared" si="16"/>
        <v>0.3999997899835232</v>
      </c>
      <c r="L60" s="22">
        <f t="shared" si="15"/>
        <v>0.39653071954810187</v>
      </c>
      <c r="M60" s="22">
        <f t="shared" si="15"/>
        <v>0.39521014945095023</v>
      </c>
      <c r="N60" s="22">
        <f t="shared" si="15"/>
        <v>0.38993263522397309</v>
      </c>
      <c r="O60" s="22">
        <f t="shared" si="15"/>
        <v>0.382272194437701</v>
      </c>
      <c r="P60" s="22">
        <f t="shared" si="15"/>
        <v>0.37238723301511378</v>
      </c>
      <c r="Q60" s="22">
        <f t="shared" si="15"/>
        <v>0.36459067483623875</v>
      </c>
      <c r="R60" s="22">
        <f t="shared" si="15"/>
        <v>0.3572142444544395</v>
      </c>
      <c r="S60" s="22">
        <f t="shared" si="15"/>
        <v>0.31424439964767104</v>
      </c>
      <c r="T60" s="22">
        <f t="shared" si="15"/>
        <v>0.31934867566353531</v>
      </c>
      <c r="U60" s="22">
        <f t="shared" si="15"/>
        <v>0.32887086359473244</v>
      </c>
      <c r="V60" s="22">
        <f t="shared" si="15"/>
        <v>0.33077255450985388</v>
      </c>
      <c r="W60" s="22">
        <f t="shared" si="15"/>
        <v>0.33351533974002295</v>
      </c>
      <c r="X60" s="22">
        <f t="shared" si="15"/>
        <v>0.33734158563652278</v>
      </c>
      <c r="Y60" s="22">
        <f t="shared" si="15"/>
        <v>0.34173046425936165</v>
      </c>
      <c r="Z60" s="22">
        <f t="shared" si="15"/>
        <v>0.34687619399861491</v>
      </c>
      <c r="AA60" s="22">
        <f t="shared" si="15"/>
        <v>0.35204565699464252</v>
      </c>
      <c r="AB60" s="22">
        <f t="shared" si="15"/>
        <v>0.35785970773870229</v>
      </c>
      <c r="AC60" s="22">
        <f t="shared" si="15"/>
        <v>0.36361606039285416</v>
      </c>
      <c r="AD60" s="22">
        <f t="shared" si="15"/>
        <v>0.36736576480920718</v>
      </c>
      <c r="AE60" s="22">
        <f t="shared" si="15"/>
        <v>0.37044453344609923</v>
      </c>
      <c r="AF60" s="22">
        <f t="shared" si="15"/>
        <v>0.37369707806666508</v>
      </c>
      <c r="AG60" s="22">
        <f t="shared" si="15"/>
        <v>0.37804894622531426</v>
      </c>
      <c r="AH60" s="22">
        <f t="shared" si="15"/>
        <v>0.38117866346584023</v>
      </c>
      <c r="AI60" s="22">
        <f t="shared" si="15"/>
        <v>0.38451417084428363</v>
      </c>
      <c r="AJ60" s="22">
        <f t="shared" si="15"/>
        <v>0.38818587422632583</v>
      </c>
      <c r="AK60" s="22">
        <f t="shared" si="15"/>
        <v>0.39047383423356319</v>
      </c>
      <c r="AL60" s="22">
        <f t="shared" si="15"/>
        <v>0.39219030360024004</v>
      </c>
      <c r="AM60" s="22">
        <f t="shared" si="15"/>
        <v>0.39338421797559098</v>
      </c>
      <c r="AN60" s="22">
        <f t="shared" si="15"/>
        <v>0.39709578221714281</v>
      </c>
      <c r="AO60" s="22">
        <f t="shared" si="15"/>
        <v>0.39991704090429331</v>
      </c>
      <c r="AP60" s="22">
        <f t="shared" si="15"/>
        <v>0.40277391205281804</v>
      </c>
      <c r="AQ60" s="22">
        <f t="shared" si="15"/>
        <v>0.40569907697718249</v>
      </c>
      <c r="AR60" s="22">
        <f t="shared" si="15"/>
        <v>0.40875152256691355</v>
      </c>
      <c r="AS60" s="22">
        <f t="shared" si="15"/>
        <v>0.41188557339004239</v>
      </c>
      <c r="AT60" s="22">
        <f t="shared" si="15"/>
        <v>0.4057032930761475</v>
      </c>
      <c r="AU60" s="22">
        <f t="shared" si="15"/>
        <v>0.3986998092121265</v>
      </c>
      <c r="AV60" s="22">
        <f t="shared" si="15"/>
        <v>0.39058052493607326</v>
      </c>
      <c r="AW60" s="22">
        <f t="shared" si="15"/>
        <v>0.38220678819508502</v>
      </c>
      <c r="AY60" s="79"/>
    </row>
    <row r="61" spans="1:51" x14ac:dyDescent="0.3">
      <c r="A61" s="95" t="str">
        <f t="shared" si="0"/>
        <v>FS Organic</v>
      </c>
      <c r="B61" s="95" t="s">
        <v>1004</v>
      </c>
      <c r="C61" s="95" t="s">
        <v>1127</v>
      </c>
      <c r="D61" t="s">
        <v>369</v>
      </c>
      <c r="E61" t="s">
        <v>55</v>
      </c>
      <c r="F61" t="s">
        <v>421</v>
      </c>
      <c r="G61" t="s">
        <v>1160</v>
      </c>
      <c r="H61" t="s">
        <v>1161</v>
      </c>
      <c r="I61" t="s">
        <v>139</v>
      </c>
      <c r="J61" t="s">
        <v>287</v>
      </c>
      <c r="K61" s="22">
        <f t="shared" si="16"/>
        <v>2.6602988559851246</v>
      </c>
      <c r="L61" s="22">
        <f t="shared" si="15"/>
        <v>2.6372269335947083</v>
      </c>
      <c r="M61" s="22">
        <f t="shared" si="15"/>
        <v>2.6284441511866339</v>
      </c>
      <c r="N61" s="22">
        <f t="shared" si="15"/>
        <v>2.5933447201068058</v>
      </c>
      <c r="O61" s="22">
        <f t="shared" si="15"/>
        <v>2.5423970387070201</v>
      </c>
      <c r="P61" s="22">
        <f t="shared" ref="L61:AW67" si="17">P1470</f>
        <v>2.4766546252796311</v>
      </c>
      <c r="Q61" s="22">
        <f t="shared" si="17"/>
        <v>2.4248016610449818</v>
      </c>
      <c r="R61" s="22">
        <f t="shared" si="17"/>
        <v>2.3757428620222045</v>
      </c>
      <c r="S61" s="22">
        <f t="shared" si="17"/>
        <v>2.0899611395217677</v>
      </c>
      <c r="T61" s="22">
        <f t="shared" si="17"/>
        <v>2.123908406459571</v>
      </c>
      <c r="U61" s="22">
        <f t="shared" si="17"/>
        <v>2.1872381038598681</v>
      </c>
      <c r="V61" s="22">
        <f t="shared" si="17"/>
        <v>2.1998857759152552</v>
      </c>
      <c r="W61" s="22">
        <f t="shared" si="17"/>
        <v>2.2181273565179156</v>
      </c>
      <c r="X61" s="22">
        <f t="shared" si="17"/>
        <v>2.2435747638317936</v>
      </c>
      <c r="Y61" s="22">
        <f t="shared" si="17"/>
        <v>2.2727641011058872</v>
      </c>
      <c r="Z61" s="22">
        <f t="shared" si="17"/>
        <v>2.3069870664207133</v>
      </c>
      <c r="AA61" s="22">
        <f t="shared" si="17"/>
        <v>2.3413678757080296</v>
      </c>
      <c r="AB61" s="22">
        <f t="shared" si="17"/>
        <v>2.380035677367871</v>
      </c>
      <c r="AC61" s="22">
        <f t="shared" si="17"/>
        <v>2.4183197434198012</v>
      </c>
      <c r="AD61" s="22">
        <f t="shared" si="17"/>
        <v>2.4432580924362282</v>
      </c>
      <c r="AE61" s="22">
        <f t="shared" si="17"/>
        <v>2.4637342148934525</v>
      </c>
      <c r="AF61" s="22">
        <f t="shared" si="17"/>
        <v>2.4853660780839015</v>
      </c>
      <c r="AG61" s="22">
        <f t="shared" si="17"/>
        <v>2.5143092679899</v>
      </c>
      <c r="AH61" s="22">
        <f t="shared" si="17"/>
        <v>2.5351242369049363</v>
      </c>
      <c r="AI61" s="22">
        <f t="shared" si="17"/>
        <v>2.5573078647097613</v>
      </c>
      <c r="AJ61" s="22">
        <f t="shared" si="17"/>
        <v>2.5817274482979573</v>
      </c>
      <c r="AK61" s="22">
        <f t="shared" si="17"/>
        <v>2.5969440997618101</v>
      </c>
      <c r="AL61" s="22">
        <f t="shared" si="17"/>
        <v>2.6083599094868397</v>
      </c>
      <c r="AM61" s="22">
        <f t="shared" si="17"/>
        <v>2.6163003362731181</v>
      </c>
      <c r="AN61" s="22">
        <f t="shared" si="17"/>
        <v>2.6409850244978843</v>
      </c>
      <c r="AO61" s="22">
        <f t="shared" si="17"/>
        <v>2.6597485124941493</v>
      </c>
      <c r="AP61" s="22">
        <f t="shared" si="17"/>
        <v>2.6787488500904026</v>
      </c>
      <c r="AQ61" s="22">
        <f t="shared" si="17"/>
        <v>2.6982033925594746</v>
      </c>
      <c r="AR61" s="22">
        <f t="shared" si="17"/>
        <v>2.7185044469941606</v>
      </c>
      <c r="AS61" s="22">
        <f t="shared" si="17"/>
        <v>2.739348237486432</v>
      </c>
      <c r="AT61" s="22">
        <f t="shared" si="17"/>
        <v>2.6982314327823316</v>
      </c>
      <c r="AU61" s="22">
        <f t="shared" si="17"/>
        <v>2.6516530080483269</v>
      </c>
      <c r="AV61" s="22">
        <f t="shared" si="17"/>
        <v>2.5976536730189443</v>
      </c>
      <c r="AW61" s="22">
        <f t="shared" si="17"/>
        <v>2.5419620380976129</v>
      </c>
      <c r="AY61" s="79"/>
    </row>
    <row r="62" spans="1:51" x14ac:dyDescent="0.3">
      <c r="A62" s="95" t="str">
        <f t="shared" si="0"/>
        <v>FS Organic</v>
      </c>
      <c r="B62" s="95" t="s">
        <v>1004</v>
      </c>
      <c r="C62" s="95" t="s">
        <v>1127</v>
      </c>
      <c r="D62" t="s">
        <v>369</v>
      </c>
      <c r="E62" t="s">
        <v>55</v>
      </c>
      <c r="F62" t="s">
        <v>421</v>
      </c>
      <c r="G62" t="s">
        <v>1162</v>
      </c>
      <c r="H62" t="s">
        <v>1163</v>
      </c>
      <c r="I62" t="s">
        <v>139</v>
      </c>
      <c r="J62" t="s">
        <v>287</v>
      </c>
      <c r="K62" s="22">
        <f t="shared" si="16"/>
        <v>0.34358078636628736</v>
      </c>
      <c r="L62" s="22">
        <f t="shared" si="17"/>
        <v>0.35516571939691499</v>
      </c>
      <c r="M62" s="22">
        <f t="shared" si="17"/>
        <v>0.36891582276573964</v>
      </c>
      <c r="N62" s="22">
        <f t="shared" si="17"/>
        <v>0.37917034791782095</v>
      </c>
      <c r="O62" s="22">
        <f t="shared" si="17"/>
        <v>0.38707850955818851</v>
      </c>
      <c r="P62" s="22">
        <f t="shared" si="17"/>
        <v>0.39252728601928993</v>
      </c>
      <c r="Q62" s="22">
        <f t="shared" si="17"/>
        <v>0.39996713645364929</v>
      </c>
      <c r="R62" s="22">
        <f t="shared" si="17"/>
        <v>0.40776627193753145</v>
      </c>
      <c r="S62" s="22">
        <f t="shared" si="17"/>
        <v>0.37321314104522196</v>
      </c>
      <c r="T62" s="22">
        <f t="shared" si="17"/>
        <v>0.3884130094850205</v>
      </c>
      <c r="U62" s="22">
        <f t="shared" si="17"/>
        <v>0.40949913684353023</v>
      </c>
      <c r="V62" s="22">
        <f t="shared" si="17"/>
        <v>0.4215293985273969</v>
      </c>
      <c r="W62" s="22">
        <f t="shared" si="17"/>
        <v>0.43487839572409737</v>
      </c>
      <c r="X62" s="22">
        <f t="shared" si="17"/>
        <v>0.4499540833261832</v>
      </c>
      <c r="Y62" s="22">
        <f t="shared" si="17"/>
        <v>0.46615455433442204</v>
      </c>
      <c r="Z62" s="22">
        <f t="shared" si="17"/>
        <v>0.48381398189083635</v>
      </c>
      <c r="AA62" s="22">
        <f t="shared" si="17"/>
        <v>0.50197004484830632</v>
      </c>
      <c r="AB62" s="22">
        <f t="shared" si="17"/>
        <v>0.52154350048929543</v>
      </c>
      <c r="AC62" s="22">
        <f t="shared" si="17"/>
        <v>0.5415643129229577</v>
      </c>
      <c r="AD62" s="22">
        <f t="shared" si="17"/>
        <v>0.56529401193420392</v>
      </c>
      <c r="AE62" s="22">
        <f t="shared" si="17"/>
        <v>0.58897158069089917</v>
      </c>
      <c r="AF62" s="22">
        <f t="shared" si="17"/>
        <v>0.61393439377098979</v>
      </c>
      <c r="AG62" s="22">
        <f t="shared" si="17"/>
        <v>0.64183870134182519</v>
      </c>
      <c r="AH62" s="22">
        <f t="shared" si="17"/>
        <v>0.66886013669524935</v>
      </c>
      <c r="AI62" s="22">
        <f t="shared" si="17"/>
        <v>0.6974449623138369</v>
      </c>
      <c r="AJ62" s="22">
        <f t="shared" si="17"/>
        <v>0.72794565179733817</v>
      </c>
      <c r="AK62" s="22">
        <f t="shared" si="17"/>
        <v>0.75716831024556897</v>
      </c>
      <c r="AL62" s="22">
        <f t="shared" si="17"/>
        <v>0.78655158010344739</v>
      </c>
      <c r="AM62" s="22">
        <f t="shared" si="17"/>
        <v>0.81615922006003327</v>
      </c>
      <c r="AN62" s="22">
        <f t="shared" si="17"/>
        <v>0.84710504325273028</v>
      </c>
      <c r="AO62" s="22">
        <f t="shared" si="17"/>
        <v>0.8772777887183536</v>
      </c>
      <c r="AP62" s="22">
        <f t="shared" si="17"/>
        <v>0.90865780083615855</v>
      </c>
      <c r="AQ62" s="22">
        <f t="shared" si="17"/>
        <v>0.94138400089523855</v>
      </c>
      <c r="AR62" s="22">
        <f t="shared" si="17"/>
        <v>0.9756708685083213</v>
      </c>
      <c r="AS62" s="22">
        <f t="shared" si="17"/>
        <v>1.0114969469202602</v>
      </c>
      <c r="AT62" s="22">
        <f t="shared" si="17"/>
        <v>1.0252009760930854</v>
      </c>
      <c r="AU62" s="22">
        <f t="shared" si="17"/>
        <v>1.0368909620314641</v>
      </c>
      <c r="AV62" s="22">
        <f t="shared" si="17"/>
        <v>1.0455964615277633</v>
      </c>
      <c r="AW62" s="22">
        <f t="shared" si="17"/>
        <v>1.0534263177729573</v>
      </c>
      <c r="AY62" s="79"/>
    </row>
    <row r="63" spans="1:51" x14ac:dyDescent="0.3">
      <c r="A63" s="95" t="str">
        <f t="shared" si="0"/>
        <v>FS Organic</v>
      </c>
      <c r="B63" s="95" t="s">
        <v>1004</v>
      </c>
      <c r="C63" s="95" t="s">
        <v>1127</v>
      </c>
      <c r="D63" t="s">
        <v>369</v>
      </c>
      <c r="E63" t="s">
        <v>55</v>
      </c>
      <c r="F63" t="s">
        <v>421</v>
      </c>
      <c r="G63" t="s">
        <v>1164</v>
      </c>
      <c r="H63" t="s">
        <v>1165</v>
      </c>
      <c r="I63" t="s">
        <v>139</v>
      </c>
      <c r="J63" t="s">
        <v>287</v>
      </c>
      <c r="K63" s="22">
        <f t="shared" si="16"/>
        <v>5.8359782740747899E-2</v>
      </c>
      <c r="L63" s="22">
        <f t="shared" si="17"/>
        <v>5.8391337689573865E-2</v>
      </c>
      <c r="M63" s="22">
        <f t="shared" si="17"/>
        <v>5.8466784388382168E-2</v>
      </c>
      <c r="N63" s="22">
        <f t="shared" si="17"/>
        <v>5.857803115055428E-2</v>
      </c>
      <c r="O63" s="22">
        <f t="shared" si="17"/>
        <v>5.872437103691365E-2</v>
      </c>
      <c r="P63" s="22">
        <f t="shared" si="17"/>
        <v>5.890425875881948E-2</v>
      </c>
      <c r="Q63" s="22">
        <f t="shared" si="17"/>
        <v>5.9106297224497076E-2</v>
      </c>
      <c r="R63" s="22">
        <f t="shared" si="17"/>
        <v>5.932921089397071E-2</v>
      </c>
      <c r="S63" s="22">
        <f t="shared" si="17"/>
        <v>5.9533053172061867E-2</v>
      </c>
      <c r="T63" s="22">
        <f t="shared" si="17"/>
        <v>5.9622626403998236E-2</v>
      </c>
      <c r="U63" s="22">
        <f t="shared" si="17"/>
        <v>5.9732014563410027E-2</v>
      </c>
      <c r="V63" s="22">
        <f t="shared" si="17"/>
        <v>5.9846990057404043E-2</v>
      </c>
      <c r="W63" s="22">
        <f t="shared" si="17"/>
        <v>5.9976074595492208E-2</v>
      </c>
      <c r="X63" s="22">
        <f t="shared" si="17"/>
        <v>6.0118906996584121E-2</v>
      </c>
      <c r="Y63" s="22">
        <f t="shared" si="17"/>
        <v>6.0208109427104674E-2</v>
      </c>
      <c r="Z63" s="22">
        <f t="shared" si="17"/>
        <v>6.0308885561081285E-2</v>
      </c>
      <c r="AA63" s="22">
        <f t="shared" si="17"/>
        <v>6.0419873689415794E-2</v>
      </c>
      <c r="AB63" s="22">
        <f t="shared" si="17"/>
        <v>6.0541378990392976E-2</v>
      </c>
      <c r="AC63" s="22">
        <f t="shared" si="17"/>
        <v>6.0672147346661598E-2</v>
      </c>
      <c r="AD63" s="22">
        <f t="shared" si="17"/>
        <v>6.075986875735849E-2</v>
      </c>
      <c r="AE63" s="22">
        <f t="shared" si="17"/>
        <v>6.0855100315135816E-2</v>
      </c>
      <c r="AF63" s="22">
        <f t="shared" si="17"/>
        <v>6.095860752574931E-2</v>
      </c>
      <c r="AG63" s="22">
        <f t="shared" si="17"/>
        <v>6.1071400786534412E-2</v>
      </c>
      <c r="AH63" s="22">
        <f t="shared" si="17"/>
        <v>6.1190093146373289E-2</v>
      </c>
      <c r="AI63" s="22">
        <f t="shared" si="17"/>
        <v>6.1265960925417272E-2</v>
      </c>
      <c r="AJ63" s="22">
        <f t="shared" si="17"/>
        <v>6.1349061452671098E-2</v>
      </c>
      <c r="AK63" s="22">
        <f t="shared" si="17"/>
        <v>6.1436653899188148E-2</v>
      </c>
      <c r="AL63" s="22">
        <f t="shared" si="17"/>
        <v>6.152967077586103E-2</v>
      </c>
      <c r="AM63" s="22">
        <f t="shared" si="17"/>
        <v>6.1627971048734624E-2</v>
      </c>
      <c r="AN63" s="22">
        <f t="shared" si="17"/>
        <v>6.1686054121935154E-2</v>
      </c>
      <c r="AO63" s="22">
        <f t="shared" si="17"/>
        <v>6.1748058507407479E-2</v>
      </c>
      <c r="AP63" s="22">
        <f t="shared" si="17"/>
        <v>6.1815315922285695E-2</v>
      </c>
      <c r="AQ63" s="22">
        <f t="shared" si="17"/>
        <v>6.1887761342917867E-2</v>
      </c>
      <c r="AR63" s="22">
        <f t="shared" si="17"/>
        <v>6.1965393268001254E-2</v>
      </c>
      <c r="AS63" s="22">
        <f t="shared" si="17"/>
        <v>6.2000613011444994E-2</v>
      </c>
      <c r="AT63" s="22">
        <f t="shared" si="17"/>
        <v>6.2023309807671526E-2</v>
      </c>
      <c r="AU63" s="22">
        <f t="shared" si="17"/>
        <v>6.2048189785904866E-2</v>
      </c>
      <c r="AV63" s="22">
        <f t="shared" si="17"/>
        <v>6.2074469713562223E-2</v>
      </c>
      <c r="AW63" s="22">
        <f t="shared" si="17"/>
        <v>6.2103581129763968E-2</v>
      </c>
      <c r="AY63" s="79"/>
    </row>
    <row r="64" spans="1:51" x14ac:dyDescent="0.3">
      <c r="A64" s="95" t="str">
        <f t="shared" si="0"/>
        <v>FS Organic</v>
      </c>
      <c r="B64" s="95" t="s">
        <v>1004</v>
      </c>
      <c r="C64" s="95" t="s">
        <v>1127</v>
      </c>
      <c r="D64" t="s">
        <v>369</v>
      </c>
      <c r="E64" t="s">
        <v>55</v>
      </c>
      <c r="F64" t="s">
        <v>421</v>
      </c>
      <c r="G64" t="s">
        <v>1166</v>
      </c>
      <c r="H64" t="s">
        <v>1167</v>
      </c>
      <c r="I64" t="s">
        <v>139</v>
      </c>
      <c r="J64" t="s">
        <v>287</v>
      </c>
      <c r="K64" s="22">
        <f t="shared" si="16"/>
        <v>4.7496930236945983E-2</v>
      </c>
      <c r="L64" s="22">
        <f t="shared" si="17"/>
        <v>4.7522611675988952E-2</v>
      </c>
      <c r="M64" s="22">
        <f t="shared" si="17"/>
        <v>4.7584015033260249E-2</v>
      </c>
      <c r="N64" s="22">
        <f t="shared" si="17"/>
        <v>4.7674554775764919E-2</v>
      </c>
      <c r="O64" s="22">
        <f t="shared" si="17"/>
        <v>4.7793655551108268E-2</v>
      </c>
      <c r="P64" s="22">
        <f t="shared" si="17"/>
        <v>4.7940059704389672E-2</v>
      </c>
      <c r="Q64" s="22">
        <f t="shared" si="17"/>
        <v>4.8104491552124547E-2</v>
      </c>
      <c r="R64" s="22">
        <f t="shared" si="17"/>
        <v>4.8285912978158388E-2</v>
      </c>
      <c r="S64" s="22">
        <f t="shared" si="17"/>
        <v>4.8451812884003569E-2</v>
      </c>
      <c r="T64" s="22">
        <f t="shared" si="17"/>
        <v>4.8524713319004827E-2</v>
      </c>
      <c r="U64" s="22">
        <f t="shared" si="17"/>
        <v>4.8613740411504645E-2</v>
      </c>
      <c r="V64" s="22">
        <f t="shared" si="17"/>
        <v>4.8707314834861425E-2</v>
      </c>
      <c r="W64" s="22">
        <f t="shared" si="17"/>
        <v>4.8812372102251839E-2</v>
      </c>
      <c r="X64" s="22">
        <f t="shared" si="17"/>
        <v>4.8928618261364118E-2</v>
      </c>
      <c r="Y64" s="22">
        <f t="shared" si="17"/>
        <v>4.9001216914416376E-2</v>
      </c>
      <c r="Z64" s="22">
        <f t="shared" si="17"/>
        <v>4.908323498885471E-2</v>
      </c>
      <c r="AA64" s="22">
        <f t="shared" si="17"/>
        <v>4.9173564238571964E-2</v>
      </c>
      <c r="AB64" s="22">
        <f t="shared" si="17"/>
        <v>4.9272453037208674E-2</v>
      </c>
      <c r="AC64" s="22">
        <f t="shared" si="17"/>
        <v>4.9378880703714607E-2</v>
      </c>
      <c r="AD64" s="22">
        <f t="shared" si="17"/>
        <v>4.9450274007947166E-2</v>
      </c>
      <c r="AE64" s="22">
        <f t="shared" si="17"/>
        <v>4.9527779551040076E-2</v>
      </c>
      <c r="AF64" s="22">
        <f t="shared" si="17"/>
        <v>4.9612020350622385E-2</v>
      </c>
      <c r="AG64" s="22">
        <f t="shared" si="17"/>
        <v>4.9703818732780645E-2</v>
      </c>
      <c r="AH64" s="22">
        <f t="shared" si="17"/>
        <v>4.9800418179697173E-2</v>
      </c>
      <c r="AI64" s="22">
        <f t="shared" si="17"/>
        <v>4.9862164239042377E-2</v>
      </c>
      <c r="AJ64" s="22">
        <f t="shared" si="17"/>
        <v>4.992979677227443E-2</v>
      </c>
      <c r="AK64" s="22">
        <f t="shared" si="17"/>
        <v>5.0001085117194859E-2</v>
      </c>
      <c r="AL64" s="22">
        <f t="shared" si="17"/>
        <v>5.0076788210912958E-2</v>
      </c>
      <c r="AM64" s="22">
        <f t="shared" si="17"/>
        <v>5.0156791270960163E-2</v>
      </c>
      <c r="AN64" s="22">
        <f t="shared" si="17"/>
        <v>5.0204062997244822E-2</v>
      </c>
      <c r="AO64" s="22">
        <f t="shared" si="17"/>
        <v>5.0254526138690123E-2</v>
      </c>
      <c r="AP64" s="22">
        <f t="shared" si="17"/>
        <v>5.0309264532021343E-2</v>
      </c>
      <c r="AQ64" s="22">
        <f t="shared" si="17"/>
        <v>5.036822525682455E-2</v>
      </c>
      <c r="AR64" s="22">
        <f t="shared" si="17"/>
        <v>5.0431407091243406E-2</v>
      </c>
      <c r="AS64" s="22">
        <f t="shared" si="17"/>
        <v>5.0460071174945387E-2</v>
      </c>
      <c r="AT64" s="22">
        <f t="shared" si="17"/>
        <v>5.0478543281871534E-2</v>
      </c>
      <c r="AU64" s="22">
        <f t="shared" si="17"/>
        <v>5.0498792202188725E-2</v>
      </c>
      <c r="AV64" s="22">
        <f t="shared" si="17"/>
        <v>5.0520180491040283E-2</v>
      </c>
      <c r="AW64" s="22">
        <f t="shared" si="17"/>
        <v>5.0543873226679401E-2</v>
      </c>
      <c r="AY64" s="79"/>
    </row>
    <row r="65" spans="1:51" x14ac:dyDescent="0.3">
      <c r="A65" s="95" t="str">
        <f t="shared" si="0"/>
        <v>FS Organic</v>
      </c>
      <c r="B65" s="95" t="s">
        <v>1004</v>
      </c>
      <c r="C65" s="95" t="s">
        <v>1127</v>
      </c>
      <c r="D65" t="s">
        <v>369</v>
      </c>
      <c r="E65" t="s">
        <v>55</v>
      </c>
      <c r="F65" t="s">
        <v>421</v>
      </c>
      <c r="G65" t="s">
        <v>1168</v>
      </c>
      <c r="H65" t="s">
        <v>1169</v>
      </c>
      <c r="I65" t="s">
        <v>139</v>
      </c>
      <c r="J65" t="s">
        <v>287</v>
      </c>
      <c r="K65" s="22">
        <f t="shared" si="16"/>
        <v>7.214092738049376E-3</v>
      </c>
      <c r="L65" s="22">
        <f t="shared" si="17"/>
        <v>7.2328458969643655E-3</v>
      </c>
      <c r="M65" s="22">
        <f t="shared" si="17"/>
        <v>7.2587152169743185E-3</v>
      </c>
      <c r="N65" s="22">
        <f t="shared" si="17"/>
        <v>7.2902308808567374E-3</v>
      </c>
      <c r="O65" s="22">
        <f t="shared" si="17"/>
        <v>7.3273479389297461E-3</v>
      </c>
      <c r="P65" s="22">
        <f t="shared" si="17"/>
        <v>7.3698404773103405E-3</v>
      </c>
      <c r="Q65" s="22">
        <f t="shared" si="17"/>
        <v>7.4155715935563154E-3</v>
      </c>
      <c r="R65" s="22">
        <f t="shared" si="17"/>
        <v>7.4643602602570466E-3</v>
      </c>
      <c r="S65" s="22">
        <f t="shared" si="17"/>
        <v>7.508606055628168E-3</v>
      </c>
      <c r="T65" s="22">
        <f t="shared" si="17"/>
        <v>7.530218392894506E-3</v>
      </c>
      <c r="U65" s="22">
        <f t="shared" si="17"/>
        <v>7.5549909541397786E-3</v>
      </c>
      <c r="V65" s="22">
        <f t="shared" si="17"/>
        <v>7.5802429112896688E-3</v>
      </c>
      <c r="W65" s="22">
        <f t="shared" si="17"/>
        <v>7.6076305558180233E-3</v>
      </c>
      <c r="X65" s="22">
        <f t="shared" si="17"/>
        <v>7.6371086242101958E-3</v>
      </c>
      <c r="Y65" s="22">
        <f t="shared" si="17"/>
        <v>7.6559732990994986E-3</v>
      </c>
      <c r="Z65" s="22">
        <f t="shared" si="17"/>
        <v>7.6766122997346123E-3</v>
      </c>
      <c r="AA65" s="22">
        <f t="shared" si="17"/>
        <v>7.6987842276677087E-3</v>
      </c>
      <c r="AB65" s="22">
        <f t="shared" si="17"/>
        <v>7.7225602786557407E-3</v>
      </c>
      <c r="AC65" s="22">
        <f t="shared" si="17"/>
        <v>7.7477172000671966E-3</v>
      </c>
      <c r="AD65" s="22">
        <f t="shared" si="17"/>
        <v>7.7644940114083667E-3</v>
      </c>
      <c r="AE65" s="22">
        <f t="shared" si="17"/>
        <v>7.7823854824558272E-3</v>
      </c>
      <c r="AF65" s="22">
        <f t="shared" si="17"/>
        <v>7.8015430548696758E-3</v>
      </c>
      <c r="AG65" s="22">
        <f t="shared" si="17"/>
        <v>7.8221613065677827E-3</v>
      </c>
      <c r="AH65" s="22">
        <f t="shared" si="17"/>
        <v>7.8436173383695379E-3</v>
      </c>
      <c r="AI65" s="22">
        <f t="shared" si="17"/>
        <v>7.8569056109017259E-3</v>
      </c>
      <c r="AJ65" s="22">
        <f t="shared" si="17"/>
        <v>7.8713258060749292E-3</v>
      </c>
      <c r="AK65" s="22">
        <f t="shared" si="17"/>
        <v>7.8863764085469988E-3</v>
      </c>
      <c r="AL65" s="22">
        <f t="shared" si="17"/>
        <v>7.9022347099283879E-3</v>
      </c>
      <c r="AM65" s="22">
        <f t="shared" si="17"/>
        <v>7.9188789980088534E-3</v>
      </c>
      <c r="AN65" s="22">
        <f t="shared" si="17"/>
        <v>7.927972418898541E-3</v>
      </c>
      <c r="AO65" s="22">
        <f t="shared" si="17"/>
        <v>7.9376387015817219E-3</v>
      </c>
      <c r="AP65" s="22">
        <f t="shared" si="17"/>
        <v>7.9481245993818089E-3</v>
      </c>
      <c r="AQ65" s="22">
        <f t="shared" si="17"/>
        <v>7.9594200977915561E-3</v>
      </c>
      <c r="AR65" s="22">
        <f t="shared" si="17"/>
        <v>7.9715264998755E-3</v>
      </c>
      <c r="AS65" s="22">
        <f t="shared" si="17"/>
        <v>7.9757936370942299E-3</v>
      </c>
      <c r="AT65" s="22">
        <f t="shared" si="17"/>
        <v>7.9776886737032964E-3</v>
      </c>
      <c r="AU65" s="22">
        <f t="shared" si="17"/>
        <v>7.979891666850529E-3</v>
      </c>
      <c r="AV65" s="22">
        <f t="shared" si="17"/>
        <v>7.9822633621210899E-3</v>
      </c>
      <c r="AW65" s="22">
        <f t="shared" si="17"/>
        <v>7.9850651414760491E-3</v>
      </c>
      <c r="AY65" s="79"/>
    </row>
    <row r="66" spans="1:51" x14ac:dyDescent="0.3">
      <c r="A66" s="95" t="str">
        <f t="shared" si="0"/>
        <v>FS Organic</v>
      </c>
      <c r="B66" s="95" t="s">
        <v>1004</v>
      </c>
      <c r="C66" s="95" t="s">
        <v>1127</v>
      </c>
      <c r="D66" t="s">
        <v>369</v>
      </c>
      <c r="E66" t="s">
        <v>55</v>
      </c>
      <c r="F66" t="s">
        <v>421</v>
      </c>
      <c r="G66" t="s">
        <v>1170</v>
      </c>
      <c r="H66" t="s">
        <v>1171</v>
      </c>
      <c r="I66" t="s">
        <v>139</v>
      </c>
      <c r="J66" t="s">
        <v>287</v>
      </c>
      <c r="K66" s="22">
        <f t="shared" si="16"/>
        <v>8.7045671471293537E-2</v>
      </c>
      <c r="L66" s="22">
        <f t="shared" si="17"/>
        <v>8.7271948200639354E-2</v>
      </c>
      <c r="M66" s="22">
        <f t="shared" si="17"/>
        <v>8.7584088952434122E-2</v>
      </c>
      <c r="N66" s="22">
        <f t="shared" si="17"/>
        <v>8.7964358824768829E-2</v>
      </c>
      <c r="O66" s="22">
        <f t="shared" si="17"/>
        <v>8.8412215452112072E-2</v>
      </c>
      <c r="P66" s="22">
        <f t="shared" si="17"/>
        <v>8.8924932944132923E-2</v>
      </c>
      <c r="Q66" s="22">
        <f t="shared" si="17"/>
        <v>8.9476727309038592E-2</v>
      </c>
      <c r="R66" s="22">
        <f t="shared" si="17"/>
        <v>9.0065414259340087E-2</v>
      </c>
      <c r="S66" s="22">
        <f t="shared" si="17"/>
        <v>9.0599286654346481E-2</v>
      </c>
      <c r="T66" s="22">
        <f t="shared" si="17"/>
        <v>9.0860062399505684E-2</v>
      </c>
      <c r="U66" s="22">
        <f t="shared" si="17"/>
        <v>9.1158969594901898E-2</v>
      </c>
      <c r="V66" s="22">
        <f t="shared" si="17"/>
        <v>9.146366120975781E-2</v>
      </c>
      <c r="W66" s="22">
        <f t="shared" si="17"/>
        <v>9.1794122155375246E-2</v>
      </c>
      <c r="X66" s="22">
        <f t="shared" si="17"/>
        <v>9.2149806279498009E-2</v>
      </c>
      <c r="Y66" s="22">
        <f t="shared" si="17"/>
        <v>9.2377428567213551E-2</v>
      </c>
      <c r="Z66" s="22">
        <f t="shared" si="17"/>
        <v>9.2626459974767344E-2</v>
      </c>
      <c r="AA66" s="22">
        <f t="shared" si="17"/>
        <v>9.289398777414952E-2</v>
      </c>
      <c r="AB66" s="22">
        <f t="shared" si="17"/>
        <v>9.3180871017592357E-2</v>
      </c>
      <c r="AC66" s="22">
        <f t="shared" si="17"/>
        <v>9.34844159255835E-2</v>
      </c>
      <c r="AD66" s="22">
        <f t="shared" si="17"/>
        <v>9.368684592771491E-2</v>
      </c>
      <c r="AE66" s="22">
        <f t="shared" si="17"/>
        <v>9.3902725480069615E-2</v>
      </c>
      <c r="AF66" s="22">
        <f t="shared" si="17"/>
        <v>9.4133881886713511E-2</v>
      </c>
      <c r="AG66" s="22">
        <f t="shared" si="17"/>
        <v>9.4382662936360925E-2</v>
      </c>
      <c r="AH66" s="22">
        <f t="shared" si="17"/>
        <v>9.4641552690500438E-2</v>
      </c>
      <c r="AI66" s="22">
        <f t="shared" si="17"/>
        <v>9.4801889776154655E-2</v>
      </c>
      <c r="AJ66" s="22">
        <f t="shared" si="17"/>
        <v>9.4975884707627883E-2</v>
      </c>
      <c r="AK66" s="22">
        <f t="shared" si="17"/>
        <v>9.5157486171013425E-2</v>
      </c>
      <c r="AL66" s="22">
        <f t="shared" si="17"/>
        <v>9.534883337741358E-2</v>
      </c>
      <c r="AM66" s="22">
        <f t="shared" si="17"/>
        <v>9.5549664346009811E-2</v>
      </c>
      <c r="AN66" s="22">
        <f t="shared" si="17"/>
        <v>9.5659386102584815E-2</v>
      </c>
      <c r="AO66" s="22">
        <f t="shared" si="17"/>
        <v>9.5776020043586318E-2</v>
      </c>
      <c r="AP66" s="22">
        <f t="shared" si="17"/>
        <v>9.5902543509270868E-2</v>
      </c>
      <c r="AQ66" s="22">
        <f t="shared" si="17"/>
        <v>9.6038835663999289E-2</v>
      </c>
      <c r="AR66" s="22">
        <f t="shared" si="17"/>
        <v>9.6184912230625655E-2</v>
      </c>
      <c r="AS66" s="22">
        <f t="shared" si="17"/>
        <v>9.6236399761761113E-2</v>
      </c>
      <c r="AT66" s="22">
        <f t="shared" si="17"/>
        <v>9.625926538604522E-2</v>
      </c>
      <c r="AU66" s="22">
        <f t="shared" si="17"/>
        <v>9.6285846832210489E-2</v>
      </c>
      <c r="AV66" s="22">
        <f t="shared" si="17"/>
        <v>9.6314463848216167E-2</v>
      </c>
      <c r="AW66" s="22">
        <f t="shared" si="17"/>
        <v>9.6348270284329823E-2</v>
      </c>
      <c r="AY66" s="79"/>
    </row>
    <row r="67" spans="1:51" x14ac:dyDescent="0.3">
      <c r="A67" s="95" t="str">
        <f t="shared" si="0"/>
        <v>FS Organic</v>
      </c>
      <c r="B67" s="95" t="s">
        <v>1004</v>
      </c>
      <c r="C67" s="95" t="s">
        <v>1127</v>
      </c>
      <c r="D67" t="s">
        <v>369</v>
      </c>
      <c r="E67" t="s">
        <v>55</v>
      </c>
      <c r="F67" t="s">
        <v>421</v>
      </c>
      <c r="G67" t="s">
        <v>1172</v>
      </c>
      <c r="H67" t="s">
        <v>1173</v>
      </c>
      <c r="I67" t="s">
        <v>139</v>
      </c>
      <c r="J67" t="s">
        <v>287</v>
      </c>
      <c r="K67" s="22">
        <f t="shared" si="16"/>
        <v>0</v>
      </c>
      <c r="L67" s="22">
        <f t="shared" si="17"/>
        <v>0</v>
      </c>
      <c r="M67" s="22">
        <f t="shared" si="17"/>
        <v>0</v>
      </c>
      <c r="N67" s="22">
        <f t="shared" si="17"/>
        <v>0</v>
      </c>
      <c r="O67" s="22">
        <f t="shared" si="17"/>
        <v>0</v>
      </c>
      <c r="P67" s="22">
        <f t="shared" si="17"/>
        <v>0</v>
      </c>
      <c r="Q67" s="22">
        <f t="shared" si="17"/>
        <v>0</v>
      </c>
      <c r="R67" s="22">
        <f t="shared" si="17"/>
        <v>0</v>
      </c>
      <c r="S67" s="22">
        <f t="shared" si="17"/>
        <v>0</v>
      </c>
      <c r="T67" s="22">
        <f t="shared" si="17"/>
        <v>0</v>
      </c>
      <c r="U67" s="22">
        <f t="shared" si="17"/>
        <v>0</v>
      </c>
      <c r="V67" s="22">
        <f t="shared" si="17"/>
        <v>0</v>
      </c>
      <c r="W67" s="22">
        <f t="shared" si="17"/>
        <v>0</v>
      </c>
      <c r="X67" s="22">
        <f t="shared" si="17"/>
        <v>0</v>
      </c>
      <c r="Y67" s="22">
        <f t="shared" si="17"/>
        <v>0</v>
      </c>
      <c r="Z67" s="22">
        <f t="shared" si="17"/>
        <v>0</v>
      </c>
      <c r="AA67" s="22">
        <f t="shared" si="17"/>
        <v>0</v>
      </c>
      <c r="AB67" s="22">
        <f t="shared" si="17"/>
        <v>0</v>
      </c>
      <c r="AC67" s="22">
        <f t="shared" si="17"/>
        <v>0</v>
      </c>
      <c r="AD67" s="22">
        <f t="shared" si="17"/>
        <v>0</v>
      </c>
      <c r="AE67" s="22">
        <f t="shared" si="17"/>
        <v>0</v>
      </c>
      <c r="AF67" s="22">
        <f t="shared" si="17"/>
        <v>0</v>
      </c>
      <c r="AG67" s="22">
        <f t="shared" si="17"/>
        <v>0</v>
      </c>
      <c r="AH67" s="22">
        <f t="shared" si="17"/>
        <v>0</v>
      </c>
      <c r="AI67" s="22">
        <f t="shared" si="17"/>
        <v>0</v>
      </c>
      <c r="AJ67" s="22">
        <f t="shared" si="17"/>
        <v>0</v>
      </c>
      <c r="AK67" s="22">
        <f t="shared" si="17"/>
        <v>0</v>
      </c>
      <c r="AL67" s="22">
        <f t="shared" si="17"/>
        <v>0</v>
      </c>
      <c r="AM67" s="22">
        <f t="shared" si="17"/>
        <v>0</v>
      </c>
      <c r="AN67" s="22">
        <f t="shared" si="17"/>
        <v>0</v>
      </c>
      <c r="AO67" s="22">
        <f t="shared" si="17"/>
        <v>0</v>
      </c>
      <c r="AP67" s="22">
        <f t="shared" si="17"/>
        <v>0</v>
      </c>
      <c r="AQ67" s="22">
        <f t="shared" ref="L67:AW74" si="18">AQ1476</f>
        <v>0</v>
      </c>
      <c r="AR67" s="22">
        <f t="shared" si="18"/>
        <v>0</v>
      </c>
      <c r="AS67" s="22">
        <f t="shared" si="18"/>
        <v>0</v>
      </c>
      <c r="AT67" s="22">
        <f t="shared" si="18"/>
        <v>0</v>
      </c>
      <c r="AU67" s="22">
        <f t="shared" si="18"/>
        <v>0</v>
      </c>
      <c r="AV67" s="22">
        <f t="shared" si="18"/>
        <v>0</v>
      </c>
      <c r="AW67" s="22">
        <f t="shared" si="18"/>
        <v>0</v>
      </c>
      <c r="AY67" s="79"/>
    </row>
    <row r="68" spans="1:51" x14ac:dyDescent="0.3">
      <c r="A68" s="95" t="str">
        <f t="shared" si="0"/>
        <v>FS Organic</v>
      </c>
      <c r="B68" s="95" t="s">
        <v>1004</v>
      </c>
      <c r="C68" s="95" t="s">
        <v>1127</v>
      </c>
      <c r="D68" t="s">
        <v>369</v>
      </c>
      <c r="E68" t="s">
        <v>55</v>
      </c>
      <c r="F68" t="s">
        <v>421</v>
      </c>
      <c r="G68" t="s">
        <v>1174</v>
      </c>
      <c r="H68" t="s">
        <v>1175</v>
      </c>
      <c r="I68" t="s">
        <v>139</v>
      </c>
      <c r="J68" t="s">
        <v>287</v>
      </c>
      <c r="K68" s="22">
        <f t="shared" si="16"/>
        <v>0</v>
      </c>
      <c r="L68" s="22">
        <f t="shared" si="18"/>
        <v>0</v>
      </c>
      <c r="M68" s="22">
        <f t="shared" si="18"/>
        <v>0</v>
      </c>
      <c r="N68" s="22">
        <f t="shared" si="18"/>
        <v>0</v>
      </c>
      <c r="O68" s="22">
        <f t="shared" si="18"/>
        <v>0</v>
      </c>
      <c r="P68" s="22">
        <f t="shared" si="18"/>
        <v>0</v>
      </c>
      <c r="Q68" s="22">
        <f t="shared" si="18"/>
        <v>0</v>
      </c>
      <c r="R68" s="22">
        <f t="shared" si="18"/>
        <v>0</v>
      </c>
      <c r="S68" s="22">
        <f t="shared" si="18"/>
        <v>0</v>
      </c>
      <c r="T68" s="22">
        <f t="shared" si="18"/>
        <v>0</v>
      </c>
      <c r="U68" s="22">
        <f t="shared" si="18"/>
        <v>0</v>
      </c>
      <c r="V68" s="22">
        <f t="shared" si="18"/>
        <v>0</v>
      </c>
      <c r="W68" s="22">
        <f t="shared" si="18"/>
        <v>0</v>
      </c>
      <c r="X68" s="22">
        <f t="shared" si="18"/>
        <v>0</v>
      </c>
      <c r="Y68" s="22">
        <f t="shared" si="18"/>
        <v>0</v>
      </c>
      <c r="Z68" s="22">
        <f t="shared" si="18"/>
        <v>0</v>
      </c>
      <c r="AA68" s="22">
        <f t="shared" si="18"/>
        <v>0</v>
      </c>
      <c r="AB68" s="22">
        <f t="shared" si="18"/>
        <v>0</v>
      </c>
      <c r="AC68" s="22">
        <f t="shared" si="18"/>
        <v>0</v>
      </c>
      <c r="AD68" s="22">
        <f t="shared" si="18"/>
        <v>0</v>
      </c>
      <c r="AE68" s="22">
        <f t="shared" si="18"/>
        <v>0</v>
      </c>
      <c r="AF68" s="22">
        <f t="shared" si="18"/>
        <v>0</v>
      </c>
      <c r="AG68" s="22">
        <f t="shared" si="18"/>
        <v>0</v>
      </c>
      <c r="AH68" s="22">
        <f t="shared" si="18"/>
        <v>0</v>
      </c>
      <c r="AI68" s="22">
        <f t="shared" si="18"/>
        <v>0</v>
      </c>
      <c r="AJ68" s="22">
        <f t="shared" si="18"/>
        <v>0</v>
      </c>
      <c r="AK68" s="22">
        <f t="shared" si="18"/>
        <v>0</v>
      </c>
      <c r="AL68" s="22">
        <f t="shared" si="18"/>
        <v>0</v>
      </c>
      <c r="AM68" s="22">
        <f t="shared" si="18"/>
        <v>0</v>
      </c>
      <c r="AN68" s="22">
        <f t="shared" si="18"/>
        <v>0</v>
      </c>
      <c r="AO68" s="22">
        <f t="shared" si="18"/>
        <v>0</v>
      </c>
      <c r="AP68" s="22">
        <f t="shared" si="18"/>
        <v>0</v>
      </c>
      <c r="AQ68" s="22">
        <f t="shared" si="18"/>
        <v>0</v>
      </c>
      <c r="AR68" s="22">
        <f t="shared" si="18"/>
        <v>0</v>
      </c>
      <c r="AS68" s="22">
        <f t="shared" si="18"/>
        <v>0</v>
      </c>
      <c r="AT68" s="22">
        <f t="shared" si="18"/>
        <v>0</v>
      </c>
      <c r="AU68" s="22">
        <f t="shared" si="18"/>
        <v>0</v>
      </c>
      <c r="AV68" s="22">
        <f t="shared" si="18"/>
        <v>0</v>
      </c>
      <c r="AW68" s="22">
        <f t="shared" si="18"/>
        <v>0</v>
      </c>
      <c r="AY68" s="79"/>
    </row>
    <row r="69" spans="1:51" x14ac:dyDescent="0.3">
      <c r="A69" s="95" t="str">
        <f t="shared" si="0"/>
        <v>FS Organic</v>
      </c>
      <c r="B69" s="95" t="s">
        <v>1004</v>
      </c>
      <c r="C69" s="95" t="s">
        <v>1127</v>
      </c>
      <c r="D69" t="s">
        <v>369</v>
      </c>
      <c r="E69" t="s">
        <v>55</v>
      </c>
      <c r="F69" t="s">
        <v>421</v>
      </c>
      <c r="G69" t="s">
        <v>1176</v>
      </c>
      <c r="H69" t="s">
        <v>1177</v>
      </c>
      <c r="I69" t="s">
        <v>139</v>
      </c>
      <c r="J69" t="s">
        <v>287</v>
      </c>
      <c r="K69" s="22">
        <f t="shared" si="16"/>
        <v>0.12462873299340151</v>
      </c>
      <c r="L69" s="22">
        <f t="shared" si="18"/>
        <v>0.1239512929347177</v>
      </c>
      <c r="M69" s="22">
        <f t="shared" si="18"/>
        <v>0.12400689511310994</v>
      </c>
      <c r="N69" s="22">
        <f t="shared" si="18"/>
        <v>0.12286841678965586</v>
      </c>
      <c r="O69" s="22">
        <f t="shared" si="18"/>
        <v>0.12100901910044999</v>
      </c>
      <c r="P69" s="22">
        <f t="shared" si="18"/>
        <v>0.11845842648899828</v>
      </c>
      <c r="Q69" s="22">
        <f t="shared" si="18"/>
        <v>0.11660641339960404</v>
      </c>
      <c r="R69" s="22">
        <f t="shared" si="18"/>
        <v>0.1149182786313902</v>
      </c>
      <c r="S69" s="22">
        <f t="shared" si="18"/>
        <v>0.10146708298993465</v>
      </c>
      <c r="T69" s="22">
        <f t="shared" si="18"/>
        <v>0.10275020296586759</v>
      </c>
      <c r="U69" s="22">
        <f t="shared" si="18"/>
        <v>0.10550352655141972</v>
      </c>
      <c r="V69" s="22">
        <f t="shared" si="18"/>
        <v>0.10575351402910073</v>
      </c>
      <c r="W69" s="22">
        <f t="shared" si="18"/>
        <v>0.10629487580237802</v>
      </c>
      <c r="X69" s="22">
        <f t="shared" si="18"/>
        <v>0.10720509536861222</v>
      </c>
      <c r="Y69" s="22">
        <f t="shared" si="18"/>
        <v>0.10834723898966528</v>
      </c>
      <c r="Z69" s="22">
        <f t="shared" si="18"/>
        <v>0.10974683917126901</v>
      </c>
      <c r="AA69" s="22">
        <f t="shared" si="18"/>
        <v>0.1111628062750292</v>
      </c>
      <c r="AB69" s="22">
        <f t="shared" si="18"/>
        <v>0.11279760688156307</v>
      </c>
      <c r="AC69" s="22">
        <f t="shared" si="18"/>
        <v>0.11442112413234014</v>
      </c>
      <c r="AD69" s="22">
        <f t="shared" si="18"/>
        <v>0.11643957996744059</v>
      </c>
      <c r="AE69" s="22">
        <f t="shared" si="18"/>
        <v>0.11829771598770626</v>
      </c>
      <c r="AF69" s="22">
        <f t="shared" si="18"/>
        <v>0.12027492127071612</v>
      </c>
      <c r="AG69" s="22">
        <f t="shared" si="18"/>
        <v>0.12268685377616716</v>
      </c>
      <c r="AH69" s="22">
        <f t="shared" si="18"/>
        <v>0.12475791099342097</v>
      </c>
      <c r="AI69" s="22">
        <f t="shared" si="18"/>
        <v>0.12699329856497024</v>
      </c>
      <c r="AJ69" s="22">
        <f t="shared" si="18"/>
        <v>0.12941943299405728</v>
      </c>
      <c r="AK69" s="22">
        <f t="shared" si="18"/>
        <v>0.13144337900700456</v>
      </c>
      <c r="AL69" s="22">
        <f t="shared" si="18"/>
        <v>0.13334140591601026</v>
      </c>
      <c r="AM69" s="22">
        <f t="shared" si="18"/>
        <v>0.13512882169953486</v>
      </c>
      <c r="AN69" s="22">
        <f t="shared" si="18"/>
        <v>0.13719268069693955</v>
      </c>
      <c r="AO69" s="22">
        <f t="shared" si="18"/>
        <v>0.13898281232646292</v>
      </c>
      <c r="AP69" s="22">
        <f t="shared" si="18"/>
        <v>0.140830682916952</v>
      </c>
      <c r="AQ69" s="22">
        <f t="shared" si="18"/>
        <v>0.14275023053200411</v>
      </c>
      <c r="AR69" s="22">
        <f t="shared" si="18"/>
        <v>0.14476547350370239</v>
      </c>
      <c r="AS69" s="22">
        <f t="shared" si="18"/>
        <v>0.14688161225730581</v>
      </c>
      <c r="AT69" s="22">
        <f t="shared" si="18"/>
        <v>0.14559391276445241</v>
      </c>
      <c r="AU69" s="22">
        <f t="shared" si="18"/>
        <v>0.14400863154663293</v>
      </c>
      <c r="AV69" s="22">
        <f t="shared" si="18"/>
        <v>0.1420082821543816</v>
      </c>
      <c r="AW69" s="22">
        <f t="shared" si="18"/>
        <v>0.13990982914905775</v>
      </c>
      <c r="AY69" s="79"/>
    </row>
    <row r="70" spans="1:51" x14ac:dyDescent="0.3">
      <c r="A70" s="95" t="str">
        <f t="shared" si="0"/>
        <v>FS Organic</v>
      </c>
      <c r="B70" s="95" t="s">
        <v>1004</v>
      </c>
      <c r="C70" s="95" t="s">
        <v>1127</v>
      </c>
      <c r="D70" t="s">
        <v>369</v>
      </c>
      <c r="E70" t="s">
        <v>55</v>
      </c>
      <c r="F70" t="s">
        <v>421</v>
      </c>
      <c r="G70" t="s">
        <v>1178</v>
      </c>
      <c r="H70" t="s">
        <v>1179</v>
      </c>
      <c r="I70" t="s">
        <v>139</v>
      </c>
      <c r="J70" t="s">
        <v>287</v>
      </c>
      <c r="K70" s="22">
        <f t="shared" si="16"/>
        <v>3.1618785484610064E-2</v>
      </c>
      <c r="L70" s="22">
        <f t="shared" si="18"/>
        <v>3.1446916354757486E-2</v>
      </c>
      <c r="M70" s="22">
        <f t="shared" si="18"/>
        <v>3.1461022839745618E-2</v>
      </c>
      <c r="N70" s="22">
        <f t="shared" si="18"/>
        <v>3.1172186541537576E-2</v>
      </c>
      <c r="O70" s="22">
        <f t="shared" si="18"/>
        <v>3.0700450247237825E-2</v>
      </c>
      <c r="P70" s="22">
        <f t="shared" si="18"/>
        <v>3.0053355161673623E-2</v>
      </c>
      <c r="Q70" s="22">
        <f t="shared" si="18"/>
        <v>2.9583492368545915E-2</v>
      </c>
      <c r="R70" s="22">
        <f t="shared" si="18"/>
        <v>2.9155206131309674E-2</v>
      </c>
      <c r="S70" s="22">
        <f t="shared" si="18"/>
        <v>2.5742586430512242E-2</v>
      </c>
      <c r="T70" s="22">
        <f t="shared" si="18"/>
        <v>2.6068118868302407E-2</v>
      </c>
      <c r="U70" s="22">
        <f t="shared" si="18"/>
        <v>2.6766647576171875E-2</v>
      </c>
      <c r="V70" s="22">
        <f t="shared" si="18"/>
        <v>2.6830070353895639E-2</v>
      </c>
      <c r="W70" s="22">
        <f t="shared" si="18"/>
        <v>2.6967415903093594E-2</v>
      </c>
      <c r="X70" s="22">
        <f t="shared" si="18"/>
        <v>2.7198342082935097E-2</v>
      </c>
      <c r="Y70" s="22">
        <f t="shared" si="18"/>
        <v>2.7488108281140813E-2</v>
      </c>
      <c r="Z70" s="22">
        <f t="shared" si="18"/>
        <v>2.7843192191916763E-2</v>
      </c>
      <c r="AA70" s="22">
        <f t="shared" si="18"/>
        <v>2.8202428453344759E-2</v>
      </c>
      <c r="AB70" s="22">
        <f t="shared" si="18"/>
        <v>2.8617183610093744E-2</v>
      </c>
      <c r="AC70" s="22">
        <f t="shared" si="18"/>
        <v>2.902907613639907E-2</v>
      </c>
      <c r="AD70" s="22">
        <f t="shared" si="18"/>
        <v>2.9541166089713286E-2</v>
      </c>
      <c r="AE70" s="22">
        <f t="shared" si="18"/>
        <v>3.0012582293784919E-2</v>
      </c>
      <c r="AF70" s="22">
        <f t="shared" si="18"/>
        <v>3.05142068245088E-2</v>
      </c>
      <c r="AG70" s="22">
        <f t="shared" si="18"/>
        <v>3.1126123311674345E-2</v>
      </c>
      <c r="AH70" s="22">
        <f t="shared" si="18"/>
        <v>3.1651558436511636E-2</v>
      </c>
      <c r="AI70" s="22">
        <f t="shared" si="18"/>
        <v>3.2218684799767874E-2</v>
      </c>
      <c r="AJ70" s="22">
        <f t="shared" si="18"/>
        <v>3.2834204369193265E-2</v>
      </c>
      <c r="AK70" s="22">
        <f t="shared" si="18"/>
        <v>3.334768720159275E-2</v>
      </c>
      <c r="AL70" s="22">
        <f t="shared" si="18"/>
        <v>3.3829223876470492E-2</v>
      </c>
      <c r="AM70" s="22">
        <f t="shared" si="18"/>
        <v>3.4282698086419032E-2</v>
      </c>
      <c r="AN70" s="22">
        <f t="shared" si="18"/>
        <v>3.4806306995392507E-2</v>
      </c>
      <c r="AO70" s="22">
        <f t="shared" si="18"/>
        <v>3.5260470225842028E-2</v>
      </c>
      <c r="AP70" s="22">
        <f t="shared" si="18"/>
        <v>3.5729282051178403E-2</v>
      </c>
      <c r="AQ70" s="22">
        <f t="shared" si="18"/>
        <v>3.6216278611362E-2</v>
      </c>
      <c r="AR70" s="22">
        <f t="shared" si="18"/>
        <v>3.672755344896201E-2</v>
      </c>
      <c r="AS70" s="22">
        <f t="shared" si="18"/>
        <v>3.7264425931725673E-2</v>
      </c>
      <c r="AT70" s="22">
        <f t="shared" si="18"/>
        <v>3.6937731653004804E-2</v>
      </c>
      <c r="AU70" s="22">
        <f t="shared" si="18"/>
        <v>3.6535539754274135E-2</v>
      </c>
      <c r="AV70" s="22">
        <f t="shared" si="18"/>
        <v>3.6028043474654464E-2</v>
      </c>
      <c r="AW70" s="22">
        <f t="shared" si="18"/>
        <v>3.5495657933766529E-2</v>
      </c>
      <c r="AY70" s="79"/>
    </row>
    <row r="71" spans="1:51" x14ac:dyDescent="0.3">
      <c r="A71" s="95" t="str">
        <f t="shared" si="0"/>
        <v>FS Organic</v>
      </c>
      <c r="B71" s="95" t="s">
        <v>1004</v>
      </c>
      <c r="C71" s="95" t="s">
        <v>1127</v>
      </c>
      <c r="D71" t="s">
        <v>369</v>
      </c>
      <c r="E71" t="s">
        <v>55</v>
      </c>
      <c r="F71" t="s">
        <v>421</v>
      </c>
      <c r="G71" t="s">
        <v>1180</v>
      </c>
      <c r="H71" t="s">
        <v>1181</v>
      </c>
      <c r="I71" t="s">
        <v>139</v>
      </c>
      <c r="J71" t="s">
        <v>287</v>
      </c>
      <c r="K71" s="22">
        <f t="shared" si="16"/>
        <v>0.15700744358616764</v>
      </c>
      <c r="L71" s="22">
        <f t="shared" si="18"/>
        <v>0.16019971617730658</v>
      </c>
      <c r="M71" s="22">
        <f t="shared" si="18"/>
        <v>0.16393118028621728</v>
      </c>
      <c r="N71" s="22">
        <f t="shared" si="18"/>
        <v>0.1667959170810015</v>
      </c>
      <c r="O71" s="22">
        <f t="shared" si="18"/>
        <v>0.16909558154641685</v>
      </c>
      <c r="P71" s="22">
        <f t="shared" si="18"/>
        <v>0.17081649742586277</v>
      </c>
      <c r="Q71" s="22">
        <f t="shared" si="18"/>
        <v>0.17302318661183388</v>
      </c>
      <c r="R71" s="22">
        <f t="shared" si="18"/>
        <v>0.17531753251219051</v>
      </c>
      <c r="S71" s="22">
        <f t="shared" si="18"/>
        <v>0.16751439680213853</v>
      </c>
      <c r="T71" s="22">
        <f t="shared" si="18"/>
        <v>0.17168380366965671</v>
      </c>
      <c r="U71" s="22">
        <f t="shared" si="18"/>
        <v>0.17724022876298692</v>
      </c>
      <c r="V71" s="22">
        <f t="shared" si="18"/>
        <v>0.18063841613712966</v>
      </c>
      <c r="W71" s="22">
        <f t="shared" si="18"/>
        <v>0.18434318641003919</v>
      </c>
      <c r="X71" s="22">
        <f t="shared" si="18"/>
        <v>0.188448281864291</v>
      </c>
      <c r="Y71" s="22">
        <f t="shared" si="18"/>
        <v>0.19268830884381843</v>
      </c>
      <c r="Z71" s="22">
        <f t="shared" si="18"/>
        <v>0.19725821874244767</v>
      </c>
      <c r="AA71" s="22">
        <f t="shared" si="18"/>
        <v>0.20193089933116126</v>
      </c>
      <c r="AB71" s="22">
        <f t="shared" si="18"/>
        <v>0.20692004706096712</v>
      </c>
      <c r="AC71" s="22">
        <f t="shared" si="18"/>
        <v>0.21199804978928341</v>
      </c>
      <c r="AD71" s="22">
        <f t="shared" si="18"/>
        <v>0.21747687739173732</v>
      </c>
      <c r="AE71" s="22">
        <f t="shared" si="18"/>
        <v>0.22289913009362322</v>
      </c>
      <c r="AF71" s="22">
        <f t="shared" si="18"/>
        <v>0.22857157153008073</v>
      </c>
      <c r="AG71" s="22">
        <f t="shared" si="18"/>
        <v>0.23486719230657463</v>
      </c>
      <c r="AH71" s="22">
        <f t="shared" si="18"/>
        <v>0.24091117160634945</v>
      </c>
      <c r="AI71" s="22">
        <f t="shared" si="18"/>
        <v>0.24716162450629867</v>
      </c>
      <c r="AJ71" s="22">
        <f t="shared" si="18"/>
        <v>0.25378810388351081</v>
      </c>
      <c r="AK71" s="22">
        <f t="shared" si="18"/>
        <v>0.26007320548130258</v>
      </c>
      <c r="AL71" s="22">
        <f t="shared" si="18"/>
        <v>0.26634117713838401</v>
      </c>
      <c r="AM71" s="22">
        <f t="shared" si="18"/>
        <v>0.27260643897493425</v>
      </c>
      <c r="AN71" s="22">
        <f t="shared" si="18"/>
        <v>0.2792535835644861</v>
      </c>
      <c r="AO71" s="22">
        <f t="shared" si="18"/>
        <v>0.2856890752327706</v>
      </c>
      <c r="AP71" s="22">
        <f t="shared" si="18"/>
        <v>0.29234742990941948</v>
      </c>
      <c r="AQ71" s="22">
        <f t="shared" si="18"/>
        <v>0.29925644298376841</v>
      </c>
      <c r="AR71" s="22">
        <f t="shared" si="18"/>
        <v>0.30645986851598017</v>
      </c>
      <c r="AS71" s="22">
        <f t="shared" si="18"/>
        <v>0.31385566843275581</v>
      </c>
      <c r="AT71" s="22">
        <f t="shared" si="18"/>
        <v>0.31644615504224521</v>
      </c>
      <c r="AU71" s="22">
        <f t="shared" si="18"/>
        <v>0.31859170882360827</v>
      </c>
      <c r="AV71" s="22">
        <f t="shared" si="18"/>
        <v>0.32009002936003406</v>
      </c>
      <c r="AW71" s="22">
        <f t="shared" si="18"/>
        <v>0.3213967030603942</v>
      </c>
      <c r="AY71" s="79"/>
    </row>
    <row r="72" spans="1:51" x14ac:dyDescent="0.3">
      <c r="A72" s="95" t="str">
        <f t="shared" si="0"/>
        <v>FS Organic</v>
      </c>
      <c r="B72" s="95" t="s">
        <v>1004</v>
      </c>
      <c r="C72" s="95" t="s">
        <v>1127</v>
      </c>
      <c r="D72" t="s">
        <v>369</v>
      </c>
      <c r="E72" t="s">
        <v>55</v>
      </c>
      <c r="F72" t="s">
        <v>421</v>
      </c>
      <c r="G72" t="s">
        <v>1182</v>
      </c>
      <c r="H72" t="s">
        <v>1183</v>
      </c>
      <c r="I72" t="s">
        <v>139</v>
      </c>
      <c r="J72" t="s">
        <v>287</v>
      </c>
      <c r="K72" s="22">
        <f t="shared" si="16"/>
        <v>0.78620275218739033</v>
      </c>
      <c r="L72" s="22">
        <f t="shared" si="18"/>
        <v>0.79655563720176326</v>
      </c>
      <c r="M72" s="22">
        <f t="shared" si="18"/>
        <v>0.8131853402467214</v>
      </c>
      <c r="N72" s="22">
        <f t="shared" si="18"/>
        <v>0.81796021384654038</v>
      </c>
      <c r="O72" s="22">
        <f t="shared" si="18"/>
        <v>0.81503229757580642</v>
      </c>
      <c r="P72" s="22">
        <f t="shared" si="18"/>
        <v>0.80443274266431908</v>
      </c>
      <c r="Q72" s="22">
        <f t="shared" si="18"/>
        <v>0.79997057217510736</v>
      </c>
      <c r="R72" s="22">
        <f t="shared" si="18"/>
        <v>0.79652072541357855</v>
      </c>
      <c r="S72" s="22">
        <f t="shared" si="18"/>
        <v>0.6714256257710044</v>
      </c>
      <c r="T72" s="22">
        <f t="shared" si="18"/>
        <v>0.69801734564768969</v>
      </c>
      <c r="U72" s="22">
        <f t="shared" si="18"/>
        <v>0.74045602078801331</v>
      </c>
      <c r="V72" s="22">
        <f t="shared" si="18"/>
        <v>0.75681661805559275</v>
      </c>
      <c r="W72" s="22">
        <f t="shared" si="18"/>
        <v>0.77639522353149193</v>
      </c>
      <c r="X72" s="22">
        <f t="shared" si="18"/>
        <v>0.8001865286543951</v>
      </c>
      <c r="Y72" s="22">
        <f t="shared" si="18"/>
        <v>0.82750602154681474</v>
      </c>
      <c r="Z72" s="22">
        <f t="shared" si="18"/>
        <v>0.85809975414422934</v>
      </c>
      <c r="AA72" s="22">
        <f t="shared" si="18"/>
        <v>0.88934316122776869</v>
      </c>
      <c r="AB72" s="22">
        <f t="shared" si="18"/>
        <v>0.92360761628524812</v>
      </c>
      <c r="AC72" s="22">
        <f t="shared" si="18"/>
        <v>0.95831140706580387</v>
      </c>
      <c r="AD72" s="22">
        <f t="shared" si="18"/>
        <v>0.99882396760608316</v>
      </c>
      <c r="AE72" s="22">
        <f t="shared" si="18"/>
        <v>1.0381393848215872</v>
      </c>
      <c r="AF72" s="22">
        <f t="shared" si="18"/>
        <v>1.079611123684572</v>
      </c>
      <c r="AG72" s="22">
        <f t="shared" si="18"/>
        <v>1.1272124079778039</v>
      </c>
      <c r="AH72" s="22">
        <f t="shared" si="18"/>
        <v>1.1714796676080013</v>
      </c>
      <c r="AI72" s="22">
        <f t="shared" si="18"/>
        <v>1.2191635190702683</v>
      </c>
      <c r="AJ72" s="22">
        <f t="shared" si="18"/>
        <v>1.2702163053795446</v>
      </c>
      <c r="AK72" s="22">
        <f t="shared" si="18"/>
        <v>1.3170629000720371</v>
      </c>
      <c r="AL72" s="22">
        <f t="shared" si="18"/>
        <v>1.3631650010384939</v>
      </c>
      <c r="AM72" s="22">
        <f t="shared" si="18"/>
        <v>1.4086909019769458</v>
      </c>
      <c r="AN72" s="22">
        <f t="shared" si="18"/>
        <v>1.4592838015136291</v>
      </c>
      <c r="AO72" s="22">
        <f t="shared" si="18"/>
        <v>1.5071494225223063</v>
      </c>
      <c r="AP72" s="22">
        <f t="shared" si="18"/>
        <v>1.5567592089604327</v>
      </c>
      <c r="AQ72" s="22">
        <f t="shared" si="18"/>
        <v>1.6083690614713202</v>
      </c>
      <c r="AR72" s="22">
        <f t="shared" si="18"/>
        <v>1.6623899573120902</v>
      </c>
      <c r="AS72" s="22">
        <f t="shared" si="18"/>
        <v>1.7194351847901206</v>
      </c>
      <c r="AT72" s="22">
        <f t="shared" si="18"/>
        <v>1.7281200285400726</v>
      </c>
      <c r="AU72" s="22">
        <f t="shared" si="18"/>
        <v>1.7323570747934378</v>
      </c>
      <c r="AV72" s="22">
        <f t="shared" si="18"/>
        <v>1.7302245779661751</v>
      </c>
      <c r="AW72" s="22">
        <f t="shared" si="18"/>
        <v>1.7262788410170404</v>
      </c>
      <c r="AY72" s="79"/>
    </row>
    <row r="73" spans="1:51" x14ac:dyDescent="0.3">
      <c r="A73" s="95" t="str">
        <f t="shared" si="0"/>
        <v>FS U&amp;D</v>
      </c>
      <c r="B73" s="95" t="s">
        <v>1004</v>
      </c>
      <c r="C73" s="95" t="s">
        <v>1336</v>
      </c>
      <c r="D73" t="s">
        <v>369</v>
      </c>
      <c r="E73" t="s">
        <v>55</v>
      </c>
      <c r="F73" t="s">
        <v>422</v>
      </c>
      <c r="G73" t="s">
        <v>1152</v>
      </c>
      <c r="H73" t="s">
        <v>1240</v>
      </c>
      <c r="I73" t="s">
        <v>139</v>
      </c>
      <c r="J73" t="s">
        <v>287</v>
      </c>
      <c r="K73" s="22">
        <f t="shared" si="16"/>
        <v>0</v>
      </c>
      <c r="L73" s="22">
        <f t="shared" si="18"/>
        <v>0</v>
      </c>
      <c r="M73" s="22">
        <f t="shared" si="18"/>
        <v>0</v>
      </c>
      <c r="N73" s="22">
        <f t="shared" si="18"/>
        <v>0</v>
      </c>
      <c r="O73" s="22">
        <f t="shared" si="18"/>
        <v>0</v>
      </c>
      <c r="P73" s="22">
        <f t="shared" si="18"/>
        <v>0</v>
      </c>
      <c r="Q73" s="22">
        <f t="shared" si="18"/>
        <v>0</v>
      </c>
      <c r="R73" s="22">
        <f t="shared" si="18"/>
        <v>0</v>
      </c>
      <c r="S73" s="22">
        <f t="shared" si="18"/>
        <v>0</v>
      </c>
      <c r="T73" s="22">
        <f t="shared" si="18"/>
        <v>0</v>
      </c>
      <c r="U73" s="22">
        <f t="shared" si="18"/>
        <v>0</v>
      </c>
      <c r="V73" s="22">
        <f t="shared" si="18"/>
        <v>0</v>
      </c>
      <c r="W73" s="22">
        <f t="shared" si="18"/>
        <v>0</v>
      </c>
      <c r="X73" s="22">
        <f t="shared" si="18"/>
        <v>0</v>
      </c>
      <c r="Y73" s="22">
        <f t="shared" si="18"/>
        <v>0</v>
      </c>
      <c r="Z73" s="22">
        <f t="shared" si="18"/>
        <v>0</v>
      </c>
      <c r="AA73" s="22">
        <f t="shared" si="18"/>
        <v>0</v>
      </c>
      <c r="AB73" s="22">
        <f t="shared" si="18"/>
        <v>0</v>
      </c>
      <c r="AC73" s="22">
        <f t="shared" si="18"/>
        <v>0</v>
      </c>
      <c r="AD73" s="22">
        <f t="shared" si="18"/>
        <v>0</v>
      </c>
      <c r="AE73" s="22">
        <f t="shared" si="18"/>
        <v>0</v>
      </c>
      <c r="AF73" s="22">
        <f t="shared" si="18"/>
        <v>0</v>
      </c>
      <c r="AG73" s="22">
        <f t="shared" si="18"/>
        <v>0</v>
      </c>
      <c r="AH73" s="22">
        <f t="shared" si="18"/>
        <v>0</v>
      </c>
      <c r="AI73" s="22">
        <f t="shared" si="18"/>
        <v>0</v>
      </c>
      <c r="AJ73" s="22">
        <f t="shared" si="18"/>
        <v>0</v>
      </c>
      <c r="AK73" s="22">
        <f t="shared" si="18"/>
        <v>0</v>
      </c>
      <c r="AL73" s="22">
        <f t="shared" si="18"/>
        <v>0</v>
      </c>
      <c r="AM73" s="22">
        <f t="shared" si="18"/>
        <v>0</v>
      </c>
      <c r="AN73" s="22">
        <f t="shared" si="18"/>
        <v>0</v>
      </c>
      <c r="AO73" s="22">
        <f t="shared" si="18"/>
        <v>0</v>
      </c>
      <c r="AP73" s="22">
        <f t="shared" si="18"/>
        <v>0</v>
      </c>
      <c r="AQ73" s="22">
        <f t="shared" si="18"/>
        <v>0</v>
      </c>
      <c r="AR73" s="22">
        <f t="shared" si="18"/>
        <v>0</v>
      </c>
      <c r="AS73" s="22">
        <f t="shared" si="18"/>
        <v>0</v>
      </c>
      <c r="AT73" s="22">
        <f t="shared" si="18"/>
        <v>0</v>
      </c>
      <c r="AU73" s="22">
        <f t="shared" si="18"/>
        <v>0</v>
      </c>
      <c r="AV73" s="22">
        <f t="shared" si="18"/>
        <v>0</v>
      </c>
      <c r="AW73" s="22">
        <f t="shared" si="18"/>
        <v>0</v>
      </c>
      <c r="AY73" s="79"/>
    </row>
    <row r="74" spans="1:51" x14ac:dyDescent="0.3">
      <c r="A74" s="95" t="str">
        <f t="shared" si="0"/>
        <v>FS U&amp;D</v>
      </c>
      <c r="B74" s="95" t="s">
        <v>1004</v>
      </c>
      <c r="C74" s="95" t="s">
        <v>1336</v>
      </c>
      <c r="D74" t="s">
        <v>369</v>
      </c>
      <c r="E74" t="s">
        <v>55</v>
      </c>
      <c r="F74" t="s">
        <v>422</v>
      </c>
      <c r="G74" t="s">
        <v>1154</v>
      </c>
      <c r="H74" t="s">
        <v>1241</v>
      </c>
      <c r="I74" t="s">
        <v>139</v>
      </c>
      <c r="J74" t="s">
        <v>287</v>
      </c>
      <c r="K74" s="22">
        <f t="shared" si="16"/>
        <v>1.0775797812462991</v>
      </c>
      <c r="L74" s="22">
        <f t="shared" si="18"/>
        <v>1.0836040032789305</v>
      </c>
      <c r="M74" s="22">
        <f t="shared" si="18"/>
        <v>1.0921513426512339</v>
      </c>
      <c r="N74" s="22">
        <f t="shared" si="18"/>
        <v>1.0976439186771809</v>
      </c>
      <c r="O74" s="22">
        <f t="shared" si="18"/>
        <v>1.1012937605673538</v>
      </c>
      <c r="P74" s="22">
        <f t="shared" si="18"/>
        <v>1.1030649457277464</v>
      </c>
      <c r="Q74" s="22">
        <f t="shared" si="18"/>
        <v>1.1069781529146336</v>
      </c>
      <c r="R74" s="22">
        <f t="shared" si="18"/>
        <v>1.1114672588381171</v>
      </c>
      <c r="S74" s="22">
        <f t="shared" si="18"/>
        <v>1.0780569980949297</v>
      </c>
      <c r="T74" s="22">
        <f t="shared" si="18"/>
        <v>1.0893928957031254</v>
      </c>
      <c r="U74" s="22">
        <f t="shared" si="18"/>
        <v>1.1059856502817549</v>
      </c>
      <c r="V74" s="22">
        <f t="shared" si="18"/>
        <v>1.1145860741325027</v>
      </c>
      <c r="W74" s="22">
        <f t="shared" si="18"/>
        <v>1.1244152137402783</v>
      </c>
      <c r="X74" s="22">
        <f t="shared" si="18"/>
        <v>1.1357914130193381</v>
      </c>
      <c r="Y74" s="22">
        <f t="shared" si="18"/>
        <v>1.1474086589431955</v>
      </c>
      <c r="Z74" s="22">
        <f t="shared" si="18"/>
        <v>1.1602674519477969</v>
      </c>
      <c r="AA74" s="22">
        <f t="shared" si="18"/>
        <v>1.1735245752036907</v>
      </c>
      <c r="AB74" s="22">
        <f t="shared" si="18"/>
        <v>1.18794114106982</v>
      </c>
      <c r="AC74" s="22">
        <f t="shared" si="18"/>
        <v>1.2026829177053815</v>
      </c>
      <c r="AD74" s="22">
        <f t="shared" si="18"/>
        <v>1.218608900056573</v>
      </c>
      <c r="AE74" s="22">
        <f t="shared" si="18"/>
        <v>1.2343193345034551</v>
      </c>
      <c r="AF74" s="22">
        <f t="shared" ref="L74:AW81" si="19">AF1483</f>
        <v>1.2509015809248898</v>
      </c>
      <c r="AG74" s="22">
        <f t="shared" si="19"/>
        <v>1.2696588428853492</v>
      </c>
      <c r="AH74" s="22">
        <f t="shared" si="19"/>
        <v>1.2874926850325319</v>
      </c>
      <c r="AI74" s="22">
        <f t="shared" si="19"/>
        <v>1.3057811956925069</v>
      </c>
      <c r="AJ74" s="22">
        <f t="shared" si="19"/>
        <v>1.3253399300509145</v>
      </c>
      <c r="AK74" s="22">
        <f t="shared" si="19"/>
        <v>1.3436641070257576</v>
      </c>
      <c r="AL74" s="22">
        <f t="shared" si="19"/>
        <v>1.361888843730743</v>
      </c>
      <c r="AM74" s="22">
        <f t="shared" si="19"/>
        <v>1.380064832160125</v>
      </c>
      <c r="AN74" s="22">
        <f t="shared" si="19"/>
        <v>1.3992944829741121</v>
      </c>
      <c r="AO74" s="22">
        <f t="shared" si="19"/>
        <v>1.4177506785056255</v>
      </c>
      <c r="AP74" s="22">
        <f t="shared" si="19"/>
        <v>1.4369235538048923</v>
      </c>
      <c r="AQ74" s="22">
        <f t="shared" si="19"/>
        <v>1.4569005528602124</v>
      </c>
      <c r="AR74" s="22">
        <f t="shared" si="19"/>
        <v>1.4778222948761157</v>
      </c>
      <c r="AS74" s="22">
        <f t="shared" si="19"/>
        <v>1.499114114952786</v>
      </c>
      <c r="AT74" s="22">
        <f t="shared" si="19"/>
        <v>1.5041622353362427</v>
      </c>
      <c r="AU74" s="22">
        <f t="shared" si="19"/>
        <v>1.5077549671708836</v>
      </c>
      <c r="AV74" s="22">
        <f t="shared" si="19"/>
        <v>1.5092269750444909</v>
      </c>
      <c r="AW74" s="22">
        <f t="shared" si="19"/>
        <v>1.5101158131362518</v>
      </c>
      <c r="AY74" s="79"/>
    </row>
    <row r="75" spans="1:51" x14ac:dyDescent="0.3">
      <c r="A75" s="95" t="str">
        <f t="shared" si="0"/>
        <v>FS U&amp;D</v>
      </c>
      <c r="B75" s="95" t="s">
        <v>1004</v>
      </c>
      <c r="C75" s="95" t="s">
        <v>1336</v>
      </c>
      <c r="D75" t="s">
        <v>369</v>
      </c>
      <c r="E75" t="s">
        <v>55</v>
      </c>
      <c r="F75" t="s">
        <v>422</v>
      </c>
      <c r="G75" t="s">
        <v>1156</v>
      </c>
      <c r="H75" t="s">
        <v>1242</v>
      </c>
      <c r="I75" t="s">
        <v>139</v>
      </c>
      <c r="J75" t="s">
        <v>287</v>
      </c>
      <c r="K75" s="22">
        <f t="shared" si="16"/>
        <v>0.73383920392416069</v>
      </c>
      <c r="L75" s="22">
        <f t="shared" si="19"/>
        <v>0.7379417403466384</v>
      </c>
      <c r="M75" s="22">
        <f t="shared" si="19"/>
        <v>0.74376253694082328</v>
      </c>
      <c r="N75" s="22">
        <f t="shared" si="19"/>
        <v>0.74750301879518044</v>
      </c>
      <c r="O75" s="22">
        <f t="shared" si="19"/>
        <v>0.74998858609492636</v>
      </c>
      <c r="P75" s="22">
        <f t="shared" si="19"/>
        <v>0.75119477530775824</v>
      </c>
      <c r="Q75" s="22">
        <f t="shared" si="19"/>
        <v>0.7538596961765357</v>
      </c>
      <c r="R75" s="22">
        <f t="shared" si="19"/>
        <v>0.75691680802528427</v>
      </c>
      <c r="S75" s="22">
        <f t="shared" si="19"/>
        <v>0.73416419186323789</v>
      </c>
      <c r="T75" s="22">
        <f t="shared" si="19"/>
        <v>0.74188401569562545</v>
      </c>
      <c r="U75" s="22">
        <f t="shared" si="19"/>
        <v>0.75318379509275502</v>
      </c>
      <c r="V75" s="22">
        <f t="shared" si="19"/>
        <v>0.75904074257996901</v>
      </c>
      <c r="W75" s="22">
        <f t="shared" si="19"/>
        <v>0.76573445390469996</v>
      </c>
      <c r="X75" s="22">
        <f t="shared" si="19"/>
        <v>0.77348172345069344</v>
      </c>
      <c r="Y75" s="22">
        <f t="shared" si="19"/>
        <v>0.78139314741105659</v>
      </c>
      <c r="Z75" s="22">
        <f t="shared" si="19"/>
        <v>0.79015007342818022</v>
      </c>
      <c r="AA75" s="22">
        <f t="shared" si="19"/>
        <v>0.79917826507184453</v>
      </c>
      <c r="AB75" s="22">
        <f t="shared" si="19"/>
        <v>0.80899604506608758</v>
      </c>
      <c r="AC75" s="22">
        <f t="shared" si="19"/>
        <v>0.81903529581943424</v>
      </c>
      <c r="AD75" s="22">
        <f t="shared" si="19"/>
        <v>0.82988099876756494</v>
      </c>
      <c r="AE75" s="22">
        <f t="shared" si="19"/>
        <v>0.84057991211806271</v>
      </c>
      <c r="AF75" s="22">
        <f t="shared" si="19"/>
        <v>0.8518725353882447</v>
      </c>
      <c r="AG75" s="22">
        <f t="shared" si="19"/>
        <v>0.86464635912215038</v>
      </c>
      <c r="AH75" s="22">
        <f t="shared" si="19"/>
        <v>0.87679132764509471</v>
      </c>
      <c r="AI75" s="22">
        <f t="shared" si="19"/>
        <v>0.88924592853613249</v>
      </c>
      <c r="AJ75" s="22">
        <f t="shared" si="19"/>
        <v>0.90256556045678527</v>
      </c>
      <c r="AK75" s="22">
        <f t="shared" si="19"/>
        <v>0.91504445035228033</v>
      </c>
      <c r="AL75" s="22">
        <f t="shared" si="19"/>
        <v>0.92745562074362309</v>
      </c>
      <c r="AM75" s="22">
        <f t="shared" si="19"/>
        <v>0.93983359322574034</v>
      </c>
      <c r="AN75" s="22">
        <f t="shared" si="19"/>
        <v>0.95292911700102378</v>
      </c>
      <c r="AO75" s="22">
        <f t="shared" si="19"/>
        <v>0.9654979124368942</v>
      </c>
      <c r="AP75" s="22">
        <f t="shared" si="19"/>
        <v>0.97855477169819061</v>
      </c>
      <c r="AQ75" s="22">
        <f t="shared" si="19"/>
        <v>0.99215924473924411</v>
      </c>
      <c r="AR75" s="22">
        <f t="shared" si="19"/>
        <v>1.0064070942004693</v>
      </c>
      <c r="AS75" s="22">
        <f t="shared" si="19"/>
        <v>1.0209069693531829</v>
      </c>
      <c r="AT75" s="22">
        <f t="shared" si="19"/>
        <v>1.0243447738739997</v>
      </c>
      <c r="AU75" s="22">
        <f t="shared" si="19"/>
        <v>1.0267914488351768</v>
      </c>
      <c r="AV75" s="22">
        <f t="shared" si="19"/>
        <v>1.0277938962687103</v>
      </c>
      <c r="AW75" s="22">
        <f t="shared" si="19"/>
        <v>1.0283992010907079</v>
      </c>
      <c r="AY75" s="79"/>
    </row>
    <row r="76" spans="1:51" x14ac:dyDescent="0.3">
      <c r="A76" s="95" t="str">
        <f t="shared" si="0"/>
        <v>FS U&amp;D</v>
      </c>
      <c r="B76" s="95" t="s">
        <v>1004</v>
      </c>
      <c r="C76" s="95" t="s">
        <v>1336</v>
      </c>
      <c r="D76" t="s">
        <v>369</v>
      </c>
      <c r="E76" t="s">
        <v>55</v>
      </c>
      <c r="F76" t="s">
        <v>422</v>
      </c>
      <c r="G76" t="s">
        <v>1158</v>
      </c>
      <c r="H76" t="s">
        <v>1243</v>
      </c>
      <c r="I76" t="s">
        <v>139</v>
      </c>
      <c r="J76" t="s">
        <v>287</v>
      </c>
      <c r="K76" s="22">
        <f t="shared" si="16"/>
        <v>15.353527292296844</v>
      </c>
      <c r="L76" s="22">
        <f t="shared" si="19"/>
        <v>15.220371053361486</v>
      </c>
      <c r="M76" s="22">
        <f t="shared" si="19"/>
        <v>15.169682504177887</v>
      </c>
      <c r="N76" s="22">
        <f t="shared" si="19"/>
        <v>14.967111251021189</v>
      </c>
      <c r="O76" s="22">
        <f t="shared" si="19"/>
        <v>14.673074129931953</v>
      </c>
      <c r="P76" s="22">
        <f t="shared" si="19"/>
        <v>14.293651368256896</v>
      </c>
      <c r="Q76" s="22">
        <f t="shared" si="19"/>
        <v>13.994389539168758</v>
      </c>
      <c r="R76" s="22">
        <f t="shared" si="19"/>
        <v>13.711253827544139</v>
      </c>
      <c r="S76" s="22">
        <f t="shared" si="19"/>
        <v>12.061906249102522</v>
      </c>
      <c r="T76" s="22">
        <f t="shared" si="19"/>
        <v>12.257827954761961</v>
      </c>
      <c r="U76" s="22">
        <f t="shared" si="19"/>
        <v>12.623326077373568</v>
      </c>
      <c r="V76" s="22">
        <f t="shared" si="19"/>
        <v>12.696320274115601</v>
      </c>
      <c r="W76" s="22">
        <f t="shared" si="19"/>
        <v>12.80159889911199</v>
      </c>
      <c r="X76" s="22">
        <f t="shared" si="19"/>
        <v>12.948464903220069</v>
      </c>
      <c r="Y76" s="22">
        <f t="shared" si="19"/>
        <v>13.116926910965395</v>
      </c>
      <c r="Z76" s="22">
        <f t="shared" si="19"/>
        <v>13.314439769643803</v>
      </c>
      <c r="AA76" s="22">
        <f t="shared" si="19"/>
        <v>13.51286360181456</v>
      </c>
      <c r="AB76" s="22">
        <f t="shared" si="19"/>
        <v>13.736029185929986</v>
      </c>
      <c r="AC76" s="22">
        <f t="shared" si="19"/>
        <v>13.956980095887328</v>
      </c>
      <c r="AD76" s="22">
        <f t="shared" si="19"/>
        <v>14.10090814419179</v>
      </c>
      <c r="AE76" s="22">
        <f t="shared" si="19"/>
        <v>14.219083101971489</v>
      </c>
      <c r="AF76" s="22">
        <f t="shared" si="19"/>
        <v>14.343928249023508</v>
      </c>
      <c r="AG76" s="22">
        <f t="shared" si="19"/>
        <v>14.51096965309287</v>
      </c>
      <c r="AH76" s="22">
        <f t="shared" si="19"/>
        <v>14.631100213840327</v>
      </c>
      <c r="AI76" s="22">
        <f t="shared" si="19"/>
        <v>14.759129789982603</v>
      </c>
      <c r="AJ76" s="22">
        <f t="shared" si="19"/>
        <v>14.900063859192302</v>
      </c>
      <c r="AK76" s="22">
        <f t="shared" si="19"/>
        <v>14.987884546338787</v>
      </c>
      <c r="AL76" s="22">
        <f t="shared" si="19"/>
        <v>15.053769229100121</v>
      </c>
      <c r="AM76" s="22">
        <f t="shared" si="19"/>
        <v>15.099596245527735</v>
      </c>
      <c r="AN76" s="22">
        <f t="shared" si="19"/>
        <v>15.242060327526691</v>
      </c>
      <c r="AO76" s="22">
        <f t="shared" si="19"/>
        <v>15.350351065013276</v>
      </c>
      <c r="AP76" s="22">
        <f t="shared" si="19"/>
        <v>15.4600087454617</v>
      </c>
      <c r="AQ76" s="22">
        <f t="shared" si="19"/>
        <v>15.572287803164578</v>
      </c>
      <c r="AR76" s="22">
        <f t="shared" si="19"/>
        <v>15.689452381356277</v>
      </c>
      <c r="AS76" s="22">
        <f t="shared" si="19"/>
        <v>15.809749281637989</v>
      </c>
      <c r="AT76" s="22">
        <f t="shared" si="19"/>
        <v>15.572449633225865</v>
      </c>
      <c r="AU76" s="22">
        <f t="shared" si="19"/>
        <v>15.303629040465463</v>
      </c>
      <c r="AV76" s="22">
        <f t="shared" si="19"/>
        <v>14.991979745020995</v>
      </c>
      <c r="AW76" s="22">
        <f t="shared" si="19"/>
        <v>14.670563587286086</v>
      </c>
      <c r="AY76" s="79"/>
    </row>
    <row r="77" spans="1:51" x14ac:dyDescent="0.3">
      <c r="A77" s="95" t="str">
        <f t="shared" si="0"/>
        <v>FS U&amp;D</v>
      </c>
      <c r="B77" s="95" t="s">
        <v>1004</v>
      </c>
      <c r="C77" s="95" t="s">
        <v>1336</v>
      </c>
      <c r="D77" t="s">
        <v>369</v>
      </c>
      <c r="E77" t="s">
        <v>55</v>
      </c>
      <c r="F77" t="s">
        <v>422</v>
      </c>
      <c r="G77" t="s">
        <v>1160</v>
      </c>
      <c r="H77" t="s">
        <v>1244</v>
      </c>
      <c r="I77" t="s">
        <v>139</v>
      </c>
      <c r="J77" t="s">
        <v>287</v>
      </c>
      <c r="K77" s="22">
        <f t="shared" si="16"/>
        <v>9.6543103644621464</v>
      </c>
      <c r="L77" s="22">
        <f t="shared" si="19"/>
        <v>9.570581613851763</v>
      </c>
      <c r="M77" s="22">
        <f t="shared" si="19"/>
        <v>9.5387086131773007</v>
      </c>
      <c r="N77" s="22">
        <f t="shared" si="19"/>
        <v>9.4113316455488931</v>
      </c>
      <c r="O77" s="22">
        <f t="shared" si="19"/>
        <v>9.2264408662754782</v>
      </c>
      <c r="P77" s="22">
        <f t="shared" si="19"/>
        <v>8.9878595272244652</v>
      </c>
      <c r="Q77" s="22">
        <f t="shared" si="19"/>
        <v>8.7996834473406587</v>
      </c>
      <c r="R77" s="22">
        <f t="shared" si="19"/>
        <v>8.6216474831450967</v>
      </c>
      <c r="S77" s="22">
        <f t="shared" si="19"/>
        <v>7.5845363934257692</v>
      </c>
      <c r="T77" s="22">
        <f t="shared" si="19"/>
        <v>7.7077321202161873</v>
      </c>
      <c r="U77" s="22">
        <f t="shared" si="19"/>
        <v>7.9375576349753283</v>
      </c>
      <c r="V77" s="22">
        <f t="shared" si="19"/>
        <v>7.9834564448537479</v>
      </c>
      <c r="W77" s="22">
        <f t="shared" si="19"/>
        <v>8.0496557292988875</v>
      </c>
      <c r="X77" s="22">
        <f t="shared" si="19"/>
        <v>8.1420051913250582</v>
      </c>
      <c r="Y77" s="22">
        <f t="shared" si="19"/>
        <v>8.2479342378842677</v>
      </c>
      <c r="Z77" s="22">
        <f t="shared" si="19"/>
        <v>8.3721304829783953</v>
      </c>
      <c r="AA77" s="22">
        <f t="shared" si="19"/>
        <v>8.4968995489404282</v>
      </c>
      <c r="AB77" s="22">
        <f t="shared" si="19"/>
        <v>8.6372262485124356</v>
      </c>
      <c r="AC77" s="22">
        <f t="shared" si="19"/>
        <v>8.7761603591847646</v>
      </c>
      <c r="AD77" s="22">
        <f t="shared" si="19"/>
        <v>8.8666624322282459</v>
      </c>
      <c r="AE77" s="22">
        <f t="shared" si="19"/>
        <v>8.9409709411455953</v>
      </c>
      <c r="AF77" s="22">
        <f t="shared" si="19"/>
        <v>9.0194736704657732</v>
      </c>
      <c r="AG77" s="22">
        <f t="shared" si="19"/>
        <v>9.1245094402859266</v>
      </c>
      <c r="AH77" s="22">
        <f t="shared" si="19"/>
        <v>9.2000476339292057</v>
      </c>
      <c r="AI77" s="22">
        <f t="shared" si="19"/>
        <v>9.2805527348338117</v>
      </c>
      <c r="AJ77" s="22">
        <f t="shared" si="19"/>
        <v>9.3691721914038766</v>
      </c>
      <c r="AK77" s="22">
        <f t="shared" si="19"/>
        <v>9.4243939104259251</v>
      </c>
      <c r="AL77" s="22">
        <f t="shared" si="19"/>
        <v>9.4658222521699837</v>
      </c>
      <c r="AM77" s="22">
        <f t="shared" si="19"/>
        <v>9.4946383171201845</v>
      </c>
      <c r="AN77" s="22">
        <f t="shared" si="19"/>
        <v>9.5842198469681268</v>
      </c>
      <c r="AO77" s="22">
        <f t="shared" si="19"/>
        <v>9.6523131501803814</v>
      </c>
      <c r="AP77" s="22">
        <f t="shared" si="19"/>
        <v>9.7212659882312984</v>
      </c>
      <c r="AQ77" s="22">
        <f t="shared" si="19"/>
        <v>9.7918671504174508</v>
      </c>
      <c r="AR77" s="22">
        <f t="shared" si="19"/>
        <v>9.8655403318336496</v>
      </c>
      <c r="AS77" s="22">
        <f t="shared" si="19"/>
        <v>9.9411831199104377</v>
      </c>
      <c r="AT77" s="22">
        <f t="shared" si="19"/>
        <v>9.7919689092907181</v>
      </c>
      <c r="AU77" s="22">
        <f t="shared" si="19"/>
        <v>9.6229343034011841</v>
      </c>
      <c r="AV77" s="22">
        <f t="shared" si="19"/>
        <v>9.4269689746655256</v>
      </c>
      <c r="AW77" s="22">
        <f t="shared" si="19"/>
        <v>9.2248622350316598</v>
      </c>
      <c r="AY77" s="79"/>
    </row>
    <row r="78" spans="1:51" x14ac:dyDescent="0.3">
      <c r="A78" s="95" t="str">
        <f t="shared" si="0"/>
        <v>FS U&amp;D</v>
      </c>
      <c r="B78" s="95" t="s">
        <v>1004</v>
      </c>
      <c r="C78" s="95" t="s">
        <v>1336</v>
      </c>
      <c r="D78" t="s">
        <v>369</v>
      </c>
      <c r="E78" t="s">
        <v>55</v>
      </c>
      <c r="F78" t="s">
        <v>422</v>
      </c>
      <c r="G78" t="s">
        <v>1162</v>
      </c>
      <c r="H78" t="s">
        <v>1245</v>
      </c>
      <c r="I78" t="s">
        <v>139</v>
      </c>
      <c r="J78" t="s">
        <v>287</v>
      </c>
      <c r="K78" s="22">
        <f t="shared" si="16"/>
        <v>0</v>
      </c>
      <c r="L78" s="22">
        <f t="shared" si="19"/>
        <v>0</v>
      </c>
      <c r="M78" s="22">
        <f t="shared" si="19"/>
        <v>0</v>
      </c>
      <c r="N78" s="22">
        <f t="shared" si="19"/>
        <v>0</v>
      </c>
      <c r="O78" s="22">
        <f t="shared" si="19"/>
        <v>0</v>
      </c>
      <c r="P78" s="22">
        <f t="shared" si="19"/>
        <v>0</v>
      </c>
      <c r="Q78" s="22">
        <f t="shared" si="19"/>
        <v>0</v>
      </c>
      <c r="R78" s="22">
        <f t="shared" si="19"/>
        <v>0</v>
      </c>
      <c r="S78" s="22">
        <f t="shared" si="19"/>
        <v>0</v>
      </c>
      <c r="T78" s="22">
        <f t="shared" si="19"/>
        <v>0</v>
      </c>
      <c r="U78" s="22">
        <f t="shared" si="19"/>
        <v>0</v>
      </c>
      <c r="V78" s="22">
        <f t="shared" si="19"/>
        <v>0</v>
      </c>
      <c r="W78" s="22">
        <f t="shared" si="19"/>
        <v>0</v>
      </c>
      <c r="X78" s="22">
        <f t="shared" si="19"/>
        <v>0</v>
      </c>
      <c r="Y78" s="22">
        <f t="shared" si="19"/>
        <v>0</v>
      </c>
      <c r="Z78" s="22">
        <f t="shared" si="19"/>
        <v>0</v>
      </c>
      <c r="AA78" s="22">
        <f t="shared" si="19"/>
        <v>0</v>
      </c>
      <c r="AB78" s="22">
        <f t="shared" si="19"/>
        <v>0</v>
      </c>
      <c r="AC78" s="22">
        <f t="shared" si="19"/>
        <v>0</v>
      </c>
      <c r="AD78" s="22">
        <f t="shared" si="19"/>
        <v>0</v>
      </c>
      <c r="AE78" s="22">
        <f t="shared" si="19"/>
        <v>0</v>
      </c>
      <c r="AF78" s="22">
        <f t="shared" si="19"/>
        <v>0</v>
      </c>
      <c r="AG78" s="22">
        <f t="shared" si="19"/>
        <v>0</v>
      </c>
      <c r="AH78" s="22">
        <f t="shared" si="19"/>
        <v>0</v>
      </c>
      <c r="AI78" s="22">
        <f t="shared" si="19"/>
        <v>0</v>
      </c>
      <c r="AJ78" s="22">
        <f t="shared" si="19"/>
        <v>0</v>
      </c>
      <c r="AK78" s="22">
        <f t="shared" si="19"/>
        <v>0</v>
      </c>
      <c r="AL78" s="22">
        <f t="shared" si="19"/>
        <v>0</v>
      </c>
      <c r="AM78" s="22">
        <f t="shared" si="19"/>
        <v>0</v>
      </c>
      <c r="AN78" s="22">
        <f t="shared" si="19"/>
        <v>0</v>
      </c>
      <c r="AO78" s="22">
        <f t="shared" si="19"/>
        <v>0</v>
      </c>
      <c r="AP78" s="22">
        <f t="shared" si="19"/>
        <v>0</v>
      </c>
      <c r="AQ78" s="22">
        <f t="shared" si="19"/>
        <v>0</v>
      </c>
      <c r="AR78" s="22">
        <f t="shared" si="19"/>
        <v>0</v>
      </c>
      <c r="AS78" s="22">
        <f t="shared" si="19"/>
        <v>0</v>
      </c>
      <c r="AT78" s="22">
        <f t="shared" si="19"/>
        <v>0</v>
      </c>
      <c r="AU78" s="22">
        <f t="shared" si="19"/>
        <v>0</v>
      </c>
      <c r="AV78" s="22">
        <f t="shared" si="19"/>
        <v>0</v>
      </c>
      <c r="AW78" s="22">
        <f t="shared" si="19"/>
        <v>0</v>
      </c>
      <c r="AY78" s="79"/>
    </row>
    <row r="79" spans="1:51" x14ac:dyDescent="0.3">
      <c r="A79" s="95" t="str">
        <f t="shared" si="0"/>
        <v>FS U&amp;D</v>
      </c>
      <c r="B79" s="95" t="s">
        <v>1004</v>
      </c>
      <c r="C79" s="95" t="s">
        <v>1336</v>
      </c>
      <c r="D79" t="s">
        <v>369</v>
      </c>
      <c r="E79" t="s">
        <v>55</v>
      </c>
      <c r="F79" t="s">
        <v>422</v>
      </c>
      <c r="G79" t="s">
        <v>1164</v>
      </c>
      <c r="H79" t="s">
        <v>1246</v>
      </c>
      <c r="I79" t="s">
        <v>139</v>
      </c>
      <c r="J79" t="s">
        <v>287</v>
      </c>
      <c r="K79" s="22">
        <f t="shared" si="16"/>
        <v>5.8008217784478333</v>
      </c>
      <c r="L79" s="22">
        <f t="shared" si="19"/>
        <v>5.8039582643251126</v>
      </c>
      <c r="M79" s="22">
        <f t="shared" si="19"/>
        <v>5.8114574843873825</v>
      </c>
      <c r="N79" s="22">
        <f t="shared" si="19"/>
        <v>5.8225151444828054</v>
      </c>
      <c r="O79" s="22">
        <f t="shared" si="19"/>
        <v>5.8370609765606929</v>
      </c>
      <c r="P79" s="22">
        <f t="shared" si="19"/>
        <v>5.8549413826537444</v>
      </c>
      <c r="Q79" s="22">
        <f t="shared" si="19"/>
        <v>5.8750235193024203</v>
      </c>
      <c r="R79" s="22">
        <f t="shared" si="19"/>
        <v>5.8971806009067276</v>
      </c>
      <c r="S79" s="22">
        <f t="shared" si="19"/>
        <v>5.917442032162775</v>
      </c>
      <c r="T79" s="22">
        <f t="shared" si="19"/>
        <v>5.9263453955781369</v>
      </c>
      <c r="U79" s="22">
        <f t="shared" si="19"/>
        <v>5.9372183150377431</v>
      </c>
      <c r="V79" s="22">
        <f t="shared" si="19"/>
        <v>5.9486466020913653</v>
      </c>
      <c r="W79" s="22">
        <f t="shared" si="19"/>
        <v>5.9614772941302494</v>
      </c>
      <c r="X79" s="22">
        <f t="shared" si="19"/>
        <v>5.975674490624324</v>
      </c>
      <c r="Y79" s="22">
        <f t="shared" si="19"/>
        <v>5.984540997272453</v>
      </c>
      <c r="Z79" s="22">
        <f t="shared" si="19"/>
        <v>5.9945579021556687</v>
      </c>
      <c r="AA79" s="22">
        <f t="shared" si="19"/>
        <v>6.0055898546708475</v>
      </c>
      <c r="AB79" s="22">
        <f t="shared" si="19"/>
        <v>6.0176671888041211</v>
      </c>
      <c r="AC79" s="22">
        <f t="shared" si="19"/>
        <v>6.030665248312749</v>
      </c>
      <c r="AD79" s="22">
        <f t="shared" si="19"/>
        <v>6.0393845451591259</v>
      </c>
      <c r="AE79" s="22">
        <f t="shared" si="19"/>
        <v>6.0488503325285592</v>
      </c>
      <c r="AF79" s="22">
        <f t="shared" si="19"/>
        <v>6.0591386998485763</v>
      </c>
      <c r="AG79" s="22">
        <f t="shared" si="19"/>
        <v>6.0703500781796258</v>
      </c>
      <c r="AH79" s="22">
        <f t="shared" si="19"/>
        <v>6.0821478127419235</v>
      </c>
      <c r="AI79" s="22">
        <f t="shared" si="19"/>
        <v>6.0896888871649706</v>
      </c>
      <c r="AJ79" s="22">
        <f t="shared" si="19"/>
        <v>6.0979488793317644</v>
      </c>
      <c r="AK79" s="22">
        <f t="shared" si="19"/>
        <v>6.1066553574494229</v>
      </c>
      <c r="AL79" s="22">
        <f t="shared" si="19"/>
        <v>6.1159010108536567</v>
      </c>
      <c r="AM79" s="22">
        <f t="shared" si="19"/>
        <v>6.1256718211091643</v>
      </c>
      <c r="AN79" s="22">
        <f t="shared" si="19"/>
        <v>6.1314451386260842</v>
      </c>
      <c r="AO79" s="22">
        <f t="shared" si="19"/>
        <v>6.1376082251338753</v>
      </c>
      <c r="AP79" s="22">
        <f t="shared" si="19"/>
        <v>6.1442934501067121</v>
      </c>
      <c r="AQ79" s="22">
        <f t="shared" si="19"/>
        <v>6.1514943503502693</v>
      </c>
      <c r="AR79" s="22">
        <f t="shared" si="19"/>
        <v>6.1592107766386786</v>
      </c>
      <c r="AS79" s="22">
        <f t="shared" si="19"/>
        <v>6.1627115342701337</v>
      </c>
      <c r="AT79" s="22">
        <f t="shared" si="19"/>
        <v>6.1649675411239766</v>
      </c>
      <c r="AU79" s="22">
        <f t="shared" si="19"/>
        <v>6.1674405510086165</v>
      </c>
      <c r="AV79" s="22">
        <f t="shared" si="19"/>
        <v>6.1700527124926303</v>
      </c>
      <c r="AW79" s="22">
        <f t="shared" si="19"/>
        <v>6.1729463171150929</v>
      </c>
      <c r="AY79" s="79"/>
    </row>
    <row r="80" spans="1:51" x14ac:dyDescent="0.3">
      <c r="A80" s="95" t="str">
        <f t="shared" si="0"/>
        <v>FS U&amp;D</v>
      </c>
      <c r="B80" s="95" t="s">
        <v>1004</v>
      </c>
      <c r="C80" s="95" t="s">
        <v>1336</v>
      </c>
      <c r="D80" t="s">
        <v>369</v>
      </c>
      <c r="E80" t="s">
        <v>55</v>
      </c>
      <c r="F80" t="s">
        <v>422</v>
      </c>
      <c r="G80" t="s">
        <v>1166</v>
      </c>
      <c r="H80" t="s">
        <v>1247</v>
      </c>
      <c r="I80" t="s">
        <v>139</v>
      </c>
      <c r="J80" t="s">
        <v>287</v>
      </c>
      <c r="K80" s="22">
        <f t="shared" si="16"/>
        <v>0.6475429908430661</v>
      </c>
      <c r="L80" s="22">
        <f t="shared" si="19"/>
        <v>0.64789311527772075</v>
      </c>
      <c r="M80" s="22">
        <f t="shared" si="19"/>
        <v>0.64873024966549919</v>
      </c>
      <c r="N80" s="22">
        <f t="shared" si="19"/>
        <v>0.64996461103073178</v>
      </c>
      <c r="O80" s="22">
        <f t="shared" si="19"/>
        <v>0.65158835538416293</v>
      </c>
      <c r="P80" s="22">
        <f t="shared" si="19"/>
        <v>0.65358433665736837</v>
      </c>
      <c r="Q80" s="22">
        <f t="shared" si="19"/>
        <v>0.65582609607089082</v>
      </c>
      <c r="R80" s="22">
        <f t="shared" si="19"/>
        <v>0.65829948060818433</v>
      </c>
      <c r="S80" s="22">
        <f t="shared" si="19"/>
        <v>0.66056125459390613</v>
      </c>
      <c r="T80" s="22">
        <f t="shared" si="19"/>
        <v>0.6615551328399103</v>
      </c>
      <c r="U80" s="22">
        <f t="shared" si="19"/>
        <v>0.6627688716953648</v>
      </c>
      <c r="V80" s="22">
        <f t="shared" si="19"/>
        <v>0.66404460597260306</v>
      </c>
      <c r="W80" s="22">
        <f t="shared" si="19"/>
        <v>0.6654768900548883</v>
      </c>
      <c r="X80" s="22">
        <f t="shared" si="19"/>
        <v>0.66706171638303324</v>
      </c>
      <c r="Y80" s="22">
        <f t="shared" si="19"/>
        <v>0.66805148032554751</v>
      </c>
      <c r="Z80" s="22">
        <f t="shared" si="19"/>
        <v>0.66916966267880784</v>
      </c>
      <c r="AA80" s="22">
        <f t="shared" si="19"/>
        <v>0.67040115431901948</v>
      </c>
      <c r="AB80" s="22">
        <f t="shared" si="19"/>
        <v>0.67174934141470444</v>
      </c>
      <c r="AC80" s="22">
        <f t="shared" si="19"/>
        <v>0.67320030864845803</v>
      </c>
      <c r="AD80" s="22">
        <f t="shared" si="19"/>
        <v>0.67417363963044585</v>
      </c>
      <c r="AE80" s="22">
        <f t="shared" si="19"/>
        <v>0.67523030099636827</v>
      </c>
      <c r="AF80" s="22">
        <f t="shared" si="19"/>
        <v>0.67637878657302375</v>
      </c>
      <c r="AG80" s="22">
        <f t="shared" si="19"/>
        <v>0.67763030743217745</v>
      </c>
      <c r="AH80" s="22">
        <f t="shared" si="19"/>
        <v>0.67894728296002871</v>
      </c>
      <c r="AI80" s="22">
        <f t="shared" si="19"/>
        <v>0.67978908953029982</v>
      </c>
      <c r="AJ80" s="22">
        <f t="shared" si="19"/>
        <v>0.68071114854819625</v>
      </c>
      <c r="AK80" s="22">
        <f t="shared" si="19"/>
        <v>0.68168304858156126</v>
      </c>
      <c r="AL80" s="22">
        <f t="shared" si="19"/>
        <v>0.68271513649709059</v>
      </c>
      <c r="AM80" s="22">
        <f t="shared" si="19"/>
        <v>0.68380584742348371</v>
      </c>
      <c r="AN80" s="22">
        <f t="shared" si="19"/>
        <v>0.68445032012662432</v>
      </c>
      <c r="AO80" s="22">
        <f t="shared" si="19"/>
        <v>0.68513830255782171</v>
      </c>
      <c r="AP80" s="22">
        <f t="shared" si="19"/>
        <v>0.6858845710588557</v>
      </c>
      <c r="AQ80" s="22">
        <f t="shared" si="19"/>
        <v>0.6866884041464022</v>
      </c>
      <c r="AR80" s="22">
        <f t="shared" si="19"/>
        <v>0.68754978516244758</v>
      </c>
      <c r="AS80" s="22">
        <f t="shared" si="19"/>
        <v>0.6879405730806889</v>
      </c>
      <c r="AT80" s="22">
        <f t="shared" si="19"/>
        <v>0.68819241005849918</v>
      </c>
      <c r="AU80" s="22">
        <f t="shared" si="19"/>
        <v>0.68846847098197617</v>
      </c>
      <c r="AV80" s="22">
        <f t="shared" si="19"/>
        <v>0.68876006533266065</v>
      </c>
      <c r="AW80" s="22">
        <f t="shared" si="19"/>
        <v>0.68908307704774374</v>
      </c>
      <c r="AY80" s="79"/>
    </row>
    <row r="81" spans="1:51" x14ac:dyDescent="0.3">
      <c r="A81" s="95" t="str">
        <f t="shared" si="0"/>
        <v>FS U&amp;D</v>
      </c>
      <c r="B81" s="95" t="s">
        <v>1004</v>
      </c>
      <c r="C81" s="95" t="s">
        <v>1336</v>
      </c>
      <c r="D81" t="s">
        <v>369</v>
      </c>
      <c r="E81" t="s">
        <v>55</v>
      </c>
      <c r="F81" t="s">
        <v>422</v>
      </c>
      <c r="G81" t="s">
        <v>1168</v>
      </c>
      <c r="H81" t="s">
        <v>1248</v>
      </c>
      <c r="I81" t="s">
        <v>139</v>
      </c>
      <c r="J81" t="s">
        <v>287</v>
      </c>
      <c r="K81" s="22">
        <f t="shared" si="16"/>
        <v>0.71706343480611268</v>
      </c>
      <c r="L81" s="22">
        <f t="shared" si="19"/>
        <v>0.71892745361392807</v>
      </c>
      <c r="M81" s="22">
        <f t="shared" si="19"/>
        <v>0.72149880168720626</v>
      </c>
      <c r="N81" s="22">
        <f t="shared" si="19"/>
        <v>0.72463138273575978</v>
      </c>
      <c r="O81" s="22">
        <f t="shared" si="19"/>
        <v>0.72832072886952293</v>
      </c>
      <c r="P81" s="22">
        <f t="shared" si="19"/>
        <v>0.7325443847928953</v>
      </c>
      <c r="Q81" s="22">
        <f t="shared" si="19"/>
        <v>0.73708994755228441</v>
      </c>
      <c r="R81" s="22">
        <f t="shared" si="19"/>
        <v>0.74193942345928476</v>
      </c>
      <c r="S81" s="22">
        <f t="shared" si="19"/>
        <v>0.74633734890279979</v>
      </c>
      <c r="T81" s="22">
        <f t="shared" si="19"/>
        <v>0.7484855631491526</v>
      </c>
      <c r="U81" s="22">
        <f t="shared" ref="L81:AW87" si="20">U1490</f>
        <v>0.75094789604401424</v>
      </c>
      <c r="V81" s="22">
        <f t="shared" si="20"/>
        <v>0.7534578797366237</v>
      </c>
      <c r="W81" s="22">
        <f t="shared" si="20"/>
        <v>0.75618014560841795</v>
      </c>
      <c r="X81" s="22">
        <f t="shared" si="20"/>
        <v>0.75911019457510998</v>
      </c>
      <c r="Y81" s="22">
        <f t="shared" si="20"/>
        <v>0.76098529780205848</v>
      </c>
      <c r="Z81" s="22">
        <f t="shared" si="20"/>
        <v>0.76303676473265736</v>
      </c>
      <c r="AA81" s="22">
        <f t="shared" si="20"/>
        <v>0.7652406009428746</v>
      </c>
      <c r="AB81" s="22">
        <f t="shared" si="20"/>
        <v>0.76760388311939587</v>
      </c>
      <c r="AC81" s="22">
        <f t="shared" si="20"/>
        <v>0.77010442048860683</v>
      </c>
      <c r="AD81" s="22">
        <f t="shared" si="20"/>
        <v>0.77177199510986771</v>
      </c>
      <c r="AE81" s="22">
        <f t="shared" si="20"/>
        <v>0.773550364220007</v>
      </c>
      <c r="AF81" s="22">
        <f t="shared" si="20"/>
        <v>0.77545458075511842</v>
      </c>
      <c r="AG81" s="22">
        <f t="shared" si="20"/>
        <v>0.77750398529137599</v>
      </c>
      <c r="AH81" s="22">
        <f t="shared" si="20"/>
        <v>0.77963666315118907</v>
      </c>
      <c r="AI81" s="22">
        <f t="shared" si="20"/>
        <v>0.78095748542095478</v>
      </c>
      <c r="AJ81" s="22">
        <f t="shared" si="20"/>
        <v>0.78239081807371291</v>
      </c>
      <c r="AK81" s="22">
        <f t="shared" si="20"/>
        <v>0.78388681169292429</v>
      </c>
      <c r="AL81" s="22">
        <f t="shared" si="20"/>
        <v>0.78546308863746028</v>
      </c>
      <c r="AM81" s="22">
        <f t="shared" si="20"/>
        <v>0.78711749076594029</v>
      </c>
      <c r="AN81" s="22">
        <f t="shared" si="20"/>
        <v>0.7880213548905175</v>
      </c>
      <c r="AO81" s="22">
        <f t="shared" si="20"/>
        <v>0.7889821600969783</v>
      </c>
      <c r="AP81" s="22">
        <f t="shared" si="20"/>
        <v>0.7900244330710835</v>
      </c>
      <c r="AQ81" s="22">
        <f t="shared" si="20"/>
        <v>0.79114717839494386</v>
      </c>
      <c r="AR81" s="22">
        <f t="shared" si="20"/>
        <v>0.79235052559003472</v>
      </c>
      <c r="AS81" s="22">
        <f t="shared" si="20"/>
        <v>0.79277466874731783</v>
      </c>
      <c r="AT81" s="22">
        <f t="shared" si="20"/>
        <v>0.79296303081990593</v>
      </c>
      <c r="AU81" s="22">
        <f t="shared" si="20"/>
        <v>0.79318200303032371</v>
      </c>
      <c r="AV81" s="22">
        <f t="shared" si="20"/>
        <v>0.79341774382528896</v>
      </c>
      <c r="AW81" s="22">
        <f t="shared" si="20"/>
        <v>0.79369623394189648</v>
      </c>
      <c r="AY81" s="79"/>
    </row>
    <row r="82" spans="1:51" x14ac:dyDescent="0.3">
      <c r="A82" s="95" t="str">
        <f t="shared" si="0"/>
        <v>FS U&amp;D</v>
      </c>
      <c r="B82" s="95" t="s">
        <v>1004</v>
      </c>
      <c r="C82" s="95" t="s">
        <v>1336</v>
      </c>
      <c r="D82" t="s">
        <v>369</v>
      </c>
      <c r="E82" t="s">
        <v>55</v>
      </c>
      <c r="F82" t="s">
        <v>422</v>
      </c>
      <c r="G82" t="s">
        <v>1170</v>
      </c>
      <c r="H82" t="s">
        <v>1249</v>
      </c>
      <c r="I82" t="s">
        <v>139</v>
      </c>
      <c r="J82" t="s">
        <v>287</v>
      </c>
      <c r="K82" s="22">
        <f t="shared" si="16"/>
        <v>1.1867254191644503</v>
      </c>
      <c r="L82" s="22">
        <f t="shared" si="20"/>
        <v>1.1898103324282718</v>
      </c>
      <c r="M82" s="22">
        <f t="shared" si="20"/>
        <v>1.194065861258722</v>
      </c>
      <c r="N82" s="22">
        <f t="shared" si="20"/>
        <v>1.1992502192631385</v>
      </c>
      <c r="O82" s="22">
        <f t="shared" si="20"/>
        <v>1.2053560121742171</v>
      </c>
      <c r="P82" s="22">
        <f t="shared" si="20"/>
        <v>1.212346076933865</v>
      </c>
      <c r="Q82" s="22">
        <f t="shared" si="20"/>
        <v>1.2198688909683484</v>
      </c>
      <c r="R82" s="22">
        <f t="shared" si="20"/>
        <v>1.2278946750888551</v>
      </c>
      <c r="S82" s="22">
        <f t="shared" si="20"/>
        <v>1.2351731523644685</v>
      </c>
      <c r="T82" s="22">
        <f t="shared" si="20"/>
        <v>1.2387284033063148</v>
      </c>
      <c r="U82" s="22">
        <f t="shared" si="20"/>
        <v>1.2428035142308693</v>
      </c>
      <c r="V82" s="22">
        <f t="shared" si="20"/>
        <v>1.2469574862577844</v>
      </c>
      <c r="W82" s="22">
        <f t="shared" si="20"/>
        <v>1.2514627809792418</v>
      </c>
      <c r="X82" s="22">
        <f t="shared" si="20"/>
        <v>1.2563119525021347</v>
      </c>
      <c r="Y82" s="22">
        <f t="shared" si="20"/>
        <v>1.2594152102544689</v>
      </c>
      <c r="Z82" s="22">
        <f t="shared" si="20"/>
        <v>1.2628103463539342</v>
      </c>
      <c r="AA82" s="22">
        <f t="shared" si="20"/>
        <v>1.2664576505161484</v>
      </c>
      <c r="AB82" s="22">
        <f t="shared" si="20"/>
        <v>1.2703688345138295</v>
      </c>
      <c r="AC82" s="22">
        <f t="shared" si="20"/>
        <v>1.2745071730673998</v>
      </c>
      <c r="AD82" s="22">
        <f t="shared" si="20"/>
        <v>1.2772669751927705</v>
      </c>
      <c r="AE82" s="22">
        <f t="shared" si="20"/>
        <v>1.2802101399467087</v>
      </c>
      <c r="AF82" s="22">
        <f t="shared" si="20"/>
        <v>1.2833615796326843</v>
      </c>
      <c r="AG82" s="22">
        <f t="shared" si="20"/>
        <v>1.2867533025114073</v>
      </c>
      <c r="AH82" s="22">
        <f t="shared" si="20"/>
        <v>1.2902828410491152</v>
      </c>
      <c r="AI82" s="22">
        <f t="shared" si="20"/>
        <v>1.2924687750762118</v>
      </c>
      <c r="AJ82" s="22">
        <f t="shared" si="20"/>
        <v>1.2948409115017798</v>
      </c>
      <c r="AK82" s="22">
        <f t="shared" si="20"/>
        <v>1.2973167505540197</v>
      </c>
      <c r="AL82" s="22">
        <f t="shared" si="20"/>
        <v>1.2999254568789065</v>
      </c>
      <c r="AM82" s="22">
        <f t="shared" si="20"/>
        <v>1.3026634587962926</v>
      </c>
      <c r="AN82" s="22">
        <f t="shared" si="20"/>
        <v>1.3041593355626162</v>
      </c>
      <c r="AO82" s="22">
        <f t="shared" si="20"/>
        <v>1.3057494486628347</v>
      </c>
      <c r="AP82" s="22">
        <f t="shared" si="20"/>
        <v>1.3074743892636795</v>
      </c>
      <c r="AQ82" s="22">
        <f t="shared" si="20"/>
        <v>1.3093325099687654</v>
      </c>
      <c r="AR82" s="22">
        <f t="shared" si="20"/>
        <v>1.3113240251335019</v>
      </c>
      <c r="AS82" s="22">
        <f t="shared" si="20"/>
        <v>1.3120259734433455</v>
      </c>
      <c r="AT82" s="22">
        <f t="shared" si="20"/>
        <v>1.3123377088473509</v>
      </c>
      <c r="AU82" s="22">
        <f t="shared" si="20"/>
        <v>1.3127001034076922</v>
      </c>
      <c r="AV82" s="22">
        <f t="shared" si="20"/>
        <v>1.313090249634846</v>
      </c>
      <c r="AW82" s="22">
        <f t="shared" si="20"/>
        <v>1.3135511451209665</v>
      </c>
      <c r="AY82" s="79"/>
    </row>
    <row r="83" spans="1:51" x14ac:dyDescent="0.3">
      <c r="A83" s="95" t="str">
        <f t="shared" si="0"/>
        <v>FS U&amp;D</v>
      </c>
      <c r="B83" s="95" t="s">
        <v>1004</v>
      </c>
      <c r="C83" s="95" t="s">
        <v>1336</v>
      </c>
      <c r="D83" t="s">
        <v>369</v>
      </c>
      <c r="E83" t="s">
        <v>55</v>
      </c>
      <c r="F83" t="s">
        <v>422</v>
      </c>
      <c r="G83" t="s">
        <v>1172</v>
      </c>
      <c r="H83" t="s">
        <v>1250</v>
      </c>
      <c r="I83" t="s">
        <v>139</v>
      </c>
      <c r="J83" t="s">
        <v>287</v>
      </c>
      <c r="K83" s="22">
        <f t="shared" si="16"/>
        <v>0.19147730421375916</v>
      </c>
      <c r="L83" s="22">
        <f t="shared" si="20"/>
        <v>0.19240499933397132</v>
      </c>
      <c r="M83" s="22">
        <f t="shared" si="20"/>
        <v>0.19381280191845887</v>
      </c>
      <c r="N83" s="22">
        <f t="shared" si="20"/>
        <v>0.19411375969056655</v>
      </c>
      <c r="O83" s="22">
        <f t="shared" si="20"/>
        <v>0.19368291106027893</v>
      </c>
      <c r="P83" s="22">
        <f t="shared" si="20"/>
        <v>0.19253602379697463</v>
      </c>
      <c r="Q83" s="22">
        <f t="shared" si="20"/>
        <v>0.19190012409058904</v>
      </c>
      <c r="R83" s="22">
        <f t="shared" si="20"/>
        <v>0.19132863754616405</v>
      </c>
      <c r="S83" s="22">
        <f t="shared" si="20"/>
        <v>0.1803905818810948</v>
      </c>
      <c r="T83" s="22">
        <f t="shared" si="20"/>
        <v>0.18262456774024571</v>
      </c>
      <c r="U83" s="22">
        <f t="shared" si="20"/>
        <v>0.18617292598676535</v>
      </c>
      <c r="V83" s="22">
        <f t="shared" si="20"/>
        <v>0.1874827131948397</v>
      </c>
      <c r="W83" s="22">
        <f t="shared" si="20"/>
        <v>0.18903918513554135</v>
      </c>
      <c r="X83" s="22">
        <f t="shared" si="20"/>
        <v>0.19092374052200031</v>
      </c>
      <c r="Y83" s="22">
        <f t="shared" si="20"/>
        <v>0.19317866485257018</v>
      </c>
      <c r="Z83" s="22">
        <f t="shared" si="20"/>
        <v>0.19568472941200174</v>
      </c>
      <c r="AA83" s="22">
        <f t="shared" si="20"/>
        <v>0.19822057353598227</v>
      </c>
      <c r="AB83" s="22">
        <f t="shared" si="20"/>
        <v>0.20098305885598644</v>
      </c>
      <c r="AC83" s="22">
        <f t="shared" si="20"/>
        <v>0.20375514589644325</v>
      </c>
      <c r="AD83" s="22">
        <f t="shared" si="20"/>
        <v>0.20708073603212976</v>
      </c>
      <c r="AE83" s="22">
        <f t="shared" si="20"/>
        <v>0.21028463440230635</v>
      </c>
      <c r="AF83" s="22">
        <f t="shared" si="20"/>
        <v>0.2136443220754487</v>
      </c>
      <c r="AG83" s="22">
        <f t="shared" si="20"/>
        <v>0.21748682395851593</v>
      </c>
      <c r="AH83" s="22">
        <f t="shared" si="20"/>
        <v>0.22102739700732632</v>
      </c>
      <c r="AI83" s="22">
        <f t="shared" si="20"/>
        <v>0.22493633340985938</v>
      </c>
      <c r="AJ83" s="22">
        <f t="shared" si="20"/>
        <v>0.22910386680533321</v>
      </c>
      <c r="AK83" s="22">
        <f t="shared" si="20"/>
        <v>0.2329046036438828</v>
      </c>
      <c r="AL83" s="22">
        <f t="shared" si="20"/>
        <v>0.23662356544971794</v>
      </c>
      <c r="AM83" s="22">
        <f t="shared" si="20"/>
        <v>0.24027411251375713</v>
      </c>
      <c r="AN83" s="22">
        <f t="shared" si="20"/>
        <v>0.24444413665938144</v>
      </c>
      <c r="AO83" s="22">
        <f t="shared" si="20"/>
        <v>0.2483759174868751</v>
      </c>
      <c r="AP83" s="22">
        <f t="shared" si="20"/>
        <v>0.25243602460510989</v>
      </c>
      <c r="AQ83" s="22">
        <f t="shared" si="20"/>
        <v>0.25664462657697379</v>
      </c>
      <c r="AR83" s="22">
        <f t="shared" si="20"/>
        <v>0.26103451555954071</v>
      </c>
      <c r="AS83" s="22">
        <f t="shared" si="20"/>
        <v>0.26580339289786814</v>
      </c>
      <c r="AT83" s="22">
        <f t="shared" si="20"/>
        <v>0.26659601183855292</v>
      </c>
      <c r="AU83" s="22">
        <f t="shared" si="20"/>
        <v>0.26701268168020675</v>
      </c>
      <c r="AV83" s="22">
        <f t="shared" si="20"/>
        <v>0.26689564753163691</v>
      </c>
      <c r="AW83" s="22">
        <f t="shared" si="20"/>
        <v>0.2666191038621068</v>
      </c>
      <c r="AY83" s="79"/>
    </row>
    <row r="84" spans="1:51" x14ac:dyDescent="0.3">
      <c r="A84" s="95" t="str">
        <f t="shared" si="0"/>
        <v>FS U&amp;D</v>
      </c>
      <c r="B84" s="95" t="s">
        <v>1004</v>
      </c>
      <c r="C84" s="95" t="s">
        <v>1336</v>
      </c>
      <c r="D84" t="s">
        <v>369</v>
      </c>
      <c r="E84" t="s">
        <v>55</v>
      </c>
      <c r="F84" t="s">
        <v>422</v>
      </c>
      <c r="G84" t="s">
        <v>1174</v>
      </c>
      <c r="H84" t="s">
        <v>1251</v>
      </c>
      <c r="I84" t="s">
        <v>139</v>
      </c>
      <c r="J84" t="s">
        <v>287</v>
      </c>
      <c r="K84" s="22">
        <f t="shared" si="16"/>
        <v>3.4640571428571423E-2</v>
      </c>
      <c r="L84" s="22">
        <f t="shared" si="20"/>
        <v>3.4640571428571423E-2</v>
      </c>
      <c r="M84" s="22">
        <f t="shared" si="20"/>
        <v>3.4640571428571423E-2</v>
      </c>
      <c r="N84" s="22">
        <f t="shared" si="20"/>
        <v>3.4640571428571423E-2</v>
      </c>
      <c r="O84" s="22">
        <f t="shared" si="20"/>
        <v>3.4640571428571423E-2</v>
      </c>
      <c r="P84" s="22">
        <f t="shared" si="20"/>
        <v>3.4640571428571423E-2</v>
      </c>
      <c r="Q84" s="22">
        <f t="shared" si="20"/>
        <v>3.4640571428571423E-2</v>
      </c>
      <c r="R84" s="22">
        <f t="shared" si="20"/>
        <v>3.4640571428571423E-2</v>
      </c>
      <c r="S84" s="22">
        <f t="shared" si="20"/>
        <v>3.4640571428571423E-2</v>
      </c>
      <c r="T84" s="22">
        <f t="shared" si="20"/>
        <v>3.4640571428571423E-2</v>
      </c>
      <c r="U84" s="22">
        <f t="shared" si="20"/>
        <v>3.4640571428571423E-2</v>
      </c>
      <c r="V84" s="22">
        <f t="shared" si="20"/>
        <v>3.4640571428571423E-2</v>
      </c>
      <c r="W84" s="22">
        <f t="shared" si="20"/>
        <v>3.4640571428571423E-2</v>
      </c>
      <c r="X84" s="22">
        <f t="shared" si="20"/>
        <v>3.4640571428571423E-2</v>
      </c>
      <c r="Y84" s="22">
        <f t="shared" si="20"/>
        <v>3.4640571428571423E-2</v>
      </c>
      <c r="Z84" s="22">
        <f t="shared" si="20"/>
        <v>3.4640571428571423E-2</v>
      </c>
      <c r="AA84" s="22">
        <f t="shared" si="20"/>
        <v>3.4640571428571423E-2</v>
      </c>
      <c r="AB84" s="22">
        <f t="shared" si="20"/>
        <v>3.4640571428571423E-2</v>
      </c>
      <c r="AC84" s="22">
        <f t="shared" si="20"/>
        <v>3.4640571428571423E-2</v>
      </c>
      <c r="AD84" s="22">
        <f t="shared" si="20"/>
        <v>3.4640571428571423E-2</v>
      </c>
      <c r="AE84" s="22">
        <f t="shared" si="20"/>
        <v>3.4640571428571423E-2</v>
      </c>
      <c r="AF84" s="22">
        <f t="shared" si="20"/>
        <v>3.4640571428571423E-2</v>
      </c>
      <c r="AG84" s="22">
        <f t="shared" si="20"/>
        <v>3.4640571428571423E-2</v>
      </c>
      <c r="AH84" s="22">
        <f t="shared" si="20"/>
        <v>3.4640571428571423E-2</v>
      </c>
      <c r="AI84" s="22">
        <f t="shared" si="20"/>
        <v>3.4640571428571423E-2</v>
      </c>
      <c r="AJ84" s="22">
        <f t="shared" si="20"/>
        <v>3.4640571428571423E-2</v>
      </c>
      <c r="AK84" s="22">
        <f t="shared" si="20"/>
        <v>3.4640571428571423E-2</v>
      </c>
      <c r="AL84" s="22">
        <f t="shared" si="20"/>
        <v>3.4640571428571423E-2</v>
      </c>
      <c r="AM84" s="22">
        <f t="shared" si="20"/>
        <v>3.4640571428571423E-2</v>
      </c>
      <c r="AN84" s="22">
        <f t="shared" si="20"/>
        <v>3.4640571428571423E-2</v>
      </c>
      <c r="AO84" s="22">
        <f t="shared" si="20"/>
        <v>3.4640571428571423E-2</v>
      </c>
      <c r="AP84" s="22">
        <f t="shared" si="20"/>
        <v>3.4640571428571423E-2</v>
      </c>
      <c r="AQ84" s="22">
        <f t="shared" si="20"/>
        <v>3.4640571428571423E-2</v>
      </c>
      <c r="AR84" s="22">
        <f t="shared" si="20"/>
        <v>3.4640571428571423E-2</v>
      </c>
      <c r="AS84" s="22">
        <f t="shared" si="20"/>
        <v>3.4640571428571423E-2</v>
      </c>
      <c r="AT84" s="22">
        <f t="shared" si="20"/>
        <v>3.4640571428571423E-2</v>
      </c>
      <c r="AU84" s="22">
        <f t="shared" si="20"/>
        <v>3.4640571428571423E-2</v>
      </c>
      <c r="AV84" s="22">
        <f t="shared" si="20"/>
        <v>3.4640571428571423E-2</v>
      </c>
      <c r="AW84" s="22">
        <f t="shared" si="20"/>
        <v>3.4640571428571423E-2</v>
      </c>
      <c r="AY84" s="79"/>
    </row>
    <row r="85" spans="1:51" x14ac:dyDescent="0.3">
      <c r="A85" s="95" t="str">
        <f t="shared" si="0"/>
        <v>FS U&amp;D</v>
      </c>
      <c r="B85" s="95" t="s">
        <v>1004</v>
      </c>
      <c r="C85" s="95" t="s">
        <v>1336</v>
      </c>
      <c r="D85" t="s">
        <v>369</v>
      </c>
      <c r="E85" t="s">
        <v>55</v>
      </c>
      <c r="F85" t="s">
        <v>422</v>
      </c>
      <c r="G85" t="s">
        <v>1176</v>
      </c>
      <c r="H85" t="s">
        <v>1252</v>
      </c>
      <c r="I85" t="s">
        <v>139</v>
      </c>
      <c r="J85" t="s">
        <v>287</v>
      </c>
      <c r="K85" s="22">
        <f t="shared" si="16"/>
        <v>0</v>
      </c>
      <c r="L85" s="22">
        <f t="shared" si="20"/>
        <v>0</v>
      </c>
      <c r="M85" s="22">
        <f t="shared" si="20"/>
        <v>0</v>
      </c>
      <c r="N85" s="22">
        <f t="shared" si="20"/>
        <v>0</v>
      </c>
      <c r="O85" s="22">
        <f t="shared" si="20"/>
        <v>0</v>
      </c>
      <c r="P85" s="22">
        <f t="shared" si="20"/>
        <v>0</v>
      </c>
      <c r="Q85" s="22">
        <f t="shared" si="20"/>
        <v>0</v>
      </c>
      <c r="R85" s="22">
        <f t="shared" si="20"/>
        <v>0</v>
      </c>
      <c r="S85" s="22">
        <f t="shared" si="20"/>
        <v>0</v>
      </c>
      <c r="T85" s="22">
        <f t="shared" si="20"/>
        <v>0</v>
      </c>
      <c r="U85" s="22">
        <f t="shared" si="20"/>
        <v>0</v>
      </c>
      <c r="V85" s="22">
        <f t="shared" si="20"/>
        <v>0</v>
      </c>
      <c r="W85" s="22">
        <f t="shared" si="20"/>
        <v>0</v>
      </c>
      <c r="X85" s="22">
        <f t="shared" si="20"/>
        <v>0</v>
      </c>
      <c r="Y85" s="22">
        <f t="shared" si="20"/>
        <v>0</v>
      </c>
      <c r="Z85" s="22">
        <f t="shared" si="20"/>
        <v>0</v>
      </c>
      <c r="AA85" s="22">
        <f t="shared" si="20"/>
        <v>0</v>
      </c>
      <c r="AB85" s="22">
        <f t="shared" si="20"/>
        <v>0</v>
      </c>
      <c r="AC85" s="22">
        <f t="shared" si="20"/>
        <v>0</v>
      </c>
      <c r="AD85" s="22">
        <f t="shared" si="20"/>
        <v>0</v>
      </c>
      <c r="AE85" s="22">
        <f t="shared" si="20"/>
        <v>0</v>
      </c>
      <c r="AF85" s="22">
        <f t="shared" si="20"/>
        <v>0</v>
      </c>
      <c r="AG85" s="22">
        <f t="shared" si="20"/>
        <v>0</v>
      </c>
      <c r="AH85" s="22">
        <f t="shared" si="20"/>
        <v>0</v>
      </c>
      <c r="AI85" s="22">
        <f t="shared" si="20"/>
        <v>0</v>
      </c>
      <c r="AJ85" s="22">
        <f t="shared" si="20"/>
        <v>0</v>
      </c>
      <c r="AK85" s="22">
        <f t="shared" si="20"/>
        <v>0</v>
      </c>
      <c r="AL85" s="22">
        <f t="shared" si="20"/>
        <v>0</v>
      </c>
      <c r="AM85" s="22">
        <f t="shared" si="20"/>
        <v>0</v>
      </c>
      <c r="AN85" s="22">
        <f t="shared" si="20"/>
        <v>0</v>
      </c>
      <c r="AO85" s="22">
        <f t="shared" si="20"/>
        <v>0</v>
      </c>
      <c r="AP85" s="22">
        <f t="shared" si="20"/>
        <v>0</v>
      </c>
      <c r="AQ85" s="22">
        <f t="shared" si="20"/>
        <v>0</v>
      </c>
      <c r="AR85" s="22">
        <f t="shared" si="20"/>
        <v>0</v>
      </c>
      <c r="AS85" s="22">
        <f t="shared" si="20"/>
        <v>0</v>
      </c>
      <c r="AT85" s="22">
        <f t="shared" si="20"/>
        <v>0</v>
      </c>
      <c r="AU85" s="22">
        <f t="shared" si="20"/>
        <v>0</v>
      </c>
      <c r="AV85" s="22">
        <f t="shared" si="20"/>
        <v>0</v>
      </c>
      <c r="AW85" s="22">
        <f t="shared" si="20"/>
        <v>0</v>
      </c>
      <c r="AY85" s="79"/>
    </row>
    <row r="86" spans="1:51" x14ac:dyDescent="0.3">
      <c r="A86" s="95" t="str">
        <f t="shared" si="0"/>
        <v>FS U&amp;D</v>
      </c>
      <c r="B86" s="95" t="s">
        <v>1004</v>
      </c>
      <c r="C86" s="95" t="s">
        <v>1336</v>
      </c>
      <c r="D86" t="s">
        <v>369</v>
      </c>
      <c r="E86" t="s">
        <v>55</v>
      </c>
      <c r="F86" t="s">
        <v>422</v>
      </c>
      <c r="G86" t="s">
        <v>1178</v>
      </c>
      <c r="H86" t="s">
        <v>1253</v>
      </c>
      <c r="I86" t="s">
        <v>139</v>
      </c>
      <c r="J86" t="s">
        <v>287</v>
      </c>
      <c r="K86" s="22">
        <f t="shared" si="16"/>
        <v>0</v>
      </c>
      <c r="L86" s="22">
        <f t="shared" si="20"/>
        <v>0</v>
      </c>
      <c r="M86" s="22">
        <f t="shared" si="20"/>
        <v>0</v>
      </c>
      <c r="N86" s="22">
        <f t="shared" si="20"/>
        <v>0</v>
      </c>
      <c r="O86" s="22">
        <f t="shared" si="20"/>
        <v>0</v>
      </c>
      <c r="P86" s="22">
        <f t="shared" si="20"/>
        <v>0</v>
      </c>
      <c r="Q86" s="22">
        <f t="shared" si="20"/>
        <v>0</v>
      </c>
      <c r="R86" s="22">
        <f t="shared" si="20"/>
        <v>0</v>
      </c>
      <c r="S86" s="22">
        <f t="shared" si="20"/>
        <v>0</v>
      </c>
      <c r="T86" s="22">
        <f t="shared" si="20"/>
        <v>0</v>
      </c>
      <c r="U86" s="22">
        <f t="shared" si="20"/>
        <v>0</v>
      </c>
      <c r="V86" s="22">
        <f t="shared" si="20"/>
        <v>0</v>
      </c>
      <c r="W86" s="22">
        <f t="shared" si="20"/>
        <v>0</v>
      </c>
      <c r="X86" s="22">
        <f t="shared" si="20"/>
        <v>0</v>
      </c>
      <c r="Y86" s="22">
        <f t="shared" si="20"/>
        <v>0</v>
      </c>
      <c r="Z86" s="22">
        <f t="shared" si="20"/>
        <v>0</v>
      </c>
      <c r="AA86" s="22">
        <f t="shared" si="20"/>
        <v>0</v>
      </c>
      <c r="AB86" s="22">
        <f t="shared" si="20"/>
        <v>0</v>
      </c>
      <c r="AC86" s="22">
        <f t="shared" si="20"/>
        <v>0</v>
      </c>
      <c r="AD86" s="22">
        <f t="shared" si="20"/>
        <v>0</v>
      </c>
      <c r="AE86" s="22">
        <f t="shared" si="20"/>
        <v>0</v>
      </c>
      <c r="AF86" s="22">
        <f t="shared" si="20"/>
        <v>0</v>
      </c>
      <c r="AG86" s="22">
        <f t="shared" si="20"/>
        <v>0</v>
      </c>
      <c r="AH86" s="22">
        <f t="shared" si="20"/>
        <v>0</v>
      </c>
      <c r="AI86" s="22">
        <f t="shared" si="20"/>
        <v>0</v>
      </c>
      <c r="AJ86" s="22">
        <f t="shared" si="20"/>
        <v>0</v>
      </c>
      <c r="AK86" s="22">
        <f t="shared" si="20"/>
        <v>0</v>
      </c>
      <c r="AL86" s="22">
        <f t="shared" si="20"/>
        <v>0</v>
      </c>
      <c r="AM86" s="22">
        <f t="shared" si="20"/>
        <v>0</v>
      </c>
      <c r="AN86" s="22">
        <f t="shared" si="20"/>
        <v>0</v>
      </c>
      <c r="AO86" s="22">
        <f t="shared" si="20"/>
        <v>0</v>
      </c>
      <c r="AP86" s="22">
        <f t="shared" si="20"/>
        <v>0</v>
      </c>
      <c r="AQ86" s="22">
        <f t="shared" si="20"/>
        <v>0</v>
      </c>
      <c r="AR86" s="22">
        <f t="shared" si="20"/>
        <v>0</v>
      </c>
      <c r="AS86" s="22">
        <f t="shared" si="20"/>
        <v>0</v>
      </c>
      <c r="AT86" s="22">
        <f t="shared" si="20"/>
        <v>0</v>
      </c>
      <c r="AU86" s="22">
        <f t="shared" si="20"/>
        <v>0</v>
      </c>
      <c r="AV86" s="22">
        <f t="shared" si="20"/>
        <v>0</v>
      </c>
      <c r="AW86" s="22">
        <f t="shared" si="20"/>
        <v>0</v>
      </c>
      <c r="AY86" s="79"/>
    </row>
    <row r="87" spans="1:51" x14ac:dyDescent="0.3">
      <c r="A87" s="95" t="str">
        <f t="shared" si="0"/>
        <v>FS U&amp;D</v>
      </c>
      <c r="B87" s="95" t="s">
        <v>1004</v>
      </c>
      <c r="C87" s="95" t="s">
        <v>1336</v>
      </c>
      <c r="D87" t="s">
        <v>369</v>
      </c>
      <c r="E87" t="s">
        <v>55</v>
      </c>
      <c r="F87" t="s">
        <v>422</v>
      </c>
      <c r="G87" t="s">
        <v>1180</v>
      </c>
      <c r="H87" t="s">
        <v>1254</v>
      </c>
      <c r="I87" t="s">
        <v>139</v>
      </c>
      <c r="J87" t="s">
        <v>287</v>
      </c>
      <c r="K87" s="22">
        <f t="shared" si="16"/>
        <v>0</v>
      </c>
      <c r="L87" s="22">
        <f t="shared" si="20"/>
        <v>0</v>
      </c>
      <c r="M87" s="22">
        <f t="shared" si="20"/>
        <v>0</v>
      </c>
      <c r="N87" s="22">
        <f t="shared" si="20"/>
        <v>0</v>
      </c>
      <c r="O87" s="22">
        <f t="shared" si="20"/>
        <v>0</v>
      </c>
      <c r="P87" s="22">
        <f t="shared" si="20"/>
        <v>0</v>
      </c>
      <c r="Q87" s="22">
        <f t="shared" si="20"/>
        <v>0</v>
      </c>
      <c r="R87" s="22">
        <f t="shared" si="20"/>
        <v>0</v>
      </c>
      <c r="S87" s="22">
        <f t="shared" si="20"/>
        <v>0</v>
      </c>
      <c r="T87" s="22">
        <f t="shared" si="20"/>
        <v>0</v>
      </c>
      <c r="U87" s="22">
        <f t="shared" si="20"/>
        <v>0</v>
      </c>
      <c r="V87" s="22">
        <f t="shared" si="20"/>
        <v>0</v>
      </c>
      <c r="W87" s="22">
        <f t="shared" si="20"/>
        <v>0</v>
      </c>
      <c r="X87" s="22">
        <f t="shared" si="20"/>
        <v>0</v>
      </c>
      <c r="Y87" s="22">
        <f t="shared" si="20"/>
        <v>0</v>
      </c>
      <c r="Z87" s="22">
        <f t="shared" si="20"/>
        <v>0</v>
      </c>
      <c r="AA87" s="22">
        <f t="shared" si="20"/>
        <v>0</v>
      </c>
      <c r="AB87" s="22">
        <f t="shared" si="20"/>
        <v>0</v>
      </c>
      <c r="AC87" s="22">
        <f t="shared" si="20"/>
        <v>0</v>
      </c>
      <c r="AD87" s="22">
        <f t="shared" si="20"/>
        <v>0</v>
      </c>
      <c r="AE87" s="22">
        <f t="shared" si="20"/>
        <v>0</v>
      </c>
      <c r="AF87" s="22">
        <f t="shared" si="20"/>
        <v>0</v>
      </c>
      <c r="AG87" s="22">
        <f t="shared" si="20"/>
        <v>0</v>
      </c>
      <c r="AH87" s="22">
        <f t="shared" si="20"/>
        <v>0</v>
      </c>
      <c r="AI87" s="22">
        <f t="shared" si="20"/>
        <v>0</v>
      </c>
      <c r="AJ87" s="22">
        <f t="shared" si="20"/>
        <v>0</v>
      </c>
      <c r="AK87" s="22">
        <f t="shared" si="20"/>
        <v>0</v>
      </c>
      <c r="AL87" s="22">
        <f t="shared" si="20"/>
        <v>0</v>
      </c>
      <c r="AM87" s="22">
        <f t="shared" si="20"/>
        <v>0</v>
      </c>
      <c r="AN87" s="22">
        <f t="shared" si="20"/>
        <v>0</v>
      </c>
      <c r="AO87" s="22">
        <f t="shared" si="20"/>
        <v>0</v>
      </c>
      <c r="AP87" s="22">
        <f t="shared" si="20"/>
        <v>0</v>
      </c>
      <c r="AQ87" s="22">
        <f t="shared" si="20"/>
        <v>0</v>
      </c>
      <c r="AR87" s="22">
        <f t="shared" si="20"/>
        <v>0</v>
      </c>
      <c r="AS87" s="22">
        <f t="shared" si="20"/>
        <v>0</v>
      </c>
      <c r="AT87" s="22">
        <f t="shared" si="20"/>
        <v>0</v>
      </c>
      <c r="AU87" s="22">
        <f t="shared" si="20"/>
        <v>0</v>
      </c>
      <c r="AV87" s="22">
        <f t="shared" ref="L87:AW94" si="21">AV1496</f>
        <v>0</v>
      </c>
      <c r="AW87" s="22">
        <f t="shared" si="21"/>
        <v>0</v>
      </c>
      <c r="AY87" s="79"/>
    </row>
    <row r="88" spans="1:51" x14ac:dyDescent="0.3">
      <c r="A88" s="95" t="str">
        <f t="shared" si="0"/>
        <v>FS U&amp;D</v>
      </c>
      <c r="B88" s="95" t="s">
        <v>1004</v>
      </c>
      <c r="C88" s="95" t="s">
        <v>1336</v>
      </c>
      <c r="D88" t="s">
        <v>369</v>
      </c>
      <c r="E88" t="s">
        <v>55</v>
      </c>
      <c r="F88" t="s">
        <v>422</v>
      </c>
      <c r="G88" t="s">
        <v>1182</v>
      </c>
      <c r="H88" t="s">
        <v>1255</v>
      </c>
      <c r="I88" t="s">
        <v>139</v>
      </c>
      <c r="J88" t="s">
        <v>287</v>
      </c>
      <c r="K88" s="22">
        <f t="shared" si="16"/>
        <v>0</v>
      </c>
      <c r="L88" s="22">
        <f t="shared" si="21"/>
        <v>0</v>
      </c>
      <c r="M88" s="22">
        <f t="shared" si="21"/>
        <v>0</v>
      </c>
      <c r="N88" s="22">
        <f t="shared" si="21"/>
        <v>0</v>
      </c>
      <c r="O88" s="22">
        <f t="shared" si="21"/>
        <v>0</v>
      </c>
      <c r="P88" s="22">
        <f t="shared" si="21"/>
        <v>0</v>
      </c>
      <c r="Q88" s="22">
        <f t="shared" si="21"/>
        <v>0</v>
      </c>
      <c r="R88" s="22">
        <f t="shared" si="21"/>
        <v>0</v>
      </c>
      <c r="S88" s="22">
        <f t="shared" si="21"/>
        <v>0</v>
      </c>
      <c r="T88" s="22">
        <f t="shared" si="21"/>
        <v>0</v>
      </c>
      <c r="U88" s="22">
        <f t="shared" si="21"/>
        <v>0</v>
      </c>
      <c r="V88" s="22">
        <f t="shared" si="21"/>
        <v>0</v>
      </c>
      <c r="W88" s="22">
        <f t="shared" si="21"/>
        <v>0</v>
      </c>
      <c r="X88" s="22">
        <f t="shared" si="21"/>
        <v>0</v>
      </c>
      <c r="Y88" s="22">
        <f t="shared" si="21"/>
        <v>0</v>
      </c>
      <c r="Z88" s="22">
        <f t="shared" si="21"/>
        <v>0</v>
      </c>
      <c r="AA88" s="22">
        <f t="shared" si="21"/>
        <v>0</v>
      </c>
      <c r="AB88" s="22">
        <f t="shared" si="21"/>
        <v>0</v>
      </c>
      <c r="AC88" s="22">
        <f t="shared" si="21"/>
        <v>0</v>
      </c>
      <c r="AD88" s="22">
        <f t="shared" si="21"/>
        <v>0</v>
      </c>
      <c r="AE88" s="22">
        <f t="shared" si="21"/>
        <v>0</v>
      </c>
      <c r="AF88" s="22">
        <f t="shared" si="21"/>
        <v>0</v>
      </c>
      <c r="AG88" s="22">
        <f t="shared" si="21"/>
        <v>0</v>
      </c>
      <c r="AH88" s="22">
        <f t="shared" si="21"/>
        <v>0</v>
      </c>
      <c r="AI88" s="22">
        <f t="shared" si="21"/>
        <v>0</v>
      </c>
      <c r="AJ88" s="22">
        <f t="shared" si="21"/>
        <v>0</v>
      </c>
      <c r="AK88" s="22">
        <f t="shared" si="21"/>
        <v>0</v>
      </c>
      <c r="AL88" s="22">
        <f t="shared" si="21"/>
        <v>0</v>
      </c>
      <c r="AM88" s="22">
        <f t="shared" si="21"/>
        <v>0</v>
      </c>
      <c r="AN88" s="22">
        <f t="shared" si="21"/>
        <v>0</v>
      </c>
      <c r="AO88" s="22">
        <f t="shared" si="21"/>
        <v>0</v>
      </c>
      <c r="AP88" s="22">
        <f t="shared" si="21"/>
        <v>0</v>
      </c>
      <c r="AQ88" s="22">
        <f t="shared" si="21"/>
        <v>0</v>
      </c>
      <c r="AR88" s="22">
        <f t="shared" si="21"/>
        <v>0</v>
      </c>
      <c r="AS88" s="22">
        <f t="shared" si="21"/>
        <v>0</v>
      </c>
      <c r="AT88" s="22">
        <f t="shared" si="21"/>
        <v>0</v>
      </c>
      <c r="AU88" s="22">
        <f t="shared" si="21"/>
        <v>0</v>
      </c>
      <c r="AV88" s="22">
        <f t="shared" si="21"/>
        <v>0</v>
      </c>
      <c r="AW88" s="22">
        <f t="shared" si="21"/>
        <v>0</v>
      </c>
      <c r="AY88" s="79"/>
    </row>
    <row r="89" spans="1:51" x14ac:dyDescent="0.3">
      <c r="A89" s="95" t="str">
        <f t="shared" si="0"/>
        <v>FS FSOM</v>
      </c>
      <c r="B89" s="95" t="s">
        <v>1004</v>
      </c>
      <c r="C89" s="95" t="s">
        <v>60</v>
      </c>
      <c r="D89" t="s">
        <v>369</v>
      </c>
      <c r="E89" t="s">
        <v>55</v>
      </c>
      <c r="F89" t="s">
        <v>60</v>
      </c>
      <c r="G89" t="s">
        <v>1266</v>
      </c>
      <c r="H89" t="s">
        <v>1267</v>
      </c>
      <c r="J89" t="s">
        <v>287</v>
      </c>
      <c r="K89" s="22" t="str">
        <f t="shared" si="16"/>
        <v>NO</v>
      </c>
      <c r="L89" s="22" t="str">
        <f t="shared" si="21"/>
        <v>NO</v>
      </c>
      <c r="M89" s="22" t="str">
        <f t="shared" si="21"/>
        <v>NO</v>
      </c>
      <c r="N89" s="22" t="str">
        <f t="shared" si="21"/>
        <v>NO</v>
      </c>
      <c r="O89" s="22" t="str">
        <f t="shared" si="21"/>
        <v>NO</v>
      </c>
      <c r="P89" s="22" t="str">
        <f t="shared" si="21"/>
        <v>NO</v>
      </c>
      <c r="Q89" s="22" t="str">
        <f t="shared" si="21"/>
        <v>NO</v>
      </c>
      <c r="R89" s="22" t="str">
        <f t="shared" si="21"/>
        <v>NO</v>
      </c>
      <c r="S89" s="22" t="str">
        <f t="shared" si="21"/>
        <v>NO</v>
      </c>
      <c r="T89" s="22" t="str">
        <f t="shared" si="21"/>
        <v>NO</v>
      </c>
      <c r="U89" s="22" t="str">
        <f t="shared" si="21"/>
        <v>NO</v>
      </c>
      <c r="V89" s="22" t="str">
        <f t="shared" si="21"/>
        <v>NO</v>
      </c>
      <c r="W89" s="22" t="str">
        <f t="shared" si="21"/>
        <v>NO</v>
      </c>
      <c r="X89" s="22" t="str">
        <f t="shared" si="21"/>
        <v>NO</v>
      </c>
      <c r="Y89" s="22" t="str">
        <f t="shared" si="21"/>
        <v>NO</v>
      </c>
      <c r="Z89" s="22" t="str">
        <f t="shared" si="21"/>
        <v>NO</v>
      </c>
      <c r="AA89" s="22" t="str">
        <f t="shared" si="21"/>
        <v>NO</v>
      </c>
      <c r="AB89" s="22" t="str">
        <f t="shared" si="21"/>
        <v>NO</v>
      </c>
      <c r="AC89" s="22" t="str">
        <f t="shared" si="21"/>
        <v>NO</v>
      </c>
      <c r="AD89" s="22" t="str">
        <f t="shared" si="21"/>
        <v>NO</v>
      </c>
      <c r="AE89" s="22" t="str">
        <f t="shared" si="21"/>
        <v>NO</v>
      </c>
      <c r="AF89" s="22" t="str">
        <f t="shared" si="21"/>
        <v>NO</v>
      </c>
      <c r="AG89" s="22" t="str">
        <f t="shared" si="21"/>
        <v>NO</v>
      </c>
      <c r="AH89" s="22" t="str">
        <f t="shared" si="21"/>
        <v>NO</v>
      </c>
      <c r="AI89" s="22" t="str">
        <f t="shared" si="21"/>
        <v>NO</v>
      </c>
      <c r="AJ89" s="22" t="str">
        <f t="shared" si="21"/>
        <v>NO</v>
      </c>
      <c r="AK89" s="22" t="str">
        <f t="shared" si="21"/>
        <v>NO</v>
      </c>
      <c r="AL89" s="22" t="str">
        <f t="shared" si="21"/>
        <v>NO</v>
      </c>
      <c r="AM89" s="22" t="str">
        <f t="shared" si="21"/>
        <v>NO</v>
      </c>
      <c r="AN89" s="22" t="str">
        <f t="shared" si="21"/>
        <v>NO</v>
      </c>
      <c r="AO89" s="22" t="str">
        <f t="shared" si="21"/>
        <v>NO</v>
      </c>
      <c r="AP89" s="22" t="str">
        <f t="shared" si="21"/>
        <v>NO</v>
      </c>
      <c r="AQ89" s="22" t="str">
        <f t="shared" si="21"/>
        <v>NO</v>
      </c>
      <c r="AR89" s="22" t="str">
        <f t="shared" si="21"/>
        <v>NO</v>
      </c>
      <c r="AS89" s="22" t="str">
        <f t="shared" si="21"/>
        <v>NO</v>
      </c>
      <c r="AT89" s="22" t="str">
        <f t="shared" si="21"/>
        <v>NO</v>
      </c>
      <c r="AU89" s="22" t="str">
        <f t="shared" si="21"/>
        <v>NO</v>
      </c>
      <c r="AV89" s="22" t="str">
        <f t="shared" si="21"/>
        <v>NO</v>
      </c>
      <c r="AW89" s="22" t="str">
        <f t="shared" si="21"/>
        <v>NO</v>
      </c>
      <c r="AY89" s="79"/>
    </row>
    <row r="90" spans="1:51" x14ac:dyDescent="0.3">
      <c r="A90" s="95" t="str">
        <f t="shared" si="0"/>
        <v>FS FSOM</v>
      </c>
      <c r="B90" s="95" t="s">
        <v>1004</v>
      </c>
      <c r="C90" s="95" t="s">
        <v>60</v>
      </c>
      <c r="D90" t="s">
        <v>369</v>
      </c>
      <c r="E90" t="s">
        <v>55</v>
      </c>
      <c r="F90" t="s">
        <v>60</v>
      </c>
      <c r="G90" t="s">
        <v>1268</v>
      </c>
      <c r="H90" t="s">
        <v>1269</v>
      </c>
      <c r="J90" t="s">
        <v>287</v>
      </c>
      <c r="K90" s="22" t="str">
        <f t="shared" si="16"/>
        <v>NO</v>
      </c>
      <c r="L90" s="22" t="str">
        <f t="shared" si="21"/>
        <v>NO</v>
      </c>
      <c r="M90" s="22" t="str">
        <f t="shared" si="21"/>
        <v>NO</v>
      </c>
      <c r="N90" s="22" t="str">
        <f t="shared" si="21"/>
        <v>NO</v>
      </c>
      <c r="O90" s="22" t="str">
        <f t="shared" si="21"/>
        <v>NO</v>
      </c>
      <c r="P90" s="22" t="str">
        <f t="shared" si="21"/>
        <v>NO</v>
      </c>
      <c r="Q90" s="22" t="str">
        <f t="shared" si="21"/>
        <v>NO</v>
      </c>
      <c r="R90" s="22" t="str">
        <f t="shared" si="21"/>
        <v>NO</v>
      </c>
      <c r="S90" s="22" t="str">
        <f t="shared" si="21"/>
        <v>NO</v>
      </c>
      <c r="T90" s="22" t="str">
        <f t="shared" si="21"/>
        <v>NO</v>
      </c>
      <c r="U90" s="22" t="str">
        <f t="shared" si="21"/>
        <v>NO</v>
      </c>
      <c r="V90" s="22" t="str">
        <f t="shared" si="21"/>
        <v>NO</v>
      </c>
      <c r="W90" s="22" t="str">
        <f t="shared" si="21"/>
        <v>NO</v>
      </c>
      <c r="X90" s="22" t="str">
        <f t="shared" si="21"/>
        <v>NO</v>
      </c>
      <c r="Y90" s="22" t="str">
        <f t="shared" si="21"/>
        <v>NO</v>
      </c>
      <c r="Z90" s="22" t="str">
        <f t="shared" si="21"/>
        <v>NO</v>
      </c>
      <c r="AA90" s="22" t="str">
        <f t="shared" si="21"/>
        <v>NO</v>
      </c>
      <c r="AB90" s="22" t="str">
        <f t="shared" si="21"/>
        <v>NO</v>
      </c>
      <c r="AC90" s="22" t="str">
        <f t="shared" si="21"/>
        <v>NO</v>
      </c>
      <c r="AD90" s="22" t="str">
        <f t="shared" si="21"/>
        <v>NO</v>
      </c>
      <c r="AE90" s="22" t="str">
        <f t="shared" si="21"/>
        <v>NO</v>
      </c>
      <c r="AF90" s="22" t="str">
        <f t="shared" si="21"/>
        <v>NO</v>
      </c>
      <c r="AG90" s="22" t="str">
        <f t="shared" si="21"/>
        <v>NO</v>
      </c>
      <c r="AH90" s="22" t="str">
        <f t="shared" si="21"/>
        <v>NO</v>
      </c>
      <c r="AI90" s="22" t="str">
        <f t="shared" si="21"/>
        <v>NO</v>
      </c>
      <c r="AJ90" s="22" t="str">
        <f t="shared" si="21"/>
        <v>NO</v>
      </c>
      <c r="AK90" s="22" t="str">
        <f t="shared" si="21"/>
        <v>NO</v>
      </c>
      <c r="AL90" s="22" t="str">
        <f t="shared" si="21"/>
        <v>NO</v>
      </c>
      <c r="AM90" s="22" t="str">
        <f t="shared" si="21"/>
        <v>NO</v>
      </c>
      <c r="AN90" s="22" t="str">
        <f t="shared" si="21"/>
        <v>NO</v>
      </c>
      <c r="AO90" s="22" t="str">
        <f t="shared" si="21"/>
        <v>NO</v>
      </c>
      <c r="AP90" s="22" t="str">
        <f t="shared" si="21"/>
        <v>NO</v>
      </c>
      <c r="AQ90" s="22" t="str">
        <f t="shared" si="21"/>
        <v>NO</v>
      </c>
      <c r="AR90" s="22" t="str">
        <f t="shared" si="21"/>
        <v>NO</v>
      </c>
      <c r="AS90" s="22" t="str">
        <f t="shared" si="21"/>
        <v>NO</v>
      </c>
      <c r="AT90" s="22" t="str">
        <f t="shared" si="21"/>
        <v>NO</v>
      </c>
      <c r="AU90" s="22" t="str">
        <f t="shared" si="21"/>
        <v>NO</v>
      </c>
      <c r="AV90" s="22" t="str">
        <f t="shared" si="21"/>
        <v>NO</v>
      </c>
      <c r="AW90" s="22" t="str">
        <f t="shared" si="21"/>
        <v>NO</v>
      </c>
      <c r="AY90" s="79"/>
    </row>
    <row r="91" spans="1:51" x14ac:dyDescent="0.3">
      <c r="A91" s="95" t="str">
        <f t="shared" si="0"/>
        <v>FS FSOM</v>
      </c>
      <c r="B91" s="95" t="s">
        <v>1004</v>
      </c>
      <c r="C91" s="95" t="s">
        <v>60</v>
      </c>
      <c r="D91" t="s">
        <v>369</v>
      </c>
      <c r="E91" t="s">
        <v>55</v>
      </c>
      <c r="F91" t="s">
        <v>60</v>
      </c>
      <c r="G91" t="s">
        <v>1270</v>
      </c>
      <c r="H91" t="s">
        <v>1271</v>
      </c>
      <c r="J91" t="s">
        <v>287</v>
      </c>
      <c r="K91" s="22">
        <f t="shared" si="16"/>
        <v>3.4398813895090996E-3</v>
      </c>
      <c r="L91" s="22">
        <f t="shared" si="21"/>
        <v>3.4358310252377683E-3</v>
      </c>
      <c r="M91" s="22">
        <f t="shared" si="21"/>
        <v>3.4317806609664363E-3</v>
      </c>
      <c r="N91" s="22">
        <f t="shared" si="21"/>
        <v>3.4277302966951037E-3</v>
      </c>
      <c r="O91" s="22">
        <f t="shared" si="21"/>
        <v>3.4236799324237725E-3</v>
      </c>
      <c r="P91" s="22">
        <f t="shared" si="21"/>
        <v>3.4196295681524396E-3</v>
      </c>
      <c r="Q91" s="22">
        <f t="shared" si="21"/>
        <v>3.4155792038811079E-3</v>
      </c>
      <c r="R91" s="22">
        <f t="shared" si="21"/>
        <v>3.4115288396097763E-3</v>
      </c>
      <c r="S91" s="22">
        <f t="shared" si="21"/>
        <v>3.4074784753384451E-3</v>
      </c>
      <c r="T91" s="22">
        <f t="shared" si="21"/>
        <v>3.4034281110671134E-3</v>
      </c>
      <c r="U91" s="22">
        <f t="shared" si="21"/>
        <v>3.39937774679578E-3</v>
      </c>
      <c r="V91" s="22">
        <f t="shared" si="21"/>
        <v>3.3953273825244488E-3</v>
      </c>
      <c r="W91" s="22">
        <f t="shared" si="21"/>
        <v>3.3912770182531172E-3</v>
      </c>
      <c r="X91" s="22">
        <f t="shared" si="21"/>
        <v>3.387226653981786E-3</v>
      </c>
      <c r="Y91" s="22">
        <f t="shared" si="21"/>
        <v>3.3831762897104547E-3</v>
      </c>
      <c r="Z91" s="22">
        <f t="shared" si="21"/>
        <v>3.3791259254391218E-3</v>
      </c>
      <c r="AA91" s="22">
        <f t="shared" si="21"/>
        <v>3.375075561167791E-3</v>
      </c>
      <c r="AB91" s="22">
        <f t="shared" si="21"/>
        <v>3.3710251968964585E-3</v>
      </c>
      <c r="AC91" s="22">
        <f t="shared" si="21"/>
        <v>3.3669748326251273E-3</v>
      </c>
      <c r="AD91" s="22">
        <f t="shared" si="21"/>
        <v>3.3629244683537943E-3</v>
      </c>
      <c r="AE91" s="22">
        <f t="shared" si="21"/>
        <v>3.358874104082464E-3</v>
      </c>
      <c r="AF91" s="22">
        <f t="shared" si="21"/>
        <v>3.3548237398111319E-3</v>
      </c>
      <c r="AG91" s="22">
        <f t="shared" si="21"/>
        <v>3.3507733755397998E-3</v>
      </c>
      <c r="AH91" s="22">
        <f t="shared" si="21"/>
        <v>3.3467230112684673E-3</v>
      </c>
      <c r="AI91" s="22">
        <f t="shared" si="21"/>
        <v>3.3426726469971361E-3</v>
      </c>
      <c r="AJ91" s="22">
        <f t="shared" si="21"/>
        <v>3.3386222827258044E-3</v>
      </c>
      <c r="AK91" s="22">
        <f t="shared" si="21"/>
        <v>3.3345719184544728E-3</v>
      </c>
      <c r="AL91" s="22">
        <f t="shared" si="21"/>
        <v>3.3305215541831416E-3</v>
      </c>
      <c r="AM91" s="22">
        <f t="shared" si="21"/>
        <v>3.3264711899118095E-3</v>
      </c>
      <c r="AN91" s="22">
        <f t="shared" si="21"/>
        <v>3.3224208256404765E-3</v>
      </c>
      <c r="AO91" s="22">
        <f t="shared" si="21"/>
        <v>3.3183704613691458E-3</v>
      </c>
      <c r="AP91" s="22">
        <f t="shared" si="21"/>
        <v>3.3143200970978137E-3</v>
      </c>
      <c r="AQ91" s="22">
        <f t="shared" si="21"/>
        <v>3.3102697328264833E-3</v>
      </c>
      <c r="AR91" s="22">
        <f t="shared" si="21"/>
        <v>3.3062193685551499E-3</v>
      </c>
      <c r="AS91" s="22">
        <f t="shared" si="21"/>
        <v>3.3021690042838187E-3</v>
      </c>
      <c r="AT91" s="22">
        <f t="shared" si="21"/>
        <v>3.2981186400124866E-3</v>
      </c>
      <c r="AU91" s="22">
        <f t="shared" si="21"/>
        <v>3.2940682757411541E-3</v>
      </c>
      <c r="AV91" s="22">
        <f t="shared" si="21"/>
        <v>3.2900179114698229E-3</v>
      </c>
      <c r="AW91" s="22">
        <f t="shared" si="21"/>
        <v>3.2859675471984908E-3</v>
      </c>
      <c r="AY91" s="79"/>
    </row>
    <row r="92" spans="1:51" x14ac:dyDescent="0.3">
      <c r="A92" s="95" t="str">
        <f t="shared" si="0"/>
        <v>FS FSOM</v>
      </c>
      <c r="B92" s="95" t="s">
        <v>1004</v>
      </c>
      <c r="C92" s="95" t="s">
        <v>60</v>
      </c>
      <c r="D92" t="s">
        <v>369</v>
      </c>
      <c r="E92" t="s">
        <v>55</v>
      </c>
      <c r="F92" t="s">
        <v>60</v>
      </c>
      <c r="G92" t="s">
        <v>1272</v>
      </c>
      <c r="H92" t="s">
        <v>1273</v>
      </c>
      <c r="J92" t="s">
        <v>287</v>
      </c>
      <c r="K92" s="22">
        <f t="shared" si="16"/>
        <v>0.49020960547040615</v>
      </c>
      <c r="L92" s="22">
        <f t="shared" si="21"/>
        <v>0.49134551154341793</v>
      </c>
      <c r="M92" s="22">
        <f t="shared" si="21"/>
        <v>0.49248141761642988</v>
      </c>
      <c r="N92" s="22">
        <f t="shared" si="21"/>
        <v>0.49361732368944172</v>
      </c>
      <c r="O92" s="22">
        <f t="shared" si="21"/>
        <v>0.49475322976245356</v>
      </c>
      <c r="P92" s="22">
        <f t="shared" si="21"/>
        <v>0.49588913583546534</v>
      </c>
      <c r="Q92" s="22">
        <f t="shared" si="21"/>
        <v>0.49702504190847724</v>
      </c>
      <c r="R92" s="22">
        <f t="shared" si="21"/>
        <v>0.49816094798148913</v>
      </c>
      <c r="S92" s="22">
        <f t="shared" si="21"/>
        <v>0.49929685405450086</v>
      </c>
      <c r="T92" s="22">
        <f t="shared" si="21"/>
        <v>0.50043276012751292</v>
      </c>
      <c r="U92" s="22">
        <f t="shared" si="21"/>
        <v>0.50156866620052454</v>
      </c>
      <c r="V92" s="22">
        <f t="shared" si="21"/>
        <v>0.50270457227353649</v>
      </c>
      <c r="W92" s="22">
        <f t="shared" si="21"/>
        <v>0.50384047834654833</v>
      </c>
      <c r="X92" s="22">
        <f t="shared" si="21"/>
        <v>0.50497638441956039</v>
      </c>
      <c r="Y92" s="22">
        <f t="shared" si="21"/>
        <v>0.506112290492572</v>
      </c>
      <c r="Z92" s="22">
        <f t="shared" si="21"/>
        <v>0.50724819656558406</v>
      </c>
      <c r="AA92" s="22">
        <f t="shared" si="21"/>
        <v>0.50838410263859568</v>
      </c>
      <c r="AB92" s="22">
        <f t="shared" si="21"/>
        <v>0.50952000871160763</v>
      </c>
      <c r="AC92" s="22">
        <f t="shared" si="21"/>
        <v>0.51065591478461958</v>
      </c>
      <c r="AD92" s="22">
        <f t="shared" si="21"/>
        <v>0.51179182085763142</v>
      </c>
      <c r="AE92" s="22">
        <f t="shared" si="21"/>
        <v>0.51292772693064326</v>
      </c>
      <c r="AF92" s="22">
        <f t="shared" si="21"/>
        <v>0.5140636330036551</v>
      </c>
      <c r="AG92" s="22">
        <f t="shared" si="21"/>
        <v>0.51519953907666705</v>
      </c>
      <c r="AH92" s="22">
        <f t="shared" si="21"/>
        <v>0.51633544514967877</v>
      </c>
      <c r="AI92" s="22">
        <f t="shared" si="21"/>
        <v>0.51747135122269072</v>
      </c>
      <c r="AJ92" s="22">
        <f t="shared" si="21"/>
        <v>0.51860725729570256</v>
      </c>
      <c r="AK92" s="22">
        <f t="shared" si="21"/>
        <v>0.5197431633687144</v>
      </c>
      <c r="AL92" s="22">
        <f t="shared" si="21"/>
        <v>0.52087906944172624</v>
      </c>
      <c r="AM92" s="22">
        <f t="shared" si="21"/>
        <v>0.52201497551473808</v>
      </c>
      <c r="AN92" s="22">
        <f t="shared" si="21"/>
        <v>0.52315088158774992</v>
      </c>
      <c r="AO92" s="22">
        <f t="shared" si="21"/>
        <v>0.52428678766076187</v>
      </c>
      <c r="AP92" s="22">
        <f t="shared" si="21"/>
        <v>0.52542269373377359</v>
      </c>
      <c r="AQ92" s="22">
        <f t="shared" si="21"/>
        <v>0.52655859980678543</v>
      </c>
      <c r="AR92" s="22">
        <f t="shared" si="21"/>
        <v>0.52769450587979749</v>
      </c>
      <c r="AS92" s="22">
        <f t="shared" si="21"/>
        <v>0.52883041195280922</v>
      </c>
      <c r="AT92" s="22">
        <f t="shared" si="21"/>
        <v>0.52996631802582106</v>
      </c>
      <c r="AU92" s="22">
        <f t="shared" si="21"/>
        <v>0.53110222409883301</v>
      </c>
      <c r="AV92" s="22">
        <f t="shared" si="21"/>
        <v>0.53223813017184474</v>
      </c>
      <c r="AW92" s="22">
        <f t="shared" si="21"/>
        <v>0.5333740362448568</v>
      </c>
      <c r="AY92" s="79"/>
    </row>
    <row r="93" spans="1:51" x14ac:dyDescent="0.3">
      <c r="A93" s="95" t="str">
        <f t="shared" si="0"/>
        <v>FS FSOM</v>
      </c>
      <c r="B93" s="95" t="s">
        <v>1004</v>
      </c>
      <c r="C93" s="95" t="s">
        <v>60</v>
      </c>
      <c r="D93" t="s">
        <v>369</v>
      </c>
      <c r="E93" t="s">
        <v>55</v>
      </c>
      <c r="F93" t="s">
        <v>60</v>
      </c>
      <c r="G93" t="s">
        <v>1274</v>
      </c>
      <c r="H93" t="s">
        <v>1275</v>
      </c>
      <c r="J93" t="s">
        <v>287</v>
      </c>
      <c r="K93" s="22">
        <f t="shared" si="16"/>
        <v>0.57597220909378744</v>
      </c>
      <c r="L93" s="22">
        <f t="shared" si="21"/>
        <v>0.57597220909378744</v>
      </c>
      <c r="M93" s="22">
        <f t="shared" si="21"/>
        <v>0.57597220909378744</v>
      </c>
      <c r="N93" s="22">
        <f t="shared" si="21"/>
        <v>0.57597220909378744</v>
      </c>
      <c r="O93" s="22">
        <f t="shared" si="21"/>
        <v>0.57597220909378744</v>
      </c>
      <c r="P93" s="22">
        <f t="shared" si="21"/>
        <v>0.57597220909378744</v>
      </c>
      <c r="Q93" s="22">
        <f t="shared" si="21"/>
        <v>0.57597220909378744</v>
      </c>
      <c r="R93" s="22">
        <f t="shared" si="21"/>
        <v>0.57597220909378744</v>
      </c>
      <c r="S93" s="22">
        <f t="shared" si="21"/>
        <v>0.57597220909378744</v>
      </c>
      <c r="T93" s="22">
        <f t="shared" si="21"/>
        <v>0.57597220909378744</v>
      </c>
      <c r="U93" s="22">
        <f t="shared" si="21"/>
        <v>0.57597220909378744</v>
      </c>
      <c r="V93" s="22">
        <f t="shared" si="21"/>
        <v>0.57597220909378744</v>
      </c>
      <c r="W93" s="22">
        <f t="shared" si="21"/>
        <v>0.57597220909378744</v>
      </c>
      <c r="X93" s="22">
        <f t="shared" si="21"/>
        <v>0.57597220909378744</v>
      </c>
      <c r="Y93" s="22">
        <f t="shared" si="21"/>
        <v>0.57597220909378744</v>
      </c>
      <c r="Z93" s="22">
        <f t="shared" si="21"/>
        <v>0.57597220909378744</v>
      </c>
      <c r="AA93" s="22">
        <f t="shared" si="21"/>
        <v>0.57597220909378744</v>
      </c>
      <c r="AB93" s="22">
        <f t="shared" si="21"/>
        <v>0.57597220909378744</v>
      </c>
      <c r="AC93" s="22">
        <f t="shared" si="21"/>
        <v>0.57597220909378744</v>
      </c>
      <c r="AD93" s="22">
        <f t="shared" si="21"/>
        <v>0.57597220909378744</v>
      </c>
      <c r="AE93" s="22">
        <f t="shared" si="21"/>
        <v>0.57597220909378744</v>
      </c>
      <c r="AF93" s="22">
        <f t="shared" si="21"/>
        <v>0.57597220909378744</v>
      </c>
      <c r="AG93" s="22">
        <f t="shared" si="21"/>
        <v>0.57597220909378744</v>
      </c>
      <c r="AH93" s="22">
        <f t="shared" si="21"/>
        <v>0.57597220909378744</v>
      </c>
      <c r="AI93" s="22">
        <f t="shared" si="21"/>
        <v>0.57597220909378744</v>
      </c>
      <c r="AJ93" s="22">
        <f t="shared" si="21"/>
        <v>0.57597220909378744</v>
      </c>
      <c r="AK93" s="22">
        <f t="shared" si="21"/>
        <v>0.57597220909378744</v>
      </c>
      <c r="AL93" s="22">
        <f t="shared" si="21"/>
        <v>0.57597220909378744</v>
      </c>
      <c r="AM93" s="22">
        <f t="shared" si="21"/>
        <v>0.57597220909378744</v>
      </c>
      <c r="AN93" s="22">
        <f t="shared" si="21"/>
        <v>0.57597220909378744</v>
      </c>
      <c r="AO93" s="22">
        <f t="shared" si="21"/>
        <v>0.57597220909378744</v>
      </c>
      <c r="AP93" s="22">
        <f t="shared" si="21"/>
        <v>0.57597220909378744</v>
      </c>
      <c r="AQ93" s="22">
        <f t="shared" si="21"/>
        <v>0.57597220909378744</v>
      </c>
      <c r="AR93" s="22">
        <f t="shared" si="21"/>
        <v>0.57597220909378744</v>
      </c>
      <c r="AS93" s="22">
        <f t="shared" si="21"/>
        <v>0.57597220909378744</v>
      </c>
      <c r="AT93" s="22">
        <f t="shared" si="21"/>
        <v>0.57597220909378744</v>
      </c>
      <c r="AU93" s="22">
        <f t="shared" si="21"/>
        <v>0.57597220909378744</v>
      </c>
      <c r="AV93" s="22">
        <f t="shared" si="21"/>
        <v>0.57597220909378744</v>
      </c>
      <c r="AW93" s="22">
        <f t="shared" si="21"/>
        <v>0.57597220909378744</v>
      </c>
      <c r="AY93" s="79"/>
    </row>
    <row r="94" spans="1:51" x14ac:dyDescent="0.3">
      <c r="A94" s="95" t="str">
        <f t="shared" si="0"/>
        <v>FS FSOM</v>
      </c>
      <c r="B94" s="95" t="s">
        <v>1004</v>
      </c>
      <c r="C94" s="95" t="s">
        <v>60</v>
      </c>
      <c r="D94" t="s">
        <v>369</v>
      </c>
      <c r="E94" t="s">
        <v>55</v>
      </c>
      <c r="F94" t="s">
        <v>60</v>
      </c>
      <c r="G94" t="s">
        <v>1276</v>
      </c>
      <c r="H94" t="s">
        <v>1277</v>
      </c>
      <c r="J94" t="s">
        <v>287</v>
      </c>
      <c r="K94" s="22" t="str">
        <f t="shared" si="16"/>
        <v>NO</v>
      </c>
      <c r="L94" s="22" t="str">
        <f t="shared" si="21"/>
        <v>NO</v>
      </c>
      <c r="M94" s="22" t="str">
        <f t="shared" si="21"/>
        <v>NO</v>
      </c>
      <c r="N94" s="22" t="str">
        <f t="shared" si="21"/>
        <v>NO</v>
      </c>
      <c r="O94" s="22" t="str">
        <f t="shared" si="21"/>
        <v>NO</v>
      </c>
      <c r="P94" s="22" t="str">
        <f t="shared" si="21"/>
        <v>NO</v>
      </c>
      <c r="Q94" s="22" t="str">
        <f t="shared" si="21"/>
        <v>NO</v>
      </c>
      <c r="R94" s="22" t="str">
        <f t="shared" si="21"/>
        <v>NO</v>
      </c>
      <c r="S94" s="22" t="str">
        <f t="shared" si="21"/>
        <v>NO</v>
      </c>
      <c r="T94" s="22" t="str">
        <f t="shared" si="21"/>
        <v>NO</v>
      </c>
      <c r="U94" s="22" t="str">
        <f t="shared" si="21"/>
        <v>NO</v>
      </c>
      <c r="V94" s="22" t="str">
        <f t="shared" si="21"/>
        <v>NO</v>
      </c>
      <c r="W94" s="22" t="str">
        <f t="shared" si="21"/>
        <v>NO</v>
      </c>
      <c r="X94" s="22" t="str">
        <f t="shared" si="21"/>
        <v>NO</v>
      </c>
      <c r="Y94" s="22" t="str">
        <f t="shared" si="21"/>
        <v>NO</v>
      </c>
      <c r="Z94" s="22" t="str">
        <f t="shared" si="21"/>
        <v>NO</v>
      </c>
      <c r="AA94" s="22" t="str">
        <f t="shared" si="21"/>
        <v>NO</v>
      </c>
      <c r="AB94" s="22" t="str">
        <f t="shared" si="21"/>
        <v>NO</v>
      </c>
      <c r="AC94" s="22" t="str">
        <f t="shared" si="21"/>
        <v>NO</v>
      </c>
      <c r="AD94" s="22" t="str">
        <f t="shared" si="21"/>
        <v>NO</v>
      </c>
      <c r="AE94" s="22" t="str">
        <f t="shared" si="21"/>
        <v>NO</v>
      </c>
      <c r="AF94" s="22" t="str">
        <f t="shared" si="21"/>
        <v>NO</v>
      </c>
      <c r="AG94" s="22" t="str">
        <f t="shared" si="21"/>
        <v>NO</v>
      </c>
      <c r="AH94" s="22" t="str">
        <f t="shared" si="21"/>
        <v>NO</v>
      </c>
      <c r="AI94" s="22" t="str">
        <f t="shared" si="21"/>
        <v>NO</v>
      </c>
      <c r="AJ94" s="22" t="str">
        <f t="shared" si="21"/>
        <v>NO</v>
      </c>
      <c r="AK94" s="22" t="str">
        <f t="shared" ref="L94:AW101" si="22">AK1503</f>
        <v>NO</v>
      </c>
      <c r="AL94" s="22" t="str">
        <f t="shared" si="22"/>
        <v>NO</v>
      </c>
      <c r="AM94" s="22" t="str">
        <f t="shared" si="22"/>
        <v>NO</v>
      </c>
      <c r="AN94" s="22" t="str">
        <f t="shared" si="22"/>
        <v>NO</v>
      </c>
      <c r="AO94" s="22" t="str">
        <f t="shared" si="22"/>
        <v>NO</v>
      </c>
      <c r="AP94" s="22" t="str">
        <f t="shared" si="22"/>
        <v>NO</v>
      </c>
      <c r="AQ94" s="22" t="str">
        <f t="shared" si="22"/>
        <v>NO</v>
      </c>
      <c r="AR94" s="22" t="str">
        <f t="shared" si="22"/>
        <v>NO</v>
      </c>
      <c r="AS94" s="22" t="str">
        <f t="shared" si="22"/>
        <v>NO</v>
      </c>
      <c r="AT94" s="22" t="str">
        <f t="shared" si="22"/>
        <v>NO</v>
      </c>
      <c r="AU94" s="22" t="str">
        <f t="shared" si="22"/>
        <v>NO</v>
      </c>
      <c r="AV94" s="22" t="str">
        <f t="shared" si="22"/>
        <v>NO</v>
      </c>
      <c r="AW94" s="22" t="str">
        <f t="shared" si="22"/>
        <v>NO</v>
      </c>
      <c r="AY94" s="79"/>
    </row>
    <row r="95" spans="1:51" x14ac:dyDescent="0.3">
      <c r="A95" s="95" t="str">
        <f t="shared" si="0"/>
        <v>FS FSOM</v>
      </c>
      <c r="B95" s="95" t="s">
        <v>1004</v>
      </c>
      <c r="C95" s="95" t="s">
        <v>60</v>
      </c>
      <c r="D95" t="s">
        <v>369</v>
      </c>
      <c r="E95" t="s">
        <v>55</v>
      </c>
      <c r="F95" t="s">
        <v>60</v>
      </c>
      <c r="G95" t="s">
        <v>1278</v>
      </c>
      <c r="H95" t="s">
        <v>1279</v>
      </c>
      <c r="J95" t="s">
        <v>287</v>
      </c>
      <c r="K95" s="22" t="str">
        <f t="shared" si="16"/>
        <v>NO</v>
      </c>
      <c r="L95" s="22" t="str">
        <f t="shared" si="22"/>
        <v>NO</v>
      </c>
      <c r="M95" s="22" t="str">
        <f t="shared" si="22"/>
        <v>NO</v>
      </c>
      <c r="N95" s="22" t="str">
        <f t="shared" si="22"/>
        <v>NO</v>
      </c>
      <c r="O95" s="22" t="str">
        <f t="shared" si="22"/>
        <v>NO</v>
      </c>
      <c r="P95" s="22" t="str">
        <f t="shared" si="22"/>
        <v>NO</v>
      </c>
      <c r="Q95" s="22" t="str">
        <f t="shared" si="22"/>
        <v>NO</v>
      </c>
      <c r="R95" s="22" t="str">
        <f t="shared" si="22"/>
        <v>NO</v>
      </c>
      <c r="S95" s="22" t="str">
        <f t="shared" si="22"/>
        <v>NO</v>
      </c>
      <c r="T95" s="22" t="str">
        <f t="shared" si="22"/>
        <v>NO</v>
      </c>
      <c r="U95" s="22" t="str">
        <f t="shared" si="22"/>
        <v>NO</v>
      </c>
      <c r="V95" s="22" t="str">
        <f t="shared" si="22"/>
        <v>NO</v>
      </c>
      <c r="W95" s="22" t="str">
        <f t="shared" si="22"/>
        <v>NO</v>
      </c>
      <c r="X95" s="22" t="str">
        <f t="shared" si="22"/>
        <v>NO</v>
      </c>
      <c r="Y95" s="22" t="str">
        <f t="shared" si="22"/>
        <v>NO</v>
      </c>
      <c r="Z95" s="22" t="str">
        <f t="shared" si="22"/>
        <v>NO</v>
      </c>
      <c r="AA95" s="22" t="str">
        <f t="shared" si="22"/>
        <v>NO</v>
      </c>
      <c r="AB95" s="22" t="str">
        <f t="shared" si="22"/>
        <v>NO</v>
      </c>
      <c r="AC95" s="22" t="str">
        <f t="shared" si="22"/>
        <v>NO</v>
      </c>
      <c r="AD95" s="22" t="str">
        <f t="shared" si="22"/>
        <v>NO</v>
      </c>
      <c r="AE95" s="22" t="str">
        <f t="shared" si="22"/>
        <v>NO</v>
      </c>
      <c r="AF95" s="22" t="str">
        <f t="shared" si="22"/>
        <v>NO</v>
      </c>
      <c r="AG95" s="22" t="str">
        <f t="shared" si="22"/>
        <v>NO</v>
      </c>
      <c r="AH95" s="22" t="str">
        <f t="shared" si="22"/>
        <v>NO</v>
      </c>
      <c r="AI95" s="22" t="str">
        <f t="shared" si="22"/>
        <v>NO</v>
      </c>
      <c r="AJ95" s="22" t="str">
        <f t="shared" si="22"/>
        <v>NO</v>
      </c>
      <c r="AK95" s="22" t="str">
        <f t="shared" si="22"/>
        <v>NO</v>
      </c>
      <c r="AL95" s="22" t="str">
        <f t="shared" si="22"/>
        <v>NO</v>
      </c>
      <c r="AM95" s="22" t="str">
        <f t="shared" si="22"/>
        <v>NO</v>
      </c>
      <c r="AN95" s="22" t="str">
        <f t="shared" si="22"/>
        <v>NO</v>
      </c>
      <c r="AO95" s="22" t="str">
        <f t="shared" si="22"/>
        <v>NO</v>
      </c>
      <c r="AP95" s="22" t="str">
        <f t="shared" si="22"/>
        <v>NO</v>
      </c>
      <c r="AQ95" s="22" t="str">
        <f t="shared" si="22"/>
        <v>NO</v>
      </c>
      <c r="AR95" s="22" t="str">
        <f t="shared" si="22"/>
        <v>NO</v>
      </c>
      <c r="AS95" s="22" t="str">
        <f t="shared" si="22"/>
        <v>NO</v>
      </c>
      <c r="AT95" s="22" t="str">
        <f t="shared" si="22"/>
        <v>NO</v>
      </c>
      <c r="AU95" s="22" t="str">
        <f t="shared" si="22"/>
        <v>NO</v>
      </c>
      <c r="AV95" s="22" t="str">
        <f t="shared" si="22"/>
        <v>NO</v>
      </c>
      <c r="AW95" s="22" t="str">
        <f t="shared" si="22"/>
        <v>NO</v>
      </c>
      <c r="AY95" s="79"/>
    </row>
    <row r="96" spans="1:51" x14ac:dyDescent="0.3">
      <c r="A96" s="95" t="str">
        <f t="shared" si="0"/>
        <v>FS FSOM</v>
      </c>
      <c r="B96" s="95" t="s">
        <v>1004</v>
      </c>
      <c r="C96" s="95" t="s">
        <v>60</v>
      </c>
      <c r="D96" t="s">
        <v>369</v>
      </c>
      <c r="E96" t="s">
        <v>55</v>
      </c>
      <c r="F96" t="s">
        <v>60</v>
      </c>
      <c r="G96" t="s">
        <v>1280</v>
      </c>
      <c r="H96" t="s">
        <v>1281</v>
      </c>
      <c r="J96" t="s">
        <v>287</v>
      </c>
      <c r="K96" s="22" t="str">
        <f t="shared" si="16"/>
        <v>NO</v>
      </c>
      <c r="L96" s="22" t="str">
        <f t="shared" si="22"/>
        <v>NO</v>
      </c>
      <c r="M96" s="22" t="str">
        <f t="shared" si="22"/>
        <v>NO</v>
      </c>
      <c r="N96" s="22" t="str">
        <f t="shared" si="22"/>
        <v>NO</v>
      </c>
      <c r="O96" s="22" t="str">
        <f t="shared" si="22"/>
        <v>NO</v>
      </c>
      <c r="P96" s="22" t="str">
        <f t="shared" si="22"/>
        <v>NO</v>
      </c>
      <c r="Q96" s="22" t="str">
        <f t="shared" si="22"/>
        <v>NO</v>
      </c>
      <c r="R96" s="22" t="str">
        <f t="shared" si="22"/>
        <v>NO</v>
      </c>
      <c r="S96" s="22" t="str">
        <f t="shared" si="22"/>
        <v>NO</v>
      </c>
      <c r="T96" s="22" t="str">
        <f t="shared" si="22"/>
        <v>NO</v>
      </c>
      <c r="U96" s="22" t="str">
        <f t="shared" si="22"/>
        <v>NO</v>
      </c>
      <c r="V96" s="22" t="str">
        <f t="shared" si="22"/>
        <v>NO</v>
      </c>
      <c r="W96" s="22" t="str">
        <f t="shared" si="22"/>
        <v>NO</v>
      </c>
      <c r="X96" s="22" t="str">
        <f t="shared" si="22"/>
        <v>NO</v>
      </c>
      <c r="Y96" s="22" t="str">
        <f t="shared" si="22"/>
        <v>NO</v>
      </c>
      <c r="Z96" s="22" t="str">
        <f t="shared" si="22"/>
        <v>NO</v>
      </c>
      <c r="AA96" s="22" t="str">
        <f t="shared" si="22"/>
        <v>NO</v>
      </c>
      <c r="AB96" s="22" t="str">
        <f t="shared" si="22"/>
        <v>NO</v>
      </c>
      <c r="AC96" s="22" t="str">
        <f t="shared" si="22"/>
        <v>NO</v>
      </c>
      <c r="AD96" s="22" t="str">
        <f t="shared" si="22"/>
        <v>NO</v>
      </c>
      <c r="AE96" s="22" t="str">
        <f t="shared" si="22"/>
        <v>NO</v>
      </c>
      <c r="AF96" s="22" t="str">
        <f t="shared" si="22"/>
        <v>NO</v>
      </c>
      <c r="AG96" s="22" t="str">
        <f t="shared" si="22"/>
        <v>NO</v>
      </c>
      <c r="AH96" s="22" t="str">
        <f t="shared" si="22"/>
        <v>NO</v>
      </c>
      <c r="AI96" s="22" t="str">
        <f t="shared" si="22"/>
        <v>NO</v>
      </c>
      <c r="AJ96" s="22" t="str">
        <f t="shared" si="22"/>
        <v>NO</v>
      </c>
      <c r="AK96" s="22" t="str">
        <f t="shared" si="22"/>
        <v>NO</v>
      </c>
      <c r="AL96" s="22" t="str">
        <f t="shared" si="22"/>
        <v>NO</v>
      </c>
      <c r="AM96" s="22" t="str">
        <f t="shared" si="22"/>
        <v>NO</v>
      </c>
      <c r="AN96" s="22" t="str">
        <f t="shared" si="22"/>
        <v>NO</v>
      </c>
      <c r="AO96" s="22" t="str">
        <f t="shared" si="22"/>
        <v>NO</v>
      </c>
      <c r="AP96" s="22" t="str">
        <f t="shared" si="22"/>
        <v>NO</v>
      </c>
      <c r="AQ96" s="22" t="str">
        <f t="shared" si="22"/>
        <v>NO</v>
      </c>
      <c r="AR96" s="22" t="str">
        <f t="shared" si="22"/>
        <v>NO</v>
      </c>
      <c r="AS96" s="22" t="str">
        <f t="shared" si="22"/>
        <v>NO</v>
      </c>
      <c r="AT96" s="22" t="str">
        <f t="shared" si="22"/>
        <v>NO</v>
      </c>
      <c r="AU96" s="22" t="str">
        <f t="shared" si="22"/>
        <v>NO</v>
      </c>
      <c r="AV96" s="22" t="str">
        <f t="shared" si="22"/>
        <v>NO</v>
      </c>
      <c r="AW96" s="22" t="str">
        <f t="shared" si="22"/>
        <v>NO</v>
      </c>
      <c r="AY96" s="79"/>
    </row>
    <row r="97" spans="1:51" x14ac:dyDescent="0.3">
      <c r="A97" s="95" t="str">
        <f t="shared" si="0"/>
        <v>FS FSOM</v>
      </c>
      <c r="B97" s="95" t="s">
        <v>1004</v>
      </c>
      <c r="C97" s="95" t="s">
        <v>60</v>
      </c>
      <c r="D97" t="s">
        <v>369</v>
      </c>
      <c r="E97" t="s">
        <v>55</v>
      </c>
      <c r="F97" t="s">
        <v>60</v>
      </c>
      <c r="G97" t="s">
        <v>1282</v>
      </c>
      <c r="H97" t="s">
        <v>1283</v>
      </c>
      <c r="J97" t="s">
        <v>287</v>
      </c>
      <c r="K97" s="22">
        <f t="shared" si="16"/>
        <v>5.604018730639919E-5</v>
      </c>
      <c r="L97" s="22">
        <f t="shared" si="22"/>
        <v>5.604018730639919E-5</v>
      </c>
      <c r="M97" s="22">
        <f t="shared" si="22"/>
        <v>5.604018730639919E-5</v>
      </c>
      <c r="N97" s="22">
        <f t="shared" si="22"/>
        <v>5.604018730639919E-5</v>
      </c>
      <c r="O97" s="22">
        <f t="shared" si="22"/>
        <v>5.604018730639919E-5</v>
      </c>
      <c r="P97" s="22">
        <f t="shared" si="22"/>
        <v>5.604018730639919E-5</v>
      </c>
      <c r="Q97" s="22">
        <f t="shared" si="22"/>
        <v>5.604018730639919E-5</v>
      </c>
      <c r="R97" s="22">
        <f t="shared" si="22"/>
        <v>5.604018730639919E-5</v>
      </c>
      <c r="S97" s="22">
        <f t="shared" si="22"/>
        <v>5.604018730639919E-5</v>
      </c>
      <c r="T97" s="22">
        <f t="shared" si="22"/>
        <v>5.604018730639919E-5</v>
      </c>
      <c r="U97" s="22">
        <f t="shared" si="22"/>
        <v>5.604018730639919E-5</v>
      </c>
      <c r="V97" s="22">
        <f t="shared" si="22"/>
        <v>5.604018730639919E-5</v>
      </c>
      <c r="W97" s="22">
        <f t="shared" si="22"/>
        <v>5.604018730639919E-5</v>
      </c>
      <c r="X97" s="22">
        <f t="shared" si="22"/>
        <v>5.604018730639919E-5</v>
      </c>
      <c r="Y97" s="22">
        <f t="shared" si="22"/>
        <v>5.604018730639919E-5</v>
      </c>
      <c r="Z97" s="22">
        <f t="shared" si="22"/>
        <v>5.604018730639919E-5</v>
      </c>
      <c r="AA97" s="22">
        <f t="shared" si="22"/>
        <v>5.604018730639919E-5</v>
      </c>
      <c r="AB97" s="22">
        <f t="shared" si="22"/>
        <v>5.604018730639919E-5</v>
      </c>
      <c r="AC97" s="22">
        <f t="shared" si="22"/>
        <v>5.604018730639919E-5</v>
      </c>
      <c r="AD97" s="22">
        <f t="shared" si="22"/>
        <v>5.604018730639919E-5</v>
      </c>
      <c r="AE97" s="22">
        <f t="shared" si="22"/>
        <v>5.604018730639919E-5</v>
      </c>
      <c r="AF97" s="22">
        <f t="shared" si="22"/>
        <v>5.604018730639919E-5</v>
      </c>
      <c r="AG97" s="22">
        <f t="shared" si="22"/>
        <v>5.604018730639919E-5</v>
      </c>
      <c r="AH97" s="22">
        <f t="shared" si="22"/>
        <v>5.604018730639919E-5</v>
      </c>
      <c r="AI97" s="22">
        <f t="shared" si="22"/>
        <v>5.604018730639919E-5</v>
      </c>
      <c r="AJ97" s="22">
        <f t="shared" si="22"/>
        <v>5.604018730639919E-5</v>
      </c>
      <c r="AK97" s="22">
        <f t="shared" si="22"/>
        <v>5.604018730639919E-5</v>
      </c>
      <c r="AL97" s="22">
        <f t="shared" si="22"/>
        <v>5.604018730639919E-5</v>
      </c>
      <c r="AM97" s="22">
        <f t="shared" si="22"/>
        <v>5.604018730639919E-5</v>
      </c>
      <c r="AN97" s="22">
        <f t="shared" si="22"/>
        <v>5.604018730639919E-5</v>
      </c>
      <c r="AO97" s="22">
        <f t="shared" si="22"/>
        <v>5.604018730639919E-5</v>
      </c>
      <c r="AP97" s="22">
        <f t="shared" si="22"/>
        <v>5.604018730639919E-5</v>
      </c>
      <c r="AQ97" s="22">
        <f t="shared" si="22"/>
        <v>5.604018730639919E-5</v>
      </c>
      <c r="AR97" s="22">
        <f t="shared" si="22"/>
        <v>5.604018730639919E-5</v>
      </c>
      <c r="AS97" s="22">
        <f t="shared" si="22"/>
        <v>5.604018730639919E-5</v>
      </c>
      <c r="AT97" s="22">
        <f t="shared" si="22"/>
        <v>5.604018730639919E-5</v>
      </c>
      <c r="AU97" s="22">
        <f t="shared" si="22"/>
        <v>5.604018730639919E-5</v>
      </c>
      <c r="AV97" s="22">
        <f t="shared" si="22"/>
        <v>5.604018730639919E-5</v>
      </c>
      <c r="AW97" s="22">
        <f t="shared" si="22"/>
        <v>5.604018730639919E-5</v>
      </c>
      <c r="AY97" s="79"/>
    </row>
    <row r="98" spans="1:51" x14ac:dyDescent="0.3">
      <c r="A98" s="95" t="str">
        <f t="shared" si="0"/>
        <v>FS FSOM</v>
      </c>
      <c r="B98" s="95" t="s">
        <v>1004</v>
      </c>
      <c r="C98" s="95" t="s">
        <v>60</v>
      </c>
      <c r="D98" t="s">
        <v>369</v>
      </c>
      <c r="E98" t="s">
        <v>55</v>
      </c>
      <c r="F98" t="s">
        <v>60</v>
      </c>
      <c r="G98" t="s">
        <v>1284</v>
      </c>
      <c r="H98" t="s">
        <v>1285</v>
      </c>
      <c r="J98" t="s">
        <v>287</v>
      </c>
      <c r="K98" s="22">
        <f t="shared" si="16"/>
        <v>6.110857899094551E-2</v>
      </c>
      <c r="L98" s="22">
        <f t="shared" si="22"/>
        <v>6.110857899094551E-2</v>
      </c>
      <c r="M98" s="22">
        <f t="shared" si="22"/>
        <v>6.110857899094551E-2</v>
      </c>
      <c r="N98" s="22">
        <f t="shared" si="22"/>
        <v>6.110857899094551E-2</v>
      </c>
      <c r="O98" s="22">
        <f t="shared" si="22"/>
        <v>6.110857899094551E-2</v>
      </c>
      <c r="P98" s="22">
        <f t="shared" si="22"/>
        <v>6.110857899094551E-2</v>
      </c>
      <c r="Q98" s="22">
        <f t="shared" si="22"/>
        <v>6.110857899094551E-2</v>
      </c>
      <c r="R98" s="22">
        <f t="shared" si="22"/>
        <v>6.110857899094551E-2</v>
      </c>
      <c r="S98" s="22">
        <f t="shared" si="22"/>
        <v>6.110857899094551E-2</v>
      </c>
      <c r="T98" s="22">
        <f t="shared" si="22"/>
        <v>6.110857899094551E-2</v>
      </c>
      <c r="U98" s="22">
        <f t="shared" si="22"/>
        <v>6.110857899094551E-2</v>
      </c>
      <c r="V98" s="22">
        <f t="shared" si="22"/>
        <v>6.110857899094551E-2</v>
      </c>
      <c r="W98" s="22">
        <f t="shared" si="22"/>
        <v>6.110857899094551E-2</v>
      </c>
      <c r="X98" s="22">
        <f t="shared" si="22"/>
        <v>6.110857899094551E-2</v>
      </c>
      <c r="Y98" s="22">
        <f t="shared" si="22"/>
        <v>6.110857899094551E-2</v>
      </c>
      <c r="Z98" s="22">
        <f t="shared" si="22"/>
        <v>6.110857899094551E-2</v>
      </c>
      <c r="AA98" s="22">
        <f t="shared" si="22"/>
        <v>6.110857899094551E-2</v>
      </c>
      <c r="AB98" s="22">
        <f t="shared" si="22"/>
        <v>6.110857899094551E-2</v>
      </c>
      <c r="AC98" s="22">
        <f t="shared" si="22"/>
        <v>6.110857899094551E-2</v>
      </c>
      <c r="AD98" s="22">
        <f t="shared" si="22"/>
        <v>6.110857899094551E-2</v>
      </c>
      <c r="AE98" s="22">
        <f t="shared" si="22"/>
        <v>6.110857899094551E-2</v>
      </c>
      <c r="AF98" s="22">
        <f t="shared" si="22"/>
        <v>6.110857899094551E-2</v>
      </c>
      <c r="AG98" s="22">
        <f t="shared" si="22"/>
        <v>6.110857899094551E-2</v>
      </c>
      <c r="AH98" s="22">
        <f t="shared" si="22"/>
        <v>6.110857899094551E-2</v>
      </c>
      <c r="AI98" s="22">
        <f t="shared" si="22"/>
        <v>6.110857899094551E-2</v>
      </c>
      <c r="AJ98" s="22">
        <f t="shared" si="22"/>
        <v>6.110857899094551E-2</v>
      </c>
      <c r="AK98" s="22">
        <f t="shared" si="22"/>
        <v>6.110857899094551E-2</v>
      </c>
      <c r="AL98" s="22">
        <f t="shared" si="22"/>
        <v>6.110857899094551E-2</v>
      </c>
      <c r="AM98" s="22">
        <f t="shared" si="22"/>
        <v>6.110857899094551E-2</v>
      </c>
      <c r="AN98" s="22">
        <f t="shared" si="22"/>
        <v>6.110857899094551E-2</v>
      </c>
      <c r="AO98" s="22">
        <f t="shared" si="22"/>
        <v>6.110857899094551E-2</v>
      </c>
      <c r="AP98" s="22">
        <f t="shared" si="22"/>
        <v>6.110857899094551E-2</v>
      </c>
      <c r="AQ98" s="22">
        <f t="shared" si="22"/>
        <v>6.110857899094551E-2</v>
      </c>
      <c r="AR98" s="22">
        <f t="shared" si="22"/>
        <v>6.110857899094551E-2</v>
      </c>
      <c r="AS98" s="22">
        <f t="shared" si="22"/>
        <v>6.110857899094551E-2</v>
      </c>
      <c r="AT98" s="22">
        <f t="shared" si="22"/>
        <v>6.110857899094551E-2</v>
      </c>
      <c r="AU98" s="22">
        <f t="shared" si="22"/>
        <v>6.110857899094551E-2</v>
      </c>
      <c r="AV98" s="22">
        <f t="shared" si="22"/>
        <v>6.110857899094551E-2</v>
      </c>
      <c r="AW98" s="22">
        <f t="shared" si="22"/>
        <v>6.110857899094551E-2</v>
      </c>
      <c r="AY98" s="79"/>
    </row>
    <row r="99" spans="1:51" x14ac:dyDescent="0.3">
      <c r="A99" s="95" t="str">
        <f t="shared" si="0"/>
        <v>FS FSOM</v>
      </c>
      <c r="B99" s="95" t="s">
        <v>1004</v>
      </c>
      <c r="C99" s="95" t="s">
        <v>60</v>
      </c>
      <c r="D99" t="s">
        <v>369</v>
      </c>
      <c r="E99" t="s">
        <v>55</v>
      </c>
      <c r="F99" t="s">
        <v>60</v>
      </c>
      <c r="G99" t="s">
        <v>1286</v>
      </c>
      <c r="H99" t="s">
        <v>1287</v>
      </c>
      <c r="J99" t="s">
        <v>287</v>
      </c>
      <c r="K99" s="22" t="str">
        <f t="shared" si="16"/>
        <v>NO</v>
      </c>
      <c r="L99" s="22" t="str">
        <f t="shared" si="22"/>
        <v>NO</v>
      </c>
      <c r="M99" s="22" t="str">
        <f t="shared" si="22"/>
        <v>NO</v>
      </c>
      <c r="N99" s="22" t="str">
        <f t="shared" si="22"/>
        <v>NO</v>
      </c>
      <c r="O99" s="22" t="str">
        <f t="shared" si="22"/>
        <v>NO</v>
      </c>
      <c r="P99" s="22" t="str">
        <f t="shared" si="22"/>
        <v>NO</v>
      </c>
      <c r="Q99" s="22" t="str">
        <f t="shared" si="22"/>
        <v>NO</v>
      </c>
      <c r="R99" s="22" t="str">
        <f t="shared" si="22"/>
        <v>NO</v>
      </c>
      <c r="S99" s="22" t="str">
        <f t="shared" si="22"/>
        <v>NO</v>
      </c>
      <c r="T99" s="22" t="str">
        <f t="shared" si="22"/>
        <v>NO</v>
      </c>
      <c r="U99" s="22" t="str">
        <f t="shared" si="22"/>
        <v>NO</v>
      </c>
      <c r="V99" s="22" t="str">
        <f t="shared" si="22"/>
        <v>NO</v>
      </c>
      <c r="W99" s="22" t="str">
        <f t="shared" si="22"/>
        <v>NO</v>
      </c>
      <c r="X99" s="22" t="str">
        <f t="shared" si="22"/>
        <v>NO</v>
      </c>
      <c r="Y99" s="22" t="str">
        <f t="shared" si="22"/>
        <v>NO</v>
      </c>
      <c r="Z99" s="22" t="str">
        <f t="shared" si="22"/>
        <v>NO</v>
      </c>
      <c r="AA99" s="22" t="str">
        <f t="shared" si="22"/>
        <v>NO</v>
      </c>
      <c r="AB99" s="22" t="str">
        <f t="shared" si="22"/>
        <v>NO</v>
      </c>
      <c r="AC99" s="22" t="str">
        <f t="shared" si="22"/>
        <v>NO</v>
      </c>
      <c r="AD99" s="22" t="str">
        <f t="shared" si="22"/>
        <v>NO</v>
      </c>
      <c r="AE99" s="22" t="str">
        <f t="shared" si="22"/>
        <v>NO</v>
      </c>
      <c r="AF99" s="22" t="str">
        <f t="shared" si="22"/>
        <v>NO</v>
      </c>
      <c r="AG99" s="22" t="str">
        <f t="shared" si="22"/>
        <v>NO</v>
      </c>
      <c r="AH99" s="22" t="str">
        <f t="shared" si="22"/>
        <v>NO</v>
      </c>
      <c r="AI99" s="22" t="str">
        <f t="shared" si="22"/>
        <v>NO</v>
      </c>
      <c r="AJ99" s="22" t="str">
        <f t="shared" si="22"/>
        <v>NO</v>
      </c>
      <c r="AK99" s="22" t="str">
        <f t="shared" si="22"/>
        <v>NO</v>
      </c>
      <c r="AL99" s="22" t="str">
        <f t="shared" si="22"/>
        <v>NO</v>
      </c>
      <c r="AM99" s="22" t="str">
        <f t="shared" si="22"/>
        <v>NO</v>
      </c>
      <c r="AN99" s="22" t="str">
        <f t="shared" si="22"/>
        <v>NO</v>
      </c>
      <c r="AO99" s="22" t="str">
        <f t="shared" si="22"/>
        <v>NO</v>
      </c>
      <c r="AP99" s="22" t="str">
        <f t="shared" si="22"/>
        <v>NO</v>
      </c>
      <c r="AQ99" s="22" t="str">
        <f t="shared" si="22"/>
        <v>NO</v>
      </c>
      <c r="AR99" s="22" t="str">
        <f t="shared" si="22"/>
        <v>NO</v>
      </c>
      <c r="AS99" s="22" t="str">
        <f t="shared" si="22"/>
        <v>NO</v>
      </c>
      <c r="AT99" s="22" t="str">
        <f t="shared" si="22"/>
        <v>NO</v>
      </c>
      <c r="AU99" s="22" t="str">
        <f t="shared" si="22"/>
        <v>NO</v>
      </c>
      <c r="AV99" s="22" t="str">
        <f t="shared" si="22"/>
        <v>NO</v>
      </c>
      <c r="AW99" s="22" t="str">
        <f t="shared" si="22"/>
        <v>NO</v>
      </c>
      <c r="AY99" s="79"/>
    </row>
    <row r="100" spans="1:51" x14ac:dyDescent="0.3">
      <c r="A100" s="95" t="str">
        <f t="shared" si="0"/>
        <v>FS FSOM</v>
      </c>
      <c r="B100" s="95" t="s">
        <v>1004</v>
      </c>
      <c r="C100" s="95" t="s">
        <v>60</v>
      </c>
      <c r="D100" t="s">
        <v>369</v>
      </c>
      <c r="E100" t="s">
        <v>55</v>
      </c>
      <c r="F100" t="s">
        <v>60</v>
      </c>
      <c r="G100" t="s">
        <v>1288</v>
      </c>
      <c r="H100" t="s">
        <v>1289</v>
      </c>
      <c r="J100" t="s">
        <v>287</v>
      </c>
      <c r="K100" s="22">
        <f t="shared" si="16"/>
        <v>3.1961717215001131</v>
      </c>
      <c r="L100" s="22">
        <f t="shared" si="22"/>
        <v>3.1961717215001131</v>
      </c>
      <c r="M100" s="22">
        <f t="shared" si="22"/>
        <v>3.1961717215001131</v>
      </c>
      <c r="N100" s="22">
        <f t="shared" si="22"/>
        <v>3.1961717215001131</v>
      </c>
      <c r="O100" s="22">
        <f t="shared" si="22"/>
        <v>3.1961717215001131</v>
      </c>
      <c r="P100" s="22">
        <f t="shared" si="22"/>
        <v>3.1961717215001131</v>
      </c>
      <c r="Q100" s="22">
        <f t="shared" si="22"/>
        <v>3.1961717215001131</v>
      </c>
      <c r="R100" s="22">
        <f t="shared" si="22"/>
        <v>3.1961717215001131</v>
      </c>
      <c r="S100" s="22">
        <f t="shared" si="22"/>
        <v>3.1961717215001131</v>
      </c>
      <c r="T100" s="22">
        <f t="shared" si="22"/>
        <v>3.1961717215001131</v>
      </c>
      <c r="U100" s="22">
        <f t="shared" si="22"/>
        <v>3.1961717215001131</v>
      </c>
      <c r="V100" s="22">
        <f t="shared" si="22"/>
        <v>3.1961717215001131</v>
      </c>
      <c r="W100" s="22">
        <f t="shared" si="22"/>
        <v>3.1961717215001131</v>
      </c>
      <c r="X100" s="22">
        <f t="shared" si="22"/>
        <v>3.1961717215001131</v>
      </c>
      <c r="Y100" s="22">
        <f t="shared" si="22"/>
        <v>3.1961717215001131</v>
      </c>
      <c r="Z100" s="22">
        <f t="shared" si="22"/>
        <v>3.1961717215001131</v>
      </c>
      <c r="AA100" s="22">
        <f t="shared" si="22"/>
        <v>3.1961717215001131</v>
      </c>
      <c r="AB100" s="22">
        <f t="shared" si="22"/>
        <v>3.1961717215001131</v>
      </c>
      <c r="AC100" s="22">
        <f t="shared" si="22"/>
        <v>3.1961717215001131</v>
      </c>
      <c r="AD100" s="22">
        <f t="shared" si="22"/>
        <v>3.1961717215001131</v>
      </c>
      <c r="AE100" s="22">
        <f t="shared" si="22"/>
        <v>3.1961717215001131</v>
      </c>
      <c r="AF100" s="22">
        <f t="shared" si="22"/>
        <v>3.1961717215001131</v>
      </c>
      <c r="AG100" s="22">
        <f t="shared" si="22"/>
        <v>3.1961717215001131</v>
      </c>
      <c r="AH100" s="22">
        <f t="shared" si="22"/>
        <v>3.1961717215001131</v>
      </c>
      <c r="AI100" s="22">
        <f t="shared" si="22"/>
        <v>3.1961717215001131</v>
      </c>
      <c r="AJ100" s="22">
        <f t="shared" si="22"/>
        <v>3.1961717215001131</v>
      </c>
      <c r="AK100" s="22">
        <f t="shared" si="22"/>
        <v>3.1961717215001131</v>
      </c>
      <c r="AL100" s="22">
        <f t="shared" si="22"/>
        <v>3.1961717215001131</v>
      </c>
      <c r="AM100" s="22">
        <f t="shared" si="22"/>
        <v>3.1961717215001131</v>
      </c>
      <c r="AN100" s="22">
        <f t="shared" si="22"/>
        <v>3.1961717215001131</v>
      </c>
      <c r="AO100" s="22">
        <f t="shared" si="22"/>
        <v>3.1961717215001131</v>
      </c>
      <c r="AP100" s="22">
        <f t="shared" si="22"/>
        <v>3.1961717215001131</v>
      </c>
      <c r="AQ100" s="22">
        <f t="shared" si="22"/>
        <v>3.1961717215001131</v>
      </c>
      <c r="AR100" s="22">
        <f t="shared" si="22"/>
        <v>3.1961717215001131</v>
      </c>
      <c r="AS100" s="22">
        <f t="shared" si="22"/>
        <v>3.1961717215001131</v>
      </c>
      <c r="AT100" s="22">
        <f t="shared" si="22"/>
        <v>3.1961717215001131</v>
      </c>
      <c r="AU100" s="22">
        <f t="shared" si="22"/>
        <v>3.1961717215001131</v>
      </c>
      <c r="AV100" s="22">
        <f t="shared" si="22"/>
        <v>3.1961717215001131</v>
      </c>
      <c r="AW100" s="22">
        <f t="shared" si="22"/>
        <v>3.1961717215001131</v>
      </c>
      <c r="AY100" s="79"/>
    </row>
    <row r="101" spans="1:51" x14ac:dyDescent="0.3">
      <c r="A101" s="95" t="str">
        <f t="shared" si="0"/>
        <v>FS Volatilisation</v>
      </c>
      <c r="B101" s="95" t="s">
        <v>1004</v>
      </c>
      <c r="C101" s="95" t="s">
        <v>62</v>
      </c>
      <c r="D101" t="s">
        <v>369</v>
      </c>
      <c r="E101" t="s">
        <v>61</v>
      </c>
      <c r="F101" t="s">
        <v>62</v>
      </c>
      <c r="G101" t="s">
        <v>435</v>
      </c>
      <c r="H101" t="s">
        <v>1184</v>
      </c>
      <c r="I101" t="s">
        <v>139</v>
      </c>
      <c r="J101" t="s">
        <v>287</v>
      </c>
      <c r="K101" s="22">
        <f t="shared" si="16"/>
        <v>0.66064812063358536</v>
      </c>
      <c r="L101" s="22">
        <f t="shared" si="22"/>
        <v>0.66058242184852956</v>
      </c>
      <c r="M101" s="22">
        <f t="shared" si="22"/>
        <v>0.66046196765835474</v>
      </c>
      <c r="N101" s="22">
        <f t="shared" si="22"/>
        <v>0.66031799495417198</v>
      </c>
      <c r="O101" s="22">
        <f t="shared" si="22"/>
        <v>0.66022073532502734</v>
      </c>
      <c r="P101" s="22">
        <f t="shared" si="22"/>
        <v>0.66015380384919209</v>
      </c>
      <c r="Q101" s="22">
        <f t="shared" si="22"/>
        <v>0.66011715236312984</v>
      </c>
      <c r="R101" s="22">
        <f t="shared" si="22"/>
        <v>0.66005785698707231</v>
      </c>
      <c r="S101" s="22">
        <f t="shared" si="22"/>
        <v>0.65999557160724309</v>
      </c>
      <c r="T101" s="22">
        <f t="shared" si="22"/>
        <v>0.66042852126323504</v>
      </c>
      <c r="U101" s="22">
        <f t="shared" si="22"/>
        <v>0.660256842080582</v>
      </c>
      <c r="V101" s="22">
        <f t="shared" si="22"/>
        <v>0.66002252909433212</v>
      </c>
      <c r="W101" s="22">
        <f t="shared" si="22"/>
        <v>0.65989661681898848</v>
      </c>
      <c r="X101" s="22">
        <f t="shared" si="22"/>
        <v>0.6597589047711292</v>
      </c>
      <c r="Y101" s="22">
        <f t="shared" si="22"/>
        <v>0.659605796092819</v>
      </c>
      <c r="Z101" s="22">
        <f t="shared" ref="L101:AW108" si="23">Z1510</f>
        <v>0.65944507555305243</v>
      </c>
      <c r="AA101" s="22">
        <f t="shared" si="23"/>
        <v>0.65927354812209926</v>
      </c>
      <c r="AB101" s="22">
        <f t="shared" si="23"/>
        <v>0.65910165055066838</v>
      </c>
      <c r="AC101" s="22">
        <f t="shared" si="23"/>
        <v>0.65892060560614785</v>
      </c>
      <c r="AD101" s="22">
        <f t="shared" si="23"/>
        <v>0.6587403682229962</v>
      </c>
      <c r="AE101" s="22">
        <f t="shared" si="23"/>
        <v>0.6585449608557925</v>
      </c>
      <c r="AF101" s="22">
        <f t="shared" si="23"/>
        <v>0.65835675614397215</v>
      </c>
      <c r="AG101" s="22">
        <f t="shared" si="23"/>
        <v>0.65816378763594341</v>
      </c>
      <c r="AH101" s="22">
        <f t="shared" si="23"/>
        <v>0.6579528278100244</v>
      </c>
      <c r="AI101" s="22">
        <f t="shared" si="23"/>
        <v>0.65775665224366497</v>
      </c>
      <c r="AJ101" s="22">
        <f t="shared" si="23"/>
        <v>0.65755521924304883</v>
      </c>
      <c r="AK101" s="22">
        <f t="shared" si="23"/>
        <v>0.65734627926543143</v>
      </c>
      <c r="AL101" s="22">
        <f t="shared" si="23"/>
        <v>0.65715425101563263</v>
      </c>
      <c r="AM101" s="22">
        <f t="shared" si="23"/>
        <v>0.65696756052718408</v>
      </c>
      <c r="AN101" s="22">
        <f t="shared" si="23"/>
        <v>0.65678548596880248</v>
      </c>
      <c r="AO101" s="22">
        <f t="shared" si="23"/>
        <v>0.65659337062591927</v>
      </c>
      <c r="AP101" s="22">
        <f t="shared" si="23"/>
        <v>0.65641235920406316</v>
      </c>
      <c r="AQ101" s="22">
        <f t="shared" si="23"/>
        <v>0.65622903638449304</v>
      </c>
      <c r="AR101" s="22">
        <f t="shared" si="23"/>
        <v>0.65604286486377728</v>
      </c>
      <c r="AS101" s="22">
        <f t="shared" si="23"/>
        <v>0.65585292511260118</v>
      </c>
      <c r="AT101" s="22">
        <f t="shared" si="23"/>
        <v>0.65566000956326953</v>
      </c>
      <c r="AU101" s="22">
        <f t="shared" si="23"/>
        <v>0.65560073347552816</v>
      </c>
      <c r="AV101" s="22">
        <f t="shared" si="23"/>
        <v>0.65555391486602432</v>
      </c>
      <c r="AW101" s="22">
        <f t="shared" si="23"/>
        <v>0.65552474687649953</v>
      </c>
      <c r="AY101" s="79"/>
    </row>
    <row r="102" spans="1:51" x14ac:dyDescent="0.3">
      <c r="A102" s="95" t="str">
        <f t="shared" si="0"/>
        <v>FS Volatilisation</v>
      </c>
      <c r="B102" s="95" t="s">
        <v>1004</v>
      </c>
      <c r="C102" s="95" t="s">
        <v>62</v>
      </c>
      <c r="D102" t="s">
        <v>369</v>
      </c>
      <c r="E102" t="s">
        <v>61</v>
      </c>
      <c r="F102" t="s">
        <v>62</v>
      </c>
      <c r="G102" t="s">
        <v>436</v>
      </c>
      <c r="H102" t="s">
        <v>1185</v>
      </c>
      <c r="I102" t="s">
        <v>139</v>
      </c>
      <c r="J102" t="s">
        <v>287</v>
      </c>
      <c r="K102" s="22">
        <f t="shared" si="16"/>
        <v>8.720555192363328E-3</v>
      </c>
      <c r="L102" s="22">
        <f t="shared" si="23"/>
        <v>8.7196879684005926E-3</v>
      </c>
      <c r="M102" s="22">
        <f t="shared" si="23"/>
        <v>8.7180979730902847E-3</v>
      </c>
      <c r="N102" s="22">
        <f t="shared" si="23"/>
        <v>8.7161975333950713E-3</v>
      </c>
      <c r="O102" s="22">
        <f t="shared" si="23"/>
        <v>8.7149137062903607E-3</v>
      </c>
      <c r="P102" s="22">
        <f t="shared" si="23"/>
        <v>8.7140302108093363E-3</v>
      </c>
      <c r="Q102" s="22">
        <f t="shared" si="23"/>
        <v>8.7135464111933163E-3</v>
      </c>
      <c r="R102" s="22">
        <f t="shared" si="23"/>
        <v>8.7127637122293555E-3</v>
      </c>
      <c r="S102" s="22">
        <f t="shared" si="23"/>
        <v>8.7119415452156113E-3</v>
      </c>
      <c r="T102" s="22">
        <f t="shared" si="23"/>
        <v>8.7176564806747021E-3</v>
      </c>
      <c r="U102" s="22">
        <f t="shared" si="23"/>
        <v>8.7153903154636864E-3</v>
      </c>
      <c r="V102" s="22">
        <f t="shared" si="23"/>
        <v>8.7122973840451836E-3</v>
      </c>
      <c r="W102" s="22">
        <f t="shared" si="23"/>
        <v>8.7106353420106468E-3</v>
      </c>
      <c r="X102" s="22">
        <f t="shared" si="23"/>
        <v>8.7088175429789073E-3</v>
      </c>
      <c r="Y102" s="22">
        <f t="shared" si="23"/>
        <v>8.7067965084252144E-3</v>
      </c>
      <c r="Z102" s="22">
        <f t="shared" si="23"/>
        <v>8.7046749973002935E-3</v>
      </c>
      <c r="AA102" s="22">
        <f t="shared" si="23"/>
        <v>8.702410835211713E-3</v>
      </c>
      <c r="AB102" s="22">
        <f t="shared" si="23"/>
        <v>8.7001417872688246E-3</v>
      </c>
      <c r="AC102" s="22">
        <f t="shared" si="23"/>
        <v>8.6977519940011523E-3</v>
      </c>
      <c r="AD102" s="22">
        <f t="shared" si="23"/>
        <v>8.6953728605435512E-3</v>
      </c>
      <c r="AE102" s="22">
        <f t="shared" si="23"/>
        <v>8.6927934832964609E-3</v>
      </c>
      <c r="AF102" s="22">
        <f t="shared" si="23"/>
        <v>8.6903091811004352E-3</v>
      </c>
      <c r="AG102" s="22">
        <f t="shared" si="23"/>
        <v>8.6877619967944547E-3</v>
      </c>
      <c r="AH102" s="22">
        <f t="shared" si="23"/>
        <v>8.6849773270923237E-3</v>
      </c>
      <c r="AI102" s="22">
        <f t="shared" si="23"/>
        <v>8.6823878096163789E-3</v>
      </c>
      <c r="AJ102" s="22">
        <f t="shared" si="23"/>
        <v>8.6797288940082453E-3</v>
      </c>
      <c r="AK102" s="22">
        <f t="shared" si="23"/>
        <v>8.6769708863036962E-3</v>
      </c>
      <c r="AL102" s="22">
        <f t="shared" si="23"/>
        <v>8.6744361134063527E-3</v>
      </c>
      <c r="AM102" s="22">
        <f t="shared" si="23"/>
        <v>8.6719717989588319E-3</v>
      </c>
      <c r="AN102" s="22">
        <f t="shared" si="23"/>
        <v>8.6695684147881907E-3</v>
      </c>
      <c r="AO102" s="22">
        <f t="shared" si="23"/>
        <v>8.6670324922621354E-3</v>
      </c>
      <c r="AP102" s="22">
        <f t="shared" si="23"/>
        <v>8.6646431414936359E-3</v>
      </c>
      <c r="AQ102" s="22">
        <f t="shared" si="23"/>
        <v>8.6622232802753101E-3</v>
      </c>
      <c r="AR102" s="22">
        <f t="shared" si="23"/>
        <v>8.6597658162018594E-3</v>
      </c>
      <c r="AS102" s="22">
        <f t="shared" si="23"/>
        <v>8.6572586114863365E-3</v>
      </c>
      <c r="AT102" s="22">
        <f t="shared" si="23"/>
        <v>8.6547121262351596E-3</v>
      </c>
      <c r="AU102" s="22">
        <f t="shared" si="23"/>
        <v>8.6539296818769745E-3</v>
      </c>
      <c r="AV102" s="22">
        <f t="shared" si="23"/>
        <v>8.6533116762315225E-3</v>
      </c>
      <c r="AW102" s="22">
        <f t="shared" si="23"/>
        <v>8.6529266587697939E-3</v>
      </c>
      <c r="AY102" s="79"/>
    </row>
    <row r="103" spans="1:51" x14ac:dyDescent="0.3">
      <c r="A103" s="95" t="str">
        <f t="shared" si="0"/>
        <v>FS Volatilisation</v>
      </c>
      <c r="B103" s="95" t="s">
        <v>1004</v>
      </c>
      <c r="C103" s="95" t="s">
        <v>62</v>
      </c>
      <c r="D103" t="s">
        <v>369</v>
      </c>
      <c r="E103" t="s">
        <v>61</v>
      </c>
      <c r="F103" t="s">
        <v>62</v>
      </c>
      <c r="G103" t="s">
        <v>437</v>
      </c>
      <c r="H103" t="s">
        <v>1186</v>
      </c>
      <c r="I103" t="s">
        <v>139</v>
      </c>
      <c r="J103" t="s">
        <v>287</v>
      </c>
      <c r="K103" s="22">
        <f t="shared" si="16"/>
        <v>1.2008407282256135</v>
      </c>
      <c r="L103" s="22">
        <f t="shared" si="23"/>
        <v>1.201903510760759</v>
      </c>
      <c r="M103" s="22">
        <f t="shared" si="23"/>
        <v>1.2088775122881088</v>
      </c>
      <c r="N103" s="22">
        <f t="shared" si="23"/>
        <v>1.2055442230548155</v>
      </c>
      <c r="O103" s="22">
        <f t="shared" si="23"/>
        <v>1.195843583832628</v>
      </c>
      <c r="P103" s="22">
        <f t="shared" si="23"/>
        <v>1.1799964998501222</v>
      </c>
      <c r="Q103" s="22">
        <f t="shared" si="23"/>
        <v>1.169776622170569</v>
      </c>
      <c r="R103" s="22">
        <f t="shared" si="23"/>
        <v>1.1606871439933113</v>
      </c>
      <c r="S103" s="22">
        <f t="shared" si="23"/>
        <v>1.0501974396641209</v>
      </c>
      <c r="T103" s="22">
        <f t="shared" si="23"/>
        <v>1.0703473698117068</v>
      </c>
      <c r="U103" s="22">
        <f t="shared" si="23"/>
        <v>1.1035346153332457</v>
      </c>
      <c r="V103" s="22">
        <f t="shared" si="23"/>
        <v>1.1150489977959306</v>
      </c>
      <c r="W103" s="22">
        <f t="shared" si="23"/>
        <v>1.1291994422976275</v>
      </c>
      <c r="X103" s="22">
        <f t="shared" si="23"/>
        <v>1.1467521172180308</v>
      </c>
      <c r="Y103" s="22">
        <f t="shared" si="23"/>
        <v>1.1661924411251976</v>
      </c>
      <c r="Z103" s="22">
        <f t="shared" si="23"/>
        <v>1.1881766019612736</v>
      </c>
      <c r="AA103" s="22">
        <f t="shared" si="23"/>
        <v>1.2105548738562886</v>
      </c>
      <c r="AB103" s="22">
        <f t="shared" si="23"/>
        <v>1.2352132344527478</v>
      </c>
      <c r="AC103" s="22">
        <f t="shared" si="23"/>
        <v>1.2600610700998878</v>
      </c>
      <c r="AD103" s="22">
        <f t="shared" si="23"/>
        <v>1.2841695325772586</v>
      </c>
      <c r="AE103" s="22">
        <f t="shared" si="23"/>
        <v>1.3069035937836597</v>
      </c>
      <c r="AF103" s="22">
        <f t="shared" si="23"/>
        <v>1.3308885489727156</v>
      </c>
      <c r="AG103" s="22">
        <f t="shared" si="23"/>
        <v>1.3591357613410466</v>
      </c>
      <c r="AH103" s="22">
        <f t="shared" si="23"/>
        <v>1.3843151170507964</v>
      </c>
      <c r="AI103" s="22">
        <f t="shared" si="23"/>
        <v>1.4109607447095132</v>
      </c>
      <c r="AJ103" s="22">
        <f t="shared" si="23"/>
        <v>1.439613035796105</v>
      </c>
      <c r="AK103" s="22">
        <f t="shared" si="23"/>
        <v>1.4645872559628428</v>
      </c>
      <c r="AL103" s="22">
        <f t="shared" si="23"/>
        <v>1.4885153057402958</v>
      </c>
      <c r="AM103" s="22">
        <f t="shared" si="23"/>
        <v>1.5115373270459393</v>
      </c>
      <c r="AN103" s="22">
        <f t="shared" si="23"/>
        <v>1.5400585132402391</v>
      </c>
      <c r="AO103" s="22">
        <f t="shared" si="23"/>
        <v>1.5662225533166572</v>
      </c>
      <c r="AP103" s="22">
        <f t="shared" si="23"/>
        <v>1.593267491108957</v>
      </c>
      <c r="AQ103" s="22">
        <f t="shared" si="23"/>
        <v>1.6213524132646824</v>
      </c>
      <c r="AR103" s="22">
        <f t="shared" si="23"/>
        <v>1.6507413943805305</v>
      </c>
      <c r="AS103" s="22">
        <f t="shared" si="23"/>
        <v>1.6812851986409043</v>
      </c>
      <c r="AT103" s="22">
        <f t="shared" si="23"/>
        <v>1.6777302811702246</v>
      </c>
      <c r="AU103" s="22">
        <f t="shared" si="23"/>
        <v>1.6711130643184777</v>
      </c>
      <c r="AV103" s="22">
        <f t="shared" si="23"/>
        <v>1.6601731404367381</v>
      </c>
      <c r="AW103" s="22">
        <f t="shared" si="23"/>
        <v>1.6481045233312475</v>
      </c>
      <c r="AY103" s="79"/>
    </row>
    <row r="104" spans="1:51" x14ac:dyDescent="0.3">
      <c r="A104" s="95" t="str">
        <f t="shared" si="0"/>
        <v>FS Volatilisation</v>
      </c>
      <c r="B104" s="95" t="s">
        <v>1004</v>
      </c>
      <c r="C104" s="95" t="s">
        <v>62</v>
      </c>
      <c r="D104" t="s">
        <v>369</v>
      </c>
      <c r="E104" t="s">
        <v>61</v>
      </c>
      <c r="F104" t="s">
        <v>62</v>
      </c>
      <c r="G104" t="s">
        <v>438</v>
      </c>
      <c r="H104" t="s">
        <v>1265</v>
      </c>
      <c r="I104" t="s">
        <v>139</v>
      </c>
      <c r="J104" t="s">
        <v>287</v>
      </c>
      <c r="K104" s="22">
        <f t="shared" si="16"/>
        <v>4.3975799639737048</v>
      </c>
      <c r="L104" s="22">
        <f t="shared" si="23"/>
        <v>4.3787767883653972</v>
      </c>
      <c r="M104" s="22">
        <f t="shared" si="23"/>
        <v>4.3752716537638934</v>
      </c>
      <c r="N104" s="22">
        <f t="shared" si="23"/>
        <v>4.3473821211305594</v>
      </c>
      <c r="O104" s="22">
        <f t="shared" si="23"/>
        <v>4.3052096453824609</v>
      </c>
      <c r="P104" s="22">
        <f t="shared" si="23"/>
        <v>4.2496956169043703</v>
      </c>
      <c r="Q104" s="22">
        <f t="shared" si="23"/>
        <v>4.2083609134426787</v>
      </c>
      <c r="R104" s="22">
        <f t="shared" si="23"/>
        <v>4.1703852155628214</v>
      </c>
      <c r="S104" s="22">
        <f t="shared" si="23"/>
        <v>3.900775371515369</v>
      </c>
      <c r="T104" s="22">
        <f t="shared" si="23"/>
        <v>3.9381596254461564</v>
      </c>
      <c r="U104" s="22">
        <f t="shared" si="23"/>
        <v>4.0049157346570068</v>
      </c>
      <c r="V104" s="22">
        <f t="shared" si="23"/>
        <v>4.0223863253045398</v>
      </c>
      <c r="W104" s="22">
        <f t="shared" si="23"/>
        <v>4.045795803072969</v>
      </c>
      <c r="X104" s="22">
        <f t="shared" si="23"/>
        <v>4.0767188563085508</v>
      </c>
      <c r="Y104" s="22">
        <f t="shared" si="23"/>
        <v>4.1095287399075264</v>
      </c>
      <c r="Z104" s="22">
        <f t="shared" si="23"/>
        <v>4.1476787731521458</v>
      </c>
      <c r="AA104" s="22">
        <f t="shared" si="23"/>
        <v>4.1863566801857406</v>
      </c>
      <c r="AB104" s="22">
        <f t="shared" si="23"/>
        <v>4.2296218376851549</v>
      </c>
      <c r="AC104" s="22">
        <f t="shared" si="23"/>
        <v>4.2728604404281354</v>
      </c>
      <c r="AD104" s="22">
        <f t="shared" si="23"/>
        <v>4.3024697400350007</v>
      </c>
      <c r="AE104" s="22">
        <f t="shared" si="23"/>
        <v>4.3280485976783627</v>
      </c>
      <c r="AF104" s="22">
        <f t="shared" si="23"/>
        <v>4.3551413116429245</v>
      </c>
      <c r="AG104" s="22">
        <f t="shared" si="23"/>
        <v>4.3898514432989648</v>
      </c>
      <c r="AH104" s="22">
        <f t="shared" si="23"/>
        <v>4.4168796997123483</v>
      </c>
      <c r="AI104" s="22">
        <f t="shared" si="23"/>
        <v>4.4439671933106792</v>
      </c>
      <c r="AJ104" s="22">
        <f t="shared" si="23"/>
        <v>4.4736413932482595</v>
      </c>
      <c r="AK104" s="22">
        <f t="shared" si="23"/>
        <v>4.4945161300843504</v>
      </c>
      <c r="AL104" s="22">
        <f t="shared" si="23"/>
        <v>4.5119473605235276</v>
      </c>
      <c r="AM104" s="22">
        <f t="shared" si="23"/>
        <v>4.5262479592108207</v>
      </c>
      <c r="AN104" s="22">
        <f t="shared" si="23"/>
        <v>4.5552825489057529</v>
      </c>
      <c r="AO104" s="22">
        <f t="shared" si="23"/>
        <v>4.5786902056870105</v>
      </c>
      <c r="AP104" s="22">
        <f t="shared" si="23"/>
        <v>4.6026259938264094</v>
      </c>
      <c r="AQ104" s="22">
        <f t="shared" si="23"/>
        <v>4.6273110032913349</v>
      </c>
      <c r="AR104" s="22">
        <f t="shared" si="23"/>
        <v>4.6531442501292055</v>
      </c>
      <c r="AS104" s="22">
        <f t="shared" si="23"/>
        <v>4.6782746913590252</v>
      </c>
      <c r="AT104" s="22">
        <f t="shared" si="23"/>
        <v>4.6412320099960542</v>
      </c>
      <c r="AU104" s="22">
        <f t="shared" si="23"/>
        <v>4.5987998522947482</v>
      </c>
      <c r="AV104" s="22">
        <f t="shared" si="23"/>
        <v>4.5489683571490982</v>
      </c>
      <c r="AW104" s="22">
        <f t="shared" si="23"/>
        <v>4.4975013733577454</v>
      </c>
      <c r="AY104" s="79"/>
    </row>
    <row r="105" spans="1:51" x14ac:dyDescent="0.3">
      <c r="A105" s="95" t="str">
        <f t="shared" si="0"/>
        <v>FS Leaching</v>
      </c>
      <c r="B105" s="95" t="s">
        <v>1004</v>
      </c>
      <c r="C105" s="95" t="s">
        <v>1190</v>
      </c>
      <c r="D105" t="s">
        <v>369</v>
      </c>
      <c r="E105" t="s">
        <v>61</v>
      </c>
      <c r="F105" t="s">
        <v>63</v>
      </c>
      <c r="G105" t="s">
        <v>435</v>
      </c>
      <c r="H105" t="s">
        <v>1187</v>
      </c>
      <c r="I105" t="s">
        <v>139</v>
      </c>
      <c r="J105" t="s">
        <v>287</v>
      </c>
      <c r="K105" s="22">
        <f t="shared" si="16"/>
        <v>2.2792360161858692E-4</v>
      </c>
      <c r="L105" s="22">
        <f t="shared" si="23"/>
        <v>2.2790093553774266E-4</v>
      </c>
      <c r="M105" s="22">
        <f t="shared" si="23"/>
        <v>2.278593788421324E-4</v>
      </c>
      <c r="N105" s="22">
        <f t="shared" si="23"/>
        <v>2.2780970825918929E-4</v>
      </c>
      <c r="O105" s="22">
        <f t="shared" si="23"/>
        <v>2.277761536871344E-4</v>
      </c>
      <c r="P105" s="22">
        <f t="shared" si="23"/>
        <v>2.2775306232797126E-4</v>
      </c>
      <c r="Q105" s="22">
        <f t="shared" si="23"/>
        <v>2.2774041756527976E-4</v>
      </c>
      <c r="R105" s="22">
        <f t="shared" si="23"/>
        <v>2.2771996066053992E-4</v>
      </c>
      <c r="S105" s="22">
        <f t="shared" si="23"/>
        <v>2.2769847220449889E-4</v>
      </c>
      <c r="T105" s="22">
        <f t="shared" si="23"/>
        <v>2.2784783983581601E-4</v>
      </c>
      <c r="U105" s="22">
        <f t="shared" si="23"/>
        <v>2.2778861051780079E-4</v>
      </c>
      <c r="V105" s="22">
        <f t="shared" si="23"/>
        <v>2.2770777253754449E-4</v>
      </c>
      <c r="W105" s="22">
        <f t="shared" si="23"/>
        <v>2.2766433280255099E-4</v>
      </c>
      <c r="X105" s="22">
        <f t="shared" si="23"/>
        <v>2.2761682214603963E-4</v>
      </c>
      <c r="Y105" s="22">
        <f t="shared" si="23"/>
        <v>2.2756399965202255E-4</v>
      </c>
      <c r="Z105" s="22">
        <f t="shared" si="23"/>
        <v>2.2750855106580306E-4</v>
      </c>
      <c r="AA105" s="22">
        <f t="shared" si="23"/>
        <v>2.2744937410212421E-4</v>
      </c>
      <c r="AB105" s="22">
        <f t="shared" si="23"/>
        <v>2.273900694399806E-4</v>
      </c>
      <c r="AC105" s="22">
        <f t="shared" si="23"/>
        <v>2.27327608934121E-4</v>
      </c>
      <c r="AD105" s="22">
        <f t="shared" si="23"/>
        <v>2.2726542703693366E-4</v>
      </c>
      <c r="AE105" s="22">
        <f t="shared" si="23"/>
        <v>2.2719801149524835E-4</v>
      </c>
      <c r="AF105" s="22">
        <f t="shared" si="23"/>
        <v>2.2713308086967036E-4</v>
      </c>
      <c r="AG105" s="22">
        <f t="shared" si="23"/>
        <v>2.2706650673440042E-4</v>
      </c>
      <c r="AH105" s="22">
        <f t="shared" si="23"/>
        <v>2.2699372559445836E-4</v>
      </c>
      <c r="AI105" s="22">
        <f t="shared" si="23"/>
        <v>2.2692604502406438E-4</v>
      </c>
      <c r="AJ105" s="22">
        <f t="shared" si="23"/>
        <v>2.2685655063885179E-4</v>
      </c>
      <c r="AK105" s="22">
        <f t="shared" si="23"/>
        <v>2.2678446634657377E-4</v>
      </c>
      <c r="AL105" s="22">
        <f t="shared" si="23"/>
        <v>2.2671821660039324E-4</v>
      </c>
      <c r="AM105" s="22">
        <f t="shared" si="23"/>
        <v>2.2665380838187847E-4</v>
      </c>
      <c r="AN105" s="22">
        <f t="shared" si="23"/>
        <v>2.2659099265923683E-4</v>
      </c>
      <c r="AO105" s="22">
        <f t="shared" si="23"/>
        <v>2.2652471286594214E-4</v>
      </c>
      <c r="AP105" s="22">
        <f t="shared" si="23"/>
        <v>2.2646226392540174E-4</v>
      </c>
      <c r="AQ105" s="22">
        <f t="shared" si="23"/>
        <v>2.2639901755265007E-4</v>
      </c>
      <c r="AR105" s="22">
        <f t="shared" si="23"/>
        <v>2.2633478837800309E-4</v>
      </c>
      <c r="AS105" s="22">
        <f t="shared" si="23"/>
        <v>2.2626925916384739E-4</v>
      </c>
      <c r="AT105" s="22">
        <f t="shared" si="23"/>
        <v>2.2620270329932796E-4</v>
      </c>
      <c r="AU105" s="22">
        <f t="shared" si="23"/>
        <v>2.261822530490572E-4</v>
      </c>
      <c r="AV105" s="22">
        <f t="shared" si="23"/>
        <v>2.2616610062877842E-4</v>
      </c>
      <c r="AW105" s="22">
        <f t="shared" si="23"/>
        <v>2.2615603767239231E-4</v>
      </c>
      <c r="AY105" s="79"/>
    </row>
    <row r="106" spans="1:51" x14ac:dyDescent="0.3">
      <c r="A106" s="95" t="str">
        <f t="shared" si="0"/>
        <v>FS Leaching</v>
      </c>
      <c r="B106" s="95" t="s">
        <v>1004</v>
      </c>
      <c r="C106" s="95" t="s">
        <v>1190</v>
      </c>
      <c r="D106" t="s">
        <v>369</v>
      </c>
      <c r="E106" t="s">
        <v>61</v>
      </c>
      <c r="F106" t="s">
        <v>63</v>
      </c>
      <c r="G106" t="s">
        <v>436</v>
      </c>
      <c r="H106" t="s">
        <v>1188</v>
      </c>
      <c r="I106" t="s">
        <v>139</v>
      </c>
      <c r="J106" t="s">
        <v>287</v>
      </c>
      <c r="K106" s="22">
        <f t="shared" si="16"/>
        <v>1.5042957706826741E-6</v>
      </c>
      <c r="L106" s="22">
        <f t="shared" si="23"/>
        <v>1.5041461745491019E-6</v>
      </c>
      <c r="M106" s="22">
        <f t="shared" si="23"/>
        <v>1.5038719003580737E-6</v>
      </c>
      <c r="N106" s="22">
        <f t="shared" si="23"/>
        <v>1.5035440745106496E-6</v>
      </c>
      <c r="O106" s="22">
        <f t="shared" si="23"/>
        <v>1.5033226143350872E-6</v>
      </c>
      <c r="P106" s="22">
        <f t="shared" si="23"/>
        <v>1.5031702113646103E-6</v>
      </c>
      <c r="Q106" s="22">
        <f t="shared" si="23"/>
        <v>1.5030867559308466E-6</v>
      </c>
      <c r="R106" s="22">
        <f t="shared" si="23"/>
        <v>1.5029517403595637E-6</v>
      </c>
      <c r="S106" s="22">
        <f t="shared" si="23"/>
        <v>1.5028099165496928E-6</v>
      </c>
      <c r="T106" s="22">
        <f t="shared" si="23"/>
        <v>1.503795742916386E-6</v>
      </c>
      <c r="U106" s="22">
        <f t="shared" si="23"/>
        <v>1.5034048294174857E-6</v>
      </c>
      <c r="V106" s="22">
        <f t="shared" si="23"/>
        <v>1.502871298747794E-6</v>
      </c>
      <c r="W106" s="22">
        <f t="shared" si="23"/>
        <v>1.5025845964968368E-6</v>
      </c>
      <c r="X106" s="22">
        <f t="shared" si="23"/>
        <v>1.5022710261638614E-6</v>
      </c>
      <c r="Y106" s="22">
        <f t="shared" si="23"/>
        <v>1.5019223977033493E-6</v>
      </c>
      <c r="Z106" s="22">
        <f t="shared" si="23"/>
        <v>1.5015564370343004E-6</v>
      </c>
      <c r="AA106" s="22">
        <f t="shared" si="23"/>
        <v>1.5011658690740202E-6</v>
      </c>
      <c r="AB106" s="22">
        <f t="shared" si="23"/>
        <v>1.500774458303872E-6</v>
      </c>
      <c r="AC106" s="22">
        <f t="shared" si="23"/>
        <v>1.5003622189651987E-6</v>
      </c>
      <c r="AD106" s="22">
        <f t="shared" si="23"/>
        <v>1.4999518184437622E-6</v>
      </c>
      <c r="AE106" s="22">
        <f t="shared" si="23"/>
        <v>1.4995068758686393E-6</v>
      </c>
      <c r="AF106" s="22">
        <f t="shared" si="23"/>
        <v>1.4990783337398247E-6</v>
      </c>
      <c r="AG106" s="22">
        <f t="shared" si="23"/>
        <v>1.498638944447043E-6</v>
      </c>
      <c r="AH106" s="22">
        <f t="shared" si="23"/>
        <v>1.4981585889234254E-6</v>
      </c>
      <c r="AI106" s="22">
        <f t="shared" si="23"/>
        <v>1.497711897158825E-6</v>
      </c>
      <c r="AJ106" s="22">
        <f t="shared" si="23"/>
        <v>1.4972532342164218E-6</v>
      </c>
      <c r="AK106" s="22">
        <f t="shared" si="23"/>
        <v>1.4967774778873874E-6</v>
      </c>
      <c r="AL106" s="22">
        <f t="shared" si="23"/>
        <v>1.4963402295625958E-6</v>
      </c>
      <c r="AM106" s="22">
        <f t="shared" si="23"/>
        <v>1.4959151353203979E-6</v>
      </c>
      <c r="AN106" s="22">
        <f t="shared" si="23"/>
        <v>1.4955005515509629E-6</v>
      </c>
      <c r="AO106" s="22">
        <f t="shared" si="23"/>
        <v>1.4950631049152183E-6</v>
      </c>
      <c r="AP106" s="22">
        <f t="shared" si="23"/>
        <v>1.4946509419076516E-6</v>
      </c>
      <c r="AQ106" s="22">
        <f t="shared" si="23"/>
        <v>1.4942335158474905E-6</v>
      </c>
      <c r="AR106" s="22">
        <f t="shared" si="23"/>
        <v>1.4938096032948206E-6</v>
      </c>
      <c r="AS106" s="22">
        <f t="shared" si="23"/>
        <v>1.4933771104813929E-6</v>
      </c>
      <c r="AT106" s="22">
        <f t="shared" si="23"/>
        <v>1.4929378417755646E-6</v>
      </c>
      <c r="AU106" s="22">
        <f t="shared" si="23"/>
        <v>1.4928028701237777E-6</v>
      </c>
      <c r="AV106" s="22">
        <f t="shared" si="23"/>
        <v>1.4926962641499375E-6</v>
      </c>
      <c r="AW106" s="22">
        <f t="shared" si="23"/>
        <v>1.4926298486377895E-6</v>
      </c>
      <c r="AY106" s="79"/>
    </row>
    <row r="107" spans="1:51" x14ac:dyDescent="0.3">
      <c r="A107" s="95" t="str">
        <f t="shared" si="0"/>
        <v>FS Leaching</v>
      </c>
      <c r="B107" s="95" t="s">
        <v>1004</v>
      </c>
      <c r="C107" s="95" t="s">
        <v>1190</v>
      </c>
      <c r="D107" t="s">
        <v>369</v>
      </c>
      <c r="E107" t="s">
        <v>61</v>
      </c>
      <c r="F107" t="s">
        <v>63</v>
      </c>
      <c r="G107" t="s">
        <v>437</v>
      </c>
      <c r="H107" t="s">
        <v>1189</v>
      </c>
      <c r="I107" t="s">
        <v>139</v>
      </c>
      <c r="J107" t="s">
        <v>287</v>
      </c>
      <c r="K107" s="22">
        <f t="shared" si="16"/>
        <v>0.20714502561891829</v>
      </c>
      <c r="L107" s="22">
        <f t="shared" si="23"/>
        <v>0.20732835560623092</v>
      </c>
      <c r="M107" s="22">
        <f t="shared" si="23"/>
        <v>0.20853137086969875</v>
      </c>
      <c r="N107" s="22">
        <f t="shared" si="23"/>
        <v>0.20795637847695567</v>
      </c>
      <c r="O107" s="22">
        <f t="shared" si="23"/>
        <v>0.20628301821112832</v>
      </c>
      <c r="P107" s="22">
        <f t="shared" si="23"/>
        <v>0.20354939622414608</v>
      </c>
      <c r="Q107" s="22">
        <f t="shared" si="23"/>
        <v>0.20178646732442315</v>
      </c>
      <c r="R107" s="22">
        <f t="shared" si="23"/>
        <v>0.20021853233884618</v>
      </c>
      <c r="S107" s="22">
        <f t="shared" si="23"/>
        <v>0.18115905834206086</v>
      </c>
      <c r="T107" s="22">
        <f t="shared" si="23"/>
        <v>0.1846349212925194</v>
      </c>
      <c r="U107" s="22">
        <f t="shared" si="23"/>
        <v>0.19035972114498487</v>
      </c>
      <c r="V107" s="22">
        <f t="shared" si="23"/>
        <v>0.19234595211979802</v>
      </c>
      <c r="W107" s="22">
        <f t="shared" si="23"/>
        <v>0.1947869037963407</v>
      </c>
      <c r="X107" s="22">
        <f t="shared" si="23"/>
        <v>0.19781474022011031</v>
      </c>
      <c r="Y107" s="22">
        <f t="shared" si="23"/>
        <v>0.20116819609409653</v>
      </c>
      <c r="Z107" s="22">
        <f t="shared" si="23"/>
        <v>0.20496046383831973</v>
      </c>
      <c r="AA107" s="22">
        <f t="shared" si="23"/>
        <v>0.20882071574020974</v>
      </c>
      <c r="AB107" s="22">
        <f t="shared" si="23"/>
        <v>0.21307428294309891</v>
      </c>
      <c r="AC107" s="22">
        <f t="shared" si="23"/>
        <v>0.21736053459223065</v>
      </c>
      <c r="AD107" s="22">
        <f t="shared" si="23"/>
        <v>0.2215192443695771</v>
      </c>
      <c r="AE107" s="22">
        <f t="shared" si="23"/>
        <v>0.22544086992768131</v>
      </c>
      <c r="AF107" s="22">
        <f t="shared" si="23"/>
        <v>0.22957827469779338</v>
      </c>
      <c r="AG107" s="22">
        <f t="shared" si="23"/>
        <v>0.23445091883133051</v>
      </c>
      <c r="AH107" s="22">
        <f t="shared" si="23"/>
        <v>0.23879435769126237</v>
      </c>
      <c r="AI107" s="22">
        <f t="shared" si="23"/>
        <v>0.24339072846239099</v>
      </c>
      <c r="AJ107" s="22">
        <f t="shared" si="23"/>
        <v>0.24833324867482812</v>
      </c>
      <c r="AK107" s="22">
        <f t="shared" si="23"/>
        <v>0.25264130165359039</v>
      </c>
      <c r="AL107" s="22">
        <f t="shared" si="23"/>
        <v>0.256768890240201</v>
      </c>
      <c r="AM107" s="22">
        <f t="shared" si="23"/>
        <v>0.26074018891542444</v>
      </c>
      <c r="AN107" s="22">
        <f t="shared" si="23"/>
        <v>0.26566009353394121</v>
      </c>
      <c r="AO107" s="22">
        <f t="shared" si="23"/>
        <v>0.2701733904471233</v>
      </c>
      <c r="AP107" s="22">
        <f t="shared" si="23"/>
        <v>0.27483864221629506</v>
      </c>
      <c r="AQ107" s="22">
        <f t="shared" si="23"/>
        <v>0.27968329128815766</v>
      </c>
      <c r="AR107" s="22">
        <f t="shared" si="23"/>
        <v>0.28475289053064146</v>
      </c>
      <c r="AS107" s="22">
        <f t="shared" si="23"/>
        <v>0.29002169676555595</v>
      </c>
      <c r="AT107" s="22">
        <f t="shared" si="23"/>
        <v>0.28940847350186372</v>
      </c>
      <c r="AU107" s="22">
        <f t="shared" si="23"/>
        <v>0.2882670035949374</v>
      </c>
      <c r="AV107" s="22">
        <f t="shared" si="23"/>
        <v>0.28637986672533733</v>
      </c>
      <c r="AW107" s="22">
        <f t="shared" si="23"/>
        <v>0.28429803027464012</v>
      </c>
      <c r="AY107" s="79"/>
    </row>
    <row r="108" spans="1:51" x14ac:dyDescent="0.3">
      <c r="A108" s="95" t="str">
        <f t="shared" si="0"/>
        <v>FS Leaching</v>
      </c>
      <c r="B108" s="95" t="s">
        <v>1004</v>
      </c>
      <c r="C108" s="95" t="s">
        <v>1190</v>
      </c>
      <c r="D108" t="s">
        <v>369</v>
      </c>
      <c r="E108" t="s">
        <v>61</v>
      </c>
      <c r="F108" t="s">
        <v>63</v>
      </c>
      <c r="G108" t="s">
        <v>438</v>
      </c>
      <c r="H108" t="s">
        <v>1191</v>
      </c>
      <c r="I108" t="s">
        <v>139</v>
      </c>
      <c r="J108" t="s">
        <v>287</v>
      </c>
      <c r="K108" s="22">
        <f t="shared" si="16"/>
        <v>0</v>
      </c>
      <c r="L108" s="22">
        <f t="shared" si="23"/>
        <v>0</v>
      </c>
      <c r="M108" s="22">
        <f t="shared" si="23"/>
        <v>0</v>
      </c>
      <c r="N108" s="22">
        <f t="shared" si="23"/>
        <v>0</v>
      </c>
      <c r="O108" s="22">
        <f t="shared" ref="L108:AW114" si="24">O1517</f>
        <v>0</v>
      </c>
      <c r="P108" s="22">
        <f t="shared" si="24"/>
        <v>0</v>
      </c>
      <c r="Q108" s="22">
        <f t="shared" si="24"/>
        <v>0</v>
      </c>
      <c r="R108" s="22">
        <f t="shared" si="24"/>
        <v>0</v>
      </c>
      <c r="S108" s="22">
        <f t="shared" si="24"/>
        <v>0</v>
      </c>
      <c r="T108" s="22">
        <f t="shared" si="24"/>
        <v>0</v>
      </c>
      <c r="U108" s="22">
        <f t="shared" si="24"/>
        <v>0</v>
      </c>
      <c r="V108" s="22">
        <f t="shared" si="24"/>
        <v>0</v>
      </c>
      <c r="W108" s="22">
        <f t="shared" si="24"/>
        <v>0</v>
      </c>
      <c r="X108" s="22">
        <f t="shared" si="24"/>
        <v>0</v>
      </c>
      <c r="Y108" s="22">
        <f t="shared" si="24"/>
        <v>0</v>
      </c>
      <c r="Z108" s="22">
        <f t="shared" si="24"/>
        <v>0</v>
      </c>
      <c r="AA108" s="22">
        <f t="shared" si="24"/>
        <v>0</v>
      </c>
      <c r="AB108" s="22">
        <f t="shared" si="24"/>
        <v>0</v>
      </c>
      <c r="AC108" s="22">
        <f t="shared" si="24"/>
        <v>0</v>
      </c>
      <c r="AD108" s="22">
        <f t="shared" si="24"/>
        <v>0</v>
      </c>
      <c r="AE108" s="22">
        <f t="shared" si="24"/>
        <v>0</v>
      </c>
      <c r="AF108" s="22">
        <f t="shared" si="24"/>
        <v>0</v>
      </c>
      <c r="AG108" s="22">
        <f t="shared" si="24"/>
        <v>0</v>
      </c>
      <c r="AH108" s="22">
        <f t="shared" si="24"/>
        <v>0</v>
      </c>
      <c r="AI108" s="22">
        <f t="shared" si="24"/>
        <v>0</v>
      </c>
      <c r="AJ108" s="22">
        <f t="shared" si="24"/>
        <v>0</v>
      </c>
      <c r="AK108" s="22">
        <f t="shared" si="24"/>
        <v>0</v>
      </c>
      <c r="AL108" s="22">
        <f t="shared" si="24"/>
        <v>0</v>
      </c>
      <c r="AM108" s="22">
        <f t="shared" si="24"/>
        <v>0</v>
      </c>
      <c r="AN108" s="22">
        <f t="shared" si="24"/>
        <v>0</v>
      </c>
      <c r="AO108" s="22">
        <f t="shared" si="24"/>
        <v>0</v>
      </c>
      <c r="AP108" s="22">
        <f t="shared" si="24"/>
        <v>0</v>
      </c>
      <c r="AQ108" s="22">
        <f t="shared" si="24"/>
        <v>0</v>
      </c>
      <c r="AR108" s="22">
        <f t="shared" si="24"/>
        <v>0</v>
      </c>
      <c r="AS108" s="22">
        <f t="shared" si="24"/>
        <v>0</v>
      </c>
      <c r="AT108" s="22">
        <f t="shared" si="24"/>
        <v>0</v>
      </c>
      <c r="AU108" s="22">
        <f t="shared" si="24"/>
        <v>0</v>
      </c>
      <c r="AV108" s="22">
        <f t="shared" si="24"/>
        <v>0</v>
      </c>
      <c r="AW108" s="22">
        <f t="shared" si="24"/>
        <v>0</v>
      </c>
      <c r="AY108" s="79"/>
    </row>
    <row r="109" spans="1:51" x14ac:dyDescent="0.3">
      <c r="A109" s="95" t="str">
        <f t="shared" si="0"/>
        <v>FS Leaching</v>
      </c>
      <c r="B109" s="95" t="s">
        <v>1004</v>
      </c>
      <c r="C109" s="95" t="s">
        <v>1190</v>
      </c>
      <c r="D109" t="s">
        <v>369</v>
      </c>
      <c r="E109" t="s">
        <v>61</v>
      </c>
      <c r="F109" t="s">
        <v>63</v>
      </c>
      <c r="G109" t="s">
        <v>439</v>
      </c>
      <c r="H109" t="s">
        <v>1192</v>
      </c>
      <c r="I109" t="s">
        <v>139</v>
      </c>
      <c r="J109" t="s">
        <v>287</v>
      </c>
      <c r="K109" s="22">
        <f t="shared" si="16"/>
        <v>0.10175116378121943</v>
      </c>
      <c r="L109" s="22">
        <f t="shared" si="24"/>
        <v>0.10192037938520998</v>
      </c>
      <c r="M109" s="22">
        <f t="shared" si="24"/>
        <v>0.102230624521803</v>
      </c>
      <c r="N109" s="22">
        <f t="shared" si="24"/>
        <v>0.10260144459215571</v>
      </c>
      <c r="O109" s="22">
        <f t="shared" si="24"/>
        <v>0.10285194917721978</v>
      </c>
      <c r="P109" s="22">
        <f t="shared" si="24"/>
        <v>0.10302433973360284</v>
      </c>
      <c r="Q109" s="22">
        <f t="shared" si="24"/>
        <v>0.10311874031263807</v>
      </c>
      <c r="R109" s="22">
        <f t="shared" si="24"/>
        <v>0.10327146311968674</v>
      </c>
      <c r="S109" s="22">
        <f t="shared" si="24"/>
        <v>0.10343188706296993</v>
      </c>
      <c r="T109" s="22">
        <f t="shared" si="24"/>
        <v>0.10231676998015095</v>
      </c>
      <c r="U109" s="22">
        <f t="shared" si="24"/>
        <v>0.10275895162111336</v>
      </c>
      <c r="V109" s="22">
        <f t="shared" si="24"/>
        <v>0.10336245461523248</v>
      </c>
      <c r="W109" s="22">
        <f t="shared" si="24"/>
        <v>0.10368675774662221</v>
      </c>
      <c r="X109" s="22">
        <f t="shared" si="24"/>
        <v>0.10404145269776151</v>
      </c>
      <c r="Y109" s="22">
        <f t="shared" si="24"/>
        <v>0.10443580363521765</v>
      </c>
      <c r="Z109" s="22">
        <f t="shared" si="24"/>
        <v>0.1048497598931184</v>
      </c>
      <c r="AA109" s="22">
        <f t="shared" si="24"/>
        <v>0.10529155067821512</v>
      </c>
      <c r="AB109" s="22">
        <f t="shared" si="24"/>
        <v>0.10573429480734184</v>
      </c>
      <c r="AC109" s="22">
        <f t="shared" si="24"/>
        <v>0.10620059916305352</v>
      </c>
      <c r="AD109" s="22">
        <f t="shared" si="24"/>
        <v>0.10666482354141628</v>
      </c>
      <c r="AE109" s="22">
        <f t="shared" si="24"/>
        <v>0.10716812014937527</v>
      </c>
      <c r="AF109" s="22">
        <f t="shared" si="24"/>
        <v>0.10765286539934465</v>
      </c>
      <c r="AG109" s="22">
        <f t="shared" si="24"/>
        <v>0.10814988041430322</v>
      </c>
      <c r="AH109" s="22">
        <f t="shared" si="24"/>
        <v>0.1086932343641567</v>
      </c>
      <c r="AI109" s="22">
        <f t="shared" si="24"/>
        <v>0.1091985095670623</v>
      </c>
      <c r="AJ109" s="22">
        <f t="shared" si="24"/>
        <v>0.10971732596273812</v>
      </c>
      <c r="AK109" s="22">
        <f t="shared" si="24"/>
        <v>0.11025547753556091</v>
      </c>
      <c r="AL109" s="22">
        <f t="shared" si="24"/>
        <v>0.11075007079547201</v>
      </c>
      <c r="AM109" s="22">
        <f t="shared" si="24"/>
        <v>0.11123091596993474</v>
      </c>
      <c r="AN109" s="22">
        <f t="shared" si="24"/>
        <v>0.11169987222752331</v>
      </c>
      <c r="AO109" s="22">
        <f t="shared" si="24"/>
        <v>0.11219468980678651</v>
      </c>
      <c r="AP109" s="22">
        <f t="shared" si="24"/>
        <v>0.11266090782059876</v>
      </c>
      <c r="AQ109" s="22">
        <f t="shared" si="24"/>
        <v>0.11313307913415467</v>
      </c>
      <c r="AR109" s="22">
        <f t="shared" si="24"/>
        <v>0.11361258764100189</v>
      </c>
      <c r="AS109" s="22">
        <f t="shared" si="24"/>
        <v>0.11410180170622075</v>
      </c>
      <c r="AT109" s="22">
        <f t="shared" si="24"/>
        <v>0.1145986803192975</v>
      </c>
      <c r="AU109" s="22">
        <f t="shared" si="24"/>
        <v>0.11475135344682705</v>
      </c>
      <c r="AV109" s="22">
        <f t="shared" si="24"/>
        <v>0.11487194074959778</v>
      </c>
      <c r="AW109" s="22">
        <f t="shared" si="24"/>
        <v>0.11494706662841653</v>
      </c>
      <c r="AY109" s="79"/>
    </row>
    <row r="110" spans="1:51" x14ac:dyDescent="0.3">
      <c r="A110" s="95" t="str">
        <f t="shared" si="0"/>
        <v>FS Leaching</v>
      </c>
      <c r="B110" s="95" t="s">
        <v>1004</v>
      </c>
      <c r="C110" s="95" t="s">
        <v>1190</v>
      </c>
      <c r="D110" t="s">
        <v>369</v>
      </c>
      <c r="E110" t="s">
        <v>61</v>
      </c>
      <c r="F110" t="s">
        <v>63</v>
      </c>
      <c r="G110" t="s">
        <v>1193</v>
      </c>
      <c r="H110" t="s">
        <v>1194</v>
      </c>
      <c r="I110" t="s">
        <v>139</v>
      </c>
      <c r="J110" t="s">
        <v>287</v>
      </c>
      <c r="K110" s="22" t="str">
        <f t="shared" si="16"/>
        <v>NO</v>
      </c>
      <c r="L110" s="22" t="str">
        <f t="shared" si="24"/>
        <v>NO</v>
      </c>
      <c r="M110" s="22" t="str">
        <f t="shared" si="24"/>
        <v>NO</v>
      </c>
      <c r="N110" s="22" t="str">
        <f t="shared" si="24"/>
        <v>NO</v>
      </c>
      <c r="O110" s="22" t="str">
        <f t="shared" si="24"/>
        <v>NO</v>
      </c>
      <c r="P110" s="22" t="str">
        <f t="shared" si="24"/>
        <v>NO</v>
      </c>
      <c r="Q110" s="22" t="str">
        <f t="shared" si="24"/>
        <v>NO</v>
      </c>
      <c r="R110" s="22" t="str">
        <f t="shared" si="24"/>
        <v>NO</v>
      </c>
      <c r="S110" s="22" t="str">
        <f t="shared" si="24"/>
        <v>NO</v>
      </c>
      <c r="T110" s="22" t="str">
        <f t="shared" si="24"/>
        <v>NO</v>
      </c>
      <c r="U110" s="22" t="str">
        <f t="shared" si="24"/>
        <v>NO</v>
      </c>
      <c r="V110" s="22" t="str">
        <f t="shared" si="24"/>
        <v>NO</v>
      </c>
      <c r="W110" s="22" t="str">
        <f t="shared" si="24"/>
        <v>NO</v>
      </c>
      <c r="X110" s="22" t="str">
        <f t="shared" si="24"/>
        <v>NO</v>
      </c>
      <c r="Y110" s="22" t="str">
        <f t="shared" si="24"/>
        <v>NO</v>
      </c>
      <c r="Z110" s="22" t="str">
        <f t="shared" si="24"/>
        <v>NO</v>
      </c>
      <c r="AA110" s="22" t="str">
        <f t="shared" si="24"/>
        <v>NO</v>
      </c>
      <c r="AB110" s="22" t="str">
        <f t="shared" si="24"/>
        <v>NO</v>
      </c>
      <c r="AC110" s="22" t="str">
        <f t="shared" si="24"/>
        <v>NO</v>
      </c>
      <c r="AD110" s="22" t="str">
        <f t="shared" si="24"/>
        <v>NO</v>
      </c>
      <c r="AE110" s="22" t="str">
        <f t="shared" si="24"/>
        <v>NO</v>
      </c>
      <c r="AF110" s="22" t="str">
        <f t="shared" si="24"/>
        <v>NO</v>
      </c>
      <c r="AG110" s="22" t="str">
        <f t="shared" si="24"/>
        <v>NO</v>
      </c>
      <c r="AH110" s="22" t="str">
        <f t="shared" si="24"/>
        <v>NO</v>
      </c>
      <c r="AI110" s="22" t="str">
        <f t="shared" si="24"/>
        <v>NO</v>
      </c>
      <c r="AJ110" s="22" t="str">
        <f t="shared" si="24"/>
        <v>NO</v>
      </c>
      <c r="AK110" s="22" t="str">
        <f t="shared" si="24"/>
        <v>NO</v>
      </c>
      <c r="AL110" s="22" t="str">
        <f t="shared" si="24"/>
        <v>NO</v>
      </c>
      <c r="AM110" s="22" t="str">
        <f t="shared" si="24"/>
        <v>NO</v>
      </c>
      <c r="AN110" s="22" t="str">
        <f t="shared" si="24"/>
        <v>NO</v>
      </c>
      <c r="AO110" s="22" t="str">
        <f t="shared" si="24"/>
        <v>NO</v>
      </c>
      <c r="AP110" s="22" t="str">
        <f t="shared" si="24"/>
        <v>NO</v>
      </c>
      <c r="AQ110" s="22" t="str">
        <f t="shared" si="24"/>
        <v>NO</v>
      </c>
      <c r="AR110" s="22" t="str">
        <f t="shared" si="24"/>
        <v>NO</v>
      </c>
      <c r="AS110" s="22" t="str">
        <f t="shared" si="24"/>
        <v>NO</v>
      </c>
      <c r="AT110" s="22" t="str">
        <f t="shared" si="24"/>
        <v>NO</v>
      </c>
      <c r="AU110" s="22" t="str">
        <f t="shared" si="24"/>
        <v>NO</v>
      </c>
      <c r="AV110" s="22" t="str">
        <f t="shared" si="24"/>
        <v>NO</v>
      </c>
      <c r="AW110" s="22" t="str">
        <f t="shared" si="24"/>
        <v>NO</v>
      </c>
      <c r="AY110" s="79"/>
    </row>
    <row r="111" spans="1:51" x14ac:dyDescent="0.3">
      <c r="A111" s="95" t="str">
        <f t="shared" si="0"/>
        <v>FS Leaching</v>
      </c>
      <c r="B111" s="95" t="s">
        <v>1004</v>
      </c>
      <c r="C111" s="95" t="s">
        <v>1190</v>
      </c>
      <c r="D111" t="s">
        <v>369</v>
      </c>
      <c r="E111" t="s">
        <v>61</v>
      </c>
      <c r="F111" t="s">
        <v>63</v>
      </c>
      <c r="G111" t="s">
        <v>1195</v>
      </c>
      <c r="H111" t="s">
        <v>1196</v>
      </c>
      <c r="I111" t="s">
        <v>139</v>
      </c>
      <c r="J111" t="s">
        <v>287</v>
      </c>
      <c r="K111" s="22" t="str">
        <f t="shared" si="16"/>
        <v>NO</v>
      </c>
      <c r="L111" s="22" t="str">
        <f t="shared" si="24"/>
        <v>NO</v>
      </c>
      <c r="M111" s="22" t="str">
        <f t="shared" si="24"/>
        <v>NO</v>
      </c>
      <c r="N111" s="22" t="str">
        <f t="shared" si="24"/>
        <v>NO</v>
      </c>
      <c r="O111" s="22" t="str">
        <f t="shared" si="24"/>
        <v>NO</v>
      </c>
      <c r="P111" s="22" t="str">
        <f t="shared" si="24"/>
        <v>NO</v>
      </c>
      <c r="Q111" s="22" t="str">
        <f t="shared" si="24"/>
        <v>NO</v>
      </c>
      <c r="R111" s="22" t="str">
        <f t="shared" si="24"/>
        <v>NO</v>
      </c>
      <c r="S111" s="22" t="str">
        <f t="shared" si="24"/>
        <v>NO</v>
      </c>
      <c r="T111" s="22" t="str">
        <f t="shared" si="24"/>
        <v>NO</v>
      </c>
      <c r="U111" s="22" t="str">
        <f t="shared" si="24"/>
        <v>NO</v>
      </c>
      <c r="V111" s="22" t="str">
        <f t="shared" si="24"/>
        <v>NO</v>
      </c>
      <c r="W111" s="22" t="str">
        <f t="shared" si="24"/>
        <v>NO</v>
      </c>
      <c r="X111" s="22" t="str">
        <f t="shared" si="24"/>
        <v>NO</v>
      </c>
      <c r="Y111" s="22" t="str">
        <f t="shared" si="24"/>
        <v>NO</v>
      </c>
      <c r="Z111" s="22" t="str">
        <f t="shared" si="24"/>
        <v>NO</v>
      </c>
      <c r="AA111" s="22" t="str">
        <f t="shared" si="24"/>
        <v>NO</v>
      </c>
      <c r="AB111" s="22" t="str">
        <f t="shared" si="24"/>
        <v>NO</v>
      </c>
      <c r="AC111" s="22" t="str">
        <f t="shared" si="24"/>
        <v>NO</v>
      </c>
      <c r="AD111" s="22" t="str">
        <f t="shared" si="24"/>
        <v>NO</v>
      </c>
      <c r="AE111" s="22" t="str">
        <f t="shared" si="24"/>
        <v>NO</v>
      </c>
      <c r="AF111" s="22" t="str">
        <f t="shared" si="24"/>
        <v>NO</v>
      </c>
      <c r="AG111" s="22" t="str">
        <f t="shared" si="24"/>
        <v>NO</v>
      </c>
      <c r="AH111" s="22" t="str">
        <f t="shared" si="24"/>
        <v>NO</v>
      </c>
      <c r="AI111" s="22" t="str">
        <f t="shared" si="24"/>
        <v>NO</v>
      </c>
      <c r="AJ111" s="22" t="str">
        <f t="shared" si="24"/>
        <v>NO</v>
      </c>
      <c r="AK111" s="22" t="str">
        <f t="shared" si="24"/>
        <v>NO</v>
      </c>
      <c r="AL111" s="22" t="str">
        <f t="shared" si="24"/>
        <v>NO</v>
      </c>
      <c r="AM111" s="22" t="str">
        <f t="shared" si="24"/>
        <v>NO</v>
      </c>
      <c r="AN111" s="22" t="str">
        <f t="shared" si="24"/>
        <v>NO</v>
      </c>
      <c r="AO111" s="22" t="str">
        <f t="shared" si="24"/>
        <v>NO</v>
      </c>
      <c r="AP111" s="22" t="str">
        <f t="shared" si="24"/>
        <v>NO</v>
      </c>
      <c r="AQ111" s="22" t="str">
        <f t="shared" si="24"/>
        <v>NO</v>
      </c>
      <c r="AR111" s="22" t="str">
        <f t="shared" si="24"/>
        <v>NO</v>
      </c>
      <c r="AS111" s="22" t="str">
        <f t="shared" si="24"/>
        <v>NO</v>
      </c>
      <c r="AT111" s="22" t="str">
        <f t="shared" si="24"/>
        <v>NO</v>
      </c>
      <c r="AU111" s="22" t="str">
        <f t="shared" si="24"/>
        <v>NO</v>
      </c>
      <c r="AV111" s="22" t="str">
        <f t="shared" si="24"/>
        <v>NO</v>
      </c>
      <c r="AW111" s="22" t="str">
        <f t="shared" si="24"/>
        <v>NO</v>
      </c>
      <c r="AY111" s="79"/>
    </row>
    <row r="112" spans="1:51" x14ac:dyDescent="0.3">
      <c r="A112" s="95" t="str">
        <f t="shared" si="0"/>
        <v>FS Leaching</v>
      </c>
      <c r="B112" s="95" t="s">
        <v>1004</v>
      </c>
      <c r="C112" s="95" t="s">
        <v>1190</v>
      </c>
      <c r="D112" t="s">
        <v>369</v>
      </c>
      <c r="E112" t="s">
        <v>61</v>
      </c>
      <c r="F112" t="s">
        <v>63</v>
      </c>
      <c r="G112" t="s">
        <v>1197</v>
      </c>
      <c r="H112" t="s">
        <v>1198</v>
      </c>
      <c r="I112" t="s">
        <v>139</v>
      </c>
      <c r="J112" t="s">
        <v>287</v>
      </c>
      <c r="K112" s="22">
        <f t="shared" si="16"/>
        <v>1.1867590793806392E-4</v>
      </c>
      <c r="L112" s="22">
        <f t="shared" si="24"/>
        <v>1.1853617037070301E-4</v>
      </c>
      <c r="M112" s="22">
        <f t="shared" si="24"/>
        <v>1.1839643280334203E-4</v>
      </c>
      <c r="N112" s="22">
        <f t="shared" si="24"/>
        <v>1.1825669523598106E-4</v>
      </c>
      <c r="O112" s="22">
        <f t="shared" si="24"/>
        <v>1.1811695766862012E-4</v>
      </c>
      <c r="P112" s="22">
        <f t="shared" si="24"/>
        <v>1.1797722010125916E-4</v>
      </c>
      <c r="Q112" s="22">
        <f t="shared" si="24"/>
        <v>1.178374825338982E-4</v>
      </c>
      <c r="R112" s="22">
        <f t="shared" si="24"/>
        <v>1.1769774496653728E-4</v>
      </c>
      <c r="S112" s="22">
        <f t="shared" si="24"/>
        <v>1.1755800739917633E-4</v>
      </c>
      <c r="T112" s="22">
        <f t="shared" si="24"/>
        <v>1.174182698318154E-4</v>
      </c>
      <c r="U112" s="22">
        <f t="shared" si="24"/>
        <v>1.1727853226445441E-4</v>
      </c>
      <c r="V112" s="22">
        <f t="shared" si="24"/>
        <v>1.1713879469709348E-4</v>
      </c>
      <c r="W112" s="22">
        <f t="shared" si="24"/>
        <v>1.1699905712973254E-4</v>
      </c>
      <c r="X112" s="22">
        <f t="shared" si="24"/>
        <v>1.168593195623716E-4</v>
      </c>
      <c r="Y112" s="22">
        <f t="shared" si="24"/>
        <v>1.1671958199501069E-4</v>
      </c>
      <c r="Z112" s="22">
        <f t="shared" si="24"/>
        <v>1.1657984442764968E-4</v>
      </c>
      <c r="AA112" s="22">
        <f t="shared" si="24"/>
        <v>1.1644010686028878E-4</v>
      </c>
      <c r="AB112" s="22">
        <f t="shared" si="24"/>
        <v>1.1630036929292779E-4</v>
      </c>
      <c r="AC112" s="22">
        <f t="shared" si="24"/>
        <v>1.1616063172556689E-4</v>
      </c>
      <c r="AD112" s="22">
        <f t="shared" si="24"/>
        <v>1.1602089415820588E-4</v>
      </c>
      <c r="AE112" s="22">
        <f t="shared" si="24"/>
        <v>1.1588115659084502E-4</v>
      </c>
      <c r="AF112" s="22">
        <f t="shared" si="24"/>
        <v>1.1574141902348403E-4</v>
      </c>
      <c r="AG112" s="22">
        <f t="shared" si="24"/>
        <v>1.1560168145612309E-4</v>
      </c>
      <c r="AH112" s="22">
        <f t="shared" si="24"/>
        <v>1.154619438887621E-4</v>
      </c>
      <c r="AI112" s="22">
        <f t="shared" si="24"/>
        <v>1.1532220632140118E-4</v>
      </c>
      <c r="AJ112" s="22">
        <f t="shared" si="24"/>
        <v>1.1518246875404022E-4</v>
      </c>
      <c r="AK112" s="22">
        <f t="shared" si="24"/>
        <v>1.1504273118667928E-4</v>
      </c>
      <c r="AL112" s="22">
        <f t="shared" si="24"/>
        <v>1.1490299361931835E-4</v>
      </c>
      <c r="AM112" s="22">
        <f t="shared" si="24"/>
        <v>1.1476325605195744E-4</v>
      </c>
      <c r="AN112" s="22">
        <f t="shared" si="24"/>
        <v>1.1462351848459642E-4</v>
      </c>
      <c r="AO112" s="22">
        <f t="shared" si="24"/>
        <v>1.1448378091723552E-4</v>
      </c>
      <c r="AP112" s="22">
        <f t="shared" si="24"/>
        <v>1.1434404334987458E-4</v>
      </c>
      <c r="AQ112" s="22">
        <f t="shared" si="24"/>
        <v>1.1420430578251366E-4</v>
      </c>
      <c r="AR112" s="22">
        <f t="shared" si="24"/>
        <v>1.1406456821515268E-4</v>
      </c>
      <c r="AS112" s="22">
        <f t="shared" si="24"/>
        <v>1.1392483064779174E-4</v>
      </c>
      <c r="AT112" s="22">
        <f t="shared" si="24"/>
        <v>1.1378509308043078E-4</v>
      </c>
      <c r="AU112" s="22">
        <f t="shared" si="24"/>
        <v>1.136453555130698E-4</v>
      </c>
      <c r="AV112" s="22">
        <f t="shared" si="24"/>
        <v>1.1350561794570888E-4</v>
      </c>
      <c r="AW112" s="22">
        <f t="shared" si="24"/>
        <v>1.1336588037834792E-4</v>
      </c>
      <c r="AY112" s="79"/>
    </row>
    <row r="113" spans="1:51" x14ac:dyDescent="0.3">
      <c r="A113" s="95" t="str">
        <f t="shared" si="0"/>
        <v>FS Leaching</v>
      </c>
      <c r="B113" s="95" t="s">
        <v>1004</v>
      </c>
      <c r="C113" s="95" t="s">
        <v>1190</v>
      </c>
      <c r="D113" t="s">
        <v>369</v>
      </c>
      <c r="E113" t="s">
        <v>61</v>
      </c>
      <c r="F113" t="s">
        <v>63</v>
      </c>
      <c r="G113" t="s">
        <v>1199</v>
      </c>
      <c r="H113" t="s">
        <v>1200</v>
      </c>
      <c r="I113" t="s">
        <v>139</v>
      </c>
      <c r="J113" t="s">
        <v>287</v>
      </c>
      <c r="K113" s="22">
        <f t="shared" si="16"/>
        <v>1.6912231388729011E-2</v>
      </c>
      <c r="L113" s="22">
        <f t="shared" si="24"/>
        <v>1.6951420148247919E-2</v>
      </c>
      <c r="M113" s="22">
        <f t="shared" si="24"/>
        <v>1.6990608907766828E-2</v>
      </c>
      <c r="N113" s="22">
        <f t="shared" si="24"/>
        <v>1.702979766728574E-2</v>
      </c>
      <c r="O113" s="22">
        <f t="shared" si="24"/>
        <v>1.7068986426804648E-2</v>
      </c>
      <c r="P113" s="22">
        <f t="shared" si="24"/>
        <v>1.7108175186323554E-2</v>
      </c>
      <c r="Q113" s="22">
        <f t="shared" si="24"/>
        <v>1.7147363945842466E-2</v>
      </c>
      <c r="R113" s="22">
        <f t="shared" si="24"/>
        <v>1.7186552705361371E-2</v>
      </c>
      <c r="S113" s="22">
        <f t="shared" si="24"/>
        <v>1.7225741464880276E-2</v>
      </c>
      <c r="T113" s="22">
        <f t="shared" si="24"/>
        <v>1.7264930224399191E-2</v>
      </c>
      <c r="U113" s="22">
        <f t="shared" si="24"/>
        <v>1.7304118983918097E-2</v>
      </c>
      <c r="V113" s="22">
        <f t="shared" si="24"/>
        <v>1.7343307743437009E-2</v>
      </c>
      <c r="W113" s="22">
        <f t="shared" si="24"/>
        <v>1.7382496502955917E-2</v>
      </c>
      <c r="X113" s="22">
        <f t="shared" si="24"/>
        <v>1.7421685262474829E-2</v>
      </c>
      <c r="Y113" s="22">
        <f t="shared" si="24"/>
        <v>1.7460874021993734E-2</v>
      </c>
      <c r="Z113" s="22">
        <f t="shared" si="24"/>
        <v>1.750006278151265E-2</v>
      </c>
      <c r="AA113" s="22">
        <f t="shared" si="24"/>
        <v>1.7539251541031548E-2</v>
      </c>
      <c r="AB113" s="22">
        <f t="shared" si="24"/>
        <v>1.7578440300550464E-2</v>
      </c>
      <c r="AC113" s="22">
        <f t="shared" si="24"/>
        <v>1.7617629060069376E-2</v>
      </c>
      <c r="AD113" s="22">
        <f t="shared" si="24"/>
        <v>1.7656817819588281E-2</v>
      </c>
      <c r="AE113" s="22">
        <f t="shared" si="24"/>
        <v>1.769600657910719E-2</v>
      </c>
      <c r="AF113" s="22">
        <f t="shared" si="24"/>
        <v>1.7735195338626102E-2</v>
      </c>
      <c r="AG113" s="22">
        <f t="shared" si="24"/>
        <v>1.777438409814501E-2</v>
      </c>
      <c r="AH113" s="22">
        <f t="shared" si="24"/>
        <v>1.7813572857663919E-2</v>
      </c>
      <c r="AI113" s="22">
        <f t="shared" si="24"/>
        <v>1.7852761617182831E-2</v>
      </c>
      <c r="AJ113" s="22">
        <f t="shared" si="24"/>
        <v>1.7891950376701736E-2</v>
      </c>
      <c r="AK113" s="22">
        <f t="shared" si="24"/>
        <v>1.7931139136220645E-2</v>
      </c>
      <c r="AL113" s="22">
        <f t="shared" si="24"/>
        <v>1.7970327895739557E-2</v>
      </c>
      <c r="AM113" s="22">
        <f t="shared" si="24"/>
        <v>1.8009516655258465E-2</v>
      </c>
      <c r="AN113" s="22">
        <f t="shared" si="24"/>
        <v>1.8048705414777374E-2</v>
      </c>
      <c r="AO113" s="22">
        <f t="shared" si="24"/>
        <v>1.8087894174296286E-2</v>
      </c>
      <c r="AP113" s="22">
        <f t="shared" si="24"/>
        <v>1.8127082933815188E-2</v>
      </c>
      <c r="AQ113" s="22">
        <f t="shared" si="24"/>
        <v>1.8166271693334096E-2</v>
      </c>
      <c r="AR113" s="22">
        <f t="shared" si="24"/>
        <v>1.8205460452853015E-2</v>
      </c>
      <c r="AS113" s="22">
        <f t="shared" si="24"/>
        <v>1.8244649212371917E-2</v>
      </c>
      <c r="AT113" s="22">
        <f t="shared" si="24"/>
        <v>1.8283837971890825E-2</v>
      </c>
      <c r="AU113" s="22">
        <f t="shared" si="24"/>
        <v>1.8323026731409734E-2</v>
      </c>
      <c r="AV113" s="22">
        <f t="shared" si="24"/>
        <v>1.8362215490928643E-2</v>
      </c>
      <c r="AW113" s="22">
        <f t="shared" si="24"/>
        <v>1.8401404250447555E-2</v>
      </c>
      <c r="AY113" s="79"/>
    </row>
    <row r="114" spans="1:51" x14ac:dyDescent="0.3">
      <c r="A114" s="95" t="str">
        <f t="shared" si="0"/>
        <v>FS Leaching</v>
      </c>
      <c r="B114" s="95" t="s">
        <v>1004</v>
      </c>
      <c r="C114" s="95" t="s">
        <v>1190</v>
      </c>
      <c r="D114" t="s">
        <v>369</v>
      </c>
      <c r="E114" t="s">
        <v>61</v>
      </c>
      <c r="F114" t="s">
        <v>63</v>
      </c>
      <c r="G114" t="s">
        <v>1201</v>
      </c>
      <c r="H114" t="s">
        <v>1202</v>
      </c>
      <c r="I114" t="s">
        <v>139</v>
      </c>
      <c r="J114" t="s">
        <v>287</v>
      </c>
      <c r="K114" s="22">
        <f t="shared" si="16"/>
        <v>1.9871041213735664E-2</v>
      </c>
      <c r="L114" s="22">
        <f t="shared" si="24"/>
        <v>1.9871041213735664E-2</v>
      </c>
      <c r="M114" s="22">
        <f t="shared" si="24"/>
        <v>1.9871041213735664E-2</v>
      </c>
      <c r="N114" s="22">
        <f t="shared" si="24"/>
        <v>1.9871041213735664E-2</v>
      </c>
      <c r="O114" s="22">
        <f t="shared" si="24"/>
        <v>1.9871041213735664E-2</v>
      </c>
      <c r="P114" s="22">
        <f t="shared" si="24"/>
        <v>1.9871041213735664E-2</v>
      </c>
      <c r="Q114" s="22">
        <f t="shared" si="24"/>
        <v>1.9871041213735664E-2</v>
      </c>
      <c r="R114" s="22">
        <f t="shared" si="24"/>
        <v>1.9871041213735664E-2</v>
      </c>
      <c r="S114" s="22">
        <f t="shared" si="24"/>
        <v>1.9871041213735664E-2</v>
      </c>
      <c r="T114" s="22">
        <f t="shared" si="24"/>
        <v>1.9871041213735664E-2</v>
      </c>
      <c r="U114" s="22">
        <f t="shared" si="24"/>
        <v>1.9871041213735664E-2</v>
      </c>
      <c r="V114" s="22">
        <f t="shared" si="24"/>
        <v>1.9871041213735664E-2</v>
      </c>
      <c r="W114" s="22">
        <f t="shared" si="24"/>
        <v>1.9871041213735664E-2</v>
      </c>
      <c r="X114" s="22">
        <f t="shared" si="24"/>
        <v>1.9871041213735664E-2</v>
      </c>
      <c r="Y114" s="22">
        <f t="shared" si="24"/>
        <v>1.9871041213735664E-2</v>
      </c>
      <c r="Z114" s="22">
        <f t="shared" si="24"/>
        <v>1.9871041213735664E-2</v>
      </c>
      <c r="AA114" s="22">
        <f t="shared" si="24"/>
        <v>1.9871041213735664E-2</v>
      </c>
      <c r="AB114" s="22">
        <f t="shared" si="24"/>
        <v>1.9871041213735664E-2</v>
      </c>
      <c r="AC114" s="22">
        <f t="shared" si="24"/>
        <v>1.9871041213735664E-2</v>
      </c>
      <c r="AD114" s="22">
        <f t="shared" si="24"/>
        <v>1.9871041213735664E-2</v>
      </c>
      <c r="AE114" s="22">
        <f t="shared" si="24"/>
        <v>1.9871041213735664E-2</v>
      </c>
      <c r="AF114" s="22">
        <f t="shared" si="24"/>
        <v>1.9871041213735664E-2</v>
      </c>
      <c r="AG114" s="22">
        <f t="shared" si="24"/>
        <v>1.9871041213735664E-2</v>
      </c>
      <c r="AH114" s="22">
        <f t="shared" si="24"/>
        <v>1.9871041213735664E-2</v>
      </c>
      <c r="AI114" s="22">
        <f t="shared" si="24"/>
        <v>1.9871041213735664E-2</v>
      </c>
      <c r="AJ114" s="22">
        <f t="shared" si="24"/>
        <v>1.9871041213735664E-2</v>
      </c>
      <c r="AK114" s="22">
        <f t="shared" si="24"/>
        <v>1.9871041213735664E-2</v>
      </c>
      <c r="AL114" s="22">
        <f t="shared" si="24"/>
        <v>1.9871041213735664E-2</v>
      </c>
      <c r="AM114" s="22">
        <f t="shared" si="24"/>
        <v>1.9871041213735664E-2</v>
      </c>
      <c r="AN114" s="22">
        <f t="shared" si="24"/>
        <v>1.9871041213735664E-2</v>
      </c>
      <c r="AO114" s="22">
        <f t="shared" si="24"/>
        <v>1.9871041213735664E-2</v>
      </c>
      <c r="AP114" s="22">
        <f t="shared" ref="L114:AW121" si="25">AP1523</f>
        <v>1.9871041213735664E-2</v>
      </c>
      <c r="AQ114" s="22">
        <f t="shared" si="25"/>
        <v>1.9871041213735664E-2</v>
      </c>
      <c r="AR114" s="22">
        <f t="shared" si="25"/>
        <v>1.9871041213735664E-2</v>
      </c>
      <c r="AS114" s="22">
        <f t="shared" si="25"/>
        <v>1.9871041213735664E-2</v>
      </c>
      <c r="AT114" s="22">
        <f t="shared" si="25"/>
        <v>1.9871041213735664E-2</v>
      </c>
      <c r="AU114" s="22">
        <f t="shared" si="25"/>
        <v>1.9871041213735664E-2</v>
      </c>
      <c r="AV114" s="22">
        <f t="shared" si="25"/>
        <v>1.9871041213735664E-2</v>
      </c>
      <c r="AW114" s="22">
        <f t="shared" si="25"/>
        <v>1.9871041213735664E-2</v>
      </c>
      <c r="AY114" s="79"/>
    </row>
    <row r="115" spans="1:51" x14ac:dyDescent="0.3">
      <c r="A115" s="95" t="str">
        <f t="shared" si="0"/>
        <v>FS Leaching</v>
      </c>
      <c r="B115" s="95" t="s">
        <v>1004</v>
      </c>
      <c r="C115" s="95" t="s">
        <v>1190</v>
      </c>
      <c r="D115" t="s">
        <v>369</v>
      </c>
      <c r="E115" t="s">
        <v>61</v>
      </c>
      <c r="F115" t="s">
        <v>63</v>
      </c>
      <c r="G115" t="s">
        <v>1203</v>
      </c>
      <c r="H115" t="s">
        <v>1204</v>
      </c>
      <c r="I115" t="s">
        <v>139</v>
      </c>
      <c r="J115" t="s">
        <v>287</v>
      </c>
      <c r="K115" s="22" t="str">
        <f t="shared" si="16"/>
        <v>NO</v>
      </c>
      <c r="L115" s="22" t="str">
        <f t="shared" si="25"/>
        <v>NO</v>
      </c>
      <c r="M115" s="22" t="str">
        <f t="shared" si="25"/>
        <v>NO</v>
      </c>
      <c r="N115" s="22" t="str">
        <f t="shared" si="25"/>
        <v>NO</v>
      </c>
      <c r="O115" s="22" t="str">
        <f t="shared" si="25"/>
        <v>NO</v>
      </c>
      <c r="P115" s="22" t="str">
        <f t="shared" si="25"/>
        <v>NO</v>
      </c>
      <c r="Q115" s="22" t="str">
        <f t="shared" si="25"/>
        <v>NO</v>
      </c>
      <c r="R115" s="22" t="str">
        <f t="shared" si="25"/>
        <v>NO</v>
      </c>
      <c r="S115" s="22" t="str">
        <f t="shared" si="25"/>
        <v>NO</v>
      </c>
      <c r="T115" s="22" t="str">
        <f t="shared" si="25"/>
        <v>NO</v>
      </c>
      <c r="U115" s="22" t="str">
        <f t="shared" si="25"/>
        <v>NO</v>
      </c>
      <c r="V115" s="22" t="str">
        <f t="shared" si="25"/>
        <v>NO</v>
      </c>
      <c r="W115" s="22" t="str">
        <f t="shared" si="25"/>
        <v>NO</v>
      </c>
      <c r="X115" s="22" t="str">
        <f t="shared" si="25"/>
        <v>NO</v>
      </c>
      <c r="Y115" s="22" t="str">
        <f t="shared" si="25"/>
        <v>NO</v>
      </c>
      <c r="Z115" s="22" t="str">
        <f t="shared" si="25"/>
        <v>NO</v>
      </c>
      <c r="AA115" s="22" t="str">
        <f t="shared" si="25"/>
        <v>NO</v>
      </c>
      <c r="AB115" s="22" t="str">
        <f t="shared" si="25"/>
        <v>NO</v>
      </c>
      <c r="AC115" s="22" t="str">
        <f t="shared" si="25"/>
        <v>NO</v>
      </c>
      <c r="AD115" s="22" t="str">
        <f t="shared" si="25"/>
        <v>NO</v>
      </c>
      <c r="AE115" s="22" t="str">
        <f t="shared" si="25"/>
        <v>NO</v>
      </c>
      <c r="AF115" s="22" t="str">
        <f t="shared" si="25"/>
        <v>NO</v>
      </c>
      <c r="AG115" s="22" t="str">
        <f t="shared" si="25"/>
        <v>NO</v>
      </c>
      <c r="AH115" s="22" t="str">
        <f t="shared" si="25"/>
        <v>NO</v>
      </c>
      <c r="AI115" s="22" t="str">
        <f t="shared" si="25"/>
        <v>NO</v>
      </c>
      <c r="AJ115" s="22" t="str">
        <f t="shared" si="25"/>
        <v>NO</v>
      </c>
      <c r="AK115" s="22" t="str">
        <f t="shared" si="25"/>
        <v>NO</v>
      </c>
      <c r="AL115" s="22" t="str">
        <f t="shared" si="25"/>
        <v>NO</v>
      </c>
      <c r="AM115" s="22" t="str">
        <f t="shared" si="25"/>
        <v>NO</v>
      </c>
      <c r="AN115" s="22" t="str">
        <f t="shared" si="25"/>
        <v>NO</v>
      </c>
      <c r="AO115" s="22" t="str">
        <f t="shared" si="25"/>
        <v>NO</v>
      </c>
      <c r="AP115" s="22" t="str">
        <f t="shared" si="25"/>
        <v>NO</v>
      </c>
      <c r="AQ115" s="22" t="str">
        <f t="shared" si="25"/>
        <v>NO</v>
      </c>
      <c r="AR115" s="22" t="str">
        <f t="shared" si="25"/>
        <v>NO</v>
      </c>
      <c r="AS115" s="22" t="str">
        <f t="shared" si="25"/>
        <v>NO</v>
      </c>
      <c r="AT115" s="22" t="str">
        <f t="shared" si="25"/>
        <v>NO</v>
      </c>
      <c r="AU115" s="22" t="str">
        <f t="shared" si="25"/>
        <v>NO</v>
      </c>
      <c r="AV115" s="22" t="str">
        <f t="shared" si="25"/>
        <v>NO</v>
      </c>
      <c r="AW115" s="22" t="str">
        <f t="shared" si="25"/>
        <v>NO</v>
      </c>
      <c r="AY115" s="79"/>
    </row>
    <row r="116" spans="1:51" x14ac:dyDescent="0.3">
      <c r="A116" s="95" t="str">
        <f t="shared" si="0"/>
        <v>FS Leaching</v>
      </c>
      <c r="B116" s="95" t="s">
        <v>1004</v>
      </c>
      <c r="C116" s="95" t="s">
        <v>1190</v>
      </c>
      <c r="D116" t="s">
        <v>369</v>
      </c>
      <c r="E116" t="s">
        <v>61</v>
      </c>
      <c r="F116" t="s">
        <v>63</v>
      </c>
      <c r="G116" t="s">
        <v>1205</v>
      </c>
      <c r="H116" t="s">
        <v>1206</v>
      </c>
      <c r="I116" t="s">
        <v>139</v>
      </c>
      <c r="J116" t="s">
        <v>287</v>
      </c>
      <c r="K116" s="22" t="str">
        <f t="shared" si="16"/>
        <v>NO</v>
      </c>
      <c r="L116" s="22" t="str">
        <f t="shared" si="25"/>
        <v>NO</v>
      </c>
      <c r="M116" s="22" t="str">
        <f t="shared" si="25"/>
        <v>NO</v>
      </c>
      <c r="N116" s="22" t="str">
        <f t="shared" si="25"/>
        <v>NO</v>
      </c>
      <c r="O116" s="22" t="str">
        <f t="shared" si="25"/>
        <v>NO</v>
      </c>
      <c r="P116" s="22" t="str">
        <f t="shared" si="25"/>
        <v>NO</v>
      </c>
      <c r="Q116" s="22" t="str">
        <f t="shared" si="25"/>
        <v>NO</v>
      </c>
      <c r="R116" s="22" t="str">
        <f t="shared" si="25"/>
        <v>NO</v>
      </c>
      <c r="S116" s="22" t="str">
        <f t="shared" si="25"/>
        <v>NO</v>
      </c>
      <c r="T116" s="22" t="str">
        <f t="shared" si="25"/>
        <v>NO</v>
      </c>
      <c r="U116" s="22" t="str">
        <f t="shared" si="25"/>
        <v>NO</v>
      </c>
      <c r="V116" s="22" t="str">
        <f t="shared" si="25"/>
        <v>NO</v>
      </c>
      <c r="W116" s="22" t="str">
        <f t="shared" si="25"/>
        <v>NO</v>
      </c>
      <c r="X116" s="22" t="str">
        <f t="shared" si="25"/>
        <v>NO</v>
      </c>
      <c r="Y116" s="22" t="str">
        <f t="shared" si="25"/>
        <v>NO</v>
      </c>
      <c r="Z116" s="22" t="str">
        <f t="shared" si="25"/>
        <v>NO</v>
      </c>
      <c r="AA116" s="22" t="str">
        <f t="shared" si="25"/>
        <v>NO</v>
      </c>
      <c r="AB116" s="22" t="str">
        <f t="shared" si="25"/>
        <v>NO</v>
      </c>
      <c r="AC116" s="22" t="str">
        <f t="shared" si="25"/>
        <v>NO</v>
      </c>
      <c r="AD116" s="22" t="str">
        <f t="shared" si="25"/>
        <v>NO</v>
      </c>
      <c r="AE116" s="22" t="str">
        <f t="shared" si="25"/>
        <v>NO</v>
      </c>
      <c r="AF116" s="22" t="str">
        <f t="shared" si="25"/>
        <v>NO</v>
      </c>
      <c r="AG116" s="22" t="str">
        <f t="shared" si="25"/>
        <v>NO</v>
      </c>
      <c r="AH116" s="22" t="str">
        <f t="shared" si="25"/>
        <v>NO</v>
      </c>
      <c r="AI116" s="22" t="str">
        <f t="shared" si="25"/>
        <v>NO</v>
      </c>
      <c r="AJ116" s="22" t="str">
        <f t="shared" si="25"/>
        <v>NO</v>
      </c>
      <c r="AK116" s="22" t="str">
        <f t="shared" si="25"/>
        <v>NO</v>
      </c>
      <c r="AL116" s="22" t="str">
        <f t="shared" si="25"/>
        <v>NO</v>
      </c>
      <c r="AM116" s="22" t="str">
        <f t="shared" si="25"/>
        <v>NO</v>
      </c>
      <c r="AN116" s="22" t="str">
        <f t="shared" si="25"/>
        <v>NO</v>
      </c>
      <c r="AO116" s="22" t="str">
        <f t="shared" si="25"/>
        <v>NO</v>
      </c>
      <c r="AP116" s="22" t="str">
        <f t="shared" si="25"/>
        <v>NO</v>
      </c>
      <c r="AQ116" s="22" t="str">
        <f t="shared" si="25"/>
        <v>NO</v>
      </c>
      <c r="AR116" s="22" t="str">
        <f t="shared" si="25"/>
        <v>NO</v>
      </c>
      <c r="AS116" s="22" t="str">
        <f t="shared" si="25"/>
        <v>NO</v>
      </c>
      <c r="AT116" s="22" t="str">
        <f t="shared" si="25"/>
        <v>NO</v>
      </c>
      <c r="AU116" s="22" t="str">
        <f t="shared" si="25"/>
        <v>NO</v>
      </c>
      <c r="AV116" s="22" t="str">
        <f t="shared" si="25"/>
        <v>NO</v>
      </c>
      <c r="AW116" s="22" t="str">
        <f t="shared" si="25"/>
        <v>NO</v>
      </c>
      <c r="AY116" s="79"/>
    </row>
    <row r="117" spans="1:51" x14ac:dyDescent="0.3">
      <c r="A117" s="95" t="str">
        <f t="shared" si="0"/>
        <v>FS Leaching</v>
      </c>
      <c r="B117" s="95" t="s">
        <v>1004</v>
      </c>
      <c r="C117" s="95" t="s">
        <v>1190</v>
      </c>
      <c r="D117" t="s">
        <v>369</v>
      </c>
      <c r="E117" t="s">
        <v>61</v>
      </c>
      <c r="F117" t="s">
        <v>63</v>
      </c>
      <c r="G117" t="s">
        <v>1207</v>
      </c>
      <c r="H117" t="s">
        <v>1208</v>
      </c>
      <c r="I117" t="s">
        <v>139</v>
      </c>
      <c r="J117" t="s">
        <v>287</v>
      </c>
      <c r="K117" s="22" t="str">
        <f t="shared" si="16"/>
        <v>NO</v>
      </c>
      <c r="L117" s="22" t="str">
        <f t="shared" si="25"/>
        <v>NO</v>
      </c>
      <c r="M117" s="22" t="str">
        <f t="shared" si="25"/>
        <v>NO</v>
      </c>
      <c r="N117" s="22" t="str">
        <f t="shared" si="25"/>
        <v>NO</v>
      </c>
      <c r="O117" s="22" t="str">
        <f t="shared" si="25"/>
        <v>NO</v>
      </c>
      <c r="P117" s="22" t="str">
        <f t="shared" si="25"/>
        <v>NO</v>
      </c>
      <c r="Q117" s="22" t="str">
        <f t="shared" si="25"/>
        <v>NO</v>
      </c>
      <c r="R117" s="22" t="str">
        <f t="shared" si="25"/>
        <v>NO</v>
      </c>
      <c r="S117" s="22" t="str">
        <f t="shared" si="25"/>
        <v>NO</v>
      </c>
      <c r="T117" s="22" t="str">
        <f t="shared" si="25"/>
        <v>NO</v>
      </c>
      <c r="U117" s="22" t="str">
        <f t="shared" si="25"/>
        <v>NO</v>
      </c>
      <c r="V117" s="22" t="str">
        <f t="shared" si="25"/>
        <v>NO</v>
      </c>
      <c r="W117" s="22" t="str">
        <f t="shared" si="25"/>
        <v>NO</v>
      </c>
      <c r="X117" s="22" t="str">
        <f t="shared" si="25"/>
        <v>NO</v>
      </c>
      <c r="Y117" s="22" t="str">
        <f t="shared" si="25"/>
        <v>NO</v>
      </c>
      <c r="Z117" s="22" t="str">
        <f t="shared" si="25"/>
        <v>NO</v>
      </c>
      <c r="AA117" s="22" t="str">
        <f t="shared" si="25"/>
        <v>NO</v>
      </c>
      <c r="AB117" s="22" t="str">
        <f t="shared" si="25"/>
        <v>NO</v>
      </c>
      <c r="AC117" s="22" t="str">
        <f t="shared" si="25"/>
        <v>NO</v>
      </c>
      <c r="AD117" s="22" t="str">
        <f t="shared" si="25"/>
        <v>NO</v>
      </c>
      <c r="AE117" s="22" t="str">
        <f t="shared" si="25"/>
        <v>NO</v>
      </c>
      <c r="AF117" s="22" t="str">
        <f t="shared" si="25"/>
        <v>NO</v>
      </c>
      <c r="AG117" s="22" t="str">
        <f t="shared" si="25"/>
        <v>NO</v>
      </c>
      <c r="AH117" s="22" t="str">
        <f t="shared" si="25"/>
        <v>NO</v>
      </c>
      <c r="AI117" s="22" t="str">
        <f t="shared" si="25"/>
        <v>NO</v>
      </c>
      <c r="AJ117" s="22" t="str">
        <f t="shared" si="25"/>
        <v>NO</v>
      </c>
      <c r="AK117" s="22" t="str">
        <f t="shared" si="25"/>
        <v>NO</v>
      </c>
      <c r="AL117" s="22" t="str">
        <f t="shared" si="25"/>
        <v>NO</v>
      </c>
      <c r="AM117" s="22" t="str">
        <f t="shared" si="25"/>
        <v>NO</v>
      </c>
      <c r="AN117" s="22" t="str">
        <f t="shared" si="25"/>
        <v>NO</v>
      </c>
      <c r="AO117" s="22" t="str">
        <f t="shared" si="25"/>
        <v>NO</v>
      </c>
      <c r="AP117" s="22" t="str">
        <f t="shared" si="25"/>
        <v>NO</v>
      </c>
      <c r="AQ117" s="22" t="str">
        <f t="shared" si="25"/>
        <v>NO</v>
      </c>
      <c r="AR117" s="22" t="str">
        <f t="shared" si="25"/>
        <v>NO</v>
      </c>
      <c r="AS117" s="22" t="str">
        <f t="shared" si="25"/>
        <v>NO</v>
      </c>
      <c r="AT117" s="22" t="str">
        <f t="shared" si="25"/>
        <v>NO</v>
      </c>
      <c r="AU117" s="22" t="str">
        <f t="shared" si="25"/>
        <v>NO</v>
      </c>
      <c r="AV117" s="22" t="str">
        <f t="shared" si="25"/>
        <v>NO</v>
      </c>
      <c r="AW117" s="22" t="str">
        <f t="shared" si="25"/>
        <v>NO</v>
      </c>
      <c r="AY117" s="79"/>
    </row>
    <row r="118" spans="1:51" x14ac:dyDescent="0.3">
      <c r="A118" s="95" t="str">
        <f t="shared" si="0"/>
        <v>FS Leaching</v>
      </c>
      <c r="B118" s="95" t="s">
        <v>1004</v>
      </c>
      <c r="C118" s="95" t="s">
        <v>1190</v>
      </c>
      <c r="D118" t="s">
        <v>369</v>
      </c>
      <c r="E118" t="s">
        <v>61</v>
      </c>
      <c r="F118" t="s">
        <v>63</v>
      </c>
      <c r="G118" t="s">
        <v>1209</v>
      </c>
      <c r="H118" t="s">
        <v>1210</v>
      </c>
      <c r="I118" t="s">
        <v>139</v>
      </c>
      <c r="J118" t="s">
        <v>287</v>
      </c>
      <c r="K118" s="22">
        <f t="shared" si="16"/>
        <v>1.9333864620707719E-6</v>
      </c>
      <c r="L118" s="22">
        <f t="shared" si="25"/>
        <v>1.9333864620707719E-6</v>
      </c>
      <c r="M118" s="22">
        <f t="shared" si="25"/>
        <v>1.9333864620707719E-6</v>
      </c>
      <c r="N118" s="22">
        <f t="shared" si="25"/>
        <v>1.9333864620707719E-6</v>
      </c>
      <c r="O118" s="22">
        <f t="shared" si="25"/>
        <v>1.9333864620707719E-6</v>
      </c>
      <c r="P118" s="22">
        <f t="shared" si="25"/>
        <v>1.9333864620707719E-6</v>
      </c>
      <c r="Q118" s="22">
        <f t="shared" si="25"/>
        <v>1.9333864620707719E-6</v>
      </c>
      <c r="R118" s="22">
        <f t="shared" si="25"/>
        <v>1.9333864620707719E-6</v>
      </c>
      <c r="S118" s="22">
        <f t="shared" si="25"/>
        <v>1.9333864620707719E-6</v>
      </c>
      <c r="T118" s="22">
        <f t="shared" si="25"/>
        <v>1.9333864620707719E-6</v>
      </c>
      <c r="U118" s="22">
        <f t="shared" si="25"/>
        <v>1.9333864620707719E-6</v>
      </c>
      <c r="V118" s="22">
        <f t="shared" si="25"/>
        <v>1.9333864620707719E-6</v>
      </c>
      <c r="W118" s="22">
        <f t="shared" si="25"/>
        <v>1.9333864620707719E-6</v>
      </c>
      <c r="X118" s="22">
        <f t="shared" si="25"/>
        <v>1.9333864620707719E-6</v>
      </c>
      <c r="Y118" s="22">
        <f t="shared" si="25"/>
        <v>1.9333864620707719E-6</v>
      </c>
      <c r="Z118" s="22">
        <f t="shared" si="25"/>
        <v>1.9333864620707719E-6</v>
      </c>
      <c r="AA118" s="22">
        <f t="shared" si="25"/>
        <v>1.9333864620707719E-6</v>
      </c>
      <c r="AB118" s="22">
        <f t="shared" si="25"/>
        <v>1.9333864620707719E-6</v>
      </c>
      <c r="AC118" s="22">
        <f t="shared" si="25"/>
        <v>1.9333864620707719E-6</v>
      </c>
      <c r="AD118" s="22">
        <f t="shared" si="25"/>
        <v>1.9333864620707719E-6</v>
      </c>
      <c r="AE118" s="22">
        <f t="shared" si="25"/>
        <v>1.9333864620707719E-6</v>
      </c>
      <c r="AF118" s="22">
        <f t="shared" si="25"/>
        <v>1.9333864620707719E-6</v>
      </c>
      <c r="AG118" s="22">
        <f t="shared" si="25"/>
        <v>1.9333864620707719E-6</v>
      </c>
      <c r="AH118" s="22">
        <f t="shared" si="25"/>
        <v>1.9333864620707719E-6</v>
      </c>
      <c r="AI118" s="22">
        <f t="shared" si="25"/>
        <v>1.9333864620707719E-6</v>
      </c>
      <c r="AJ118" s="22">
        <f t="shared" si="25"/>
        <v>1.9333864620707719E-6</v>
      </c>
      <c r="AK118" s="22">
        <f t="shared" si="25"/>
        <v>1.9333864620707719E-6</v>
      </c>
      <c r="AL118" s="22">
        <f t="shared" si="25"/>
        <v>1.9333864620707719E-6</v>
      </c>
      <c r="AM118" s="22">
        <f t="shared" si="25"/>
        <v>1.9333864620707719E-6</v>
      </c>
      <c r="AN118" s="22">
        <f t="shared" si="25"/>
        <v>1.9333864620707719E-6</v>
      </c>
      <c r="AO118" s="22">
        <f t="shared" si="25"/>
        <v>1.9333864620707719E-6</v>
      </c>
      <c r="AP118" s="22">
        <f t="shared" si="25"/>
        <v>1.9333864620707719E-6</v>
      </c>
      <c r="AQ118" s="22">
        <f t="shared" si="25"/>
        <v>1.9333864620707719E-6</v>
      </c>
      <c r="AR118" s="22">
        <f t="shared" si="25"/>
        <v>1.9333864620707719E-6</v>
      </c>
      <c r="AS118" s="22">
        <f t="shared" si="25"/>
        <v>1.9333864620707719E-6</v>
      </c>
      <c r="AT118" s="22">
        <f t="shared" si="25"/>
        <v>1.9333864620707719E-6</v>
      </c>
      <c r="AU118" s="22">
        <f t="shared" si="25"/>
        <v>1.9333864620707719E-6</v>
      </c>
      <c r="AV118" s="22">
        <f t="shared" si="25"/>
        <v>1.9333864620707719E-6</v>
      </c>
      <c r="AW118" s="22">
        <f t="shared" si="25"/>
        <v>1.9333864620707719E-6</v>
      </c>
      <c r="AY118" s="79"/>
    </row>
    <row r="119" spans="1:51" x14ac:dyDescent="0.3">
      <c r="A119" s="95" t="str">
        <f t="shared" si="0"/>
        <v>FS Leaching</v>
      </c>
      <c r="B119" s="95" t="s">
        <v>1004</v>
      </c>
      <c r="C119" s="95" t="s">
        <v>1190</v>
      </c>
      <c r="D119" t="s">
        <v>369</v>
      </c>
      <c r="E119" t="s">
        <v>61</v>
      </c>
      <c r="F119" t="s">
        <v>63</v>
      </c>
      <c r="G119" t="s">
        <v>1211</v>
      </c>
      <c r="H119" t="s">
        <v>1212</v>
      </c>
      <c r="I119" t="s">
        <v>139</v>
      </c>
      <c r="J119" t="s">
        <v>287</v>
      </c>
      <c r="K119" s="22">
        <f t="shared" ref="K119:Z153" si="26">K1528</f>
        <v>2.1082459751876198E-3</v>
      </c>
      <c r="L119" s="22">
        <f t="shared" si="26"/>
        <v>2.1082459751876198E-3</v>
      </c>
      <c r="M119" s="22">
        <f t="shared" si="26"/>
        <v>2.1082459751876198E-3</v>
      </c>
      <c r="N119" s="22">
        <f t="shared" si="26"/>
        <v>2.1082459751876198E-3</v>
      </c>
      <c r="O119" s="22">
        <f t="shared" si="26"/>
        <v>2.1082459751876198E-3</v>
      </c>
      <c r="P119" s="22">
        <f t="shared" si="26"/>
        <v>2.1082459751876198E-3</v>
      </c>
      <c r="Q119" s="22">
        <f t="shared" si="26"/>
        <v>2.1082459751876198E-3</v>
      </c>
      <c r="R119" s="22">
        <f t="shared" si="26"/>
        <v>2.1082459751876198E-3</v>
      </c>
      <c r="S119" s="22">
        <f t="shared" si="26"/>
        <v>2.1082459751876198E-3</v>
      </c>
      <c r="T119" s="22">
        <f t="shared" si="26"/>
        <v>2.1082459751876198E-3</v>
      </c>
      <c r="U119" s="22">
        <f t="shared" si="26"/>
        <v>2.1082459751876198E-3</v>
      </c>
      <c r="V119" s="22">
        <f t="shared" si="26"/>
        <v>2.1082459751876198E-3</v>
      </c>
      <c r="W119" s="22">
        <f t="shared" si="26"/>
        <v>2.1082459751876198E-3</v>
      </c>
      <c r="X119" s="22">
        <f t="shared" si="26"/>
        <v>2.1082459751876198E-3</v>
      </c>
      <c r="Y119" s="22">
        <f t="shared" si="26"/>
        <v>2.1082459751876198E-3</v>
      </c>
      <c r="Z119" s="22">
        <f t="shared" si="26"/>
        <v>2.1082459751876198E-3</v>
      </c>
      <c r="AA119" s="22">
        <f t="shared" si="25"/>
        <v>2.1082459751876198E-3</v>
      </c>
      <c r="AB119" s="22">
        <f t="shared" si="25"/>
        <v>2.1082459751876198E-3</v>
      </c>
      <c r="AC119" s="22">
        <f t="shared" si="25"/>
        <v>2.1082459751876198E-3</v>
      </c>
      <c r="AD119" s="22">
        <f t="shared" si="25"/>
        <v>2.1082459751876198E-3</v>
      </c>
      <c r="AE119" s="22">
        <f t="shared" si="25"/>
        <v>2.1082459751876198E-3</v>
      </c>
      <c r="AF119" s="22">
        <f t="shared" si="25"/>
        <v>2.1082459751876198E-3</v>
      </c>
      <c r="AG119" s="22">
        <f t="shared" si="25"/>
        <v>2.1082459751876198E-3</v>
      </c>
      <c r="AH119" s="22">
        <f t="shared" si="25"/>
        <v>2.1082459751876198E-3</v>
      </c>
      <c r="AI119" s="22">
        <f t="shared" si="25"/>
        <v>2.1082459751876198E-3</v>
      </c>
      <c r="AJ119" s="22">
        <f t="shared" si="25"/>
        <v>2.1082459751876198E-3</v>
      </c>
      <c r="AK119" s="22">
        <f t="shared" si="25"/>
        <v>2.1082459751876198E-3</v>
      </c>
      <c r="AL119" s="22">
        <f t="shared" si="25"/>
        <v>2.1082459751876198E-3</v>
      </c>
      <c r="AM119" s="22">
        <f t="shared" si="25"/>
        <v>2.1082459751876198E-3</v>
      </c>
      <c r="AN119" s="22">
        <f t="shared" si="25"/>
        <v>2.1082459751876198E-3</v>
      </c>
      <c r="AO119" s="22">
        <f t="shared" si="25"/>
        <v>2.1082459751876198E-3</v>
      </c>
      <c r="AP119" s="22">
        <f t="shared" si="25"/>
        <v>2.1082459751876198E-3</v>
      </c>
      <c r="AQ119" s="22">
        <f t="shared" si="25"/>
        <v>2.1082459751876198E-3</v>
      </c>
      <c r="AR119" s="22">
        <f t="shared" si="25"/>
        <v>2.1082459751876198E-3</v>
      </c>
      <c r="AS119" s="22">
        <f t="shared" si="25"/>
        <v>2.1082459751876198E-3</v>
      </c>
      <c r="AT119" s="22">
        <f t="shared" si="25"/>
        <v>2.1082459751876198E-3</v>
      </c>
      <c r="AU119" s="22">
        <f t="shared" si="25"/>
        <v>2.1082459751876198E-3</v>
      </c>
      <c r="AV119" s="22">
        <f t="shared" si="25"/>
        <v>2.1082459751876198E-3</v>
      </c>
      <c r="AW119" s="22">
        <f t="shared" si="25"/>
        <v>2.1082459751876198E-3</v>
      </c>
      <c r="AY119" s="79"/>
    </row>
    <row r="120" spans="1:51" x14ac:dyDescent="0.3">
      <c r="A120" s="95" t="str">
        <f t="shared" si="0"/>
        <v>FS Leaching</v>
      </c>
      <c r="B120" s="95" t="s">
        <v>1004</v>
      </c>
      <c r="C120" s="95" t="s">
        <v>1190</v>
      </c>
      <c r="D120" t="s">
        <v>369</v>
      </c>
      <c r="E120" t="s">
        <v>61</v>
      </c>
      <c r="F120" t="s">
        <v>63</v>
      </c>
      <c r="G120" t="s">
        <v>1213</v>
      </c>
      <c r="H120" t="s">
        <v>1214</v>
      </c>
      <c r="I120" t="s">
        <v>139</v>
      </c>
      <c r="J120" t="s">
        <v>287</v>
      </c>
      <c r="K120" s="22" t="str">
        <f t="shared" si="26"/>
        <v>NO</v>
      </c>
      <c r="L120" s="22" t="str">
        <f t="shared" si="25"/>
        <v>NO</v>
      </c>
      <c r="M120" s="22" t="str">
        <f t="shared" si="25"/>
        <v>NO</v>
      </c>
      <c r="N120" s="22" t="str">
        <f t="shared" si="25"/>
        <v>NO</v>
      </c>
      <c r="O120" s="22" t="str">
        <f t="shared" si="25"/>
        <v>NO</v>
      </c>
      <c r="P120" s="22" t="str">
        <f t="shared" si="25"/>
        <v>NO</v>
      </c>
      <c r="Q120" s="22" t="str">
        <f t="shared" si="25"/>
        <v>NO</v>
      </c>
      <c r="R120" s="22" t="str">
        <f t="shared" si="25"/>
        <v>NO</v>
      </c>
      <c r="S120" s="22" t="str">
        <f t="shared" si="25"/>
        <v>NO</v>
      </c>
      <c r="T120" s="22" t="str">
        <f t="shared" si="25"/>
        <v>NO</v>
      </c>
      <c r="U120" s="22" t="str">
        <f t="shared" si="25"/>
        <v>NO</v>
      </c>
      <c r="V120" s="22" t="str">
        <f t="shared" si="25"/>
        <v>NO</v>
      </c>
      <c r="W120" s="22" t="str">
        <f t="shared" si="25"/>
        <v>NO</v>
      </c>
      <c r="X120" s="22" t="str">
        <f t="shared" si="25"/>
        <v>NO</v>
      </c>
      <c r="Y120" s="22" t="str">
        <f t="shared" si="25"/>
        <v>NO</v>
      </c>
      <c r="Z120" s="22" t="str">
        <f t="shared" si="25"/>
        <v>NO</v>
      </c>
      <c r="AA120" s="22" t="str">
        <f t="shared" si="25"/>
        <v>NO</v>
      </c>
      <c r="AB120" s="22" t="str">
        <f t="shared" si="25"/>
        <v>NO</v>
      </c>
      <c r="AC120" s="22" t="str">
        <f t="shared" si="25"/>
        <v>NO</v>
      </c>
      <c r="AD120" s="22" t="str">
        <f t="shared" si="25"/>
        <v>NO</v>
      </c>
      <c r="AE120" s="22" t="str">
        <f t="shared" si="25"/>
        <v>NO</v>
      </c>
      <c r="AF120" s="22" t="str">
        <f t="shared" si="25"/>
        <v>NO</v>
      </c>
      <c r="AG120" s="22" t="str">
        <f t="shared" si="25"/>
        <v>NO</v>
      </c>
      <c r="AH120" s="22" t="str">
        <f t="shared" si="25"/>
        <v>NO</v>
      </c>
      <c r="AI120" s="22" t="str">
        <f t="shared" si="25"/>
        <v>NO</v>
      </c>
      <c r="AJ120" s="22" t="str">
        <f t="shared" si="25"/>
        <v>NO</v>
      </c>
      <c r="AK120" s="22" t="str">
        <f t="shared" si="25"/>
        <v>NO</v>
      </c>
      <c r="AL120" s="22" t="str">
        <f t="shared" si="25"/>
        <v>NO</v>
      </c>
      <c r="AM120" s="22" t="str">
        <f t="shared" si="25"/>
        <v>NO</v>
      </c>
      <c r="AN120" s="22" t="str">
        <f t="shared" si="25"/>
        <v>NO</v>
      </c>
      <c r="AO120" s="22" t="str">
        <f t="shared" si="25"/>
        <v>NO</v>
      </c>
      <c r="AP120" s="22" t="str">
        <f t="shared" si="25"/>
        <v>NO</v>
      </c>
      <c r="AQ120" s="22" t="str">
        <f t="shared" si="25"/>
        <v>NO</v>
      </c>
      <c r="AR120" s="22" t="str">
        <f t="shared" si="25"/>
        <v>NO</v>
      </c>
      <c r="AS120" s="22" t="str">
        <f t="shared" si="25"/>
        <v>NO</v>
      </c>
      <c r="AT120" s="22" t="str">
        <f t="shared" si="25"/>
        <v>NO</v>
      </c>
      <c r="AU120" s="22" t="str">
        <f t="shared" si="25"/>
        <v>NO</v>
      </c>
      <c r="AV120" s="22" t="str">
        <f t="shared" si="25"/>
        <v>NO</v>
      </c>
      <c r="AW120" s="22" t="str">
        <f t="shared" si="25"/>
        <v>NO</v>
      </c>
      <c r="AY120" s="79"/>
    </row>
    <row r="121" spans="1:51" x14ac:dyDescent="0.3">
      <c r="A121" s="95" t="str">
        <f t="shared" si="0"/>
        <v xml:space="preserve">FS </v>
      </c>
      <c r="B121" s="95" t="s">
        <v>1004</v>
      </c>
      <c r="C121" s="95"/>
      <c r="D121" t="s">
        <v>369</v>
      </c>
      <c r="E121" t="s">
        <v>61</v>
      </c>
      <c r="F121" t="s">
        <v>63</v>
      </c>
      <c r="G121" t="s">
        <v>1215</v>
      </c>
      <c r="H121" t="s">
        <v>1216</v>
      </c>
      <c r="I121" t="s">
        <v>139</v>
      </c>
      <c r="J121" t="s">
        <v>287</v>
      </c>
      <c r="K121" s="22">
        <f t="shared" si="26"/>
        <v>0.11026792439175388</v>
      </c>
      <c r="L121" s="22">
        <f t="shared" si="25"/>
        <v>0.11026792439175388</v>
      </c>
      <c r="M121" s="22">
        <f t="shared" si="25"/>
        <v>0.11026792439175388</v>
      </c>
      <c r="N121" s="22">
        <f t="shared" si="25"/>
        <v>0.11026792439175388</v>
      </c>
      <c r="O121" s="22">
        <f t="shared" si="25"/>
        <v>0.11026792439175388</v>
      </c>
      <c r="P121" s="22">
        <f t="shared" si="25"/>
        <v>0.11026792439175388</v>
      </c>
      <c r="Q121" s="22">
        <f t="shared" si="25"/>
        <v>0.11026792439175388</v>
      </c>
      <c r="R121" s="22">
        <f t="shared" si="25"/>
        <v>0.11026792439175388</v>
      </c>
      <c r="S121" s="22">
        <f t="shared" si="25"/>
        <v>0.11026792439175388</v>
      </c>
      <c r="T121" s="22">
        <f t="shared" si="25"/>
        <v>0.11026792439175388</v>
      </c>
      <c r="U121" s="22">
        <f t="shared" si="25"/>
        <v>0.11026792439175388</v>
      </c>
      <c r="V121" s="22">
        <f t="shared" si="25"/>
        <v>0.11026792439175388</v>
      </c>
      <c r="W121" s="22">
        <f t="shared" si="25"/>
        <v>0.11026792439175388</v>
      </c>
      <c r="X121" s="22">
        <f t="shared" si="25"/>
        <v>0.11026792439175388</v>
      </c>
      <c r="Y121" s="22">
        <f t="shared" si="25"/>
        <v>0.11026792439175388</v>
      </c>
      <c r="Z121" s="22">
        <f t="shared" si="25"/>
        <v>0.11026792439175388</v>
      </c>
      <c r="AA121" s="22">
        <f t="shared" si="25"/>
        <v>0.11026792439175388</v>
      </c>
      <c r="AB121" s="22">
        <f t="shared" si="25"/>
        <v>0.11026792439175388</v>
      </c>
      <c r="AC121" s="22">
        <f t="shared" si="25"/>
        <v>0.11026792439175388</v>
      </c>
      <c r="AD121" s="22">
        <f t="shared" si="25"/>
        <v>0.11026792439175388</v>
      </c>
      <c r="AE121" s="22">
        <f t="shared" si="25"/>
        <v>0.11026792439175388</v>
      </c>
      <c r="AF121" s="22">
        <f t="shared" si="25"/>
        <v>0.11026792439175388</v>
      </c>
      <c r="AG121" s="22">
        <f t="shared" si="25"/>
        <v>0.11026792439175388</v>
      </c>
      <c r="AH121" s="22">
        <f t="shared" si="25"/>
        <v>0.11026792439175388</v>
      </c>
      <c r="AI121" s="22">
        <f t="shared" si="25"/>
        <v>0.11026792439175388</v>
      </c>
      <c r="AJ121" s="22">
        <f t="shared" si="25"/>
        <v>0.11026792439175388</v>
      </c>
      <c r="AK121" s="22">
        <f t="shared" si="25"/>
        <v>0.11026792439175388</v>
      </c>
      <c r="AL121" s="22">
        <f t="shared" si="25"/>
        <v>0.11026792439175388</v>
      </c>
      <c r="AM121" s="22">
        <f t="shared" si="25"/>
        <v>0.11026792439175388</v>
      </c>
      <c r="AN121" s="22">
        <f t="shared" si="25"/>
        <v>0.11026792439175388</v>
      </c>
      <c r="AO121" s="22">
        <f t="shared" si="25"/>
        <v>0.11026792439175388</v>
      </c>
      <c r="AP121" s="22">
        <f t="shared" si="25"/>
        <v>0.11026792439175388</v>
      </c>
      <c r="AQ121" s="22">
        <f t="shared" si="25"/>
        <v>0.11026792439175388</v>
      </c>
      <c r="AR121" s="22">
        <f t="shared" si="25"/>
        <v>0.11026792439175388</v>
      </c>
      <c r="AS121" s="22">
        <f t="shared" si="25"/>
        <v>0.11026792439175388</v>
      </c>
      <c r="AT121" s="22">
        <f t="shared" ref="L121:AW128" si="27">AT1530</f>
        <v>0.11026792439175388</v>
      </c>
      <c r="AU121" s="22">
        <f t="shared" si="27"/>
        <v>0.11026792439175388</v>
      </c>
      <c r="AV121" s="22">
        <f t="shared" si="27"/>
        <v>0.11026792439175388</v>
      </c>
      <c r="AW121" s="22">
        <f t="shared" si="27"/>
        <v>0.11026792439175388</v>
      </c>
      <c r="AY121" s="79"/>
    </row>
    <row r="122" spans="1:51" x14ac:dyDescent="0.3">
      <c r="A122" s="95" t="str">
        <f t="shared" si="0"/>
        <v>FS MM Volatilisation</v>
      </c>
      <c r="B122" s="95" t="s">
        <v>1004</v>
      </c>
      <c r="C122" s="95" t="s">
        <v>1332</v>
      </c>
      <c r="D122" t="s">
        <v>369</v>
      </c>
      <c r="E122" t="s">
        <v>64</v>
      </c>
      <c r="F122" t="s">
        <v>62</v>
      </c>
      <c r="G122" t="s">
        <v>1152</v>
      </c>
      <c r="H122" t="s">
        <v>1290</v>
      </c>
      <c r="I122" t="s">
        <v>139</v>
      </c>
      <c r="J122" t="s">
        <v>287</v>
      </c>
      <c r="K122" s="22">
        <f t="shared" si="26"/>
        <v>0.39609736661915962</v>
      </c>
      <c r="L122" s="22">
        <f t="shared" si="27"/>
        <v>0.39831175345583031</v>
      </c>
      <c r="M122" s="22">
        <f t="shared" si="27"/>
        <v>0.40145358914715529</v>
      </c>
      <c r="N122" s="22">
        <f t="shared" si="27"/>
        <v>0.40347255325329029</v>
      </c>
      <c r="O122" s="22">
        <f t="shared" si="27"/>
        <v>0.40481416413578264</v>
      </c>
      <c r="P122" s="22">
        <f t="shared" si="27"/>
        <v>0.40546521734783814</v>
      </c>
      <c r="Q122" s="22">
        <f t="shared" si="27"/>
        <v>0.40690363619044922</v>
      </c>
      <c r="R122" s="22">
        <f t="shared" si="27"/>
        <v>0.40855374420631185</v>
      </c>
      <c r="S122" s="22">
        <f t="shared" si="27"/>
        <v>0.39627278224994505</v>
      </c>
      <c r="T122" s="22">
        <f t="shared" si="27"/>
        <v>0.40043963770604657</v>
      </c>
      <c r="U122" s="22">
        <f t="shared" si="27"/>
        <v>0.40653881152865828</v>
      </c>
      <c r="V122" s="22">
        <f t="shared" si="27"/>
        <v>0.4097001600416656</v>
      </c>
      <c r="W122" s="22">
        <f t="shared" si="27"/>
        <v>0.41331316056610856</v>
      </c>
      <c r="X122" s="22">
        <f t="shared" si="27"/>
        <v>0.41749483013247579</v>
      </c>
      <c r="Y122" s="22">
        <f t="shared" si="27"/>
        <v>0.42176510375665716</v>
      </c>
      <c r="Z122" s="22">
        <f t="shared" si="27"/>
        <v>0.42649174593727851</v>
      </c>
      <c r="AA122" s="22">
        <f t="shared" si="27"/>
        <v>0.43136480656999721</v>
      </c>
      <c r="AB122" s="22">
        <f t="shared" si="27"/>
        <v>0.43666405575288475</v>
      </c>
      <c r="AC122" s="22">
        <f t="shared" si="27"/>
        <v>0.44208284608865023</v>
      </c>
      <c r="AD122" s="22">
        <f t="shared" si="27"/>
        <v>0.44793692741043817</v>
      </c>
      <c r="AE122" s="22">
        <f t="shared" si="27"/>
        <v>0.45371177751541658</v>
      </c>
      <c r="AF122" s="22">
        <f t="shared" si="27"/>
        <v>0.45980708874384696</v>
      </c>
      <c r="AG122" s="22">
        <f t="shared" si="27"/>
        <v>0.4667018933762529</v>
      </c>
      <c r="AH122" s="22">
        <f t="shared" si="27"/>
        <v>0.47325726684756153</v>
      </c>
      <c r="AI122" s="22">
        <f t="shared" si="27"/>
        <v>0.47997976762000966</v>
      </c>
      <c r="AJ122" s="22">
        <f t="shared" si="27"/>
        <v>0.48716917791574549</v>
      </c>
      <c r="AK122" s="22">
        <f t="shared" si="27"/>
        <v>0.49390478893176154</v>
      </c>
      <c r="AL122" s="22">
        <f t="shared" si="27"/>
        <v>0.50060384763887944</v>
      </c>
      <c r="AM122" s="22">
        <f t="shared" si="27"/>
        <v>0.50728498742813199</v>
      </c>
      <c r="AN122" s="22">
        <f t="shared" si="27"/>
        <v>0.51435343301423675</v>
      </c>
      <c r="AO122" s="22">
        <f t="shared" si="27"/>
        <v>0.52113757148367401</v>
      </c>
      <c r="AP122" s="22">
        <f t="shared" si="27"/>
        <v>0.52818514749495915</v>
      </c>
      <c r="AQ122" s="22">
        <f t="shared" si="27"/>
        <v>0.5355283037572397</v>
      </c>
      <c r="AR122" s="22">
        <f t="shared" si="27"/>
        <v>0.5432187291547913</v>
      </c>
      <c r="AS122" s="22">
        <f t="shared" si="27"/>
        <v>0.55104518804876201</v>
      </c>
      <c r="AT122" s="22">
        <f t="shared" si="27"/>
        <v>0.55290077890622136</v>
      </c>
      <c r="AU122" s="22">
        <f t="shared" si="27"/>
        <v>0.55422139724319897</v>
      </c>
      <c r="AV122" s="22">
        <f t="shared" si="27"/>
        <v>0.55476247870419659</v>
      </c>
      <c r="AW122" s="22">
        <f t="shared" si="27"/>
        <v>0.55508919829714432</v>
      </c>
      <c r="AY122" s="79"/>
    </row>
    <row r="123" spans="1:51" x14ac:dyDescent="0.3">
      <c r="A123" s="95" t="str">
        <f t="shared" si="0"/>
        <v>FS MM Volatilisation</v>
      </c>
      <c r="B123" s="95" t="s">
        <v>1004</v>
      </c>
      <c r="C123" s="95" t="s">
        <v>1332</v>
      </c>
      <c r="D123" t="s">
        <v>369</v>
      </c>
      <c r="E123" t="s">
        <v>64</v>
      </c>
      <c r="F123" t="s">
        <v>62</v>
      </c>
      <c r="G123" t="s">
        <v>1154</v>
      </c>
      <c r="H123" t="s">
        <v>1291</v>
      </c>
      <c r="I123" t="s">
        <v>139</v>
      </c>
      <c r="J123" t="s">
        <v>287</v>
      </c>
      <c r="K123" s="22">
        <f t="shared" si="26"/>
        <v>3.1249813656142676E-2</v>
      </c>
      <c r="L123" s="22">
        <f t="shared" si="27"/>
        <v>3.1424516095088978E-2</v>
      </c>
      <c r="M123" s="22">
        <f t="shared" si="27"/>
        <v>3.1672388936885787E-2</v>
      </c>
      <c r="N123" s="22">
        <f t="shared" si="27"/>
        <v>3.1831673641638247E-2</v>
      </c>
      <c r="O123" s="22">
        <f t="shared" si="27"/>
        <v>3.1937519056453256E-2</v>
      </c>
      <c r="P123" s="22">
        <f t="shared" si="27"/>
        <v>3.198888342610464E-2</v>
      </c>
      <c r="Q123" s="22">
        <f t="shared" si="27"/>
        <v>3.2102366434524382E-2</v>
      </c>
      <c r="R123" s="22">
        <f t="shared" si="27"/>
        <v>3.2232550506305392E-2</v>
      </c>
      <c r="S123" s="22">
        <f t="shared" si="27"/>
        <v>3.1263652944752973E-2</v>
      </c>
      <c r="T123" s="22">
        <f t="shared" si="27"/>
        <v>3.1592393975390647E-2</v>
      </c>
      <c r="U123" s="22">
        <f t="shared" si="27"/>
        <v>3.2073583858170898E-2</v>
      </c>
      <c r="V123" s="22">
        <f t="shared" si="27"/>
        <v>3.2322996149842582E-2</v>
      </c>
      <c r="W123" s="22">
        <f t="shared" si="27"/>
        <v>3.2608041198468073E-2</v>
      </c>
      <c r="X123" s="22">
        <f t="shared" si="27"/>
        <v>3.2937950977560811E-2</v>
      </c>
      <c r="Y123" s="22">
        <f t="shared" si="27"/>
        <v>3.3274851109352674E-2</v>
      </c>
      <c r="Z123" s="22">
        <f t="shared" si="27"/>
        <v>3.3647756106486112E-2</v>
      </c>
      <c r="AA123" s="22">
        <f t="shared" si="27"/>
        <v>3.4032212680907031E-2</v>
      </c>
      <c r="AB123" s="22">
        <f t="shared" si="27"/>
        <v>3.4450293091024778E-2</v>
      </c>
      <c r="AC123" s="22">
        <f t="shared" si="27"/>
        <v>3.4877804613456062E-2</v>
      </c>
      <c r="AD123" s="22">
        <f t="shared" si="27"/>
        <v>3.5339658101640622E-2</v>
      </c>
      <c r="AE123" s="22">
        <f t="shared" si="27"/>
        <v>3.5795260700600191E-2</v>
      </c>
      <c r="AF123" s="22">
        <f t="shared" si="27"/>
        <v>3.6276145846821803E-2</v>
      </c>
      <c r="AG123" s="22">
        <f t="shared" si="27"/>
        <v>3.682010644367513E-2</v>
      </c>
      <c r="AH123" s="22">
        <f t="shared" si="27"/>
        <v>3.7337287865943425E-2</v>
      </c>
      <c r="AI123" s="22">
        <f t="shared" si="27"/>
        <v>3.7867654675082699E-2</v>
      </c>
      <c r="AJ123" s="22">
        <f t="shared" si="27"/>
        <v>3.843485797147652E-2</v>
      </c>
      <c r="AK123" s="22">
        <f t="shared" si="27"/>
        <v>3.8966259103746965E-2</v>
      </c>
      <c r="AL123" s="22">
        <f t="shared" si="27"/>
        <v>3.9494776468191543E-2</v>
      </c>
      <c r="AM123" s="22">
        <f t="shared" si="27"/>
        <v>4.0021880132643621E-2</v>
      </c>
      <c r="AN123" s="22">
        <f t="shared" si="27"/>
        <v>4.0579540006249255E-2</v>
      </c>
      <c r="AO123" s="22">
        <f t="shared" si="27"/>
        <v>4.1114769676663131E-2</v>
      </c>
      <c r="AP123" s="22">
        <f t="shared" si="27"/>
        <v>4.167078306034188E-2</v>
      </c>
      <c r="AQ123" s="22">
        <f t="shared" si="27"/>
        <v>4.2250116032946157E-2</v>
      </c>
      <c r="AR123" s="22">
        <f t="shared" si="27"/>
        <v>4.2856846551407354E-2</v>
      </c>
      <c r="AS123" s="22">
        <f t="shared" si="27"/>
        <v>4.3474309333630792E-2</v>
      </c>
      <c r="AT123" s="22">
        <f t="shared" si="27"/>
        <v>4.3620704824751035E-2</v>
      </c>
      <c r="AU123" s="22">
        <f t="shared" si="27"/>
        <v>4.3724894047955633E-2</v>
      </c>
      <c r="AV123" s="22">
        <f t="shared" si="27"/>
        <v>4.376758227629024E-2</v>
      </c>
      <c r="AW123" s="22">
        <f t="shared" si="27"/>
        <v>4.3793358580951298E-2</v>
      </c>
      <c r="AY123" s="79"/>
    </row>
    <row r="124" spans="1:51" x14ac:dyDescent="0.3">
      <c r="A124" s="95" t="str">
        <f t="shared" si="0"/>
        <v>FS MM Volatilisation</v>
      </c>
      <c r="B124" s="95" t="s">
        <v>1004</v>
      </c>
      <c r="C124" s="95" t="s">
        <v>1332</v>
      </c>
      <c r="D124" t="s">
        <v>369</v>
      </c>
      <c r="E124" t="s">
        <v>64</v>
      </c>
      <c r="F124" t="s">
        <v>62</v>
      </c>
      <c r="G124" t="s">
        <v>1156</v>
      </c>
      <c r="H124" t="s">
        <v>1292</v>
      </c>
      <c r="I124" t="s">
        <v>139</v>
      </c>
      <c r="J124" t="s">
        <v>287</v>
      </c>
      <c r="K124" s="22">
        <f t="shared" si="26"/>
        <v>2.8967336997006343E-4</v>
      </c>
      <c r="L124" s="22">
        <f t="shared" si="27"/>
        <v>2.9129279224209415E-4</v>
      </c>
      <c r="M124" s="22">
        <f t="shared" si="27"/>
        <v>2.9359047510821973E-4</v>
      </c>
      <c r="N124" s="22">
        <f t="shared" si="27"/>
        <v>2.9506698110336069E-4</v>
      </c>
      <c r="O124" s="22">
        <f t="shared" si="27"/>
        <v>2.9604812609010248E-4</v>
      </c>
      <c r="P124" s="22">
        <f t="shared" si="27"/>
        <v>2.9652425341095714E-4</v>
      </c>
      <c r="Q124" s="22">
        <f t="shared" si="27"/>
        <v>2.9757619585915883E-4</v>
      </c>
      <c r="R124" s="22">
        <f t="shared" si="27"/>
        <v>2.9878295053629647E-4</v>
      </c>
      <c r="S124" s="22">
        <f t="shared" si="27"/>
        <v>2.8980165468285715E-4</v>
      </c>
      <c r="T124" s="22">
        <f t="shared" si="27"/>
        <v>2.9284895356406268E-4</v>
      </c>
      <c r="U124" s="22">
        <f t="shared" si="27"/>
        <v>2.9730939279977176E-4</v>
      </c>
      <c r="V124" s="22">
        <f t="shared" si="27"/>
        <v>2.996213457552509E-4</v>
      </c>
      <c r="W124" s="22">
        <f t="shared" si="27"/>
        <v>3.0226360022553945E-4</v>
      </c>
      <c r="X124" s="22">
        <f t="shared" si="27"/>
        <v>3.0532173294106326E-4</v>
      </c>
      <c r="Y124" s="22">
        <f t="shared" si="27"/>
        <v>3.084446634517329E-4</v>
      </c>
      <c r="Z124" s="22">
        <f t="shared" si="27"/>
        <v>3.1190134477428172E-4</v>
      </c>
      <c r="AA124" s="22">
        <f t="shared" si="27"/>
        <v>3.1546510463362291E-4</v>
      </c>
      <c r="AB124" s="22">
        <f t="shared" si="27"/>
        <v>3.1934054410503462E-4</v>
      </c>
      <c r="AC124" s="22">
        <f t="shared" si="27"/>
        <v>3.2330340624451355E-4</v>
      </c>
      <c r="AD124" s="22">
        <f t="shared" si="27"/>
        <v>3.2758460477667038E-4</v>
      </c>
      <c r="AE124" s="22">
        <f t="shared" si="27"/>
        <v>3.3180786004660364E-4</v>
      </c>
      <c r="AF124" s="22">
        <f t="shared" si="27"/>
        <v>3.3626547449535976E-4</v>
      </c>
      <c r="AG124" s="22">
        <f t="shared" si="27"/>
        <v>3.4130777333769093E-4</v>
      </c>
      <c r="AH124" s="22">
        <f t="shared" si="27"/>
        <v>3.4610183985990577E-4</v>
      </c>
      <c r="AI124" s="22">
        <f t="shared" si="27"/>
        <v>3.5101812968531553E-4</v>
      </c>
      <c r="AJ124" s="22">
        <f t="shared" si="27"/>
        <v>3.5627587912767834E-4</v>
      </c>
      <c r="AK124" s="22">
        <f t="shared" si="27"/>
        <v>3.6120175671800533E-4</v>
      </c>
      <c r="AL124" s="22">
        <f t="shared" si="27"/>
        <v>3.661009029251144E-4</v>
      </c>
      <c r="AM124" s="22">
        <f t="shared" si="27"/>
        <v>3.7098694469437114E-4</v>
      </c>
      <c r="AN124" s="22">
        <f t="shared" si="27"/>
        <v>3.7615623039514106E-4</v>
      </c>
      <c r="AO124" s="22">
        <f t="shared" si="27"/>
        <v>3.8111759701456354E-4</v>
      </c>
      <c r="AP124" s="22">
        <f t="shared" si="27"/>
        <v>3.8627162040718048E-4</v>
      </c>
      <c r="AQ124" s="22">
        <f t="shared" si="27"/>
        <v>3.916418071339122E-4</v>
      </c>
      <c r="AR124" s="22">
        <f t="shared" si="27"/>
        <v>3.9726595823702738E-4</v>
      </c>
      <c r="AS124" s="22">
        <f t="shared" si="27"/>
        <v>4.0298959316573016E-4</v>
      </c>
      <c r="AT124" s="22">
        <f t="shared" si="27"/>
        <v>4.0434662126605264E-4</v>
      </c>
      <c r="AU124" s="22">
        <f t="shared" si="27"/>
        <v>4.0531241401388569E-4</v>
      </c>
      <c r="AV124" s="22">
        <f t="shared" si="27"/>
        <v>4.0570811694817522E-4</v>
      </c>
      <c r="AW124" s="22">
        <f t="shared" si="27"/>
        <v>4.0594705306212152E-4</v>
      </c>
      <c r="AY124" s="79"/>
    </row>
    <row r="125" spans="1:51" x14ac:dyDescent="0.3">
      <c r="A125" s="95" t="str">
        <f t="shared" si="0"/>
        <v>FS MM Volatilisation</v>
      </c>
      <c r="B125" s="95" t="s">
        <v>1004</v>
      </c>
      <c r="C125" s="95" t="s">
        <v>1332</v>
      </c>
      <c r="D125" t="s">
        <v>369</v>
      </c>
      <c r="E125" t="s">
        <v>64</v>
      </c>
      <c r="F125" t="s">
        <v>62</v>
      </c>
      <c r="G125" t="s">
        <v>1158</v>
      </c>
      <c r="H125" t="s">
        <v>1293</v>
      </c>
      <c r="I125" t="s">
        <v>139</v>
      </c>
      <c r="J125" t="s">
        <v>287</v>
      </c>
      <c r="K125" s="22">
        <f t="shared" si="26"/>
        <v>3.2323215352203891E-3</v>
      </c>
      <c r="L125" s="22">
        <f t="shared" si="27"/>
        <v>3.2042886428129448E-3</v>
      </c>
      <c r="M125" s="22">
        <f t="shared" si="27"/>
        <v>3.193617369300608E-3</v>
      </c>
      <c r="N125" s="22">
        <f t="shared" si="27"/>
        <v>3.150970789688672E-3</v>
      </c>
      <c r="O125" s="22">
        <f t="shared" si="27"/>
        <v>3.0890682378804119E-3</v>
      </c>
      <c r="P125" s="22">
        <f t="shared" si="27"/>
        <v>3.0091897617382942E-3</v>
      </c>
      <c r="Q125" s="22">
        <f t="shared" si="27"/>
        <v>2.9461872714039495E-3</v>
      </c>
      <c r="R125" s="22">
        <f t="shared" si="27"/>
        <v>2.8865797531671877E-3</v>
      </c>
      <c r="S125" s="22">
        <f t="shared" si="27"/>
        <v>2.5393486840215836E-3</v>
      </c>
      <c r="T125" s="22">
        <f t="shared" si="27"/>
        <v>2.580595358897255E-3</v>
      </c>
      <c r="U125" s="22">
        <f t="shared" si="27"/>
        <v>2.657542332078646E-3</v>
      </c>
      <c r="V125" s="22">
        <f t="shared" si="27"/>
        <v>2.672909531392759E-3</v>
      </c>
      <c r="W125" s="22">
        <f t="shared" si="27"/>
        <v>2.69507345244463E-3</v>
      </c>
      <c r="X125" s="22">
        <f t="shared" si="27"/>
        <v>2.7259926112042248E-3</v>
      </c>
      <c r="Y125" s="22">
        <f t="shared" si="27"/>
        <v>2.7614582970453471E-3</v>
      </c>
      <c r="Z125" s="22">
        <f t="shared" si="27"/>
        <v>2.8030399515039583E-3</v>
      </c>
      <c r="AA125" s="22">
        <f t="shared" si="27"/>
        <v>2.8448133898556971E-3</v>
      </c>
      <c r="AB125" s="22">
        <f t="shared" si="27"/>
        <v>2.8917956180905236E-3</v>
      </c>
      <c r="AC125" s="22">
        <f t="shared" si="27"/>
        <v>2.9383115991341744E-3</v>
      </c>
      <c r="AD125" s="22">
        <f t="shared" si="27"/>
        <v>2.9686122408824826E-3</v>
      </c>
      <c r="AE125" s="22">
        <f t="shared" si="27"/>
        <v>2.9934911793624186E-3</v>
      </c>
      <c r="AF125" s="22">
        <f t="shared" si="27"/>
        <v>3.0197743682154753E-3</v>
      </c>
      <c r="AG125" s="22">
        <f t="shared" si="27"/>
        <v>3.0549409795984986E-3</v>
      </c>
      <c r="AH125" s="22">
        <f t="shared" si="27"/>
        <v>3.0802316239663852E-3</v>
      </c>
      <c r="AI125" s="22">
        <f t="shared" si="27"/>
        <v>3.1071852189437066E-3</v>
      </c>
      <c r="AJ125" s="22">
        <f t="shared" si="27"/>
        <v>3.1368555493036434E-3</v>
      </c>
      <c r="AK125" s="22">
        <f t="shared" si="27"/>
        <v>3.1553441150186925E-3</v>
      </c>
      <c r="AL125" s="22">
        <f t="shared" si="27"/>
        <v>3.1692145745473945E-3</v>
      </c>
      <c r="AM125" s="22">
        <f t="shared" si="27"/>
        <v>3.1788623674795236E-3</v>
      </c>
      <c r="AN125" s="22">
        <f t="shared" si="27"/>
        <v>3.2088548057950931E-3</v>
      </c>
      <c r="AO125" s="22">
        <f t="shared" si="27"/>
        <v>3.2316528557922693E-3</v>
      </c>
      <c r="AP125" s="22">
        <f t="shared" si="27"/>
        <v>3.2547386832550949E-3</v>
      </c>
      <c r="AQ125" s="22">
        <f t="shared" si="27"/>
        <v>3.2783763796135966E-3</v>
      </c>
      <c r="AR125" s="22">
        <f t="shared" si="27"/>
        <v>3.3030426066013221E-3</v>
      </c>
      <c r="AS125" s="22">
        <f t="shared" si="27"/>
        <v>3.3283682698185247E-3</v>
      </c>
      <c r="AT125" s="22">
        <f t="shared" si="27"/>
        <v>3.2784104491001818E-3</v>
      </c>
      <c r="AU125" s="22">
        <f t="shared" si="27"/>
        <v>3.2218166400979921E-3</v>
      </c>
      <c r="AV125" s="22">
        <f t="shared" si="27"/>
        <v>3.1562062621096833E-3</v>
      </c>
      <c r="AW125" s="22">
        <f t="shared" si="27"/>
        <v>3.0885397025865453E-3</v>
      </c>
      <c r="AY125" s="79"/>
    </row>
    <row r="126" spans="1:51" x14ac:dyDescent="0.3">
      <c r="A126" s="95" t="str">
        <f t="shared" si="0"/>
        <v>FS MM Volatilisation</v>
      </c>
      <c r="B126" s="95" t="s">
        <v>1004</v>
      </c>
      <c r="C126" s="95" t="s">
        <v>1332</v>
      </c>
      <c r="D126" t="s">
        <v>369</v>
      </c>
      <c r="E126" t="s">
        <v>64</v>
      </c>
      <c r="F126" t="s">
        <v>62</v>
      </c>
      <c r="G126" t="s">
        <v>1160</v>
      </c>
      <c r="H126" t="s">
        <v>1294</v>
      </c>
      <c r="I126" t="s">
        <v>139</v>
      </c>
      <c r="J126" t="s">
        <v>287</v>
      </c>
      <c r="K126" s="22">
        <f t="shared" si="26"/>
        <v>1.6090517274103575E-2</v>
      </c>
      <c r="L126" s="22">
        <f t="shared" si="27"/>
        <v>1.5950969356419605E-2</v>
      </c>
      <c r="M126" s="22">
        <f t="shared" si="27"/>
        <v>1.5897847688628834E-2</v>
      </c>
      <c r="N126" s="22">
        <f t="shared" si="27"/>
        <v>1.5685552742581484E-2</v>
      </c>
      <c r="O126" s="22">
        <f t="shared" si="27"/>
        <v>1.5377401443792458E-2</v>
      </c>
      <c r="P126" s="22">
        <f t="shared" si="27"/>
        <v>1.4979765878707444E-2</v>
      </c>
      <c r="Q126" s="22">
        <f t="shared" si="27"/>
        <v>1.4666139078901097E-2</v>
      </c>
      <c r="R126" s="22">
        <f t="shared" si="27"/>
        <v>1.4369412471908495E-2</v>
      </c>
      <c r="S126" s="22">
        <f t="shared" si="27"/>
        <v>1.2640893989042949E-2</v>
      </c>
      <c r="T126" s="22">
        <f t="shared" si="27"/>
        <v>1.284622020036031E-2</v>
      </c>
      <c r="U126" s="22">
        <f t="shared" si="27"/>
        <v>1.322926272495888E-2</v>
      </c>
      <c r="V126" s="22">
        <f t="shared" si="27"/>
        <v>1.3305760741422912E-2</v>
      </c>
      <c r="W126" s="22">
        <f t="shared" si="27"/>
        <v>1.3416092882164809E-2</v>
      </c>
      <c r="X126" s="22">
        <f t="shared" si="27"/>
        <v>1.3570008652208428E-2</v>
      </c>
      <c r="Y126" s="22">
        <f t="shared" si="27"/>
        <v>1.3746557063140447E-2</v>
      </c>
      <c r="Z126" s="22">
        <f t="shared" si="27"/>
        <v>1.3953550804963992E-2</v>
      </c>
      <c r="AA126" s="22">
        <f t="shared" si="27"/>
        <v>1.4161499248234047E-2</v>
      </c>
      <c r="AB126" s="22">
        <f t="shared" si="27"/>
        <v>1.439537708085406E-2</v>
      </c>
      <c r="AC126" s="22">
        <f t="shared" si="27"/>
        <v>1.4626933931974607E-2</v>
      </c>
      <c r="AD126" s="22">
        <f t="shared" si="27"/>
        <v>1.4777770720380409E-2</v>
      </c>
      <c r="AE126" s="22">
        <f t="shared" si="27"/>
        <v>1.4901618235242655E-2</v>
      </c>
      <c r="AF126" s="22">
        <f t="shared" si="27"/>
        <v>1.5032456117442953E-2</v>
      </c>
      <c r="AG126" s="22">
        <f t="shared" si="27"/>
        <v>1.5207515733809875E-2</v>
      </c>
      <c r="AH126" s="22">
        <f t="shared" si="27"/>
        <v>1.5333412723215338E-2</v>
      </c>
      <c r="AI126" s="22">
        <f t="shared" si="27"/>
        <v>1.5467587891389686E-2</v>
      </c>
      <c r="AJ126" s="22">
        <f t="shared" si="27"/>
        <v>1.5615286985673127E-2</v>
      </c>
      <c r="AK126" s="22">
        <f t="shared" si="27"/>
        <v>1.5707323184043206E-2</v>
      </c>
      <c r="AL126" s="22">
        <f t="shared" si="27"/>
        <v>1.5776370420283306E-2</v>
      </c>
      <c r="AM126" s="22">
        <f t="shared" si="27"/>
        <v>1.5824397195200308E-2</v>
      </c>
      <c r="AN126" s="22">
        <f t="shared" si="27"/>
        <v>1.5973699744946876E-2</v>
      </c>
      <c r="AO126" s="22">
        <f t="shared" si="27"/>
        <v>1.608718858363397E-2</v>
      </c>
      <c r="AP126" s="22">
        <f t="shared" si="27"/>
        <v>1.6202109980385494E-2</v>
      </c>
      <c r="AQ126" s="22">
        <f t="shared" si="27"/>
        <v>1.6319778584029082E-2</v>
      </c>
      <c r="AR126" s="22">
        <f t="shared" si="27"/>
        <v>1.6442567219722745E-2</v>
      </c>
      <c r="AS126" s="22">
        <f t="shared" si="27"/>
        <v>1.6568638533184063E-2</v>
      </c>
      <c r="AT126" s="22">
        <f t="shared" si="27"/>
        <v>1.6319948182151194E-2</v>
      </c>
      <c r="AU126" s="22">
        <f t="shared" si="27"/>
        <v>1.603822383900198E-2</v>
      </c>
      <c r="AV126" s="22">
        <f t="shared" si="27"/>
        <v>1.5711614957775871E-2</v>
      </c>
      <c r="AW126" s="22">
        <f t="shared" si="27"/>
        <v>1.5374770391719434E-2</v>
      </c>
      <c r="AY126" s="79"/>
    </row>
    <row r="127" spans="1:51" x14ac:dyDescent="0.3">
      <c r="A127" s="95" t="str">
        <f t="shared" si="0"/>
        <v>FS MM Volatilisation</v>
      </c>
      <c r="B127" s="95" t="s">
        <v>1004</v>
      </c>
      <c r="C127" s="95" t="s">
        <v>1332</v>
      </c>
      <c r="D127" t="s">
        <v>369</v>
      </c>
      <c r="E127" t="s">
        <v>64</v>
      </c>
      <c r="F127" t="s">
        <v>62</v>
      </c>
      <c r="G127" t="s">
        <v>1162</v>
      </c>
      <c r="H127" t="s">
        <v>1295</v>
      </c>
      <c r="I127" t="s">
        <v>139</v>
      </c>
      <c r="J127" t="s">
        <v>287</v>
      </c>
      <c r="K127" s="22">
        <f t="shared" si="26"/>
        <v>0.15836052531214873</v>
      </c>
      <c r="L127" s="22">
        <f t="shared" si="27"/>
        <v>0.16370016056893641</v>
      </c>
      <c r="M127" s="22">
        <f t="shared" si="27"/>
        <v>0.17003774892948584</v>
      </c>
      <c r="N127" s="22">
        <f t="shared" si="27"/>
        <v>0.17476418316081974</v>
      </c>
      <c r="O127" s="22">
        <f t="shared" si="27"/>
        <v>0.1784091501709566</v>
      </c>
      <c r="P127" s="22">
        <f t="shared" si="27"/>
        <v>0.18092055691117107</v>
      </c>
      <c r="Q127" s="22">
        <f t="shared" si="27"/>
        <v>0.18434967364231716</v>
      </c>
      <c r="R127" s="22">
        <f t="shared" si="27"/>
        <v>0.18794438918293385</v>
      </c>
      <c r="S127" s="22">
        <f t="shared" si="27"/>
        <v>0.17201843471628311</v>
      </c>
      <c r="T127" s="22">
        <f t="shared" si="27"/>
        <v>0.17902423727078304</v>
      </c>
      <c r="U127" s="22">
        <f t="shared" si="27"/>
        <v>0.18874308750279975</v>
      </c>
      <c r="V127" s="22">
        <f t="shared" si="27"/>
        <v>0.19428798010301845</v>
      </c>
      <c r="W127" s="22">
        <f t="shared" si="27"/>
        <v>0.20044069379465723</v>
      </c>
      <c r="X127" s="22">
        <f t="shared" si="27"/>
        <v>0.20738925990441343</v>
      </c>
      <c r="Y127" s="22">
        <f t="shared" si="27"/>
        <v>0.21485625224208699</v>
      </c>
      <c r="Z127" s="22">
        <f t="shared" si="27"/>
        <v>0.22299569523633012</v>
      </c>
      <c r="AA127" s="22">
        <f t="shared" si="27"/>
        <v>0.23136404347242787</v>
      </c>
      <c r="AB127" s="22">
        <f t="shared" si="27"/>
        <v>0.24038568507894228</v>
      </c>
      <c r="AC127" s="22">
        <f t="shared" si="27"/>
        <v>0.24961351882279642</v>
      </c>
      <c r="AD127" s="22">
        <f t="shared" si="27"/>
        <v>0.26055082309019489</v>
      </c>
      <c r="AE127" s="22">
        <f t="shared" si="27"/>
        <v>0.27146409989499087</v>
      </c>
      <c r="AF127" s="22">
        <f t="shared" si="27"/>
        <v>0.28296976129835516</v>
      </c>
      <c r="AG127" s="22">
        <f t="shared" si="27"/>
        <v>0.29583119296374027</v>
      </c>
      <c r="AH127" s="22">
        <f t="shared" si="27"/>
        <v>0.30828569818364093</v>
      </c>
      <c r="AI127" s="22">
        <f t="shared" si="27"/>
        <v>0.32146078881891821</v>
      </c>
      <c r="AJ127" s="22">
        <f t="shared" si="27"/>
        <v>0.33551892419975027</v>
      </c>
      <c r="AK127" s="22">
        <f t="shared" si="27"/>
        <v>0.34898799967344624</v>
      </c>
      <c r="AL127" s="22">
        <f t="shared" si="27"/>
        <v>0.36253110288155638</v>
      </c>
      <c r="AM127" s="22">
        <f t="shared" si="27"/>
        <v>0.3761776209722954</v>
      </c>
      <c r="AN127" s="22">
        <f t="shared" si="27"/>
        <v>0.39044092384449941</v>
      </c>
      <c r="AO127" s="22">
        <f t="shared" si="27"/>
        <v>0.40434790587507169</v>
      </c>
      <c r="AP127" s="22">
        <f t="shared" si="27"/>
        <v>0.41881133165575385</v>
      </c>
      <c r="AQ127" s="22">
        <f t="shared" si="27"/>
        <v>0.43389523168298461</v>
      </c>
      <c r="AR127" s="22">
        <f t="shared" si="27"/>
        <v>0.44969846219520337</v>
      </c>
      <c r="AS127" s="22">
        <f t="shared" si="27"/>
        <v>0.46621113351536414</v>
      </c>
      <c r="AT127" s="22">
        <f t="shared" si="27"/>
        <v>0.47252748572368597</v>
      </c>
      <c r="AU127" s="22">
        <f t="shared" si="27"/>
        <v>0.47791554113176593</v>
      </c>
      <c r="AV127" s="22">
        <f t="shared" si="27"/>
        <v>0.48192801076931108</v>
      </c>
      <c r="AW127" s="22">
        <f t="shared" si="27"/>
        <v>0.48553688587906652</v>
      </c>
      <c r="AY127" s="79"/>
    </row>
    <row r="128" spans="1:51" x14ac:dyDescent="0.3">
      <c r="A128" s="95" t="str">
        <f t="shared" si="0"/>
        <v>FS MM Volatilisation</v>
      </c>
      <c r="B128" s="95" t="s">
        <v>1004</v>
      </c>
      <c r="C128" s="95" t="s">
        <v>1332</v>
      </c>
      <c r="D128" t="s">
        <v>369</v>
      </c>
      <c r="E128" t="s">
        <v>64</v>
      </c>
      <c r="F128" t="s">
        <v>62</v>
      </c>
      <c r="G128" t="s">
        <v>1164</v>
      </c>
      <c r="H128" t="s">
        <v>1296</v>
      </c>
      <c r="I128" t="s">
        <v>139</v>
      </c>
      <c r="J128" t="s">
        <v>287</v>
      </c>
      <c r="K128" s="22">
        <f t="shared" si="26"/>
        <v>1.1718831875652189E-4</v>
      </c>
      <c r="L128" s="22">
        <f t="shared" si="27"/>
        <v>1.1725168210757805E-4</v>
      </c>
      <c r="M128" s="22">
        <f t="shared" si="27"/>
        <v>1.1740318150277543E-4</v>
      </c>
      <c r="N128" s="22">
        <f t="shared" si="27"/>
        <v>1.1762656857541023E-4</v>
      </c>
      <c r="O128" s="22">
        <f t="shared" si="27"/>
        <v>1.179204237689029E-4</v>
      </c>
      <c r="P128" s="22">
        <f t="shared" si="27"/>
        <v>1.1828164409401504E-4</v>
      </c>
      <c r="Q128" s="22">
        <f t="shared" si="27"/>
        <v>1.1868734382429133E-4</v>
      </c>
      <c r="R128" s="22">
        <f t="shared" si="27"/>
        <v>1.1913496163447935E-4</v>
      </c>
      <c r="S128" s="22">
        <f t="shared" si="27"/>
        <v>1.1954428347803586E-4</v>
      </c>
      <c r="T128" s="22">
        <f t="shared" si="27"/>
        <v>1.1972414940561896E-4</v>
      </c>
      <c r="U128" s="22">
        <f t="shared" si="27"/>
        <v>1.1994380434419684E-4</v>
      </c>
      <c r="V128" s="22">
        <f t="shared" si="27"/>
        <v>1.201746788301286E-4</v>
      </c>
      <c r="W128" s="22">
        <f t="shared" si="27"/>
        <v>1.2043388472990403E-4</v>
      </c>
      <c r="X128" s="22">
        <f t="shared" si="27"/>
        <v>1.207206967802894E-4</v>
      </c>
      <c r="Y128" s="22">
        <f t="shared" si="27"/>
        <v>1.2089981812671622E-4</v>
      </c>
      <c r="Z128" s="22">
        <f t="shared" si="27"/>
        <v>1.2110217984152869E-4</v>
      </c>
      <c r="AA128" s="22">
        <f t="shared" si="27"/>
        <v>1.2132504756910802E-4</v>
      </c>
      <c r="AB128" s="22">
        <f t="shared" si="27"/>
        <v>1.2156903411725496E-4</v>
      </c>
      <c r="AC128" s="22">
        <f t="shared" si="27"/>
        <v>1.2183162117803533E-4</v>
      </c>
      <c r="AD128" s="22">
        <f t="shared" si="27"/>
        <v>1.2200776858907327E-4</v>
      </c>
      <c r="AE128" s="22">
        <f t="shared" si="27"/>
        <v>1.2219899661673858E-4</v>
      </c>
      <c r="AF128" s="22">
        <f t="shared" si="27"/>
        <v>1.2240684242118336E-4</v>
      </c>
      <c r="AG128" s="22">
        <f t="shared" si="27"/>
        <v>1.2263333491271974E-4</v>
      </c>
      <c r="AH128" s="22">
        <f t="shared" si="27"/>
        <v>1.2287167298468532E-4</v>
      </c>
      <c r="AI128" s="22">
        <f t="shared" ref="L128:AW135" si="28">AI1537</f>
        <v>1.2302401792252464E-4</v>
      </c>
      <c r="AJ128" s="22">
        <f t="shared" si="28"/>
        <v>1.2319088645114677E-4</v>
      </c>
      <c r="AK128" s="22">
        <f t="shared" si="28"/>
        <v>1.2336677489796816E-4</v>
      </c>
      <c r="AL128" s="22">
        <f t="shared" si="28"/>
        <v>1.2355355577482136E-4</v>
      </c>
      <c r="AM128" s="22">
        <f t="shared" si="28"/>
        <v>1.2375094588099321E-4</v>
      </c>
      <c r="AN128" s="22">
        <f t="shared" si="28"/>
        <v>1.2386757855810271E-4</v>
      </c>
      <c r="AO128" s="22">
        <f t="shared" si="28"/>
        <v>1.2399208535623994E-4</v>
      </c>
      <c r="AP128" s="22">
        <f t="shared" si="28"/>
        <v>1.2412714040619619E-4</v>
      </c>
      <c r="AQ128" s="22">
        <f t="shared" si="28"/>
        <v>1.242726131383893E-4</v>
      </c>
      <c r="AR128" s="22">
        <f t="shared" si="28"/>
        <v>1.2442850053815514E-4</v>
      </c>
      <c r="AS128" s="22">
        <f t="shared" si="28"/>
        <v>1.2449922291454818E-4</v>
      </c>
      <c r="AT128" s="22">
        <f t="shared" si="28"/>
        <v>1.2454479881058539E-4</v>
      </c>
      <c r="AU128" s="22">
        <f t="shared" si="28"/>
        <v>1.2459475860623469E-4</v>
      </c>
      <c r="AV128" s="22">
        <f t="shared" si="28"/>
        <v>1.2464752954530566E-4</v>
      </c>
      <c r="AW128" s="22">
        <f t="shared" si="28"/>
        <v>1.2470598620434531E-4</v>
      </c>
      <c r="AY128" s="79"/>
    </row>
    <row r="129" spans="1:51" x14ac:dyDescent="0.3">
      <c r="A129" s="95" t="str">
        <f t="shared" si="0"/>
        <v>FS MM Volatilisation</v>
      </c>
      <c r="B129" s="95" t="s">
        <v>1004</v>
      </c>
      <c r="C129" s="95" t="s">
        <v>1332</v>
      </c>
      <c r="D129" t="s">
        <v>369</v>
      </c>
      <c r="E129" t="s">
        <v>64</v>
      </c>
      <c r="F129" t="s">
        <v>62</v>
      </c>
      <c r="G129" t="s">
        <v>1166</v>
      </c>
      <c r="H129" t="s">
        <v>1297</v>
      </c>
      <c r="I129" t="s">
        <v>139</v>
      </c>
      <c r="J129" t="s">
        <v>287</v>
      </c>
      <c r="K129" s="22">
        <f t="shared" si="26"/>
        <v>8.042066176599371E-4</v>
      </c>
      <c r="L129" s="22">
        <f t="shared" si="28"/>
        <v>8.046414496191049E-4</v>
      </c>
      <c r="M129" s="22">
        <f t="shared" si="28"/>
        <v>8.0568111652005547E-4</v>
      </c>
      <c r="N129" s="22">
        <f t="shared" si="28"/>
        <v>8.0721411369945729E-4</v>
      </c>
      <c r="O129" s="22">
        <f t="shared" si="28"/>
        <v>8.0923069942871869E-4</v>
      </c>
      <c r="P129" s="22">
        <f t="shared" si="28"/>
        <v>8.117095793970544E-4</v>
      </c>
      <c r="Q129" s="22">
        <f t="shared" si="28"/>
        <v>8.1449369995900982E-4</v>
      </c>
      <c r="R129" s="22">
        <f t="shared" si="28"/>
        <v>8.1756548398113221E-4</v>
      </c>
      <c r="S129" s="22">
        <f t="shared" si="28"/>
        <v>8.2037446135049667E-4</v>
      </c>
      <c r="T129" s="22">
        <f t="shared" si="28"/>
        <v>8.2160879401085645E-4</v>
      </c>
      <c r="U129" s="22">
        <f t="shared" si="28"/>
        <v>8.2311617936359845E-4</v>
      </c>
      <c r="V129" s="22">
        <f t="shared" si="28"/>
        <v>8.2470055903049121E-4</v>
      </c>
      <c r="W129" s="22">
        <f t="shared" si="28"/>
        <v>8.2647936345526477E-4</v>
      </c>
      <c r="X129" s="22">
        <f t="shared" si="28"/>
        <v>8.2844761550796096E-4</v>
      </c>
      <c r="Y129" s="22">
        <f t="shared" si="28"/>
        <v>8.2967683846882541E-4</v>
      </c>
      <c r="Z129" s="22">
        <f t="shared" si="28"/>
        <v>8.3106554881077761E-4</v>
      </c>
      <c r="AA129" s="22">
        <f t="shared" si="28"/>
        <v>8.3259498197684714E-4</v>
      </c>
      <c r="AB129" s="22">
        <f t="shared" si="28"/>
        <v>8.3426934336987486E-4</v>
      </c>
      <c r="AC129" s="22">
        <f t="shared" si="28"/>
        <v>8.3607135106340792E-4</v>
      </c>
      <c r="AD129" s="22">
        <f t="shared" si="28"/>
        <v>8.3728016534748921E-4</v>
      </c>
      <c r="AE129" s="22">
        <f t="shared" si="28"/>
        <v>8.3859247059226414E-4</v>
      </c>
      <c r="AF129" s="22">
        <f t="shared" si="28"/>
        <v>8.4001881558262628E-4</v>
      </c>
      <c r="AG129" s="22">
        <f t="shared" si="28"/>
        <v>8.4157312374641413E-4</v>
      </c>
      <c r="AH129" s="22">
        <f t="shared" si="28"/>
        <v>8.4320872238584225E-4</v>
      </c>
      <c r="AI129" s="22">
        <f t="shared" si="28"/>
        <v>8.4425419183601768E-4</v>
      </c>
      <c r="AJ129" s="22">
        <f t="shared" si="28"/>
        <v>8.4539932964856662E-4</v>
      </c>
      <c r="AK129" s="22">
        <f t="shared" si="28"/>
        <v>8.4660636678677789E-4</v>
      </c>
      <c r="AL129" s="22">
        <f t="shared" si="28"/>
        <v>8.4788815339154825E-4</v>
      </c>
      <c r="AM129" s="22">
        <f t="shared" si="28"/>
        <v>8.4924274599368159E-4</v>
      </c>
      <c r="AN129" s="22">
        <f t="shared" si="28"/>
        <v>8.5004313951209814E-4</v>
      </c>
      <c r="AO129" s="22">
        <f t="shared" si="28"/>
        <v>8.5089756930568201E-4</v>
      </c>
      <c r="AP129" s="22">
        <f t="shared" si="28"/>
        <v>8.5182438663761119E-4</v>
      </c>
      <c r="AQ129" s="22">
        <f t="shared" si="28"/>
        <v>8.5282269547214476E-4</v>
      </c>
      <c r="AR129" s="22">
        <f t="shared" si="28"/>
        <v>8.5389247512110444E-4</v>
      </c>
      <c r="AS129" s="22">
        <f t="shared" si="28"/>
        <v>8.5437780850343642E-4</v>
      </c>
      <c r="AT129" s="22">
        <f t="shared" si="28"/>
        <v>8.5469057378232966E-4</v>
      </c>
      <c r="AU129" s="22">
        <f t="shared" si="28"/>
        <v>8.5503342363890623E-4</v>
      </c>
      <c r="AV129" s="22">
        <f t="shared" si="28"/>
        <v>8.5539556500991744E-4</v>
      </c>
      <c r="AW129" s="22">
        <f t="shared" si="28"/>
        <v>8.5579672472058501E-4</v>
      </c>
      <c r="AY129" s="79"/>
    </row>
    <row r="130" spans="1:51" x14ac:dyDescent="0.3">
      <c r="A130" s="95" t="str">
        <f t="shared" si="0"/>
        <v>FS MM Volatilisation</v>
      </c>
      <c r="B130" s="95" t="s">
        <v>1004</v>
      </c>
      <c r="C130" s="95" t="s">
        <v>1332</v>
      </c>
      <c r="D130" t="s">
        <v>369</v>
      </c>
      <c r="E130" t="s">
        <v>64</v>
      </c>
      <c r="F130" t="s">
        <v>62</v>
      </c>
      <c r="G130" t="s">
        <v>1168</v>
      </c>
      <c r="H130" t="s">
        <v>1298</v>
      </c>
      <c r="I130" t="s">
        <v>139</v>
      </c>
      <c r="J130" t="s">
        <v>287</v>
      </c>
      <c r="K130" s="22">
        <f t="shared" si="26"/>
        <v>1.4486129996083085E-5</v>
      </c>
      <c r="L130" s="22">
        <f t="shared" si="28"/>
        <v>1.4523786941695515E-5</v>
      </c>
      <c r="M130" s="22">
        <f t="shared" si="28"/>
        <v>1.4575733367418309E-5</v>
      </c>
      <c r="N130" s="22">
        <f t="shared" si="28"/>
        <v>1.4639017833045655E-5</v>
      </c>
      <c r="O130" s="22">
        <f t="shared" si="28"/>
        <v>1.471355007817218E-5</v>
      </c>
      <c r="P130" s="22">
        <f t="shared" si="28"/>
        <v>1.4798876460462532E-5</v>
      </c>
      <c r="Q130" s="22">
        <f t="shared" si="28"/>
        <v>1.489070601115726E-5</v>
      </c>
      <c r="R130" s="22">
        <f t="shared" si="28"/>
        <v>1.4988675221399694E-5</v>
      </c>
      <c r="S130" s="22">
        <f t="shared" si="28"/>
        <v>1.5077522200056562E-5</v>
      </c>
      <c r="T130" s="22">
        <f t="shared" si="28"/>
        <v>1.5120920467659651E-5</v>
      </c>
      <c r="U130" s="22">
        <f t="shared" si="28"/>
        <v>1.5170664566545744E-5</v>
      </c>
      <c r="V130" s="22">
        <f t="shared" si="28"/>
        <v>1.5221371307810579E-5</v>
      </c>
      <c r="W130" s="22">
        <f t="shared" si="28"/>
        <v>1.5276366577947841E-5</v>
      </c>
      <c r="X130" s="22">
        <f t="shared" si="28"/>
        <v>1.5335559486365855E-5</v>
      </c>
      <c r="Y130" s="22">
        <f t="shared" si="28"/>
        <v>1.5373440359637545E-5</v>
      </c>
      <c r="Z130" s="22">
        <f t="shared" si="28"/>
        <v>1.5414884136013281E-5</v>
      </c>
      <c r="AA130" s="22">
        <f t="shared" si="28"/>
        <v>1.5459406079654033E-5</v>
      </c>
      <c r="AB130" s="22">
        <f t="shared" si="28"/>
        <v>1.5507149153927191E-5</v>
      </c>
      <c r="AC130" s="22">
        <f t="shared" si="28"/>
        <v>1.5557665060375898E-5</v>
      </c>
      <c r="AD130" s="22">
        <f t="shared" si="28"/>
        <v>1.5591353436562986E-5</v>
      </c>
      <c r="AE130" s="22">
        <f t="shared" si="28"/>
        <v>1.5627280085252664E-5</v>
      </c>
      <c r="AF130" s="22">
        <f t="shared" si="28"/>
        <v>1.5665749106164008E-5</v>
      </c>
      <c r="AG130" s="22">
        <f t="shared" si="28"/>
        <v>1.5707151218007595E-5</v>
      </c>
      <c r="AH130" s="22">
        <f t="shared" si="28"/>
        <v>1.5750235619215941E-5</v>
      </c>
      <c r="AI130" s="22">
        <f t="shared" si="28"/>
        <v>1.5776918897393027E-5</v>
      </c>
      <c r="AJ130" s="22">
        <f t="shared" si="28"/>
        <v>1.5805875112600263E-5</v>
      </c>
      <c r="AK130" s="22">
        <f t="shared" si="28"/>
        <v>1.5836097205917668E-5</v>
      </c>
      <c r="AL130" s="22">
        <f t="shared" si="28"/>
        <v>1.5867941184595161E-5</v>
      </c>
      <c r="AM130" s="22">
        <f t="shared" si="28"/>
        <v>1.5901363449816974E-5</v>
      </c>
      <c r="AN130" s="22">
        <f t="shared" si="28"/>
        <v>1.5919623331121566E-5</v>
      </c>
      <c r="AO130" s="22">
        <f t="shared" si="28"/>
        <v>1.5939033537312695E-5</v>
      </c>
      <c r="AP130" s="22">
        <f t="shared" si="28"/>
        <v>1.5960089556991586E-5</v>
      </c>
      <c r="AQ130" s="22">
        <f t="shared" si="28"/>
        <v>1.5982771280705936E-5</v>
      </c>
      <c r="AR130" s="22">
        <f t="shared" si="28"/>
        <v>1.6007081325051207E-5</v>
      </c>
      <c r="AS130" s="22">
        <f t="shared" si="28"/>
        <v>1.6015649873683189E-5</v>
      </c>
      <c r="AT130" s="22">
        <f t="shared" si="28"/>
        <v>1.6019455168078908E-5</v>
      </c>
      <c r="AU130" s="22">
        <f t="shared" si="28"/>
        <v>1.6023878849097448E-5</v>
      </c>
      <c r="AV130" s="22">
        <f t="shared" si="28"/>
        <v>1.6028641289399774E-5</v>
      </c>
      <c r="AW130" s="22">
        <f t="shared" si="28"/>
        <v>1.6034267352361545E-5</v>
      </c>
      <c r="AY130" s="79"/>
    </row>
    <row r="131" spans="1:51" x14ac:dyDescent="0.3">
      <c r="A131" s="95" t="str">
        <f t="shared" si="0"/>
        <v>FS MM Volatilisation</v>
      </c>
      <c r="B131" s="95" t="s">
        <v>1004</v>
      </c>
      <c r="C131" s="95" t="s">
        <v>1332</v>
      </c>
      <c r="D131" t="s">
        <v>369</v>
      </c>
      <c r="E131" t="s">
        <v>64</v>
      </c>
      <c r="F131" t="s">
        <v>62</v>
      </c>
      <c r="G131" t="s">
        <v>1170</v>
      </c>
      <c r="H131" t="s">
        <v>1299</v>
      </c>
      <c r="I131" t="s">
        <v>139</v>
      </c>
      <c r="J131" t="s">
        <v>287</v>
      </c>
      <c r="K131" s="22">
        <f t="shared" si="26"/>
        <v>1.4738364076719787E-3</v>
      </c>
      <c r="L131" s="22">
        <f t="shared" si="28"/>
        <v>1.4776676709189833E-3</v>
      </c>
      <c r="M131" s="22">
        <f t="shared" si="28"/>
        <v>1.4829527631761549E-3</v>
      </c>
      <c r="N131" s="22">
        <f t="shared" si="28"/>
        <v>1.4893914013429305E-3</v>
      </c>
      <c r="O131" s="22">
        <f t="shared" si="28"/>
        <v>1.4969744022163664E-3</v>
      </c>
      <c r="P131" s="22">
        <f t="shared" si="28"/>
        <v>1.5056556116759296E-3</v>
      </c>
      <c r="Q131" s="22">
        <f t="shared" si="28"/>
        <v>1.5149984613639169E-3</v>
      </c>
      <c r="R131" s="22">
        <f t="shared" si="28"/>
        <v>1.5249659674490626E-3</v>
      </c>
      <c r="S131" s="22">
        <f t="shared" si="28"/>
        <v>1.5340053666461951E-3</v>
      </c>
      <c r="T131" s="22">
        <f t="shared" si="28"/>
        <v>1.5384207589449399E-3</v>
      </c>
      <c r="U131" s="22">
        <f t="shared" si="28"/>
        <v>1.5434817838028542E-3</v>
      </c>
      <c r="V131" s="22">
        <f t="shared" si="28"/>
        <v>1.5486407490620871E-3</v>
      </c>
      <c r="W131" s="22">
        <f t="shared" si="28"/>
        <v>1.5542360344419619E-3</v>
      </c>
      <c r="X131" s="22">
        <f t="shared" si="28"/>
        <v>1.5602583926236193E-3</v>
      </c>
      <c r="Y131" s="22">
        <f t="shared" si="28"/>
        <v>1.5641124385418405E-3</v>
      </c>
      <c r="Z131" s="22">
        <f t="shared" si="28"/>
        <v>1.5683289785363378E-3</v>
      </c>
      <c r="AA131" s="22">
        <f t="shared" si="28"/>
        <v>1.5728586949958615E-3</v>
      </c>
      <c r="AB131" s="22">
        <f t="shared" si="28"/>
        <v>1.5777161331865307E-3</v>
      </c>
      <c r="AC131" s="22">
        <f t="shared" si="28"/>
        <v>1.5828556826804803E-3</v>
      </c>
      <c r="AD131" s="22">
        <f t="shared" si="28"/>
        <v>1.5862831788684411E-3</v>
      </c>
      <c r="AE131" s="22">
        <f t="shared" si="28"/>
        <v>1.5899383996112353E-3</v>
      </c>
      <c r="AF131" s="22">
        <f t="shared" si="28"/>
        <v>1.5938522843825273E-3</v>
      </c>
      <c r="AG131" s="22">
        <f t="shared" si="28"/>
        <v>1.5980645853770706E-3</v>
      </c>
      <c r="AH131" s="22">
        <f t="shared" si="28"/>
        <v>1.6024480445287401E-3</v>
      </c>
      <c r="AI131" s="22">
        <f t="shared" si="28"/>
        <v>1.6051628335623928E-3</v>
      </c>
      <c r="AJ131" s="22">
        <f t="shared" si="28"/>
        <v>1.6081088739618883E-3</v>
      </c>
      <c r="AK131" s="22">
        <f t="shared" si="28"/>
        <v>1.611183706333218E-3</v>
      </c>
      <c r="AL131" s="22">
        <f t="shared" si="28"/>
        <v>1.6144235512850938E-3</v>
      </c>
      <c r="AM131" s="22">
        <f t="shared" si="28"/>
        <v>1.6178239730212022E-3</v>
      </c>
      <c r="AN131" s="22">
        <f t="shared" si="28"/>
        <v>1.6196817554567978E-3</v>
      </c>
      <c r="AO131" s="22">
        <f t="shared" si="28"/>
        <v>1.6216565733393274E-3</v>
      </c>
      <c r="AP131" s="22">
        <f t="shared" si="28"/>
        <v>1.623798838279086E-3</v>
      </c>
      <c r="AQ131" s="22">
        <f t="shared" si="28"/>
        <v>1.6261065043160481E-3</v>
      </c>
      <c r="AR131" s="22">
        <f t="shared" si="28"/>
        <v>1.6285798376658015E-3</v>
      </c>
      <c r="AS131" s="22">
        <f t="shared" si="28"/>
        <v>1.6294516121796393E-3</v>
      </c>
      <c r="AT131" s="22">
        <f t="shared" si="28"/>
        <v>1.6298387674394525E-3</v>
      </c>
      <c r="AU131" s="22">
        <f t="shared" si="28"/>
        <v>1.630288838103102E-3</v>
      </c>
      <c r="AV131" s="22">
        <f t="shared" si="28"/>
        <v>1.6307733745465026E-3</v>
      </c>
      <c r="AW131" s="22">
        <f t="shared" si="28"/>
        <v>1.6313457770050716E-3</v>
      </c>
      <c r="AY131" s="79"/>
    </row>
    <row r="132" spans="1:51" x14ac:dyDescent="0.3">
      <c r="A132" s="95" t="str">
        <f t="shared" si="0"/>
        <v>FS MM Volatilisation</v>
      </c>
      <c r="B132" s="95" t="s">
        <v>1004</v>
      </c>
      <c r="C132" s="95" t="s">
        <v>1332</v>
      </c>
      <c r="D132" t="s">
        <v>369</v>
      </c>
      <c r="E132" t="s">
        <v>64</v>
      </c>
      <c r="F132" t="s">
        <v>62</v>
      </c>
      <c r="G132" t="s">
        <v>1172</v>
      </c>
      <c r="H132" t="s">
        <v>1300</v>
      </c>
      <c r="I132" t="s">
        <v>139</v>
      </c>
      <c r="J132" t="s">
        <v>287</v>
      </c>
      <c r="K132" s="22">
        <f t="shared" si="26"/>
        <v>0</v>
      </c>
      <c r="L132" s="22">
        <f t="shared" si="28"/>
        <v>0</v>
      </c>
      <c r="M132" s="22">
        <f t="shared" si="28"/>
        <v>0</v>
      </c>
      <c r="N132" s="22">
        <f t="shared" si="28"/>
        <v>0</v>
      </c>
      <c r="O132" s="22">
        <f t="shared" si="28"/>
        <v>0</v>
      </c>
      <c r="P132" s="22">
        <f t="shared" si="28"/>
        <v>0</v>
      </c>
      <c r="Q132" s="22">
        <f t="shared" si="28"/>
        <v>0</v>
      </c>
      <c r="R132" s="22">
        <f t="shared" si="28"/>
        <v>0</v>
      </c>
      <c r="S132" s="22">
        <f t="shared" si="28"/>
        <v>0</v>
      </c>
      <c r="T132" s="22">
        <f t="shared" si="28"/>
        <v>0</v>
      </c>
      <c r="U132" s="22">
        <f t="shared" si="28"/>
        <v>0</v>
      </c>
      <c r="V132" s="22">
        <f t="shared" si="28"/>
        <v>0</v>
      </c>
      <c r="W132" s="22">
        <f t="shared" si="28"/>
        <v>0</v>
      </c>
      <c r="X132" s="22">
        <f t="shared" si="28"/>
        <v>0</v>
      </c>
      <c r="Y132" s="22">
        <f t="shared" si="28"/>
        <v>0</v>
      </c>
      <c r="Z132" s="22">
        <f t="shared" si="28"/>
        <v>0</v>
      </c>
      <c r="AA132" s="22">
        <f t="shared" si="28"/>
        <v>0</v>
      </c>
      <c r="AB132" s="22">
        <f t="shared" si="28"/>
        <v>0</v>
      </c>
      <c r="AC132" s="22">
        <f t="shared" si="28"/>
        <v>0</v>
      </c>
      <c r="AD132" s="22">
        <f t="shared" si="28"/>
        <v>0</v>
      </c>
      <c r="AE132" s="22">
        <f t="shared" si="28"/>
        <v>0</v>
      </c>
      <c r="AF132" s="22">
        <f t="shared" si="28"/>
        <v>0</v>
      </c>
      <c r="AG132" s="22">
        <f t="shared" si="28"/>
        <v>0</v>
      </c>
      <c r="AH132" s="22">
        <f t="shared" si="28"/>
        <v>0</v>
      </c>
      <c r="AI132" s="22">
        <f t="shared" si="28"/>
        <v>0</v>
      </c>
      <c r="AJ132" s="22">
        <f t="shared" si="28"/>
        <v>0</v>
      </c>
      <c r="AK132" s="22">
        <f t="shared" si="28"/>
        <v>0</v>
      </c>
      <c r="AL132" s="22">
        <f t="shared" si="28"/>
        <v>0</v>
      </c>
      <c r="AM132" s="22">
        <f t="shared" si="28"/>
        <v>0</v>
      </c>
      <c r="AN132" s="22">
        <f t="shared" si="28"/>
        <v>0</v>
      </c>
      <c r="AO132" s="22">
        <f t="shared" si="28"/>
        <v>0</v>
      </c>
      <c r="AP132" s="22">
        <f t="shared" si="28"/>
        <v>0</v>
      </c>
      <c r="AQ132" s="22">
        <f t="shared" si="28"/>
        <v>0</v>
      </c>
      <c r="AR132" s="22">
        <f t="shared" si="28"/>
        <v>0</v>
      </c>
      <c r="AS132" s="22">
        <f t="shared" si="28"/>
        <v>0</v>
      </c>
      <c r="AT132" s="22">
        <f t="shared" si="28"/>
        <v>0</v>
      </c>
      <c r="AU132" s="22">
        <f t="shared" si="28"/>
        <v>0</v>
      </c>
      <c r="AV132" s="22">
        <f t="shared" si="28"/>
        <v>0</v>
      </c>
      <c r="AW132" s="22">
        <f t="shared" si="28"/>
        <v>0</v>
      </c>
      <c r="AY132" s="79"/>
    </row>
    <row r="133" spans="1:51" x14ac:dyDescent="0.3">
      <c r="A133" s="95" t="str">
        <f t="shared" si="0"/>
        <v>FS MM Volatilisation</v>
      </c>
      <c r="B133" s="95" t="s">
        <v>1004</v>
      </c>
      <c r="C133" s="95" t="s">
        <v>1332</v>
      </c>
      <c r="D133" t="s">
        <v>369</v>
      </c>
      <c r="E133" t="s">
        <v>64</v>
      </c>
      <c r="F133" t="s">
        <v>62</v>
      </c>
      <c r="G133" t="s">
        <v>1174</v>
      </c>
      <c r="H133" t="s">
        <v>1301</v>
      </c>
      <c r="I133" t="s">
        <v>139</v>
      </c>
      <c r="J133" t="s">
        <v>287</v>
      </c>
      <c r="K133" s="22">
        <f t="shared" si="26"/>
        <v>0</v>
      </c>
      <c r="L133" s="22">
        <f t="shared" si="28"/>
        <v>0</v>
      </c>
      <c r="M133" s="22">
        <f t="shared" si="28"/>
        <v>0</v>
      </c>
      <c r="N133" s="22">
        <f t="shared" si="28"/>
        <v>0</v>
      </c>
      <c r="O133" s="22">
        <f t="shared" si="28"/>
        <v>0</v>
      </c>
      <c r="P133" s="22">
        <f t="shared" si="28"/>
        <v>0</v>
      </c>
      <c r="Q133" s="22">
        <f t="shared" si="28"/>
        <v>0</v>
      </c>
      <c r="R133" s="22">
        <f t="shared" si="28"/>
        <v>0</v>
      </c>
      <c r="S133" s="22">
        <f t="shared" si="28"/>
        <v>0</v>
      </c>
      <c r="T133" s="22">
        <f t="shared" si="28"/>
        <v>0</v>
      </c>
      <c r="U133" s="22">
        <f t="shared" si="28"/>
        <v>0</v>
      </c>
      <c r="V133" s="22">
        <f t="shared" si="28"/>
        <v>0</v>
      </c>
      <c r="W133" s="22">
        <f t="shared" si="28"/>
        <v>0</v>
      </c>
      <c r="X133" s="22">
        <f t="shared" si="28"/>
        <v>0</v>
      </c>
      <c r="Y133" s="22">
        <f t="shared" si="28"/>
        <v>0</v>
      </c>
      <c r="Z133" s="22">
        <f t="shared" si="28"/>
        <v>0</v>
      </c>
      <c r="AA133" s="22">
        <f t="shared" si="28"/>
        <v>0</v>
      </c>
      <c r="AB133" s="22">
        <f t="shared" si="28"/>
        <v>0</v>
      </c>
      <c r="AC133" s="22">
        <f t="shared" si="28"/>
        <v>0</v>
      </c>
      <c r="AD133" s="22">
        <f t="shared" si="28"/>
        <v>0</v>
      </c>
      <c r="AE133" s="22">
        <f t="shared" si="28"/>
        <v>0</v>
      </c>
      <c r="AF133" s="22">
        <f t="shared" si="28"/>
        <v>0</v>
      </c>
      <c r="AG133" s="22">
        <f t="shared" si="28"/>
        <v>0</v>
      </c>
      <c r="AH133" s="22">
        <f t="shared" si="28"/>
        <v>0</v>
      </c>
      <c r="AI133" s="22">
        <f t="shared" si="28"/>
        <v>0</v>
      </c>
      <c r="AJ133" s="22">
        <f t="shared" si="28"/>
        <v>0</v>
      </c>
      <c r="AK133" s="22">
        <f t="shared" si="28"/>
        <v>0</v>
      </c>
      <c r="AL133" s="22">
        <f t="shared" si="28"/>
        <v>0</v>
      </c>
      <c r="AM133" s="22">
        <f t="shared" si="28"/>
        <v>0</v>
      </c>
      <c r="AN133" s="22">
        <f t="shared" si="28"/>
        <v>0</v>
      </c>
      <c r="AO133" s="22">
        <f t="shared" si="28"/>
        <v>0</v>
      </c>
      <c r="AP133" s="22">
        <f t="shared" si="28"/>
        <v>0</v>
      </c>
      <c r="AQ133" s="22">
        <f t="shared" si="28"/>
        <v>0</v>
      </c>
      <c r="AR133" s="22">
        <f t="shared" si="28"/>
        <v>0</v>
      </c>
      <c r="AS133" s="22">
        <f t="shared" si="28"/>
        <v>0</v>
      </c>
      <c r="AT133" s="22">
        <f t="shared" si="28"/>
        <v>0</v>
      </c>
      <c r="AU133" s="22">
        <f t="shared" si="28"/>
        <v>0</v>
      </c>
      <c r="AV133" s="22">
        <f t="shared" si="28"/>
        <v>0</v>
      </c>
      <c r="AW133" s="22">
        <f t="shared" si="28"/>
        <v>0</v>
      </c>
      <c r="AY133" s="79"/>
    </row>
    <row r="134" spans="1:51" x14ac:dyDescent="0.3">
      <c r="A134" s="95" t="str">
        <f t="shared" si="0"/>
        <v>FS MM Volatilisation</v>
      </c>
      <c r="B134" s="95" t="s">
        <v>1004</v>
      </c>
      <c r="C134" s="95" t="s">
        <v>1332</v>
      </c>
      <c r="D134" t="s">
        <v>369</v>
      </c>
      <c r="E134" t="s">
        <v>64</v>
      </c>
      <c r="F134" t="s">
        <v>62</v>
      </c>
      <c r="G134" t="s">
        <v>1176</v>
      </c>
      <c r="H134" t="s">
        <v>1302</v>
      </c>
      <c r="I134" t="s">
        <v>139</v>
      </c>
      <c r="J134" t="s">
        <v>287</v>
      </c>
      <c r="K134" s="22">
        <f t="shared" si="26"/>
        <v>0.13075625264316332</v>
      </c>
      <c r="L134" s="22">
        <f t="shared" si="28"/>
        <v>0.13004550543955862</v>
      </c>
      <c r="M134" s="22">
        <f t="shared" si="28"/>
        <v>0.13010384136507711</v>
      </c>
      <c r="N134" s="22">
        <f t="shared" si="28"/>
        <v>0.1289093884029483</v>
      </c>
      <c r="O134" s="22">
        <f t="shared" si="28"/>
        <v>0.12695857121838472</v>
      </c>
      <c r="P134" s="22">
        <f t="shared" si="28"/>
        <v>0.12428257569245393</v>
      </c>
      <c r="Q134" s="22">
        <f t="shared" si="28"/>
        <v>0.12233950618032063</v>
      </c>
      <c r="R134" s="22">
        <f t="shared" si="28"/>
        <v>0.1205683722616282</v>
      </c>
      <c r="S134" s="22">
        <f t="shared" si="28"/>
        <v>0.1064558326136491</v>
      </c>
      <c r="T134" s="22">
        <f t="shared" si="28"/>
        <v>0.10780203870685764</v>
      </c>
      <c r="U134" s="22">
        <f t="shared" si="28"/>
        <v>0.11069073271596624</v>
      </c>
      <c r="V134" s="22">
        <f t="shared" si="28"/>
        <v>0.11095301112483856</v>
      </c>
      <c r="W134" s="22">
        <f t="shared" si="28"/>
        <v>0.11152098959254672</v>
      </c>
      <c r="X134" s="22">
        <f t="shared" si="28"/>
        <v>0.11247596118460781</v>
      </c>
      <c r="Y134" s="22">
        <f t="shared" si="28"/>
        <v>0.11367425965304444</v>
      </c>
      <c r="Z134" s="22">
        <f t="shared" si="28"/>
        <v>0.11514267283955164</v>
      </c>
      <c r="AA134" s="22">
        <f t="shared" si="28"/>
        <v>0.11662825764737823</v>
      </c>
      <c r="AB134" s="22">
        <f t="shared" si="28"/>
        <v>0.11834343516699931</v>
      </c>
      <c r="AC134" s="22">
        <f t="shared" si="28"/>
        <v>0.12004677457127924</v>
      </c>
      <c r="AD134" s="22">
        <f t="shared" si="28"/>
        <v>0.12216447018435615</v>
      </c>
      <c r="AE134" s="22">
        <f t="shared" si="28"/>
        <v>0.12411396366852792</v>
      </c>
      <c r="AF134" s="22">
        <f t="shared" si="28"/>
        <v>0.12618838059713719</v>
      </c>
      <c r="AG134" s="22">
        <f t="shared" si="28"/>
        <v>0.12871889862830188</v>
      </c>
      <c r="AH134" s="22">
        <f t="shared" si="28"/>
        <v>0.13089178183294797</v>
      </c>
      <c r="AI134" s="22">
        <f t="shared" si="28"/>
        <v>0.13323707488889489</v>
      </c>
      <c r="AJ134" s="22">
        <f t="shared" si="28"/>
        <v>0.13578249309813545</v>
      </c>
      <c r="AK134" s="22">
        <f t="shared" si="28"/>
        <v>0.13790594882017243</v>
      </c>
      <c r="AL134" s="22">
        <f t="shared" si="28"/>
        <v>0.13989729447599811</v>
      </c>
      <c r="AM134" s="22">
        <f t="shared" si="28"/>
        <v>0.14177259067901168</v>
      </c>
      <c r="AN134" s="22">
        <f t="shared" si="28"/>
        <v>0.14393792175478221</v>
      </c>
      <c r="AO134" s="22">
        <f t="shared" si="28"/>
        <v>0.14581606733158803</v>
      </c>
      <c r="AP134" s="22">
        <f t="shared" si="28"/>
        <v>0.14775479067393846</v>
      </c>
      <c r="AQ134" s="22">
        <f t="shared" si="28"/>
        <v>0.14976871512687839</v>
      </c>
      <c r="AR134" s="22">
        <f t="shared" si="28"/>
        <v>0.15188303991230881</v>
      </c>
      <c r="AS134" s="22">
        <f t="shared" si="28"/>
        <v>0.15410322114057187</v>
      </c>
      <c r="AT134" s="22">
        <f t="shared" si="28"/>
        <v>0.15275221037305547</v>
      </c>
      <c r="AU134" s="22">
        <f t="shared" si="28"/>
        <v>0.15108898692169739</v>
      </c>
      <c r="AV134" s="22">
        <f t="shared" si="28"/>
        <v>0.14899028797623304</v>
      </c>
      <c r="AW134" s="22">
        <f t="shared" si="28"/>
        <v>0.14678866203706492</v>
      </c>
      <c r="AY134" s="79"/>
    </row>
    <row r="135" spans="1:51" x14ac:dyDescent="0.3">
      <c r="A135" s="95" t="str">
        <f t="shared" si="0"/>
        <v>FS MM Volatilisation</v>
      </c>
      <c r="B135" s="95" t="s">
        <v>1004</v>
      </c>
      <c r="C135" s="95" t="s">
        <v>1332</v>
      </c>
      <c r="D135" t="s">
        <v>369</v>
      </c>
      <c r="E135" t="s">
        <v>64</v>
      </c>
      <c r="F135" t="s">
        <v>62</v>
      </c>
      <c r="G135" t="s">
        <v>1178</v>
      </c>
      <c r="H135" t="s">
        <v>1303</v>
      </c>
      <c r="I135" t="s">
        <v>139</v>
      </c>
      <c r="J135" t="s">
        <v>287</v>
      </c>
      <c r="K135" s="22">
        <f t="shared" si="26"/>
        <v>1.2724633182830876E-2</v>
      </c>
      <c r="L135" s="22">
        <f t="shared" si="28"/>
        <v>1.2655466337890209E-2</v>
      </c>
      <c r="M135" s="22">
        <f t="shared" si="28"/>
        <v>1.2661143337946407E-2</v>
      </c>
      <c r="N135" s="22">
        <f t="shared" si="28"/>
        <v>1.2544904339887072E-2</v>
      </c>
      <c r="O135" s="22">
        <f t="shared" si="28"/>
        <v>1.2355059245839611E-2</v>
      </c>
      <c r="P135" s="22">
        <f t="shared" si="28"/>
        <v>1.2094642930917434E-2</v>
      </c>
      <c r="Q135" s="22">
        <f t="shared" si="28"/>
        <v>1.1905551806853844E-2</v>
      </c>
      <c r="R135" s="22">
        <f t="shared" si="28"/>
        <v>1.1733192711380723E-2</v>
      </c>
      <c r="S135" s="22">
        <f t="shared" si="28"/>
        <v>1.0359821368376874E-2</v>
      </c>
      <c r="T135" s="22">
        <f t="shared" si="28"/>
        <v>1.049082832504853E-2</v>
      </c>
      <c r="U135" s="22">
        <f t="shared" si="28"/>
        <v>1.0771943536752097E-2</v>
      </c>
      <c r="V135" s="22">
        <f t="shared" si="28"/>
        <v>1.0797467337543365E-2</v>
      </c>
      <c r="W135" s="22">
        <f t="shared" si="28"/>
        <v>1.0852740546366932E-2</v>
      </c>
      <c r="X135" s="22">
        <f t="shared" ref="L135:AW142" si="29">X1544</f>
        <v>1.0945674252888513E-2</v>
      </c>
      <c r="Y135" s="22">
        <f t="shared" si="29"/>
        <v>1.1062287478995693E-2</v>
      </c>
      <c r="Z135" s="22">
        <f t="shared" si="29"/>
        <v>1.1205187101625038E-2</v>
      </c>
      <c r="AA135" s="22">
        <f t="shared" si="29"/>
        <v>1.1349757792199721E-2</v>
      </c>
      <c r="AB135" s="22">
        <f t="shared" si="29"/>
        <v>1.1516671452842603E-2</v>
      </c>
      <c r="AC135" s="22">
        <f t="shared" si="29"/>
        <v>1.1682433079282552E-2</v>
      </c>
      <c r="AD135" s="22">
        <f t="shared" si="29"/>
        <v>1.1888518060494371E-2</v>
      </c>
      <c r="AE135" s="22">
        <f t="shared" si="29"/>
        <v>1.2078234337742711E-2</v>
      </c>
      <c r="AF135" s="22">
        <f t="shared" si="29"/>
        <v>1.2280107624497444E-2</v>
      </c>
      <c r="AG135" s="22">
        <f t="shared" si="29"/>
        <v>1.2526366698600652E-2</v>
      </c>
      <c r="AH135" s="22">
        <f t="shared" si="29"/>
        <v>1.2737822297620535E-2</v>
      </c>
      <c r="AI135" s="22">
        <f t="shared" si="29"/>
        <v>1.2966056077955363E-2</v>
      </c>
      <c r="AJ135" s="22">
        <f t="shared" si="29"/>
        <v>1.3213765172968019E-2</v>
      </c>
      <c r="AK135" s="22">
        <f t="shared" si="29"/>
        <v>1.3420410703080012E-2</v>
      </c>
      <c r="AL135" s="22">
        <f t="shared" si="29"/>
        <v>1.3614199852725929E-2</v>
      </c>
      <c r="AM135" s="22">
        <f t="shared" si="29"/>
        <v>1.3796695571363754E-2</v>
      </c>
      <c r="AN135" s="22">
        <f t="shared" si="29"/>
        <v>1.4007416229853083E-2</v>
      </c>
      <c r="AO135" s="22">
        <f t="shared" si="29"/>
        <v>1.419018923722911E-2</v>
      </c>
      <c r="AP135" s="22">
        <f t="shared" si="29"/>
        <v>1.4378857410840086E-2</v>
      </c>
      <c r="AQ135" s="22">
        <f t="shared" si="29"/>
        <v>1.4574843831401781E-2</v>
      </c>
      <c r="AR135" s="22">
        <f t="shared" si="29"/>
        <v>1.4780600778240808E-2</v>
      </c>
      <c r="AS135" s="22">
        <f t="shared" si="29"/>
        <v>1.4996659216426185E-2</v>
      </c>
      <c r="AT135" s="22">
        <f t="shared" si="29"/>
        <v>1.4865184689623886E-2</v>
      </c>
      <c r="AU135" s="22">
        <f t="shared" si="29"/>
        <v>1.4703326974281053E-2</v>
      </c>
      <c r="AV135" s="22">
        <f t="shared" si="29"/>
        <v>1.4499090666629237E-2</v>
      </c>
      <c r="AW135" s="22">
        <f t="shared" si="29"/>
        <v>1.4284837948954819E-2</v>
      </c>
      <c r="AY135" s="79"/>
    </row>
    <row r="136" spans="1:51" x14ac:dyDescent="0.3">
      <c r="A136" s="95" t="str">
        <f t="shared" si="0"/>
        <v>FS MM Volatilisation</v>
      </c>
      <c r="B136" s="95" t="s">
        <v>1004</v>
      </c>
      <c r="C136" s="95" t="s">
        <v>1332</v>
      </c>
      <c r="D136" t="s">
        <v>369</v>
      </c>
      <c r="E136" t="s">
        <v>64</v>
      </c>
      <c r="F136" t="s">
        <v>62</v>
      </c>
      <c r="G136" t="s">
        <v>1180</v>
      </c>
      <c r="H136" t="s">
        <v>1304</v>
      </c>
      <c r="I136" t="s">
        <v>139</v>
      </c>
      <c r="J136" t="s">
        <v>287</v>
      </c>
      <c r="K136" s="22">
        <f t="shared" si="26"/>
        <v>6.4453339767617107E-2</v>
      </c>
      <c r="L136" s="22">
        <f t="shared" si="29"/>
        <v>6.5763803942104543E-2</v>
      </c>
      <c r="M136" s="22">
        <f t="shared" si="29"/>
        <v>6.7295612361813625E-2</v>
      </c>
      <c r="N136" s="22">
        <f t="shared" si="29"/>
        <v>6.8471619369899747E-2</v>
      </c>
      <c r="O136" s="22">
        <f t="shared" si="29"/>
        <v>6.94156577655035E-2</v>
      </c>
      <c r="P136" s="22">
        <f t="shared" si="29"/>
        <v>7.0122113289878316E-2</v>
      </c>
      <c r="Q136" s="22">
        <f t="shared" si="29"/>
        <v>7.1027984276732931E-2</v>
      </c>
      <c r="R136" s="22">
        <f t="shared" si="29"/>
        <v>7.1969839340941838E-2</v>
      </c>
      <c r="S136" s="22">
        <f t="shared" si="29"/>
        <v>6.8766563459968802E-2</v>
      </c>
      <c r="T136" s="22">
        <f t="shared" si="29"/>
        <v>7.0478152358708523E-2</v>
      </c>
      <c r="U136" s="22">
        <f t="shared" si="29"/>
        <v>7.2759128000714796E-2</v>
      </c>
      <c r="V136" s="22">
        <f t="shared" si="29"/>
        <v>7.4154122533566028E-2</v>
      </c>
      <c r="W136" s="22">
        <f t="shared" si="29"/>
        <v>7.5674972830257564E-2</v>
      </c>
      <c r="X136" s="22">
        <f t="shared" si="29"/>
        <v>7.7360161163039912E-2</v>
      </c>
      <c r="Y136" s="22">
        <f t="shared" si="29"/>
        <v>7.9100740420260676E-2</v>
      </c>
      <c r="Z136" s="22">
        <f t="shared" si="29"/>
        <v>8.0976740364442315E-2</v>
      </c>
      <c r="AA136" s="22">
        <f t="shared" si="29"/>
        <v>8.2894928844752261E-2</v>
      </c>
      <c r="AB136" s="22">
        <f t="shared" si="29"/>
        <v>8.4943030682698137E-2</v>
      </c>
      <c r="AC136" s="22">
        <f t="shared" si="29"/>
        <v>8.7027608507248444E-2</v>
      </c>
      <c r="AD136" s="22">
        <f t="shared" si="29"/>
        <v>8.9276729497460336E-2</v>
      </c>
      <c r="AE136" s="22">
        <f t="shared" si="29"/>
        <v>9.1502625848092475E-2</v>
      </c>
      <c r="AF136" s="22">
        <f t="shared" si="29"/>
        <v>9.3831227517320093E-2</v>
      </c>
      <c r="AG136" s="22">
        <f t="shared" si="29"/>
        <v>9.6415651387216014E-2</v>
      </c>
      <c r="AH136" s="22">
        <f t="shared" si="29"/>
        <v>9.8896773571356525E-2</v>
      </c>
      <c r="AI136" s="22">
        <f t="shared" si="29"/>
        <v>0.10146265551465955</v>
      </c>
      <c r="AJ136" s="22">
        <f t="shared" si="29"/>
        <v>0.10418290059990712</v>
      </c>
      <c r="AK136" s="22">
        <f t="shared" si="29"/>
        <v>0.10676300622740972</v>
      </c>
      <c r="AL136" s="22">
        <f t="shared" si="29"/>
        <v>0.1093360798195923</v>
      </c>
      <c r="AM136" s="22">
        <f t="shared" si="29"/>
        <v>0.11190804099965344</v>
      </c>
      <c r="AN136" s="22">
        <f t="shared" si="29"/>
        <v>0.11463676938939842</v>
      </c>
      <c r="AO136" s="22">
        <f t="shared" si="29"/>
        <v>0.11727861184981632</v>
      </c>
      <c r="AP136" s="22">
        <f t="shared" si="29"/>
        <v>0.12001194210770205</v>
      </c>
      <c r="AQ136" s="22">
        <f t="shared" si="29"/>
        <v>0.12284817048623448</v>
      </c>
      <c r="AR136" s="22">
        <f t="shared" si="29"/>
        <v>0.12580525852431573</v>
      </c>
      <c r="AS136" s="22">
        <f t="shared" si="29"/>
        <v>0.12884131843333302</v>
      </c>
      <c r="AT136" s="22">
        <f t="shared" si="29"/>
        <v>0.12990474262387622</v>
      </c>
      <c r="AU136" s="22">
        <f t="shared" si="29"/>
        <v>0.13078551683241871</v>
      </c>
      <c r="AV136" s="22">
        <f t="shared" si="29"/>
        <v>0.13140059443899127</v>
      </c>
      <c r="AW136" s="22">
        <f t="shared" si="29"/>
        <v>0.13193699884155385</v>
      </c>
      <c r="AY136" s="79"/>
    </row>
    <row r="137" spans="1:51" x14ac:dyDescent="0.3">
      <c r="A137" s="95" t="str">
        <f t="shared" si="0"/>
        <v>FS MM Volatilisation</v>
      </c>
      <c r="B137" s="95" t="s">
        <v>1004</v>
      </c>
      <c r="C137" s="95" t="s">
        <v>1332</v>
      </c>
      <c r="D137" t="s">
        <v>369</v>
      </c>
      <c r="E137" t="s">
        <v>64</v>
      </c>
      <c r="F137" t="s">
        <v>62</v>
      </c>
      <c r="G137" t="s">
        <v>1182</v>
      </c>
      <c r="H137" t="s">
        <v>1305</v>
      </c>
      <c r="I137" t="s">
        <v>139</v>
      </c>
      <c r="J137" t="s">
        <v>287</v>
      </c>
      <c r="K137" s="22">
        <f t="shared" si="26"/>
        <v>0.31034319165291718</v>
      </c>
      <c r="L137" s="22">
        <f t="shared" si="29"/>
        <v>0.31442985679016972</v>
      </c>
      <c r="M137" s="22">
        <f t="shared" si="29"/>
        <v>0.32099421325528477</v>
      </c>
      <c r="N137" s="22">
        <f t="shared" si="29"/>
        <v>0.3228790317815291</v>
      </c>
      <c r="O137" s="22">
        <f t="shared" si="29"/>
        <v>0.32172327535887091</v>
      </c>
      <c r="P137" s="22">
        <f t="shared" si="29"/>
        <v>0.31753924052538912</v>
      </c>
      <c r="Q137" s="22">
        <f t="shared" si="29"/>
        <v>0.31577785743754239</v>
      </c>
      <c r="R137" s="22">
        <f t="shared" si="29"/>
        <v>0.31441607582114939</v>
      </c>
      <c r="S137" s="22">
        <f t="shared" si="29"/>
        <v>0.2650364312253965</v>
      </c>
      <c r="T137" s="22">
        <f t="shared" si="29"/>
        <v>0.27553316275566697</v>
      </c>
      <c r="U137" s="22">
        <f t="shared" si="29"/>
        <v>0.29228527136368948</v>
      </c>
      <c r="V137" s="22">
        <f t="shared" si="29"/>
        <v>0.29874340186404968</v>
      </c>
      <c r="W137" s="22">
        <f t="shared" si="29"/>
        <v>0.30647179876243097</v>
      </c>
      <c r="X137" s="22">
        <f t="shared" si="29"/>
        <v>0.3158631034162086</v>
      </c>
      <c r="Y137" s="22">
        <f t="shared" si="29"/>
        <v>0.32664711376847955</v>
      </c>
      <c r="Z137" s="22">
        <f t="shared" si="29"/>
        <v>0.3387235871621958</v>
      </c>
      <c r="AA137" s="22">
        <f t="shared" si="29"/>
        <v>0.35105651101096136</v>
      </c>
      <c r="AB137" s="22">
        <f t="shared" si="29"/>
        <v>0.36458195379680847</v>
      </c>
      <c r="AC137" s="22">
        <f t="shared" si="29"/>
        <v>0.37828081857860674</v>
      </c>
      <c r="AD137" s="22">
        <f t="shared" si="29"/>
        <v>0.39427261879187497</v>
      </c>
      <c r="AE137" s="22">
        <f t="shared" si="29"/>
        <v>0.40979186242957388</v>
      </c>
      <c r="AF137" s="22">
        <f t="shared" si="29"/>
        <v>0.42616228566496256</v>
      </c>
      <c r="AG137" s="22">
        <f t="shared" si="29"/>
        <v>0.44495226630702778</v>
      </c>
      <c r="AH137" s="22">
        <f t="shared" si="29"/>
        <v>0.46242618458210583</v>
      </c>
      <c r="AI137" s="22">
        <f t="shared" si="29"/>
        <v>0.48124875752773738</v>
      </c>
      <c r="AJ137" s="22">
        <f t="shared" si="29"/>
        <v>0.50140117317613597</v>
      </c>
      <c r="AK137" s="22">
        <f t="shared" si="29"/>
        <v>0.51989325002843578</v>
      </c>
      <c r="AL137" s="22">
        <f t="shared" si="29"/>
        <v>0.53809144777835283</v>
      </c>
      <c r="AM137" s="22">
        <f t="shared" si="29"/>
        <v>0.55606219814879432</v>
      </c>
      <c r="AN137" s="22">
        <f t="shared" si="29"/>
        <v>0.57603307954485361</v>
      </c>
      <c r="AO137" s="22">
        <f t="shared" si="29"/>
        <v>0.59492740362722618</v>
      </c>
      <c r="AP137" s="22">
        <f t="shared" si="29"/>
        <v>0.61451021406332851</v>
      </c>
      <c r="AQ137" s="22">
        <f t="shared" si="29"/>
        <v>0.6348825242649947</v>
      </c>
      <c r="AR137" s="22">
        <f t="shared" si="29"/>
        <v>0.65620656209687755</v>
      </c>
      <c r="AS137" s="22">
        <f t="shared" si="29"/>
        <v>0.67872441504873171</v>
      </c>
      <c r="AT137" s="22">
        <f t="shared" si="29"/>
        <v>0.6821526428447654</v>
      </c>
      <c r="AU137" s="22">
        <f t="shared" si="29"/>
        <v>0.68382516110267277</v>
      </c>
      <c r="AV137" s="22">
        <f t="shared" si="29"/>
        <v>0.68298338603927977</v>
      </c>
      <c r="AW137" s="22">
        <f t="shared" si="29"/>
        <v>0.68142585829620028</v>
      </c>
      <c r="AY137" s="79"/>
    </row>
    <row r="138" spans="1:51" x14ac:dyDescent="0.3">
      <c r="A138" s="95" t="str">
        <f t="shared" si="0"/>
        <v>FS MM Leaching</v>
      </c>
      <c r="B138" s="95" t="s">
        <v>1004</v>
      </c>
      <c r="C138" s="95" t="s">
        <v>1333</v>
      </c>
      <c r="D138" t="s">
        <v>369</v>
      </c>
      <c r="E138" t="s">
        <v>64</v>
      </c>
      <c r="F138" t="s">
        <v>63</v>
      </c>
      <c r="G138" t="s">
        <v>1152</v>
      </c>
      <c r="H138" t="s">
        <v>1306</v>
      </c>
      <c r="I138" t="s">
        <v>139</v>
      </c>
      <c r="J138" t="s">
        <v>287</v>
      </c>
      <c r="K138" s="22">
        <f t="shared" si="26"/>
        <v>8.9211118607918846E-2</v>
      </c>
      <c r="L138" s="22">
        <f t="shared" si="29"/>
        <v>8.9709854381943774E-2</v>
      </c>
      <c r="M138" s="22">
        <f t="shared" si="29"/>
        <v>9.0417475033143083E-2</v>
      </c>
      <c r="N138" s="22">
        <f t="shared" si="29"/>
        <v>9.0872196678668984E-2</v>
      </c>
      <c r="O138" s="22">
        <f t="shared" si="29"/>
        <v>9.1174361291842934E-2</v>
      </c>
      <c r="P138" s="22">
        <f t="shared" si="29"/>
        <v>9.1320994898161728E-2</v>
      </c>
      <c r="Q138" s="22">
        <f t="shared" si="29"/>
        <v>9.1644963105957017E-2</v>
      </c>
      <c r="R138" s="22">
        <f t="shared" si="29"/>
        <v>9.2016609055475651E-2</v>
      </c>
      <c r="S138" s="22">
        <f t="shared" si="29"/>
        <v>8.9250626632870506E-2</v>
      </c>
      <c r="T138" s="22">
        <f t="shared" si="29"/>
        <v>9.018910759145192E-2</v>
      </c>
      <c r="U138" s="22">
        <f t="shared" si="29"/>
        <v>9.1562795389337467E-2</v>
      </c>
      <c r="V138" s="22">
        <f t="shared" si="29"/>
        <v>9.2274810820194952E-2</v>
      </c>
      <c r="W138" s="22">
        <f t="shared" si="29"/>
        <v>9.3088549677051477E-2</v>
      </c>
      <c r="X138" s="22">
        <f t="shared" si="29"/>
        <v>9.4030367146954022E-2</v>
      </c>
      <c r="Y138" s="22">
        <f t="shared" si="29"/>
        <v>9.4992140485733595E-2</v>
      </c>
      <c r="Z138" s="22">
        <f t="shared" si="29"/>
        <v>9.605669953542309E-2</v>
      </c>
      <c r="AA138" s="22">
        <f t="shared" si="29"/>
        <v>9.7154235713963338E-2</v>
      </c>
      <c r="AB138" s="22">
        <f t="shared" si="29"/>
        <v>9.8347760304703769E-2</v>
      </c>
      <c r="AC138" s="22">
        <f t="shared" si="29"/>
        <v>9.9568208578524817E-2</v>
      </c>
      <c r="AD138" s="22">
        <f t="shared" si="29"/>
        <v>0.10088669536271129</v>
      </c>
      <c r="AE138" s="22">
        <f t="shared" si="29"/>
        <v>0.10218733727824697</v>
      </c>
      <c r="AF138" s="22">
        <f t="shared" si="29"/>
        <v>0.10356015512248805</v>
      </c>
      <c r="AG138" s="22">
        <f t="shared" si="29"/>
        <v>0.1051130390487056</v>
      </c>
      <c r="AH138" s="22">
        <f t="shared" si="29"/>
        <v>0.10658947451521658</v>
      </c>
      <c r="AI138" s="22">
        <f t="shared" si="29"/>
        <v>0.10810355126576793</v>
      </c>
      <c r="AJ138" s="22">
        <f t="shared" si="29"/>
        <v>0.10972278781886159</v>
      </c>
      <c r="AK138" s="22">
        <f t="shared" si="29"/>
        <v>0.1112398173269733</v>
      </c>
      <c r="AL138" s="22">
        <f t="shared" si="29"/>
        <v>0.11274861433308095</v>
      </c>
      <c r="AM138" s="22">
        <f t="shared" si="29"/>
        <v>0.11425337554687653</v>
      </c>
      <c r="AN138" s="22">
        <f t="shared" si="29"/>
        <v>0.11584536779599926</v>
      </c>
      <c r="AO138" s="22">
        <f t="shared" si="29"/>
        <v>0.11737332691073739</v>
      </c>
      <c r="AP138" s="22">
        <f t="shared" si="29"/>
        <v>0.11896061880517098</v>
      </c>
      <c r="AQ138" s="22">
        <f t="shared" si="29"/>
        <v>0.12061448282820714</v>
      </c>
      <c r="AR138" s="22">
        <f t="shared" si="29"/>
        <v>0.12234656062044848</v>
      </c>
      <c r="AS138" s="22">
        <f t="shared" si="29"/>
        <v>0.12410927658755902</v>
      </c>
      <c r="AT138" s="22">
        <f t="shared" si="29"/>
        <v>0.12452720245635615</v>
      </c>
      <c r="AU138" s="22">
        <f t="shared" si="29"/>
        <v>0.12482463901873847</v>
      </c>
      <c r="AV138" s="22">
        <f t="shared" si="29"/>
        <v>0.12494650421265691</v>
      </c>
      <c r="AW138" s="22">
        <f t="shared" si="29"/>
        <v>0.12502008970656403</v>
      </c>
      <c r="AY138" s="79"/>
    </row>
    <row r="139" spans="1:51" x14ac:dyDescent="0.3">
      <c r="A139" s="95" t="str">
        <f t="shared" si="0"/>
        <v>FS MM Leaching</v>
      </c>
      <c r="B139" s="95" t="s">
        <v>1004</v>
      </c>
      <c r="C139" s="95" t="s">
        <v>1333</v>
      </c>
      <c r="D139" t="s">
        <v>369</v>
      </c>
      <c r="E139" t="s">
        <v>64</v>
      </c>
      <c r="F139" t="s">
        <v>63</v>
      </c>
      <c r="G139" t="s">
        <v>1154</v>
      </c>
      <c r="H139" t="s">
        <v>1307</v>
      </c>
      <c r="I139" t="s">
        <v>139</v>
      </c>
      <c r="J139" t="s">
        <v>287</v>
      </c>
      <c r="K139" s="22">
        <f t="shared" si="26"/>
        <v>2.6939494531157477E-2</v>
      </c>
      <c r="L139" s="22">
        <f t="shared" si="29"/>
        <v>2.709010008197326E-2</v>
      </c>
      <c r="M139" s="22">
        <f t="shared" si="29"/>
        <v>2.730378356628085E-2</v>
      </c>
      <c r="N139" s="22">
        <f t="shared" si="29"/>
        <v>2.7441097966929517E-2</v>
      </c>
      <c r="O139" s="22">
        <f t="shared" si="29"/>
        <v>2.7532344014183842E-2</v>
      </c>
      <c r="P139" s="22">
        <f t="shared" si="29"/>
        <v>2.757662364319366E-2</v>
      </c>
      <c r="Q139" s="22">
        <f t="shared" si="29"/>
        <v>2.7674453822865853E-2</v>
      </c>
      <c r="R139" s="22">
        <f t="shared" si="29"/>
        <v>2.7786681470952927E-2</v>
      </c>
      <c r="S139" s="22">
        <f t="shared" si="29"/>
        <v>2.6951424952373251E-2</v>
      </c>
      <c r="T139" s="22">
        <f t="shared" si="29"/>
        <v>2.7234822392578142E-2</v>
      </c>
      <c r="U139" s="22">
        <f t="shared" si="29"/>
        <v>2.7649641257043878E-2</v>
      </c>
      <c r="V139" s="22">
        <f t="shared" si="29"/>
        <v>2.7864651853312578E-2</v>
      </c>
      <c r="W139" s="22">
        <f t="shared" si="29"/>
        <v>2.8110380343506967E-2</v>
      </c>
      <c r="X139" s="22">
        <f t="shared" si="29"/>
        <v>2.8394785325483455E-2</v>
      </c>
      <c r="Y139" s="22">
        <f t="shared" si="29"/>
        <v>2.8685216473579894E-2</v>
      </c>
      <c r="Z139" s="22">
        <f t="shared" si="29"/>
        <v>2.9006686298694923E-2</v>
      </c>
      <c r="AA139" s="22">
        <f t="shared" si="29"/>
        <v>2.9338114380092265E-2</v>
      </c>
      <c r="AB139" s="22">
        <f t="shared" si="29"/>
        <v>2.9698528526745503E-2</v>
      </c>
      <c r="AC139" s="22">
        <f t="shared" si="29"/>
        <v>3.006707294263454E-2</v>
      </c>
      <c r="AD139" s="22">
        <f t="shared" si="29"/>
        <v>3.046522250141433E-2</v>
      </c>
      <c r="AE139" s="22">
        <f t="shared" si="29"/>
        <v>3.0857983362586373E-2</v>
      </c>
      <c r="AF139" s="22">
        <f t="shared" si="29"/>
        <v>3.1272539523122242E-2</v>
      </c>
      <c r="AG139" s="22">
        <f t="shared" si="29"/>
        <v>3.1741471072133737E-2</v>
      </c>
      <c r="AH139" s="22">
        <f t="shared" si="29"/>
        <v>3.2187317125813304E-2</v>
      </c>
      <c r="AI139" s="22">
        <f t="shared" si="29"/>
        <v>3.2644529892312681E-2</v>
      </c>
      <c r="AJ139" s="22">
        <f t="shared" si="29"/>
        <v>3.3133498251272868E-2</v>
      </c>
      <c r="AK139" s="22">
        <f t="shared" si="29"/>
        <v>3.3591602675643942E-2</v>
      </c>
      <c r="AL139" s="22">
        <f t="shared" si="29"/>
        <v>3.4047221093268576E-2</v>
      </c>
      <c r="AM139" s="22">
        <f t="shared" si="29"/>
        <v>3.4501620804003125E-2</v>
      </c>
      <c r="AN139" s="22">
        <f t="shared" si="29"/>
        <v>3.4982362074352798E-2</v>
      </c>
      <c r="AO139" s="22">
        <f t="shared" si="29"/>
        <v>3.5443766962640642E-2</v>
      </c>
      <c r="AP139" s="22">
        <f t="shared" si="29"/>
        <v>3.5923088845122318E-2</v>
      </c>
      <c r="AQ139" s="22">
        <f t="shared" si="29"/>
        <v>3.6422513821505312E-2</v>
      </c>
      <c r="AR139" s="22">
        <f t="shared" si="29"/>
        <v>3.6945557371902887E-2</v>
      </c>
      <c r="AS139" s="22">
        <f t="shared" si="29"/>
        <v>3.7477852873819655E-2</v>
      </c>
      <c r="AT139" s="22">
        <f t="shared" si="29"/>
        <v>3.7604055883406068E-2</v>
      </c>
      <c r="AU139" s="22">
        <f t="shared" si="29"/>
        <v>3.7693874179272106E-2</v>
      </c>
      <c r="AV139" s="22">
        <f t="shared" si="29"/>
        <v>3.7730674376112279E-2</v>
      </c>
      <c r="AW139" s="22">
        <f t="shared" si="29"/>
        <v>3.7752895328406304E-2</v>
      </c>
      <c r="AY139" s="79"/>
    </row>
    <row r="140" spans="1:51" x14ac:dyDescent="0.3">
      <c r="A140" s="95" t="str">
        <f t="shared" si="0"/>
        <v>FS MM Leaching</v>
      </c>
      <c r="B140" s="95" t="s">
        <v>1004</v>
      </c>
      <c r="C140" s="95" t="s">
        <v>1333</v>
      </c>
      <c r="D140" t="s">
        <v>369</v>
      </c>
      <c r="E140" t="s">
        <v>64</v>
      </c>
      <c r="F140" t="s">
        <v>63</v>
      </c>
      <c r="G140" t="s">
        <v>1156</v>
      </c>
      <c r="H140" t="s">
        <v>1308</v>
      </c>
      <c r="I140" t="s">
        <v>139</v>
      </c>
      <c r="J140" t="s">
        <v>287</v>
      </c>
      <c r="K140" s="22">
        <f t="shared" si="26"/>
        <v>1.4483668498503175E-3</v>
      </c>
      <c r="L140" s="22">
        <f t="shared" si="29"/>
        <v>1.4564639612104709E-3</v>
      </c>
      <c r="M140" s="22">
        <f t="shared" si="29"/>
        <v>1.4679523755410987E-3</v>
      </c>
      <c r="N140" s="22">
        <f t="shared" si="29"/>
        <v>1.4753349055168039E-3</v>
      </c>
      <c r="O140" s="22">
        <f t="shared" si="29"/>
        <v>1.4802406304505124E-3</v>
      </c>
      <c r="P140" s="22">
        <f t="shared" si="29"/>
        <v>1.4826212670547858E-3</v>
      </c>
      <c r="Q140" s="22">
        <f t="shared" si="29"/>
        <v>1.4878809792957942E-3</v>
      </c>
      <c r="R140" s="22">
        <f t="shared" si="29"/>
        <v>1.4939147526814823E-3</v>
      </c>
      <c r="S140" s="22">
        <f t="shared" si="29"/>
        <v>1.4490082734142855E-3</v>
      </c>
      <c r="T140" s="22">
        <f t="shared" si="29"/>
        <v>1.4642447678203134E-3</v>
      </c>
      <c r="U140" s="22">
        <f t="shared" si="29"/>
        <v>1.4865469639988589E-3</v>
      </c>
      <c r="V140" s="22">
        <f t="shared" si="29"/>
        <v>1.4981067287762548E-3</v>
      </c>
      <c r="W140" s="22">
        <f t="shared" si="29"/>
        <v>1.5113180011276973E-3</v>
      </c>
      <c r="X140" s="22">
        <f t="shared" si="29"/>
        <v>1.5266086647053162E-3</v>
      </c>
      <c r="Y140" s="22">
        <f t="shared" si="29"/>
        <v>1.5422233172586648E-3</v>
      </c>
      <c r="Z140" s="22">
        <f t="shared" si="29"/>
        <v>1.5595067238714088E-3</v>
      </c>
      <c r="AA140" s="22">
        <f t="shared" si="29"/>
        <v>1.5773255231681144E-3</v>
      </c>
      <c r="AB140" s="22">
        <f t="shared" si="29"/>
        <v>1.5967027205251731E-3</v>
      </c>
      <c r="AC140" s="22">
        <f t="shared" si="29"/>
        <v>1.6165170312225675E-3</v>
      </c>
      <c r="AD140" s="22">
        <f t="shared" si="29"/>
        <v>1.6379230238833516E-3</v>
      </c>
      <c r="AE140" s="22">
        <f t="shared" si="29"/>
        <v>1.6590393002330185E-3</v>
      </c>
      <c r="AF140" s="22">
        <f t="shared" si="29"/>
        <v>1.6813273724767988E-3</v>
      </c>
      <c r="AG140" s="22">
        <f t="shared" si="29"/>
        <v>1.7065388666884546E-3</v>
      </c>
      <c r="AH140" s="22">
        <f t="shared" si="29"/>
        <v>1.7305091992995292E-3</v>
      </c>
      <c r="AI140" s="22">
        <f t="shared" si="29"/>
        <v>1.7550906484265776E-3</v>
      </c>
      <c r="AJ140" s="22">
        <f t="shared" si="29"/>
        <v>1.7813793956383919E-3</v>
      </c>
      <c r="AK140" s="22">
        <f t="shared" si="29"/>
        <v>1.8060087835900271E-3</v>
      </c>
      <c r="AL140" s="22">
        <f t="shared" si="29"/>
        <v>1.8305045146255719E-3</v>
      </c>
      <c r="AM140" s="22">
        <f t="shared" si="29"/>
        <v>1.8549347234718561E-3</v>
      </c>
      <c r="AN140" s="22">
        <f t="shared" si="29"/>
        <v>1.8807811519757052E-3</v>
      </c>
      <c r="AO140" s="22">
        <f t="shared" si="29"/>
        <v>1.9055879850728176E-3</v>
      </c>
      <c r="AP140" s="22">
        <f t="shared" si="29"/>
        <v>1.9313581020359023E-3</v>
      </c>
      <c r="AQ140" s="22">
        <f t="shared" si="29"/>
        <v>1.9582090356695609E-3</v>
      </c>
      <c r="AR140" s="22">
        <f t="shared" si="29"/>
        <v>1.9863297911851367E-3</v>
      </c>
      <c r="AS140" s="22">
        <f t="shared" si="29"/>
        <v>2.014947965828651E-3</v>
      </c>
      <c r="AT140" s="22">
        <f t="shared" si="29"/>
        <v>2.0217331063302627E-3</v>
      </c>
      <c r="AU140" s="22">
        <f t="shared" si="29"/>
        <v>2.0265620700694281E-3</v>
      </c>
      <c r="AV140" s="22">
        <f t="shared" si="29"/>
        <v>2.0285405847408761E-3</v>
      </c>
      <c r="AW140" s="22">
        <f t="shared" si="29"/>
        <v>2.0297352653106076E-3</v>
      </c>
      <c r="AY140" s="79"/>
    </row>
    <row r="141" spans="1:51" x14ac:dyDescent="0.3">
      <c r="A141" s="95" t="str">
        <f t="shared" si="0"/>
        <v>FS MM Leaching</v>
      </c>
      <c r="B141" s="95" t="s">
        <v>1004</v>
      </c>
      <c r="C141" s="95" t="s">
        <v>1333</v>
      </c>
      <c r="D141" t="s">
        <v>369</v>
      </c>
      <c r="E141" t="s">
        <v>64</v>
      </c>
      <c r="F141" t="s">
        <v>63</v>
      </c>
      <c r="G141" t="s">
        <v>1158</v>
      </c>
      <c r="H141" t="s">
        <v>1309</v>
      </c>
      <c r="I141" t="s">
        <v>139</v>
      </c>
      <c r="J141" t="s">
        <v>287</v>
      </c>
      <c r="K141" s="22">
        <f t="shared" si="26"/>
        <v>3.030301439269115E-2</v>
      </c>
      <c r="L141" s="22">
        <f t="shared" si="29"/>
        <v>3.0040206026371356E-2</v>
      </c>
      <c r="M141" s="22">
        <f t="shared" si="29"/>
        <v>2.99401628371932E-2</v>
      </c>
      <c r="N141" s="22">
        <f t="shared" si="29"/>
        <v>2.9540351153331298E-2</v>
      </c>
      <c r="O141" s="22">
        <f t="shared" si="29"/>
        <v>2.8960014730128859E-2</v>
      </c>
      <c r="P141" s="22">
        <f t="shared" si="29"/>
        <v>2.8211154016296501E-2</v>
      </c>
      <c r="Q141" s="22">
        <f t="shared" si="29"/>
        <v>2.7620505669412022E-2</v>
      </c>
      <c r="R141" s="22">
        <f t="shared" si="29"/>
        <v>2.7061685185942385E-2</v>
      </c>
      <c r="S141" s="22">
        <f t="shared" si="29"/>
        <v>2.3806393912702346E-2</v>
      </c>
      <c r="T141" s="22">
        <f t="shared" si="29"/>
        <v>2.4193081489661764E-2</v>
      </c>
      <c r="U141" s="22">
        <f t="shared" si="29"/>
        <v>2.4914459363237305E-2</v>
      </c>
      <c r="V141" s="22">
        <f t="shared" si="29"/>
        <v>2.5058526856807112E-2</v>
      </c>
      <c r="W141" s="22">
        <f t="shared" si="29"/>
        <v>2.5266313616668409E-2</v>
      </c>
      <c r="X141" s="22">
        <f t="shared" si="29"/>
        <v>2.5556180730039606E-2</v>
      </c>
      <c r="Y141" s="22">
        <f t="shared" si="29"/>
        <v>2.588867153480013E-2</v>
      </c>
      <c r="Z141" s="22">
        <f t="shared" si="29"/>
        <v>2.627849954534961E-2</v>
      </c>
      <c r="AA141" s="22">
        <f t="shared" si="29"/>
        <v>2.6670125529897157E-2</v>
      </c>
      <c r="AB141" s="22">
        <f t="shared" si="29"/>
        <v>2.7110583919598655E-2</v>
      </c>
      <c r="AC141" s="22">
        <f t="shared" si="29"/>
        <v>2.7546671241882887E-2</v>
      </c>
      <c r="AD141" s="22">
        <f t="shared" si="29"/>
        <v>2.7830739758273274E-2</v>
      </c>
      <c r="AE141" s="22">
        <f t="shared" si="29"/>
        <v>2.8063979806522674E-2</v>
      </c>
      <c r="AF141" s="22">
        <f t="shared" si="29"/>
        <v>2.8310384702020075E-2</v>
      </c>
      <c r="AG141" s="22">
        <f t="shared" si="29"/>
        <v>2.8640071683735925E-2</v>
      </c>
      <c r="AH141" s="22">
        <f t="shared" si="29"/>
        <v>2.8877171474684857E-2</v>
      </c>
      <c r="AI141" s="22">
        <f t="shared" si="29"/>
        <v>2.9129861427597242E-2</v>
      </c>
      <c r="AJ141" s="22">
        <f t="shared" si="29"/>
        <v>2.9408020774721655E-2</v>
      </c>
      <c r="AK141" s="22">
        <f t="shared" si="29"/>
        <v>2.958135107830024E-2</v>
      </c>
      <c r="AL141" s="22">
        <f t="shared" si="29"/>
        <v>2.9711386636381822E-2</v>
      </c>
      <c r="AM141" s="22">
        <f t="shared" si="29"/>
        <v>2.9801834695120533E-2</v>
      </c>
      <c r="AN141" s="22">
        <f t="shared" si="29"/>
        <v>3.0083013804328998E-2</v>
      </c>
      <c r="AO141" s="22">
        <f t="shared" si="29"/>
        <v>3.0296745523052525E-2</v>
      </c>
      <c r="AP141" s="22">
        <f t="shared" si="29"/>
        <v>3.0513175155516516E-2</v>
      </c>
      <c r="AQ141" s="22">
        <f t="shared" si="29"/>
        <v>3.0734778558877459E-2</v>
      </c>
      <c r="AR141" s="22">
        <f t="shared" si="29"/>
        <v>3.0966024436887393E-2</v>
      </c>
      <c r="AS141" s="22">
        <f t="shared" si="29"/>
        <v>3.1203452529548665E-2</v>
      </c>
      <c r="AT141" s="22">
        <f t="shared" si="29"/>
        <v>3.0735097960314203E-2</v>
      </c>
      <c r="AU141" s="22">
        <f t="shared" si="29"/>
        <v>3.0204531000918678E-2</v>
      </c>
      <c r="AV141" s="22">
        <f t="shared" si="29"/>
        <v>2.9589433707278279E-2</v>
      </c>
      <c r="AW141" s="22">
        <f t="shared" si="29"/>
        <v>2.8955059711748863E-2</v>
      </c>
      <c r="AY141" s="79"/>
    </row>
    <row r="142" spans="1:51" x14ac:dyDescent="0.3">
      <c r="A142" s="95" t="str">
        <f t="shared" si="0"/>
        <v>FS MM Leaching</v>
      </c>
      <c r="B142" s="95" t="s">
        <v>1004</v>
      </c>
      <c r="C142" s="95" t="s">
        <v>1333</v>
      </c>
      <c r="D142" t="s">
        <v>369</v>
      </c>
      <c r="E142" t="s">
        <v>64</v>
      </c>
      <c r="F142" t="s">
        <v>63</v>
      </c>
      <c r="G142" t="s">
        <v>1160</v>
      </c>
      <c r="H142" t="s">
        <v>1310</v>
      </c>
      <c r="I142" t="s">
        <v>139</v>
      </c>
      <c r="J142" t="s">
        <v>287</v>
      </c>
      <c r="K142" s="22">
        <f t="shared" si="26"/>
        <v>4.0226293185258936E-2</v>
      </c>
      <c r="L142" s="22">
        <f t="shared" si="29"/>
        <v>3.9877423391049015E-2</v>
      </c>
      <c r="M142" s="22">
        <f t="shared" ref="L142:AW148" si="30">M1551</f>
        <v>3.9744619221572089E-2</v>
      </c>
      <c r="N142" s="22">
        <f t="shared" si="30"/>
        <v>3.9213881856453713E-2</v>
      </c>
      <c r="O142" s="22">
        <f t="shared" si="30"/>
        <v>3.8443503609481157E-2</v>
      </c>
      <c r="P142" s="22">
        <f t="shared" si="30"/>
        <v>3.7449414696768608E-2</v>
      </c>
      <c r="Q142" s="22">
        <f t="shared" si="30"/>
        <v>3.666534769725275E-2</v>
      </c>
      <c r="R142" s="22">
        <f t="shared" si="30"/>
        <v>3.5923531179771241E-2</v>
      </c>
      <c r="S142" s="22">
        <f t="shared" si="30"/>
        <v>3.160223497260737E-2</v>
      </c>
      <c r="T142" s="22">
        <f t="shared" si="30"/>
        <v>3.2115550500900779E-2</v>
      </c>
      <c r="U142" s="22">
        <f t="shared" si="30"/>
        <v>3.3073156812397204E-2</v>
      </c>
      <c r="V142" s="22">
        <f t="shared" si="30"/>
        <v>3.3264401853557279E-2</v>
      </c>
      <c r="W142" s="22">
        <f t="shared" si="30"/>
        <v>3.3540232205412031E-2</v>
      </c>
      <c r="X142" s="22">
        <f t="shared" si="30"/>
        <v>3.3925021630521073E-2</v>
      </c>
      <c r="Y142" s="22">
        <f t="shared" si="30"/>
        <v>3.4366392657851123E-2</v>
      </c>
      <c r="Z142" s="22">
        <f t="shared" si="30"/>
        <v>3.4883877012409983E-2</v>
      </c>
      <c r="AA142" s="22">
        <f t="shared" si="30"/>
        <v>3.5403748120585117E-2</v>
      </c>
      <c r="AB142" s="22">
        <f t="shared" si="30"/>
        <v>3.5988442702135158E-2</v>
      </c>
      <c r="AC142" s="22">
        <f t="shared" si="30"/>
        <v>3.6567334829936515E-2</v>
      </c>
      <c r="AD142" s="22">
        <f t="shared" si="30"/>
        <v>3.6944426800951023E-2</v>
      </c>
      <c r="AE142" s="22">
        <f t="shared" si="30"/>
        <v>3.7254045588106646E-2</v>
      </c>
      <c r="AF142" s="22">
        <f t="shared" si="30"/>
        <v>3.7581140293607394E-2</v>
      </c>
      <c r="AG142" s="22">
        <f t="shared" si="30"/>
        <v>3.801878933452469E-2</v>
      </c>
      <c r="AH142" s="22">
        <f t="shared" si="30"/>
        <v>3.8333531808038356E-2</v>
      </c>
      <c r="AI142" s="22">
        <f t="shared" si="30"/>
        <v>3.8668969728474223E-2</v>
      </c>
      <c r="AJ142" s="22">
        <f t="shared" si="30"/>
        <v>3.9038217464182824E-2</v>
      </c>
      <c r="AK142" s="22">
        <f t="shared" si="30"/>
        <v>3.9268307960108023E-2</v>
      </c>
      <c r="AL142" s="22">
        <f t="shared" si="30"/>
        <v>3.9440926050708265E-2</v>
      </c>
      <c r="AM142" s="22">
        <f t="shared" si="30"/>
        <v>3.9560992988000768E-2</v>
      </c>
      <c r="AN142" s="22">
        <f t="shared" si="30"/>
        <v>3.9934249362367197E-2</v>
      </c>
      <c r="AO142" s="22">
        <f t="shared" si="30"/>
        <v>4.0217971459084928E-2</v>
      </c>
      <c r="AP142" s="22">
        <f t="shared" si="30"/>
        <v>4.0505274950963739E-2</v>
      </c>
      <c r="AQ142" s="22">
        <f t="shared" si="30"/>
        <v>4.0799446460072705E-2</v>
      </c>
      <c r="AR142" s="22">
        <f t="shared" si="30"/>
        <v>4.1106418049306863E-2</v>
      </c>
      <c r="AS142" s="22">
        <f t="shared" si="30"/>
        <v>4.1421596332960157E-2</v>
      </c>
      <c r="AT142" s="22">
        <f t="shared" si="30"/>
        <v>4.0799870455377994E-2</v>
      </c>
      <c r="AU142" s="22">
        <f t="shared" si="30"/>
        <v>4.0095559597504944E-2</v>
      </c>
      <c r="AV142" s="22">
        <f t="shared" si="30"/>
        <v>3.9279037394439685E-2</v>
      </c>
      <c r="AW142" s="22">
        <f t="shared" si="30"/>
        <v>3.843692597929859E-2</v>
      </c>
      <c r="AY142" s="79"/>
    </row>
    <row r="143" spans="1:51" x14ac:dyDescent="0.3">
      <c r="A143" s="95" t="str">
        <f t="shared" si="0"/>
        <v>FS MM Leaching</v>
      </c>
      <c r="B143" s="95" t="s">
        <v>1004</v>
      </c>
      <c r="C143" s="95" t="s">
        <v>1333</v>
      </c>
      <c r="D143" t="s">
        <v>369</v>
      </c>
      <c r="E143" t="s">
        <v>64</v>
      </c>
      <c r="F143" t="s">
        <v>63</v>
      </c>
      <c r="G143" t="s">
        <v>1162</v>
      </c>
      <c r="H143" t="s">
        <v>1311</v>
      </c>
      <c r="I143" t="s">
        <v>139</v>
      </c>
      <c r="J143" t="s">
        <v>287</v>
      </c>
      <c r="K143" s="22">
        <f t="shared" si="26"/>
        <v>4.1968337096859203E-2</v>
      </c>
      <c r="L143" s="22">
        <f t="shared" si="30"/>
        <v>4.3383434779753462E-2</v>
      </c>
      <c r="M143" s="22">
        <f t="shared" si="30"/>
        <v>4.5063007666824861E-2</v>
      </c>
      <c r="N143" s="22">
        <f t="shared" si="30"/>
        <v>4.6315596244033502E-2</v>
      </c>
      <c r="O143" s="22">
        <f t="shared" si="30"/>
        <v>4.7281576900430194E-2</v>
      </c>
      <c r="P143" s="22">
        <f t="shared" si="30"/>
        <v>4.7947144057730852E-2</v>
      </c>
      <c r="Q143" s="22">
        <f t="shared" si="30"/>
        <v>4.8855920576585825E-2</v>
      </c>
      <c r="R143" s="22">
        <f t="shared" si="30"/>
        <v>4.9808583705724517E-2</v>
      </c>
      <c r="S143" s="22">
        <f t="shared" si="30"/>
        <v>4.558792439477468E-2</v>
      </c>
      <c r="T143" s="22">
        <f t="shared" si="30"/>
        <v>4.7444585849147458E-2</v>
      </c>
      <c r="U143" s="22">
        <f t="shared" si="30"/>
        <v>5.0020252871766716E-2</v>
      </c>
      <c r="V143" s="22">
        <f t="shared" si="30"/>
        <v>5.1489747377125035E-2</v>
      </c>
      <c r="W143" s="22">
        <f t="shared" si="30"/>
        <v>5.3120325210598208E-2</v>
      </c>
      <c r="X143" s="22">
        <f t="shared" si="30"/>
        <v>5.4961817995869279E-2</v>
      </c>
      <c r="Y143" s="22">
        <f t="shared" si="30"/>
        <v>5.6940702891012454E-2</v>
      </c>
      <c r="Z143" s="22">
        <f t="shared" si="30"/>
        <v>5.909779909090021E-2</v>
      </c>
      <c r="AA143" s="22">
        <f t="shared" si="30"/>
        <v>6.1315559224141662E-2</v>
      </c>
      <c r="AB143" s="22">
        <f t="shared" si="30"/>
        <v>6.3706453642829244E-2</v>
      </c>
      <c r="AC143" s="22">
        <f t="shared" si="30"/>
        <v>6.6151992620882463E-2</v>
      </c>
      <c r="AD143" s="22">
        <f t="shared" si="30"/>
        <v>6.9050571490334375E-2</v>
      </c>
      <c r="AE143" s="22">
        <f t="shared" si="30"/>
        <v>7.1942782657683113E-2</v>
      </c>
      <c r="AF143" s="22">
        <f t="shared" si="30"/>
        <v>7.499198620981147E-2</v>
      </c>
      <c r="AG143" s="22">
        <f t="shared" si="30"/>
        <v>7.8400492834913502E-2</v>
      </c>
      <c r="AH143" s="22">
        <f t="shared" si="30"/>
        <v>8.1701156762449018E-2</v>
      </c>
      <c r="AI143" s="22">
        <f t="shared" si="30"/>
        <v>8.5192788556250426E-2</v>
      </c>
      <c r="AJ143" s="22">
        <f t="shared" si="30"/>
        <v>8.8918442809121118E-2</v>
      </c>
      <c r="AK143" s="22">
        <f t="shared" si="30"/>
        <v>9.248798577918188E-2</v>
      </c>
      <c r="AL143" s="22">
        <f t="shared" si="30"/>
        <v>9.6077147406772881E-2</v>
      </c>
      <c r="AM143" s="22">
        <f t="shared" si="30"/>
        <v>9.9693715805378641E-2</v>
      </c>
      <c r="AN143" s="22">
        <f t="shared" si="30"/>
        <v>0.10347374306833025</v>
      </c>
      <c r="AO143" s="22">
        <f t="shared" si="30"/>
        <v>0.1071593390128282</v>
      </c>
      <c r="AP143" s="22">
        <f t="shared" si="30"/>
        <v>0.11099240238226693</v>
      </c>
      <c r="AQ143" s="22">
        <f t="shared" si="30"/>
        <v>0.11498990238948355</v>
      </c>
      <c r="AR143" s="22">
        <f t="shared" si="30"/>
        <v>0.11917803768424121</v>
      </c>
      <c r="AS143" s="22">
        <f t="shared" si="30"/>
        <v>0.12355418732739334</v>
      </c>
      <c r="AT143" s="22">
        <f t="shared" si="30"/>
        <v>0.1252281322589274</v>
      </c>
      <c r="AU143" s="22">
        <f t="shared" si="30"/>
        <v>0.1266560621373938</v>
      </c>
      <c r="AV143" s="22">
        <f t="shared" si="30"/>
        <v>0.12771943748303299</v>
      </c>
      <c r="AW143" s="22">
        <f t="shared" si="30"/>
        <v>0.12867585314816252</v>
      </c>
      <c r="AY143" s="79"/>
    </row>
    <row r="144" spans="1:51" x14ac:dyDescent="0.3">
      <c r="A144" s="95" t="str">
        <f t="shared" si="0"/>
        <v>FS MM Leaching</v>
      </c>
      <c r="B144" s="95" t="s">
        <v>1004</v>
      </c>
      <c r="C144" s="95" t="s">
        <v>1333</v>
      </c>
      <c r="D144" t="s">
        <v>369</v>
      </c>
      <c r="E144" t="s">
        <v>64</v>
      </c>
      <c r="F144" t="s">
        <v>63</v>
      </c>
      <c r="G144" t="s">
        <v>1164</v>
      </c>
      <c r="H144" t="s">
        <v>1312</v>
      </c>
      <c r="I144" t="s">
        <v>139</v>
      </c>
      <c r="J144" t="s">
        <v>287</v>
      </c>
      <c r="K144" s="22">
        <f t="shared" si="26"/>
        <v>4.3945619533695716E-3</v>
      </c>
      <c r="L144" s="22">
        <f t="shared" si="30"/>
        <v>4.3969380790341763E-3</v>
      </c>
      <c r="M144" s="22">
        <f t="shared" si="30"/>
        <v>4.4026193063540784E-3</v>
      </c>
      <c r="N144" s="22">
        <f t="shared" si="30"/>
        <v>4.4109963215778836E-3</v>
      </c>
      <c r="O144" s="22">
        <f t="shared" si="30"/>
        <v>4.4220158913338588E-3</v>
      </c>
      <c r="P144" s="22">
        <f t="shared" si="30"/>
        <v>4.4355616535255637E-3</v>
      </c>
      <c r="Q144" s="22">
        <f t="shared" si="30"/>
        <v>4.4507753934109251E-3</v>
      </c>
      <c r="R144" s="22">
        <f t="shared" si="30"/>
        <v>4.467561061292976E-3</v>
      </c>
      <c r="S144" s="22">
        <f t="shared" si="30"/>
        <v>4.4829106304263445E-3</v>
      </c>
      <c r="T144" s="22">
        <f t="shared" si="30"/>
        <v>4.4896556027107107E-3</v>
      </c>
      <c r="U144" s="22">
        <f t="shared" si="30"/>
        <v>4.4978926629073816E-3</v>
      </c>
      <c r="V144" s="22">
        <f t="shared" si="30"/>
        <v>4.5065504561298229E-3</v>
      </c>
      <c r="W144" s="22">
        <f t="shared" si="30"/>
        <v>4.5162706773714013E-3</v>
      </c>
      <c r="X144" s="22">
        <f t="shared" si="30"/>
        <v>4.527026129260852E-3</v>
      </c>
      <c r="Y144" s="22">
        <f t="shared" si="30"/>
        <v>4.5337431797518573E-3</v>
      </c>
      <c r="Z144" s="22">
        <f t="shared" si="30"/>
        <v>4.5413317440573253E-3</v>
      </c>
      <c r="AA144" s="22">
        <f t="shared" si="30"/>
        <v>4.5496892838415501E-3</v>
      </c>
      <c r="AB144" s="22">
        <f t="shared" si="30"/>
        <v>4.5588387793970616E-3</v>
      </c>
      <c r="AC144" s="22">
        <f t="shared" si="30"/>
        <v>4.5686857941763257E-3</v>
      </c>
      <c r="AD144" s="22">
        <f t="shared" si="30"/>
        <v>4.5752913220902473E-3</v>
      </c>
      <c r="AE144" s="22">
        <f t="shared" si="30"/>
        <v>4.582462373127697E-3</v>
      </c>
      <c r="AF144" s="22">
        <f t="shared" si="30"/>
        <v>4.5902565907943761E-3</v>
      </c>
      <c r="AG144" s="22">
        <f t="shared" si="30"/>
        <v>4.59875005922699E-3</v>
      </c>
      <c r="AH144" s="22">
        <f t="shared" si="30"/>
        <v>4.6076877369256993E-3</v>
      </c>
      <c r="AI144" s="22">
        <f t="shared" si="30"/>
        <v>4.6134006720946743E-3</v>
      </c>
      <c r="AJ144" s="22">
        <f t="shared" si="30"/>
        <v>4.6196582419180043E-3</v>
      </c>
      <c r="AK144" s="22">
        <f t="shared" si="30"/>
        <v>4.626254058673806E-3</v>
      </c>
      <c r="AL144" s="22">
        <f t="shared" si="30"/>
        <v>4.6332583415557996E-3</v>
      </c>
      <c r="AM144" s="22">
        <f t="shared" si="30"/>
        <v>4.6406604705372459E-3</v>
      </c>
      <c r="AN144" s="22">
        <f t="shared" si="30"/>
        <v>4.6450341959288514E-3</v>
      </c>
      <c r="AO144" s="22">
        <f t="shared" si="30"/>
        <v>4.6497032008589968E-3</v>
      </c>
      <c r="AP144" s="22">
        <f t="shared" si="30"/>
        <v>4.6547677652323564E-3</v>
      </c>
      <c r="AQ144" s="22">
        <f t="shared" si="30"/>
        <v>4.6602229926895984E-3</v>
      </c>
      <c r="AR144" s="22">
        <f t="shared" si="30"/>
        <v>4.6660687701808173E-3</v>
      </c>
      <c r="AS144" s="22">
        <f t="shared" si="30"/>
        <v>4.6687208592955552E-3</v>
      </c>
      <c r="AT144" s="22">
        <f t="shared" si="30"/>
        <v>4.6704299553969519E-3</v>
      </c>
      <c r="AU144" s="22">
        <f t="shared" si="30"/>
        <v>4.6723034477338006E-3</v>
      </c>
      <c r="AV144" s="22">
        <f t="shared" si="30"/>
        <v>4.6742823579489622E-3</v>
      </c>
      <c r="AW144" s="22">
        <f t="shared" si="30"/>
        <v>4.6764744826629494E-3</v>
      </c>
      <c r="AY144" s="79"/>
    </row>
    <row r="145" spans="1:51" x14ac:dyDescent="0.3">
      <c r="A145" s="95" t="str">
        <f t="shared" si="0"/>
        <v>FS MM Leaching</v>
      </c>
      <c r="B145" s="95" t="s">
        <v>1004</v>
      </c>
      <c r="C145" s="95" t="s">
        <v>1333</v>
      </c>
      <c r="D145" t="s">
        <v>369</v>
      </c>
      <c r="E145" t="s">
        <v>64</v>
      </c>
      <c r="F145" t="s">
        <v>63</v>
      </c>
      <c r="G145" t="s">
        <v>1166</v>
      </c>
      <c r="H145" t="s">
        <v>1313</v>
      </c>
      <c r="I145" t="s">
        <v>139</v>
      </c>
      <c r="J145" t="s">
        <v>287</v>
      </c>
      <c r="K145" s="22">
        <f t="shared" si="26"/>
        <v>3.6554846257269864E-3</v>
      </c>
      <c r="L145" s="22">
        <f t="shared" si="30"/>
        <v>3.6574611346322943E-3</v>
      </c>
      <c r="M145" s="22">
        <f t="shared" si="30"/>
        <v>3.662186893272979E-3</v>
      </c>
      <c r="N145" s="22">
        <f t="shared" si="30"/>
        <v>3.6691550622702605E-3</v>
      </c>
      <c r="O145" s="22">
        <f t="shared" si="30"/>
        <v>3.6783213610396305E-3</v>
      </c>
      <c r="P145" s="22">
        <f t="shared" si="30"/>
        <v>3.6895889972593382E-3</v>
      </c>
      <c r="Q145" s="22">
        <f t="shared" si="30"/>
        <v>3.7022440907227717E-3</v>
      </c>
      <c r="R145" s="22">
        <f t="shared" si="30"/>
        <v>3.7162067453687837E-3</v>
      </c>
      <c r="S145" s="22">
        <f t="shared" si="30"/>
        <v>3.7289748243204386E-3</v>
      </c>
      <c r="T145" s="22">
        <f t="shared" si="30"/>
        <v>3.7345854273220752E-3</v>
      </c>
      <c r="U145" s="22">
        <f t="shared" si="30"/>
        <v>3.7414371789254476E-3</v>
      </c>
      <c r="V145" s="22">
        <f t="shared" si="30"/>
        <v>3.7486389046840498E-3</v>
      </c>
      <c r="W145" s="22">
        <f t="shared" si="30"/>
        <v>3.7567243793421119E-3</v>
      </c>
      <c r="X145" s="22">
        <f t="shared" si="30"/>
        <v>3.7656709795816407E-3</v>
      </c>
      <c r="Y145" s="22">
        <f t="shared" si="30"/>
        <v>3.7712583566764787E-3</v>
      </c>
      <c r="Z145" s="22">
        <f t="shared" si="30"/>
        <v>3.7775706764126256E-3</v>
      </c>
      <c r="AA145" s="22">
        <f t="shared" si="30"/>
        <v>3.784522645349305E-3</v>
      </c>
      <c r="AB145" s="22">
        <f t="shared" si="30"/>
        <v>3.7921333789539768E-3</v>
      </c>
      <c r="AC145" s="22">
        <f t="shared" si="30"/>
        <v>3.8003243230154901E-3</v>
      </c>
      <c r="AD145" s="22">
        <f t="shared" si="30"/>
        <v>3.805818933397678E-3</v>
      </c>
      <c r="AE145" s="22">
        <f t="shared" si="30"/>
        <v>3.8117839572375635E-3</v>
      </c>
      <c r="AF145" s="22">
        <f t="shared" si="30"/>
        <v>3.8182673435573919E-3</v>
      </c>
      <c r="AG145" s="22">
        <f t="shared" si="30"/>
        <v>3.8253323806655189E-3</v>
      </c>
      <c r="AH145" s="22">
        <f t="shared" si="30"/>
        <v>3.8327669199356464E-3</v>
      </c>
      <c r="AI145" s="22">
        <f t="shared" si="30"/>
        <v>3.8375190538000809E-3</v>
      </c>
      <c r="AJ145" s="22">
        <f t="shared" si="30"/>
        <v>3.8427242256753023E-3</v>
      </c>
      <c r="AK145" s="22">
        <f t="shared" si="30"/>
        <v>3.8482107581217181E-3</v>
      </c>
      <c r="AL145" s="22">
        <f t="shared" si="30"/>
        <v>3.8540370608706733E-3</v>
      </c>
      <c r="AM145" s="22">
        <f t="shared" si="30"/>
        <v>3.8601942999712795E-3</v>
      </c>
      <c r="AN145" s="22">
        <f t="shared" si="30"/>
        <v>3.8638324523277176E-3</v>
      </c>
      <c r="AO145" s="22">
        <f t="shared" si="30"/>
        <v>3.8677162241167358E-3</v>
      </c>
      <c r="AP145" s="22">
        <f t="shared" si="30"/>
        <v>3.87192903017096E-3</v>
      </c>
      <c r="AQ145" s="22">
        <f t="shared" si="30"/>
        <v>3.8764667976006581E-3</v>
      </c>
      <c r="AR145" s="22">
        <f t="shared" si="30"/>
        <v>3.8813294323686563E-3</v>
      </c>
      <c r="AS145" s="22">
        <f t="shared" si="30"/>
        <v>3.8835354931974382E-3</v>
      </c>
      <c r="AT145" s="22">
        <f t="shared" si="30"/>
        <v>3.8849571535560438E-3</v>
      </c>
      <c r="AU145" s="22">
        <f t="shared" si="30"/>
        <v>3.8865155619950283E-3</v>
      </c>
      <c r="AV145" s="22">
        <f t="shared" si="30"/>
        <v>3.8881616591359886E-3</v>
      </c>
      <c r="AW145" s="22">
        <f t="shared" si="30"/>
        <v>3.8899851123662963E-3</v>
      </c>
      <c r="AY145" s="79"/>
    </row>
    <row r="146" spans="1:51" x14ac:dyDescent="0.3">
      <c r="A146" s="95" t="str">
        <f t="shared" si="0"/>
        <v>FS MM Leaching</v>
      </c>
      <c r="B146" s="95" t="s">
        <v>1004</v>
      </c>
      <c r="C146" s="95" t="s">
        <v>1333</v>
      </c>
      <c r="D146" t="s">
        <v>369</v>
      </c>
      <c r="E146" t="s">
        <v>64</v>
      </c>
      <c r="F146" t="s">
        <v>63</v>
      </c>
      <c r="G146" t="s">
        <v>1168</v>
      </c>
      <c r="H146" t="s">
        <v>1314</v>
      </c>
      <c r="I146" t="s">
        <v>139</v>
      </c>
      <c r="J146" t="s">
        <v>287</v>
      </c>
      <c r="K146" s="22">
        <f t="shared" si="26"/>
        <v>5.4322987485311562E-4</v>
      </c>
      <c r="L146" s="22">
        <f t="shared" si="30"/>
        <v>5.4464201031358182E-4</v>
      </c>
      <c r="M146" s="22">
        <f t="shared" si="30"/>
        <v>5.4659000127818655E-4</v>
      </c>
      <c r="N146" s="22">
        <f t="shared" si="30"/>
        <v>5.4896316873921213E-4</v>
      </c>
      <c r="O146" s="22">
        <f t="shared" si="30"/>
        <v>5.5175812793145673E-4</v>
      </c>
      <c r="P146" s="22">
        <f t="shared" si="30"/>
        <v>5.5495786726734487E-4</v>
      </c>
      <c r="Q146" s="22">
        <f t="shared" si="30"/>
        <v>5.5840147541839718E-4</v>
      </c>
      <c r="R146" s="22">
        <f t="shared" si="30"/>
        <v>5.620753208024884E-4</v>
      </c>
      <c r="S146" s="22">
        <f t="shared" si="30"/>
        <v>5.65407082502121E-4</v>
      </c>
      <c r="T146" s="22">
        <f t="shared" si="30"/>
        <v>5.6703451753723681E-4</v>
      </c>
      <c r="U146" s="22">
        <f t="shared" si="30"/>
        <v>5.6889992124546543E-4</v>
      </c>
      <c r="V146" s="22">
        <f t="shared" si="30"/>
        <v>5.7080142404289684E-4</v>
      </c>
      <c r="W146" s="22">
        <f t="shared" si="30"/>
        <v>5.7286374667304399E-4</v>
      </c>
      <c r="X146" s="22">
        <f t="shared" si="30"/>
        <v>5.7508348073871955E-4</v>
      </c>
      <c r="Y146" s="22">
        <f t="shared" si="30"/>
        <v>5.765040134864081E-4</v>
      </c>
      <c r="Z146" s="22">
        <f t="shared" si="30"/>
        <v>5.7805815510049798E-4</v>
      </c>
      <c r="AA146" s="22">
        <f t="shared" si="30"/>
        <v>5.7972772798702628E-4</v>
      </c>
      <c r="AB146" s="22">
        <f t="shared" si="30"/>
        <v>5.8151809327226973E-4</v>
      </c>
      <c r="AC146" s="22">
        <f t="shared" si="30"/>
        <v>5.8341243976409618E-4</v>
      </c>
      <c r="AD146" s="22">
        <f t="shared" si="30"/>
        <v>5.8467575387111191E-4</v>
      </c>
      <c r="AE146" s="22">
        <f t="shared" si="30"/>
        <v>5.8602300319697499E-4</v>
      </c>
      <c r="AF146" s="22">
        <f t="shared" si="30"/>
        <v>5.8746559148115021E-4</v>
      </c>
      <c r="AG146" s="22">
        <f t="shared" si="30"/>
        <v>5.8901817067528485E-4</v>
      </c>
      <c r="AH146" s="22">
        <f t="shared" si="30"/>
        <v>5.9063383572059778E-4</v>
      </c>
      <c r="AI146" s="22">
        <f t="shared" si="30"/>
        <v>5.9163445865223843E-4</v>
      </c>
      <c r="AJ146" s="22">
        <f t="shared" si="30"/>
        <v>5.927203167225099E-4</v>
      </c>
      <c r="AK146" s="22">
        <f t="shared" si="30"/>
        <v>5.9385364522191255E-4</v>
      </c>
      <c r="AL146" s="22">
        <f t="shared" si="30"/>
        <v>5.9504779442231843E-4</v>
      </c>
      <c r="AM146" s="22">
        <f t="shared" si="30"/>
        <v>5.9630112936813668E-4</v>
      </c>
      <c r="AN146" s="22">
        <f t="shared" si="30"/>
        <v>5.9698587491705869E-4</v>
      </c>
      <c r="AO146" s="22">
        <f t="shared" si="30"/>
        <v>5.9771375764922606E-4</v>
      </c>
      <c r="AP146" s="22">
        <f t="shared" si="30"/>
        <v>5.9850335838718442E-4</v>
      </c>
      <c r="AQ146" s="22">
        <f t="shared" si="30"/>
        <v>5.993539230264727E-4</v>
      </c>
      <c r="AR146" s="22">
        <f t="shared" si="30"/>
        <v>6.0026554968942018E-4</v>
      </c>
      <c r="AS146" s="22">
        <f t="shared" si="30"/>
        <v>6.0058687026311956E-4</v>
      </c>
      <c r="AT146" s="22">
        <f t="shared" si="30"/>
        <v>6.0072956880295909E-4</v>
      </c>
      <c r="AU146" s="22">
        <f t="shared" si="30"/>
        <v>6.0089545684115426E-4</v>
      </c>
      <c r="AV146" s="22">
        <f t="shared" si="30"/>
        <v>6.0107404835249166E-4</v>
      </c>
      <c r="AW146" s="22">
        <f t="shared" si="30"/>
        <v>6.0128502571355803E-4</v>
      </c>
      <c r="AY146" s="79"/>
    </row>
    <row r="147" spans="1:51" x14ac:dyDescent="0.3">
      <c r="A147" s="95" t="str">
        <f t="shared" si="0"/>
        <v>FS MM Leaching</v>
      </c>
      <c r="B147" s="95" t="s">
        <v>1004</v>
      </c>
      <c r="C147" s="95" t="s">
        <v>1333</v>
      </c>
      <c r="D147" t="s">
        <v>369</v>
      </c>
      <c r="E147" t="s">
        <v>64</v>
      </c>
      <c r="F147" t="s">
        <v>63</v>
      </c>
      <c r="G147" t="s">
        <v>1170</v>
      </c>
      <c r="H147" t="s">
        <v>1315</v>
      </c>
      <c r="I147" t="s">
        <v>139</v>
      </c>
      <c r="J147" t="s">
        <v>287</v>
      </c>
      <c r="K147" s="22">
        <f t="shared" si="26"/>
        <v>6.6992563985089947E-3</v>
      </c>
      <c r="L147" s="22">
        <f t="shared" si="30"/>
        <v>6.716671231449923E-3</v>
      </c>
      <c r="M147" s="22">
        <f t="shared" si="30"/>
        <v>6.7406943780734313E-3</v>
      </c>
      <c r="N147" s="22">
        <f t="shared" si="30"/>
        <v>6.7699609151951386E-3</v>
      </c>
      <c r="O147" s="22">
        <f t="shared" si="30"/>
        <v>6.8044291009834836E-3</v>
      </c>
      <c r="P147" s="22">
        <f t="shared" si="30"/>
        <v>6.8438891439814974E-3</v>
      </c>
      <c r="Q147" s="22">
        <f t="shared" si="30"/>
        <v>6.8863566425632575E-3</v>
      </c>
      <c r="R147" s="22">
        <f t="shared" si="30"/>
        <v>6.9316634884048298E-3</v>
      </c>
      <c r="S147" s="22">
        <f t="shared" si="30"/>
        <v>6.9727516665736141E-3</v>
      </c>
      <c r="T147" s="22">
        <f t="shared" si="30"/>
        <v>6.9928216315679071E-3</v>
      </c>
      <c r="U147" s="22">
        <f t="shared" si="30"/>
        <v>7.0158262900129739E-3</v>
      </c>
      <c r="V147" s="22">
        <f t="shared" si="30"/>
        <v>7.0392761321003963E-3</v>
      </c>
      <c r="W147" s="22">
        <f t="shared" si="30"/>
        <v>7.0647092474634627E-3</v>
      </c>
      <c r="X147" s="22">
        <f t="shared" si="30"/>
        <v>7.0920836028346328E-3</v>
      </c>
      <c r="Y147" s="22">
        <f t="shared" si="30"/>
        <v>7.1096019933720011E-3</v>
      </c>
      <c r="Z147" s="22">
        <f t="shared" si="30"/>
        <v>7.1287680842560801E-3</v>
      </c>
      <c r="AA147" s="22">
        <f t="shared" si="30"/>
        <v>7.1493577045266439E-3</v>
      </c>
      <c r="AB147" s="22">
        <f t="shared" si="30"/>
        <v>7.1714369690296844E-3</v>
      </c>
      <c r="AC147" s="22">
        <f t="shared" si="30"/>
        <v>7.1947985576385452E-3</v>
      </c>
      <c r="AD147" s="22">
        <f t="shared" si="30"/>
        <v>7.2103780857656428E-3</v>
      </c>
      <c r="AE147" s="22">
        <f t="shared" si="30"/>
        <v>7.2269927255056137E-3</v>
      </c>
      <c r="AF147" s="22">
        <f t="shared" si="30"/>
        <v>7.2447831108296695E-3</v>
      </c>
      <c r="AG147" s="22">
        <f t="shared" si="30"/>
        <v>7.2639299335321393E-3</v>
      </c>
      <c r="AH147" s="22">
        <f t="shared" si="30"/>
        <v>7.2838547478579095E-3</v>
      </c>
      <c r="AI147" s="22">
        <f t="shared" si="30"/>
        <v>7.2961946980108746E-3</v>
      </c>
      <c r="AJ147" s="22">
        <f t="shared" si="30"/>
        <v>7.3095857907358557E-3</v>
      </c>
      <c r="AK147" s="22">
        <f t="shared" si="30"/>
        <v>7.3235623015146271E-3</v>
      </c>
      <c r="AL147" s="22">
        <f t="shared" si="30"/>
        <v>7.3382888694777E-3</v>
      </c>
      <c r="AM147" s="22">
        <f t="shared" si="30"/>
        <v>7.3537453319145558E-3</v>
      </c>
      <c r="AN147" s="22">
        <f t="shared" si="30"/>
        <v>7.3621897975308988E-3</v>
      </c>
      <c r="AO147" s="22">
        <f t="shared" si="30"/>
        <v>7.3711662424514879E-3</v>
      </c>
      <c r="AP147" s="22">
        <f t="shared" si="30"/>
        <v>7.3809038103594829E-3</v>
      </c>
      <c r="AQ147" s="22">
        <f t="shared" si="30"/>
        <v>7.3913932014365797E-3</v>
      </c>
      <c r="AR147" s="22">
        <f t="shared" si="30"/>
        <v>7.4026356257536402E-3</v>
      </c>
      <c r="AS147" s="22">
        <f t="shared" si="30"/>
        <v>7.4065982371801786E-3</v>
      </c>
      <c r="AT147" s="22">
        <f t="shared" si="30"/>
        <v>7.408358033815691E-3</v>
      </c>
      <c r="AU147" s="22">
        <f t="shared" si="30"/>
        <v>7.4104038095595542E-3</v>
      </c>
      <c r="AV147" s="22">
        <f t="shared" si="30"/>
        <v>7.4126062479386483E-3</v>
      </c>
      <c r="AW147" s="22">
        <f t="shared" si="30"/>
        <v>7.4152080772957795E-3</v>
      </c>
      <c r="AY147" s="79"/>
    </row>
    <row r="148" spans="1:51" x14ac:dyDescent="0.3">
      <c r="A148" s="95" t="str">
        <f t="shared" si="0"/>
        <v>FS MM Leaching</v>
      </c>
      <c r="B148" s="95" t="s">
        <v>1004</v>
      </c>
      <c r="C148" s="95" t="s">
        <v>1333</v>
      </c>
      <c r="D148" t="s">
        <v>369</v>
      </c>
      <c r="E148" t="s">
        <v>64</v>
      </c>
      <c r="F148" t="s">
        <v>63</v>
      </c>
      <c r="G148" t="s">
        <v>1172</v>
      </c>
      <c r="H148" t="s">
        <v>1316</v>
      </c>
      <c r="I148" t="s">
        <v>139</v>
      </c>
      <c r="J148" t="s">
        <v>287</v>
      </c>
      <c r="K148" s="22">
        <f t="shared" si="26"/>
        <v>0</v>
      </c>
      <c r="L148" s="22">
        <f t="shared" si="30"/>
        <v>0</v>
      </c>
      <c r="M148" s="22">
        <f t="shared" si="30"/>
        <v>0</v>
      </c>
      <c r="N148" s="22">
        <f t="shared" si="30"/>
        <v>0</v>
      </c>
      <c r="O148" s="22">
        <f t="shared" si="30"/>
        <v>0</v>
      </c>
      <c r="P148" s="22">
        <f t="shared" si="30"/>
        <v>0</v>
      </c>
      <c r="Q148" s="22">
        <f t="shared" si="30"/>
        <v>0</v>
      </c>
      <c r="R148" s="22">
        <f t="shared" si="30"/>
        <v>0</v>
      </c>
      <c r="S148" s="22">
        <f t="shared" si="30"/>
        <v>0</v>
      </c>
      <c r="T148" s="22">
        <f t="shared" si="30"/>
        <v>0</v>
      </c>
      <c r="U148" s="22">
        <f t="shared" si="30"/>
        <v>0</v>
      </c>
      <c r="V148" s="22">
        <f t="shared" si="30"/>
        <v>0</v>
      </c>
      <c r="W148" s="22">
        <f t="shared" si="30"/>
        <v>0</v>
      </c>
      <c r="X148" s="22">
        <f t="shared" si="30"/>
        <v>0</v>
      </c>
      <c r="Y148" s="22">
        <f t="shared" si="30"/>
        <v>0</v>
      </c>
      <c r="Z148" s="22">
        <f t="shared" si="30"/>
        <v>0</v>
      </c>
      <c r="AA148" s="22">
        <f t="shared" si="30"/>
        <v>0</v>
      </c>
      <c r="AB148" s="22">
        <f t="shared" si="30"/>
        <v>0</v>
      </c>
      <c r="AC148" s="22">
        <f t="shared" si="30"/>
        <v>0</v>
      </c>
      <c r="AD148" s="22">
        <f t="shared" si="30"/>
        <v>0</v>
      </c>
      <c r="AE148" s="22">
        <f t="shared" si="30"/>
        <v>0</v>
      </c>
      <c r="AF148" s="22">
        <f t="shared" si="30"/>
        <v>0</v>
      </c>
      <c r="AG148" s="22">
        <f t="shared" si="30"/>
        <v>0</v>
      </c>
      <c r="AH148" s="22">
        <f t="shared" si="30"/>
        <v>0</v>
      </c>
      <c r="AI148" s="22">
        <f t="shared" si="30"/>
        <v>0</v>
      </c>
      <c r="AJ148" s="22">
        <f t="shared" si="30"/>
        <v>0</v>
      </c>
      <c r="AK148" s="22">
        <f t="shared" si="30"/>
        <v>0</v>
      </c>
      <c r="AL148" s="22">
        <f t="shared" si="30"/>
        <v>0</v>
      </c>
      <c r="AM148" s="22">
        <f t="shared" si="30"/>
        <v>0</v>
      </c>
      <c r="AN148" s="22">
        <f t="shared" ref="L148:AW153" si="31">AN1557</f>
        <v>0</v>
      </c>
      <c r="AO148" s="22">
        <f t="shared" si="31"/>
        <v>0</v>
      </c>
      <c r="AP148" s="22">
        <f t="shared" si="31"/>
        <v>0</v>
      </c>
      <c r="AQ148" s="22">
        <f t="shared" si="31"/>
        <v>0</v>
      </c>
      <c r="AR148" s="22">
        <f t="shared" si="31"/>
        <v>0</v>
      </c>
      <c r="AS148" s="22">
        <f t="shared" si="31"/>
        <v>0</v>
      </c>
      <c r="AT148" s="22">
        <f t="shared" si="31"/>
        <v>0</v>
      </c>
      <c r="AU148" s="22">
        <f t="shared" si="31"/>
        <v>0</v>
      </c>
      <c r="AV148" s="22">
        <f t="shared" si="31"/>
        <v>0</v>
      </c>
      <c r="AW148" s="22">
        <f t="shared" si="31"/>
        <v>0</v>
      </c>
      <c r="AY148" s="79"/>
    </row>
    <row r="149" spans="1:51" x14ac:dyDescent="0.3">
      <c r="A149" s="95" t="str">
        <f t="shared" si="0"/>
        <v>FS MM Leaching</v>
      </c>
      <c r="B149" s="95" t="s">
        <v>1004</v>
      </c>
      <c r="C149" s="95" t="s">
        <v>1333</v>
      </c>
      <c r="D149" t="s">
        <v>369</v>
      </c>
      <c r="E149" t="s">
        <v>64</v>
      </c>
      <c r="F149" t="s">
        <v>63</v>
      </c>
      <c r="G149" t="s">
        <v>1174</v>
      </c>
      <c r="H149" t="s">
        <v>1317</v>
      </c>
      <c r="I149" t="s">
        <v>139</v>
      </c>
      <c r="J149" t="s">
        <v>287</v>
      </c>
      <c r="K149" s="22">
        <f t="shared" si="26"/>
        <v>0</v>
      </c>
      <c r="L149" s="22">
        <f t="shared" si="31"/>
        <v>0</v>
      </c>
      <c r="M149" s="22">
        <f t="shared" si="31"/>
        <v>0</v>
      </c>
      <c r="N149" s="22">
        <f t="shared" si="31"/>
        <v>0</v>
      </c>
      <c r="O149" s="22">
        <f t="shared" si="31"/>
        <v>0</v>
      </c>
      <c r="P149" s="22">
        <f t="shared" si="31"/>
        <v>0</v>
      </c>
      <c r="Q149" s="22">
        <f t="shared" si="31"/>
        <v>0</v>
      </c>
      <c r="R149" s="22">
        <f t="shared" si="31"/>
        <v>0</v>
      </c>
      <c r="S149" s="22">
        <f t="shared" si="31"/>
        <v>0</v>
      </c>
      <c r="T149" s="22">
        <f t="shared" si="31"/>
        <v>0</v>
      </c>
      <c r="U149" s="22">
        <f t="shared" si="31"/>
        <v>0</v>
      </c>
      <c r="V149" s="22">
        <f t="shared" si="31"/>
        <v>0</v>
      </c>
      <c r="W149" s="22">
        <f t="shared" si="31"/>
        <v>0</v>
      </c>
      <c r="X149" s="22">
        <f t="shared" si="31"/>
        <v>0</v>
      </c>
      <c r="Y149" s="22">
        <f t="shared" si="31"/>
        <v>0</v>
      </c>
      <c r="Z149" s="22">
        <f t="shared" si="31"/>
        <v>0</v>
      </c>
      <c r="AA149" s="22">
        <f t="shared" si="31"/>
        <v>0</v>
      </c>
      <c r="AB149" s="22">
        <f t="shared" si="31"/>
        <v>0</v>
      </c>
      <c r="AC149" s="22">
        <f t="shared" si="31"/>
        <v>0</v>
      </c>
      <c r="AD149" s="22">
        <f t="shared" si="31"/>
        <v>0</v>
      </c>
      <c r="AE149" s="22">
        <f t="shared" si="31"/>
        <v>0</v>
      </c>
      <c r="AF149" s="22">
        <f t="shared" si="31"/>
        <v>0</v>
      </c>
      <c r="AG149" s="22">
        <f t="shared" si="31"/>
        <v>0</v>
      </c>
      <c r="AH149" s="22">
        <f t="shared" si="31"/>
        <v>0</v>
      </c>
      <c r="AI149" s="22">
        <f t="shared" si="31"/>
        <v>0</v>
      </c>
      <c r="AJ149" s="22">
        <f t="shared" si="31"/>
        <v>0</v>
      </c>
      <c r="AK149" s="22">
        <f t="shared" si="31"/>
        <v>0</v>
      </c>
      <c r="AL149" s="22">
        <f t="shared" si="31"/>
        <v>0</v>
      </c>
      <c r="AM149" s="22">
        <f t="shared" si="31"/>
        <v>0</v>
      </c>
      <c r="AN149" s="22">
        <f t="shared" si="31"/>
        <v>0</v>
      </c>
      <c r="AO149" s="22">
        <f t="shared" si="31"/>
        <v>0</v>
      </c>
      <c r="AP149" s="22">
        <f t="shared" si="31"/>
        <v>0</v>
      </c>
      <c r="AQ149" s="22">
        <f t="shared" si="31"/>
        <v>0</v>
      </c>
      <c r="AR149" s="22">
        <f t="shared" si="31"/>
        <v>0</v>
      </c>
      <c r="AS149" s="22">
        <f t="shared" si="31"/>
        <v>0</v>
      </c>
      <c r="AT149" s="22">
        <f t="shared" si="31"/>
        <v>0</v>
      </c>
      <c r="AU149" s="22">
        <f t="shared" si="31"/>
        <v>0</v>
      </c>
      <c r="AV149" s="22">
        <f t="shared" si="31"/>
        <v>0</v>
      </c>
      <c r="AW149" s="22">
        <f t="shared" si="31"/>
        <v>0</v>
      </c>
      <c r="AY149" s="79"/>
    </row>
    <row r="150" spans="1:51" x14ac:dyDescent="0.3">
      <c r="A150" s="95" t="str">
        <f t="shared" si="0"/>
        <v>FS MM Leaching</v>
      </c>
      <c r="B150" s="95" t="s">
        <v>1004</v>
      </c>
      <c r="C150" s="95" t="s">
        <v>1333</v>
      </c>
      <c r="D150" t="s">
        <v>369</v>
      </c>
      <c r="E150" t="s">
        <v>64</v>
      </c>
      <c r="F150" t="s">
        <v>63</v>
      </c>
      <c r="G150" t="s">
        <v>1176</v>
      </c>
      <c r="H150" t="s">
        <v>1318</v>
      </c>
      <c r="I150" t="s">
        <v>139</v>
      </c>
      <c r="J150" t="s">
        <v>287</v>
      </c>
      <c r="K150" s="22">
        <f t="shared" si="26"/>
        <v>2.6875086183165937E-2</v>
      </c>
      <c r="L150" s="22">
        <f t="shared" si="31"/>
        <v>2.6729002214214568E-2</v>
      </c>
      <c r="M150" s="22">
        <f t="shared" si="31"/>
        <v>2.6740992333189318E-2</v>
      </c>
      <c r="N150" s="22">
        <f t="shared" si="31"/>
        <v>2.6495489531984443E-2</v>
      </c>
      <c r="O150" s="22">
        <f t="shared" si="31"/>
        <v>2.609452683304701E-2</v>
      </c>
      <c r="P150" s="22">
        <f t="shared" si="31"/>
        <v>2.5544514050244025E-2</v>
      </c>
      <c r="Q150" s="22">
        <f t="shared" si="31"/>
        <v>2.5145143775072754E-2</v>
      </c>
      <c r="R150" s="22">
        <f t="shared" si="31"/>
        <v>2.4781112413324514E-2</v>
      </c>
      <c r="S150" s="22">
        <f t="shared" si="31"/>
        <v>2.1880480805765091E-2</v>
      </c>
      <c r="T150" s="22">
        <f t="shared" si="31"/>
        <v>2.2157174302587897E-2</v>
      </c>
      <c r="U150" s="22">
        <f t="shared" si="31"/>
        <v>2.2750904230467162E-2</v>
      </c>
      <c r="V150" s="22">
        <f t="shared" si="31"/>
        <v>2.2804811823411601E-2</v>
      </c>
      <c r="W150" s="22">
        <f t="shared" si="31"/>
        <v>2.292155171126611E-2</v>
      </c>
      <c r="X150" s="22">
        <f t="shared" si="31"/>
        <v>2.3117832526296487E-2</v>
      </c>
      <c r="Y150" s="22">
        <f t="shared" si="31"/>
        <v>2.3364125716575319E-2</v>
      </c>
      <c r="Z150" s="22">
        <f t="shared" si="31"/>
        <v>2.3665937141590494E-2</v>
      </c>
      <c r="AA150" s="22">
        <f t="shared" si="31"/>
        <v>2.3971277948899337E-2</v>
      </c>
      <c r="AB150" s="22">
        <f t="shared" si="31"/>
        <v>2.4323808269457244E-2</v>
      </c>
      <c r="AC150" s="22">
        <f t="shared" si="31"/>
        <v>2.4673905433943388E-2</v>
      </c>
      <c r="AD150" s="22">
        <f t="shared" si="31"/>
        <v>2.5109167618050737E-2</v>
      </c>
      <c r="AE150" s="22">
        <f t="shared" si="31"/>
        <v>2.5509858249217851E-2</v>
      </c>
      <c r="AF150" s="22">
        <f t="shared" si="31"/>
        <v>2.5936225115881856E-2</v>
      </c>
      <c r="AG150" s="22">
        <f t="shared" si="31"/>
        <v>2.6456337070766354E-2</v>
      </c>
      <c r="AH150" s="22">
        <f t="shared" si="31"/>
        <v>2.6902942278627297E-2</v>
      </c>
      <c r="AI150" s="22">
        <f t="shared" si="31"/>
        <v>2.7384983876862477E-2</v>
      </c>
      <c r="AJ150" s="22">
        <f t="shared" si="31"/>
        <v>2.7908158351219941E-2</v>
      </c>
      <c r="AK150" s="22">
        <f t="shared" si="31"/>
        <v>2.8344604443718637E-2</v>
      </c>
      <c r="AL150" s="22">
        <f t="shared" si="31"/>
        <v>2.8753897192929187E-2</v>
      </c>
      <c r="AM150" s="22">
        <f t="shared" si="31"/>
        <v>2.9139337629284397E-2</v>
      </c>
      <c r="AN150" s="22">
        <f t="shared" si="31"/>
        <v>2.9584390604572932E-2</v>
      </c>
      <c r="AO150" s="22">
        <f t="shared" si="31"/>
        <v>2.9970416689145254E-2</v>
      </c>
      <c r="AP150" s="22">
        <f t="shared" si="31"/>
        <v>3.0368893670993099E-2</v>
      </c>
      <c r="AQ150" s="22">
        <f t="shared" si="31"/>
        <v>3.0782827170501174E-2</v>
      </c>
      <c r="AR150" s="22">
        <f t="shared" si="31"/>
        <v>3.1217396528975507E-2</v>
      </c>
      <c r="AS150" s="22">
        <f t="shared" si="31"/>
        <v>3.1673723172219483E-2</v>
      </c>
      <c r="AT150" s="22">
        <f t="shared" si="31"/>
        <v>3.1396042142995774E-2</v>
      </c>
      <c r="AU150" s="22">
        <f t="shared" si="31"/>
        <v>3.1054190241510845E-2</v>
      </c>
      <c r="AV150" s="22">
        <f t="shared" si="31"/>
        <v>3.0622832551979947E-2</v>
      </c>
      <c r="AW150" s="22">
        <f t="shared" si="31"/>
        <v>3.01703196842419E-2</v>
      </c>
      <c r="AY150" s="79"/>
    </row>
    <row r="151" spans="1:51" x14ac:dyDescent="0.3">
      <c r="A151" s="95" t="str">
        <f t="shared" si="0"/>
        <v>FS MM Leaching</v>
      </c>
      <c r="B151" s="95" t="s">
        <v>1004</v>
      </c>
      <c r="C151" s="95" t="s">
        <v>1333</v>
      </c>
      <c r="D151" t="s">
        <v>369</v>
      </c>
      <c r="E151" t="s">
        <v>64</v>
      </c>
      <c r="F151" t="s">
        <v>63</v>
      </c>
      <c r="G151" t="s">
        <v>1178</v>
      </c>
      <c r="H151" t="s">
        <v>1319</v>
      </c>
      <c r="I151" t="s">
        <v>139</v>
      </c>
      <c r="J151" t="s">
        <v>287</v>
      </c>
      <c r="K151" s="22">
        <f t="shared" si="26"/>
        <v>4.0166140097319695E-3</v>
      </c>
      <c r="L151" s="22">
        <f t="shared" si="31"/>
        <v>3.994781041000697E-3</v>
      </c>
      <c r="M151" s="22">
        <f t="shared" si="31"/>
        <v>3.9965730233416695E-3</v>
      </c>
      <c r="N151" s="22">
        <f t="shared" si="31"/>
        <v>3.9598814204188995E-3</v>
      </c>
      <c r="O151" s="22">
        <f t="shared" si="31"/>
        <v>3.8999555700251301E-3</v>
      </c>
      <c r="P151" s="22">
        <f t="shared" si="31"/>
        <v>3.8177534504158571E-3</v>
      </c>
      <c r="Q151" s="22">
        <f t="shared" si="31"/>
        <v>3.7580655955978047E-3</v>
      </c>
      <c r="R151" s="22">
        <f t="shared" si="31"/>
        <v>3.7036593154610871E-3</v>
      </c>
      <c r="S151" s="22">
        <f t="shared" si="31"/>
        <v>3.2701456339573466E-3</v>
      </c>
      <c r="T151" s="22">
        <f t="shared" si="31"/>
        <v>3.31149883997744E-3</v>
      </c>
      <c r="U151" s="22">
        <f t="shared" si="31"/>
        <v>3.4002347022576052E-3</v>
      </c>
      <c r="V151" s="22">
        <f t="shared" si="31"/>
        <v>3.40829145755788E-3</v>
      </c>
      <c r="W151" s="22">
        <f t="shared" si="31"/>
        <v>3.4257388088279458E-3</v>
      </c>
      <c r="X151" s="22">
        <f t="shared" si="31"/>
        <v>3.4550739434622826E-3</v>
      </c>
      <c r="Y151" s="22">
        <f t="shared" si="31"/>
        <v>3.491883673925408E-3</v>
      </c>
      <c r="Z151" s="22">
        <f t="shared" si="31"/>
        <v>3.5369908780382062E-3</v>
      </c>
      <c r="AA151" s="22">
        <f t="shared" si="31"/>
        <v>3.5826255657196082E-3</v>
      </c>
      <c r="AB151" s="22">
        <f t="shared" si="31"/>
        <v>3.6353129585993062E-3</v>
      </c>
      <c r="AC151" s="22">
        <f t="shared" si="31"/>
        <v>3.6876367043189875E-3</v>
      </c>
      <c r="AD151" s="22">
        <f t="shared" si="31"/>
        <v>3.7526887817217083E-3</v>
      </c>
      <c r="AE151" s="22">
        <f t="shared" si="31"/>
        <v>3.8125739702470681E-3</v>
      </c>
      <c r="AF151" s="22">
        <f t="shared" si="31"/>
        <v>3.87629659864187E-3</v>
      </c>
      <c r="AG151" s="22">
        <f t="shared" si="31"/>
        <v>3.9540298922350536E-3</v>
      </c>
      <c r="AH151" s="22">
        <f t="shared" si="31"/>
        <v>4.0207772404105219E-3</v>
      </c>
      <c r="AI151" s="22">
        <f t="shared" si="31"/>
        <v>4.0928207316778291E-3</v>
      </c>
      <c r="AJ151" s="22">
        <f t="shared" si="31"/>
        <v>4.1710117338914204E-3</v>
      </c>
      <c r="AK151" s="22">
        <f t="shared" si="31"/>
        <v>4.2362407522348522E-3</v>
      </c>
      <c r="AL151" s="22">
        <f t="shared" si="31"/>
        <v>4.2974115696735888E-3</v>
      </c>
      <c r="AM151" s="22">
        <f t="shared" si="31"/>
        <v>4.3550175414658315E-3</v>
      </c>
      <c r="AN151" s="22">
        <f t="shared" si="31"/>
        <v>4.4215329008374625E-3</v>
      </c>
      <c r="AO151" s="22">
        <f t="shared" si="31"/>
        <v>4.479226400640501E-3</v>
      </c>
      <c r="AP151" s="22">
        <f t="shared" si="31"/>
        <v>4.5387807483712392E-3</v>
      </c>
      <c r="AQ151" s="22">
        <f t="shared" si="31"/>
        <v>4.6006451488010665E-3</v>
      </c>
      <c r="AR151" s="22">
        <f t="shared" si="31"/>
        <v>4.665593680000254E-3</v>
      </c>
      <c r="AS151" s="22">
        <f t="shared" si="31"/>
        <v>4.7337939445789724E-3</v>
      </c>
      <c r="AT151" s="22">
        <f t="shared" si="31"/>
        <v>4.6922931469772361E-3</v>
      </c>
      <c r="AU151" s="22">
        <f t="shared" si="31"/>
        <v>4.6412016964271002E-3</v>
      </c>
      <c r="AV151" s="22">
        <f t="shared" si="31"/>
        <v>4.5767331649713494E-3</v>
      </c>
      <c r="AW151" s="22">
        <f t="shared" si="31"/>
        <v>4.5091028879276577E-3</v>
      </c>
      <c r="AY151" s="79"/>
    </row>
    <row r="152" spans="1:51" x14ac:dyDescent="0.3">
      <c r="A152" s="95" t="str">
        <f t="shared" si="0"/>
        <v>FS MM Leaching</v>
      </c>
      <c r="B152" s="95" t="s">
        <v>1004</v>
      </c>
      <c r="C152" s="95" t="s">
        <v>1333</v>
      </c>
      <c r="D152" t="s">
        <v>369</v>
      </c>
      <c r="E152" t="s">
        <v>64</v>
      </c>
      <c r="F152" t="s">
        <v>63</v>
      </c>
      <c r="G152" t="s">
        <v>1180</v>
      </c>
      <c r="H152" t="s">
        <v>1320</v>
      </c>
      <c r="I152" t="s">
        <v>139</v>
      </c>
      <c r="J152" t="s">
        <v>287</v>
      </c>
      <c r="K152" s="22">
        <f t="shared" si="26"/>
        <v>1.6726645268412742E-2</v>
      </c>
      <c r="L152" s="22">
        <f t="shared" si="31"/>
        <v>1.7066731126843739E-2</v>
      </c>
      <c r="M152" s="22">
        <f t="shared" si="31"/>
        <v>1.7464259263446445E-2</v>
      </c>
      <c r="N152" s="22">
        <f t="shared" si="31"/>
        <v>1.77694513935726E-2</v>
      </c>
      <c r="O152" s="22">
        <f t="shared" si="31"/>
        <v>1.8014444056791569E-2</v>
      </c>
      <c r="P152" s="22">
        <f t="shared" si="31"/>
        <v>1.8197780265539362E-2</v>
      </c>
      <c r="Q152" s="22">
        <f t="shared" si="31"/>
        <v>1.8432867891885713E-2</v>
      </c>
      <c r="R152" s="22">
        <f t="shared" si="31"/>
        <v>1.8677293946611207E-2</v>
      </c>
      <c r="S152" s="22">
        <f t="shared" si="31"/>
        <v>1.7845993977500554E-2</v>
      </c>
      <c r="T152" s="22">
        <f t="shared" si="31"/>
        <v>1.8290177947761724E-2</v>
      </c>
      <c r="U152" s="22">
        <f t="shared" si="31"/>
        <v>1.8882126643784119E-2</v>
      </c>
      <c r="V152" s="22">
        <f t="shared" si="31"/>
        <v>1.9244149446427172E-2</v>
      </c>
      <c r="W152" s="22">
        <f t="shared" si="31"/>
        <v>1.9638833779478608E-2</v>
      </c>
      <c r="X152" s="22">
        <f t="shared" si="31"/>
        <v>2.0076166391792365E-2</v>
      </c>
      <c r="Y152" s="22">
        <f t="shared" si="31"/>
        <v>2.0527873811486335E-2</v>
      </c>
      <c r="Z152" s="22">
        <f t="shared" si="31"/>
        <v>2.1014725008073262E-2</v>
      </c>
      <c r="AA152" s="22">
        <f t="shared" si="31"/>
        <v>2.1512524786700418E-2</v>
      </c>
      <c r="AB152" s="22">
        <f t="shared" si="31"/>
        <v>2.204403910450644E-2</v>
      </c>
      <c r="AC152" s="22">
        <f t="shared" si="31"/>
        <v>2.2585019508801499E-2</v>
      </c>
      <c r="AD152" s="22">
        <f t="shared" si="31"/>
        <v>2.3168701426676565E-2</v>
      </c>
      <c r="AE152" s="22">
        <f t="shared" si="31"/>
        <v>2.3746356188951337E-2</v>
      </c>
      <c r="AF152" s="22">
        <f t="shared" si="31"/>
        <v>2.4350664580619397E-2</v>
      </c>
      <c r="AG152" s="22">
        <f t="shared" si="31"/>
        <v>2.5021362816751564E-2</v>
      </c>
      <c r="AH152" s="22">
        <f t="shared" si="31"/>
        <v>2.5665252656926436E-2</v>
      </c>
      <c r="AI152" s="22">
        <f t="shared" si="31"/>
        <v>2.6331138974392616E-2</v>
      </c>
      <c r="AJ152" s="22">
        <f t="shared" si="31"/>
        <v>2.7037084930771747E-2</v>
      </c>
      <c r="AK152" s="22">
        <f t="shared" si="31"/>
        <v>2.7706662515763772E-2</v>
      </c>
      <c r="AL152" s="22">
        <f t="shared" si="31"/>
        <v>2.8374415178094886E-2</v>
      </c>
      <c r="AM152" s="22">
        <f t="shared" si="31"/>
        <v>2.9041879152159198E-2</v>
      </c>
      <c r="AN152" s="22">
        <f t="shared" si="31"/>
        <v>2.9750026658148378E-2</v>
      </c>
      <c r="AO152" s="22">
        <f t="shared" si="31"/>
        <v>3.0435625912582094E-2</v>
      </c>
      <c r="AP152" s="22">
        <f t="shared" si="31"/>
        <v>3.1144967675009176E-2</v>
      </c>
      <c r="AQ152" s="22">
        <f t="shared" si="31"/>
        <v>3.1881013101963972E-2</v>
      </c>
      <c r="AR152" s="22">
        <f t="shared" si="31"/>
        <v>3.2648423492469485E-2</v>
      </c>
      <c r="AS152" s="22">
        <f t="shared" si="31"/>
        <v>3.3436328313148703E-2</v>
      </c>
      <c r="AT152" s="22">
        <f t="shared" si="31"/>
        <v>3.371230344910283E-2</v>
      </c>
      <c r="AU152" s="22">
        <f t="shared" si="31"/>
        <v>3.39408780706969E-2</v>
      </c>
      <c r="AV152" s="22">
        <f t="shared" si="31"/>
        <v>3.4100500286935446E-2</v>
      </c>
      <c r="AW152" s="22">
        <f t="shared" si="31"/>
        <v>3.4239705581718134E-2</v>
      </c>
      <c r="AY152" s="79"/>
    </row>
    <row r="153" spans="1:51" x14ac:dyDescent="0.3">
      <c r="A153" s="95" t="str">
        <f t="shared" si="0"/>
        <v>FS MM Leaching</v>
      </c>
      <c r="B153" s="95" t="s">
        <v>1004</v>
      </c>
      <c r="C153" s="95" t="s">
        <v>1333</v>
      </c>
      <c r="D153" t="s">
        <v>369</v>
      </c>
      <c r="E153" t="s">
        <v>64</v>
      </c>
      <c r="F153" t="s">
        <v>63</v>
      </c>
      <c r="G153" t="s">
        <v>1182</v>
      </c>
      <c r="H153" t="s">
        <v>1321</v>
      </c>
      <c r="I153" t="s">
        <v>139</v>
      </c>
      <c r="J153" t="s">
        <v>287</v>
      </c>
      <c r="K153" s="22">
        <f t="shared" si="26"/>
        <v>7.758579791322931E-2</v>
      </c>
      <c r="L153" s="22">
        <f t="shared" si="31"/>
        <v>7.8607464197542429E-2</v>
      </c>
      <c r="M153" s="22">
        <f t="shared" si="31"/>
        <v>8.0248553313821205E-2</v>
      </c>
      <c r="N153" s="22">
        <f t="shared" si="31"/>
        <v>8.0719757945382262E-2</v>
      </c>
      <c r="O153" s="22">
        <f t="shared" si="31"/>
        <v>8.0430818839717741E-2</v>
      </c>
      <c r="P153" s="22">
        <f t="shared" si="31"/>
        <v>7.938481013134728E-2</v>
      </c>
      <c r="Q153" s="22">
        <f t="shared" si="31"/>
        <v>7.8944464359385597E-2</v>
      </c>
      <c r="R153" s="22">
        <f t="shared" si="31"/>
        <v>7.8604018955287347E-2</v>
      </c>
      <c r="S153" s="22">
        <f t="shared" si="31"/>
        <v>6.6259107806349124E-2</v>
      </c>
      <c r="T153" s="22">
        <f t="shared" si="31"/>
        <v>6.8883290688916743E-2</v>
      </c>
      <c r="U153" s="22">
        <f t="shared" si="31"/>
        <v>7.307131784092237E-2</v>
      </c>
      <c r="V153" s="22">
        <f t="shared" si="31"/>
        <v>7.4685850466012449E-2</v>
      </c>
      <c r="W153" s="22">
        <f t="shared" si="31"/>
        <v>7.6617949690607756E-2</v>
      </c>
      <c r="X153" s="22">
        <f t="shared" si="31"/>
        <v>7.8965775854052137E-2</v>
      </c>
      <c r="Y153" s="22">
        <f t="shared" si="31"/>
        <v>8.1661778442119887E-2</v>
      </c>
      <c r="Z153" s="22">
        <f t="shared" si="31"/>
        <v>8.4680896790548951E-2</v>
      </c>
      <c r="AA153" s="22">
        <f t="shared" si="31"/>
        <v>8.776412775274034E-2</v>
      </c>
      <c r="AB153" s="22">
        <f t="shared" si="31"/>
        <v>9.1145488449202117E-2</v>
      </c>
      <c r="AC153" s="22">
        <f t="shared" si="31"/>
        <v>9.4570204644651698E-2</v>
      </c>
      <c r="AD153" s="22">
        <f t="shared" si="31"/>
        <v>9.8568154697968743E-2</v>
      </c>
      <c r="AE153" s="22">
        <f t="shared" si="31"/>
        <v>0.10244796560739347</v>
      </c>
      <c r="AF153" s="22">
        <f t="shared" si="31"/>
        <v>0.10654057141624064</v>
      </c>
      <c r="AG153" s="22">
        <f t="shared" si="31"/>
        <v>0.11123806657675694</v>
      </c>
      <c r="AH153" s="22">
        <f t="shared" si="31"/>
        <v>0.11560654614552646</v>
      </c>
      <c r="AI153" s="22">
        <f t="shared" si="31"/>
        <v>0.12031218938193437</v>
      </c>
      <c r="AJ153" s="22">
        <f t="shared" si="31"/>
        <v>0.12535029329403399</v>
      </c>
      <c r="AK153" s="22">
        <f t="shared" si="31"/>
        <v>0.12997331250710895</v>
      </c>
      <c r="AL153" s="22">
        <f t="shared" si="31"/>
        <v>0.13452286194458821</v>
      </c>
      <c r="AM153" s="22">
        <f t="shared" si="31"/>
        <v>0.13901554953719861</v>
      </c>
      <c r="AN153" s="22">
        <f t="shared" si="31"/>
        <v>0.1440082698862134</v>
      </c>
      <c r="AO153" s="22">
        <f t="shared" si="31"/>
        <v>0.14873185090680655</v>
      </c>
      <c r="AP153" s="22">
        <f t="shared" si="31"/>
        <v>0.15362755351583215</v>
      </c>
      <c r="AQ153" s="22">
        <f t="shared" si="31"/>
        <v>0.15872063106624867</v>
      </c>
      <c r="AR153" s="22">
        <f t="shared" si="31"/>
        <v>0.16405164052421939</v>
      </c>
      <c r="AS153" s="22">
        <f t="shared" si="31"/>
        <v>0.16968110376218293</v>
      </c>
      <c r="AT153" s="22">
        <f t="shared" si="31"/>
        <v>0.17053816071119138</v>
      </c>
      <c r="AU153" s="22">
        <f t="shared" si="31"/>
        <v>0.17095629027566819</v>
      </c>
      <c r="AV153" s="22">
        <f t="shared" si="31"/>
        <v>0.17074584650981994</v>
      </c>
      <c r="AW153" s="22">
        <f t="shared" si="31"/>
        <v>0.17035646457405007</v>
      </c>
      <c r="AY153" s="79"/>
    </row>
    <row r="154" spans="1:51" x14ac:dyDescent="0.3">
      <c r="A154" s="95"/>
      <c r="B154" s="95"/>
      <c r="C154" s="95"/>
    </row>
    <row r="155" spans="1:51" x14ac:dyDescent="0.3">
      <c r="A155" s="95"/>
      <c r="B155" s="95"/>
      <c r="C155" s="95"/>
    </row>
    <row r="156" spans="1:51" x14ac:dyDescent="0.3">
      <c r="A156" s="95"/>
      <c r="B156" s="95"/>
      <c r="C156" s="95"/>
    </row>
    <row r="157" spans="1:51" x14ac:dyDescent="0.3">
      <c r="A157" s="95" t="str">
        <f t="shared" si="0"/>
        <v>FA Cattle</v>
      </c>
      <c r="B157" s="95" t="s">
        <v>962</v>
      </c>
      <c r="C157" s="95" t="s">
        <v>1108</v>
      </c>
      <c r="D157" t="str">
        <f>D8</f>
        <v>3A Livestock</v>
      </c>
      <c r="E157" t="str">
        <f>E8</f>
        <v>3A1 Enteric fermentation (CH4)</v>
      </c>
      <c r="F157" t="s">
        <v>6</v>
      </c>
      <c r="G157" t="s">
        <v>136</v>
      </c>
      <c r="H157" t="s">
        <v>1020</v>
      </c>
      <c r="I157" t="s">
        <v>121</v>
      </c>
      <c r="J157" t="s">
        <v>286</v>
      </c>
      <c r="K157" s="93">
        <f>IF('Net zero activities &amp; levers'!$C$6="Off",('Activity data'!AD5*EF!$H4)*kgtoGg,IF('Net zero activities &amp; levers'!$C$6="On",(('Net zero supporting data'!B40*EF!$H4)+('Net zero supporting data'!B38*'Net zero supporting data'!B42))*kgtoGg,"ERROR"))</f>
        <v>72.246065125367707</v>
      </c>
      <c r="L157" s="93">
        <f>IF('Net zero activities &amp; levers'!$C$6="Off",('Activity data'!AE5*EF!$H4)*kgtoGg,IF('Net zero activities &amp; levers'!$C$6="On",(('Net zero supporting data'!C40*EF!$H4)+('Net zero supporting data'!C38*'Net zero supporting data'!C42))*kgtoGg,"ERROR"))</f>
        <v>72.649957574793376</v>
      </c>
      <c r="M157" s="93">
        <f>IF('Net zero activities &amp; levers'!$C$6="Off",('Activity data'!AF5*EF!$H4)*kgtoGg,IF('Net zero activities &amp; levers'!$C$6="On",(('Net zero supporting data'!D40*EF!$H4)+('Net zero supporting data'!D38*'Net zero supporting data'!D42))*kgtoGg,"ERROR"))</f>
        <v>73.223011790998029</v>
      </c>
      <c r="N157" s="93">
        <f>IF('Net zero activities &amp; levers'!$C$6="Off",('Activity data'!AG5*EF!$H4)*kgtoGg,IF('Net zero activities &amp; levers'!$C$6="On",(('Net zero supporting data'!E40*EF!$H4)+('Net zero supporting data'!E38*'Net zero supporting data'!E42))*kgtoGg,"ERROR"))</f>
        <v>73.591260167761035</v>
      </c>
      <c r="O157" s="93">
        <f>IF('Net zero activities &amp; levers'!$C$6="Off",('Activity data'!AH5*EF!$H4)*kgtoGg,IF('Net zero activities &amp; levers'!$C$6="On",(('Net zero supporting data'!F40*EF!$H4)+('Net zero supporting data'!F38*'Net zero supporting data'!F42))*kgtoGg,"ERROR"))</f>
        <v>73.835962898346551</v>
      </c>
      <c r="P157" s="93">
        <f>IF('Net zero activities &amp; levers'!$C$6="Off",('Activity data'!AI5*EF!$H4)*kgtoGg,IF('Net zero activities &amp; levers'!$C$6="On",(('Net zero supporting data'!G40*EF!$H4)+('Net zero supporting data'!G38*'Net zero supporting data'!G42))*kgtoGg,"ERROR"))</f>
        <v>73.954711561483904</v>
      </c>
      <c r="Q157" s="93">
        <f>IF('Net zero activities &amp; levers'!$C$6="Off",('Activity data'!AJ5*EF!$H4)*kgtoGg,IF('Net zero activities &amp; levers'!$C$6="On",(('Net zero supporting data'!H40*EF!$H4)+('Net zero supporting data'!H38*'Net zero supporting data'!H42))*kgtoGg,"ERROR"))</f>
        <v>74.217071552078707</v>
      </c>
      <c r="R157" s="93">
        <f>IF('Net zero activities &amp; levers'!$C$6="Off",('Activity data'!AK5*EF!$H4)*kgtoGg,IF('Net zero activities &amp; levers'!$C$6="On",(('Net zero supporting data'!I40*EF!$H4)+('Net zero supporting data'!I38*'Net zero supporting data'!I42))*kgtoGg,"ERROR"))</f>
        <v>74.518042528471312</v>
      </c>
      <c r="S157" s="93">
        <f>IF('Net zero activities &amp; levers'!$C$6="Off",('Activity data'!AL5*EF!$H4)*kgtoGg,IF('Net zero activities &amp; levers'!$C$6="On",(('Net zero supporting data'!J40*EF!$H4)+('Net zero supporting data'!J38*'Net zero supporting data'!J42))*kgtoGg,"ERROR"))</f>
        <v>72.278060008832611</v>
      </c>
      <c r="T157" s="93">
        <f>IF('Net zero activities &amp; levers'!$C$6="Off",('Activity data'!AM5*EF!$H4)*kgtoGg,IF('Net zero activities &amp; levers'!$C$6="On",(('Net zero supporting data'!K40*EF!$H4)+('Net zero supporting data'!K38*'Net zero supporting data'!K42))*kgtoGg,"ERROR"))</f>
        <v>73.038072409871731</v>
      </c>
      <c r="U157" s="93">
        <f>IF('Net zero activities &amp; levers'!$C$6="Off",('Activity data'!AN5*EF!$H4)*kgtoGg,IF('Net zero activities &amp; levers'!$C$6="On",(('Net zero supporting data'!L40*EF!$H4)+('Net zero supporting data'!L38*'Net zero supporting data'!L42))*kgtoGg,"ERROR"))</f>
        <v>74.1505294629453</v>
      </c>
      <c r="V157" s="93">
        <f>IF('Net zero activities &amp; levers'!$C$6="Off",('Activity data'!AO5*EF!$H4)*kgtoGg,IF('Net zero activities &amp; levers'!$C$6="On",(('Net zero supporting data'!M40*EF!$H4)+('Net zero supporting data'!M38*'Net zero supporting data'!M42))*kgtoGg,"ERROR"))</f>
        <v>74.727142714641815</v>
      </c>
      <c r="W157" s="93">
        <f>IF('Net zero activities &amp; levers'!$C$6="Off",('Activity data'!AP5*EF!$H4)*kgtoGg,IF('Net zero activities &amp; levers'!$C$6="On",(('Net zero supporting data'!N40*EF!$H4)+('Net zero supporting data'!N38*'Net zero supporting data'!N42))*kgtoGg,"ERROR"))</f>
        <v>75.386134904907664</v>
      </c>
      <c r="X157" s="93">
        <f>IF('Net zero activities &amp; levers'!$C$6="Off",('Activity data'!AQ5*EF!$H4)*kgtoGg,IF('Net zero activities &amp; levers'!$C$6="On",(('Net zero supporting data'!O40*EF!$H4)+('Net zero supporting data'!O38*'Net zero supporting data'!O42))*kgtoGg,"ERROR"))</f>
        <v>76.148849321322899</v>
      </c>
      <c r="Y157" s="93">
        <f>IF('Net zero activities &amp; levers'!$C$6="Off",('Activity data'!AR5*EF!$H4)*kgtoGg,IF('Net zero activities &amp; levers'!$C$6="On",(('Net zero supporting data'!P40*EF!$H4)+('Net zero supporting data'!P38*'Net zero supporting data'!P42))*kgtoGg,"ERROR"))</f>
        <v>76.927724649348932</v>
      </c>
      <c r="Z157" s="93">
        <f>IF('Net zero activities &amp; levers'!$C$6="Off",('Activity data'!AS5*EF!$H4)*kgtoGg,IF('Net zero activities &amp; levers'!$C$6="On",(('Net zero supporting data'!Q40*EF!$H4)+('Net zero supporting data'!Q38*'Net zero supporting data'!Q42))*kgtoGg,"ERROR"))</f>
        <v>77.789839188812167</v>
      </c>
      <c r="AA157" s="93">
        <f>IF('Net zero activities &amp; levers'!$C$6="Off",('Activity data'!AT5*EF!$H4)*kgtoGg,IF('Net zero activities &amp; levers'!$C$6="On",(('Net zero supporting data'!R40*EF!$H4)+('Net zero supporting data'!R38*'Net zero supporting data'!R42))*kgtoGg,"ERROR"))</f>
        <v>78.678659679683463</v>
      </c>
      <c r="AB157" s="93">
        <f>IF('Net zero activities &amp; levers'!$C$6="Off",('Activity data'!AU5*EF!$H4)*kgtoGg,IF('Net zero activities &amp; levers'!$C$6="On",(('Net zero supporting data'!S40*EF!$H4)+('Net zero supporting data'!S38*'Net zero supporting data'!S42))*kgtoGg,"ERROR"))</f>
        <v>79.645214708438644</v>
      </c>
      <c r="AC157" s="93">
        <f>IF('Net zero activities &amp; levers'!$C$6="Off",('Activity data'!AV5*EF!$H4)*kgtoGg,IF('Net zero activities &amp; levers'!$C$6="On",(('Net zero supporting data'!T40*EF!$H4)+('Net zero supporting data'!T38*'Net zero supporting data'!T42))*kgtoGg,"ERROR"))</f>
        <v>80.63357341135027</v>
      </c>
      <c r="AD157" s="93">
        <f>IF('Net zero activities &amp; levers'!$C$6="Off",('Activity data'!AW5*EF!$H4)*kgtoGg,IF('Net zero activities &amp; levers'!$C$6="On",(('Net zero supporting data'!U40*EF!$H4)+('Net zero supporting data'!U38*'Net zero supporting data'!U42))*kgtoGg,"ERROR"))</f>
        <v>81.701326888312266</v>
      </c>
      <c r="AE157" s="93">
        <f>IF('Net zero activities &amp; levers'!$C$6="Off",('Activity data'!AX5*EF!$H4)*kgtoGg,IF('Net zero activities &amp; levers'!$C$6="On",(('Net zero supporting data'!V40*EF!$H4)+('Net zero supporting data'!V38*'Net zero supporting data'!V42))*kgtoGg,"ERROR"))</f>
        <v>82.754629010299467</v>
      </c>
      <c r="AF157" s="93">
        <f>IF('Net zero activities &amp; levers'!$C$6="Off",('Activity data'!AY5*EF!$H4)*kgtoGg,IF('Net zero activities &amp; levers'!$C$6="On",(('Net zero supporting data'!W40*EF!$H4)+('Net zero supporting data'!W38*'Net zero supporting data'!W42))*kgtoGg,"ERROR"))</f>
        <v>83.866381546619579</v>
      </c>
      <c r="AG157" s="93">
        <f>IF('Net zero activities &amp; levers'!$C$6="Off",('Activity data'!AZ5*EF!$H4)*kgtoGg,IF('Net zero activities &amp; levers'!$C$6="On",(('Net zero supporting data'!X40*EF!$H4)+('Net zero supporting data'!X38*'Net zero supporting data'!X42))*kgtoGg,"ERROR"))</f>
        <v>85.123957452137844</v>
      </c>
      <c r="AH157" s="93">
        <f>IF('Net zero activities &amp; levers'!$C$6="Off",('Activity data'!BA5*EF!$H4)*kgtoGg,IF('Net zero activities &amp; levers'!$C$6="On",(('Net zero supporting data'!Y40*EF!$H4)+('Net zero supporting data'!Y38*'Net zero supporting data'!Y42))*kgtoGg,"ERROR"))</f>
        <v>86.31962290876946</v>
      </c>
      <c r="AI157" s="93">
        <f>IF('Net zero activities &amp; levers'!$C$6="Off",('Activity data'!BB5*EF!$H4)*kgtoGg,IF('Net zero activities &amp; levers'!$C$6="On",(('Net zero supporting data'!Z40*EF!$H4)+('Net zero supporting data'!Z38*'Net zero supporting data'!Z42))*kgtoGg,"ERROR"))</f>
        <v>87.545771501366829</v>
      </c>
      <c r="AJ157" s="93">
        <f>IF('Net zero activities &amp; levers'!$C$6="Off",('Activity data'!BC5*EF!$H4)*kgtoGg,IF('Net zero activities &amp; levers'!$C$6="On",(('Net zero supporting data'!AA40*EF!$H4)+('Net zero supporting data'!AA38*'Net zero supporting data'!AA42))*kgtoGg,"ERROR"))</f>
        <v>88.857081922014302</v>
      </c>
      <c r="AK157" s="93">
        <f>IF('Net zero activities &amp; levers'!$C$6="Off",('Activity data'!BD5*EF!$H4)*kgtoGg,IF('Net zero activities &amp; levers'!$C$6="On",(('Net zero supporting data'!AB40*EF!$H4)+('Net zero supporting data'!AB38*'Net zero supporting data'!AB42))*kgtoGg,"ERROR"))</f>
        <v>90.085621753712104</v>
      </c>
      <c r="AL157" s="93">
        <f>IF('Net zero activities &amp; levers'!$C$6="Off",('Activity data'!BE5*EF!$H4)*kgtoGg,IF('Net zero activities &amp; levers'!$C$6="On",(('Net zero supporting data'!AC40*EF!$H4)+('Net zero supporting data'!AC38*'Net zero supporting data'!AC42))*kgtoGg,"ERROR"))</f>
        <v>91.307494637553916</v>
      </c>
      <c r="AM157" s="93">
        <f>IF('Net zero activities &amp; levers'!$C$6="Off",('Activity data'!BF5*EF!$H4)*kgtoGg,IF('Net zero activities &amp; levers'!$C$6="On",(('Net zero supporting data'!AD40*EF!$H4)+('Net zero supporting data'!AD38*'Net zero supporting data'!AD42))*kgtoGg,"ERROR"))</f>
        <v>92.526099205531537</v>
      </c>
      <c r="AN157" s="93">
        <f>IF('Net zero activities &amp; levers'!$C$6="Off",('Activity data'!BG5*EF!$H4)*kgtoGg,IF('Net zero activities &amp; levers'!$C$6="On",(('Net zero supporting data'!AE40*EF!$H4)+('Net zero supporting data'!AE38*'Net zero supporting data'!AE42))*kgtoGg,"ERROR"))</f>
        <v>93.815346302798517</v>
      </c>
      <c r="AO157" s="93">
        <f>IF('Net zero activities &amp; levers'!$C$6="Off",('Activity data'!BH5*EF!$H4)*kgtoGg,IF('Net zero activities &amp; levers'!$C$6="On",(('Net zero supporting data'!AF40*EF!$H4)+('Net zero supporting data'!AF38*'Net zero supporting data'!AF42))*kgtoGg,"ERROR"))</f>
        <v>95.052737285389242</v>
      </c>
      <c r="AP157" s="93">
        <f>IF('Net zero activities &amp; levers'!$C$6="Off",('Activity data'!BI5*EF!$H4)*kgtoGg,IF('Net zero activities &amp; levers'!$C$6="On",(('Net zero supporting data'!AG40*EF!$H4)+('Net zero supporting data'!AG38*'Net zero supporting data'!AG42))*kgtoGg,"ERROR"))</f>
        <v>96.338177882566526</v>
      </c>
      <c r="AQ157" s="93">
        <f>IF('Net zero activities &amp; levers'!$C$6="Off",('Activity data'!BJ5*EF!$H4)*kgtoGg,IF('Net zero activities &amp; levers'!$C$6="On",(('Net zero supporting data'!AH40*EF!$H4)+('Net zero supporting data'!AH38*'Net zero supporting data'!AH42))*kgtoGg,"ERROR"))</f>
        <v>97.677530754509618</v>
      </c>
      <c r="AR157" s="93">
        <f>IF('Net zero activities &amp; levers'!$C$6="Off",('Activity data'!BK5*EF!$H4)*kgtoGg,IF('Net zero activities &amp; levers'!$C$6="On",(('Net zero supporting data'!AI40*EF!$H4)+('Net zero supporting data'!AI38*'Net zero supporting data'!AI42))*kgtoGg,"ERROR"))</f>
        <v>99.08022368038182</v>
      </c>
      <c r="AS157" s="93">
        <f>IF('Net zero activities &amp; levers'!$C$6="Off",('Activity data'!BL5*EF!$H4)*kgtoGg,IF('Net zero activities &amp; levers'!$C$6="On",(('Net zero supporting data'!AJ40*EF!$H4)+('Net zero supporting data'!AJ38*'Net zero supporting data'!AJ42))*kgtoGg,"ERROR"))</f>
        <v>100.50772839666152</v>
      </c>
      <c r="AT157" s="93">
        <f>IF('Net zero activities &amp; levers'!$C$6="Off",('Activity data'!BM5*EF!$H4)*kgtoGg,IF('Net zero activities &amp; levers'!$C$6="On",(('Net zero supporting data'!AK40*EF!$H4)+('Net zero supporting data'!AK38*'Net zero supporting data'!AK42))*kgtoGg,"ERROR"))</f>
        <v>100.84617835677685</v>
      </c>
      <c r="AU157" s="93">
        <f>IF('Net zero activities &amp; levers'!$C$6="Off",('Activity data'!BN5*EF!$H4)*kgtoGg,IF('Net zero activities &amp; levers'!$C$6="On",(('Net zero supporting data'!AL40*EF!$H4)+('Net zero supporting data'!AL38*'Net zero supporting data'!AL42))*kgtoGg,"ERROR"))</f>
        <v>101.08705215806816</v>
      </c>
      <c r="AV157" s="93">
        <f>IF('Net zero activities &amp; levers'!$C$6="Off",('Activity data'!BO5*EF!$H4)*kgtoGg,IF('Net zero activities &amp; levers'!$C$6="On",(('Net zero supporting data'!AM40*EF!$H4)+('Net zero supporting data'!AM38*'Net zero supporting data'!AM42))*kgtoGg,"ERROR"))</f>
        <v>101.18574255533849</v>
      </c>
      <c r="AW157" s="93">
        <f>IF('Net zero activities &amp; levers'!$C$6="Off",('Activity data'!BP5*EF!$H4)*kgtoGg,IF('Net zero activities &amp; levers'!$C$6="On",(('Net zero supporting data'!AN40*EF!$H4)+('Net zero supporting data'!AN38*'Net zero supporting data'!AN42))*kgtoGg,"ERROR"))</f>
        <v>101.24533448141288</v>
      </c>
      <c r="AY157" s="79"/>
    </row>
    <row r="158" spans="1:51" x14ac:dyDescent="0.3">
      <c r="A158" s="95" t="str">
        <f t="shared" si="0"/>
        <v>FA Cattle</v>
      </c>
      <c r="B158" s="95" t="s">
        <v>962</v>
      </c>
      <c r="C158" s="95" t="s">
        <v>1108</v>
      </c>
      <c r="D158" t="str">
        <f>D9</f>
        <v>3A Livestock</v>
      </c>
      <c r="E158" t="str">
        <f>E9</f>
        <v>3A1 Enteric fermentation (CH4)</v>
      </c>
      <c r="F158" t="s">
        <v>6</v>
      </c>
      <c r="G158" t="s">
        <v>137</v>
      </c>
      <c r="H158" t="s">
        <v>1020</v>
      </c>
      <c r="I158" t="str">
        <f t="shared" ref="I158:J158" si="32">I157</f>
        <v>CH4</v>
      </c>
      <c r="J158" t="str">
        <f t="shared" si="32"/>
        <v>Gg CH4</v>
      </c>
      <c r="K158" s="27">
        <f t="shared" ref="K158:Z161" si="33">K1380</f>
        <v>57.783598896292567</v>
      </c>
      <c r="L158" s="27">
        <f t="shared" si="33"/>
        <v>58.106638763645272</v>
      </c>
      <c r="M158" s="27">
        <f t="shared" si="33"/>
        <v>58.564977012483297</v>
      </c>
      <c r="N158" s="27">
        <f t="shared" si="33"/>
        <v>58.859508160444918</v>
      </c>
      <c r="O158" s="27">
        <f t="shared" si="33"/>
        <v>59.055225455337649</v>
      </c>
      <c r="P158" s="27">
        <f t="shared" si="33"/>
        <v>59.150202601958597</v>
      </c>
      <c r="Q158" s="27">
        <f t="shared" si="33"/>
        <v>59.360042465716688</v>
      </c>
      <c r="R158" s="27">
        <f t="shared" si="33"/>
        <v>59.600764035107602</v>
      </c>
      <c r="S158" s="27">
        <f t="shared" si="33"/>
        <v>57.809188933752196</v>
      </c>
      <c r="T158" s="27">
        <f t="shared" si="33"/>
        <v>58.417059433849957</v>
      </c>
      <c r="U158" s="27">
        <f t="shared" si="33"/>
        <v>59.306821001246142</v>
      </c>
      <c r="V158" s="27">
        <f t="shared" si="33"/>
        <v>59.768005825589199</v>
      </c>
      <c r="W158" s="27">
        <f t="shared" si="33"/>
        <v>60.295078688755297</v>
      </c>
      <c r="X158" s="27">
        <f t="shared" si="33"/>
        <v>60.905110305481806</v>
      </c>
      <c r="Y158" s="27">
        <f t="shared" si="33"/>
        <v>61.528067686853028</v>
      </c>
      <c r="Z158" s="27">
        <f t="shared" si="33"/>
        <v>62.217601167528549</v>
      </c>
      <c r="AA158" s="27">
        <f t="shared" ref="L158:AW161" si="34">AA1380</f>
        <v>62.928494510248186</v>
      </c>
      <c r="AB158" s="27">
        <f t="shared" si="34"/>
        <v>63.701561223236183</v>
      </c>
      <c r="AC158" s="27">
        <f t="shared" si="34"/>
        <v>64.492066875766909</v>
      </c>
      <c r="AD158" s="27">
        <f t="shared" si="34"/>
        <v>65.346073782936557</v>
      </c>
      <c r="AE158" s="27">
        <f t="shared" si="34"/>
        <v>66.18852225716013</v>
      </c>
      <c r="AF158" s="27">
        <f t="shared" si="34"/>
        <v>67.077720340393881</v>
      </c>
      <c r="AG158" s="27">
        <f t="shared" si="34"/>
        <v>68.083550368368549</v>
      </c>
      <c r="AH158" s="27">
        <f t="shared" si="34"/>
        <v>69.039863394417281</v>
      </c>
      <c r="AI158" s="27">
        <f t="shared" si="34"/>
        <v>70.020557337249372</v>
      </c>
      <c r="AJ158" s="27">
        <f t="shared" si="34"/>
        <v>71.069365119981001</v>
      </c>
      <c r="AK158" s="27">
        <f t="shared" si="34"/>
        <v>72.051971615431754</v>
      </c>
      <c r="AL158" s="27">
        <f t="shared" si="34"/>
        <v>73.029245775618222</v>
      </c>
      <c r="AM158" s="27">
        <f t="shared" si="34"/>
        <v>74.003905882670679</v>
      </c>
      <c r="AN158" s="27">
        <f t="shared" si="34"/>
        <v>75.035067054111778</v>
      </c>
      <c r="AO158" s="27">
        <f t="shared" si="34"/>
        <v>76.024752846574486</v>
      </c>
      <c r="AP158" s="27">
        <f t="shared" si="34"/>
        <v>77.05286951622854</v>
      </c>
      <c r="AQ158" s="27">
        <f t="shared" si="34"/>
        <v>78.12410611573965</v>
      </c>
      <c r="AR158" s="27">
        <f t="shared" si="34"/>
        <v>79.246003138956311</v>
      </c>
      <c r="AS158" s="27">
        <f t="shared" si="34"/>
        <v>80.387745042891623</v>
      </c>
      <c r="AT158" s="27">
        <f t="shared" si="34"/>
        <v>80.658442923915771</v>
      </c>
      <c r="AU158" s="27">
        <f t="shared" si="34"/>
        <v>80.851097777772381</v>
      </c>
      <c r="AV158" s="27">
        <f t="shared" si="34"/>
        <v>80.930031991295138</v>
      </c>
      <c r="AW158" s="27">
        <f t="shared" si="34"/>
        <v>80.977694600293489</v>
      </c>
      <c r="AY158" s="79"/>
    </row>
    <row r="159" spans="1:51" x14ac:dyDescent="0.3">
      <c r="A159" s="95" t="str">
        <f t="shared" si="0"/>
        <v>FA Cattle</v>
      </c>
      <c r="B159" s="95" t="s">
        <v>962</v>
      </c>
      <c r="C159" s="95" t="s">
        <v>1108</v>
      </c>
      <c r="D159" t="str">
        <f t="shared" ref="D159:E159" si="35">D157</f>
        <v>3A Livestock</v>
      </c>
      <c r="E159" t="str">
        <f t="shared" si="35"/>
        <v>3A1 Enteric fermentation (CH4)</v>
      </c>
      <c r="F159" t="s">
        <v>67</v>
      </c>
      <c r="G159" t="s">
        <v>307</v>
      </c>
      <c r="H159" t="s">
        <v>1020</v>
      </c>
      <c r="I159" t="str">
        <f t="shared" ref="I159:J160" si="36">I158</f>
        <v>CH4</v>
      </c>
      <c r="J159" t="str">
        <f t="shared" si="36"/>
        <v>Gg CH4</v>
      </c>
      <c r="K159" s="27">
        <f t="shared" si="33"/>
        <v>26.126191807126649</v>
      </c>
      <c r="L159" s="27">
        <f t="shared" si="34"/>
        <v>26.272250579806297</v>
      </c>
      <c r="M159" s="27">
        <f t="shared" si="34"/>
        <v>26.479482964607669</v>
      </c>
      <c r="N159" s="27">
        <f t="shared" si="34"/>
        <v>26.61265184663991</v>
      </c>
      <c r="O159" s="27">
        <f t="shared" si="34"/>
        <v>26.701143177813595</v>
      </c>
      <c r="P159" s="27">
        <f t="shared" si="34"/>
        <v>26.744086005835889</v>
      </c>
      <c r="Q159" s="27">
        <f t="shared" si="34"/>
        <v>26.838962694620271</v>
      </c>
      <c r="R159" s="27">
        <f t="shared" si="34"/>
        <v>26.947802192577246</v>
      </c>
      <c r="S159" s="27">
        <f t="shared" si="34"/>
        <v>26.137762049198656</v>
      </c>
      <c r="T159" s="27">
        <f t="shared" si="34"/>
        <v>26.412603727162519</v>
      </c>
      <c r="U159" s="27">
        <f t="shared" si="34"/>
        <v>26.814899219593229</v>
      </c>
      <c r="V159" s="27">
        <f t="shared" si="34"/>
        <v>27.023418650875932</v>
      </c>
      <c r="W159" s="27">
        <f t="shared" si="34"/>
        <v>27.261728603568962</v>
      </c>
      <c r="X159" s="27">
        <f t="shared" si="34"/>
        <v>27.53754740564138</v>
      </c>
      <c r="Y159" s="27">
        <f t="shared" si="34"/>
        <v>27.819210444016349</v>
      </c>
      <c r="Z159" s="27">
        <f t="shared" si="34"/>
        <v>28.13097510246029</v>
      </c>
      <c r="AA159" s="27">
        <f t="shared" si="34"/>
        <v>28.452397377657032</v>
      </c>
      <c r="AB159" s="27">
        <f t="shared" si="34"/>
        <v>28.801930629462248</v>
      </c>
      <c r="AC159" s="27">
        <f t="shared" si="34"/>
        <v>29.159348697860899</v>
      </c>
      <c r="AD159" s="27">
        <f t="shared" si="34"/>
        <v>29.545478130563247</v>
      </c>
      <c r="AE159" s="27">
        <f t="shared" si="34"/>
        <v>29.92638155031543</v>
      </c>
      <c r="AF159" s="27">
        <f t="shared" si="34"/>
        <v>30.328422269841898</v>
      </c>
      <c r="AG159" s="27">
        <f t="shared" si="34"/>
        <v>30.783196786108999</v>
      </c>
      <c r="AH159" s="27">
        <f t="shared" si="34"/>
        <v>31.215582757620478</v>
      </c>
      <c r="AI159" s="27">
        <f t="shared" si="34"/>
        <v>31.658992281151598</v>
      </c>
      <c r="AJ159" s="27">
        <f t="shared" si="34"/>
        <v>32.133198696533107</v>
      </c>
      <c r="AK159" s="27">
        <f t="shared" si="34"/>
        <v>32.57747295880516</v>
      </c>
      <c r="AL159" s="27">
        <f t="shared" si="34"/>
        <v>33.019336266817611</v>
      </c>
      <c r="AM159" s="27">
        <f t="shared" si="34"/>
        <v>33.460017660673138</v>
      </c>
      <c r="AN159" s="27">
        <f t="shared" si="34"/>
        <v>33.926245363061206</v>
      </c>
      <c r="AO159" s="27">
        <f t="shared" si="34"/>
        <v>34.37372044831983</v>
      </c>
      <c r="AP159" s="27">
        <f t="shared" si="34"/>
        <v>34.838571614127183</v>
      </c>
      <c r="AQ159" s="27">
        <f t="shared" si="34"/>
        <v>35.322918961890544</v>
      </c>
      <c r="AR159" s="27">
        <f t="shared" si="34"/>
        <v>35.830171839458941</v>
      </c>
      <c r="AS159" s="27">
        <f t="shared" si="34"/>
        <v>36.346397352341668</v>
      </c>
      <c r="AT159" s="27">
        <f t="shared" si="34"/>
        <v>36.468790295953795</v>
      </c>
      <c r="AU159" s="27">
        <f t="shared" si="34"/>
        <v>36.555896979520966</v>
      </c>
      <c r="AV159" s="27">
        <f t="shared" si="34"/>
        <v>36.591586179259828</v>
      </c>
      <c r="AW159" s="27">
        <f t="shared" si="34"/>
        <v>36.613136281512098</v>
      </c>
      <c r="AY159" s="79"/>
    </row>
    <row r="160" spans="1:51" x14ac:dyDescent="0.3">
      <c r="A160" s="95" t="str">
        <f t="shared" si="0"/>
        <v>FA Cattle</v>
      </c>
      <c r="B160" s="95" t="s">
        <v>962</v>
      </c>
      <c r="C160" s="95" t="s">
        <v>1108</v>
      </c>
      <c r="D160" t="str">
        <f t="shared" ref="D160:E160" si="37">D158</f>
        <v>3A Livestock</v>
      </c>
      <c r="E160" t="str">
        <f t="shared" si="37"/>
        <v>3A1 Enteric fermentation (CH4)</v>
      </c>
      <c r="F160" t="s">
        <v>67</v>
      </c>
      <c r="G160" t="s">
        <v>122</v>
      </c>
      <c r="H160" t="s">
        <v>1020</v>
      </c>
      <c r="I160" t="str">
        <f t="shared" si="36"/>
        <v>CH4</v>
      </c>
      <c r="J160" t="str">
        <f t="shared" si="36"/>
        <v>Gg CH4</v>
      </c>
      <c r="K160" s="27">
        <f t="shared" si="33"/>
        <v>463.23498593143194</v>
      </c>
      <c r="L160" s="27">
        <f t="shared" si="34"/>
        <v>459.2174968362159</v>
      </c>
      <c r="M160" s="27">
        <f t="shared" si="34"/>
        <v>457.68816035731248</v>
      </c>
      <c r="N160" s="27">
        <f t="shared" si="34"/>
        <v>451.57633407663525</v>
      </c>
      <c r="O160" s="27">
        <f t="shared" si="34"/>
        <v>442.70486896910717</v>
      </c>
      <c r="P160" s="27">
        <f t="shared" si="34"/>
        <v>431.25721304480408</v>
      </c>
      <c r="Q160" s="27">
        <f t="shared" si="34"/>
        <v>422.22811200839215</v>
      </c>
      <c r="R160" s="27">
        <f t="shared" si="34"/>
        <v>413.68555596285586</v>
      </c>
      <c r="S160" s="27">
        <f t="shared" si="34"/>
        <v>363.92269119895411</v>
      </c>
      <c r="T160" s="27">
        <f t="shared" si="34"/>
        <v>369.83389237357579</v>
      </c>
      <c r="U160" s="27">
        <f t="shared" si="34"/>
        <v>380.86142464434585</v>
      </c>
      <c r="V160" s="27">
        <f t="shared" si="34"/>
        <v>383.06375021143805</v>
      </c>
      <c r="W160" s="27">
        <f t="shared" si="34"/>
        <v>386.24013707294779</v>
      </c>
      <c r="X160" s="27">
        <f t="shared" si="34"/>
        <v>390.6712668095617</v>
      </c>
      <c r="Y160" s="27">
        <f t="shared" si="34"/>
        <v>395.75397479595648</v>
      </c>
      <c r="Z160" s="27">
        <f t="shared" si="34"/>
        <v>401.71318303321101</v>
      </c>
      <c r="AA160" s="27">
        <f t="shared" si="34"/>
        <v>407.69987647206653</v>
      </c>
      <c r="AB160" s="27">
        <f t="shared" si="34"/>
        <v>414.43305929383774</v>
      </c>
      <c r="AC160" s="27">
        <f t="shared" si="34"/>
        <v>421.09942264585908</v>
      </c>
      <c r="AD160" s="27">
        <f t="shared" si="34"/>
        <v>425.44191060723506</v>
      </c>
      <c r="AE160" s="27">
        <f t="shared" si="34"/>
        <v>429.00739584475377</v>
      </c>
      <c r="AF160" s="27">
        <f t="shared" si="34"/>
        <v>432.77412897631666</v>
      </c>
      <c r="AG160" s="27">
        <f t="shared" si="34"/>
        <v>437.81397558556199</v>
      </c>
      <c r="AH160" s="27">
        <f t="shared" si="34"/>
        <v>441.43846379327863</v>
      </c>
      <c r="AI160" s="27">
        <f t="shared" si="34"/>
        <v>445.30127510523226</v>
      </c>
      <c r="AJ160" s="27">
        <f t="shared" si="34"/>
        <v>449.5534309991009</v>
      </c>
      <c r="AK160" s="27">
        <f t="shared" si="34"/>
        <v>452.20309019469192</v>
      </c>
      <c r="AL160" s="27">
        <f t="shared" si="34"/>
        <v>454.19091289569144</v>
      </c>
      <c r="AM160" s="27">
        <f t="shared" si="34"/>
        <v>455.5735708938164</v>
      </c>
      <c r="AN160" s="27">
        <f t="shared" si="34"/>
        <v>459.87188917365768</v>
      </c>
      <c r="AO160" s="27">
        <f t="shared" si="34"/>
        <v>463.13915520973467</v>
      </c>
      <c r="AP160" s="27">
        <f t="shared" si="34"/>
        <v>466.44766361257473</v>
      </c>
      <c r="AQ160" s="27">
        <f t="shared" si="34"/>
        <v>469.83526222266636</v>
      </c>
      <c r="AR160" s="27">
        <f t="shared" si="34"/>
        <v>473.37026305322627</v>
      </c>
      <c r="AS160" s="27">
        <f t="shared" si="34"/>
        <v>476.99976993126808</v>
      </c>
      <c r="AT160" s="27">
        <f t="shared" si="34"/>
        <v>469.84014483659178</v>
      </c>
      <c r="AU160" s="27">
        <f t="shared" si="34"/>
        <v>461.72949370511395</v>
      </c>
      <c r="AV160" s="27">
        <f t="shared" si="34"/>
        <v>452.32664742475527</v>
      </c>
      <c r="AW160" s="27">
        <f t="shared" si="34"/>
        <v>442.62912277964222</v>
      </c>
      <c r="AY160" s="79"/>
    </row>
    <row r="161" spans="1:51" x14ac:dyDescent="0.3">
      <c r="A161" s="95" t="str">
        <f t="shared" si="0"/>
        <v>FA Cattle</v>
      </c>
      <c r="B161" s="95" t="s">
        <v>962</v>
      </c>
      <c r="C161" s="95" t="s">
        <v>1108</v>
      </c>
      <c r="D161" t="str">
        <f t="shared" ref="D161:E161" si="38">D159</f>
        <v>3A Livestock</v>
      </c>
      <c r="E161" t="str">
        <f t="shared" si="38"/>
        <v>3A1 Enteric fermentation (CH4)</v>
      </c>
      <c r="F161" t="s">
        <v>67</v>
      </c>
      <c r="G161" t="s">
        <v>123</v>
      </c>
      <c r="H161" t="s">
        <v>1020</v>
      </c>
      <c r="I161" t="str">
        <f t="shared" ref="I161:J161" si="39">I160</f>
        <v>CH4</v>
      </c>
      <c r="J161" t="str">
        <f t="shared" si="39"/>
        <v>Gg CH4</v>
      </c>
      <c r="K161" s="27">
        <f t="shared" si="33"/>
        <v>326.20040935577742</v>
      </c>
      <c r="L161" s="27">
        <f t="shared" si="34"/>
        <v>323.37137738012308</v>
      </c>
      <c r="M161" s="27">
        <f t="shared" si="34"/>
        <v>322.29445054900748</v>
      </c>
      <c r="N161" s="27">
        <f t="shared" si="34"/>
        <v>317.99063003627219</v>
      </c>
      <c r="O161" s="27">
        <f t="shared" si="34"/>
        <v>311.74352945546792</v>
      </c>
      <c r="P161" s="27">
        <f t="shared" si="34"/>
        <v>303.68232906672063</v>
      </c>
      <c r="Q161" s="27">
        <f t="shared" si="34"/>
        <v>297.32422455466599</v>
      </c>
      <c r="R161" s="27">
        <f t="shared" si="34"/>
        <v>291.30873487096773</v>
      </c>
      <c r="S161" s="27">
        <f t="shared" si="34"/>
        <v>256.26676405768438</v>
      </c>
      <c r="T161" s="27">
        <f t="shared" si="34"/>
        <v>260.42930855779127</v>
      </c>
      <c r="U161" s="27">
        <f t="shared" si="34"/>
        <v>268.19466663772192</v>
      </c>
      <c r="V161" s="27">
        <f t="shared" si="34"/>
        <v>269.7454983394245</v>
      </c>
      <c r="W161" s="27">
        <f t="shared" si="34"/>
        <v>271.98224367594827</v>
      </c>
      <c r="X161" s="27">
        <f t="shared" si="34"/>
        <v>275.10255275857435</v>
      </c>
      <c r="Y161" s="27">
        <f t="shared" si="34"/>
        <v>278.68168964622578</v>
      </c>
      <c r="Z161" s="27">
        <f t="shared" si="34"/>
        <v>282.87803971792886</v>
      </c>
      <c r="AA161" s="27">
        <f t="shared" si="34"/>
        <v>287.09374429498189</v>
      </c>
      <c r="AB161" s="27">
        <f t="shared" si="34"/>
        <v>291.83511111621357</v>
      </c>
      <c r="AC161" s="27">
        <f t="shared" si="34"/>
        <v>296.52942506137316</v>
      </c>
      <c r="AD161" s="27">
        <f t="shared" si="34"/>
        <v>299.58731445583493</v>
      </c>
      <c r="AE161" s="27">
        <f t="shared" si="34"/>
        <v>302.09805474824185</v>
      </c>
      <c r="AF161" s="27">
        <f t="shared" si="34"/>
        <v>304.75050960758114</v>
      </c>
      <c r="AG161" s="27">
        <f t="shared" si="34"/>
        <v>308.29946440796289</v>
      </c>
      <c r="AH161" s="27">
        <f t="shared" si="34"/>
        <v>310.85175336058825</v>
      </c>
      <c r="AI161" s="27">
        <f t="shared" si="34"/>
        <v>313.57186446940221</v>
      </c>
      <c r="AJ161" s="27">
        <f t="shared" si="34"/>
        <v>316.5661439071601</v>
      </c>
      <c r="AK161" s="27">
        <f t="shared" si="34"/>
        <v>318.43197861417656</v>
      </c>
      <c r="AL161" s="27">
        <f t="shared" si="34"/>
        <v>319.83176187426193</v>
      </c>
      <c r="AM161" s="27">
        <f t="shared" si="34"/>
        <v>320.80540078040053</v>
      </c>
      <c r="AN161" s="27">
        <f t="shared" si="34"/>
        <v>323.83218680694904</v>
      </c>
      <c r="AO161" s="27">
        <f t="shared" si="34"/>
        <v>326.13292736155017</v>
      </c>
      <c r="AP161" s="27">
        <f t="shared" si="34"/>
        <v>328.46270993009568</v>
      </c>
      <c r="AQ161" s="27">
        <f t="shared" si="34"/>
        <v>330.84818617197112</v>
      </c>
      <c r="AR161" s="27">
        <f t="shared" si="34"/>
        <v>333.33745998120867</v>
      </c>
      <c r="AS161" s="27">
        <f t="shared" si="34"/>
        <v>335.89328297673717</v>
      </c>
      <c r="AT161" s="27">
        <f t="shared" si="34"/>
        <v>330.85162440679704</v>
      </c>
      <c r="AU161" s="27">
        <f t="shared" si="34"/>
        <v>325.14027314970184</v>
      </c>
      <c r="AV161" s="27">
        <f t="shared" si="34"/>
        <v>318.5189850369415</v>
      </c>
      <c r="AW161" s="27">
        <f t="shared" si="34"/>
        <v>311.6901905696734</v>
      </c>
      <c r="AY161" s="79"/>
    </row>
    <row r="162" spans="1:51" x14ac:dyDescent="0.3">
      <c r="A162" s="95" t="str">
        <f t="shared" si="0"/>
        <v>FA Cattle</v>
      </c>
      <c r="B162" s="95" t="s">
        <v>962</v>
      </c>
      <c r="C162" s="95" t="s">
        <v>1108</v>
      </c>
      <c r="D162" t="str">
        <f t="shared" ref="D162:E162" si="40">D160</f>
        <v>3A Livestock</v>
      </c>
      <c r="E162" t="str">
        <f t="shared" si="40"/>
        <v>3A1 Enteric fermentation (CH4)</v>
      </c>
      <c r="F162" t="s">
        <v>67</v>
      </c>
      <c r="G162" t="s">
        <v>135</v>
      </c>
      <c r="H162" t="s">
        <v>1020</v>
      </c>
      <c r="I162" t="str">
        <f>I159</f>
        <v>CH4</v>
      </c>
      <c r="J162" t="str">
        <f>J159</f>
        <v>Gg CH4</v>
      </c>
      <c r="K162" s="93">
        <f>IF('Net zero activities &amp; levers'!$C$6="Off",('Activity data'!AD10*EF!$H9)*kgtoGg,IF('Net zero activities &amp; levers'!$C$6="On",(('Net zero supporting data'!B41*EF!$H9)+('Net zero supporting data'!B39*'Net zero supporting data'!B43))*kgtoGg,"ERROR"))</f>
        <v>31.891995988947272</v>
      </c>
      <c r="L162" s="93">
        <f>IF('Net zero activities &amp; levers'!$C$6="Off",('Activity data'!AE10*EF!$H9)*kgtoGg,IF('Net zero activities &amp; levers'!$C$6="On",(('Net zero supporting data'!C41*EF!$H9)+('Net zero supporting data'!C39*'Net zero supporting data'!C43))*kgtoGg,"ERROR"))</f>
        <v>32.967337371253535</v>
      </c>
      <c r="M162" s="93">
        <f>IF('Net zero activities &amp; levers'!$C$6="Off",('Activity data'!AF10*EF!$H9)*kgtoGg,IF('Net zero activities &amp; levers'!$C$6="On",(('Net zero supporting data'!D41*EF!$H9)+('Net zero supporting data'!D39*'Net zero supporting data'!D43))*kgtoGg,"ERROR"))</f>
        <v>34.243655078433662</v>
      </c>
      <c r="N162" s="93">
        <f>IF('Net zero activities &amp; levers'!$C$6="Off",('Activity data'!AG10*EF!$H9)*kgtoGg,IF('Net zero activities &amp; levers'!$C$6="On",(('Net zero supporting data'!E41*EF!$H9)+('Net zero supporting data'!E39*'Net zero supporting data'!E43))*kgtoGg,"ERROR"))</f>
        <v>35.19550479761466</v>
      </c>
      <c r="O162" s="93">
        <f>IF('Net zero activities &amp; levers'!$C$6="Off",('Activity data'!AH10*EF!$H9)*kgtoGg,IF('Net zero activities &amp; levers'!$C$6="On",(('Net zero supporting data'!F41*EF!$H9)+('Net zero supporting data'!F39*'Net zero supporting data'!F43))*kgtoGg,"ERROR"))</f>
        <v>35.929559405213332</v>
      </c>
      <c r="P162" s="93">
        <f>IF('Net zero activities &amp; levers'!$C$6="Off",('Activity data'!AI10*EF!$H9)*kgtoGg,IF('Net zero activities &amp; levers'!$C$6="On",(('Net zero supporting data'!G41*EF!$H9)+('Net zero supporting data'!G39*'Net zero supporting data'!G43))*kgtoGg,"ERROR"))</f>
        <v>36.435327957872907</v>
      </c>
      <c r="Q162" s="93">
        <f>IF('Net zero activities &amp; levers'!$C$6="Off",('Activity data'!AJ10*EF!$H9)*kgtoGg,IF('Net zero activities &amp; levers'!$C$6="On",(('Net zero supporting data'!H41*EF!$H9)+('Net zero supporting data'!H39*'Net zero supporting data'!H43))*kgtoGg,"ERROR"))</f>
        <v>37.125912791560339</v>
      </c>
      <c r="R162" s="93">
        <f>IF('Net zero activities &amp; levers'!$C$6="Off",('Activity data'!AK10*EF!$H9)*kgtoGg,IF('Net zero activities &amp; levers'!$C$6="On",(('Net zero supporting data'!I41*EF!$H9)+('Net zero supporting data'!I39*'Net zero supporting data'!I43))*kgtoGg,"ERROR"))</f>
        <v>37.849847328761314</v>
      </c>
      <c r="S162" s="93">
        <f>IF('Net zero activities &amp; levers'!$C$6="Off",('Activity data'!AL10*EF!$H9)*kgtoGg,IF('Net zero activities &amp; levers'!$C$6="On",(('Net zero supporting data'!J41*EF!$H9)+('Net zero supporting data'!J39*'Net zero supporting data'!J43))*kgtoGg,"ERROR"))</f>
        <v>34.642542509776739</v>
      </c>
      <c r="T162" s="93">
        <f>IF('Net zero activities &amp; levers'!$C$6="Off",('Activity data'!AM10*EF!$H9)*kgtoGg,IF('Net zero activities &amp; levers'!$C$6="On",(('Net zero supporting data'!K41*EF!$H9)+('Net zero supporting data'!K39*'Net zero supporting data'!K43))*kgtoGg,"ERROR"))</f>
        <v>36.053430902114805</v>
      </c>
      <c r="U162" s="93">
        <f>IF('Net zero activities &amp; levers'!$C$6="Off",('Activity data'!AN10*EF!$H9)*kgtoGg,IF('Net zero activities &amp; levers'!$C$6="On",(('Net zero supporting data'!L41*EF!$H9)+('Net zero supporting data'!L39*'Net zero supporting data'!L43))*kgtoGg,"ERROR"))</f>
        <v>38.010696022356719</v>
      </c>
      <c r="V162" s="93">
        <f>IF('Net zero activities &amp; levers'!$C$6="Off",('Activity data'!AO10*EF!$H9)*kgtoGg,IF('Net zero activities &amp; levers'!$C$6="On",(('Net zero supporting data'!M41*EF!$H9)+('Net zero supporting data'!M39*'Net zero supporting data'!M43))*kgtoGg,"ERROR"))</f>
        <v>39.127373882680487</v>
      </c>
      <c r="W162" s="93">
        <f>IF('Net zero activities &amp; levers'!$C$6="Off",('Activity data'!AP10*EF!$H9)*kgtoGg,IF('Net zero activities &amp; levers'!$C$6="On",(('Net zero supporting data'!N41*EF!$H9)+('Net zero supporting data'!N39*'Net zero supporting data'!N43))*kgtoGg,"ERROR"))</f>
        <v>40.366459949035139</v>
      </c>
      <c r="X162" s="93">
        <f>IF('Net zero activities &amp; levers'!$C$6="Off",('Activity data'!AQ10*EF!$H9)*kgtoGg,IF('Net zero activities &amp; levers'!$C$6="On",(('Net zero supporting data'!O41*EF!$H9)+('Net zero supporting data'!O39*'Net zero supporting data'!O43))*kgtoGg,"ERROR"))</f>
        <v>41.765821576969046</v>
      </c>
      <c r="Y162" s="93">
        <f>IF('Net zero activities &amp; levers'!$C$6="Off",('Activity data'!AR10*EF!$H9)*kgtoGg,IF('Net zero activities &amp; levers'!$C$6="On",(('Net zero supporting data'!P41*EF!$H9)+('Net zero supporting data'!P39*'Net zero supporting data'!P43))*kgtoGg,"ERROR"))</f>
        <v>43.269588309323517</v>
      </c>
      <c r="Z162" s="93">
        <f>IF('Net zero activities &amp; levers'!$C$6="Off",('Activity data'!AS10*EF!$H9)*kgtoGg,IF('Net zero activities &amp; levers'!$C$6="On",(('Net zero supporting data'!Q41*EF!$H9)+('Net zero supporting data'!Q39*'Net zero supporting data'!Q43))*kgtoGg,"ERROR"))</f>
        <v>44.908778901884347</v>
      </c>
      <c r="AA162" s="93">
        <f>IF('Net zero activities &amp; levers'!$C$6="Off",('Activity data'!AT10*EF!$H9)*kgtoGg,IF('Net zero activities &amp; levers'!$C$6="On",(('Net zero supporting data'!R41*EF!$H9)+('Net zero supporting data'!R39*'Net zero supporting data'!R43))*kgtoGg,"ERROR"))</f>
        <v>46.594068388350003</v>
      </c>
      <c r="AB162" s="93">
        <f>IF('Net zero activities &amp; levers'!$C$6="Off",('Activity data'!AU10*EF!$H9)*kgtoGg,IF('Net zero activities &amp; levers'!$C$6="On",(('Net zero supporting data'!S41*EF!$H9)+('Net zero supporting data'!S39*'Net zero supporting data'!S43))*kgtoGg,"ERROR"))</f>
        <v>48.410923677012072</v>
      </c>
      <c r="AC162" s="93">
        <f>IF('Net zero activities &amp; levers'!$C$6="Off",('Activity data'!AV10*EF!$H9)*kgtoGg,IF('Net zero activities &amp; levers'!$C$6="On",(('Net zero supporting data'!T41*EF!$H9)+('Net zero supporting data'!T39*'Net zero supporting data'!T43))*kgtoGg,"ERROR"))</f>
        <v>50.269303700477998</v>
      </c>
      <c r="AD162" s="93">
        <f>IF('Net zero activities &amp; levers'!$C$6="Off",('Activity data'!AW10*EF!$H9)*kgtoGg,IF('Net zero activities &amp; levers'!$C$6="On",(('Net zero supporting data'!U41*EF!$H9)+('Net zero supporting data'!U39*'Net zero supporting data'!U43))*kgtoGg,"ERROR"))</f>
        <v>52.471951507677524</v>
      </c>
      <c r="AE162" s="93">
        <f>IF('Net zero activities &amp; levers'!$C$6="Off",('Activity data'!AX10*EF!$H9)*kgtoGg,IF('Net zero activities &amp; levers'!$C$6="On",(('Net zero supporting data'!V41*EF!$H9)+('Net zero supporting data'!V39*'Net zero supporting data'!V43))*kgtoGg,"ERROR"))</f>
        <v>54.669760459111487</v>
      </c>
      <c r="AF162" s="93">
        <f>IF('Net zero activities &amp; levers'!$C$6="Off",('Activity data'!AY10*EF!$H9)*kgtoGg,IF('Net zero activities &amp; levers'!$C$6="On",(('Net zero supporting data'!W41*EF!$H9)+('Net zero supporting data'!W39*'Net zero supporting data'!W43))*kgtoGg,"ERROR"))</f>
        <v>56.986868883720433</v>
      </c>
      <c r="AG162" s="93">
        <f>IF('Net zero activities &amp; levers'!$C$6="Off",('Activity data'!AZ10*EF!$H9)*kgtoGg,IF('Net zero activities &amp; levers'!$C$6="On",(('Net zero supporting data'!X41*EF!$H9)+('Net zero supporting data'!X39*'Net zero supporting data'!X43))*kgtoGg,"ERROR"))</f>
        <v>59.577013910557568</v>
      </c>
      <c r="AH162" s="93">
        <f>IF('Net zero activities &amp; levers'!$C$6="Off",('Activity data'!BA10*EF!$H9)*kgtoGg,IF('Net zero activities &amp; levers'!$C$6="On",(('Net zero supporting data'!Y41*EF!$H9)+('Net zero supporting data'!Y39*'Net zero supporting data'!Y43))*kgtoGg,"ERROR"))</f>
        <v>62.085208612074666</v>
      </c>
      <c r="AI162" s="93">
        <f>IF('Net zero activities &amp; levers'!$C$6="Off",('Activity data'!BB10*EF!$H9)*kgtoGg,IF('Net zero activities &amp; levers'!$C$6="On",(('Net zero supporting data'!Z41*EF!$H9)+('Net zero supporting data'!Z39*'Net zero supporting data'!Z43))*kgtoGg,"ERROR"))</f>
        <v>64.738520962902328</v>
      </c>
      <c r="AJ162" s="93">
        <f>IF('Net zero activities &amp; levers'!$C$6="Off",('Activity data'!BC10*EF!$H9)*kgtoGg,IF('Net zero activities &amp; levers'!$C$6="On",(('Net zero supporting data'!AA41*EF!$H9)+('Net zero supporting data'!AA39*'Net zero supporting data'!AA43))*kgtoGg,"ERROR"))</f>
        <v>67.569668411383148</v>
      </c>
      <c r="AK162" s="93">
        <f>IF('Net zero activities &amp; levers'!$C$6="Off",('Activity data'!BD10*EF!$H9)*kgtoGg,IF('Net zero activities &amp; levers'!$C$6="On",(('Net zero supporting data'!AB41*EF!$H9)+('Net zero supporting data'!AB39*'Net zero supporting data'!AB43))*kgtoGg,"ERROR"))</f>
        <v>70.282185941463524</v>
      </c>
      <c r="AL162" s="93">
        <f>IF('Net zero activities &amp; levers'!$C$6="Off",('Activity data'!BE10*EF!$H9)*kgtoGg,IF('Net zero activities &amp; levers'!$C$6="On",(('Net zero supporting data'!AC41*EF!$H9)+('Net zero supporting data'!AC39*'Net zero supporting data'!AC43))*kgtoGg,"ERROR"))</f>
        <v>73.009611809365794</v>
      </c>
      <c r="AM162" s="93">
        <f>IF('Net zero activities &amp; levers'!$C$6="Off",('Activity data'!BF10*EF!$H9)*kgtoGg,IF('Net zero activities &amp; levers'!$C$6="On",(('Net zero supporting data'!AD41*EF!$H9)+('Net zero supporting data'!AD39*'Net zero supporting data'!AD43))*kgtoGg,"ERROR"))</f>
        <v>75.757864250149765</v>
      </c>
      <c r="AN162" s="93">
        <f>IF('Net zero activities &amp; levers'!$C$6="Off",('Activity data'!BG10*EF!$H9)*kgtoGg,IF('Net zero activities &amp; levers'!$C$6="On",(('Net zero supporting data'!AE41*EF!$H9)+('Net zero supporting data'!AE39*'Net zero supporting data'!AE43))*kgtoGg,"ERROR"))</f>
        <v>78.63033008147255</v>
      </c>
      <c r="AO162" s="93">
        <f>IF('Net zero activities &amp; levers'!$C$6="Off",('Activity data'!BH10*EF!$H9)*kgtoGg,IF('Net zero activities &amp; levers'!$C$6="On",(('Net zero supporting data'!AF41*EF!$H9)+('Net zero supporting data'!AF39*'Net zero supporting data'!AF43))*kgtoGg,"ERROR"))</f>
        <v>81.431036976471376</v>
      </c>
      <c r="AP162" s="93">
        <f>IF('Net zero activities &amp; levers'!$C$6="Off",('Activity data'!BI10*EF!$H9)*kgtoGg,IF('Net zero activities &amp; levers'!$C$6="On",(('Net zero supporting data'!AG41*EF!$H9)+('Net zero supporting data'!AG39*'Net zero supporting data'!AG43))*kgtoGg,"ERROR"))</f>
        <v>84.343805269420216</v>
      </c>
      <c r="AQ162" s="93">
        <f>IF('Net zero activities &amp; levers'!$C$6="Off",('Activity data'!BJ10*EF!$H9)*kgtoGg,IF('Net zero activities &amp; levers'!$C$6="On",(('Net zero supporting data'!AH41*EF!$H9)+('Net zero supporting data'!AH39*'Net zero supporting data'!AH43))*kgtoGg,"ERROR"))</f>
        <v>87.381529968917789</v>
      </c>
      <c r="AR162" s="93">
        <f>IF('Net zero activities &amp; levers'!$C$6="Off",('Activity data'!BK10*EF!$H9)*kgtoGg,IF('Net zero activities &amp; levers'!$C$6="On",(('Net zero supporting data'!AI41*EF!$H9)+('Net zero supporting data'!AI39*'Net zero supporting data'!AI43))*kgtoGg,"ERROR"))</f>
        <v>90.56411958911923</v>
      </c>
      <c r="AS162" s="93">
        <f>IF('Net zero activities &amp; levers'!$C$6="Off",('Activity data'!BL10*EF!$H9)*kgtoGg,IF('Net zero activities &amp; levers'!$C$6="On",(('Net zero supporting data'!AJ41*EF!$H9)+('Net zero supporting data'!AJ39*'Net zero supporting data'!AJ43))*kgtoGg,"ERROR"))</f>
        <v>93.889582462340528</v>
      </c>
      <c r="AT162" s="93">
        <f>IF('Net zero activities &amp; levers'!$C$6="Off",('Activity data'!BM10*EF!$H9)*kgtoGg,IF('Net zero activities &amp; levers'!$C$6="On",(('Net zero supporting data'!AK41*EF!$H9)+('Net zero supporting data'!AK39*'Net zero supporting data'!AK43))*kgtoGg,"ERROR"))</f>
        <v>95.161623451693828</v>
      </c>
      <c r="AU162" s="93">
        <f>IF('Net zero activities &amp; levers'!$C$6="Off",('Activity data'!BN10*EF!$H9)*kgtoGg,IF('Net zero activities &amp; levers'!$C$6="On",(('Net zero supporting data'!AL41*EF!$H9)+('Net zero supporting data'!AL39*'Net zero supporting data'!AL43))*kgtoGg,"ERROR"))</f>
        <v>96.246716097882043</v>
      </c>
      <c r="AV162" s="93">
        <f>IF('Net zero activities &amp; levers'!$C$6="Off",('Activity data'!BO10*EF!$H9)*kgtoGg,IF('Net zero activities &amp; levers'!$C$6="On",(('Net zero supporting data'!AM41*EF!$H9)+('Net zero supporting data'!AM39*'Net zero supporting data'!AM43))*kgtoGg,"ERROR"))</f>
        <v>97.054781525387583</v>
      </c>
      <c r="AW162" s="93">
        <f>IF('Net zero activities &amp; levers'!$C$6="Off",('Activity data'!BP10*EF!$H9)*kgtoGg,IF('Net zero activities &amp; levers'!$C$6="On",(('Net zero supporting data'!AN41*EF!$H9)+('Net zero supporting data'!AN39*'Net zero supporting data'!AN43))*kgtoGg,"ERROR"))</f>
        <v>97.781567637634097</v>
      </c>
      <c r="AY162" s="79"/>
    </row>
    <row r="163" spans="1:51" x14ac:dyDescent="0.3">
      <c r="A163" s="95" t="str">
        <f t="shared" si="0"/>
        <v>FA Sheep</v>
      </c>
      <c r="B163" s="95" t="s">
        <v>962</v>
      </c>
      <c r="C163" s="95" t="s">
        <v>152</v>
      </c>
      <c r="D163" t="str">
        <f t="shared" ref="D163:E163" si="41">D162</f>
        <v>3A Livestock</v>
      </c>
      <c r="E163" t="str">
        <f t="shared" si="41"/>
        <v>3A1 Enteric fermentation (CH4)</v>
      </c>
      <c r="F163" t="s">
        <v>18</v>
      </c>
      <c r="G163" t="s">
        <v>122</v>
      </c>
      <c r="H163" t="s">
        <v>1020</v>
      </c>
      <c r="I163" t="s">
        <v>121</v>
      </c>
      <c r="J163" t="s">
        <v>286</v>
      </c>
      <c r="K163" s="27">
        <f t="shared" ref="K163:Z164" si="42">K1385</f>
        <v>132.59034293279757</v>
      </c>
      <c r="L163" s="27">
        <f t="shared" si="42"/>
        <v>132.66203410931632</v>
      </c>
      <c r="M163" s="27">
        <f t="shared" si="42"/>
        <v>132.83344502276296</v>
      </c>
      <c r="N163" s="27">
        <f t="shared" si="42"/>
        <v>133.08619178866664</v>
      </c>
      <c r="O163" s="27">
        <f t="shared" si="42"/>
        <v>133.41866827856941</v>
      </c>
      <c r="P163" s="27">
        <f t="shared" si="42"/>
        <v>133.8273636783253</v>
      </c>
      <c r="Q163" s="27">
        <f t="shared" si="42"/>
        <v>134.2863843975903</v>
      </c>
      <c r="R163" s="27">
        <f t="shared" si="42"/>
        <v>134.79283247693314</v>
      </c>
      <c r="S163" s="27">
        <f t="shared" si="42"/>
        <v>135.25595136269689</v>
      </c>
      <c r="T163" s="27">
        <f t="shared" si="42"/>
        <v>135.45945701303151</v>
      </c>
      <c r="U163" s="27">
        <f t="shared" si="42"/>
        <v>135.70798113166347</v>
      </c>
      <c r="V163" s="27">
        <f t="shared" si="42"/>
        <v>135.96919937925796</v>
      </c>
      <c r="W163" s="27">
        <f t="shared" si="42"/>
        <v>136.26247262957938</v>
      </c>
      <c r="X163" s="27">
        <f t="shared" si="42"/>
        <v>136.58698029827343</v>
      </c>
      <c r="Y163" s="27">
        <f t="shared" si="42"/>
        <v>136.78964350738272</v>
      </c>
      <c r="Z163" s="27">
        <f t="shared" si="42"/>
        <v>137.0186015592445</v>
      </c>
      <c r="AA163" s="27">
        <f t="shared" ref="L163:AW164" si="43">AA1385</f>
        <v>137.27076072273411</v>
      </c>
      <c r="AB163" s="27">
        <f t="shared" si="43"/>
        <v>137.54681434679034</v>
      </c>
      <c r="AC163" s="27">
        <f t="shared" si="43"/>
        <v>137.84391314305282</v>
      </c>
      <c r="AD163" s="27">
        <f t="shared" si="43"/>
        <v>138.04321155337277</v>
      </c>
      <c r="AE163" s="27">
        <f t="shared" si="43"/>
        <v>138.25957262105894</v>
      </c>
      <c r="AF163" s="27">
        <f t="shared" si="43"/>
        <v>138.49473553474263</v>
      </c>
      <c r="AG163" s="27">
        <f t="shared" si="43"/>
        <v>138.75099586378536</v>
      </c>
      <c r="AH163" s="27">
        <f t="shared" si="43"/>
        <v>139.02065863419776</v>
      </c>
      <c r="AI163" s="27">
        <f t="shared" si="43"/>
        <v>139.193026219692</v>
      </c>
      <c r="AJ163" s="27">
        <f t="shared" si="43"/>
        <v>139.38182622697491</v>
      </c>
      <c r="AK163" s="27">
        <f t="shared" si="43"/>
        <v>139.58083163749211</v>
      </c>
      <c r="AL163" s="27">
        <f t="shared" si="43"/>
        <v>139.79216106672223</v>
      </c>
      <c r="AM163" s="27">
        <f t="shared" si="43"/>
        <v>140.01549409297075</v>
      </c>
      <c r="AN163" s="27">
        <f t="shared" si="43"/>
        <v>140.14745576644822</v>
      </c>
      <c r="AO163" s="27">
        <f t="shared" si="43"/>
        <v>140.28832645422361</v>
      </c>
      <c r="AP163" s="27">
        <f t="shared" si="43"/>
        <v>140.44113174726405</v>
      </c>
      <c r="AQ163" s="27">
        <f t="shared" si="43"/>
        <v>140.60572391526784</v>
      </c>
      <c r="AR163" s="27">
        <f t="shared" si="43"/>
        <v>140.78209954735451</v>
      </c>
      <c r="AS163" s="27">
        <f t="shared" si="43"/>
        <v>140.86211694361444</v>
      </c>
      <c r="AT163" s="27">
        <f t="shared" si="43"/>
        <v>140.91368286545006</v>
      </c>
      <c r="AU163" s="27">
        <f t="shared" si="43"/>
        <v>140.97020886145611</v>
      </c>
      <c r="AV163" s="27">
        <f t="shared" si="43"/>
        <v>141.02991546858686</v>
      </c>
      <c r="AW163" s="27">
        <f t="shared" si="43"/>
        <v>141.09605506808808</v>
      </c>
      <c r="AY163" s="79"/>
    </row>
    <row r="164" spans="1:51" x14ac:dyDescent="0.3">
      <c r="A164" s="95" t="str">
        <f t="shared" si="0"/>
        <v>FA Sheep</v>
      </c>
      <c r="B164" s="95" t="s">
        <v>962</v>
      </c>
      <c r="C164" s="95" t="s">
        <v>152</v>
      </c>
      <c r="D164" t="str">
        <f t="shared" ref="D164:E164" si="44">D163</f>
        <v>3A Livestock</v>
      </c>
      <c r="E164" t="str">
        <f t="shared" si="44"/>
        <v>3A1 Enteric fermentation (CH4)</v>
      </c>
      <c r="F164" t="s">
        <v>18</v>
      </c>
      <c r="G164" t="s">
        <v>123</v>
      </c>
      <c r="H164" t="s">
        <v>1020</v>
      </c>
      <c r="I164" t="s">
        <v>121</v>
      </c>
      <c r="J164" t="s">
        <v>286</v>
      </c>
      <c r="K164" s="27">
        <f t="shared" si="42"/>
        <v>14.369321450610597</v>
      </c>
      <c r="L164" s="27">
        <f t="shared" si="43"/>
        <v>14.377090896995487</v>
      </c>
      <c r="M164" s="27">
        <f t="shared" si="43"/>
        <v>14.395667351818489</v>
      </c>
      <c r="N164" s="27">
        <f t="shared" si="43"/>
        <v>14.423058483363512</v>
      </c>
      <c r="O164" s="27">
        <f t="shared" si="43"/>
        <v>14.459090229360317</v>
      </c>
      <c r="P164" s="27">
        <f t="shared" si="43"/>
        <v>14.503382109482045</v>
      </c>
      <c r="Q164" s="27">
        <f t="shared" si="43"/>
        <v>14.553127936528831</v>
      </c>
      <c r="R164" s="27">
        <f t="shared" si="43"/>
        <v>14.608013647578019</v>
      </c>
      <c r="S164" s="27">
        <f t="shared" si="43"/>
        <v>14.658203608567563</v>
      </c>
      <c r="T164" s="27">
        <f t="shared" si="43"/>
        <v>14.680258292506014</v>
      </c>
      <c r="U164" s="27">
        <f t="shared" si="43"/>
        <v>14.707191799651872</v>
      </c>
      <c r="V164" s="27">
        <f t="shared" si="43"/>
        <v>14.735501017996329</v>
      </c>
      <c r="W164" s="27">
        <f t="shared" si="43"/>
        <v>14.767284159313563</v>
      </c>
      <c r="X164" s="27">
        <f t="shared" si="43"/>
        <v>14.802452293745619</v>
      </c>
      <c r="Y164" s="27">
        <f t="shared" si="43"/>
        <v>14.824415679113581</v>
      </c>
      <c r="Z164" s="27">
        <f t="shared" si="43"/>
        <v>14.849228736936167</v>
      </c>
      <c r="AA164" s="27">
        <f t="shared" si="43"/>
        <v>14.876556187765189</v>
      </c>
      <c r="AB164" s="27">
        <f t="shared" si="43"/>
        <v>14.906473172471083</v>
      </c>
      <c r="AC164" s="27">
        <f t="shared" si="43"/>
        <v>14.938670902800874</v>
      </c>
      <c r="AD164" s="27">
        <f t="shared" si="43"/>
        <v>14.960269632083405</v>
      </c>
      <c r="AE164" s="27">
        <f t="shared" si="43"/>
        <v>14.983717506658669</v>
      </c>
      <c r="AF164" s="27">
        <f t="shared" si="43"/>
        <v>15.009203009035685</v>
      </c>
      <c r="AG164" s="27">
        <f t="shared" si="43"/>
        <v>15.036974918826434</v>
      </c>
      <c r="AH164" s="27">
        <f t="shared" si="43"/>
        <v>15.066199302334384</v>
      </c>
      <c r="AI164" s="27">
        <f t="shared" si="43"/>
        <v>15.084879435358006</v>
      </c>
      <c r="AJ164" s="27">
        <f t="shared" si="43"/>
        <v>15.105340412639743</v>
      </c>
      <c r="AK164" s="27">
        <f t="shared" si="43"/>
        <v>15.126907388415511</v>
      </c>
      <c r="AL164" s="27">
        <f t="shared" si="43"/>
        <v>15.14980996512972</v>
      </c>
      <c r="AM164" s="27">
        <f t="shared" si="43"/>
        <v>15.174013417460552</v>
      </c>
      <c r="AN164" s="27">
        <f t="shared" si="43"/>
        <v>15.188314607603177</v>
      </c>
      <c r="AO164" s="27">
        <f t="shared" si="43"/>
        <v>15.203581301623565</v>
      </c>
      <c r="AP164" s="27">
        <f t="shared" si="43"/>
        <v>15.220141394360979</v>
      </c>
      <c r="AQ164" s="27">
        <f t="shared" si="43"/>
        <v>15.237978875718865</v>
      </c>
      <c r="AR164" s="27">
        <f t="shared" si="43"/>
        <v>15.25709337604709</v>
      </c>
      <c r="AS164" s="27">
        <f t="shared" si="43"/>
        <v>15.265765166639579</v>
      </c>
      <c r="AT164" s="27">
        <f t="shared" si="43"/>
        <v>15.271353562373108</v>
      </c>
      <c r="AU164" s="27">
        <f t="shared" si="43"/>
        <v>15.277479500272968</v>
      </c>
      <c r="AV164" s="27">
        <f t="shared" si="43"/>
        <v>15.283950133138154</v>
      </c>
      <c r="AW164" s="27">
        <f t="shared" si="43"/>
        <v>15.291117933935899</v>
      </c>
      <c r="AY164" s="79"/>
    </row>
    <row r="165" spans="1:51" x14ac:dyDescent="0.3">
      <c r="A165" s="95" t="str">
        <f t="shared" ref="A165:A306" si="45">B165&amp;" "&amp;C165</f>
        <v>FA Goats</v>
      </c>
      <c r="B165" s="95" t="s">
        <v>962</v>
      </c>
      <c r="C165" s="95" t="s">
        <v>153</v>
      </c>
      <c r="D165" t="s">
        <v>15</v>
      </c>
      <c r="E165" t="s">
        <v>16</v>
      </c>
      <c r="F165" t="s">
        <v>19</v>
      </c>
      <c r="G165" t="s">
        <v>122</v>
      </c>
      <c r="H165" t="s">
        <v>1020</v>
      </c>
      <c r="I165" t="s">
        <v>121</v>
      </c>
      <c r="J165" t="s">
        <v>286</v>
      </c>
      <c r="K165" s="27">
        <f>K1387</f>
        <v>15.123414197798359</v>
      </c>
      <c r="L165" s="27">
        <f t="shared" ref="L165:AW172" si="46">L1387</f>
        <v>15.162727774721576</v>
      </c>
      <c r="M165" s="27">
        <f t="shared" si="46"/>
        <v>15.216959464794312</v>
      </c>
      <c r="N165" s="27">
        <f t="shared" si="46"/>
        <v>15.283027985940228</v>
      </c>
      <c r="O165" s="27">
        <f t="shared" si="46"/>
        <v>15.360839106953575</v>
      </c>
      <c r="P165" s="27">
        <f t="shared" si="46"/>
        <v>15.449919228540612</v>
      </c>
      <c r="Q165" s="27">
        <f t="shared" si="46"/>
        <v>15.545788610572222</v>
      </c>
      <c r="R165" s="27">
        <f t="shared" si="46"/>
        <v>15.648067752449878</v>
      </c>
      <c r="S165" s="27">
        <f t="shared" si="46"/>
        <v>15.740823350999253</v>
      </c>
      <c r="T165" s="27">
        <f t="shared" si="46"/>
        <v>15.786130826260475</v>
      </c>
      <c r="U165" s="27">
        <f t="shared" si="46"/>
        <v>15.838063303157622</v>
      </c>
      <c r="V165" s="27">
        <f t="shared" si="46"/>
        <v>15.891000771686212</v>
      </c>
      <c r="W165" s="27">
        <f t="shared" si="46"/>
        <v>15.94841543311963</v>
      </c>
      <c r="X165" s="27">
        <f t="shared" si="46"/>
        <v>16.010212398342233</v>
      </c>
      <c r="Y165" s="27">
        <f t="shared" si="46"/>
        <v>16.04975975411061</v>
      </c>
      <c r="Z165" s="27">
        <f t="shared" si="46"/>
        <v>16.093026754767141</v>
      </c>
      <c r="AA165" s="27">
        <f t="shared" si="46"/>
        <v>16.139507339626743</v>
      </c>
      <c r="AB165" s="27">
        <f t="shared" si="46"/>
        <v>16.189350761403606</v>
      </c>
      <c r="AC165" s="27">
        <f t="shared" si="46"/>
        <v>16.242088999774211</v>
      </c>
      <c r="AD165" s="27">
        <f t="shared" si="46"/>
        <v>16.277259419124743</v>
      </c>
      <c r="AE165" s="27">
        <f t="shared" si="46"/>
        <v>16.31476657866423</v>
      </c>
      <c r="AF165" s="27">
        <f t="shared" si="46"/>
        <v>16.354927956284293</v>
      </c>
      <c r="AG165" s="27">
        <f t="shared" si="46"/>
        <v>16.39815145947275</v>
      </c>
      <c r="AH165" s="27">
        <f t="shared" si="46"/>
        <v>16.443131260504089</v>
      </c>
      <c r="AI165" s="27">
        <f t="shared" si="46"/>
        <v>16.470988408557865</v>
      </c>
      <c r="AJ165" s="27">
        <f t="shared" si="46"/>
        <v>16.501218486314869</v>
      </c>
      <c r="AK165" s="27">
        <f t="shared" si="46"/>
        <v>16.532770131598127</v>
      </c>
      <c r="AL165" s="27">
        <f t="shared" si="46"/>
        <v>16.566015013383382</v>
      </c>
      <c r="AM165" s="27">
        <f t="shared" si="46"/>
        <v>16.600907614824543</v>
      </c>
      <c r="AN165" s="27">
        <f t="shared" si="46"/>
        <v>16.619970797900123</v>
      </c>
      <c r="AO165" s="27">
        <f t="shared" si="46"/>
        <v>16.64023491177819</v>
      </c>
      <c r="AP165" s="27">
        <f t="shared" si="46"/>
        <v>16.662217242949243</v>
      </c>
      <c r="AQ165" s="27">
        <f t="shared" si="46"/>
        <v>16.685896797291566</v>
      </c>
      <c r="AR165" s="27">
        <f t="shared" si="46"/>
        <v>16.711276306511749</v>
      </c>
      <c r="AS165" s="27">
        <f t="shared" si="46"/>
        <v>16.720221808869553</v>
      </c>
      <c r="AT165" s="27">
        <f t="shared" si="46"/>
        <v>16.72419450850062</v>
      </c>
      <c r="AU165" s="27">
        <f t="shared" si="46"/>
        <v>16.728812799261537</v>
      </c>
      <c r="AV165" s="27">
        <f t="shared" si="46"/>
        <v>16.733784752247175</v>
      </c>
      <c r="AW165" s="27">
        <f t="shared" si="46"/>
        <v>16.739658320998576</v>
      </c>
      <c r="AY165" s="79"/>
    </row>
    <row r="166" spans="1:51" x14ac:dyDescent="0.3">
      <c r="A166" s="95" t="str">
        <f t="shared" si="45"/>
        <v>FA Goats</v>
      </c>
      <c r="B166" s="95" t="s">
        <v>962</v>
      </c>
      <c r="C166" s="95" t="s">
        <v>153</v>
      </c>
      <c r="D166" t="s">
        <v>15</v>
      </c>
      <c r="E166" t="s">
        <v>16</v>
      </c>
      <c r="F166" t="s">
        <v>19</v>
      </c>
      <c r="G166" t="s">
        <v>123</v>
      </c>
      <c r="H166" t="s">
        <v>1020</v>
      </c>
      <c r="I166" t="s">
        <v>121</v>
      </c>
      <c r="J166" t="s">
        <v>286</v>
      </c>
      <c r="K166" s="27">
        <f t="shared" ref="K166:Z206" si="47">K1388</f>
        <v>22.381101687842744</v>
      </c>
      <c r="L166" s="27">
        <f t="shared" si="47"/>
        <v>22.439281748993185</v>
      </c>
      <c r="M166" s="27">
        <f t="shared" si="47"/>
        <v>22.519539087339325</v>
      </c>
      <c r="N166" s="27">
        <f t="shared" si="47"/>
        <v>22.617313721478975</v>
      </c>
      <c r="O166" s="27">
        <f t="shared" si="47"/>
        <v>22.73246619889365</v>
      </c>
      <c r="P166" s="27">
        <f t="shared" si="47"/>
        <v>22.864295641209328</v>
      </c>
      <c r="Q166" s="27">
        <f t="shared" si="47"/>
        <v>23.006172492556328</v>
      </c>
      <c r="R166" s="27">
        <f t="shared" si="47"/>
        <v>23.157535130977113</v>
      </c>
      <c r="S166" s="27">
        <f t="shared" si="47"/>
        <v>23.294803902175122</v>
      </c>
      <c r="T166" s="27">
        <f t="shared" si="47"/>
        <v>23.361854318025564</v>
      </c>
      <c r="U166" s="27">
        <f t="shared" si="47"/>
        <v>23.438709056719805</v>
      </c>
      <c r="V166" s="27">
        <f t="shared" si="47"/>
        <v>23.517051079938867</v>
      </c>
      <c r="W166" s="27">
        <f t="shared" si="47"/>
        <v>23.602018889396962</v>
      </c>
      <c r="X166" s="27">
        <f t="shared" si="47"/>
        <v>23.693472058936443</v>
      </c>
      <c r="Y166" s="27">
        <f t="shared" si="47"/>
        <v>23.75199808879723</v>
      </c>
      <c r="Z166" s="27">
        <f t="shared" si="47"/>
        <v>23.816028811539901</v>
      </c>
      <c r="AA166" s="27">
        <f t="shared" si="46"/>
        <v>23.884815309261068</v>
      </c>
      <c r="AB166" s="27">
        <f t="shared" si="46"/>
        <v>23.958578460667738</v>
      </c>
      <c r="AC166" s="27">
        <f t="shared" si="46"/>
        <v>24.036625643689554</v>
      </c>
      <c r="AD166" s="27">
        <f t="shared" si="46"/>
        <v>24.088674256627954</v>
      </c>
      <c r="AE166" s="27">
        <f t="shared" si="46"/>
        <v>24.144181005348596</v>
      </c>
      <c r="AF166" s="27">
        <f t="shared" si="46"/>
        <v>24.20361572456493</v>
      </c>
      <c r="AG166" s="27">
        <f t="shared" si="46"/>
        <v>24.267582075516717</v>
      </c>
      <c r="AH166" s="27">
        <f t="shared" si="46"/>
        <v>24.334147567119</v>
      </c>
      <c r="AI166" s="27">
        <f t="shared" si="46"/>
        <v>24.375373288716684</v>
      </c>
      <c r="AJ166" s="27">
        <f t="shared" si="46"/>
        <v>24.420110702865486</v>
      </c>
      <c r="AK166" s="27">
        <f t="shared" si="46"/>
        <v>24.466803901389813</v>
      </c>
      <c r="AL166" s="27">
        <f t="shared" si="46"/>
        <v>24.516002916248802</v>
      </c>
      <c r="AM166" s="27">
        <f t="shared" si="46"/>
        <v>24.567640387179249</v>
      </c>
      <c r="AN166" s="27">
        <f t="shared" si="46"/>
        <v>24.595851942673818</v>
      </c>
      <c r="AO166" s="27">
        <f t="shared" si="46"/>
        <v>24.625840752567356</v>
      </c>
      <c r="AP166" s="27">
        <f t="shared" si="46"/>
        <v>24.658372347803756</v>
      </c>
      <c r="AQ166" s="27">
        <f t="shared" si="46"/>
        <v>24.693415659236397</v>
      </c>
      <c r="AR166" s="27">
        <f t="shared" si="46"/>
        <v>24.730974729510827</v>
      </c>
      <c r="AS166" s="27">
        <f t="shared" si="46"/>
        <v>24.744213155391417</v>
      </c>
      <c r="AT166" s="27">
        <f t="shared" si="46"/>
        <v>24.750092343335041</v>
      </c>
      <c r="AU166" s="27">
        <f t="shared" si="46"/>
        <v>24.756926939927592</v>
      </c>
      <c r="AV166" s="27">
        <f t="shared" si="46"/>
        <v>24.764284920334894</v>
      </c>
      <c r="AW166" s="27">
        <f t="shared" si="46"/>
        <v>24.772977199589842</v>
      </c>
      <c r="AY166" s="79"/>
    </row>
    <row r="167" spans="1:51" x14ac:dyDescent="0.3">
      <c r="A167" s="95" t="str">
        <f t="shared" si="45"/>
        <v>FA Horses</v>
      </c>
      <c r="B167" s="95" t="s">
        <v>962</v>
      </c>
      <c r="C167" s="95" t="s">
        <v>3</v>
      </c>
      <c r="D167" t="s">
        <v>15</v>
      </c>
      <c r="E167" t="s">
        <v>16</v>
      </c>
      <c r="F167" t="s">
        <v>20</v>
      </c>
      <c r="G167" t="s">
        <v>3</v>
      </c>
      <c r="H167" t="s">
        <v>1020</v>
      </c>
      <c r="I167" t="s">
        <v>121</v>
      </c>
      <c r="J167" t="s">
        <v>286</v>
      </c>
      <c r="K167" s="27">
        <f t="shared" si="47"/>
        <v>5.5526214800767901</v>
      </c>
      <c r="L167" s="27">
        <f t="shared" si="46"/>
        <v>5.5795235710196511</v>
      </c>
      <c r="M167" s="27">
        <f t="shared" si="46"/>
        <v>5.6203482259438022</v>
      </c>
      <c r="N167" s="27">
        <f t="shared" si="46"/>
        <v>5.629075655008374</v>
      </c>
      <c r="O167" s="27">
        <f t="shared" si="46"/>
        <v>5.6165815405282276</v>
      </c>
      <c r="P167" s="27">
        <f t="shared" si="46"/>
        <v>5.5833231296706103</v>
      </c>
      <c r="Q167" s="27">
        <f t="shared" si="46"/>
        <v>5.5648827699457346</v>
      </c>
      <c r="R167" s="27">
        <f t="shared" si="46"/>
        <v>5.5483103177944013</v>
      </c>
      <c r="S167" s="27">
        <f t="shared" si="46"/>
        <v>5.2311192904529218</v>
      </c>
      <c r="T167" s="27">
        <f t="shared" si="46"/>
        <v>5.2959023096135693</v>
      </c>
      <c r="U167" s="27">
        <f t="shared" si="46"/>
        <v>5.3988006154965325</v>
      </c>
      <c r="V167" s="27">
        <f t="shared" si="46"/>
        <v>5.4367829372956962</v>
      </c>
      <c r="W167" s="27">
        <f t="shared" si="46"/>
        <v>5.4819188324690939</v>
      </c>
      <c r="X167" s="27">
        <f t="shared" si="46"/>
        <v>5.5365687700280883</v>
      </c>
      <c r="Y167" s="27">
        <f t="shared" si="46"/>
        <v>5.601958980764981</v>
      </c>
      <c r="Z167" s="27">
        <f t="shared" si="46"/>
        <v>5.6746319691397513</v>
      </c>
      <c r="AA167" s="27">
        <f t="shared" si="46"/>
        <v>5.7481685306176677</v>
      </c>
      <c r="AB167" s="27">
        <f t="shared" si="46"/>
        <v>5.8282774259733703</v>
      </c>
      <c r="AC167" s="27">
        <f t="shared" si="46"/>
        <v>5.9086647601730373</v>
      </c>
      <c r="AD167" s="27">
        <f t="shared" si="46"/>
        <v>6.0051030471917946</v>
      </c>
      <c r="AE167" s="27">
        <f t="shared" si="46"/>
        <v>6.0980124130473197</v>
      </c>
      <c r="AF167" s="27">
        <f t="shared" si="46"/>
        <v>6.195439489414623</v>
      </c>
      <c r="AG167" s="27">
        <f t="shared" si="46"/>
        <v>6.3068676222722697</v>
      </c>
      <c r="AH167" s="27">
        <f t="shared" si="46"/>
        <v>6.4095401663804648</v>
      </c>
      <c r="AI167" s="27">
        <f t="shared" si="46"/>
        <v>6.5228948238532292</v>
      </c>
      <c r="AJ167" s="27">
        <f t="shared" si="46"/>
        <v>6.6437484965413081</v>
      </c>
      <c r="AK167" s="27">
        <f t="shared" si="46"/>
        <v>6.7539654911689828</v>
      </c>
      <c r="AL167" s="27">
        <f t="shared" si="46"/>
        <v>6.8618111039503944</v>
      </c>
      <c r="AM167" s="27">
        <f t="shared" si="46"/>
        <v>6.9676727679478478</v>
      </c>
      <c r="AN167" s="27">
        <f t="shared" si="46"/>
        <v>7.0885986695240639</v>
      </c>
      <c r="AO167" s="27">
        <f t="shared" si="46"/>
        <v>7.202615789032512</v>
      </c>
      <c r="AP167" s="27">
        <f t="shared" si="46"/>
        <v>7.3203542233012309</v>
      </c>
      <c r="AQ167" s="27">
        <f t="shared" si="46"/>
        <v>7.4423988374450394</v>
      </c>
      <c r="AR167" s="27">
        <f t="shared" si="46"/>
        <v>7.5697005662835739</v>
      </c>
      <c r="AS167" s="27">
        <f t="shared" si="46"/>
        <v>7.7079925213190776</v>
      </c>
      <c r="AT167" s="27">
        <f t="shared" si="46"/>
        <v>7.7309775584942866</v>
      </c>
      <c r="AU167" s="27">
        <f t="shared" si="46"/>
        <v>7.7430605044202654</v>
      </c>
      <c r="AV167" s="27">
        <f t="shared" si="46"/>
        <v>7.7396666487885506</v>
      </c>
      <c r="AW167" s="27">
        <f t="shared" si="46"/>
        <v>7.7316472006042485</v>
      </c>
      <c r="AY167" s="79"/>
    </row>
    <row r="168" spans="1:51" x14ac:dyDescent="0.3">
      <c r="A168" s="95" t="str">
        <f t="shared" si="45"/>
        <v>FA Mules&amp;Asses</v>
      </c>
      <c r="B168" s="95" t="s">
        <v>962</v>
      </c>
      <c r="C168" s="95" t="s">
        <v>1323</v>
      </c>
      <c r="D168" t="s">
        <v>15</v>
      </c>
      <c r="E168" t="s">
        <v>16</v>
      </c>
      <c r="F168" t="s">
        <v>140</v>
      </c>
      <c r="G168" t="s">
        <v>124</v>
      </c>
      <c r="H168" t="s">
        <v>1020</v>
      </c>
      <c r="I168" t="s">
        <v>121</v>
      </c>
      <c r="J168" t="s">
        <v>286</v>
      </c>
      <c r="K168" s="27">
        <f t="shared" si="47"/>
        <v>1.67</v>
      </c>
      <c r="L168" s="27">
        <f t="shared" si="46"/>
        <v>1.67</v>
      </c>
      <c r="M168" s="27">
        <f t="shared" si="46"/>
        <v>1.67</v>
      </c>
      <c r="N168" s="27">
        <f t="shared" si="46"/>
        <v>1.67</v>
      </c>
      <c r="O168" s="27">
        <f t="shared" si="46"/>
        <v>1.67</v>
      </c>
      <c r="P168" s="27">
        <f t="shared" si="46"/>
        <v>1.67</v>
      </c>
      <c r="Q168" s="27">
        <f t="shared" si="46"/>
        <v>1.67</v>
      </c>
      <c r="R168" s="27">
        <f t="shared" si="46"/>
        <v>1.67</v>
      </c>
      <c r="S168" s="27">
        <f t="shared" si="46"/>
        <v>1.67</v>
      </c>
      <c r="T168" s="27">
        <f t="shared" si="46"/>
        <v>1.67</v>
      </c>
      <c r="U168" s="27">
        <f t="shared" si="46"/>
        <v>1.67</v>
      </c>
      <c r="V168" s="27">
        <f t="shared" si="46"/>
        <v>1.67</v>
      </c>
      <c r="W168" s="27">
        <f t="shared" si="46"/>
        <v>1.67</v>
      </c>
      <c r="X168" s="27">
        <f t="shared" si="46"/>
        <v>1.67</v>
      </c>
      <c r="Y168" s="27">
        <f t="shared" si="46"/>
        <v>1.67</v>
      </c>
      <c r="Z168" s="27">
        <f t="shared" si="46"/>
        <v>1.67</v>
      </c>
      <c r="AA168" s="27">
        <f t="shared" si="46"/>
        <v>1.67</v>
      </c>
      <c r="AB168" s="27">
        <f t="shared" si="46"/>
        <v>1.67</v>
      </c>
      <c r="AC168" s="27">
        <f t="shared" si="46"/>
        <v>1.67</v>
      </c>
      <c r="AD168" s="27">
        <f t="shared" si="46"/>
        <v>1.67</v>
      </c>
      <c r="AE168" s="27">
        <f t="shared" si="46"/>
        <v>1.67</v>
      </c>
      <c r="AF168" s="27">
        <f t="shared" si="46"/>
        <v>1.67</v>
      </c>
      <c r="AG168" s="27">
        <f t="shared" si="46"/>
        <v>1.67</v>
      </c>
      <c r="AH168" s="27">
        <f t="shared" si="46"/>
        <v>1.67</v>
      </c>
      <c r="AI168" s="27">
        <f t="shared" si="46"/>
        <v>1.67</v>
      </c>
      <c r="AJ168" s="27">
        <f t="shared" si="46"/>
        <v>1.67</v>
      </c>
      <c r="AK168" s="27">
        <f t="shared" si="46"/>
        <v>1.67</v>
      </c>
      <c r="AL168" s="27">
        <f t="shared" si="46"/>
        <v>1.67</v>
      </c>
      <c r="AM168" s="27">
        <f t="shared" si="46"/>
        <v>1.67</v>
      </c>
      <c r="AN168" s="27">
        <f t="shared" si="46"/>
        <v>1.67</v>
      </c>
      <c r="AO168" s="27">
        <f t="shared" si="46"/>
        <v>1.67</v>
      </c>
      <c r="AP168" s="27">
        <f t="shared" si="46"/>
        <v>1.67</v>
      </c>
      <c r="AQ168" s="27">
        <f t="shared" si="46"/>
        <v>1.67</v>
      </c>
      <c r="AR168" s="27">
        <f t="shared" si="46"/>
        <v>1.67</v>
      </c>
      <c r="AS168" s="27">
        <f t="shared" si="46"/>
        <v>1.67</v>
      </c>
      <c r="AT168" s="27">
        <f t="shared" si="46"/>
        <v>1.67</v>
      </c>
      <c r="AU168" s="27">
        <f t="shared" si="46"/>
        <v>1.67</v>
      </c>
      <c r="AV168" s="27">
        <f t="shared" si="46"/>
        <v>1.67</v>
      </c>
      <c r="AW168" s="27">
        <f t="shared" si="46"/>
        <v>1.67</v>
      </c>
      <c r="AY168" s="79"/>
    </row>
    <row r="169" spans="1:51" x14ac:dyDescent="0.3">
      <c r="A169" s="95" t="str">
        <f t="shared" si="45"/>
        <v>FA Swine</v>
      </c>
      <c r="B169" s="95" t="s">
        <v>962</v>
      </c>
      <c r="C169" s="95" t="s">
        <v>155</v>
      </c>
      <c r="D169" t="s">
        <v>15</v>
      </c>
      <c r="E169" t="s">
        <v>16</v>
      </c>
      <c r="F169" t="s">
        <v>21</v>
      </c>
      <c r="G169" t="s">
        <v>122</v>
      </c>
      <c r="H169" t="s">
        <v>1020</v>
      </c>
      <c r="I169" t="s">
        <v>121</v>
      </c>
      <c r="J169" t="s">
        <v>286</v>
      </c>
      <c r="K169" s="27">
        <f t="shared" si="47"/>
        <v>1.8400999552016302</v>
      </c>
      <c r="L169" s="27">
        <f t="shared" si="46"/>
        <v>1.8300977880312246</v>
      </c>
      <c r="M169" s="27">
        <f t="shared" si="46"/>
        <v>1.8309187348828151</v>
      </c>
      <c r="N169" s="27">
        <f t="shared" si="46"/>
        <v>1.8141094978660448</v>
      </c>
      <c r="O169" s="27">
        <f t="shared" si="46"/>
        <v>1.7866561368117295</v>
      </c>
      <c r="P169" s="27">
        <f t="shared" si="46"/>
        <v>1.7489975228040078</v>
      </c>
      <c r="Q169" s="27">
        <f t="shared" si="46"/>
        <v>1.721653192801009</v>
      </c>
      <c r="R169" s="27">
        <f t="shared" si="46"/>
        <v>1.6967284692901872</v>
      </c>
      <c r="S169" s="27">
        <f t="shared" si="46"/>
        <v>1.4981262376638635</v>
      </c>
      <c r="T169" s="27">
        <f t="shared" si="46"/>
        <v>1.5170710584409277</v>
      </c>
      <c r="U169" s="27">
        <f t="shared" si="46"/>
        <v>1.5577229248664515</v>
      </c>
      <c r="V169" s="27">
        <f t="shared" si="46"/>
        <v>1.561413903145964</v>
      </c>
      <c r="W169" s="27">
        <f t="shared" si="46"/>
        <v>1.5694069216965754</v>
      </c>
      <c r="X169" s="27">
        <f t="shared" si="46"/>
        <v>1.5828459974443794</v>
      </c>
      <c r="Y169" s="27">
        <f t="shared" si="46"/>
        <v>1.5997093513071265</v>
      </c>
      <c r="Z169" s="27">
        <f t="shared" si="46"/>
        <v>1.6203739618637112</v>
      </c>
      <c r="AA169" s="27">
        <f t="shared" si="46"/>
        <v>1.6412802243411935</v>
      </c>
      <c r="AB169" s="27">
        <f t="shared" si="46"/>
        <v>1.6654174874794287</v>
      </c>
      <c r="AC169" s="27">
        <f t="shared" si="46"/>
        <v>1.6893881557889758</v>
      </c>
      <c r="AD169" s="27">
        <f t="shared" si="46"/>
        <v>1.7191899551215701</v>
      </c>
      <c r="AE169" s="27">
        <f t="shared" si="46"/>
        <v>1.7466246880722003</v>
      </c>
      <c r="AF169" s="27">
        <f t="shared" si="46"/>
        <v>1.7758174373307805</v>
      </c>
      <c r="AG169" s="27">
        <f t="shared" si="46"/>
        <v>1.8114287830343814</v>
      </c>
      <c r="AH169" s="27">
        <f t="shared" si="46"/>
        <v>1.8420072235043694</v>
      </c>
      <c r="AI169" s="27">
        <f t="shared" si="46"/>
        <v>1.8750119445784728</v>
      </c>
      <c r="AJ169" s="27">
        <f t="shared" si="46"/>
        <v>1.9108329767517882</v>
      </c>
      <c r="AK169" s="27">
        <f t="shared" si="46"/>
        <v>1.940715836653381</v>
      </c>
      <c r="AL169" s="27">
        <f t="shared" si="46"/>
        <v>1.9687395447209077</v>
      </c>
      <c r="AM169" s="27">
        <f t="shared" si="46"/>
        <v>1.9951301179393999</v>
      </c>
      <c r="AN169" s="27">
        <f t="shared" si="46"/>
        <v>2.0256022791934827</v>
      </c>
      <c r="AO169" s="27">
        <f t="shared" si="46"/>
        <v>2.0520329509348483</v>
      </c>
      <c r="AP169" s="27">
        <f t="shared" si="46"/>
        <v>2.0793161183803317</v>
      </c>
      <c r="AQ169" s="27">
        <f t="shared" si="46"/>
        <v>2.1076575721978217</v>
      </c>
      <c r="AR169" s="27">
        <f t="shared" si="46"/>
        <v>2.1374119347182106</v>
      </c>
      <c r="AS169" s="27">
        <f t="shared" si="46"/>
        <v>2.1686559884141765</v>
      </c>
      <c r="AT169" s="27">
        <f t="shared" si="46"/>
        <v>2.149643552660391</v>
      </c>
      <c r="AU169" s="27">
        <f t="shared" si="46"/>
        <v>2.1262374260968961</v>
      </c>
      <c r="AV169" s="27">
        <f t="shared" si="46"/>
        <v>2.0967029621040374</v>
      </c>
      <c r="AW169" s="27">
        <f t="shared" si="46"/>
        <v>2.0657200323386067</v>
      </c>
      <c r="AY169" s="79"/>
    </row>
    <row r="170" spans="1:51" x14ac:dyDescent="0.3">
      <c r="A170" s="95" t="str">
        <f t="shared" si="45"/>
        <v>FA Swine</v>
      </c>
      <c r="B170" s="95" t="s">
        <v>962</v>
      </c>
      <c r="C170" s="95" t="s">
        <v>155</v>
      </c>
      <c r="D170" t="s">
        <v>15</v>
      </c>
      <c r="E170" t="s">
        <v>16</v>
      </c>
      <c r="F170" t="s">
        <v>21</v>
      </c>
      <c r="G170" t="s">
        <v>123</v>
      </c>
      <c r="H170" t="s">
        <v>1020</v>
      </c>
      <c r="I170" t="s">
        <v>121</v>
      </c>
      <c r="J170" t="s">
        <v>286</v>
      </c>
      <c r="K170" s="27">
        <f t="shared" si="47"/>
        <v>0.25496723934882604</v>
      </c>
      <c r="L170" s="27">
        <f t="shared" si="46"/>
        <v>0.25358132281546886</v>
      </c>
      <c r="M170" s="27">
        <f t="shared" si="46"/>
        <v>0.25369507454499335</v>
      </c>
      <c r="N170" s="27">
        <f t="shared" si="46"/>
        <v>0.25136595935447842</v>
      </c>
      <c r="O170" s="27">
        <f t="shared" si="46"/>
        <v>0.247561977044127</v>
      </c>
      <c r="P170" s="27">
        <f t="shared" si="46"/>
        <v>0.24234393830437836</v>
      </c>
      <c r="Q170" s="27">
        <f t="shared" si="46"/>
        <v>0.23855506351363695</v>
      </c>
      <c r="R170" s="27">
        <f t="shared" si="46"/>
        <v>0.23510145332951485</v>
      </c>
      <c r="S170" s="27">
        <f t="shared" si="46"/>
        <v>0.2075828054521873</v>
      </c>
      <c r="T170" s="27">
        <f t="shared" si="46"/>
        <v>0.21020783059814849</v>
      </c>
      <c r="U170" s="27">
        <f t="shared" si="46"/>
        <v>0.21584061925595663</v>
      </c>
      <c r="V170" s="27">
        <f t="shared" si="46"/>
        <v>0.21635204720298934</v>
      </c>
      <c r="W170" s="27">
        <f t="shared" si="46"/>
        <v>0.21745957283938341</v>
      </c>
      <c r="X170" s="27">
        <f t="shared" si="46"/>
        <v>0.21932171300906883</v>
      </c>
      <c r="Y170" s="27">
        <f t="shared" si="46"/>
        <v>0.22165832671768446</v>
      </c>
      <c r="Z170" s="27">
        <f t="shared" si="46"/>
        <v>0.22452164872958766</v>
      </c>
      <c r="AA170" s="27">
        <f t="shared" si="46"/>
        <v>0.22741845442425518</v>
      </c>
      <c r="AB170" s="27">
        <f t="shared" si="46"/>
        <v>0.23076295281978809</v>
      </c>
      <c r="AC170" s="27">
        <f t="shared" si="46"/>
        <v>0.23408436756519632</v>
      </c>
      <c r="AD170" s="27">
        <f t="shared" si="46"/>
        <v>0.23821375329882435</v>
      </c>
      <c r="AE170" s="27">
        <f t="shared" si="46"/>
        <v>0.24201515446886457</v>
      </c>
      <c r="AF170" s="27">
        <f t="shared" si="46"/>
        <v>0.24606014923473155</v>
      </c>
      <c r="AG170" s="27">
        <f t="shared" si="46"/>
        <v>0.2509945151521249</v>
      </c>
      <c r="AH170" s="27">
        <f t="shared" si="46"/>
        <v>0.25523151354353607</v>
      </c>
      <c r="AI170" s="27">
        <f t="shared" si="46"/>
        <v>0.25980470131736011</v>
      </c>
      <c r="AJ170" s="27">
        <f t="shared" si="46"/>
        <v>0.26476812173266839</v>
      </c>
      <c r="AK170" s="27">
        <f t="shared" si="46"/>
        <v>0.26890873935043363</v>
      </c>
      <c r="AL170" s="27">
        <f t="shared" si="46"/>
        <v>0.27279174986956156</v>
      </c>
      <c r="AM170" s="27">
        <f t="shared" si="46"/>
        <v>0.27644847057070121</v>
      </c>
      <c r="AN170" s="27">
        <f t="shared" si="46"/>
        <v>0.28067074274128789</v>
      </c>
      <c r="AO170" s="27">
        <f t="shared" si="46"/>
        <v>0.28433301955890389</v>
      </c>
      <c r="AP170" s="27">
        <f t="shared" si="46"/>
        <v>0.28811341956630698</v>
      </c>
      <c r="AQ170" s="27">
        <f t="shared" si="46"/>
        <v>0.29204045745278195</v>
      </c>
      <c r="AR170" s="27">
        <f t="shared" si="46"/>
        <v>0.29616327026464162</v>
      </c>
      <c r="AS170" s="27">
        <f t="shared" si="46"/>
        <v>0.30049249710604664</v>
      </c>
      <c r="AT170" s="27">
        <f t="shared" si="46"/>
        <v>0.2978581031190588</v>
      </c>
      <c r="AU170" s="27">
        <f t="shared" si="46"/>
        <v>0.29461491219517799</v>
      </c>
      <c r="AV170" s="27">
        <f t="shared" si="46"/>
        <v>0.2905225688805555</v>
      </c>
      <c r="AW170" s="27">
        <f t="shared" si="46"/>
        <v>0.28622952379520583</v>
      </c>
      <c r="AY170" s="79"/>
    </row>
    <row r="171" spans="1:51" x14ac:dyDescent="0.3">
      <c r="A171" s="95" t="str">
        <f t="shared" si="45"/>
        <v>FA Cattle MMCH4</v>
      </c>
      <c r="B171" s="95" t="s">
        <v>962</v>
      </c>
      <c r="C171" s="95" t="s">
        <v>1229</v>
      </c>
      <c r="D171" t="s">
        <v>15</v>
      </c>
      <c r="E171" t="s">
        <v>22</v>
      </c>
      <c r="F171" t="s">
        <v>6</v>
      </c>
      <c r="G171" t="s">
        <v>136</v>
      </c>
      <c r="H171" t="s">
        <v>1227</v>
      </c>
      <c r="I171" t="s">
        <v>121</v>
      </c>
      <c r="J171" t="s">
        <v>286</v>
      </c>
      <c r="K171" s="27">
        <f t="shared" si="47"/>
        <v>7.351330651107908</v>
      </c>
      <c r="L171" s="27">
        <f t="shared" si="46"/>
        <v>7.392428348789597</v>
      </c>
      <c r="M171" s="27">
        <f t="shared" si="46"/>
        <v>7.4507389435191715</v>
      </c>
      <c r="N171" s="27">
        <f t="shared" si="46"/>
        <v>7.4882097119910753</v>
      </c>
      <c r="O171" s="27">
        <f t="shared" si="46"/>
        <v>7.5131092090175429</v>
      </c>
      <c r="P171" s="27">
        <f t="shared" si="46"/>
        <v>7.5251923679492405</v>
      </c>
      <c r="Q171" s="27">
        <f t="shared" si="46"/>
        <v>7.5518885629203734</v>
      </c>
      <c r="R171" s="27">
        <f t="shared" si="46"/>
        <v>7.5825135825669046</v>
      </c>
      <c r="S171" s="27">
        <f t="shared" si="46"/>
        <v>7.3545862604907306</v>
      </c>
      <c r="T171" s="27">
        <f t="shared" si="46"/>
        <v>7.4319206101094348</v>
      </c>
      <c r="U171" s="27">
        <f t="shared" si="46"/>
        <v>7.5451176350008202</v>
      </c>
      <c r="V171" s="27">
        <f t="shared" si="46"/>
        <v>7.6037903760515064</v>
      </c>
      <c r="W171" s="27">
        <f t="shared" si="46"/>
        <v>7.6708455087945229</v>
      </c>
      <c r="X171" s="27">
        <f t="shared" si="46"/>
        <v>7.748454799455617</v>
      </c>
      <c r="Y171" s="27">
        <f t="shared" si="46"/>
        <v>7.8277085285324004</v>
      </c>
      <c r="Z171" s="27">
        <f t="shared" si="46"/>
        <v>7.9154321855609755</v>
      </c>
      <c r="AA171" s="27">
        <f t="shared" si="46"/>
        <v>8.0058732816474745</v>
      </c>
      <c r="AB171" s="27">
        <f t="shared" si="46"/>
        <v>8.10422418278708</v>
      </c>
      <c r="AC171" s="27">
        <f t="shared" si="46"/>
        <v>8.2047936963570631</v>
      </c>
      <c r="AD171" s="27">
        <f t="shared" si="46"/>
        <v>8.3134419507553705</v>
      </c>
      <c r="AE171" s="27">
        <f t="shared" si="46"/>
        <v>8.4206197210713736</v>
      </c>
      <c r="AF171" s="27">
        <f t="shared" si="46"/>
        <v>8.5337450585207524</v>
      </c>
      <c r="AG171" s="27">
        <f t="shared" si="46"/>
        <v>8.6617085162438627</v>
      </c>
      <c r="AH171" s="27">
        <f t="shared" si="46"/>
        <v>8.7833723342601697</v>
      </c>
      <c r="AI171" s="27">
        <f t="shared" si="46"/>
        <v>8.9081379352092647</v>
      </c>
      <c r="AJ171" s="27">
        <f t="shared" si="46"/>
        <v>9.0415690981618067</v>
      </c>
      <c r="AK171" s="27">
        <f t="shared" si="46"/>
        <v>9.1665780174046034</v>
      </c>
      <c r="AL171" s="27">
        <f t="shared" si="46"/>
        <v>9.290908547616274</v>
      </c>
      <c r="AM171" s="27">
        <f t="shared" si="46"/>
        <v>9.414906513410104</v>
      </c>
      <c r="AN171" s="27">
        <f t="shared" si="46"/>
        <v>9.5460926435688069</v>
      </c>
      <c r="AO171" s="27">
        <f t="shared" si="46"/>
        <v>9.6720022033758184</v>
      </c>
      <c r="AP171" s="27">
        <f t="shared" si="46"/>
        <v>9.8028010066851721</v>
      </c>
      <c r="AQ171" s="27">
        <f t="shared" si="46"/>
        <v>9.939085602989195</v>
      </c>
      <c r="AR171" s="27">
        <f t="shared" si="46"/>
        <v>10.081815307121353</v>
      </c>
      <c r="AS171" s="27">
        <f t="shared" si="46"/>
        <v>10.227069711733948</v>
      </c>
      <c r="AT171" s="27">
        <f t="shared" si="46"/>
        <v>10.261508370245586</v>
      </c>
      <c r="AU171" s="27">
        <f t="shared" si="46"/>
        <v>10.28601825816002</v>
      </c>
      <c r="AV171" s="27">
        <f t="shared" si="46"/>
        <v>10.296060407046117</v>
      </c>
      <c r="AW171" s="27">
        <f t="shared" si="46"/>
        <v>10.302124127636974</v>
      </c>
      <c r="AY171" s="79"/>
    </row>
    <row r="172" spans="1:51" x14ac:dyDescent="0.3">
      <c r="A172" s="95" t="str">
        <f t="shared" si="45"/>
        <v>FA Cattle MMCH4</v>
      </c>
      <c r="B172" s="95" t="s">
        <v>962</v>
      </c>
      <c r="C172" s="95" t="s">
        <v>1229</v>
      </c>
      <c r="D172" t="s">
        <v>15</v>
      </c>
      <c r="E172" t="s">
        <v>22</v>
      </c>
      <c r="F172" t="s">
        <v>6</v>
      </c>
      <c r="G172" t="s">
        <v>137</v>
      </c>
      <c r="H172" t="s">
        <v>1227</v>
      </c>
      <c r="I172" t="s">
        <v>121</v>
      </c>
      <c r="J172" t="s">
        <v>286</v>
      </c>
      <c r="K172" s="27">
        <f t="shared" si="47"/>
        <v>2.0944490884992821</v>
      </c>
      <c r="L172" s="27">
        <f t="shared" si="46"/>
        <v>2.1061581299686467</v>
      </c>
      <c r="M172" s="27">
        <f t="shared" si="46"/>
        <v>2.1227712545548472</v>
      </c>
      <c r="N172" s="27">
        <f t="shared" si="46"/>
        <v>2.1334469567638776</v>
      </c>
      <c r="O172" s="27">
        <f t="shared" si="46"/>
        <v>2.1405410097083357</v>
      </c>
      <c r="P172" s="27">
        <f t="shared" ref="L172:AW178" si="48">P1394</f>
        <v>2.143983592066792</v>
      </c>
      <c r="Q172" s="27">
        <f t="shared" si="48"/>
        <v>2.151589537694508</v>
      </c>
      <c r="R172" s="27">
        <f t="shared" si="48"/>
        <v>2.1603148348588084</v>
      </c>
      <c r="S172" s="27">
        <f t="shared" si="48"/>
        <v>2.0953766359635408</v>
      </c>
      <c r="T172" s="27">
        <f t="shared" si="48"/>
        <v>2.117409770610283</v>
      </c>
      <c r="U172" s="27">
        <f t="shared" si="48"/>
        <v>2.149660449685487</v>
      </c>
      <c r="V172" s="27">
        <f t="shared" si="48"/>
        <v>2.1663767524673299</v>
      </c>
      <c r="W172" s="27">
        <f t="shared" si="48"/>
        <v>2.1854812613403793</v>
      </c>
      <c r="X172" s="27">
        <f t="shared" si="48"/>
        <v>2.207592728746584</v>
      </c>
      <c r="Y172" s="27">
        <f t="shared" si="48"/>
        <v>2.23017270895738</v>
      </c>
      <c r="Z172" s="27">
        <f t="shared" si="48"/>
        <v>2.2551658349944512</v>
      </c>
      <c r="AA172" s="27">
        <f t="shared" si="48"/>
        <v>2.2809331797448467</v>
      </c>
      <c r="AB172" s="27">
        <f t="shared" si="48"/>
        <v>2.3089540871181105</v>
      </c>
      <c r="AC172" s="27">
        <f t="shared" si="48"/>
        <v>2.3376070937674198</v>
      </c>
      <c r="AD172" s="27">
        <f t="shared" si="48"/>
        <v>2.3685617941055517</v>
      </c>
      <c r="AE172" s="27">
        <f t="shared" si="48"/>
        <v>2.3990975425298058</v>
      </c>
      <c r="AF172" s="27">
        <f t="shared" si="48"/>
        <v>2.4313277973165794</v>
      </c>
      <c r="AG172" s="27">
        <f t="shared" si="48"/>
        <v>2.4677855435545331</v>
      </c>
      <c r="AH172" s="27">
        <f t="shared" si="48"/>
        <v>2.5024484753203891</v>
      </c>
      <c r="AI172" s="27">
        <f t="shared" si="48"/>
        <v>2.5379951282443072</v>
      </c>
      <c r="AJ172" s="27">
        <f t="shared" si="48"/>
        <v>2.5760106645991079</v>
      </c>
      <c r="AK172" s="27">
        <f t="shared" si="48"/>
        <v>2.6116266407248583</v>
      </c>
      <c r="AL172" s="27">
        <f t="shared" si="48"/>
        <v>2.6470493387414713</v>
      </c>
      <c r="AM172" s="27">
        <f t="shared" si="48"/>
        <v>2.6823772866679478</v>
      </c>
      <c r="AN172" s="27">
        <f t="shared" si="48"/>
        <v>2.719753196387535</v>
      </c>
      <c r="AO172" s="27">
        <f t="shared" si="48"/>
        <v>2.755625771746582</v>
      </c>
      <c r="AP172" s="27">
        <f t="shared" si="48"/>
        <v>2.792891329149688</v>
      </c>
      <c r="AQ172" s="27">
        <f t="shared" si="48"/>
        <v>2.8317198300092477</v>
      </c>
      <c r="AR172" s="27">
        <f t="shared" si="48"/>
        <v>2.8723845902967362</v>
      </c>
      <c r="AS172" s="27">
        <f t="shared" si="48"/>
        <v>2.9137686566351899</v>
      </c>
      <c r="AT172" s="27">
        <f t="shared" si="48"/>
        <v>2.9235804880371647</v>
      </c>
      <c r="AU172" s="27">
        <f t="shared" si="48"/>
        <v>2.9305635384314317</v>
      </c>
      <c r="AV172" s="27">
        <f t="shared" si="48"/>
        <v>2.9334246217616835</v>
      </c>
      <c r="AW172" s="27">
        <f t="shared" si="48"/>
        <v>2.9351522211130368</v>
      </c>
      <c r="AY172" s="79"/>
    </row>
    <row r="173" spans="1:51" x14ac:dyDescent="0.3">
      <c r="A173" s="95" t="str">
        <f t="shared" si="45"/>
        <v>FA Cattle MMCH4</v>
      </c>
      <c r="B173" s="95" t="s">
        <v>962</v>
      </c>
      <c r="C173" s="95" t="s">
        <v>1229</v>
      </c>
      <c r="D173" t="s">
        <v>15</v>
      </c>
      <c r="E173" t="s">
        <v>22</v>
      </c>
      <c r="F173" t="s">
        <v>67</v>
      </c>
      <c r="G173" t="s">
        <v>307</v>
      </c>
      <c r="H173" t="s">
        <v>1227</v>
      </c>
      <c r="I173" t="s">
        <v>121</v>
      </c>
      <c r="J173" t="s">
        <v>286</v>
      </c>
      <c r="K173" s="27">
        <f t="shared" si="47"/>
        <v>0.43258377187145641</v>
      </c>
      <c r="L173" s="27">
        <f t="shared" si="48"/>
        <v>0.43500213637199736</v>
      </c>
      <c r="M173" s="27">
        <f t="shared" si="48"/>
        <v>0.43843338143569016</v>
      </c>
      <c r="N173" s="27">
        <f t="shared" si="48"/>
        <v>0.44063832189202168</v>
      </c>
      <c r="O173" s="27">
        <f t="shared" si="48"/>
        <v>0.44210351490980387</v>
      </c>
      <c r="P173" s="27">
        <f t="shared" si="48"/>
        <v>0.44281453971808232</v>
      </c>
      <c r="Q173" s="27">
        <f t="shared" si="48"/>
        <v>0.44438545813589125</v>
      </c>
      <c r="R173" s="27">
        <f t="shared" si="48"/>
        <v>0.44618756541973886</v>
      </c>
      <c r="S173" s="27">
        <f t="shared" si="48"/>
        <v>0.43277534586715866</v>
      </c>
      <c r="T173" s="27">
        <f t="shared" si="48"/>
        <v>0.4373260301229735</v>
      </c>
      <c r="U173" s="27">
        <f t="shared" si="48"/>
        <v>0.44398702774586812</v>
      </c>
      <c r="V173" s="27">
        <f t="shared" si="48"/>
        <v>0.44743958304970527</v>
      </c>
      <c r="W173" s="27">
        <f t="shared" si="48"/>
        <v>0.45138539417179691</v>
      </c>
      <c r="X173" s="27">
        <f t="shared" si="48"/>
        <v>0.45595225713576731</v>
      </c>
      <c r="Y173" s="27">
        <f t="shared" si="48"/>
        <v>0.46061588589714619</v>
      </c>
      <c r="Z173" s="27">
        <f t="shared" si="48"/>
        <v>0.46577792148509239</v>
      </c>
      <c r="AA173" s="27">
        <f t="shared" si="48"/>
        <v>0.47109986282252775</v>
      </c>
      <c r="AB173" s="27">
        <f t="shared" si="48"/>
        <v>0.47688725095688084</v>
      </c>
      <c r="AC173" s="27">
        <f t="shared" si="48"/>
        <v>0.48280519174612069</v>
      </c>
      <c r="AD173" s="27">
        <f t="shared" si="48"/>
        <v>0.48919852023662819</v>
      </c>
      <c r="AE173" s="27">
        <f t="shared" si="48"/>
        <v>0.4955053191475276</v>
      </c>
      <c r="AF173" s="27">
        <f t="shared" si="48"/>
        <v>0.50216209837438885</v>
      </c>
      <c r="AG173" s="27">
        <f t="shared" si="48"/>
        <v>0.50969201613087478</v>
      </c>
      <c r="AH173" s="27">
        <f t="shared" si="48"/>
        <v>0.51685123611370132</v>
      </c>
      <c r="AI173" s="27">
        <f t="shared" si="48"/>
        <v>0.52419297828526779</v>
      </c>
      <c r="AJ173" s="27">
        <f t="shared" si="48"/>
        <v>0.53204463922865186</v>
      </c>
      <c r="AK173" s="27">
        <f t="shared" si="48"/>
        <v>0.53940069929044132</v>
      </c>
      <c r="AL173" s="27">
        <f t="shared" si="48"/>
        <v>0.54671684003696541</v>
      </c>
      <c r="AM173" s="27">
        <f t="shared" si="48"/>
        <v>0.55401341126919512</v>
      </c>
      <c r="AN173" s="27">
        <f t="shared" si="48"/>
        <v>0.56173296487038149</v>
      </c>
      <c r="AO173" s="27">
        <f t="shared" si="48"/>
        <v>0.56914202247926249</v>
      </c>
      <c r="AP173" s="27">
        <f t="shared" si="48"/>
        <v>0.57683878411020695</v>
      </c>
      <c r="AQ173" s="27">
        <f t="shared" si="48"/>
        <v>0.58485835328960278</v>
      </c>
      <c r="AR173" s="27">
        <f t="shared" si="48"/>
        <v>0.59325718020977147</v>
      </c>
      <c r="AS173" s="27">
        <f t="shared" si="48"/>
        <v>0.60180457131627674</v>
      </c>
      <c r="AT173" s="27">
        <f t="shared" si="48"/>
        <v>0.60383108943989172</v>
      </c>
      <c r="AU173" s="27">
        <f t="shared" si="48"/>
        <v>0.60527335618932376</v>
      </c>
      <c r="AV173" s="27">
        <f t="shared" si="48"/>
        <v>0.60586427922747954</v>
      </c>
      <c r="AW173" s="27">
        <f t="shared" si="48"/>
        <v>0.60622109451021655</v>
      </c>
      <c r="AY173" s="79"/>
    </row>
    <row r="174" spans="1:51" x14ac:dyDescent="0.3">
      <c r="A174" s="95" t="str">
        <f t="shared" si="45"/>
        <v>FA Cattle MMCH4</v>
      </c>
      <c r="B174" s="95" t="s">
        <v>962</v>
      </c>
      <c r="C174" s="95" t="s">
        <v>1229</v>
      </c>
      <c r="D174" t="s">
        <v>15</v>
      </c>
      <c r="E174" t="s">
        <v>22</v>
      </c>
      <c r="F174" t="s">
        <v>67</v>
      </c>
      <c r="G174" t="s">
        <v>122</v>
      </c>
      <c r="H174" t="s">
        <v>1227</v>
      </c>
      <c r="I174" t="s">
        <v>121</v>
      </c>
      <c r="J174" t="s">
        <v>286</v>
      </c>
      <c r="K174" s="27">
        <f t="shared" si="47"/>
        <v>9.4871637196006553E-2</v>
      </c>
      <c r="L174" s="27">
        <f t="shared" si="48"/>
        <v>9.404884578461549E-2</v>
      </c>
      <c r="M174" s="27">
        <f t="shared" si="48"/>
        <v>9.3735634002294246E-2</v>
      </c>
      <c r="N174" s="27">
        <f t="shared" si="48"/>
        <v>9.2483917307495084E-2</v>
      </c>
      <c r="O174" s="27">
        <f t="shared" si="48"/>
        <v>9.0667019955957343E-2</v>
      </c>
      <c r="P174" s="27">
        <f t="shared" si="48"/>
        <v>8.8322512540543865E-2</v>
      </c>
      <c r="Q174" s="27">
        <f t="shared" si="48"/>
        <v>8.6473330972337892E-2</v>
      </c>
      <c r="R174" s="27">
        <f t="shared" si="48"/>
        <v>8.4723794986300283E-2</v>
      </c>
      <c r="S174" s="27">
        <f t="shared" si="48"/>
        <v>7.4532240818123416E-2</v>
      </c>
      <c r="T174" s="27">
        <f t="shared" si="48"/>
        <v>7.5742869009566477E-2</v>
      </c>
      <c r="U174" s="27">
        <f t="shared" si="48"/>
        <v>7.8001334092155483E-2</v>
      </c>
      <c r="V174" s="27">
        <f t="shared" si="48"/>
        <v>7.8452375655366738E-2</v>
      </c>
      <c r="W174" s="27">
        <f t="shared" si="48"/>
        <v>7.9102907310080586E-2</v>
      </c>
      <c r="X174" s="27">
        <f t="shared" si="48"/>
        <v>8.0010413317847237E-2</v>
      </c>
      <c r="Y174" s="27">
        <f t="shared" si="48"/>
        <v>8.1051364115397456E-2</v>
      </c>
      <c r="Z174" s="27">
        <f t="shared" si="48"/>
        <v>8.2271824268517132E-2</v>
      </c>
      <c r="AA174" s="27">
        <f t="shared" si="48"/>
        <v>8.3497913456907769E-2</v>
      </c>
      <c r="AB174" s="27">
        <f t="shared" si="48"/>
        <v>8.4876885462998888E-2</v>
      </c>
      <c r="AC174" s="27">
        <f t="shared" si="48"/>
        <v>8.6242172681273321E-2</v>
      </c>
      <c r="AD174" s="27">
        <f t="shared" si="48"/>
        <v>8.7131524640671032E-2</v>
      </c>
      <c r="AE174" s="27">
        <f t="shared" si="48"/>
        <v>8.7861744576890749E-2</v>
      </c>
      <c r="AF174" s="27">
        <f t="shared" si="48"/>
        <v>8.863318056494178E-2</v>
      </c>
      <c r="AG174" s="27">
        <f t="shared" si="48"/>
        <v>8.9665353249555477E-2</v>
      </c>
      <c r="AH174" s="27">
        <f t="shared" si="48"/>
        <v>9.0407657135718758E-2</v>
      </c>
      <c r="AI174" s="27">
        <f t="shared" si="48"/>
        <v>9.1198770165766427E-2</v>
      </c>
      <c r="AJ174" s="27">
        <f t="shared" si="48"/>
        <v>9.2069621900880569E-2</v>
      </c>
      <c r="AK174" s="27">
        <f t="shared" si="48"/>
        <v>9.2612278465111636E-2</v>
      </c>
      <c r="AL174" s="27">
        <f t="shared" si="48"/>
        <v>9.3019389326395155E-2</v>
      </c>
      <c r="AM174" s="27">
        <f t="shared" si="48"/>
        <v>9.3302561003725443E-2</v>
      </c>
      <c r="AN174" s="27">
        <f t="shared" si="48"/>
        <v>9.4182866906307741E-2</v>
      </c>
      <c r="AO174" s="27">
        <f t="shared" si="48"/>
        <v>9.4852010834144421E-2</v>
      </c>
      <c r="AP174" s="27">
        <f t="shared" si="48"/>
        <v>9.5529601297703756E-2</v>
      </c>
      <c r="AQ174" s="27">
        <f t="shared" si="48"/>
        <v>9.6223389625578193E-2</v>
      </c>
      <c r="AR174" s="27">
        <f t="shared" si="48"/>
        <v>9.6947366282069555E-2</v>
      </c>
      <c r="AS174" s="27">
        <f t="shared" si="48"/>
        <v>9.7690698003963641E-2</v>
      </c>
      <c r="AT174" s="27">
        <f t="shared" si="48"/>
        <v>9.6224389596631696E-2</v>
      </c>
      <c r="AU174" s="27">
        <f t="shared" si="48"/>
        <v>9.4563308773857144E-2</v>
      </c>
      <c r="AV174" s="27">
        <f t="shared" si="48"/>
        <v>9.2637583282449518E-2</v>
      </c>
      <c r="AW174" s="27">
        <f t="shared" si="48"/>
        <v>9.065150695451285E-2</v>
      </c>
      <c r="AY174" s="79"/>
    </row>
    <row r="175" spans="1:51" x14ac:dyDescent="0.3">
      <c r="A175" s="95" t="str">
        <f t="shared" si="45"/>
        <v>FA Cattle MMCH4</v>
      </c>
      <c r="B175" s="95" t="s">
        <v>962</v>
      </c>
      <c r="C175" s="95" t="s">
        <v>1229</v>
      </c>
      <c r="D175" t="s">
        <v>15</v>
      </c>
      <c r="E175" t="s">
        <v>22</v>
      </c>
      <c r="F175" t="s">
        <v>67</v>
      </c>
      <c r="G175" t="s">
        <v>123</v>
      </c>
      <c r="H175" t="s">
        <v>1227</v>
      </c>
      <c r="I175" t="s">
        <v>121</v>
      </c>
      <c r="J175" t="s">
        <v>286</v>
      </c>
      <c r="K175" s="27">
        <f t="shared" si="47"/>
        <v>6.9689449734106304E-2</v>
      </c>
      <c r="L175" s="27">
        <f t="shared" si="48"/>
        <v>6.9085055392440989E-2</v>
      </c>
      <c r="M175" s="27">
        <f t="shared" si="48"/>
        <v>6.8854980763127793E-2</v>
      </c>
      <c r="N175" s="27">
        <f t="shared" si="48"/>
        <v>6.7935512624264269E-2</v>
      </c>
      <c r="O175" s="27">
        <f t="shared" si="48"/>
        <v>6.660088216573827E-2</v>
      </c>
      <c r="P175" s="27">
        <f t="shared" si="48"/>
        <v>6.4878687456057696E-2</v>
      </c>
      <c r="Q175" s="27">
        <f t="shared" si="48"/>
        <v>6.3520342119606069E-2</v>
      </c>
      <c r="R175" s="27">
        <f t="shared" si="48"/>
        <v>6.2235193009075998E-2</v>
      </c>
      <c r="S175" s="27">
        <f t="shared" si="48"/>
        <v>5.4748826979066356E-2</v>
      </c>
      <c r="T175" s="27">
        <f t="shared" si="48"/>
        <v>5.5638112913069561E-2</v>
      </c>
      <c r="U175" s="27">
        <f t="shared" si="48"/>
        <v>5.7297103877082825E-2</v>
      </c>
      <c r="V175" s="27">
        <f t="shared" si="48"/>
        <v>5.7628423534637221E-2</v>
      </c>
      <c r="W175" s="27">
        <f t="shared" si="48"/>
        <v>5.8106281769105768E-2</v>
      </c>
      <c r="X175" s="27">
        <f t="shared" si="48"/>
        <v>5.8772904546796331E-2</v>
      </c>
      <c r="Y175" s="27">
        <f t="shared" si="48"/>
        <v>5.9537551288705921E-2</v>
      </c>
      <c r="Z175" s="27">
        <f t="shared" si="48"/>
        <v>6.0434059444432087E-2</v>
      </c>
      <c r="AA175" s="27">
        <f t="shared" si="48"/>
        <v>6.1334702496341778E-2</v>
      </c>
      <c r="AB175" s="27">
        <f t="shared" si="48"/>
        <v>6.2347648020879123E-2</v>
      </c>
      <c r="AC175" s="27">
        <f t="shared" si="48"/>
        <v>6.3350541169797603E-2</v>
      </c>
      <c r="AD175" s="27">
        <f t="shared" si="48"/>
        <v>6.4003828606403412E-2</v>
      </c>
      <c r="AE175" s="27">
        <f t="shared" si="48"/>
        <v>6.4540223118441709E-2</v>
      </c>
      <c r="AF175" s="27">
        <f t="shared" si="48"/>
        <v>6.5106893528074167E-2</v>
      </c>
      <c r="AG175" s="27">
        <f t="shared" si="48"/>
        <v>6.5865092169388781E-2</v>
      </c>
      <c r="AH175" s="27">
        <f t="shared" si="48"/>
        <v>6.641036313646749E-2</v>
      </c>
      <c r="AI175" s="27">
        <f t="shared" si="48"/>
        <v>6.6991487626051227E-2</v>
      </c>
      <c r="AJ175" s="27">
        <f t="shared" si="48"/>
        <v>6.7631185432622337E-2</v>
      </c>
      <c r="AK175" s="27">
        <f t="shared" si="48"/>
        <v>6.8029802326707703E-2</v>
      </c>
      <c r="AL175" s="27">
        <f t="shared" si="48"/>
        <v>6.832885199784397E-2</v>
      </c>
      <c r="AM175" s="27">
        <f t="shared" si="48"/>
        <v>6.8536860196676486E-2</v>
      </c>
      <c r="AN175" s="27">
        <f t="shared" si="48"/>
        <v>6.9183502710306752E-2</v>
      </c>
      <c r="AO175" s="27">
        <f t="shared" si="48"/>
        <v>6.9675032882043061E-2</v>
      </c>
      <c r="AP175" s="27">
        <f t="shared" si="48"/>
        <v>7.0172767589129104E-2</v>
      </c>
      <c r="AQ175" s="27">
        <f t="shared" si="48"/>
        <v>7.0682400691608652E-2</v>
      </c>
      <c r="AR175" s="27">
        <f t="shared" si="48"/>
        <v>7.1214209104559126E-2</v>
      </c>
      <c r="AS175" s="27">
        <f t="shared" si="48"/>
        <v>7.1760235084501689E-2</v>
      </c>
      <c r="AT175" s="27">
        <f t="shared" si="48"/>
        <v>7.0683135236036573E-2</v>
      </c>
      <c r="AU175" s="27">
        <f t="shared" si="48"/>
        <v>6.9462962253632216E-2</v>
      </c>
      <c r="AV175" s="27">
        <f t="shared" si="48"/>
        <v>6.8048390377341353E-2</v>
      </c>
      <c r="AW175" s="27">
        <f t="shared" si="48"/>
        <v>6.658948684711255E-2</v>
      </c>
      <c r="AY175" s="79"/>
    </row>
    <row r="176" spans="1:51" x14ac:dyDescent="0.3">
      <c r="A176" s="95" t="str">
        <f t="shared" si="45"/>
        <v>FA Cattle MMCH4</v>
      </c>
      <c r="B176" s="95" t="s">
        <v>962</v>
      </c>
      <c r="C176" s="95" t="s">
        <v>1229</v>
      </c>
      <c r="D176" t="s">
        <v>15</v>
      </c>
      <c r="E176" t="s">
        <v>22</v>
      </c>
      <c r="F176" t="s">
        <v>67</v>
      </c>
      <c r="G176" t="s">
        <v>135</v>
      </c>
      <c r="H176" t="s">
        <v>1227</v>
      </c>
      <c r="I176" t="s">
        <v>121</v>
      </c>
      <c r="J176" t="s">
        <v>286</v>
      </c>
      <c r="K176" s="27">
        <f t="shared" si="47"/>
        <v>0.47107022937833831</v>
      </c>
      <c r="L176" s="27">
        <f t="shared" si="48"/>
        <v>0.48695387967725939</v>
      </c>
      <c r="M176" s="27">
        <f t="shared" si="48"/>
        <v>0.50580611066616787</v>
      </c>
      <c r="N176" s="27">
        <f t="shared" si="48"/>
        <v>0.51986569055899412</v>
      </c>
      <c r="O176" s="27">
        <f t="shared" si="48"/>
        <v>0.5307082628613855</v>
      </c>
      <c r="P176" s="27">
        <f t="shared" si="48"/>
        <v>0.53817886796858128</v>
      </c>
      <c r="Q176" s="27">
        <f t="shared" si="48"/>
        <v>0.54837935702304741</v>
      </c>
      <c r="R176" s="27">
        <f t="shared" si="48"/>
        <v>0.55907244781022658</v>
      </c>
      <c r="S176" s="27">
        <f t="shared" si="48"/>
        <v>0.5116979963243764</v>
      </c>
      <c r="T176" s="27">
        <f t="shared" si="48"/>
        <v>0.53253794371544794</v>
      </c>
      <c r="U176" s="27">
        <f t="shared" si="48"/>
        <v>0.56144831136588025</v>
      </c>
      <c r="V176" s="27">
        <f t="shared" si="48"/>
        <v>0.57794253443008525</v>
      </c>
      <c r="W176" s="27">
        <f t="shared" si="48"/>
        <v>0.59624482437454274</v>
      </c>
      <c r="X176" s="27">
        <f t="shared" si="48"/>
        <v>0.61691451225743765</v>
      </c>
      <c r="Y176" s="27">
        <f t="shared" si="48"/>
        <v>0.63912634684399761</v>
      </c>
      <c r="Z176" s="27">
        <f t="shared" si="48"/>
        <v>0.66333849990898774</v>
      </c>
      <c r="AA176" s="27">
        <f t="shared" si="48"/>
        <v>0.68823157042214766</v>
      </c>
      <c r="AB176" s="27">
        <f t="shared" si="48"/>
        <v>0.71506797281834467</v>
      </c>
      <c r="AC176" s="27">
        <f t="shared" si="48"/>
        <v>0.74251772868278199</v>
      </c>
      <c r="AD176" s="27">
        <f t="shared" si="48"/>
        <v>0.7750525944257971</v>
      </c>
      <c r="AE176" s="27">
        <f t="shared" si="48"/>
        <v>0.80751598640792854</v>
      </c>
      <c r="AF176" s="27">
        <f t="shared" si="48"/>
        <v>0.84174152680537817</v>
      </c>
      <c r="AG176" s="27">
        <f t="shared" si="48"/>
        <v>0.88000003569074847</v>
      </c>
      <c r="AH176" s="27">
        <f t="shared" si="48"/>
        <v>0.91704807287784318</v>
      </c>
      <c r="AI176" s="27">
        <f t="shared" si="48"/>
        <v>0.95623961354371867</v>
      </c>
      <c r="AJ176" s="27">
        <f t="shared" si="48"/>
        <v>0.99805792050769693</v>
      </c>
      <c r="AK176" s="27">
        <f t="shared" si="48"/>
        <v>1.0381239689146564</v>
      </c>
      <c r="AL176" s="27">
        <f t="shared" si="48"/>
        <v>1.0784102253675423</v>
      </c>
      <c r="AM176" s="27">
        <f t="shared" si="48"/>
        <v>1.1190041069207182</v>
      </c>
      <c r="AN176" s="27">
        <f t="shared" si="48"/>
        <v>1.1614327193697984</v>
      </c>
      <c r="AO176" s="27">
        <f t="shared" si="48"/>
        <v>1.2028013950684227</v>
      </c>
      <c r="AP176" s="27">
        <f t="shared" si="48"/>
        <v>1.2458253070355789</v>
      </c>
      <c r="AQ176" s="27">
        <f t="shared" si="48"/>
        <v>1.2906949248380046</v>
      </c>
      <c r="AR176" s="27">
        <f t="shared" si="48"/>
        <v>1.3377043131160224</v>
      </c>
      <c r="AS176" s="27">
        <f t="shared" si="48"/>
        <v>1.3868240533486631</v>
      </c>
      <c r="AT176" s="27">
        <f t="shared" si="48"/>
        <v>1.4056131138026084</v>
      </c>
      <c r="AU176" s="27">
        <f t="shared" si="48"/>
        <v>1.4216407980502102</v>
      </c>
      <c r="AV176" s="27">
        <f t="shared" si="48"/>
        <v>1.4335765692204958</v>
      </c>
      <c r="AW176" s="27">
        <f t="shared" si="48"/>
        <v>1.4443117800465477</v>
      </c>
      <c r="AY176" s="79"/>
    </row>
    <row r="177" spans="1:51" x14ac:dyDescent="0.3">
      <c r="A177" s="95" t="str">
        <f t="shared" si="45"/>
        <v>FA Sheep MMCH4</v>
      </c>
      <c r="B177" s="95" t="s">
        <v>962</v>
      </c>
      <c r="C177" s="95" t="s">
        <v>1324</v>
      </c>
      <c r="D177" t="s">
        <v>15</v>
      </c>
      <c r="E177" t="s">
        <v>22</v>
      </c>
      <c r="F177" t="s">
        <v>18</v>
      </c>
      <c r="G177" t="s">
        <v>122</v>
      </c>
      <c r="H177" t="s">
        <v>1227</v>
      </c>
      <c r="I177" t="s">
        <v>121</v>
      </c>
      <c r="J177" t="s">
        <v>286</v>
      </c>
      <c r="K177" s="27">
        <f t="shared" si="47"/>
        <v>3.6054675351507588E-2</v>
      </c>
      <c r="L177" s="27">
        <f t="shared" si="48"/>
        <v>3.6074169999743479E-2</v>
      </c>
      <c r="M177" s="27">
        <f t="shared" si="48"/>
        <v>3.6120780972302438E-2</v>
      </c>
      <c r="N177" s="27">
        <f t="shared" si="48"/>
        <v>3.6189509224973292E-2</v>
      </c>
      <c r="O177" s="27">
        <f t="shared" si="48"/>
        <v>3.6279918010713667E-2</v>
      </c>
      <c r="P177" s="27">
        <f t="shared" si="48"/>
        <v>3.6391052650159628E-2</v>
      </c>
      <c r="Q177" s="27">
        <f t="shared" si="48"/>
        <v>3.6515872019705298E-2</v>
      </c>
      <c r="R177" s="27">
        <f t="shared" si="48"/>
        <v>3.6653588090719266E-2</v>
      </c>
      <c r="S177" s="27">
        <f t="shared" si="48"/>
        <v>3.6779521855622693E-2</v>
      </c>
      <c r="T177" s="27">
        <f t="shared" si="48"/>
        <v>3.6834860200729257E-2</v>
      </c>
      <c r="U177" s="27">
        <f t="shared" si="48"/>
        <v>3.6902440208564632E-2</v>
      </c>
      <c r="V177" s="27">
        <f t="shared" si="48"/>
        <v>3.697347207185564E-2</v>
      </c>
      <c r="W177" s="27">
        <f t="shared" si="48"/>
        <v>3.7053220502968609E-2</v>
      </c>
      <c r="X177" s="27">
        <f t="shared" si="48"/>
        <v>3.714146236421613E-2</v>
      </c>
      <c r="Y177" s="27">
        <f t="shared" si="48"/>
        <v>3.7196571628197998E-2</v>
      </c>
      <c r="Z177" s="27">
        <f t="shared" si="48"/>
        <v>3.7258831126487216E-2</v>
      </c>
      <c r="AA177" s="27">
        <f t="shared" si="48"/>
        <v>3.7327399595166219E-2</v>
      </c>
      <c r="AB177" s="27">
        <f t="shared" si="48"/>
        <v>3.7402465573387562E-2</v>
      </c>
      <c r="AC177" s="27">
        <f t="shared" si="48"/>
        <v>3.7483254267417832E-2</v>
      </c>
      <c r="AD177" s="27">
        <f t="shared" si="48"/>
        <v>3.7537448557312683E-2</v>
      </c>
      <c r="AE177" s="27">
        <f t="shared" si="48"/>
        <v>3.759628261627642E-2</v>
      </c>
      <c r="AF177" s="27">
        <f t="shared" si="48"/>
        <v>3.7660229373785575E-2</v>
      </c>
      <c r="AG177" s="27">
        <f t="shared" si="48"/>
        <v>3.7729913053341259E-2</v>
      </c>
      <c r="AH177" s="27">
        <f t="shared" si="48"/>
        <v>3.7803241196451468E-2</v>
      </c>
      <c r="AI177" s="27">
        <f t="shared" si="48"/>
        <v>3.7850112312391396E-2</v>
      </c>
      <c r="AJ177" s="27">
        <f t="shared" si="48"/>
        <v>3.7901451820370476E-2</v>
      </c>
      <c r="AK177" s="27">
        <f t="shared" si="48"/>
        <v>3.7955566436191537E-2</v>
      </c>
      <c r="AL177" s="27">
        <f t="shared" si="48"/>
        <v>3.8013032265109208E-2</v>
      </c>
      <c r="AM177" s="27">
        <f t="shared" si="48"/>
        <v>3.8073762176342195E-2</v>
      </c>
      <c r="AN177" s="27">
        <f t="shared" si="48"/>
        <v>3.8109645900532299E-2</v>
      </c>
      <c r="AO177" s="27">
        <f t="shared" si="48"/>
        <v>3.8147952211549679E-2</v>
      </c>
      <c r="AP177" s="27">
        <f t="shared" si="48"/>
        <v>3.8189503844275732E-2</v>
      </c>
      <c r="AQ177" s="27">
        <f t="shared" si="48"/>
        <v>3.8234260627096527E-2</v>
      </c>
      <c r="AR177" s="27">
        <f t="shared" si="48"/>
        <v>3.8282221632507191E-2</v>
      </c>
      <c r="AS177" s="27">
        <f t="shared" si="48"/>
        <v>3.8303980390956796E-2</v>
      </c>
      <c r="AT177" s="27">
        <f t="shared" si="48"/>
        <v>3.8318002472277804E-2</v>
      </c>
      <c r="AU177" s="27">
        <f t="shared" si="48"/>
        <v>3.8333373323501507E-2</v>
      </c>
      <c r="AV177" s="27">
        <f t="shared" si="48"/>
        <v>3.8349609063517129E-2</v>
      </c>
      <c r="AW177" s="27">
        <f t="shared" si="48"/>
        <v>3.8367594097231859E-2</v>
      </c>
      <c r="AY177" s="79"/>
    </row>
    <row r="178" spans="1:51" x14ac:dyDescent="0.3">
      <c r="A178" s="95" t="str">
        <f t="shared" si="45"/>
        <v>FA Sheep MMCH4</v>
      </c>
      <c r="B178" s="95" t="s">
        <v>962</v>
      </c>
      <c r="C178" s="95" t="s">
        <v>1324</v>
      </c>
      <c r="D178" t="s">
        <v>15</v>
      </c>
      <c r="E178" t="s">
        <v>22</v>
      </c>
      <c r="F178" t="s">
        <v>18</v>
      </c>
      <c r="G178" t="s">
        <v>123</v>
      </c>
      <c r="H178" t="s">
        <v>1227</v>
      </c>
      <c r="I178" t="s">
        <v>121</v>
      </c>
      <c r="J178" t="s">
        <v>286</v>
      </c>
      <c r="K178" s="27">
        <f t="shared" si="47"/>
        <v>4.1176157807460215E-3</v>
      </c>
      <c r="L178" s="27">
        <f t="shared" si="48"/>
        <v>4.1198421624963379E-3</v>
      </c>
      <c r="M178" s="27">
        <f t="shared" si="48"/>
        <v>4.1251653577350569E-3</v>
      </c>
      <c r="N178" s="27">
        <f t="shared" si="48"/>
        <v>4.1330144517851795E-3</v>
      </c>
      <c r="O178" s="27">
        <f t="shared" si="48"/>
        <v>4.1433395660526989E-3</v>
      </c>
      <c r="P178" s="27">
        <f t="shared" si="48"/>
        <v>4.1560316716037502E-3</v>
      </c>
      <c r="Q178" s="27">
        <f t="shared" si="48"/>
        <v>4.1702866385608306E-3</v>
      </c>
      <c r="R178" s="27">
        <f t="shared" si="48"/>
        <v>4.1860144702980757E-3</v>
      </c>
      <c r="S178" s="27">
        <f t="shared" si="48"/>
        <v>4.2003967065168081E-3</v>
      </c>
      <c r="T178" s="27">
        <f t="shared" si="48"/>
        <v>4.2067166092997236E-3</v>
      </c>
      <c r="U178" s="27">
        <f t="shared" si="48"/>
        <v>4.2144345683164958E-3</v>
      </c>
      <c r="V178" s="27">
        <f t="shared" si="48"/>
        <v>4.2225467456796619E-3</v>
      </c>
      <c r="W178" s="27">
        <f t="shared" si="48"/>
        <v>4.2316543966358575E-3</v>
      </c>
      <c r="X178" s="27">
        <f t="shared" si="48"/>
        <v>4.2417320377975895E-3</v>
      </c>
      <c r="Y178" s="27">
        <f t="shared" si="48"/>
        <v>4.2480257784241436E-3</v>
      </c>
      <c r="Z178" s="27">
        <f t="shared" si="48"/>
        <v>4.2551361098903872E-3</v>
      </c>
      <c r="AA178" s="27">
        <f t="shared" si="48"/>
        <v>4.2629669558470248E-3</v>
      </c>
      <c r="AB178" s="27">
        <f t="shared" si="48"/>
        <v>4.2715398483639559E-3</v>
      </c>
      <c r="AC178" s="27">
        <f t="shared" si="48"/>
        <v>4.2807663023037507E-3</v>
      </c>
      <c r="AD178" s="27">
        <f t="shared" si="48"/>
        <v>4.2869555485283185E-3</v>
      </c>
      <c r="AE178" s="27">
        <f t="shared" si="48"/>
        <v>4.2936746784961411E-3</v>
      </c>
      <c r="AF178" s="27">
        <f t="shared" si="48"/>
        <v>4.3009777030076704E-3</v>
      </c>
      <c r="AG178" s="27">
        <f t="shared" si="48"/>
        <v>4.3089359113621063E-3</v>
      </c>
      <c r="AH178" s="27">
        <f t="shared" si="48"/>
        <v>4.3173103348259087E-3</v>
      </c>
      <c r="AI178" s="27">
        <f t="shared" si="48"/>
        <v>4.3226632396787153E-3</v>
      </c>
      <c r="AJ178" s="27">
        <f t="shared" si="48"/>
        <v>4.3285264562011056E-3</v>
      </c>
      <c r="AK178" s="27">
        <f t="shared" si="48"/>
        <v>4.3347066032666795E-3</v>
      </c>
      <c r="AL178" s="27">
        <f t="shared" si="48"/>
        <v>4.3412694748415342E-3</v>
      </c>
      <c r="AM178" s="27">
        <f t="shared" si="48"/>
        <v>4.3482051201751372E-3</v>
      </c>
      <c r="AN178" s="27">
        <f t="shared" si="48"/>
        <v>4.3523032125184075E-3</v>
      </c>
      <c r="AO178" s="27">
        <f t="shared" si="48"/>
        <v>4.3566779758246795E-3</v>
      </c>
      <c r="AP178" s="27">
        <f t="shared" si="48"/>
        <v>4.361423370338997E-3</v>
      </c>
      <c r="AQ178" s="27">
        <f t="shared" ref="L178:AW185" si="49">AQ1400</f>
        <v>4.3665348082715704E-3</v>
      </c>
      <c r="AR178" s="27">
        <f t="shared" si="49"/>
        <v>4.3720121836969238E-3</v>
      </c>
      <c r="AS178" s="27">
        <f t="shared" si="49"/>
        <v>4.3744971376255895E-3</v>
      </c>
      <c r="AT178" s="27">
        <f t="shared" si="49"/>
        <v>4.3760985261490854E-3</v>
      </c>
      <c r="AU178" s="27">
        <f t="shared" si="49"/>
        <v>4.3778539506244196E-3</v>
      </c>
      <c r="AV178" s="27">
        <f t="shared" si="49"/>
        <v>4.3797081495223055E-3</v>
      </c>
      <c r="AW178" s="27">
        <f t="shared" si="49"/>
        <v>4.381762126098687E-3</v>
      </c>
      <c r="AY178" s="79"/>
    </row>
    <row r="179" spans="1:51" x14ac:dyDescent="0.3">
      <c r="A179" s="95" t="str">
        <f t="shared" si="45"/>
        <v>FA Goats MMCH4</v>
      </c>
      <c r="B179" s="95" t="s">
        <v>962</v>
      </c>
      <c r="C179" s="95" t="s">
        <v>1325</v>
      </c>
      <c r="D179" t="s">
        <v>15</v>
      </c>
      <c r="E179" t="s">
        <v>22</v>
      </c>
      <c r="F179" t="s">
        <v>19</v>
      </c>
      <c r="G179" t="s">
        <v>122</v>
      </c>
      <c r="H179" t="s">
        <v>1227</v>
      </c>
      <c r="I179" t="s">
        <v>121</v>
      </c>
      <c r="J179" t="s">
        <v>286</v>
      </c>
      <c r="K179" s="27">
        <f t="shared" si="47"/>
        <v>1.5789672763163301E-2</v>
      </c>
      <c r="L179" s="27">
        <f t="shared" si="49"/>
        <v>1.5830718290757027E-2</v>
      </c>
      <c r="M179" s="27">
        <f t="shared" si="49"/>
        <v>1.588733914557475E-2</v>
      </c>
      <c r="N179" s="27">
        <f t="shared" si="49"/>
        <v>1.5956318300360577E-2</v>
      </c>
      <c r="O179" s="27">
        <f t="shared" si="49"/>
        <v>1.6037557372574476E-2</v>
      </c>
      <c r="P179" s="27">
        <f t="shared" si="49"/>
        <v>1.6130561898613765E-2</v>
      </c>
      <c r="Q179" s="27">
        <f t="shared" si="49"/>
        <v>1.6230654784419023E-2</v>
      </c>
      <c r="R179" s="27">
        <f t="shared" si="49"/>
        <v>1.6337439810579345E-2</v>
      </c>
      <c r="S179" s="27">
        <f t="shared" si="49"/>
        <v>1.6434281735880792E-2</v>
      </c>
      <c r="T179" s="27">
        <f t="shared" si="49"/>
        <v>1.6481585221637597E-2</v>
      </c>
      <c r="U179" s="27">
        <f t="shared" si="49"/>
        <v>1.6535805571967339E-2</v>
      </c>
      <c r="V179" s="27">
        <f t="shared" si="49"/>
        <v>1.6591075188605784E-2</v>
      </c>
      <c r="W179" s="27">
        <f t="shared" si="49"/>
        <v>1.6651019239861981E-2</v>
      </c>
      <c r="X179" s="27">
        <f t="shared" si="49"/>
        <v>1.6715538656301921E-2</v>
      </c>
      <c r="Y179" s="27">
        <f t="shared" si="49"/>
        <v>1.675682826181454E-2</v>
      </c>
      <c r="Z179" s="27">
        <f t="shared" si="49"/>
        <v>1.6802001380323034E-2</v>
      </c>
      <c r="AA179" s="27">
        <f t="shared" si="49"/>
        <v>1.6850529656754189E-2</v>
      </c>
      <c r="AB179" s="27">
        <f t="shared" si="49"/>
        <v>1.6902568919116488E-2</v>
      </c>
      <c r="AC179" s="27">
        <f t="shared" si="49"/>
        <v>1.6957630528557751E-2</v>
      </c>
      <c r="AD179" s="27">
        <f t="shared" si="49"/>
        <v>1.6994350372716287E-2</v>
      </c>
      <c r="AE179" s="27">
        <f t="shared" si="49"/>
        <v>1.7033509901620177E-2</v>
      </c>
      <c r="AF179" s="27">
        <f t="shared" si="49"/>
        <v>1.7075440579577206E-2</v>
      </c>
      <c r="AG179" s="27">
        <f t="shared" si="49"/>
        <v>1.7120568284346587E-2</v>
      </c>
      <c r="AH179" s="27">
        <f t="shared" si="49"/>
        <v>1.7167529660259997E-2</v>
      </c>
      <c r="AI179" s="27">
        <f t="shared" si="49"/>
        <v>1.7196614048621731E-2</v>
      </c>
      <c r="AJ179" s="27">
        <f t="shared" si="49"/>
        <v>1.7228175905563897E-2</v>
      </c>
      <c r="AK179" s="27">
        <f t="shared" si="49"/>
        <v>1.7261117551388462E-2</v>
      </c>
      <c r="AL179" s="27">
        <f t="shared" si="49"/>
        <v>1.7295827028863175E-2</v>
      </c>
      <c r="AM179" s="27">
        <f t="shared" si="49"/>
        <v>1.7332256815907665E-2</v>
      </c>
      <c r="AN179" s="27">
        <f t="shared" si="49"/>
        <v>1.7352159823168515E-2</v>
      </c>
      <c r="AO179" s="27">
        <f t="shared" si="49"/>
        <v>1.7373316667964631E-2</v>
      </c>
      <c r="AP179" s="27">
        <f t="shared" si="49"/>
        <v>1.7396267425724934E-2</v>
      </c>
      <c r="AQ179" s="27">
        <f t="shared" si="49"/>
        <v>1.7420990177436466E-2</v>
      </c>
      <c r="AR179" s="27">
        <f t="shared" si="49"/>
        <v>1.7447487775150525E-2</v>
      </c>
      <c r="AS179" s="27">
        <f t="shared" si="49"/>
        <v>1.7456827369575736E-2</v>
      </c>
      <c r="AT179" s="27">
        <f t="shared" si="49"/>
        <v>1.746097508558354E-2</v>
      </c>
      <c r="AU179" s="27">
        <f t="shared" si="49"/>
        <v>1.746579683409127E-2</v>
      </c>
      <c r="AV179" s="27">
        <f t="shared" si="49"/>
        <v>1.7470987825332424E-2</v>
      </c>
      <c r="AW179" s="27">
        <f t="shared" si="49"/>
        <v>1.7477120152816387E-2</v>
      </c>
      <c r="AY179" s="79"/>
    </row>
    <row r="180" spans="1:51" x14ac:dyDescent="0.3">
      <c r="A180" s="95" t="str">
        <f t="shared" si="45"/>
        <v>FA Goats MMCH4</v>
      </c>
      <c r="B180" s="95" t="s">
        <v>962</v>
      </c>
      <c r="C180" s="95" t="s">
        <v>1325</v>
      </c>
      <c r="D180" t="s">
        <v>15</v>
      </c>
      <c r="E180" t="s">
        <v>22</v>
      </c>
      <c r="F180" t="s">
        <v>19</v>
      </c>
      <c r="G180" t="s">
        <v>123</v>
      </c>
      <c r="H180" t="s">
        <v>1227</v>
      </c>
      <c r="I180" t="s">
        <v>121</v>
      </c>
      <c r="J180" t="s">
        <v>286</v>
      </c>
      <c r="K180" s="27">
        <f t="shared" si="47"/>
        <v>2.6592218800664803E-2</v>
      </c>
      <c r="L180" s="27">
        <f t="shared" si="49"/>
        <v>2.6661345733624896E-2</v>
      </c>
      <c r="M180" s="27">
        <f t="shared" si="49"/>
        <v>2.6756703894783639E-2</v>
      </c>
      <c r="N180" s="27">
        <f t="shared" si="49"/>
        <v>2.6872875319249704E-2</v>
      </c>
      <c r="O180" s="27">
        <f t="shared" si="49"/>
        <v>2.7009694315810229E-2</v>
      </c>
      <c r="P180" s="27">
        <f t="shared" si="49"/>
        <v>2.7166328132291764E-2</v>
      </c>
      <c r="Q180" s="27">
        <f t="shared" si="49"/>
        <v>2.7334899828466052E-2</v>
      </c>
      <c r="R180" s="27">
        <f t="shared" si="49"/>
        <v>2.7514742110372921E-2</v>
      </c>
      <c r="S180" s="27">
        <f t="shared" si="49"/>
        <v>2.7677838692887386E-2</v>
      </c>
      <c r="T180" s="27">
        <f t="shared" si="49"/>
        <v>2.7757504982502564E-2</v>
      </c>
      <c r="U180" s="27">
        <f t="shared" si="49"/>
        <v>2.7848820327731318E-2</v>
      </c>
      <c r="V180" s="27">
        <f t="shared" si="49"/>
        <v>2.7941902797566111E-2</v>
      </c>
      <c r="W180" s="27">
        <f t="shared" si="49"/>
        <v>2.804285772872351E-2</v>
      </c>
      <c r="X180" s="27">
        <f t="shared" si="49"/>
        <v>2.8151518273156369E-2</v>
      </c>
      <c r="Y180" s="27">
        <f t="shared" si="49"/>
        <v>2.82210562705838E-2</v>
      </c>
      <c r="Z180" s="27">
        <f t="shared" si="49"/>
        <v>2.8297134696609751E-2</v>
      </c>
      <c r="AA180" s="27">
        <f t="shared" si="49"/>
        <v>2.8378863720651775E-2</v>
      </c>
      <c r="AB180" s="27">
        <f t="shared" si="49"/>
        <v>2.8466505780859123E-2</v>
      </c>
      <c r="AC180" s="27">
        <f t="shared" si="49"/>
        <v>2.8559237934827175E-2</v>
      </c>
      <c r="AD180" s="27">
        <f t="shared" si="49"/>
        <v>2.8621079756683557E-2</v>
      </c>
      <c r="AE180" s="27">
        <f t="shared" si="49"/>
        <v>2.8687030380003167E-2</v>
      </c>
      <c r="AF180" s="27">
        <f t="shared" si="49"/>
        <v>2.8757648041269384E-2</v>
      </c>
      <c r="AG180" s="27">
        <f t="shared" si="49"/>
        <v>2.8833649983627477E-2</v>
      </c>
      <c r="AH180" s="27">
        <f t="shared" si="49"/>
        <v>2.8912740108052549E-2</v>
      </c>
      <c r="AI180" s="27">
        <f t="shared" si="49"/>
        <v>2.8961722657000817E-2</v>
      </c>
      <c r="AJ180" s="27">
        <f t="shared" si="49"/>
        <v>2.9014877641157257E-2</v>
      </c>
      <c r="AK180" s="27">
        <f t="shared" si="49"/>
        <v>2.9070356400379201E-2</v>
      </c>
      <c r="AL180" s="27">
        <f t="shared" si="49"/>
        <v>2.9128812457911796E-2</v>
      </c>
      <c r="AM180" s="27">
        <f t="shared" si="49"/>
        <v>2.9190165779318728E-2</v>
      </c>
      <c r="AN180" s="27">
        <f t="shared" si="49"/>
        <v>2.9223685481203028E-2</v>
      </c>
      <c r="AO180" s="27">
        <f t="shared" si="49"/>
        <v>2.9259316836861168E-2</v>
      </c>
      <c r="AP180" s="27">
        <f t="shared" si="49"/>
        <v>2.9297969415743415E-2</v>
      </c>
      <c r="AQ180" s="27">
        <f t="shared" si="49"/>
        <v>2.9339606302886588E-2</v>
      </c>
      <c r="AR180" s="27">
        <f t="shared" si="49"/>
        <v>2.9384232301580378E-2</v>
      </c>
      <c r="AS180" s="27">
        <f t="shared" si="49"/>
        <v>2.939996160402952E-2</v>
      </c>
      <c r="AT180" s="27">
        <f t="shared" si="49"/>
        <v>2.9406946990823593E-2</v>
      </c>
      <c r="AU180" s="27">
        <f t="shared" si="49"/>
        <v>2.9415067551220409E-2</v>
      </c>
      <c r="AV180" s="27">
        <f t="shared" si="49"/>
        <v>2.9423809972735263E-2</v>
      </c>
      <c r="AW180" s="27">
        <f t="shared" si="49"/>
        <v>2.9434137748152581E-2</v>
      </c>
      <c r="AY180" s="79"/>
    </row>
    <row r="181" spans="1:51" x14ac:dyDescent="0.3">
      <c r="A181" s="95" t="str">
        <f t="shared" si="45"/>
        <v>FA Horses MMCH4</v>
      </c>
      <c r="B181" s="95" t="s">
        <v>962</v>
      </c>
      <c r="C181" s="95" t="s">
        <v>1326</v>
      </c>
      <c r="D181" t="s">
        <v>15</v>
      </c>
      <c r="E181" t="s">
        <v>22</v>
      </c>
      <c r="F181" t="s">
        <v>20</v>
      </c>
      <c r="G181" t="s">
        <v>3</v>
      </c>
      <c r="H181" t="s">
        <v>1227</v>
      </c>
      <c r="I181" t="s">
        <v>121</v>
      </c>
      <c r="J181" t="s">
        <v>286</v>
      </c>
      <c r="K181" s="27">
        <f t="shared" si="47"/>
        <v>4.1336182129460552E-3</v>
      </c>
      <c r="L181" s="27">
        <f t="shared" si="49"/>
        <v>4.1536453250924071E-3</v>
      </c>
      <c r="M181" s="27">
        <f t="shared" si="49"/>
        <v>4.1840370126470534E-3</v>
      </c>
      <c r="N181" s="27">
        <f t="shared" si="49"/>
        <v>4.1905340987284569E-3</v>
      </c>
      <c r="O181" s="27">
        <f t="shared" si="49"/>
        <v>4.1812329246154589E-3</v>
      </c>
      <c r="P181" s="27">
        <f t="shared" si="49"/>
        <v>4.1564738854214548E-3</v>
      </c>
      <c r="Q181" s="27">
        <f t="shared" si="49"/>
        <v>4.1427460620707141E-3</v>
      </c>
      <c r="R181" s="27">
        <f t="shared" si="49"/>
        <v>4.1304087921358321E-3</v>
      </c>
      <c r="S181" s="27">
        <f t="shared" si="49"/>
        <v>3.8942776940038416E-3</v>
      </c>
      <c r="T181" s="27">
        <f t="shared" si="49"/>
        <v>3.9425050527123239E-3</v>
      </c>
      <c r="U181" s="27">
        <f t="shared" si="49"/>
        <v>4.0191071248696416E-3</v>
      </c>
      <c r="V181" s="27">
        <f t="shared" si="49"/>
        <v>4.0473828533201294E-3</v>
      </c>
      <c r="W181" s="27">
        <f t="shared" si="49"/>
        <v>4.0809840197269919E-3</v>
      </c>
      <c r="X181" s="27">
        <f t="shared" si="49"/>
        <v>4.1216678621320202E-3</v>
      </c>
      <c r="Y181" s="27">
        <f t="shared" si="49"/>
        <v>4.1703472412361522E-3</v>
      </c>
      <c r="Z181" s="27">
        <f t="shared" si="49"/>
        <v>4.2244482436929265E-3</v>
      </c>
      <c r="AA181" s="27">
        <f t="shared" si="49"/>
        <v>4.2791921283487086E-3</v>
      </c>
      <c r="AB181" s="27">
        <f t="shared" si="49"/>
        <v>4.3388287504468421E-3</v>
      </c>
      <c r="AC181" s="27">
        <f t="shared" si="49"/>
        <v>4.3986726547954836E-3</v>
      </c>
      <c r="AD181" s="27">
        <f t="shared" si="49"/>
        <v>4.4704656017983358E-3</v>
      </c>
      <c r="AE181" s="27">
        <f t="shared" si="49"/>
        <v>4.539631463046338E-3</v>
      </c>
      <c r="AF181" s="27">
        <f t="shared" si="49"/>
        <v>4.6121605087864415E-3</v>
      </c>
      <c r="AG181" s="27">
        <f t="shared" si="49"/>
        <v>4.6951125632471334E-3</v>
      </c>
      <c r="AH181" s="27">
        <f t="shared" si="49"/>
        <v>4.7715465683054572E-3</v>
      </c>
      <c r="AI181" s="27">
        <f t="shared" si="49"/>
        <v>4.855932813312959E-3</v>
      </c>
      <c r="AJ181" s="27">
        <f t="shared" si="49"/>
        <v>4.945901658536307E-3</v>
      </c>
      <c r="AK181" s="27">
        <f t="shared" si="49"/>
        <v>5.0279520878702428E-3</v>
      </c>
      <c r="AL181" s="27">
        <f t="shared" si="49"/>
        <v>5.1082371551630715E-3</v>
      </c>
      <c r="AM181" s="27">
        <f t="shared" si="49"/>
        <v>5.1870452828056204E-3</v>
      </c>
      <c r="AN181" s="27">
        <f t="shared" si="49"/>
        <v>5.27706789842347E-3</v>
      </c>
      <c r="AO181" s="27">
        <f t="shared" si="49"/>
        <v>5.3619473096130918E-3</v>
      </c>
      <c r="AP181" s="27">
        <f t="shared" si="49"/>
        <v>5.4495970329020271E-3</v>
      </c>
      <c r="AQ181" s="27">
        <f t="shared" si="49"/>
        <v>5.5404524678757516E-3</v>
      </c>
      <c r="AR181" s="27">
        <f t="shared" si="49"/>
        <v>5.6352215326777718E-3</v>
      </c>
      <c r="AS181" s="27">
        <f t="shared" si="49"/>
        <v>5.7381722103153144E-3</v>
      </c>
      <c r="AT181" s="27">
        <f t="shared" si="49"/>
        <v>5.7552832935457467E-3</v>
      </c>
      <c r="AU181" s="27">
        <f t="shared" si="49"/>
        <v>5.7642783755128633E-3</v>
      </c>
      <c r="AV181" s="27">
        <f t="shared" si="49"/>
        <v>5.7617518385425876E-3</v>
      </c>
      <c r="AW181" s="27">
        <f t="shared" si="49"/>
        <v>5.7557818048942742E-3</v>
      </c>
      <c r="AY181" s="79"/>
    </row>
    <row r="182" spans="1:51" x14ac:dyDescent="0.3">
      <c r="A182" s="95" t="str">
        <f t="shared" si="45"/>
        <v>FA Mules MMCH4</v>
      </c>
      <c r="B182" s="95" t="s">
        <v>962</v>
      </c>
      <c r="C182" s="95" t="s">
        <v>1327</v>
      </c>
      <c r="D182" t="s">
        <v>15</v>
      </c>
      <c r="E182" t="s">
        <v>22</v>
      </c>
      <c r="F182" t="s">
        <v>140</v>
      </c>
      <c r="G182" t="s">
        <v>124</v>
      </c>
      <c r="H182" t="s">
        <v>1227</v>
      </c>
      <c r="I182" t="s">
        <v>121</v>
      </c>
      <c r="J182" t="s">
        <v>286</v>
      </c>
      <c r="K182" s="27">
        <f t="shared" si="47"/>
        <v>7.515E-4</v>
      </c>
      <c r="L182" s="27">
        <f t="shared" si="49"/>
        <v>7.515E-4</v>
      </c>
      <c r="M182" s="27">
        <f t="shared" si="49"/>
        <v>7.515E-4</v>
      </c>
      <c r="N182" s="27">
        <f t="shared" si="49"/>
        <v>7.515E-4</v>
      </c>
      <c r="O182" s="27">
        <f t="shared" si="49"/>
        <v>7.515E-4</v>
      </c>
      <c r="P182" s="27">
        <f t="shared" si="49"/>
        <v>7.515E-4</v>
      </c>
      <c r="Q182" s="27">
        <f t="shared" si="49"/>
        <v>7.515E-4</v>
      </c>
      <c r="R182" s="27">
        <f t="shared" si="49"/>
        <v>7.515E-4</v>
      </c>
      <c r="S182" s="27">
        <f t="shared" si="49"/>
        <v>7.515E-4</v>
      </c>
      <c r="T182" s="27">
        <f t="shared" si="49"/>
        <v>7.515E-4</v>
      </c>
      <c r="U182" s="27">
        <f t="shared" si="49"/>
        <v>7.515E-4</v>
      </c>
      <c r="V182" s="27">
        <f t="shared" si="49"/>
        <v>7.515E-4</v>
      </c>
      <c r="W182" s="27">
        <f t="shared" si="49"/>
        <v>7.515E-4</v>
      </c>
      <c r="X182" s="27">
        <f t="shared" si="49"/>
        <v>7.515E-4</v>
      </c>
      <c r="Y182" s="27">
        <f t="shared" si="49"/>
        <v>7.515E-4</v>
      </c>
      <c r="Z182" s="27">
        <f t="shared" si="49"/>
        <v>7.515E-4</v>
      </c>
      <c r="AA182" s="27">
        <f t="shared" si="49"/>
        <v>7.515E-4</v>
      </c>
      <c r="AB182" s="27">
        <f t="shared" si="49"/>
        <v>7.515E-4</v>
      </c>
      <c r="AC182" s="27">
        <f t="shared" si="49"/>
        <v>7.515E-4</v>
      </c>
      <c r="AD182" s="27">
        <f t="shared" si="49"/>
        <v>7.515E-4</v>
      </c>
      <c r="AE182" s="27">
        <f t="shared" si="49"/>
        <v>7.515E-4</v>
      </c>
      <c r="AF182" s="27">
        <f t="shared" si="49"/>
        <v>7.515E-4</v>
      </c>
      <c r="AG182" s="27">
        <f t="shared" si="49"/>
        <v>7.515E-4</v>
      </c>
      <c r="AH182" s="27">
        <f t="shared" si="49"/>
        <v>7.515E-4</v>
      </c>
      <c r="AI182" s="27">
        <f t="shared" si="49"/>
        <v>7.515E-4</v>
      </c>
      <c r="AJ182" s="27">
        <f t="shared" si="49"/>
        <v>7.515E-4</v>
      </c>
      <c r="AK182" s="27">
        <f t="shared" si="49"/>
        <v>7.515E-4</v>
      </c>
      <c r="AL182" s="27">
        <f t="shared" si="49"/>
        <v>7.515E-4</v>
      </c>
      <c r="AM182" s="27">
        <f t="shared" si="49"/>
        <v>7.515E-4</v>
      </c>
      <c r="AN182" s="27">
        <f t="shared" si="49"/>
        <v>7.515E-4</v>
      </c>
      <c r="AO182" s="27">
        <f t="shared" si="49"/>
        <v>7.515E-4</v>
      </c>
      <c r="AP182" s="27">
        <f t="shared" si="49"/>
        <v>7.515E-4</v>
      </c>
      <c r="AQ182" s="27">
        <f t="shared" si="49"/>
        <v>7.515E-4</v>
      </c>
      <c r="AR182" s="27">
        <f t="shared" si="49"/>
        <v>7.515E-4</v>
      </c>
      <c r="AS182" s="27">
        <f t="shared" si="49"/>
        <v>7.515E-4</v>
      </c>
      <c r="AT182" s="27">
        <f t="shared" si="49"/>
        <v>7.515E-4</v>
      </c>
      <c r="AU182" s="27">
        <f t="shared" si="49"/>
        <v>7.515E-4</v>
      </c>
      <c r="AV182" s="27">
        <f t="shared" si="49"/>
        <v>7.515E-4</v>
      </c>
      <c r="AW182" s="27">
        <f t="shared" si="49"/>
        <v>7.515E-4</v>
      </c>
      <c r="AY182" s="79"/>
    </row>
    <row r="183" spans="1:51" x14ac:dyDescent="0.3">
      <c r="A183" s="95" t="str">
        <f t="shared" si="45"/>
        <v>FA Swine MMCH4</v>
      </c>
      <c r="B183" s="95" t="s">
        <v>962</v>
      </c>
      <c r="C183" s="95" t="s">
        <v>1230</v>
      </c>
      <c r="D183" t="s">
        <v>15</v>
      </c>
      <c r="E183" t="s">
        <v>22</v>
      </c>
      <c r="F183" t="s">
        <v>21</v>
      </c>
      <c r="G183" t="s">
        <v>122</v>
      </c>
      <c r="H183" t="s">
        <v>1227</v>
      </c>
      <c r="I183" t="s">
        <v>121</v>
      </c>
      <c r="J183" t="s">
        <v>286</v>
      </c>
      <c r="K183" s="27">
        <f t="shared" si="47"/>
        <v>23.279067868377393</v>
      </c>
      <c r="L183" s="27">
        <f t="shared" si="49"/>
        <v>23.152530650802596</v>
      </c>
      <c r="M183" s="27">
        <f t="shared" si="49"/>
        <v>23.162916433064304</v>
      </c>
      <c r="N183" s="27">
        <f t="shared" si="49"/>
        <v>22.950263110497293</v>
      </c>
      <c r="O183" s="27">
        <f t="shared" si="49"/>
        <v>22.602951186820601</v>
      </c>
      <c r="P183" s="27">
        <f t="shared" si="49"/>
        <v>22.126532811374943</v>
      </c>
      <c r="Q183" s="27">
        <f t="shared" si="49"/>
        <v>21.780600237355962</v>
      </c>
      <c r="R183" s="27">
        <f t="shared" si="49"/>
        <v>21.465278056857681</v>
      </c>
      <c r="S183" s="27">
        <f t="shared" si="49"/>
        <v>18.952765181798245</v>
      </c>
      <c r="T183" s="27">
        <f t="shared" si="49"/>
        <v>19.192435731964196</v>
      </c>
      <c r="U183" s="27">
        <f t="shared" si="49"/>
        <v>19.706721684105471</v>
      </c>
      <c r="V183" s="27">
        <f t="shared" si="49"/>
        <v>19.753416176775058</v>
      </c>
      <c r="W183" s="27">
        <f t="shared" si="49"/>
        <v>19.854535695194098</v>
      </c>
      <c r="X183" s="27">
        <f t="shared" si="49"/>
        <v>20.024553174699502</v>
      </c>
      <c r="Y183" s="27">
        <f t="shared" si="49"/>
        <v>20.23789112840667</v>
      </c>
      <c r="Z183" s="27">
        <f t="shared" si="49"/>
        <v>20.499318704805695</v>
      </c>
      <c r="AA183" s="27">
        <f t="shared" si="49"/>
        <v>20.763803414840964</v>
      </c>
      <c r="AB183" s="27">
        <f t="shared" si="49"/>
        <v>21.06916344985618</v>
      </c>
      <c r="AC183" s="27">
        <f t="shared" si="49"/>
        <v>21.372415897013145</v>
      </c>
      <c r="AD183" s="27">
        <f t="shared" si="49"/>
        <v>21.74943786655458</v>
      </c>
      <c r="AE183" s="27">
        <f t="shared" si="49"/>
        <v>22.096514126462726</v>
      </c>
      <c r="AF183" s="27">
        <f t="shared" si="49"/>
        <v>22.465831015653421</v>
      </c>
      <c r="AG183" s="27">
        <f t="shared" si="49"/>
        <v>22.916349440576454</v>
      </c>
      <c r="AH183" s="27">
        <f t="shared" si="49"/>
        <v>23.303196681672105</v>
      </c>
      <c r="AI183" s="27">
        <f t="shared" si="49"/>
        <v>23.720738750345618</v>
      </c>
      <c r="AJ183" s="27">
        <f t="shared" si="49"/>
        <v>24.1739099146189</v>
      </c>
      <c r="AK183" s="27">
        <f t="shared" si="49"/>
        <v>24.551957379803568</v>
      </c>
      <c r="AL183" s="27">
        <f t="shared" si="49"/>
        <v>24.90648475217996</v>
      </c>
      <c r="AM183" s="27">
        <f t="shared" si="49"/>
        <v>25.240351368122212</v>
      </c>
      <c r="AN183" s="27">
        <f t="shared" si="49"/>
        <v>25.625854072975109</v>
      </c>
      <c r="AO183" s="27">
        <f t="shared" si="49"/>
        <v>25.960227974531257</v>
      </c>
      <c r="AP183" s="27">
        <f t="shared" si="49"/>
        <v>26.305386782253809</v>
      </c>
      <c r="AQ183" s="27">
        <f t="shared" si="49"/>
        <v>26.663933949781747</v>
      </c>
      <c r="AR183" s="27">
        <f t="shared" si="49"/>
        <v>27.040355797157176</v>
      </c>
      <c r="AS183" s="27">
        <f t="shared" si="49"/>
        <v>27.435623697912018</v>
      </c>
      <c r="AT183" s="27">
        <f t="shared" si="49"/>
        <v>27.195097752022821</v>
      </c>
      <c r="AU183" s="27">
        <f t="shared" si="49"/>
        <v>26.898987311246398</v>
      </c>
      <c r="AV183" s="27">
        <f t="shared" si="49"/>
        <v>26.52534739576117</v>
      </c>
      <c r="AW183" s="27">
        <f t="shared" si="49"/>
        <v>26.133382968648512</v>
      </c>
      <c r="AY183" s="79"/>
    </row>
    <row r="184" spans="1:51" x14ac:dyDescent="0.3">
      <c r="A184" s="95" t="str">
        <f t="shared" si="45"/>
        <v>FA Swine MMCH4</v>
      </c>
      <c r="B184" s="95" t="s">
        <v>962</v>
      </c>
      <c r="C184" s="95" t="s">
        <v>1230</v>
      </c>
      <c r="D184" t="s">
        <v>15</v>
      </c>
      <c r="E184" t="s">
        <v>22</v>
      </c>
      <c r="F184" t="s">
        <v>21</v>
      </c>
      <c r="G184" t="s">
        <v>123</v>
      </c>
      <c r="H184" t="s">
        <v>1227</v>
      </c>
      <c r="I184" t="s">
        <v>121</v>
      </c>
      <c r="J184" t="s">
        <v>286</v>
      </c>
      <c r="K184" s="27">
        <f t="shared" si="47"/>
        <v>7.7932061732677776E-2</v>
      </c>
      <c r="L184" s="27">
        <f t="shared" si="49"/>
        <v>7.7508449141861113E-2</v>
      </c>
      <c r="M184" s="27">
        <f t="shared" si="49"/>
        <v>7.7543217949140597E-2</v>
      </c>
      <c r="N184" s="27">
        <f t="shared" si="49"/>
        <v>7.6831311787104617E-2</v>
      </c>
      <c r="O184" s="27">
        <f t="shared" si="49"/>
        <v>7.5668604825232008E-2</v>
      </c>
      <c r="P184" s="27">
        <f t="shared" si="49"/>
        <v>7.4073684167079379E-2</v>
      </c>
      <c r="Q184" s="27">
        <f t="shared" si="49"/>
        <v>7.2915594897087016E-2</v>
      </c>
      <c r="R184" s="27">
        <f t="shared" si="49"/>
        <v>7.1859980996426681E-2</v>
      </c>
      <c r="S184" s="27">
        <f t="shared" si="49"/>
        <v>6.344876326252144E-2</v>
      </c>
      <c r="T184" s="27">
        <f t="shared" si="49"/>
        <v>6.4251115840238279E-2</v>
      </c>
      <c r="U184" s="27">
        <f t="shared" si="49"/>
        <v>6.5972806966237654E-2</v>
      </c>
      <c r="V184" s="27">
        <f t="shared" si="49"/>
        <v>6.6129127576060945E-2</v>
      </c>
      <c r="W184" s="27">
        <f t="shared" si="49"/>
        <v>6.6467648542465979E-2</v>
      </c>
      <c r="X184" s="27">
        <f t="shared" si="49"/>
        <v>6.7036821362587692E-2</v>
      </c>
      <c r="Y184" s="27">
        <f t="shared" si="49"/>
        <v>6.775101948564978E-2</v>
      </c>
      <c r="Z184" s="27">
        <f t="shared" si="49"/>
        <v>6.8626208738834141E-2</v>
      </c>
      <c r="AA184" s="27">
        <f t="shared" si="49"/>
        <v>6.951163245366497E-2</v>
      </c>
      <c r="AB184" s="27">
        <f t="shared" si="49"/>
        <v>7.0533895769105751E-2</v>
      </c>
      <c r="AC184" s="27">
        <f t="shared" si="49"/>
        <v>7.1549103446923737E-2</v>
      </c>
      <c r="AD184" s="27">
        <f t="shared" si="49"/>
        <v>7.2811271656192611E-2</v>
      </c>
      <c r="AE184" s="27">
        <f t="shared" si="49"/>
        <v>7.3973189679115328E-2</v>
      </c>
      <c r="AF184" s="27">
        <f t="shared" si="49"/>
        <v>7.5209563350521091E-2</v>
      </c>
      <c r="AG184" s="27">
        <f t="shared" si="49"/>
        <v>7.6717777936316622E-2</v>
      </c>
      <c r="AH184" s="27">
        <f t="shared" si="49"/>
        <v>7.801283851368343E-2</v>
      </c>
      <c r="AI184" s="27">
        <f t="shared" si="49"/>
        <v>7.9410657122909484E-2</v>
      </c>
      <c r="AJ184" s="27">
        <f t="shared" si="49"/>
        <v>8.0927752366984504E-2</v>
      </c>
      <c r="AK184" s="27">
        <f t="shared" si="49"/>
        <v>8.2193353660010307E-2</v>
      </c>
      <c r="AL184" s="27">
        <f t="shared" si="49"/>
        <v>8.3380216004592958E-2</v>
      </c>
      <c r="AM184" s="27">
        <f t="shared" si="49"/>
        <v>8.4497911690313968E-2</v>
      </c>
      <c r="AN184" s="27">
        <f t="shared" si="49"/>
        <v>8.5788471121755847E-2</v>
      </c>
      <c r="AO184" s="27">
        <f t="shared" si="49"/>
        <v>8.6907865063352116E-2</v>
      </c>
      <c r="AP184" s="27">
        <f t="shared" si="49"/>
        <v>8.8063363971774958E-2</v>
      </c>
      <c r="AQ184" s="27">
        <f t="shared" si="49"/>
        <v>8.9263683509990727E-2</v>
      </c>
      <c r="AR184" s="27">
        <f t="shared" si="49"/>
        <v>9.0523842671562632E-2</v>
      </c>
      <c r="AS184" s="27">
        <f t="shared" si="49"/>
        <v>9.1847093353967207E-2</v>
      </c>
      <c r="AT184" s="27">
        <f t="shared" si="49"/>
        <v>9.1041877141302144E-2</v>
      </c>
      <c r="AU184" s="27">
        <f t="shared" si="49"/>
        <v>9.0050578981051232E-2</v>
      </c>
      <c r="AV184" s="27">
        <f t="shared" si="49"/>
        <v>8.8799732979655169E-2</v>
      </c>
      <c r="AW184" s="27">
        <f t="shared" si="49"/>
        <v>8.7487541439019989E-2</v>
      </c>
      <c r="AY184" s="79"/>
    </row>
    <row r="185" spans="1:51" x14ac:dyDescent="0.3">
      <c r="A185" s="95" t="str">
        <f t="shared" si="45"/>
        <v>FA Poultry MMCH4</v>
      </c>
      <c r="B185" s="95" t="s">
        <v>962</v>
      </c>
      <c r="C185" s="95" t="s">
        <v>1231</v>
      </c>
      <c r="D185" t="s">
        <v>15</v>
      </c>
      <c r="E185" t="s">
        <v>22</v>
      </c>
      <c r="F185" t="s">
        <v>28</v>
      </c>
      <c r="G185" t="s">
        <v>131</v>
      </c>
      <c r="H185" t="s">
        <v>1227</v>
      </c>
      <c r="I185" t="s">
        <v>121</v>
      </c>
      <c r="J185" t="s">
        <v>286</v>
      </c>
      <c r="K185" s="27">
        <f t="shared" si="47"/>
        <v>0.55586528215230246</v>
      </c>
      <c r="L185" s="27">
        <f t="shared" si="49"/>
        <v>0.56716712532642333</v>
      </c>
      <c r="M185" s="27">
        <f t="shared" si="49"/>
        <v>0.58037790885594753</v>
      </c>
      <c r="N185" s="27">
        <f t="shared" si="49"/>
        <v>0.5905201523722613</v>
      </c>
      <c r="O185" s="27">
        <f t="shared" si="49"/>
        <v>0.5986618277459016</v>
      </c>
      <c r="P185" s="27">
        <f t="shared" si="49"/>
        <v>0.60475451589519691</v>
      </c>
      <c r="Q185" s="27">
        <f t="shared" si="49"/>
        <v>0.61256702388185857</v>
      </c>
      <c r="R185" s="27">
        <f t="shared" si="49"/>
        <v>0.6206898695388976</v>
      </c>
      <c r="S185" s="27">
        <f t="shared" si="49"/>
        <v>0.59306384026239212</v>
      </c>
      <c r="T185" s="27">
        <f t="shared" si="49"/>
        <v>0.60782510553672808</v>
      </c>
      <c r="U185" s="27">
        <f t="shared" si="49"/>
        <v>0.62749693593989653</v>
      </c>
      <c r="V185" s="27">
        <f t="shared" si="49"/>
        <v>0.63952779473480192</v>
      </c>
      <c r="W185" s="27">
        <f t="shared" si="49"/>
        <v>0.65264407206550135</v>
      </c>
      <c r="X185" s="27">
        <f t="shared" si="49"/>
        <v>0.66717765079794833</v>
      </c>
      <c r="Y185" s="27">
        <f t="shared" si="49"/>
        <v>0.68218893777565714</v>
      </c>
      <c r="Z185" s="27">
        <f t="shared" si="49"/>
        <v>0.6983681341066772</v>
      </c>
      <c r="AA185" s="27">
        <f t="shared" si="49"/>
        <v>0.71491117725499365</v>
      </c>
      <c r="AB185" s="27">
        <f t="shared" si="49"/>
        <v>0.73257463286693114</v>
      </c>
      <c r="AC185" s="27">
        <f t="shared" si="49"/>
        <v>0.7505526685248175</v>
      </c>
      <c r="AD185" s="27">
        <f t="shared" si="49"/>
        <v>0.76994977468450398</v>
      </c>
      <c r="AE185" s="27">
        <f t="shared" si="49"/>
        <v>0.78914658446111008</v>
      </c>
      <c r="AF185" s="27">
        <f t="shared" ref="L185:AW192" si="50">AF1407</f>
        <v>0.80922915626502845</v>
      </c>
      <c r="AG185" s="27">
        <f t="shared" si="50"/>
        <v>0.83151801683952153</v>
      </c>
      <c r="AH185" s="27">
        <f t="shared" si="50"/>
        <v>0.85291597213422199</v>
      </c>
      <c r="AI185" s="27">
        <f t="shared" si="50"/>
        <v>0.87504492147223956</v>
      </c>
      <c r="AJ185" s="27">
        <f t="shared" si="50"/>
        <v>0.89850514567918238</v>
      </c>
      <c r="AK185" s="27">
        <f t="shared" si="50"/>
        <v>0.92075676441275556</v>
      </c>
      <c r="AL185" s="27">
        <f t="shared" si="50"/>
        <v>0.94294773672658772</v>
      </c>
      <c r="AM185" s="27">
        <f t="shared" si="50"/>
        <v>0.96512911525862388</v>
      </c>
      <c r="AN185" s="27">
        <f t="shared" si="50"/>
        <v>0.98866250207381989</v>
      </c>
      <c r="AO185" s="27">
        <f t="shared" si="50"/>
        <v>1.0114465581050009</v>
      </c>
      <c r="AP185" s="27">
        <f t="shared" si="50"/>
        <v>1.0350196328361636</v>
      </c>
      <c r="AQ185" s="27">
        <f t="shared" si="50"/>
        <v>1.0594801323783987</v>
      </c>
      <c r="AR185" s="27">
        <f t="shared" si="50"/>
        <v>1.0849829625275211</v>
      </c>
      <c r="AS185" s="27">
        <f t="shared" si="50"/>
        <v>1.1111668702046387</v>
      </c>
      <c r="AT185" s="27">
        <f t="shared" si="50"/>
        <v>1.1203381651267506</v>
      </c>
      <c r="AU185" s="27">
        <f t="shared" si="50"/>
        <v>1.1279342308342708</v>
      </c>
      <c r="AV185" s="27">
        <f t="shared" si="50"/>
        <v>1.13323884791937</v>
      </c>
      <c r="AW185" s="27">
        <f t="shared" si="50"/>
        <v>1.137864963271239</v>
      </c>
      <c r="AY185" s="79"/>
    </row>
    <row r="186" spans="1:51" x14ac:dyDescent="0.3">
      <c r="A186" s="95" t="str">
        <f t="shared" si="45"/>
        <v>FA Poultry MMCH4</v>
      </c>
      <c r="B186" s="95" t="s">
        <v>962</v>
      </c>
      <c r="C186" s="95" t="s">
        <v>1231</v>
      </c>
      <c r="D186" t="s">
        <v>15</v>
      </c>
      <c r="E186" t="s">
        <v>22</v>
      </c>
      <c r="F186" t="s">
        <v>28</v>
      </c>
      <c r="G186" t="s">
        <v>132</v>
      </c>
      <c r="H186" t="s">
        <v>1227</v>
      </c>
      <c r="I186" t="s">
        <v>121</v>
      </c>
      <c r="J186" t="s">
        <v>286</v>
      </c>
      <c r="K186" s="27">
        <f t="shared" si="47"/>
        <v>2.2100196981344111</v>
      </c>
      <c r="L186" s="27">
        <f t="shared" si="50"/>
        <v>2.2391217074451477</v>
      </c>
      <c r="M186" s="27">
        <f t="shared" si="50"/>
        <v>2.2858678822724823</v>
      </c>
      <c r="N186" s="27">
        <f t="shared" si="50"/>
        <v>2.2992900748078591</v>
      </c>
      <c r="O186" s="27">
        <f t="shared" si="50"/>
        <v>2.2910596881616572</v>
      </c>
      <c r="P186" s="27">
        <f t="shared" si="50"/>
        <v>2.2612642885898917</v>
      </c>
      <c r="Q186" s="27">
        <f t="shared" si="50"/>
        <v>2.2487211059946204</v>
      </c>
      <c r="R186" s="27">
        <f t="shared" si="50"/>
        <v>2.2390235702415184</v>
      </c>
      <c r="S186" s="27">
        <f t="shared" si="50"/>
        <v>1.8873806466050964</v>
      </c>
      <c r="T186" s="27">
        <f t="shared" si="50"/>
        <v>1.9621300984115682</v>
      </c>
      <c r="U186" s="27">
        <f t="shared" si="50"/>
        <v>2.0814254172868796</v>
      </c>
      <c r="V186" s="27">
        <f t="shared" si="50"/>
        <v>2.1274151344864149</v>
      </c>
      <c r="W186" s="27">
        <f t="shared" si="50"/>
        <v>2.1824506881567056</v>
      </c>
      <c r="X186" s="27">
        <f t="shared" si="50"/>
        <v>2.2493281606911828</v>
      </c>
      <c r="Y186" s="27">
        <f t="shared" si="50"/>
        <v>2.3261233859270511</v>
      </c>
      <c r="Z186" s="27">
        <f t="shared" si="50"/>
        <v>2.4121225146398793</v>
      </c>
      <c r="AA186" s="27">
        <f t="shared" si="50"/>
        <v>2.4999478814416944</v>
      </c>
      <c r="AB186" s="27">
        <f t="shared" si="50"/>
        <v>2.5962654285530302</v>
      </c>
      <c r="AC186" s="27">
        <f t="shared" si="50"/>
        <v>2.6938179504840183</v>
      </c>
      <c r="AD186" s="27">
        <f t="shared" si="50"/>
        <v>2.8076989520027458</v>
      </c>
      <c r="AE186" s="27">
        <f t="shared" si="50"/>
        <v>2.9182147779075716</v>
      </c>
      <c r="AF186" s="27">
        <f t="shared" si="50"/>
        <v>3.0347920342807941</v>
      </c>
      <c r="AG186" s="27">
        <f t="shared" si="50"/>
        <v>3.1685994721864104</v>
      </c>
      <c r="AH186" s="27">
        <f t="shared" si="50"/>
        <v>3.2930349508119656</v>
      </c>
      <c r="AI186" s="27">
        <f t="shared" si="50"/>
        <v>3.427074485424797</v>
      </c>
      <c r="AJ186" s="27">
        <f t="shared" si="50"/>
        <v>3.5705841120118782</v>
      </c>
      <c r="AK186" s="27">
        <f t="shared" si="50"/>
        <v>3.702270113838861</v>
      </c>
      <c r="AL186" s="27">
        <f t="shared" si="50"/>
        <v>3.8318633402397859</v>
      </c>
      <c r="AM186" s="27">
        <f t="shared" si="50"/>
        <v>3.9598368656050509</v>
      </c>
      <c r="AN186" s="27">
        <f t="shared" si="50"/>
        <v>4.1020537482739581</v>
      </c>
      <c r="AO186" s="27">
        <f t="shared" si="50"/>
        <v>4.2366042379514601</v>
      </c>
      <c r="AP186" s="27">
        <f t="shared" si="50"/>
        <v>4.376057584996432</v>
      </c>
      <c r="AQ186" s="27">
        <f t="shared" si="50"/>
        <v>4.5211331273416295</v>
      </c>
      <c r="AR186" s="27">
        <f t="shared" si="50"/>
        <v>4.67298612402322</v>
      </c>
      <c r="AS186" s="27">
        <f t="shared" si="50"/>
        <v>4.8333405314076359</v>
      </c>
      <c r="AT186" s="27">
        <f t="shared" si="50"/>
        <v>4.8577536687430269</v>
      </c>
      <c r="AU186" s="27">
        <f t="shared" si="50"/>
        <v>4.8696640260341857</v>
      </c>
      <c r="AV186" s="27">
        <f t="shared" si="50"/>
        <v>4.8636695672494161</v>
      </c>
      <c r="AW186" s="27">
        <f t="shared" si="50"/>
        <v>4.8525780818062749</v>
      </c>
      <c r="AY186" s="79"/>
    </row>
    <row r="187" spans="1:51" x14ac:dyDescent="0.3">
      <c r="A187" s="95" t="str">
        <f t="shared" si="45"/>
        <v>FA Poultry MMCH4</v>
      </c>
      <c r="B187" s="95" t="s">
        <v>962</v>
      </c>
      <c r="C187" s="95" t="s">
        <v>1231</v>
      </c>
      <c r="D187" t="s">
        <v>15</v>
      </c>
      <c r="E187" t="s">
        <v>22</v>
      </c>
      <c r="F187" t="s">
        <v>28</v>
      </c>
      <c r="G187" t="s">
        <v>134</v>
      </c>
      <c r="H187" t="s">
        <v>1227</v>
      </c>
      <c r="I187" t="s">
        <v>121</v>
      </c>
      <c r="J187" t="s">
        <v>286</v>
      </c>
      <c r="K187" s="27">
        <f t="shared" si="47"/>
        <v>2.3161053423012622E-2</v>
      </c>
      <c r="L187" s="27">
        <f t="shared" si="50"/>
        <v>2.3631963555267657E-2</v>
      </c>
      <c r="M187" s="27">
        <f t="shared" si="50"/>
        <v>2.4182412868997839E-2</v>
      </c>
      <c r="N187" s="27">
        <f t="shared" si="50"/>
        <v>2.460500634884424E-2</v>
      </c>
      <c r="O187" s="27">
        <f t="shared" si="50"/>
        <v>2.4944242822745925E-2</v>
      </c>
      <c r="P187" s="27">
        <f t="shared" si="50"/>
        <v>2.5198104828966561E-2</v>
      </c>
      <c r="Q187" s="27">
        <f t="shared" si="50"/>
        <v>2.5523625995077459E-2</v>
      </c>
      <c r="R187" s="27">
        <f t="shared" si="50"/>
        <v>2.5862077897454098E-2</v>
      </c>
      <c r="S187" s="27">
        <f t="shared" si="50"/>
        <v>2.4710993344266366E-2</v>
      </c>
      <c r="T187" s="27">
        <f t="shared" si="50"/>
        <v>2.5326046064030362E-2</v>
      </c>
      <c r="U187" s="27">
        <f t="shared" si="50"/>
        <v>2.6145705664162376E-2</v>
      </c>
      <c r="V187" s="27">
        <f t="shared" si="50"/>
        <v>2.6646991447283438E-2</v>
      </c>
      <c r="W187" s="27">
        <f t="shared" si="50"/>
        <v>2.7193503002729248E-2</v>
      </c>
      <c r="X187" s="27">
        <f t="shared" si="50"/>
        <v>2.7799068783247873E-2</v>
      </c>
      <c r="Y187" s="27">
        <f t="shared" si="50"/>
        <v>2.842453907398574E-2</v>
      </c>
      <c r="Z187" s="27">
        <f t="shared" si="50"/>
        <v>2.9098672254444909E-2</v>
      </c>
      <c r="AA187" s="27">
        <f t="shared" si="50"/>
        <v>2.9787965718958094E-2</v>
      </c>
      <c r="AB187" s="27">
        <f t="shared" si="50"/>
        <v>3.0523943036122159E-2</v>
      </c>
      <c r="AC187" s="27">
        <f t="shared" si="50"/>
        <v>3.1273027855200759E-2</v>
      </c>
      <c r="AD187" s="27">
        <f t="shared" si="50"/>
        <v>3.2081240611854363E-2</v>
      </c>
      <c r="AE187" s="27">
        <f t="shared" si="50"/>
        <v>3.2881107685879617E-2</v>
      </c>
      <c r="AF187" s="27">
        <f t="shared" si="50"/>
        <v>3.3717881511042887E-2</v>
      </c>
      <c r="AG187" s="27">
        <f t="shared" si="50"/>
        <v>3.4646584034980096E-2</v>
      </c>
      <c r="AH187" s="27">
        <f t="shared" si="50"/>
        <v>3.5538165505592613E-2</v>
      </c>
      <c r="AI187" s="27">
        <f t="shared" si="50"/>
        <v>3.6460205061343343E-2</v>
      </c>
      <c r="AJ187" s="27">
        <f t="shared" si="50"/>
        <v>3.7437714403299294E-2</v>
      </c>
      <c r="AK187" s="27">
        <f t="shared" si="50"/>
        <v>3.8364865183864859E-2</v>
      </c>
      <c r="AL187" s="27">
        <f t="shared" si="50"/>
        <v>3.9289489030274523E-2</v>
      </c>
      <c r="AM187" s="27">
        <f t="shared" si="50"/>
        <v>4.0213713135776041E-2</v>
      </c>
      <c r="AN187" s="27">
        <f t="shared" si="50"/>
        <v>4.1194270919742537E-2</v>
      </c>
      <c r="AO187" s="27">
        <f t="shared" si="50"/>
        <v>4.2143606587708417E-2</v>
      </c>
      <c r="AP187" s="27">
        <f t="shared" si="50"/>
        <v>4.312581803484019E-2</v>
      </c>
      <c r="AQ187" s="27">
        <f t="shared" si="50"/>
        <v>4.4145005515766646E-2</v>
      </c>
      <c r="AR187" s="27">
        <f t="shared" si="50"/>
        <v>4.5207623438646753E-2</v>
      </c>
      <c r="AS187" s="27">
        <f t="shared" si="50"/>
        <v>4.6298619591859998E-2</v>
      </c>
      <c r="AT187" s="27">
        <f t="shared" si="50"/>
        <v>4.6680756880281324E-2</v>
      </c>
      <c r="AU187" s="27">
        <f t="shared" si="50"/>
        <v>4.6997259618094658E-2</v>
      </c>
      <c r="AV187" s="27">
        <f t="shared" si="50"/>
        <v>4.721828532997379E-2</v>
      </c>
      <c r="AW187" s="27">
        <f t="shared" si="50"/>
        <v>4.7411040136301673E-2</v>
      </c>
      <c r="AY187" s="79"/>
    </row>
    <row r="188" spans="1:51" x14ac:dyDescent="0.3">
      <c r="A188" s="95" t="str">
        <f t="shared" si="45"/>
        <v>FA Poultry MMCH4</v>
      </c>
      <c r="B188" s="95" t="s">
        <v>962</v>
      </c>
      <c r="C188" s="95" t="s">
        <v>1231</v>
      </c>
      <c r="D188" t="s">
        <v>15</v>
      </c>
      <c r="E188" t="s">
        <v>22</v>
      </c>
      <c r="F188" t="s">
        <v>28</v>
      </c>
      <c r="G188" t="s">
        <v>133</v>
      </c>
      <c r="H188" t="s">
        <v>1227</v>
      </c>
      <c r="I188" t="s">
        <v>121</v>
      </c>
      <c r="J188" t="s">
        <v>286</v>
      </c>
      <c r="K188" s="27">
        <f t="shared" si="47"/>
        <v>9.2084154088933862E-2</v>
      </c>
      <c r="L188" s="27">
        <f t="shared" si="50"/>
        <v>9.3296737810214581E-2</v>
      </c>
      <c r="M188" s="27">
        <f t="shared" si="50"/>
        <v>9.5244495094686854E-2</v>
      </c>
      <c r="N188" s="27">
        <f t="shared" si="50"/>
        <v>9.5803753116994225E-2</v>
      </c>
      <c r="O188" s="27">
        <f t="shared" si="50"/>
        <v>9.5460820340069155E-2</v>
      </c>
      <c r="P188" s="27">
        <f t="shared" si="50"/>
        <v>9.4219345357912251E-2</v>
      </c>
      <c r="Q188" s="27">
        <f t="shared" si="50"/>
        <v>9.3696712749775937E-2</v>
      </c>
      <c r="R188" s="27">
        <f t="shared" si="50"/>
        <v>9.3292648760063338E-2</v>
      </c>
      <c r="S188" s="27">
        <f t="shared" si="50"/>
        <v>7.8640860275212429E-2</v>
      </c>
      <c r="T188" s="27">
        <f t="shared" si="50"/>
        <v>8.1755420767148743E-2</v>
      </c>
      <c r="U188" s="27">
        <f t="shared" si="50"/>
        <v>8.6726059053620061E-2</v>
      </c>
      <c r="V188" s="27">
        <f t="shared" si="50"/>
        <v>8.8642297270267373E-2</v>
      </c>
      <c r="W188" s="27">
        <f t="shared" si="50"/>
        <v>9.0935445339862836E-2</v>
      </c>
      <c r="X188" s="27">
        <f t="shared" si="50"/>
        <v>9.3722006695466042E-2</v>
      </c>
      <c r="Y188" s="27">
        <f t="shared" si="50"/>
        <v>9.6921807746960562E-2</v>
      </c>
      <c r="Z188" s="27">
        <f t="shared" si="50"/>
        <v>0.10050510477666173</v>
      </c>
      <c r="AA188" s="27">
        <f t="shared" si="50"/>
        <v>0.10416449506007071</v>
      </c>
      <c r="AB188" s="27">
        <f t="shared" si="50"/>
        <v>0.10817772618970968</v>
      </c>
      <c r="AC188" s="27">
        <f t="shared" si="50"/>
        <v>0.11224241460350089</v>
      </c>
      <c r="AD188" s="27">
        <f t="shared" si="50"/>
        <v>0.11698745633344786</v>
      </c>
      <c r="AE188" s="27">
        <f t="shared" si="50"/>
        <v>0.12159228241281558</v>
      </c>
      <c r="AF188" s="27">
        <f t="shared" si="50"/>
        <v>0.12644966809503322</v>
      </c>
      <c r="AG188" s="27">
        <f t="shared" si="50"/>
        <v>0.13202497800776722</v>
      </c>
      <c r="AH188" s="27">
        <f t="shared" si="50"/>
        <v>0.13720978961716535</v>
      </c>
      <c r="AI188" s="27">
        <f t="shared" si="50"/>
        <v>0.14279477022603335</v>
      </c>
      <c r="AJ188" s="27">
        <f t="shared" si="50"/>
        <v>0.14877433800049503</v>
      </c>
      <c r="AK188" s="27">
        <f t="shared" si="50"/>
        <v>0.15426125474328603</v>
      </c>
      <c r="AL188" s="27">
        <f t="shared" si="50"/>
        <v>0.15966097250999123</v>
      </c>
      <c r="AM188" s="27">
        <f t="shared" si="50"/>
        <v>0.16499320273354395</v>
      </c>
      <c r="AN188" s="27">
        <f t="shared" si="50"/>
        <v>0.17091890617808173</v>
      </c>
      <c r="AO188" s="27">
        <f t="shared" si="50"/>
        <v>0.17652517658131101</v>
      </c>
      <c r="AP188" s="27">
        <f t="shared" si="50"/>
        <v>0.18233573270818484</v>
      </c>
      <c r="AQ188" s="27">
        <f t="shared" si="50"/>
        <v>0.18838054697256806</v>
      </c>
      <c r="AR188" s="27">
        <f t="shared" si="50"/>
        <v>0.19470775516763436</v>
      </c>
      <c r="AS188" s="27">
        <f t="shared" si="50"/>
        <v>0.2013891888086517</v>
      </c>
      <c r="AT188" s="27">
        <f t="shared" si="50"/>
        <v>0.20240640286429301</v>
      </c>
      <c r="AU188" s="27">
        <f t="shared" si="50"/>
        <v>0.20290266775142457</v>
      </c>
      <c r="AV188" s="27">
        <f t="shared" si="50"/>
        <v>0.20265289863539254</v>
      </c>
      <c r="AW188" s="27">
        <f t="shared" si="50"/>
        <v>0.20219075340859499</v>
      </c>
      <c r="AY188" s="79"/>
    </row>
    <row r="189" spans="1:51" x14ac:dyDescent="0.3">
      <c r="A189" s="95" t="str">
        <f t="shared" si="45"/>
        <v>FA Cattle MMN2O</v>
      </c>
      <c r="B189" s="95" t="s">
        <v>962</v>
      </c>
      <c r="C189" s="95" t="s">
        <v>1232</v>
      </c>
      <c r="D189" t="s">
        <v>15</v>
      </c>
      <c r="E189" t="s">
        <v>657</v>
      </c>
      <c r="F189" t="s">
        <v>6</v>
      </c>
      <c r="G189" t="s">
        <v>136</v>
      </c>
      <c r="H189" t="s">
        <v>1227</v>
      </c>
      <c r="I189" t="s">
        <v>139</v>
      </c>
      <c r="J189" t="s">
        <v>287</v>
      </c>
      <c r="K189" s="27">
        <f t="shared" si="47"/>
        <v>5.9474079071945893E-2</v>
      </c>
      <c r="L189" s="27">
        <f t="shared" si="50"/>
        <v>5.9806569587962516E-2</v>
      </c>
      <c r="M189" s="27">
        <f t="shared" si="50"/>
        <v>6.0278316688762053E-2</v>
      </c>
      <c r="N189" s="27">
        <f t="shared" si="50"/>
        <v>6.0581464452445992E-2</v>
      </c>
      <c r="O189" s="27">
        <f t="shared" si="50"/>
        <v>6.078290752789528E-2</v>
      </c>
      <c r="P189" s="27">
        <f t="shared" si="50"/>
        <v>6.0880663265441157E-2</v>
      </c>
      <c r="Q189" s="27">
        <f t="shared" si="50"/>
        <v>6.1096642070638009E-2</v>
      </c>
      <c r="R189" s="27">
        <f t="shared" si="50"/>
        <v>6.1344406036983767E-2</v>
      </c>
      <c r="S189" s="27">
        <f t="shared" si="50"/>
        <v>5.9500417755247011E-2</v>
      </c>
      <c r="T189" s="27">
        <f t="shared" si="50"/>
        <v>6.0126071727634615E-2</v>
      </c>
      <c r="U189" s="27">
        <f t="shared" si="50"/>
        <v>6.104186359289164E-2</v>
      </c>
      <c r="V189" s="27">
        <f t="shared" si="50"/>
        <v>6.1516540546796637E-2</v>
      </c>
      <c r="W189" s="27">
        <f t="shared" si="50"/>
        <v>6.2059033118034318E-2</v>
      </c>
      <c r="X189" s="27">
        <f t="shared" si="50"/>
        <v>6.2686911431302672E-2</v>
      </c>
      <c r="Y189" s="27">
        <f t="shared" si="50"/>
        <v>6.3328093657155735E-2</v>
      </c>
      <c r="Z189" s="27">
        <f t="shared" si="50"/>
        <v>6.403779969028206E-2</v>
      </c>
      <c r="AA189" s="27">
        <f t="shared" si="50"/>
        <v>6.476949047597555E-2</v>
      </c>
      <c r="AB189" s="27">
        <f t="shared" si="50"/>
        <v>6.5565173536469165E-2</v>
      </c>
      <c r="AC189" s="27">
        <f t="shared" si="50"/>
        <v>6.637880571901654E-2</v>
      </c>
      <c r="AD189" s="27">
        <f t="shared" si="50"/>
        <v>6.7257796908474193E-2</v>
      </c>
      <c r="AE189" s="27">
        <f t="shared" si="50"/>
        <v>6.8124891518831304E-2</v>
      </c>
      <c r="AF189" s="27">
        <f t="shared" si="50"/>
        <v>6.9040103414992046E-2</v>
      </c>
      <c r="AG189" s="27">
        <f t="shared" si="50"/>
        <v>7.0075359365803738E-2</v>
      </c>
      <c r="AH189" s="27">
        <f t="shared" si="50"/>
        <v>7.1059649676811054E-2</v>
      </c>
      <c r="AI189" s="27">
        <f t="shared" si="50"/>
        <v>7.2069034177178609E-2</v>
      </c>
      <c r="AJ189" s="27">
        <f t="shared" si="50"/>
        <v>7.3148525212574408E-2</v>
      </c>
      <c r="AK189" s="27">
        <f t="shared" si="50"/>
        <v>7.4159878217982214E-2</v>
      </c>
      <c r="AL189" s="27">
        <f t="shared" si="50"/>
        <v>7.5165742888720646E-2</v>
      </c>
      <c r="AM189" s="27">
        <f t="shared" si="50"/>
        <v>7.6168917031251032E-2</v>
      </c>
      <c r="AN189" s="27">
        <f t="shared" si="50"/>
        <v>7.7230245197332834E-2</v>
      </c>
      <c r="AO189" s="27">
        <f t="shared" si="50"/>
        <v>7.8248884607158259E-2</v>
      </c>
      <c r="AP189" s="27">
        <f t="shared" si="50"/>
        <v>7.9307079203447303E-2</v>
      </c>
      <c r="AQ189" s="27">
        <f t="shared" si="50"/>
        <v>8.0409655218804749E-2</v>
      </c>
      <c r="AR189" s="27">
        <f t="shared" si="50"/>
        <v>8.1564373746965665E-2</v>
      </c>
      <c r="AS189" s="27">
        <f t="shared" si="50"/>
        <v>8.2739517725039347E-2</v>
      </c>
      <c r="AT189" s="27">
        <f t="shared" si="50"/>
        <v>8.3018134970904087E-2</v>
      </c>
      <c r="AU189" s="27">
        <f t="shared" si="50"/>
        <v>8.3216426012492323E-2</v>
      </c>
      <c r="AV189" s="27">
        <f t="shared" si="50"/>
        <v>8.3297669475104599E-2</v>
      </c>
      <c r="AW189" s="27">
        <f t="shared" si="50"/>
        <v>8.3346726471042673E-2</v>
      </c>
      <c r="AY189" s="79"/>
    </row>
    <row r="190" spans="1:51" x14ac:dyDescent="0.3">
      <c r="A190" s="95" t="str">
        <f t="shared" si="45"/>
        <v>FA Cattle MMN2O</v>
      </c>
      <c r="B190" s="95" t="s">
        <v>962</v>
      </c>
      <c r="C190" s="95" t="s">
        <v>1232</v>
      </c>
      <c r="D190" t="s">
        <v>15</v>
      </c>
      <c r="E190" t="s">
        <v>657</v>
      </c>
      <c r="F190" t="s">
        <v>6</v>
      </c>
      <c r="G190" t="s">
        <v>137</v>
      </c>
      <c r="H190" t="s">
        <v>1227</v>
      </c>
      <c r="I190" t="s">
        <v>139</v>
      </c>
      <c r="J190" t="s">
        <v>287</v>
      </c>
      <c r="K190" s="27">
        <f t="shared" si="47"/>
        <v>0.26041511380118898</v>
      </c>
      <c r="L190" s="27">
        <f t="shared" si="50"/>
        <v>0.26187096745907484</v>
      </c>
      <c r="M190" s="27">
        <f t="shared" si="50"/>
        <v>0.26393657447404822</v>
      </c>
      <c r="N190" s="27">
        <f t="shared" si="50"/>
        <v>0.26526394701365208</v>
      </c>
      <c r="O190" s="27">
        <f t="shared" si="50"/>
        <v>0.26614599213711043</v>
      </c>
      <c r="P190" s="27">
        <f t="shared" si="50"/>
        <v>0.26657402855087203</v>
      </c>
      <c r="Q190" s="27">
        <f t="shared" si="50"/>
        <v>0.26751972028770321</v>
      </c>
      <c r="R190" s="27">
        <f t="shared" si="50"/>
        <v>0.26860458755254496</v>
      </c>
      <c r="S190" s="27">
        <f t="shared" si="50"/>
        <v>0.26053044120627478</v>
      </c>
      <c r="T190" s="27">
        <f t="shared" si="50"/>
        <v>0.26326994979492208</v>
      </c>
      <c r="U190" s="27">
        <f t="shared" si="50"/>
        <v>0.26727986548475752</v>
      </c>
      <c r="V190" s="27">
        <f t="shared" si="50"/>
        <v>0.2693583012486882</v>
      </c>
      <c r="W190" s="27">
        <f t="shared" si="50"/>
        <v>0.27173367665390064</v>
      </c>
      <c r="X190" s="27">
        <f t="shared" si="50"/>
        <v>0.27448292481300673</v>
      </c>
      <c r="Y190" s="27">
        <f t="shared" si="50"/>
        <v>0.27729042591127234</v>
      </c>
      <c r="Z190" s="27">
        <f t="shared" si="50"/>
        <v>0.28039796755405094</v>
      </c>
      <c r="AA190" s="27">
        <f t="shared" si="50"/>
        <v>0.28360177234089196</v>
      </c>
      <c r="AB190" s="27">
        <f t="shared" si="50"/>
        <v>0.28708577575853983</v>
      </c>
      <c r="AC190" s="27">
        <f t="shared" si="50"/>
        <v>0.29064837177880054</v>
      </c>
      <c r="AD190" s="27">
        <f t="shared" si="50"/>
        <v>0.29449715084700523</v>
      </c>
      <c r="AE190" s="27">
        <f t="shared" si="50"/>
        <v>0.29829383917166835</v>
      </c>
      <c r="AF190" s="27">
        <f t="shared" si="50"/>
        <v>0.30230121539018168</v>
      </c>
      <c r="AG190" s="27">
        <f t="shared" si="50"/>
        <v>0.30683422036395941</v>
      </c>
      <c r="AH190" s="27">
        <f t="shared" si="50"/>
        <v>0.31114406554952856</v>
      </c>
      <c r="AI190" s="27">
        <f t="shared" si="50"/>
        <v>0.31556378895902254</v>
      </c>
      <c r="AJ190" s="27">
        <f t="shared" si="50"/>
        <v>0.32029048309563773</v>
      </c>
      <c r="AK190" s="27">
        <f t="shared" si="50"/>
        <v>0.32471882586455802</v>
      </c>
      <c r="AL190" s="27">
        <f t="shared" si="50"/>
        <v>0.32912313723492953</v>
      </c>
      <c r="AM190" s="27">
        <f t="shared" si="50"/>
        <v>0.33351566777203023</v>
      </c>
      <c r="AN190" s="27">
        <f t="shared" si="50"/>
        <v>0.33816283338541037</v>
      </c>
      <c r="AO190" s="27">
        <f t="shared" si="50"/>
        <v>0.34262308063885955</v>
      </c>
      <c r="AP190" s="27">
        <f t="shared" si="50"/>
        <v>0.34725652550284908</v>
      </c>
      <c r="AQ190" s="27">
        <f t="shared" si="50"/>
        <v>0.35208430027455134</v>
      </c>
      <c r="AR190" s="27">
        <f t="shared" si="50"/>
        <v>0.3571403879283947</v>
      </c>
      <c r="AS190" s="27">
        <f t="shared" si="50"/>
        <v>0.36228591111358999</v>
      </c>
      <c r="AT190" s="27">
        <f t="shared" si="50"/>
        <v>0.36350587353959202</v>
      </c>
      <c r="AU190" s="27">
        <f t="shared" si="50"/>
        <v>0.36437411706629697</v>
      </c>
      <c r="AV190" s="27">
        <f t="shared" si="50"/>
        <v>0.36472985230241872</v>
      </c>
      <c r="AW190" s="27">
        <f t="shared" si="50"/>
        <v>0.36494465484126087</v>
      </c>
      <c r="AY190" s="79"/>
    </row>
    <row r="191" spans="1:51" x14ac:dyDescent="0.3">
      <c r="A191" s="95" t="str">
        <f t="shared" si="45"/>
        <v>FA Cattle MMN2O</v>
      </c>
      <c r="B191" s="95" t="s">
        <v>962</v>
      </c>
      <c r="C191" s="95" t="s">
        <v>1232</v>
      </c>
      <c r="D191" t="s">
        <v>15</v>
      </c>
      <c r="E191" t="s">
        <v>657</v>
      </c>
      <c r="F191" t="s">
        <v>67</v>
      </c>
      <c r="G191" t="s">
        <v>307</v>
      </c>
      <c r="H191" t="s">
        <v>1227</v>
      </c>
      <c r="I191" t="s">
        <v>139</v>
      </c>
      <c r="J191" t="s">
        <v>287</v>
      </c>
      <c r="K191" s="27">
        <f t="shared" si="47"/>
        <v>1.1586934798802538E-2</v>
      </c>
      <c r="L191" s="27">
        <f t="shared" si="50"/>
        <v>1.1651711689683764E-2</v>
      </c>
      <c r="M191" s="27">
        <f t="shared" si="50"/>
        <v>1.1743619004328788E-2</v>
      </c>
      <c r="N191" s="27">
        <f t="shared" si="50"/>
        <v>1.1802679244134426E-2</v>
      </c>
      <c r="O191" s="27">
        <f t="shared" si="50"/>
        <v>1.1841925043604099E-2</v>
      </c>
      <c r="P191" s="27">
        <f t="shared" si="50"/>
        <v>1.1860970136438286E-2</v>
      </c>
      <c r="Q191" s="27">
        <f t="shared" si="50"/>
        <v>1.1903047834366352E-2</v>
      </c>
      <c r="R191" s="27">
        <f t="shared" si="50"/>
        <v>1.1951318021451857E-2</v>
      </c>
      <c r="S191" s="27">
        <f t="shared" si="50"/>
        <v>1.1592066187314282E-2</v>
      </c>
      <c r="T191" s="27">
        <f t="shared" si="50"/>
        <v>1.1713958142562505E-2</v>
      </c>
      <c r="U191" s="27">
        <f t="shared" si="50"/>
        <v>1.1892375711990867E-2</v>
      </c>
      <c r="V191" s="27">
        <f t="shared" si="50"/>
        <v>1.1984853830210035E-2</v>
      </c>
      <c r="W191" s="27">
        <f t="shared" si="50"/>
        <v>1.2090544009021577E-2</v>
      </c>
      <c r="X191" s="27">
        <f t="shared" si="50"/>
        <v>1.221286931764253E-2</v>
      </c>
      <c r="Y191" s="27">
        <f t="shared" si="50"/>
        <v>1.2337786538069315E-2</v>
      </c>
      <c r="Z191" s="27">
        <f t="shared" si="50"/>
        <v>1.2476053790971267E-2</v>
      </c>
      <c r="AA191" s="27">
        <f t="shared" si="50"/>
        <v>1.2618604185344915E-2</v>
      </c>
      <c r="AB191" s="27">
        <f t="shared" si="50"/>
        <v>1.2773621764201382E-2</v>
      </c>
      <c r="AC191" s="27">
        <f t="shared" si="50"/>
        <v>1.293213624978054E-2</v>
      </c>
      <c r="AD191" s="27">
        <f t="shared" si="50"/>
        <v>1.3103384191066813E-2</v>
      </c>
      <c r="AE191" s="27">
        <f t="shared" si="50"/>
        <v>1.3272314401864145E-2</v>
      </c>
      <c r="AF191" s="27">
        <f t="shared" si="50"/>
        <v>1.345061897981439E-2</v>
      </c>
      <c r="AG191" s="27">
        <f t="shared" si="50"/>
        <v>1.3652310933507637E-2</v>
      </c>
      <c r="AH191" s="27">
        <f t="shared" si="50"/>
        <v>1.3844073594396234E-2</v>
      </c>
      <c r="AI191" s="27">
        <f t="shared" si="50"/>
        <v>1.4040725187412617E-2</v>
      </c>
      <c r="AJ191" s="27">
        <f t="shared" si="50"/>
        <v>1.4251035165107133E-2</v>
      </c>
      <c r="AK191" s="27">
        <f t="shared" si="50"/>
        <v>1.4448070268720213E-2</v>
      </c>
      <c r="AL191" s="27">
        <f t="shared" si="50"/>
        <v>1.4644036117004574E-2</v>
      </c>
      <c r="AM191" s="27">
        <f t="shared" si="50"/>
        <v>1.4839477787774847E-2</v>
      </c>
      <c r="AN191" s="27">
        <f t="shared" si="50"/>
        <v>1.5046249215805637E-2</v>
      </c>
      <c r="AO191" s="27">
        <f t="shared" si="50"/>
        <v>1.5244703880582538E-2</v>
      </c>
      <c r="AP191" s="27">
        <f t="shared" si="50"/>
        <v>1.5450864816287217E-2</v>
      </c>
      <c r="AQ191" s="27">
        <f t="shared" si="50"/>
        <v>1.5665672285356487E-2</v>
      </c>
      <c r="AR191" s="27">
        <f t="shared" si="50"/>
        <v>1.589063832948109E-2</v>
      </c>
      <c r="AS191" s="27">
        <f t="shared" si="50"/>
        <v>1.6119583726629205E-2</v>
      </c>
      <c r="AT191" s="27">
        <f t="shared" si="50"/>
        <v>1.6173864850642101E-2</v>
      </c>
      <c r="AU191" s="27">
        <f t="shared" si="50"/>
        <v>1.6212496560555425E-2</v>
      </c>
      <c r="AV191" s="27">
        <f t="shared" si="50"/>
        <v>1.6228324677927005E-2</v>
      </c>
      <c r="AW191" s="27">
        <f t="shared" si="50"/>
        <v>1.6237882122484858E-2</v>
      </c>
      <c r="AY191" s="79"/>
    </row>
    <row r="192" spans="1:51" x14ac:dyDescent="0.3">
      <c r="A192" s="95" t="str">
        <f t="shared" si="45"/>
        <v>FA Cattle MMN2O</v>
      </c>
      <c r="B192" s="95" t="s">
        <v>962</v>
      </c>
      <c r="C192" s="95" t="s">
        <v>1232</v>
      </c>
      <c r="D192" t="s">
        <v>15</v>
      </c>
      <c r="E192" t="s">
        <v>657</v>
      </c>
      <c r="F192" t="s">
        <v>67</v>
      </c>
      <c r="G192" t="s">
        <v>122</v>
      </c>
      <c r="H192" t="s">
        <v>1227</v>
      </c>
      <c r="I192" t="s">
        <v>139</v>
      </c>
      <c r="J192" t="s">
        <v>287</v>
      </c>
      <c r="K192" s="27">
        <f t="shared" si="47"/>
        <v>0.52525224947331306</v>
      </c>
      <c r="L192" s="27">
        <f t="shared" si="50"/>
        <v>0.52069690445710348</v>
      </c>
      <c r="M192" s="27">
        <f t="shared" si="50"/>
        <v>0.51896282251134873</v>
      </c>
      <c r="N192" s="27">
        <f t="shared" si="50"/>
        <v>0.51203275332440912</v>
      </c>
      <c r="O192" s="27">
        <f t="shared" si="50"/>
        <v>0.50197358865556674</v>
      </c>
      <c r="P192" s="27">
        <f t="shared" si="50"/>
        <v>0.48899333628247271</v>
      </c>
      <c r="Q192" s="27">
        <f t="shared" si="50"/>
        <v>0.47875543160314177</v>
      </c>
      <c r="R192" s="27">
        <f t="shared" si="50"/>
        <v>0.46906920988966794</v>
      </c>
      <c r="S192" s="27">
        <f t="shared" si="50"/>
        <v>0.41264416115350733</v>
      </c>
      <c r="T192" s="27">
        <f t="shared" si="50"/>
        <v>0.41934674582080395</v>
      </c>
      <c r="U192" s="27">
        <f t="shared" ref="L192:AW198" si="51">U1414</f>
        <v>0.43185062896277993</v>
      </c>
      <c r="V192" s="27">
        <f t="shared" si="51"/>
        <v>0.43434779885132324</v>
      </c>
      <c r="W192" s="27">
        <f t="shared" si="51"/>
        <v>0.43794943602225234</v>
      </c>
      <c r="X192" s="27">
        <f t="shared" si="51"/>
        <v>0.44297379932068648</v>
      </c>
      <c r="Y192" s="27">
        <f t="shared" si="51"/>
        <v>0.44873697326986872</v>
      </c>
      <c r="Z192" s="27">
        <f t="shared" si="51"/>
        <v>0.45549399211939318</v>
      </c>
      <c r="AA192" s="27">
        <f t="shared" si="51"/>
        <v>0.46228217585155068</v>
      </c>
      <c r="AB192" s="27">
        <f t="shared" si="51"/>
        <v>0.46991678793970998</v>
      </c>
      <c r="AC192" s="27">
        <f t="shared" si="51"/>
        <v>0.47747563485930333</v>
      </c>
      <c r="AD192" s="27">
        <f t="shared" si="51"/>
        <v>0.48239948914340336</v>
      </c>
      <c r="AE192" s="27">
        <f t="shared" si="51"/>
        <v>0.48644231664639292</v>
      </c>
      <c r="AF192" s="27">
        <f t="shared" si="51"/>
        <v>0.49071333483501467</v>
      </c>
      <c r="AG192" s="27">
        <f t="shared" si="51"/>
        <v>0.49642790918475599</v>
      </c>
      <c r="AH192" s="27">
        <f t="shared" si="51"/>
        <v>0.50053763889453751</v>
      </c>
      <c r="AI192" s="27">
        <f t="shared" si="51"/>
        <v>0.50491759807835224</v>
      </c>
      <c r="AJ192" s="27">
        <f t="shared" si="51"/>
        <v>0.50973902676184191</v>
      </c>
      <c r="AK192" s="27">
        <f t="shared" si="51"/>
        <v>0.51274341869053752</v>
      </c>
      <c r="AL192" s="27">
        <f t="shared" si="51"/>
        <v>0.51499736836395149</v>
      </c>
      <c r="AM192" s="27">
        <f t="shared" si="51"/>
        <v>0.51656513471542254</v>
      </c>
      <c r="AN192" s="27">
        <f t="shared" si="51"/>
        <v>0.52143890594170261</v>
      </c>
      <c r="AO192" s="27">
        <f t="shared" si="51"/>
        <v>0.52514358906624359</v>
      </c>
      <c r="AP192" s="27">
        <f t="shared" si="51"/>
        <v>0.52889503602895283</v>
      </c>
      <c r="AQ192" s="27">
        <f t="shared" si="51"/>
        <v>0.53273616168720928</v>
      </c>
      <c r="AR192" s="27">
        <f t="shared" si="51"/>
        <v>0.53674442357271479</v>
      </c>
      <c r="AS192" s="27">
        <f t="shared" si="51"/>
        <v>0.54085984384551011</v>
      </c>
      <c r="AT192" s="27">
        <f t="shared" si="51"/>
        <v>0.53274169797877946</v>
      </c>
      <c r="AU192" s="27">
        <f t="shared" si="51"/>
        <v>0.52354520401592364</v>
      </c>
      <c r="AV192" s="27">
        <f t="shared" si="51"/>
        <v>0.51288351759282347</v>
      </c>
      <c r="AW192" s="27">
        <f t="shared" si="51"/>
        <v>0.50188770167031349</v>
      </c>
      <c r="AY192" s="79"/>
    </row>
    <row r="193" spans="1:51" x14ac:dyDescent="0.3">
      <c r="A193" s="95" t="str">
        <f t="shared" si="45"/>
        <v>FA Cattle MMN2O</v>
      </c>
      <c r="B193" s="95" t="s">
        <v>962</v>
      </c>
      <c r="C193" s="95" t="s">
        <v>1232</v>
      </c>
      <c r="D193" t="s">
        <v>15</v>
      </c>
      <c r="E193" t="s">
        <v>657</v>
      </c>
      <c r="F193" t="s">
        <v>67</v>
      </c>
      <c r="G193" t="s">
        <v>123</v>
      </c>
      <c r="H193" t="s">
        <v>1227</v>
      </c>
      <c r="I193" t="s">
        <v>139</v>
      </c>
      <c r="J193" t="s">
        <v>287</v>
      </c>
      <c r="K193" s="27">
        <f t="shared" si="47"/>
        <v>0.80452586370517887</v>
      </c>
      <c r="L193" s="27">
        <f t="shared" si="51"/>
        <v>0.79754846782098032</v>
      </c>
      <c r="M193" s="27">
        <f t="shared" si="51"/>
        <v>0.79489238443144172</v>
      </c>
      <c r="N193" s="27">
        <f t="shared" si="51"/>
        <v>0.78427763712907439</v>
      </c>
      <c r="O193" s="27">
        <f t="shared" si="51"/>
        <v>0.76887007218962322</v>
      </c>
      <c r="P193" s="27">
        <f t="shared" si="51"/>
        <v>0.74898829393537225</v>
      </c>
      <c r="Q193" s="27">
        <f t="shared" si="51"/>
        <v>0.73330695394505496</v>
      </c>
      <c r="R193" s="27">
        <f t="shared" si="51"/>
        <v>0.71847062359542491</v>
      </c>
      <c r="S193" s="27">
        <f t="shared" si="51"/>
        <v>0.63204469945214758</v>
      </c>
      <c r="T193" s="27">
        <f t="shared" si="51"/>
        <v>0.6423110100180156</v>
      </c>
      <c r="U193" s="27">
        <f t="shared" si="51"/>
        <v>0.66146313624794417</v>
      </c>
      <c r="V193" s="27">
        <f t="shared" si="51"/>
        <v>0.6652880370711457</v>
      </c>
      <c r="W193" s="27">
        <f t="shared" si="51"/>
        <v>0.6708046441082407</v>
      </c>
      <c r="X193" s="27">
        <f t="shared" si="51"/>
        <v>0.67850043261042148</v>
      </c>
      <c r="Y193" s="27">
        <f t="shared" si="51"/>
        <v>0.68732785315702249</v>
      </c>
      <c r="Z193" s="27">
        <f t="shared" si="51"/>
        <v>0.69767754024819972</v>
      </c>
      <c r="AA193" s="27">
        <f t="shared" si="51"/>
        <v>0.70807496241170254</v>
      </c>
      <c r="AB193" s="27">
        <f t="shared" si="51"/>
        <v>0.71976885404270319</v>
      </c>
      <c r="AC193" s="27">
        <f t="shared" si="51"/>
        <v>0.73134669659873019</v>
      </c>
      <c r="AD193" s="27">
        <f t="shared" si="51"/>
        <v>0.73888853601902071</v>
      </c>
      <c r="AE193" s="27">
        <f t="shared" si="51"/>
        <v>0.74508091176213287</v>
      </c>
      <c r="AF193" s="27">
        <f t="shared" si="51"/>
        <v>0.7516228058721478</v>
      </c>
      <c r="AG193" s="27">
        <f t="shared" si="51"/>
        <v>0.76037578669049388</v>
      </c>
      <c r="AH193" s="27">
        <f t="shared" si="51"/>
        <v>0.76667063616076714</v>
      </c>
      <c r="AI193" s="27">
        <f t="shared" si="51"/>
        <v>0.77337939456948435</v>
      </c>
      <c r="AJ193" s="27">
        <f t="shared" si="51"/>
        <v>0.78076434928365657</v>
      </c>
      <c r="AK193" s="27">
        <f t="shared" si="51"/>
        <v>0.78536615920216046</v>
      </c>
      <c r="AL193" s="27">
        <f t="shared" si="51"/>
        <v>0.78881852101416539</v>
      </c>
      <c r="AM193" s="27">
        <f t="shared" si="51"/>
        <v>0.79121985976001552</v>
      </c>
      <c r="AN193" s="27">
        <f t="shared" si="51"/>
        <v>0.79868498724734416</v>
      </c>
      <c r="AO193" s="27">
        <f t="shared" si="51"/>
        <v>0.80435942918169867</v>
      </c>
      <c r="AP193" s="27">
        <f t="shared" si="51"/>
        <v>0.81010549901927509</v>
      </c>
      <c r="AQ193" s="27">
        <f t="shared" si="51"/>
        <v>0.81598892920145427</v>
      </c>
      <c r="AR193" s="27">
        <f t="shared" si="51"/>
        <v>0.82212836098613751</v>
      </c>
      <c r="AS193" s="27">
        <f t="shared" si="51"/>
        <v>0.82843192665920329</v>
      </c>
      <c r="AT193" s="27">
        <f t="shared" si="51"/>
        <v>0.81599740910755991</v>
      </c>
      <c r="AU193" s="27">
        <f t="shared" si="51"/>
        <v>0.80191119195009897</v>
      </c>
      <c r="AV193" s="27">
        <f t="shared" si="51"/>
        <v>0.78558074788879373</v>
      </c>
      <c r="AW193" s="27">
        <f t="shared" si="51"/>
        <v>0.76873851958597172</v>
      </c>
      <c r="AY193" s="79"/>
    </row>
    <row r="194" spans="1:51" x14ac:dyDescent="0.3">
      <c r="A194" s="95" t="str">
        <f t="shared" si="45"/>
        <v>FA Cattle MMN2O</v>
      </c>
      <c r="B194" s="95" t="s">
        <v>962</v>
      </c>
      <c r="C194" s="95" t="s">
        <v>1232</v>
      </c>
      <c r="D194" t="s">
        <v>15</v>
      </c>
      <c r="E194" t="s">
        <v>657</v>
      </c>
      <c r="F194" t="s">
        <v>67</v>
      </c>
      <c r="G194" t="s">
        <v>135</v>
      </c>
      <c r="H194" t="s">
        <v>1227</v>
      </c>
      <c r="I194" t="s">
        <v>139</v>
      </c>
      <c r="J194" t="s">
        <v>287</v>
      </c>
      <c r="K194" s="27">
        <f t="shared" si="47"/>
        <v>0.97926119892671493</v>
      </c>
      <c r="L194" s="27">
        <f t="shared" si="51"/>
        <v>1.0122801448609142</v>
      </c>
      <c r="M194" s="27">
        <f t="shared" si="51"/>
        <v>1.0514701788925804</v>
      </c>
      <c r="N194" s="27">
        <f t="shared" si="51"/>
        <v>1.0806972456941153</v>
      </c>
      <c r="O194" s="27">
        <f t="shared" si="51"/>
        <v>1.1032367943433714</v>
      </c>
      <c r="P194" s="27">
        <f t="shared" si="51"/>
        <v>1.1187666946803865</v>
      </c>
      <c r="Q194" s="27">
        <f t="shared" si="51"/>
        <v>1.1399714801203362</v>
      </c>
      <c r="R194" s="27">
        <f t="shared" si="51"/>
        <v>1.1622002864669057</v>
      </c>
      <c r="S194" s="27">
        <f t="shared" si="51"/>
        <v>1.0637182358780759</v>
      </c>
      <c r="T194" s="27">
        <f t="shared" si="51"/>
        <v>1.1070403364801074</v>
      </c>
      <c r="U194" s="27">
        <f t="shared" si="51"/>
        <v>1.167139233674557</v>
      </c>
      <c r="V194" s="27">
        <f t="shared" si="51"/>
        <v>1.2014274387995842</v>
      </c>
      <c r="W194" s="27">
        <f t="shared" si="51"/>
        <v>1.2394742549139584</v>
      </c>
      <c r="X194" s="27">
        <f t="shared" si="51"/>
        <v>1.2824424199036168</v>
      </c>
      <c r="Y194" s="27">
        <f t="shared" si="51"/>
        <v>1.3286164007902908</v>
      </c>
      <c r="Z194" s="27">
        <f t="shared" si="51"/>
        <v>1.3789486454543383</v>
      </c>
      <c r="AA194" s="27">
        <f t="shared" si="51"/>
        <v>1.4306963818966387</v>
      </c>
      <c r="AB194" s="27">
        <f t="shared" si="51"/>
        <v>1.4864839183326823</v>
      </c>
      <c r="AC194" s="27">
        <f t="shared" si="51"/>
        <v>1.5435464944872577</v>
      </c>
      <c r="AD194" s="27">
        <f t="shared" si="51"/>
        <v>1.6111800014411353</v>
      </c>
      <c r="AE194" s="27">
        <f t="shared" si="51"/>
        <v>1.6786649286792732</v>
      </c>
      <c r="AF194" s="27">
        <f t="shared" si="51"/>
        <v>1.7498130115622672</v>
      </c>
      <c r="AG194" s="27">
        <f t="shared" si="51"/>
        <v>1.8293448328146484</v>
      </c>
      <c r="AH194" s="27">
        <f t="shared" si="51"/>
        <v>1.9063603244571439</v>
      </c>
      <c r="AI194" s="27">
        <f t="shared" si="51"/>
        <v>1.9878317329791768</v>
      </c>
      <c r="AJ194" s="27">
        <f t="shared" si="51"/>
        <v>2.0747636655461594</v>
      </c>
      <c r="AK194" s="27">
        <f t="shared" si="51"/>
        <v>2.1580530015142441</v>
      </c>
      <c r="AL194" s="27">
        <f t="shared" si="51"/>
        <v>2.2418001061580344</v>
      </c>
      <c r="AM194" s="27">
        <f t="shared" si="51"/>
        <v>2.326186702125502</v>
      </c>
      <c r="AN194" s="27">
        <f t="shared" si="51"/>
        <v>2.4143873382610392</v>
      </c>
      <c r="AO194" s="27">
        <f t="shared" si="51"/>
        <v>2.5003845769659914</v>
      </c>
      <c r="AP194" s="27">
        <f t="shared" si="51"/>
        <v>2.5898227222528956</v>
      </c>
      <c r="AQ194" s="27">
        <f t="shared" si="51"/>
        <v>2.6830977224212833</v>
      </c>
      <c r="AR194" s="27">
        <f t="shared" si="51"/>
        <v>2.7808208792989615</v>
      </c>
      <c r="AS194" s="27">
        <f t="shared" si="51"/>
        <v>2.8829310376391781</v>
      </c>
      <c r="AT194" s="27">
        <f t="shared" si="51"/>
        <v>2.9219897527083054</v>
      </c>
      <c r="AU194" s="27">
        <f t="shared" si="51"/>
        <v>2.955308116539189</v>
      </c>
      <c r="AV194" s="27">
        <f t="shared" si="51"/>
        <v>2.9801202079374365</v>
      </c>
      <c r="AW194" s="27">
        <f t="shared" si="51"/>
        <v>3.0024365734571252</v>
      </c>
      <c r="AY194" s="79"/>
    </row>
    <row r="195" spans="1:51" x14ac:dyDescent="0.3">
      <c r="A195" s="95" t="str">
        <f t="shared" si="45"/>
        <v>FA Sheep MMN2O</v>
      </c>
      <c r="B195" s="95" t="s">
        <v>962</v>
      </c>
      <c r="C195" s="95" t="s">
        <v>1328</v>
      </c>
      <c r="D195" t="s">
        <v>15</v>
      </c>
      <c r="E195" t="s">
        <v>657</v>
      </c>
      <c r="F195" t="s">
        <v>18</v>
      </c>
      <c r="G195" t="s">
        <v>122</v>
      </c>
      <c r="H195" t="s">
        <v>1227</v>
      </c>
      <c r="I195" t="s">
        <v>139</v>
      </c>
      <c r="J195" t="s">
        <v>287</v>
      </c>
      <c r="K195" s="27">
        <f t="shared" si="47"/>
        <v>0.1171883187565219</v>
      </c>
      <c r="L195" s="27">
        <f t="shared" si="51"/>
        <v>0.11725168210757804</v>
      </c>
      <c r="M195" s="27">
        <f t="shared" si="51"/>
        <v>0.11740318150277541</v>
      </c>
      <c r="N195" s="27">
        <f t="shared" si="51"/>
        <v>0.11762656857541021</v>
      </c>
      <c r="O195" s="27">
        <f t="shared" si="51"/>
        <v>0.1179204237689029</v>
      </c>
      <c r="P195" s="27">
        <f t="shared" si="51"/>
        <v>0.11828164409401502</v>
      </c>
      <c r="Q195" s="27">
        <f t="shared" si="51"/>
        <v>0.1186873438242913</v>
      </c>
      <c r="R195" s="27">
        <f t="shared" si="51"/>
        <v>0.11913496163447934</v>
      </c>
      <c r="S195" s="27">
        <f t="shared" si="51"/>
        <v>0.11954428347803586</v>
      </c>
      <c r="T195" s="27">
        <f t="shared" si="51"/>
        <v>0.11972414940561894</v>
      </c>
      <c r="U195" s="27">
        <f t="shared" si="51"/>
        <v>0.11994380434419684</v>
      </c>
      <c r="V195" s="27">
        <f t="shared" si="51"/>
        <v>0.12017467883012861</v>
      </c>
      <c r="W195" s="27">
        <f t="shared" si="51"/>
        <v>0.12043388472990403</v>
      </c>
      <c r="X195" s="27">
        <f t="shared" si="51"/>
        <v>0.12072069678028939</v>
      </c>
      <c r="Y195" s="27">
        <f t="shared" si="51"/>
        <v>0.12089981812671623</v>
      </c>
      <c r="Z195" s="27">
        <f t="shared" si="51"/>
        <v>0.12110217984152867</v>
      </c>
      <c r="AA195" s="27">
        <f t="shared" si="51"/>
        <v>0.12132504756910802</v>
      </c>
      <c r="AB195" s="27">
        <f t="shared" si="51"/>
        <v>0.12156903411725499</v>
      </c>
      <c r="AC195" s="27">
        <f t="shared" si="51"/>
        <v>0.12183162117803532</v>
      </c>
      <c r="AD195" s="27">
        <f t="shared" si="51"/>
        <v>0.12200776858907328</v>
      </c>
      <c r="AE195" s="27">
        <f t="shared" si="51"/>
        <v>0.12219899661673859</v>
      </c>
      <c r="AF195" s="27">
        <f t="shared" si="51"/>
        <v>0.12240684242118335</v>
      </c>
      <c r="AG195" s="27">
        <f t="shared" si="51"/>
        <v>0.12263333491271973</v>
      </c>
      <c r="AH195" s="27">
        <f t="shared" si="51"/>
        <v>0.12287167298468532</v>
      </c>
      <c r="AI195" s="27">
        <f t="shared" si="51"/>
        <v>0.12302401792252464</v>
      </c>
      <c r="AJ195" s="27">
        <f t="shared" si="51"/>
        <v>0.12319088645114676</v>
      </c>
      <c r="AK195" s="27">
        <f t="shared" si="51"/>
        <v>0.12336677489796816</v>
      </c>
      <c r="AL195" s="27">
        <f t="shared" si="51"/>
        <v>0.12355355577482134</v>
      </c>
      <c r="AM195" s="27">
        <f t="shared" si="51"/>
        <v>0.12375094588099321</v>
      </c>
      <c r="AN195" s="27">
        <f t="shared" si="51"/>
        <v>0.12386757855810271</v>
      </c>
      <c r="AO195" s="27">
        <f t="shared" si="51"/>
        <v>0.12399208535623993</v>
      </c>
      <c r="AP195" s="27">
        <f t="shared" si="51"/>
        <v>0.12412714040619617</v>
      </c>
      <c r="AQ195" s="27">
        <f t="shared" si="51"/>
        <v>0.1242726131383893</v>
      </c>
      <c r="AR195" s="27">
        <f t="shared" si="51"/>
        <v>0.12442850053815514</v>
      </c>
      <c r="AS195" s="27">
        <f t="shared" si="51"/>
        <v>0.12449922291454818</v>
      </c>
      <c r="AT195" s="27">
        <f t="shared" si="51"/>
        <v>0.12454479881058539</v>
      </c>
      <c r="AU195" s="27">
        <f t="shared" si="51"/>
        <v>0.12459475860623467</v>
      </c>
      <c r="AV195" s="27">
        <f t="shared" si="51"/>
        <v>0.12464752954530567</v>
      </c>
      <c r="AW195" s="27">
        <f t="shared" si="51"/>
        <v>0.12470598620434532</v>
      </c>
      <c r="AY195" s="79"/>
    </row>
    <row r="196" spans="1:51" x14ac:dyDescent="0.3">
      <c r="A196" s="95" t="str">
        <f t="shared" si="45"/>
        <v>FA Sheep MMN2O</v>
      </c>
      <c r="B196" s="95" t="s">
        <v>962</v>
      </c>
      <c r="C196" s="95" t="s">
        <v>1328</v>
      </c>
      <c r="D196" t="s">
        <v>15</v>
      </c>
      <c r="E196" t="s">
        <v>657</v>
      </c>
      <c r="F196" t="s">
        <v>18</v>
      </c>
      <c r="G196" t="s">
        <v>123</v>
      </c>
      <c r="H196" t="s">
        <v>1227</v>
      </c>
      <c r="I196" t="s">
        <v>139</v>
      </c>
      <c r="J196" t="s">
        <v>287</v>
      </c>
      <c r="K196" s="27">
        <f t="shared" si="47"/>
        <v>6.266545072674834E-2</v>
      </c>
      <c r="L196" s="27">
        <f t="shared" si="51"/>
        <v>6.269933373655362E-2</v>
      </c>
      <c r="M196" s="27">
        <f t="shared" si="51"/>
        <v>6.2780346741822493E-2</v>
      </c>
      <c r="N196" s="27">
        <f t="shared" si="51"/>
        <v>6.2899801067490158E-2</v>
      </c>
      <c r="O196" s="27">
        <f t="shared" si="51"/>
        <v>6.3056937617822231E-2</v>
      </c>
      <c r="P196" s="27">
        <f t="shared" si="51"/>
        <v>6.3250097095874355E-2</v>
      </c>
      <c r="Q196" s="27">
        <f t="shared" si="51"/>
        <v>6.3467041555247503E-2</v>
      </c>
      <c r="R196" s="27">
        <f t="shared" si="51"/>
        <v>6.3706401349179126E-2</v>
      </c>
      <c r="S196" s="27">
        <f t="shared" si="51"/>
        <v>6.3925282702636074E-2</v>
      </c>
      <c r="T196" s="27">
        <f t="shared" si="51"/>
        <v>6.402146446837842E-2</v>
      </c>
      <c r="U196" s="27">
        <f t="shared" si="51"/>
        <v>6.4138923067293366E-2</v>
      </c>
      <c r="V196" s="27">
        <f t="shared" si="51"/>
        <v>6.4262381223155141E-2</v>
      </c>
      <c r="W196" s="27">
        <f t="shared" si="51"/>
        <v>6.4400989360150498E-2</v>
      </c>
      <c r="X196" s="27">
        <f t="shared" si="51"/>
        <v>6.4554359649970958E-2</v>
      </c>
      <c r="Y196" s="27">
        <f t="shared" si="51"/>
        <v>6.4650143257311041E-2</v>
      </c>
      <c r="Z196" s="27">
        <f t="shared" si="51"/>
        <v>6.4758354452787853E-2</v>
      </c>
      <c r="AA196" s="27">
        <f t="shared" si="51"/>
        <v>6.4877531063130933E-2</v>
      </c>
      <c r="AB196" s="27">
        <f t="shared" si="51"/>
        <v>6.500800078206817E-2</v>
      </c>
      <c r="AC196" s="27">
        <f t="shared" si="51"/>
        <v>6.5148416965979825E-2</v>
      </c>
      <c r="AD196" s="27">
        <f t="shared" si="51"/>
        <v>6.5242610286817326E-2</v>
      </c>
      <c r="AE196" s="27">
        <f t="shared" si="51"/>
        <v>6.5344867838358231E-2</v>
      </c>
      <c r="AF196" s="27">
        <f t="shared" si="51"/>
        <v>6.5456011603840999E-2</v>
      </c>
      <c r="AG196" s="27">
        <f t="shared" si="51"/>
        <v>6.5577126525694585E-2</v>
      </c>
      <c r="AH196" s="27">
        <f t="shared" si="51"/>
        <v>6.570457577032536E-2</v>
      </c>
      <c r="AI196" s="27">
        <f t="shared" si="51"/>
        <v>6.5786040922287098E-2</v>
      </c>
      <c r="AJ196" s="27">
        <f t="shared" si="51"/>
        <v>6.5875272440148028E-2</v>
      </c>
      <c r="AK196" s="27">
        <f t="shared" si="51"/>
        <v>6.5969327282086584E-2</v>
      </c>
      <c r="AL196" s="27">
        <f t="shared" si="51"/>
        <v>6.6069206757782967E-2</v>
      </c>
      <c r="AM196" s="27">
        <f t="shared" si="51"/>
        <v>6.6174759428079058E-2</v>
      </c>
      <c r="AN196" s="27">
        <f t="shared" si="51"/>
        <v>6.623712775418944E-2</v>
      </c>
      <c r="AO196" s="27">
        <f t="shared" si="51"/>
        <v>6.6303706699144024E-2</v>
      </c>
      <c r="AP196" s="27">
        <f t="shared" si="51"/>
        <v>6.6375926231502153E-2</v>
      </c>
      <c r="AQ196" s="27">
        <f t="shared" si="51"/>
        <v>6.6453716530296997E-2</v>
      </c>
      <c r="AR196" s="27">
        <f t="shared" si="51"/>
        <v>6.653707598346266E-2</v>
      </c>
      <c r="AS196" s="27">
        <f t="shared" si="51"/>
        <v>6.6574894169098925E-2</v>
      </c>
      <c r="AT196" s="27">
        <f t="shared" si="51"/>
        <v>6.659926548953217E-2</v>
      </c>
      <c r="AU196" s="27">
        <f t="shared" si="51"/>
        <v>6.66259810627719E-2</v>
      </c>
      <c r="AV196" s="27">
        <f t="shared" si="51"/>
        <v>6.6654199870902653E-2</v>
      </c>
      <c r="AW196" s="27">
        <f t="shared" si="51"/>
        <v>6.6685459069136477E-2</v>
      </c>
      <c r="AY196" s="79"/>
    </row>
    <row r="197" spans="1:51" x14ac:dyDescent="0.3">
      <c r="A197" s="95" t="str">
        <f t="shared" si="45"/>
        <v>FA Goats MMN2O</v>
      </c>
      <c r="B197" s="95" t="s">
        <v>962</v>
      </c>
      <c r="C197" s="95" t="s">
        <v>1329</v>
      </c>
      <c r="D197" t="s">
        <v>15</v>
      </c>
      <c r="E197" t="s">
        <v>657</v>
      </c>
      <c r="F197" t="s">
        <v>19</v>
      </c>
      <c r="G197" t="s">
        <v>122</v>
      </c>
      <c r="H197" t="s">
        <v>1227</v>
      </c>
      <c r="I197" t="s">
        <v>139</v>
      </c>
      <c r="J197" t="s">
        <v>287</v>
      </c>
      <c r="K197" s="27">
        <f t="shared" si="47"/>
        <v>1.4486129996083084E-2</v>
      </c>
      <c r="L197" s="27">
        <f t="shared" si="51"/>
        <v>1.4523786941695514E-2</v>
      </c>
      <c r="M197" s="27">
        <f t="shared" si="51"/>
        <v>1.457573336741831E-2</v>
      </c>
      <c r="N197" s="27">
        <f t="shared" si="51"/>
        <v>1.4639017833045654E-2</v>
      </c>
      <c r="O197" s="27">
        <f t="shared" si="51"/>
        <v>1.4713550078172181E-2</v>
      </c>
      <c r="P197" s="27">
        <f t="shared" si="51"/>
        <v>1.4798876460462532E-2</v>
      </c>
      <c r="Q197" s="27">
        <f t="shared" si="51"/>
        <v>1.4890706011157261E-2</v>
      </c>
      <c r="R197" s="27">
        <f t="shared" si="51"/>
        <v>1.4988675221399694E-2</v>
      </c>
      <c r="S197" s="27">
        <f t="shared" si="51"/>
        <v>1.5077522200056563E-2</v>
      </c>
      <c r="T197" s="27">
        <f t="shared" si="51"/>
        <v>1.5120920467659648E-2</v>
      </c>
      <c r="U197" s="27">
        <f t="shared" si="51"/>
        <v>1.5170664566545743E-2</v>
      </c>
      <c r="V197" s="27">
        <f t="shared" si="51"/>
        <v>1.522137130781058E-2</v>
      </c>
      <c r="W197" s="27">
        <f t="shared" si="51"/>
        <v>1.527636657794784E-2</v>
      </c>
      <c r="X197" s="27">
        <f t="shared" si="51"/>
        <v>1.5335559486365858E-2</v>
      </c>
      <c r="Y197" s="27">
        <f t="shared" si="51"/>
        <v>1.5373440359637548E-2</v>
      </c>
      <c r="Z197" s="27">
        <f t="shared" si="51"/>
        <v>1.5414884136013281E-2</v>
      </c>
      <c r="AA197" s="27">
        <f t="shared" si="51"/>
        <v>1.5459406079654034E-2</v>
      </c>
      <c r="AB197" s="27">
        <f t="shared" si="51"/>
        <v>1.5507149153927192E-2</v>
      </c>
      <c r="AC197" s="27">
        <f t="shared" si="51"/>
        <v>1.55576650603759E-2</v>
      </c>
      <c r="AD197" s="27">
        <f t="shared" si="51"/>
        <v>1.5591353436562988E-2</v>
      </c>
      <c r="AE197" s="27">
        <f t="shared" si="51"/>
        <v>1.5627280085252663E-2</v>
      </c>
      <c r="AF197" s="27">
        <f t="shared" si="51"/>
        <v>1.5665749106164011E-2</v>
      </c>
      <c r="AG197" s="27">
        <f t="shared" si="51"/>
        <v>1.5707151218007597E-2</v>
      </c>
      <c r="AH197" s="27">
        <f t="shared" si="51"/>
        <v>1.575023561921594E-2</v>
      </c>
      <c r="AI197" s="27">
        <f t="shared" si="51"/>
        <v>1.5776918897393025E-2</v>
      </c>
      <c r="AJ197" s="27">
        <f t="shared" si="51"/>
        <v>1.5805875112600263E-2</v>
      </c>
      <c r="AK197" s="27">
        <f t="shared" si="51"/>
        <v>1.5836097205917665E-2</v>
      </c>
      <c r="AL197" s="27">
        <f t="shared" si="51"/>
        <v>1.5867941184595159E-2</v>
      </c>
      <c r="AM197" s="27">
        <f t="shared" si="51"/>
        <v>1.5901363449816974E-2</v>
      </c>
      <c r="AN197" s="27">
        <f t="shared" si="51"/>
        <v>1.5919623331121565E-2</v>
      </c>
      <c r="AO197" s="27">
        <f t="shared" si="51"/>
        <v>1.5939033537312693E-2</v>
      </c>
      <c r="AP197" s="27">
        <f t="shared" si="51"/>
        <v>1.5960089556991585E-2</v>
      </c>
      <c r="AQ197" s="27">
        <f t="shared" si="51"/>
        <v>1.5982771280705937E-2</v>
      </c>
      <c r="AR197" s="27">
        <f t="shared" si="51"/>
        <v>1.6007081325051208E-2</v>
      </c>
      <c r="AS197" s="27">
        <f t="shared" si="51"/>
        <v>1.6015649873683192E-2</v>
      </c>
      <c r="AT197" s="27">
        <f t="shared" si="51"/>
        <v>1.601945516807891E-2</v>
      </c>
      <c r="AU197" s="27">
        <f t="shared" si="51"/>
        <v>1.602387884909745E-2</v>
      </c>
      <c r="AV197" s="27">
        <f t="shared" si="51"/>
        <v>1.6028641289399778E-2</v>
      </c>
      <c r="AW197" s="27">
        <f t="shared" si="51"/>
        <v>1.6034267352361548E-2</v>
      </c>
      <c r="AY197" s="79"/>
    </row>
    <row r="198" spans="1:51" x14ac:dyDescent="0.3">
      <c r="A198" s="95" t="str">
        <f t="shared" si="45"/>
        <v>FA Goats MMN2O</v>
      </c>
      <c r="B198" s="95" t="s">
        <v>962</v>
      </c>
      <c r="C198" s="95" t="s">
        <v>1329</v>
      </c>
      <c r="D198" t="s">
        <v>15</v>
      </c>
      <c r="E198" t="s">
        <v>657</v>
      </c>
      <c r="F198" t="s">
        <v>19</v>
      </c>
      <c r="G198" t="s">
        <v>123</v>
      </c>
      <c r="H198" t="s">
        <v>1227</v>
      </c>
      <c r="I198" t="s">
        <v>139</v>
      </c>
      <c r="J198" t="s">
        <v>287</v>
      </c>
      <c r="K198" s="27">
        <f t="shared" si="47"/>
        <v>0.11484439540301131</v>
      </c>
      <c r="L198" s="27">
        <f t="shared" si="51"/>
        <v>0.11514293539628438</v>
      </c>
      <c r="M198" s="27">
        <f t="shared" si="51"/>
        <v>0.1155547607669731</v>
      </c>
      <c r="N198" s="27">
        <f t="shared" si="51"/>
        <v>0.11605647283191664</v>
      </c>
      <c r="O198" s="27">
        <f t="shared" si="51"/>
        <v>0.11664735601685972</v>
      </c>
      <c r="P198" s="27">
        <f t="shared" si="51"/>
        <v>0.11732381389682567</v>
      </c>
      <c r="Q198" s="27">
        <f t="shared" si="51"/>
        <v>0.11805182815822728</v>
      </c>
      <c r="R198" s="27">
        <f t="shared" si="51"/>
        <v>0.11882851694408277</v>
      </c>
      <c r="S198" s="27">
        <f t="shared" si="51"/>
        <v>0.11953288571269048</v>
      </c>
      <c r="T198" s="27">
        <f t="shared" si="51"/>
        <v>0.11987694225544984</v>
      </c>
      <c r="U198" s="27">
        <f t="shared" si="51"/>
        <v>0.12027130782879383</v>
      </c>
      <c r="V198" s="27">
        <f t="shared" si="51"/>
        <v>0.12067330512172106</v>
      </c>
      <c r="W198" s="27">
        <f t="shared" si="51"/>
        <v>0.12110930138508789</v>
      </c>
      <c r="X198" s="27">
        <f t="shared" si="51"/>
        <v>0.12157857604859369</v>
      </c>
      <c r="Y198" s="27">
        <f t="shared" si="51"/>
        <v>0.12187889131494858</v>
      </c>
      <c r="Z198" s="27">
        <f t="shared" si="51"/>
        <v>0.12220745287296136</v>
      </c>
      <c r="AA198" s="27">
        <f t="shared" si="51"/>
        <v>0.1225604177918853</v>
      </c>
      <c r="AB198" s="27">
        <f t="shared" si="51"/>
        <v>0.12293891946908028</v>
      </c>
      <c r="AC198" s="27">
        <f t="shared" si="51"/>
        <v>0.1233394038452322</v>
      </c>
      <c r="AD198" s="27">
        <f t="shared" si="51"/>
        <v>0.12360648147026812</v>
      </c>
      <c r="AE198" s="27">
        <f t="shared" si="51"/>
        <v>0.12389130386581051</v>
      </c>
      <c r="AF198" s="27">
        <f t="shared" si="51"/>
        <v>0.12419628189993717</v>
      </c>
      <c r="AG198" s="27">
        <f t="shared" si="51"/>
        <v>0.12452451314626521</v>
      </c>
      <c r="AH198" s="27">
        <f t="shared" si="51"/>
        <v>0.12486608139184988</v>
      </c>
      <c r="AI198" s="27">
        <f t="shared" si="51"/>
        <v>0.12507762339447212</v>
      </c>
      <c r="AJ198" s="27">
        <f t="shared" si="51"/>
        <v>0.12530718498404322</v>
      </c>
      <c r="AK198" s="27">
        <f t="shared" si="51"/>
        <v>0.12554678231167932</v>
      </c>
      <c r="AL198" s="27">
        <f t="shared" si="51"/>
        <v>0.12579923776247484</v>
      </c>
      <c r="AM198" s="27">
        <f t="shared" si="51"/>
        <v>0.12606420568996382</v>
      </c>
      <c r="AN198" s="27">
        <f t="shared" si="51"/>
        <v>0.12620896795767253</v>
      </c>
      <c r="AO198" s="27">
        <f t="shared" si="51"/>
        <v>0.1263628498705969</v>
      </c>
      <c r="AP198" s="27">
        <f t="shared" si="51"/>
        <v>0.12652977960616255</v>
      </c>
      <c r="AQ198" s="27">
        <f t="shared" si="51"/>
        <v>0.1267095977389128</v>
      </c>
      <c r="AR198" s="27">
        <f t="shared" si="51"/>
        <v>0.12690232501291954</v>
      </c>
      <c r="AS198" s="27">
        <f t="shared" si="51"/>
        <v>0.12697025549451732</v>
      </c>
      <c r="AT198" s="27">
        <f t="shared" si="51"/>
        <v>0.1270004234368404</v>
      </c>
      <c r="AU198" s="27">
        <f t="shared" si="51"/>
        <v>0.12703549387816376</v>
      </c>
      <c r="AV198" s="27">
        <f t="shared" ref="L198:AW205" si="52">AV1420</f>
        <v>0.12707324996466249</v>
      </c>
      <c r="AW198" s="27">
        <f t="shared" si="52"/>
        <v>0.1271178527536419</v>
      </c>
      <c r="AY198" s="79"/>
    </row>
    <row r="199" spans="1:51" x14ac:dyDescent="0.3">
      <c r="A199" s="95" t="str">
        <f t="shared" si="45"/>
        <v>FA Horses MMN2O</v>
      </c>
      <c r="B199" s="95" t="s">
        <v>962</v>
      </c>
      <c r="C199" s="95" t="s">
        <v>1330</v>
      </c>
      <c r="D199" t="s">
        <v>15</v>
      </c>
      <c r="E199" t="s">
        <v>657</v>
      </c>
      <c r="F199" t="s">
        <v>20</v>
      </c>
      <c r="G199" t="s">
        <v>3</v>
      </c>
      <c r="H199" t="s">
        <v>1227</v>
      </c>
      <c r="I199" t="s">
        <v>139</v>
      </c>
      <c r="J199" t="s">
        <v>287</v>
      </c>
      <c r="K199" s="27" t="str">
        <f t="shared" si="47"/>
        <v>NO</v>
      </c>
      <c r="L199" s="27" t="str">
        <f t="shared" si="52"/>
        <v>NO</v>
      </c>
      <c r="M199" s="27" t="str">
        <f t="shared" si="52"/>
        <v>NO</v>
      </c>
      <c r="N199" s="27" t="str">
        <f t="shared" si="52"/>
        <v>NO</v>
      </c>
      <c r="O199" s="27" t="str">
        <f t="shared" si="52"/>
        <v>NO</v>
      </c>
      <c r="P199" s="27" t="str">
        <f t="shared" si="52"/>
        <v>NO</v>
      </c>
      <c r="Q199" s="27" t="str">
        <f t="shared" si="52"/>
        <v>NO</v>
      </c>
      <c r="R199" s="27" t="str">
        <f t="shared" si="52"/>
        <v>NO</v>
      </c>
      <c r="S199" s="27" t="str">
        <f t="shared" si="52"/>
        <v>NO</v>
      </c>
      <c r="T199" s="27" t="str">
        <f t="shared" si="52"/>
        <v>NO</v>
      </c>
      <c r="U199" s="27" t="str">
        <f t="shared" si="52"/>
        <v>NO</v>
      </c>
      <c r="V199" s="27" t="str">
        <f t="shared" si="52"/>
        <v>NO</v>
      </c>
      <c r="W199" s="27" t="str">
        <f t="shared" si="52"/>
        <v>NO</v>
      </c>
      <c r="X199" s="27" t="str">
        <f t="shared" si="52"/>
        <v>NO</v>
      </c>
      <c r="Y199" s="27" t="str">
        <f t="shared" si="52"/>
        <v>NO</v>
      </c>
      <c r="Z199" s="27" t="str">
        <f t="shared" si="52"/>
        <v>NO</v>
      </c>
      <c r="AA199" s="27" t="str">
        <f t="shared" si="52"/>
        <v>NO</v>
      </c>
      <c r="AB199" s="27" t="str">
        <f t="shared" si="52"/>
        <v>NO</v>
      </c>
      <c r="AC199" s="27" t="str">
        <f t="shared" si="52"/>
        <v>NO</v>
      </c>
      <c r="AD199" s="27" t="str">
        <f t="shared" si="52"/>
        <v>NO</v>
      </c>
      <c r="AE199" s="27" t="str">
        <f t="shared" si="52"/>
        <v>NO</v>
      </c>
      <c r="AF199" s="27" t="str">
        <f t="shared" si="52"/>
        <v>NO</v>
      </c>
      <c r="AG199" s="27" t="str">
        <f t="shared" si="52"/>
        <v>NO</v>
      </c>
      <c r="AH199" s="27" t="str">
        <f t="shared" si="52"/>
        <v>NO</v>
      </c>
      <c r="AI199" s="27" t="str">
        <f t="shared" si="52"/>
        <v>NO</v>
      </c>
      <c r="AJ199" s="27" t="str">
        <f t="shared" si="52"/>
        <v>NO</v>
      </c>
      <c r="AK199" s="27" t="str">
        <f t="shared" si="52"/>
        <v>NO</v>
      </c>
      <c r="AL199" s="27" t="str">
        <f t="shared" si="52"/>
        <v>NO</v>
      </c>
      <c r="AM199" s="27" t="str">
        <f t="shared" si="52"/>
        <v>NO</v>
      </c>
      <c r="AN199" s="27" t="str">
        <f t="shared" si="52"/>
        <v>NO</v>
      </c>
      <c r="AO199" s="27" t="str">
        <f t="shared" si="52"/>
        <v>NO</v>
      </c>
      <c r="AP199" s="27" t="str">
        <f t="shared" si="52"/>
        <v>NO</v>
      </c>
      <c r="AQ199" s="27" t="str">
        <f t="shared" si="52"/>
        <v>NO</v>
      </c>
      <c r="AR199" s="27" t="str">
        <f t="shared" si="52"/>
        <v>NO</v>
      </c>
      <c r="AS199" s="27" t="str">
        <f t="shared" si="52"/>
        <v>NO</v>
      </c>
      <c r="AT199" s="27" t="str">
        <f t="shared" si="52"/>
        <v>NO</v>
      </c>
      <c r="AU199" s="27" t="str">
        <f t="shared" si="52"/>
        <v>NO</v>
      </c>
      <c r="AV199" s="27" t="str">
        <f t="shared" si="52"/>
        <v>NO</v>
      </c>
      <c r="AW199" s="27" t="str">
        <f t="shared" si="52"/>
        <v>NO</v>
      </c>
      <c r="AY199" s="79"/>
    </row>
    <row r="200" spans="1:51" x14ac:dyDescent="0.3">
      <c r="A200" s="95" t="str">
        <f t="shared" si="45"/>
        <v>FA Mules MMN2O</v>
      </c>
      <c r="B200" s="95" t="s">
        <v>962</v>
      </c>
      <c r="C200" s="95" t="s">
        <v>1331</v>
      </c>
      <c r="D200" t="s">
        <v>15</v>
      </c>
      <c r="E200" t="s">
        <v>657</v>
      </c>
      <c r="F200" t="s">
        <v>140</v>
      </c>
      <c r="G200" t="s">
        <v>124</v>
      </c>
      <c r="H200" t="s">
        <v>1227</v>
      </c>
      <c r="I200" t="s">
        <v>139</v>
      </c>
      <c r="J200" t="s">
        <v>287</v>
      </c>
      <c r="K200" s="27" t="str">
        <f t="shared" si="47"/>
        <v>NO</v>
      </c>
      <c r="L200" s="27" t="str">
        <f t="shared" si="52"/>
        <v>NO</v>
      </c>
      <c r="M200" s="27" t="str">
        <f t="shared" si="52"/>
        <v>NO</v>
      </c>
      <c r="N200" s="27" t="str">
        <f t="shared" si="52"/>
        <v>NO</v>
      </c>
      <c r="O200" s="27" t="str">
        <f t="shared" si="52"/>
        <v>NO</v>
      </c>
      <c r="P200" s="27" t="str">
        <f t="shared" si="52"/>
        <v>NO</v>
      </c>
      <c r="Q200" s="27" t="str">
        <f t="shared" si="52"/>
        <v>NO</v>
      </c>
      <c r="R200" s="27" t="str">
        <f t="shared" si="52"/>
        <v>NO</v>
      </c>
      <c r="S200" s="27" t="str">
        <f t="shared" si="52"/>
        <v>NO</v>
      </c>
      <c r="T200" s="27" t="str">
        <f t="shared" si="52"/>
        <v>NO</v>
      </c>
      <c r="U200" s="27" t="str">
        <f t="shared" si="52"/>
        <v>NO</v>
      </c>
      <c r="V200" s="27" t="str">
        <f t="shared" si="52"/>
        <v>NO</v>
      </c>
      <c r="W200" s="27" t="str">
        <f t="shared" si="52"/>
        <v>NO</v>
      </c>
      <c r="X200" s="27" t="str">
        <f t="shared" si="52"/>
        <v>NO</v>
      </c>
      <c r="Y200" s="27" t="str">
        <f t="shared" si="52"/>
        <v>NO</v>
      </c>
      <c r="Z200" s="27" t="str">
        <f t="shared" si="52"/>
        <v>NO</v>
      </c>
      <c r="AA200" s="27" t="str">
        <f t="shared" si="52"/>
        <v>NO</v>
      </c>
      <c r="AB200" s="27" t="str">
        <f t="shared" si="52"/>
        <v>NO</v>
      </c>
      <c r="AC200" s="27" t="str">
        <f t="shared" si="52"/>
        <v>NO</v>
      </c>
      <c r="AD200" s="27" t="str">
        <f t="shared" si="52"/>
        <v>NO</v>
      </c>
      <c r="AE200" s="27" t="str">
        <f t="shared" si="52"/>
        <v>NO</v>
      </c>
      <c r="AF200" s="27" t="str">
        <f t="shared" si="52"/>
        <v>NO</v>
      </c>
      <c r="AG200" s="27" t="str">
        <f t="shared" si="52"/>
        <v>NO</v>
      </c>
      <c r="AH200" s="27" t="str">
        <f t="shared" si="52"/>
        <v>NO</v>
      </c>
      <c r="AI200" s="27" t="str">
        <f t="shared" si="52"/>
        <v>NO</v>
      </c>
      <c r="AJ200" s="27" t="str">
        <f t="shared" si="52"/>
        <v>NO</v>
      </c>
      <c r="AK200" s="27" t="str">
        <f t="shared" si="52"/>
        <v>NO</v>
      </c>
      <c r="AL200" s="27" t="str">
        <f t="shared" si="52"/>
        <v>NO</v>
      </c>
      <c r="AM200" s="27" t="str">
        <f t="shared" si="52"/>
        <v>NO</v>
      </c>
      <c r="AN200" s="27" t="str">
        <f t="shared" si="52"/>
        <v>NO</v>
      </c>
      <c r="AO200" s="27" t="str">
        <f t="shared" si="52"/>
        <v>NO</v>
      </c>
      <c r="AP200" s="27" t="str">
        <f t="shared" si="52"/>
        <v>NO</v>
      </c>
      <c r="AQ200" s="27" t="str">
        <f t="shared" si="52"/>
        <v>NO</v>
      </c>
      <c r="AR200" s="27" t="str">
        <f t="shared" si="52"/>
        <v>NO</v>
      </c>
      <c r="AS200" s="27" t="str">
        <f t="shared" si="52"/>
        <v>NO</v>
      </c>
      <c r="AT200" s="27" t="str">
        <f t="shared" si="52"/>
        <v>NO</v>
      </c>
      <c r="AU200" s="27" t="str">
        <f t="shared" si="52"/>
        <v>NO</v>
      </c>
      <c r="AV200" s="27" t="str">
        <f t="shared" si="52"/>
        <v>NO</v>
      </c>
      <c r="AW200" s="27" t="str">
        <f t="shared" si="52"/>
        <v>NO</v>
      </c>
      <c r="AY200" s="79"/>
    </row>
    <row r="201" spans="1:51" x14ac:dyDescent="0.3">
      <c r="A201" s="95" t="str">
        <f t="shared" si="45"/>
        <v>FA Swine MMN2O</v>
      </c>
      <c r="B201" s="95" t="s">
        <v>962</v>
      </c>
      <c r="C201" s="95" t="s">
        <v>1233</v>
      </c>
      <c r="D201" t="s">
        <v>15</v>
      </c>
      <c r="E201" t="s">
        <v>657</v>
      </c>
      <c r="F201" t="s">
        <v>21</v>
      </c>
      <c r="G201" t="s">
        <v>122</v>
      </c>
      <c r="H201" t="s">
        <v>1227</v>
      </c>
      <c r="I201" t="s">
        <v>139</v>
      </c>
      <c r="J201" t="s">
        <v>287</v>
      </c>
      <c r="K201" s="27">
        <f t="shared" si="47"/>
        <v>9.7466979224281824E-2</v>
      </c>
      <c r="L201" s="27">
        <f t="shared" si="52"/>
        <v>9.6937181363551506E-2</v>
      </c>
      <c r="M201" s="27">
        <f t="shared" si="52"/>
        <v>9.6980665528366608E-2</v>
      </c>
      <c r="N201" s="27">
        <f t="shared" si="52"/>
        <v>9.6090308702663593E-2</v>
      </c>
      <c r="O201" s="27">
        <f t="shared" si="52"/>
        <v>9.4636150647850484E-2</v>
      </c>
      <c r="P201" s="27">
        <f t="shared" si="52"/>
        <v>9.2641437622218326E-2</v>
      </c>
      <c r="Q201" s="27">
        <f t="shared" si="52"/>
        <v>9.1193054757597189E-2</v>
      </c>
      <c r="R201" s="27">
        <f t="shared" si="52"/>
        <v>8.9872834352323558E-2</v>
      </c>
      <c r="S201" s="27">
        <f t="shared" si="52"/>
        <v>7.9353210388908066E-2</v>
      </c>
      <c r="T201" s="27">
        <f t="shared" si="52"/>
        <v>8.0356685470718767E-2</v>
      </c>
      <c r="U201" s="27">
        <f t="shared" si="52"/>
        <v>8.2509946009160923E-2</v>
      </c>
      <c r="V201" s="27">
        <f t="shared" si="52"/>
        <v>8.2705450879572748E-2</v>
      </c>
      <c r="W201" s="27">
        <f t="shared" si="52"/>
        <v>8.3128827539525094E-2</v>
      </c>
      <c r="X201" s="27">
        <f t="shared" si="52"/>
        <v>8.3840672628701915E-2</v>
      </c>
      <c r="Y201" s="27">
        <f t="shared" si="52"/>
        <v>8.4733895932113168E-2</v>
      </c>
      <c r="Z201" s="27">
        <f t="shared" si="52"/>
        <v>8.5828465366834875E-2</v>
      </c>
      <c r="AA201" s="27">
        <f t="shared" si="52"/>
        <v>8.6935834694674932E-2</v>
      </c>
      <c r="AB201" s="27">
        <f t="shared" si="52"/>
        <v>8.8214344657231616E-2</v>
      </c>
      <c r="AC201" s="27">
        <f t="shared" si="52"/>
        <v>8.9484030373768036E-2</v>
      </c>
      <c r="AD201" s="27">
        <f t="shared" si="52"/>
        <v>9.1062581228130657E-2</v>
      </c>
      <c r="AE201" s="27">
        <f t="shared" si="52"/>
        <v>9.2515752583830088E-2</v>
      </c>
      <c r="AF201" s="27">
        <f t="shared" si="52"/>
        <v>9.4062043086931529E-2</v>
      </c>
      <c r="AG201" s="27">
        <f t="shared" si="52"/>
        <v>9.5948315776645976E-2</v>
      </c>
      <c r="AH201" s="27">
        <f t="shared" si="52"/>
        <v>9.7568003997154984E-2</v>
      </c>
      <c r="AI201" s="27">
        <f t="shared" si="52"/>
        <v>9.931620819342124E-2</v>
      </c>
      <c r="AJ201" s="27">
        <f t="shared" si="52"/>
        <v>0.10121358762042433</v>
      </c>
      <c r="AK201" s="27">
        <f t="shared" si="52"/>
        <v>0.10279643211588628</v>
      </c>
      <c r="AL201" s="27">
        <f t="shared" si="52"/>
        <v>0.10428080048635653</v>
      </c>
      <c r="AM201" s="27">
        <f t="shared" si="52"/>
        <v>0.10567866446887142</v>
      </c>
      <c r="AN201" s="27">
        <f t="shared" si="52"/>
        <v>0.10729272325925118</v>
      </c>
      <c r="AO201" s="27">
        <f t="shared" si="52"/>
        <v>0.10869271119263345</v>
      </c>
      <c r="AP201" s="27">
        <f t="shared" si="52"/>
        <v>0.110137854380135</v>
      </c>
      <c r="AQ201" s="27">
        <f t="shared" si="52"/>
        <v>0.1116390532050176</v>
      </c>
      <c r="AR201" s="27">
        <f t="shared" si="52"/>
        <v>0.11321509141175116</v>
      </c>
      <c r="AS201" s="27">
        <f t="shared" si="52"/>
        <v>0.114870036037916</v>
      </c>
      <c r="AT201" s="27">
        <f t="shared" si="52"/>
        <v>0.11386297950526468</v>
      </c>
      <c r="AU201" s="27">
        <f t="shared" si="52"/>
        <v>0.11262319660921266</v>
      </c>
      <c r="AV201" s="27">
        <f t="shared" si="52"/>
        <v>0.11105880605518059</v>
      </c>
      <c r="AW201" s="27">
        <f t="shared" si="52"/>
        <v>0.1094176927215173</v>
      </c>
      <c r="AY201" s="79"/>
    </row>
    <row r="202" spans="1:51" x14ac:dyDescent="0.3">
      <c r="A202" s="95" t="str">
        <f t="shared" si="45"/>
        <v>FA Swine MMN2O</v>
      </c>
      <c r="B202" s="95" t="s">
        <v>962</v>
      </c>
      <c r="C202" s="95" t="s">
        <v>1233</v>
      </c>
      <c r="D202" t="s">
        <v>15</v>
      </c>
      <c r="E202" t="s">
        <v>657</v>
      </c>
      <c r="F202" t="s">
        <v>21</v>
      </c>
      <c r="G202" t="s">
        <v>123</v>
      </c>
      <c r="H202" t="s">
        <v>1227</v>
      </c>
      <c r="I202" t="s">
        <v>139</v>
      </c>
      <c r="J202" t="s">
        <v>287</v>
      </c>
      <c r="K202" s="27">
        <f t="shared" si="47"/>
        <v>3.8131055665722169E-2</v>
      </c>
      <c r="L202" s="27">
        <f t="shared" si="52"/>
        <v>3.7923788015899962E-2</v>
      </c>
      <c r="M202" s="27">
        <f t="shared" si="52"/>
        <v>3.7940799901590251E-2</v>
      </c>
      <c r="N202" s="27">
        <f t="shared" si="52"/>
        <v>3.759247428451009E-2</v>
      </c>
      <c r="O202" s="27">
        <f t="shared" si="52"/>
        <v>3.7023578211438569E-2</v>
      </c>
      <c r="P202" s="27">
        <f t="shared" si="52"/>
        <v>3.6243206089281201E-2</v>
      </c>
      <c r="Q202" s="27">
        <f t="shared" si="52"/>
        <v>3.567656938754183E-2</v>
      </c>
      <c r="R202" s="27">
        <f t="shared" si="52"/>
        <v>3.5160072434777256E-2</v>
      </c>
      <c r="S202" s="27">
        <f t="shared" si="52"/>
        <v>3.1044582551701744E-2</v>
      </c>
      <c r="T202" s="27">
        <f t="shared" si="52"/>
        <v>3.1437162320852502E-2</v>
      </c>
      <c r="U202" s="27">
        <f t="shared" si="52"/>
        <v>3.2279561440098872E-2</v>
      </c>
      <c r="V202" s="27">
        <f t="shared" si="52"/>
        <v>3.2356046903749484E-2</v>
      </c>
      <c r="W202" s="27">
        <f t="shared" si="52"/>
        <v>3.2521680425139969E-2</v>
      </c>
      <c r="X202" s="27">
        <f t="shared" si="52"/>
        <v>3.2800168636601942E-2</v>
      </c>
      <c r="Y202" s="27">
        <f t="shared" si="52"/>
        <v>3.314961567779854E-2</v>
      </c>
      <c r="Z202" s="27">
        <f t="shared" si="52"/>
        <v>3.3577833402176044E-2</v>
      </c>
      <c r="AA202" s="27">
        <f t="shared" si="52"/>
        <v>3.4011058703898145E-2</v>
      </c>
      <c r="AB202" s="27">
        <f t="shared" si="52"/>
        <v>3.4511237686969419E-2</v>
      </c>
      <c r="AC202" s="27">
        <f t="shared" si="52"/>
        <v>3.5007964446334923E-2</v>
      </c>
      <c r="AD202" s="27">
        <f t="shared" si="52"/>
        <v>3.5625525501144749E-2</v>
      </c>
      <c r="AE202" s="27">
        <f t="shared" si="52"/>
        <v>3.6194035557545495E-2</v>
      </c>
      <c r="AF202" s="27">
        <f t="shared" si="52"/>
        <v>3.6798975709773488E-2</v>
      </c>
      <c r="AG202" s="27">
        <f t="shared" si="52"/>
        <v>3.7536923776951441E-2</v>
      </c>
      <c r="AH202" s="27">
        <f t="shared" si="52"/>
        <v>3.817057860229723E-2</v>
      </c>
      <c r="AI202" s="27">
        <f t="shared" si="52"/>
        <v>3.8854511479394858E-2</v>
      </c>
      <c r="AJ202" s="27">
        <f t="shared" si="52"/>
        <v>3.9596804727075885E-2</v>
      </c>
      <c r="AK202" s="27">
        <f t="shared" si="52"/>
        <v>4.0216045541216196E-2</v>
      </c>
      <c r="AL202" s="27">
        <f t="shared" si="52"/>
        <v>4.0796760501434604E-2</v>
      </c>
      <c r="AM202" s="27">
        <f t="shared" si="52"/>
        <v>4.1343633193648956E-2</v>
      </c>
      <c r="AN202" s="27">
        <f t="shared" si="52"/>
        <v>4.1975085671950317E-2</v>
      </c>
      <c r="AO202" s="27">
        <f t="shared" si="52"/>
        <v>4.252278929674716E-2</v>
      </c>
      <c r="AP202" s="27">
        <f t="shared" si="52"/>
        <v>4.3088158571204301E-2</v>
      </c>
      <c r="AQ202" s="27">
        <f t="shared" si="52"/>
        <v>4.3675457945951471E-2</v>
      </c>
      <c r="AR202" s="27">
        <f t="shared" si="52"/>
        <v>4.4292036002135757E-2</v>
      </c>
      <c r="AS202" s="27">
        <f t="shared" si="52"/>
        <v>4.4939483847203046E-2</v>
      </c>
      <c r="AT202" s="27">
        <f t="shared" si="52"/>
        <v>4.4545502941970565E-2</v>
      </c>
      <c r="AU202" s="27">
        <f t="shared" si="52"/>
        <v>4.4060474771414608E-2</v>
      </c>
      <c r="AV202" s="27">
        <f t="shared" si="52"/>
        <v>4.3448453512794687E-2</v>
      </c>
      <c r="AW202" s="27">
        <f t="shared" si="52"/>
        <v>4.2806416749393235E-2</v>
      </c>
      <c r="AY202" s="79"/>
    </row>
    <row r="203" spans="1:51" x14ac:dyDescent="0.3">
      <c r="A203" s="95" t="str">
        <f t="shared" si="45"/>
        <v>FA Poultry MMN2O</v>
      </c>
      <c r="B203" s="95" t="s">
        <v>962</v>
      </c>
      <c r="C203" s="95" t="s">
        <v>1234</v>
      </c>
      <c r="D203" t="s">
        <v>15</v>
      </c>
      <c r="E203" t="s">
        <v>657</v>
      </c>
      <c r="F203" t="s">
        <v>28</v>
      </c>
      <c r="G203" t="s">
        <v>131</v>
      </c>
      <c r="H203" t="s">
        <v>1227</v>
      </c>
      <c r="I203" t="s">
        <v>139</v>
      </c>
      <c r="J203" t="s">
        <v>287</v>
      </c>
      <c r="K203" s="27">
        <f t="shared" si="47"/>
        <v>0.32784224726088984</v>
      </c>
      <c r="L203" s="27">
        <f t="shared" si="52"/>
        <v>0.33450793008613733</v>
      </c>
      <c r="M203" s="27">
        <f t="shared" si="52"/>
        <v>0.34229948156355033</v>
      </c>
      <c r="N203" s="27">
        <f t="shared" si="52"/>
        <v>0.34828124731402299</v>
      </c>
      <c r="O203" s="27">
        <f t="shared" si="52"/>
        <v>0.35308310351311478</v>
      </c>
      <c r="P203" s="27">
        <f t="shared" si="52"/>
        <v>0.3566764932045714</v>
      </c>
      <c r="Q203" s="27">
        <f t="shared" si="52"/>
        <v>0.36128421068096001</v>
      </c>
      <c r="R203" s="27">
        <f t="shared" si="52"/>
        <v>0.36607496135357964</v>
      </c>
      <c r="S203" s="27">
        <f t="shared" si="52"/>
        <v>0.34978148195901088</v>
      </c>
      <c r="T203" s="27">
        <f t="shared" si="52"/>
        <v>0.35848748777612982</v>
      </c>
      <c r="U203" s="27">
        <f t="shared" si="52"/>
        <v>0.37008968221816879</v>
      </c>
      <c r="V203" s="27">
        <f t="shared" si="52"/>
        <v>0.37718532914997255</v>
      </c>
      <c r="W203" s="27">
        <f t="shared" si="52"/>
        <v>0.38492114207778078</v>
      </c>
      <c r="X203" s="27">
        <f t="shared" si="52"/>
        <v>0.39349286127913036</v>
      </c>
      <c r="Y203" s="27">
        <f t="shared" si="52"/>
        <v>0.40234632670513226</v>
      </c>
      <c r="Z203" s="27">
        <f t="shared" si="52"/>
        <v>0.41188861015823597</v>
      </c>
      <c r="AA203" s="27">
        <f t="shared" si="52"/>
        <v>0.42164548581932815</v>
      </c>
      <c r="AB203" s="27">
        <f t="shared" si="52"/>
        <v>0.43206316644832626</v>
      </c>
      <c r="AC203" s="27">
        <f t="shared" si="52"/>
        <v>0.44266638237250944</v>
      </c>
      <c r="AD203" s="27">
        <f t="shared" si="52"/>
        <v>0.45410654796286065</v>
      </c>
      <c r="AE203" s="27">
        <f t="shared" si="52"/>
        <v>0.46542858130344616</v>
      </c>
      <c r="AF203" s="27">
        <f t="shared" si="52"/>
        <v>0.4772730257801403</v>
      </c>
      <c r="AG203" s="27">
        <f t="shared" si="52"/>
        <v>0.49041871120833058</v>
      </c>
      <c r="AH203" s="27">
        <f t="shared" si="52"/>
        <v>0.50303895207575822</v>
      </c>
      <c r="AI203" s="27">
        <f t="shared" si="52"/>
        <v>0.51609032389809528</v>
      </c>
      <c r="AJ203" s="27">
        <f t="shared" si="52"/>
        <v>0.52992686464312622</v>
      </c>
      <c r="AK203" s="27">
        <f t="shared" si="52"/>
        <v>0.54305058530896999</v>
      </c>
      <c r="AL203" s="27">
        <f t="shared" si="52"/>
        <v>0.55613853749065978</v>
      </c>
      <c r="AM203" s="27">
        <f t="shared" si="52"/>
        <v>0.56922083138232038</v>
      </c>
      <c r="AN203" s="27">
        <f t="shared" si="52"/>
        <v>0.58310052249970834</v>
      </c>
      <c r="AO203" s="27">
        <f t="shared" si="52"/>
        <v>0.59653826788660902</v>
      </c>
      <c r="AP203" s="27">
        <f t="shared" si="52"/>
        <v>0.61044136643017999</v>
      </c>
      <c r="AQ203" s="27">
        <f t="shared" si="52"/>
        <v>0.62486785679849377</v>
      </c>
      <c r="AR203" s="27">
        <f t="shared" si="52"/>
        <v>0.6399091004524019</v>
      </c>
      <c r="AS203" s="27">
        <f t="shared" si="52"/>
        <v>0.65535203493771454</v>
      </c>
      <c r="AT203" s="27">
        <f t="shared" si="52"/>
        <v>0.66076114760241544</v>
      </c>
      <c r="AU203" s="27">
        <f t="shared" si="52"/>
        <v>0.6652412101856594</v>
      </c>
      <c r="AV203" s="27">
        <f t="shared" si="52"/>
        <v>0.66836980562393489</v>
      </c>
      <c r="AW203" s="27">
        <f t="shared" si="52"/>
        <v>0.67109822940167552</v>
      </c>
      <c r="AY203" s="79"/>
    </row>
    <row r="204" spans="1:51" x14ac:dyDescent="0.3">
      <c r="A204" s="95" t="str">
        <f t="shared" si="45"/>
        <v>FA Poultry MMN2O</v>
      </c>
      <c r="B204" s="95" t="s">
        <v>962</v>
      </c>
      <c r="C204" s="95" t="s">
        <v>1234</v>
      </c>
      <c r="D204" t="s">
        <v>15</v>
      </c>
      <c r="E204" t="s">
        <v>657</v>
      </c>
      <c r="F204" t="s">
        <v>28</v>
      </c>
      <c r="G204" t="s">
        <v>132</v>
      </c>
      <c r="H204" t="s">
        <v>1227</v>
      </c>
      <c r="I204" t="s">
        <v>139</v>
      </c>
      <c r="J204" t="s">
        <v>287</v>
      </c>
      <c r="K204" s="27">
        <f t="shared" si="47"/>
        <v>1.7017151675634961</v>
      </c>
      <c r="L204" s="27">
        <f t="shared" si="52"/>
        <v>1.7241237147327637</v>
      </c>
      <c r="M204" s="27">
        <f t="shared" si="52"/>
        <v>1.7601182693498112</v>
      </c>
      <c r="N204" s="27">
        <f t="shared" si="52"/>
        <v>1.7704533576020511</v>
      </c>
      <c r="O204" s="27">
        <f t="shared" si="52"/>
        <v>1.7641159598844758</v>
      </c>
      <c r="P204" s="27">
        <f t="shared" si="52"/>
        <v>1.7411735022142167</v>
      </c>
      <c r="Q204" s="27">
        <f t="shared" si="52"/>
        <v>1.7315152516158574</v>
      </c>
      <c r="R204" s="27">
        <f t="shared" si="52"/>
        <v>1.7240481490859689</v>
      </c>
      <c r="S204" s="27">
        <f t="shared" si="52"/>
        <v>1.4532830978859241</v>
      </c>
      <c r="T204" s="27">
        <f t="shared" si="52"/>
        <v>1.5108401757769072</v>
      </c>
      <c r="U204" s="27">
        <f t="shared" si="52"/>
        <v>1.6026975713108973</v>
      </c>
      <c r="V204" s="27">
        <f t="shared" si="52"/>
        <v>1.6381096535545392</v>
      </c>
      <c r="W204" s="27">
        <f t="shared" si="52"/>
        <v>1.6804870298806631</v>
      </c>
      <c r="X204" s="27">
        <f t="shared" si="52"/>
        <v>1.7319826837322108</v>
      </c>
      <c r="Y204" s="27">
        <f t="shared" si="52"/>
        <v>1.7911150071638293</v>
      </c>
      <c r="Z204" s="27">
        <f t="shared" si="52"/>
        <v>1.8573343362727066</v>
      </c>
      <c r="AA204" s="27">
        <f t="shared" si="52"/>
        <v>1.9249598687101048</v>
      </c>
      <c r="AB204" s="27">
        <f t="shared" si="52"/>
        <v>1.9991243799858327</v>
      </c>
      <c r="AC204" s="27">
        <f t="shared" si="52"/>
        <v>2.0742398218726938</v>
      </c>
      <c r="AD204" s="27">
        <f t="shared" si="52"/>
        <v>2.1619281930421144</v>
      </c>
      <c r="AE204" s="27">
        <f t="shared" si="52"/>
        <v>2.2470253789888299</v>
      </c>
      <c r="AF204" s="27">
        <f t="shared" si="52"/>
        <v>2.3367898663962117</v>
      </c>
      <c r="AG204" s="27">
        <f t="shared" si="52"/>
        <v>2.4398215935835355</v>
      </c>
      <c r="AH204" s="27">
        <f t="shared" si="52"/>
        <v>2.5356369121252129</v>
      </c>
      <c r="AI204" s="27">
        <f t="shared" si="52"/>
        <v>2.6388473537770931</v>
      </c>
      <c r="AJ204" s="27">
        <f t="shared" si="52"/>
        <v>2.7493497662491455</v>
      </c>
      <c r="AK204" s="27">
        <f t="shared" si="52"/>
        <v>2.8507479876559225</v>
      </c>
      <c r="AL204" s="27">
        <f t="shared" si="52"/>
        <v>2.9505347719846347</v>
      </c>
      <c r="AM204" s="27">
        <f t="shared" si="52"/>
        <v>3.0490743865158891</v>
      </c>
      <c r="AN204" s="27">
        <f t="shared" si="52"/>
        <v>3.1585813861709466</v>
      </c>
      <c r="AO204" s="27">
        <f t="shared" si="52"/>
        <v>3.2621852632226234</v>
      </c>
      <c r="AP204" s="27">
        <f t="shared" si="52"/>
        <v>3.3695643404472522</v>
      </c>
      <c r="AQ204" s="27">
        <f t="shared" si="52"/>
        <v>3.4812725080530544</v>
      </c>
      <c r="AR204" s="27">
        <f t="shared" si="52"/>
        <v>3.5981993154978791</v>
      </c>
      <c r="AS204" s="27">
        <f t="shared" si="52"/>
        <v>3.7216722091838785</v>
      </c>
      <c r="AT204" s="27">
        <f t="shared" si="52"/>
        <v>3.7404703249321303</v>
      </c>
      <c r="AU204" s="27">
        <f t="shared" si="52"/>
        <v>3.749641300046322</v>
      </c>
      <c r="AV204" s="27">
        <f t="shared" si="52"/>
        <v>3.7450255667820502</v>
      </c>
      <c r="AW204" s="27">
        <f t="shared" si="52"/>
        <v>3.7364851229908305</v>
      </c>
      <c r="AY204" s="79"/>
    </row>
    <row r="205" spans="1:51" x14ac:dyDescent="0.3">
      <c r="A205" s="95" t="str">
        <f t="shared" si="45"/>
        <v>FA Poultry MMN2O</v>
      </c>
      <c r="B205" s="95" t="s">
        <v>962</v>
      </c>
      <c r="C205" s="95" t="s">
        <v>1234</v>
      </c>
      <c r="D205" t="s">
        <v>15</v>
      </c>
      <c r="E205" t="s">
        <v>657</v>
      </c>
      <c r="F205" t="s">
        <v>28</v>
      </c>
      <c r="G205" t="s">
        <v>134</v>
      </c>
      <c r="H205" t="s">
        <v>1227</v>
      </c>
      <c r="I205" t="s">
        <v>139</v>
      </c>
      <c r="J205" t="s">
        <v>287</v>
      </c>
      <c r="K205" s="27">
        <f t="shared" si="47"/>
        <v>1.3660093635870424E-2</v>
      </c>
      <c r="L205" s="27">
        <f t="shared" si="52"/>
        <v>1.3937830420255735E-2</v>
      </c>
      <c r="M205" s="27">
        <f t="shared" si="52"/>
        <v>1.4262478398481276E-2</v>
      </c>
      <c r="N205" s="27">
        <f t="shared" si="52"/>
        <v>1.4511718638084306E-2</v>
      </c>
      <c r="O205" s="27">
        <f t="shared" si="52"/>
        <v>1.4711795979713132E-2</v>
      </c>
      <c r="P205" s="27">
        <f t="shared" si="52"/>
        <v>1.4861520550190493E-2</v>
      </c>
      <c r="Q205" s="27">
        <f t="shared" si="52"/>
        <v>1.5053508778373347E-2</v>
      </c>
      <c r="R205" s="27">
        <f t="shared" si="52"/>
        <v>1.5253123389732504E-2</v>
      </c>
      <c r="S205" s="27">
        <f t="shared" si="52"/>
        <v>1.45742284149588E-2</v>
      </c>
      <c r="T205" s="27">
        <f t="shared" si="52"/>
        <v>1.4936978657338758E-2</v>
      </c>
      <c r="U205" s="27">
        <f t="shared" si="52"/>
        <v>1.5420403425757045E-2</v>
      </c>
      <c r="V205" s="27">
        <f t="shared" si="52"/>
        <v>1.5716055381248869E-2</v>
      </c>
      <c r="W205" s="27">
        <f t="shared" si="52"/>
        <v>1.6038380919907547E-2</v>
      </c>
      <c r="X205" s="27">
        <f t="shared" si="52"/>
        <v>1.6395535886630449E-2</v>
      </c>
      <c r="Y205" s="27">
        <f t="shared" si="52"/>
        <v>1.6764430279380526E-2</v>
      </c>
      <c r="Z205" s="27">
        <f t="shared" si="52"/>
        <v>1.7162025423259852E-2</v>
      </c>
      <c r="AA205" s="27">
        <f t="shared" si="52"/>
        <v>1.7568561909138691E-2</v>
      </c>
      <c r="AB205" s="27">
        <f t="shared" si="52"/>
        <v>1.8002631935346944E-2</v>
      </c>
      <c r="AC205" s="27">
        <f t="shared" si="52"/>
        <v>1.8444432598854574E-2</v>
      </c>
      <c r="AD205" s="27">
        <f t="shared" si="52"/>
        <v>1.8921106165119213E-2</v>
      </c>
      <c r="AE205" s="27">
        <f t="shared" si="52"/>
        <v>1.9392857554310274E-2</v>
      </c>
      <c r="AF205" s="27">
        <f t="shared" si="52"/>
        <v>1.988637607417253E-2</v>
      </c>
      <c r="AG205" s="27">
        <f t="shared" si="52"/>
        <v>2.0434112967013793E-2</v>
      </c>
      <c r="AH205" s="27">
        <f t="shared" si="52"/>
        <v>2.0959956336489938E-2</v>
      </c>
      <c r="AI205" s="27">
        <f t="shared" si="52"/>
        <v>2.1503763495753996E-2</v>
      </c>
      <c r="AJ205" s="27">
        <f t="shared" si="52"/>
        <v>2.2080286026796948E-2</v>
      </c>
      <c r="AK205" s="27">
        <f t="shared" ref="L205:AW206" si="53">AK1427</f>
        <v>2.2627107721207101E-2</v>
      </c>
      <c r="AL205" s="27">
        <f t="shared" si="53"/>
        <v>2.3172439062110847E-2</v>
      </c>
      <c r="AM205" s="27">
        <f t="shared" si="53"/>
        <v>2.371753464093004E-2</v>
      </c>
      <c r="AN205" s="27">
        <f t="shared" si="53"/>
        <v>2.4295855104154534E-2</v>
      </c>
      <c r="AO205" s="27">
        <f t="shared" si="53"/>
        <v>2.4855761161942075E-2</v>
      </c>
      <c r="AP205" s="27">
        <f t="shared" si="53"/>
        <v>2.5435056934590854E-2</v>
      </c>
      <c r="AQ205" s="27">
        <f t="shared" si="53"/>
        <v>2.6036160699937267E-2</v>
      </c>
      <c r="AR205" s="27">
        <f t="shared" si="53"/>
        <v>2.6662879185516769E-2</v>
      </c>
      <c r="AS205" s="27">
        <f t="shared" si="53"/>
        <v>2.7306334789071466E-2</v>
      </c>
      <c r="AT205" s="27">
        <f t="shared" si="53"/>
        <v>2.7531714483434007E-2</v>
      </c>
      <c r="AU205" s="27">
        <f t="shared" si="53"/>
        <v>2.7718383757735835E-2</v>
      </c>
      <c r="AV205" s="27">
        <f t="shared" si="53"/>
        <v>2.7848741900997311E-2</v>
      </c>
      <c r="AW205" s="27">
        <f t="shared" si="53"/>
        <v>2.7962426225069836E-2</v>
      </c>
      <c r="AY205" s="79"/>
    </row>
    <row r="206" spans="1:51" x14ac:dyDescent="0.3">
      <c r="A206" s="95" t="str">
        <f t="shared" si="45"/>
        <v>FA Poultry MMN2O</v>
      </c>
      <c r="B206" s="95" t="s">
        <v>962</v>
      </c>
      <c r="C206" s="95" t="s">
        <v>1234</v>
      </c>
      <c r="D206" t="s">
        <v>15</v>
      </c>
      <c r="E206" t="s">
        <v>657</v>
      </c>
      <c r="F206" t="s">
        <v>28</v>
      </c>
      <c r="G206" t="s">
        <v>133</v>
      </c>
      <c r="H206" t="s">
        <v>1227</v>
      </c>
      <c r="I206" t="s">
        <v>139</v>
      </c>
      <c r="J206" t="s">
        <v>287</v>
      </c>
      <c r="K206" s="27">
        <f t="shared" si="47"/>
        <v>7.0904798648479067E-2</v>
      </c>
      <c r="L206" s="27">
        <f t="shared" si="53"/>
        <v>7.1838488113865229E-2</v>
      </c>
      <c r="M206" s="27">
        <f t="shared" si="53"/>
        <v>7.333826122290886E-2</v>
      </c>
      <c r="N206" s="27">
        <f t="shared" si="53"/>
        <v>7.3768889900085552E-2</v>
      </c>
      <c r="O206" s="27">
        <f t="shared" si="53"/>
        <v>7.3504831661853232E-2</v>
      </c>
      <c r="P206" s="27">
        <f t="shared" si="53"/>
        <v>7.2548895925592424E-2</v>
      </c>
      <c r="Q206" s="27">
        <f t="shared" si="53"/>
        <v>7.2146468817327461E-2</v>
      </c>
      <c r="R206" s="27">
        <f t="shared" si="53"/>
        <v>7.1835339545248775E-2</v>
      </c>
      <c r="S206" s="27">
        <f t="shared" si="53"/>
        <v>6.0553462411913554E-2</v>
      </c>
      <c r="T206" s="27">
        <f t="shared" si="53"/>
        <v>6.2951673990704532E-2</v>
      </c>
      <c r="U206" s="27">
        <f t="shared" si="53"/>
        <v>6.6779065471287438E-2</v>
      </c>
      <c r="V206" s="27">
        <f t="shared" si="53"/>
        <v>6.8254568898105869E-2</v>
      </c>
      <c r="W206" s="27">
        <f t="shared" si="53"/>
        <v>7.0020292911694371E-2</v>
      </c>
      <c r="X206" s="27">
        <f t="shared" si="53"/>
        <v>7.2165945155508851E-2</v>
      </c>
      <c r="Y206" s="27">
        <f t="shared" si="53"/>
        <v>7.4629791965159634E-2</v>
      </c>
      <c r="Z206" s="27">
        <f t="shared" si="53"/>
        <v>7.738893067802953E-2</v>
      </c>
      <c r="AA206" s="27">
        <f t="shared" si="53"/>
        <v>8.0206661196254428E-2</v>
      </c>
      <c r="AB206" s="27">
        <f t="shared" si="53"/>
        <v>8.3296849166076437E-2</v>
      </c>
      <c r="AC206" s="27">
        <f t="shared" si="53"/>
        <v>8.6426659244695656E-2</v>
      </c>
      <c r="AD206" s="27">
        <f t="shared" si="53"/>
        <v>9.0080341376754844E-2</v>
      </c>
      <c r="AE206" s="27">
        <f t="shared" si="53"/>
        <v>9.3626057457867992E-2</v>
      </c>
      <c r="AF206" s="27">
        <f t="shared" si="53"/>
        <v>9.7366244433175556E-2</v>
      </c>
      <c r="AG206" s="27">
        <f t="shared" si="53"/>
        <v>0.10165923306598072</v>
      </c>
      <c r="AH206" s="27">
        <f t="shared" si="53"/>
        <v>0.10565153800521729</v>
      </c>
      <c r="AI206" s="27">
        <f t="shared" si="53"/>
        <v>0.10995197307404567</v>
      </c>
      <c r="AJ206" s="27">
        <f t="shared" si="53"/>
        <v>0.11455624026038116</v>
      </c>
      <c r="AK206" s="27">
        <f t="shared" si="53"/>
        <v>0.11878116615233021</v>
      </c>
      <c r="AL206" s="27">
        <f t="shared" si="53"/>
        <v>0.12293894883269324</v>
      </c>
      <c r="AM206" s="27">
        <f t="shared" si="53"/>
        <v>0.12704476610482884</v>
      </c>
      <c r="AN206" s="27">
        <f t="shared" si="53"/>
        <v>0.13160755775712291</v>
      </c>
      <c r="AO206" s="27">
        <f t="shared" si="53"/>
        <v>0.13592438596760945</v>
      </c>
      <c r="AP206" s="27">
        <f t="shared" si="53"/>
        <v>0.14039851418530233</v>
      </c>
      <c r="AQ206" s="27">
        <f t="shared" si="53"/>
        <v>0.14505302116887739</v>
      </c>
      <c r="AR206" s="27">
        <f t="shared" si="53"/>
        <v>0.14992497147907843</v>
      </c>
      <c r="AS206" s="27">
        <f t="shared" si="53"/>
        <v>0.15506967538266181</v>
      </c>
      <c r="AT206" s="27">
        <f t="shared" si="53"/>
        <v>0.15585293020550561</v>
      </c>
      <c r="AU206" s="27">
        <f t="shared" si="53"/>
        <v>0.1562350541685969</v>
      </c>
      <c r="AV206" s="27">
        <f t="shared" si="53"/>
        <v>0.15604273194925225</v>
      </c>
      <c r="AW206" s="27">
        <f t="shared" si="53"/>
        <v>0.15568688012461812</v>
      </c>
      <c r="AY206" s="79"/>
    </row>
    <row r="207" spans="1:51" x14ac:dyDescent="0.3">
      <c r="A207" s="95" t="str">
        <f t="shared" si="45"/>
        <v>FA Synthetic</v>
      </c>
      <c r="B207" s="95" t="s">
        <v>962</v>
      </c>
      <c r="C207" s="95" t="s">
        <v>1126</v>
      </c>
      <c r="D207" t="s">
        <v>369</v>
      </c>
      <c r="E207" t="s">
        <v>55</v>
      </c>
      <c r="H207" t="s">
        <v>419</v>
      </c>
      <c r="I207" t="s">
        <v>139</v>
      </c>
      <c r="J207" t="s">
        <v>287</v>
      </c>
      <c r="K207" s="22">
        <f>K1463</f>
        <v>6.6064812063358538</v>
      </c>
      <c r="L207" s="22">
        <f t="shared" ref="L207:AW214" si="54">L1463</f>
        <v>6.6058242184852958</v>
      </c>
      <c r="M207" s="22">
        <f t="shared" si="54"/>
        <v>6.6046196765835479</v>
      </c>
      <c r="N207" s="22">
        <f t="shared" si="54"/>
        <v>6.6031799495417181</v>
      </c>
      <c r="O207" s="22">
        <f t="shared" si="54"/>
        <v>6.6022073532502725</v>
      </c>
      <c r="P207" s="22">
        <f t="shared" si="54"/>
        <v>6.6015380384919204</v>
      </c>
      <c r="Q207" s="22">
        <f t="shared" si="54"/>
        <v>6.6011715236312982</v>
      </c>
      <c r="R207" s="22">
        <f t="shared" si="54"/>
        <v>6.6005785698707236</v>
      </c>
      <c r="S207" s="22">
        <f t="shared" si="54"/>
        <v>6.599955716072432</v>
      </c>
      <c r="T207" s="22">
        <f t="shared" si="54"/>
        <v>6.6042852126323481</v>
      </c>
      <c r="U207" s="22">
        <f t="shared" si="54"/>
        <v>6.6025684208058211</v>
      </c>
      <c r="V207" s="22">
        <f t="shared" si="54"/>
        <v>6.6002252909433183</v>
      </c>
      <c r="W207" s="22">
        <f t="shared" si="54"/>
        <v>6.598966168189885</v>
      </c>
      <c r="X207" s="22">
        <f t="shared" si="54"/>
        <v>6.597589047711292</v>
      </c>
      <c r="Y207" s="22">
        <f t="shared" si="54"/>
        <v>6.5960579609281904</v>
      </c>
      <c r="Z207" s="22">
        <f t="shared" si="54"/>
        <v>6.5944507555305236</v>
      </c>
      <c r="AA207" s="22">
        <f t="shared" si="54"/>
        <v>6.5927354812209922</v>
      </c>
      <c r="AB207" s="22">
        <f t="shared" si="54"/>
        <v>6.5910165055066825</v>
      </c>
      <c r="AC207" s="22">
        <f t="shared" si="54"/>
        <v>6.589206056061478</v>
      </c>
      <c r="AD207" s="22">
        <f t="shared" si="54"/>
        <v>6.5874036822299606</v>
      </c>
      <c r="AE207" s="22">
        <f t="shared" si="54"/>
        <v>6.5854496085579246</v>
      </c>
      <c r="AF207" s="22">
        <f t="shared" si="54"/>
        <v>6.5835675614397218</v>
      </c>
      <c r="AG207" s="22">
        <f t="shared" si="54"/>
        <v>6.5816378763594336</v>
      </c>
      <c r="AH207" s="22">
        <f t="shared" si="54"/>
        <v>6.5795282781002431</v>
      </c>
      <c r="AI207" s="22">
        <f t="shared" si="54"/>
        <v>6.5775665224366495</v>
      </c>
      <c r="AJ207" s="22">
        <f t="shared" si="54"/>
        <v>6.5755521924304867</v>
      </c>
      <c r="AK207" s="22">
        <f t="shared" si="54"/>
        <v>6.573462792654313</v>
      </c>
      <c r="AL207" s="22">
        <f t="shared" si="54"/>
        <v>6.5715425101563261</v>
      </c>
      <c r="AM207" s="22">
        <f t="shared" si="54"/>
        <v>6.5696756052718408</v>
      </c>
      <c r="AN207" s="22">
        <f t="shared" si="54"/>
        <v>6.5678548596880235</v>
      </c>
      <c r="AO207" s="22">
        <f t="shared" si="54"/>
        <v>6.5659337062591927</v>
      </c>
      <c r="AP207" s="22">
        <f t="shared" si="54"/>
        <v>6.564123592040632</v>
      </c>
      <c r="AQ207" s="22">
        <f t="shared" si="54"/>
        <v>6.5622903638449301</v>
      </c>
      <c r="AR207" s="22">
        <f t="shared" si="54"/>
        <v>6.5604286486377719</v>
      </c>
      <c r="AS207" s="22">
        <f t="shared" si="54"/>
        <v>6.5585292511260116</v>
      </c>
      <c r="AT207" s="22">
        <f t="shared" si="54"/>
        <v>6.5566000956326942</v>
      </c>
      <c r="AU207" s="22">
        <f t="shared" si="54"/>
        <v>6.5560073347552805</v>
      </c>
      <c r="AV207" s="22">
        <f t="shared" si="54"/>
        <v>6.5555391486602428</v>
      </c>
      <c r="AW207" s="22">
        <f t="shared" si="54"/>
        <v>6.5552474687649953</v>
      </c>
      <c r="AY207" s="79"/>
    </row>
    <row r="208" spans="1:51" x14ac:dyDescent="0.3">
      <c r="A208" s="95" t="str">
        <f t="shared" si="45"/>
        <v>FA Organic</v>
      </c>
      <c r="B208" s="95" t="s">
        <v>962</v>
      </c>
      <c r="C208" s="95" t="s">
        <v>1127</v>
      </c>
      <c r="D208" t="s">
        <v>369</v>
      </c>
      <c r="E208" t="s">
        <v>55</v>
      </c>
      <c r="H208" t="s">
        <v>420</v>
      </c>
      <c r="I208" t="s">
        <v>139</v>
      </c>
      <c r="J208" t="s">
        <v>287</v>
      </c>
      <c r="K208" s="22">
        <f t="shared" ref="K208:Z271" si="55">K1464</f>
        <v>4.3602775961816637E-2</v>
      </c>
      <c r="L208" s="22">
        <f t="shared" si="55"/>
        <v>4.3598439842002956E-2</v>
      </c>
      <c r="M208" s="22">
        <f t="shared" si="55"/>
        <v>4.3590489865451415E-2</v>
      </c>
      <c r="N208" s="22">
        <f t="shared" si="55"/>
        <v>4.3580987666975365E-2</v>
      </c>
      <c r="O208" s="22">
        <f t="shared" si="55"/>
        <v>4.3574568531451807E-2</v>
      </c>
      <c r="P208" s="22">
        <f t="shared" si="55"/>
        <v>4.3570151054046678E-2</v>
      </c>
      <c r="Q208" s="22">
        <f t="shared" si="55"/>
        <v>4.356773205596657E-2</v>
      </c>
      <c r="R208" s="22">
        <f t="shared" si="55"/>
        <v>4.3563818561146786E-2</v>
      </c>
      <c r="S208" s="22">
        <f t="shared" si="55"/>
        <v>4.3559707726078062E-2</v>
      </c>
      <c r="T208" s="22">
        <f t="shared" si="55"/>
        <v>4.3588282403373507E-2</v>
      </c>
      <c r="U208" s="22">
        <f t="shared" si="55"/>
        <v>4.3576951577318432E-2</v>
      </c>
      <c r="V208" s="22">
        <f t="shared" si="55"/>
        <v>4.356148692022592E-2</v>
      </c>
      <c r="W208" s="22">
        <f t="shared" si="55"/>
        <v>4.3553176710053244E-2</v>
      </c>
      <c r="X208" s="22">
        <f t="shared" si="55"/>
        <v>4.3544087714894535E-2</v>
      </c>
      <c r="Y208" s="22">
        <f t="shared" si="55"/>
        <v>4.3533982542126072E-2</v>
      </c>
      <c r="Z208" s="22">
        <f t="shared" si="55"/>
        <v>4.3523374986501467E-2</v>
      </c>
      <c r="AA208" s="22">
        <f t="shared" si="54"/>
        <v>4.3512054176058558E-2</v>
      </c>
      <c r="AB208" s="22">
        <f t="shared" si="54"/>
        <v>4.3500708936344119E-2</v>
      </c>
      <c r="AC208" s="22">
        <f t="shared" si="54"/>
        <v>4.3488759970005758E-2</v>
      </c>
      <c r="AD208" s="22">
        <f t="shared" si="54"/>
        <v>4.3476864302717751E-2</v>
      </c>
      <c r="AE208" s="22">
        <f t="shared" si="54"/>
        <v>4.3463967416482306E-2</v>
      </c>
      <c r="AF208" s="22">
        <f t="shared" si="54"/>
        <v>4.3451545905502167E-2</v>
      </c>
      <c r="AG208" s="22">
        <f t="shared" si="54"/>
        <v>4.3438809983972274E-2</v>
      </c>
      <c r="AH208" s="22">
        <f t="shared" si="54"/>
        <v>4.342488663546161E-2</v>
      </c>
      <c r="AI208" s="22">
        <f t="shared" si="54"/>
        <v>4.3411939048081889E-2</v>
      </c>
      <c r="AJ208" s="22">
        <f t="shared" si="54"/>
        <v>4.3398644470041221E-2</v>
      </c>
      <c r="AK208" s="22">
        <f t="shared" si="54"/>
        <v>4.3384854431518481E-2</v>
      </c>
      <c r="AL208" s="22">
        <f t="shared" si="54"/>
        <v>4.3372180567031765E-2</v>
      </c>
      <c r="AM208" s="22">
        <f t="shared" si="54"/>
        <v>4.3359858994794151E-2</v>
      </c>
      <c r="AN208" s="22">
        <f t="shared" si="54"/>
        <v>4.3347842073940955E-2</v>
      </c>
      <c r="AO208" s="22">
        <f t="shared" si="54"/>
        <v>4.3335162461310681E-2</v>
      </c>
      <c r="AP208" s="22">
        <f t="shared" si="54"/>
        <v>4.3323215707468173E-2</v>
      </c>
      <c r="AQ208" s="22">
        <f t="shared" si="54"/>
        <v>4.3311116401376547E-2</v>
      </c>
      <c r="AR208" s="22">
        <f t="shared" si="54"/>
        <v>4.32988290810093E-2</v>
      </c>
      <c r="AS208" s="22">
        <f t="shared" si="54"/>
        <v>4.3286293057431681E-2</v>
      </c>
      <c r="AT208" s="22">
        <f t="shared" si="54"/>
        <v>4.3273560631175802E-2</v>
      </c>
      <c r="AU208" s="22">
        <f t="shared" si="54"/>
        <v>4.326964840938486E-2</v>
      </c>
      <c r="AV208" s="22">
        <f t="shared" si="54"/>
        <v>4.3266558381157602E-2</v>
      </c>
      <c r="AW208" s="22">
        <f t="shared" si="54"/>
        <v>4.326463329384897E-2</v>
      </c>
      <c r="AY208" s="79"/>
    </row>
    <row r="209" spans="1:51" x14ac:dyDescent="0.3">
      <c r="A209" s="95" t="str">
        <f t="shared" si="45"/>
        <v>FA Crop residues</v>
      </c>
      <c r="B209" s="95" t="s">
        <v>962</v>
      </c>
      <c r="C209" s="95" t="s">
        <v>58</v>
      </c>
      <c r="D209" t="s">
        <v>369</v>
      </c>
      <c r="E209" t="s">
        <v>55</v>
      </c>
      <c r="H209" t="s">
        <v>58</v>
      </c>
      <c r="I209" t="s">
        <v>139</v>
      </c>
      <c r="J209" t="s">
        <v>287</v>
      </c>
      <c r="K209" s="22">
        <f t="shared" si="55"/>
        <v>2.94930909510781</v>
      </c>
      <c r="L209" s="22">
        <f t="shared" si="54"/>
        <v>2.9542138952234782</v>
      </c>
      <c r="M209" s="22">
        <f t="shared" si="54"/>
        <v>2.9632065078783478</v>
      </c>
      <c r="N209" s="22">
        <f t="shared" si="54"/>
        <v>2.9739549157146588</v>
      </c>
      <c r="O209" s="22">
        <f t="shared" si="54"/>
        <v>2.9812159181802835</v>
      </c>
      <c r="P209" s="22">
        <f t="shared" si="54"/>
        <v>2.9862127459015309</v>
      </c>
      <c r="Q209" s="22">
        <f t="shared" si="54"/>
        <v>2.9889489945692191</v>
      </c>
      <c r="R209" s="22">
        <f t="shared" si="54"/>
        <v>2.993375742599615</v>
      </c>
      <c r="S209" s="22">
        <f t="shared" si="54"/>
        <v>2.9980257119701434</v>
      </c>
      <c r="T209" s="22">
        <f t="shared" si="54"/>
        <v>2.9657034776855355</v>
      </c>
      <c r="U209" s="22">
        <f t="shared" si="54"/>
        <v>2.9785203368438653</v>
      </c>
      <c r="V209" s="22">
        <f t="shared" si="54"/>
        <v>2.9960131772531153</v>
      </c>
      <c r="W209" s="22">
        <f t="shared" si="54"/>
        <v>3.0054132680180357</v>
      </c>
      <c r="X209" s="22">
        <f t="shared" si="54"/>
        <v>3.0156942810945373</v>
      </c>
      <c r="Y209" s="22">
        <f t="shared" si="54"/>
        <v>3.0271247430497872</v>
      </c>
      <c r="Z209" s="22">
        <f t="shared" si="54"/>
        <v>3.0391234751628531</v>
      </c>
      <c r="AA209" s="22">
        <f t="shared" si="54"/>
        <v>3.0519290051656554</v>
      </c>
      <c r="AB209" s="22">
        <f t="shared" si="54"/>
        <v>3.0647621683287483</v>
      </c>
      <c r="AC209" s="22">
        <f t="shared" si="54"/>
        <v>3.078278236610247</v>
      </c>
      <c r="AD209" s="22">
        <f t="shared" si="54"/>
        <v>3.0917340156932256</v>
      </c>
      <c r="AE209" s="22">
        <f t="shared" si="54"/>
        <v>3.1063223231702981</v>
      </c>
      <c r="AF209" s="22">
        <f t="shared" si="54"/>
        <v>3.1203729101259317</v>
      </c>
      <c r="AG209" s="22">
        <f t="shared" si="54"/>
        <v>3.1347791424435716</v>
      </c>
      <c r="AH209" s="22">
        <f t="shared" si="54"/>
        <v>3.1505285322943979</v>
      </c>
      <c r="AI209" s="22">
        <f t="shared" si="54"/>
        <v>3.165174190349632</v>
      </c>
      <c r="AJ209" s="22">
        <f t="shared" si="54"/>
        <v>3.1802123467460328</v>
      </c>
      <c r="AK209" s="22">
        <f t="shared" si="54"/>
        <v>3.1958109430597368</v>
      </c>
      <c r="AL209" s="22">
        <f t="shared" si="54"/>
        <v>3.2101469795788988</v>
      </c>
      <c r="AM209" s="22">
        <f t="shared" si="54"/>
        <v>3.2240845208676738</v>
      </c>
      <c r="AN209" s="22">
        <f t="shared" si="54"/>
        <v>3.2376774558702412</v>
      </c>
      <c r="AO209" s="22">
        <f t="shared" si="54"/>
        <v>3.2520199943996095</v>
      </c>
      <c r="AP209" s="22">
        <f t="shared" si="54"/>
        <v>3.2655335600173556</v>
      </c>
      <c r="AQ209" s="22">
        <f t="shared" si="54"/>
        <v>3.2792196850479614</v>
      </c>
      <c r="AR209" s="22">
        <f t="shared" si="54"/>
        <v>3.2931184823478818</v>
      </c>
      <c r="AS209" s="22">
        <f t="shared" si="54"/>
        <v>3.3072986001803124</v>
      </c>
      <c r="AT209" s="22">
        <f t="shared" si="54"/>
        <v>3.3217008788202178</v>
      </c>
      <c r="AU209" s="22">
        <f t="shared" si="54"/>
        <v>3.3261261868645517</v>
      </c>
      <c r="AV209" s="22">
        <f t="shared" si="54"/>
        <v>3.3296214710028345</v>
      </c>
      <c r="AW209" s="22">
        <f t="shared" si="54"/>
        <v>3.3317990327077256</v>
      </c>
      <c r="AY209" s="79"/>
    </row>
    <row r="210" spans="1:51" x14ac:dyDescent="0.3">
      <c r="A210" s="95" t="str">
        <f t="shared" si="45"/>
        <v>FA Organic</v>
      </c>
      <c r="B210" s="95" t="s">
        <v>962</v>
      </c>
      <c r="C210" s="95" t="s">
        <v>1127</v>
      </c>
      <c r="D210" t="s">
        <v>369</v>
      </c>
      <c r="E210" t="s">
        <v>55</v>
      </c>
      <c r="F210" t="s">
        <v>421</v>
      </c>
      <c r="G210" t="s">
        <v>1152</v>
      </c>
      <c r="H210" t="s">
        <v>1153</v>
      </c>
      <c r="I210" t="s">
        <v>139</v>
      </c>
      <c r="J210" t="s">
        <v>287</v>
      </c>
      <c r="K210" s="22">
        <f t="shared" si="55"/>
        <v>0.31878106382562998</v>
      </c>
      <c r="L210" s="22">
        <f t="shared" si="54"/>
        <v>0.32056321299147905</v>
      </c>
      <c r="M210" s="22">
        <f t="shared" si="54"/>
        <v>0.32309177745176459</v>
      </c>
      <c r="N210" s="22">
        <f t="shared" si="54"/>
        <v>0.32471664946511047</v>
      </c>
      <c r="O210" s="22">
        <f t="shared" si="54"/>
        <v>0.32579638434951874</v>
      </c>
      <c r="P210" s="22">
        <f t="shared" si="54"/>
        <v>0.32632035510276458</v>
      </c>
      <c r="Q210" s="22">
        <f t="shared" si="54"/>
        <v>0.32747800149861978</v>
      </c>
      <c r="R210" s="22">
        <f t="shared" si="54"/>
        <v>0.32880601635823298</v>
      </c>
      <c r="S210" s="22">
        <f t="shared" si="54"/>
        <v>0.31892223916812396</v>
      </c>
      <c r="T210" s="22">
        <f t="shared" si="54"/>
        <v>0.32227574446012153</v>
      </c>
      <c r="U210" s="22">
        <f t="shared" si="54"/>
        <v>0.32718438885789924</v>
      </c>
      <c r="V210" s="22">
        <f t="shared" si="54"/>
        <v>0.3297286573308299</v>
      </c>
      <c r="W210" s="22">
        <f t="shared" si="54"/>
        <v>0.33263641751266398</v>
      </c>
      <c r="X210" s="22">
        <f t="shared" si="54"/>
        <v>0.3360018452717824</v>
      </c>
      <c r="Y210" s="22">
        <f t="shared" si="54"/>
        <v>0.33943858200235472</v>
      </c>
      <c r="Z210" s="22">
        <f t="shared" si="54"/>
        <v>0.34324260633991188</v>
      </c>
      <c r="AA210" s="22">
        <f t="shared" si="54"/>
        <v>0.34716446895122904</v>
      </c>
      <c r="AB210" s="22">
        <f t="shared" si="54"/>
        <v>0.35142933015547478</v>
      </c>
      <c r="AC210" s="22">
        <f t="shared" si="54"/>
        <v>0.3557903986539287</v>
      </c>
      <c r="AD210" s="22">
        <f t="shared" si="54"/>
        <v>0.36050179142942168</v>
      </c>
      <c r="AE210" s="22">
        <f t="shared" si="54"/>
        <v>0.36514941854093586</v>
      </c>
      <c r="AF210" s="22">
        <f t="shared" si="54"/>
        <v>0.37005495430435736</v>
      </c>
      <c r="AG210" s="22">
        <f t="shared" si="54"/>
        <v>0.37560392620070809</v>
      </c>
      <c r="AH210" s="22">
        <f t="shared" si="54"/>
        <v>0.38087972226770728</v>
      </c>
      <c r="AI210" s="22">
        <f t="shared" si="54"/>
        <v>0.38629002318967742</v>
      </c>
      <c r="AJ210" s="22">
        <f t="shared" si="54"/>
        <v>0.39207609513939878</v>
      </c>
      <c r="AK210" s="22">
        <f t="shared" si="54"/>
        <v>0.39749694724838469</v>
      </c>
      <c r="AL210" s="22">
        <f t="shared" si="54"/>
        <v>0.4028883818835427</v>
      </c>
      <c r="AM210" s="22">
        <f t="shared" si="54"/>
        <v>0.40826539528750555</v>
      </c>
      <c r="AN210" s="22">
        <f t="shared" si="54"/>
        <v>0.41395411425770406</v>
      </c>
      <c r="AO210" s="22">
        <f t="shared" si="54"/>
        <v>0.41941402149436835</v>
      </c>
      <c r="AP210" s="22">
        <f t="shared" si="54"/>
        <v>0.4250859445304776</v>
      </c>
      <c r="AQ210" s="22">
        <f t="shared" si="54"/>
        <v>0.43099575197279355</v>
      </c>
      <c r="AR210" s="22">
        <f t="shared" si="54"/>
        <v>0.43718504328373597</v>
      </c>
      <c r="AS210" s="22">
        <f t="shared" si="54"/>
        <v>0.44348381500621098</v>
      </c>
      <c r="AT210" s="22">
        <f t="shared" si="54"/>
        <v>0.44497720344404595</v>
      </c>
      <c r="AU210" s="22">
        <f t="shared" si="54"/>
        <v>0.44604004342695891</v>
      </c>
      <c r="AV210" s="22">
        <f t="shared" si="54"/>
        <v>0.44647550838656064</v>
      </c>
      <c r="AW210" s="22">
        <f t="shared" si="54"/>
        <v>0.44673845388478889</v>
      </c>
      <c r="AY210" s="79"/>
    </row>
    <row r="211" spans="1:51" x14ac:dyDescent="0.3">
      <c r="A211" s="95" t="str">
        <f t="shared" si="45"/>
        <v>FA Organic</v>
      </c>
      <c r="B211" s="95" t="s">
        <v>962</v>
      </c>
      <c r="C211" s="95" t="s">
        <v>1127</v>
      </c>
      <c r="D211" t="s">
        <v>369</v>
      </c>
      <c r="E211" t="s">
        <v>55</v>
      </c>
      <c r="F211" t="s">
        <v>421</v>
      </c>
      <c r="G211" t="s">
        <v>1154</v>
      </c>
      <c r="H211" t="s">
        <v>1155</v>
      </c>
      <c r="I211" t="s">
        <v>139</v>
      </c>
      <c r="J211" t="s">
        <v>287</v>
      </c>
      <c r="K211" s="22">
        <f t="shared" si="55"/>
        <v>0.93210651077804862</v>
      </c>
      <c r="L211" s="22">
        <f t="shared" si="54"/>
        <v>0.93731746283627471</v>
      </c>
      <c r="M211" s="22">
        <f t="shared" si="54"/>
        <v>0.94471091139331731</v>
      </c>
      <c r="N211" s="22">
        <f t="shared" si="54"/>
        <v>0.94946198965576145</v>
      </c>
      <c r="O211" s="22">
        <f t="shared" si="54"/>
        <v>0.95261910289076079</v>
      </c>
      <c r="P211" s="22">
        <f t="shared" si="54"/>
        <v>0.95415117805450056</v>
      </c>
      <c r="Q211" s="22">
        <f t="shared" si="54"/>
        <v>0.95753610227115837</v>
      </c>
      <c r="R211" s="22">
        <f t="shared" si="54"/>
        <v>0.96141917889497119</v>
      </c>
      <c r="S211" s="22">
        <f t="shared" si="54"/>
        <v>0.93251930335211441</v>
      </c>
      <c r="T211" s="22">
        <f t="shared" si="54"/>
        <v>0.94232485478320349</v>
      </c>
      <c r="U211" s="22">
        <f t="shared" si="54"/>
        <v>0.95667758749371812</v>
      </c>
      <c r="V211" s="22">
        <f t="shared" si="54"/>
        <v>0.96411695412461496</v>
      </c>
      <c r="W211" s="22">
        <f t="shared" si="54"/>
        <v>0.97261915988534076</v>
      </c>
      <c r="X211" s="22">
        <f t="shared" si="54"/>
        <v>0.98245957226172753</v>
      </c>
      <c r="Y211" s="22">
        <f t="shared" si="54"/>
        <v>0.99250848998586416</v>
      </c>
      <c r="Z211" s="22">
        <f t="shared" si="54"/>
        <v>1.0036313459348443</v>
      </c>
      <c r="AA211" s="22">
        <f t="shared" si="54"/>
        <v>1.0150987575511923</v>
      </c>
      <c r="AB211" s="22">
        <f t="shared" si="54"/>
        <v>1.0275690870253942</v>
      </c>
      <c r="AC211" s="22">
        <f t="shared" si="54"/>
        <v>1.0403207238151548</v>
      </c>
      <c r="AD211" s="22">
        <f t="shared" si="54"/>
        <v>1.054096698548936</v>
      </c>
      <c r="AE211" s="22">
        <f t="shared" si="54"/>
        <v>1.0676862243454883</v>
      </c>
      <c r="AF211" s="22">
        <f t="shared" si="54"/>
        <v>1.0820298675000297</v>
      </c>
      <c r="AG211" s="22">
        <f t="shared" si="54"/>
        <v>1.0982548990958272</v>
      </c>
      <c r="AH211" s="22">
        <f t="shared" si="54"/>
        <v>1.1136811725531401</v>
      </c>
      <c r="AI211" s="22">
        <f t="shared" si="54"/>
        <v>1.1295007342740186</v>
      </c>
      <c r="AJ211" s="22">
        <f t="shared" si="54"/>
        <v>1.146419039494041</v>
      </c>
      <c r="AK211" s="22">
        <f t="shared" si="54"/>
        <v>1.1622694525772803</v>
      </c>
      <c r="AL211" s="22">
        <f t="shared" si="54"/>
        <v>1.1780338498270926</v>
      </c>
      <c r="AM211" s="22">
        <f t="shared" si="54"/>
        <v>1.1937560798185081</v>
      </c>
      <c r="AN211" s="22">
        <f t="shared" si="54"/>
        <v>1.2103897277726068</v>
      </c>
      <c r="AO211" s="22">
        <f t="shared" si="54"/>
        <v>1.2263543369073659</v>
      </c>
      <c r="AP211" s="22">
        <f t="shared" si="54"/>
        <v>1.2429388740412319</v>
      </c>
      <c r="AQ211" s="22">
        <f t="shared" si="54"/>
        <v>1.260218978224084</v>
      </c>
      <c r="AR211" s="22">
        <f t="shared" si="54"/>
        <v>1.2783162850678402</v>
      </c>
      <c r="AS211" s="22">
        <f t="shared" si="54"/>
        <v>1.2967337094341598</v>
      </c>
      <c r="AT211" s="22">
        <f t="shared" si="54"/>
        <v>1.3011003335658498</v>
      </c>
      <c r="AU211" s="22">
        <f t="shared" si="54"/>
        <v>1.3042080466028143</v>
      </c>
      <c r="AV211" s="22">
        <f t="shared" si="54"/>
        <v>1.3054813334134847</v>
      </c>
      <c r="AW211" s="22">
        <f t="shared" si="54"/>
        <v>1.3062501783628579</v>
      </c>
      <c r="AY211" s="79"/>
    </row>
    <row r="212" spans="1:51" x14ac:dyDescent="0.3">
      <c r="A212" s="95" t="str">
        <f t="shared" si="45"/>
        <v>FA Organic</v>
      </c>
      <c r="B212" s="95" t="s">
        <v>962</v>
      </c>
      <c r="C212" s="95" t="s">
        <v>1127</v>
      </c>
      <c r="D212" t="s">
        <v>369</v>
      </c>
      <c r="E212" t="s">
        <v>55</v>
      </c>
      <c r="F212" t="s">
        <v>421</v>
      </c>
      <c r="G212" t="s">
        <v>1156</v>
      </c>
      <c r="H212" t="s">
        <v>1157</v>
      </c>
      <c r="I212" t="s">
        <v>139</v>
      </c>
      <c r="J212" t="s">
        <v>287</v>
      </c>
      <c r="K212" s="22">
        <f t="shared" si="55"/>
        <v>4.9862442750846919E-2</v>
      </c>
      <c r="L212" s="22">
        <f t="shared" si="54"/>
        <v>5.0141199304605803E-2</v>
      </c>
      <c r="M212" s="22">
        <f t="shared" si="54"/>
        <v>5.0536707115294892E-2</v>
      </c>
      <c r="N212" s="22">
        <f t="shared" si="54"/>
        <v>5.0790863013925151E-2</v>
      </c>
      <c r="O212" s="22">
        <f t="shared" si="54"/>
        <v>5.0959750770976316E-2</v>
      </c>
      <c r="P212" s="22">
        <f t="shared" si="54"/>
        <v>5.1041708153806091E-2</v>
      </c>
      <c r="Q212" s="22">
        <f t="shared" si="54"/>
        <v>5.122278251388987E-2</v>
      </c>
      <c r="R212" s="22">
        <f t="shared" si="54"/>
        <v>5.1430505218981168E-2</v>
      </c>
      <c r="S212" s="22">
        <f t="shared" si="54"/>
        <v>4.9884524826075798E-2</v>
      </c>
      <c r="T212" s="22">
        <f t="shared" si="54"/>
        <v>5.0409066540160655E-2</v>
      </c>
      <c r="U212" s="22">
        <f t="shared" si="54"/>
        <v>5.1176856813934052E-2</v>
      </c>
      <c r="V212" s="22">
        <f t="shared" si="54"/>
        <v>5.1574820982670536E-2</v>
      </c>
      <c r="W212" s="22">
        <f t="shared" si="54"/>
        <v>5.2029641052156198E-2</v>
      </c>
      <c r="X212" s="22">
        <f t="shared" si="54"/>
        <v>5.255604763025503E-2</v>
      </c>
      <c r="Y212" s="22">
        <f t="shared" si="54"/>
        <v>5.3093608068824946E-2</v>
      </c>
      <c r="Z212" s="22">
        <f t="shared" si="54"/>
        <v>5.3688618147146365E-2</v>
      </c>
      <c r="AA212" s="22">
        <f t="shared" si="54"/>
        <v>5.4302060010934287E-2</v>
      </c>
      <c r="AB212" s="22">
        <f t="shared" si="54"/>
        <v>5.4969152325279956E-2</v>
      </c>
      <c r="AC212" s="22">
        <f t="shared" si="54"/>
        <v>5.5651292994888926E-2</v>
      </c>
      <c r="AD212" s="22">
        <f t="shared" si="54"/>
        <v>5.6388229968890861E-2</v>
      </c>
      <c r="AE212" s="22">
        <f t="shared" si="54"/>
        <v>5.711519297602205E-2</v>
      </c>
      <c r="AF212" s="22">
        <f t="shared" si="54"/>
        <v>5.7882497009801276E-2</v>
      </c>
      <c r="AG212" s="22">
        <f t="shared" si="54"/>
        <v>5.8750444717194539E-2</v>
      </c>
      <c r="AH212" s="22">
        <f t="shared" si="54"/>
        <v>5.9575663367885126E-2</v>
      </c>
      <c r="AI212" s="22">
        <f t="shared" si="54"/>
        <v>6.0421920723165649E-2</v>
      </c>
      <c r="AJ212" s="22">
        <f t="shared" si="54"/>
        <v>6.1326954660511038E-2</v>
      </c>
      <c r="AK212" s="22">
        <f t="shared" si="54"/>
        <v>6.2174862389725999E-2</v>
      </c>
      <c r="AL212" s="22">
        <f t="shared" si="54"/>
        <v>6.3018168756843018E-2</v>
      </c>
      <c r="AM212" s="22">
        <f t="shared" si="54"/>
        <v>6.3859219413391094E-2</v>
      </c>
      <c r="AN212" s="22">
        <f t="shared" si="54"/>
        <v>6.4749025792016954E-2</v>
      </c>
      <c r="AO212" s="22">
        <f t="shared" si="54"/>
        <v>6.5603042366106867E-2</v>
      </c>
      <c r="AP212" s="22">
        <f t="shared" si="54"/>
        <v>6.6490221592755999E-2</v>
      </c>
      <c r="AQ212" s="22">
        <f t="shared" si="54"/>
        <v>6.7414609734650743E-2</v>
      </c>
      <c r="AR212" s="22">
        <f t="shared" si="54"/>
        <v>6.8382713611200324E-2</v>
      </c>
      <c r="AS212" s="22">
        <f t="shared" si="54"/>
        <v>6.9367941970261027E-2</v>
      </c>
      <c r="AT212" s="22">
        <f t="shared" si="54"/>
        <v>6.9601531740596523E-2</v>
      </c>
      <c r="AU212" s="22">
        <f t="shared" si="54"/>
        <v>6.9767776865590186E-2</v>
      </c>
      <c r="AV212" s="22">
        <f t="shared" si="54"/>
        <v>6.983589053067922E-2</v>
      </c>
      <c r="AW212" s="22">
        <f t="shared" si="54"/>
        <v>6.9877019400426524E-2</v>
      </c>
      <c r="AY212" s="79"/>
    </row>
    <row r="213" spans="1:51" x14ac:dyDescent="0.3">
      <c r="A213" s="95" t="str">
        <f t="shared" si="45"/>
        <v>FA Organic</v>
      </c>
      <c r="B213" s="95" t="s">
        <v>962</v>
      </c>
      <c r="C213" s="95" t="s">
        <v>1127</v>
      </c>
      <c r="D213" t="s">
        <v>369</v>
      </c>
      <c r="E213" t="s">
        <v>55</v>
      </c>
      <c r="F213" t="s">
        <v>421</v>
      </c>
      <c r="G213" t="s">
        <v>1158</v>
      </c>
      <c r="H213" t="s">
        <v>1159</v>
      </c>
      <c r="I213" t="s">
        <v>139</v>
      </c>
      <c r="J213" t="s">
        <v>287</v>
      </c>
      <c r="K213" s="22">
        <f t="shared" si="55"/>
        <v>0.3999997899835232</v>
      </c>
      <c r="L213" s="22">
        <f t="shared" si="54"/>
        <v>0.39653071954810187</v>
      </c>
      <c r="M213" s="22">
        <f t="shared" si="54"/>
        <v>0.39521014945095023</v>
      </c>
      <c r="N213" s="22">
        <f t="shared" si="54"/>
        <v>0.38993263522397309</v>
      </c>
      <c r="O213" s="22">
        <f t="shared" si="54"/>
        <v>0.382272194437701</v>
      </c>
      <c r="P213" s="22">
        <f t="shared" si="54"/>
        <v>0.37238723301511378</v>
      </c>
      <c r="Q213" s="22">
        <f t="shared" si="54"/>
        <v>0.36459067483623875</v>
      </c>
      <c r="R213" s="22">
        <f t="shared" si="54"/>
        <v>0.3572142444544395</v>
      </c>
      <c r="S213" s="22">
        <f t="shared" si="54"/>
        <v>0.31424439964767104</v>
      </c>
      <c r="T213" s="22">
        <f t="shared" si="54"/>
        <v>0.31934867566353531</v>
      </c>
      <c r="U213" s="22">
        <f t="shared" si="54"/>
        <v>0.32887086359473244</v>
      </c>
      <c r="V213" s="22">
        <f t="shared" si="54"/>
        <v>0.33077255450985388</v>
      </c>
      <c r="W213" s="22">
        <f t="shared" si="54"/>
        <v>0.33351533974002295</v>
      </c>
      <c r="X213" s="22">
        <f t="shared" si="54"/>
        <v>0.33734158563652278</v>
      </c>
      <c r="Y213" s="22">
        <f t="shared" si="54"/>
        <v>0.34173046425936165</v>
      </c>
      <c r="Z213" s="22">
        <f t="shared" si="54"/>
        <v>0.34687619399861491</v>
      </c>
      <c r="AA213" s="22">
        <f t="shared" si="54"/>
        <v>0.35204565699464252</v>
      </c>
      <c r="AB213" s="22">
        <f t="shared" si="54"/>
        <v>0.35785970773870229</v>
      </c>
      <c r="AC213" s="22">
        <f t="shared" si="54"/>
        <v>0.36361606039285416</v>
      </c>
      <c r="AD213" s="22">
        <f t="shared" si="54"/>
        <v>0.36736576480920718</v>
      </c>
      <c r="AE213" s="22">
        <f t="shared" si="54"/>
        <v>0.37044453344609923</v>
      </c>
      <c r="AF213" s="22">
        <f t="shared" si="54"/>
        <v>0.37369707806666508</v>
      </c>
      <c r="AG213" s="22">
        <f t="shared" si="54"/>
        <v>0.37804894622531426</v>
      </c>
      <c r="AH213" s="22">
        <f t="shared" si="54"/>
        <v>0.38117866346584023</v>
      </c>
      <c r="AI213" s="22">
        <f t="shared" si="54"/>
        <v>0.38451417084428363</v>
      </c>
      <c r="AJ213" s="22">
        <f t="shared" si="54"/>
        <v>0.38818587422632583</v>
      </c>
      <c r="AK213" s="22">
        <f t="shared" si="54"/>
        <v>0.39047383423356319</v>
      </c>
      <c r="AL213" s="22">
        <f t="shared" si="54"/>
        <v>0.39219030360024004</v>
      </c>
      <c r="AM213" s="22">
        <f t="shared" si="54"/>
        <v>0.39338421797559098</v>
      </c>
      <c r="AN213" s="22">
        <f t="shared" si="54"/>
        <v>0.39709578221714281</v>
      </c>
      <c r="AO213" s="22">
        <f t="shared" si="54"/>
        <v>0.39991704090429331</v>
      </c>
      <c r="AP213" s="22">
        <f t="shared" si="54"/>
        <v>0.40277391205281804</v>
      </c>
      <c r="AQ213" s="22">
        <f t="shared" si="54"/>
        <v>0.40569907697718249</v>
      </c>
      <c r="AR213" s="22">
        <f t="shared" si="54"/>
        <v>0.40875152256691355</v>
      </c>
      <c r="AS213" s="22">
        <f t="shared" si="54"/>
        <v>0.41188557339004239</v>
      </c>
      <c r="AT213" s="22">
        <f t="shared" si="54"/>
        <v>0.4057032930761475</v>
      </c>
      <c r="AU213" s="22">
        <f t="shared" si="54"/>
        <v>0.3986998092121265</v>
      </c>
      <c r="AV213" s="22">
        <f t="shared" si="54"/>
        <v>0.39058052493607326</v>
      </c>
      <c r="AW213" s="22">
        <f t="shared" si="54"/>
        <v>0.38220678819508502</v>
      </c>
      <c r="AY213" s="79"/>
    </row>
    <row r="214" spans="1:51" x14ac:dyDescent="0.3">
      <c r="A214" s="95" t="str">
        <f t="shared" si="45"/>
        <v>FA Organic</v>
      </c>
      <c r="B214" s="95" t="s">
        <v>962</v>
      </c>
      <c r="C214" s="95" t="s">
        <v>1127</v>
      </c>
      <c r="D214" t="s">
        <v>369</v>
      </c>
      <c r="E214" t="s">
        <v>55</v>
      </c>
      <c r="F214" t="s">
        <v>421</v>
      </c>
      <c r="G214" t="s">
        <v>1160</v>
      </c>
      <c r="H214" t="s">
        <v>1161</v>
      </c>
      <c r="I214" t="s">
        <v>139</v>
      </c>
      <c r="J214" t="s">
        <v>287</v>
      </c>
      <c r="K214" s="22">
        <f t="shared" si="55"/>
        <v>2.6602988559851246</v>
      </c>
      <c r="L214" s="22">
        <f t="shared" si="54"/>
        <v>2.6372269335947083</v>
      </c>
      <c r="M214" s="22">
        <f t="shared" si="54"/>
        <v>2.6284441511866339</v>
      </c>
      <c r="N214" s="22">
        <f t="shared" si="54"/>
        <v>2.5933447201068058</v>
      </c>
      <c r="O214" s="22">
        <f t="shared" si="54"/>
        <v>2.5423970387070201</v>
      </c>
      <c r="P214" s="22">
        <f t="shared" ref="L214:AW220" si="56">P1470</f>
        <v>2.4766546252796311</v>
      </c>
      <c r="Q214" s="22">
        <f t="shared" si="56"/>
        <v>2.4248016610449818</v>
      </c>
      <c r="R214" s="22">
        <f t="shared" si="56"/>
        <v>2.3757428620222045</v>
      </c>
      <c r="S214" s="22">
        <f t="shared" si="56"/>
        <v>2.0899611395217677</v>
      </c>
      <c r="T214" s="22">
        <f t="shared" si="56"/>
        <v>2.123908406459571</v>
      </c>
      <c r="U214" s="22">
        <f t="shared" si="56"/>
        <v>2.1872381038598681</v>
      </c>
      <c r="V214" s="22">
        <f t="shared" si="56"/>
        <v>2.1998857759152552</v>
      </c>
      <c r="W214" s="22">
        <f t="shared" si="56"/>
        <v>2.2181273565179156</v>
      </c>
      <c r="X214" s="22">
        <f t="shared" si="56"/>
        <v>2.2435747638317936</v>
      </c>
      <c r="Y214" s="22">
        <f t="shared" si="56"/>
        <v>2.2727641011058872</v>
      </c>
      <c r="Z214" s="22">
        <f t="shared" si="56"/>
        <v>2.3069870664207133</v>
      </c>
      <c r="AA214" s="22">
        <f t="shared" si="56"/>
        <v>2.3413678757080296</v>
      </c>
      <c r="AB214" s="22">
        <f t="shared" si="56"/>
        <v>2.380035677367871</v>
      </c>
      <c r="AC214" s="22">
        <f t="shared" si="56"/>
        <v>2.4183197434198012</v>
      </c>
      <c r="AD214" s="22">
        <f t="shared" si="56"/>
        <v>2.4432580924362282</v>
      </c>
      <c r="AE214" s="22">
        <f t="shared" si="56"/>
        <v>2.4637342148934525</v>
      </c>
      <c r="AF214" s="22">
        <f t="shared" si="56"/>
        <v>2.4853660780839015</v>
      </c>
      <c r="AG214" s="22">
        <f t="shared" si="56"/>
        <v>2.5143092679899</v>
      </c>
      <c r="AH214" s="22">
        <f t="shared" si="56"/>
        <v>2.5351242369049363</v>
      </c>
      <c r="AI214" s="22">
        <f t="shared" si="56"/>
        <v>2.5573078647097613</v>
      </c>
      <c r="AJ214" s="22">
        <f t="shared" si="56"/>
        <v>2.5817274482979573</v>
      </c>
      <c r="AK214" s="22">
        <f t="shared" si="56"/>
        <v>2.5969440997618101</v>
      </c>
      <c r="AL214" s="22">
        <f t="shared" si="56"/>
        <v>2.6083599094868397</v>
      </c>
      <c r="AM214" s="22">
        <f t="shared" si="56"/>
        <v>2.6163003362731181</v>
      </c>
      <c r="AN214" s="22">
        <f t="shared" si="56"/>
        <v>2.6409850244978843</v>
      </c>
      <c r="AO214" s="22">
        <f t="shared" si="56"/>
        <v>2.6597485124941493</v>
      </c>
      <c r="AP214" s="22">
        <f t="shared" si="56"/>
        <v>2.6787488500904026</v>
      </c>
      <c r="AQ214" s="22">
        <f t="shared" si="56"/>
        <v>2.6982033925594746</v>
      </c>
      <c r="AR214" s="22">
        <f t="shared" si="56"/>
        <v>2.7185044469941606</v>
      </c>
      <c r="AS214" s="22">
        <f t="shared" si="56"/>
        <v>2.739348237486432</v>
      </c>
      <c r="AT214" s="22">
        <f t="shared" si="56"/>
        <v>2.6982314327823316</v>
      </c>
      <c r="AU214" s="22">
        <f t="shared" si="56"/>
        <v>2.6516530080483269</v>
      </c>
      <c r="AV214" s="22">
        <f t="shared" si="56"/>
        <v>2.5976536730189443</v>
      </c>
      <c r="AW214" s="22">
        <f t="shared" si="56"/>
        <v>2.5419620380976129</v>
      </c>
      <c r="AY214" s="79"/>
    </row>
    <row r="215" spans="1:51" x14ac:dyDescent="0.3">
      <c r="A215" s="95" t="str">
        <f t="shared" si="45"/>
        <v>FA Organic</v>
      </c>
      <c r="B215" s="95" t="s">
        <v>962</v>
      </c>
      <c r="C215" s="95" t="s">
        <v>1127</v>
      </c>
      <c r="D215" t="s">
        <v>369</v>
      </c>
      <c r="E215" t="s">
        <v>55</v>
      </c>
      <c r="F215" t="s">
        <v>421</v>
      </c>
      <c r="G215" t="s">
        <v>1162</v>
      </c>
      <c r="H215" t="s">
        <v>1163</v>
      </c>
      <c r="I215" t="s">
        <v>139</v>
      </c>
      <c r="J215" t="s">
        <v>287</v>
      </c>
      <c r="K215" s="22">
        <f t="shared" si="55"/>
        <v>0.34358078636628736</v>
      </c>
      <c r="L215" s="22">
        <f t="shared" si="56"/>
        <v>0.35516571939691499</v>
      </c>
      <c r="M215" s="22">
        <f t="shared" si="56"/>
        <v>0.36891582276573964</v>
      </c>
      <c r="N215" s="22">
        <f t="shared" si="56"/>
        <v>0.37917034791782095</v>
      </c>
      <c r="O215" s="22">
        <f t="shared" si="56"/>
        <v>0.38707850955818851</v>
      </c>
      <c r="P215" s="22">
        <f t="shared" si="56"/>
        <v>0.39252728601928993</v>
      </c>
      <c r="Q215" s="22">
        <f t="shared" si="56"/>
        <v>0.39996713645364929</v>
      </c>
      <c r="R215" s="22">
        <f t="shared" si="56"/>
        <v>0.40776627193753145</v>
      </c>
      <c r="S215" s="22">
        <f t="shared" si="56"/>
        <v>0.37321314104522196</v>
      </c>
      <c r="T215" s="22">
        <f t="shared" si="56"/>
        <v>0.3884130094850205</v>
      </c>
      <c r="U215" s="22">
        <f t="shared" si="56"/>
        <v>0.40949913684353023</v>
      </c>
      <c r="V215" s="22">
        <f t="shared" si="56"/>
        <v>0.4215293985273969</v>
      </c>
      <c r="W215" s="22">
        <f t="shared" si="56"/>
        <v>0.43487839572409737</v>
      </c>
      <c r="X215" s="22">
        <f t="shared" si="56"/>
        <v>0.4499540833261832</v>
      </c>
      <c r="Y215" s="22">
        <f t="shared" si="56"/>
        <v>0.46615455433442204</v>
      </c>
      <c r="Z215" s="22">
        <f t="shared" si="56"/>
        <v>0.48381398189083635</v>
      </c>
      <c r="AA215" s="22">
        <f t="shared" si="56"/>
        <v>0.50197004484830632</v>
      </c>
      <c r="AB215" s="22">
        <f t="shared" si="56"/>
        <v>0.52154350048929543</v>
      </c>
      <c r="AC215" s="22">
        <f t="shared" si="56"/>
        <v>0.5415643129229577</v>
      </c>
      <c r="AD215" s="22">
        <f t="shared" si="56"/>
        <v>0.56529401193420392</v>
      </c>
      <c r="AE215" s="22">
        <f t="shared" si="56"/>
        <v>0.58897158069089917</v>
      </c>
      <c r="AF215" s="22">
        <f t="shared" si="56"/>
        <v>0.61393439377098979</v>
      </c>
      <c r="AG215" s="22">
        <f t="shared" si="56"/>
        <v>0.64183870134182519</v>
      </c>
      <c r="AH215" s="22">
        <f t="shared" si="56"/>
        <v>0.66886013669524935</v>
      </c>
      <c r="AI215" s="22">
        <f t="shared" si="56"/>
        <v>0.6974449623138369</v>
      </c>
      <c r="AJ215" s="22">
        <f t="shared" si="56"/>
        <v>0.72794565179733817</v>
      </c>
      <c r="AK215" s="22">
        <f t="shared" si="56"/>
        <v>0.75716831024556897</v>
      </c>
      <c r="AL215" s="22">
        <f t="shared" si="56"/>
        <v>0.78655158010344739</v>
      </c>
      <c r="AM215" s="22">
        <f t="shared" si="56"/>
        <v>0.81615922006003327</v>
      </c>
      <c r="AN215" s="22">
        <f t="shared" si="56"/>
        <v>0.84710504325273028</v>
      </c>
      <c r="AO215" s="22">
        <f t="shared" si="56"/>
        <v>0.8772777887183536</v>
      </c>
      <c r="AP215" s="22">
        <f t="shared" si="56"/>
        <v>0.90865780083615855</v>
      </c>
      <c r="AQ215" s="22">
        <f t="shared" si="56"/>
        <v>0.94138400089523855</v>
      </c>
      <c r="AR215" s="22">
        <f t="shared" si="56"/>
        <v>0.9756708685083213</v>
      </c>
      <c r="AS215" s="22">
        <f t="shared" si="56"/>
        <v>1.0114969469202602</v>
      </c>
      <c r="AT215" s="22">
        <f t="shared" si="56"/>
        <v>1.0252009760930854</v>
      </c>
      <c r="AU215" s="22">
        <f t="shared" si="56"/>
        <v>1.0368909620314641</v>
      </c>
      <c r="AV215" s="22">
        <f t="shared" si="56"/>
        <v>1.0455964615277633</v>
      </c>
      <c r="AW215" s="22">
        <f t="shared" si="56"/>
        <v>1.0534263177729573</v>
      </c>
      <c r="AY215" s="79"/>
    </row>
    <row r="216" spans="1:51" x14ac:dyDescent="0.3">
      <c r="A216" s="95" t="str">
        <f t="shared" si="45"/>
        <v>FA Organic</v>
      </c>
      <c r="B216" s="95" t="s">
        <v>962</v>
      </c>
      <c r="C216" s="95" t="s">
        <v>1127</v>
      </c>
      <c r="D216" t="s">
        <v>369</v>
      </c>
      <c r="E216" t="s">
        <v>55</v>
      </c>
      <c r="F216" t="s">
        <v>421</v>
      </c>
      <c r="G216" t="s">
        <v>1164</v>
      </c>
      <c r="H216" t="s">
        <v>1165</v>
      </c>
      <c r="I216" t="s">
        <v>139</v>
      </c>
      <c r="J216" t="s">
        <v>287</v>
      </c>
      <c r="K216" s="22">
        <f t="shared" si="55"/>
        <v>5.8359782740747899E-2</v>
      </c>
      <c r="L216" s="22">
        <f t="shared" si="56"/>
        <v>5.8391337689573865E-2</v>
      </c>
      <c r="M216" s="22">
        <f t="shared" si="56"/>
        <v>5.8466784388382168E-2</v>
      </c>
      <c r="N216" s="22">
        <f t="shared" si="56"/>
        <v>5.857803115055428E-2</v>
      </c>
      <c r="O216" s="22">
        <f t="shared" si="56"/>
        <v>5.872437103691365E-2</v>
      </c>
      <c r="P216" s="22">
        <f t="shared" si="56"/>
        <v>5.890425875881948E-2</v>
      </c>
      <c r="Q216" s="22">
        <f t="shared" si="56"/>
        <v>5.9106297224497076E-2</v>
      </c>
      <c r="R216" s="22">
        <f t="shared" si="56"/>
        <v>5.932921089397071E-2</v>
      </c>
      <c r="S216" s="22">
        <f t="shared" si="56"/>
        <v>5.9533053172061867E-2</v>
      </c>
      <c r="T216" s="22">
        <f t="shared" si="56"/>
        <v>5.9622626403998236E-2</v>
      </c>
      <c r="U216" s="22">
        <f t="shared" si="56"/>
        <v>5.9732014563410027E-2</v>
      </c>
      <c r="V216" s="22">
        <f t="shared" si="56"/>
        <v>5.9846990057404043E-2</v>
      </c>
      <c r="W216" s="22">
        <f t="shared" si="56"/>
        <v>5.9976074595492208E-2</v>
      </c>
      <c r="X216" s="22">
        <f t="shared" si="56"/>
        <v>6.0118906996584121E-2</v>
      </c>
      <c r="Y216" s="22">
        <f t="shared" si="56"/>
        <v>6.0208109427104674E-2</v>
      </c>
      <c r="Z216" s="22">
        <f t="shared" si="56"/>
        <v>6.0308885561081285E-2</v>
      </c>
      <c r="AA216" s="22">
        <f t="shared" si="56"/>
        <v>6.0419873689415794E-2</v>
      </c>
      <c r="AB216" s="22">
        <f t="shared" si="56"/>
        <v>6.0541378990392976E-2</v>
      </c>
      <c r="AC216" s="22">
        <f t="shared" si="56"/>
        <v>6.0672147346661598E-2</v>
      </c>
      <c r="AD216" s="22">
        <f t="shared" si="56"/>
        <v>6.075986875735849E-2</v>
      </c>
      <c r="AE216" s="22">
        <f t="shared" si="56"/>
        <v>6.0855100315135816E-2</v>
      </c>
      <c r="AF216" s="22">
        <f t="shared" si="56"/>
        <v>6.095860752574931E-2</v>
      </c>
      <c r="AG216" s="22">
        <f t="shared" si="56"/>
        <v>6.1071400786534412E-2</v>
      </c>
      <c r="AH216" s="22">
        <f t="shared" si="56"/>
        <v>6.1190093146373289E-2</v>
      </c>
      <c r="AI216" s="22">
        <f t="shared" si="56"/>
        <v>6.1265960925417272E-2</v>
      </c>
      <c r="AJ216" s="22">
        <f t="shared" si="56"/>
        <v>6.1349061452671098E-2</v>
      </c>
      <c r="AK216" s="22">
        <f t="shared" si="56"/>
        <v>6.1436653899188148E-2</v>
      </c>
      <c r="AL216" s="22">
        <f t="shared" si="56"/>
        <v>6.152967077586103E-2</v>
      </c>
      <c r="AM216" s="22">
        <f t="shared" si="56"/>
        <v>6.1627971048734624E-2</v>
      </c>
      <c r="AN216" s="22">
        <f t="shared" si="56"/>
        <v>6.1686054121935154E-2</v>
      </c>
      <c r="AO216" s="22">
        <f t="shared" si="56"/>
        <v>6.1748058507407479E-2</v>
      </c>
      <c r="AP216" s="22">
        <f t="shared" si="56"/>
        <v>6.1815315922285695E-2</v>
      </c>
      <c r="AQ216" s="22">
        <f t="shared" si="56"/>
        <v>6.1887761342917867E-2</v>
      </c>
      <c r="AR216" s="22">
        <f t="shared" si="56"/>
        <v>6.1965393268001254E-2</v>
      </c>
      <c r="AS216" s="22">
        <f t="shared" si="56"/>
        <v>6.2000613011444994E-2</v>
      </c>
      <c r="AT216" s="22">
        <f t="shared" si="56"/>
        <v>6.2023309807671526E-2</v>
      </c>
      <c r="AU216" s="22">
        <f t="shared" si="56"/>
        <v>6.2048189785904866E-2</v>
      </c>
      <c r="AV216" s="22">
        <f t="shared" si="56"/>
        <v>6.2074469713562223E-2</v>
      </c>
      <c r="AW216" s="22">
        <f t="shared" si="56"/>
        <v>6.2103581129763968E-2</v>
      </c>
      <c r="AY216" s="79"/>
    </row>
    <row r="217" spans="1:51" x14ac:dyDescent="0.3">
      <c r="A217" s="95" t="str">
        <f t="shared" si="45"/>
        <v>FA Organic</v>
      </c>
      <c r="B217" s="95" t="s">
        <v>962</v>
      </c>
      <c r="C217" s="95" t="s">
        <v>1127</v>
      </c>
      <c r="D217" t="s">
        <v>369</v>
      </c>
      <c r="E217" t="s">
        <v>55</v>
      </c>
      <c r="F217" t="s">
        <v>421</v>
      </c>
      <c r="G217" t="s">
        <v>1166</v>
      </c>
      <c r="H217" t="s">
        <v>1167</v>
      </c>
      <c r="I217" t="s">
        <v>139</v>
      </c>
      <c r="J217" t="s">
        <v>287</v>
      </c>
      <c r="K217" s="22">
        <f t="shared" si="55"/>
        <v>4.7496930236945983E-2</v>
      </c>
      <c r="L217" s="22">
        <f t="shared" si="56"/>
        <v>4.7522611675988952E-2</v>
      </c>
      <c r="M217" s="22">
        <f t="shared" si="56"/>
        <v>4.7584015033260249E-2</v>
      </c>
      <c r="N217" s="22">
        <f t="shared" si="56"/>
        <v>4.7674554775764919E-2</v>
      </c>
      <c r="O217" s="22">
        <f t="shared" si="56"/>
        <v>4.7793655551108268E-2</v>
      </c>
      <c r="P217" s="22">
        <f t="shared" si="56"/>
        <v>4.7940059704389672E-2</v>
      </c>
      <c r="Q217" s="22">
        <f t="shared" si="56"/>
        <v>4.8104491552124547E-2</v>
      </c>
      <c r="R217" s="22">
        <f t="shared" si="56"/>
        <v>4.8285912978158388E-2</v>
      </c>
      <c r="S217" s="22">
        <f t="shared" si="56"/>
        <v>4.8451812884003569E-2</v>
      </c>
      <c r="T217" s="22">
        <f t="shared" si="56"/>
        <v>4.8524713319004827E-2</v>
      </c>
      <c r="U217" s="22">
        <f t="shared" si="56"/>
        <v>4.8613740411504645E-2</v>
      </c>
      <c r="V217" s="22">
        <f t="shared" si="56"/>
        <v>4.8707314834861425E-2</v>
      </c>
      <c r="W217" s="22">
        <f t="shared" si="56"/>
        <v>4.8812372102251839E-2</v>
      </c>
      <c r="X217" s="22">
        <f t="shared" si="56"/>
        <v>4.8928618261364118E-2</v>
      </c>
      <c r="Y217" s="22">
        <f t="shared" si="56"/>
        <v>4.9001216914416376E-2</v>
      </c>
      <c r="Z217" s="22">
        <f t="shared" si="56"/>
        <v>4.908323498885471E-2</v>
      </c>
      <c r="AA217" s="22">
        <f t="shared" si="56"/>
        <v>4.9173564238571964E-2</v>
      </c>
      <c r="AB217" s="22">
        <f t="shared" si="56"/>
        <v>4.9272453037208674E-2</v>
      </c>
      <c r="AC217" s="22">
        <f t="shared" si="56"/>
        <v>4.9378880703714607E-2</v>
      </c>
      <c r="AD217" s="22">
        <f t="shared" si="56"/>
        <v>4.9450274007947166E-2</v>
      </c>
      <c r="AE217" s="22">
        <f t="shared" si="56"/>
        <v>4.9527779551040076E-2</v>
      </c>
      <c r="AF217" s="22">
        <f t="shared" si="56"/>
        <v>4.9612020350622385E-2</v>
      </c>
      <c r="AG217" s="22">
        <f t="shared" si="56"/>
        <v>4.9703818732780645E-2</v>
      </c>
      <c r="AH217" s="22">
        <f t="shared" si="56"/>
        <v>4.9800418179697173E-2</v>
      </c>
      <c r="AI217" s="22">
        <f t="shared" si="56"/>
        <v>4.9862164239042377E-2</v>
      </c>
      <c r="AJ217" s="22">
        <f t="shared" si="56"/>
        <v>4.992979677227443E-2</v>
      </c>
      <c r="AK217" s="22">
        <f t="shared" si="56"/>
        <v>5.0001085117194859E-2</v>
      </c>
      <c r="AL217" s="22">
        <f t="shared" si="56"/>
        <v>5.0076788210912958E-2</v>
      </c>
      <c r="AM217" s="22">
        <f t="shared" si="56"/>
        <v>5.0156791270960163E-2</v>
      </c>
      <c r="AN217" s="22">
        <f t="shared" si="56"/>
        <v>5.0204062997244822E-2</v>
      </c>
      <c r="AO217" s="22">
        <f t="shared" si="56"/>
        <v>5.0254526138690123E-2</v>
      </c>
      <c r="AP217" s="22">
        <f t="shared" si="56"/>
        <v>5.0309264532021343E-2</v>
      </c>
      <c r="AQ217" s="22">
        <f t="shared" si="56"/>
        <v>5.036822525682455E-2</v>
      </c>
      <c r="AR217" s="22">
        <f t="shared" si="56"/>
        <v>5.0431407091243406E-2</v>
      </c>
      <c r="AS217" s="22">
        <f t="shared" si="56"/>
        <v>5.0460071174945387E-2</v>
      </c>
      <c r="AT217" s="22">
        <f t="shared" si="56"/>
        <v>5.0478543281871534E-2</v>
      </c>
      <c r="AU217" s="22">
        <f t="shared" si="56"/>
        <v>5.0498792202188725E-2</v>
      </c>
      <c r="AV217" s="22">
        <f t="shared" si="56"/>
        <v>5.0520180491040283E-2</v>
      </c>
      <c r="AW217" s="22">
        <f t="shared" si="56"/>
        <v>5.0543873226679401E-2</v>
      </c>
      <c r="AY217" s="79"/>
    </row>
    <row r="218" spans="1:51" x14ac:dyDescent="0.3">
      <c r="A218" s="95" t="str">
        <f t="shared" si="45"/>
        <v>FA Organic</v>
      </c>
      <c r="B218" s="95" t="s">
        <v>962</v>
      </c>
      <c r="C218" s="95" t="s">
        <v>1127</v>
      </c>
      <c r="D218" t="s">
        <v>369</v>
      </c>
      <c r="E218" t="s">
        <v>55</v>
      </c>
      <c r="F218" t="s">
        <v>421</v>
      </c>
      <c r="G218" t="s">
        <v>1168</v>
      </c>
      <c r="H218" t="s">
        <v>1169</v>
      </c>
      <c r="I218" t="s">
        <v>139</v>
      </c>
      <c r="J218" t="s">
        <v>287</v>
      </c>
      <c r="K218" s="22">
        <f t="shared" si="55"/>
        <v>7.214092738049376E-3</v>
      </c>
      <c r="L218" s="22">
        <f t="shared" si="56"/>
        <v>7.2328458969643655E-3</v>
      </c>
      <c r="M218" s="22">
        <f t="shared" si="56"/>
        <v>7.2587152169743185E-3</v>
      </c>
      <c r="N218" s="22">
        <f t="shared" si="56"/>
        <v>7.2902308808567374E-3</v>
      </c>
      <c r="O218" s="22">
        <f t="shared" si="56"/>
        <v>7.3273479389297461E-3</v>
      </c>
      <c r="P218" s="22">
        <f t="shared" si="56"/>
        <v>7.3698404773103405E-3</v>
      </c>
      <c r="Q218" s="22">
        <f t="shared" si="56"/>
        <v>7.4155715935563154E-3</v>
      </c>
      <c r="R218" s="22">
        <f t="shared" si="56"/>
        <v>7.4643602602570466E-3</v>
      </c>
      <c r="S218" s="22">
        <f t="shared" si="56"/>
        <v>7.508606055628168E-3</v>
      </c>
      <c r="T218" s="22">
        <f t="shared" si="56"/>
        <v>7.530218392894506E-3</v>
      </c>
      <c r="U218" s="22">
        <f t="shared" si="56"/>
        <v>7.5549909541397786E-3</v>
      </c>
      <c r="V218" s="22">
        <f t="shared" si="56"/>
        <v>7.5802429112896688E-3</v>
      </c>
      <c r="W218" s="22">
        <f t="shared" si="56"/>
        <v>7.6076305558180233E-3</v>
      </c>
      <c r="X218" s="22">
        <f t="shared" si="56"/>
        <v>7.6371086242101958E-3</v>
      </c>
      <c r="Y218" s="22">
        <f t="shared" si="56"/>
        <v>7.6559732990994986E-3</v>
      </c>
      <c r="Z218" s="22">
        <f t="shared" si="56"/>
        <v>7.6766122997346123E-3</v>
      </c>
      <c r="AA218" s="22">
        <f t="shared" si="56"/>
        <v>7.6987842276677087E-3</v>
      </c>
      <c r="AB218" s="22">
        <f t="shared" si="56"/>
        <v>7.7225602786557407E-3</v>
      </c>
      <c r="AC218" s="22">
        <f t="shared" si="56"/>
        <v>7.7477172000671966E-3</v>
      </c>
      <c r="AD218" s="22">
        <f t="shared" si="56"/>
        <v>7.7644940114083667E-3</v>
      </c>
      <c r="AE218" s="22">
        <f t="shared" si="56"/>
        <v>7.7823854824558272E-3</v>
      </c>
      <c r="AF218" s="22">
        <f t="shared" si="56"/>
        <v>7.8015430548696758E-3</v>
      </c>
      <c r="AG218" s="22">
        <f t="shared" si="56"/>
        <v>7.8221613065677827E-3</v>
      </c>
      <c r="AH218" s="22">
        <f t="shared" si="56"/>
        <v>7.8436173383695379E-3</v>
      </c>
      <c r="AI218" s="22">
        <f t="shared" si="56"/>
        <v>7.8569056109017259E-3</v>
      </c>
      <c r="AJ218" s="22">
        <f t="shared" si="56"/>
        <v>7.8713258060749292E-3</v>
      </c>
      <c r="AK218" s="22">
        <f t="shared" si="56"/>
        <v>7.8863764085469988E-3</v>
      </c>
      <c r="AL218" s="22">
        <f t="shared" si="56"/>
        <v>7.9022347099283879E-3</v>
      </c>
      <c r="AM218" s="22">
        <f t="shared" si="56"/>
        <v>7.9188789980088534E-3</v>
      </c>
      <c r="AN218" s="22">
        <f t="shared" si="56"/>
        <v>7.927972418898541E-3</v>
      </c>
      <c r="AO218" s="22">
        <f t="shared" si="56"/>
        <v>7.9376387015817219E-3</v>
      </c>
      <c r="AP218" s="22">
        <f t="shared" si="56"/>
        <v>7.9481245993818089E-3</v>
      </c>
      <c r="AQ218" s="22">
        <f t="shared" si="56"/>
        <v>7.9594200977915561E-3</v>
      </c>
      <c r="AR218" s="22">
        <f t="shared" si="56"/>
        <v>7.9715264998755E-3</v>
      </c>
      <c r="AS218" s="22">
        <f t="shared" si="56"/>
        <v>7.9757936370942299E-3</v>
      </c>
      <c r="AT218" s="22">
        <f t="shared" si="56"/>
        <v>7.9776886737032964E-3</v>
      </c>
      <c r="AU218" s="22">
        <f t="shared" si="56"/>
        <v>7.979891666850529E-3</v>
      </c>
      <c r="AV218" s="22">
        <f t="shared" si="56"/>
        <v>7.9822633621210899E-3</v>
      </c>
      <c r="AW218" s="22">
        <f t="shared" si="56"/>
        <v>7.9850651414760491E-3</v>
      </c>
      <c r="AY218" s="79"/>
    </row>
    <row r="219" spans="1:51" x14ac:dyDescent="0.3">
      <c r="A219" s="95" t="str">
        <f t="shared" si="45"/>
        <v>FA Organic</v>
      </c>
      <c r="B219" s="95" t="s">
        <v>962</v>
      </c>
      <c r="C219" s="95" t="s">
        <v>1127</v>
      </c>
      <c r="D219" t="s">
        <v>369</v>
      </c>
      <c r="E219" t="s">
        <v>55</v>
      </c>
      <c r="F219" t="s">
        <v>421</v>
      </c>
      <c r="G219" t="s">
        <v>1170</v>
      </c>
      <c r="H219" t="s">
        <v>1171</v>
      </c>
      <c r="I219" t="s">
        <v>139</v>
      </c>
      <c r="J219" t="s">
        <v>287</v>
      </c>
      <c r="K219" s="22">
        <f t="shared" si="55"/>
        <v>8.7045671471293537E-2</v>
      </c>
      <c r="L219" s="22">
        <f t="shared" si="56"/>
        <v>8.7271948200639354E-2</v>
      </c>
      <c r="M219" s="22">
        <f t="shared" si="56"/>
        <v>8.7584088952434122E-2</v>
      </c>
      <c r="N219" s="22">
        <f t="shared" si="56"/>
        <v>8.7964358824768829E-2</v>
      </c>
      <c r="O219" s="22">
        <f t="shared" si="56"/>
        <v>8.8412215452112072E-2</v>
      </c>
      <c r="P219" s="22">
        <f t="shared" si="56"/>
        <v>8.8924932944132923E-2</v>
      </c>
      <c r="Q219" s="22">
        <f t="shared" si="56"/>
        <v>8.9476727309038592E-2</v>
      </c>
      <c r="R219" s="22">
        <f t="shared" si="56"/>
        <v>9.0065414259340087E-2</v>
      </c>
      <c r="S219" s="22">
        <f t="shared" si="56"/>
        <v>9.0599286654346481E-2</v>
      </c>
      <c r="T219" s="22">
        <f t="shared" si="56"/>
        <v>9.0860062399505684E-2</v>
      </c>
      <c r="U219" s="22">
        <f t="shared" si="56"/>
        <v>9.1158969594901898E-2</v>
      </c>
      <c r="V219" s="22">
        <f t="shared" si="56"/>
        <v>9.146366120975781E-2</v>
      </c>
      <c r="W219" s="22">
        <f t="shared" si="56"/>
        <v>9.1794122155375246E-2</v>
      </c>
      <c r="X219" s="22">
        <f t="shared" si="56"/>
        <v>9.2149806279498009E-2</v>
      </c>
      <c r="Y219" s="22">
        <f t="shared" si="56"/>
        <v>9.2377428567213551E-2</v>
      </c>
      <c r="Z219" s="22">
        <f t="shared" si="56"/>
        <v>9.2626459974767344E-2</v>
      </c>
      <c r="AA219" s="22">
        <f t="shared" si="56"/>
        <v>9.289398777414952E-2</v>
      </c>
      <c r="AB219" s="22">
        <f t="shared" si="56"/>
        <v>9.3180871017592357E-2</v>
      </c>
      <c r="AC219" s="22">
        <f t="shared" si="56"/>
        <v>9.34844159255835E-2</v>
      </c>
      <c r="AD219" s="22">
        <f t="shared" si="56"/>
        <v>9.368684592771491E-2</v>
      </c>
      <c r="AE219" s="22">
        <f t="shared" si="56"/>
        <v>9.3902725480069615E-2</v>
      </c>
      <c r="AF219" s="22">
        <f t="shared" si="56"/>
        <v>9.4133881886713511E-2</v>
      </c>
      <c r="AG219" s="22">
        <f t="shared" si="56"/>
        <v>9.4382662936360925E-2</v>
      </c>
      <c r="AH219" s="22">
        <f t="shared" si="56"/>
        <v>9.4641552690500438E-2</v>
      </c>
      <c r="AI219" s="22">
        <f t="shared" si="56"/>
        <v>9.4801889776154655E-2</v>
      </c>
      <c r="AJ219" s="22">
        <f t="shared" si="56"/>
        <v>9.4975884707627883E-2</v>
      </c>
      <c r="AK219" s="22">
        <f t="shared" si="56"/>
        <v>9.5157486171013425E-2</v>
      </c>
      <c r="AL219" s="22">
        <f t="shared" si="56"/>
        <v>9.534883337741358E-2</v>
      </c>
      <c r="AM219" s="22">
        <f t="shared" si="56"/>
        <v>9.5549664346009811E-2</v>
      </c>
      <c r="AN219" s="22">
        <f t="shared" si="56"/>
        <v>9.5659386102584815E-2</v>
      </c>
      <c r="AO219" s="22">
        <f t="shared" si="56"/>
        <v>9.5776020043586318E-2</v>
      </c>
      <c r="AP219" s="22">
        <f t="shared" si="56"/>
        <v>9.5902543509270868E-2</v>
      </c>
      <c r="AQ219" s="22">
        <f t="shared" si="56"/>
        <v>9.6038835663999289E-2</v>
      </c>
      <c r="AR219" s="22">
        <f t="shared" si="56"/>
        <v>9.6184912230625655E-2</v>
      </c>
      <c r="AS219" s="22">
        <f t="shared" si="56"/>
        <v>9.6236399761761113E-2</v>
      </c>
      <c r="AT219" s="22">
        <f t="shared" si="56"/>
        <v>9.625926538604522E-2</v>
      </c>
      <c r="AU219" s="22">
        <f t="shared" si="56"/>
        <v>9.6285846832210489E-2</v>
      </c>
      <c r="AV219" s="22">
        <f t="shared" si="56"/>
        <v>9.6314463848216167E-2</v>
      </c>
      <c r="AW219" s="22">
        <f t="shared" si="56"/>
        <v>9.6348270284329823E-2</v>
      </c>
      <c r="AY219" s="79"/>
    </row>
    <row r="220" spans="1:51" x14ac:dyDescent="0.3">
      <c r="A220" s="95" t="str">
        <f t="shared" si="45"/>
        <v>FA Organic</v>
      </c>
      <c r="B220" s="95" t="s">
        <v>962</v>
      </c>
      <c r="C220" s="95" t="s">
        <v>1127</v>
      </c>
      <c r="D220" t="s">
        <v>369</v>
      </c>
      <c r="E220" t="s">
        <v>55</v>
      </c>
      <c r="F220" t="s">
        <v>421</v>
      </c>
      <c r="G220" t="s">
        <v>1172</v>
      </c>
      <c r="H220" t="s">
        <v>1173</v>
      </c>
      <c r="I220" t="s">
        <v>139</v>
      </c>
      <c r="J220" t="s">
        <v>287</v>
      </c>
      <c r="K220" s="22">
        <f t="shared" si="55"/>
        <v>0</v>
      </c>
      <c r="L220" s="22">
        <f t="shared" si="56"/>
        <v>0</v>
      </c>
      <c r="M220" s="22">
        <f t="shared" si="56"/>
        <v>0</v>
      </c>
      <c r="N220" s="22">
        <f t="shared" si="56"/>
        <v>0</v>
      </c>
      <c r="O220" s="22">
        <f t="shared" si="56"/>
        <v>0</v>
      </c>
      <c r="P220" s="22">
        <f t="shared" si="56"/>
        <v>0</v>
      </c>
      <c r="Q220" s="22">
        <f t="shared" si="56"/>
        <v>0</v>
      </c>
      <c r="R220" s="22">
        <f t="shared" si="56"/>
        <v>0</v>
      </c>
      <c r="S220" s="22">
        <f t="shared" si="56"/>
        <v>0</v>
      </c>
      <c r="T220" s="22">
        <f t="shared" si="56"/>
        <v>0</v>
      </c>
      <c r="U220" s="22">
        <f t="shared" si="56"/>
        <v>0</v>
      </c>
      <c r="V220" s="22">
        <f t="shared" si="56"/>
        <v>0</v>
      </c>
      <c r="W220" s="22">
        <f t="shared" si="56"/>
        <v>0</v>
      </c>
      <c r="X220" s="22">
        <f t="shared" si="56"/>
        <v>0</v>
      </c>
      <c r="Y220" s="22">
        <f t="shared" si="56"/>
        <v>0</v>
      </c>
      <c r="Z220" s="22">
        <f t="shared" si="56"/>
        <v>0</v>
      </c>
      <c r="AA220" s="22">
        <f t="shared" si="56"/>
        <v>0</v>
      </c>
      <c r="AB220" s="22">
        <f t="shared" si="56"/>
        <v>0</v>
      </c>
      <c r="AC220" s="22">
        <f t="shared" si="56"/>
        <v>0</v>
      </c>
      <c r="AD220" s="22">
        <f t="shared" si="56"/>
        <v>0</v>
      </c>
      <c r="AE220" s="22">
        <f t="shared" si="56"/>
        <v>0</v>
      </c>
      <c r="AF220" s="22">
        <f t="shared" si="56"/>
        <v>0</v>
      </c>
      <c r="AG220" s="22">
        <f t="shared" si="56"/>
        <v>0</v>
      </c>
      <c r="AH220" s="22">
        <f t="shared" si="56"/>
        <v>0</v>
      </c>
      <c r="AI220" s="22">
        <f t="shared" si="56"/>
        <v>0</v>
      </c>
      <c r="AJ220" s="22">
        <f t="shared" si="56"/>
        <v>0</v>
      </c>
      <c r="AK220" s="22">
        <f t="shared" si="56"/>
        <v>0</v>
      </c>
      <c r="AL220" s="22">
        <f t="shared" si="56"/>
        <v>0</v>
      </c>
      <c r="AM220" s="22">
        <f t="shared" si="56"/>
        <v>0</v>
      </c>
      <c r="AN220" s="22">
        <f t="shared" si="56"/>
        <v>0</v>
      </c>
      <c r="AO220" s="22">
        <f t="shared" si="56"/>
        <v>0</v>
      </c>
      <c r="AP220" s="22">
        <f t="shared" si="56"/>
        <v>0</v>
      </c>
      <c r="AQ220" s="22">
        <f t="shared" ref="L220:AW227" si="57">AQ1476</f>
        <v>0</v>
      </c>
      <c r="AR220" s="22">
        <f t="shared" si="57"/>
        <v>0</v>
      </c>
      <c r="AS220" s="22">
        <f t="shared" si="57"/>
        <v>0</v>
      </c>
      <c r="AT220" s="22">
        <f t="shared" si="57"/>
        <v>0</v>
      </c>
      <c r="AU220" s="22">
        <f t="shared" si="57"/>
        <v>0</v>
      </c>
      <c r="AV220" s="22">
        <f t="shared" si="57"/>
        <v>0</v>
      </c>
      <c r="AW220" s="22">
        <f t="shared" si="57"/>
        <v>0</v>
      </c>
      <c r="AY220" s="79"/>
    </row>
    <row r="221" spans="1:51" x14ac:dyDescent="0.3">
      <c r="A221" s="95" t="str">
        <f t="shared" si="45"/>
        <v>FA Organic</v>
      </c>
      <c r="B221" s="95" t="s">
        <v>962</v>
      </c>
      <c r="C221" s="95" t="s">
        <v>1127</v>
      </c>
      <c r="D221" t="s">
        <v>369</v>
      </c>
      <c r="E221" t="s">
        <v>55</v>
      </c>
      <c r="F221" t="s">
        <v>421</v>
      </c>
      <c r="G221" t="s">
        <v>1174</v>
      </c>
      <c r="H221" t="s">
        <v>1175</v>
      </c>
      <c r="I221" t="s">
        <v>139</v>
      </c>
      <c r="J221" t="s">
        <v>287</v>
      </c>
      <c r="K221" s="22">
        <f t="shared" si="55"/>
        <v>0</v>
      </c>
      <c r="L221" s="22">
        <f t="shared" si="57"/>
        <v>0</v>
      </c>
      <c r="M221" s="22">
        <f t="shared" si="57"/>
        <v>0</v>
      </c>
      <c r="N221" s="22">
        <f t="shared" si="57"/>
        <v>0</v>
      </c>
      <c r="O221" s="22">
        <f t="shared" si="57"/>
        <v>0</v>
      </c>
      <c r="P221" s="22">
        <f t="shared" si="57"/>
        <v>0</v>
      </c>
      <c r="Q221" s="22">
        <f t="shared" si="57"/>
        <v>0</v>
      </c>
      <c r="R221" s="22">
        <f t="shared" si="57"/>
        <v>0</v>
      </c>
      <c r="S221" s="22">
        <f t="shared" si="57"/>
        <v>0</v>
      </c>
      <c r="T221" s="22">
        <f t="shared" si="57"/>
        <v>0</v>
      </c>
      <c r="U221" s="22">
        <f t="shared" si="57"/>
        <v>0</v>
      </c>
      <c r="V221" s="22">
        <f t="shared" si="57"/>
        <v>0</v>
      </c>
      <c r="W221" s="22">
        <f t="shared" si="57"/>
        <v>0</v>
      </c>
      <c r="X221" s="22">
        <f t="shared" si="57"/>
        <v>0</v>
      </c>
      <c r="Y221" s="22">
        <f t="shared" si="57"/>
        <v>0</v>
      </c>
      <c r="Z221" s="22">
        <f t="shared" si="57"/>
        <v>0</v>
      </c>
      <c r="AA221" s="22">
        <f t="shared" si="57"/>
        <v>0</v>
      </c>
      <c r="AB221" s="22">
        <f t="shared" si="57"/>
        <v>0</v>
      </c>
      <c r="AC221" s="22">
        <f t="shared" si="57"/>
        <v>0</v>
      </c>
      <c r="AD221" s="22">
        <f t="shared" si="57"/>
        <v>0</v>
      </c>
      <c r="AE221" s="22">
        <f t="shared" si="57"/>
        <v>0</v>
      </c>
      <c r="AF221" s="22">
        <f t="shared" si="57"/>
        <v>0</v>
      </c>
      <c r="AG221" s="22">
        <f t="shared" si="57"/>
        <v>0</v>
      </c>
      <c r="AH221" s="22">
        <f t="shared" si="57"/>
        <v>0</v>
      </c>
      <c r="AI221" s="22">
        <f t="shared" si="57"/>
        <v>0</v>
      </c>
      <c r="AJ221" s="22">
        <f t="shared" si="57"/>
        <v>0</v>
      </c>
      <c r="AK221" s="22">
        <f t="shared" si="57"/>
        <v>0</v>
      </c>
      <c r="AL221" s="22">
        <f t="shared" si="57"/>
        <v>0</v>
      </c>
      <c r="AM221" s="22">
        <f t="shared" si="57"/>
        <v>0</v>
      </c>
      <c r="AN221" s="22">
        <f t="shared" si="57"/>
        <v>0</v>
      </c>
      <c r="AO221" s="22">
        <f t="shared" si="57"/>
        <v>0</v>
      </c>
      <c r="AP221" s="22">
        <f t="shared" si="57"/>
        <v>0</v>
      </c>
      <c r="AQ221" s="22">
        <f t="shared" si="57"/>
        <v>0</v>
      </c>
      <c r="AR221" s="22">
        <f t="shared" si="57"/>
        <v>0</v>
      </c>
      <c r="AS221" s="22">
        <f t="shared" si="57"/>
        <v>0</v>
      </c>
      <c r="AT221" s="22">
        <f t="shared" si="57"/>
        <v>0</v>
      </c>
      <c r="AU221" s="22">
        <f t="shared" si="57"/>
        <v>0</v>
      </c>
      <c r="AV221" s="22">
        <f t="shared" si="57"/>
        <v>0</v>
      </c>
      <c r="AW221" s="22">
        <f t="shared" si="57"/>
        <v>0</v>
      </c>
      <c r="AY221" s="79"/>
    </row>
    <row r="222" spans="1:51" x14ac:dyDescent="0.3">
      <c r="A222" s="95" t="str">
        <f t="shared" si="45"/>
        <v>FA Organic</v>
      </c>
      <c r="B222" s="95" t="s">
        <v>962</v>
      </c>
      <c r="C222" s="95" t="s">
        <v>1127</v>
      </c>
      <c r="D222" t="s">
        <v>369</v>
      </c>
      <c r="E222" t="s">
        <v>55</v>
      </c>
      <c r="F222" t="s">
        <v>421</v>
      </c>
      <c r="G222" t="s">
        <v>1176</v>
      </c>
      <c r="H222" t="s">
        <v>1177</v>
      </c>
      <c r="I222" t="s">
        <v>139</v>
      </c>
      <c r="J222" t="s">
        <v>287</v>
      </c>
      <c r="K222" s="22">
        <f t="shared" si="55"/>
        <v>0.12462873299340151</v>
      </c>
      <c r="L222" s="22">
        <f t="shared" si="57"/>
        <v>0.1239512929347177</v>
      </c>
      <c r="M222" s="22">
        <f t="shared" si="57"/>
        <v>0.12400689511310994</v>
      </c>
      <c r="N222" s="22">
        <f t="shared" si="57"/>
        <v>0.12286841678965586</v>
      </c>
      <c r="O222" s="22">
        <f t="shared" si="57"/>
        <v>0.12100901910044999</v>
      </c>
      <c r="P222" s="22">
        <f t="shared" si="57"/>
        <v>0.11845842648899828</v>
      </c>
      <c r="Q222" s="22">
        <f t="shared" si="57"/>
        <v>0.11660641339960404</v>
      </c>
      <c r="R222" s="22">
        <f t="shared" si="57"/>
        <v>0.1149182786313902</v>
      </c>
      <c r="S222" s="22">
        <f t="shared" si="57"/>
        <v>0.10146708298993465</v>
      </c>
      <c r="T222" s="22">
        <f t="shared" si="57"/>
        <v>0.10275020296586759</v>
      </c>
      <c r="U222" s="22">
        <f t="shared" si="57"/>
        <v>0.10550352655141972</v>
      </c>
      <c r="V222" s="22">
        <f t="shared" si="57"/>
        <v>0.10575351402910073</v>
      </c>
      <c r="W222" s="22">
        <f t="shared" si="57"/>
        <v>0.10629487580237802</v>
      </c>
      <c r="X222" s="22">
        <f t="shared" si="57"/>
        <v>0.10720509536861222</v>
      </c>
      <c r="Y222" s="22">
        <f t="shared" si="57"/>
        <v>0.10834723898966528</v>
      </c>
      <c r="Z222" s="22">
        <f t="shared" si="57"/>
        <v>0.10974683917126901</v>
      </c>
      <c r="AA222" s="22">
        <f t="shared" si="57"/>
        <v>0.1111628062750292</v>
      </c>
      <c r="AB222" s="22">
        <f t="shared" si="57"/>
        <v>0.11279760688156307</v>
      </c>
      <c r="AC222" s="22">
        <f t="shared" si="57"/>
        <v>0.11442112413234014</v>
      </c>
      <c r="AD222" s="22">
        <f t="shared" si="57"/>
        <v>0.11643957996744059</v>
      </c>
      <c r="AE222" s="22">
        <f t="shared" si="57"/>
        <v>0.11829771598770626</v>
      </c>
      <c r="AF222" s="22">
        <f t="shared" si="57"/>
        <v>0.12027492127071612</v>
      </c>
      <c r="AG222" s="22">
        <f t="shared" si="57"/>
        <v>0.12268685377616716</v>
      </c>
      <c r="AH222" s="22">
        <f t="shared" si="57"/>
        <v>0.12475791099342097</v>
      </c>
      <c r="AI222" s="22">
        <f t="shared" si="57"/>
        <v>0.12699329856497024</v>
      </c>
      <c r="AJ222" s="22">
        <f t="shared" si="57"/>
        <v>0.12941943299405728</v>
      </c>
      <c r="AK222" s="22">
        <f t="shared" si="57"/>
        <v>0.13144337900700456</v>
      </c>
      <c r="AL222" s="22">
        <f t="shared" si="57"/>
        <v>0.13334140591601026</v>
      </c>
      <c r="AM222" s="22">
        <f t="shared" si="57"/>
        <v>0.13512882169953486</v>
      </c>
      <c r="AN222" s="22">
        <f t="shared" si="57"/>
        <v>0.13719268069693955</v>
      </c>
      <c r="AO222" s="22">
        <f t="shared" si="57"/>
        <v>0.13898281232646292</v>
      </c>
      <c r="AP222" s="22">
        <f t="shared" si="57"/>
        <v>0.140830682916952</v>
      </c>
      <c r="AQ222" s="22">
        <f t="shared" si="57"/>
        <v>0.14275023053200411</v>
      </c>
      <c r="AR222" s="22">
        <f t="shared" si="57"/>
        <v>0.14476547350370239</v>
      </c>
      <c r="AS222" s="22">
        <f t="shared" si="57"/>
        <v>0.14688161225730581</v>
      </c>
      <c r="AT222" s="22">
        <f t="shared" si="57"/>
        <v>0.14559391276445241</v>
      </c>
      <c r="AU222" s="22">
        <f t="shared" si="57"/>
        <v>0.14400863154663293</v>
      </c>
      <c r="AV222" s="22">
        <f t="shared" si="57"/>
        <v>0.1420082821543816</v>
      </c>
      <c r="AW222" s="22">
        <f t="shared" si="57"/>
        <v>0.13990982914905775</v>
      </c>
      <c r="AY222" s="79"/>
    </row>
    <row r="223" spans="1:51" x14ac:dyDescent="0.3">
      <c r="A223" s="95" t="str">
        <f t="shared" si="45"/>
        <v>FA Organic</v>
      </c>
      <c r="B223" s="95" t="s">
        <v>962</v>
      </c>
      <c r="C223" s="95" t="s">
        <v>1127</v>
      </c>
      <c r="D223" t="s">
        <v>369</v>
      </c>
      <c r="E223" t="s">
        <v>55</v>
      </c>
      <c r="F223" t="s">
        <v>421</v>
      </c>
      <c r="G223" t="s">
        <v>1178</v>
      </c>
      <c r="H223" t="s">
        <v>1179</v>
      </c>
      <c r="I223" t="s">
        <v>139</v>
      </c>
      <c r="J223" t="s">
        <v>287</v>
      </c>
      <c r="K223" s="22">
        <f t="shared" si="55"/>
        <v>3.1618785484610064E-2</v>
      </c>
      <c r="L223" s="22">
        <f t="shared" si="57"/>
        <v>3.1446916354757486E-2</v>
      </c>
      <c r="M223" s="22">
        <f t="shared" si="57"/>
        <v>3.1461022839745618E-2</v>
      </c>
      <c r="N223" s="22">
        <f t="shared" si="57"/>
        <v>3.1172186541537576E-2</v>
      </c>
      <c r="O223" s="22">
        <f t="shared" si="57"/>
        <v>3.0700450247237825E-2</v>
      </c>
      <c r="P223" s="22">
        <f t="shared" si="57"/>
        <v>3.0053355161673623E-2</v>
      </c>
      <c r="Q223" s="22">
        <f t="shared" si="57"/>
        <v>2.9583492368545915E-2</v>
      </c>
      <c r="R223" s="22">
        <f t="shared" si="57"/>
        <v>2.9155206131309674E-2</v>
      </c>
      <c r="S223" s="22">
        <f t="shared" si="57"/>
        <v>2.5742586430512242E-2</v>
      </c>
      <c r="T223" s="22">
        <f t="shared" si="57"/>
        <v>2.6068118868302407E-2</v>
      </c>
      <c r="U223" s="22">
        <f t="shared" si="57"/>
        <v>2.6766647576171875E-2</v>
      </c>
      <c r="V223" s="22">
        <f t="shared" si="57"/>
        <v>2.6830070353895639E-2</v>
      </c>
      <c r="W223" s="22">
        <f t="shared" si="57"/>
        <v>2.6967415903093594E-2</v>
      </c>
      <c r="X223" s="22">
        <f t="shared" si="57"/>
        <v>2.7198342082935097E-2</v>
      </c>
      <c r="Y223" s="22">
        <f t="shared" si="57"/>
        <v>2.7488108281140813E-2</v>
      </c>
      <c r="Z223" s="22">
        <f t="shared" si="57"/>
        <v>2.7843192191916763E-2</v>
      </c>
      <c r="AA223" s="22">
        <f t="shared" si="57"/>
        <v>2.8202428453344759E-2</v>
      </c>
      <c r="AB223" s="22">
        <f t="shared" si="57"/>
        <v>2.8617183610093744E-2</v>
      </c>
      <c r="AC223" s="22">
        <f t="shared" si="57"/>
        <v>2.902907613639907E-2</v>
      </c>
      <c r="AD223" s="22">
        <f t="shared" si="57"/>
        <v>2.9541166089713286E-2</v>
      </c>
      <c r="AE223" s="22">
        <f t="shared" si="57"/>
        <v>3.0012582293784919E-2</v>
      </c>
      <c r="AF223" s="22">
        <f t="shared" si="57"/>
        <v>3.05142068245088E-2</v>
      </c>
      <c r="AG223" s="22">
        <f t="shared" si="57"/>
        <v>3.1126123311674345E-2</v>
      </c>
      <c r="AH223" s="22">
        <f t="shared" si="57"/>
        <v>3.1651558436511636E-2</v>
      </c>
      <c r="AI223" s="22">
        <f t="shared" si="57"/>
        <v>3.2218684799767874E-2</v>
      </c>
      <c r="AJ223" s="22">
        <f t="shared" si="57"/>
        <v>3.2834204369193265E-2</v>
      </c>
      <c r="AK223" s="22">
        <f t="shared" si="57"/>
        <v>3.334768720159275E-2</v>
      </c>
      <c r="AL223" s="22">
        <f t="shared" si="57"/>
        <v>3.3829223876470492E-2</v>
      </c>
      <c r="AM223" s="22">
        <f t="shared" si="57"/>
        <v>3.4282698086419032E-2</v>
      </c>
      <c r="AN223" s="22">
        <f t="shared" si="57"/>
        <v>3.4806306995392507E-2</v>
      </c>
      <c r="AO223" s="22">
        <f t="shared" si="57"/>
        <v>3.5260470225842028E-2</v>
      </c>
      <c r="AP223" s="22">
        <f t="shared" si="57"/>
        <v>3.5729282051178403E-2</v>
      </c>
      <c r="AQ223" s="22">
        <f t="shared" si="57"/>
        <v>3.6216278611362E-2</v>
      </c>
      <c r="AR223" s="22">
        <f t="shared" si="57"/>
        <v>3.672755344896201E-2</v>
      </c>
      <c r="AS223" s="22">
        <f t="shared" si="57"/>
        <v>3.7264425931725673E-2</v>
      </c>
      <c r="AT223" s="22">
        <f t="shared" si="57"/>
        <v>3.6937731653004804E-2</v>
      </c>
      <c r="AU223" s="22">
        <f t="shared" si="57"/>
        <v>3.6535539754274135E-2</v>
      </c>
      <c r="AV223" s="22">
        <f t="shared" si="57"/>
        <v>3.6028043474654464E-2</v>
      </c>
      <c r="AW223" s="22">
        <f t="shared" si="57"/>
        <v>3.5495657933766529E-2</v>
      </c>
      <c r="AY223" s="79"/>
    </row>
    <row r="224" spans="1:51" x14ac:dyDescent="0.3">
      <c r="A224" s="95" t="str">
        <f t="shared" si="45"/>
        <v>FA Organic</v>
      </c>
      <c r="B224" s="95" t="s">
        <v>962</v>
      </c>
      <c r="C224" s="95" t="s">
        <v>1127</v>
      </c>
      <c r="D224" t="s">
        <v>369</v>
      </c>
      <c r="E224" t="s">
        <v>55</v>
      </c>
      <c r="F224" t="s">
        <v>421</v>
      </c>
      <c r="G224" t="s">
        <v>1180</v>
      </c>
      <c r="H224" t="s">
        <v>1181</v>
      </c>
      <c r="I224" t="s">
        <v>139</v>
      </c>
      <c r="J224" t="s">
        <v>287</v>
      </c>
      <c r="K224" s="22">
        <f t="shared" si="55"/>
        <v>0.15700744358616764</v>
      </c>
      <c r="L224" s="22">
        <f t="shared" si="57"/>
        <v>0.16019971617730658</v>
      </c>
      <c r="M224" s="22">
        <f t="shared" si="57"/>
        <v>0.16393118028621728</v>
      </c>
      <c r="N224" s="22">
        <f t="shared" si="57"/>
        <v>0.1667959170810015</v>
      </c>
      <c r="O224" s="22">
        <f t="shared" si="57"/>
        <v>0.16909558154641685</v>
      </c>
      <c r="P224" s="22">
        <f t="shared" si="57"/>
        <v>0.17081649742586277</v>
      </c>
      <c r="Q224" s="22">
        <f t="shared" si="57"/>
        <v>0.17302318661183388</v>
      </c>
      <c r="R224" s="22">
        <f t="shared" si="57"/>
        <v>0.17531753251219051</v>
      </c>
      <c r="S224" s="22">
        <f t="shared" si="57"/>
        <v>0.16751439680213853</v>
      </c>
      <c r="T224" s="22">
        <f t="shared" si="57"/>
        <v>0.17168380366965671</v>
      </c>
      <c r="U224" s="22">
        <f t="shared" si="57"/>
        <v>0.17724022876298692</v>
      </c>
      <c r="V224" s="22">
        <f t="shared" si="57"/>
        <v>0.18063841613712966</v>
      </c>
      <c r="W224" s="22">
        <f t="shared" si="57"/>
        <v>0.18434318641003919</v>
      </c>
      <c r="X224" s="22">
        <f t="shared" si="57"/>
        <v>0.188448281864291</v>
      </c>
      <c r="Y224" s="22">
        <f t="shared" si="57"/>
        <v>0.19268830884381843</v>
      </c>
      <c r="Z224" s="22">
        <f t="shared" si="57"/>
        <v>0.19725821874244767</v>
      </c>
      <c r="AA224" s="22">
        <f t="shared" si="57"/>
        <v>0.20193089933116126</v>
      </c>
      <c r="AB224" s="22">
        <f t="shared" si="57"/>
        <v>0.20692004706096712</v>
      </c>
      <c r="AC224" s="22">
        <f t="shared" si="57"/>
        <v>0.21199804978928341</v>
      </c>
      <c r="AD224" s="22">
        <f t="shared" si="57"/>
        <v>0.21747687739173732</v>
      </c>
      <c r="AE224" s="22">
        <f t="shared" si="57"/>
        <v>0.22289913009362322</v>
      </c>
      <c r="AF224" s="22">
        <f t="shared" si="57"/>
        <v>0.22857157153008073</v>
      </c>
      <c r="AG224" s="22">
        <f t="shared" si="57"/>
        <v>0.23486719230657463</v>
      </c>
      <c r="AH224" s="22">
        <f t="shared" si="57"/>
        <v>0.24091117160634945</v>
      </c>
      <c r="AI224" s="22">
        <f t="shared" si="57"/>
        <v>0.24716162450629867</v>
      </c>
      <c r="AJ224" s="22">
        <f t="shared" si="57"/>
        <v>0.25378810388351081</v>
      </c>
      <c r="AK224" s="22">
        <f t="shared" si="57"/>
        <v>0.26007320548130258</v>
      </c>
      <c r="AL224" s="22">
        <f t="shared" si="57"/>
        <v>0.26634117713838401</v>
      </c>
      <c r="AM224" s="22">
        <f t="shared" si="57"/>
        <v>0.27260643897493425</v>
      </c>
      <c r="AN224" s="22">
        <f t="shared" si="57"/>
        <v>0.2792535835644861</v>
      </c>
      <c r="AO224" s="22">
        <f t="shared" si="57"/>
        <v>0.2856890752327706</v>
      </c>
      <c r="AP224" s="22">
        <f t="shared" si="57"/>
        <v>0.29234742990941948</v>
      </c>
      <c r="AQ224" s="22">
        <f t="shared" si="57"/>
        <v>0.29925644298376841</v>
      </c>
      <c r="AR224" s="22">
        <f t="shared" si="57"/>
        <v>0.30645986851598017</v>
      </c>
      <c r="AS224" s="22">
        <f t="shared" si="57"/>
        <v>0.31385566843275581</v>
      </c>
      <c r="AT224" s="22">
        <f t="shared" si="57"/>
        <v>0.31644615504224521</v>
      </c>
      <c r="AU224" s="22">
        <f t="shared" si="57"/>
        <v>0.31859170882360827</v>
      </c>
      <c r="AV224" s="22">
        <f t="shared" si="57"/>
        <v>0.32009002936003406</v>
      </c>
      <c r="AW224" s="22">
        <f t="shared" si="57"/>
        <v>0.3213967030603942</v>
      </c>
      <c r="AY224" s="79"/>
    </row>
    <row r="225" spans="1:51" x14ac:dyDescent="0.3">
      <c r="A225" s="95" t="str">
        <f t="shared" si="45"/>
        <v>FA Organic</v>
      </c>
      <c r="B225" s="95" t="s">
        <v>962</v>
      </c>
      <c r="C225" s="95" t="s">
        <v>1127</v>
      </c>
      <c r="D225" t="s">
        <v>369</v>
      </c>
      <c r="E225" t="s">
        <v>55</v>
      </c>
      <c r="F225" t="s">
        <v>421</v>
      </c>
      <c r="G225" t="s">
        <v>1182</v>
      </c>
      <c r="H225" t="s">
        <v>1183</v>
      </c>
      <c r="I225" t="s">
        <v>139</v>
      </c>
      <c r="J225" t="s">
        <v>287</v>
      </c>
      <c r="K225" s="22">
        <f t="shared" si="55"/>
        <v>0.78620275218739033</v>
      </c>
      <c r="L225" s="22">
        <f t="shared" si="57"/>
        <v>0.79655563720176326</v>
      </c>
      <c r="M225" s="22">
        <f t="shared" si="57"/>
        <v>0.8131853402467214</v>
      </c>
      <c r="N225" s="22">
        <f t="shared" si="57"/>
        <v>0.81796021384654038</v>
      </c>
      <c r="O225" s="22">
        <f t="shared" si="57"/>
        <v>0.81503229757580642</v>
      </c>
      <c r="P225" s="22">
        <f t="shared" si="57"/>
        <v>0.80443274266431908</v>
      </c>
      <c r="Q225" s="22">
        <f t="shared" si="57"/>
        <v>0.79997057217510736</v>
      </c>
      <c r="R225" s="22">
        <f t="shared" si="57"/>
        <v>0.79652072541357855</v>
      </c>
      <c r="S225" s="22">
        <f t="shared" si="57"/>
        <v>0.6714256257710044</v>
      </c>
      <c r="T225" s="22">
        <f t="shared" si="57"/>
        <v>0.69801734564768969</v>
      </c>
      <c r="U225" s="22">
        <f t="shared" si="57"/>
        <v>0.74045602078801331</v>
      </c>
      <c r="V225" s="22">
        <f t="shared" si="57"/>
        <v>0.75681661805559275</v>
      </c>
      <c r="W225" s="22">
        <f t="shared" si="57"/>
        <v>0.77639522353149193</v>
      </c>
      <c r="X225" s="22">
        <f t="shared" si="57"/>
        <v>0.8001865286543951</v>
      </c>
      <c r="Y225" s="22">
        <f t="shared" si="57"/>
        <v>0.82750602154681474</v>
      </c>
      <c r="Z225" s="22">
        <f t="shared" si="57"/>
        <v>0.85809975414422934</v>
      </c>
      <c r="AA225" s="22">
        <f t="shared" si="57"/>
        <v>0.88934316122776869</v>
      </c>
      <c r="AB225" s="22">
        <f t="shared" si="57"/>
        <v>0.92360761628524812</v>
      </c>
      <c r="AC225" s="22">
        <f t="shared" si="57"/>
        <v>0.95831140706580387</v>
      </c>
      <c r="AD225" s="22">
        <f t="shared" si="57"/>
        <v>0.99882396760608316</v>
      </c>
      <c r="AE225" s="22">
        <f t="shared" si="57"/>
        <v>1.0381393848215872</v>
      </c>
      <c r="AF225" s="22">
        <f t="shared" si="57"/>
        <v>1.079611123684572</v>
      </c>
      <c r="AG225" s="22">
        <f t="shared" si="57"/>
        <v>1.1272124079778039</v>
      </c>
      <c r="AH225" s="22">
        <f t="shared" si="57"/>
        <v>1.1714796676080013</v>
      </c>
      <c r="AI225" s="22">
        <f t="shared" si="57"/>
        <v>1.2191635190702683</v>
      </c>
      <c r="AJ225" s="22">
        <f t="shared" si="57"/>
        <v>1.2702163053795446</v>
      </c>
      <c r="AK225" s="22">
        <f t="shared" si="57"/>
        <v>1.3170629000720371</v>
      </c>
      <c r="AL225" s="22">
        <f t="shared" si="57"/>
        <v>1.3631650010384939</v>
      </c>
      <c r="AM225" s="22">
        <f t="shared" si="57"/>
        <v>1.4086909019769458</v>
      </c>
      <c r="AN225" s="22">
        <f t="shared" si="57"/>
        <v>1.4592838015136291</v>
      </c>
      <c r="AO225" s="22">
        <f t="shared" si="57"/>
        <v>1.5071494225223063</v>
      </c>
      <c r="AP225" s="22">
        <f t="shared" si="57"/>
        <v>1.5567592089604327</v>
      </c>
      <c r="AQ225" s="22">
        <f t="shared" si="57"/>
        <v>1.6083690614713202</v>
      </c>
      <c r="AR225" s="22">
        <f t="shared" si="57"/>
        <v>1.6623899573120902</v>
      </c>
      <c r="AS225" s="22">
        <f t="shared" si="57"/>
        <v>1.7194351847901206</v>
      </c>
      <c r="AT225" s="22">
        <f t="shared" si="57"/>
        <v>1.7281200285400726</v>
      </c>
      <c r="AU225" s="22">
        <f t="shared" si="57"/>
        <v>1.7323570747934378</v>
      </c>
      <c r="AV225" s="22">
        <f t="shared" si="57"/>
        <v>1.7302245779661751</v>
      </c>
      <c r="AW225" s="22">
        <f t="shared" si="57"/>
        <v>1.7262788410170404</v>
      </c>
      <c r="AY225" s="79"/>
    </row>
    <row r="226" spans="1:51" x14ac:dyDescent="0.3">
      <c r="A226" s="95" t="str">
        <f t="shared" si="45"/>
        <v>FA U&amp;D</v>
      </c>
      <c r="B226" s="95" t="s">
        <v>962</v>
      </c>
      <c r="C226" s="95" t="s">
        <v>1336</v>
      </c>
      <c r="D226" t="s">
        <v>369</v>
      </c>
      <c r="E226" t="s">
        <v>55</v>
      </c>
      <c r="F226" t="s">
        <v>422</v>
      </c>
      <c r="G226" t="s">
        <v>1152</v>
      </c>
      <c r="H226" t="s">
        <v>1240</v>
      </c>
      <c r="I226" t="s">
        <v>139</v>
      </c>
      <c r="J226" t="s">
        <v>287</v>
      </c>
      <c r="K226" s="22">
        <f t="shared" si="55"/>
        <v>0</v>
      </c>
      <c r="L226" s="22">
        <f t="shared" si="57"/>
        <v>0</v>
      </c>
      <c r="M226" s="22">
        <f t="shared" si="57"/>
        <v>0</v>
      </c>
      <c r="N226" s="22">
        <f t="shared" si="57"/>
        <v>0</v>
      </c>
      <c r="O226" s="22">
        <f t="shared" si="57"/>
        <v>0</v>
      </c>
      <c r="P226" s="22">
        <f t="shared" si="57"/>
        <v>0</v>
      </c>
      <c r="Q226" s="22">
        <f t="shared" si="57"/>
        <v>0</v>
      </c>
      <c r="R226" s="22">
        <f t="shared" si="57"/>
        <v>0</v>
      </c>
      <c r="S226" s="22">
        <f t="shared" si="57"/>
        <v>0</v>
      </c>
      <c r="T226" s="22">
        <f t="shared" si="57"/>
        <v>0</v>
      </c>
      <c r="U226" s="22">
        <f t="shared" si="57"/>
        <v>0</v>
      </c>
      <c r="V226" s="22">
        <f t="shared" si="57"/>
        <v>0</v>
      </c>
      <c r="W226" s="22">
        <f t="shared" si="57"/>
        <v>0</v>
      </c>
      <c r="X226" s="22">
        <f t="shared" si="57"/>
        <v>0</v>
      </c>
      <c r="Y226" s="22">
        <f t="shared" si="57"/>
        <v>0</v>
      </c>
      <c r="Z226" s="22">
        <f t="shared" si="57"/>
        <v>0</v>
      </c>
      <c r="AA226" s="22">
        <f t="shared" si="57"/>
        <v>0</v>
      </c>
      <c r="AB226" s="22">
        <f t="shared" si="57"/>
        <v>0</v>
      </c>
      <c r="AC226" s="22">
        <f t="shared" si="57"/>
        <v>0</v>
      </c>
      <c r="AD226" s="22">
        <f t="shared" si="57"/>
        <v>0</v>
      </c>
      <c r="AE226" s="22">
        <f t="shared" si="57"/>
        <v>0</v>
      </c>
      <c r="AF226" s="22">
        <f t="shared" si="57"/>
        <v>0</v>
      </c>
      <c r="AG226" s="22">
        <f t="shared" si="57"/>
        <v>0</v>
      </c>
      <c r="AH226" s="22">
        <f t="shared" si="57"/>
        <v>0</v>
      </c>
      <c r="AI226" s="22">
        <f t="shared" si="57"/>
        <v>0</v>
      </c>
      <c r="AJ226" s="22">
        <f t="shared" si="57"/>
        <v>0</v>
      </c>
      <c r="AK226" s="22">
        <f t="shared" si="57"/>
        <v>0</v>
      </c>
      <c r="AL226" s="22">
        <f t="shared" si="57"/>
        <v>0</v>
      </c>
      <c r="AM226" s="22">
        <f t="shared" si="57"/>
        <v>0</v>
      </c>
      <c r="AN226" s="22">
        <f t="shared" si="57"/>
        <v>0</v>
      </c>
      <c r="AO226" s="22">
        <f t="shared" si="57"/>
        <v>0</v>
      </c>
      <c r="AP226" s="22">
        <f t="shared" si="57"/>
        <v>0</v>
      </c>
      <c r="AQ226" s="22">
        <f t="shared" si="57"/>
        <v>0</v>
      </c>
      <c r="AR226" s="22">
        <f t="shared" si="57"/>
        <v>0</v>
      </c>
      <c r="AS226" s="22">
        <f t="shared" si="57"/>
        <v>0</v>
      </c>
      <c r="AT226" s="22">
        <f t="shared" si="57"/>
        <v>0</v>
      </c>
      <c r="AU226" s="22">
        <f t="shared" si="57"/>
        <v>0</v>
      </c>
      <c r="AV226" s="22">
        <f t="shared" si="57"/>
        <v>0</v>
      </c>
      <c r="AW226" s="22">
        <f t="shared" si="57"/>
        <v>0</v>
      </c>
      <c r="AY226" s="79"/>
    </row>
    <row r="227" spans="1:51" x14ac:dyDescent="0.3">
      <c r="A227" s="95" t="str">
        <f t="shared" si="45"/>
        <v>FA U&amp;D</v>
      </c>
      <c r="B227" s="95" t="s">
        <v>962</v>
      </c>
      <c r="C227" s="95" t="s">
        <v>1336</v>
      </c>
      <c r="D227" t="s">
        <v>369</v>
      </c>
      <c r="E227" t="s">
        <v>55</v>
      </c>
      <c r="F227" t="s">
        <v>422</v>
      </c>
      <c r="G227" t="s">
        <v>1154</v>
      </c>
      <c r="H227" t="s">
        <v>1241</v>
      </c>
      <c r="I227" t="s">
        <v>139</v>
      </c>
      <c r="J227" t="s">
        <v>287</v>
      </c>
      <c r="K227" s="22">
        <f t="shared" si="55"/>
        <v>1.0775797812462991</v>
      </c>
      <c r="L227" s="22">
        <f t="shared" si="57"/>
        <v>1.0836040032789305</v>
      </c>
      <c r="M227" s="22">
        <f t="shared" si="57"/>
        <v>1.0921513426512339</v>
      </c>
      <c r="N227" s="22">
        <f t="shared" si="57"/>
        <v>1.0976439186771809</v>
      </c>
      <c r="O227" s="22">
        <f t="shared" si="57"/>
        <v>1.1012937605673538</v>
      </c>
      <c r="P227" s="22">
        <f t="shared" si="57"/>
        <v>1.1030649457277464</v>
      </c>
      <c r="Q227" s="22">
        <f t="shared" si="57"/>
        <v>1.1069781529146336</v>
      </c>
      <c r="R227" s="22">
        <f t="shared" si="57"/>
        <v>1.1114672588381171</v>
      </c>
      <c r="S227" s="22">
        <f t="shared" si="57"/>
        <v>1.0780569980949297</v>
      </c>
      <c r="T227" s="22">
        <f t="shared" si="57"/>
        <v>1.0893928957031254</v>
      </c>
      <c r="U227" s="22">
        <f t="shared" si="57"/>
        <v>1.1059856502817549</v>
      </c>
      <c r="V227" s="22">
        <f t="shared" si="57"/>
        <v>1.1145860741325027</v>
      </c>
      <c r="W227" s="22">
        <f t="shared" si="57"/>
        <v>1.1244152137402783</v>
      </c>
      <c r="X227" s="22">
        <f t="shared" si="57"/>
        <v>1.1357914130193381</v>
      </c>
      <c r="Y227" s="22">
        <f t="shared" si="57"/>
        <v>1.1474086589431955</v>
      </c>
      <c r="Z227" s="22">
        <f t="shared" si="57"/>
        <v>1.1602674519477969</v>
      </c>
      <c r="AA227" s="22">
        <f t="shared" si="57"/>
        <v>1.1735245752036907</v>
      </c>
      <c r="AB227" s="22">
        <f t="shared" si="57"/>
        <v>1.18794114106982</v>
      </c>
      <c r="AC227" s="22">
        <f t="shared" si="57"/>
        <v>1.2026829177053815</v>
      </c>
      <c r="AD227" s="22">
        <f t="shared" si="57"/>
        <v>1.218608900056573</v>
      </c>
      <c r="AE227" s="22">
        <f t="shared" si="57"/>
        <v>1.2343193345034551</v>
      </c>
      <c r="AF227" s="22">
        <f t="shared" ref="L227:AW234" si="58">AF1483</f>
        <v>1.2509015809248898</v>
      </c>
      <c r="AG227" s="22">
        <f t="shared" si="58"/>
        <v>1.2696588428853492</v>
      </c>
      <c r="AH227" s="22">
        <f t="shared" si="58"/>
        <v>1.2874926850325319</v>
      </c>
      <c r="AI227" s="22">
        <f t="shared" si="58"/>
        <v>1.3057811956925069</v>
      </c>
      <c r="AJ227" s="22">
        <f t="shared" si="58"/>
        <v>1.3253399300509145</v>
      </c>
      <c r="AK227" s="22">
        <f t="shared" si="58"/>
        <v>1.3436641070257576</v>
      </c>
      <c r="AL227" s="22">
        <f t="shared" si="58"/>
        <v>1.361888843730743</v>
      </c>
      <c r="AM227" s="22">
        <f t="shared" si="58"/>
        <v>1.380064832160125</v>
      </c>
      <c r="AN227" s="22">
        <f t="shared" si="58"/>
        <v>1.3992944829741121</v>
      </c>
      <c r="AO227" s="22">
        <f t="shared" si="58"/>
        <v>1.4177506785056255</v>
      </c>
      <c r="AP227" s="22">
        <f t="shared" si="58"/>
        <v>1.4369235538048923</v>
      </c>
      <c r="AQ227" s="22">
        <f t="shared" si="58"/>
        <v>1.4569005528602124</v>
      </c>
      <c r="AR227" s="22">
        <f t="shared" si="58"/>
        <v>1.4778222948761157</v>
      </c>
      <c r="AS227" s="22">
        <f t="shared" si="58"/>
        <v>1.499114114952786</v>
      </c>
      <c r="AT227" s="22">
        <f t="shared" si="58"/>
        <v>1.5041622353362427</v>
      </c>
      <c r="AU227" s="22">
        <f t="shared" si="58"/>
        <v>1.5077549671708836</v>
      </c>
      <c r="AV227" s="22">
        <f t="shared" si="58"/>
        <v>1.5092269750444909</v>
      </c>
      <c r="AW227" s="22">
        <f t="shared" si="58"/>
        <v>1.5101158131362518</v>
      </c>
      <c r="AY227" s="79"/>
    </row>
    <row r="228" spans="1:51" x14ac:dyDescent="0.3">
      <c r="A228" s="95" t="str">
        <f t="shared" si="45"/>
        <v>FA U&amp;D</v>
      </c>
      <c r="B228" s="95" t="s">
        <v>962</v>
      </c>
      <c r="C228" s="95" t="s">
        <v>1336</v>
      </c>
      <c r="D228" t="s">
        <v>369</v>
      </c>
      <c r="E228" t="s">
        <v>55</v>
      </c>
      <c r="F228" t="s">
        <v>422</v>
      </c>
      <c r="G228" t="s">
        <v>1156</v>
      </c>
      <c r="H228" t="s">
        <v>1242</v>
      </c>
      <c r="I228" t="s">
        <v>139</v>
      </c>
      <c r="J228" t="s">
        <v>287</v>
      </c>
      <c r="K228" s="22">
        <f t="shared" si="55"/>
        <v>0.73383920392416069</v>
      </c>
      <c r="L228" s="22">
        <f t="shared" si="58"/>
        <v>0.7379417403466384</v>
      </c>
      <c r="M228" s="22">
        <f t="shared" si="58"/>
        <v>0.74376253694082328</v>
      </c>
      <c r="N228" s="22">
        <f t="shared" si="58"/>
        <v>0.74750301879518044</v>
      </c>
      <c r="O228" s="22">
        <f t="shared" si="58"/>
        <v>0.74998858609492636</v>
      </c>
      <c r="P228" s="22">
        <f t="shared" si="58"/>
        <v>0.75119477530775824</v>
      </c>
      <c r="Q228" s="22">
        <f t="shared" si="58"/>
        <v>0.7538596961765357</v>
      </c>
      <c r="R228" s="22">
        <f t="shared" si="58"/>
        <v>0.75691680802528427</v>
      </c>
      <c r="S228" s="22">
        <f t="shared" si="58"/>
        <v>0.73416419186323789</v>
      </c>
      <c r="T228" s="22">
        <f t="shared" si="58"/>
        <v>0.74188401569562545</v>
      </c>
      <c r="U228" s="22">
        <f t="shared" si="58"/>
        <v>0.75318379509275502</v>
      </c>
      <c r="V228" s="22">
        <f t="shared" si="58"/>
        <v>0.75904074257996901</v>
      </c>
      <c r="W228" s="22">
        <f t="shared" si="58"/>
        <v>0.76573445390469996</v>
      </c>
      <c r="X228" s="22">
        <f t="shared" si="58"/>
        <v>0.77348172345069344</v>
      </c>
      <c r="Y228" s="22">
        <f t="shared" si="58"/>
        <v>0.78139314741105659</v>
      </c>
      <c r="Z228" s="22">
        <f t="shared" si="58"/>
        <v>0.79015007342818022</v>
      </c>
      <c r="AA228" s="22">
        <f t="shared" si="58"/>
        <v>0.79917826507184453</v>
      </c>
      <c r="AB228" s="22">
        <f t="shared" si="58"/>
        <v>0.80899604506608758</v>
      </c>
      <c r="AC228" s="22">
        <f t="shared" si="58"/>
        <v>0.81903529581943424</v>
      </c>
      <c r="AD228" s="22">
        <f t="shared" si="58"/>
        <v>0.82988099876756494</v>
      </c>
      <c r="AE228" s="22">
        <f t="shared" si="58"/>
        <v>0.84057991211806271</v>
      </c>
      <c r="AF228" s="22">
        <f t="shared" si="58"/>
        <v>0.8518725353882447</v>
      </c>
      <c r="AG228" s="22">
        <f t="shared" si="58"/>
        <v>0.86464635912215038</v>
      </c>
      <c r="AH228" s="22">
        <f t="shared" si="58"/>
        <v>0.87679132764509471</v>
      </c>
      <c r="AI228" s="22">
        <f t="shared" si="58"/>
        <v>0.88924592853613249</v>
      </c>
      <c r="AJ228" s="22">
        <f t="shared" si="58"/>
        <v>0.90256556045678527</v>
      </c>
      <c r="AK228" s="22">
        <f t="shared" si="58"/>
        <v>0.91504445035228033</v>
      </c>
      <c r="AL228" s="22">
        <f t="shared" si="58"/>
        <v>0.92745562074362309</v>
      </c>
      <c r="AM228" s="22">
        <f t="shared" si="58"/>
        <v>0.93983359322574034</v>
      </c>
      <c r="AN228" s="22">
        <f t="shared" si="58"/>
        <v>0.95292911700102378</v>
      </c>
      <c r="AO228" s="22">
        <f t="shared" si="58"/>
        <v>0.9654979124368942</v>
      </c>
      <c r="AP228" s="22">
        <f t="shared" si="58"/>
        <v>0.97855477169819061</v>
      </c>
      <c r="AQ228" s="22">
        <f t="shared" si="58"/>
        <v>0.99215924473924411</v>
      </c>
      <c r="AR228" s="22">
        <f t="shared" si="58"/>
        <v>1.0064070942004693</v>
      </c>
      <c r="AS228" s="22">
        <f t="shared" si="58"/>
        <v>1.0209069693531829</v>
      </c>
      <c r="AT228" s="22">
        <f t="shared" si="58"/>
        <v>1.0243447738739997</v>
      </c>
      <c r="AU228" s="22">
        <f t="shared" si="58"/>
        <v>1.0267914488351768</v>
      </c>
      <c r="AV228" s="22">
        <f t="shared" si="58"/>
        <v>1.0277938962687103</v>
      </c>
      <c r="AW228" s="22">
        <f t="shared" si="58"/>
        <v>1.0283992010907079</v>
      </c>
      <c r="AY228" s="79"/>
    </row>
    <row r="229" spans="1:51" x14ac:dyDescent="0.3">
      <c r="A229" s="95" t="str">
        <f t="shared" si="45"/>
        <v>FA U&amp;D</v>
      </c>
      <c r="B229" s="95" t="s">
        <v>962</v>
      </c>
      <c r="C229" s="95" t="s">
        <v>1336</v>
      </c>
      <c r="D229" t="s">
        <v>369</v>
      </c>
      <c r="E229" t="s">
        <v>55</v>
      </c>
      <c r="F229" t="s">
        <v>422</v>
      </c>
      <c r="G229" t="s">
        <v>1158</v>
      </c>
      <c r="H229" t="s">
        <v>1243</v>
      </c>
      <c r="I229" t="s">
        <v>139</v>
      </c>
      <c r="J229" t="s">
        <v>287</v>
      </c>
      <c r="K229" s="22">
        <f t="shared" si="55"/>
        <v>15.353527292296844</v>
      </c>
      <c r="L229" s="22">
        <f t="shared" si="58"/>
        <v>15.220371053361486</v>
      </c>
      <c r="M229" s="22">
        <f t="shared" si="58"/>
        <v>15.169682504177887</v>
      </c>
      <c r="N229" s="22">
        <f t="shared" si="58"/>
        <v>14.967111251021189</v>
      </c>
      <c r="O229" s="22">
        <f t="shared" si="58"/>
        <v>14.673074129931953</v>
      </c>
      <c r="P229" s="22">
        <f t="shared" si="58"/>
        <v>14.293651368256896</v>
      </c>
      <c r="Q229" s="22">
        <f t="shared" si="58"/>
        <v>13.994389539168758</v>
      </c>
      <c r="R229" s="22">
        <f t="shared" si="58"/>
        <v>13.711253827544139</v>
      </c>
      <c r="S229" s="22">
        <f t="shared" si="58"/>
        <v>12.061906249102522</v>
      </c>
      <c r="T229" s="22">
        <f t="shared" si="58"/>
        <v>12.257827954761961</v>
      </c>
      <c r="U229" s="22">
        <f t="shared" si="58"/>
        <v>12.623326077373568</v>
      </c>
      <c r="V229" s="22">
        <f t="shared" si="58"/>
        <v>12.696320274115601</v>
      </c>
      <c r="W229" s="22">
        <f t="shared" si="58"/>
        <v>12.80159889911199</v>
      </c>
      <c r="X229" s="22">
        <f t="shared" si="58"/>
        <v>12.948464903220069</v>
      </c>
      <c r="Y229" s="22">
        <f t="shared" si="58"/>
        <v>13.116926910965395</v>
      </c>
      <c r="Z229" s="22">
        <f t="shared" si="58"/>
        <v>13.314439769643803</v>
      </c>
      <c r="AA229" s="22">
        <f t="shared" si="58"/>
        <v>13.51286360181456</v>
      </c>
      <c r="AB229" s="22">
        <f t="shared" si="58"/>
        <v>13.736029185929986</v>
      </c>
      <c r="AC229" s="22">
        <f t="shared" si="58"/>
        <v>13.956980095887328</v>
      </c>
      <c r="AD229" s="22">
        <f t="shared" si="58"/>
        <v>14.10090814419179</v>
      </c>
      <c r="AE229" s="22">
        <f t="shared" si="58"/>
        <v>14.219083101971489</v>
      </c>
      <c r="AF229" s="22">
        <f t="shared" si="58"/>
        <v>14.343928249023508</v>
      </c>
      <c r="AG229" s="22">
        <f t="shared" si="58"/>
        <v>14.51096965309287</v>
      </c>
      <c r="AH229" s="22">
        <f t="shared" si="58"/>
        <v>14.631100213840327</v>
      </c>
      <c r="AI229" s="22">
        <f t="shared" si="58"/>
        <v>14.759129789982603</v>
      </c>
      <c r="AJ229" s="22">
        <f t="shared" si="58"/>
        <v>14.900063859192302</v>
      </c>
      <c r="AK229" s="22">
        <f t="shared" si="58"/>
        <v>14.987884546338787</v>
      </c>
      <c r="AL229" s="22">
        <f t="shared" si="58"/>
        <v>15.053769229100121</v>
      </c>
      <c r="AM229" s="22">
        <f t="shared" si="58"/>
        <v>15.099596245527735</v>
      </c>
      <c r="AN229" s="22">
        <f t="shared" si="58"/>
        <v>15.242060327526691</v>
      </c>
      <c r="AO229" s="22">
        <f t="shared" si="58"/>
        <v>15.350351065013276</v>
      </c>
      <c r="AP229" s="22">
        <f t="shared" si="58"/>
        <v>15.4600087454617</v>
      </c>
      <c r="AQ229" s="22">
        <f t="shared" si="58"/>
        <v>15.572287803164578</v>
      </c>
      <c r="AR229" s="22">
        <f t="shared" si="58"/>
        <v>15.689452381356277</v>
      </c>
      <c r="AS229" s="22">
        <f t="shared" si="58"/>
        <v>15.809749281637989</v>
      </c>
      <c r="AT229" s="22">
        <f t="shared" si="58"/>
        <v>15.572449633225865</v>
      </c>
      <c r="AU229" s="22">
        <f t="shared" si="58"/>
        <v>15.303629040465463</v>
      </c>
      <c r="AV229" s="22">
        <f t="shared" si="58"/>
        <v>14.991979745020995</v>
      </c>
      <c r="AW229" s="22">
        <f t="shared" si="58"/>
        <v>14.670563587286086</v>
      </c>
      <c r="AY229" s="79"/>
    </row>
    <row r="230" spans="1:51" x14ac:dyDescent="0.3">
      <c r="A230" s="95" t="str">
        <f t="shared" si="45"/>
        <v>FA U&amp;D</v>
      </c>
      <c r="B230" s="95" t="s">
        <v>962</v>
      </c>
      <c r="C230" s="95" t="s">
        <v>1336</v>
      </c>
      <c r="D230" t="s">
        <v>369</v>
      </c>
      <c r="E230" t="s">
        <v>55</v>
      </c>
      <c r="F230" t="s">
        <v>422</v>
      </c>
      <c r="G230" t="s">
        <v>1160</v>
      </c>
      <c r="H230" t="s">
        <v>1244</v>
      </c>
      <c r="I230" t="s">
        <v>139</v>
      </c>
      <c r="J230" t="s">
        <v>287</v>
      </c>
      <c r="K230" s="22">
        <f t="shared" si="55"/>
        <v>9.6543103644621464</v>
      </c>
      <c r="L230" s="22">
        <f t="shared" si="58"/>
        <v>9.570581613851763</v>
      </c>
      <c r="M230" s="22">
        <f t="shared" si="58"/>
        <v>9.5387086131773007</v>
      </c>
      <c r="N230" s="22">
        <f t="shared" si="58"/>
        <v>9.4113316455488931</v>
      </c>
      <c r="O230" s="22">
        <f t="shared" si="58"/>
        <v>9.2264408662754782</v>
      </c>
      <c r="P230" s="22">
        <f t="shared" si="58"/>
        <v>8.9878595272244652</v>
      </c>
      <c r="Q230" s="22">
        <f t="shared" si="58"/>
        <v>8.7996834473406587</v>
      </c>
      <c r="R230" s="22">
        <f t="shared" si="58"/>
        <v>8.6216474831450967</v>
      </c>
      <c r="S230" s="22">
        <f t="shared" si="58"/>
        <v>7.5845363934257692</v>
      </c>
      <c r="T230" s="22">
        <f t="shared" si="58"/>
        <v>7.7077321202161873</v>
      </c>
      <c r="U230" s="22">
        <f t="shared" si="58"/>
        <v>7.9375576349753283</v>
      </c>
      <c r="V230" s="22">
        <f t="shared" si="58"/>
        <v>7.9834564448537479</v>
      </c>
      <c r="W230" s="22">
        <f t="shared" si="58"/>
        <v>8.0496557292988875</v>
      </c>
      <c r="X230" s="22">
        <f t="shared" si="58"/>
        <v>8.1420051913250582</v>
      </c>
      <c r="Y230" s="22">
        <f t="shared" si="58"/>
        <v>8.2479342378842677</v>
      </c>
      <c r="Z230" s="22">
        <f t="shared" si="58"/>
        <v>8.3721304829783953</v>
      </c>
      <c r="AA230" s="22">
        <f t="shared" si="58"/>
        <v>8.4968995489404282</v>
      </c>
      <c r="AB230" s="22">
        <f t="shared" si="58"/>
        <v>8.6372262485124356</v>
      </c>
      <c r="AC230" s="22">
        <f t="shared" si="58"/>
        <v>8.7761603591847646</v>
      </c>
      <c r="AD230" s="22">
        <f t="shared" si="58"/>
        <v>8.8666624322282459</v>
      </c>
      <c r="AE230" s="22">
        <f t="shared" si="58"/>
        <v>8.9409709411455953</v>
      </c>
      <c r="AF230" s="22">
        <f t="shared" si="58"/>
        <v>9.0194736704657732</v>
      </c>
      <c r="AG230" s="22">
        <f t="shared" si="58"/>
        <v>9.1245094402859266</v>
      </c>
      <c r="AH230" s="22">
        <f t="shared" si="58"/>
        <v>9.2000476339292057</v>
      </c>
      <c r="AI230" s="22">
        <f t="shared" si="58"/>
        <v>9.2805527348338117</v>
      </c>
      <c r="AJ230" s="22">
        <f t="shared" si="58"/>
        <v>9.3691721914038766</v>
      </c>
      <c r="AK230" s="22">
        <f t="shared" si="58"/>
        <v>9.4243939104259251</v>
      </c>
      <c r="AL230" s="22">
        <f t="shared" si="58"/>
        <v>9.4658222521699837</v>
      </c>
      <c r="AM230" s="22">
        <f t="shared" si="58"/>
        <v>9.4946383171201845</v>
      </c>
      <c r="AN230" s="22">
        <f t="shared" si="58"/>
        <v>9.5842198469681268</v>
      </c>
      <c r="AO230" s="22">
        <f t="shared" si="58"/>
        <v>9.6523131501803814</v>
      </c>
      <c r="AP230" s="22">
        <f t="shared" si="58"/>
        <v>9.7212659882312984</v>
      </c>
      <c r="AQ230" s="22">
        <f t="shared" si="58"/>
        <v>9.7918671504174508</v>
      </c>
      <c r="AR230" s="22">
        <f t="shared" si="58"/>
        <v>9.8655403318336496</v>
      </c>
      <c r="AS230" s="22">
        <f t="shared" si="58"/>
        <v>9.9411831199104377</v>
      </c>
      <c r="AT230" s="22">
        <f t="shared" si="58"/>
        <v>9.7919689092907181</v>
      </c>
      <c r="AU230" s="22">
        <f t="shared" si="58"/>
        <v>9.6229343034011841</v>
      </c>
      <c r="AV230" s="22">
        <f t="shared" si="58"/>
        <v>9.4269689746655256</v>
      </c>
      <c r="AW230" s="22">
        <f t="shared" si="58"/>
        <v>9.2248622350316598</v>
      </c>
      <c r="AY230" s="79"/>
    </row>
    <row r="231" spans="1:51" x14ac:dyDescent="0.3">
      <c r="A231" s="95" t="str">
        <f t="shared" si="45"/>
        <v>FA U&amp;D</v>
      </c>
      <c r="B231" s="95" t="s">
        <v>962</v>
      </c>
      <c r="C231" s="95" t="s">
        <v>1336</v>
      </c>
      <c r="D231" t="s">
        <v>369</v>
      </c>
      <c r="E231" t="s">
        <v>55</v>
      </c>
      <c r="F231" t="s">
        <v>422</v>
      </c>
      <c r="G231" t="s">
        <v>1162</v>
      </c>
      <c r="H231" t="s">
        <v>1245</v>
      </c>
      <c r="I231" t="s">
        <v>139</v>
      </c>
      <c r="J231" t="s">
        <v>287</v>
      </c>
      <c r="K231" s="22">
        <f t="shared" si="55"/>
        <v>0</v>
      </c>
      <c r="L231" s="22">
        <f t="shared" si="58"/>
        <v>0</v>
      </c>
      <c r="M231" s="22">
        <f t="shared" si="58"/>
        <v>0</v>
      </c>
      <c r="N231" s="22">
        <f t="shared" si="58"/>
        <v>0</v>
      </c>
      <c r="O231" s="22">
        <f t="shared" si="58"/>
        <v>0</v>
      </c>
      <c r="P231" s="22">
        <f t="shared" si="58"/>
        <v>0</v>
      </c>
      <c r="Q231" s="22">
        <f t="shared" si="58"/>
        <v>0</v>
      </c>
      <c r="R231" s="22">
        <f t="shared" si="58"/>
        <v>0</v>
      </c>
      <c r="S231" s="22">
        <f t="shared" si="58"/>
        <v>0</v>
      </c>
      <c r="T231" s="22">
        <f t="shared" si="58"/>
        <v>0</v>
      </c>
      <c r="U231" s="22">
        <f t="shared" si="58"/>
        <v>0</v>
      </c>
      <c r="V231" s="22">
        <f t="shared" si="58"/>
        <v>0</v>
      </c>
      <c r="W231" s="22">
        <f t="shared" si="58"/>
        <v>0</v>
      </c>
      <c r="X231" s="22">
        <f t="shared" si="58"/>
        <v>0</v>
      </c>
      <c r="Y231" s="22">
        <f t="shared" si="58"/>
        <v>0</v>
      </c>
      <c r="Z231" s="22">
        <f t="shared" si="58"/>
        <v>0</v>
      </c>
      <c r="AA231" s="22">
        <f t="shared" si="58"/>
        <v>0</v>
      </c>
      <c r="AB231" s="22">
        <f t="shared" si="58"/>
        <v>0</v>
      </c>
      <c r="AC231" s="22">
        <f t="shared" si="58"/>
        <v>0</v>
      </c>
      <c r="AD231" s="22">
        <f t="shared" si="58"/>
        <v>0</v>
      </c>
      <c r="AE231" s="22">
        <f t="shared" si="58"/>
        <v>0</v>
      </c>
      <c r="AF231" s="22">
        <f t="shared" si="58"/>
        <v>0</v>
      </c>
      <c r="AG231" s="22">
        <f t="shared" si="58"/>
        <v>0</v>
      </c>
      <c r="AH231" s="22">
        <f t="shared" si="58"/>
        <v>0</v>
      </c>
      <c r="AI231" s="22">
        <f t="shared" si="58"/>
        <v>0</v>
      </c>
      <c r="AJ231" s="22">
        <f t="shared" si="58"/>
        <v>0</v>
      </c>
      <c r="AK231" s="22">
        <f t="shared" si="58"/>
        <v>0</v>
      </c>
      <c r="AL231" s="22">
        <f t="shared" si="58"/>
        <v>0</v>
      </c>
      <c r="AM231" s="22">
        <f t="shared" si="58"/>
        <v>0</v>
      </c>
      <c r="AN231" s="22">
        <f t="shared" si="58"/>
        <v>0</v>
      </c>
      <c r="AO231" s="22">
        <f t="shared" si="58"/>
        <v>0</v>
      </c>
      <c r="AP231" s="22">
        <f t="shared" si="58"/>
        <v>0</v>
      </c>
      <c r="AQ231" s="22">
        <f t="shared" si="58"/>
        <v>0</v>
      </c>
      <c r="AR231" s="22">
        <f t="shared" si="58"/>
        <v>0</v>
      </c>
      <c r="AS231" s="22">
        <f t="shared" si="58"/>
        <v>0</v>
      </c>
      <c r="AT231" s="22">
        <f t="shared" si="58"/>
        <v>0</v>
      </c>
      <c r="AU231" s="22">
        <f t="shared" si="58"/>
        <v>0</v>
      </c>
      <c r="AV231" s="22">
        <f t="shared" si="58"/>
        <v>0</v>
      </c>
      <c r="AW231" s="22">
        <f t="shared" si="58"/>
        <v>0</v>
      </c>
      <c r="AY231" s="79"/>
    </row>
    <row r="232" spans="1:51" x14ac:dyDescent="0.3">
      <c r="A232" s="95" t="str">
        <f t="shared" si="45"/>
        <v>FA U&amp;D</v>
      </c>
      <c r="B232" s="95" t="s">
        <v>962</v>
      </c>
      <c r="C232" s="95" t="s">
        <v>1336</v>
      </c>
      <c r="D232" t="s">
        <v>369</v>
      </c>
      <c r="E232" t="s">
        <v>55</v>
      </c>
      <c r="F232" t="s">
        <v>422</v>
      </c>
      <c r="G232" t="s">
        <v>1164</v>
      </c>
      <c r="H232" t="s">
        <v>1246</v>
      </c>
      <c r="I232" t="s">
        <v>139</v>
      </c>
      <c r="J232" t="s">
        <v>287</v>
      </c>
      <c r="K232" s="22">
        <f t="shared" si="55"/>
        <v>5.8008217784478333</v>
      </c>
      <c r="L232" s="22">
        <f t="shared" si="58"/>
        <v>5.8039582643251126</v>
      </c>
      <c r="M232" s="22">
        <f t="shared" si="58"/>
        <v>5.8114574843873825</v>
      </c>
      <c r="N232" s="22">
        <f t="shared" si="58"/>
        <v>5.8225151444828054</v>
      </c>
      <c r="O232" s="22">
        <f t="shared" si="58"/>
        <v>5.8370609765606929</v>
      </c>
      <c r="P232" s="22">
        <f t="shared" si="58"/>
        <v>5.8549413826537444</v>
      </c>
      <c r="Q232" s="22">
        <f t="shared" si="58"/>
        <v>5.8750235193024203</v>
      </c>
      <c r="R232" s="22">
        <f t="shared" si="58"/>
        <v>5.8971806009067276</v>
      </c>
      <c r="S232" s="22">
        <f t="shared" si="58"/>
        <v>5.917442032162775</v>
      </c>
      <c r="T232" s="22">
        <f t="shared" si="58"/>
        <v>5.9263453955781369</v>
      </c>
      <c r="U232" s="22">
        <f t="shared" si="58"/>
        <v>5.9372183150377431</v>
      </c>
      <c r="V232" s="22">
        <f t="shared" si="58"/>
        <v>5.9486466020913653</v>
      </c>
      <c r="W232" s="22">
        <f t="shared" si="58"/>
        <v>5.9614772941302494</v>
      </c>
      <c r="X232" s="22">
        <f t="shared" si="58"/>
        <v>5.975674490624324</v>
      </c>
      <c r="Y232" s="22">
        <f t="shared" si="58"/>
        <v>5.984540997272453</v>
      </c>
      <c r="Z232" s="22">
        <f t="shared" si="58"/>
        <v>5.9945579021556687</v>
      </c>
      <c r="AA232" s="22">
        <f t="shared" si="58"/>
        <v>6.0055898546708475</v>
      </c>
      <c r="AB232" s="22">
        <f t="shared" si="58"/>
        <v>6.0176671888041211</v>
      </c>
      <c r="AC232" s="22">
        <f t="shared" si="58"/>
        <v>6.030665248312749</v>
      </c>
      <c r="AD232" s="22">
        <f t="shared" si="58"/>
        <v>6.0393845451591259</v>
      </c>
      <c r="AE232" s="22">
        <f t="shared" si="58"/>
        <v>6.0488503325285592</v>
      </c>
      <c r="AF232" s="22">
        <f t="shared" si="58"/>
        <v>6.0591386998485763</v>
      </c>
      <c r="AG232" s="22">
        <f t="shared" si="58"/>
        <v>6.0703500781796258</v>
      </c>
      <c r="AH232" s="22">
        <f t="shared" si="58"/>
        <v>6.0821478127419235</v>
      </c>
      <c r="AI232" s="22">
        <f t="shared" si="58"/>
        <v>6.0896888871649706</v>
      </c>
      <c r="AJ232" s="22">
        <f t="shared" si="58"/>
        <v>6.0979488793317644</v>
      </c>
      <c r="AK232" s="22">
        <f t="shared" si="58"/>
        <v>6.1066553574494229</v>
      </c>
      <c r="AL232" s="22">
        <f t="shared" si="58"/>
        <v>6.1159010108536567</v>
      </c>
      <c r="AM232" s="22">
        <f t="shared" si="58"/>
        <v>6.1256718211091643</v>
      </c>
      <c r="AN232" s="22">
        <f t="shared" si="58"/>
        <v>6.1314451386260842</v>
      </c>
      <c r="AO232" s="22">
        <f t="shared" si="58"/>
        <v>6.1376082251338753</v>
      </c>
      <c r="AP232" s="22">
        <f t="shared" si="58"/>
        <v>6.1442934501067121</v>
      </c>
      <c r="AQ232" s="22">
        <f t="shared" si="58"/>
        <v>6.1514943503502693</v>
      </c>
      <c r="AR232" s="22">
        <f t="shared" si="58"/>
        <v>6.1592107766386786</v>
      </c>
      <c r="AS232" s="22">
        <f t="shared" si="58"/>
        <v>6.1627115342701337</v>
      </c>
      <c r="AT232" s="22">
        <f t="shared" si="58"/>
        <v>6.1649675411239766</v>
      </c>
      <c r="AU232" s="22">
        <f t="shared" si="58"/>
        <v>6.1674405510086165</v>
      </c>
      <c r="AV232" s="22">
        <f t="shared" si="58"/>
        <v>6.1700527124926303</v>
      </c>
      <c r="AW232" s="22">
        <f t="shared" si="58"/>
        <v>6.1729463171150929</v>
      </c>
      <c r="AY232" s="79"/>
    </row>
    <row r="233" spans="1:51" x14ac:dyDescent="0.3">
      <c r="A233" s="95" t="str">
        <f t="shared" si="45"/>
        <v>FA U&amp;D</v>
      </c>
      <c r="B233" s="95" t="s">
        <v>962</v>
      </c>
      <c r="C233" s="95" t="s">
        <v>1336</v>
      </c>
      <c r="D233" t="s">
        <v>369</v>
      </c>
      <c r="E233" t="s">
        <v>55</v>
      </c>
      <c r="F233" t="s">
        <v>422</v>
      </c>
      <c r="G233" t="s">
        <v>1166</v>
      </c>
      <c r="H233" t="s">
        <v>1247</v>
      </c>
      <c r="I233" t="s">
        <v>139</v>
      </c>
      <c r="J233" t="s">
        <v>287</v>
      </c>
      <c r="K233" s="22">
        <f t="shared" si="55"/>
        <v>0.6475429908430661</v>
      </c>
      <c r="L233" s="22">
        <f t="shared" si="58"/>
        <v>0.64789311527772075</v>
      </c>
      <c r="M233" s="22">
        <f t="shared" si="58"/>
        <v>0.64873024966549919</v>
      </c>
      <c r="N233" s="22">
        <f t="shared" si="58"/>
        <v>0.64996461103073178</v>
      </c>
      <c r="O233" s="22">
        <f t="shared" si="58"/>
        <v>0.65158835538416293</v>
      </c>
      <c r="P233" s="22">
        <f t="shared" si="58"/>
        <v>0.65358433665736837</v>
      </c>
      <c r="Q233" s="22">
        <f t="shared" si="58"/>
        <v>0.65582609607089082</v>
      </c>
      <c r="R233" s="22">
        <f t="shared" si="58"/>
        <v>0.65829948060818433</v>
      </c>
      <c r="S233" s="22">
        <f t="shared" si="58"/>
        <v>0.66056125459390613</v>
      </c>
      <c r="T233" s="22">
        <f t="shared" si="58"/>
        <v>0.6615551328399103</v>
      </c>
      <c r="U233" s="22">
        <f t="shared" si="58"/>
        <v>0.6627688716953648</v>
      </c>
      <c r="V233" s="22">
        <f t="shared" si="58"/>
        <v>0.66404460597260306</v>
      </c>
      <c r="W233" s="22">
        <f t="shared" si="58"/>
        <v>0.6654768900548883</v>
      </c>
      <c r="X233" s="22">
        <f t="shared" si="58"/>
        <v>0.66706171638303324</v>
      </c>
      <c r="Y233" s="22">
        <f t="shared" si="58"/>
        <v>0.66805148032554751</v>
      </c>
      <c r="Z233" s="22">
        <f t="shared" si="58"/>
        <v>0.66916966267880784</v>
      </c>
      <c r="AA233" s="22">
        <f t="shared" si="58"/>
        <v>0.67040115431901948</v>
      </c>
      <c r="AB233" s="22">
        <f t="shared" si="58"/>
        <v>0.67174934141470444</v>
      </c>
      <c r="AC233" s="22">
        <f t="shared" si="58"/>
        <v>0.67320030864845803</v>
      </c>
      <c r="AD233" s="22">
        <f t="shared" si="58"/>
        <v>0.67417363963044585</v>
      </c>
      <c r="AE233" s="22">
        <f t="shared" si="58"/>
        <v>0.67523030099636827</v>
      </c>
      <c r="AF233" s="22">
        <f t="shared" si="58"/>
        <v>0.67637878657302375</v>
      </c>
      <c r="AG233" s="22">
        <f t="shared" si="58"/>
        <v>0.67763030743217745</v>
      </c>
      <c r="AH233" s="22">
        <f t="shared" si="58"/>
        <v>0.67894728296002871</v>
      </c>
      <c r="AI233" s="22">
        <f t="shared" si="58"/>
        <v>0.67978908953029982</v>
      </c>
      <c r="AJ233" s="22">
        <f t="shared" si="58"/>
        <v>0.68071114854819625</v>
      </c>
      <c r="AK233" s="22">
        <f t="shared" si="58"/>
        <v>0.68168304858156126</v>
      </c>
      <c r="AL233" s="22">
        <f t="shared" si="58"/>
        <v>0.68271513649709059</v>
      </c>
      <c r="AM233" s="22">
        <f t="shared" si="58"/>
        <v>0.68380584742348371</v>
      </c>
      <c r="AN233" s="22">
        <f t="shared" si="58"/>
        <v>0.68445032012662432</v>
      </c>
      <c r="AO233" s="22">
        <f t="shared" si="58"/>
        <v>0.68513830255782171</v>
      </c>
      <c r="AP233" s="22">
        <f t="shared" si="58"/>
        <v>0.6858845710588557</v>
      </c>
      <c r="AQ233" s="22">
        <f t="shared" si="58"/>
        <v>0.6866884041464022</v>
      </c>
      <c r="AR233" s="22">
        <f t="shared" si="58"/>
        <v>0.68754978516244758</v>
      </c>
      <c r="AS233" s="22">
        <f t="shared" si="58"/>
        <v>0.6879405730806889</v>
      </c>
      <c r="AT233" s="22">
        <f t="shared" si="58"/>
        <v>0.68819241005849918</v>
      </c>
      <c r="AU233" s="22">
        <f t="shared" si="58"/>
        <v>0.68846847098197617</v>
      </c>
      <c r="AV233" s="22">
        <f t="shared" si="58"/>
        <v>0.68876006533266065</v>
      </c>
      <c r="AW233" s="22">
        <f t="shared" si="58"/>
        <v>0.68908307704774374</v>
      </c>
      <c r="AY233" s="79"/>
    </row>
    <row r="234" spans="1:51" x14ac:dyDescent="0.3">
      <c r="A234" s="95" t="str">
        <f t="shared" si="45"/>
        <v>FA U&amp;D</v>
      </c>
      <c r="B234" s="95" t="s">
        <v>962</v>
      </c>
      <c r="C234" s="95" t="s">
        <v>1336</v>
      </c>
      <c r="D234" t="s">
        <v>369</v>
      </c>
      <c r="E234" t="s">
        <v>55</v>
      </c>
      <c r="F234" t="s">
        <v>422</v>
      </c>
      <c r="G234" t="s">
        <v>1168</v>
      </c>
      <c r="H234" t="s">
        <v>1248</v>
      </c>
      <c r="I234" t="s">
        <v>139</v>
      </c>
      <c r="J234" t="s">
        <v>287</v>
      </c>
      <c r="K234" s="22">
        <f t="shared" si="55"/>
        <v>0.71706343480611268</v>
      </c>
      <c r="L234" s="22">
        <f t="shared" si="58"/>
        <v>0.71892745361392807</v>
      </c>
      <c r="M234" s="22">
        <f t="shared" si="58"/>
        <v>0.72149880168720626</v>
      </c>
      <c r="N234" s="22">
        <f t="shared" si="58"/>
        <v>0.72463138273575978</v>
      </c>
      <c r="O234" s="22">
        <f t="shared" si="58"/>
        <v>0.72832072886952293</v>
      </c>
      <c r="P234" s="22">
        <f t="shared" si="58"/>
        <v>0.7325443847928953</v>
      </c>
      <c r="Q234" s="22">
        <f t="shared" si="58"/>
        <v>0.73708994755228441</v>
      </c>
      <c r="R234" s="22">
        <f t="shared" si="58"/>
        <v>0.74193942345928476</v>
      </c>
      <c r="S234" s="22">
        <f t="shared" si="58"/>
        <v>0.74633734890279979</v>
      </c>
      <c r="T234" s="22">
        <f t="shared" si="58"/>
        <v>0.7484855631491526</v>
      </c>
      <c r="U234" s="22">
        <f t="shared" ref="L234:AW240" si="59">U1490</f>
        <v>0.75094789604401424</v>
      </c>
      <c r="V234" s="22">
        <f t="shared" si="59"/>
        <v>0.7534578797366237</v>
      </c>
      <c r="W234" s="22">
        <f t="shared" si="59"/>
        <v>0.75618014560841795</v>
      </c>
      <c r="X234" s="22">
        <f t="shared" si="59"/>
        <v>0.75911019457510998</v>
      </c>
      <c r="Y234" s="22">
        <f t="shared" si="59"/>
        <v>0.76098529780205848</v>
      </c>
      <c r="Z234" s="22">
        <f t="shared" si="59"/>
        <v>0.76303676473265736</v>
      </c>
      <c r="AA234" s="22">
        <f t="shared" si="59"/>
        <v>0.7652406009428746</v>
      </c>
      <c r="AB234" s="22">
        <f t="shared" si="59"/>
        <v>0.76760388311939587</v>
      </c>
      <c r="AC234" s="22">
        <f t="shared" si="59"/>
        <v>0.77010442048860683</v>
      </c>
      <c r="AD234" s="22">
        <f t="shared" si="59"/>
        <v>0.77177199510986771</v>
      </c>
      <c r="AE234" s="22">
        <f t="shared" si="59"/>
        <v>0.773550364220007</v>
      </c>
      <c r="AF234" s="22">
        <f t="shared" si="59"/>
        <v>0.77545458075511842</v>
      </c>
      <c r="AG234" s="22">
        <f t="shared" si="59"/>
        <v>0.77750398529137599</v>
      </c>
      <c r="AH234" s="22">
        <f t="shared" si="59"/>
        <v>0.77963666315118907</v>
      </c>
      <c r="AI234" s="22">
        <f t="shared" si="59"/>
        <v>0.78095748542095478</v>
      </c>
      <c r="AJ234" s="22">
        <f t="shared" si="59"/>
        <v>0.78239081807371291</v>
      </c>
      <c r="AK234" s="22">
        <f t="shared" si="59"/>
        <v>0.78388681169292429</v>
      </c>
      <c r="AL234" s="22">
        <f t="shared" si="59"/>
        <v>0.78546308863746028</v>
      </c>
      <c r="AM234" s="22">
        <f t="shared" si="59"/>
        <v>0.78711749076594029</v>
      </c>
      <c r="AN234" s="22">
        <f t="shared" si="59"/>
        <v>0.7880213548905175</v>
      </c>
      <c r="AO234" s="22">
        <f t="shared" si="59"/>
        <v>0.7889821600969783</v>
      </c>
      <c r="AP234" s="22">
        <f t="shared" si="59"/>
        <v>0.7900244330710835</v>
      </c>
      <c r="AQ234" s="22">
        <f t="shared" si="59"/>
        <v>0.79114717839494386</v>
      </c>
      <c r="AR234" s="22">
        <f t="shared" si="59"/>
        <v>0.79235052559003472</v>
      </c>
      <c r="AS234" s="22">
        <f t="shared" si="59"/>
        <v>0.79277466874731783</v>
      </c>
      <c r="AT234" s="22">
        <f t="shared" si="59"/>
        <v>0.79296303081990593</v>
      </c>
      <c r="AU234" s="22">
        <f t="shared" si="59"/>
        <v>0.79318200303032371</v>
      </c>
      <c r="AV234" s="22">
        <f t="shared" si="59"/>
        <v>0.79341774382528896</v>
      </c>
      <c r="AW234" s="22">
        <f t="shared" si="59"/>
        <v>0.79369623394189648</v>
      </c>
      <c r="AY234" s="79"/>
    </row>
    <row r="235" spans="1:51" x14ac:dyDescent="0.3">
      <c r="A235" s="95" t="str">
        <f t="shared" si="45"/>
        <v>FA U&amp;D</v>
      </c>
      <c r="B235" s="95" t="s">
        <v>962</v>
      </c>
      <c r="C235" s="95" t="s">
        <v>1336</v>
      </c>
      <c r="D235" t="s">
        <v>369</v>
      </c>
      <c r="E235" t="s">
        <v>55</v>
      </c>
      <c r="F235" t="s">
        <v>422</v>
      </c>
      <c r="G235" t="s">
        <v>1170</v>
      </c>
      <c r="H235" t="s">
        <v>1249</v>
      </c>
      <c r="I235" t="s">
        <v>139</v>
      </c>
      <c r="J235" t="s">
        <v>287</v>
      </c>
      <c r="K235" s="22">
        <f t="shared" si="55"/>
        <v>1.1867254191644503</v>
      </c>
      <c r="L235" s="22">
        <f t="shared" si="59"/>
        <v>1.1898103324282718</v>
      </c>
      <c r="M235" s="22">
        <f t="shared" si="59"/>
        <v>1.194065861258722</v>
      </c>
      <c r="N235" s="22">
        <f t="shared" si="59"/>
        <v>1.1992502192631385</v>
      </c>
      <c r="O235" s="22">
        <f t="shared" si="59"/>
        <v>1.2053560121742171</v>
      </c>
      <c r="P235" s="22">
        <f t="shared" si="59"/>
        <v>1.212346076933865</v>
      </c>
      <c r="Q235" s="22">
        <f t="shared" si="59"/>
        <v>1.2198688909683484</v>
      </c>
      <c r="R235" s="22">
        <f t="shared" si="59"/>
        <v>1.2278946750888551</v>
      </c>
      <c r="S235" s="22">
        <f t="shared" si="59"/>
        <v>1.2351731523644685</v>
      </c>
      <c r="T235" s="22">
        <f t="shared" si="59"/>
        <v>1.2387284033063148</v>
      </c>
      <c r="U235" s="22">
        <f t="shared" si="59"/>
        <v>1.2428035142308693</v>
      </c>
      <c r="V235" s="22">
        <f t="shared" si="59"/>
        <v>1.2469574862577844</v>
      </c>
      <c r="W235" s="22">
        <f t="shared" si="59"/>
        <v>1.2514627809792418</v>
      </c>
      <c r="X235" s="22">
        <f t="shared" si="59"/>
        <v>1.2563119525021347</v>
      </c>
      <c r="Y235" s="22">
        <f t="shared" si="59"/>
        <v>1.2594152102544689</v>
      </c>
      <c r="Z235" s="22">
        <f t="shared" si="59"/>
        <v>1.2628103463539342</v>
      </c>
      <c r="AA235" s="22">
        <f t="shared" si="59"/>
        <v>1.2664576505161484</v>
      </c>
      <c r="AB235" s="22">
        <f t="shared" si="59"/>
        <v>1.2703688345138295</v>
      </c>
      <c r="AC235" s="22">
        <f t="shared" si="59"/>
        <v>1.2745071730673998</v>
      </c>
      <c r="AD235" s="22">
        <f t="shared" si="59"/>
        <v>1.2772669751927705</v>
      </c>
      <c r="AE235" s="22">
        <f t="shared" si="59"/>
        <v>1.2802101399467087</v>
      </c>
      <c r="AF235" s="22">
        <f t="shared" si="59"/>
        <v>1.2833615796326843</v>
      </c>
      <c r="AG235" s="22">
        <f t="shared" si="59"/>
        <v>1.2867533025114073</v>
      </c>
      <c r="AH235" s="22">
        <f t="shared" si="59"/>
        <v>1.2902828410491152</v>
      </c>
      <c r="AI235" s="22">
        <f t="shared" si="59"/>
        <v>1.2924687750762118</v>
      </c>
      <c r="AJ235" s="22">
        <f t="shared" si="59"/>
        <v>1.2948409115017798</v>
      </c>
      <c r="AK235" s="22">
        <f t="shared" si="59"/>
        <v>1.2973167505540197</v>
      </c>
      <c r="AL235" s="22">
        <f t="shared" si="59"/>
        <v>1.2999254568789065</v>
      </c>
      <c r="AM235" s="22">
        <f t="shared" si="59"/>
        <v>1.3026634587962926</v>
      </c>
      <c r="AN235" s="22">
        <f t="shared" si="59"/>
        <v>1.3041593355626162</v>
      </c>
      <c r="AO235" s="22">
        <f t="shared" si="59"/>
        <v>1.3057494486628347</v>
      </c>
      <c r="AP235" s="22">
        <f t="shared" si="59"/>
        <v>1.3074743892636795</v>
      </c>
      <c r="AQ235" s="22">
        <f t="shared" si="59"/>
        <v>1.3093325099687654</v>
      </c>
      <c r="AR235" s="22">
        <f t="shared" si="59"/>
        <v>1.3113240251335019</v>
      </c>
      <c r="AS235" s="22">
        <f t="shared" si="59"/>
        <v>1.3120259734433455</v>
      </c>
      <c r="AT235" s="22">
        <f t="shared" si="59"/>
        <v>1.3123377088473509</v>
      </c>
      <c r="AU235" s="22">
        <f t="shared" si="59"/>
        <v>1.3127001034076922</v>
      </c>
      <c r="AV235" s="22">
        <f t="shared" si="59"/>
        <v>1.313090249634846</v>
      </c>
      <c r="AW235" s="22">
        <f t="shared" si="59"/>
        <v>1.3135511451209665</v>
      </c>
      <c r="AY235" s="79"/>
    </row>
    <row r="236" spans="1:51" x14ac:dyDescent="0.3">
      <c r="A236" s="95" t="str">
        <f t="shared" si="45"/>
        <v>FA U&amp;D</v>
      </c>
      <c r="B236" s="95" t="s">
        <v>962</v>
      </c>
      <c r="C236" s="95" t="s">
        <v>1336</v>
      </c>
      <c r="D236" t="s">
        <v>369</v>
      </c>
      <c r="E236" t="s">
        <v>55</v>
      </c>
      <c r="F236" t="s">
        <v>422</v>
      </c>
      <c r="G236" t="s">
        <v>1172</v>
      </c>
      <c r="H236" t="s">
        <v>1250</v>
      </c>
      <c r="I236" t="s">
        <v>139</v>
      </c>
      <c r="J236" t="s">
        <v>287</v>
      </c>
      <c r="K236" s="22">
        <f t="shared" si="55"/>
        <v>0.19147730421375916</v>
      </c>
      <c r="L236" s="22">
        <f t="shared" si="59"/>
        <v>0.19240499933397132</v>
      </c>
      <c r="M236" s="22">
        <f t="shared" si="59"/>
        <v>0.19381280191845887</v>
      </c>
      <c r="N236" s="22">
        <f t="shared" si="59"/>
        <v>0.19411375969056655</v>
      </c>
      <c r="O236" s="22">
        <f t="shared" si="59"/>
        <v>0.19368291106027893</v>
      </c>
      <c r="P236" s="22">
        <f t="shared" si="59"/>
        <v>0.19253602379697463</v>
      </c>
      <c r="Q236" s="22">
        <f t="shared" si="59"/>
        <v>0.19190012409058904</v>
      </c>
      <c r="R236" s="22">
        <f t="shared" si="59"/>
        <v>0.19132863754616405</v>
      </c>
      <c r="S236" s="22">
        <f t="shared" si="59"/>
        <v>0.1803905818810948</v>
      </c>
      <c r="T236" s="22">
        <f t="shared" si="59"/>
        <v>0.18262456774024571</v>
      </c>
      <c r="U236" s="22">
        <f t="shared" si="59"/>
        <v>0.18617292598676535</v>
      </c>
      <c r="V236" s="22">
        <f t="shared" si="59"/>
        <v>0.1874827131948397</v>
      </c>
      <c r="W236" s="22">
        <f t="shared" si="59"/>
        <v>0.18903918513554135</v>
      </c>
      <c r="X236" s="22">
        <f t="shared" si="59"/>
        <v>0.19092374052200031</v>
      </c>
      <c r="Y236" s="22">
        <f t="shared" si="59"/>
        <v>0.19317866485257018</v>
      </c>
      <c r="Z236" s="22">
        <f t="shared" si="59"/>
        <v>0.19568472941200174</v>
      </c>
      <c r="AA236" s="22">
        <f t="shared" si="59"/>
        <v>0.19822057353598227</v>
      </c>
      <c r="AB236" s="22">
        <f t="shared" si="59"/>
        <v>0.20098305885598644</v>
      </c>
      <c r="AC236" s="22">
        <f t="shared" si="59"/>
        <v>0.20375514589644325</v>
      </c>
      <c r="AD236" s="22">
        <f t="shared" si="59"/>
        <v>0.20708073603212976</v>
      </c>
      <c r="AE236" s="22">
        <f t="shared" si="59"/>
        <v>0.21028463440230635</v>
      </c>
      <c r="AF236" s="22">
        <f t="shared" si="59"/>
        <v>0.2136443220754487</v>
      </c>
      <c r="AG236" s="22">
        <f t="shared" si="59"/>
        <v>0.21748682395851593</v>
      </c>
      <c r="AH236" s="22">
        <f t="shared" si="59"/>
        <v>0.22102739700732632</v>
      </c>
      <c r="AI236" s="22">
        <f t="shared" si="59"/>
        <v>0.22493633340985938</v>
      </c>
      <c r="AJ236" s="22">
        <f t="shared" si="59"/>
        <v>0.22910386680533321</v>
      </c>
      <c r="AK236" s="22">
        <f t="shared" si="59"/>
        <v>0.2329046036438828</v>
      </c>
      <c r="AL236" s="22">
        <f t="shared" si="59"/>
        <v>0.23662356544971794</v>
      </c>
      <c r="AM236" s="22">
        <f t="shared" si="59"/>
        <v>0.24027411251375713</v>
      </c>
      <c r="AN236" s="22">
        <f t="shared" si="59"/>
        <v>0.24444413665938144</v>
      </c>
      <c r="AO236" s="22">
        <f t="shared" si="59"/>
        <v>0.2483759174868751</v>
      </c>
      <c r="AP236" s="22">
        <f t="shared" si="59"/>
        <v>0.25243602460510989</v>
      </c>
      <c r="AQ236" s="22">
        <f t="shared" si="59"/>
        <v>0.25664462657697379</v>
      </c>
      <c r="AR236" s="22">
        <f t="shared" si="59"/>
        <v>0.26103451555954071</v>
      </c>
      <c r="AS236" s="22">
        <f t="shared" si="59"/>
        <v>0.26580339289786814</v>
      </c>
      <c r="AT236" s="22">
        <f t="shared" si="59"/>
        <v>0.26659601183855292</v>
      </c>
      <c r="AU236" s="22">
        <f t="shared" si="59"/>
        <v>0.26701268168020675</v>
      </c>
      <c r="AV236" s="22">
        <f t="shared" si="59"/>
        <v>0.26689564753163691</v>
      </c>
      <c r="AW236" s="22">
        <f t="shared" si="59"/>
        <v>0.2666191038621068</v>
      </c>
      <c r="AY236" s="79"/>
    </row>
    <row r="237" spans="1:51" x14ac:dyDescent="0.3">
      <c r="A237" s="95" t="str">
        <f t="shared" si="45"/>
        <v>FA U&amp;D</v>
      </c>
      <c r="B237" s="95" t="s">
        <v>962</v>
      </c>
      <c r="C237" s="95" t="s">
        <v>1336</v>
      </c>
      <c r="D237" t="s">
        <v>369</v>
      </c>
      <c r="E237" t="s">
        <v>55</v>
      </c>
      <c r="F237" t="s">
        <v>422</v>
      </c>
      <c r="G237" t="s">
        <v>1174</v>
      </c>
      <c r="H237" t="s">
        <v>1251</v>
      </c>
      <c r="I237" t="s">
        <v>139</v>
      </c>
      <c r="J237" t="s">
        <v>287</v>
      </c>
      <c r="K237" s="22">
        <f t="shared" si="55"/>
        <v>3.4640571428571423E-2</v>
      </c>
      <c r="L237" s="22">
        <f t="shared" si="59"/>
        <v>3.4640571428571423E-2</v>
      </c>
      <c r="M237" s="22">
        <f t="shared" si="59"/>
        <v>3.4640571428571423E-2</v>
      </c>
      <c r="N237" s="22">
        <f t="shared" si="59"/>
        <v>3.4640571428571423E-2</v>
      </c>
      <c r="O237" s="22">
        <f t="shared" si="59"/>
        <v>3.4640571428571423E-2</v>
      </c>
      <c r="P237" s="22">
        <f t="shared" si="59"/>
        <v>3.4640571428571423E-2</v>
      </c>
      <c r="Q237" s="22">
        <f t="shared" si="59"/>
        <v>3.4640571428571423E-2</v>
      </c>
      <c r="R237" s="22">
        <f t="shared" si="59"/>
        <v>3.4640571428571423E-2</v>
      </c>
      <c r="S237" s="22">
        <f t="shared" si="59"/>
        <v>3.4640571428571423E-2</v>
      </c>
      <c r="T237" s="22">
        <f t="shared" si="59"/>
        <v>3.4640571428571423E-2</v>
      </c>
      <c r="U237" s="22">
        <f t="shared" si="59"/>
        <v>3.4640571428571423E-2</v>
      </c>
      <c r="V237" s="22">
        <f t="shared" si="59"/>
        <v>3.4640571428571423E-2</v>
      </c>
      <c r="W237" s="22">
        <f t="shared" si="59"/>
        <v>3.4640571428571423E-2</v>
      </c>
      <c r="X237" s="22">
        <f t="shared" si="59"/>
        <v>3.4640571428571423E-2</v>
      </c>
      <c r="Y237" s="22">
        <f t="shared" si="59"/>
        <v>3.4640571428571423E-2</v>
      </c>
      <c r="Z237" s="22">
        <f t="shared" si="59"/>
        <v>3.4640571428571423E-2</v>
      </c>
      <c r="AA237" s="22">
        <f t="shared" si="59"/>
        <v>3.4640571428571423E-2</v>
      </c>
      <c r="AB237" s="22">
        <f t="shared" si="59"/>
        <v>3.4640571428571423E-2</v>
      </c>
      <c r="AC237" s="22">
        <f t="shared" si="59"/>
        <v>3.4640571428571423E-2</v>
      </c>
      <c r="AD237" s="22">
        <f t="shared" si="59"/>
        <v>3.4640571428571423E-2</v>
      </c>
      <c r="AE237" s="22">
        <f t="shared" si="59"/>
        <v>3.4640571428571423E-2</v>
      </c>
      <c r="AF237" s="22">
        <f t="shared" si="59"/>
        <v>3.4640571428571423E-2</v>
      </c>
      <c r="AG237" s="22">
        <f t="shared" si="59"/>
        <v>3.4640571428571423E-2</v>
      </c>
      <c r="AH237" s="22">
        <f t="shared" si="59"/>
        <v>3.4640571428571423E-2</v>
      </c>
      <c r="AI237" s="22">
        <f t="shared" si="59"/>
        <v>3.4640571428571423E-2</v>
      </c>
      <c r="AJ237" s="22">
        <f t="shared" si="59"/>
        <v>3.4640571428571423E-2</v>
      </c>
      <c r="AK237" s="22">
        <f t="shared" si="59"/>
        <v>3.4640571428571423E-2</v>
      </c>
      <c r="AL237" s="22">
        <f t="shared" si="59"/>
        <v>3.4640571428571423E-2</v>
      </c>
      <c r="AM237" s="22">
        <f t="shared" si="59"/>
        <v>3.4640571428571423E-2</v>
      </c>
      <c r="AN237" s="22">
        <f t="shared" si="59"/>
        <v>3.4640571428571423E-2</v>
      </c>
      <c r="AO237" s="22">
        <f t="shared" si="59"/>
        <v>3.4640571428571423E-2</v>
      </c>
      <c r="AP237" s="22">
        <f t="shared" si="59"/>
        <v>3.4640571428571423E-2</v>
      </c>
      <c r="AQ237" s="22">
        <f t="shared" si="59"/>
        <v>3.4640571428571423E-2</v>
      </c>
      <c r="AR237" s="22">
        <f t="shared" si="59"/>
        <v>3.4640571428571423E-2</v>
      </c>
      <c r="AS237" s="22">
        <f t="shared" si="59"/>
        <v>3.4640571428571423E-2</v>
      </c>
      <c r="AT237" s="22">
        <f t="shared" si="59"/>
        <v>3.4640571428571423E-2</v>
      </c>
      <c r="AU237" s="22">
        <f t="shared" si="59"/>
        <v>3.4640571428571423E-2</v>
      </c>
      <c r="AV237" s="22">
        <f t="shared" si="59"/>
        <v>3.4640571428571423E-2</v>
      </c>
      <c r="AW237" s="22">
        <f t="shared" si="59"/>
        <v>3.4640571428571423E-2</v>
      </c>
      <c r="AY237" s="79"/>
    </row>
    <row r="238" spans="1:51" x14ac:dyDescent="0.3">
      <c r="A238" s="95" t="str">
        <f t="shared" si="45"/>
        <v>FA U&amp;D</v>
      </c>
      <c r="B238" s="95" t="s">
        <v>962</v>
      </c>
      <c r="C238" s="95" t="s">
        <v>1336</v>
      </c>
      <c r="D238" t="s">
        <v>369</v>
      </c>
      <c r="E238" t="s">
        <v>55</v>
      </c>
      <c r="F238" t="s">
        <v>422</v>
      </c>
      <c r="G238" t="s">
        <v>1176</v>
      </c>
      <c r="H238" t="s">
        <v>1252</v>
      </c>
      <c r="I238" t="s">
        <v>139</v>
      </c>
      <c r="J238" t="s">
        <v>287</v>
      </c>
      <c r="K238" s="22">
        <f t="shared" si="55"/>
        <v>0</v>
      </c>
      <c r="L238" s="22">
        <f t="shared" si="59"/>
        <v>0</v>
      </c>
      <c r="M238" s="22">
        <f t="shared" si="59"/>
        <v>0</v>
      </c>
      <c r="N238" s="22">
        <f t="shared" si="59"/>
        <v>0</v>
      </c>
      <c r="O238" s="22">
        <f t="shared" si="59"/>
        <v>0</v>
      </c>
      <c r="P238" s="22">
        <f t="shared" si="59"/>
        <v>0</v>
      </c>
      <c r="Q238" s="22">
        <f t="shared" si="59"/>
        <v>0</v>
      </c>
      <c r="R238" s="22">
        <f t="shared" si="59"/>
        <v>0</v>
      </c>
      <c r="S238" s="22">
        <f t="shared" si="59"/>
        <v>0</v>
      </c>
      <c r="T238" s="22">
        <f t="shared" si="59"/>
        <v>0</v>
      </c>
      <c r="U238" s="22">
        <f t="shared" si="59"/>
        <v>0</v>
      </c>
      <c r="V238" s="22">
        <f t="shared" si="59"/>
        <v>0</v>
      </c>
      <c r="W238" s="22">
        <f t="shared" si="59"/>
        <v>0</v>
      </c>
      <c r="X238" s="22">
        <f t="shared" si="59"/>
        <v>0</v>
      </c>
      <c r="Y238" s="22">
        <f t="shared" si="59"/>
        <v>0</v>
      </c>
      <c r="Z238" s="22">
        <f t="shared" si="59"/>
        <v>0</v>
      </c>
      <c r="AA238" s="22">
        <f t="shared" si="59"/>
        <v>0</v>
      </c>
      <c r="AB238" s="22">
        <f t="shared" si="59"/>
        <v>0</v>
      </c>
      <c r="AC238" s="22">
        <f t="shared" si="59"/>
        <v>0</v>
      </c>
      <c r="AD238" s="22">
        <f t="shared" si="59"/>
        <v>0</v>
      </c>
      <c r="AE238" s="22">
        <f t="shared" si="59"/>
        <v>0</v>
      </c>
      <c r="AF238" s="22">
        <f t="shared" si="59"/>
        <v>0</v>
      </c>
      <c r="AG238" s="22">
        <f t="shared" si="59"/>
        <v>0</v>
      </c>
      <c r="AH238" s="22">
        <f t="shared" si="59"/>
        <v>0</v>
      </c>
      <c r="AI238" s="22">
        <f t="shared" si="59"/>
        <v>0</v>
      </c>
      <c r="AJ238" s="22">
        <f t="shared" si="59"/>
        <v>0</v>
      </c>
      <c r="AK238" s="22">
        <f t="shared" si="59"/>
        <v>0</v>
      </c>
      <c r="AL238" s="22">
        <f t="shared" si="59"/>
        <v>0</v>
      </c>
      <c r="AM238" s="22">
        <f t="shared" si="59"/>
        <v>0</v>
      </c>
      <c r="AN238" s="22">
        <f t="shared" si="59"/>
        <v>0</v>
      </c>
      <c r="AO238" s="22">
        <f t="shared" si="59"/>
        <v>0</v>
      </c>
      <c r="AP238" s="22">
        <f t="shared" si="59"/>
        <v>0</v>
      </c>
      <c r="AQ238" s="22">
        <f t="shared" si="59"/>
        <v>0</v>
      </c>
      <c r="AR238" s="22">
        <f t="shared" si="59"/>
        <v>0</v>
      </c>
      <c r="AS238" s="22">
        <f t="shared" si="59"/>
        <v>0</v>
      </c>
      <c r="AT238" s="22">
        <f t="shared" si="59"/>
        <v>0</v>
      </c>
      <c r="AU238" s="22">
        <f t="shared" si="59"/>
        <v>0</v>
      </c>
      <c r="AV238" s="22">
        <f t="shared" si="59"/>
        <v>0</v>
      </c>
      <c r="AW238" s="22">
        <f t="shared" si="59"/>
        <v>0</v>
      </c>
      <c r="AY238" s="79"/>
    </row>
    <row r="239" spans="1:51" x14ac:dyDescent="0.3">
      <c r="A239" s="95" t="str">
        <f t="shared" si="45"/>
        <v>FA U&amp;D</v>
      </c>
      <c r="B239" s="95" t="s">
        <v>962</v>
      </c>
      <c r="C239" s="95" t="s">
        <v>1336</v>
      </c>
      <c r="D239" t="s">
        <v>369</v>
      </c>
      <c r="E239" t="s">
        <v>55</v>
      </c>
      <c r="F239" t="s">
        <v>422</v>
      </c>
      <c r="G239" t="s">
        <v>1178</v>
      </c>
      <c r="H239" t="s">
        <v>1253</v>
      </c>
      <c r="I239" t="s">
        <v>139</v>
      </c>
      <c r="J239" t="s">
        <v>287</v>
      </c>
      <c r="K239" s="22">
        <f t="shared" si="55"/>
        <v>0</v>
      </c>
      <c r="L239" s="22">
        <f t="shared" si="59"/>
        <v>0</v>
      </c>
      <c r="M239" s="22">
        <f t="shared" si="59"/>
        <v>0</v>
      </c>
      <c r="N239" s="22">
        <f t="shared" si="59"/>
        <v>0</v>
      </c>
      <c r="O239" s="22">
        <f t="shared" si="59"/>
        <v>0</v>
      </c>
      <c r="P239" s="22">
        <f t="shared" si="59"/>
        <v>0</v>
      </c>
      <c r="Q239" s="22">
        <f t="shared" si="59"/>
        <v>0</v>
      </c>
      <c r="R239" s="22">
        <f t="shared" si="59"/>
        <v>0</v>
      </c>
      <c r="S239" s="22">
        <f t="shared" si="59"/>
        <v>0</v>
      </c>
      <c r="T239" s="22">
        <f t="shared" si="59"/>
        <v>0</v>
      </c>
      <c r="U239" s="22">
        <f t="shared" si="59"/>
        <v>0</v>
      </c>
      <c r="V239" s="22">
        <f t="shared" si="59"/>
        <v>0</v>
      </c>
      <c r="W239" s="22">
        <f t="shared" si="59"/>
        <v>0</v>
      </c>
      <c r="X239" s="22">
        <f t="shared" si="59"/>
        <v>0</v>
      </c>
      <c r="Y239" s="22">
        <f t="shared" si="59"/>
        <v>0</v>
      </c>
      <c r="Z239" s="22">
        <f t="shared" si="59"/>
        <v>0</v>
      </c>
      <c r="AA239" s="22">
        <f t="shared" si="59"/>
        <v>0</v>
      </c>
      <c r="AB239" s="22">
        <f t="shared" si="59"/>
        <v>0</v>
      </c>
      <c r="AC239" s="22">
        <f t="shared" si="59"/>
        <v>0</v>
      </c>
      <c r="AD239" s="22">
        <f t="shared" si="59"/>
        <v>0</v>
      </c>
      <c r="AE239" s="22">
        <f t="shared" si="59"/>
        <v>0</v>
      </c>
      <c r="AF239" s="22">
        <f t="shared" si="59"/>
        <v>0</v>
      </c>
      <c r="AG239" s="22">
        <f t="shared" si="59"/>
        <v>0</v>
      </c>
      <c r="AH239" s="22">
        <f t="shared" si="59"/>
        <v>0</v>
      </c>
      <c r="AI239" s="22">
        <f t="shared" si="59"/>
        <v>0</v>
      </c>
      <c r="AJ239" s="22">
        <f t="shared" si="59"/>
        <v>0</v>
      </c>
      <c r="AK239" s="22">
        <f t="shared" si="59"/>
        <v>0</v>
      </c>
      <c r="AL239" s="22">
        <f t="shared" si="59"/>
        <v>0</v>
      </c>
      <c r="AM239" s="22">
        <f t="shared" si="59"/>
        <v>0</v>
      </c>
      <c r="AN239" s="22">
        <f t="shared" si="59"/>
        <v>0</v>
      </c>
      <c r="AO239" s="22">
        <f t="shared" si="59"/>
        <v>0</v>
      </c>
      <c r="AP239" s="22">
        <f t="shared" si="59"/>
        <v>0</v>
      </c>
      <c r="AQ239" s="22">
        <f t="shared" si="59"/>
        <v>0</v>
      </c>
      <c r="AR239" s="22">
        <f t="shared" si="59"/>
        <v>0</v>
      </c>
      <c r="AS239" s="22">
        <f t="shared" si="59"/>
        <v>0</v>
      </c>
      <c r="AT239" s="22">
        <f t="shared" si="59"/>
        <v>0</v>
      </c>
      <c r="AU239" s="22">
        <f t="shared" si="59"/>
        <v>0</v>
      </c>
      <c r="AV239" s="22">
        <f t="shared" si="59"/>
        <v>0</v>
      </c>
      <c r="AW239" s="22">
        <f t="shared" si="59"/>
        <v>0</v>
      </c>
      <c r="AY239" s="79"/>
    </row>
    <row r="240" spans="1:51" x14ac:dyDescent="0.3">
      <c r="A240" s="95" t="str">
        <f t="shared" si="45"/>
        <v>FA U&amp;D</v>
      </c>
      <c r="B240" s="95" t="s">
        <v>962</v>
      </c>
      <c r="C240" s="95" t="s">
        <v>1336</v>
      </c>
      <c r="D240" t="s">
        <v>369</v>
      </c>
      <c r="E240" t="s">
        <v>55</v>
      </c>
      <c r="F240" t="s">
        <v>422</v>
      </c>
      <c r="G240" t="s">
        <v>1180</v>
      </c>
      <c r="H240" t="s">
        <v>1254</v>
      </c>
      <c r="I240" t="s">
        <v>139</v>
      </c>
      <c r="J240" t="s">
        <v>287</v>
      </c>
      <c r="K240" s="22">
        <f t="shared" si="55"/>
        <v>0</v>
      </c>
      <c r="L240" s="22">
        <f t="shared" si="59"/>
        <v>0</v>
      </c>
      <c r="M240" s="22">
        <f t="shared" si="59"/>
        <v>0</v>
      </c>
      <c r="N240" s="22">
        <f t="shared" si="59"/>
        <v>0</v>
      </c>
      <c r="O240" s="22">
        <f t="shared" si="59"/>
        <v>0</v>
      </c>
      <c r="P240" s="22">
        <f t="shared" si="59"/>
        <v>0</v>
      </c>
      <c r="Q240" s="22">
        <f t="shared" si="59"/>
        <v>0</v>
      </c>
      <c r="R240" s="22">
        <f t="shared" si="59"/>
        <v>0</v>
      </c>
      <c r="S240" s="22">
        <f t="shared" si="59"/>
        <v>0</v>
      </c>
      <c r="T240" s="22">
        <f t="shared" si="59"/>
        <v>0</v>
      </c>
      <c r="U240" s="22">
        <f t="shared" si="59"/>
        <v>0</v>
      </c>
      <c r="V240" s="22">
        <f t="shared" si="59"/>
        <v>0</v>
      </c>
      <c r="W240" s="22">
        <f t="shared" si="59"/>
        <v>0</v>
      </c>
      <c r="X240" s="22">
        <f t="shared" si="59"/>
        <v>0</v>
      </c>
      <c r="Y240" s="22">
        <f t="shared" si="59"/>
        <v>0</v>
      </c>
      <c r="Z240" s="22">
        <f t="shared" si="59"/>
        <v>0</v>
      </c>
      <c r="AA240" s="22">
        <f t="shared" si="59"/>
        <v>0</v>
      </c>
      <c r="AB240" s="22">
        <f t="shared" si="59"/>
        <v>0</v>
      </c>
      <c r="AC240" s="22">
        <f t="shared" si="59"/>
        <v>0</v>
      </c>
      <c r="AD240" s="22">
        <f t="shared" si="59"/>
        <v>0</v>
      </c>
      <c r="AE240" s="22">
        <f t="shared" si="59"/>
        <v>0</v>
      </c>
      <c r="AF240" s="22">
        <f t="shared" si="59"/>
        <v>0</v>
      </c>
      <c r="AG240" s="22">
        <f t="shared" si="59"/>
        <v>0</v>
      </c>
      <c r="AH240" s="22">
        <f t="shared" si="59"/>
        <v>0</v>
      </c>
      <c r="AI240" s="22">
        <f t="shared" si="59"/>
        <v>0</v>
      </c>
      <c r="AJ240" s="22">
        <f t="shared" si="59"/>
        <v>0</v>
      </c>
      <c r="AK240" s="22">
        <f t="shared" si="59"/>
        <v>0</v>
      </c>
      <c r="AL240" s="22">
        <f t="shared" si="59"/>
        <v>0</v>
      </c>
      <c r="AM240" s="22">
        <f t="shared" si="59"/>
        <v>0</v>
      </c>
      <c r="AN240" s="22">
        <f t="shared" si="59"/>
        <v>0</v>
      </c>
      <c r="AO240" s="22">
        <f t="shared" si="59"/>
        <v>0</v>
      </c>
      <c r="AP240" s="22">
        <f t="shared" si="59"/>
        <v>0</v>
      </c>
      <c r="AQ240" s="22">
        <f t="shared" si="59"/>
        <v>0</v>
      </c>
      <c r="AR240" s="22">
        <f t="shared" si="59"/>
        <v>0</v>
      </c>
      <c r="AS240" s="22">
        <f t="shared" si="59"/>
        <v>0</v>
      </c>
      <c r="AT240" s="22">
        <f t="shared" si="59"/>
        <v>0</v>
      </c>
      <c r="AU240" s="22">
        <f t="shared" si="59"/>
        <v>0</v>
      </c>
      <c r="AV240" s="22">
        <f t="shared" ref="L240:AW247" si="60">AV1496</f>
        <v>0</v>
      </c>
      <c r="AW240" s="22">
        <f t="shared" si="60"/>
        <v>0</v>
      </c>
      <c r="AY240" s="79"/>
    </row>
    <row r="241" spans="1:51" x14ac:dyDescent="0.3">
      <c r="A241" s="95" t="str">
        <f t="shared" si="45"/>
        <v>FA U&amp;D</v>
      </c>
      <c r="B241" s="95" t="s">
        <v>962</v>
      </c>
      <c r="C241" s="95" t="s">
        <v>1336</v>
      </c>
      <c r="D241" t="s">
        <v>369</v>
      </c>
      <c r="E241" t="s">
        <v>55</v>
      </c>
      <c r="F241" t="s">
        <v>422</v>
      </c>
      <c r="G241" t="s">
        <v>1182</v>
      </c>
      <c r="H241" t="s">
        <v>1255</v>
      </c>
      <c r="I241" t="s">
        <v>139</v>
      </c>
      <c r="J241" t="s">
        <v>287</v>
      </c>
      <c r="K241" s="22">
        <f t="shared" si="55"/>
        <v>0</v>
      </c>
      <c r="L241" s="22">
        <f t="shared" si="60"/>
        <v>0</v>
      </c>
      <c r="M241" s="22">
        <f t="shared" si="60"/>
        <v>0</v>
      </c>
      <c r="N241" s="22">
        <f t="shared" si="60"/>
        <v>0</v>
      </c>
      <c r="O241" s="22">
        <f t="shared" si="60"/>
        <v>0</v>
      </c>
      <c r="P241" s="22">
        <f t="shared" si="60"/>
        <v>0</v>
      </c>
      <c r="Q241" s="22">
        <f t="shared" si="60"/>
        <v>0</v>
      </c>
      <c r="R241" s="22">
        <f t="shared" si="60"/>
        <v>0</v>
      </c>
      <c r="S241" s="22">
        <f t="shared" si="60"/>
        <v>0</v>
      </c>
      <c r="T241" s="22">
        <f t="shared" si="60"/>
        <v>0</v>
      </c>
      <c r="U241" s="22">
        <f t="shared" si="60"/>
        <v>0</v>
      </c>
      <c r="V241" s="22">
        <f t="shared" si="60"/>
        <v>0</v>
      </c>
      <c r="W241" s="22">
        <f t="shared" si="60"/>
        <v>0</v>
      </c>
      <c r="X241" s="22">
        <f t="shared" si="60"/>
        <v>0</v>
      </c>
      <c r="Y241" s="22">
        <f t="shared" si="60"/>
        <v>0</v>
      </c>
      <c r="Z241" s="22">
        <f t="shared" si="60"/>
        <v>0</v>
      </c>
      <c r="AA241" s="22">
        <f t="shared" si="60"/>
        <v>0</v>
      </c>
      <c r="AB241" s="22">
        <f t="shared" si="60"/>
        <v>0</v>
      </c>
      <c r="AC241" s="22">
        <f t="shared" si="60"/>
        <v>0</v>
      </c>
      <c r="AD241" s="22">
        <f t="shared" si="60"/>
        <v>0</v>
      </c>
      <c r="AE241" s="22">
        <f t="shared" si="60"/>
        <v>0</v>
      </c>
      <c r="AF241" s="22">
        <f t="shared" si="60"/>
        <v>0</v>
      </c>
      <c r="AG241" s="22">
        <f t="shared" si="60"/>
        <v>0</v>
      </c>
      <c r="AH241" s="22">
        <f t="shared" si="60"/>
        <v>0</v>
      </c>
      <c r="AI241" s="22">
        <f t="shared" si="60"/>
        <v>0</v>
      </c>
      <c r="AJ241" s="22">
        <f t="shared" si="60"/>
        <v>0</v>
      </c>
      <c r="AK241" s="22">
        <f t="shared" si="60"/>
        <v>0</v>
      </c>
      <c r="AL241" s="22">
        <f t="shared" si="60"/>
        <v>0</v>
      </c>
      <c r="AM241" s="22">
        <f t="shared" si="60"/>
        <v>0</v>
      </c>
      <c r="AN241" s="22">
        <f t="shared" si="60"/>
        <v>0</v>
      </c>
      <c r="AO241" s="22">
        <f t="shared" si="60"/>
        <v>0</v>
      </c>
      <c r="AP241" s="22">
        <f t="shared" si="60"/>
        <v>0</v>
      </c>
      <c r="AQ241" s="22">
        <f t="shared" si="60"/>
        <v>0</v>
      </c>
      <c r="AR241" s="22">
        <f t="shared" si="60"/>
        <v>0</v>
      </c>
      <c r="AS241" s="22">
        <f t="shared" si="60"/>
        <v>0</v>
      </c>
      <c r="AT241" s="22">
        <f t="shared" si="60"/>
        <v>0</v>
      </c>
      <c r="AU241" s="22">
        <f t="shared" si="60"/>
        <v>0</v>
      </c>
      <c r="AV241" s="22">
        <f t="shared" si="60"/>
        <v>0</v>
      </c>
      <c r="AW241" s="22">
        <f t="shared" si="60"/>
        <v>0</v>
      </c>
      <c r="AY241" s="79"/>
    </row>
    <row r="242" spans="1:51" x14ac:dyDescent="0.3">
      <c r="A242" s="95" t="str">
        <f t="shared" si="45"/>
        <v>FA FSOM</v>
      </c>
      <c r="B242" s="95" t="s">
        <v>962</v>
      </c>
      <c r="C242" s="95" t="s">
        <v>60</v>
      </c>
      <c r="D242" t="s">
        <v>369</v>
      </c>
      <c r="E242" t="s">
        <v>55</v>
      </c>
      <c r="F242" t="s">
        <v>60</v>
      </c>
      <c r="G242" t="s">
        <v>1266</v>
      </c>
      <c r="H242" t="s">
        <v>1267</v>
      </c>
      <c r="J242" t="s">
        <v>287</v>
      </c>
      <c r="K242" s="22" t="str">
        <f t="shared" si="55"/>
        <v>NO</v>
      </c>
      <c r="L242" s="22" t="str">
        <f t="shared" si="60"/>
        <v>NO</v>
      </c>
      <c r="M242" s="22" t="str">
        <f t="shared" si="60"/>
        <v>NO</v>
      </c>
      <c r="N242" s="22" t="str">
        <f t="shared" si="60"/>
        <v>NO</v>
      </c>
      <c r="O242" s="22" t="str">
        <f t="shared" si="60"/>
        <v>NO</v>
      </c>
      <c r="P242" s="22" t="str">
        <f t="shared" si="60"/>
        <v>NO</v>
      </c>
      <c r="Q242" s="22" t="str">
        <f t="shared" si="60"/>
        <v>NO</v>
      </c>
      <c r="R242" s="22" t="str">
        <f t="shared" si="60"/>
        <v>NO</v>
      </c>
      <c r="S242" s="22" t="str">
        <f t="shared" si="60"/>
        <v>NO</v>
      </c>
      <c r="T242" s="22" t="str">
        <f t="shared" si="60"/>
        <v>NO</v>
      </c>
      <c r="U242" s="22" t="str">
        <f t="shared" si="60"/>
        <v>NO</v>
      </c>
      <c r="V242" s="22" t="str">
        <f t="shared" si="60"/>
        <v>NO</v>
      </c>
      <c r="W242" s="22" t="str">
        <f t="shared" si="60"/>
        <v>NO</v>
      </c>
      <c r="X242" s="22" t="str">
        <f t="shared" si="60"/>
        <v>NO</v>
      </c>
      <c r="Y242" s="22" t="str">
        <f t="shared" si="60"/>
        <v>NO</v>
      </c>
      <c r="Z242" s="22" t="str">
        <f t="shared" si="60"/>
        <v>NO</v>
      </c>
      <c r="AA242" s="22" t="str">
        <f t="shared" si="60"/>
        <v>NO</v>
      </c>
      <c r="AB242" s="22" t="str">
        <f t="shared" si="60"/>
        <v>NO</v>
      </c>
      <c r="AC242" s="22" t="str">
        <f t="shared" si="60"/>
        <v>NO</v>
      </c>
      <c r="AD242" s="22" t="str">
        <f t="shared" si="60"/>
        <v>NO</v>
      </c>
      <c r="AE242" s="22" t="str">
        <f t="shared" si="60"/>
        <v>NO</v>
      </c>
      <c r="AF242" s="22" t="str">
        <f t="shared" si="60"/>
        <v>NO</v>
      </c>
      <c r="AG242" s="22" t="str">
        <f t="shared" si="60"/>
        <v>NO</v>
      </c>
      <c r="AH242" s="22" t="str">
        <f t="shared" si="60"/>
        <v>NO</v>
      </c>
      <c r="AI242" s="22" t="str">
        <f t="shared" si="60"/>
        <v>NO</v>
      </c>
      <c r="AJ242" s="22" t="str">
        <f t="shared" si="60"/>
        <v>NO</v>
      </c>
      <c r="AK242" s="22" t="str">
        <f t="shared" si="60"/>
        <v>NO</v>
      </c>
      <c r="AL242" s="22" t="str">
        <f t="shared" si="60"/>
        <v>NO</v>
      </c>
      <c r="AM242" s="22" t="str">
        <f t="shared" si="60"/>
        <v>NO</v>
      </c>
      <c r="AN242" s="22" t="str">
        <f t="shared" si="60"/>
        <v>NO</v>
      </c>
      <c r="AO242" s="22" t="str">
        <f t="shared" si="60"/>
        <v>NO</v>
      </c>
      <c r="AP242" s="22" t="str">
        <f t="shared" si="60"/>
        <v>NO</v>
      </c>
      <c r="AQ242" s="22" t="str">
        <f t="shared" si="60"/>
        <v>NO</v>
      </c>
      <c r="AR242" s="22" t="str">
        <f t="shared" si="60"/>
        <v>NO</v>
      </c>
      <c r="AS242" s="22" t="str">
        <f t="shared" si="60"/>
        <v>NO</v>
      </c>
      <c r="AT242" s="22" t="str">
        <f t="shared" si="60"/>
        <v>NO</v>
      </c>
      <c r="AU242" s="22" t="str">
        <f t="shared" si="60"/>
        <v>NO</v>
      </c>
      <c r="AV242" s="22" t="str">
        <f t="shared" si="60"/>
        <v>NO</v>
      </c>
      <c r="AW242" s="22" t="str">
        <f t="shared" si="60"/>
        <v>NO</v>
      </c>
      <c r="AY242" s="79"/>
    </row>
    <row r="243" spans="1:51" x14ac:dyDescent="0.3">
      <c r="A243" s="95" t="str">
        <f t="shared" si="45"/>
        <v>FA FSOM</v>
      </c>
      <c r="B243" s="95" t="s">
        <v>962</v>
      </c>
      <c r="C243" s="95" t="s">
        <v>60</v>
      </c>
      <c r="D243" t="s">
        <v>369</v>
      </c>
      <c r="E243" t="s">
        <v>55</v>
      </c>
      <c r="F243" t="s">
        <v>60</v>
      </c>
      <c r="G243" t="s">
        <v>1268</v>
      </c>
      <c r="H243" t="s">
        <v>1269</v>
      </c>
      <c r="J243" t="s">
        <v>287</v>
      </c>
      <c r="K243" s="22" t="str">
        <f t="shared" si="55"/>
        <v>NO</v>
      </c>
      <c r="L243" s="22" t="str">
        <f t="shared" si="60"/>
        <v>NO</v>
      </c>
      <c r="M243" s="22" t="str">
        <f t="shared" si="60"/>
        <v>NO</v>
      </c>
      <c r="N243" s="22" t="str">
        <f t="shared" si="60"/>
        <v>NO</v>
      </c>
      <c r="O243" s="22" t="str">
        <f t="shared" si="60"/>
        <v>NO</v>
      </c>
      <c r="P243" s="22" t="str">
        <f t="shared" si="60"/>
        <v>NO</v>
      </c>
      <c r="Q243" s="22" t="str">
        <f t="shared" si="60"/>
        <v>NO</v>
      </c>
      <c r="R243" s="22" t="str">
        <f t="shared" si="60"/>
        <v>NO</v>
      </c>
      <c r="S243" s="22" t="str">
        <f t="shared" si="60"/>
        <v>NO</v>
      </c>
      <c r="T243" s="22" t="str">
        <f t="shared" si="60"/>
        <v>NO</v>
      </c>
      <c r="U243" s="22" t="str">
        <f t="shared" si="60"/>
        <v>NO</v>
      </c>
      <c r="V243" s="22" t="str">
        <f t="shared" si="60"/>
        <v>NO</v>
      </c>
      <c r="W243" s="22" t="str">
        <f t="shared" si="60"/>
        <v>NO</v>
      </c>
      <c r="X243" s="22" t="str">
        <f t="shared" si="60"/>
        <v>NO</v>
      </c>
      <c r="Y243" s="22" t="str">
        <f t="shared" si="60"/>
        <v>NO</v>
      </c>
      <c r="Z243" s="22" t="str">
        <f t="shared" si="60"/>
        <v>NO</v>
      </c>
      <c r="AA243" s="22" t="str">
        <f t="shared" si="60"/>
        <v>NO</v>
      </c>
      <c r="AB243" s="22" t="str">
        <f t="shared" si="60"/>
        <v>NO</v>
      </c>
      <c r="AC243" s="22" t="str">
        <f t="shared" si="60"/>
        <v>NO</v>
      </c>
      <c r="AD243" s="22" t="str">
        <f t="shared" si="60"/>
        <v>NO</v>
      </c>
      <c r="AE243" s="22" t="str">
        <f t="shared" si="60"/>
        <v>NO</v>
      </c>
      <c r="AF243" s="22" t="str">
        <f t="shared" si="60"/>
        <v>NO</v>
      </c>
      <c r="AG243" s="22" t="str">
        <f t="shared" si="60"/>
        <v>NO</v>
      </c>
      <c r="AH243" s="22" t="str">
        <f t="shared" si="60"/>
        <v>NO</v>
      </c>
      <c r="AI243" s="22" t="str">
        <f t="shared" si="60"/>
        <v>NO</v>
      </c>
      <c r="AJ243" s="22" t="str">
        <f t="shared" si="60"/>
        <v>NO</v>
      </c>
      <c r="AK243" s="22" t="str">
        <f t="shared" si="60"/>
        <v>NO</v>
      </c>
      <c r="AL243" s="22" t="str">
        <f t="shared" si="60"/>
        <v>NO</v>
      </c>
      <c r="AM243" s="22" t="str">
        <f t="shared" si="60"/>
        <v>NO</v>
      </c>
      <c r="AN243" s="22" t="str">
        <f t="shared" si="60"/>
        <v>NO</v>
      </c>
      <c r="AO243" s="22" t="str">
        <f t="shared" si="60"/>
        <v>NO</v>
      </c>
      <c r="AP243" s="22" t="str">
        <f t="shared" si="60"/>
        <v>NO</v>
      </c>
      <c r="AQ243" s="22" t="str">
        <f t="shared" si="60"/>
        <v>NO</v>
      </c>
      <c r="AR243" s="22" t="str">
        <f t="shared" si="60"/>
        <v>NO</v>
      </c>
      <c r="AS243" s="22" t="str">
        <f t="shared" si="60"/>
        <v>NO</v>
      </c>
      <c r="AT243" s="22" t="str">
        <f t="shared" si="60"/>
        <v>NO</v>
      </c>
      <c r="AU243" s="22" t="str">
        <f t="shared" si="60"/>
        <v>NO</v>
      </c>
      <c r="AV243" s="22" t="str">
        <f t="shared" si="60"/>
        <v>NO</v>
      </c>
      <c r="AW243" s="22" t="str">
        <f t="shared" si="60"/>
        <v>NO</v>
      </c>
      <c r="AY243" s="79"/>
    </row>
    <row r="244" spans="1:51" x14ac:dyDescent="0.3">
      <c r="A244" s="95" t="str">
        <f t="shared" si="45"/>
        <v>FA FSOM</v>
      </c>
      <c r="B244" s="95" t="s">
        <v>962</v>
      </c>
      <c r="C244" s="95" t="s">
        <v>60</v>
      </c>
      <c r="D244" t="s">
        <v>369</v>
      </c>
      <c r="E244" t="s">
        <v>55</v>
      </c>
      <c r="F244" t="s">
        <v>60</v>
      </c>
      <c r="G244" t="s">
        <v>1270</v>
      </c>
      <c r="H244" t="s">
        <v>1271</v>
      </c>
      <c r="J244" t="s">
        <v>287</v>
      </c>
      <c r="K244" s="22">
        <f t="shared" si="55"/>
        <v>3.4398813895090996E-3</v>
      </c>
      <c r="L244" s="22">
        <f t="shared" si="60"/>
        <v>3.4358310252377683E-3</v>
      </c>
      <c r="M244" s="22">
        <f t="shared" si="60"/>
        <v>3.4317806609664363E-3</v>
      </c>
      <c r="N244" s="22">
        <f t="shared" si="60"/>
        <v>3.4277302966951037E-3</v>
      </c>
      <c r="O244" s="22">
        <f t="shared" si="60"/>
        <v>3.4236799324237725E-3</v>
      </c>
      <c r="P244" s="22">
        <f t="shared" si="60"/>
        <v>3.4196295681524396E-3</v>
      </c>
      <c r="Q244" s="22">
        <f t="shared" si="60"/>
        <v>3.4155792038811079E-3</v>
      </c>
      <c r="R244" s="22">
        <f t="shared" si="60"/>
        <v>3.4115288396097763E-3</v>
      </c>
      <c r="S244" s="22">
        <f t="shared" si="60"/>
        <v>3.4074784753384451E-3</v>
      </c>
      <c r="T244" s="22">
        <f t="shared" si="60"/>
        <v>3.4034281110671134E-3</v>
      </c>
      <c r="U244" s="22">
        <f t="shared" si="60"/>
        <v>3.39937774679578E-3</v>
      </c>
      <c r="V244" s="22">
        <f t="shared" si="60"/>
        <v>3.3953273825244488E-3</v>
      </c>
      <c r="W244" s="22">
        <f t="shared" si="60"/>
        <v>3.3912770182531172E-3</v>
      </c>
      <c r="X244" s="22">
        <f t="shared" si="60"/>
        <v>3.387226653981786E-3</v>
      </c>
      <c r="Y244" s="22">
        <f t="shared" si="60"/>
        <v>3.3831762897104547E-3</v>
      </c>
      <c r="Z244" s="22">
        <f t="shared" si="60"/>
        <v>3.3791259254391218E-3</v>
      </c>
      <c r="AA244" s="22">
        <f t="shared" si="60"/>
        <v>3.375075561167791E-3</v>
      </c>
      <c r="AB244" s="22">
        <f t="shared" si="60"/>
        <v>3.3710251968964585E-3</v>
      </c>
      <c r="AC244" s="22">
        <f t="shared" si="60"/>
        <v>3.3669748326251273E-3</v>
      </c>
      <c r="AD244" s="22">
        <f t="shared" si="60"/>
        <v>3.3629244683537943E-3</v>
      </c>
      <c r="AE244" s="22">
        <f t="shared" si="60"/>
        <v>3.358874104082464E-3</v>
      </c>
      <c r="AF244" s="22">
        <f t="shared" si="60"/>
        <v>3.3548237398111319E-3</v>
      </c>
      <c r="AG244" s="22">
        <f t="shared" si="60"/>
        <v>3.3507733755397998E-3</v>
      </c>
      <c r="AH244" s="22">
        <f t="shared" si="60"/>
        <v>3.3467230112684673E-3</v>
      </c>
      <c r="AI244" s="22">
        <f t="shared" si="60"/>
        <v>3.3426726469971361E-3</v>
      </c>
      <c r="AJ244" s="22">
        <f t="shared" si="60"/>
        <v>3.3386222827258044E-3</v>
      </c>
      <c r="AK244" s="22">
        <f t="shared" si="60"/>
        <v>3.3345719184544728E-3</v>
      </c>
      <c r="AL244" s="22">
        <f t="shared" si="60"/>
        <v>3.3305215541831416E-3</v>
      </c>
      <c r="AM244" s="22">
        <f t="shared" si="60"/>
        <v>3.3264711899118095E-3</v>
      </c>
      <c r="AN244" s="22">
        <f t="shared" si="60"/>
        <v>3.3224208256404765E-3</v>
      </c>
      <c r="AO244" s="22">
        <f t="shared" si="60"/>
        <v>3.3183704613691458E-3</v>
      </c>
      <c r="AP244" s="22">
        <f t="shared" si="60"/>
        <v>3.3143200970978137E-3</v>
      </c>
      <c r="AQ244" s="22">
        <f t="shared" si="60"/>
        <v>3.3102697328264833E-3</v>
      </c>
      <c r="AR244" s="22">
        <f t="shared" si="60"/>
        <v>3.3062193685551499E-3</v>
      </c>
      <c r="AS244" s="22">
        <f t="shared" si="60"/>
        <v>3.3021690042838187E-3</v>
      </c>
      <c r="AT244" s="22">
        <f t="shared" si="60"/>
        <v>3.2981186400124866E-3</v>
      </c>
      <c r="AU244" s="22">
        <f t="shared" si="60"/>
        <v>3.2940682757411541E-3</v>
      </c>
      <c r="AV244" s="22">
        <f t="shared" si="60"/>
        <v>3.2900179114698229E-3</v>
      </c>
      <c r="AW244" s="22">
        <f t="shared" si="60"/>
        <v>3.2859675471984908E-3</v>
      </c>
      <c r="AY244" s="79"/>
    </row>
    <row r="245" spans="1:51" x14ac:dyDescent="0.3">
      <c r="A245" s="95" t="str">
        <f t="shared" si="45"/>
        <v>FA FSOM</v>
      </c>
      <c r="B245" s="95" t="s">
        <v>962</v>
      </c>
      <c r="C245" s="95" t="s">
        <v>60</v>
      </c>
      <c r="D245" t="s">
        <v>369</v>
      </c>
      <c r="E245" t="s">
        <v>55</v>
      </c>
      <c r="F245" t="s">
        <v>60</v>
      </c>
      <c r="G245" t="s">
        <v>1272</v>
      </c>
      <c r="H245" t="s">
        <v>1273</v>
      </c>
      <c r="J245" t="s">
        <v>287</v>
      </c>
      <c r="K245" s="22">
        <f t="shared" si="55"/>
        <v>0.49020960547040615</v>
      </c>
      <c r="L245" s="22">
        <f t="shared" si="60"/>
        <v>0.49134551154341793</v>
      </c>
      <c r="M245" s="22">
        <f t="shared" si="60"/>
        <v>0.49248141761642988</v>
      </c>
      <c r="N245" s="22">
        <f t="shared" si="60"/>
        <v>0.49361732368944172</v>
      </c>
      <c r="O245" s="22">
        <f t="shared" si="60"/>
        <v>0.49475322976245356</v>
      </c>
      <c r="P245" s="22">
        <f t="shared" si="60"/>
        <v>0.49588913583546534</v>
      </c>
      <c r="Q245" s="22">
        <f t="shared" si="60"/>
        <v>0.49702504190847724</v>
      </c>
      <c r="R245" s="22">
        <f t="shared" si="60"/>
        <v>0.49816094798148913</v>
      </c>
      <c r="S245" s="22">
        <f t="shared" si="60"/>
        <v>0.49929685405450086</v>
      </c>
      <c r="T245" s="22">
        <f t="shared" si="60"/>
        <v>0.50043276012751292</v>
      </c>
      <c r="U245" s="22">
        <f t="shared" si="60"/>
        <v>0.50156866620052454</v>
      </c>
      <c r="V245" s="22">
        <f t="shared" si="60"/>
        <v>0.50270457227353649</v>
      </c>
      <c r="W245" s="22">
        <f t="shared" si="60"/>
        <v>0.50384047834654833</v>
      </c>
      <c r="X245" s="22">
        <f t="shared" si="60"/>
        <v>0.50497638441956039</v>
      </c>
      <c r="Y245" s="22">
        <f t="shared" si="60"/>
        <v>0.506112290492572</v>
      </c>
      <c r="Z245" s="22">
        <f t="shared" si="60"/>
        <v>0.50724819656558406</v>
      </c>
      <c r="AA245" s="22">
        <f t="shared" si="60"/>
        <v>0.50838410263859568</v>
      </c>
      <c r="AB245" s="22">
        <f t="shared" si="60"/>
        <v>0.50952000871160763</v>
      </c>
      <c r="AC245" s="22">
        <f t="shared" si="60"/>
        <v>0.51065591478461958</v>
      </c>
      <c r="AD245" s="22">
        <f t="shared" si="60"/>
        <v>0.51179182085763142</v>
      </c>
      <c r="AE245" s="22">
        <f t="shared" si="60"/>
        <v>0.51292772693064326</v>
      </c>
      <c r="AF245" s="22">
        <f t="shared" si="60"/>
        <v>0.5140636330036551</v>
      </c>
      <c r="AG245" s="22">
        <f t="shared" si="60"/>
        <v>0.51519953907666705</v>
      </c>
      <c r="AH245" s="22">
        <f t="shared" si="60"/>
        <v>0.51633544514967877</v>
      </c>
      <c r="AI245" s="22">
        <f t="shared" si="60"/>
        <v>0.51747135122269072</v>
      </c>
      <c r="AJ245" s="22">
        <f t="shared" si="60"/>
        <v>0.51860725729570256</v>
      </c>
      <c r="AK245" s="22">
        <f t="shared" si="60"/>
        <v>0.5197431633687144</v>
      </c>
      <c r="AL245" s="22">
        <f t="shared" si="60"/>
        <v>0.52087906944172624</v>
      </c>
      <c r="AM245" s="22">
        <f t="shared" si="60"/>
        <v>0.52201497551473808</v>
      </c>
      <c r="AN245" s="22">
        <f t="shared" si="60"/>
        <v>0.52315088158774992</v>
      </c>
      <c r="AO245" s="22">
        <f t="shared" si="60"/>
        <v>0.52428678766076187</v>
      </c>
      <c r="AP245" s="22">
        <f t="shared" si="60"/>
        <v>0.52542269373377359</v>
      </c>
      <c r="AQ245" s="22">
        <f t="shared" si="60"/>
        <v>0.52655859980678543</v>
      </c>
      <c r="AR245" s="22">
        <f t="shared" si="60"/>
        <v>0.52769450587979749</v>
      </c>
      <c r="AS245" s="22">
        <f t="shared" si="60"/>
        <v>0.52883041195280922</v>
      </c>
      <c r="AT245" s="22">
        <f t="shared" si="60"/>
        <v>0.52996631802582106</v>
      </c>
      <c r="AU245" s="22">
        <f t="shared" si="60"/>
        <v>0.53110222409883301</v>
      </c>
      <c r="AV245" s="22">
        <f t="shared" si="60"/>
        <v>0.53223813017184474</v>
      </c>
      <c r="AW245" s="22">
        <f t="shared" si="60"/>
        <v>0.5333740362448568</v>
      </c>
      <c r="AY245" s="79"/>
    </row>
    <row r="246" spans="1:51" x14ac:dyDescent="0.3">
      <c r="A246" s="95" t="str">
        <f t="shared" si="45"/>
        <v>FA FSOM</v>
      </c>
      <c r="B246" s="95" t="s">
        <v>962</v>
      </c>
      <c r="C246" s="95" t="s">
        <v>60</v>
      </c>
      <c r="D246" t="s">
        <v>369</v>
      </c>
      <c r="E246" t="s">
        <v>55</v>
      </c>
      <c r="F246" t="s">
        <v>60</v>
      </c>
      <c r="G246" t="s">
        <v>1274</v>
      </c>
      <c r="H246" t="s">
        <v>1275</v>
      </c>
      <c r="J246" t="s">
        <v>287</v>
      </c>
      <c r="K246" s="22">
        <f t="shared" si="55"/>
        <v>0.57597220909378744</v>
      </c>
      <c r="L246" s="22">
        <f t="shared" si="60"/>
        <v>0.57597220909378744</v>
      </c>
      <c r="M246" s="22">
        <f t="shared" si="60"/>
        <v>0.57597220909378744</v>
      </c>
      <c r="N246" s="22">
        <f t="shared" si="60"/>
        <v>0.57597220909378744</v>
      </c>
      <c r="O246" s="22">
        <f t="shared" si="60"/>
        <v>0.57597220909378744</v>
      </c>
      <c r="P246" s="22">
        <f t="shared" si="60"/>
        <v>0.57597220909378744</v>
      </c>
      <c r="Q246" s="22">
        <f t="shared" si="60"/>
        <v>0.57597220909378744</v>
      </c>
      <c r="R246" s="22">
        <f t="shared" si="60"/>
        <v>0.57597220909378744</v>
      </c>
      <c r="S246" s="22">
        <f t="shared" si="60"/>
        <v>0.57597220909378744</v>
      </c>
      <c r="T246" s="22">
        <f t="shared" si="60"/>
        <v>0.57597220909378744</v>
      </c>
      <c r="U246" s="22">
        <f t="shared" si="60"/>
        <v>0.57597220909378744</v>
      </c>
      <c r="V246" s="22">
        <f t="shared" si="60"/>
        <v>0.57597220909378744</v>
      </c>
      <c r="W246" s="22">
        <f t="shared" si="60"/>
        <v>0.57597220909378744</v>
      </c>
      <c r="X246" s="22">
        <f t="shared" si="60"/>
        <v>0.57597220909378744</v>
      </c>
      <c r="Y246" s="22">
        <f t="shared" si="60"/>
        <v>0.57597220909378744</v>
      </c>
      <c r="Z246" s="22">
        <f t="shared" si="60"/>
        <v>0.57597220909378744</v>
      </c>
      <c r="AA246" s="22">
        <f t="shared" si="60"/>
        <v>0.57597220909378744</v>
      </c>
      <c r="AB246" s="22">
        <f t="shared" si="60"/>
        <v>0.57597220909378744</v>
      </c>
      <c r="AC246" s="22">
        <f t="shared" si="60"/>
        <v>0.57597220909378744</v>
      </c>
      <c r="AD246" s="22">
        <f t="shared" si="60"/>
        <v>0.57597220909378744</v>
      </c>
      <c r="AE246" s="22">
        <f t="shared" si="60"/>
        <v>0.57597220909378744</v>
      </c>
      <c r="AF246" s="22">
        <f t="shared" si="60"/>
        <v>0.57597220909378744</v>
      </c>
      <c r="AG246" s="22">
        <f t="shared" si="60"/>
        <v>0.57597220909378744</v>
      </c>
      <c r="AH246" s="22">
        <f t="shared" si="60"/>
        <v>0.57597220909378744</v>
      </c>
      <c r="AI246" s="22">
        <f t="shared" si="60"/>
        <v>0.57597220909378744</v>
      </c>
      <c r="AJ246" s="22">
        <f t="shared" si="60"/>
        <v>0.57597220909378744</v>
      </c>
      <c r="AK246" s="22">
        <f t="shared" si="60"/>
        <v>0.57597220909378744</v>
      </c>
      <c r="AL246" s="22">
        <f t="shared" si="60"/>
        <v>0.57597220909378744</v>
      </c>
      <c r="AM246" s="22">
        <f t="shared" si="60"/>
        <v>0.57597220909378744</v>
      </c>
      <c r="AN246" s="22">
        <f t="shared" si="60"/>
        <v>0.57597220909378744</v>
      </c>
      <c r="AO246" s="22">
        <f t="shared" si="60"/>
        <v>0.57597220909378744</v>
      </c>
      <c r="AP246" s="22">
        <f t="shared" si="60"/>
        <v>0.57597220909378744</v>
      </c>
      <c r="AQ246" s="22">
        <f t="shared" si="60"/>
        <v>0.57597220909378744</v>
      </c>
      <c r="AR246" s="22">
        <f t="shared" si="60"/>
        <v>0.57597220909378744</v>
      </c>
      <c r="AS246" s="22">
        <f t="shared" si="60"/>
        <v>0.57597220909378744</v>
      </c>
      <c r="AT246" s="22">
        <f t="shared" si="60"/>
        <v>0.57597220909378744</v>
      </c>
      <c r="AU246" s="22">
        <f t="shared" si="60"/>
        <v>0.57597220909378744</v>
      </c>
      <c r="AV246" s="22">
        <f t="shared" si="60"/>
        <v>0.57597220909378744</v>
      </c>
      <c r="AW246" s="22">
        <f t="shared" si="60"/>
        <v>0.57597220909378744</v>
      </c>
      <c r="AY246" s="79"/>
    </row>
    <row r="247" spans="1:51" x14ac:dyDescent="0.3">
      <c r="A247" s="95" t="str">
        <f t="shared" si="45"/>
        <v>FA FSOM</v>
      </c>
      <c r="B247" s="95" t="s">
        <v>962</v>
      </c>
      <c r="C247" s="95" t="s">
        <v>60</v>
      </c>
      <c r="D247" t="s">
        <v>369</v>
      </c>
      <c r="E247" t="s">
        <v>55</v>
      </c>
      <c r="F247" t="s">
        <v>60</v>
      </c>
      <c r="G247" t="s">
        <v>1276</v>
      </c>
      <c r="H247" t="s">
        <v>1277</v>
      </c>
      <c r="J247" t="s">
        <v>287</v>
      </c>
      <c r="K247" s="22" t="str">
        <f t="shared" si="55"/>
        <v>NO</v>
      </c>
      <c r="L247" s="22" t="str">
        <f t="shared" si="60"/>
        <v>NO</v>
      </c>
      <c r="M247" s="22" t="str">
        <f t="shared" si="60"/>
        <v>NO</v>
      </c>
      <c r="N247" s="22" t="str">
        <f t="shared" si="60"/>
        <v>NO</v>
      </c>
      <c r="O247" s="22" t="str">
        <f t="shared" si="60"/>
        <v>NO</v>
      </c>
      <c r="P247" s="22" t="str">
        <f t="shared" si="60"/>
        <v>NO</v>
      </c>
      <c r="Q247" s="22" t="str">
        <f t="shared" si="60"/>
        <v>NO</v>
      </c>
      <c r="R247" s="22" t="str">
        <f t="shared" si="60"/>
        <v>NO</v>
      </c>
      <c r="S247" s="22" t="str">
        <f t="shared" si="60"/>
        <v>NO</v>
      </c>
      <c r="T247" s="22" t="str">
        <f t="shared" si="60"/>
        <v>NO</v>
      </c>
      <c r="U247" s="22" t="str">
        <f t="shared" si="60"/>
        <v>NO</v>
      </c>
      <c r="V247" s="22" t="str">
        <f t="shared" si="60"/>
        <v>NO</v>
      </c>
      <c r="W247" s="22" t="str">
        <f t="shared" si="60"/>
        <v>NO</v>
      </c>
      <c r="X247" s="22" t="str">
        <f t="shared" si="60"/>
        <v>NO</v>
      </c>
      <c r="Y247" s="22" t="str">
        <f t="shared" si="60"/>
        <v>NO</v>
      </c>
      <c r="Z247" s="22" t="str">
        <f t="shared" si="60"/>
        <v>NO</v>
      </c>
      <c r="AA247" s="22" t="str">
        <f t="shared" si="60"/>
        <v>NO</v>
      </c>
      <c r="AB247" s="22" t="str">
        <f t="shared" si="60"/>
        <v>NO</v>
      </c>
      <c r="AC247" s="22" t="str">
        <f t="shared" si="60"/>
        <v>NO</v>
      </c>
      <c r="AD247" s="22" t="str">
        <f t="shared" si="60"/>
        <v>NO</v>
      </c>
      <c r="AE247" s="22" t="str">
        <f t="shared" si="60"/>
        <v>NO</v>
      </c>
      <c r="AF247" s="22" t="str">
        <f t="shared" si="60"/>
        <v>NO</v>
      </c>
      <c r="AG247" s="22" t="str">
        <f t="shared" si="60"/>
        <v>NO</v>
      </c>
      <c r="AH247" s="22" t="str">
        <f t="shared" si="60"/>
        <v>NO</v>
      </c>
      <c r="AI247" s="22" t="str">
        <f t="shared" si="60"/>
        <v>NO</v>
      </c>
      <c r="AJ247" s="22" t="str">
        <f t="shared" si="60"/>
        <v>NO</v>
      </c>
      <c r="AK247" s="22" t="str">
        <f t="shared" ref="L247:AW254" si="61">AK1503</f>
        <v>NO</v>
      </c>
      <c r="AL247" s="22" t="str">
        <f t="shared" si="61"/>
        <v>NO</v>
      </c>
      <c r="AM247" s="22" t="str">
        <f t="shared" si="61"/>
        <v>NO</v>
      </c>
      <c r="AN247" s="22" t="str">
        <f t="shared" si="61"/>
        <v>NO</v>
      </c>
      <c r="AO247" s="22" t="str">
        <f t="shared" si="61"/>
        <v>NO</v>
      </c>
      <c r="AP247" s="22" t="str">
        <f t="shared" si="61"/>
        <v>NO</v>
      </c>
      <c r="AQ247" s="22" t="str">
        <f t="shared" si="61"/>
        <v>NO</v>
      </c>
      <c r="AR247" s="22" t="str">
        <f t="shared" si="61"/>
        <v>NO</v>
      </c>
      <c r="AS247" s="22" t="str">
        <f t="shared" si="61"/>
        <v>NO</v>
      </c>
      <c r="AT247" s="22" t="str">
        <f t="shared" si="61"/>
        <v>NO</v>
      </c>
      <c r="AU247" s="22" t="str">
        <f t="shared" si="61"/>
        <v>NO</v>
      </c>
      <c r="AV247" s="22" t="str">
        <f t="shared" si="61"/>
        <v>NO</v>
      </c>
      <c r="AW247" s="22" t="str">
        <f t="shared" si="61"/>
        <v>NO</v>
      </c>
      <c r="AY247" s="79"/>
    </row>
    <row r="248" spans="1:51" x14ac:dyDescent="0.3">
      <c r="A248" s="95" t="str">
        <f t="shared" si="45"/>
        <v>FA FSOM</v>
      </c>
      <c r="B248" s="95" t="s">
        <v>962</v>
      </c>
      <c r="C248" s="95" t="s">
        <v>60</v>
      </c>
      <c r="D248" t="s">
        <v>369</v>
      </c>
      <c r="E248" t="s">
        <v>55</v>
      </c>
      <c r="F248" t="s">
        <v>60</v>
      </c>
      <c r="G248" t="s">
        <v>1278</v>
      </c>
      <c r="H248" t="s">
        <v>1279</v>
      </c>
      <c r="J248" t="s">
        <v>287</v>
      </c>
      <c r="K248" s="22" t="str">
        <f t="shared" si="55"/>
        <v>NO</v>
      </c>
      <c r="L248" s="22" t="str">
        <f t="shared" si="61"/>
        <v>NO</v>
      </c>
      <c r="M248" s="22" t="str">
        <f t="shared" si="61"/>
        <v>NO</v>
      </c>
      <c r="N248" s="22" t="str">
        <f t="shared" si="61"/>
        <v>NO</v>
      </c>
      <c r="O248" s="22" t="str">
        <f t="shared" si="61"/>
        <v>NO</v>
      </c>
      <c r="P248" s="22" t="str">
        <f t="shared" si="61"/>
        <v>NO</v>
      </c>
      <c r="Q248" s="22" t="str">
        <f t="shared" si="61"/>
        <v>NO</v>
      </c>
      <c r="R248" s="22" t="str">
        <f t="shared" si="61"/>
        <v>NO</v>
      </c>
      <c r="S248" s="22" t="str">
        <f t="shared" si="61"/>
        <v>NO</v>
      </c>
      <c r="T248" s="22" t="str">
        <f t="shared" si="61"/>
        <v>NO</v>
      </c>
      <c r="U248" s="22" t="str">
        <f t="shared" si="61"/>
        <v>NO</v>
      </c>
      <c r="V248" s="22" t="str">
        <f t="shared" si="61"/>
        <v>NO</v>
      </c>
      <c r="W248" s="22" t="str">
        <f t="shared" si="61"/>
        <v>NO</v>
      </c>
      <c r="X248" s="22" t="str">
        <f t="shared" si="61"/>
        <v>NO</v>
      </c>
      <c r="Y248" s="22" t="str">
        <f t="shared" si="61"/>
        <v>NO</v>
      </c>
      <c r="Z248" s="22" t="str">
        <f t="shared" si="61"/>
        <v>NO</v>
      </c>
      <c r="AA248" s="22" t="str">
        <f t="shared" si="61"/>
        <v>NO</v>
      </c>
      <c r="AB248" s="22" t="str">
        <f t="shared" si="61"/>
        <v>NO</v>
      </c>
      <c r="AC248" s="22" t="str">
        <f t="shared" si="61"/>
        <v>NO</v>
      </c>
      <c r="AD248" s="22" t="str">
        <f t="shared" si="61"/>
        <v>NO</v>
      </c>
      <c r="AE248" s="22" t="str">
        <f t="shared" si="61"/>
        <v>NO</v>
      </c>
      <c r="AF248" s="22" t="str">
        <f t="shared" si="61"/>
        <v>NO</v>
      </c>
      <c r="AG248" s="22" t="str">
        <f t="shared" si="61"/>
        <v>NO</v>
      </c>
      <c r="AH248" s="22" t="str">
        <f t="shared" si="61"/>
        <v>NO</v>
      </c>
      <c r="AI248" s="22" t="str">
        <f t="shared" si="61"/>
        <v>NO</v>
      </c>
      <c r="AJ248" s="22" t="str">
        <f t="shared" si="61"/>
        <v>NO</v>
      </c>
      <c r="AK248" s="22" t="str">
        <f t="shared" si="61"/>
        <v>NO</v>
      </c>
      <c r="AL248" s="22" t="str">
        <f t="shared" si="61"/>
        <v>NO</v>
      </c>
      <c r="AM248" s="22" t="str">
        <f t="shared" si="61"/>
        <v>NO</v>
      </c>
      <c r="AN248" s="22" t="str">
        <f t="shared" si="61"/>
        <v>NO</v>
      </c>
      <c r="AO248" s="22" t="str">
        <f t="shared" si="61"/>
        <v>NO</v>
      </c>
      <c r="AP248" s="22" t="str">
        <f t="shared" si="61"/>
        <v>NO</v>
      </c>
      <c r="AQ248" s="22" t="str">
        <f t="shared" si="61"/>
        <v>NO</v>
      </c>
      <c r="AR248" s="22" t="str">
        <f t="shared" si="61"/>
        <v>NO</v>
      </c>
      <c r="AS248" s="22" t="str">
        <f t="shared" si="61"/>
        <v>NO</v>
      </c>
      <c r="AT248" s="22" t="str">
        <f t="shared" si="61"/>
        <v>NO</v>
      </c>
      <c r="AU248" s="22" t="str">
        <f t="shared" si="61"/>
        <v>NO</v>
      </c>
      <c r="AV248" s="22" t="str">
        <f t="shared" si="61"/>
        <v>NO</v>
      </c>
      <c r="AW248" s="22" t="str">
        <f t="shared" si="61"/>
        <v>NO</v>
      </c>
      <c r="AY248" s="79"/>
    </row>
    <row r="249" spans="1:51" x14ac:dyDescent="0.3">
      <c r="A249" s="95" t="str">
        <f t="shared" si="45"/>
        <v>FA FSOM</v>
      </c>
      <c r="B249" s="95" t="s">
        <v>962</v>
      </c>
      <c r="C249" s="95" t="s">
        <v>60</v>
      </c>
      <c r="D249" t="s">
        <v>369</v>
      </c>
      <c r="E249" t="s">
        <v>55</v>
      </c>
      <c r="F249" t="s">
        <v>60</v>
      </c>
      <c r="G249" t="s">
        <v>1280</v>
      </c>
      <c r="H249" t="s">
        <v>1281</v>
      </c>
      <c r="J249" t="s">
        <v>287</v>
      </c>
      <c r="K249" s="22" t="str">
        <f t="shared" si="55"/>
        <v>NO</v>
      </c>
      <c r="L249" s="22" t="str">
        <f t="shared" si="61"/>
        <v>NO</v>
      </c>
      <c r="M249" s="22" t="str">
        <f t="shared" si="61"/>
        <v>NO</v>
      </c>
      <c r="N249" s="22" t="str">
        <f t="shared" si="61"/>
        <v>NO</v>
      </c>
      <c r="O249" s="22" t="str">
        <f t="shared" si="61"/>
        <v>NO</v>
      </c>
      <c r="P249" s="22" t="str">
        <f t="shared" si="61"/>
        <v>NO</v>
      </c>
      <c r="Q249" s="22" t="str">
        <f t="shared" si="61"/>
        <v>NO</v>
      </c>
      <c r="R249" s="22" t="str">
        <f t="shared" si="61"/>
        <v>NO</v>
      </c>
      <c r="S249" s="22" t="str">
        <f t="shared" si="61"/>
        <v>NO</v>
      </c>
      <c r="T249" s="22" t="str">
        <f t="shared" si="61"/>
        <v>NO</v>
      </c>
      <c r="U249" s="22" t="str">
        <f t="shared" si="61"/>
        <v>NO</v>
      </c>
      <c r="V249" s="22" t="str">
        <f t="shared" si="61"/>
        <v>NO</v>
      </c>
      <c r="W249" s="22" t="str">
        <f t="shared" si="61"/>
        <v>NO</v>
      </c>
      <c r="X249" s="22" t="str">
        <f t="shared" si="61"/>
        <v>NO</v>
      </c>
      <c r="Y249" s="22" t="str">
        <f t="shared" si="61"/>
        <v>NO</v>
      </c>
      <c r="Z249" s="22" t="str">
        <f t="shared" si="61"/>
        <v>NO</v>
      </c>
      <c r="AA249" s="22" t="str">
        <f t="shared" si="61"/>
        <v>NO</v>
      </c>
      <c r="AB249" s="22" t="str">
        <f t="shared" si="61"/>
        <v>NO</v>
      </c>
      <c r="AC249" s="22" t="str">
        <f t="shared" si="61"/>
        <v>NO</v>
      </c>
      <c r="AD249" s="22" t="str">
        <f t="shared" si="61"/>
        <v>NO</v>
      </c>
      <c r="AE249" s="22" t="str">
        <f t="shared" si="61"/>
        <v>NO</v>
      </c>
      <c r="AF249" s="22" t="str">
        <f t="shared" si="61"/>
        <v>NO</v>
      </c>
      <c r="AG249" s="22" t="str">
        <f t="shared" si="61"/>
        <v>NO</v>
      </c>
      <c r="AH249" s="22" t="str">
        <f t="shared" si="61"/>
        <v>NO</v>
      </c>
      <c r="AI249" s="22" t="str">
        <f t="shared" si="61"/>
        <v>NO</v>
      </c>
      <c r="AJ249" s="22" t="str">
        <f t="shared" si="61"/>
        <v>NO</v>
      </c>
      <c r="AK249" s="22" t="str">
        <f t="shared" si="61"/>
        <v>NO</v>
      </c>
      <c r="AL249" s="22" t="str">
        <f t="shared" si="61"/>
        <v>NO</v>
      </c>
      <c r="AM249" s="22" t="str">
        <f t="shared" si="61"/>
        <v>NO</v>
      </c>
      <c r="AN249" s="22" t="str">
        <f t="shared" si="61"/>
        <v>NO</v>
      </c>
      <c r="AO249" s="22" t="str">
        <f t="shared" si="61"/>
        <v>NO</v>
      </c>
      <c r="AP249" s="22" t="str">
        <f t="shared" si="61"/>
        <v>NO</v>
      </c>
      <c r="AQ249" s="22" t="str">
        <f t="shared" si="61"/>
        <v>NO</v>
      </c>
      <c r="AR249" s="22" t="str">
        <f t="shared" si="61"/>
        <v>NO</v>
      </c>
      <c r="AS249" s="22" t="str">
        <f t="shared" si="61"/>
        <v>NO</v>
      </c>
      <c r="AT249" s="22" t="str">
        <f t="shared" si="61"/>
        <v>NO</v>
      </c>
      <c r="AU249" s="22" t="str">
        <f t="shared" si="61"/>
        <v>NO</v>
      </c>
      <c r="AV249" s="22" t="str">
        <f t="shared" si="61"/>
        <v>NO</v>
      </c>
      <c r="AW249" s="22" t="str">
        <f t="shared" si="61"/>
        <v>NO</v>
      </c>
      <c r="AY249" s="79"/>
    </row>
    <row r="250" spans="1:51" x14ac:dyDescent="0.3">
      <c r="A250" s="95" t="str">
        <f t="shared" si="45"/>
        <v>FA FSOM</v>
      </c>
      <c r="B250" s="95" t="s">
        <v>962</v>
      </c>
      <c r="C250" s="95" t="s">
        <v>60</v>
      </c>
      <c r="D250" t="s">
        <v>369</v>
      </c>
      <c r="E250" t="s">
        <v>55</v>
      </c>
      <c r="F250" t="s">
        <v>60</v>
      </c>
      <c r="G250" t="s">
        <v>1282</v>
      </c>
      <c r="H250" t="s">
        <v>1283</v>
      </c>
      <c r="J250" t="s">
        <v>287</v>
      </c>
      <c r="K250" s="22">
        <f t="shared" si="55"/>
        <v>5.604018730639919E-5</v>
      </c>
      <c r="L250" s="22">
        <f t="shared" si="61"/>
        <v>5.604018730639919E-5</v>
      </c>
      <c r="M250" s="22">
        <f t="shared" si="61"/>
        <v>5.604018730639919E-5</v>
      </c>
      <c r="N250" s="22">
        <f t="shared" si="61"/>
        <v>5.604018730639919E-5</v>
      </c>
      <c r="O250" s="22">
        <f t="shared" si="61"/>
        <v>5.604018730639919E-5</v>
      </c>
      <c r="P250" s="22">
        <f t="shared" si="61"/>
        <v>5.604018730639919E-5</v>
      </c>
      <c r="Q250" s="22">
        <f t="shared" si="61"/>
        <v>5.604018730639919E-5</v>
      </c>
      <c r="R250" s="22">
        <f t="shared" si="61"/>
        <v>5.604018730639919E-5</v>
      </c>
      <c r="S250" s="22">
        <f t="shared" si="61"/>
        <v>5.604018730639919E-5</v>
      </c>
      <c r="T250" s="22">
        <f t="shared" si="61"/>
        <v>5.604018730639919E-5</v>
      </c>
      <c r="U250" s="22">
        <f t="shared" si="61"/>
        <v>5.604018730639919E-5</v>
      </c>
      <c r="V250" s="22">
        <f t="shared" si="61"/>
        <v>5.604018730639919E-5</v>
      </c>
      <c r="W250" s="22">
        <f t="shared" si="61"/>
        <v>5.604018730639919E-5</v>
      </c>
      <c r="X250" s="22">
        <f t="shared" si="61"/>
        <v>5.604018730639919E-5</v>
      </c>
      <c r="Y250" s="22">
        <f t="shared" si="61"/>
        <v>5.604018730639919E-5</v>
      </c>
      <c r="Z250" s="22">
        <f t="shared" si="61"/>
        <v>5.604018730639919E-5</v>
      </c>
      <c r="AA250" s="22">
        <f t="shared" si="61"/>
        <v>5.604018730639919E-5</v>
      </c>
      <c r="AB250" s="22">
        <f t="shared" si="61"/>
        <v>5.604018730639919E-5</v>
      </c>
      <c r="AC250" s="22">
        <f t="shared" si="61"/>
        <v>5.604018730639919E-5</v>
      </c>
      <c r="AD250" s="22">
        <f t="shared" si="61"/>
        <v>5.604018730639919E-5</v>
      </c>
      <c r="AE250" s="22">
        <f t="shared" si="61"/>
        <v>5.604018730639919E-5</v>
      </c>
      <c r="AF250" s="22">
        <f t="shared" si="61"/>
        <v>5.604018730639919E-5</v>
      </c>
      <c r="AG250" s="22">
        <f t="shared" si="61"/>
        <v>5.604018730639919E-5</v>
      </c>
      <c r="AH250" s="22">
        <f t="shared" si="61"/>
        <v>5.604018730639919E-5</v>
      </c>
      <c r="AI250" s="22">
        <f t="shared" si="61"/>
        <v>5.604018730639919E-5</v>
      </c>
      <c r="AJ250" s="22">
        <f t="shared" si="61"/>
        <v>5.604018730639919E-5</v>
      </c>
      <c r="AK250" s="22">
        <f t="shared" si="61"/>
        <v>5.604018730639919E-5</v>
      </c>
      <c r="AL250" s="22">
        <f t="shared" si="61"/>
        <v>5.604018730639919E-5</v>
      </c>
      <c r="AM250" s="22">
        <f t="shared" si="61"/>
        <v>5.604018730639919E-5</v>
      </c>
      <c r="AN250" s="22">
        <f t="shared" si="61"/>
        <v>5.604018730639919E-5</v>
      </c>
      <c r="AO250" s="22">
        <f t="shared" si="61"/>
        <v>5.604018730639919E-5</v>
      </c>
      <c r="AP250" s="22">
        <f t="shared" si="61"/>
        <v>5.604018730639919E-5</v>
      </c>
      <c r="AQ250" s="22">
        <f t="shared" si="61"/>
        <v>5.604018730639919E-5</v>
      </c>
      <c r="AR250" s="22">
        <f t="shared" si="61"/>
        <v>5.604018730639919E-5</v>
      </c>
      <c r="AS250" s="22">
        <f t="shared" si="61"/>
        <v>5.604018730639919E-5</v>
      </c>
      <c r="AT250" s="22">
        <f t="shared" si="61"/>
        <v>5.604018730639919E-5</v>
      </c>
      <c r="AU250" s="22">
        <f t="shared" si="61"/>
        <v>5.604018730639919E-5</v>
      </c>
      <c r="AV250" s="22">
        <f t="shared" si="61"/>
        <v>5.604018730639919E-5</v>
      </c>
      <c r="AW250" s="22">
        <f t="shared" si="61"/>
        <v>5.604018730639919E-5</v>
      </c>
      <c r="AY250" s="79"/>
    </row>
    <row r="251" spans="1:51" x14ac:dyDescent="0.3">
      <c r="A251" s="95" t="str">
        <f t="shared" si="45"/>
        <v>FA FSOM</v>
      </c>
      <c r="B251" s="95" t="s">
        <v>962</v>
      </c>
      <c r="C251" s="95" t="s">
        <v>60</v>
      </c>
      <c r="D251" t="s">
        <v>369</v>
      </c>
      <c r="E251" t="s">
        <v>55</v>
      </c>
      <c r="F251" t="s">
        <v>60</v>
      </c>
      <c r="G251" t="s">
        <v>1284</v>
      </c>
      <c r="H251" t="s">
        <v>1285</v>
      </c>
      <c r="J251" t="s">
        <v>287</v>
      </c>
      <c r="K251" s="22">
        <f t="shared" si="55"/>
        <v>6.110857899094551E-2</v>
      </c>
      <c r="L251" s="22">
        <f t="shared" si="61"/>
        <v>6.110857899094551E-2</v>
      </c>
      <c r="M251" s="22">
        <f t="shared" si="61"/>
        <v>6.110857899094551E-2</v>
      </c>
      <c r="N251" s="22">
        <f t="shared" si="61"/>
        <v>6.110857899094551E-2</v>
      </c>
      <c r="O251" s="22">
        <f t="shared" si="61"/>
        <v>6.110857899094551E-2</v>
      </c>
      <c r="P251" s="22">
        <f t="shared" si="61"/>
        <v>6.110857899094551E-2</v>
      </c>
      <c r="Q251" s="22">
        <f t="shared" si="61"/>
        <v>6.110857899094551E-2</v>
      </c>
      <c r="R251" s="22">
        <f t="shared" si="61"/>
        <v>6.110857899094551E-2</v>
      </c>
      <c r="S251" s="22">
        <f t="shared" si="61"/>
        <v>6.110857899094551E-2</v>
      </c>
      <c r="T251" s="22">
        <f t="shared" si="61"/>
        <v>6.110857899094551E-2</v>
      </c>
      <c r="U251" s="22">
        <f t="shared" si="61"/>
        <v>6.110857899094551E-2</v>
      </c>
      <c r="V251" s="22">
        <f t="shared" si="61"/>
        <v>6.110857899094551E-2</v>
      </c>
      <c r="W251" s="22">
        <f t="shared" si="61"/>
        <v>6.110857899094551E-2</v>
      </c>
      <c r="X251" s="22">
        <f t="shared" si="61"/>
        <v>6.110857899094551E-2</v>
      </c>
      <c r="Y251" s="22">
        <f t="shared" si="61"/>
        <v>6.110857899094551E-2</v>
      </c>
      <c r="Z251" s="22">
        <f t="shared" si="61"/>
        <v>6.110857899094551E-2</v>
      </c>
      <c r="AA251" s="22">
        <f t="shared" si="61"/>
        <v>6.110857899094551E-2</v>
      </c>
      <c r="AB251" s="22">
        <f t="shared" si="61"/>
        <v>6.110857899094551E-2</v>
      </c>
      <c r="AC251" s="22">
        <f t="shared" si="61"/>
        <v>6.110857899094551E-2</v>
      </c>
      <c r="AD251" s="22">
        <f t="shared" si="61"/>
        <v>6.110857899094551E-2</v>
      </c>
      <c r="AE251" s="22">
        <f t="shared" si="61"/>
        <v>6.110857899094551E-2</v>
      </c>
      <c r="AF251" s="22">
        <f t="shared" si="61"/>
        <v>6.110857899094551E-2</v>
      </c>
      <c r="AG251" s="22">
        <f t="shared" si="61"/>
        <v>6.110857899094551E-2</v>
      </c>
      <c r="AH251" s="22">
        <f t="shared" si="61"/>
        <v>6.110857899094551E-2</v>
      </c>
      <c r="AI251" s="22">
        <f t="shared" si="61"/>
        <v>6.110857899094551E-2</v>
      </c>
      <c r="AJ251" s="22">
        <f t="shared" si="61"/>
        <v>6.110857899094551E-2</v>
      </c>
      <c r="AK251" s="22">
        <f t="shared" si="61"/>
        <v>6.110857899094551E-2</v>
      </c>
      <c r="AL251" s="22">
        <f t="shared" si="61"/>
        <v>6.110857899094551E-2</v>
      </c>
      <c r="AM251" s="22">
        <f t="shared" si="61"/>
        <v>6.110857899094551E-2</v>
      </c>
      <c r="AN251" s="22">
        <f t="shared" si="61"/>
        <v>6.110857899094551E-2</v>
      </c>
      <c r="AO251" s="22">
        <f t="shared" si="61"/>
        <v>6.110857899094551E-2</v>
      </c>
      <c r="AP251" s="22">
        <f t="shared" si="61"/>
        <v>6.110857899094551E-2</v>
      </c>
      <c r="AQ251" s="22">
        <f t="shared" si="61"/>
        <v>6.110857899094551E-2</v>
      </c>
      <c r="AR251" s="22">
        <f t="shared" si="61"/>
        <v>6.110857899094551E-2</v>
      </c>
      <c r="AS251" s="22">
        <f t="shared" si="61"/>
        <v>6.110857899094551E-2</v>
      </c>
      <c r="AT251" s="22">
        <f t="shared" si="61"/>
        <v>6.110857899094551E-2</v>
      </c>
      <c r="AU251" s="22">
        <f t="shared" si="61"/>
        <v>6.110857899094551E-2</v>
      </c>
      <c r="AV251" s="22">
        <f t="shared" si="61"/>
        <v>6.110857899094551E-2</v>
      </c>
      <c r="AW251" s="22">
        <f t="shared" si="61"/>
        <v>6.110857899094551E-2</v>
      </c>
      <c r="AY251" s="79"/>
    </row>
    <row r="252" spans="1:51" x14ac:dyDescent="0.3">
      <c r="A252" s="95" t="str">
        <f t="shared" si="45"/>
        <v>FA FSOM</v>
      </c>
      <c r="B252" s="95" t="s">
        <v>962</v>
      </c>
      <c r="C252" s="95" t="s">
        <v>60</v>
      </c>
      <c r="D252" t="s">
        <v>369</v>
      </c>
      <c r="E252" t="s">
        <v>55</v>
      </c>
      <c r="F252" t="s">
        <v>60</v>
      </c>
      <c r="G252" t="s">
        <v>1286</v>
      </c>
      <c r="H252" t="s">
        <v>1287</v>
      </c>
      <c r="J252" t="s">
        <v>287</v>
      </c>
      <c r="K252" s="22" t="str">
        <f t="shared" si="55"/>
        <v>NO</v>
      </c>
      <c r="L252" s="22" t="str">
        <f t="shared" si="61"/>
        <v>NO</v>
      </c>
      <c r="M252" s="22" t="str">
        <f t="shared" si="61"/>
        <v>NO</v>
      </c>
      <c r="N252" s="22" t="str">
        <f t="shared" si="61"/>
        <v>NO</v>
      </c>
      <c r="O252" s="22" t="str">
        <f t="shared" si="61"/>
        <v>NO</v>
      </c>
      <c r="P252" s="22" t="str">
        <f t="shared" si="61"/>
        <v>NO</v>
      </c>
      <c r="Q252" s="22" t="str">
        <f t="shared" si="61"/>
        <v>NO</v>
      </c>
      <c r="R252" s="22" t="str">
        <f t="shared" si="61"/>
        <v>NO</v>
      </c>
      <c r="S252" s="22" t="str">
        <f t="shared" si="61"/>
        <v>NO</v>
      </c>
      <c r="T252" s="22" t="str">
        <f t="shared" si="61"/>
        <v>NO</v>
      </c>
      <c r="U252" s="22" t="str">
        <f t="shared" si="61"/>
        <v>NO</v>
      </c>
      <c r="V252" s="22" t="str">
        <f t="shared" si="61"/>
        <v>NO</v>
      </c>
      <c r="W252" s="22" t="str">
        <f t="shared" si="61"/>
        <v>NO</v>
      </c>
      <c r="X252" s="22" t="str">
        <f t="shared" si="61"/>
        <v>NO</v>
      </c>
      <c r="Y252" s="22" t="str">
        <f t="shared" si="61"/>
        <v>NO</v>
      </c>
      <c r="Z252" s="22" t="str">
        <f t="shared" si="61"/>
        <v>NO</v>
      </c>
      <c r="AA252" s="22" t="str">
        <f t="shared" si="61"/>
        <v>NO</v>
      </c>
      <c r="AB252" s="22" t="str">
        <f t="shared" si="61"/>
        <v>NO</v>
      </c>
      <c r="AC252" s="22" t="str">
        <f t="shared" si="61"/>
        <v>NO</v>
      </c>
      <c r="AD252" s="22" t="str">
        <f t="shared" si="61"/>
        <v>NO</v>
      </c>
      <c r="AE252" s="22" t="str">
        <f t="shared" si="61"/>
        <v>NO</v>
      </c>
      <c r="AF252" s="22" t="str">
        <f t="shared" si="61"/>
        <v>NO</v>
      </c>
      <c r="AG252" s="22" t="str">
        <f t="shared" si="61"/>
        <v>NO</v>
      </c>
      <c r="AH252" s="22" t="str">
        <f t="shared" si="61"/>
        <v>NO</v>
      </c>
      <c r="AI252" s="22" t="str">
        <f t="shared" si="61"/>
        <v>NO</v>
      </c>
      <c r="AJ252" s="22" t="str">
        <f t="shared" si="61"/>
        <v>NO</v>
      </c>
      <c r="AK252" s="22" t="str">
        <f t="shared" si="61"/>
        <v>NO</v>
      </c>
      <c r="AL252" s="22" t="str">
        <f t="shared" si="61"/>
        <v>NO</v>
      </c>
      <c r="AM252" s="22" t="str">
        <f t="shared" si="61"/>
        <v>NO</v>
      </c>
      <c r="AN252" s="22" t="str">
        <f t="shared" si="61"/>
        <v>NO</v>
      </c>
      <c r="AO252" s="22" t="str">
        <f t="shared" si="61"/>
        <v>NO</v>
      </c>
      <c r="AP252" s="22" t="str">
        <f t="shared" si="61"/>
        <v>NO</v>
      </c>
      <c r="AQ252" s="22" t="str">
        <f t="shared" si="61"/>
        <v>NO</v>
      </c>
      <c r="AR252" s="22" t="str">
        <f t="shared" si="61"/>
        <v>NO</v>
      </c>
      <c r="AS252" s="22" t="str">
        <f t="shared" si="61"/>
        <v>NO</v>
      </c>
      <c r="AT252" s="22" t="str">
        <f t="shared" si="61"/>
        <v>NO</v>
      </c>
      <c r="AU252" s="22" t="str">
        <f t="shared" si="61"/>
        <v>NO</v>
      </c>
      <c r="AV252" s="22" t="str">
        <f t="shared" si="61"/>
        <v>NO</v>
      </c>
      <c r="AW252" s="22" t="str">
        <f t="shared" si="61"/>
        <v>NO</v>
      </c>
      <c r="AY252" s="79"/>
    </row>
    <row r="253" spans="1:51" x14ac:dyDescent="0.3">
      <c r="A253" s="95" t="str">
        <f t="shared" si="45"/>
        <v>FA FSOM</v>
      </c>
      <c r="B253" s="95" t="s">
        <v>962</v>
      </c>
      <c r="C253" s="95" t="s">
        <v>60</v>
      </c>
      <c r="D253" t="s">
        <v>369</v>
      </c>
      <c r="E253" t="s">
        <v>55</v>
      </c>
      <c r="F253" t="s">
        <v>60</v>
      </c>
      <c r="G253" t="s">
        <v>1288</v>
      </c>
      <c r="H253" t="s">
        <v>1289</v>
      </c>
      <c r="J253" t="s">
        <v>287</v>
      </c>
      <c r="K253" s="22">
        <f t="shared" si="55"/>
        <v>3.1961717215001131</v>
      </c>
      <c r="L253" s="22">
        <f t="shared" si="61"/>
        <v>3.1961717215001131</v>
      </c>
      <c r="M253" s="22">
        <f t="shared" si="61"/>
        <v>3.1961717215001131</v>
      </c>
      <c r="N253" s="22">
        <f t="shared" si="61"/>
        <v>3.1961717215001131</v>
      </c>
      <c r="O253" s="22">
        <f t="shared" si="61"/>
        <v>3.1961717215001131</v>
      </c>
      <c r="P253" s="22">
        <f t="shared" si="61"/>
        <v>3.1961717215001131</v>
      </c>
      <c r="Q253" s="22">
        <f t="shared" si="61"/>
        <v>3.1961717215001131</v>
      </c>
      <c r="R253" s="22">
        <f t="shared" si="61"/>
        <v>3.1961717215001131</v>
      </c>
      <c r="S253" s="22">
        <f t="shared" si="61"/>
        <v>3.1961717215001131</v>
      </c>
      <c r="T253" s="22">
        <f t="shared" si="61"/>
        <v>3.1961717215001131</v>
      </c>
      <c r="U253" s="22">
        <f t="shared" si="61"/>
        <v>3.1961717215001131</v>
      </c>
      <c r="V253" s="22">
        <f t="shared" si="61"/>
        <v>3.1961717215001131</v>
      </c>
      <c r="W253" s="22">
        <f t="shared" si="61"/>
        <v>3.1961717215001131</v>
      </c>
      <c r="X253" s="22">
        <f t="shared" si="61"/>
        <v>3.1961717215001131</v>
      </c>
      <c r="Y253" s="22">
        <f t="shared" si="61"/>
        <v>3.1961717215001131</v>
      </c>
      <c r="Z253" s="22">
        <f t="shared" si="61"/>
        <v>3.1961717215001131</v>
      </c>
      <c r="AA253" s="22">
        <f t="shared" si="61"/>
        <v>3.1961717215001131</v>
      </c>
      <c r="AB253" s="22">
        <f t="shared" si="61"/>
        <v>3.1961717215001131</v>
      </c>
      <c r="AC253" s="22">
        <f t="shared" si="61"/>
        <v>3.1961717215001131</v>
      </c>
      <c r="AD253" s="22">
        <f t="shared" si="61"/>
        <v>3.1961717215001131</v>
      </c>
      <c r="AE253" s="22">
        <f t="shared" si="61"/>
        <v>3.1961717215001131</v>
      </c>
      <c r="AF253" s="22">
        <f t="shared" si="61"/>
        <v>3.1961717215001131</v>
      </c>
      <c r="AG253" s="22">
        <f t="shared" si="61"/>
        <v>3.1961717215001131</v>
      </c>
      <c r="AH253" s="22">
        <f t="shared" si="61"/>
        <v>3.1961717215001131</v>
      </c>
      <c r="AI253" s="22">
        <f t="shared" si="61"/>
        <v>3.1961717215001131</v>
      </c>
      <c r="AJ253" s="22">
        <f t="shared" si="61"/>
        <v>3.1961717215001131</v>
      </c>
      <c r="AK253" s="22">
        <f t="shared" si="61"/>
        <v>3.1961717215001131</v>
      </c>
      <c r="AL253" s="22">
        <f t="shared" si="61"/>
        <v>3.1961717215001131</v>
      </c>
      <c r="AM253" s="22">
        <f t="shared" si="61"/>
        <v>3.1961717215001131</v>
      </c>
      <c r="AN253" s="22">
        <f t="shared" si="61"/>
        <v>3.1961717215001131</v>
      </c>
      <c r="AO253" s="22">
        <f t="shared" si="61"/>
        <v>3.1961717215001131</v>
      </c>
      <c r="AP253" s="22">
        <f t="shared" si="61"/>
        <v>3.1961717215001131</v>
      </c>
      <c r="AQ253" s="22">
        <f t="shared" si="61"/>
        <v>3.1961717215001131</v>
      </c>
      <c r="AR253" s="22">
        <f t="shared" si="61"/>
        <v>3.1961717215001131</v>
      </c>
      <c r="AS253" s="22">
        <f t="shared" si="61"/>
        <v>3.1961717215001131</v>
      </c>
      <c r="AT253" s="22">
        <f t="shared" si="61"/>
        <v>3.1961717215001131</v>
      </c>
      <c r="AU253" s="22">
        <f t="shared" si="61"/>
        <v>3.1961717215001131</v>
      </c>
      <c r="AV253" s="22">
        <f t="shared" si="61"/>
        <v>3.1961717215001131</v>
      </c>
      <c r="AW253" s="22">
        <f t="shared" si="61"/>
        <v>3.1961717215001131</v>
      </c>
      <c r="AY253" s="79"/>
    </row>
    <row r="254" spans="1:51" x14ac:dyDescent="0.3">
      <c r="A254" s="95" t="str">
        <f t="shared" si="45"/>
        <v>FA Volatilisation</v>
      </c>
      <c r="B254" s="95" t="s">
        <v>962</v>
      </c>
      <c r="C254" s="95" t="s">
        <v>62</v>
      </c>
      <c r="D254" t="s">
        <v>369</v>
      </c>
      <c r="E254" t="s">
        <v>61</v>
      </c>
      <c r="F254" t="s">
        <v>62</v>
      </c>
      <c r="G254" t="s">
        <v>435</v>
      </c>
      <c r="H254" t="s">
        <v>1184</v>
      </c>
      <c r="I254" t="s">
        <v>139</v>
      </c>
      <c r="J254" t="s">
        <v>287</v>
      </c>
      <c r="K254" s="22">
        <f t="shared" si="55"/>
        <v>0.66064812063358536</v>
      </c>
      <c r="L254" s="22">
        <f t="shared" si="61"/>
        <v>0.66058242184852956</v>
      </c>
      <c r="M254" s="22">
        <f t="shared" si="61"/>
        <v>0.66046196765835474</v>
      </c>
      <c r="N254" s="22">
        <f t="shared" si="61"/>
        <v>0.66031799495417198</v>
      </c>
      <c r="O254" s="22">
        <f t="shared" si="61"/>
        <v>0.66022073532502734</v>
      </c>
      <c r="P254" s="22">
        <f t="shared" si="61"/>
        <v>0.66015380384919209</v>
      </c>
      <c r="Q254" s="22">
        <f t="shared" si="61"/>
        <v>0.66011715236312984</v>
      </c>
      <c r="R254" s="22">
        <f t="shared" si="61"/>
        <v>0.66005785698707231</v>
      </c>
      <c r="S254" s="22">
        <f t="shared" si="61"/>
        <v>0.65999557160724309</v>
      </c>
      <c r="T254" s="22">
        <f t="shared" si="61"/>
        <v>0.66042852126323504</v>
      </c>
      <c r="U254" s="22">
        <f t="shared" si="61"/>
        <v>0.660256842080582</v>
      </c>
      <c r="V254" s="22">
        <f t="shared" si="61"/>
        <v>0.66002252909433212</v>
      </c>
      <c r="W254" s="22">
        <f t="shared" si="61"/>
        <v>0.65989661681898848</v>
      </c>
      <c r="X254" s="22">
        <f t="shared" si="61"/>
        <v>0.6597589047711292</v>
      </c>
      <c r="Y254" s="22">
        <f t="shared" si="61"/>
        <v>0.659605796092819</v>
      </c>
      <c r="Z254" s="22">
        <f t="shared" ref="L254:AW261" si="62">Z1510</f>
        <v>0.65944507555305243</v>
      </c>
      <c r="AA254" s="22">
        <f t="shared" si="62"/>
        <v>0.65927354812209926</v>
      </c>
      <c r="AB254" s="22">
        <f t="shared" si="62"/>
        <v>0.65910165055066838</v>
      </c>
      <c r="AC254" s="22">
        <f t="shared" si="62"/>
        <v>0.65892060560614785</v>
      </c>
      <c r="AD254" s="22">
        <f t="shared" si="62"/>
        <v>0.6587403682229962</v>
      </c>
      <c r="AE254" s="22">
        <f t="shared" si="62"/>
        <v>0.6585449608557925</v>
      </c>
      <c r="AF254" s="22">
        <f t="shared" si="62"/>
        <v>0.65835675614397215</v>
      </c>
      <c r="AG254" s="22">
        <f t="shared" si="62"/>
        <v>0.65816378763594341</v>
      </c>
      <c r="AH254" s="22">
        <f t="shared" si="62"/>
        <v>0.6579528278100244</v>
      </c>
      <c r="AI254" s="22">
        <f t="shared" si="62"/>
        <v>0.65775665224366497</v>
      </c>
      <c r="AJ254" s="22">
        <f t="shared" si="62"/>
        <v>0.65755521924304883</v>
      </c>
      <c r="AK254" s="22">
        <f t="shared" si="62"/>
        <v>0.65734627926543143</v>
      </c>
      <c r="AL254" s="22">
        <f t="shared" si="62"/>
        <v>0.65715425101563263</v>
      </c>
      <c r="AM254" s="22">
        <f t="shared" si="62"/>
        <v>0.65696756052718408</v>
      </c>
      <c r="AN254" s="22">
        <f t="shared" si="62"/>
        <v>0.65678548596880248</v>
      </c>
      <c r="AO254" s="22">
        <f t="shared" si="62"/>
        <v>0.65659337062591927</v>
      </c>
      <c r="AP254" s="22">
        <f t="shared" si="62"/>
        <v>0.65641235920406316</v>
      </c>
      <c r="AQ254" s="22">
        <f t="shared" si="62"/>
        <v>0.65622903638449304</v>
      </c>
      <c r="AR254" s="22">
        <f t="shared" si="62"/>
        <v>0.65604286486377728</v>
      </c>
      <c r="AS254" s="22">
        <f t="shared" si="62"/>
        <v>0.65585292511260118</v>
      </c>
      <c r="AT254" s="22">
        <f t="shared" si="62"/>
        <v>0.65566000956326953</v>
      </c>
      <c r="AU254" s="22">
        <f t="shared" si="62"/>
        <v>0.65560073347552816</v>
      </c>
      <c r="AV254" s="22">
        <f t="shared" si="62"/>
        <v>0.65555391486602432</v>
      </c>
      <c r="AW254" s="22">
        <f t="shared" si="62"/>
        <v>0.65552474687649953</v>
      </c>
      <c r="AY254" s="79"/>
    </row>
    <row r="255" spans="1:51" x14ac:dyDescent="0.3">
      <c r="A255" s="95" t="str">
        <f t="shared" si="45"/>
        <v>FA Volatilisation</v>
      </c>
      <c r="B255" s="95" t="s">
        <v>962</v>
      </c>
      <c r="C255" s="95" t="s">
        <v>62</v>
      </c>
      <c r="D255" t="s">
        <v>369</v>
      </c>
      <c r="E255" t="s">
        <v>61</v>
      </c>
      <c r="F255" t="s">
        <v>62</v>
      </c>
      <c r="G255" t="s">
        <v>436</v>
      </c>
      <c r="H255" t="s">
        <v>1185</v>
      </c>
      <c r="I255" t="s">
        <v>139</v>
      </c>
      <c r="J255" t="s">
        <v>287</v>
      </c>
      <c r="K255" s="22">
        <f t="shared" si="55"/>
        <v>8.720555192363328E-3</v>
      </c>
      <c r="L255" s="22">
        <f t="shared" si="62"/>
        <v>8.7196879684005926E-3</v>
      </c>
      <c r="M255" s="22">
        <f t="shared" si="62"/>
        <v>8.7180979730902847E-3</v>
      </c>
      <c r="N255" s="22">
        <f t="shared" si="62"/>
        <v>8.7161975333950713E-3</v>
      </c>
      <c r="O255" s="22">
        <f t="shared" si="62"/>
        <v>8.7149137062903607E-3</v>
      </c>
      <c r="P255" s="22">
        <f t="shared" si="62"/>
        <v>8.7140302108093363E-3</v>
      </c>
      <c r="Q255" s="22">
        <f t="shared" si="62"/>
        <v>8.7135464111933163E-3</v>
      </c>
      <c r="R255" s="22">
        <f t="shared" si="62"/>
        <v>8.7127637122293555E-3</v>
      </c>
      <c r="S255" s="22">
        <f t="shared" si="62"/>
        <v>8.7119415452156113E-3</v>
      </c>
      <c r="T255" s="22">
        <f t="shared" si="62"/>
        <v>8.7176564806747021E-3</v>
      </c>
      <c r="U255" s="22">
        <f t="shared" si="62"/>
        <v>8.7153903154636864E-3</v>
      </c>
      <c r="V255" s="22">
        <f t="shared" si="62"/>
        <v>8.7122973840451836E-3</v>
      </c>
      <c r="W255" s="22">
        <f t="shared" si="62"/>
        <v>8.7106353420106468E-3</v>
      </c>
      <c r="X255" s="22">
        <f t="shared" si="62"/>
        <v>8.7088175429789073E-3</v>
      </c>
      <c r="Y255" s="22">
        <f t="shared" si="62"/>
        <v>8.7067965084252144E-3</v>
      </c>
      <c r="Z255" s="22">
        <f t="shared" si="62"/>
        <v>8.7046749973002935E-3</v>
      </c>
      <c r="AA255" s="22">
        <f t="shared" si="62"/>
        <v>8.702410835211713E-3</v>
      </c>
      <c r="AB255" s="22">
        <f t="shared" si="62"/>
        <v>8.7001417872688246E-3</v>
      </c>
      <c r="AC255" s="22">
        <f t="shared" si="62"/>
        <v>8.6977519940011523E-3</v>
      </c>
      <c r="AD255" s="22">
        <f t="shared" si="62"/>
        <v>8.6953728605435512E-3</v>
      </c>
      <c r="AE255" s="22">
        <f t="shared" si="62"/>
        <v>8.6927934832964609E-3</v>
      </c>
      <c r="AF255" s="22">
        <f t="shared" si="62"/>
        <v>8.6903091811004352E-3</v>
      </c>
      <c r="AG255" s="22">
        <f t="shared" si="62"/>
        <v>8.6877619967944547E-3</v>
      </c>
      <c r="AH255" s="22">
        <f t="shared" si="62"/>
        <v>8.6849773270923237E-3</v>
      </c>
      <c r="AI255" s="22">
        <f t="shared" si="62"/>
        <v>8.6823878096163789E-3</v>
      </c>
      <c r="AJ255" s="22">
        <f t="shared" si="62"/>
        <v>8.6797288940082453E-3</v>
      </c>
      <c r="AK255" s="22">
        <f t="shared" si="62"/>
        <v>8.6769708863036962E-3</v>
      </c>
      <c r="AL255" s="22">
        <f t="shared" si="62"/>
        <v>8.6744361134063527E-3</v>
      </c>
      <c r="AM255" s="22">
        <f t="shared" si="62"/>
        <v>8.6719717989588319E-3</v>
      </c>
      <c r="AN255" s="22">
        <f t="shared" si="62"/>
        <v>8.6695684147881907E-3</v>
      </c>
      <c r="AO255" s="22">
        <f t="shared" si="62"/>
        <v>8.6670324922621354E-3</v>
      </c>
      <c r="AP255" s="22">
        <f t="shared" si="62"/>
        <v>8.6646431414936359E-3</v>
      </c>
      <c r="AQ255" s="22">
        <f t="shared" si="62"/>
        <v>8.6622232802753101E-3</v>
      </c>
      <c r="AR255" s="22">
        <f t="shared" si="62"/>
        <v>8.6597658162018594E-3</v>
      </c>
      <c r="AS255" s="22">
        <f t="shared" si="62"/>
        <v>8.6572586114863365E-3</v>
      </c>
      <c r="AT255" s="22">
        <f t="shared" si="62"/>
        <v>8.6547121262351596E-3</v>
      </c>
      <c r="AU255" s="22">
        <f t="shared" si="62"/>
        <v>8.6539296818769745E-3</v>
      </c>
      <c r="AV255" s="22">
        <f t="shared" si="62"/>
        <v>8.6533116762315225E-3</v>
      </c>
      <c r="AW255" s="22">
        <f t="shared" si="62"/>
        <v>8.6529266587697939E-3</v>
      </c>
      <c r="AY255" s="79"/>
    </row>
    <row r="256" spans="1:51" x14ac:dyDescent="0.3">
      <c r="A256" s="95" t="str">
        <f t="shared" si="45"/>
        <v>FA Volatilisation</v>
      </c>
      <c r="B256" s="95" t="s">
        <v>962</v>
      </c>
      <c r="C256" s="95" t="s">
        <v>62</v>
      </c>
      <c r="D256" t="s">
        <v>369</v>
      </c>
      <c r="E256" t="s">
        <v>61</v>
      </c>
      <c r="F256" t="s">
        <v>62</v>
      </c>
      <c r="G256" t="s">
        <v>437</v>
      </c>
      <c r="H256" t="s">
        <v>1186</v>
      </c>
      <c r="I256" t="s">
        <v>139</v>
      </c>
      <c r="J256" t="s">
        <v>287</v>
      </c>
      <c r="K256" s="22">
        <f t="shared" si="55"/>
        <v>1.2008407282256135</v>
      </c>
      <c r="L256" s="22">
        <f t="shared" si="62"/>
        <v>1.201903510760759</v>
      </c>
      <c r="M256" s="22">
        <f t="shared" si="62"/>
        <v>1.2088775122881088</v>
      </c>
      <c r="N256" s="22">
        <f t="shared" si="62"/>
        <v>1.2055442230548155</v>
      </c>
      <c r="O256" s="22">
        <f t="shared" si="62"/>
        <v>1.195843583832628</v>
      </c>
      <c r="P256" s="22">
        <f t="shared" si="62"/>
        <v>1.1799964998501222</v>
      </c>
      <c r="Q256" s="22">
        <f t="shared" si="62"/>
        <v>1.169776622170569</v>
      </c>
      <c r="R256" s="22">
        <f t="shared" si="62"/>
        <v>1.1606871439933113</v>
      </c>
      <c r="S256" s="22">
        <f t="shared" si="62"/>
        <v>1.0501974396641209</v>
      </c>
      <c r="T256" s="22">
        <f t="shared" si="62"/>
        <v>1.0703473698117068</v>
      </c>
      <c r="U256" s="22">
        <f t="shared" si="62"/>
        <v>1.1035346153332457</v>
      </c>
      <c r="V256" s="22">
        <f t="shared" si="62"/>
        <v>1.1150489977959306</v>
      </c>
      <c r="W256" s="22">
        <f t="shared" si="62"/>
        <v>1.1291994422976275</v>
      </c>
      <c r="X256" s="22">
        <f t="shared" si="62"/>
        <v>1.1467521172180308</v>
      </c>
      <c r="Y256" s="22">
        <f t="shared" si="62"/>
        <v>1.1661924411251976</v>
      </c>
      <c r="Z256" s="22">
        <f t="shared" si="62"/>
        <v>1.1881766019612736</v>
      </c>
      <c r="AA256" s="22">
        <f t="shared" si="62"/>
        <v>1.2105548738562886</v>
      </c>
      <c r="AB256" s="22">
        <f t="shared" si="62"/>
        <v>1.2352132344527478</v>
      </c>
      <c r="AC256" s="22">
        <f t="shared" si="62"/>
        <v>1.2600610700998878</v>
      </c>
      <c r="AD256" s="22">
        <f t="shared" si="62"/>
        <v>1.2841695325772586</v>
      </c>
      <c r="AE256" s="22">
        <f t="shared" si="62"/>
        <v>1.3069035937836597</v>
      </c>
      <c r="AF256" s="22">
        <f t="shared" si="62"/>
        <v>1.3308885489727156</v>
      </c>
      <c r="AG256" s="22">
        <f t="shared" si="62"/>
        <v>1.3591357613410466</v>
      </c>
      <c r="AH256" s="22">
        <f t="shared" si="62"/>
        <v>1.3843151170507964</v>
      </c>
      <c r="AI256" s="22">
        <f t="shared" si="62"/>
        <v>1.4109607447095132</v>
      </c>
      <c r="AJ256" s="22">
        <f t="shared" si="62"/>
        <v>1.439613035796105</v>
      </c>
      <c r="AK256" s="22">
        <f t="shared" si="62"/>
        <v>1.4645872559628428</v>
      </c>
      <c r="AL256" s="22">
        <f t="shared" si="62"/>
        <v>1.4885153057402958</v>
      </c>
      <c r="AM256" s="22">
        <f t="shared" si="62"/>
        <v>1.5115373270459393</v>
      </c>
      <c r="AN256" s="22">
        <f t="shared" si="62"/>
        <v>1.5400585132402391</v>
      </c>
      <c r="AO256" s="22">
        <f t="shared" si="62"/>
        <v>1.5662225533166572</v>
      </c>
      <c r="AP256" s="22">
        <f t="shared" si="62"/>
        <v>1.593267491108957</v>
      </c>
      <c r="AQ256" s="22">
        <f t="shared" si="62"/>
        <v>1.6213524132646824</v>
      </c>
      <c r="AR256" s="22">
        <f t="shared" si="62"/>
        <v>1.6507413943805305</v>
      </c>
      <c r="AS256" s="22">
        <f t="shared" si="62"/>
        <v>1.6812851986409043</v>
      </c>
      <c r="AT256" s="22">
        <f t="shared" si="62"/>
        <v>1.6777302811702246</v>
      </c>
      <c r="AU256" s="22">
        <f t="shared" si="62"/>
        <v>1.6711130643184777</v>
      </c>
      <c r="AV256" s="22">
        <f t="shared" si="62"/>
        <v>1.6601731404367381</v>
      </c>
      <c r="AW256" s="22">
        <f t="shared" si="62"/>
        <v>1.6481045233312475</v>
      </c>
      <c r="AY256" s="79"/>
    </row>
    <row r="257" spans="1:51" x14ac:dyDescent="0.3">
      <c r="A257" s="95" t="str">
        <f t="shared" si="45"/>
        <v>FA Volatilisation</v>
      </c>
      <c r="B257" s="95" t="s">
        <v>962</v>
      </c>
      <c r="C257" s="95" t="s">
        <v>62</v>
      </c>
      <c r="D257" t="s">
        <v>369</v>
      </c>
      <c r="E257" t="s">
        <v>61</v>
      </c>
      <c r="F257" t="s">
        <v>62</v>
      </c>
      <c r="G257" t="s">
        <v>438</v>
      </c>
      <c r="H257" t="s">
        <v>1265</v>
      </c>
      <c r="I257" t="s">
        <v>139</v>
      </c>
      <c r="J257" t="s">
        <v>287</v>
      </c>
      <c r="K257" s="22">
        <f t="shared" si="55"/>
        <v>4.3975799639737048</v>
      </c>
      <c r="L257" s="22">
        <f t="shared" si="62"/>
        <v>4.3787767883653972</v>
      </c>
      <c r="M257" s="22">
        <f t="shared" si="62"/>
        <v>4.3752716537638934</v>
      </c>
      <c r="N257" s="22">
        <f t="shared" si="62"/>
        <v>4.3473821211305594</v>
      </c>
      <c r="O257" s="22">
        <f t="shared" si="62"/>
        <v>4.3052096453824609</v>
      </c>
      <c r="P257" s="22">
        <f t="shared" si="62"/>
        <v>4.2496956169043703</v>
      </c>
      <c r="Q257" s="22">
        <f t="shared" si="62"/>
        <v>4.2083609134426787</v>
      </c>
      <c r="R257" s="22">
        <f t="shared" si="62"/>
        <v>4.1703852155628214</v>
      </c>
      <c r="S257" s="22">
        <f t="shared" si="62"/>
        <v>3.900775371515369</v>
      </c>
      <c r="T257" s="22">
        <f t="shared" si="62"/>
        <v>3.9381596254461564</v>
      </c>
      <c r="U257" s="22">
        <f t="shared" si="62"/>
        <v>4.0049157346570068</v>
      </c>
      <c r="V257" s="22">
        <f t="shared" si="62"/>
        <v>4.0223863253045398</v>
      </c>
      <c r="W257" s="22">
        <f t="shared" si="62"/>
        <v>4.045795803072969</v>
      </c>
      <c r="X257" s="22">
        <f t="shared" si="62"/>
        <v>4.0767188563085508</v>
      </c>
      <c r="Y257" s="22">
        <f t="shared" si="62"/>
        <v>4.1095287399075264</v>
      </c>
      <c r="Z257" s="22">
        <f t="shared" si="62"/>
        <v>4.1476787731521458</v>
      </c>
      <c r="AA257" s="22">
        <f t="shared" si="62"/>
        <v>4.1863566801857406</v>
      </c>
      <c r="AB257" s="22">
        <f t="shared" si="62"/>
        <v>4.2296218376851549</v>
      </c>
      <c r="AC257" s="22">
        <f t="shared" si="62"/>
        <v>4.2728604404281354</v>
      </c>
      <c r="AD257" s="22">
        <f t="shared" si="62"/>
        <v>4.3024697400350007</v>
      </c>
      <c r="AE257" s="22">
        <f t="shared" si="62"/>
        <v>4.3280485976783627</v>
      </c>
      <c r="AF257" s="22">
        <f t="shared" si="62"/>
        <v>4.3551413116429245</v>
      </c>
      <c r="AG257" s="22">
        <f t="shared" si="62"/>
        <v>4.3898514432989648</v>
      </c>
      <c r="AH257" s="22">
        <f t="shared" si="62"/>
        <v>4.4168796997123483</v>
      </c>
      <c r="AI257" s="22">
        <f t="shared" si="62"/>
        <v>4.4439671933106792</v>
      </c>
      <c r="AJ257" s="22">
        <f t="shared" si="62"/>
        <v>4.4736413932482595</v>
      </c>
      <c r="AK257" s="22">
        <f t="shared" si="62"/>
        <v>4.4945161300843504</v>
      </c>
      <c r="AL257" s="22">
        <f t="shared" si="62"/>
        <v>4.5119473605235276</v>
      </c>
      <c r="AM257" s="22">
        <f t="shared" si="62"/>
        <v>4.5262479592108207</v>
      </c>
      <c r="AN257" s="22">
        <f t="shared" si="62"/>
        <v>4.5552825489057529</v>
      </c>
      <c r="AO257" s="22">
        <f t="shared" si="62"/>
        <v>4.5786902056870105</v>
      </c>
      <c r="AP257" s="22">
        <f t="shared" si="62"/>
        <v>4.6026259938264094</v>
      </c>
      <c r="AQ257" s="22">
        <f t="shared" si="62"/>
        <v>4.6273110032913349</v>
      </c>
      <c r="AR257" s="22">
        <f t="shared" si="62"/>
        <v>4.6531442501292055</v>
      </c>
      <c r="AS257" s="22">
        <f t="shared" si="62"/>
        <v>4.6782746913590252</v>
      </c>
      <c r="AT257" s="22">
        <f t="shared" si="62"/>
        <v>4.6412320099960542</v>
      </c>
      <c r="AU257" s="22">
        <f t="shared" si="62"/>
        <v>4.5987998522947482</v>
      </c>
      <c r="AV257" s="22">
        <f t="shared" si="62"/>
        <v>4.5489683571490982</v>
      </c>
      <c r="AW257" s="22">
        <f t="shared" si="62"/>
        <v>4.4975013733577454</v>
      </c>
      <c r="AY257" s="79"/>
    </row>
    <row r="258" spans="1:51" x14ac:dyDescent="0.3">
      <c r="A258" s="95" t="str">
        <f t="shared" si="45"/>
        <v>FA Leaching</v>
      </c>
      <c r="B258" s="95" t="s">
        <v>962</v>
      </c>
      <c r="C258" s="95" t="s">
        <v>1190</v>
      </c>
      <c r="D258" t="s">
        <v>369</v>
      </c>
      <c r="E258" t="s">
        <v>61</v>
      </c>
      <c r="F258" t="s">
        <v>63</v>
      </c>
      <c r="G258" t="s">
        <v>435</v>
      </c>
      <c r="H258" t="s">
        <v>1187</v>
      </c>
      <c r="I258" t="s">
        <v>139</v>
      </c>
      <c r="J258" t="s">
        <v>287</v>
      </c>
      <c r="K258" s="22">
        <f t="shared" si="55"/>
        <v>2.2792360161858692E-4</v>
      </c>
      <c r="L258" s="22">
        <f t="shared" si="62"/>
        <v>2.2790093553774266E-4</v>
      </c>
      <c r="M258" s="22">
        <f t="shared" si="62"/>
        <v>2.278593788421324E-4</v>
      </c>
      <c r="N258" s="22">
        <f t="shared" si="62"/>
        <v>2.2780970825918929E-4</v>
      </c>
      <c r="O258" s="22">
        <f t="shared" si="62"/>
        <v>2.277761536871344E-4</v>
      </c>
      <c r="P258" s="22">
        <f t="shared" si="62"/>
        <v>2.2775306232797126E-4</v>
      </c>
      <c r="Q258" s="22">
        <f t="shared" si="62"/>
        <v>2.2774041756527976E-4</v>
      </c>
      <c r="R258" s="22">
        <f t="shared" si="62"/>
        <v>2.2771996066053992E-4</v>
      </c>
      <c r="S258" s="22">
        <f t="shared" si="62"/>
        <v>2.2769847220449889E-4</v>
      </c>
      <c r="T258" s="22">
        <f t="shared" si="62"/>
        <v>2.2784783983581601E-4</v>
      </c>
      <c r="U258" s="22">
        <f t="shared" si="62"/>
        <v>2.2778861051780079E-4</v>
      </c>
      <c r="V258" s="22">
        <f t="shared" si="62"/>
        <v>2.2770777253754449E-4</v>
      </c>
      <c r="W258" s="22">
        <f t="shared" si="62"/>
        <v>2.2766433280255099E-4</v>
      </c>
      <c r="X258" s="22">
        <f t="shared" si="62"/>
        <v>2.2761682214603963E-4</v>
      </c>
      <c r="Y258" s="22">
        <f t="shared" si="62"/>
        <v>2.2756399965202255E-4</v>
      </c>
      <c r="Z258" s="22">
        <f t="shared" si="62"/>
        <v>2.2750855106580306E-4</v>
      </c>
      <c r="AA258" s="22">
        <f t="shared" si="62"/>
        <v>2.2744937410212421E-4</v>
      </c>
      <c r="AB258" s="22">
        <f t="shared" si="62"/>
        <v>2.273900694399806E-4</v>
      </c>
      <c r="AC258" s="22">
        <f t="shared" si="62"/>
        <v>2.27327608934121E-4</v>
      </c>
      <c r="AD258" s="22">
        <f t="shared" si="62"/>
        <v>2.2726542703693366E-4</v>
      </c>
      <c r="AE258" s="22">
        <f t="shared" si="62"/>
        <v>2.2719801149524835E-4</v>
      </c>
      <c r="AF258" s="22">
        <f t="shared" si="62"/>
        <v>2.2713308086967036E-4</v>
      </c>
      <c r="AG258" s="22">
        <f t="shared" si="62"/>
        <v>2.2706650673440042E-4</v>
      </c>
      <c r="AH258" s="22">
        <f t="shared" si="62"/>
        <v>2.2699372559445836E-4</v>
      </c>
      <c r="AI258" s="22">
        <f t="shared" si="62"/>
        <v>2.2692604502406438E-4</v>
      </c>
      <c r="AJ258" s="22">
        <f t="shared" si="62"/>
        <v>2.2685655063885179E-4</v>
      </c>
      <c r="AK258" s="22">
        <f t="shared" si="62"/>
        <v>2.2678446634657377E-4</v>
      </c>
      <c r="AL258" s="22">
        <f t="shared" si="62"/>
        <v>2.2671821660039324E-4</v>
      </c>
      <c r="AM258" s="22">
        <f t="shared" si="62"/>
        <v>2.2665380838187847E-4</v>
      </c>
      <c r="AN258" s="22">
        <f t="shared" si="62"/>
        <v>2.2659099265923683E-4</v>
      </c>
      <c r="AO258" s="22">
        <f t="shared" si="62"/>
        <v>2.2652471286594214E-4</v>
      </c>
      <c r="AP258" s="22">
        <f t="shared" si="62"/>
        <v>2.2646226392540174E-4</v>
      </c>
      <c r="AQ258" s="22">
        <f t="shared" si="62"/>
        <v>2.2639901755265007E-4</v>
      </c>
      <c r="AR258" s="22">
        <f t="shared" si="62"/>
        <v>2.2633478837800309E-4</v>
      </c>
      <c r="AS258" s="22">
        <f t="shared" si="62"/>
        <v>2.2626925916384739E-4</v>
      </c>
      <c r="AT258" s="22">
        <f t="shared" si="62"/>
        <v>2.2620270329932796E-4</v>
      </c>
      <c r="AU258" s="22">
        <f t="shared" si="62"/>
        <v>2.261822530490572E-4</v>
      </c>
      <c r="AV258" s="22">
        <f t="shared" si="62"/>
        <v>2.2616610062877842E-4</v>
      </c>
      <c r="AW258" s="22">
        <f t="shared" si="62"/>
        <v>2.2615603767239231E-4</v>
      </c>
      <c r="AY258" s="79"/>
    </row>
    <row r="259" spans="1:51" x14ac:dyDescent="0.3">
      <c r="A259" s="95" t="str">
        <f t="shared" si="45"/>
        <v>FA Leaching</v>
      </c>
      <c r="B259" s="95" t="s">
        <v>962</v>
      </c>
      <c r="C259" s="95" t="s">
        <v>1190</v>
      </c>
      <c r="D259" t="s">
        <v>369</v>
      </c>
      <c r="E259" t="s">
        <v>61</v>
      </c>
      <c r="F259" t="s">
        <v>63</v>
      </c>
      <c r="G259" t="s">
        <v>436</v>
      </c>
      <c r="H259" t="s">
        <v>1188</v>
      </c>
      <c r="I259" t="s">
        <v>139</v>
      </c>
      <c r="J259" t="s">
        <v>287</v>
      </c>
      <c r="K259" s="22">
        <f t="shared" si="55"/>
        <v>1.5042957706826741E-6</v>
      </c>
      <c r="L259" s="22">
        <f t="shared" si="62"/>
        <v>1.5041461745491019E-6</v>
      </c>
      <c r="M259" s="22">
        <f t="shared" si="62"/>
        <v>1.5038719003580737E-6</v>
      </c>
      <c r="N259" s="22">
        <f t="shared" si="62"/>
        <v>1.5035440745106496E-6</v>
      </c>
      <c r="O259" s="22">
        <f t="shared" si="62"/>
        <v>1.5033226143350872E-6</v>
      </c>
      <c r="P259" s="22">
        <f t="shared" si="62"/>
        <v>1.5031702113646103E-6</v>
      </c>
      <c r="Q259" s="22">
        <f t="shared" si="62"/>
        <v>1.5030867559308466E-6</v>
      </c>
      <c r="R259" s="22">
        <f t="shared" si="62"/>
        <v>1.5029517403595637E-6</v>
      </c>
      <c r="S259" s="22">
        <f t="shared" si="62"/>
        <v>1.5028099165496928E-6</v>
      </c>
      <c r="T259" s="22">
        <f t="shared" si="62"/>
        <v>1.503795742916386E-6</v>
      </c>
      <c r="U259" s="22">
        <f t="shared" si="62"/>
        <v>1.5034048294174857E-6</v>
      </c>
      <c r="V259" s="22">
        <f t="shared" si="62"/>
        <v>1.502871298747794E-6</v>
      </c>
      <c r="W259" s="22">
        <f t="shared" si="62"/>
        <v>1.5025845964968368E-6</v>
      </c>
      <c r="X259" s="22">
        <f t="shared" si="62"/>
        <v>1.5022710261638614E-6</v>
      </c>
      <c r="Y259" s="22">
        <f t="shared" si="62"/>
        <v>1.5019223977033493E-6</v>
      </c>
      <c r="Z259" s="22">
        <f t="shared" si="62"/>
        <v>1.5015564370343004E-6</v>
      </c>
      <c r="AA259" s="22">
        <f t="shared" si="62"/>
        <v>1.5011658690740202E-6</v>
      </c>
      <c r="AB259" s="22">
        <f t="shared" si="62"/>
        <v>1.500774458303872E-6</v>
      </c>
      <c r="AC259" s="22">
        <f t="shared" si="62"/>
        <v>1.5003622189651987E-6</v>
      </c>
      <c r="AD259" s="22">
        <f t="shared" si="62"/>
        <v>1.4999518184437622E-6</v>
      </c>
      <c r="AE259" s="22">
        <f t="shared" si="62"/>
        <v>1.4995068758686393E-6</v>
      </c>
      <c r="AF259" s="22">
        <f t="shared" si="62"/>
        <v>1.4990783337398247E-6</v>
      </c>
      <c r="AG259" s="22">
        <f t="shared" si="62"/>
        <v>1.498638944447043E-6</v>
      </c>
      <c r="AH259" s="22">
        <f t="shared" si="62"/>
        <v>1.4981585889234254E-6</v>
      </c>
      <c r="AI259" s="22">
        <f t="shared" si="62"/>
        <v>1.497711897158825E-6</v>
      </c>
      <c r="AJ259" s="22">
        <f t="shared" si="62"/>
        <v>1.4972532342164218E-6</v>
      </c>
      <c r="AK259" s="22">
        <f t="shared" si="62"/>
        <v>1.4967774778873874E-6</v>
      </c>
      <c r="AL259" s="22">
        <f t="shared" si="62"/>
        <v>1.4963402295625958E-6</v>
      </c>
      <c r="AM259" s="22">
        <f t="shared" si="62"/>
        <v>1.4959151353203979E-6</v>
      </c>
      <c r="AN259" s="22">
        <f t="shared" si="62"/>
        <v>1.4955005515509629E-6</v>
      </c>
      <c r="AO259" s="22">
        <f t="shared" si="62"/>
        <v>1.4950631049152183E-6</v>
      </c>
      <c r="AP259" s="22">
        <f t="shared" si="62"/>
        <v>1.4946509419076516E-6</v>
      </c>
      <c r="AQ259" s="22">
        <f t="shared" si="62"/>
        <v>1.4942335158474905E-6</v>
      </c>
      <c r="AR259" s="22">
        <f t="shared" si="62"/>
        <v>1.4938096032948206E-6</v>
      </c>
      <c r="AS259" s="22">
        <f t="shared" si="62"/>
        <v>1.4933771104813929E-6</v>
      </c>
      <c r="AT259" s="22">
        <f t="shared" si="62"/>
        <v>1.4929378417755646E-6</v>
      </c>
      <c r="AU259" s="22">
        <f t="shared" si="62"/>
        <v>1.4928028701237777E-6</v>
      </c>
      <c r="AV259" s="22">
        <f t="shared" si="62"/>
        <v>1.4926962641499375E-6</v>
      </c>
      <c r="AW259" s="22">
        <f t="shared" si="62"/>
        <v>1.4926298486377895E-6</v>
      </c>
      <c r="AY259" s="79"/>
    </row>
    <row r="260" spans="1:51" x14ac:dyDescent="0.3">
      <c r="A260" s="95" t="str">
        <f t="shared" si="45"/>
        <v>FA Leaching</v>
      </c>
      <c r="B260" s="95" t="s">
        <v>962</v>
      </c>
      <c r="C260" s="95" t="s">
        <v>1190</v>
      </c>
      <c r="D260" t="s">
        <v>369</v>
      </c>
      <c r="E260" t="s">
        <v>61</v>
      </c>
      <c r="F260" t="s">
        <v>63</v>
      </c>
      <c r="G260" t="s">
        <v>437</v>
      </c>
      <c r="H260" t="s">
        <v>1189</v>
      </c>
      <c r="I260" t="s">
        <v>139</v>
      </c>
      <c r="J260" t="s">
        <v>287</v>
      </c>
      <c r="K260" s="22">
        <f t="shared" si="55"/>
        <v>0.20714502561891829</v>
      </c>
      <c r="L260" s="22">
        <f t="shared" si="62"/>
        <v>0.20732835560623092</v>
      </c>
      <c r="M260" s="22">
        <f t="shared" si="62"/>
        <v>0.20853137086969875</v>
      </c>
      <c r="N260" s="22">
        <f t="shared" si="62"/>
        <v>0.20795637847695567</v>
      </c>
      <c r="O260" s="22">
        <f t="shared" si="62"/>
        <v>0.20628301821112832</v>
      </c>
      <c r="P260" s="22">
        <f t="shared" si="62"/>
        <v>0.20354939622414608</v>
      </c>
      <c r="Q260" s="22">
        <f t="shared" si="62"/>
        <v>0.20178646732442315</v>
      </c>
      <c r="R260" s="22">
        <f t="shared" si="62"/>
        <v>0.20021853233884618</v>
      </c>
      <c r="S260" s="22">
        <f t="shared" si="62"/>
        <v>0.18115905834206086</v>
      </c>
      <c r="T260" s="22">
        <f t="shared" si="62"/>
        <v>0.1846349212925194</v>
      </c>
      <c r="U260" s="22">
        <f t="shared" si="62"/>
        <v>0.19035972114498487</v>
      </c>
      <c r="V260" s="22">
        <f t="shared" si="62"/>
        <v>0.19234595211979802</v>
      </c>
      <c r="W260" s="22">
        <f t="shared" si="62"/>
        <v>0.1947869037963407</v>
      </c>
      <c r="X260" s="22">
        <f t="shared" si="62"/>
        <v>0.19781474022011031</v>
      </c>
      <c r="Y260" s="22">
        <f t="shared" si="62"/>
        <v>0.20116819609409653</v>
      </c>
      <c r="Z260" s="22">
        <f t="shared" si="62"/>
        <v>0.20496046383831973</v>
      </c>
      <c r="AA260" s="22">
        <f t="shared" si="62"/>
        <v>0.20882071574020974</v>
      </c>
      <c r="AB260" s="22">
        <f t="shared" si="62"/>
        <v>0.21307428294309891</v>
      </c>
      <c r="AC260" s="22">
        <f t="shared" si="62"/>
        <v>0.21736053459223065</v>
      </c>
      <c r="AD260" s="22">
        <f t="shared" si="62"/>
        <v>0.2215192443695771</v>
      </c>
      <c r="AE260" s="22">
        <f t="shared" si="62"/>
        <v>0.22544086992768131</v>
      </c>
      <c r="AF260" s="22">
        <f t="shared" si="62"/>
        <v>0.22957827469779338</v>
      </c>
      <c r="AG260" s="22">
        <f t="shared" si="62"/>
        <v>0.23445091883133051</v>
      </c>
      <c r="AH260" s="22">
        <f t="shared" si="62"/>
        <v>0.23879435769126237</v>
      </c>
      <c r="AI260" s="22">
        <f t="shared" si="62"/>
        <v>0.24339072846239099</v>
      </c>
      <c r="AJ260" s="22">
        <f t="shared" si="62"/>
        <v>0.24833324867482812</v>
      </c>
      <c r="AK260" s="22">
        <f t="shared" si="62"/>
        <v>0.25264130165359039</v>
      </c>
      <c r="AL260" s="22">
        <f t="shared" si="62"/>
        <v>0.256768890240201</v>
      </c>
      <c r="AM260" s="22">
        <f t="shared" si="62"/>
        <v>0.26074018891542444</v>
      </c>
      <c r="AN260" s="22">
        <f t="shared" si="62"/>
        <v>0.26566009353394121</v>
      </c>
      <c r="AO260" s="22">
        <f t="shared" si="62"/>
        <v>0.2701733904471233</v>
      </c>
      <c r="AP260" s="22">
        <f t="shared" si="62"/>
        <v>0.27483864221629506</v>
      </c>
      <c r="AQ260" s="22">
        <f t="shared" si="62"/>
        <v>0.27968329128815766</v>
      </c>
      <c r="AR260" s="22">
        <f t="shared" si="62"/>
        <v>0.28475289053064146</v>
      </c>
      <c r="AS260" s="22">
        <f t="shared" si="62"/>
        <v>0.29002169676555595</v>
      </c>
      <c r="AT260" s="22">
        <f t="shared" si="62"/>
        <v>0.28940847350186372</v>
      </c>
      <c r="AU260" s="22">
        <f t="shared" si="62"/>
        <v>0.2882670035949374</v>
      </c>
      <c r="AV260" s="22">
        <f t="shared" si="62"/>
        <v>0.28637986672533733</v>
      </c>
      <c r="AW260" s="22">
        <f t="shared" si="62"/>
        <v>0.28429803027464012</v>
      </c>
      <c r="AY260" s="79"/>
    </row>
    <row r="261" spans="1:51" x14ac:dyDescent="0.3">
      <c r="A261" s="95" t="str">
        <f t="shared" si="45"/>
        <v>FA Leaching</v>
      </c>
      <c r="B261" s="95" t="s">
        <v>962</v>
      </c>
      <c r="C261" s="95" t="s">
        <v>1190</v>
      </c>
      <c r="D261" t="s">
        <v>369</v>
      </c>
      <c r="E261" t="s">
        <v>61</v>
      </c>
      <c r="F261" t="s">
        <v>63</v>
      </c>
      <c r="G261" t="s">
        <v>438</v>
      </c>
      <c r="H261" t="s">
        <v>1191</v>
      </c>
      <c r="I261" t="s">
        <v>139</v>
      </c>
      <c r="J261" t="s">
        <v>287</v>
      </c>
      <c r="K261" s="22">
        <f t="shared" si="55"/>
        <v>0</v>
      </c>
      <c r="L261" s="22">
        <f t="shared" si="62"/>
        <v>0</v>
      </c>
      <c r="M261" s="22">
        <f t="shared" si="62"/>
        <v>0</v>
      </c>
      <c r="N261" s="22">
        <f t="shared" si="62"/>
        <v>0</v>
      </c>
      <c r="O261" s="22">
        <f t="shared" ref="L261:AW267" si="63">O1517</f>
        <v>0</v>
      </c>
      <c r="P261" s="22">
        <f t="shared" si="63"/>
        <v>0</v>
      </c>
      <c r="Q261" s="22">
        <f t="shared" si="63"/>
        <v>0</v>
      </c>
      <c r="R261" s="22">
        <f t="shared" si="63"/>
        <v>0</v>
      </c>
      <c r="S261" s="22">
        <f t="shared" si="63"/>
        <v>0</v>
      </c>
      <c r="T261" s="22">
        <f t="shared" si="63"/>
        <v>0</v>
      </c>
      <c r="U261" s="22">
        <f t="shared" si="63"/>
        <v>0</v>
      </c>
      <c r="V261" s="22">
        <f t="shared" si="63"/>
        <v>0</v>
      </c>
      <c r="W261" s="22">
        <f t="shared" si="63"/>
        <v>0</v>
      </c>
      <c r="X261" s="22">
        <f t="shared" si="63"/>
        <v>0</v>
      </c>
      <c r="Y261" s="22">
        <f t="shared" si="63"/>
        <v>0</v>
      </c>
      <c r="Z261" s="22">
        <f t="shared" si="63"/>
        <v>0</v>
      </c>
      <c r="AA261" s="22">
        <f t="shared" si="63"/>
        <v>0</v>
      </c>
      <c r="AB261" s="22">
        <f t="shared" si="63"/>
        <v>0</v>
      </c>
      <c r="AC261" s="22">
        <f t="shared" si="63"/>
        <v>0</v>
      </c>
      <c r="AD261" s="22">
        <f t="shared" si="63"/>
        <v>0</v>
      </c>
      <c r="AE261" s="22">
        <f t="shared" si="63"/>
        <v>0</v>
      </c>
      <c r="AF261" s="22">
        <f t="shared" si="63"/>
        <v>0</v>
      </c>
      <c r="AG261" s="22">
        <f t="shared" si="63"/>
        <v>0</v>
      </c>
      <c r="AH261" s="22">
        <f t="shared" si="63"/>
        <v>0</v>
      </c>
      <c r="AI261" s="22">
        <f t="shared" si="63"/>
        <v>0</v>
      </c>
      <c r="AJ261" s="22">
        <f t="shared" si="63"/>
        <v>0</v>
      </c>
      <c r="AK261" s="22">
        <f t="shared" si="63"/>
        <v>0</v>
      </c>
      <c r="AL261" s="22">
        <f t="shared" si="63"/>
        <v>0</v>
      </c>
      <c r="AM261" s="22">
        <f t="shared" si="63"/>
        <v>0</v>
      </c>
      <c r="AN261" s="22">
        <f t="shared" si="63"/>
        <v>0</v>
      </c>
      <c r="AO261" s="22">
        <f t="shared" si="63"/>
        <v>0</v>
      </c>
      <c r="AP261" s="22">
        <f t="shared" si="63"/>
        <v>0</v>
      </c>
      <c r="AQ261" s="22">
        <f t="shared" si="63"/>
        <v>0</v>
      </c>
      <c r="AR261" s="22">
        <f t="shared" si="63"/>
        <v>0</v>
      </c>
      <c r="AS261" s="22">
        <f t="shared" si="63"/>
        <v>0</v>
      </c>
      <c r="AT261" s="22">
        <f t="shared" si="63"/>
        <v>0</v>
      </c>
      <c r="AU261" s="22">
        <f t="shared" si="63"/>
        <v>0</v>
      </c>
      <c r="AV261" s="22">
        <f t="shared" si="63"/>
        <v>0</v>
      </c>
      <c r="AW261" s="22">
        <f t="shared" si="63"/>
        <v>0</v>
      </c>
      <c r="AY261" s="79"/>
    </row>
    <row r="262" spans="1:51" x14ac:dyDescent="0.3">
      <c r="A262" s="95" t="str">
        <f t="shared" si="45"/>
        <v>FA Leaching</v>
      </c>
      <c r="B262" s="95" t="s">
        <v>962</v>
      </c>
      <c r="C262" s="95" t="s">
        <v>1190</v>
      </c>
      <c r="D262" t="s">
        <v>369</v>
      </c>
      <c r="E262" t="s">
        <v>61</v>
      </c>
      <c r="F262" t="s">
        <v>63</v>
      </c>
      <c r="G262" t="s">
        <v>439</v>
      </c>
      <c r="H262" t="s">
        <v>1192</v>
      </c>
      <c r="I262" t="s">
        <v>139</v>
      </c>
      <c r="J262" t="s">
        <v>287</v>
      </c>
      <c r="K262" s="22">
        <f t="shared" si="55"/>
        <v>0.10175116378121943</v>
      </c>
      <c r="L262" s="22">
        <f t="shared" si="63"/>
        <v>0.10192037938520998</v>
      </c>
      <c r="M262" s="22">
        <f t="shared" si="63"/>
        <v>0.102230624521803</v>
      </c>
      <c r="N262" s="22">
        <f t="shared" si="63"/>
        <v>0.10260144459215571</v>
      </c>
      <c r="O262" s="22">
        <f t="shared" si="63"/>
        <v>0.10285194917721978</v>
      </c>
      <c r="P262" s="22">
        <f t="shared" si="63"/>
        <v>0.10302433973360284</v>
      </c>
      <c r="Q262" s="22">
        <f t="shared" si="63"/>
        <v>0.10311874031263807</v>
      </c>
      <c r="R262" s="22">
        <f t="shared" si="63"/>
        <v>0.10327146311968674</v>
      </c>
      <c r="S262" s="22">
        <f t="shared" si="63"/>
        <v>0.10343188706296993</v>
      </c>
      <c r="T262" s="22">
        <f t="shared" si="63"/>
        <v>0.10231676998015095</v>
      </c>
      <c r="U262" s="22">
        <f t="shared" si="63"/>
        <v>0.10275895162111336</v>
      </c>
      <c r="V262" s="22">
        <f t="shared" si="63"/>
        <v>0.10336245461523248</v>
      </c>
      <c r="W262" s="22">
        <f t="shared" si="63"/>
        <v>0.10368675774662221</v>
      </c>
      <c r="X262" s="22">
        <f t="shared" si="63"/>
        <v>0.10404145269776151</v>
      </c>
      <c r="Y262" s="22">
        <f t="shared" si="63"/>
        <v>0.10443580363521765</v>
      </c>
      <c r="Z262" s="22">
        <f t="shared" si="63"/>
        <v>0.1048497598931184</v>
      </c>
      <c r="AA262" s="22">
        <f t="shared" si="63"/>
        <v>0.10529155067821512</v>
      </c>
      <c r="AB262" s="22">
        <f t="shared" si="63"/>
        <v>0.10573429480734184</v>
      </c>
      <c r="AC262" s="22">
        <f t="shared" si="63"/>
        <v>0.10620059916305352</v>
      </c>
      <c r="AD262" s="22">
        <f t="shared" si="63"/>
        <v>0.10666482354141628</v>
      </c>
      <c r="AE262" s="22">
        <f t="shared" si="63"/>
        <v>0.10716812014937527</v>
      </c>
      <c r="AF262" s="22">
        <f t="shared" si="63"/>
        <v>0.10765286539934465</v>
      </c>
      <c r="AG262" s="22">
        <f t="shared" si="63"/>
        <v>0.10814988041430322</v>
      </c>
      <c r="AH262" s="22">
        <f t="shared" si="63"/>
        <v>0.1086932343641567</v>
      </c>
      <c r="AI262" s="22">
        <f t="shared" si="63"/>
        <v>0.1091985095670623</v>
      </c>
      <c r="AJ262" s="22">
        <f t="shared" si="63"/>
        <v>0.10971732596273812</v>
      </c>
      <c r="AK262" s="22">
        <f t="shared" si="63"/>
        <v>0.11025547753556091</v>
      </c>
      <c r="AL262" s="22">
        <f t="shared" si="63"/>
        <v>0.11075007079547201</v>
      </c>
      <c r="AM262" s="22">
        <f t="shared" si="63"/>
        <v>0.11123091596993474</v>
      </c>
      <c r="AN262" s="22">
        <f t="shared" si="63"/>
        <v>0.11169987222752331</v>
      </c>
      <c r="AO262" s="22">
        <f t="shared" si="63"/>
        <v>0.11219468980678651</v>
      </c>
      <c r="AP262" s="22">
        <f t="shared" si="63"/>
        <v>0.11266090782059876</v>
      </c>
      <c r="AQ262" s="22">
        <f t="shared" si="63"/>
        <v>0.11313307913415467</v>
      </c>
      <c r="AR262" s="22">
        <f t="shared" si="63"/>
        <v>0.11361258764100189</v>
      </c>
      <c r="AS262" s="22">
        <f t="shared" si="63"/>
        <v>0.11410180170622075</v>
      </c>
      <c r="AT262" s="22">
        <f t="shared" si="63"/>
        <v>0.1145986803192975</v>
      </c>
      <c r="AU262" s="22">
        <f t="shared" si="63"/>
        <v>0.11475135344682705</v>
      </c>
      <c r="AV262" s="22">
        <f t="shared" si="63"/>
        <v>0.11487194074959778</v>
      </c>
      <c r="AW262" s="22">
        <f t="shared" si="63"/>
        <v>0.11494706662841653</v>
      </c>
      <c r="AY262" s="79"/>
    </row>
    <row r="263" spans="1:51" x14ac:dyDescent="0.3">
      <c r="A263" s="95" t="str">
        <f t="shared" si="45"/>
        <v>FA Leaching</v>
      </c>
      <c r="B263" s="95" t="s">
        <v>962</v>
      </c>
      <c r="C263" s="95" t="s">
        <v>1190</v>
      </c>
      <c r="D263" t="s">
        <v>369</v>
      </c>
      <c r="E263" t="s">
        <v>61</v>
      </c>
      <c r="F263" t="s">
        <v>63</v>
      </c>
      <c r="G263" t="s">
        <v>1193</v>
      </c>
      <c r="H263" t="s">
        <v>1194</v>
      </c>
      <c r="I263" t="s">
        <v>139</v>
      </c>
      <c r="J263" t="s">
        <v>287</v>
      </c>
      <c r="K263" s="22" t="str">
        <f t="shared" si="55"/>
        <v>NO</v>
      </c>
      <c r="L263" s="22" t="str">
        <f t="shared" si="63"/>
        <v>NO</v>
      </c>
      <c r="M263" s="22" t="str">
        <f t="shared" si="63"/>
        <v>NO</v>
      </c>
      <c r="N263" s="22" t="str">
        <f t="shared" si="63"/>
        <v>NO</v>
      </c>
      <c r="O263" s="22" t="str">
        <f t="shared" si="63"/>
        <v>NO</v>
      </c>
      <c r="P263" s="22" t="str">
        <f t="shared" si="63"/>
        <v>NO</v>
      </c>
      <c r="Q263" s="22" t="str">
        <f t="shared" si="63"/>
        <v>NO</v>
      </c>
      <c r="R263" s="22" t="str">
        <f t="shared" si="63"/>
        <v>NO</v>
      </c>
      <c r="S263" s="22" t="str">
        <f t="shared" si="63"/>
        <v>NO</v>
      </c>
      <c r="T263" s="22" t="str">
        <f t="shared" si="63"/>
        <v>NO</v>
      </c>
      <c r="U263" s="22" t="str">
        <f t="shared" si="63"/>
        <v>NO</v>
      </c>
      <c r="V263" s="22" t="str">
        <f t="shared" si="63"/>
        <v>NO</v>
      </c>
      <c r="W263" s="22" t="str">
        <f t="shared" si="63"/>
        <v>NO</v>
      </c>
      <c r="X263" s="22" t="str">
        <f t="shared" si="63"/>
        <v>NO</v>
      </c>
      <c r="Y263" s="22" t="str">
        <f t="shared" si="63"/>
        <v>NO</v>
      </c>
      <c r="Z263" s="22" t="str">
        <f t="shared" si="63"/>
        <v>NO</v>
      </c>
      <c r="AA263" s="22" t="str">
        <f t="shared" si="63"/>
        <v>NO</v>
      </c>
      <c r="AB263" s="22" t="str">
        <f t="shared" si="63"/>
        <v>NO</v>
      </c>
      <c r="AC263" s="22" t="str">
        <f t="shared" si="63"/>
        <v>NO</v>
      </c>
      <c r="AD263" s="22" t="str">
        <f t="shared" si="63"/>
        <v>NO</v>
      </c>
      <c r="AE263" s="22" t="str">
        <f t="shared" si="63"/>
        <v>NO</v>
      </c>
      <c r="AF263" s="22" t="str">
        <f t="shared" si="63"/>
        <v>NO</v>
      </c>
      <c r="AG263" s="22" t="str">
        <f t="shared" si="63"/>
        <v>NO</v>
      </c>
      <c r="AH263" s="22" t="str">
        <f t="shared" si="63"/>
        <v>NO</v>
      </c>
      <c r="AI263" s="22" t="str">
        <f t="shared" si="63"/>
        <v>NO</v>
      </c>
      <c r="AJ263" s="22" t="str">
        <f t="shared" si="63"/>
        <v>NO</v>
      </c>
      <c r="AK263" s="22" t="str">
        <f t="shared" si="63"/>
        <v>NO</v>
      </c>
      <c r="AL263" s="22" t="str">
        <f t="shared" si="63"/>
        <v>NO</v>
      </c>
      <c r="AM263" s="22" t="str">
        <f t="shared" si="63"/>
        <v>NO</v>
      </c>
      <c r="AN263" s="22" t="str">
        <f t="shared" si="63"/>
        <v>NO</v>
      </c>
      <c r="AO263" s="22" t="str">
        <f t="shared" si="63"/>
        <v>NO</v>
      </c>
      <c r="AP263" s="22" t="str">
        <f t="shared" si="63"/>
        <v>NO</v>
      </c>
      <c r="AQ263" s="22" t="str">
        <f t="shared" si="63"/>
        <v>NO</v>
      </c>
      <c r="AR263" s="22" t="str">
        <f t="shared" si="63"/>
        <v>NO</v>
      </c>
      <c r="AS263" s="22" t="str">
        <f t="shared" si="63"/>
        <v>NO</v>
      </c>
      <c r="AT263" s="22" t="str">
        <f t="shared" si="63"/>
        <v>NO</v>
      </c>
      <c r="AU263" s="22" t="str">
        <f t="shared" si="63"/>
        <v>NO</v>
      </c>
      <c r="AV263" s="22" t="str">
        <f t="shared" si="63"/>
        <v>NO</v>
      </c>
      <c r="AW263" s="22" t="str">
        <f t="shared" si="63"/>
        <v>NO</v>
      </c>
      <c r="AY263" s="79"/>
    </row>
    <row r="264" spans="1:51" x14ac:dyDescent="0.3">
      <c r="A264" s="95" t="str">
        <f t="shared" si="45"/>
        <v>FA Leaching</v>
      </c>
      <c r="B264" s="95" t="s">
        <v>962</v>
      </c>
      <c r="C264" s="95" t="s">
        <v>1190</v>
      </c>
      <c r="D264" t="s">
        <v>369</v>
      </c>
      <c r="E264" t="s">
        <v>61</v>
      </c>
      <c r="F264" t="s">
        <v>63</v>
      </c>
      <c r="G264" t="s">
        <v>1195</v>
      </c>
      <c r="H264" t="s">
        <v>1196</v>
      </c>
      <c r="I264" t="s">
        <v>139</v>
      </c>
      <c r="J264" t="s">
        <v>287</v>
      </c>
      <c r="K264" s="22" t="str">
        <f t="shared" si="55"/>
        <v>NO</v>
      </c>
      <c r="L264" s="22" t="str">
        <f t="shared" si="63"/>
        <v>NO</v>
      </c>
      <c r="M264" s="22" t="str">
        <f t="shared" si="63"/>
        <v>NO</v>
      </c>
      <c r="N264" s="22" t="str">
        <f t="shared" si="63"/>
        <v>NO</v>
      </c>
      <c r="O264" s="22" t="str">
        <f t="shared" si="63"/>
        <v>NO</v>
      </c>
      <c r="P264" s="22" t="str">
        <f t="shared" si="63"/>
        <v>NO</v>
      </c>
      <c r="Q264" s="22" t="str">
        <f t="shared" si="63"/>
        <v>NO</v>
      </c>
      <c r="R264" s="22" t="str">
        <f t="shared" si="63"/>
        <v>NO</v>
      </c>
      <c r="S264" s="22" t="str">
        <f t="shared" si="63"/>
        <v>NO</v>
      </c>
      <c r="T264" s="22" t="str">
        <f t="shared" si="63"/>
        <v>NO</v>
      </c>
      <c r="U264" s="22" t="str">
        <f t="shared" si="63"/>
        <v>NO</v>
      </c>
      <c r="V264" s="22" t="str">
        <f t="shared" si="63"/>
        <v>NO</v>
      </c>
      <c r="W264" s="22" t="str">
        <f t="shared" si="63"/>
        <v>NO</v>
      </c>
      <c r="X264" s="22" t="str">
        <f t="shared" si="63"/>
        <v>NO</v>
      </c>
      <c r="Y264" s="22" t="str">
        <f t="shared" si="63"/>
        <v>NO</v>
      </c>
      <c r="Z264" s="22" t="str">
        <f t="shared" si="63"/>
        <v>NO</v>
      </c>
      <c r="AA264" s="22" t="str">
        <f t="shared" si="63"/>
        <v>NO</v>
      </c>
      <c r="AB264" s="22" t="str">
        <f t="shared" si="63"/>
        <v>NO</v>
      </c>
      <c r="AC264" s="22" t="str">
        <f t="shared" si="63"/>
        <v>NO</v>
      </c>
      <c r="AD264" s="22" t="str">
        <f t="shared" si="63"/>
        <v>NO</v>
      </c>
      <c r="AE264" s="22" t="str">
        <f t="shared" si="63"/>
        <v>NO</v>
      </c>
      <c r="AF264" s="22" t="str">
        <f t="shared" si="63"/>
        <v>NO</v>
      </c>
      <c r="AG264" s="22" t="str">
        <f t="shared" si="63"/>
        <v>NO</v>
      </c>
      <c r="AH264" s="22" t="str">
        <f t="shared" si="63"/>
        <v>NO</v>
      </c>
      <c r="AI264" s="22" t="str">
        <f t="shared" si="63"/>
        <v>NO</v>
      </c>
      <c r="AJ264" s="22" t="str">
        <f t="shared" si="63"/>
        <v>NO</v>
      </c>
      <c r="AK264" s="22" t="str">
        <f t="shared" si="63"/>
        <v>NO</v>
      </c>
      <c r="AL264" s="22" t="str">
        <f t="shared" si="63"/>
        <v>NO</v>
      </c>
      <c r="AM264" s="22" t="str">
        <f t="shared" si="63"/>
        <v>NO</v>
      </c>
      <c r="AN264" s="22" t="str">
        <f t="shared" si="63"/>
        <v>NO</v>
      </c>
      <c r="AO264" s="22" t="str">
        <f t="shared" si="63"/>
        <v>NO</v>
      </c>
      <c r="AP264" s="22" t="str">
        <f t="shared" si="63"/>
        <v>NO</v>
      </c>
      <c r="AQ264" s="22" t="str">
        <f t="shared" si="63"/>
        <v>NO</v>
      </c>
      <c r="AR264" s="22" t="str">
        <f t="shared" si="63"/>
        <v>NO</v>
      </c>
      <c r="AS264" s="22" t="str">
        <f t="shared" si="63"/>
        <v>NO</v>
      </c>
      <c r="AT264" s="22" t="str">
        <f t="shared" si="63"/>
        <v>NO</v>
      </c>
      <c r="AU264" s="22" t="str">
        <f t="shared" si="63"/>
        <v>NO</v>
      </c>
      <c r="AV264" s="22" t="str">
        <f t="shared" si="63"/>
        <v>NO</v>
      </c>
      <c r="AW264" s="22" t="str">
        <f t="shared" si="63"/>
        <v>NO</v>
      </c>
      <c r="AY264" s="79"/>
    </row>
    <row r="265" spans="1:51" x14ac:dyDescent="0.3">
      <c r="A265" s="95" t="str">
        <f t="shared" si="45"/>
        <v>FA Leaching</v>
      </c>
      <c r="B265" s="95" t="s">
        <v>962</v>
      </c>
      <c r="C265" s="95" t="s">
        <v>1190</v>
      </c>
      <c r="D265" t="s">
        <v>369</v>
      </c>
      <c r="E265" t="s">
        <v>61</v>
      </c>
      <c r="F265" t="s">
        <v>63</v>
      </c>
      <c r="G265" t="s">
        <v>1197</v>
      </c>
      <c r="H265" t="s">
        <v>1198</v>
      </c>
      <c r="I265" t="s">
        <v>139</v>
      </c>
      <c r="J265" t="s">
        <v>287</v>
      </c>
      <c r="K265" s="22">
        <f t="shared" si="55"/>
        <v>1.1867590793806392E-4</v>
      </c>
      <c r="L265" s="22">
        <f t="shared" si="63"/>
        <v>1.1853617037070301E-4</v>
      </c>
      <c r="M265" s="22">
        <f t="shared" si="63"/>
        <v>1.1839643280334203E-4</v>
      </c>
      <c r="N265" s="22">
        <f t="shared" si="63"/>
        <v>1.1825669523598106E-4</v>
      </c>
      <c r="O265" s="22">
        <f t="shared" si="63"/>
        <v>1.1811695766862012E-4</v>
      </c>
      <c r="P265" s="22">
        <f t="shared" si="63"/>
        <v>1.1797722010125916E-4</v>
      </c>
      <c r="Q265" s="22">
        <f t="shared" si="63"/>
        <v>1.178374825338982E-4</v>
      </c>
      <c r="R265" s="22">
        <f t="shared" si="63"/>
        <v>1.1769774496653728E-4</v>
      </c>
      <c r="S265" s="22">
        <f t="shared" si="63"/>
        <v>1.1755800739917633E-4</v>
      </c>
      <c r="T265" s="22">
        <f t="shared" si="63"/>
        <v>1.174182698318154E-4</v>
      </c>
      <c r="U265" s="22">
        <f t="shared" si="63"/>
        <v>1.1727853226445441E-4</v>
      </c>
      <c r="V265" s="22">
        <f t="shared" si="63"/>
        <v>1.1713879469709348E-4</v>
      </c>
      <c r="W265" s="22">
        <f t="shared" si="63"/>
        <v>1.1699905712973254E-4</v>
      </c>
      <c r="X265" s="22">
        <f t="shared" si="63"/>
        <v>1.168593195623716E-4</v>
      </c>
      <c r="Y265" s="22">
        <f t="shared" si="63"/>
        <v>1.1671958199501069E-4</v>
      </c>
      <c r="Z265" s="22">
        <f t="shared" si="63"/>
        <v>1.1657984442764968E-4</v>
      </c>
      <c r="AA265" s="22">
        <f t="shared" si="63"/>
        <v>1.1644010686028878E-4</v>
      </c>
      <c r="AB265" s="22">
        <f t="shared" si="63"/>
        <v>1.1630036929292779E-4</v>
      </c>
      <c r="AC265" s="22">
        <f t="shared" si="63"/>
        <v>1.1616063172556689E-4</v>
      </c>
      <c r="AD265" s="22">
        <f t="shared" si="63"/>
        <v>1.1602089415820588E-4</v>
      </c>
      <c r="AE265" s="22">
        <f t="shared" si="63"/>
        <v>1.1588115659084502E-4</v>
      </c>
      <c r="AF265" s="22">
        <f t="shared" si="63"/>
        <v>1.1574141902348403E-4</v>
      </c>
      <c r="AG265" s="22">
        <f t="shared" si="63"/>
        <v>1.1560168145612309E-4</v>
      </c>
      <c r="AH265" s="22">
        <f t="shared" si="63"/>
        <v>1.154619438887621E-4</v>
      </c>
      <c r="AI265" s="22">
        <f t="shared" si="63"/>
        <v>1.1532220632140118E-4</v>
      </c>
      <c r="AJ265" s="22">
        <f t="shared" si="63"/>
        <v>1.1518246875404022E-4</v>
      </c>
      <c r="AK265" s="22">
        <f t="shared" si="63"/>
        <v>1.1504273118667928E-4</v>
      </c>
      <c r="AL265" s="22">
        <f t="shared" si="63"/>
        <v>1.1490299361931835E-4</v>
      </c>
      <c r="AM265" s="22">
        <f t="shared" si="63"/>
        <v>1.1476325605195744E-4</v>
      </c>
      <c r="AN265" s="22">
        <f t="shared" si="63"/>
        <v>1.1462351848459642E-4</v>
      </c>
      <c r="AO265" s="22">
        <f t="shared" si="63"/>
        <v>1.1448378091723552E-4</v>
      </c>
      <c r="AP265" s="22">
        <f t="shared" si="63"/>
        <v>1.1434404334987458E-4</v>
      </c>
      <c r="AQ265" s="22">
        <f t="shared" si="63"/>
        <v>1.1420430578251366E-4</v>
      </c>
      <c r="AR265" s="22">
        <f t="shared" si="63"/>
        <v>1.1406456821515268E-4</v>
      </c>
      <c r="AS265" s="22">
        <f t="shared" si="63"/>
        <v>1.1392483064779174E-4</v>
      </c>
      <c r="AT265" s="22">
        <f t="shared" si="63"/>
        <v>1.1378509308043078E-4</v>
      </c>
      <c r="AU265" s="22">
        <f t="shared" si="63"/>
        <v>1.136453555130698E-4</v>
      </c>
      <c r="AV265" s="22">
        <f t="shared" si="63"/>
        <v>1.1350561794570888E-4</v>
      </c>
      <c r="AW265" s="22">
        <f t="shared" si="63"/>
        <v>1.1336588037834792E-4</v>
      </c>
      <c r="AY265" s="79"/>
    </row>
    <row r="266" spans="1:51" x14ac:dyDescent="0.3">
      <c r="A266" s="95" t="str">
        <f t="shared" si="45"/>
        <v>FA Leaching</v>
      </c>
      <c r="B266" s="95" t="s">
        <v>962</v>
      </c>
      <c r="C266" s="95" t="s">
        <v>1190</v>
      </c>
      <c r="D266" t="s">
        <v>369</v>
      </c>
      <c r="E266" t="s">
        <v>61</v>
      </c>
      <c r="F266" t="s">
        <v>63</v>
      </c>
      <c r="G266" t="s">
        <v>1199</v>
      </c>
      <c r="H266" t="s">
        <v>1200</v>
      </c>
      <c r="I266" t="s">
        <v>139</v>
      </c>
      <c r="J266" t="s">
        <v>287</v>
      </c>
      <c r="K266" s="22">
        <f t="shared" si="55"/>
        <v>1.6912231388729011E-2</v>
      </c>
      <c r="L266" s="22">
        <f t="shared" si="63"/>
        <v>1.6951420148247919E-2</v>
      </c>
      <c r="M266" s="22">
        <f t="shared" si="63"/>
        <v>1.6990608907766828E-2</v>
      </c>
      <c r="N266" s="22">
        <f t="shared" si="63"/>
        <v>1.702979766728574E-2</v>
      </c>
      <c r="O266" s="22">
        <f t="shared" si="63"/>
        <v>1.7068986426804648E-2</v>
      </c>
      <c r="P266" s="22">
        <f t="shared" si="63"/>
        <v>1.7108175186323554E-2</v>
      </c>
      <c r="Q266" s="22">
        <f t="shared" si="63"/>
        <v>1.7147363945842466E-2</v>
      </c>
      <c r="R266" s="22">
        <f t="shared" si="63"/>
        <v>1.7186552705361371E-2</v>
      </c>
      <c r="S266" s="22">
        <f t="shared" si="63"/>
        <v>1.7225741464880276E-2</v>
      </c>
      <c r="T266" s="22">
        <f t="shared" si="63"/>
        <v>1.7264930224399191E-2</v>
      </c>
      <c r="U266" s="22">
        <f t="shared" si="63"/>
        <v>1.7304118983918097E-2</v>
      </c>
      <c r="V266" s="22">
        <f t="shared" si="63"/>
        <v>1.7343307743437009E-2</v>
      </c>
      <c r="W266" s="22">
        <f t="shared" si="63"/>
        <v>1.7382496502955917E-2</v>
      </c>
      <c r="X266" s="22">
        <f t="shared" si="63"/>
        <v>1.7421685262474829E-2</v>
      </c>
      <c r="Y266" s="22">
        <f t="shared" si="63"/>
        <v>1.7460874021993734E-2</v>
      </c>
      <c r="Z266" s="22">
        <f t="shared" si="63"/>
        <v>1.750006278151265E-2</v>
      </c>
      <c r="AA266" s="22">
        <f t="shared" si="63"/>
        <v>1.7539251541031548E-2</v>
      </c>
      <c r="AB266" s="22">
        <f t="shared" si="63"/>
        <v>1.7578440300550464E-2</v>
      </c>
      <c r="AC266" s="22">
        <f t="shared" si="63"/>
        <v>1.7617629060069376E-2</v>
      </c>
      <c r="AD266" s="22">
        <f t="shared" si="63"/>
        <v>1.7656817819588281E-2</v>
      </c>
      <c r="AE266" s="22">
        <f t="shared" si="63"/>
        <v>1.769600657910719E-2</v>
      </c>
      <c r="AF266" s="22">
        <f t="shared" si="63"/>
        <v>1.7735195338626102E-2</v>
      </c>
      <c r="AG266" s="22">
        <f t="shared" si="63"/>
        <v>1.777438409814501E-2</v>
      </c>
      <c r="AH266" s="22">
        <f t="shared" si="63"/>
        <v>1.7813572857663919E-2</v>
      </c>
      <c r="AI266" s="22">
        <f t="shared" si="63"/>
        <v>1.7852761617182831E-2</v>
      </c>
      <c r="AJ266" s="22">
        <f t="shared" si="63"/>
        <v>1.7891950376701736E-2</v>
      </c>
      <c r="AK266" s="22">
        <f t="shared" si="63"/>
        <v>1.7931139136220645E-2</v>
      </c>
      <c r="AL266" s="22">
        <f t="shared" si="63"/>
        <v>1.7970327895739557E-2</v>
      </c>
      <c r="AM266" s="22">
        <f t="shared" si="63"/>
        <v>1.8009516655258465E-2</v>
      </c>
      <c r="AN266" s="22">
        <f t="shared" si="63"/>
        <v>1.8048705414777374E-2</v>
      </c>
      <c r="AO266" s="22">
        <f t="shared" si="63"/>
        <v>1.8087894174296286E-2</v>
      </c>
      <c r="AP266" s="22">
        <f t="shared" si="63"/>
        <v>1.8127082933815188E-2</v>
      </c>
      <c r="AQ266" s="22">
        <f t="shared" si="63"/>
        <v>1.8166271693334096E-2</v>
      </c>
      <c r="AR266" s="22">
        <f t="shared" si="63"/>
        <v>1.8205460452853015E-2</v>
      </c>
      <c r="AS266" s="22">
        <f t="shared" si="63"/>
        <v>1.8244649212371917E-2</v>
      </c>
      <c r="AT266" s="22">
        <f t="shared" si="63"/>
        <v>1.8283837971890825E-2</v>
      </c>
      <c r="AU266" s="22">
        <f t="shared" si="63"/>
        <v>1.8323026731409734E-2</v>
      </c>
      <c r="AV266" s="22">
        <f t="shared" si="63"/>
        <v>1.8362215490928643E-2</v>
      </c>
      <c r="AW266" s="22">
        <f t="shared" si="63"/>
        <v>1.8401404250447555E-2</v>
      </c>
      <c r="AY266" s="79"/>
    </row>
    <row r="267" spans="1:51" x14ac:dyDescent="0.3">
      <c r="A267" s="95" t="str">
        <f t="shared" si="45"/>
        <v>FA Leaching</v>
      </c>
      <c r="B267" s="95" t="s">
        <v>962</v>
      </c>
      <c r="C267" s="95" t="s">
        <v>1190</v>
      </c>
      <c r="D267" t="s">
        <v>369</v>
      </c>
      <c r="E267" t="s">
        <v>61</v>
      </c>
      <c r="F267" t="s">
        <v>63</v>
      </c>
      <c r="G267" t="s">
        <v>1201</v>
      </c>
      <c r="H267" t="s">
        <v>1202</v>
      </c>
      <c r="I267" t="s">
        <v>139</v>
      </c>
      <c r="J267" t="s">
        <v>287</v>
      </c>
      <c r="K267" s="22">
        <f t="shared" si="55"/>
        <v>1.9871041213735664E-2</v>
      </c>
      <c r="L267" s="22">
        <f t="shared" si="63"/>
        <v>1.9871041213735664E-2</v>
      </c>
      <c r="M267" s="22">
        <f t="shared" si="63"/>
        <v>1.9871041213735664E-2</v>
      </c>
      <c r="N267" s="22">
        <f t="shared" si="63"/>
        <v>1.9871041213735664E-2</v>
      </c>
      <c r="O267" s="22">
        <f t="shared" si="63"/>
        <v>1.9871041213735664E-2</v>
      </c>
      <c r="P267" s="22">
        <f t="shared" si="63"/>
        <v>1.9871041213735664E-2</v>
      </c>
      <c r="Q267" s="22">
        <f t="shared" si="63"/>
        <v>1.9871041213735664E-2</v>
      </c>
      <c r="R267" s="22">
        <f t="shared" si="63"/>
        <v>1.9871041213735664E-2</v>
      </c>
      <c r="S267" s="22">
        <f t="shared" si="63"/>
        <v>1.9871041213735664E-2</v>
      </c>
      <c r="T267" s="22">
        <f t="shared" si="63"/>
        <v>1.9871041213735664E-2</v>
      </c>
      <c r="U267" s="22">
        <f t="shared" si="63"/>
        <v>1.9871041213735664E-2</v>
      </c>
      <c r="V267" s="22">
        <f t="shared" si="63"/>
        <v>1.9871041213735664E-2</v>
      </c>
      <c r="W267" s="22">
        <f t="shared" si="63"/>
        <v>1.9871041213735664E-2</v>
      </c>
      <c r="X267" s="22">
        <f t="shared" si="63"/>
        <v>1.9871041213735664E-2</v>
      </c>
      <c r="Y267" s="22">
        <f t="shared" si="63"/>
        <v>1.9871041213735664E-2</v>
      </c>
      <c r="Z267" s="22">
        <f t="shared" si="63"/>
        <v>1.9871041213735664E-2</v>
      </c>
      <c r="AA267" s="22">
        <f t="shared" si="63"/>
        <v>1.9871041213735664E-2</v>
      </c>
      <c r="AB267" s="22">
        <f t="shared" si="63"/>
        <v>1.9871041213735664E-2</v>
      </c>
      <c r="AC267" s="22">
        <f t="shared" si="63"/>
        <v>1.9871041213735664E-2</v>
      </c>
      <c r="AD267" s="22">
        <f t="shared" si="63"/>
        <v>1.9871041213735664E-2</v>
      </c>
      <c r="AE267" s="22">
        <f t="shared" si="63"/>
        <v>1.9871041213735664E-2</v>
      </c>
      <c r="AF267" s="22">
        <f t="shared" si="63"/>
        <v>1.9871041213735664E-2</v>
      </c>
      <c r="AG267" s="22">
        <f t="shared" si="63"/>
        <v>1.9871041213735664E-2</v>
      </c>
      <c r="AH267" s="22">
        <f t="shared" si="63"/>
        <v>1.9871041213735664E-2</v>
      </c>
      <c r="AI267" s="22">
        <f t="shared" si="63"/>
        <v>1.9871041213735664E-2</v>
      </c>
      <c r="AJ267" s="22">
        <f t="shared" si="63"/>
        <v>1.9871041213735664E-2</v>
      </c>
      <c r="AK267" s="22">
        <f t="shared" si="63"/>
        <v>1.9871041213735664E-2</v>
      </c>
      <c r="AL267" s="22">
        <f t="shared" si="63"/>
        <v>1.9871041213735664E-2</v>
      </c>
      <c r="AM267" s="22">
        <f t="shared" si="63"/>
        <v>1.9871041213735664E-2</v>
      </c>
      <c r="AN267" s="22">
        <f t="shared" si="63"/>
        <v>1.9871041213735664E-2</v>
      </c>
      <c r="AO267" s="22">
        <f t="shared" si="63"/>
        <v>1.9871041213735664E-2</v>
      </c>
      <c r="AP267" s="22">
        <f t="shared" ref="L267:AW274" si="64">AP1523</f>
        <v>1.9871041213735664E-2</v>
      </c>
      <c r="AQ267" s="22">
        <f t="shared" si="64"/>
        <v>1.9871041213735664E-2</v>
      </c>
      <c r="AR267" s="22">
        <f t="shared" si="64"/>
        <v>1.9871041213735664E-2</v>
      </c>
      <c r="AS267" s="22">
        <f t="shared" si="64"/>
        <v>1.9871041213735664E-2</v>
      </c>
      <c r="AT267" s="22">
        <f t="shared" si="64"/>
        <v>1.9871041213735664E-2</v>
      </c>
      <c r="AU267" s="22">
        <f t="shared" si="64"/>
        <v>1.9871041213735664E-2</v>
      </c>
      <c r="AV267" s="22">
        <f t="shared" si="64"/>
        <v>1.9871041213735664E-2</v>
      </c>
      <c r="AW267" s="22">
        <f t="shared" si="64"/>
        <v>1.9871041213735664E-2</v>
      </c>
      <c r="AY267" s="79"/>
    </row>
    <row r="268" spans="1:51" x14ac:dyDescent="0.3">
      <c r="A268" s="95" t="str">
        <f t="shared" si="45"/>
        <v>FA Leaching</v>
      </c>
      <c r="B268" s="95" t="s">
        <v>962</v>
      </c>
      <c r="C268" s="95" t="s">
        <v>1190</v>
      </c>
      <c r="D268" t="s">
        <v>369</v>
      </c>
      <c r="E268" t="s">
        <v>61</v>
      </c>
      <c r="F268" t="s">
        <v>63</v>
      </c>
      <c r="G268" t="s">
        <v>1203</v>
      </c>
      <c r="H268" t="s">
        <v>1204</v>
      </c>
      <c r="I268" t="s">
        <v>139</v>
      </c>
      <c r="J268" t="s">
        <v>287</v>
      </c>
      <c r="K268" s="22" t="str">
        <f t="shared" si="55"/>
        <v>NO</v>
      </c>
      <c r="L268" s="22" t="str">
        <f t="shared" si="64"/>
        <v>NO</v>
      </c>
      <c r="M268" s="22" t="str">
        <f t="shared" si="64"/>
        <v>NO</v>
      </c>
      <c r="N268" s="22" t="str">
        <f t="shared" si="64"/>
        <v>NO</v>
      </c>
      <c r="O268" s="22" t="str">
        <f t="shared" si="64"/>
        <v>NO</v>
      </c>
      <c r="P268" s="22" t="str">
        <f t="shared" si="64"/>
        <v>NO</v>
      </c>
      <c r="Q268" s="22" t="str">
        <f t="shared" si="64"/>
        <v>NO</v>
      </c>
      <c r="R268" s="22" t="str">
        <f t="shared" si="64"/>
        <v>NO</v>
      </c>
      <c r="S268" s="22" t="str">
        <f t="shared" si="64"/>
        <v>NO</v>
      </c>
      <c r="T268" s="22" t="str">
        <f t="shared" si="64"/>
        <v>NO</v>
      </c>
      <c r="U268" s="22" t="str">
        <f t="shared" si="64"/>
        <v>NO</v>
      </c>
      <c r="V268" s="22" t="str">
        <f t="shared" si="64"/>
        <v>NO</v>
      </c>
      <c r="W268" s="22" t="str">
        <f t="shared" si="64"/>
        <v>NO</v>
      </c>
      <c r="X268" s="22" t="str">
        <f t="shared" si="64"/>
        <v>NO</v>
      </c>
      <c r="Y268" s="22" t="str">
        <f t="shared" si="64"/>
        <v>NO</v>
      </c>
      <c r="Z268" s="22" t="str">
        <f t="shared" si="64"/>
        <v>NO</v>
      </c>
      <c r="AA268" s="22" t="str">
        <f t="shared" si="64"/>
        <v>NO</v>
      </c>
      <c r="AB268" s="22" t="str">
        <f t="shared" si="64"/>
        <v>NO</v>
      </c>
      <c r="AC268" s="22" t="str">
        <f t="shared" si="64"/>
        <v>NO</v>
      </c>
      <c r="AD268" s="22" t="str">
        <f t="shared" si="64"/>
        <v>NO</v>
      </c>
      <c r="AE268" s="22" t="str">
        <f t="shared" si="64"/>
        <v>NO</v>
      </c>
      <c r="AF268" s="22" t="str">
        <f t="shared" si="64"/>
        <v>NO</v>
      </c>
      <c r="AG268" s="22" t="str">
        <f t="shared" si="64"/>
        <v>NO</v>
      </c>
      <c r="AH268" s="22" t="str">
        <f t="shared" si="64"/>
        <v>NO</v>
      </c>
      <c r="AI268" s="22" t="str">
        <f t="shared" si="64"/>
        <v>NO</v>
      </c>
      <c r="AJ268" s="22" t="str">
        <f t="shared" si="64"/>
        <v>NO</v>
      </c>
      <c r="AK268" s="22" t="str">
        <f t="shared" si="64"/>
        <v>NO</v>
      </c>
      <c r="AL268" s="22" t="str">
        <f t="shared" si="64"/>
        <v>NO</v>
      </c>
      <c r="AM268" s="22" t="str">
        <f t="shared" si="64"/>
        <v>NO</v>
      </c>
      <c r="AN268" s="22" t="str">
        <f t="shared" si="64"/>
        <v>NO</v>
      </c>
      <c r="AO268" s="22" t="str">
        <f t="shared" si="64"/>
        <v>NO</v>
      </c>
      <c r="AP268" s="22" t="str">
        <f t="shared" si="64"/>
        <v>NO</v>
      </c>
      <c r="AQ268" s="22" t="str">
        <f t="shared" si="64"/>
        <v>NO</v>
      </c>
      <c r="AR268" s="22" t="str">
        <f t="shared" si="64"/>
        <v>NO</v>
      </c>
      <c r="AS268" s="22" t="str">
        <f t="shared" si="64"/>
        <v>NO</v>
      </c>
      <c r="AT268" s="22" t="str">
        <f t="shared" si="64"/>
        <v>NO</v>
      </c>
      <c r="AU268" s="22" t="str">
        <f t="shared" si="64"/>
        <v>NO</v>
      </c>
      <c r="AV268" s="22" t="str">
        <f t="shared" si="64"/>
        <v>NO</v>
      </c>
      <c r="AW268" s="22" t="str">
        <f t="shared" si="64"/>
        <v>NO</v>
      </c>
      <c r="AY268" s="79"/>
    </row>
    <row r="269" spans="1:51" x14ac:dyDescent="0.3">
      <c r="A269" s="95" t="str">
        <f t="shared" si="45"/>
        <v>FA Leaching</v>
      </c>
      <c r="B269" s="95" t="s">
        <v>962</v>
      </c>
      <c r="C269" s="95" t="s">
        <v>1190</v>
      </c>
      <c r="D269" t="s">
        <v>369</v>
      </c>
      <c r="E269" t="s">
        <v>61</v>
      </c>
      <c r="F269" t="s">
        <v>63</v>
      </c>
      <c r="G269" t="s">
        <v>1205</v>
      </c>
      <c r="H269" t="s">
        <v>1206</v>
      </c>
      <c r="I269" t="s">
        <v>139</v>
      </c>
      <c r="J269" t="s">
        <v>287</v>
      </c>
      <c r="K269" s="22" t="str">
        <f t="shared" si="55"/>
        <v>NO</v>
      </c>
      <c r="L269" s="22" t="str">
        <f t="shared" si="64"/>
        <v>NO</v>
      </c>
      <c r="M269" s="22" t="str">
        <f t="shared" si="64"/>
        <v>NO</v>
      </c>
      <c r="N269" s="22" t="str">
        <f t="shared" si="64"/>
        <v>NO</v>
      </c>
      <c r="O269" s="22" t="str">
        <f t="shared" si="64"/>
        <v>NO</v>
      </c>
      <c r="P269" s="22" t="str">
        <f t="shared" si="64"/>
        <v>NO</v>
      </c>
      <c r="Q269" s="22" t="str">
        <f t="shared" si="64"/>
        <v>NO</v>
      </c>
      <c r="R269" s="22" t="str">
        <f t="shared" si="64"/>
        <v>NO</v>
      </c>
      <c r="S269" s="22" t="str">
        <f t="shared" si="64"/>
        <v>NO</v>
      </c>
      <c r="T269" s="22" t="str">
        <f t="shared" si="64"/>
        <v>NO</v>
      </c>
      <c r="U269" s="22" t="str">
        <f t="shared" si="64"/>
        <v>NO</v>
      </c>
      <c r="V269" s="22" t="str">
        <f t="shared" si="64"/>
        <v>NO</v>
      </c>
      <c r="W269" s="22" t="str">
        <f t="shared" si="64"/>
        <v>NO</v>
      </c>
      <c r="X269" s="22" t="str">
        <f t="shared" si="64"/>
        <v>NO</v>
      </c>
      <c r="Y269" s="22" t="str">
        <f t="shared" si="64"/>
        <v>NO</v>
      </c>
      <c r="Z269" s="22" t="str">
        <f t="shared" si="64"/>
        <v>NO</v>
      </c>
      <c r="AA269" s="22" t="str">
        <f t="shared" si="64"/>
        <v>NO</v>
      </c>
      <c r="AB269" s="22" t="str">
        <f t="shared" si="64"/>
        <v>NO</v>
      </c>
      <c r="AC269" s="22" t="str">
        <f t="shared" si="64"/>
        <v>NO</v>
      </c>
      <c r="AD269" s="22" t="str">
        <f t="shared" si="64"/>
        <v>NO</v>
      </c>
      <c r="AE269" s="22" t="str">
        <f t="shared" si="64"/>
        <v>NO</v>
      </c>
      <c r="AF269" s="22" t="str">
        <f t="shared" si="64"/>
        <v>NO</v>
      </c>
      <c r="AG269" s="22" t="str">
        <f t="shared" si="64"/>
        <v>NO</v>
      </c>
      <c r="AH269" s="22" t="str">
        <f t="shared" si="64"/>
        <v>NO</v>
      </c>
      <c r="AI269" s="22" t="str">
        <f t="shared" si="64"/>
        <v>NO</v>
      </c>
      <c r="AJ269" s="22" t="str">
        <f t="shared" si="64"/>
        <v>NO</v>
      </c>
      <c r="AK269" s="22" t="str">
        <f t="shared" si="64"/>
        <v>NO</v>
      </c>
      <c r="AL269" s="22" t="str">
        <f t="shared" si="64"/>
        <v>NO</v>
      </c>
      <c r="AM269" s="22" t="str">
        <f t="shared" si="64"/>
        <v>NO</v>
      </c>
      <c r="AN269" s="22" t="str">
        <f t="shared" si="64"/>
        <v>NO</v>
      </c>
      <c r="AO269" s="22" t="str">
        <f t="shared" si="64"/>
        <v>NO</v>
      </c>
      <c r="AP269" s="22" t="str">
        <f t="shared" si="64"/>
        <v>NO</v>
      </c>
      <c r="AQ269" s="22" t="str">
        <f t="shared" si="64"/>
        <v>NO</v>
      </c>
      <c r="AR269" s="22" t="str">
        <f t="shared" si="64"/>
        <v>NO</v>
      </c>
      <c r="AS269" s="22" t="str">
        <f t="shared" si="64"/>
        <v>NO</v>
      </c>
      <c r="AT269" s="22" t="str">
        <f t="shared" si="64"/>
        <v>NO</v>
      </c>
      <c r="AU269" s="22" t="str">
        <f t="shared" si="64"/>
        <v>NO</v>
      </c>
      <c r="AV269" s="22" t="str">
        <f t="shared" si="64"/>
        <v>NO</v>
      </c>
      <c r="AW269" s="22" t="str">
        <f t="shared" si="64"/>
        <v>NO</v>
      </c>
      <c r="AY269" s="79"/>
    </row>
    <row r="270" spans="1:51" x14ac:dyDescent="0.3">
      <c r="A270" s="95" t="str">
        <f t="shared" si="45"/>
        <v>FA Leaching</v>
      </c>
      <c r="B270" s="95" t="s">
        <v>962</v>
      </c>
      <c r="C270" s="95" t="s">
        <v>1190</v>
      </c>
      <c r="D270" t="s">
        <v>369</v>
      </c>
      <c r="E270" t="s">
        <v>61</v>
      </c>
      <c r="F270" t="s">
        <v>63</v>
      </c>
      <c r="G270" t="s">
        <v>1207</v>
      </c>
      <c r="H270" t="s">
        <v>1208</v>
      </c>
      <c r="I270" t="s">
        <v>139</v>
      </c>
      <c r="J270" t="s">
        <v>287</v>
      </c>
      <c r="K270" s="22" t="str">
        <f t="shared" si="55"/>
        <v>NO</v>
      </c>
      <c r="L270" s="22" t="str">
        <f t="shared" si="64"/>
        <v>NO</v>
      </c>
      <c r="M270" s="22" t="str">
        <f t="shared" si="64"/>
        <v>NO</v>
      </c>
      <c r="N270" s="22" t="str">
        <f t="shared" si="64"/>
        <v>NO</v>
      </c>
      <c r="O270" s="22" t="str">
        <f t="shared" si="64"/>
        <v>NO</v>
      </c>
      <c r="P270" s="22" t="str">
        <f t="shared" si="64"/>
        <v>NO</v>
      </c>
      <c r="Q270" s="22" t="str">
        <f t="shared" si="64"/>
        <v>NO</v>
      </c>
      <c r="R270" s="22" t="str">
        <f t="shared" si="64"/>
        <v>NO</v>
      </c>
      <c r="S270" s="22" t="str">
        <f t="shared" si="64"/>
        <v>NO</v>
      </c>
      <c r="T270" s="22" t="str">
        <f t="shared" si="64"/>
        <v>NO</v>
      </c>
      <c r="U270" s="22" t="str">
        <f t="shared" si="64"/>
        <v>NO</v>
      </c>
      <c r="V270" s="22" t="str">
        <f t="shared" si="64"/>
        <v>NO</v>
      </c>
      <c r="W270" s="22" t="str">
        <f t="shared" si="64"/>
        <v>NO</v>
      </c>
      <c r="X270" s="22" t="str">
        <f t="shared" si="64"/>
        <v>NO</v>
      </c>
      <c r="Y270" s="22" t="str">
        <f t="shared" si="64"/>
        <v>NO</v>
      </c>
      <c r="Z270" s="22" t="str">
        <f t="shared" si="64"/>
        <v>NO</v>
      </c>
      <c r="AA270" s="22" t="str">
        <f t="shared" si="64"/>
        <v>NO</v>
      </c>
      <c r="AB270" s="22" t="str">
        <f t="shared" si="64"/>
        <v>NO</v>
      </c>
      <c r="AC270" s="22" t="str">
        <f t="shared" si="64"/>
        <v>NO</v>
      </c>
      <c r="AD270" s="22" t="str">
        <f t="shared" si="64"/>
        <v>NO</v>
      </c>
      <c r="AE270" s="22" t="str">
        <f t="shared" si="64"/>
        <v>NO</v>
      </c>
      <c r="AF270" s="22" t="str">
        <f t="shared" si="64"/>
        <v>NO</v>
      </c>
      <c r="AG270" s="22" t="str">
        <f t="shared" si="64"/>
        <v>NO</v>
      </c>
      <c r="AH270" s="22" t="str">
        <f t="shared" si="64"/>
        <v>NO</v>
      </c>
      <c r="AI270" s="22" t="str">
        <f t="shared" si="64"/>
        <v>NO</v>
      </c>
      <c r="AJ270" s="22" t="str">
        <f t="shared" si="64"/>
        <v>NO</v>
      </c>
      <c r="AK270" s="22" t="str">
        <f t="shared" si="64"/>
        <v>NO</v>
      </c>
      <c r="AL270" s="22" t="str">
        <f t="shared" si="64"/>
        <v>NO</v>
      </c>
      <c r="AM270" s="22" t="str">
        <f t="shared" si="64"/>
        <v>NO</v>
      </c>
      <c r="AN270" s="22" t="str">
        <f t="shared" si="64"/>
        <v>NO</v>
      </c>
      <c r="AO270" s="22" t="str">
        <f t="shared" si="64"/>
        <v>NO</v>
      </c>
      <c r="AP270" s="22" t="str">
        <f t="shared" si="64"/>
        <v>NO</v>
      </c>
      <c r="AQ270" s="22" t="str">
        <f t="shared" si="64"/>
        <v>NO</v>
      </c>
      <c r="AR270" s="22" t="str">
        <f t="shared" si="64"/>
        <v>NO</v>
      </c>
      <c r="AS270" s="22" t="str">
        <f t="shared" si="64"/>
        <v>NO</v>
      </c>
      <c r="AT270" s="22" t="str">
        <f t="shared" si="64"/>
        <v>NO</v>
      </c>
      <c r="AU270" s="22" t="str">
        <f t="shared" si="64"/>
        <v>NO</v>
      </c>
      <c r="AV270" s="22" t="str">
        <f t="shared" si="64"/>
        <v>NO</v>
      </c>
      <c r="AW270" s="22" t="str">
        <f t="shared" si="64"/>
        <v>NO</v>
      </c>
      <c r="AY270" s="79"/>
    </row>
    <row r="271" spans="1:51" x14ac:dyDescent="0.3">
      <c r="A271" s="95" t="str">
        <f t="shared" si="45"/>
        <v>FA Leaching</v>
      </c>
      <c r="B271" s="95" t="s">
        <v>962</v>
      </c>
      <c r="C271" s="95" t="s">
        <v>1190</v>
      </c>
      <c r="D271" t="s">
        <v>369</v>
      </c>
      <c r="E271" t="s">
        <v>61</v>
      </c>
      <c r="F271" t="s">
        <v>63</v>
      </c>
      <c r="G271" t="s">
        <v>1209</v>
      </c>
      <c r="H271" t="s">
        <v>1210</v>
      </c>
      <c r="I271" t="s">
        <v>139</v>
      </c>
      <c r="J271" t="s">
        <v>287</v>
      </c>
      <c r="K271" s="22">
        <f t="shared" si="55"/>
        <v>1.9333864620707719E-6</v>
      </c>
      <c r="L271" s="22">
        <f t="shared" si="64"/>
        <v>1.9333864620707719E-6</v>
      </c>
      <c r="M271" s="22">
        <f t="shared" si="64"/>
        <v>1.9333864620707719E-6</v>
      </c>
      <c r="N271" s="22">
        <f t="shared" si="64"/>
        <v>1.9333864620707719E-6</v>
      </c>
      <c r="O271" s="22">
        <f t="shared" si="64"/>
        <v>1.9333864620707719E-6</v>
      </c>
      <c r="P271" s="22">
        <f t="shared" si="64"/>
        <v>1.9333864620707719E-6</v>
      </c>
      <c r="Q271" s="22">
        <f t="shared" si="64"/>
        <v>1.9333864620707719E-6</v>
      </c>
      <c r="R271" s="22">
        <f t="shared" si="64"/>
        <v>1.9333864620707719E-6</v>
      </c>
      <c r="S271" s="22">
        <f t="shared" si="64"/>
        <v>1.9333864620707719E-6</v>
      </c>
      <c r="T271" s="22">
        <f t="shared" si="64"/>
        <v>1.9333864620707719E-6</v>
      </c>
      <c r="U271" s="22">
        <f t="shared" si="64"/>
        <v>1.9333864620707719E-6</v>
      </c>
      <c r="V271" s="22">
        <f t="shared" si="64"/>
        <v>1.9333864620707719E-6</v>
      </c>
      <c r="W271" s="22">
        <f t="shared" si="64"/>
        <v>1.9333864620707719E-6</v>
      </c>
      <c r="X271" s="22">
        <f t="shared" si="64"/>
        <v>1.9333864620707719E-6</v>
      </c>
      <c r="Y271" s="22">
        <f t="shared" si="64"/>
        <v>1.9333864620707719E-6</v>
      </c>
      <c r="Z271" s="22">
        <f t="shared" si="64"/>
        <v>1.9333864620707719E-6</v>
      </c>
      <c r="AA271" s="22">
        <f t="shared" si="64"/>
        <v>1.9333864620707719E-6</v>
      </c>
      <c r="AB271" s="22">
        <f t="shared" si="64"/>
        <v>1.9333864620707719E-6</v>
      </c>
      <c r="AC271" s="22">
        <f t="shared" si="64"/>
        <v>1.9333864620707719E-6</v>
      </c>
      <c r="AD271" s="22">
        <f t="shared" si="64"/>
        <v>1.9333864620707719E-6</v>
      </c>
      <c r="AE271" s="22">
        <f t="shared" si="64"/>
        <v>1.9333864620707719E-6</v>
      </c>
      <c r="AF271" s="22">
        <f t="shared" si="64"/>
        <v>1.9333864620707719E-6</v>
      </c>
      <c r="AG271" s="22">
        <f t="shared" si="64"/>
        <v>1.9333864620707719E-6</v>
      </c>
      <c r="AH271" s="22">
        <f t="shared" si="64"/>
        <v>1.9333864620707719E-6</v>
      </c>
      <c r="AI271" s="22">
        <f t="shared" si="64"/>
        <v>1.9333864620707719E-6</v>
      </c>
      <c r="AJ271" s="22">
        <f t="shared" si="64"/>
        <v>1.9333864620707719E-6</v>
      </c>
      <c r="AK271" s="22">
        <f t="shared" si="64"/>
        <v>1.9333864620707719E-6</v>
      </c>
      <c r="AL271" s="22">
        <f t="shared" si="64"/>
        <v>1.9333864620707719E-6</v>
      </c>
      <c r="AM271" s="22">
        <f t="shared" si="64"/>
        <v>1.9333864620707719E-6</v>
      </c>
      <c r="AN271" s="22">
        <f t="shared" si="64"/>
        <v>1.9333864620707719E-6</v>
      </c>
      <c r="AO271" s="22">
        <f t="shared" si="64"/>
        <v>1.9333864620707719E-6</v>
      </c>
      <c r="AP271" s="22">
        <f t="shared" si="64"/>
        <v>1.9333864620707719E-6</v>
      </c>
      <c r="AQ271" s="22">
        <f t="shared" si="64"/>
        <v>1.9333864620707719E-6</v>
      </c>
      <c r="AR271" s="22">
        <f t="shared" si="64"/>
        <v>1.9333864620707719E-6</v>
      </c>
      <c r="AS271" s="22">
        <f t="shared" si="64"/>
        <v>1.9333864620707719E-6</v>
      </c>
      <c r="AT271" s="22">
        <f t="shared" si="64"/>
        <v>1.9333864620707719E-6</v>
      </c>
      <c r="AU271" s="22">
        <f t="shared" si="64"/>
        <v>1.9333864620707719E-6</v>
      </c>
      <c r="AV271" s="22">
        <f t="shared" si="64"/>
        <v>1.9333864620707719E-6</v>
      </c>
      <c r="AW271" s="22">
        <f t="shared" si="64"/>
        <v>1.9333864620707719E-6</v>
      </c>
      <c r="AY271" s="79"/>
    </row>
    <row r="272" spans="1:51" x14ac:dyDescent="0.3">
      <c r="A272" s="95" t="str">
        <f t="shared" si="45"/>
        <v>FA Leaching</v>
      </c>
      <c r="B272" s="95" t="s">
        <v>962</v>
      </c>
      <c r="C272" s="95" t="s">
        <v>1190</v>
      </c>
      <c r="D272" t="s">
        <v>369</v>
      </c>
      <c r="E272" t="s">
        <v>61</v>
      </c>
      <c r="F272" t="s">
        <v>63</v>
      </c>
      <c r="G272" t="s">
        <v>1211</v>
      </c>
      <c r="H272" t="s">
        <v>1212</v>
      </c>
      <c r="I272" t="s">
        <v>139</v>
      </c>
      <c r="J272" t="s">
        <v>287</v>
      </c>
      <c r="K272" s="22">
        <f t="shared" ref="K272:Z306" si="65">K1528</f>
        <v>2.1082459751876198E-3</v>
      </c>
      <c r="L272" s="22">
        <f t="shared" si="65"/>
        <v>2.1082459751876198E-3</v>
      </c>
      <c r="M272" s="22">
        <f t="shared" si="65"/>
        <v>2.1082459751876198E-3</v>
      </c>
      <c r="N272" s="22">
        <f t="shared" si="65"/>
        <v>2.1082459751876198E-3</v>
      </c>
      <c r="O272" s="22">
        <f t="shared" si="65"/>
        <v>2.1082459751876198E-3</v>
      </c>
      <c r="P272" s="22">
        <f t="shared" si="65"/>
        <v>2.1082459751876198E-3</v>
      </c>
      <c r="Q272" s="22">
        <f t="shared" si="65"/>
        <v>2.1082459751876198E-3</v>
      </c>
      <c r="R272" s="22">
        <f t="shared" si="65"/>
        <v>2.1082459751876198E-3</v>
      </c>
      <c r="S272" s="22">
        <f t="shared" si="65"/>
        <v>2.1082459751876198E-3</v>
      </c>
      <c r="T272" s="22">
        <f t="shared" si="65"/>
        <v>2.1082459751876198E-3</v>
      </c>
      <c r="U272" s="22">
        <f t="shared" si="65"/>
        <v>2.1082459751876198E-3</v>
      </c>
      <c r="V272" s="22">
        <f t="shared" si="65"/>
        <v>2.1082459751876198E-3</v>
      </c>
      <c r="W272" s="22">
        <f t="shared" si="65"/>
        <v>2.1082459751876198E-3</v>
      </c>
      <c r="X272" s="22">
        <f t="shared" si="65"/>
        <v>2.1082459751876198E-3</v>
      </c>
      <c r="Y272" s="22">
        <f t="shared" si="65"/>
        <v>2.1082459751876198E-3</v>
      </c>
      <c r="Z272" s="22">
        <f t="shared" si="65"/>
        <v>2.1082459751876198E-3</v>
      </c>
      <c r="AA272" s="22">
        <f t="shared" si="64"/>
        <v>2.1082459751876198E-3</v>
      </c>
      <c r="AB272" s="22">
        <f t="shared" si="64"/>
        <v>2.1082459751876198E-3</v>
      </c>
      <c r="AC272" s="22">
        <f t="shared" si="64"/>
        <v>2.1082459751876198E-3</v>
      </c>
      <c r="AD272" s="22">
        <f t="shared" si="64"/>
        <v>2.1082459751876198E-3</v>
      </c>
      <c r="AE272" s="22">
        <f t="shared" si="64"/>
        <v>2.1082459751876198E-3</v>
      </c>
      <c r="AF272" s="22">
        <f t="shared" si="64"/>
        <v>2.1082459751876198E-3</v>
      </c>
      <c r="AG272" s="22">
        <f t="shared" si="64"/>
        <v>2.1082459751876198E-3</v>
      </c>
      <c r="AH272" s="22">
        <f t="shared" si="64"/>
        <v>2.1082459751876198E-3</v>
      </c>
      <c r="AI272" s="22">
        <f t="shared" si="64"/>
        <v>2.1082459751876198E-3</v>
      </c>
      <c r="AJ272" s="22">
        <f t="shared" si="64"/>
        <v>2.1082459751876198E-3</v>
      </c>
      <c r="AK272" s="22">
        <f t="shared" si="64"/>
        <v>2.1082459751876198E-3</v>
      </c>
      <c r="AL272" s="22">
        <f t="shared" si="64"/>
        <v>2.1082459751876198E-3</v>
      </c>
      <c r="AM272" s="22">
        <f t="shared" si="64"/>
        <v>2.1082459751876198E-3</v>
      </c>
      <c r="AN272" s="22">
        <f t="shared" si="64"/>
        <v>2.1082459751876198E-3</v>
      </c>
      <c r="AO272" s="22">
        <f t="shared" si="64"/>
        <v>2.1082459751876198E-3</v>
      </c>
      <c r="AP272" s="22">
        <f t="shared" si="64"/>
        <v>2.1082459751876198E-3</v>
      </c>
      <c r="AQ272" s="22">
        <f t="shared" si="64"/>
        <v>2.1082459751876198E-3</v>
      </c>
      <c r="AR272" s="22">
        <f t="shared" si="64"/>
        <v>2.1082459751876198E-3</v>
      </c>
      <c r="AS272" s="22">
        <f t="shared" si="64"/>
        <v>2.1082459751876198E-3</v>
      </c>
      <c r="AT272" s="22">
        <f t="shared" si="64"/>
        <v>2.1082459751876198E-3</v>
      </c>
      <c r="AU272" s="22">
        <f t="shared" si="64"/>
        <v>2.1082459751876198E-3</v>
      </c>
      <c r="AV272" s="22">
        <f t="shared" si="64"/>
        <v>2.1082459751876198E-3</v>
      </c>
      <c r="AW272" s="22">
        <f t="shared" si="64"/>
        <v>2.1082459751876198E-3</v>
      </c>
      <c r="AY272" s="79"/>
    </row>
    <row r="273" spans="1:51" x14ac:dyDescent="0.3">
      <c r="A273" s="95" t="str">
        <f t="shared" si="45"/>
        <v>FA Leaching</v>
      </c>
      <c r="B273" s="95" t="s">
        <v>962</v>
      </c>
      <c r="C273" s="95" t="s">
        <v>1190</v>
      </c>
      <c r="D273" t="s">
        <v>369</v>
      </c>
      <c r="E273" t="s">
        <v>61</v>
      </c>
      <c r="F273" t="s">
        <v>63</v>
      </c>
      <c r="G273" t="s">
        <v>1213</v>
      </c>
      <c r="H273" t="s">
        <v>1214</v>
      </c>
      <c r="I273" t="s">
        <v>139</v>
      </c>
      <c r="J273" t="s">
        <v>287</v>
      </c>
      <c r="K273" s="22" t="str">
        <f t="shared" si="65"/>
        <v>NO</v>
      </c>
      <c r="L273" s="22" t="str">
        <f t="shared" si="64"/>
        <v>NO</v>
      </c>
      <c r="M273" s="22" t="str">
        <f t="shared" si="64"/>
        <v>NO</v>
      </c>
      <c r="N273" s="22" t="str">
        <f t="shared" si="64"/>
        <v>NO</v>
      </c>
      <c r="O273" s="22" t="str">
        <f t="shared" si="64"/>
        <v>NO</v>
      </c>
      <c r="P273" s="22" t="str">
        <f t="shared" si="64"/>
        <v>NO</v>
      </c>
      <c r="Q273" s="22" t="str">
        <f t="shared" si="64"/>
        <v>NO</v>
      </c>
      <c r="R273" s="22" t="str">
        <f t="shared" si="64"/>
        <v>NO</v>
      </c>
      <c r="S273" s="22" t="str">
        <f t="shared" si="64"/>
        <v>NO</v>
      </c>
      <c r="T273" s="22" t="str">
        <f t="shared" si="64"/>
        <v>NO</v>
      </c>
      <c r="U273" s="22" t="str">
        <f t="shared" si="64"/>
        <v>NO</v>
      </c>
      <c r="V273" s="22" t="str">
        <f t="shared" si="64"/>
        <v>NO</v>
      </c>
      <c r="W273" s="22" t="str">
        <f t="shared" si="64"/>
        <v>NO</v>
      </c>
      <c r="X273" s="22" t="str">
        <f t="shared" si="64"/>
        <v>NO</v>
      </c>
      <c r="Y273" s="22" t="str">
        <f t="shared" si="64"/>
        <v>NO</v>
      </c>
      <c r="Z273" s="22" t="str">
        <f t="shared" si="64"/>
        <v>NO</v>
      </c>
      <c r="AA273" s="22" t="str">
        <f t="shared" si="64"/>
        <v>NO</v>
      </c>
      <c r="AB273" s="22" t="str">
        <f t="shared" si="64"/>
        <v>NO</v>
      </c>
      <c r="AC273" s="22" t="str">
        <f t="shared" si="64"/>
        <v>NO</v>
      </c>
      <c r="AD273" s="22" t="str">
        <f t="shared" si="64"/>
        <v>NO</v>
      </c>
      <c r="AE273" s="22" t="str">
        <f t="shared" si="64"/>
        <v>NO</v>
      </c>
      <c r="AF273" s="22" t="str">
        <f t="shared" si="64"/>
        <v>NO</v>
      </c>
      <c r="AG273" s="22" t="str">
        <f t="shared" si="64"/>
        <v>NO</v>
      </c>
      <c r="AH273" s="22" t="str">
        <f t="shared" si="64"/>
        <v>NO</v>
      </c>
      <c r="AI273" s="22" t="str">
        <f t="shared" si="64"/>
        <v>NO</v>
      </c>
      <c r="AJ273" s="22" t="str">
        <f t="shared" si="64"/>
        <v>NO</v>
      </c>
      <c r="AK273" s="22" t="str">
        <f t="shared" si="64"/>
        <v>NO</v>
      </c>
      <c r="AL273" s="22" t="str">
        <f t="shared" si="64"/>
        <v>NO</v>
      </c>
      <c r="AM273" s="22" t="str">
        <f t="shared" si="64"/>
        <v>NO</v>
      </c>
      <c r="AN273" s="22" t="str">
        <f t="shared" si="64"/>
        <v>NO</v>
      </c>
      <c r="AO273" s="22" t="str">
        <f t="shared" si="64"/>
        <v>NO</v>
      </c>
      <c r="AP273" s="22" t="str">
        <f t="shared" si="64"/>
        <v>NO</v>
      </c>
      <c r="AQ273" s="22" t="str">
        <f t="shared" si="64"/>
        <v>NO</v>
      </c>
      <c r="AR273" s="22" t="str">
        <f t="shared" si="64"/>
        <v>NO</v>
      </c>
      <c r="AS273" s="22" t="str">
        <f t="shared" si="64"/>
        <v>NO</v>
      </c>
      <c r="AT273" s="22" t="str">
        <f t="shared" si="64"/>
        <v>NO</v>
      </c>
      <c r="AU273" s="22" t="str">
        <f t="shared" si="64"/>
        <v>NO</v>
      </c>
      <c r="AV273" s="22" t="str">
        <f t="shared" si="64"/>
        <v>NO</v>
      </c>
      <c r="AW273" s="22" t="str">
        <f t="shared" si="64"/>
        <v>NO</v>
      </c>
      <c r="AY273" s="79"/>
    </row>
    <row r="274" spans="1:51" x14ac:dyDescent="0.3">
      <c r="A274" s="95" t="str">
        <f t="shared" si="45"/>
        <v xml:space="preserve">FA </v>
      </c>
      <c r="B274" s="95" t="s">
        <v>962</v>
      </c>
      <c r="C274" s="95"/>
      <c r="D274" t="s">
        <v>369</v>
      </c>
      <c r="E274" t="s">
        <v>61</v>
      </c>
      <c r="F274" t="s">
        <v>63</v>
      </c>
      <c r="G274" t="s">
        <v>1215</v>
      </c>
      <c r="H274" t="s">
        <v>1216</v>
      </c>
      <c r="I274" t="s">
        <v>139</v>
      </c>
      <c r="J274" t="s">
        <v>287</v>
      </c>
      <c r="K274" s="22">
        <f t="shared" si="65"/>
        <v>0.11026792439175388</v>
      </c>
      <c r="L274" s="22">
        <f t="shared" si="64"/>
        <v>0.11026792439175388</v>
      </c>
      <c r="M274" s="22">
        <f t="shared" si="64"/>
        <v>0.11026792439175388</v>
      </c>
      <c r="N274" s="22">
        <f t="shared" si="64"/>
        <v>0.11026792439175388</v>
      </c>
      <c r="O274" s="22">
        <f t="shared" si="64"/>
        <v>0.11026792439175388</v>
      </c>
      <c r="P274" s="22">
        <f t="shared" si="64"/>
        <v>0.11026792439175388</v>
      </c>
      <c r="Q274" s="22">
        <f t="shared" si="64"/>
        <v>0.11026792439175388</v>
      </c>
      <c r="R274" s="22">
        <f t="shared" si="64"/>
        <v>0.11026792439175388</v>
      </c>
      <c r="S274" s="22">
        <f t="shared" si="64"/>
        <v>0.11026792439175388</v>
      </c>
      <c r="T274" s="22">
        <f t="shared" si="64"/>
        <v>0.11026792439175388</v>
      </c>
      <c r="U274" s="22">
        <f t="shared" si="64"/>
        <v>0.11026792439175388</v>
      </c>
      <c r="V274" s="22">
        <f t="shared" si="64"/>
        <v>0.11026792439175388</v>
      </c>
      <c r="W274" s="22">
        <f t="shared" si="64"/>
        <v>0.11026792439175388</v>
      </c>
      <c r="X274" s="22">
        <f t="shared" si="64"/>
        <v>0.11026792439175388</v>
      </c>
      <c r="Y274" s="22">
        <f t="shared" si="64"/>
        <v>0.11026792439175388</v>
      </c>
      <c r="Z274" s="22">
        <f t="shared" si="64"/>
        <v>0.11026792439175388</v>
      </c>
      <c r="AA274" s="22">
        <f t="shared" si="64"/>
        <v>0.11026792439175388</v>
      </c>
      <c r="AB274" s="22">
        <f t="shared" si="64"/>
        <v>0.11026792439175388</v>
      </c>
      <c r="AC274" s="22">
        <f t="shared" si="64"/>
        <v>0.11026792439175388</v>
      </c>
      <c r="AD274" s="22">
        <f t="shared" si="64"/>
        <v>0.11026792439175388</v>
      </c>
      <c r="AE274" s="22">
        <f t="shared" si="64"/>
        <v>0.11026792439175388</v>
      </c>
      <c r="AF274" s="22">
        <f t="shared" si="64"/>
        <v>0.11026792439175388</v>
      </c>
      <c r="AG274" s="22">
        <f t="shared" si="64"/>
        <v>0.11026792439175388</v>
      </c>
      <c r="AH274" s="22">
        <f t="shared" si="64"/>
        <v>0.11026792439175388</v>
      </c>
      <c r="AI274" s="22">
        <f t="shared" si="64"/>
        <v>0.11026792439175388</v>
      </c>
      <c r="AJ274" s="22">
        <f t="shared" si="64"/>
        <v>0.11026792439175388</v>
      </c>
      <c r="AK274" s="22">
        <f t="shared" si="64"/>
        <v>0.11026792439175388</v>
      </c>
      <c r="AL274" s="22">
        <f t="shared" si="64"/>
        <v>0.11026792439175388</v>
      </c>
      <c r="AM274" s="22">
        <f t="shared" si="64"/>
        <v>0.11026792439175388</v>
      </c>
      <c r="AN274" s="22">
        <f t="shared" si="64"/>
        <v>0.11026792439175388</v>
      </c>
      <c r="AO274" s="22">
        <f t="shared" si="64"/>
        <v>0.11026792439175388</v>
      </c>
      <c r="AP274" s="22">
        <f t="shared" si="64"/>
        <v>0.11026792439175388</v>
      </c>
      <c r="AQ274" s="22">
        <f t="shared" si="64"/>
        <v>0.11026792439175388</v>
      </c>
      <c r="AR274" s="22">
        <f t="shared" si="64"/>
        <v>0.11026792439175388</v>
      </c>
      <c r="AS274" s="22">
        <f t="shared" si="64"/>
        <v>0.11026792439175388</v>
      </c>
      <c r="AT274" s="22">
        <f t="shared" ref="L274:AW281" si="66">AT1530</f>
        <v>0.11026792439175388</v>
      </c>
      <c r="AU274" s="22">
        <f t="shared" si="66"/>
        <v>0.11026792439175388</v>
      </c>
      <c r="AV274" s="22">
        <f t="shared" si="66"/>
        <v>0.11026792439175388</v>
      </c>
      <c r="AW274" s="22">
        <f t="shared" si="66"/>
        <v>0.11026792439175388</v>
      </c>
      <c r="AY274" s="79"/>
    </row>
    <row r="275" spans="1:51" x14ac:dyDescent="0.3">
      <c r="A275" s="95" t="str">
        <f t="shared" si="45"/>
        <v>FA MM Volatilisation</v>
      </c>
      <c r="B275" s="95" t="s">
        <v>962</v>
      </c>
      <c r="C275" s="95" t="s">
        <v>1332</v>
      </c>
      <c r="D275" t="s">
        <v>369</v>
      </c>
      <c r="E275" t="s">
        <v>64</v>
      </c>
      <c r="F275" t="s">
        <v>62</v>
      </c>
      <c r="G275" t="s">
        <v>1152</v>
      </c>
      <c r="H275" t="s">
        <v>1290</v>
      </c>
      <c r="I275" t="s">
        <v>139</v>
      </c>
      <c r="J275" t="s">
        <v>287</v>
      </c>
      <c r="K275" s="22">
        <f t="shared" si="65"/>
        <v>0.39609736661915962</v>
      </c>
      <c r="L275" s="22">
        <f t="shared" si="66"/>
        <v>0.39831175345583031</v>
      </c>
      <c r="M275" s="22">
        <f t="shared" si="66"/>
        <v>0.40145358914715529</v>
      </c>
      <c r="N275" s="22">
        <f t="shared" si="66"/>
        <v>0.40347255325329029</v>
      </c>
      <c r="O275" s="22">
        <f t="shared" si="66"/>
        <v>0.40481416413578264</v>
      </c>
      <c r="P275" s="22">
        <f t="shared" si="66"/>
        <v>0.40546521734783814</v>
      </c>
      <c r="Q275" s="22">
        <f t="shared" si="66"/>
        <v>0.40690363619044922</v>
      </c>
      <c r="R275" s="22">
        <f t="shared" si="66"/>
        <v>0.40855374420631185</v>
      </c>
      <c r="S275" s="22">
        <f t="shared" si="66"/>
        <v>0.39627278224994505</v>
      </c>
      <c r="T275" s="22">
        <f t="shared" si="66"/>
        <v>0.40043963770604657</v>
      </c>
      <c r="U275" s="22">
        <f t="shared" si="66"/>
        <v>0.40653881152865828</v>
      </c>
      <c r="V275" s="22">
        <f t="shared" si="66"/>
        <v>0.4097001600416656</v>
      </c>
      <c r="W275" s="22">
        <f t="shared" si="66"/>
        <v>0.41331316056610856</v>
      </c>
      <c r="X275" s="22">
        <f t="shared" si="66"/>
        <v>0.41749483013247579</v>
      </c>
      <c r="Y275" s="22">
        <f t="shared" si="66"/>
        <v>0.42176510375665716</v>
      </c>
      <c r="Z275" s="22">
        <f t="shared" si="66"/>
        <v>0.42649174593727851</v>
      </c>
      <c r="AA275" s="22">
        <f t="shared" si="66"/>
        <v>0.43136480656999721</v>
      </c>
      <c r="AB275" s="22">
        <f t="shared" si="66"/>
        <v>0.43666405575288475</v>
      </c>
      <c r="AC275" s="22">
        <f t="shared" si="66"/>
        <v>0.44208284608865023</v>
      </c>
      <c r="AD275" s="22">
        <f t="shared" si="66"/>
        <v>0.44793692741043817</v>
      </c>
      <c r="AE275" s="22">
        <f t="shared" si="66"/>
        <v>0.45371177751541658</v>
      </c>
      <c r="AF275" s="22">
        <f t="shared" si="66"/>
        <v>0.45980708874384696</v>
      </c>
      <c r="AG275" s="22">
        <f t="shared" si="66"/>
        <v>0.4667018933762529</v>
      </c>
      <c r="AH275" s="22">
        <f t="shared" si="66"/>
        <v>0.47325726684756153</v>
      </c>
      <c r="AI275" s="22">
        <f t="shared" si="66"/>
        <v>0.47997976762000966</v>
      </c>
      <c r="AJ275" s="22">
        <f t="shared" si="66"/>
        <v>0.48716917791574549</v>
      </c>
      <c r="AK275" s="22">
        <f t="shared" si="66"/>
        <v>0.49390478893176154</v>
      </c>
      <c r="AL275" s="22">
        <f t="shared" si="66"/>
        <v>0.50060384763887944</v>
      </c>
      <c r="AM275" s="22">
        <f t="shared" si="66"/>
        <v>0.50728498742813199</v>
      </c>
      <c r="AN275" s="22">
        <f t="shared" si="66"/>
        <v>0.51435343301423675</v>
      </c>
      <c r="AO275" s="22">
        <f t="shared" si="66"/>
        <v>0.52113757148367401</v>
      </c>
      <c r="AP275" s="22">
        <f t="shared" si="66"/>
        <v>0.52818514749495915</v>
      </c>
      <c r="AQ275" s="22">
        <f t="shared" si="66"/>
        <v>0.5355283037572397</v>
      </c>
      <c r="AR275" s="22">
        <f t="shared" si="66"/>
        <v>0.5432187291547913</v>
      </c>
      <c r="AS275" s="22">
        <f t="shared" si="66"/>
        <v>0.55104518804876201</v>
      </c>
      <c r="AT275" s="22">
        <f t="shared" si="66"/>
        <v>0.55290077890622136</v>
      </c>
      <c r="AU275" s="22">
        <f t="shared" si="66"/>
        <v>0.55422139724319897</v>
      </c>
      <c r="AV275" s="22">
        <f t="shared" si="66"/>
        <v>0.55476247870419659</v>
      </c>
      <c r="AW275" s="22">
        <f t="shared" si="66"/>
        <v>0.55508919829714432</v>
      </c>
      <c r="AY275" s="79"/>
    </row>
    <row r="276" spans="1:51" x14ac:dyDescent="0.3">
      <c r="A276" s="95" t="str">
        <f t="shared" si="45"/>
        <v>FA MM Volatilisation</v>
      </c>
      <c r="B276" s="95" t="s">
        <v>962</v>
      </c>
      <c r="C276" s="95" t="s">
        <v>1332</v>
      </c>
      <c r="D276" t="s">
        <v>369</v>
      </c>
      <c r="E276" t="s">
        <v>64</v>
      </c>
      <c r="F276" t="s">
        <v>62</v>
      </c>
      <c r="G276" t="s">
        <v>1154</v>
      </c>
      <c r="H276" t="s">
        <v>1291</v>
      </c>
      <c r="I276" t="s">
        <v>139</v>
      </c>
      <c r="J276" t="s">
        <v>287</v>
      </c>
      <c r="K276" s="22">
        <f t="shared" si="65"/>
        <v>3.1249813656142676E-2</v>
      </c>
      <c r="L276" s="22">
        <f t="shared" si="66"/>
        <v>3.1424516095088978E-2</v>
      </c>
      <c r="M276" s="22">
        <f t="shared" si="66"/>
        <v>3.1672388936885787E-2</v>
      </c>
      <c r="N276" s="22">
        <f t="shared" si="66"/>
        <v>3.1831673641638247E-2</v>
      </c>
      <c r="O276" s="22">
        <f t="shared" si="66"/>
        <v>3.1937519056453256E-2</v>
      </c>
      <c r="P276" s="22">
        <f t="shared" si="66"/>
        <v>3.198888342610464E-2</v>
      </c>
      <c r="Q276" s="22">
        <f t="shared" si="66"/>
        <v>3.2102366434524382E-2</v>
      </c>
      <c r="R276" s="22">
        <f t="shared" si="66"/>
        <v>3.2232550506305392E-2</v>
      </c>
      <c r="S276" s="22">
        <f t="shared" si="66"/>
        <v>3.1263652944752973E-2</v>
      </c>
      <c r="T276" s="22">
        <f t="shared" si="66"/>
        <v>3.1592393975390647E-2</v>
      </c>
      <c r="U276" s="22">
        <f t="shared" si="66"/>
        <v>3.2073583858170898E-2</v>
      </c>
      <c r="V276" s="22">
        <f t="shared" si="66"/>
        <v>3.2322996149842582E-2</v>
      </c>
      <c r="W276" s="22">
        <f t="shared" si="66"/>
        <v>3.2608041198468073E-2</v>
      </c>
      <c r="X276" s="22">
        <f t="shared" si="66"/>
        <v>3.2937950977560811E-2</v>
      </c>
      <c r="Y276" s="22">
        <f t="shared" si="66"/>
        <v>3.3274851109352674E-2</v>
      </c>
      <c r="Z276" s="22">
        <f t="shared" si="66"/>
        <v>3.3647756106486112E-2</v>
      </c>
      <c r="AA276" s="22">
        <f t="shared" si="66"/>
        <v>3.4032212680907031E-2</v>
      </c>
      <c r="AB276" s="22">
        <f t="shared" si="66"/>
        <v>3.4450293091024778E-2</v>
      </c>
      <c r="AC276" s="22">
        <f t="shared" si="66"/>
        <v>3.4877804613456062E-2</v>
      </c>
      <c r="AD276" s="22">
        <f t="shared" si="66"/>
        <v>3.5339658101640622E-2</v>
      </c>
      <c r="AE276" s="22">
        <f t="shared" si="66"/>
        <v>3.5795260700600191E-2</v>
      </c>
      <c r="AF276" s="22">
        <f t="shared" si="66"/>
        <v>3.6276145846821803E-2</v>
      </c>
      <c r="AG276" s="22">
        <f t="shared" si="66"/>
        <v>3.682010644367513E-2</v>
      </c>
      <c r="AH276" s="22">
        <f t="shared" si="66"/>
        <v>3.7337287865943425E-2</v>
      </c>
      <c r="AI276" s="22">
        <f t="shared" si="66"/>
        <v>3.7867654675082699E-2</v>
      </c>
      <c r="AJ276" s="22">
        <f t="shared" si="66"/>
        <v>3.843485797147652E-2</v>
      </c>
      <c r="AK276" s="22">
        <f t="shared" si="66"/>
        <v>3.8966259103746965E-2</v>
      </c>
      <c r="AL276" s="22">
        <f t="shared" si="66"/>
        <v>3.9494776468191543E-2</v>
      </c>
      <c r="AM276" s="22">
        <f t="shared" si="66"/>
        <v>4.0021880132643621E-2</v>
      </c>
      <c r="AN276" s="22">
        <f t="shared" si="66"/>
        <v>4.0579540006249255E-2</v>
      </c>
      <c r="AO276" s="22">
        <f t="shared" si="66"/>
        <v>4.1114769676663131E-2</v>
      </c>
      <c r="AP276" s="22">
        <f t="shared" si="66"/>
        <v>4.167078306034188E-2</v>
      </c>
      <c r="AQ276" s="22">
        <f t="shared" si="66"/>
        <v>4.2250116032946157E-2</v>
      </c>
      <c r="AR276" s="22">
        <f t="shared" si="66"/>
        <v>4.2856846551407354E-2</v>
      </c>
      <c r="AS276" s="22">
        <f t="shared" si="66"/>
        <v>4.3474309333630792E-2</v>
      </c>
      <c r="AT276" s="22">
        <f t="shared" si="66"/>
        <v>4.3620704824751035E-2</v>
      </c>
      <c r="AU276" s="22">
        <f t="shared" si="66"/>
        <v>4.3724894047955633E-2</v>
      </c>
      <c r="AV276" s="22">
        <f t="shared" si="66"/>
        <v>4.376758227629024E-2</v>
      </c>
      <c r="AW276" s="22">
        <f t="shared" si="66"/>
        <v>4.3793358580951298E-2</v>
      </c>
      <c r="AY276" s="79"/>
    </row>
    <row r="277" spans="1:51" x14ac:dyDescent="0.3">
      <c r="A277" s="95" t="str">
        <f t="shared" si="45"/>
        <v>FA MM Volatilisation</v>
      </c>
      <c r="B277" s="95" t="s">
        <v>962</v>
      </c>
      <c r="C277" s="95" t="s">
        <v>1332</v>
      </c>
      <c r="D277" t="s">
        <v>369</v>
      </c>
      <c r="E277" t="s">
        <v>64</v>
      </c>
      <c r="F277" t="s">
        <v>62</v>
      </c>
      <c r="G277" t="s">
        <v>1156</v>
      </c>
      <c r="H277" t="s">
        <v>1292</v>
      </c>
      <c r="I277" t="s">
        <v>139</v>
      </c>
      <c r="J277" t="s">
        <v>287</v>
      </c>
      <c r="K277" s="22">
        <f t="shared" si="65"/>
        <v>2.8967336997006343E-4</v>
      </c>
      <c r="L277" s="22">
        <f t="shared" si="66"/>
        <v>2.9129279224209415E-4</v>
      </c>
      <c r="M277" s="22">
        <f t="shared" si="66"/>
        <v>2.9359047510821973E-4</v>
      </c>
      <c r="N277" s="22">
        <f t="shared" si="66"/>
        <v>2.9506698110336069E-4</v>
      </c>
      <c r="O277" s="22">
        <f t="shared" si="66"/>
        <v>2.9604812609010248E-4</v>
      </c>
      <c r="P277" s="22">
        <f t="shared" si="66"/>
        <v>2.9652425341095714E-4</v>
      </c>
      <c r="Q277" s="22">
        <f t="shared" si="66"/>
        <v>2.9757619585915883E-4</v>
      </c>
      <c r="R277" s="22">
        <f t="shared" si="66"/>
        <v>2.9878295053629647E-4</v>
      </c>
      <c r="S277" s="22">
        <f t="shared" si="66"/>
        <v>2.8980165468285715E-4</v>
      </c>
      <c r="T277" s="22">
        <f t="shared" si="66"/>
        <v>2.9284895356406268E-4</v>
      </c>
      <c r="U277" s="22">
        <f t="shared" si="66"/>
        <v>2.9730939279977176E-4</v>
      </c>
      <c r="V277" s="22">
        <f t="shared" si="66"/>
        <v>2.996213457552509E-4</v>
      </c>
      <c r="W277" s="22">
        <f t="shared" si="66"/>
        <v>3.0226360022553945E-4</v>
      </c>
      <c r="X277" s="22">
        <f t="shared" si="66"/>
        <v>3.0532173294106326E-4</v>
      </c>
      <c r="Y277" s="22">
        <f t="shared" si="66"/>
        <v>3.084446634517329E-4</v>
      </c>
      <c r="Z277" s="22">
        <f t="shared" si="66"/>
        <v>3.1190134477428172E-4</v>
      </c>
      <c r="AA277" s="22">
        <f t="shared" si="66"/>
        <v>3.1546510463362291E-4</v>
      </c>
      <c r="AB277" s="22">
        <f t="shared" si="66"/>
        <v>3.1934054410503462E-4</v>
      </c>
      <c r="AC277" s="22">
        <f t="shared" si="66"/>
        <v>3.2330340624451355E-4</v>
      </c>
      <c r="AD277" s="22">
        <f t="shared" si="66"/>
        <v>3.2758460477667038E-4</v>
      </c>
      <c r="AE277" s="22">
        <f t="shared" si="66"/>
        <v>3.3180786004660364E-4</v>
      </c>
      <c r="AF277" s="22">
        <f t="shared" si="66"/>
        <v>3.3626547449535976E-4</v>
      </c>
      <c r="AG277" s="22">
        <f t="shared" si="66"/>
        <v>3.4130777333769093E-4</v>
      </c>
      <c r="AH277" s="22">
        <f t="shared" si="66"/>
        <v>3.4610183985990577E-4</v>
      </c>
      <c r="AI277" s="22">
        <f t="shared" si="66"/>
        <v>3.5101812968531553E-4</v>
      </c>
      <c r="AJ277" s="22">
        <f t="shared" si="66"/>
        <v>3.5627587912767834E-4</v>
      </c>
      <c r="AK277" s="22">
        <f t="shared" si="66"/>
        <v>3.6120175671800533E-4</v>
      </c>
      <c r="AL277" s="22">
        <f t="shared" si="66"/>
        <v>3.661009029251144E-4</v>
      </c>
      <c r="AM277" s="22">
        <f t="shared" si="66"/>
        <v>3.7098694469437114E-4</v>
      </c>
      <c r="AN277" s="22">
        <f t="shared" si="66"/>
        <v>3.7615623039514106E-4</v>
      </c>
      <c r="AO277" s="22">
        <f t="shared" si="66"/>
        <v>3.8111759701456354E-4</v>
      </c>
      <c r="AP277" s="22">
        <f t="shared" si="66"/>
        <v>3.8627162040718048E-4</v>
      </c>
      <c r="AQ277" s="22">
        <f t="shared" si="66"/>
        <v>3.916418071339122E-4</v>
      </c>
      <c r="AR277" s="22">
        <f t="shared" si="66"/>
        <v>3.9726595823702738E-4</v>
      </c>
      <c r="AS277" s="22">
        <f t="shared" si="66"/>
        <v>4.0298959316573016E-4</v>
      </c>
      <c r="AT277" s="22">
        <f t="shared" si="66"/>
        <v>4.0434662126605264E-4</v>
      </c>
      <c r="AU277" s="22">
        <f t="shared" si="66"/>
        <v>4.0531241401388569E-4</v>
      </c>
      <c r="AV277" s="22">
        <f t="shared" si="66"/>
        <v>4.0570811694817522E-4</v>
      </c>
      <c r="AW277" s="22">
        <f t="shared" si="66"/>
        <v>4.0594705306212152E-4</v>
      </c>
      <c r="AY277" s="79"/>
    </row>
    <row r="278" spans="1:51" x14ac:dyDescent="0.3">
      <c r="A278" s="95" t="str">
        <f t="shared" si="45"/>
        <v>FA MM Volatilisation</v>
      </c>
      <c r="B278" s="95" t="s">
        <v>962</v>
      </c>
      <c r="C278" s="95" t="s">
        <v>1332</v>
      </c>
      <c r="D278" t="s">
        <v>369</v>
      </c>
      <c r="E278" t="s">
        <v>64</v>
      </c>
      <c r="F278" t="s">
        <v>62</v>
      </c>
      <c r="G278" t="s">
        <v>1158</v>
      </c>
      <c r="H278" t="s">
        <v>1293</v>
      </c>
      <c r="I278" t="s">
        <v>139</v>
      </c>
      <c r="J278" t="s">
        <v>287</v>
      </c>
      <c r="K278" s="22">
        <f t="shared" si="65"/>
        <v>3.2323215352203891E-3</v>
      </c>
      <c r="L278" s="22">
        <f t="shared" si="66"/>
        <v>3.2042886428129448E-3</v>
      </c>
      <c r="M278" s="22">
        <f t="shared" si="66"/>
        <v>3.193617369300608E-3</v>
      </c>
      <c r="N278" s="22">
        <f t="shared" si="66"/>
        <v>3.150970789688672E-3</v>
      </c>
      <c r="O278" s="22">
        <f t="shared" si="66"/>
        <v>3.0890682378804119E-3</v>
      </c>
      <c r="P278" s="22">
        <f t="shared" si="66"/>
        <v>3.0091897617382942E-3</v>
      </c>
      <c r="Q278" s="22">
        <f t="shared" si="66"/>
        <v>2.9461872714039495E-3</v>
      </c>
      <c r="R278" s="22">
        <f t="shared" si="66"/>
        <v>2.8865797531671877E-3</v>
      </c>
      <c r="S278" s="22">
        <f t="shared" si="66"/>
        <v>2.5393486840215836E-3</v>
      </c>
      <c r="T278" s="22">
        <f t="shared" si="66"/>
        <v>2.580595358897255E-3</v>
      </c>
      <c r="U278" s="22">
        <f t="shared" si="66"/>
        <v>2.657542332078646E-3</v>
      </c>
      <c r="V278" s="22">
        <f t="shared" si="66"/>
        <v>2.672909531392759E-3</v>
      </c>
      <c r="W278" s="22">
        <f t="shared" si="66"/>
        <v>2.69507345244463E-3</v>
      </c>
      <c r="X278" s="22">
        <f t="shared" si="66"/>
        <v>2.7259926112042248E-3</v>
      </c>
      <c r="Y278" s="22">
        <f t="shared" si="66"/>
        <v>2.7614582970453471E-3</v>
      </c>
      <c r="Z278" s="22">
        <f t="shared" si="66"/>
        <v>2.8030399515039583E-3</v>
      </c>
      <c r="AA278" s="22">
        <f t="shared" si="66"/>
        <v>2.8448133898556971E-3</v>
      </c>
      <c r="AB278" s="22">
        <f t="shared" si="66"/>
        <v>2.8917956180905236E-3</v>
      </c>
      <c r="AC278" s="22">
        <f t="shared" si="66"/>
        <v>2.9383115991341744E-3</v>
      </c>
      <c r="AD278" s="22">
        <f t="shared" si="66"/>
        <v>2.9686122408824826E-3</v>
      </c>
      <c r="AE278" s="22">
        <f t="shared" si="66"/>
        <v>2.9934911793624186E-3</v>
      </c>
      <c r="AF278" s="22">
        <f t="shared" si="66"/>
        <v>3.0197743682154753E-3</v>
      </c>
      <c r="AG278" s="22">
        <f t="shared" si="66"/>
        <v>3.0549409795984986E-3</v>
      </c>
      <c r="AH278" s="22">
        <f t="shared" si="66"/>
        <v>3.0802316239663852E-3</v>
      </c>
      <c r="AI278" s="22">
        <f t="shared" si="66"/>
        <v>3.1071852189437066E-3</v>
      </c>
      <c r="AJ278" s="22">
        <f t="shared" si="66"/>
        <v>3.1368555493036434E-3</v>
      </c>
      <c r="AK278" s="22">
        <f t="shared" si="66"/>
        <v>3.1553441150186925E-3</v>
      </c>
      <c r="AL278" s="22">
        <f t="shared" si="66"/>
        <v>3.1692145745473945E-3</v>
      </c>
      <c r="AM278" s="22">
        <f t="shared" si="66"/>
        <v>3.1788623674795236E-3</v>
      </c>
      <c r="AN278" s="22">
        <f t="shared" si="66"/>
        <v>3.2088548057950931E-3</v>
      </c>
      <c r="AO278" s="22">
        <f t="shared" si="66"/>
        <v>3.2316528557922693E-3</v>
      </c>
      <c r="AP278" s="22">
        <f t="shared" si="66"/>
        <v>3.2547386832550949E-3</v>
      </c>
      <c r="AQ278" s="22">
        <f t="shared" si="66"/>
        <v>3.2783763796135966E-3</v>
      </c>
      <c r="AR278" s="22">
        <f t="shared" si="66"/>
        <v>3.3030426066013221E-3</v>
      </c>
      <c r="AS278" s="22">
        <f t="shared" si="66"/>
        <v>3.3283682698185247E-3</v>
      </c>
      <c r="AT278" s="22">
        <f t="shared" si="66"/>
        <v>3.2784104491001818E-3</v>
      </c>
      <c r="AU278" s="22">
        <f t="shared" si="66"/>
        <v>3.2218166400979921E-3</v>
      </c>
      <c r="AV278" s="22">
        <f t="shared" si="66"/>
        <v>3.1562062621096833E-3</v>
      </c>
      <c r="AW278" s="22">
        <f t="shared" si="66"/>
        <v>3.0885397025865453E-3</v>
      </c>
      <c r="AY278" s="79"/>
    </row>
    <row r="279" spans="1:51" x14ac:dyDescent="0.3">
      <c r="A279" s="95" t="str">
        <f t="shared" si="45"/>
        <v>FA MM Volatilisation</v>
      </c>
      <c r="B279" s="95" t="s">
        <v>962</v>
      </c>
      <c r="C279" s="95" t="s">
        <v>1332</v>
      </c>
      <c r="D279" t="s">
        <v>369</v>
      </c>
      <c r="E279" t="s">
        <v>64</v>
      </c>
      <c r="F279" t="s">
        <v>62</v>
      </c>
      <c r="G279" t="s">
        <v>1160</v>
      </c>
      <c r="H279" t="s">
        <v>1294</v>
      </c>
      <c r="I279" t="s">
        <v>139</v>
      </c>
      <c r="J279" t="s">
        <v>287</v>
      </c>
      <c r="K279" s="22">
        <f t="shared" si="65"/>
        <v>1.6090517274103575E-2</v>
      </c>
      <c r="L279" s="22">
        <f t="shared" si="66"/>
        <v>1.5950969356419605E-2</v>
      </c>
      <c r="M279" s="22">
        <f t="shared" si="66"/>
        <v>1.5897847688628834E-2</v>
      </c>
      <c r="N279" s="22">
        <f t="shared" si="66"/>
        <v>1.5685552742581484E-2</v>
      </c>
      <c r="O279" s="22">
        <f t="shared" si="66"/>
        <v>1.5377401443792458E-2</v>
      </c>
      <c r="P279" s="22">
        <f t="shared" si="66"/>
        <v>1.4979765878707444E-2</v>
      </c>
      <c r="Q279" s="22">
        <f t="shared" si="66"/>
        <v>1.4666139078901097E-2</v>
      </c>
      <c r="R279" s="22">
        <f t="shared" si="66"/>
        <v>1.4369412471908495E-2</v>
      </c>
      <c r="S279" s="22">
        <f t="shared" si="66"/>
        <v>1.2640893989042949E-2</v>
      </c>
      <c r="T279" s="22">
        <f t="shared" si="66"/>
        <v>1.284622020036031E-2</v>
      </c>
      <c r="U279" s="22">
        <f t="shared" si="66"/>
        <v>1.322926272495888E-2</v>
      </c>
      <c r="V279" s="22">
        <f t="shared" si="66"/>
        <v>1.3305760741422912E-2</v>
      </c>
      <c r="W279" s="22">
        <f t="shared" si="66"/>
        <v>1.3416092882164809E-2</v>
      </c>
      <c r="X279" s="22">
        <f t="shared" si="66"/>
        <v>1.3570008652208428E-2</v>
      </c>
      <c r="Y279" s="22">
        <f t="shared" si="66"/>
        <v>1.3746557063140447E-2</v>
      </c>
      <c r="Z279" s="22">
        <f t="shared" si="66"/>
        <v>1.3953550804963992E-2</v>
      </c>
      <c r="AA279" s="22">
        <f t="shared" si="66"/>
        <v>1.4161499248234047E-2</v>
      </c>
      <c r="AB279" s="22">
        <f t="shared" si="66"/>
        <v>1.439537708085406E-2</v>
      </c>
      <c r="AC279" s="22">
        <f t="shared" si="66"/>
        <v>1.4626933931974607E-2</v>
      </c>
      <c r="AD279" s="22">
        <f t="shared" si="66"/>
        <v>1.4777770720380409E-2</v>
      </c>
      <c r="AE279" s="22">
        <f t="shared" si="66"/>
        <v>1.4901618235242655E-2</v>
      </c>
      <c r="AF279" s="22">
        <f t="shared" si="66"/>
        <v>1.5032456117442953E-2</v>
      </c>
      <c r="AG279" s="22">
        <f t="shared" si="66"/>
        <v>1.5207515733809875E-2</v>
      </c>
      <c r="AH279" s="22">
        <f t="shared" si="66"/>
        <v>1.5333412723215338E-2</v>
      </c>
      <c r="AI279" s="22">
        <f t="shared" si="66"/>
        <v>1.5467587891389686E-2</v>
      </c>
      <c r="AJ279" s="22">
        <f t="shared" si="66"/>
        <v>1.5615286985673127E-2</v>
      </c>
      <c r="AK279" s="22">
        <f t="shared" si="66"/>
        <v>1.5707323184043206E-2</v>
      </c>
      <c r="AL279" s="22">
        <f t="shared" si="66"/>
        <v>1.5776370420283306E-2</v>
      </c>
      <c r="AM279" s="22">
        <f t="shared" si="66"/>
        <v>1.5824397195200308E-2</v>
      </c>
      <c r="AN279" s="22">
        <f t="shared" si="66"/>
        <v>1.5973699744946876E-2</v>
      </c>
      <c r="AO279" s="22">
        <f t="shared" si="66"/>
        <v>1.608718858363397E-2</v>
      </c>
      <c r="AP279" s="22">
        <f t="shared" si="66"/>
        <v>1.6202109980385494E-2</v>
      </c>
      <c r="AQ279" s="22">
        <f t="shared" si="66"/>
        <v>1.6319778584029082E-2</v>
      </c>
      <c r="AR279" s="22">
        <f t="shared" si="66"/>
        <v>1.6442567219722745E-2</v>
      </c>
      <c r="AS279" s="22">
        <f t="shared" si="66"/>
        <v>1.6568638533184063E-2</v>
      </c>
      <c r="AT279" s="22">
        <f t="shared" si="66"/>
        <v>1.6319948182151194E-2</v>
      </c>
      <c r="AU279" s="22">
        <f t="shared" si="66"/>
        <v>1.603822383900198E-2</v>
      </c>
      <c r="AV279" s="22">
        <f t="shared" si="66"/>
        <v>1.5711614957775871E-2</v>
      </c>
      <c r="AW279" s="22">
        <f t="shared" si="66"/>
        <v>1.5374770391719434E-2</v>
      </c>
      <c r="AY279" s="79"/>
    </row>
    <row r="280" spans="1:51" x14ac:dyDescent="0.3">
      <c r="A280" s="95" t="str">
        <f t="shared" si="45"/>
        <v>FA MM Volatilisation</v>
      </c>
      <c r="B280" s="95" t="s">
        <v>962</v>
      </c>
      <c r="C280" s="95" t="s">
        <v>1332</v>
      </c>
      <c r="D280" t="s">
        <v>369</v>
      </c>
      <c r="E280" t="s">
        <v>64</v>
      </c>
      <c r="F280" t="s">
        <v>62</v>
      </c>
      <c r="G280" t="s">
        <v>1162</v>
      </c>
      <c r="H280" t="s">
        <v>1295</v>
      </c>
      <c r="I280" t="s">
        <v>139</v>
      </c>
      <c r="J280" t="s">
        <v>287</v>
      </c>
      <c r="K280" s="22">
        <f t="shared" si="65"/>
        <v>0.15836052531214873</v>
      </c>
      <c r="L280" s="22">
        <f t="shared" si="66"/>
        <v>0.16370016056893641</v>
      </c>
      <c r="M280" s="22">
        <f t="shared" si="66"/>
        <v>0.17003774892948584</v>
      </c>
      <c r="N280" s="22">
        <f t="shared" si="66"/>
        <v>0.17476418316081974</v>
      </c>
      <c r="O280" s="22">
        <f t="shared" si="66"/>
        <v>0.1784091501709566</v>
      </c>
      <c r="P280" s="22">
        <f t="shared" si="66"/>
        <v>0.18092055691117107</v>
      </c>
      <c r="Q280" s="22">
        <f t="shared" si="66"/>
        <v>0.18434967364231716</v>
      </c>
      <c r="R280" s="22">
        <f t="shared" si="66"/>
        <v>0.18794438918293385</v>
      </c>
      <c r="S280" s="22">
        <f t="shared" si="66"/>
        <v>0.17201843471628311</v>
      </c>
      <c r="T280" s="22">
        <f t="shared" si="66"/>
        <v>0.17902423727078304</v>
      </c>
      <c r="U280" s="22">
        <f t="shared" si="66"/>
        <v>0.18874308750279975</v>
      </c>
      <c r="V280" s="22">
        <f t="shared" si="66"/>
        <v>0.19428798010301845</v>
      </c>
      <c r="W280" s="22">
        <f t="shared" si="66"/>
        <v>0.20044069379465723</v>
      </c>
      <c r="X280" s="22">
        <f t="shared" si="66"/>
        <v>0.20738925990441343</v>
      </c>
      <c r="Y280" s="22">
        <f t="shared" si="66"/>
        <v>0.21485625224208699</v>
      </c>
      <c r="Z280" s="22">
        <f t="shared" si="66"/>
        <v>0.22299569523633012</v>
      </c>
      <c r="AA280" s="22">
        <f t="shared" si="66"/>
        <v>0.23136404347242787</v>
      </c>
      <c r="AB280" s="22">
        <f t="shared" si="66"/>
        <v>0.24038568507894228</v>
      </c>
      <c r="AC280" s="22">
        <f t="shared" si="66"/>
        <v>0.24961351882279642</v>
      </c>
      <c r="AD280" s="22">
        <f t="shared" si="66"/>
        <v>0.26055082309019489</v>
      </c>
      <c r="AE280" s="22">
        <f t="shared" si="66"/>
        <v>0.27146409989499087</v>
      </c>
      <c r="AF280" s="22">
        <f t="shared" si="66"/>
        <v>0.28296976129835516</v>
      </c>
      <c r="AG280" s="22">
        <f t="shared" si="66"/>
        <v>0.29583119296374027</v>
      </c>
      <c r="AH280" s="22">
        <f t="shared" si="66"/>
        <v>0.30828569818364093</v>
      </c>
      <c r="AI280" s="22">
        <f t="shared" si="66"/>
        <v>0.32146078881891821</v>
      </c>
      <c r="AJ280" s="22">
        <f t="shared" si="66"/>
        <v>0.33551892419975027</v>
      </c>
      <c r="AK280" s="22">
        <f t="shared" si="66"/>
        <v>0.34898799967344624</v>
      </c>
      <c r="AL280" s="22">
        <f t="shared" si="66"/>
        <v>0.36253110288155638</v>
      </c>
      <c r="AM280" s="22">
        <f t="shared" si="66"/>
        <v>0.3761776209722954</v>
      </c>
      <c r="AN280" s="22">
        <f t="shared" si="66"/>
        <v>0.39044092384449941</v>
      </c>
      <c r="AO280" s="22">
        <f t="shared" si="66"/>
        <v>0.40434790587507169</v>
      </c>
      <c r="AP280" s="22">
        <f t="shared" si="66"/>
        <v>0.41881133165575385</v>
      </c>
      <c r="AQ280" s="22">
        <f t="shared" si="66"/>
        <v>0.43389523168298461</v>
      </c>
      <c r="AR280" s="22">
        <f t="shared" si="66"/>
        <v>0.44969846219520337</v>
      </c>
      <c r="AS280" s="22">
        <f t="shared" si="66"/>
        <v>0.46621113351536414</v>
      </c>
      <c r="AT280" s="22">
        <f t="shared" si="66"/>
        <v>0.47252748572368597</v>
      </c>
      <c r="AU280" s="22">
        <f t="shared" si="66"/>
        <v>0.47791554113176593</v>
      </c>
      <c r="AV280" s="22">
        <f t="shared" si="66"/>
        <v>0.48192801076931108</v>
      </c>
      <c r="AW280" s="22">
        <f t="shared" si="66"/>
        <v>0.48553688587906652</v>
      </c>
      <c r="AY280" s="79"/>
    </row>
    <row r="281" spans="1:51" x14ac:dyDescent="0.3">
      <c r="A281" s="95" t="str">
        <f t="shared" si="45"/>
        <v>FA MM Volatilisation</v>
      </c>
      <c r="B281" s="95" t="s">
        <v>962</v>
      </c>
      <c r="C281" s="95" t="s">
        <v>1332</v>
      </c>
      <c r="D281" t="s">
        <v>369</v>
      </c>
      <c r="E281" t="s">
        <v>64</v>
      </c>
      <c r="F281" t="s">
        <v>62</v>
      </c>
      <c r="G281" t="s">
        <v>1164</v>
      </c>
      <c r="H281" t="s">
        <v>1296</v>
      </c>
      <c r="I281" t="s">
        <v>139</v>
      </c>
      <c r="J281" t="s">
        <v>287</v>
      </c>
      <c r="K281" s="22">
        <f t="shared" si="65"/>
        <v>1.1718831875652189E-4</v>
      </c>
      <c r="L281" s="22">
        <f t="shared" si="66"/>
        <v>1.1725168210757805E-4</v>
      </c>
      <c r="M281" s="22">
        <f t="shared" si="66"/>
        <v>1.1740318150277543E-4</v>
      </c>
      <c r="N281" s="22">
        <f t="shared" si="66"/>
        <v>1.1762656857541023E-4</v>
      </c>
      <c r="O281" s="22">
        <f t="shared" si="66"/>
        <v>1.179204237689029E-4</v>
      </c>
      <c r="P281" s="22">
        <f t="shared" si="66"/>
        <v>1.1828164409401504E-4</v>
      </c>
      <c r="Q281" s="22">
        <f t="shared" si="66"/>
        <v>1.1868734382429133E-4</v>
      </c>
      <c r="R281" s="22">
        <f t="shared" si="66"/>
        <v>1.1913496163447935E-4</v>
      </c>
      <c r="S281" s="22">
        <f t="shared" si="66"/>
        <v>1.1954428347803586E-4</v>
      </c>
      <c r="T281" s="22">
        <f t="shared" si="66"/>
        <v>1.1972414940561896E-4</v>
      </c>
      <c r="U281" s="22">
        <f t="shared" si="66"/>
        <v>1.1994380434419684E-4</v>
      </c>
      <c r="V281" s="22">
        <f t="shared" si="66"/>
        <v>1.201746788301286E-4</v>
      </c>
      <c r="W281" s="22">
        <f t="shared" si="66"/>
        <v>1.2043388472990403E-4</v>
      </c>
      <c r="X281" s="22">
        <f t="shared" si="66"/>
        <v>1.207206967802894E-4</v>
      </c>
      <c r="Y281" s="22">
        <f t="shared" si="66"/>
        <v>1.2089981812671622E-4</v>
      </c>
      <c r="Z281" s="22">
        <f t="shared" si="66"/>
        <v>1.2110217984152869E-4</v>
      </c>
      <c r="AA281" s="22">
        <f t="shared" si="66"/>
        <v>1.2132504756910802E-4</v>
      </c>
      <c r="AB281" s="22">
        <f t="shared" si="66"/>
        <v>1.2156903411725496E-4</v>
      </c>
      <c r="AC281" s="22">
        <f t="shared" si="66"/>
        <v>1.2183162117803533E-4</v>
      </c>
      <c r="AD281" s="22">
        <f t="shared" si="66"/>
        <v>1.2200776858907327E-4</v>
      </c>
      <c r="AE281" s="22">
        <f t="shared" si="66"/>
        <v>1.2219899661673858E-4</v>
      </c>
      <c r="AF281" s="22">
        <f t="shared" si="66"/>
        <v>1.2240684242118336E-4</v>
      </c>
      <c r="AG281" s="22">
        <f t="shared" si="66"/>
        <v>1.2263333491271974E-4</v>
      </c>
      <c r="AH281" s="22">
        <f t="shared" si="66"/>
        <v>1.2287167298468532E-4</v>
      </c>
      <c r="AI281" s="22">
        <f t="shared" ref="L281:AW288" si="67">AI1537</f>
        <v>1.2302401792252464E-4</v>
      </c>
      <c r="AJ281" s="22">
        <f t="shared" si="67"/>
        <v>1.2319088645114677E-4</v>
      </c>
      <c r="AK281" s="22">
        <f t="shared" si="67"/>
        <v>1.2336677489796816E-4</v>
      </c>
      <c r="AL281" s="22">
        <f t="shared" si="67"/>
        <v>1.2355355577482136E-4</v>
      </c>
      <c r="AM281" s="22">
        <f t="shared" si="67"/>
        <v>1.2375094588099321E-4</v>
      </c>
      <c r="AN281" s="22">
        <f t="shared" si="67"/>
        <v>1.2386757855810271E-4</v>
      </c>
      <c r="AO281" s="22">
        <f t="shared" si="67"/>
        <v>1.2399208535623994E-4</v>
      </c>
      <c r="AP281" s="22">
        <f t="shared" si="67"/>
        <v>1.2412714040619619E-4</v>
      </c>
      <c r="AQ281" s="22">
        <f t="shared" si="67"/>
        <v>1.242726131383893E-4</v>
      </c>
      <c r="AR281" s="22">
        <f t="shared" si="67"/>
        <v>1.2442850053815514E-4</v>
      </c>
      <c r="AS281" s="22">
        <f t="shared" si="67"/>
        <v>1.2449922291454818E-4</v>
      </c>
      <c r="AT281" s="22">
        <f t="shared" si="67"/>
        <v>1.2454479881058539E-4</v>
      </c>
      <c r="AU281" s="22">
        <f t="shared" si="67"/>
        <v>1.2459475860623469E-4</v>
      </c>
      <c r="AV281" s="22">
        <f t="shared" si="67"/>
        <v>1.2464752954530566E-4</v>
      </c>
      <c r="AW281" s="22">
        <f t="shared" si="67"/>
        <v>1.2470598620434531E-4</v>
      </c>
      <c r="AY281" s="79"/>
    </row>
    <row r="282" spans="1:51" x14ac:dyDescent="0.3">
      <c r="A282" s="95" t="str">
        <f t="shared" si="45"/>
        <v>FA MM Volatilisation</v>
      </c>
      <c r="B282" s="95" t="s">
        <v>962</v>
      </c>
      <c r="C282" s="95" t="s">
        <v>1332</v>
      </c>
      <c r="D282" t="s">
        <v>369</v>
      </c>
      <c r="E282" t="s">
        <v>64</v>
      </c>
      <c r="F282" t="s">
        <v>62</v>
      </c>
      <c r="G282" t="s">
        <v>1166</v>
      </c>
      <c r="H282" t="s">
        <v>1297</v>
      </c>
      <c r="I282" t="s">
        <v>139</v>
      </c>
      <c r="J282" t="s">
        <v>287</v>
      </c>
      <c r="K282" s="22">
        <f t="shared" si="65"/>
        <v>8.042066176599371E-4</v>
      </c>
      <c r="L282" s="22">
        <f t="shared" si="67"/>
        <v>8.046414496191049E-4</v>
      </c>
      <c r="M282" s="22">
        <f t="shared" si="67"/>
        <v>8.0568111652005547E-4</v>
      </c>
      <c r="N282" s="22">
        <f t="shared" si="67"/>
        <v>8.0721411369945729E-4</v>
      </c>
      <c r="O282" s="22">
        <f t="shared" si="67"/>
        <v>8.0923069942871869E-4</v>
      </c>
      <c r="P282" s="22">
        <f t="shared" si="67"/>
        <v>8.117095793970544E-4</v>
      </c>
      <c r="Q282" s="22">
        <f t="shared" si="67"/>
        <v>8.1449369995900982E-4</v>
      </c>
      <c r="R282" s="22">
        <f t="shared" si="67"/>
        <v>8.1756548398113221E-4</v>
      </c>
      <c r="S282" s="22">
        <f t="shared" si="67"/>
        <v>8.2037446135049667E-4</v>
      </c>
      <c r="T282" s="22">
        <f t="shared" si="67"/>
        <v>8.2160879401085645E-4</v>
      </c>
      <c r="U282" s="22">
        <f t="shared" si="67"/>
        <v>8.2311617936359845E-4</v>
      </c>
      <c r="V282" s="22">
        <f t="shared" si="67"/>
        <v>8.2470055903049121E-4</v>
      </c>
      <c r="W282" s="22">
        <f t="shared" si="67"/>
        <v>8.2647936345526477E-4</v>
      </c>
      <c r="X282" s="22">
        <f t="shared" si="67"/>
        <v>8.2844761550796096E-4</v>
      </c>
      <c r="Y282" s="22">
        <f t="shared" si="67"/>
        <v>8.2967683846882541E-4</v>
      </c>
      <c r="Z282" s="22">
        <f t="shared" si="67"/>
        <v>8.3106554881077761E-4</v>
      </c>
      <c r="AA282" s="22">
        <f t="shared" si="67"/>
        <v>8.3259498197684714E-4</v>
      </c>
      <c r="AB282" s="22">
        <f t="shared" si="67"/>
        <v>8.3426934336987486E-4</v>
      </c>
      <c r="AC282" s="22">
        <f t="shared" si="67"/>
        <v>8.3607135106340792E-4</v>
      </c>
      <c r="AD282" s="22">
        <f t="shared" si="67"/>
        <v>8.3728016534748921E-4</v>
      </c>
      <c r="AE282" s="22">
        <f t="shared" si="67"/>
        <v>8.3859247059226414E-4</v>
      </c>
      <c r="AF282" s="22">
        <f t="shared" si="67"/>
        <v>8.4001881558262628E-4</v>
      </c>
      <c r="AG282" s="22">
        <f t="shared" si="67"/>
        <v>8.4157312374641413E-4</v>
      </c>
      <c r="AH282" s="22">
        <f t="shared" si="67"/>
        <v>8.4320872238584225E-4</v>
      </c>
      <c r="AI282" s="22">
        <f t="shared" si="67"/>
        <v>8.4425419183601768E-4</v>
      </c>
      <c r="AJ282" s="22">
        <f t="shared" si="67"/>
        <v>8.4539932964856662E-4</v>
      </c>
      <c r="AK282" s="22">
        <f t="shared" si="67"/>
        <v>8.4660636678677789E-4</v>
      </c>
      <c r="AL282" s="22">
        <f t="shared" si="67"/>
        <v>8.4788815339154825E-4</v>
      </c>
      <c r="AM282" s="22">
        <f t="shared" si="67"/>
        <v>8.4924274599368159E-4</v>
      </c>
      <c r="AN282" s="22">
        <f t="shared" si="67"/>
        <v>8.5004313951209814E-4</v>
      </c>
      <c r="AO282" s="22">
        <f t="shared" si="67"/>
        <v>8.5089756930568201E-4</v>
      </c>
      <c r="AP282" s="22">
        <f t="shared" si="67"/>
        <v>8.5182438663761119E-4</v>
      </c>
      <c r="AQ282" s="22">
        <f t="shared" si="67"/>
        <v>8.5282269547214476E-4</v>
      </c>
      <c r="AR282" s="22">
        <f t="shared" si="67"/>
        <v>8.5389247512110444E-4</v>
      </c>
      <c r="AS282" s="22">
        <f t="shared" si="67"/>
        <v>8.5437780850343642E-4</v>
      </c>
      <c r="AT282" s="22">
        <f t="shared" si="67"/>
        <v>8.5469057378232966E-4</v>
      </c>
      <c r="AU282" s="22">
        <f t="shared" si="67"/>
        <v>8.5503342363890623E-4</v>
      </c>
      <c r="AV282" s="22">
        <f t="shared" si="67"/>
        <v>8.5539556500991744E-4</v>
      </c>
      <c r="AW282" s="22">
        <f t="shared" si="67"/>
        <v>8.5579672472058501E-4</v>
      </c>
      <c r="AY282" s="79"/>
    </row>
    <row r="283" spans="1:51" x14ac:dyDescent="0.3">
      <c r="A283" s="95" t="str">
        <f t="shared" si="45"/>
        <v>FA MM Volatilisation</v>
      </c>
      <c r="B283" s="95" t="s">
        <v>962</v>
      </c>
      <c r="C283" s="95" t="s">
        <v>1332</v>
      </c>
      <c r="D283" t="s">
        <v>369</v>
      </c>
      <c r="E283" t="s">
        <v>64</v>
      </c>
      <c r="F283" t="s">
        <v>62</v>
      </c>
      <c r="G283" t="s">
        <v>1168</v>
      </c>
      <c r="H283" t="s">
        <v>1298</v>
      </c>
      <c r="I283" t="s">
        <v>139</v>
      </c>
      <c r="J283" t="s">
        <v>287</v>
      </c>
      <c r="K283" s="22">
        <f t="shared" si="65"/>
        <v>1.4486129996083085E-5</v>
      </c>
      <c r="L283" s="22">
        <f t="shared" si="67"/>
        <v>1.4523786941695515E-5</v>
      </c>
      <c r="M283" s="22">
        <f t="shared" si="67"/>
        <v>1.4575733367418309E-5</v>
      </c>
      <c r="N283" s="22">
        <f t="shared" si="67"/>
        <v>1.4639017833045655E-5</v>
      </c>
      <c r="O283" s="22">
        <f t="shared" si="67"/>
        <v>1.471355007817218E-5</v>
      </c>
      <c r="P283" s="22">
        <f t="shared" si="67"/>
        <v>1.4798876460462532E-5</v>
      </c>
      <c r="Q283" s="22">
        <f t="shared" si="67"/>
        <v>1.489070601115726E-5</v>
      </c>
      <c r="R283" s="22">
        <f t="shared" si="67"/>
        <v>1.4988675221399694E-5</v>
      </c>
      <c r="S283" s="22">
        <f t="shared" si="67"/>
        <v>1.5077522200056562E-5</v>
      </c>
      <c r="T283" s="22">
        <f t="shared" si="67"/>
        <v>1.5120920467659651E-5</v>
      </c>
      <c r="U283" s="22">
        <f t="shared" si="67"/>
        <v>1.5170664566545744E-5</v>
      </c>
      <c r="V283" s="22">
        <f t="shared" si="67"/>
        <v>1.5221371307810579E-5</v>
      </c>
      <c r="W283" s="22">
        <f t="shared" si="67"/>
        <v>1.5276366577947841E-5</v>
      </c>
      <c r="X283" s="22">
        <f t="shared" si="67"/>
        <v>1.5335559486365855E-5</v>
      </c>
      <c r="Y283" s="22">
        <f t="shared" si="67"/>
        <v>1.5373440359637545E-5</v>
      </c>
      <c r="Z283" s="22">
        <f t="shared" si="67"/>
        <v>1.5414884136013281E-5</v>
      </c>
      <c r="AA283" s="22">
        <f t="shared" si="67"/>
        <v>1.5459406079654033E-5</v>
      </c>
      <c r="AB283" s="22">
        <f t="shared" si="67"/>
        <v>1.5507149153927191E-5</v>
      </c>
      <c r="AC283" s="22">
        <f t="shared" si="67"/>
        <v>1.5557665060375898E-5</v>
      </c>
      <c r="AD283" s="22">
        <f t="shared" si="67"/>
        <v>1.5591353436562986E-5</v>
      </c>
      <c r="AE283" s="22">
        <f t="shared" si="67"/>
        <v>1.5627280085252664E-5</v>
      </c>
      <c r="AF283" s="22">
        <f t="shared" si="67"/>
        <v>1.5665749106164008E-5</v>
      </c>
      <c r="AG283" s="22">
        <f t="shared" si="67"/>
        <v>1.5707151218007595E-5</v>
      </c>
      <c r="AH283" s="22">
        <f t="shared" si="67"/>
        <v>1.5750235619215941E-5</v>
      </c>
      <c r="AI283" s="22">
        <f t="shared" si="67"/>
        <v>1.5776918897393027E-5</v>
      </c>
      <c r="AJ283" s="22">
        <f t="shared" si="67"/>
        <v>1.5805875112600263E-5</v>
      </c>
      <c r="AK283" s="22">
        <f t="shared" si="67"/>
        <v>1.5836097205917668E-5</v>
      </c>
      <c r="AL283" s="22">
        <f t="shared" si="67"/>
        <v>1.5867941184595161E-5</v>
      </c>
      <c r="AM283" s="22">
        <f t="shared" si="67"/>
        <v>1.5901363449816974E-5</v>
      </c>
      <c r="AN283" s="22">
        <f t="shared" si="67"/>
        <v>1.5919623331121566E-5</v>
      </c>
      <c r="AO283" s="22">
        <f t="shared" si="67"/>
        <v>1.5939033537312695E-5</v>
      </c>
      <c r="AP283" s="22">
        <f t="shared" si="67"/>
        <v>1.5960089556991586E-5</v>
      </c>
      <c r="AQ283" s="22">
        <f t="shared" si="67"/>
        <v>1.5982771280705936E-5</v>
      </c>
      <c r="AR283" s="22">
        <f t="shared" si="67"/>
        <v>1.6007081325051207E-5</v>
      </c>
      <c r="AS283" s="22">
        <f t="shared" si="67"/>
        <v>1.6015649873683189E-5</v>
      </c>
      <c r="AT283" s="22">
        <f t="shared" si="67"/>
        <v>1.6019455168078908E-5</v>
      </c>
      <c r="AU283" s="22">
        <f t="shared" si="67"/>
        <v>1.6023878849097448E-5</v>
      </c>
      <c r="AV283" s="22">
        <f t="shared" si="67"/>
        <v>1.6028641289399774E-5</v>
      </c>
      <c r="AW283" s="22">
        <f t="shared" si="67"/>
        <v>1.6034267352361545E-5</v>
      </c>
      <c r="AY283" s="79"/>
    </row>
    <row r="284" spans="1:51" x14ac:dyDescent="0.3">
      <c r="A284" s="95" t="str">
        <f t="shared" si="45"/>
        <v>FA MM Volatilisation</v>
      </c>
      <c r="B284" s="95" t="s">
        <v>962</v>
      </c>
      <c r="C284" s="95" t="s">
        <v>1332</v>
      </c>
      <c r="D284" t="s">
        <v>369</v>
      </c>
      <c r="E284" t="s">
        <v>64</v>
      </c>
      <c r="F284" t="s">
        <v>62</v>
      </c>
      <c r="G284" t="s">
        <v>1170</v>
      </c>
      <c r="H284" t="s">
        <v>1299</v>
      </c>
      <c r="I284" t="s">
        <v>139</v>
      </c>
      <c r="J284" t="s">
        <v>287</v>
      </c>
      <c r="K284" s="22">
        <f t="shared" si="65"/>
        <v>1.4738364076719787E-3</v>
      </c>
      <c r="L284" s="22">
        <f t="shared" si="67"/>
        <v>1.4776676709189833E-3</v>
      </c>
      <c r="M284" s="22">
        <f t="shared" si="67"/>
        <v>1.4829527631761549E-3</v>
      </c>
      <c r="N284" s="22">
        <f t="shared" si="67"/>
        <v>1.4893914013429305E-3</v>
      </c>
      <c r="O284" s="22">
        <f t="shared" si="67"/>
        <v>1.4969744022163664E-3</v>
      </c>
      <c r="P284" s="22">
        <f t="shared" si="67"/>
        <v>1.5056556116759296E-3</v>
      </c>
      <c r="Q284" s="22">
        <f t="shared" si="67"/>
        <v>1.5149984613639169E-3</v>
      </c>
      <c r="R284" s="22">
        <f t="shared" si="67"/>
        <v>1.5249659674490626E-3</v>
      </c>
      <c r="S284" s="22">
        <f t="shared" si="67"/>
        <v>1.5340053666461951E-3</v>
      </c>
      <c r="T284" s="22">
        <f t="shared" si="67"/>
        <v>1.5384207589449399E-3</v>
      </c>
      <c r="U284" s="22">
        <f t="shared" si="67"/>
        <v>1.5434817838028542E-3</v>
      </c>
      <c r="V284" s="22">
        <f t="shared" si="67"/>
        <v>1.5486407490620871E-3</v>
      </c>
      <c r="W284" s="22">
        <f t="shared" si="67"/>
        <v>1.5542360344419619E-3</v>
      </c>
      <c r="X284" s="22">
        <f t="shared" si="67"/>
        <v>1.5602583926236193E-3</v>
      </c>
      <c r="Y284" s="22">
        <f t="shared" si="67"/>
        <v>1.5641124385418405E-3</v>
      </c>
      <c r="Z284" s="22">
        <f t="shared" si="67"/>
        <v>1.5683289785363378E-3</v>
      </c>
      <c r="AA284" s="22">
        <f t="shared" si="67"/>
        <v>1.5728586949958615E-3</v>
      </c>
      <c r="AB284" s="22">
        <f t="shared" si="67"/>
        <v>1.5777161331865307E-3</v>
      </c>
      <c r="AC284" s="22">
        <f t="shared" si="67"/>
        <v>1.5828556826804803E-3</v>
      </c>
      <c r="AD284" s="22">
        <f t="shared" si="67"/>
        <v>1.5862831788684411E-3</v>
      </c>
      <c r="AE284" s="22">
        <f t="shared" si="67"/>
        <v>1.5899383996112353E-3</v>
      </c>
      <c r="AF284" s="22">
        <f t="shared" si="67"/>
        <v>1.5938522843825273E-3</v>
      </c>
      <c r="AG284" s="22">
        <f t="shared" si="67"/>
        <v>1.5980645853770706E-3</v>
      </c>
      <c r="AH284" s="22">
        <f t="shared" si="67"/>
        <v>1.6024480445287401E-3</v>
      </c>
      <c r="AI284" s="22">
        <f t="shared" si="67"/>
        <v>1.6051628335623928E-3</v>
      </c>
      <c r="AJ284" s="22">
        <f t="shared" si="67"/>
        <v>1.6081088739618883E-3</v>
      </c>
      <c r="AK284" s="22">
        <f t="shared" si="67"/>
        <v>1.611183706333218E-3</v>
      </c>
      <c r="AL284" s="22">
        <f t="shared" si="67"/>
        <v>1.6144235512850938E-3</v>
      </c>
      <c r="AM284" s="22">
        <f t="shared" si="67"/>
        <v>1.6178239730212022E-3</v>
      </c>
      <c r="AN284" s="22">
        <f t="shared" si="67"/>
        <v>1.6196817554567978E-3</v>
      </c>
      <c r="AO284" s="22">
        <f t="shared" si="67"/>
        <v>1.6216565733393274E-3</v>
      </c>
      <c r="AP284" s="22">
        <f t="shared" si="67"/>
        <v>1.623798838279086E-3</v>
      </c>
      <c r="AQ284" s="22">
        <f t="shared" si="67"/>
        <v>1.6261065043160481E-3</v>
      </c>
      <c r="AR284" s="22">
        <f t="shared" si="67"/>
        <v>1.6285798376658015E-3</v>
      </c>
      <c r="AS284" s="22">
        <f t="shared" si="67"/>
        <v>1.6294516121796393E-3</v>
      </c>
      <c r="AT284" s="22">
        <f t="shared" si="67"/>
        <v>1.6298387674394525E-3</v>
      </c>
      <c r="AU284" s="22">
        <f t="shared" si="67"/>
        <v>1.630288838103102E-3</v>
      </c>
      <c r="AV284" s="22">
        <f t="shared" si="67"/>
        <v>1.6307733745465026E-3</v>
      </c>
      <c r="AW284" s="22">
        <f t="shared" si="67"/>
        <v>1.6313457770050716E-3</v>
      </c>
      <c r="AY284" s="79"/>
    </row>
    <row r="285" spans="1:51" x14ac:dyDescent="0.3">
      <c r="A285" s="95" t="str">
        <f t="shared" si="45"/>
        <v>FA MM Volatilisation</v>
      </c>
      <c r="B285" s="95" t="s">
        <v>962</v>
      </c>
      <c r="C285" s="95" t="s">
        <v>1332</v>
      </c>
      <c r="D285" t="s">
        <v>369</v>
      </c>
      <c r="E285" t="s">
        <v>64</v>
      </c>
      <c r="F285" t="s">
        <v>62</v>
      </c>
      <c r="G285" t="s">
        <v>1172</v>
      </c>
      <c r="H285" t="s">
        <v>1300</v>
      </c>
      <c r="I285" t="s">
        <v>139</v>
      </c>
      <c r="J285" t="s">
        <v>287</v>
      </c>
      <c r="K285" s="22">
        <f t="shared" si="65"/>
        <v>0</v>
      </c>
      <c r="L285" s="22">
        <f t="shared" si="67"/>
        <v>0</v>
      </c>
      <c r="M285" s="22">
        <f t="shared" si="67"/>
        <v>0</v>
      </c>
      <c r="N285" s="22">
        <f t="shared" si="67"/>
        <v>0</v>
      </c>
      <c r="O285" s="22">
        <f t="shared" si="67"/>
        <v>0</v>
      </c>
      <c r="P285" s="22">
        <f t="shared" si="67"/>
        <v>0</v>
      </c>
      <c r="Q285" s="22">
        <f t="shared" si="67"/>
        <v>0</v>
      </c>
      <c r="R285" s="22">
        <f t="shared" si="67"/>
        <v>0</v>
      </c>
      <c r="S285" s="22">
        <f t="shared" si="67"/>
        <v>0</v>
      </c>
      <c r="T285" s="22">
        <f t="shared" si="67"/>
        <v>0</v>
      </c>
      <c r="U285" s="22">
        <f t="shared" si="67"/>
        <v>0</v>
      </c>
      <c r="V285" s="22">
        <f t="shared" si="67"/>
        <v>0</v>
      </c>
      <c r="W285" s="22">
        <f t="shared" si="67"/>
        <v>0</v>
      </c>
      <c r="X285" s="22">
        <f t="shared" si="67"/>
        <v>0</v>
      </c>
      <c r="Y285" s="22">
        <f t="shared" si="67"/>
        <v>0</v>
      </c>
      <c r="Z285" s="22">
        <f t="shared" si="67"/>
        <v>0</v>
      </c>
      <c r="AA285" s="22">
        <f t="shared" si="67"/>
        <v>0</v>
      </c>
      <c r="AB285" s="22">
        <f t="shared" si="67"/>
        <v>0</v>
      </c>
      <c r="AC285" s="22">
        <f t="shared" si="67"/>
        <v>0</v>
      </c>
      <c r="AD285" s="22">
        <f t="shared" si="67"/>
        <v>0</v>
      </c>
      <c r="AE285" s="22">
        <f t="shared" si="67"/>
        <v>0</v>
      </c>
      <c r="AF285" s="22">
        <f t="shared" si="67"/>
        <v>0</v>
      </c>
      <c r="AG285" s="22">
        <f t="shared" si="67"/>
        <v>0</v>
      </c>
      <c r="AH285" s="22">
        <f t="shared" si="67"/>
        <v>0</v>
      </c>
      <c r="AI285" s="22">
        <f t="shared" si="67"/>
        <v>0</v>
      </c>
      <c r="AJ285" s="22">
        <f t="shared" si="67"/>
        <v>0</v>
      </c>
      <c r="AK285" s="22">
        <f t="shared" si="67"/>
        <v>0</v>
      </c>
      <c r="AL285" s="22">
        <f t="shared" si="67"/>
        <v>0</v>
      </c>
      <c r="AM285" s="22">
        <f t="shared" si="67"/>
        <v>0</v>
      </c>
      <c r="AN285" s="22">
        <f t="shared" si="67"/>
        <v>0</v>
      </c>
      <c r="AO285" s="22">
        <f t="shared" si="67"/>
        <v>0</v>
      </c>
      <c r="AP285" s="22">
        <f t="shared" si="67"/>
        <v>0</v>
      </c>
      <c r="AQ285" s="22">
        <f t="shared" si="67"/>
        <v>0</v>
      </c>
      <c r="AR285" s="22">
        <f t="shared" si="67"/>
        <v>0</v>
      </c>
      <c r="AS285" s="22">
        <f t="shared" si="67"/>
        <v>0</v>
      </c>
      <c r="AT285" s="22">
        <f t="shared" si="67"/>
        <v>0</v>
      </c>
      <c r="AU285" s="22">
        <f t="shared" si="67"/>
        <v>0</v>
      </c>
      <c r="AV285" s="22">
        <f t="shared" si="67"/>
        <v>0</v>
      </c>
      <c r="AW285" s="22">
        <f t="shared" si="67"/>
        <v>0</v>
      </c>
      <c r="AY285" s="79"/>
    </row>
    <row r="286" spans="1:51" x14ac:dyDescent="0.3">
      <c r="A286" s="95" t="str">
        <f t="shared" si="45"/>
        <v>FA MM Volatilisation</v>
      </c>
      <c r="B286" s="95" t="s">
        <v>962</v>
      </c>
      <c r="C286" s="95" t="s">
        <v>1332</v>
      </c>
      <c r="D286" t="s">
        <v>369</v>
      </c>
      <c r="E286" t="s">
        <v>64</v>
      </c>
      <c r="F286" t="s">
        <v>62</v>
      </c>
      <c r="G286" t="s">
        <v>1174</v>
      </c>
      <c r="H286" t="s">
        <v>1301</v>
      </c>
      <c r="I286" t="s">
        <v>139</v>
      </c>
      <c r="J286" t="s">
        <v>287</v>
      </c>
      <c r="K286" s="22">
        <f t="shared" si="65"/>
        <v>0</v>
      </c>
      <c r="L286" s="22">
        <f t="shared" si="67"/>
        <v>0</v>
      </c>
      <c r="M286" s="22">
        <f t="shared" si="67"/>
        <v>0</v>
      </c>
      <c r="N286" s="22">
        <f t="shared" si="67"/>
        <v>0</v>
      </c>
      <c r="O286" s="22">
        <f t="shared" si="67"/>
        <v>0</v>
      </c>
      <c r="P286" s="22">
        <f t="shared" si="67"/>
        <v>0</v>
      </c>
      <c r="Q286" s="22">
        <f t="shared" si="67"/>
        <v>0</v>
      </c>
      <c r="R286" s="22">
        <f t="shared" si="67"/>
        <v>0</v>
      </c>
      <c r="S286" s="22">
        <f t="shared" si="67"/>
        <v>0</v>
      </c>
      <c r="T286" s="22">
        <f t="shared" si="67"/>
        <v>0</v>
      </c>
      <c r="U286" s="22">
        <f t="shared" si="67"/>
        <v>0</v>
      </c>
      <c r="V286" s="22">
        <f t="shared" si="67"/>
        <v>0</v>
      </c>
      <c r="W286" s="22">
        <f t="shared" si="67"/>
        <v>0</v>
      </c>
      <c r="X286" s="22">
        <f t="shared" si="67"/>
        <v>0</v>
      </c>
      <c r="Y286" s="22">
        <f t="shared" si="67"/>
        <v>0</v>
      </c>
      <c r="Z286" s="22">
        <f t="shared" si="67"/>
        <v>0</v>
      </c>
      <c r="AA286" s="22">
        <f t="shared" si="67"/>
        <v>0</v>
      </c>
      <c r="AB286" s="22">
        <f t="shared" si="67"/>
        <v>0</v>
      </c>
      <c r="AC286" s="22">
        <f t="shared" si="67"/>
        <v>0</v>
      </c>
      <c r="AD286" s="22">
        <f t="shared" si="67"/>
        <v>0</v>
      </c>
      <c r="AE286" s="22">
        <f t="shared" si="67"/>
        <v>0</v>
      </c>
      <c r="AF286" s="22">
        <f t="shared" si="67"/>
        <v>0</v>
      </c>
      <c r="AG286" s="22">
        <f t="shared" si="67"/>
        <v>0</v>
      </c>
      <c r="AH286" s="22">
        <f t="shared" si="67"/>
        <v>0</v>
      </c>
      <c r="AI286" s="22">
        <f t="shared" si="67"/>
        <v>0</v>
      </c>
      <c r="AJ286" s="22">
        <f t="shared" si="67"/>
        <v>0</v>
      </c>
      <c r="AK286" s="22">
        <f t="shared" si="67"/>
        <v>0</v>
      </c>
      <c r="AL286" s="22">
        <f t="shared" si="67"/>
        <v>0</v>
      </c>
      <c r="AM286" s="22">
        <f t="shared" si="67"/>
        <v>0</v>
      </c>
      <c r="AN286" s="22">
        <f t="shared" si="67"/>
        <v>0</v>
      </c>
      <c r="AO286" s="22">
        <f t="shared" si="67"/>
        <v>0</v>
      </c>
      <c r="AP286" s="22">
        <f t="shared" si="67"/>
        <v>0</v>
      </c>
      <c r="AQ286" s="22">
        <f t="shared" si="67"/>
        <v>0</v>
      </c>
      <c r="AR286" s="22">
        <f t="shared" si="67"/>
        <v>0</v>
      </c>
      <c r="AS286" s="22">
        <f t="shared" si="67"/>
        <v>0</v>
      </c>
      <c r="AT286" s="22">
        <f t="shared" si="67"/>
        <v>0</v>
      </c>
      <c r="AU286" s="22">
        <f t="shared" si="67"/>
        <v>0</v>
      </c>
      <c r="AV286" s="22">
        <f t="shared" si="67"/>
        <v>0</v>
      </c>
      <c r="AW286" s="22">
        <f t="shared" si="67"/>
        <v>0</v>
      </c>
      <c r="AY286" s="79"/>
    </row>
    <row r="287" spans="1:51" x14ac:dyDescent="0.3">
      <c r="A287" s="95" t="str">
        <f t="shared" si="45"/>
        <v>FA MM Volatilisation</v>
      </c>
      <c r="B287" s="95" t="s">
        <v>962</v>
      </c>
      <c r="C287" s="95" t="s">
        <v>1332</v>
      </c>
      <c r="D287" t="s">
        <v>369</v>
      </c>
      <c r="E287" t="s">
        <v>64</v>
      </c>
      <c r="F287" t="s">
        <v>62</v>
      </c>
      <c r="G287" t="s">
        <v>1176</v>
      </c>
      <c r="H287" t="s">
        <v>1302</v>
      </c>
      <c r="I287" t="s">
        <v>139</v>
      </c>
      <c r="J287" t="s">
        <v>287</v>
      </c>
      <c r="K287" s="22">
        <f t="shared" si="65"/>
        <v>0.13075625264316332</v>
      </c>
      <c r="L287" s="22">
        <f t="shared" si="67"/>
        <v>0.13004550543955862</v>
      </c>
      <c r="M287" s="22">
        <f t="shared" si="67"/>
        <v>0.13010384136507711</v>
      </c>
      <c r="N287" s="22">
        <f t="shared" si="67"/>
        <v>0.1289093884029483</v>
      </c>
      <c r="O287" s="22">
        <f t="shared" si="67"/>
        <v>0.12695857121838472</v>
      </c>
      <c r="P287" s="22">
        <f t="shared" si="67"/>
        <v>0.12428257569245393</v>
      </c>
      <c r="Q287" s="22">
        <f t="shared" si="67"/>
        <v>0.12233950618032063</v>
      </c>
      <c r="R287" s="22">
        <f t="shared" si="67"/>
        <v>0.1205683722616282</v>
      </c>
      <c r="S287" s="22">
        <f t="shared" si="67"/>
        <v>0.1064558326136491</v>
      </c>
      <c r="T287" s="22">
        <f t="shared" si="67"/>
        <v>0.10780203870685764</v>
      </c>
      <c r="U287" s="22">
        <f t="shared" si="67"/>
        <v>0.11069073271596624</v>
      </c>
      <c r="V287" s="22">
        <f t="shared" si="67"/>
        <v>0.11095301112483856</v>
      </c>
      <c r="W287" s="22">
        <f t="shared" si="67"/>
        <v>0.11152098959254672</v>
      </c>
      <c r="X287" s="22">
        <f t="shared" si="67"/>
        <v>0.11247596118460781</v>
      </c>
      <c r="Y287" s="22">
        <f t="shared" si="67"/>
        <v>0.11367425965304444</v>
      </c>
      <c r="Z287" s="22">
        <f t="shared" si="67"/>
        <v>0.11514267283955164</v>
      </c>
      <c r="AA287" s="22">
        <f t="shared" si="67"/>
        <v>0.11662825764737823</v>
      </c>
      <c r="AB287" s="22">
        <f t="shared" si="67"/>
        <v>0.11834343516699931</v>
      </c>
      <c r="AC287" s="22">
        <f t="shared" si="67"/>
        <v>0.12004677457127924</v>
      </c>
      <c r="AD287" s="22">
        <f t="shared" si="67"/>
        <v>0.12216447018435615</v>
      </c>
      <c r="AE287" s="22">
        <f t="shared" si="67"/>
        <v>0.12411396366852792</v>
      </c>
      <c r="AF287" s="22">
        <f t="shared" si="67"/>
        <v>0.12618838059713719</v>
      </c>
      <c r="AG287" s="22">
        <f t="shared" si="67"/>
        <v>0.12871889862830188</v>
      </c>
      <c r="AH287" s="22">
        <f t="shared" si="67"/>
        <v>0.13089178183294797</v>
      </c>
      <c r="AI287" s="22">
        <f t="shared" si="67"/>
        <v>0.13323707488889489</v>
      </c>
      <c r="AJ287" s="22">
        <f t="shared" si="67"/>
        <v>0.13578249309813545</v>
      </c>
      <c r="AK287" s="22">
        <f t="shared" si="67"/>
        <v>0.13790594882017243</v>
      </c>
      <c r="AL287" s="22">
        <f t="shared" si="67"/>
        <v>0.13989729447599811</v>
      </c>
      <c r="AM287" s="22">
        <f t="shared" si="67"/>
        <v>0.14177259067901168</v>
      </c>
      <c r="AN287" s="22">
        <f t="shared" si="67"/>
        <v>0.14393792175478221</v>
      </c>
      <c r="AO287" s="22">
        <f t="shared" si="67"/>
        <v>0.14581606733158803</v>
      </c>
      <c r="AP287" s="22">
        <f t="shared" si="67"/>
        <v>0.14775479067393846</v>
      </c>
      <c r="AQ287" s="22">
        <f t="shared" si="67"/>
        <v>0.14976871512687839</v>
      </c>
      <c r="AR287" s="22">
        <f t="shared" si="67"/>
        <v>0.15188303991230881</v>
      </c>
      <c r="AS287" s="22">
        <f t="shared" si="67"/>
        <v>0.15410322114057187</v>
      </c>
      <c r="AT287" s="22">
        <f t="shared" si="67"/>
        <v>0.15275221037305547</v>
      </c>
      <c r="AU287" s="22">
        <f t="shared" si="67"/>
        <v>0.15108898692169739</v>
      </c>
      <c r="AV287" s="22">
        <f t="shared" si="67"/>
        <v>0.14899028797623304</v>
      </c>
      <c r="AW287" s="22">
        <f t="shared" si="67"/>
        <v>0.14678866203706492</v>
      </c>
      <c r="AY287" s="79"/>
    </row>
    <row r="288" spans="1:51" x14ac:dyDescent="0.3">
      <c r="A288" s="95" t="str">
        <f t="shared" si="45"/>
        <v>FA MM Volatilisation</v>
      </c>
      <c r="B288" s="95" t="s">
        <v>962</v>
      </c>
      <c r="C288" s="95" t="s">
        <v>1332</v>
      </c>
      <c r="D288" t="s">
        <v>369</v>
      </c>
      <c r="E288" t="s">
        <v>64</v>
      </c>
      <c r="F288" t="s">
        <v>62</v>
      </c>
      <c r="G288" t="s">
        <v>1178</v>
      </c>
      <c r="H288" t="s">
        <v>1303</v>
      </c>
      <c r="I288" t="s">
        <v>139</v>
      </c>
      <c r="J288" t="s">
        <v>287</v>
      </c>
      <c r="K288" s="22">
        <f t="shared" si="65"/>
        <v>1.2724633182830876E-2</v>
      </c>
      <c r="L288" s="22">
        <f t="shared" si="67"/>
        <v>1.2655466337890209E-2</v>
      </c>
      <c r="M288" s="22">
        <f t="shared" si="67"/>
        <v>1.2661143337946407E-2</v>
      </c>
      <c r="N288" s="22">
        <f t="shared" si="67"/>
        <v>1.2544904339887072E-2</v>
      </c>
      <c r="O288" s="22">
        <f t="shared" si="67"/>
        <v>1.2355059245839611E-2</v>
      </c>
      <c r="P288" s="22">
        <f t="shared" si="67"/>
        <v>1.2094642930917434E-2</v>
      </c>
      <c r="Q288" s="22">
        <f t="shared" si="67"/>
        <v>1.1905551806853844E-2</v>
      </c>
      <c r="R288" s="22">
        <f t="shared" si="67"/>
        <v>1.1733192711380723E-2</v>
      </c>
      <c r="S288" s="22">
        <f t="shared" si="67"/>
        <v>1.0359821368376874E-2</v>
      </c>
      <c r="T288" s="22">
        <f t="shared" si="67"/>
        <v>1.049082832504853E-2</v>
      </c>
      <c r="U288" s="22">
        <f t="shared" si="67"/>
        <v>1.0771943536752097E-2</v>
      </c>
      <c r="V288" s="22">
        <f t="shared" si="67"/>
        <v>1.0797467337543365E-2</v>
      </c>
      <c r="W288" s="22">
        <f t="shared" si="67"/>
        <v>1.0852740546366932E-2</v>
      </c>
      <c r="X288" s="22">
        <f t="shared" ref="L288:AW295" si="68">X1544</f>
        <v>1.0945674252888513E-2</v>
      </c>
      <c r="Y288" s="22">
        <f t="shared" si="68"/>
        <v>1.1062287478995693E-2</v>
      </c>
      <c r="Z288" s="22">
        <f t="shared" si="68"/>
        <v>1.1205187101625038E-2</v>
      </c>
      <c r="AA288" s="22">
        <f t="shared" si="68"/>
        <v>1.1349757792199721E-2</v>
      </c>
      <c r="AB288" s="22">
        <f t="shared" si="68"/>
        <v>1.1516671452842603E-2</v>
      </c>
      <c r="AC288" s="22">
        <f t="shared" si="68"/>
        <v>1.1682433079282552E-2</v>
      </c>
      <c r="AD288" s="22">
        <f t="shared" si="68"/>
        <v>1.1888518060494371E-2</v>
      </c>
      <c r="AE288" s="22">
        <f t="shared" si="68"/>
        <v>1.2078234337742711E-2</v>
      </c>
      <c r="AF288" s="22">
        <f t="shared" si="68"/>
        <v>1.2280107624497444E-2</v>
      </c>
      <c r="AG288" s="22">
        <f t="shared" si="68"/>
        <v>1.2526366698600652E-2</v>
      </c>
      <c r="AH288" s="22">
        <f t="shared" si="68"/>
        <v>1.2737822297620535E-2</v>
      </c>
      <c r="AI288" s="22">
        <f t="shared" si="68"/>
        <v>1.2966056077955363E-2</v>
      </c>
      <c r="AJ288" s="22">
        <f t="shared" si="68"/>
        <v>1.3213765172968019E-2</v>
      </c>
      <c r="AK288" s="22">
        <f t="shared" si="68"/>
        <v>1.3420410703080012E-2</v>
      </c>
      <c r="AL288" s="22">
        <f t="shared" si="68"/>
        <v>1.3614199852725929E-2</v>
      </c>
      <c r="AM288" s="22">
        <f t="shared" si="68"/>
        <v>1.3796695571363754E-2</v>
      </c>
      <c r="AN288" s="22">
        <f t="shared" si="68"/>
        <v>1.4007416229853083E-2</v>
      </c>
      <c r="AO288" s="22">
        <f t="shared" si="68"/>
        <v>1.419018923722911E-2</v>
      </c>
      <c r="AP288" s="22">
        <f t="shared" si="68"/>
        <v>1.4378857410840086E-2</v>
      </c>
      <c r="AQ288" s="22">
        <f t="shared" si="68"/>
        <v>1.4574843831401781E-2</v>
      </c>
      <c r="AR288" s="22">
        <f t="shared" si="68"/>
        <v>1.4780600778240808E-2</v>
      </c>
      <c r="AS288" s="22">
        <f t="shared" si="68"/>
        <v>1.4996659216426185E-2</v>
      </c>
      <c r="AT288" s="22">
        <f t="shared" si="68"/>
        <v>1.4865184689623886E-2</v>
      </c>
      <c r="AU288" s="22">
        <f t="shared" si="68"/>
        <v>1.4703326974281053E-2</v>
      </c>
      <c r="AV288" s="22">
        <f t="shared" si="68"/>
        <v>1.4499090666629237E-2</v>
      </c>
      <c r="AW288" s="22">
        <f t="shared" si="68"/>
        <v>1.4284837948954819E-2</v>
      </c>
      <c r="AY288" s="79"/>
    </row>
    <row r="289" spans="1:51" x14ac:dyDescent="0.3">
      <c r="A289" s="95" t="str">
        <f t="shared" si="45"/>
        <v>FA MM Volatilisation</v>
      </c>
      <c r="B289" s="95" t="s">
        <v>962</v>
      </c>
      <c r="C289" s="95" t="s">
        <v>1332</v>
      </c>
      <c r="D289" t="s">
        <v>369</v>
      </c>
      <c r="E289" t="s">
        <v>64</v>
      </c>
      <c r="F289" t="s">
        <v>62</v>
      </c>
      <c r="G289" t="s">
        <v>1180</v>
      </c>
      <c r="H289" t="s">
        <v>1304</v>
      </c>
      <c r="I289" t="s">
        <v>139</v>
      </c>
      <c r="J289" t="s">
        <v>287</v>
      </c>
      <c r="K289" s="22">
        <f t="shared" si="65"/>
        <v>6.4453339767617107E-2</v>
      </c>
      <c r="L289" s="22">
        <f t="shared" si="68"/>
        <v>6.5763803942104543E-2</v>
      </c>
      <c r="M289" s="22">
        <f t="shared" si="68"/>
        <v>6.7295612361813625E-2</v>
      </c>
      <c r="N289" s="22">
        <f t="shared" si="68"/>
        <v>6.8471619369899747E-2</v>
      </c>
      <c r="O289" s="22">
        <f t="shared" si="68"/>
        <v>6.94156577655035E-2</v>
      </c>
      <c r="P289" s="22">
        <f t="shared" si="68"/>
        <v>7.0122113289878316E-2</v>
      </c>
      <c r="Q289" s="22">
        <f t="shared" si="68"/>
        <v>7.1027984276732931E-2</v>
      </c>
      <c r="R289" s="22">
        <f t="shared" si="68"/>
        <v>7.1969839340941838E-2</v>
      </c>
      <c r="S289" s="22">
        <f t="shared" si="68"/>
        <v>6.8766563459968802E-2</v>
      </c>
      <c r="T289" s="22">
        <f t="shared" si="68"/>
        <v>7.0478152358708523E-2</v>
      </c>
      <c r="U289" s="22">
        <f t="shared" si="68"/>
        <v>7.2759128000714796E-2</v>
      </c>
      <c r="V289" s="22">
        <f t="shared" si="68"/>
        <v>7.4154122533566028E-2</v>
      </c>
      <c r="W289" s="22">
        <f t="shared" si="68"/>
        <v>7.5674972830257564E-2</v>
      </c>
      <c r="X289" s="22">
        <f t="shared" si="68"/>
        <v>7.7360161163039912E-2</v>
      </c>
      <c r="Y289" s="22">
        <f t="shared" si="68"/>
        <v>7.9100740420260676E-2</v>
      </c>
      <c r="Z289" s="22">
        <f t="shared" si="68"/>
        <v>8.0976740364442315E-2</v>
      </c>
      <c r="AA289" s="22">
        <f t="shared" si="68"/>
        <v>8.2894928844752261E-2</v>
      </c>
      <c r="AB289" s="22">
        <f t="shared" si="68"/>
        <v>8.4943030682698137E-2</v>
      </c>
      <c r="AC289" s="22">
        <f t="shared" si="68"/>
        <v>8.7027608507248444E-2</v>
      </c>
      <c r="AD289" s="22">
        <f t="shared" si="68"/>
        <v>8.9276729497460336E-2</v>
      </c>
      <c r="AE289" s="22">
        <f t="shared" si="68"/>
        <v>9.1502625848092475E-2</v>
      </c>
      <c r="AF289" s="22">
        <f t="shared" si="68"/>
        <v>9.3831227517320093E-2</v>
      </c>
      <c r="AG289" s="22">
        <f t="shared" si="68"/>
        <v>9.6415651387216014E-2</v>
      </c>
      <c r="AH289" s="22">
        <f t="shared" si="68"/>
        <v>9.8896773571356525E-2</v>
      </c>
      <c r="AI289" s="22">
        <f t="shared" si="68"/>
        <v>0.10146265551465955</v>
      </c>
      <c r="AJ289" s="22">
        <f t="shared" si="68"/>
        <v>0.10418290059990712</v>
      </c>
      <c r="AK289" s="22">
        <f t="shared" si="68"/>
        <v>0.10676300622740972</v>
      </c>
      <c r="AL289" s="22">
        <f t="shared" si="68"/>
        <v>0.1093360798195923</v>
      </c>
      <c r="AM289" s="22">
        <f t="shared" si="68"/>
        <v>0.11190804099965344</v>
      </c>
      <c r="AN289" s="22">
        <f t="shared" si="68"/>
        <v>0.11463676938939842</v>
      </c>
      <c r="AO289" s="22">
        <f t="shared" si="68"/>
        <v>0.11727861184981632</v>
      </c>
      <c r="AP289" s="22">
        <f t="shared" si="68"/>
        <v>0.12001194210770205</v>
      </c>
      <c r="AQ289" s="22">
        <f t="shared" si="68"/>
        <v>0.12284817048623448</v>
      </c>
      <c r="AR289" s="22">
        <f t="shared" si="68"/>
        <v>0.12580525852431573</v>
      </c>
      <c r="AS289" s="22">
        <f t="shared" si="68"/>
        <v>0.12884131843333302</v>
      </c>
      <c r="AT289" s="22">
        <f t="shared" si="68"/>
        <v>0.12990474262387622</v>
      </c>
      <c r="AU289" s="22">
        <f t="shared" si="68"/>
        <v>0.13078551683241871</v>
      </c>
      <c r="AV289" s="22">
        <f t="shared" si="68"/>
        <v>0.13140059443899127</v>
      </c>
      <c r="AW289" s="22">
        <f t="shared" si="68"/>
        <v>0.13193699884155385</v>
      </c>
      <c r="AY289" s="79"/>
    </row>
    <row r="290" spans="1:51" x14ac:dyDescent="0.3">
      <c r="A290" s="95" t="str">
        <f t="shared" si="45"/>
        <v>FA MM Volatilisation</v>
      </c>
      <c r="B290" s="95" t="s">
        <v>962</v>
      </c>
      <c r="C290" s="95" t="s">
        <v>1332</v>
      </c>
      <c r="D290" t="s">
        <v>369</v>
      </c>
      <c r="E290" t="s">
        <v>64</v>
      </c>
      <c r="F290" t="s">
        <v>62</v>
      </c>
      <c r="G290" t="s">
        <v>1182</v>
      </c>
      <c r="H290" t="s">
        <v>1305</v>
      </c>
      <c r="I290" t="s">
        <v>139</v>
      </c>
      <c r="J290" t="s">
        <v>287</v>
      </c>
      <c r="K290" s="22">
        <f t="shared" si="65"/>
        <v>0.31034319165291718</v>
      </c>
      <c r="L290" s="22">
        <f t="shared" si="68"/>
        <v>0.31442985679016972</v>
      </c>
      <c r="M290" s="22">
        <f t="shared" si="68"/>
        <v>0.32099421325528477</v>
      </c>
      <c r="N290" s="22">
        <f t="shared" si="68"/>
        <v>0.3228790317815291</v>
      </c>
      <c r="O290" s="22">
        <f t="shared" si="68"/>
        <v>0.32172327535887091</v>
      </c>
      <c r="P290" s="22">
        <f t="shared" si="68"/>
        <v>0.31753924052538912</v>
      </c>
      <c r="Q290" s="22">
        <f t="shared" si="68"/>
        <v>0.31577785743754239</v>
      </c>
      <c r="R290" s="22">
        <f t="shared" si="68"/>
        <v>0.31441607582114939</v>
      </c>
      <c r="S290" s="22">
        <f t="shared" si="68"/>
        <v>0.2650364312253965</v>
      </c>
      <c r="T290" s="22">
        <f t="shared" si="68"/>
        <v>0.27553316275566697</v>
      </c>
      <c r="U290" s="22">
        <f t="shared" si="68"/>
        <v>0.29228527136368948</v>
      </c>
      <c r="V290" s="22">
        <f t="shared" si="68"/>
        <v>0.29874340186404968</v>
      </c>
      <c r="W290" s="22">
        <f t="shared" si="68"/>
        <v>0.30647179876243097</v>
      </c>
      <c r="X290" s="22">
        <f t="shared" si="68"/>
        <v>0.3158631034162086</v>
      </c>
      <c r="Y290" s="22">
        <f t="shared" si="68"/>
        <v>0.32664711376847955</v>
      </c>
      <c r="Z290" s="22">
        <f t="shared" si="68"/>
        <v>0.3387235871621958</v>
      </c>
      <c r="AA290" s="22">
        <f t="shared" si="68"/>
        <v>0.35105651101096136</v>
      </c>
      <c r="AB290" s="22">
        <f t="shared" si="68"/>
        <v>0.36458195379680847</v>
      </c>
      <c r="AC290" s="22">
        <f t="shared" si="68"/>
        <v>0.37828081857860674</v>
      </c>
      <c r="AD290" s="22">
        <f t="shared" si="68"/>
        <v>0.39427261879187497</v>
      </c>
      <c r="AE290" s="22">
        <f t="shared" si="68"/>
        <v>0.40979186242957388</v>
      </c>
      <c r="AF290" s="22">
        <f t="shared" si="68"/>
        <v>0.42616228566496256</v>
      </c>
      <c r="AG290" s="22">
        <f t="shared" si="68"/>
        <v>0.44495226630702778</v>
      </c>
      <c r="AH290" s="22">
        <f t="shared" si="68"/>
        <v>0.46242618458210583</v>
      </c>
      <c r="AI290" s="22">
        <f t="shared" si="68"/>
        <v>0.48124875752773738</v>
      </c>
      <c r="AJ290" s="22">
        <f t="shared" si="68"/>
        <v>0.50140117317613597</v>
      </c>
      <c r="AK290" s="22">
        <f t="shared" si="68"/>
        <v>0.51989325002843578</v>
      </c>
      <c r="AL290" s="22">
        <f t="shared" si="68"/>
        <v>0.53809144777835283</v>
      </c>
      <c r="AM290" s="22">
        <f t="shared" si="68"/>
        <v>0.55606219814879432</v>
      </c>
      <c r="AN290" s="22">
        <f t="shared" si="68"/>
        <v>0.57603307954485361</v>
      </c>
      <c r="AO290" s="22">
        <f t="shared" si="68"/>
        <v>0.59492740362722618</v>
      </c>
      <c r="AP290" s="22">
        <f t="shared" si="68"/>
        <v>0.61451021406332851</v>
      </c>
      <c r="AQ290" s="22">
        <f t="shared" si="68"/>
        <v>0.6348825242649947</v>
      </c>
      <c r="AR290" s="22">
        <f t="shared" si="68"/>
        <v>0.65620656209687755</v>
      </c>
      <c r="AS290" s="22">
        <f t="shared" si="68"/>
        <v>0.67872441504873171</v>
      </c>
      <c r="AT290" s="22">
        <f t="shared" si="68"/>
        <v>0.6821526428447654</v>
      </c>
      <c r="AU290" s="22">
        <f t="shared" si="68"/>
        <v>0.68382516110267277</v>
      </c>
      <c r="AV290" s="22">
        <f t="shared" si="68"/>
        <v>0.68298338603927977</v>
      </c>
      <c r="AW290" s="22">
        <f t="shared" si="68"/>
        <v>0.68142585829620028</v>
      </c>
      <c r="AY290" s="79"/>
    </row>
    <row r="291" spans="1:51" x14ac:dyDescent="0.3">
      <c r="A291" s="95" t="str">
        <f t="shared" si="45"/>
        <v>FA MM Leaching</v>
      </c>
      <c r="B291" s="95" t="s">
        <v>962</v>
      </c>
      <c r="C291" s="95" t="s">
        <v>1333</v>
      </c>
      <c r="D291" t="s">
        <v>369</v>
      </c>
      <c r="E291" t="s">
        <v>64</v>
      </c>
      <c r="F291" t="s">
        <v>63</v>
      </c>
      <c r="G291" t="s">
        <v>1152</v>
      </c>
      <c r="H291" t="s">
        <v>1306</v>
      </c>
      <c r="I291" t="s">
        <v>139</v>
      </c>
      <c r="J291" t="s">
        <v>287</v>
      </c>
      <c r="K291" s="22">
        <f t="shared" si="65"/>
        <v>8.9211118607918846E-2</v>
      </c>
      <c r="L291" s="22">
        <f t="shared" si="68"/>
        <v>8.9709854381943774E-2</v>
      </c>
      <c r="M291" s="22">
        <f t="shared" si="68"/>
        <v>9.0417475033143083E-2</v>
      </c>
      <c r="N291" s="22">
        <f t="shared" si="68"/>
        <v>9.0872196678668984E-2</v>
      </c>
      <c r="O291" s="22">
        <f t="shared" si="68"/>
        <v>9.1174361291842934E-2</v>
      </c>
      <c r="P291" s="22">
        <f t="shared" si="68"/>
        <v>9.1320994898161728E-2</v>
      </c>
      <c r="Q291" s="22">
        <f t="shared" si="68"/>
        <v>9.1644963105957017E-2</v>
      </c>
      <c r="R291" s="22">
        <f t="shared" si="68"/>
        <v>9.2016609055475651E-2</v>
      </c>
      <c r="S291" s="22">
        <f t="shared" si="68"/>
        <v>8.9250626632870506E-2</v>
      </c>
      <c r="T291" s="22">
        <f t="shared" si="68"/>
        <v>9.018910759145192E-2</v>
      </c>
      <c r="U291" s="22">
        <f t="shared" si="68"/>
        <v>9.1562795389337467E-2</v>
      </c>
      <c r="V291" s="22">
        <f t="shared" si="68"/>
        <v>9.2274810820194952E-2</v>
      </c>
      <c r="W291" s="22">
        <f t="shared" si="68"/>
        <v>9.3088549677051477E-2</v>
      </c>
      <c r="X291" s="22">
        <f t="shared" si="68"/>
        <v>9.4030367146954022E-2</v>
      </c>
      <c r="Y291" s="22">
        <f t="shared" si="68"/>
        <v>9.4992140485733595E-2</v>
      </c>
      <c r="Z291" s="22">
        <f t="shared" si="68"/>
        <v>9.605669953542309E-2</v>
      </c>
      <c r="AA291" s="22">
        <f t="shared" si="68"/>
        <v>9.7154235713963338E-2</v>
      </c>
      <c r="AB291" s="22">
        <f t="shared" si="68"/>
        <v>9.8347760304703769E-2</v>
      </c>
      <c r="AC291" s="22">
        <f t="shared" si="68"/>
        <v>9.9568208578524817E-2</v>
      </c>
      <c r="AD291" s="22">
        <f t="shared" si="68"/>
        <v>0.10088669536271129</v>
      </c>
      <c r="AE291" s="22">
        <f t="shared" si="68"/>
        <v>0.10218733727824697</v>
      </c>
      <c r="AF291" s="22">
        <f t="shared" si="68"/>
        <v>0.10356015512248805</v>
      </c>
      <c r="AG291" s="22">
        <f t="shared" si="68"/>
        <v>0.1051130390487056</v>
      </c>
      <c r="AH291" s="22">
        <f t="shared" si="68"/>
        <v>0.10658947451521658</v>
      </c>
      <c r="AI291" s="22">
        <f t="shared" si="68"/>
        <v>0.10810355126576793</v>
      </c>
      <c r="AJ291" s="22">
        <f t="shared" si="68"/>
        <v>0.10972278781886159</v>
      </c>
      <c r="AK291" s="22">
        <f t="shared" si="68"/>
        <v>0.1112398173269733</v>
      </c>
      <c r="AL291" s="22">
        <f t="shared" si="68"/>
        <v>0.11274861433308095</v>
      </c>
      <c r="AM291" s="22">
        <f t="shared" si="68"/>
        <v>0.11425337554687653</v>
      </c>
      <c r="AN291" s="22">
        <f t="shared" si="68"/>
        <v>0.11584536779599926</v>
      </c>
      <c r="AO291" s="22">
        <f t="shared" si="68"/>
        <v>0.11737332691073739</v>
      </c>
      <c r="AP291" s="22">
        <f t="shared" si="68"/>
        <v>0.11896061880517098</v>
      </c>
      <c r="AQ291" s="22">
        <f t="shared" si="68"/>
        <v>0.12061448282820714</v>
      </c>
      <c r="AR291" s="22">
        <f t="shared" si="68"/>
        <v>0.12234656062044848</v>
      </c>
      <c r="AS291" s="22">
        <f t="shared" si="68"/>
        <v>0.12410927658755902</v>
      </c>
      <c r="AT291" s="22">
        <f t="shared" si="68"/>
        <v>0.12452720245635615</v>
      </c>
      <c r="AU291" s="22">
        <f t="shared" si="68"/>
        <v>0.12482463901873847</v>
      </c>
      <c r="AV291" s="22">
        <f t="shared" si="68"/>
        <v>0.12494650421265691</v>
      </c>
      <c r="AW291" s="22">
        <f t="shared" si="68"/>
        <v>0.12502008970656403</v>
      </c>
      <c r="AY291" s="79"/>
    </row>
    <row r="292" spans="1:51" x14ac:dyDescent="0.3">
      <c r="A292" s="95" t="str">
        <f t="shared" si="45"/>
        <v>FA MM Leaching</v>
      </c>
      <c r="B292" s="95" t="s">
        <v>962</v>
      </c>
      <c r="C292" s="95" t="s">
        <v>1333</v>
      </c>
      <c r="D292" t="s">
        <v>369</v>
      </c>
      <c r="E292" t="s">
        <v>64</v>
      </c>
      <c r="F292" t="s">
        <v>63</v>
      </c>
      <c r="G292" t="s">
        <v>1154</v>
      </c>
      <c r="H292" t="s">
        <v>1307</v>
      </c>
      <c r="I292" t="s">
        <v>139</v>
      </c>
      <c r="J292" t="s">
        <v>287</v>
      </c>
      <c r="K292" s="22">
        <f t="shared" si="65"/>
        <v>2.6939494531157477E-2</v>
      </c>
      <c r="L292" s="22">
        <f t="shared" si="68"/>
        <v>2.709010008197326E-2</v>
      </c>
      <c r="M292" s="22">
        <f t="shared" si="68"/>
        <v>2.730378356628085E-2</v>
      </c>
      <c r="N292" s="22">
        <f t="shared" si="68"/>
        <v>2.7441097966929517E-2</v>
      </c>
      <c r="O292" s="22">
        <f t="shared" si="68"/>
        <v>2.7532344014183842E-2</v>
      </c>
      <c r="P292" s="22">
        <f t="shared" si="68"/>
        <v>2.757662364319366E-2</v>
      </c>
      <c r="Q292" s="22">
        <f t="shared" si="68"/>
        <v>2.7674453822865853E-2</v>
      </c>
      <c r="R292" s="22">
        <f t="shared" si="68"/>
        <v>2.7786681470952927E-2</v>
      </c>
      <c r="S292" s="22">
        <f t="shared" si="68"/>
        <v>2.6951424952373251E-2</v>
      </c>
      <c r="T292" s="22">
        <f t="shared" si="68"/>
        <v>2.7234822392578142E-2</v>
      </c>
      <c r="U292" s="22">
        <f t="shared" si="68"/>
        <v>2.7649641257043878E-2</v>
      </c>
      <c r="V292" s="22">
        <f t="shared" si="68"/>
        <v>2.7864651853312578E-2</v>
      </c>
      <c r="W292" s="22">
        <f t="shared" si="68"/>
        <v>2.8110380343506967E-2</v>
      </c>
      <c r="X292" s="22">
        <f t="shared" si="68"/>
        <v>2.8394785325483455E-2</v>
      </c>
      <c r="Y292" s="22">
        <f t="shared" si="68"/>
        <v>2.8685216473579894E-2</v>
      </c>
      <c r="Z292" s="22">
        <f t="shared" si="68"/>
        <v>2.9006686298694923E-2</v>
      </c>
      <c r="AA292" s="22">
        <f t="shared" si="68"/>
        <v>2.9338114380092265E-2</v>
      </c>
      <c r="AB292" s="22">
        <f t="shared" si="68"/>
        <v>2.9698528526745503E-2</v>
      </c>
      <c r="AC292" s="22">
        <f t="shared" si="68"/>
        <v>3.006707294263454E-2</v>
      </c>
      <c r="AD292" s="22">
        <f t="shared" si="68"/>
        <v>3.046522250141433E-2</v>
      </c>
      <c r="AE292" s="22">
        <f t="shared" si="68"/>
        <v>3.0857983362586373E-2</v>
      </c>
      <c r="AF292" s="22">
        <f t="shared" si="68"/>
        <v>3.1272539523122242E-2</v>
      </c>
      <c r="AG292" s="22">
        <f t="shared" si="68"/>
        <v>3.1741471072133737E-2</v>
      </c>
      <c r="AH292" s="22">
        <f t="shared" si="68"/>
        <v>3.2187317125813304E-2</v>
      </c>
      <c r="AI292" s="22">
        <f t="shared" si="68"/>
        <v>3.2644529892312681E-2</v>
      </c>
      <c r="AJ292" s="22">
        <f t="shared" si="68"/>
        <v>3.3133498251272868E-2</v>
      </c>
      <c r="AK292" s="22">
        <f t="shared" si="68"/>
        <v>3.3591602675643942E-2</v>
      </c>
      <c r="AL292" s="22">
        <f t="shared" si="68"/>
        <v>3.4047221093268576E-2</v>
      </c>
      <c r="AM292" s="22">
        <f t="shared" si="68"/>
        <v>3.4501620804003125E-2</v>
      </c>
      <c r="AN292" s="22">
        <f t="shared" si="68"/>
        <v>3.4982362074352798E-2</v>
      </c>
      <c r="AO292" s="22">
        <f t="shared" si="68"/>
        <v>3.5443766962640642E-2</v>
      </c>
      <c r="AP292" s="22">
        <f t="shared" si="68"/>
        <v>3.5923088845122318E-2</v>
      </c>
      <c r="AQ292" s="22">
        <f t="shared" si="68"/>
        <v>3.6422513821505312E-2</v>
      </c>
      <c r="AR292" s="22">
        <f t="shared" si="68"/>
        <v>3.6945557371902887E-2</v>
      </c>
      <c r="AS292" s="22">
        <f t="shared" si="68"/>
        <v>3.7477852873819655E-2</v>
      </c>
      <c r="AT292" s="22">
        <f t="shared" si="68"/>
        <v>3.7604055883406068E-2</v>
      </c>
      <c r="AU292" s="22">
        <f t="shared" si="68"/>
        <v>3.7693874179272106E-2</v>
      </c>
      <c r="AV292" s="22">
        <f t="shared" si="68"/>
        <v>3.7730674376112279E-2</v>
      </c>
      <c r="AW292" s="22">
        <f t="shared" si="68"/>
        <v>3.7752895328406304E-2</v>
      </c>
      <c r="AY292" s="79"/>
    </row>
    <row r="293" spans="1:51" x14ac:dyDescent="0.3">
      <c r="A293" s="95" t="str">
        <f t="shared" si="45"/>
        <v>FA MM Leaching</v>
      </c>
      <c r="B293" s="95" t="s">
        <v>962</v>
      </c>
      <c r="C293" s="95" t="s">
        <v>1333</v>
      </c>
      <c r="D293" t="s">
        <v>369</v>
      </c>
      <c r="E293" t="s">
        <v>64</v>
      </c>
      <c r="F293" t="s">
        <v>63</v>
      </c>
      <c r="G293" t="s">
        <v>1156</v>
      </c>
      <c r="H293" t="s">
        <v>1308</v>
      </c>
      <c r="I293" t="s">
        <v>139</v>
      </c>
      <c r="J293" t="s">
        <v>287</v>
      </c>
      <c r="K293" s="22">
        <f t="shared" si="65"/>
        <v>1.4483668498503175E-3</v>
      </c>
      <c r="L293" s="22">
        <f t="shared" si="68"/>
        <v>1.4564639612104709E-3</v>
      </c>
      <c r="M293" s="22">
        <f t="shared" si="68"/>
        <v>1.4679523755410987E-3</v>
      </c>
      <c r="N293" s="22">
        <f t="shared" si="68"/>
        <v>1.4753349055168039E-3</v>
      </c>
      <c r="O293" s="22">
        <f t="shared" si="68"/>
        <v>1.4802406304505124E-3</v>
      </c>
      <c r="P293" s="22">
        <f t="shared" si="68"/>
        <v>1.4826212670547858E-3</v>
      </c>
      <c r="Q293" s="22">
        <f t="shared" si="68"/>
        <v>1.4878809792957942E-3</v>
      </c>
      <c r="R293" s="22">
        <f t="shared" si="68"/>
        <v>1.4939147526814823E-3</v>
      </c>
      <c r="S293" s="22">
        <f t="shared" si="68"/>
        <v>1.4490082734142855E-3</v>
      </c>
      <c r="T293" s="22">
        <f t="shared" si="68"/>
        <v>1.4642447678203134E-3</v>
      </c>
      <c r="U293" s="22">
        <f t="shared" si="68"/>
        <v>1.4865469639988589E-3</v>
      </c>
      <c r="V293" s="22">
        <f t="shared" si="68"/>
        <v>1.4981067287762548E-3</v>
      </c>
      <c r="W293" s="22">
        <f t="shared" si="68"/>
        <v>1.5113180011276973E-3</v>
      </c>
      <c r="X293" s="22">
        <f t="shared" si="68"/>
        <v>1.5266086647053162E-3</v>
      </c>
      <c r="Y293" s="22">
        <f t="shared" si="68"/>
        <v>1.5422233172586648E-3</v>
      </c>
      <c r="Z293" s="22">
        <f t="shared" si="68"/>
        <v>1.5595067238714088E-3</v>
      </c>
      <c r="AA293" s="22">
        <f t="shared" si="68"/>
        <v>1.5773255231681144E-3</v>
      </c>
      <c r="AB293" s="22">
        <f t="shared" si="68"/>
        <v>1.5967027205251731E-3</v>
      </c>
      <c r="AC293" s="22">
        <f t="shared" si="68"/>
        <v>1.6165170312225675E-3</v>
      </c>
      <c r="AD293" s="22">
        <f t="shared" si="68"/>
        <v>1.6379230238833516E-3</v>
      </c>
      <c r="AE293" s="22">
        <f t="shared" si="68"/>
        <v>1.6590393002330185E-3</v>
      </c>
      <c r="AF293" s="22">
        <f t="shared" si="68"/>
        <v>1.6813273724767988E-3</v>
      </c>
      <c r="AG293" s="22">
        <f t="shared" si="68"/>
        <v>1.7065388666884546E-3</v>
      </c>
      <c r="AH293" s="22">
        <f t="shared" si="68"/>
        <v>1.7305091992995292E-3</v>
      </c>
      <c r="AI293" s="22">
        <f t="shared" si="68"/>
        <v>1.7550906484265776E-3</v>
      </c>
      <c r="AJ293" s="22">
        <f t="shared" si="68"/>
        <v>1.7813793956383919E-3</v>
      </c>
      <c r="AK293" s="22">
        <f t="shared" si="68"/>
        <v>1.8060087835900271E-3</v>
      </c>
      <c r="AL293" s="22">
        <f t="shared" si="68"/>
        <v>1.8305045146255719E-3</v>
      </c>
      <c r="AM293" s="22">
        <f t="shared" si="68"/>
        <v>1.8549347234718561E-3</v>
      </c>
      <c r="AN293" s="22">
        <f t="shared" si="68"/>
        <v>1.8807811519757052E-3</v>
      </c>
      <c r="AO293" s="22">
        <f t="shared" si="68"/>
        <v>1.9055879850728176E-3</v>
      </c>
      <c r="AP293" s="22">
        <f t="shared" si="68"/>
        <v>1.9313581020359023E-3</v>
      </c>
      <c r="AQ293" s="22">
        <f t="shared" si="68"/>
        <v>1.9582090356695609E-3</v>
      </c>
      <c r="AR293" s="22">
        <f t="shared" si="68"/>
        <v>1.9863297911851367E-3</v>
      </c>
      <c r="AS293" s="22">
        <f t="shared" si="68"/>
        <v>2.014947965828651E-3</v>
      </c>
      <c r="AT293" s="22">
        <f t="shared" si="68"/>
        <v>2.0217331063302627E-3</v>
      </c>
      <c r="AU293" s="22">
        <f t="shared" si="68"/>
        <v>2.0265620700694281E-3</v>
      </c>
      <c r="AV293" s="22">
        <f t="shared" si="68"/>
        <v>2.0285405847408761E-3</v>
      </c>
      <c r="AW293" s="22">
        <f t="shared" si="68"/>
        <v>2.0297352653106076E-3</v>
      </c>
      <c r="AY293" s="79"/>
    </row>
    <row r="294" spans="1:51" x14ac:dyDescent="0.3">
      <c r="A294" s="95" t="str">
        <f t="shared" si="45"/>
        <v>FA MM Leaching</v>
      </c>
      <c r="B294" s="95" t="s">
        <v>962</v>
      </c>
      <c r="C294" s="95" t="s">
        <v>1333</v>
      </c>
      <c r="D294" t="s">
        <v>369</v>
      </c>
      <c r="E294" t="s">
        <v>64</v>
      </c>
      <c r="F294" t="s">
        <v>63</v>
      </c>
      <c r="G294" t="s">
        <v>1158</v>
      </c>
      <c r="H294" t="s">
        <v>1309</v>
      </c>
      <c r="I294" t="s">
        <v>139</v>
      </c>
      <c r="J294" t="s">
        <v>287</v>
      </c>
      <c r="K294" s="22">
        <f t="shared" si="65"/>
        <v>3.030301439269115E-2</v>
      </c>
      <c r="L294" s="22">
        <f t="shared" si="68"/>
        <v>3.0040206026371356E-2</v>
      </c>
      <c r="M294" s="22">
        <f t="shared" si="68"/>
        <v>2.99401628371932E-2</v>
      </c>
      <c r="N294" s="22">
        <f t="shared" si="68"/>
        <v>2.9540351153331298E-2</v>
      </c>
      <c r="O294" s="22">
        <f t="shared" si="68"/>
        <v>2.8960014730128859E-2</v>
      </c>
      <c r="P294" s="22">
        <f t="shared" si="68"/>
        <v>2.8211154016296501E-2</v>
      </c>
      <c r="Q294" s="22">
        <f t="shared" si="68"/>
        <v>2.7620505669412022E-2</v>
      </c>
      <c r="R294" s="22">
        <f t="shared" si="68"/>
        <v>2.7061685185942385E-2</v>
      </c>
      <c r="S294" s="22">
        <f t="shared" si="68"/>
        <v>2.3806393912702346E-2</v>
      </c>
      <c r="T294" s="22">
        <f t="shared" si="68"/>
        <v>2.4193081489661764E-2</v>
      </c>
      <c r="U294" s="22">
        <f t="shared" si="68"/>
        <v>2.4914459363237305E-2</v>
      </c>
      <c r="V294" s="22">
        <f t="shared" si="68"/>
        <v>2.5058526856807112E-2</v>
      </c>
      <c r="W294" s="22">
        <f t="shared" si="68"/>
        <v>2.5266313616668409E-2</v>
      </c>
      <c r="X294" s="22">
        <f t="shared" si="68"/>
        <v>2.5556180730039606E-2</v>
      </c>
      <c r="Y294" s="22">
        <f t="shared" si="68"/>
        <v>2.588867153480013E-2</v>
      </c>
      <c r="Z294" s="22">
        <f t="shared" si="68"/>
        <v>2.627849954534961E-2</v>
      </c>
      <c r="AA294" s="22">
        <f t="shared" si="68"/>
        <v>2.6670125529897157E-2</v>
      </c>
      <c r="AB294" s="22">
        <f t="shared" si="68"/>
        <v>2.7110583919598655E-2</v>
      </c>
      <c r="AC294" s="22">
        <f t="shared" si="68"/>
        <v>2.7546671241882887E-2</v>
      </c>
      <c r="AD294" s="22">
        <f t="shared" si="68"/>
        <v>2.7830739758273274E-2</v>
      </c>
      <c r="AE294" s="22">
        <f t="shared" si="68"/>
        <v>2.8063979806522674E-2</v>
      </c>
      <c r="AF294" s="22">
        <f t="shared" si="68"/>
        <v>2.8310384702020075E-2</v>
      </c>
      <c r="AG294" s="22">
        <f t="shared" si="68"/>
        <v>2.8640071683735925E-2</v>
      </c>
      <c r="AH294" s="22">
        <f t="shared" si="68"/>
        <v>2.8877171474684857E-2</v>
      </c>
      <c r="AI294" s="22">
        <f t="shared" si="68"/>
        <v>2.9129861427597242E-2</v>
      </c>
      <c r="AJ294" s="22">
        <f t="shared" si="68"/>
        <v>2.9408020774721655E-2</v>
      </c>
      <c r="AK294" s="22">
        <f t="shared" si="68"/>
        <v>2.958135107830024E-2</v>
      </c>
      <c r="AL294" s="22">
        <f t="shared" si="68"/>
        <v>2.9711386636381822E-2</v>
      </c>
      <c r="AM294" s="22">
        <f t="shared" si="68"/>
        <v>2.9801834695120533E-2</v>
      </c>
      <c r="AN294" s="22">
        <f t="shared" si="68"/>
        <v>3.0083013804328998E-2</v>
      </c>
      <c r="AO294" s="22">
        <f t="shared" si="68"/>
        <v>3.0296745523052525E-2</v>
      </c>
      <c r="AP294" s="22">
        <f t="shared" si="68"/>
        <v>3.0513175155516516E-2</v>
      </c>
      <c r="AQ294" s="22">
        <f t="shared" si="68"/>
        <v>3.0734778558877459E-2</v>
      </c>
      <c r="AR294" s="22">
        <f t="shared" si="68"/>
        <v>3.0966024436887393E-2</v>
      </c>
      <c r="AS294" s="22">
        <f t="shared" si="68"/>
        <v>3.1203452529548665E-2</v>
      </c>
      <c r="AT294" s="22">
        <f t="shared" si="68"/>
        <v>3.0735097960314203E-2</v>
      </c>
      <c r="AU294" s="22">
        <f t="shared" si="68"/>
        <v>3.0204531000918678E-2</v>
      </c>
      <c r="AV294" s="22">
        <f t="shared" si="68"/>
        <v>2.9589433707278279E-2</v>
      </c>
      <c r="AW294" s="22">
        <f t="shared" si="68"/>
        <v>2.8955059711748863E-2</v>
      </c>
      <c r="AY294" s="79"/>
    </row>
    <row r="295" spans="1:51" x14ac:dyDescent="0.3">
      <c r="A295" s="95" t="str">
        <f t="shared" si="45"/>
        <v>FA MM Leaching</v>
      </c>
      <c r="B295" s="95" t="s">
        <v>962</v>
      </c>
      <c r="C295" s="95" t="s">
        <v>1333</v>
      </c>
      <c r="D295" t="s">
        <v>369</v>
      </c>
      <c r="E295" t="s">
        <v>64</v>
      </c>
      <c r="F295" t="s">
        <v>63</v>
      </c>
      <c r="G295" t="s">
        <v>1160</v>
      </c>
      <c r="H295" t="s">
        <v>1310</v>
      </c>
      <c r="I295" t="s">
        <v>139</v>
      </c>
      <c r="J295" t="s">
        <v>287</v>
      </c>
      <c r="K295" s="22">
        <f t="shared" si="65"/>
        <v>4.0226293185258936E-2</v>
      </c>
      <c r="L295" s="22">
        <f t="shared" si="68"/>
        <v>3.9877423391049015E-2</v>
      </c>
      <c r="M295" s="22">
        <f t="shared" ref="L295:AW301" si="69">M1551</f>
        <v>3.9744619221572089E-2</v>
      </c>
      <c r="N295" s="22">
        <f t="shared" si="69"/>
        <v>3.9213881856453713E-2</v>
      </c>
      <c r="O295" s="22">
        <f t="shared" si="69"/>
        <v>3.8443503609481157E-2</v>
      </c>
      <c r="P295" s="22">
        <f t="shared" si="69"/>
        <v>3.7449414696768608E-2</v>
      </c>
      <c r="Q295" s="22">
        <f t="shared" si="69"/>
        <v>3.666534769725275E-2</v>
      </c>
      <c r="R295" s="22">
        <f t="shared" si="69"/>
        <v>3.5923531179771241E-2</v>
      </c>
      <c r="S295" s="22">
        <f t="shared" si="69"/>
        <v>3.160223497260737E-2</v>
      </c>
      <c r="T295" s="22">
        <f t="shared" si="69"/>
        <v>3.2115550500900779E-2</v>
      </c>
      <c r="U295" s="22">
        <f t="shared" si="69"/>
        <v>3.3073156812397204E-2</v>
      </c>
      <c r="V295" s="22">
        <f t="shared" si="69"/>
        <v>3.3264401853557279E-2</v>
      </c>
      <c r="W295" s="22">
        <f t="shared" si="69"/>
        <v>3.3540232205412031E-2</v>
      </c>
      <c r="X295" s="22">
        <f t="shared" si="69"/>
        <v>3.3925021630521073E-2</v>
      </c>
      <c r="Y295" s="22">
        <f t="shared" si="69"/>
        <v>3.4366392657851123E-2</v>
      </c>
      <c r="Z295" s="22">
        <f t="shared" si="69"/>
        <v>3.4883877012409983E-2</v>
      </c>
      <c r="AA295" s="22">
        <f t="shared" si="69"/>
        <v>3.5403748120585117E-2</v>
      </c>
      <c r="AB295" s="22">
        <f t="shared" si="69"/>
        <v>3.5988442702135158E-2</v>
      </c>
      <c r="AC295" s="22">
        <f t="shared" si="69"/>
        <v>3.6567334829936515E-2</v>
      </c>
      <c r="AD295" s="22">
        <f t="shared" si="69"/>
        <v>3.6944426800951023E-2</v>
      </c>
      <c r="AE295" s="22">
        <f t="shared" si="69"/>
        <v>3.7254045588106646E-2</v>
      </c>
      <c r="AF295" s="22">
        <f t="shared" si="69"/>
        <v>3.7581140293607394E-2</v>
      </c>
      <c r="AG295" s="22">
        <f t="shared" si="69"/>
        <v>3.801878933452469E-2</v>
      </c>
      <c r="AH295" s="22">
        <f t="shared" si="69"/>
        <v>3.8333531808038356E-2</v>
      </c>
      <c r="AI295" s="22">
        <f t="shared" si="69"/>
        <v>3.8668969728474223E-2</v>
      </c>
      <c r="AJ295" s="22">
        <f t="shared" si="69"/>
        <v>3.9038217464182824E-2</v>
      </c>
      <c r="AK295" s="22">
        <f t="shared" si="69"/>
        <v>3.9268307960108023E-2</v>
      </c>
      <c r="AL295" s="22">
        <f t="shared" si="69"/>
        <v>3.9440926050708265E-2</v>
      </c>
      <c r="AM295" s="22">
        <f t="shared" si="69"/>
        <v>3.9560992988000768E-2</v>
      </c>
      <c r="AN295" s="22">
        <f t="shared" si="69"/>
        <v>3.9934249362367197E-2</v>
      </c>
      <c r="AO295" s="22">
        <f t="shared" si="69"/>
        <v>4.0217971459084928E-2</v>
      </c>
      <c r="AP295" s="22">
        <f t="shared" si="69"/>
        <v>4.0505274950963739E-2</v>
      </c>
      <c r="AQ295" s="22">
        <f t="shared" si="69"/>
        <v>4.0799446460072705E-2</v>
      </c>
      <c r="AR295" s="22">
        <f t="shared" si="69"/>
        <v>4.1106418049306863E-2</v>
      </c>
      <c r="AS295" s="22">
        <f t="shared" si="69"/>
        <v>4.1421596332960157E-2</v>
      </c>
      <c r="AT295" s="22">
        <f t="shared" si="69"/>
        <v>4.0799870455377994E-2</v>
      </c>
      <c r="AU295" s="22">
        <f t="shared" si="69"/>
        <v>4.0095559597504944E-2</v>
      </c>
      <c r="AV295" s="22">
        <f t="shared" si="69"/>
        <v>3.9279037394439685E-2</v>
      </c>
      <c r="AW295" s="22">
        <f t="shared" si="69"/>
        <v>3.843692597929859E-2</v>
      </c>
      <c r="AY295" s="79"/>
    </row>
    <row r="296" spans="1:51" x14ac:dyDescent="0.3">
      <c r="A296" s="95" t="str">
        <f t="shared" si="45"/>
        <v>FA MM Leaching</v>
      </c>
      <c r="B296" s="95" t="s">
        <v>962</v>
      </c>
      <c r="C296" s="95" t="s">
        <v>1333</v>
      </c>
      <c r="D296" t="s">
        <v>369</v>
      </c>
      <c r="E296" t="s">
        <v>64</v>
      </c>
      <c r="F296" t="s">
        <v>63</v>
      </c>
      <c r="G296" t="s">
        <v>1162</v>
      </c>
      <c r="H296" t="s">
        <v>1311</v>
      </c>
      <c r="I296" t="s">
        <v>139</v>
      </c>
      <c r="J296" t="s">
        <v>287</v>
      </c>
      <c r="K296" s="22">
        <f t="shared" si="65"/>
        <v>4.1968337096859203E-2</v>
      </c>
      <c r="L296" s="22">
        <f t="shared" si="69"/>
        <v>4.3383434779753462E-2</v>
      </c>
      <c r="M296" s="22">
        <f t="shared" si="69"/>
        <v>4.5063007666824861E-2</v>
      </c>
      <c r="N296" s="22">
        <f t="shared" si="69"/>
        <v>4.6315596244033502E-2</v>
      </c>
      <c r="O296" s="22">
        <f t="shared" si="69"/>
        <v>4.7281576900430194E-2</v>
      </c>
      <c r="P296" s="22">
        <f t="shared" si="69"/>
        <v>4.7947144057730852E-2</v>
      </c>
      <c r="Q296" s="22">
        <f t="shared" si="69"/>
        <v>4.8855920576585825E-2</v>
      </c>
      <c r="R296" s="22">
        <f t="shared" si="69"/>
        <v>4.9808583705724517E-2</v>
      </c>
      <c r="S296" s="22">
        <f t="shared" si="69"/>
        <v>4.558792439477468E-2</v>
      </c>
      <c r="T296" s="22">
        <f t="shared" si="69"/>
        <v>4.7444585849147458E-2</v>
      </c>
      <c r="U296" s="22">
        <f t="shared" si="69"/>
        <v>5.0020252871766716E-2</v>
      </c>
      <c r="V296" s="22">
        <f t="shared" si="69"/>
        <v>5.1489747377125035E-2</v>
      </c>
      <c r="W296" s="22">
        <f t="shared" si="69"/>
        <v>5.3120325210598208E-2</v>
      </c>
      <c r="X296" s="22">
        <f t="shared" si="69"/>
        <v>5.4961817995869279E-2</v>
      </c>
      <c r="Y296" s="22">
        <f t="shared" si="69"/>
        <v>5.6940702891012454E-2</v>
      </c>
      <c r="Z296" s="22">
        <f t="shared" si="69"/>
        <v>5.909779909090021E-2</v>
      </c>
      <c r="AA296" s="22">
        <f t="shared" si="69"/>
        <v>6.1315559224141662E-2</v>
      </c>
      <c r="AB296" s="22">
        <f t="shared" si="69"/>
        <v>6.3706453642829244E-2</v>
      </c>
      <c r="AC296" s="22">
        <f t="shared" si="69"/>
        <v>6.6151992620882463E-2</v>
      </c>
      <c r="AD296" s="22">
        <f t="shared" si="69"/>
        <v>6.9050571490334375E-2</v>
      </c>
      <c r="AE296" s="22">
        <f t="shared" si="69"/>
        <v>7.1942782657683113E-2</v>
      </c>
      <c r="AF296" s="22">
        <f t="shared" si="69"/>
        <v>7.499198620981147E-2</v>
      </c>
      <c r="AG296" s="22">
        <f t="shared" si="69"/>
        <v>7.8400492834913502E-2</v>
      </c>
      <c r="AH296" s="22">
        <f t="shared" si="69"/>
        <v>8.1701156762449018E-2</v>
      </c>
      <c r="AI296" s="22">
        <f t="shared" si="69"/>
        <v>8.5192788556250426E-2</v>
      </c>
      <c r="AJ296" s="22">
        <f t="shared" si="69"/>
        <v>8.8918442809121118E-2</v>
      </c>
      <c r="AK296" s="22">
        <f t="shared" si="69"/>
        <v>9.248798577918188E-2</v>
      </c>
      <c r="AL296" s="22">
        <f t="shared" si="69"/>
        <v>9.6077147406772881E-2</v>
      </c>
      <c r="AM296" s="22">
        <f t="shared" si="69"/>
        <v>9.9693715805378641E-2</v>
      </c>
      <c r="AN296" s="22">
        <f t="shared" si="69"/>
        <v>0.10347374306833025</v>
      </c>
      <c r="AO296" s="22">
        <f t="shared" si="69"/>
        <v>0.1071593390128282</v>
      </c>
      <c r="AP296" s="22">
        <f t="shared" si="69"/>
        <v>0.11099240238226693</v>
      </c>
      <c r="AQ296" s="22">
        <f t="shared" si="69"/>
        <v>0.11498990238948355</v>
      </c>
      <c r="AR296" s="22">
        <f t="shared" si="69"/>
        <v>0.11917803768424121</v>
      </c>
      <c r="AS296" s="22">
        <f t="shared" si="69"/>
        <v>0.12355418732739334</v>
      </c>
      <c r="AT296" s="22">
        <f t="shared" si="69"/>
        <v>0.1252281322589274</v>
      </c>
      <c r="AU296" s="22">
        <f t="shared" si="69"/>
        <v>0.1266560621373938</v>
      </c>
      <c r="AV296" s="22">
        <f t="shared" si="69"/>
        <v>0.12771943748303299</v>
      </c>
      <c r="AW296" s="22">
        <f t="shared" si="69"/>
        <v>0.12867585314816252</v>
      </c>
      <c r="AY296" s="79"/>
    </row>
    <row r="297" spans="1:51" x14ac:dyDescent="0.3">
      <c r="A297" s="95" t="str">
        <f t="shared" si="45"/>
        <v>FA MM Leaching</v>
      </c>
      <c r="B297" s="95" t="s">
        <v>962</v>
      </c>
      <c r="C297" s="95" t="s">
        <v>1333</v>
      </c>
      <c r="D297" t="s">
        <v>369</v>
      </c>
      <c r="E297" t="s">
        <v>64</v>
      </c>
      <c r="F297" t="s">
        <v>63</v>
      </c>
      <c r="G297" t="s">
        <v>1164</v>
      </c>
      <c r="H297" t="s">
        <v>1312</v>
      </c>
      <c r="I297" t="s">
        <v>139</v>
      </c>
      <c r="J297" t="s">
        <v>287</v>
      </c>
      <c r="K297" s="22">
        <f t="shared" si="65"/>
        <v>4.3945619533695716E-3</v>
      </c>
      <c r="L297" s="22">
        <f t="shared" si="69"/>
        <v>4.3969380790341763E-3</v>
      </c>
      <c r="M297" s="22">
        <f t="shared" si="69"/>
        <v>4.4026193063540784E-3</v>
      </c>
      <c r="N297" s="22">
        <f t="shared" si="69"/>
        <v>4.4109963215778836E-3</v>
      </c>
      <c r="O297" s="22">
        <f t="shared" si="69"/>
        <v>4.4220158913338588E-3</v>
      </c>
      <c r="P297" s="22">
        <f t="shared" si="69"/>
        <v>4.4355616535255637E-3</v>
      </c>
      <c r="Q297" s="22">
        <f t="shared" si="69"/>
        <v>4.4507753934109251E-3</v>
      </c>
      <c r="R297" s="22">
        <f t="shared" si="69"/>
        <v>4.467561061292976E-3</v>
      </c>
      <c r="S297" s="22">
        <f t="shared" si="69"/>
        <v>4.4829106304263445E-3</v>
      </c>
      <c r="T297" s="22">
        <f t="shared" si="69"/>
        <v>4.4896556027107107E-3</v>
      </c>
      <c r="U297" s="22">
        <f t="shared" si="69"/>
        <v>4.4978926629073816E-3</v>
      </c>
      <c r="V297" s="22">
        <f t="shared" si="69"/>
        <v>4.5065504561298229E-3</v>
      </c>
      <c r="W297" s="22">
        <f t="shared" si="69"/>
        <v>4.5162706773714013E-3</v>
      </c>
      <c r="X297" s="22">
        <f t="shared" si="69"/>
        <v>4.527026129260852E-3</v>
      </c>
      <c r="Y297" s="22">
        <f t="shared" si="69"/>
        <v>4.5337431797518573E-3</v>
      </c>
      <c r="Z297" s="22">
        <f t="shared" si="69"/>
        <v>4.5413317440573253E-3</v>
      </c>
      <c r="AA297" s="22">
        <f t="shared" si="69"/>
        <v>4.5496892838415501E-3</v>
      </c>
      <c r="AB297" s="22">
        <f t="shared" si="69"/>
        <v>4.5588387793970616E-3</v>
      </c>
      <c r="AC297" s="22">
        <f t="shared" si="69"/>
        <v>4.5686857941763257E-3</v>
      </c>
      <c r="AD297" s="22">
        <f t="shared" si="69"/>
        <v>4.5752913220902473E-3</v>
      </c>
      <c r="AE297" s="22">
        <f t="shared" si="69"/>
        <v>4.582462373127697E-3</v>
      </c>
      <c r="AF297" s="22">
        <f t="shared" si="69"/>
        <v>4.5902565907943761E-3</v>
      </c>
      <c r="AG297" s="22">
        <f t="shared" si="69"/>
        <v>4.59875005922699E-3</v>
      </c>
      <c r="AH297" s="22">
        <f t="shared" si="69"/>
        <v>4.6076877369256993E-3</v>
      </c>
      <c r="AI297" s="22">
        <f t="shared" si="69"/>
        <v>4.6134006720946743E-3</v>
      </c>
      <c r="AJ297" s="22">
        <f t="shared" si="69"/>
        <v>4.6196582419180043E-3</v>
      </c>
      <c r="AK297" s="22">
        <f t="shared" si="69"/>
        <v>4.626254058673806E-3</v>
      </c>
      <c r="AL297" s="22">
        <f t="shared" si="69"/>
        <v>4.6332583415557996E-3</v>
      </c>
      <c r="AM297" s="22">
        <f t="shared" si="69"/>
        <v>4.6406604705372459E-3</v>
      </c>
      <c r="AN297" s="22">
        <f t="shared" si="69"/>
        <v>4.6450341959288514E-3</v>
      </c>
      <c r="AO297" s="22">
        <f t="shared" si="69"/>
        <v>4.6497032008589968E-3</v>
      </c>
      <c r="AP297" s="22">
        <f t="shared" si="69"/>
        <v>4.6547677652323564E-3</v>
      </c>
      <c r="AQ297" s="22">
        <f t="shared" si="69"/>
        <v>4.6602229926895984E-3</v>
      </c>
      <c r="AR297" s="22">
        <f t="shared" si="69"/>
        <v>4.6660687701808173E-3</v>
      </c>
      <c r="AS297" s="22">
        <f t="shared" si="69"/>
        <v>4.6687208592955552E-3</v>
      </c>
      <c r="AT297" s="22">
        <f t="shared" si="69"/>
        <v>4.6704299553969519E-3</v>
      </c>
      <c r="AU297" s="22">
        <f t="shared" si="69"/>
        <v>4.6723034477338006E-3</v>
      </c>
      <c r="AV297" s="22">
        <f t="shared" si="69"/>
        <v>4.6742823579489622E-3</v>
      </c>
      <c r="AW297" s="22">
        <f t="shared" si="69"/>
        <v>4.6764744826629494E-3</v>
      </c>
      <c r="AY297" s="79"/>
    </row>
    <row r="298" spans="1:51" x14ac:dyDescent="0.3">
      <c r="A298" s="95" t="str">
        <f t="shared" si="45"/>
        <v>FA MM Leaching</v>
      </c>
      <c r="B298" s="95" t="s">
        <v>962</v>
      </c>
      <c r="C298" s="95" t="s">
        <v>1333</v>
      </c>
      <c r="D298" t="s">
        <v>369</v>
      </c>
      <c r="E298" t="s">
        <v>64</v>
      </c>
      <c r="F298" t="s">
        <v>63</v>
      </c>
      <c r="G298" t="s">
        <v>1166</v>
      </c>
      <c r="H298" t="s">
        <v>1313</v>
      </c>
      <c r="I298" t="s">
        <v>139</v>
      </c>
      <c r="J298" t="s">
        <v>287</v>
      </c>
      <c r="K298" s="22">
        <f t="shared" si="65"/>
        <v>3.6554846257269864E-3</v>
      </c>
      <c r="L298" s="22">
        <f t="shared" si="69"/>
        <v>3.6574611346322943E-3</v>
      </c>
      <c r="M298" s="22">
        <f t="shared" si="69"/>
        <v>3.662186893272979E-3</v>
      </c>
      <c r="N298" s="22">
        <f t="shared" si="69"/>
        <v>3.6691550622702605E-3</v>
      </c>
      <c r="O298" s="22">
        <f t="shared" si="69"/>
        <v>3.6783213610396305E-3</v>
      </c>
      <c r="P298" s="22">
        <f t="shared" si="69"/>
        <v>3.6895889972593382E-3</v>
      </c>
      <c r="Q298" s="22">
        <f t="shared" si="69"/>
        <v>3.7022440907227717E-3</v>
      </c>
      <c r="R298" s="22">
        <f t="shared" si="69"/>
        <v>3.7162067453687837E-3</v>
      </c>
      <c r="S298" s="22">
        <f t="shared" si="69"/>
        <v>3.7289748243204386E-3</v>
      </c>
      <c r="T298" s="22">
        <f t="shared" si="69"/>
        <v>3.7345854273220752E-3</v>
      </c>
      <c r="U298" s="22">
        <f t="shared" si="69"/>
        <v>3.7414371789254476E-3</v>
      </c>
      <c r="V298" s="22">
        <f t="shared" si="69"/>
        <v>3.7486389046840498E-3</v>
      </c>
      <c r="W298" s="22">
        <f t="shared" si="69"/>
        <v>3.7567243793421119E-3</v>
      </c>
      <c r="X298" s="22">
        <f t="shared" si="69"/>
        <v>3.7656709795816407E-3</v>
      </c>
      <c r="Y298" s="22">
        <f t="shared" si="69"/>
        <v>3.7712583566764787E-3</v>
      </c>
      <c r="Z298" s="22">
        <f t="shared" si="69"/>
        <v>3.7775706764126256E-3</v>
      </c>
      <c r="AA298" s="22">
        <f t="shared" si="69"/>
        <v>3.784522645349305E-3</v>
      </c>
      <c r="AB298" s="22">
        <f t="shared" si="69"/>
        <v>3.7921333789539768E-3</v>
      </c>
      <c r="AC298" s="22">
        <f t="shared" si="69"/>
        <v>3.8003243230154901E-3</v>
      </c>
      <c r="AD298" s="22">
        <f t="shared" si="69"/>
        <v>3.805818933397678E-3</v>
      </c>
      <c r="AE298" s="22">
        <f t="shared" si="69"/>
        <v>3.8117839572375635E-3</v>
      </c>
      <c r="AF298" s="22">
        <f t="shared" si="69"/>
        <v>3.8182673435573919E-3</v>
      </c>
      <c r="AG298" s="22">
        <f t="shared" si="69"/>
        <v>3.8253323806655189E-3</v>
      </c>
      <c r="AH298" s="22">
        <f t="shared" si="69"/>
        <v>3.8327669199356464E-3</v>
      </c>
      <c r="AI298" s="22">
        <f t="shared" si="69"/>
        <v>3.8375190538000809E-3</v>
      </c>
      <c r="AJ298" s="22">
        <f t="shared" si="69"/>
        <v>3.8427242256753023E-3</v>
      </c>
      <c r="AK298" s="22">
        <f t="shared" si="69"/>
        <v>3.8482107581217181E-3</v>
      </c>
      <c r="AL298" s="22">
        <f t="shared" si="69"/>
        <v>3.8540370608706733E-3</v>
      </c>
      <c r="AM298" s="22">
        <f t="shared" si="69"/>
        <v>3.8601942999712795E-3</v>
      </c>
      <c r="AN298" s="22">
        <f t="shared" si="69"/>
        <v>3.8638324523277176E-3</v>
      </c>
      <c r="AO298" s="22">
        <f t="shared" si="69"/>
        <v>3.8677162241167358E-3</v>
      </c>
      <c r="AP298" s="22">
        <f t="shared" si="69"/>
        <v>3.87192903017096E-3</v>
      </c>
      <c r="AQ298" s="22">
        <f t="shared" si="69"/>
        <v>3.8764667976006581E-3</v>
      </c>
      <c r="AR298" s="22">
        <f t="shared" si="69"/>
        <v>3.8813294323686563E-3</v>
      </c>
      <c r="AS298" s="22">
        <f t="shared" si="69"/>
        <v>3.8835354931974382E-3</v>
      </c>
      <c r="AT298" s="22">
        <f t="shared" si="69"/>
        <v>3.8849571535560438E-3</v>
      </c>
      <c r="AU298" s="22">
        <f t="shared" si="69"/>
        <v>3.8865155619950283E-3</v>
      </c>
      <c r="AV298" s="22">
        <f t="shared" si="69"/>
        <v>3.8881616591359886E-3</v>
      </c>
      <c r="AW298" s="22">
        <f t="shared" si="69"/>
        <v>3.8899851123662963E-3</v>
      </c>
      <c r="AY298" s="79"/>
    </row>
    <row r="299" spans="1:51" x14ac:dyDescent="0.3">
      <c r="A299" s="95" t="str">
        <f t="shared" si="45"/>
        <v>FA MM Leaching</v>
      </c>
      <c r="B299" s="95" t="s">
        <v>962</v>
      </c>
      <c r="C299" s="95" t="s">
        <v>1333</v>
      </c>
      <c r="D299" t="s">
        <v>369</v>
      </c>
      <c r="E299" t="s">
        <v>64</v>
      </c>
      <c r="F299" t="s">
        <v>63</v>
      </c>
      <c r="G299" t="s">
        <v>1168</v>
      </c>
      <c r="H299" t="s">
        <v>1314</v>
      </c>
      <c r="I299" t="s">
        <v>139</v>
      </c>
      <c r="J299" t="s">
        <v>287</v>
      </c>
      <c r="K299" s="22">
        <f t="shared" si="65"/>
        <v>5.4322987485311562E-4</v>
      </c>
      <c r="L299" s="22">
        <f t="shared" si="69"/>
        <v>5.4464201031358182E-4</v>
      </c>
      <c r="M299" s="22">
        <f t="shared" si="69"/>
        <v>5.4659000127818655E-4</v>
      </c>
      <c r="N299" s="22">
        <f t="shared" si="69"/>
        <v>5.4896316873921213E-4</v>
      </c>
      <c r="O299" s="22">
        <f t="shared" si="69"/>
        <v>5.5175812793145673E-4</v>
      </c>
      <c r="P299" s="22">
        <f t="shared" si="69"/>
        <v>5.5495786726734487E-4</v>
      </c>
      <c r="Q299" s="22">
        <f t="shared" si="69"/>
        <v>5.5840147541839718E-4</v>
      </c>
      <c r="R299" s="22">
        <f t="shared" si="69"/>
        <v>5.620753208024884E-4</v>
      </c>
      <c r="S299" s="22">
        <f t="shared" si="69"/>
        <v>5.65407082502121E-4</v>
      </c>
      <c r="T299" s="22">
        <f t="shared" si="69"/>
        <v>5.6703451753723681E-4</v>
      </c>
      <c r="U299" s="22">
        <f t="shared" si="69"/>
        <v>5.6889992124546543E-4</v>
      </c>
      <c r="V299" s="22">
        <f t="shared" si="69"/>
        <v>5.7080142404289684E-4</v>
      </c>
      <c r="W299" s="22">
        <f t="shared" si="69"/>
        <v>5.7286374667304399E-4</v>
      </c>
      <c r="X299" s="22">
        <f t="shared" si="69"/>
        <v>5.7508348073871955E-4</v>
      </c>
      <c r="Y299" s="22">
        <f t="shared" si="69"/>
        <v>5.765040134864081E-4</v>
      </c>
      <c r="Z299" s="22">
        <f t="shared" si="69"/>
        <v>5.7805815510049798E-4</v>
      </c>
      <c r="AA299" s="22">
        <f t="shared" si="69"/>
        <v>5.7972772798702628E-4</v>
      </c>
      <c r="AB299" s="22">
        <f t="shared" si="69"/>
        <v>5.8151809327226973E-4</v>
      </c>
      <c r="AC299" s="22">
        <f t="shared" si="69"/>
        <v>5.8341243976409618E-4</v>
      </c>
      <c r="AD299" s="22">
        <f t="shared" si="69"/>
        <v>5.8467575387111191E-4</v>
      </c>
      <c r="AE299" s="22">
        <f t="shared" si="69"/>
        <v>5.8602300319697499E-4</v>
      </c>
      <c r="AF299" s="22">
        <f t="shared" si="69"/>
        <v>5.8746559148115021E-4</v>
      </c>
      <c r="AG299" s="22">
        <f t="shared" si="69"/>
        <v>5.8901817067528485E-4</v>
      </c>
      <c r="AH299" s="22">
        <f t="shared" si="69"/>
        <v>5.9063383572059778E-4</v>
      </c>
      <c r="AI299" s="22">
        <f t="shared" si="69"/>
        <v>5.9163445865223843E-4</v>
      </c>
      <c r="AJ299" s="22">
        <f t="shared" si="69"/>
        <v>5.927203167225099E-4</v>
      </c>
      <c r="AK299" s="22">
        <f t="shared" si="69"/>
        <v>5.9385364522191255E-4</v>
      </c>
      <c r="AL299" s="22">
        <f t="shared" si="69"/>
        <v>5.9504779442231843E-4</v>
      </c>
      <c r="AM299" s="22">
        <f t="shared" si="69"/>
        <v>5.9630112936813668E-4</v>
      </c>
      <c r="AN299" s="22">
        <f t="shared" si="69"/>
        <v>5.9698587491705869E-4</v>
      </c>
      <c r="AO299" s="22">
        <f t="shared" si="69"/>
        <v>5.9771375764922606E-4</v>
      </c>
      <c r="AP299" s="22">
        <f t="shared" si="69"/>
        <v>5.9850335838718442E-4</v>
      </c>
      <c r="AQ299" s="22">
        <f t="shared" si="69"/>
        <v>5.993539230264727E-4</v>
      </c>
      <c r="AR299" s="22">
        <f t="shared" si="69"/>
        <v>6.0026554968942018E-4</v>
      </c>
      <c r="AS299" s="22">
        <f t="shared" si="69"/>
        <v>6.0058687026311956E-4</v>
      </c>
      <c r="AT299" s="22">
        <f t="shared" si="69"/>
        <v>6.0072956880295909E-4</v>
      </c>
      <c r="AU299" s="22">
        <f t="shared" si="69"/>
        <v>6.0089545684115426E-4</v>
      </c>
      <c r="AV299" s="22">
        <f t="shared" si="69"/>
        <v>6.0107404835249166E-4</v>
      </c>
      <c r="AW299" s="22">
        <f t="shared" si="69"/>
        <v>6.0128502571355803E-4</v>
      </c>
      <c r="AY299" s="79"/>
    </row>
    <row r="300" spans="1:51" x14ac:dyDescent="0.3">
      <c r="A300" s="95" t="str">
        <f t="shared" si="45"/>
        <v>FA MM Leaching</v>
      </c>
      <c r="B300" s="95" t="s">
        <v>962</v>
      </c>
      <c r="C300" s="95" t="s">
        <v>1333</v>
      </c>
      <c r="D300" t="s">
        <v>369</v>
      </c>
      <c r="E300" t="s">
        <v>64</v>
      </c>
      <c r="F300" t="s">
        <v>63</v>
      </c>
      <c r="G300" t="s">
        <v>1170</v>
      </c>
      <c r="H300" t="s">
        <v>1315</v>
      </c>
      <c r="I300" t="s">
        <v>139</v>
      </c>
      <c r="J300" t="s">
        <v>287</v>
      </c>
      <c r="K300" s="22">
        <f t="shared" si="65"/>
        <v>6.6992563985089947E-3</v>
      </c>
      <c r="L300" s="22">
        <f t="shared" si="69"/>
        <v>6.716671231449923E-3</v>
      </c>
      <c r="M300" s="22">
        <f t="shared" si="69"/>
        <v>6.7406943780734313E-3</v>
      </c>
      <c r="N300" s="22">
        <f t="shared" si="69"/>
        <v>6.7699609151951386E-3</v>
      </c>
      <c r="O300" s="22">
        <f t="shared" si="69"/>
        <v>6.8044291009834836E-3</v>
      </c>
      <c r="P300" s="22">
        <f t="shared" si="69"/>
        <v>6.8438891439814974E-3</v>
      </c>
      <c r="Q300" s="22">
        <f t="shared" si="69"/>
        <v>6.8863566425632575E-3</v>
      </c>
      <c r="R300" s="22">
        <f t="shared" si="69"/>
        <v>6.9316634884048298E-3</v>
      </c>
      <c r="S300" s="22">
        <f t="shared" si="69"/>
        <v>6.9727516665736141E-3</v>
      </c>
      <c r="T300" s="22">
        <f t="shared" si="69"/>
        <v>6.9928216315679071E-3</v>
      </c>
      <c r="U300" s="22">
        <f t="shared" si="69"/>
        <v>7.0158262900129739E-3</v>
      </c>
      <c r="V300" s="22">
        <f t="shared" si="69"/>
        <v>7.0392761321003963E-3</v>
      </c>
      <c r="W300" s="22">
        <f t="shared" si="69"/>
        <v>7.0647092474634627E-3</v>
      </c>
      <c r="X300" s="22">
        <f t="shared" si="69"/>
        <v>7.0920836028346328E-3</v>
      </c>
      <c r="Y300" s="22">
        <f t="shared" si="69"/>
        <v>7.1096019933720011E-3</v>
      </c>
      <c r="Z300" s="22">
        <f t="shared" si="69"/>
        <v>7.1287680842560801E-3</v>
      </c>
      <c r="AA300" s="22">
        <f t="shared" si="69"/>
        <v>7.1493577045266439E-3</v>
      </c>
      <c r="AB300" s="22">
        <f t="shared" si="69"/>
        <v>7.1714369690296844E-3</v>
      </c>
      <c r="AC300" s="22">
        <f t="shared" si="69"/>
        <v>7.1947985576385452E-3</v>
      </c>
      <c r="AD300" s="22">
        <f t="shared" si="69"/>
        <v>7.2103780857656428E-3</v>
      </c>
      <c r="AE300" s="22">
        <f t="shared" si="69"/>
        <v>7.2269927255056137E-3</v>
      </c>
      <c r="AF300" s="22">
        <f t="shared" si="69"/>
        <v>7.2447831108296695E-3</v>
      </c>
      <c r="AG300" s="22">
        <f t="shared" si="69"/>
        <v>7.2639299335321393E-3</v>
      </c>
      <c r="AH300" s="22">
        <f t="shared" si="69"/>
        <v>7.2838547478579095E-3</v>
      </c>
      <c r="AI300" s="22">
        <f t="shared" si="69"/>
        <v>7.2961946980108746E-3</v>
      </c>
      <c r="AJ300" s="22">
        <f t="shared" si="69"/>
        <v>7.3095857907358557E-3</v>
      </c>
      <c r="AK300" s="22">
        <f t="shared" si="69"/>
        <v>7.3235623015146271E-3</v>
      </c>
      <c r="AL300" s="22">
        <f t="shared" si="69"/>
        <v>7.3382888694777E-3</v>
      </c>
      <c r="AM300" s="22">
        <f t="shared" si="69"/>
        <v>7.3537453319145558E-3</v>
      </c>
      <c r="AN300" s="22">
        <f t="shared" si="69"/>
        <v>7.3621897975308988E-3</v>
      </c>
      <c r="AO300" s="22">
        <f t="shared" si="69"/>
        <v>7.3711662424514879E-3</v>
      </c>
      <c r="AP300" s="22">
        <f t="shared" si="69"/>
        <v>7.3809038103594829E-3</v>
      </c>
      <c r="AQ300" s="22">
        <f t="shared" si="69"/>
        <v>7.3913932014365797E-3</v>
      </c>
      <c r="AR300" s="22">
        <f t="shared" si="69"/>
        <v>7.4026356257536402E-3</v>
      </c>
      <c r="AS300" s="22">
        <f t="shared" si="69"/>
        <v>7.4065982371801786E-3</v>
      </c>
      <c r="AT300" s="22">
        <f t="shared" si="69"/>
        <v>7.408358033815691E-3</v>
      </c>
      <c r="AU300" s="22">
        <f t="shared" si="69"/>
        <v>7.4104038095595542E-3</v>
      </c>
      <c r="AV300" s="22">
        <f t="shared" si="69"/>
        <v>7.4126062479386483E-3</v>
      </c>
      <c r="AW300" s="22">
        <f t="shared" si="69"/>
        <v>7.4152080772957795E-3</v>
      </c>
      <c r="AY300" s="79"/>
    </row>
    <row r="301" spans="1:51" x14ac:dyDescent="0.3">
      <c r="A301" s="95" t="str">
        <f t="shared" si="45"/>
        <v>FA MM Leaching</v>
      </c>
      <c r="B301" s="95" t="s">
        <v>962</v>
      </c>
      <c r="C301" s="95" t="s">
        <v>1333</v>
      </c>
      <c r="D301" t="s">
        <v>369</v>
      </c>
      <c r="E301" t="s">
        <v>64</v>
      </c>
      <c r="F301" t="s">
        <v>63</v>
      </c>
      <c r="G301" t="s">
        <v>1172</v>
      </c>
      <c r="H301" t="s">
        <v>1316</v>
      </c>
      <c r="I301" t="s">
        <v>139</v>
      </c>
      <c r="J301" t="s">
        <v>287</v>
      </c>
      <c r="K301" s="22">
        <f t="shared" si="65"/>
        <v>0</v>
      </c>
      <c r="L301" s="22">
        <f t="shared" si="69"/>
        <v>0</v>
      </c>
      <c r="M301" s="22">
        <f t="shared" si="69"/>
        <v>0</v>
      </c>
      <c r="N301" s="22">
        <f t="shared" si="69"/>
        <v>0</v>
      </c>
      <c r="O301" s="22">
        <f t="shared" si="69"/>
        <v>0</v>
      </c>
      <c r="P301" s="22">
        <f t="shared" si="69"/>
        <v>0</v>
      </c>
      <c r="Q301" s="22">
        <f t="shared" si="69"/>
        <v>0</v>
      </c>
      <c r="R301" s="22">
        <f t="shared" si="69"/>
        <v>0</v>
      </c>
      <c r="S301" s="22">
        <f t="shared" si="69"/>
        <v>0</v>
      </c>
      <c r="T301" s="22">
        <f t="shared" si="69"/>
        <v>0</v>
      </c>
      <c r="U301" s="22">
        <f t="shared" si="69"/>
        <v>0</v>
      </c>
      <c r="V301" s="22">
        <f t="shared" si="69"/>
        <v>0</v>
      </c>
      <c r="W301" s="22">
        <f t="shared" si="69"/>
        <v>0</v>
      </c>
      <c r="X301" s="22">
        <f t="shared" si="69"/>
        <v>0</v>
      </c>
      <c r="Y301" s="22">
        <f t="shared" si="69"/>
        <v>0</v>
      </c>
      <c r="Z301" s="22">
        <f t="shared" si="69"/>
        <v>0</v>
      </c>
      <c r="AA301" s="22">
        <f t="shared" si="69"/>
        <v>0</v>
      </c>
      <c r="AB301" s="22">
        <f t="shared" si="69"/>
        <v>0</v>
      </c>
      <c r="AC301" s="22">
        <f t="shared" si="69"/>
        <v>0</v>
      </c>
      <c r="AD301" s="22">
        <f t="shared" si="69"/>
        <v>0</v>
      </c>
      <c r="AE301" s="22">
        <f t="shared" si="69"/>
        <v>0</v>
      </c>
      <c r="AF301" s="22">
        <f t="shared" si="69"/>
        <v>0</v>
      </c>
      <c r="AG301" s="22">
        <f t="shared" si="69"/>
        <v>0</v>
      </c>
      <c r="AH301" s="22">
        <f t="shared" si="69"/>
        <v>0</v>
      </c>
      <c r="AI301" s="22">
        <f t="shared" si="69"/>
        <v>0</v>
      </c>
      <c r="AJ301" s="22">
        <f t="shared" si="69"/>
        <v>0</v>
      </c>
      <c r="AK301" s="22">
        <f t="shared" si="69"/>
        <v>0</v>
      </c>
      <c r="AL301" s="22">
        <f t="shared" si="69"/>
        <v>0</v>
      </c>
      <c r="AM301" s="22">
        <f t="shared" si="69"/>
        <v>0</v>
      </c>
      <c r="AN301" s="22">
        <f t="shared" ref="L301:AW306" si="70">AN1557</f>
        <v>0</v>
      </c>
      <c r="AO301" s="22">
        <f t="shared" si="70"/>
        <v>0</v>
      </c>
      <c r="AP301" s="22">
        <f t="shared" si="70"/>
        <v>0</v>
      </c>
      <c r="AQ301" s="22">
        <f t="shared" si="70"/>
        <v>0</v>
      </c>
      <c r="AR301" s="22">
        <f t="shared" si="70"/>
        <v>0</v>
      </c>
      <c r="AS301" s="22">
        <f t="shared" si="70"/>
        <v>0</v>
      </c>
      <c r="AT301" s="22">
        <f t="shared" si="70"/>
        <v>0</v>
      </c>
      <c r="AU301" s="22">
        <f t="shared" si="70"/>
        <v>0</v>
      </c>
      <c r="AV301" s="22">
        <f t="shared" si="70"/>
        <v>0</v>
      </c>
      <c r="AW301" s="22">
        <f t="shared" si="70"/>
        <v>0</v>
      </c>
      <c r="AY301" s="79"/>
    </row>
    <row r="302" spans="1:51" x14ac:dyDescent="0.3">
      <c r="A302" s="95" t="str">
        <f t="shared" si="45"/>
        <v>FA MM Leaching</v>
      </c>
      <c r="B302" s="95" t="s">
        <v>962</v>
      </c>
      <c r="C302" s="95" t="s">
        <v>1333</v>
      </c>
      <c r="D302" t="s">
        <v>369</v>
      </c>
      <c r="E302" t="s">
        <v>64</v>
      </c>
      <c r="F302" t="s">
        <v>63</v>
      </c>
      <c r="G302" t="s">
        <v>1174</v>
      </c>
      <c r="H302" t="s">
        <v>1317</v>
      </c>
      <c r="I302" t="s">
        <v>139</v>
      </c>
      <c r="J302" t="s">
        <v>287</v>
      </c>
      <c r="K302" s="22">
        <f t="shared" si="65"/>
        <v>0</v>
      </c>
      <c r="L302" s="22">
        <f t="shared" si="70"/>
        <v>0</v>
      </c>
      <c r="M302" s="22">
        <f t="shared" si="70"/>
        <v>0</v>
      </c>
      <c r="N302" s="22">
        <f t="shared" si="70"/>
        <v>0</v>
      </c>
      <c r="O302" s="22">
        <f t="shared" si="70"/>
        <v>0</v>
      </c>
      <c r="P302" s="22">
        <f t="shared" si="70"/>
        <v>0</v>
      </c>
      <c r="Q302" s="22">
        <f t="shared" si="70"/>
        <v>0</v>
      </c>
      <c r="R302" s="22">
        <f t="shared" si="70"/>
        <v>0</v>
      </c>
      <c r="S302" s="22">
        <f t="shared" si="70"/>
        <v>0</v>
      </c>
      <c r="T302" s="22">
        <f t="shared" si="70"/>
        <v>0</v>
      </c>
      <c r="U302" s="22">
        <f t="shared" si="70"/>
        <v>0</v>
      </c>
      <c r="V302" s="22">
        <f t="shared" si="70"/>
        <v>0</v>
      </c>
      <c r="W302" s="22">
        <f t="shared" si="70"/>
        <v>0</v>
      </c>
      <c r="X302" s="22">
        <f t="shared" si="70"/>
        <v>0</v>
      </c>
      <c r="Y302" s="22">
        <f t="shared" si="70"/>
        <v>0</v>
      </c>
      <c r="Z302" s="22">
        <f t="shared" si="70"/>
        <v>0</v>
      </c>
      <c r="AA302" s="22">
        <f t="shared" si="70"/>
        <v>0</v>
      </c>
      <c r="AB302" s="22">
        <f t="shared" si="70"/>
        <v>0</v>
      </c>
      <c r="AC302" s="22">
        <f t="shared" si="70"/>
        <v>0</v>
      </c>
      <c r="AD302" s="22">
        <f t="shared" si="70"/>
        <v>0</v>
      </c>
      <c r="AE302" s="22">
        <f t="shared" si="70"/>
        <v>0</v>
      </c>
      <c r="AF302" s="22">
        <f t="shared" si="70"/>
        <v>0</v>
      </c>
      <c r="AG302" s="22">
        <f t="shared" si="70"/>
        <v>0</v>
      </c>
      <c r="AH302" s="22">
        <f t="shared" si="70"/>
        <v>0</v>
      </c>
      <c r="AI302" s="22">
        <f t="shared" si="70"/>
        <v>0</v>
      </c>
      <c r="AJ302" s="22">
        <f t="shared" si="70"/>
        <v>0</v>
      </c>
      <c r="AK302" s="22">
        <f t="shared" si="70"/>
        <v>0</v>
      </c>
      <c r="AL302" s="22">
        <f t="shared" si="70"/>
        <v>0</v>
      </c>
      <c r="AM302" s="22">
        <f t="shared" si="70"/>
        <v>0</v>
      </c>
      <c r="AN302" s="22">
        <f t="shared" si="70"/>
        <v>0</v>
      </c>
      <c r="AO302" s="22">
        <f t="shared" si="70"/>
        <v>0</v>
      </c>
      <c r="AP302" s="22">
        <f t="shared" si="70"/>
        <v>0</v>
      </c>
      <c r="AQ302" s="22">
        <f t="shared" si="70"/>
        <v>0</v>
      </c>
      <c r="AR302" s="22">
        <f t="shared" si="70"/>
        <v>0</v>
      </c>
      <c r="AS302" s="22">
        <f t="shared" si="70"/>
        <v>0</v>
      </c>
      <c r="AT302" s="22">
        <f t="shared" si="70"/>
        <v>0</v>
      </c>
      <c r="AU302" s="22">
        <f t="shared" si="70"/>
        <v>0</v>
      </c>
      <c r="AV302" s="22">
        <f t="shared" si="70"/>
        <v>0</v>
      </c>
      <c r="AW302" s="22">
        <f t="shared" si="70"/>
        <v>0</v>
      </c>
      <c r="AY302" s="79"/>
    </row>
    <row r="303" spans="1:51" x14ac:dyDescent="0.3">
      <c r="A303" s="95" t="str">
        <f t="shared" si="45"/>
        <v>FA MM Leaching</v>
      </c>
      <c r="B303" s="95" t="s">
        <v>962</v>
      </c>
      <c r="C303" s="95" t="s">
        <v>1333</v>
      </c>
      <c r="D303" t="s">
        <v>369</v>
      </c>
      <c r="E303" t="s">
        <v>64</v>
      </c>
      <c r="F303" t="s">
        <v>63</v>
      </c>
      <c r="G303" t="s">
        <v>1176</v>
      </c>
      <c r="H303" t="s">
        <v>1318</v>
      </c>
      <c r="I303" t="s">
        <v>139</v>
      </c>
      <c r="J303" t="s">
        <v>287</v>
      </c>
      <c r="K303" s="22">
        <f t="shared" si="65"/>
        <v>2.6875086183165937E-2</v>
      </c>
      <c r="L303" s="22">
        <f t="shared" si="70"/>
        <v>2.6729002214214568E-2</v>
      </c>
      <c r="M303" s="22">
        <f t="shared" si="70"/>
        <v>2.6740992333189318E-2</v>
      </c>
      <c r="N303" s="22">
        <f t="shared" si="70"/>
        <v>2.6495489531984443E-2</v>
      </c>
      <c r="O303" s="22">
        <f t="shared" si="70"/>
        <v>2.609452683304701E-2</v>
      </c>
      <c r="P303" s="22">
        <f t="shared" si="70"/>
        <v>2.5544514050244025E-2</v>
      </c>
      <c r="Q303" s="22">
        <f t="shared" si="70"/>
        <v>2.5145143775072754E-2</v>
      </c>
      <c r="R303" s="22">
        <f t="shared" si="70"/>
        <v>2.4781112413324514E-2</v>
      </c>
      <c r="S303" s="22">
        <f t="shared" si="70"/>
        <v>2.1880480805765091E-2</v>
      </c>
      <c r="T303" s="22">
        <f t="shared" si="70"/>
        <v>2.2157174302587897E-2</v>
      </c>
      <c r="U303" s="22">
        <f t="shared" si="70"/>
        <v>2.2750904230467162E-2</v>
      </c>
      <c r="V303" s="22">
        <f t="shared" si="70"/>
        <v>2.2804811823411601E-2</v>
      </c>
      <c r="W303" s="22">
        <f t="shared" si="70"/>
        <v>2.292155171126611E-2</v>
      </c>
      <c r="X303" s="22">
        <f t="shared" si="70"/>
        <v>2.3117832526296487E-2</v>
      </c>
      <c r="Y303" s="22">
        <f t="shared" si="70"/>
        <v>2.3364125716575319E-2</v>
      </c>
      <c r="Z303" s="22">
        <f t="shared" si="70"/>
        <v>2.3665937141590494E-2</v>
      </c>
      <c r="AA303" s="22">
        <f t="shared" si="70"/>
        <v>2.3971277948899337E-2</v>
      </c>
      <c r="AB303" s="22">
        <f t="shared" si="70"/>
        <v>2.4323808269457244E-2</v>
      </c>
      <c r="AC303" s="22">
        <f t="shared" si="70"/>
        <v>2.4673905433943388E-2</v>
      </c>
      <c r="AD303" s="22">
        <f t="shared" si="70"/>
        <v>2.5109167618050737E-2</v>
      </c>
      <c r="AE303" s="22">
        <f t="shared" si="70"/>
        <v>2.5509858249217851E-2</v>
      </c>
      <c r="AF303" s="22">
        <f t="shared" si="70"/>
        <v>2.5936225115881856E-2</v>
      </c>
      <c r="AG303" s="22">
        <f t="shared" si="70"/>
        <v>2.6456337070766354E-2</v>
      </c>
      <c r="AH303" s="22">
        <f t="shared" si="70"/>
        <v>2.6902942278627297E-2</v>
      </c>
      <c r="AI303" s="22">
        <f t="shared" si="70"/>
        <v>2.7384983876862477E-2</v>
      </c>
      <c r="AJ303" s="22">
        <f t="shared" si="70"/>
        <v>2.7908158351219941E-2</v>
      </c>
      <c r="AK303" s="22">
        <f t="shared" si="70"/>
        <v>2.8344604443718637E-2</v>
      </c>
      <c r="AL303" s="22">
        <f t="shared" si="70"/>
        <v>2.8753897192929187E-2</v>
      </c>
      <c r="AM303" s="22">
        <f t="shared" si="70"/>
        <v>2.9139337629284397E-2</v>
      </c>
      <c r="AN303" s="22">
        <f t="shared" si="70"/>
        <v>2.9584390604572932E-2</v>
      </c>
      <c r="AO303" s="22">
        <f t="shared" si="70"/>
        <v>2.9970416689145254E-2</v>
      </c>
      <c r="AP303" s="22">
        <f t="shared" si="70"/>
        <v>3.0368893670993099E-2</v>
      </c>
      <c r="AQ303" s="22">
        <f t="shared" si="70"/>
        <v>3.0782827170501174E-2</v>
      </c>
      <c r="AR303" s="22">
        <f t="shared" si="70"/>
        <v>3.1217396528975507E-2</v>
      </c>
      <c r="AS303" s="22">
        <f t="shared" si="70"/>
        <v>3.1673723172219483E-2</v>
      </c>
      <c r="AT303" s="22">
        <f t="shared" si="70"/>
        <v>3.1396042142995774E-2</v>
      </c>
      <c r="AU303" s="22">
        <f t="shared" si="70"/>
        <v>3.1054190241510845E-2</v>
      </c>
      <c r="AV303" s="22">
        <f t="shared" si="70"/>
        <v>3.0622832551979947E-2</v>
      </c>
      <c r="AW303" s="22">
        <f t="shared" si="70"/>
        <v>3.01703196842419E-2</v>
      </c>
      <c r="AY303" s="79"/>
    </row>
    <row r="304" spans="1:51" x14ac:dyDescent="0.3">
      <c r="A304" s="95" t="str">
        <f t="shared" si="45"/>
        <v>FA MM Leaching</v>
      </c>
      <c r="B304" s="95" t="s">
        <v>962</v>
      </c>
      <c r="C304" s="95" t="s">
        <v>1333</v>
      </c>
      <c r="D304" t="s">
        <v>369</v>
      </c>
      <c r="E304" t="s">
        <v>64</v>
      </c>
      <c r="F304" t="s">
        <v>63</v>
      </c>
      <c r="G304" t="s">
        <v>1178</v>
      </c>
      <c r="H304" t="s">
        <v>1319</v>
      </c>
      <c r="I304" t="s">
        <v>139</v>
      </c>
      <c r="J304" t="s">
        <v>287</v>
      </c>
      <c r="K304" s="22">
        <f t="shared" si="65"/>
        <v>4.0166140097319695E-3</v>
      </c>
      <c r="L304" s="22">
        <f t="shared" si="70"/>
        <v>3.994781041000697E-3</v>
      </c>
      <c r="M304" s="22">
        <f t="shared" si="70"/>
        <v>3.9965730233416695E-3</v>
      </c>
      <c r="N304" s="22">
        <f t="shared" si="70"/>
        <v>3.9598814204188995E-3</v>
      </c>
      <c r="O304" s="22">
        <f t="shared" si="70"/>
        <v>3.8999555700251301E-3</v>
      </c>
      <c r="P304" s="22">
        <f t="shared" si="70"/>
        <v>3.8177534504158571E-3</v>
      </c>
      <c r="Q304" s="22">
        <f t="shared" si="70"/>
        <v>3.7580655955978047E-3</v>
      </c>
      <c r="R304" s="22">
        <f t="shared" si="70"/>
        <v>3.7036593154610871E-3</v>
      </c>
      <c r="S304" s="22">
        <f t="shared" si="70"/>
        <v>3.2701456339573466E-3</v>
      </c>
      <c r="T304" s="22">
        <f t="shared" si="70"/>
        <v>3.31149883997744E-3</v>
      </c>
      <c r="U304" s="22">
        <f t="shared" si="70"/>
        <v>3.4002347022576052E-3</v>
      </c>
      <c r="V304" s="22">
        <f t="shared" si="70"/>
        <v>3.40829145755788E-3</v>
      </c>
      <c r="W304" s="22">
        <f t="shared" si="70"/>
        <v>3.4257388088279458E-3</v>
      </c>
      <c r="X304" s="22">
        <f t="shared" si="70"/>
        <v>3.4550739434622826E-3</v>
      </c>
      <c r="Y304" s="22">
        <f t="shared" si="70"/>
        <v>3.491883673925408E-3</v>
      </c>
      <c r="Z304" s="22">
        <f t="shared" si="70"/>
        <v>3.5369908780382062E-3</v>
      </c>
      <c r="AA304" s="22">
        <f t="shared" si="70"/>
        <v>3.5826255657196082E-3</v>
      </c>
      <c r="AB304" s="22">
        <f t="shared" si="70"/>
        <v>3.6353129585993062E-3</v>
      </c>
      <c r="AC304" s="22">
        <f t="shared" si="70"/>
        <v>3.6876367043189875E-3</v>
      </c>
      <c r="AD304" s="22">
        <f t="shared" si="70"/>
        <v>3.7526887817217083E-3</v>
      </c>
      <c r="AE304" s="22">
        <f t="shared" si="70"/>
        <v>3.8125739702470681E-3</v>
      </c>
      <c r="AF304" s="22">
        <f t="shared" si="70"/>
        <v>3.87629659864187E-3</v>
      </c>
      <c r="AG304" s="22">
        <f t="shared" si="70"/>
        <v>3.9540298922350536E-3</v>
      </c>
      <c r="AH304" s="22">
        <f t="shared" si="70"/>
        <v>4.0207772404105219E-3</v>
      </c>
      <c r="AI304" s="22">
        <f t="shared" si="70"/>
        <v>4.0928207316778291E-3</v>
      </c>
      <c r="AJ304" s="22">
        <f t="shared" si="70"/>
        <v>4.1710117338914204E-3</v>
      </c>
      <c r="AK304" s="22">
        <f t="shared" si="70"/>
        <v>4.2362407522348522E-3</v>
      </c>
      <c r="AL304" s="22">
        <f t="shared" si="70"/>
        <v>4.2974115696735888E-3</v>
      </c>
      <c r="AM304" s="22">
        <f t="shared" si="70"/>
        <v>4.3550175414658315E-3</v>
      </c>
      <c r="AN304" s="22">
        <f t="shared" si="70"/>
        <v>4.4215329008374625E-3</v>
      </c>
      <c r="AO304" s="22">
        <f t="shared" si="70"/>
        <v>4.479226400640501E-3</v>
      </c>
      <c r="AP304" s="22">
        <f t="shared" si="70"/>
        <v>4.5387807483712392E-3</v>
      </c>
      <c r="AQ304" s="22">
        <f t="shared" si="70"/>
        <v>4.6006451488010665E-3</v>
      </c>
      <c r="AR304" s="22">
        <f t="shared" si="70"/>
        <v>4.665593680000254E-3</v>
      </c>
      <c r="AS304" s="22">
        <f t="shared" si="70"/>
        <v>4.7337939445789724E-3</v>
      </c>
      <c r="AT304" s="22">
        <f t="shared" si="70"/>
        <v>4.6922931469772361E-3</v>
      </c>
      <c r="AU304" s="22">
        <f t="shared" si="70"/>
        <v>4.6412016964271002E-3</v>
      </c>
      <c r="AV304" s="22">
        <f t="shared" si="70"/>
        <v>4.5767331649713494E-3</v>
      </c>
      <c r="AW304" s="22">
        <f t="shared" si="70"/>
        <v>4.5091028879276577E-3</v>
      </c>
      <c r="AY304" s="79"/>
    </row>
    <row r="305" spans="1:51" x14ac:dyDescent="0.3">
      <c r="A305" s="95" t="str">
        <f t="shared" si="45"/>
        <v>FA MM Leaching</v>
      </c>
      <c r="B305" s="95" t="s">
        <v>962</v>
      </c>
      <c r="C305" s="95" t="s">
        <v>1333</v>
      </c>
      <c r="D305" t="s">
        <v>369</v>
      </c>
      <c r="E305" t="s">
        <v>64</v>
      </c>
      <c r="F305" t="s">
        <v>63</v>
      </c>
      <c r="G305" t="s">
        <v>1180</v>
      </c>
      <c r="H305" t="s">
        <v>1320</v>
      </c>
      <c r="I305" t="s">
        <v>139</v>
      </c>
      <c r="J305" t="s">
        <v>287</v>
      </c>
      <c r="K305" s="22">
        <f t="shared" si="65"/>
        <v>1.6726645268412742E-2</v>
      </c>
      <c r="L305" s="22">
        <f t="shared" si="70"/>
        <v>1.7066731126843739E-2</v>
      </c>
      <c r="M305" s="22">
        <f t="shared" si="70"/>
        <v>1.7464259263446445E-2</v>
      </c>
      <c r="N305" s="22">
        <f t="shared" si="70"/>
        <v>1.77694513935726E-2</v>
      </c>
      <c r="O305" s="22">
        <f t="shared" si="70"/>
        <v>1.8014444056791569E-2</v>
      </c>
      <c r="P305" s="22">
        <f t="shared" si="70"/>
        <v>1.8197780265539362E-2</v>
      </c>
      <c r="Q305" s="22">
        <f t="shared" si="70"/>
        <v>1.8432867891885713E-2</v>
      </c>
      <c r="R305" s="22">
        <f t="shared" si="70"/>
        <v>1.8677293946611207E-2</v>
      </c>
      <c r="S305" s="22">
        <f t="shared" si="70"/>
        <v>1.7845993977500554E-2</v>
      </c>
      <c r="T305" s="22">
        <f t="shared" si="70"/>
        <v>1.8290177947761724E-2</v>
      </c>
      <c r="U305" s="22">
        <f t="shared" si="70"/>
        <v>1.8882126643784119E-2</v>
      </c>
      <c r="V305" s="22">
        <f t="shared" si="70"/>
        <v>1.9244149446427172E-2</v>
      </c>
      <c r="W305" s="22">
        <f t="shared" si="70"/>
        <v>1.9638833779478608E-2</v>
      </c>
      <c r="X305" s="22">
        <f t="shared" si="70"/>
        <v>2.0076166391792365E-2</v>
      </c>
      <c r="Y305" s="22">
        <f t="shared" si="70"/>
        <v>2.0527873811486335E-2</v>
      </c>
      <c r="Z305" s="22">
        <f t="shared" si="70"/>
        <v>2.1014725008073262E-2</v>
      </c>
      <c r="AA305" s="22">
        <f t="shared" si="70"/>
        <v>2.1512524786700418E-2</v>
      </c>
      <c r="AB305" s="22">
        <f t="shared" si="70"/>
        <v>2.204403910450644E-2</v>
      </c>
      <c r="AC305" s="22">
        <f t="shared" si="70"/>
        <v>2.2585019508801499E-2</v>
      </c>
      <c r="AD305" s="22">
        <f t="shared" si="70"/>
        <v>2.3168701426676565E-2</v>
      </c>
      <c r="AE305" s="22">
        <f t="shared" si="70"/>
        <v>2.3746356188951337E-2</v>
      </c>
      <c r="AF305" s="22">
        <f t="shared" si="70"/>
        <v>2.4350664580619397E-2</v>
      </c>
      <c r="AG305" s="22">
        <f t="shared" si="70"/>
        <v>2.5021362816751564E-2</v>
      </c>
      <c r="AH305" s="22">
        <f t="shared" si="70"/>
        <v>2.5665252656926436E-2</v>
      </c>
      <c r="AI305" s="22">
        <f t="shared" si="70"/>
        <v>2.6331138974392616E-2</v>
      </c>
      <c r="AJ305" s="22">
        <f t="shared" si="70"/>
        <v>2.7037084930771747E-2</v>
      </c>
      <c r="AK305" s="22">
        <f t="shared" si="70"/>
        <v>2.7706662515763772E-2</v>
      </c>
      <c r="AL305" s="22">
        <f t="shared" si="70"/>
        <v>2.8374415178094886E-2</v>
      </c>
      <c r="AM305" s="22">
        <f t="shared" si="70"/>
        <v>2.9041879152159198E-2</v>
      </c>
      <c r="AN305" s="22">
        <f t="shared" si="70"/>
        <v>2.9750026658148378E-2</v>
      </c>
      <c r="AO305" s="22">
        <f t="shared" si="70"/>
        <v>3.0435625912582094E-2</v>
      </c>
      <c r="AP305" s="22">
        <f t="shared" si="70"/>
        <v>3.1144967675009176E-2</v>
      </c>
      <c r="AQ305" s="22">
        <f t="shared" si="70"/>
        <v>3.1881013101963972E-2</v>
      </c>
      <c r="AR305" s="22">
        <f t="shared" si="70"/>
        <v>3.2648423492469485E-2</v>
      </c>
      <c r="AS305" s="22">
        <f t="shared" si="70"/>
        <v>3.3436328313148703E-2</v>
      </c>
      <c r="AT305" s="22">
        <f t="shared" si="70"/>
        <v>3.371230344910283E-2</v>
      </c>
      <c r="AU305" s="22">
        <f t="shared" si="70"/>
        <v>3.39408780706969E-2</v>
      </c>
      <c r="AV305" s="22">
        <f t="shared" si="70"/>
        <v>3.4100500286935446E-2</v>
      </c>
      <c r="AW305" s="22">
        <f t="shared" si="70"/>
        <v>3.4239705581718134E-2</v>
      </c>
      <c r="AY305" s="79"/>
    </row>
    <row r="306" spans="1:51" x14ac:dyDescent="0.3">
      <c r="A306" s="95" t="str">
        <f t="shared" si="45"/>
        <v>FA MM Leaching</v>
      </c>
      <c r="B306" s="95" t="s">
        <v>962</v>
      </c>
      <c r="C306" s="95" t="s">
        <v>1333</v>
      </c>
      <c r="D306" t="s">
        <v>369</v>
      </c>
      <c r="E306" t="s">
        <v>64</v>
      </c>
      <c r="F306" t="s">
        <v>63</v>
      </c>
      <c r="G306" t="s">
        <v>1182</v>
      </c>
      <c r="H306" t="s">
        <v>1321</v>
      </c>
      <c r="I306" t="s">
        <v>139</v>
      </c>
      <c r="J306" t="s">
        <v>287</v>
      </c>
      <c r="K306" s="22">
        <f t="shared" si="65"/>
        <v>7.758579791322931E-2</v>
      </c>
      <c r="L306" s="22">
        <f t="shared" si="70"/>
        <v>7.8607464197542429E-2</v>
      </c>
      <c r="M306" s="22">
        <f t="shared" si="70"/>
        <v>8.0248553313821205E-2</v>
      </c>
      <c r="N306" s="22">
        <f t="shared" si="70"/>
        <v>8.0719757945382262E-2</v>
      </c>
      <c r="O306" s="22">
        <f t="shared" si="70"/>
        <v>8.0430818839717741E-2</v>
      </c>
      <c r="P306" s="22">
        <f t="shared" si="70"/>
        <v>7.938481013134728E-2</v>
      </c>
      <c r="Q306" s="22">
        <f t="shared" si="70"/>
        <v>7.8944464359385597E-2</v>
      </c>
      <c r="R306" s="22">
        <f t="shared" si="70"/>
        <v>7.8604018955287347E-2</v>
      </c>
      <c r="S306" s="22">
        <f t="shared" si="70"/>
        <v>6.6259107806349124E-2</v>
      </c>
      <c r="T306" s="22">
        <f t="shared" si="70"/>
        <v>6.8883290688916743E-2</v>
      </c>
      <c r="U306" s="22">
        <f t="shared" si="70"/>
        <v>7.307131784092237E-2</v>
      </c>
      <c r="V306" s="22">
        <f t="shared" si="70"/>
        <v>7.4685850466012449E-2</v>
      </c>
      <c r="W306" s="22">
        <f t="shared" si="70"/>
        <v>7.6617949690607756E-2</v>
      </c>
      <c r="X306" s="22">
        <f t="shared" si="70"/>
        <v>7.8965775854052137E-2</v>
      </c>
      <c r="Y306" s="22">
        <f t="shared" si="70"/>
        <v>8.1661778442119887E-2</v>
      </c>
      <c r="Z306" s="22">
        <f t="shared" si="70"/>
        <v>8.4680896790548951E-2</v>
      </c>
      <c r="AA306" s="22">
        <f t="shared" si="70"/>
        <v>8.776412775274034E-2</v>
      </c>
      <c r="AB306" s="22">
        <f t="shared" si="70"/>
        <v>9.1145488449202117E-2</v>
      </c>
      <c r="AC306" s="22">
        <f t="shared" si="70"/>
        <v>9.4570204644651698E-2</v>
      </c>
      <c r="AD306" s="22">
        <f t="shared" si="70"/>
        <v>9.8568154697968743E-2</v>
      </c>
      <c r="AE306" s="22">
        <f t="shared" si="70"/>
        <v>0.10244796560739347</v>
      </c>
      <c r="AF306" s="22">
        <f t="shared" si="70"/>
        <v>0.10654057141624064</v>
      </c>
      <c r="AG306" s="22">
        <f t="shared" si="70"/>
        <v>0.11123806657675694</v>
      </c>
      <c r="AH306" s="22">
        <f t="shared" si="70"/>
        <v>0.11560654614552646</v>
      </c>
      <c r="AI306" s="22">
        <f t="shared" si="70"/>
        <v>0.12031218938193437</v>
      </c>
      <c r="AJ306" s="22">
        <f t="shared" si="70"/>
        <v>0.12535029329403399</v>
      </c>
      <c r="AK306" s="22">
        <f t="shared" si="70"/>
        <v>0.12997331250710895</v>
      </c>
      <c r="AL306" s="22">
        <f t="shared" si="70"/>
        <v>0.13452286194458821</v>
      </c>
      <c r="AM306" s="22">
        <f t="shared" si="70"/>
        <v>0.13901554953719861</v>
      </c>
      <c r="AN306" s="22">
        <f t="shared" si="70"/>
        <v>0.1440082698862134</v>
      </c>
      <c r="AO306" s="22">
        <f t="shared" si="70"/>
        <v>0.14873185090680655</v>
      </c>
      <c r="AP306" s="22">
        <f t="shared" si="70"/>
        <v>0.15362755351583215</v>
      </c>
      <c r="AQ306" s="22">
        <f t="shared" si="70"/>
        <v>0.15872063106624867</v>
      </c>
      <c r="AR306" s="22">
        <f t="shared" si="70"/>
        <v>0.16405164052421939</v>
      </c>
      <c r="AS306" s="22">
        <f t="shared" si="70"/>
        <v>0.16968110376218293</v>
      </c>
      <c r="AT306" s="22">
        <f t="shared" si="70"/>
        <v>0.17053816071119138</v>
      </c>
      <c r="AU306" s="22">
        <f t="shared" si="70"/>
        <v>0.17095629027566819</v>
      </c>
      <c r="AV306" s="22">
        <f t="shared" si="70"/>
        <v>0.17074584650981994</v>
      </c>
      <c r="AW306" s="22">
        <f t="shared" si="70"/>
        <v>0.17035646457405007</v>
      </c>
      <c r="AY306" s="79"/>
    </row>
    <row r="307" spans="1:51" x14ac:dyDescent="0.3">
      <c r="B307" s="101"/>
    </row>
    <row r="308" spans="1:51" x14ac:dyDescent="0.3">
      <c r="B308" s="101"/>
    </row>
    <row r="309" spans="1:51" x14ac:dyDescent="0.3">
      <c r="B309" s="101"/>
    </row>
    <row r="310" spans="1:51" x14ac:dyDescent="0.3">
      <c r="A310" s="95" t="str">
        <f t="shared" ref="A310:A373" si="71">B310&amp;" "&amp;C310</f>
        <v>GS Cattle</v>
      </c>
      <c r="B310" s="95" t="s">
        <v>1021</v>
      </c>
      <c r="C310" s="95" t="s">
        <v>1108</v>
      </c>
      <c r="D310" t="s">
        <v>15</v>
      </c>
      <c r="E310" t="s">
        <v>16</v>
      </c>
      <c r="F310" t="s">
        <v>6</v>
      </c>
      <c r="G310" t="s">
        <v>136</v>
      </c>
      <c r="H310" t="s">
        <v>1020</v>
      </c>
      <c r="I310" t="s">
        <v>121</v>
      </c>
      <c r="J310" t="s">
        <v>286</v>
      </c>
      <c r="K310" s="93">
        <f>IF('Net zero activities &amp; levers'!$C$7="Off",(('Activity data'!AD5*EF!$H4)*kgtoGg),IF('Net zero activities &amp; levers'!$C$7="On",((('Net zero supporting data'!B76*EF!$H4)+('Net zero supporting data'!B71*'Net zero supporting data'!B56))*kgtoGg),"ERROR"))</f>
        <v>72.246065125367707</v>
      </c>
      <c r="L310" s="93">
        <f>IF('Net zero activities &amp; levers'!$C$7="Off",(('Activity data'!AE5*EF!$H4)*kgtoGg),IF('Net zero activities &amp; levers'!$C$7="On",((('Net zero supporting data'!C76*EF!$H4)+('Net zero supporting data'!C71*'Net zero supporting data'!C56))*kgtoGg),"ERROR"))</f>
        <v>72.649957574793376</v>
      </c>
      <c r="M310" s="93">
        <f>IF('Net zero activities &amp; levers'!$C$7="Off",(('Activity data'!AF5*EF!$H4)*kgtoGg),IF('Net zero activities &amp; levers'!$C$7="On",((('Net zero supporting data'!D76*EF!$H4)+('Net zero supporting data'!D71*'Net zero supporting data'!D56))*kgtoGg),"ERROR"))</f>
        <v>73.223011790998029</v>
      </c>
      <c r="N310" s="93">
        <f>IF('Net zero activities &amp; levers'!$C$7="Off",(('Activity data'!AG5*EF!$H4)*kgtoGg),IF('Net zero activities &amp; levers'!$C$7="On",((('Net zero supporting data'!E76*EF!$H4)+('Net zero supporting data'!E71*'Net zero supporting data'!E56))*kgtoGg),"ERROR"))</f>
        <v>73.591260167761035</v>
      </c>
      <c r="O310" s="93">
        <f>IF('Net zero activities &amp; levers'!$C$7="Off",(('Activity data'!AH5*EF!$H4)*kgtoGg),IF('Net zero activities &amp; levers'!$C$7="On",((('Net zero supporting data'!F76*EF!$H4)+('Net zero supporting data'!F71*'Net zero supporting data'!F56))*kgtoGg),"ERROR"))</f>
        <v>73.835962898346551</v>
      </c>
      <c r="P310" s="93">
        <f>IF('Net zero activities &amp; levers'!$C$7="Off",(('Activity data'!AI5*EF!$H4)*kgtoGg),IF('Net zero activities &amp; levers'!$C$7="On",((('Net zero supporting data'!G76*EF!$H4)+('Net zero supporting data'!G71*'Net zero supporting data'!G56))*kgtoGg),"ERROR"))</f>
        <v>73.954711561483904</v>
      </c>
      <c r="Q310" s="93">
        <f>IF('Net zero activities &amp; levers'!$C$7="Off",(('Activity data'!AJ5*EF!$H4)*kgtoGg),IF('Net zero activities &amp; levers'!$C$7="On",((('Net zero supporting data'!H76*EF!$H4)+('Net zero supporting data'!H71*'Net zero supporting data'!H56))*kgtoGg),"ERROR"))</f>
        <v>74.217071552078707</v>
      </c>
      <c r="R310" s="93">
        <f>IF('Net zero activities &amp; levers'!$C$7="Off",(('Activity data'!AK5*EF!$H4)*kgtoGg),IF('Net zero activities &amp; levers'!$C$7="On",((('Net zero supporting data'!I76*EF!$H4)+('Net zero supporting data'!I71*'Net zero supporting data'!I56))*kgtoGg),"ERROR"))</f>
        <v>74.518042528471312</v>
      </c>
      <c r="S310" s="93">
        <f>IF('Net zero activities &amp; levers'!$C$7="Off",(('Activity data'!AL5*EF!$H4)*kgtoGg),IF('Net zero activities &amp; levers'!$C$7="On",((('Net zero supporting data'!J76*EF!$H4)+('Net zero supporting data'!J71*'Net zero supporting data'!J56))*kgtoGg),"ERROR"))</f>
        <v>72.278060008832611</v>
      </c>
      <c r="T310" s="93">
        <f>IF('Net zero activities &amp; levers'!$C$7="Off",(('Activity data'!AM5*EF!$H4)*kgtoGg),IF('Net zero activities &amp; levers'!$C$7="On",((('Net zero supporting data'!K76*EF!$H4)+('Net zero supporting data'!K71*'Net zero supporting data'!K56))*kgtoGg),"ERROR"))</f>
        <v>73.038072409871731</v>
      </c>
      <c r="U310" s="93">
        <f>IF('Net zero activities &amp; levers'!$C$7="Off",(('Activity data'!AN5*EF!$H4)*kgtoGg),IF('Net zero activities &amp; levers'!$C$7="On",((('Net zero supporting data'!L76*EF!$H4)+('Net zero supporting data'!L71*'Net zero supporting data'!L56))*kgtoGg),"ERROR"))</f>
        <v>74.1505294629453</v>
      </c>
      <c r="V310" s="93">
        <f>IF('Net zero activities &amp; levers'!$C$7="Off",(('Activity data'!AO5*EF!$H4)*kgtoGg),IF('Net zero activities &amp; levers'!$C$7="On",((('Net zero supporting data'!M76*EF!$H4)+('Net zero supporting data'!M71*'Net zero supporting data'!M56))*kgtoGg),"ERROR"))</f>
        <v>74.727142714641815</v>
      </c>
      <c r="W310" s="93">
        <f>IF('Net zero activities &amp; levers'!$C$7="Off",(('Activity data'!AP5*EF!$H4)*kgtoGg),IF('Net zero activities &amp; levers'!$C$7="On",((('Net zero supporting data'!N76*EF!$H4)+('Net zero supporting data'!N71*'Net zero supporting data'!N56))*kgtoGg),"ERROR"))</f>
        <v>75.386134904907664</v>
      </c>
      <c r="X310" s="93">
        <f>IF('Net zero activities &amp; levers'!$C$7="Off",(('Activity data'!AQ5*EF!$H4)*kgtoGg),IF('Net zero activities &amp; levers'!$C$7="On",((('Net zero supporting data'!O76*EF!$H4)+('Net zero supporting data'!O71*'Net zero supporting data'!O56))*kgtoGg),"ERROR"))</f>
        <v>76.148849321322899</v>
      </c>
      <c r="Y310" s="93">
        <f>IF('Net zero activities &amp; levers'!$C$7="Off",(('Activity data'!AR5*EF!$H4)*kgtoGg),IF('Net zero activities &amp; levers'!$C$7="On",((('Net zero supporting data'!P76*EF!$H4)+('Net zero supporting data'!P71*'Net zero supporting data'!P56))*kgtoGg),"ERROR"))</f>
        <v>76.927724649348932</v>
      </c>
      <c r="Z310" s="93">
        <f>IF('Net zero activities &amp; levers'!$C$7="Off",(('Activity data'!AS5*EF!$H4)*kgtoGg),IF('Net zero activities &amp; levers'!$C$7="On",((('Net zero supporting data'!Q76*EF!$H4)+('Net zero supporting data'!Q71*'Net zero supporting data'!Q56))*kgtoGg),"ERROR"))</f>
        <v>77.789839188812167</v>
      </c>
      <c r="AA310" s="93">
        <f>IF('Net zero activities &amp; levers'!$C$7="Off",(('Activity data'!AT5*EF!$H4)*kgtoGg),IF('Net zero activities &amp; levers'!$C$7="On",((('Net zero supporting data'!R76*EF!$H4)+('Net zero supporting data'!R71*'Net zero supporting data'!R56))*kgtoGg),"ERROR"))</f>
        <v>78.678659679683463</v>
      </c>
      <c r="AB310" s="93">
        <f>IF('Net zero activities &amp; levers'!$C$7="Off",(('Activity data'!AU5*EF!$H4)*kgtoGg),IF('Net zero activities &amp; levers'!$C$7="On",((('Net zero supporting data'!S76*EF!$H4)+('Net zero supporting data'!S71*'Net zero supporting data'!S56))*kgtoGg),"ERROR"))</f>
        <v>79.645214708438644</v>
      </c>
      <c r="AC310" s="93">
        <f>IF('Net zero activities &amp; levers'!$C$7="Off",(('Activity data'!AV5*EF!$H4)*kgtoGg),IF('Net zero activities &amp; levers'!$C$7="On",((('Net zero supporting data'!T76*EF!$H4)+('Net zero supporting data'!T71*'Net zero supporting data'!T56))*kgtoGg),"ERROR"))</f>
        <v>80.63357341135027</v>
      </c>
      <c r="AD310" s="93">
        <f>IF('Net zero activities &amp; levers'!$C$7="Off",(('Activity data'!AW5*EF!$H4)*kgtoGg),IF('Net zero activities &amp; levers'!$C$7="On",((('Net zero supporting data'!U76*EF!$H4)+('Net zero supporting data'!U71*'Net zero supporting data'!U56))*kgtoGg),"ERROR"))</f>
        <v>81.701326888312266</v>
      </c>
      <c r="AE310" s="93">
        <f>IF('Net zero activities &amp; levers'!$C$7="Off",(('Activity data'!AX5*EF!$H4)*kgtoGg),IF('Net zero activities &amp; levers'!$C$7="On",((('Net zero supporting data'!V76*EF!$H4)+('Net zero supporting data'!V71*'Net zero supporting data'!V56))*kgtoGg),"ERROR"))</f>
        <v>82.754629010299467</v>
      </c>
      <c r="AF310" s="93">
        <f>IF('Net zero activities &amp; levers'!$C$7="Off",(('Activity data'!AY5*EF!$H4)*kgtoGg),IF('Net zero activities &amp; levers'!$C$7="On",((('Net zero supporting data'!W76*EF!$H4)+('Net zero supporting data'!W71*'Net zero supporting data'!W56))*kgtoGg),"ERROR"))</f>
        <v>83.866381546619579</v>
      </c>
      <c r="AG310" s="93">
        <f>IF('Net zero activities &amp; levers'!$C$7="Off",(('Activity data'!AZ5*EF!$H4)*kgtoGg),IF('Net zero activities &amp; levers'!$C$7="On",((('Net zero supporting data'!X76*EF!$H4)+('Net zero supporting data'!X71*'Net zero supporting data'!X56))*kgtoGg),"ERROR"))</f>
        <v>85.123957452137844</v>
      </c>
      <c r="AH310" s="93">
        <f>IF('Net zero activities &amp; levers'!$C$7="Off",(('Activity data'!BA5*EF!$H4)*kgtoGg),IF('Net zero activities &amp; levers'!$C$7="On",((('Net zero supporting data'!Y76*EF!$H4)+('Net zero supporting data'!Y71*'Net zero supporting data'!Y56))*kgtoGg),"ERROR"))</f>
        <v>86.31962290876946</v>
      </c>
      <c r="AI310" s="93">
        <f>IF('Net zero activities &amp; levers'!$C$7="Off",(('Activity data'!BB5*EF!$H4)*kgtoGg),IF('Net zero activities &amp; levers'!$C$7="On",((('Net zero supporting data'!Z76*EF!$H4)+('Net zero supporting data'!Z71*'Net zero supporting data'!Z56))*kgtoGg),"ERROR"))</f>
        <v>87.545771501366829</v>
      </c>
      <c r="AJ310" s="93">
        <f>IF('Net zero activities &amp; levers'!$C$7="Off",(('Activity data'!BC5*EF!$H4)*kgtoGg),IF('Net zero activities &amp; levers'!$C$7="On",((('Net zero supporting data'!AA76*EF!$H4)+('Net zero supporting data'!AA71*'Net zero supporting data'!AA56))*kgtoGg),"ERROR"))</f>
        <v>88.857081922014302</v>
      </c>
      <c r="AK310" s="93">
        <f>IF('Net zero activities &amp; levers'!$C$7="Off",(('Activity data'!BD5*EF!$H4)*kgtoGg),IF('Net zero activities &amp; levers'!$C$7="On",((('Net zero supporting data'!AB76*EF!$H4)+('Net zero supporting data'!AB71*'Net zero supporting data'!AB56))*kgtoGg),"ERROR"))</f>
        <v>90.085621753712104</v>
      </c>
      <c r="AL310" s="93">
        <f>IF('Net zero activities &amp; levers'!$C$7="Off",(('Activity data'!BE5*EF!$H4)*kgtoGg),IF('Net zero activities &amp; levers'!$C$7="On",((('Net zero supporting data'!AC76*EF!$H4)+('Net zero supporting data'!AC71*'Net zero supporting data'!AC56))*kgtoGg),"ERROR"))</f>
        <v>91.307494637553916</v>
      </c>
      <c r="AM310" s="93">
        <f>IF('Net zero activities &amp; levers'!$C$7="Off",(('Activity data'!BF5*EF!$H4)*kgtoGg),IF('Net zero activities &amp; levers'!$C$7="On",((('Net zero supporting data'!AD76*EF!$H4)+('Net zero supporting data'!AD71*'Net zero supporting data'!AD56))*kgtoGg),"ERROR"))</f>
        <v>92.526099205531537</v>
      </c>
      <c r="AN310" s="93">
        <f>IF('Net zero activities &amp; levers'!$C$7="Off",(('Activity data'!BG5*EF!$H4)*kgtoGg),IF('Net zero activities &amp; levers'!$C$7="On",((('Net zero supporting data'!AE76*EF!$H4)+('Net zero supporting data'!AE71*'Net zero supporting data'!AE56))*kgtoGg),"ERROR"))</f>
        <v>93.815346302798517</v>
      </c>
      <c r="AO310" s="93">
        <f>IF('Net zero activities &amp; levers'!$C$7="Off",(('Activity data'!BH5*EF!$H4)*kgtoGg),IF('Net zero activities &amp; levers'!$C$7="On",((('Net zero supporting data'!AF76*EF!$H4)+('Net zero supporting data'!AF71*'Net zero supporting data'!AF56))*kgtoGg),"ERROR"))</f>
        <v>95.052737285389242</v>
      </c>
      <c r="AP310" s="93">
        <f>IF('Net zero activities &amp; levers'!$C$7="Off",(('Activity data'!BI5*EF!$H4)*kgtoGg),IF('Net zero activities &amp; levers'!$C$7="On",((('Net zero supporting data'!AG76*EF!$H4)+('Net zero supporting data'!AG71*'Net zero supporting data'!AG56))*kgtoGg),"ERROR"))</f>
        <v>96.338177882566526</v>
      </c>
      <c r="AQ310" s="93">
        <f>IF('Net zero activities &amp; levers'!$C$7="Off",(('Activity data'!BJ5*EF!$H4)*kgtoGg),IF('Net zero activities &amp; levers'!$C$7="On",((('Net zero supporting data'!AH76*EF!$H4)+('Net zero supporting data'!AH71*'Net zero supporting data'!AH56))*kgtoGg),"ERROR"))</f>
        <v>97.677530754509618</v>
      </c>
      <c r="AR310" s="93">
        <f>IF('Net zero activities &amp; levers'!$C$7="Off",(('Activity data'!BK5*EF!$H4)*kgtoGg),IF('Net zero activities &amp; levers'!$C$7="On",((('Net zero supporting data'!AI76*EF!$H4)+('Net zero supporting data'!AI71*'Net zero supporting data'!AI56))*kgtoGg),"ERROR"))</f>
        <v>99.08022368038182</v>
      </c>
      <c r="AS310" s="93">
        <f>IF('Net zero activities &amp; levers'!$C$7="Off",(('Activity data'!BL5*EF!$H4)*kgtoGg),IF('Net zero activities &amp; levers'!$C$7="On",((('Net zero supporting data'!AJ76*EF!$H4)+('Net zero supporting data'!AJ71*'Net zero supporting data'!AJ56))*kgtoGg),"ERROR"))</f>
        <v>100.50772839666152</v>
      </c>
      <c r="AT310" s="93">
        <f>IF('Net zero activities &amp; levers'!$C$7="Off",(('Activity data'!BM5*EF!$H4)*kgtoGg),IF('Net zero activities &amp; levers'!$C$7="On",((('Net zero supporting data'!AK76*EF!$H4)+('Net zero supporting data'!AK71*'Net zero supporting data'!AK56))*kgtoGg),"ERROR"))</f>
        <v>100.84617835677685</v>
      </c>
      <c r="AU310" s="93">
        <f>IF('Net zero activities &amp; levers'!$C$7="Off",(('Activity data'!BN5*EF!$H4)*kgtoGg),IF('Net zero activities &amp; levers'!$C$7="On",((('Net zero supporting data'!AL76*EF!$H4)+('Net zero supporting data'!AL71*'Net zero supporting data'!AL56))*kgtoGg),"ERROR"))</f>
        <v>101.08705215806816</v>
      </c>
      <c r="AV310" s="93">
        <f>IF('Net zero activities &amp; levers'!$C$7="Off",(('Activity data'!BO5*EF!$H4)*kgtoGg),IF('Net zero activities &amp; levers'!$C$7="On",((('Net zero supporting data'!AM76*EF!$H4)+('Net zero supporting data'!AM71*'Net zero supporting data'!AM56))*kgtoGg),"ERROR"))</f>
        <v>101.18574255533849</v>
      </c>
      <c r="AW310" s="93">
        <f>IF('Net zero activities &amp; levers'!$C$7="Off",(('Activity data'!BP5*EF!$H4)*kgtoGg),IF('Net zero activities &amp; levers'!$C$7="On",((('Net zero supporting data'!AN76*EF!$H4)+('Net zero supporting data'!AN71*'Net zero supporting data'!AN56))*kgtoGg),"ERROR"))</f>
        <v>101.24533448141288</v>
      </c>
      <c r="AY310" s="79"/>
    </row>
    <row r="311" spans="1:51" x14ac:dyDescent="0.3">
      <c r="A311" s="95" t="str">
        <f t="shared" si="71"/>
        <v>GS Cattle</v>
      </c>
      <c r="B311" s="95" t="s">
        <v>1021</v>
      </c>
      <c r="C311" s="95" t="s">
        <v>1108</v>
      </c>
      <c r="D311" t="s">
        <v>15</v>
      </c>
      <c r="E311" t="s">
        <v>16</v>
      </c>
      <c r="F311" t="s">
        <v>6</v>
      </c>
      <c r="G311" t="s">
        <v>137</v>
      </c>
      <c r="H311" t="s">
        <v>1020</v>
      </c>
      <c r="I311" t="s">
        <v>121</v>
      </c>
      <c r="J311" t="s">
        <v>286</v>
      </c>
      <c r="K311" s="93">
        <f>IF('Net zero activities &amp; levers'!$C$7="Off",(('Activity data'!AD6*EF!$H5)*kgtoGg),IF('Net zero activities &amp; levers'!$C$7="On",((('Net zero supporting data'!B77*EF!$H5)+('Net zero supporting data'!B72*'Net zero supporting data'!B52))*kgtoGg),"ERROR"))</f>
        <v>57.783598896292567</v>
      </c>
      <c r="L311" s="93">
        <f>IF('Net zero activities &amp; levers'!$C$7="Off",(('Activity data'!AE6*EF!$H5)*kgtoGg),IF('Net zero activities &amp; levers'!$C$7="On",((('Net zero supporting data'!C77*EF!$H5)+('Net zero supporting data'!C72*'Net zero supporting data'!C52))*kgtoGg),"ERROR"))</f>
        <v>58.106638763645272</v>
      </c>
      <c r="M311" s="93">
        <f>IF('Net zero activities &amp; levers'!$C$7="Off",(('Activity data'!AF6*EF!$H5)*kgtoGg),IF('Net zero activities &amp; levers'!$C$7="On",((('Net zero supporting data'!D77*EF!$H5)+('Net zero supporting data'!D72*'Net zero supporting data'!D52))*kgtoGg),"ERROR"))</f>
        <v>58.564977012483297</v>
      </c>
      <c r="N311" s="93">
        <f>IF('Net zero activities &amp; levers'!$C$7="Off",(('Activity data'!AG6*EF!$H5)*kgtoGg),IF('Net zero activities &amp; levers'!$C$7="On",((('Net zero supporting data'!E77*EF!$H5)+('Net zero supporting data'!E72*'Net zero supporting data'!E52))*kgtoGg),"ERROR"))</f>
        <v>58.859508160444918</v>
      </c>
      <c r="O311" s="93">
        <f>IF('Net zero activities &amp; levers'!$C$7="Off",(('Activity data'!AH6*EF!$H5)*kgtoGg),IF('Net zero activities &amp; levers'!$C$7="On",((('Net zero supporting data'!F77*EF!$H5)+('Net zero supporting data'!F72*'Net zero supporting data'!F52))*kgtoGg),"ERROR"))</f>
        <v>59.055225455337649</v>
      </c>
      <c r="P311" s="93">
        <f>IF('Net zero activities &amp; levers'!$C$7="Off",(('Activity data'!AI6*EF!$H5)*kgtoGg),IF('Net zero activities &amp; levers'!$C$7="On",((('Net zero supporting data'!G77*EF!$H5)+('Net zero supporting data'!G72*'Net zero supporting data'!G52))*kgtoGg),"ERROR"))</f>
        <v>59.150202601958597</v>
      </c>
      <c r="Q311" s="93">
        <f>IF('Net zero activities &amp; levers'!$C$7="Off",(('Activity data'!AJ6*EF!$H5)*kgtoGg),IF('Net zero activities &amp; levers'!$C$7="On",((('Net zero supporting data'!H77*EF!$H5)+('Net zero supporting data'!H72*'Net zero supporting data'!H52))*kgtoGg),"ERROR"))</f>
        <v>59.360042465716688</v>
      </c>
      <c r="R311" s="93">
        <f>IF('Net zero activities &amp; levers'!$C$7="Off",(('Activity data'!AK6*EF!$H5)*kgtoGg),IF('Net zero activities &amp; levers'!$C$7="On",((('Net zero supporting data'!I77*EF!$H5)+('Net zero supporting data'!I72*'Net zero supporting data'!I52))*kgtoGg),"ERROR"))</f>
        <v>59.600764035107602</v>
      </c>
      <c r="S311" s="93">
        <f>IF('Net zero activities &amp; levers'!$C$7="Off",(('Activity data'!AL6*EF!$H5)*kgtoGg),IF('Net zero activities &amp; levers'!$C$7="On",((('Net zero supporting data'!J77*EF!$H5)+('Net zero supporting data'!J72*'Net zero supporting data'!J52))*kgtoGg),"ERROR"))</f>
        <v>57.809188933752196</v>
      </c>
      <c r="T311" s="93">
        <f>IF('Net zero activities &amp; levers'!$C$7="Off",(('Activity data'!AM6*EF!$H5)*kgtoGg),IF('Net zero activities &amp; levers'!$C$7="On",((('Net zero supporting data'!K77*EF!$H5)+('Net zero supporting data'!K72*'Net zero supporting data'!K52))*kgtoGg),"ERROR"))</f>
        <v>58.417059433849957</v>
      </c>
      <c r="U311" s="93">
        <f>IF('Net zero activities &amp; levers'!$C$7="Off",(('Activity data'!AN6*EF!$H5)*kgtoGg),IF('Net zero activities &amp; levers'!$C$7="On",((('Net zero supporting data'!L77*EF!$H5)+('Net zero supporting data'!L72*'Net zero supporting data'!L52))*kgtoGg),"ERROR"))</f>
        <v>59.306821001246142</v>
      </c>
      <c r="V311" s="93">
        <f>IF('Net zero activities &amp; levers'!$C$7="Off",(('Activity data'!AO6*EF!$H5)*kgtoGg),IF('Net zero activities &amp; levers'!$C$7="On",((('Net zero supporting data'!M77*EF!$H5)+('Net zero supporting data'!M72*'Net zero supporting data'!M52))*kgtoGg),"ERROR"))</f>
        <v>59.768005825589199</v>
      </c>
      <c r="W311" s="93">
        <f>IF('Net zero activities &amp; levers'!$C$7="Off",(('Activity data'!AP6*EF!$H5)*kgtoGg),IF('Net zero activities &amp; levers'!$C$7="On",((('Net zero supporting data'!N77*EF!$H5)+('Net zero supporting data'!N72*'Net zero supporting data'!N52))*kgtoGg),"ERROR"))</f>
        <v>60.295078688755297</v>
      </c>
      <c r="X311" s="93">
        <f>IF('Net zero activities &amp; levers'!$C$7="Off",(('Activity data'!AQ6*EF!$H5)*kgtoGg),IF('Net zero activities &amp; levers'!$C$7="On",((('Net zero supporting data'!O77*EF!$H5)+('Net zero supporting data'!O72*'Net zero supporting data'!O52))*kgtoGg),"ERROR"))</f>
        <v>60.905110305481806</v>
      </c>
      <c r="Y311" s="93">
        <f>IF('Net zero activities &amp; levers'!$C$7="Off",(('Activity data'!AR6*EF!$H5)*kgtoGg),IF('Net zero activities &amp; levers'!$C$7="On",((('Net zero supporting data'!P77*EF!$H5)+('Net zero supporting data'!P72*'Net zero supporting data'!P52))*kgtoGg),"ERROR"))</f>
        <v>61.528067686853028</v>
      </c>
      <c r="Z311" s="93">
        <f>IF('Net zero activities &amp; levers'!$C$7="Off",(('Activity data'!AS6*EF!$H5)*kgtoGg),IF('Net zero activities &amp; levers'!$C$7="On",((('Net zero supporting data'!Q77*EF!$H5)+('Net zero supporting data'!Q72*'Net zero supporting data'!Q52))*kgtoGg),"ERROR"))</f>
        <v>62.217601167528549</v>
      </c>
      <c r="AA311" s="93">
        <f>IF('Net zero activities &amp; levers'!$C$7="Off",(('Activity data'!AT6*EF!$H5)*kgtoGg),IF('Net zero activities &amp; levers'!$C$7="On",((('Net zero supporting data'!R77*EF!$H5)+('Net zero supporting data'!R72*'Net zero supporting data'!R52))*kgtoGg),"ERROR"))</f>
        <v>62.928494510248186</v>
      </c>
      <c r="AB311" s="93">
        <f>IF('Net zero activities &amp; levers'!$C$7="Off",(('Activity data'!AU6*EF!$H5)*kgtoGg),IF('Net zero activities &amp; levers'!$C$7="On",((('Net zero supporting data'!S77*EF!$H5)+('Net zero supporting data'!S72*'Net zero supporting data'!S52))*kgtoGg),"ERROR"))</f>
        <v>63.701561223236183</v>
      </c>
      <c r="AC311" s="93">
        <f>IF('Net zero activities &amp; levers'!$C$7="Off",(('Activity data'!AV6*EF!$H5)*kgtoGg),IF('Net zero activities &amp; levers'!$C$7="On",((('Net zero supporting data'!T77*EF!$H5)+('Net zero supporting data'!T72*'Net zero supporting data'!T52))*kgtoGg),"ERROR"))</f>
        <v>64.492066875766909</v>
      </c>
      <c r="AD311" s="93">
        <f>IF('Net zero activities &amp; levers'!$C$7="Off",(('Activity data'!AW6*EF!$H5)*kgtoGg),IF('Net zero activities &amp; levers'!$C$7="On",((('Net zero supporting data'!U77*EF!$H5)+('Net zero supporting data'!U72*'Net zero supporting data'!U52))*kgtoGg),"ERROR"))</f>
        <v>65.346073782936557</v>
      </c>
      <c r="AE311" s="93">
        <f>IF('Net zero activities &amp; levers'!$C$7="Off",(('Activity data'!AX6*EF!$H5)*kgtoGg),IF('Net zero activities &amp; levers'!$C$7="On",((('Net zero supporting data'!V77*EF!$H5)+('Net zero supporting data'!V72*'Net zero supporting data'!V52))*kgtoGg),"ERROR"))</f>
        <v>66.18852225716013</v>
      </c>
      <c r="AF311" s="93">
        <f>IF('Net zero activities &amp; levers'!$C$7="Off",(('Activity data'!AY6*EF!$H5)*kgtoGg),IF('Net zero activities &amp; levers'!$C$7="On",((('Net zero supporting data'!W77*EF!$H5)+('Net zero supporting data'!W72*'Net zero supporting data'!W52))*kgtoGg),"ERROR"))</f>
        <v>67.077720340393881</v>
      </c>
      <c r="AG311" s="93">
        <f>IF('Net zero activities &amp; levers'!$C$7="Off",(('Activity data'!AZ6*EF!$H5)*kgtoGg),IF('Net zero activities &amp; levers'!$C$7="On",((('Net zero supporting data'!X77*EF!$H5)+('Net zero supporting data'!X72*'Net zero supporting data'!X52))*kgtoGg),"ERROR"))</f>
        <v>68.083550368368549</v>
      </c>
      <c r="AH311" s="93">
        <f>IF('Net zero activities &amp; levers'!$C$7="Off",(('Activity data'!BA6*EF!$H5)*kgtoGg),IF('Net zero activities &amp; levers'!$C$7="On",((('Net zero supporting data'!Y77*EF!$H5)+('Net zero supporting data'!Y72*'Net zero supporting data'!Y52))*kgtoGg),"ERROR"))</f>
        <v>69.039863394417281</v>
      </c>
      <c r="AI311" s="93">
        <f>IF('Net zero activities &amp; levers'!$C$7="Off",(('Activity data'!BB6*EF!$H5)*kgtoGg),IF('Net zero activities &amp; levers'!$C$7="On",((('Net zero supporting data'!Z77*EF!$H5)+('Net zero supporting data'!Z72*'Net zero supporting data'!Z52))*kgtoGg),"ERROR"))</f>
        <v>70.020557337249372</v>
      </c>
      <c r="AJ311" s="93">
        <f>IF('Net zero activities &amp; levers'!$C$7="Off",(('Activity data'!BC6*EF!$H5)*kgtoGg),IF('Net zero activities &amp; levers'!$C$7="On",((('Net zero supporting data'!AA77*EF!$H5)+('Net zero supporting data'!AA72*'Net zero supporting data'!AA52))*kgtoGg),"ERROR"))</f>
        <v>71.069365119981001</v>
      </c>
      <c r="AK311" s="93">
        <f>IF('Net zero activities &amp; levers'!$C$7="Off",(('Activity data'!BD6*EF!$H5)*kgtoGg),IF('Net zero activities &amp; levers'!$C$7="On",((('Net zero supporting data'!AB77*EF!$H5)+('Net zero supporting data'!AB72*'Net zero supporting data'!AB52))*kgtoGg),"ERROR"))</f>
        <v>72.051971615431754</v>
      </c>
      <c r="AL311" s="93">
        <f>IF('Net zero activities &amp; levers'!$C$7="Off",(('Activity data'!BE6*EF!$H5)*kgtoGg),IF('Net zero activities &amp; levers'!$C$7="On",((('Net zero supporting data'!AC77*EF!$H5)+('Net zero supporting data'!AC72*'Net zero supporting data'!AC52))*kgtoGg),"ERROR"))</f>
        <v>73.029245775618222</v>
      </c>
      <c r="AM311" s="93">
        <f>IF('Net zero activities &amp; levers'!$C$7="Off",(('Activity data'!BF6*EF!$H5)*kgtoGg),IF('Net zero activities &amp; levers'!$C$7="On",((('Net zero supporting data'!AD77*EF!$H5)+('Net zero supporting data'!AD72*'Net zero supporting data'!AD52))*kgtoGg),"ERROR"))</f>
        <v>74.003905882670679</v>
      </c>
      <c r="AN311" s="93">
        <f>IF('Net zero activities &amp; levers'!$C$7="Off",(('Activity data'!BG6*EF!$H5)*kgtoGg),IF('Net zero activities &amp; levers'!$C$7="On",((('Net zero supporting data'!AE77*EF!$H5)+('Net zero supporting data'!AE72*'Net zero supporting data'!AE52))*kgtoGg),"ERROR"))</f>
        <v>75.035067054111778</v>
      </c>
      <c r="AO311" s="93">
        <f>IF('Net zero activities &amp; levers'!$C$7="Off",(('Activity data'!BH6*EF!$H5)*kgtoGg),IF('Net zero activities &amp; levers'!$C$7="On",((('Net zero supporting data'!AF77*EF!$H5)+('Net zero supporting data'!AF72*'Net zero supporting data'!AF52))*kgtoGg),"ERROR"))</f>
        <v>76.024752846574486</v>
      </c>
      <c r="AP311" s="93">
        <f>IF('Net zero activities &amp; levers'!$C$7="Off",(('Activity data'!BI6*EF!$H5)*kgtoGg),IF('Net zero activities &amp; levers'!$C$7="On",((('Net zero supporting data'!AG77*EF!$H5)+('Net zero supporting data'!AG72*'Net zero supporting data'!AG52))*kgtoGg),"ERROR"))</f>
        <v>77.05286951622854</v>
      </c>
      <c r="AQ311" s="93">
        <f>IF('Net zero activities &amp; levers'!$C$7="Off",(('Activity data'!BJ6*EF!$H5)*kgtoGg),IF('Net zero activities &amp; levers'!$C$7="On",((('Net zero supporting data'!AH77*EF!$H5)+('Net zero supporting data'!AH72*'Net zero supporting data'!AH52))*kgtoGg),"ERROR"))</f>
        <v>78.12410611573965</v>
      </c>
      <c r="AR311" s="93">
        <f>IF('Net zero activities &amp; levers'!$C$7="Off",(('Activity data'!BK6*EF!$H5)*kgtoGg),IF('Net zero activities &amp; levers'!$C$7="On",((('Net zero supporting data'!AI77*EF!$H5)+('Net zero supporting data'!AI72*'Net zero supporting data'!AI52))*kgtoGg),"ERROR"))</f>
        <v>79.246003138956311</v>
      </c>
      <c r="AS311" s="93">
        <f>IF('Net zero activities &amp; levers'!$C$7="Off",(('Activity data'!BL6*EF!$H5)*kgtoGg),IF('Net zero activities &amp; levers'!$C$7="On",((('Net zero supporting data'!AJ77*EF!$H5)+('Net zero supporting data'!AJ72*'Net zero supporting data'!AJ52))*kgtoGg),"ERROR"))</f>
        <v>80.387745042891623</v>
      </c>
      <c r="AT311" s="93">
        <f>IF('Net zero activities &amp; levers'!$C$7="Off",(('Activity data'!BM6*EF!$H5)*kgtoGg),IF('Net zero activities &amp; levers'!$C$7="On",((('Net zero supporting data'!AK77*EF!$H5)+('Net zero supporting data'!AK72*'Net zero supporting data'!AK52))*kgtoGg),"ERROR"))</f>
        <v>80.658442923915771</v>
      </c>
      <c r="AU311" s="93">
        <f>IF('Net zero activities &amp; levers'!$C$7="Off",(('Activity data'!BN6*EF!$H5)*kgtoGg),IF('Net zero activities &amp; levers'!$C$7="On",((('Net zero supporting data'!AL77*EF!$H5)+('Net zero supporting data'!AL72*'Net zero supporting data'!AL52))*kgtoGg),"ERROR"))</f>
        <v>80.851097777772381</v>
      </c>
      <c r="AV311" s="93">
        <f>IF('Net zero activities &amp; levers'!$C$7="Off",(('Activity data'!BO6*EF!$H5)*kgtoGg),IF('Net zero activities &amp; levers'!$C$7="On",((('Net zero supporting data'!AM77*EF!$H5)+('Net zero supporting data'!AM72*'Net zero supporting data'!AM52))*kgtoGg),"ERROR"))</f>
        <v>80.930031991295138</v>
      </c>
      <c r="AW311" s="93">
        <f>IF('Net zero activities &amp; levers'!$C$7="Off",(('Activity data'!BP6*EF!$H5)*kgtoGg),IF('Net zero activities &amp; levers'!$C$7="On",((('Net zero supporting data'!AN77*EF!$H5)+('Net zero supporting data'!AN72*'Net zero supporting data'!AN52))*kgtoGg),"ERROR"))</f>
        <v>80.977694600293489</v>
      </c>
      <c r="AY311" s="79"/>
    </row>
    <row r="312" spans="1:51" x14ac:dyDescent="0.3">
      <c r="A312" s="95" t="str">
        <f t="shared" si="71"/>
        <v>GS Cattle</v>
      </c>
      <c r="B312" s="95" t="s">
        <v>1021</v>
      </c>
      <c r="C312" s="95" t="s">
        <v>1108</v>
      </c>
      <c r="D312" t="s">
        <v>15</v>
      </c>
      <c r="E312" t="s">
        <v>16</v>
      </c>
      <c r="F312" t="s">
        <v>67</v>
      </c>
      <c r="G312" t="s">
        <v>307</v>
      </c>
      <c r="H312" t="s">
        <v>1020</v>
      </c>
      <c r="I312" t="s">
        <v>121</v>
      </c>
      <c r="J312" t="s">
        <v>286</v>
      </c>
      <c r="K312" s="93">
        <f>IF('Net zero activities &amp; levers'!$C$7="Off",(('Activity data'!AD7*EF!$H6)*kgtoGg),IF('Net zero activities &amp; levers'!$C$7="On",((('Net zero supporting data'!B78*EF!$H6)+('Net zero supporting data'!B73*'Net zero supporting data'!B58))*kgtoGg),"ERROR"))</f>
        <v>26.126191807126649</v>
      </c>
      <c r="L312" s="93">
        <f>IF('Net zero activities &amp; levers'!$C$7="Off",(('Activity data'!AE7*EF!$H6)*kgtoGg),IF('Net zero activities &amp; levers'!$C$7="On",((('Net zero supporting data'!C78*EF!$H6)+('Net zero supporting data'!C73*'Net zero supporting data'!C58))*kgtoGg),"ERROR"))</f>
        <v>26.272250579806297</v>
      </c>
      <c r="M312" s="93">
        <f>IF('Net zero activities &amp; levers'!$C$7="Off",(('Activity data'!AF7*EF!$H6)*kgtoGg),IF('Net zero activities &amp; levers'!$C$7="On",((('Net zero supporting data'!D78*EF!$H6)+('Net zero supporting data'!D73*'Net zero supporting data'!D58))*kgtoGg),"ERROR"))</f>
        <v>26.479482964607669</v>
      </c>
      <c r="N312" s="93">
        <f>IF('Net zero activities &amp; levers'!$C$7="Off",(('Activity data'!AG7*EF!$H6)*kgtoGg),IF('Net zero activities &amp; levers'!$C$7="On",((('Net zero supporting data'!E78*EF!$H6)+('Net zero supporting data'!E73*'Net zero supporting data'!E58))*kgtoGg),"ERROR"))</f>
        <v>26.61265184663991</v>
      </c>
      <c r="O312" s="93">
        <f>IF('Net zero activities &amp; levers'!$C$7="Off",(('Activity data'!AH7*EF!$H6)*kgtoGg),IF('Net zero activities &amp; levers'!$C$7="On",((('Net zero supporting data'!F78*EF!$H6)+('Net zero supporting data'!F73*'Net zero supporting data'!F58))*kgtoGg),"ERROR"))</f>
        <v>26.701143177813595</v>
      </c>
      <c r="P312" s="93">
        <f>IF('Net zero activities &amp; levers'!$C$7="Off",(('Activity data'!AI7*EF!$H6)*kgtoGg),IF('Net zero activities &amp; levers'!$C$7="On",((('Net zero supporting data'!G78*EF!$H6)+('Net zero supporting data'!G73*'Net zero supporting data'!G58))*kgtoGg),"ERROR"))</f>
        <v>26.744086005835889</v>
      </c>
      <c r="Q312" s="93">
        <f>IF('Net zero activities &amp; levers'!$C$7="Off",(('Activity data'!AJ7*EF!$H6)*kgtoGg),IF('Net zero activities &amp; levers'!$C$7="On",((('Net zero supporting data'!H78*EF!$H6)+('Net zero supporting data'!H73*'Net zero supporting data'!H58))*kgtoGg),"ERROR"))</f>
        <v>26.838962694620271</v>
      </c>
      <c r="R312" s="93">
        <f>IF('Net zero activities &amp; levers'!$C$7="Off",(('Activity data'!AK7*EF!$H6)*kgtoGg),IF('Net zero activities &amp; levers'!$C$7="On",((('Net zero supporting data'!I78*EF!$H6)+('Net zero supporting data'!I73*'Net zero supporting data'!I58))*kgtoGg),"ERROR"))</f>
        <v>26.947802192577246</v>
      </c>
      <c r="S312" s="93">
        <f>IF('Net zero activities &amp; levers'!$C$7="Off",(('Activity data'!AL7*EF!$H6)*kgtoGg),IF('Net zero activities &amp; levers'!$C$7="On",((('Net zero supporting data'!J78*EF!$H6)+('Net zero supporting data'!J73*'Net zero supporting data'!J58))*kgtoGg),"ERROR"))</f>
        <v>26.137762049198656</v>
      </c>
      <c r="T312" s="93">
        <f>IF('Net zero activities &amp; levers'!$C$7="Off",(('Activity data'!AM7*EF!$H6)*kgtoGg),IF('Net zero activities &amp; levers'!$C$7="On",((('Net zero supporting data'!K78*EF!$H6)+('Net zero supporting data'!K73*'Net zero supporting data'!K58))*kgtoGg),"ERROR"))</f>
        <v>26.412603727162519</v>
      </c>
      <c r="U312" s="93">
        <f>IF('Net zero activities &amp; levers'!$C$7="Off",(('Activity data'!AN7*EF!$H6)*kgtoGg),IF('Net zero activities &amp; levers'!$C$7="On",((('Net zero supporting data'!L78*EF!$H6)+('Net zero supporting data'!L73*'Net zero supporting data'!L58))*kgtoGg),"ERROR"))</f>
        <v>26.814899219593229</v>
      </c>
      <c r="V312" s="93">
        <f>IF('Net zero activities &amp; levers'!$C$7="Off",(('Activity data'!AO7*EF!$H6)*kgtoGg),IF('Net zero activities &amp; levers'!$C$7="On",((('Net zero supporting data'!M78*EF!$H6)+('Net zero supporting data'!M73*'Net zero supporting data'!M58))*kgtoGg),"ERROR"))</f>
        <v>27.023418650875932</v>
      </c>
      <c r="W312" s="93">
        <f>IF('Net zero activities &amp; levers'!$C$7="Off",(('Activity data'!AP7*EF!$H6)*kgtoGg),IF('Net zero activities &amp; levers'!$C$7="On",((('Net zero supporting data'!N78*EF!$H6)+('Net zero supporting data'!N73*'Net zero supporting data'!N58))*kgtoGg),"ERROR"))</f>
        <v>27.261728603568962</v>
      </c>
      <c r="X312" s="93">
        <f>IF('Net zero activities &amp; levers'!$C$7="Off",(('Activity data'!AQ7*EF!$H6)*kgtoGg),IF('Net zero activities &amp; levers'!$C$7="On",((('Net zero supporting data'!O78*EF!$H6)+('Net zero supporting data'!O73*'Net zero supporting data'!O58))*kgtoGg),"ERROR"))</f>
        <v>27.53754740564138</v>
      </c>
      <c r="Y312" s="93">
        <f>IF('Net zero activities &amp; levers'!$C$7="Off",(('Activity data'!AR7*EF!$H6)*kgtoGg),IF('Net zero activities &amp; levers'!$C$7="On",((('Net zero supporting data'!P78*EF!$H6)+('Net zero supporting data'!P73*'Net zero supporting data'!P58))*kgtoGg),"ERROR"))</f>
        <v>27.819210444016349</v>
      </c>
      <c r="Z312" s="93">
        <f>IF('Net zero activities &amp; levers'!$C$7="Off",(('Activity data'!AS7*EF!$H6)*kgtoGg),IF('Net zero activities &amp; levers'!$C$7="On",((('Net zero supporting data'!Q78*EF!$H6)+('Net zero supporting data'!Q73*'Net zero supporting data'!Q58))*kgtoGg),"ERROR"))</f>
        <v>28.13097510246029</v>
      </c>
      <c r="AA312" s="93">
        <f>IF('Net zero activities &amp; levers'!$C$7="Off",(('Activity data'!AT7*EF!$H6)*kgtoGg),IF('Net zero activities &amp; levers'!$C$7="On",((('Net zero supporting data'!R78*EF!$H6)+('Net zero supporting data'!R73*'Net zero supporting data'!R58))*kgtoGg),"ERROR"))</f>
        <v>28.452397377657032</v>
      </c>
      <c r="AB312" s="93">
        <f>IF('Net zero activities &amp; levers'!$C$7="Off",(('Activity data'!AU7*EF!$H6)*kgtoGg),IF('Net zero activities &amp; levers'!$C$7="On",((('Net zero supporting data'!S78*EF!$H6)+('Net zero supporting data'!S73*'Net zero supporting data'!S58))*kgtoGg),"ERROR"))</f>
        <v>28.801930629462248</v>
      </c>
      <c r="AC312" s="93">
        <f>IF('Net zero activities &amp; levers'!$C$7="Off",(('Activity data'!AV7*EF!$H6)*kgtoGg),IF('Net zero activities &amp; levers'!$C$7="On",((('Net zero supporting data'!T78*EF!$H6)+('Net zero supporting data'!T73*'Net zero supporting data'!T58))*kgtoGg),"ERROR"))</f>
        <v>29.159348697860899</v>
      </c>
      <c r="AD312" s="93">
        <f>IF('Net zero activities &amp; levers'!$C$7="Off",(('Activity data'!AW7*EF!$H6)*kgtoGg),IF('Net zero activities &amp; levers'!$C$7="On",((('Net zero supporting data'!U78*EF!$H6)+('Net zero supporting data'!U73*'Net zero supporting data'!U58))*kgtoGg),"ERROR"))</f>
        <v>29.545478130563247</v>
      </c>
      <c r="AE312" s="93">
        <f>IF('Net zero activities &amp; levers'!$C$7="Off",(('Activity data'!AX7*EF!$H6)*kgtoGg),IF('Net zero activities &amp; levers'!$C$7="On",((('Net zero supporting data'!V78*EF!$H6)+('Net zero supporting data'!V73*'Net zero supporting data'!V58))*kgtoGg),"ERROR"))</f>
        <v>29.92638155031543</v>
      </c>
      <c r="AF312" s="93">
        <f>IF('Net zero activities &amp; levers'!$C$7="Off",(('Activity data'!AY7*EF!$H6)*kgtoGg),IF('Net zero activities &amp; levers'!$C$7="On",((('Net zero supporting data'!W78*EF!$H6)+('Net zero supporting data'!W73*'Net zero supporting data'!W58))*kgtoGg),"ERROR"))</f>
        <v>30.328422269841898</v>
      </c>
      <c r="AG312" s="93">
        <f>IF('Net zero activities &amp; levers'!$C$7="Off",(('Activity data'!AZ7*EF!$H6)*kgtoGg),IF('Net zero activities &amp; levers'!$C$7="On",((('Net zero supporting data'!X78*EF!$H6)+('Net zero supporting data'!X73*'Net zero supporting data'!X58))*kgtoGg),"ERROR"))</f>
        <v>30.783196786108999</v>
      </c>
      <c r="AH312" s="93">
        <f>IF('Net zero activities &amp; levers'!$C$7="Off",(('Activity data'!BA7*EF!$H6)*kgtoGg),IF('Net zero activities &amp; levers'!$C$7="On",((('Net zero supporting data'!Y78*EF!$H6)+('Net zero supporting data'!Y73*'Net zero supporting data'!Y58))*kgtoGg),"ERROR"))</f>
        <v>31.215582757620478</v>
      </c>
      <c r="AI312" s="93">
        <f>IF('Net zero activities &amp; levers'!$C$7="Off",(('Activity data'!BB7*EF!$H6)*kgtoGg),IF('Net zero activities &amp; levers'!$C$7="On",((('Net zero supporting data'!Z78*EF!$H6)+('Net zero supporting data'!Z73*'Net zero supporting data'!Z58))*kgtoGg),"ERROR"))</f>
        <v>31.658992281151598</v>
      </c>
      <c r="AJ312" s="93">
        <f>IF('Net zero activities &amp; levers'!$C$7="Off",(('Activity data'!BC7*EF!$H6)*kgtoGg),IF('Net zero activities &amp; levers'!$C$7="On",((('Net zero supporting data'!AA78*EF!$H6)+('Net zero supporting data'!AA73*'Net zero supporting data'!AA58))*kgtoGg),"ERROR"))</f>
        <v>32.133198696533107</v>
      </c>
      <c r="AK312" s="93">
        <f>IF('Net zero activities &amp; levers'!$C$7="Off",(('Activity data'!BD7*EF!$H6)*kgtoGg),IF('Net zero activities &amp; levers'!$C$7="On",((('Net zero supporting data'!AB78*EF!$H6)+('Net zero supporting data'!AB73*'Net zero supporting data'!AB58))*kgtoGg),"ERROR"))</f>
        <v>32.57747295880516</v>
      </c>
      <c r="AL312" s="93">
        <f>IF('Net zero activities &amp; levers'!$C$7="Off",(('Activity data'!BE7*EF!$H6)*kgtoGg),IF('Net zero activities &amp; levers'!$C$7="On",((('Net zero supporting data'!AC78*EF!$H6)+('Net zero supporting data'!AC73*'Net zero supporting data'!AC58))*kgtoGg),"ERROR"))</f>
        <v>33.019336266817611</v>
      </c>
      <c r="AM312" s="93">
        <f>IF('Net zero activities &amp; levers'!$C$7="Off",(('Activity data'!BF7*EF!$H6)*kgtoGg),IF('Net zero activities &amp; levers'!$C$7="On",((('Net zero supporting data'!AD78*EF!$H6)+('Net zero supporting data'!AD73*'Net zero supporting data'!AD58))*kgtoGg),"ERROR"))</f>
        <v>33.460017660673138</v>
      </c>
      <c r="AN312" s="93">
        <f>IF('Net zero activities &amp; levers'!$C$7="Off",(('Activity data'!BG7*EF!$H6)*kgtoGg),IF('Net zero activities &amp; levers'!$C$7="On",((('Net zero supporting data'!AE78*EF!$H6)+('Net zero supporting data'!AE73*'Net zero supporting data'!AE58))*kgtoGg),"ERROR"))</f>
        <v>33.926245363061206</v>
      </c>
      <c r="AO312" s="93">
        <f>IF('Net zero activities &amp; levers'!$C$7="Off",(('Activity data'!BH7*EF!$H6)*kgtoGg),IF('Net zero activities &amp; levers'!$C$7="On",((('Net zero supporting data'!AF78*EF!$H6)+('Net zero supporting data'!AF73*'Net zero supporting data'!AF58))*kgtoGg),"ERROR"))</f>
        <v>34.37372044831983</v>
      </c>
      <c r="AP312" s="93">
        <f>IF('Net zero activities &amp; levers'!$C$7="Off",(('Activity data'!BI7*EF!$H6)*kgtoGg),IF('Net zero activities &amp; levers'!$C$7="On",((('Net zero supporting data'!AG78*EF!$H6)+('Net zero supporting data'!AG73*'Net zero supporting data'!AG58))*kgtoGg),"ERROR"))</f>
        <v>34.838571614127183</v>
      </c>
      <c r="AQ312" s="93">
        <f>IF('Net zero activities &amp; levers'!$C$7="Off",(('Activity data'!BJ7*EF!$H6)*kgtoGg),IF('Net zero activities &amp; levers'!$C$7="On",((('Net zero supporting data'!AH78*EF!$H6)+('Net zero supporting data'!AH73*'Net zero supporting data'!AH58))*kgtoGg),"ERROR"))</f>
        <v>35.322918961890544</v>
      </c>
      <c r="AR312" s="93">
        <f>IF('Net zero activities &amp; levers'!$C$7="Off",(('Activity data'!BK7*EF!$H6)*kgtoGg),IF('Net zero activities &amp; levers'!$C$7="On",((('Net zero supporting data'!AI78*EF!$H6)+('Net zero supporting data'!AI73*'Net zero supporting data'!AI58))*kgtoGg),"ERROR"))</f>
        <v>35.830171839458941</v>
      </c>
      <c r="AS312" s="93">
        <f>IF('Net zero activities &amp; levers'!$C$7="Off",(('Activity data'!BL7*EF!$H6)*kgtoGg),IF('Net zero activities &amp; levers'!$C$7="On",((('Net zero supporting data'!AJ78*EF!$H6)+('Net zero supporting data'!AJ73*'Net zero supporting data'!AJ58))*kgtoGg),"ERROR"))</f>
        <v>36.346397352341668</v>
      </c>
      <c r="AT312" s="93">
        <f>IF('Net zero activities &amp; levers'!$C$7="Off",(('Activity data'!BM7*EF!$H6)*kgtoGg),IF('Net zero activities &amp; levers'!$C$7="On",((('Net zero supporting data'!AK78*EF!$H6)+('Net zero supporting data'!AK73*'Net zero supporting data'!AK58))*kgtoGg),"ERROR"))</f>
        <v>36.468790295953795</v>
      </c>
      <c r="AU312" s="93">
        <f>IF('Net zero activities &amp; levers'!$C$7="Off",(('Activity data'!BN7*EF!$H6)*kgtoGg),IF('Net zero activities &amp; levers'!$C$7="On",((('Net zero supporting data'!AL78*EF!$H6)+('Net zero supporting data'!AL73*'Net zero supporting data'!AL58))*kgtoGg),"ERROR"))</f>
        <v>36.555896979520966</v>
      </c>
      <c r="AV312" s="93">
        <f>IF('Net zero activities &amp; levers'!$C$7="Off",(('Activity data'!BO7*EF!$H6)*kgtoGg),IF('Net zero activities &amp; levers'!$C$7="On",((('Net zero supporting data'!AM78*EF!$H6)+('Net zero supporting data'!AM73*'Net zero supporting data'!AM58))*kgtoGg),"ERROR"))</f>
        <v>36.591586179259828</v>
      </c>
      <c r="AW312" s="93">
        <f>IF('Net zero activities &amp; levers'!$C$7="Off",(('Activity data'!BP7*EF!$H6)*kgtoGg),IF('Net zero activities &amp; levers'!$C$7="On",((('Net zero supporting data'!AN78*EF!$H6)+('Net zero supporting data'!AN73*'Net zero supporting data'!AN58))*kgtoGg),"ERROR"))</f>
        <v>36.613136281512098</v>
      </c>
      <c r="AY312" s="79"/>
    </row>
    <row r="313" spans="1:51" x14ac:dyDescent="0.3">
      <c r="A313" s="95" t="str">
        <f t="shared" si="71"/>
        <v>GS Cattle</v>
      </c>
      <c r="B313" s="95" t="s">
        <v>1021</v>
      </c>
      <c r="C313" s="95" t="s">
        <v>1108</v>
      </c>
      <c r="D313" t="s">
        <v>15</v>
      </c>
      <c r="E313" t="s">
        <v>16</v>
      </c>
      <c r="F313" t="s">
        <v>67</v>
      </c>
      <c r="G313" t="s">
        <v>122</v>
      </c>
      <c r="H313" t="s">
        <v>1020</v>
      </c>
      <c r="I313" t="s">
        <v>121</v>
      </c>
      <c r="J313" t="s">
        <v>286</v>
      </c>
      <c r="K313" s="93">
        <f>IF('Net zero activities &amp; levers'!$C$7="Off",(('Activity data'!AD8*EF!$H7)*kgtoGg),IF('Net zero activities &amp; levers'!$C$7="On",((('Net zero supporting data'!B79*EF!$H7)+('Net zero supporting data'!B74*'Net zero supporting data'!B59))*kgtoGg),"ERROR"))</f>
        <v>463.23498593143194</v>
      </c>
      <c r="L313" s="93">
        <f>IF('Net zero activities &amp; levers'!$C$7="Off",(('Activity data'!AE8*EF!$H7)*kgtoGg),IF('Net zero activities &amp; levers'!$C$7="On",((('Net zero supporting data'!C79*EF!$H7)+('Net zero supporting data'!C74*'Net zero supporting data'!C59))*kgtoGg),"ERROR"))</f>
        <v>459.2174968362159</v>
      </c>
      <c r="M313" s="93">
        <f>IF('Net zero activities &amp; levers'!$C$7="Off",(('Activity data'!AF8*EF!$H7)*kgtoGg),IF('Net zero activities &amp; levers'!$C$7="On",((('Net zero supporting data'!D79*EF!$H7)+('Net zero supporting data'!D74*'Net zero supporting data'!D59))*kgtoGg),"ERROR"))</f>
        <v>457.68816035731248</v>
      </c>
      <c r="N313" s="93">
        <f>IF('Net zero activities &amp; levers'!$C$7="Off",(('Activity data'!AG8*EF!$H7)*kgtoGg),IF('Net zero activities &amp; levers'!$C$7="On",((('Net zero supporting data'!E79*EF!$H7)+('Net zero supporting data'!E74*'Net zero supporting data'!E59))*kgtoGg),"ERROR"))</f>
        <v>451.57633407663525</v>
      </c>
      <c r="O313" s="93">
        <f>IF('Net zero activities &amp; levers'!$C$7="Off",(('Activity data'!AH8*EF!$H7)*kgtoGg),IF('Net zero activities &amp; levers'!$C$7="On",((('Net zero supporting data'!F79*EF!$H7)+('Net zero supporting data'!F74*'Net zero supporting data'!F59))*kgtoGg),"ERROR"))</f>
        <v>442.70486896910717</v>
      </c>
      <c r="P313" s="93">
        <f>IF('Net zero activities &amp; levers'!$C$7="Off",(('Activity data'!AI8*EF!$H7)*kgtoGg),IF('Net zero activities &amp; levers'!$C$7="On",((('Net zero supporting data'!G79*EF!$H7)+('Net zero supporting data'!G74*'Net zero supporting data'!G59))*kgtoGg),"ERROR"))</f>
        <v>431.25721304480408</v>
      </c>
      <c r="Q313" s="93">
        <f>IF('Net zero activities &amp; levers'!$C$7="Off",(('Activity data'!AJ8*EF!$H7)*kgtoGg),IF('Net zero activities &amp; levers'!$C$7="On",((('Net zero supporting data'!H79*EF!$H7)+('Net zero supporting data'!H74*'Net zero supporting data'!H59))*kgtoGg),"ERROR"))</f>
        <v>422.22811200839215</v>
      </c>
      <c r="R313" s="93">
        <f>IF('Net zero activities &amp; levers'!$C$7="Off",(('Activity data'!AK8*EF!$H7)*kgtoGg),IF('Net zero activities &amp; levers'!$C$7="On",((('Net zero supporting data'!I79*EF!$H7)+('Net zero supporting data'!I74*'Net zero supporting data'!I59))*kgtoGg),"ERROR"))</f>
        <v>413.68555596285586</v>
      </c>
      <c r="S313" s="93">
        <f>IF('Net zero activities &amp; levers'!$C$7="Off",(('Activity data'!AL8*EF!$H7)*kgtoGg),IF('Net zero activities &amp; levers'!$C$7="On",((('Net zero supporting data'!J79*EF!$H7)+('Net zero supporting data'!J74*'Net zero supporting data'!J59))*kgtoGg),"ERROR"))</f>
        <v>363.92269119895411</v>
      </c>
      <c r="T313" s="93">
        <f>IF('Net zero activities &amp; levers'!$C$7="Off",(('Activity data'!AM8*EF!$H7)*kgtoGg),IF('Net zero activities &amp; levers'!$C$7="On",((('Net zero supporting data'!K79*EF!$H7)+('Net zero supporting data'!K74*'Net zero supporting data'!K59))*kgtoGg),"ERROR"))</f>
        <v>369.83389237357579</v>
      </c>
      <c r="U313" s="93">
        <f>IF('Net zero activities &amp; levers'!$C$7="Off",(('Activity data'!AN8*EF!$H7)*kgtoGg),IF('Net zero activities &amp; levers'!$C$7="On",((('Net zero supporting data'!L79*EF!$H7)+('Net zero supporting data'!L74*'Net zero supporting data'!L59))*kgtoGg),"ERROR"))</f>
        <v>380.86142464434585</v>
      </c>
      <c r="V313" s="93">
        <f>IF('Net zero activities &amp; levers'!$C$7="Off",(('Activity data'!AO8*EF!$H7)*kgtoGg),IF('Net zero activities &amp; levers'!$C$7="On",((('Net zero supporting data'!M79*EF!$H7)+('Net zero supporting data'!M74*'Net zero supporting data'!M59))*kgtoGg),"ERROR"))</f>
        <v>383.06375021143805</v>
      </c>
      <c r="W313" s="93">
        <f>IF('Net zero activities &amp; levers'!$C$7="Off",(('Activity data'!AP8*EF!$H7)*kgtoGg),IF('Net zero activities &amp; levers'!$C$7="On",((('Net zero supporting data'!N79*EF!$H7)+('Net zero supporting data'!N74*'Net zero supporting data'!N59))*kgtoGg),"ERROR"))</f>
        <v>386.24013707294779</v>
      </c>
      <c r="X313" s="93">
        <f>IF('Net zero activities &amp; levers'!$C$7="Off",(('Activity data'!AQ8*EF!$H7)*kgtoGg),IF('Net zero activities &amp; levers'!$C$7="On",((('Net zero supporting data'!O79*EF!$H7)+('Net zero supporting data'!O74*'Net zero supporting data'!O59))*kgtoGg),"ERROR"))</f>
        <v>390.6712668095617</v>
      </c>
      <c r="Y313" s="93">
        <f>IF('Net zero activities &amp; levers'!$C$7="Off",(('Activity data'!AR8*EF!$H7)*kgtoGg),IF('Net zero activities &amp; levers'!$C$7="On",((('Net zero supporting data'!P79*EF!$H7)+('Net zero supporting data'!P74*'Net zero supporting data'!P59))*kgtoGg),"ERROR"))</f>
        <v>395.75397479595648</v>
      </c>
      <c r="Z313" s="93">
        <f>IF('Net zero activities &amp; levers'!$C$7="Off",(('Activity data'!AS8*EF!$H7)*kgtoGg),IF('Net zero activities &amp; levers'!$C$7="On",((('Net zero supporting data'!Q79*EF!$H7)+('Net zero supporting data'!Q74*'Net zero supporting data'!Q59))*kgtoGg),"ERROR"))</f>
        <v>401.71318303321101</v>
      </c>
      <c r="AA313" s="93">
        <f>IF('Net zero activities &amp; levers'!$C$7="Off",(('Activity data'!AT8*EF!$H7)*kgtoGg),IF('Net zero activities &amp; levers'!$C$7="On",((('Net zero supporting data'!R79*EF!$H7)+('Net zero supporting data'!R74*'Net zero supporting data'!R59))*kgtoGg),"ERROR"))</f>
        <v>407.69987647206653</v>
      </c>
      <c r="AB313" s="93">
        <f>IF('Net zero activities &amp; levers'!$C$7="Off",(('Activity data'!AU8*EF!$H7)*kgtoGg),IF('Net zero activities &amp; levers'!$C$7="On",((('Net zero supporting data'!S79*EF!$H7)+('Net zero supporting data'!S74*'Net zero supporting data'!S59))*kgtoGg),"ERROR"))</f>
        <v>414.43305929383774</v>
      </c>
      <c r="AC313" s="93">
        <f>IF('Net zero activities &amp; levers'!$C$7="Off",(('Activity data'!AV8*EF!$H7)*kgtoGg),IF('Net zero activities &amp; levers'!$C$7="On",((('Net zero supporting data'!T79*EF!$H7)+('Net zero supporting data'!T74*'Net zero supporting data'!T59))*kgtoGg),"ERROR"))</f>
        <v>421.09942264585908</v>
      </c>
      <c r="AD313" s="93">
        <f>IF('Net zero activities &amp; levers'!$C$7="Off",(('Activity data'!AW8*EF!$H7)*kgtoGg),IF('Net zero activities &amp; levers'!$C$7="On",((('Net zero supporting data'!U79*EF!$H7)+('Net zero supporting data'!U74*'Net zero supporting data'!U59))*kgtoGg),"ERROR"))</f>
        <v>425.44191060723506</v>
      </c>
      <c r="AE313" s="93">
        <f>IF('Net zero activities &amp; levers'!$C$7="Off",(('Activity data'!AX8*EF!$H7)*kgtoGg),IF('Net zero activities &amp; levers'!$C$7="On",((('Net zero supporting data'!V79*EF!$H7)+('Net zero supporting data'!V74*'Net zero supporting data'!V59))*kgtoGg),"ERROR"))</f>
        <v>429.00739584475377</v>
      </c>
      <c r="AF313" s="93">
        <f>IF('Net zero activities &amp; levers'!$C$7="Off",(('Activity data'!AY8*EF!$H7)*kgtoGg),IF('Net zero activities &amp; levers'!$C$7="On",((('Net zero supporting data'!W79*EF!$H7)+('Net zero supporting data'!W74*'Net zero supporting data'!W59))*kgtoGg),"ERROR"))</f>
        <v>432.77412897631666</v>
      </c>
      <c r="AG313" s="93">
        <f>IF('Net zero activities &amp; levers'!$C$7="Off",(('Activity data'!AZ8*EF!$H7)*kgtoGg),IF('Net zero activities &amp; levers'!$C$7="On",((('Net zero supporting data'!X79*EF!$H7)+('Net zero supporting data'!X74*'Net zero supporting data'!X59))*kgtoGg),"ERROR"))</f>
        <v>437.81397558556199</v>
      </c>
      <c r="AH313" s="93">
        <f>IF('Net zero activities &amp; levers'!$C$7="Off",(('Activity data'!BA8*EF!$H7)*kgtoGg),IF('Net zero activities &amp; levers'!$C$7="On",((('Net zero supporting data'!Y79*EF!$H7)+('Net zero supporting data'!Y74*'Net zero supporting data'!Y59))*kgtoGg),"ERROR"))</f>
        <v>441.43846379327863</v>
      </c>
      <c r="AI313" s="93">
        <f>IF('Net zero activities &amp; levers'!$C$7="Off",(('Activity data'!BB8*EF!$H7)*kgtoGg),IF('Net zero activities &amp; levers'!$C$7="On",((('Net zero supporting data'!Z79*EF!$H7)+('Net zero supporting data'!Z74*'Net zero supporting data'!Z59))*kgtoGg),"ERROR"))</f>
        <v>445.30127510523226</v>
      </c>
      <c r="AJ313" s="93">
        <f>IF('Net zero activities &amp; levers'!$C$7="Off",(('Activity data'!BC8*EF!$H7)*kgtoGg),IF('Net zero activities &amp; levers'!$C$7="On",((('Net zero supporting data'!AA79*EF!$H7)+('Net zero supporting data'!AA74*'Net zero supporting data'!AA59))*kgtoGg),"ERROR"))</f>
        <v>449.5534309991009</v>
      </c>
      <c r="AK313" s="93">
        <f>IF('Net zero activities &amp; levers'!$C$7="Off",(('Activity data'!BD8*EF!$H7)*kgtoGg),IF('Net zero activities &amp; levers'!$C$7="On",((('Net zero supporting data'!AB79*EF!$H7)+('Net zero supporting data'!AB74*'Net zero supporting data'!AB59))*kgtoGg),"ERROR"))</f>
        <v>452.20309019469192</v>
      </c>
      <c r="AL313" s="93">
        <f>IF('Net zero activities &amp; levers'!$C$7="Off",(('Activity data'!BE8*EF!$H7)*kgtoGg),IF('Net zero activities &amp; levers'!$C$7="On",((('Net zero supporting data'!AC79*EF!$H7)+('Net zero supporting data'!AC74*'Net zero supporting data'!AC59))*kgtoGg),"ERROR"))</f>
        <v>454.19091289569144</v>
      </c>
      <c r="AM313" s="93">
        <f>IF('Net zero activities &amp; levers'!$C$7="Off",(('Activity data'!BF8*EF!$H7)*kgtoGg),IF('Net zero activities &amp; levers'!$C$7="On",((('Net zero supporting data'!AD79*EF!$H7)+('Net zero supporting data'!AD74*'Net zero supporting data'!AD59))*kgtoGg),"ERROR"))</f>
        <v>455.5735708938164</v>
      </c>
      <c r="AN313" s="93">
        <f>IF('Net zero activities &amp; levers'!$C$7="Off",(('Activity data'!BG8*EF!$H7)*kgtoGg),IF('Net zero activities &amp; levers'!$C$7="On",((('Net zero supporting data'!AE79*EF!$H7)+('Net zero supporting data'!AE74*'Net zero supporting data'!AE59))*kgtoGg),"ERROR"))</f>
        <v>459.87188917365768</v>
      </c>
      <c r="AO313" s="93">
        <f>IF('Net zero activities &amp; levers'!$C$7="Off",(('Activity data'!BH8*EF!$H7)*kgtoGg),IF('Net zero activities &amp; levers'!$C$7="On",((('Net zero supporting data'!AF79*EF!$H7)+('Net zero supporting data'!AF74*'Net zero supporting data'!AF59))*kgtoGg),"ERROR"))</f>
        <v>463.13915520973467</v>
      </c>
      <c r="AP313" s="93">
        <f>IF('Net zero activities &amp; levers'!$C$7="Off",(('Activity data'!BI8*EF!$H7)*kgtoGg),IF('Net zero activities &amp; levers'!$C$7="On",((('Net zero supporting data'!AG79*EF!$H7)+('Net zero supporting data'!AG74*'Net zero supporting data'!AG59))*kgtoGg),"ERROR"))</f>
        <v>466.44766361257473</v>
      </c>
      <c r="AQ313" s="93">
        <f>IF('Net zero activities &amp; levers'!$C$7="Off",(('Activity data'!BJ8*EF!$H7)*kgtoGg),IF('Net zero activities &amp; levers'!$C$7="On",((('Net zero supporting data'!AH79*EF!$H7)+('Net zero supporting data'!AH74*'Net zero supporting data'!AH59))*kgtoGg),"ERROR"))</f>
        <v>469.83526222266636</v>
      </c>
      <c r="AR313" s="93">
        <f>IF('Net zero activities &amp; levers'!$C$7="Off",(('Activity data'!BK8*EF!$H7)*kgtoGg),IF('Net zero activities &amp; levers'!$C$7="On",((('Net zero supporting data'!AI79*EF!$H7)+('Net zero supporting data'!AI74*'Net zero supporting data'!AI59))*kgtoGg),"ERROR"))</f>
        <v>473.37026305322627</v>
      </c>
      <c r="AS313" s="93">
        <f>IF('Net zero activities &amp; levers'!$C$7="Off",(('Activity data'!BL8*EF!$H7)*kgtoGg),IF('Net zero activities &amp; levers'!$C$7="On",((('Net zero supporting data'!AJ79*EF!$H7)+('Net zero supporting data'!AJ74*'Net zero supporting data'!AJ59))*kgtoGg),"ERROR"))</f>
        <v>476.99976993126808</v>
      </c>
      <c r="AT313" s="93">
        <f>IF('Net zero activities &amp; levers'!$C$7="Off",(('Activity data'!BM8*EF!$H7)*kgtoGg),IF('Net zero activities &amp; levers'!$C$7="On",((('Net zero supporting data'!AK79*EF!$H7)+('Net zero supporting data'!AK74*'Net zero supporting data'!AK59))*kgtoGg),"ERROR"))</f>
        <v>469.84014483659178</v>
      </c>
      <c r="AU313" s="93">
        <f>IF('Net zero activities &amp; levers'!$C$7="Off",(('Activity data'!BN8*EF!$H7)*kgtoGg),IF('Net zero activities &amp; levers'!$C$7="On",((('Net zero supporting data'!AL79*EF!$H7)+('Net zero supporting data'!AL74*'Net zero supporting data'!AL59))*kgtoGg),"ERROR"))</f>
        <v>461.72949370511395</v>
      </c>
      <c r="AV313" s="93">
        <f>IF('Net zero activities &amp; levers'!$C$7="Off",(('Activity data'!BO8*EF!$H7)*kgtoGg),IF('Net zero activities &amp; levers'!$C$7="On",((('Net zero supporting data'!AM79*EF!$H7)+('Net zero supporting data'!AM74*'Net zero supporting data'!AM59))*kgtoGg),"ERROR"))</f>
        <v>452.32664742475527</v>
      </c>
      <c r="AW313" s="93">
        <f>IF('Net zero activities &amp; levers'!$C$7="Off",(('Activity data'!BP8*EF!$H7)*kgtoGg),IF('Net zero activities &amp; levers'!$C$7="On",((('Net zero supporting data'!AN79*EF!$H7)+('Net zero supporting data'!AN74*'Net zero supporting data'!AN59))*kgtoGg),"ERROR"))</f>
        <v>442.62912277964222</v>
      </c>
      <c r="AY313" s="79"/>
    </row>
    <row r="314" spans="1:51" x14ac:dyDescent="0.3">
      <c r="A314" s="95" t="str">
        <f t="shared" si="71"/>
        <v>GS Cattle</v>
      </c>
      <c r="B314" s="95" t="s">
        <v>1021</v>
      </c>
      <c r="C314" s="95" t="s">
        <v>1108</v>
      </c>
      <c r="D314" t="s">
        <v>15</v>
      </c>
      <c r="E314" t="s">
        <v>16</v>
      </c>
      <c r="F314" t="s">
        <v>67</v>
      </c>
      <c r="G314" t="s">
        <v>123</v>
      </c>
      <c r="H314" t="s">
        <v>1020</v>
      </c>
      <c r="I314" t="s">
        <v>121</v>
      </c>
      <c r="J314" t="s">
        <v>286</v>
      </c>
      <c r="K314" s="27">
        <f t="shared" ref="K314:Z323" si="72">K1383</f>
        <v>326.20040935577742</v>
      </c>
      <c r="L314" s="27">
        <f t="shared" si="72"/>
        <v>323.37137738012308</v>
      </c>
      <c r="M314" s="27">
        <f t="shared" si="72"/>
        <v>322.29445054900748</v>
      </c>
      <c r="N314" s="27">
        <f t="shared" si="72"/>
        <v>317.99063003627219</v>
      </c>
      <c r="O314" s="27">
        <f t="shared" si="72"/>
        <v>311.74352945546792</v>
      </c>
      <c r="P314" s="27">
        <f t="shared" si="72"/>
        <v>303.68232906672063</v>
      </c>
      <c r="Q314" s="27">
        <f t="shared" si="72"/>
        <v>297.32422455466599</v>
      </c>
      <c r="R314" s="27">
        <f t="shared" si="72"/>
        <v>291.30873487096773</v>
      </c>
      <c r="S314" s="27">
        <f t="shared" si="72"/>
        <v>256.26676405768438</v>
      </c>
      <c r="T314" s="27">
        <f t="shared" si="72"/>
        <v>260.42930855779127</v>
      </c>
      <c r="U314" s="27">
        <f t="shared" si="72"/>
        <v>268.19466663772192</v>
      </c>
      <c r="V314" s="27">
        <f t="shared" si="72"/>
        <v>269.7454983394245</v>
      </c>
      <c r="W314" s="27">
        <f t="shared" si="72"/>
        <v>271.98224367594827</v>
      </c>
      <c r="X314" s="27">
        <f t="shared" si="72"/>
        <v>275.10255275857435</v>
      </c>
      <c r="Y314" s="27">
        <f t="shared" si="72"/>
        <v>278.68168964622578</v>
      </c>
      <c r="Z314" s="27">
        <f t="shared" si="72"/>
        <v>282.87803971792886</v>
      </c>
      <c r="AA314" s="27">
        <f t="shared" ref="AA314:AW314" si="73">AA1383</f>
        <v>287.09374429498189</v>
      </c>
      <c r="AB314" s="27">
        <f t="shared" si="73"/>
        <v>291.83511111621357</v>
      </c>
      <c r="AC314" s="27">
        <f t="shared" si="73"/>
        <v>296.52942506137316</v>
      </c>
      <c r="AD314" s="27">
        <f t="shared" si="73"/>
        <v>299.58731445583493</v>
      </c>
      <c r="AE314" s="27">
        <f t="shared" si="73"/>
        <v>302.09805474824185</v>
      </c>
      <c r="AF314" s="27">
        <f t="shared" si="73"/>
        <v>304.75050960758114</v>
      </c>
      <c r="AG314" s="27">
        <f t="shared" si="73"/>
        <v>308.29946440796289</v>
      </c>
      <c r="AH314" s="27">
        <f t="shared" si="73"/>
        <v>310.85175336058825</v>
      </c>
      <c r="AI314" s="27">
        <f t="shared" si="73"/>
        <v>313.57186446940221</v>
      </c>
      <c r="AJ314" s="27">
        <f t="shared" si="73"/>
        <v>316.5661439071601</v>
      </c>
      <c r="AK314" s="27">
        <f t="shared" si="73"/>
        <v>318.43197861417656</v>
      </c>
      <c r="AL314" s="27">
        <f t="shared" si="73"/>
        <v>319.83176187426193</v>
      </c>
      <c r="AM314" s="27">
        <f t="shared" si="73"/>
        <v>320.80540078040053</v>
      </c>
      <c r="AN314" s="27">
        <f t="shared" si="73"/>
        <v>323.83218680694904</v>
      </c>
      <c r="AO314" s="27">
        <f t="shared" si="73"/>
        <v>326.13292736155017</v>
      </c>
      <c r="AP314" s="27">
        <f t="shared" si="73"/>
        <v>328.46270993009568</v>
      </c>
      <c r="AQ314" s="27">
        <f t="shared" si="73"/>
        <v>330.84818617197112</v>
      </c>
      <c r="AR314" s="27">
        <f t="shared" si="73"/>
        <v>333.33745998120867</v>
      </c>
      <c r="AS314" s="27">
        <f t="shared" si="73"/>
        <v>335.89328297673717</v>
      </c>
      <c r="AT314" s="27">
        <f t="shared" si="73"/>
        <v>330.85162440679704</v>
      </c>
      <c r="AU314" s="27">
        <f t="shared" si="73"/>
        <v>325.14027314970184</v>
      </c>
      <c r="AV314" s="27">
        <f t="shared" si="73"/>
        <v>318.5189850369415</v>
      </c>
      <c r="AW314" s="27">
        <f t="shared" si="73"/>
        <v>311.6901905696734</v>
      </c>
      <c r="AY314" s="79"/>
    </row>
    <row r="315" spans="1:51" x14ac:dyDescent="0.3">
      <c r="A315" s="95" t="str">
        <f t="shared" si="71"/>
        <v>GS Cattle</v>
      </c>
      <c r="B315" s="95" t="s">
        <v>1021</v>
      </c>
      <c r="C315" s="95" t="s">
        <v>1108</v>
      </c>
      <c r="D315" t="s">
        <v>15</v>
      </c>
      <c r="E315" t="s">
        <v>16</v>
      </c>
      <c r="F315" t="s">
        <v>67</v>
      </c>
      <c r="G315" t="s">
        <v>135</v>
      </c>
      <c r="H315" t="s">
        <v>1020</v>
      </c>
      <c r="I315" t="s">
        <v>121</v>
      </c>
      <c r="J315" t="s">
        <v>286</v>
      </c>
      <c r="K315" s="93">
        <f>IF('Net zero activities &amp; levers'!$C$7="Off",(('Activity data'!AD10*EF!$H9)*kgtoGg),IF('Net zero activities &amp; levers'!$C$7="On",((('Net zero supporting data'!B80*EF!$H9)+('Net zero supporting data'!B75*'Net zero supporting data'!B60))*kgtoGg),"ERROR"))</f>
        <v>31.891995988947272</v>
      </c>
      <c r="L315" s="93">
        <f>IF('Net zero activities &amp; levers'!$C$7="Off",(('Activity data'!AE10*EF!$H9)*kgtoGg),IF('Net zero activities &amp; levers'!$C$7="On",((('Net zero supporting data'!C80*EF!$H9)+('Net zero supporting data'!C75*'Net zero supporting data'!C60))*kgtoGg),"ERROR"))</f>
        <v>32.967337371253535</v>
      </c>
      <c r="M315" s="93">
        <f>IF('Net zero activities &amp; levers'!$C$7="Off",(('Activity data'!AF10*EF!$H9)*kgtoGg),IF('Net zero activities &amp; levers'!$C$7="On",((('Net zero supporting data'!D80*EF!$H9)+('Net zero supporting data'!D75*'Net zero supporting data'!D60))*kgtoGg),"ERROR"))</f>
        <v>34.243655078433662</v>
      </c>
      <c r="N315" s="93">
        <f>IF('Net zero activities &amp; levers'!$C$7="Off",(('Activity data'!AG10*EF!$H9)*kgtoGg),IF('Net zero activities &amp; levers'!$C$7="On",((('Net zero supporting data'!E80*EF!$H9)+('Net zero supporting data'!E75*'Net zero supporting data'!E60))*kgtoGg),"ERROR"))</f>
        <v>35.19550479761466</v>
      </c>
      <c r="O315" s="93">
        <f>IF('Net zero activities &amp; levers'!$C$7="Off",(('Activity data'!AH10*EF!$H9)*kgtoGg),IF('Net zero activities &amp; levers'!$C$7="On",((('Net zero supporting data'!F80*EF!$H9)+('Net zero supporting data'!F75*'Net zero supporting data'!F60))*kgtoGg),"ERROR"))</f>
        <v>35.929559405213332</v>
      </c>
      <c r="P315" s="93">
        <f>IF('Net zero activities &amp; levers'!$C$7="Off",(('Activity data'!AI10*EF!$H9)*kgtoGg),IF('Net zero activities &amp; levers'!$C$7="On",((('Net zero supporting data'!G80*EF!$H9)+('Net zero supporting data'!G75*'Net zero supporting data'!G60))*kgtoGg),"ERROR"))</f>
        <v>36.435327957872907</v>
      </c>
      <c r="Q315" s="93">
        <f>IF('Net zero activities &amp; levers'!$C$7="Off",(('Activity data'!AJ10*EF!$H9)*kgtoGg),IF('Net zero activities &amp; levers'!$C$7="On",((('Net zero supporting data'!H80*EF!$H9)+('Net zero supporting data'!H75*'Net zero supporting data'!H60))*kgtoGg),"ERROR"))</f>
        <v>37.125912791560339</v>
      </c>
      <c r="R315" s="93">
        <f>IF('Net zero activities &amp; levers'!$C$7="Off",(('Activity data'!AK10*EF!$H9)*kgtoGg),IF('Net zero activities &amp; levers'!$C$7="On",((('Net zero supporting data'!I80*EF!$H9)+('Net zero supporting data'!I75*'Net zero supporting data'!I60))*kgtoGg),"ERROR"))</f>
        <v>37.849847328761314</v>
      </c>
      <c r="S315" s="93">
        <f>IF('Net zero activities &amp; levers'!$C$7="Off",(('Activity data'!AL10*EF!$H9)*kgtoGg),IF('Net zero activities &amp; levers'!$C$7="On",((('Net zero supporting data'!J80*EF!$H9)+('Net zero supporting data'!J75*'Net zero supporting data'!J60))*kgtoGg),"ERROR"))</f>
        <v>34.642542509776739</v>
      </c>
      <c r="T315" s="93">
        <f>IF('Net zero activities &amp; levers'!$C$7="Off",(('Activity data'!AM10*EF!$H9)*kgtoGg),IF('Net zero activities &amp; levers'!$C$7="On",((('Net zero supporting data'!K80*EF!$H9)+('Net zero supporting data'!K75*'Net zero supporting data'!K60))*kgtoGg),"ERROR"))</f>
        <v>36.053430902114805</v>
      </c>
      <c r="U315" s="93">
        <f>IF('Net zero activities &amp; levers'!$C$7="Off",(('Activity data'!AN10*EF!$H9)*kgtoGg),IF('Net zero activities &amp; levers'!$C$7="On",((('Net zero supporting data'!L80*EF!$H9)+('Net zero supporting data'!L75*'Net zero supporting data'!L60))*kgtoGg),"ERROR"))</f>
        <v>38.010696022356719</v>
      </c>
      <c r="V315" s="93">
        <f>IF('Net zero activities &amp; levers'!$C$7="Off",(('Activity data'!AO10*EF!$H9)*kgtoGg),IF('Net zero activities &amp; levers'!$C$7="On",((('Net zero supporting data'!M80*EF!$H9)+('Net zero supporting data'!M75*'Net zero supporting data'!M60))*kgtoGg),"ERROR"))</f>
        <v>39.127373882680487</v>
      </c>
      <c r="W315" s="93">
        <f>IF('Net zero activities &amp; levers'!$C$7="Off",(('Activity data'!AP10*EF!$H9)*kgtoGg),IF('Net zero activities &amp; levers'!$C$7="On",((('Net zero supporting data'!N80*EF!$H9)+('Net zero supporting data'!N75*'Net zero supporting data'!N60))*kgtoGg),"ERROR"))</f>
        <v>40.366459949035139</v>
      </c>
      <c r="X315" s="93">
        <f>IF('Net zero activities &amp; levers'!$C$7="Off",(('Activity data'!AQ10*EF!$H9)*kgtoGg),IF('Net zero activities &amp; levers'!$C$7="On",((('Net zero supporting data'!O80*EF!$H9)+('Net zero supporting data'!O75*'Net zero supporting data'!O60))*kgtoGg),"ERROR"))</f>
        <v>41.765821576969046</v>
      </c>
      <c r="Y315" s="93">
        <f>IF('Net zero activities &amp; levers'!$C$7="Off",(('Activity data'!AR10*EF!$H9)*kgtoGg),IF('Net zero activities &amp; levers'!$C$7="On",((('Net zero supporting data'!P80*EF!$H9)+('Net zero supporting data'!P75*'Net zero supporting data'!P60))*kgtoGg),"ERROR"))</f>
        <v>43.269588309323517</v>
      </c>
      <c r="Z315" s="93">
        <f>IF('Net zero activities &amp; levers'!$C$7="Off",(('Activity data'!AS10*EF!$H9)*kgtoGg),IF('Net zero activities &amp; levers'!$C$7="On",((('Net zero supporting data'!Q80*EF!$H9)+('Net zero supporting data'!Q75*'Net zero supporting data'!Q60))*kgtoGg),"ERROR"))</f>
        <v>44.908778901884347</v>
      </c>
      <c r="AA315" s="93">
        <f>IF('Net zero activities &amp; levers'!$C$7="Off",(('Activity data'!AT10*EF!$H9)*kgtoGg),IF('Net zero activities &amp; levers'!$C$7="On",((('Net zero supporting data'!R80*EF!$H9)+('Net zero supporting data'!R75*'Net zero supporting data'!R60))*kgtoGg),"ERROR"))</f>
        <v>46.594068388350003</v>
      </c>
      <c r="AB315" s="93">
        <f>IF('Net zero activities &amp; levers'!$C$7="Off",(('Activity data'!AU10*EF!$H9)*kgtoGg),IF('Net zero activities &amp; levers'!$C$7="On",((('Net zero supporting data'!S80*EF!$H9)+('Net zero supporting data'!S75*'Net zero supporting data'!S60))*kgtoGg),"ERROR"))</f>
        <v>48.410923677012072</v>
      </c>
      <c r="AC315" s="93">
        <f>IF('Net zero activities &amp; levers'!$C$7="Off",(('Activity data'!AV10*EF!$H9)*kgtoGg),IF('Net zero activities &amp; levers'!$C$7="On",((('Net zero supporting data'!T80*EF!$H9)+('Net zero supporting data'!T75*'Net zero supporting data'!T60))*kgtoGg),"ERROR"))</f>
        <v>50.269303700477998</v>
      </c>
      <c r="AD315" s="93">
        <f>IF('Net zero activities &amp; levers'!$C$7="Off",(('Activity data'!AW10*EF!$H9)*kgtoGg),IF('Net zero activities &amp; levers'!$C$7="On",((('Net zero supporting data'!U80*EF!$H9)+('Net zero supporting data'!U75*'Net zero supporting data'!U60))*kgtoGg),"ERROR"))</f>
        <v>52.471951507677524</v>
      </c>
      <c r="AE315" s="93">
        <f>IF('Net zero activities &amp; levers'!$C$7="Off",(('Activity data'!AX10*EF!$H9)*kgtoGg),IF('Net zero activities &amp; levers'!$C$7="On",((('Net zero supporting data'!V80*EF!$H9)+('Net zero supporting data'!V75*'Net zero supporting data'!V60))*kgtoGg),"ERROR"))</f>
        <v>54.669760459111487</v>
      </c>
      <c r="AF315" s="93">
        <f>IF('Net zero activities &amp; levers'!$C$7="Off",(('Activity data'!AY10*EF!$H9)*kgtoGg),IF('Net zero activities &amp; levers'!$C$7="On",((('Net zero supporting data'!W80*EF!$H9)+('Net zero supporting data'!W75*'Net zero supporting data'!W60))*kgtoGg),"ERROR"))</f>
        <v>56.986868883720433</v>
      </c>
      <c r="AG315" s="93">
        <f>IF('Net zero activities &amp; levers'!$C$7="Off",(('Activity data'!AZ10*EF!$H9)*kgtoGg),IF('Net zero activities &amp; levers'!$C$7="On",((('Net zero supporting data'!X80*EF!$H9)+('Net zero supporting data'!X75*'Net zero supporting data'!X60))*kgtoGg),"ERROR"))</f>
        <v>59.577013910557568</v>
      </c>
      <c r="AH315" s="93">
        <f>IF('Net zero activities &amp; levers'!$C$7="Off",(('Activity data'!BA10*EF!$H9)*kgtoGg),IF('Net zero activities &amp; levers'!$C$7="On",((('Net zero supporting data'!Y80*EF!$H9)+('Net zero supporting data'!Y75*'Net zero supporting data'!Y60))*kgtoGg),"ERROR"))</f>
        <v>62.085208612074666</v>
      </c>
      <c r="AI315" s="93">
        <f>IF('Net zero activities &amp; levers'!$C$7="Off",(('Activity data'!BB10*EF!$H9)*kgtoGg),IF('Net zero activities &amp; levers'!$C$7="On",((('Net zero supporting data'!Z80*EF!$H9)+('Net zero supporting data'!Z75*'Net zero supporting data'!Z60))*kgtoGg),"ERROR"))</f>
        <v>64.738520962902328</v>
      </c>
      <c r="AJ315" s="93">
        <f>IF('Net zero activities &amp; levers'!$C$7="Off",(('Activity data'!BC10*EF!$H9)*kgtoGg),IF('Net zero activities &amp; levers'!$C$7="On",((('Net zero supporting data'!AA80*EF!$H9)+('Net zero supporting data'!AA75*'Net zero supporting data'!AA60))*kgtoGg),"ERROR"))</f>
        <v>67.569668411383148</v>
      </c>
      <c r="AK315" s="93">
        <f>IF('Net zero activities &amp; levers'!$C$7="Off",(('Activity data'!BD10*EF!$H9)*kgtoGg),IF('Net zero activities &amp; levers'!$C$7="On",((('Net zero supporting data'!AB80*EF!$H9)+('Net zero supporting data'!AB75*'Net zero supporting data'!AB60))*kgtoGg),"ERROR"))</f>
        <v>70.282185941463524</v>
      </c>
      <c r="AL315" s="93">
        <f>IF('Net zero activities &amp; levers'!$C$7="Off",(('Activity data'!BE10*EF!$H9)*kgtoGg),IF('Net zero activities &amp; levers'!$C$7="On",((('Net zero supporting data'!AC80*EF!$H9)+('Net zero supporting data'!AC75*'Net zero supporting data'!AC60))*kgtoGg),"ERROR"))</f>
        <v>73.009611809365794</v>
      </c>
      <c r="AM315" s="93">
        <f>IF('Net zero activities &amp; levers'!$C$7="Off",(('Activity data'!BF10*EF!$H9)*kgtoGg),IF('Net zero activities &amp; levers'!$C$7="On",((('Net zero supporting data'!AD80*EF!$H9)+('Net zero supporting data'!AD75*'Net zero supporting data'!AD60))*kgtoGg),"ERROR"))</f>
        <v>75.757864250149765</v>
      </c>
      <c r="AN315" s="93">
        <f>IF('Net zero activities &amp; levers'!$C$7="Off",(('Activity data'!BG10*EF!$H9)*kgtoGg),IF('Net zero activities &amp; levers'!$C$7="On",((('Net zero supporting data'!AE80*EF!$H9)+('Net zero supporting data'!AE75*'Net zero supporting data'!AE60))*kgtoGg),"ERROR"))</f>
        <v>78.63033008147255</v>
      </c>
      <c r="AO315" s="93">
        <f>IF('Net zero activities &amp; levers'!$C$7="Off",(('Activity data'!BH10*EF!$H9)*kgtoGg),IF('Net zero activities &amp; levers'!$C$7="On",((('Net zero supporting data'!AF80*EF!$H9)+('Net zero supporting data'!AF75*'Net zero supporting data'!AF60))*kgtoGg),"ERROR"))</f>
        <v>81.431036976471376</v>
      </c>
      <c r="AP315" s="93">
        <f>IF('Net zero activities &amp; levers'!$C$7="Off",(('Activity data'!BI10*EF!$H9)*kgtoGg),IF('Net zero activities &amp; levers'!$C$7="On",((('Net zero supporting data'!AG80*EF!$H9)+('Net zero supporting data'!AG75*'Net zero supporting data'!AG60))*kgtoGg),"ERROR"))</f>
        <v>84.343805269420216</v>
      </c>
      <c r="AQ315" s="93">
        <f>IF('Net zero activities &amp; levers'!$C$7="Off",(('Activity data'!BJ10*EF!$H9)*kgtoGg),IF('Net zero activities &amp; levers'!$C$7="On",((('Net zero supporting data'!AH80*EF!$H9)+('Net zero supporting data'!AH75*'Net zero supporting data'!AH60))*kgtoGg),"ERROR"))</f>
        <v>87.381529968917789</v>
      </c>
      <c r="AR315" s="93">
        <f>IF('Net zero activities &amp; levers'!$C$7="Off",(('Activity data'!BK10*EF!$H9)*kgtoGg),IF('Net zero activities &amp; levers'!$C$7="On",((('Net zero supporting data'!AI80*EF!$H9)+('Net zero supporting data'!AI75*'Net zero supporting data'!AI60))*kgtoGg),"ERROR"))</f>
        <v>90.56411958911923</v>
      </c>
      <c r="AS315" s="93">
        <f>IF('Net zero activities &amp; levers'!$C$7="Off",(('Activity data'!BL10*EF!$H9)*kgtoGg),IF('Net zero activities &amp; levers'!$C$7="On",((('Net zero supporting data'!AJ80*EF!$H9)+('Net zero supporting data'!AJ75*'Net zero supporting data'!AJ60))*kgtoGg),"ERROR"))</f>
        <v>93.889582462340528</v>
      </c>
      <c r="AT315" s="93">
        <f>IF('Net zero activities &amp; levers'!$C$7="Off",(('Activity data'!BM10*EF!$H9)*kgtoGg),IF('Net zero activities &amp; levers'!$C$7="On",((('Net zero supporting data'!AK80*EF!$H9)+('Net zero supporting data'!AK75*'Net zero supporting data'!AK60))*kgtoGg),"ERROR"))</f>
        <v>95.161623451693828</v>
      </c>
      <c r="AU315" s="93">
        <f>IF('Net zero activities &amp; levers'!$C$7="Off",(('Activity data'!BN10*EF!$H9)*kgtoGg),IF('Net zero activities &amp; levers'!$C$7="On",((('Net zero supporting data'!AL80*EF!$H9)+('Net zero supporting data'!AL75*'Net zero supporting data'!AL60))*kgtoGg),"ERROR"))</f>
        <v>96.246716097882043</v>
      </c>
      <c r="AV315" s="93">
        <f>IF('Net zero activities &amp; levers'!$C$7="Off",(('Activity data'!BO10*EF!$H9)*kgtoGg),IF('Net zero activities &amp; levers'!$C$7="On",((('Net zero supporting data'!AM80*EF!$H9)+('Net zero supporting data'!AM75*'Net zero supporting data'!AM60))*kgtoGg),"ERROR"))</f>
        <v>97.054781525387583</v>
      </c>
      <c r="AW315" s="93">
        <f>IF('Net zero activities &amp; levers'!$C$7="Off",(('Activity data'!BP10*EF!$H9)*kgtoGg),IF('Net zero activities &amp; levers'!$C$7="On",((('Net zero supporting data'!AN80*EF!$H9)+('Net zero supporting data'!AN75*'Net zero supporting data'!AN60))*kgtoGg),"ERROR"))</f>
        <v>97.781567637634097</v>
      </c>
      <c r="AY315" s="79"/>
    </row>
    <row r="316" spans="1:51" x14ac:dyDescent="0.3">
      <c r="A316" s="95" t="str">
        <f t="shared" si="71"/>
        <v>GS Sheep</v>
      </c>
      <c r="B316" s="95" t="s">
        <v>1021</v>
      </c>
      <c r="C316" s="95" t="s">
        <v>152</v>
      </c>
      <c r="D316" t="s">
        <v>15</v>
      </c>
      <c r="E316" t="s">
        <v>16</v>
      </c>
      <c r="F316" t="s">
        <v>18</v>
      </c>
      <c r="G316" t="s">
        <v>122</v>
      </c>
      <c r="H316" t="s">
        <v>1020</v>
      </c>
      <c r="I316" t="s">
        <v>121</v>
      </c>
      <c r="J316" t="s">
        <v>286</v>
      </c>
      <c r="K316" s="27">
        <f t="shared" si="72"/>
        <v>132.59034293279757</v>
      </c>
      <c r="L316" s="27">
        <f t="shared" ref="L316:AW316" si="74">L1385</f>
        <v>132.66203410931632</v>
      </c>
      <c r="M316" s="27">
        <f t="shared" si="74"/>
        <v>132.83344502276296</v>
      </c>
      <c r="N316" s="27">
        <f t="shared" si="74"/>
        <v>133.08619178866664</v>
      </c>
      <c r="O316" s="27">
        <f t="shared" si="74"/>
        <v>133.41866827856941</v>
      </c>
      <c r="P316" s="27">
        <f t="shared" si="74"/>
        <v>133.8273636783253</v>
      </c>
      <c r="Q316" s="27">
        <f t="shared" si="74"/>
        <v>134.2863843975903</v>
      </c>
      <c r="R316" s="27">
        <f t="shared" si="74"/>
        <v>134.79283247693314</v>
      </c>
      <c r="S316" s="27">
        <f t="shared" si="74"/>
        <v>135.25595136269689</v>
      </c>
      <c r="T316" s="27">
        <f t="shared" si="74"/>
        <v>135.45945701303151</v>
      </c>
      <c r="U316" s="27">
        <f t="shared" si="74"/>
        <v>135.70798113166347</v>
      </c>
      <c r="V316" s="27">
        <f t="shared" si="74"/>
        <v>135.96919937925796</v>
      </c>
      <c r="W316" s="27">
        <f t="shared" si="74"/>
        <v>136.26247262957938</v>
      </c>
      <c r="X316" s="27">
        <f t="shared" si="74"/>
        <v>136.58698029827343</v>
      </c>
      <c r="Y316" s="27">
        <f t="shared" si="74"/>
        <v>136.78964350738272</v>
      </c>
      <c r="Z316" s="27">
        <f t="shared" si="74"/>
        <v>137.0186015592445</v>
      </c>
      <c r="AA316" s="27">
        <f t="shared" si="74"/>
        <v>137.27076072273411</v>
      </c>
      <c r="AB316" s="27">
        <f t="shared" si="74"/>
        <v>137.54681434679034</v>
      </c>
      <c r="AC316" s="27">
        <f t="shared" si="74"/>
        <v>137.84391314305282</v>
      </c>
      <c r="AD316" s="27">
        <f t="shared" si="74"/>
        <v>138.04321155337277</v>
      </c>
      <c r="AE316" s="27">
        <f t="shared" si="74"/>
        <v>138.25957262105894</v>
      </c>
      <c r="AF316" s="27">
        <f t="shared" si="74"/>
        <v>138.49473553474263</v>
      </c>
      <c r="AG316" s="27">
        <f t="shared" si="74"/>
        <v>138.75099586378536</v>
      </c>
      <c r="AH316" s="27">
        <f t="shared" si="74"/>
        <v>139.02065863419776</v>
      </c>
      <c r="AI316" s="27">
        <f t="shared" si="74"/>
        <v>139.193026219692</v>
      </c>
      <c r="AJ316" s="27">
        <f t="shared" si="74"/>
        <v>139.38182622697491</v>
      </c>
      <c r="AK316" s="27">
        <f t="shared" si="74"/>
        <v>139.58083163749211</v>
      </c>
      <c r="AL316" s="27">
        <f t="shared" si="74"/>
        <v>139.79216106672223</v>
      </c>
      <c r="AM316" s="27">
        <f t="shared" si="74"/>
        <v>140.01549409297075</v>
      </c>
      <c r="AN316" s="27">
        <f t="shared" si="74"/>
        <v>140.14745576644822</v>
      </c>
      <c r="AO316" s="27">
        <f t="shared" si="74"/>
        <v>140.28832645422361</v>
      </c>
      <c r="AP316" s="27">
        <f t="shared" si="74"/>
        <v>140.44113174726405</v>
      </c>
      <c r="AQ316" s="27">
        <f t="shared" si="74"/>
        <v>140.60572391526784</v>
      </c>
      <c r="AR316" s="27">
        <f t="shared" si="74"/>
        <v>140.78209954735451</v>
      </c>
      <c r="AS316" s="27">
        <f t="shared" si="74"/>
        <v>140.86211694361444</v>
      </c>
      <c r="AT316" s="27">
        <f t="shared" si="74"/>
        <v>140.91368286545006</v>
      </c>
      <c r="AU316" s="27">
        <f t="shared" si="74"/>
        <v>140.97020886145611</v>
      </c>
      <c r="AV316" s="27">
        <f t="shared" si="74"/>
        <v>141.02991546858686</v>
      </c>
      <c r="AW316" s="27">
        <f t="shared" si="74"/>
        <v>141.09605506808808</v>
      </c>
      <c r="AY316" s="79"/>
    </row>
    <row r="317" spans="1:51" x14ac:dyDescent="0.3">
      <c r="A317" s="95" t="str">
        <f t="shared" si="71"/>
        <v>GS Sheep</v>
      </c>
      <c r="B317" s="95" t="s">
        <v>1021</v>
      </c>
      <c r="C317" s="95" t="s">
        <v>152</v>
      </c>
      <c r="D317" t="s">
        <v>15</v>
      </c>
      <c r="E317" t="s">
        <v>16</v>
      </c>
      <c r="F317" t="s">
        <v>18</v>
      </c>
      <c r="G317" t="s">
        <v>123</v>
      </c>
      <c r="H317" t="s">
        <v>1020</v>
      </c>
      <c r="I317" t="s">
        <v>121</v>
      </c>
      <c r="J317" t="s">
        <v>286</v>
      </c>
      <c r="K317" s="27">
        <f t="shared" si="72"/>
        <v>14.369321450610597</v>
      </c>
      <c r="L317" s="27">
        <f t="shared" ref="L317:AW317" si="75">L1386</f>
        <v>14.377090896995487</v>
      </c>
      <c r="M317" s="27">
        <f t="shared" si="75"/>
        <v>14.395667351818489</v>
      </c>
      <c r="N317" s="27">
        <f t="shared" si="75"/>
        <v>14.423058483363512</v>
      </c>
      <c r="O317" s="27">
        <f t="shared" si="75"/>
        <v>14.459090229360317</v>
      </c>
      <c r="P317" s="27">
        <f t="shared" si="75"/>
        <v>14.503382109482045</v>
      </c>
      <c r="Q317" s="27">
        <f t="shared" si="75"/>
        <v>14.553127936528831</v>
      </c>
      <c r="R317" s="27">
        <f t="shared" si="75"/>
        <v>14.608013647578019</v>
      </c>
      <c r="S317" s="27">
        <f t="shared" si="75"/>
        <v>14.658203608567563</v>
      </c>
      <c r="T317" s="27">
        <f t="shared" si="75"/>
        <v>14.680258292506014</v>
      </c>
      <c r="U317" s="27">
        <f t="shared" si="75"/>
        <v>14.707191799651872</v>
      </c>
      <c r="V317" s="27">
        <f t="shared" si="75"/>
        <v>14.735501017996329</v>
      </c>
      <c r="W317" s="27">
        <f t="shared" si="75"/>
        <v>14.767284159313563</v>
      </c>
      <c r="X317" s="27">
        <f t="shared" si="75"/>
        <v>14.802452293745619</v>
      </c>
      <c r="Y317" s="27">
        <f t="shared" si="75"/>
        <v>14.824415679113581</v>
      </c>
      <c r="Z317" s="27">
        <f t="shared" si="75"/>
        <v>14.849228736936167</v>
      </c>
      <c r="AA317" s="27">
        <f t="shared" si="75"/>
        <v>14.876556187765189</v>
      </c>
      <c r="AB317" s="27">
        <f t="shared" si="75"/>
        <v>14.906473172471083</v>
      </c>
      <c r="AC317" s="27">
        <f t="shared" si="75"/>
        <v>14.938670902800874</v>
      </c>
      <c r="AD317" s="27">
        <f t="shared" si="75"/>
        <v>14.960269632083405</v>
      </c>
      <c r="AE317" s="27">
        <f t="shared" si="75"/>
        <v>14.983717506658669</v>
      </c>
      <c r="AF317" s="27">
        <f t="shared" si="75"/>
        <v>15.009203009035685</v>
      </c>
      <c r="AG317" s="27">
        <f t="shared" si="75"/>
        <v>15.036974918826434</v>
      </c>
      <c r="AH317" s="27">
        <f t="shared" si="75"/>
        <v>15.066199302334384</v>
      </c>
      <c r="AI317" s="27">
        <f t="shared" si="75"/>
        <v>15.084879435358006</v>
      </c>
      <c r="AJ317" s="27">
        <f t="shared" si="75"/>
        <v>15.105340412639743</v>
      </c>
      <c r="AK317" s="27">
        <f t="shared" si="75"/>
        <v>15.126907388415511</v>
      </c>
      <c r="AL317" s="27">
        <f t="shared" si="75"/>
        <v>15.14980996512972</v>
      </c>
      <c r="AM317" s="27">
        <f t="shared" si="75"/>
        <v>15.174013417460552</v>
      </c>
      <c r="AN317" s="27">
        <f t="shared" si="75"/>
        <v>15.188314607603177</v>
      </c>
      <c r="AO317" s="27">
        <f t="shared" si="75"/>
        <v>15.203581301623565</v>
      </c>
      <c r="AP317" s="27">
        <f t="shared" si="75"/>
        <v>15.220141394360979</v>
      </c>
      <c r="AQ317" s="27">
        <f t="shared" si="75"/>
        <v>15.237978875718865</v>
      </c>
      <c r="AR317" s="27">
        <f t="shared" si="75"/>
        <v>15.25709337604709</v>
      </c>
      <c r="AS317" s="27">
        <f t="shared" si="75"/>
        <v>15.265765166639579</v>
      </c>
      <c r="AT317" s="27">
        <f t="shared" si="75"/>
        <v>15.271353562373108</v>
      </c>
      <c r="AU317" s="27">
        <f t="shared" si="75"/>
        <v>15.277479500272968</v>
      </c>
      <c r="AV317" s="27">
        <f t="shared" si="75"/>
        <v>15.283950133138154</v>
      </c>
      <c r="AW317" s="27">
        <f t="shared" si="75"/>
        <v>15.291117933935899</v>
      </c>
      <c r="AY317" s="79"/>
    </row>
    <row r="318" spans="1:51" x14ac:dyDescent="0.3">
      <c r="A318" s="95" t="str">
        <f t="shared" si="71"/>
        <v>GS Goats</v>
      </c>
      <c r="B318" s="95" t="s">
        <v>1021</v>
      </c>
      <c r="C318" s="95" t="s">
        <v>153</v>
      </c>
      <c r="D318" t="s">
        <v>15</v>
      </c>
      <c r="E318" t="s">
        <v>16</v>
      </c>
      <c r="F318" t="s">
        <v>19</v>
      </c>
      <c r="G318" t="s">
        <v>122</v>
      </c>
      <c r="H318" t="s">
        <v>1020</v>
      </c>
      <c r="I318" t="s">
        <v>121</v>
      </c>
      <c r="J318" t="s">
        <v>286</v>
      </c>
      <c r="K318" s="27">
        <f t="shared" si="72"/>
        <v>15.123414197798359</v>
      </c>
      <c r="L318" s="27">
        <f t="shared" ref="L318:AW318" si="76">L1387</f>
        <v>15.162727774721576</v>
      </c>
      <c r="M318" s="27">
        <f t="shared" si="76"/>
        <v>15.216959464794312</v>
      </c>
      <c r="N318" s="27">
        <f t="shared" si="76"/>
        <v>15.283027985940228</v>
      </c>
      <c r="O318" s="27">
        <f t="shared" si="76"/>
        <v>15.360839106953575</v>
      </c>
      <c r="P318" s="27">
        <f t="shared" si="76"/>
        <v>15.449919228540612</v>
      </c>
      <c r="Q318" s="27">
        <f t="shared" si="76"/>
        <v>15.545788610572222</v>
      </c>
      <c r="R318" s="27">
        <f t="shared" si="76"/>
        <v>15.648067752449878</v>
      </c>
      <c r="S318" s="27">
        <f t="shared" si="76"/>
        <v>15.740823350999253</v>
      </c>
      <c r="T318" s="27">
        <f t="shared" si="76"/>
        <v>15.786130826260475</v>
      </c>
      <c r="U318" s="27">
        <f t="shared" si="76"/>
        <v>15.838063303157622</v>
      </c>
      <c r="V318" s="27">
        <f t="shared" si="76"/>
        <v>15.891000771686212</v>
      </c>
      <c r="W318" s="27">
        <f t="shared" si="76"/>
        <v>15.94841543311963</v>
      </c>
      <c r="X318" s="27">
        <f t="shared" si="76"/>
        <v>16.010212398342233</v>
      </c>
      <c r="Y318" s="27">
        <f t="shared" si="76"/>
        <v>16.04975975411061</v>
      </c>
      <c r="Z318" s="27">
        <f t="shared" si="76"/>
        <v>16.093026754767141</v>
      </c>
      <c r="AA318" s="27">
        <f t="shared" si="76"/>
        <v>16.139507339626743</v>
      </c>
      <c r="AB318" s="27">
        <f t="shared" si="76"/>
        <v>16.189350761403606</v>
      </c>
      <c r="AC318" s="27">
        <f t="shared" si="76"/>
        <v>16.242088999774211</v>
      </c>
      <c r="AD318" s="27">
        <f t="shared" si="76"/>
        <v>16.277259419124743</v>
      </c>
      <c r="AE318" s="27">
        <f t="shared" si="76"/>
        <v>16.31476657866423</v>
      </c>
      <c r="AF318" s="27">
        <f t="shared" si="76"/>
        <v>16.354927956284293</v>
      </c>
      <c r="AG318" s="27">
        <f t="shared" si="76"/>
        <v>16.39815145947275</v>
      </c>
      <c r="AH318" s="27">
        <f t="shared" si="76"/>
        <v>16.443131260504089</v>
      </c>
      <c r="AI318" s="27">
        <f t="shared" si="76"/>
        <v>16.470988408557865</v>
      </c>
      <c r="AJ318" s="27">
        <f t="shared" si="76"/>
        <v>16.501218486314869</v>
      </c>
      <c r="AK318" s="27">
        <f t="shared" si="76"/>
        <v>16.532770131598127</v>
      </c>
      <c r="AL318" s="27">
        <f t="shared" si="76"/>
        <v>16.566015013383382</v>
      </c>
      <c r="AM318" s="27">
        <f t="shared" si="76"/>
        <v>16.600907614824543</v>
      </c>
      <c r="AN318" s="27">
        <f t="shared" si="76"/>
        <v>16.619970797900123</v>
      </c>
      <c r="AO318" s="27">
        <f t="shared" si="76"/>
        <v>16.64023491177819</v>
      </c>
      <c r="AP318" s="27">
        <f t="shared" si="76"/>
        <v>16.662217242949243</v>
      </c>
      <c r="AQ318" s="27">
        <f t="shared" si="76"/>
        <v>16.685896797291566</v>
      </c>
      <c r="AR318" s="27">
        <f t="shared" si="76"/>
        <v>16.711276306511749</v>
      </c>
      <c r="AS318" s="27">
        <f t="shared" si="76"/>
        <v>16.720221808869553</v>
      </c>
      <c r="AT318" s="27">
        <f t="shared" si="76"/>
        <v>16.72419450850062</v>
      </c>
      <c r="AU318" s="27">
        <f t="shared" si="76"/>
        <v>16.728812799261537</v>
      </c>
      <c r="AV318" s="27">
        <f t="shared" si="76"/>
        <v>16.733784752247175</v>
      </c>
      <c r="AW318" s="27">
        <f t="shared" si="76"/>
        <v>16.739658320998576</v>
      </c>
      <c r="AY318" s="79"/>
    </row>
    <row r="319" spans="1:51" x14ac:dyDescent="0.3">
      <c r="A319" s="95" t="str">
        <f t="shared" si="71"/>
        <v>GS Goats</v>
      </c>
      <c r="B319" s="95" t="s">
        <v>1021</v>
      </c>
      <c r="C319" s="95" t="s">
        <v>153</v>
      </c>
      <c r="D319" t="s">
        <v>15</v>
      </c>
      <c r="E319" t="s">
        <v>16</v>
      </c>
      <c r="F319" t="s">
        <v>19</v>
      </c>
      <c r="G319" t="s">
        <v>123</v>
      </c>
      <c r="H319" t="s">
        <v>1020</v>
      </c>
      <c r="I319" t="s">
        <v>121</v>
      </c>
      <c r="J319" t="s">
        <v>286</v>
      </c>
      <c r="K319" s="27">
        <f t="shared" si="72"/>
        <v>22.381101687842744</v>
      </c>
      <c r="L319" s="27">
        <f t="shared" ref="L319:AW319" si="77">L1388</f>
        <v>22.439281748993185</v>
      </c>
      <c r="M319" s="27">
        <f t="shared" si="77"/>
        <v>22.519539087339325</v>
      </c>
      <c r="N319" s="27">
        <f t="shared" si="77"/>
        <v>22.617313721478975</v>
      </c>
      <c r="O319" s="27">
        <f t="shared" si="77"/>
        <v>22.73246619889365</v>
      </c>
      <c r="P319" s="27">
        <f t="shared" si="77"/>
        <v>22.864295641209328</v>
      </c>
      <c r="Q319" s="27">
        <f t="shared" si="77"/>
        <v>23.006172492556328</v>
      </c>
      <c r="R319" s="27">
        <f t="shared" si="77"/>
        <v>23.157535130977113</v>
      </c>
      <c r="S319" s="27">
        <f t="shared" si="77"/>
        <v>23.294803902175122</v>
      </c>
      <c r="T319" s="27">
        <f t="shared" si="77"/>
        <v>23.361854318025564</v>
      </c>
      <c r="U319" s="27">
        <f t="shared" si="77"/>
        <v>23.438709056719805</v>
      </c>
      <c r="V319" s="27">
        <f t="shared" si="77"/>
        <v>23.517051079938867</v>
      </c>
      <c r="W319" s="27">
        <f t="shared" si="77"/>
        <v>23.602018889396962</v>
      </c>
      <c r="X319" s="27">
        <f t="shared" si="77"/>
        <v>23.693472058936443</v>
      </c>
      <c r="Y319" s="27">
        <f t="shared" si="77"/>
        <v>23.75199808879723</v>
      </c>
      <c r="Z319" s="27">
        <f t="shared" si="77"/>
        <v>23.816028811539901</v>
      </c>
      <c r="AA319" s="27">
        <f t="shared" si="77"/>
        <v>23.884815309261068</v>
      </c>
      <c r="AB319" s="27">
        <f t="shared" si="77"/>
        <v>23.958578460667738</v>
      </c>
      <c r="AC319" s="27">
        <f t="shared" si="77"/>
        <v>24.036625643689554</v>
      </c>
      <c r="AD319" s="27">
        <f t="shared" si="77"/>
        <v>24.088674256627954</v>
      </c>
      <c r="AE319" s="27">
        <f t="shared" si="77"/>
        <v>24.144181005348596</v>
      </c>
      <c r="AF319" s="27">
        <f t="shared" si="77"/>
        <v>24.20361572456493</v>
      </c>
      <c r="AG319" s="27">
        <f t="shared" si="77"/>
        <v>24.267582075516717</v>
      </c>
      <c r="AH319" s="27">
        <f t="shared" si="77"/>
        <v>24.334147567119</v>
      </c>
      <c r="AI319" s="27">
        <f t="shared" si="77"/>
        <v>24.375373288716684</v>
      </c>
      <c r="AJ319" s="27">
        <f t="shared" si="77"/>
        <v>24.420110702865486</v>
      </c>
      <c r="AK319" s="27">
        <f t="shared" si="77"/>
        <v>24.466803901389813</v>
      </c>
      <c r="AL319" s="27">
        <f t="shared" si="77"/>
        <v>24.516002916248802</v>
      </c>
      <c r="AM319" s="27">
        <f t="shared" si="77"/>
        <v>24.567640387179249</v>
      </c>
      <c r="AN319" s="27">
        <f t="shared" si="77"/>
        <v>24.595851942673818</v>
      </c>
      <c r="AO319" s="27">
        <f t="shared" si="77"/>
        <v>24.625840752567356</v>
      </c>
      <c r="AP319" s="27">
        <f t="shared" si="77"/>
        <v>24.658372347803756</v>
      </c>
      <c r="AQ319" s="27">
        <f t="shared" si="77"/>
        <v>24.693415659236397</v>
      </c>
      <c r="AR319" s="27">
        <f t="shared" si="77"/>
        <v>24.730974729510827</v>
      </c>
      <c r="AS319" s="27">
        <f t="shared" si="77"/>
        <v>24.744213155391417</v>
      </c>
      <c r="AT319" s="27">
        <f t="shared" si="77"/>
        <v>24.750092343335041</v>
      </c>
      <c r="AU319" s="27">
        <f t="shared" si="77"/>
        <v>24.756926939927592</v>
      </c>
      <c r="AV319" s="27">
        <f t="shared" si="77"/>
        <v>24.764284920334894</v>
      </c>
      <c r="AW319" s="27">
        <f t="shared" si="77"/>
        <v>24.772977199589842</v>
      </c>
      <c r="AY319" s="79"/>
    </row>
    <row r="320" spans="1:51" x14ac:dyDescent="0.3">
      <c r="A320" s="95" t="str">
        <f t="shared" si="71"/>
        <v>GS Horses</v>
      </c>
      <c r="B320" s="95" t="s">
        <v>1021</v>
      </c>
      <c r="C320" s="95" t="s">
        <v>3</v>
      </c>
      <c r="D320" t="s">
        <v>15</v>
      </c>
      <c r="E320" t="s">
        <v>16</v>
      </c>
      <c r="F320" t="s">
        <v>20</v>
      </c>
      <c r="G320" t="s">
        <v>3</v>
      </c>
      <c r="H320" t="s">
        <v>1020</v>
      </c>
      <c r="I320" t="s">
        <v>121</v>
      </c>
      <c r="J320" t="s">
        <v>286</v>
      </c>
      <c r="K320" s="27">
        <f t="shared" si="72"/>
        <v>5.5526214800767901</v>
      </c>
      <c r="L320" s="27">
        <f t="shared" ref="L320:AW320" si="78">L1389</f>
        <v>5.5795235710196511</v>
      </c>
      <c r="M320" s="27">
        <f t="shared" si="78"/>
        <v>5.6203482259438022</v>
      </c>
      <c r="N320" s="27">
        <f t="shared" si="78"/>
        <v>5.629075655008374</v>
      </c>
      <c r="O320" s="27">
        <f t="shared" si="78"/>
        <v>5.6165815405282276</v>
      </c>
      <c r="P320" s="27">
        <f t="shared" si="78"/>
        <v>5.5833231296706103</v>
      </c>
      <c r="Q320" s="27">
        <f t="shared" si="78"/>
        <v>5.5648827699457346</v>
      </c>
      <c r="R320" s="27">
        <f t="shared" si="78"/>
        <v>5.5483103177944013</v>
      </c>
      <c r="S320" s="27">
        <f t="shared" si="78"/>
        <v>5.2311192904529218</v>
      </c>
      <c r="T320" s="27">
        <f t="shared" si="78"/>
        <v>5.2959023096135693</v>
      </c>
      <c r="U320" s="27">
        <f t="shared" si="78"/>
        <v>5.3988006154965325</v>
      </c>
      <c r="V320" s="27">
        <f t="shared" si="78"/>
        <v>5.4367829372956962</v>
      </c>
      <c r="W320" s="27">
        <f t="shared" si="78"/>
        <v>5.4819188324690939</v>
      </c>
      <c r="X320" s="27">
        <f t="shared" si="78"/>
        <v>5.5365687700280883</v>
      </c>
      <c r="Y320" s="27">
        <f t="shared" si="78"/>
        <v>5.601958980764981</v>
      </c>
      <c r="Z320" s="27">
        <f t="shared" si="78"/>
        <v>5.6746319691397513</v>
      </c>
      <c r="AA320" s="27">
        <f t="shared" si="78"/>
        <v>5.7481685306176677</v>
      </c>
      <c r="AB320" s="27">
        <f t="shared" si="78"/>
        <v>5.8282774259733703</v>
      </c>
      <c r="AC320" s="27">
        <f t="shared" si="78"/>
        <v>5.9086647601730373</v>
      </c>
      <c r="AD320" s="27">
        <f t="shared" si="78"/>
        <v>6.0051030471917946</v>
      </c>
      <c r="AE320" s="27">
        <f t="shared" si="78"/>
        <v>6.0980124130473197</v>
      </c>
      <c r="AF320" s="27">
        <f t="shared" si="78"/>
        <v>6.195439489414623</v>
      </c>
      <c r="AG320" s="27">
        <f t="shared" si="78"/>
        <v>6.3068676222722697</v>
      </c>
      <c r="AH320" s="27">
        <f t="shared" si="78"/>
        <v>6.4095401663804648</v>
      </c>
      <c r="AI320" s="27">
        <f t="shared" si="78"/>
        <v>6.5228948238532292</v>
      </c>
      <c r="AJ320" s="27">
        <f t="shared" si="78"/>
        <v>6.6437484965413081</v>
      </c>
      <c r="AK320" s="27">
        <f t="shared" si="78"/>
        <v>6.7539654911689828</v>
      </c>
      <c r="AL320" s="27">
        <f t="shared" si="78"/>
        <v>6.8618111039503944</v>
      </c>
      <c r="AM320" s="27">
        <f t="shared" si="78"/>
        <v>6.9676727679478478</v>
      </c>
      <c r="AN320" s="27">
        <f t="shared" si="78"/>
        <v>7.0885986695240639</v>
      </c>
      <c r="AO320" s="27">
        <f t="shared" si="78"/>
        <v>7.202615789032512</v>
      </c>
      <c r="AP320" s="27">
        <f t="shared" si="78"/>
        <v>7.3203542233012309</v>
      </c>
      <c r="AQ320" s="27">
        <f t="shared" si="78"/>
        <v>7.4423988374450394</v>
      </c>
      <c r="AR320" s="27">
        <f t="shared" si="78"/>
        <v>7.5697005662835739</v>
      </c>
      <c r="AS320" s="27">
        <f t="shared" si="78"/>
        <v>7.7079925213190776</v>
      </c>
      <c r="AT320" s="27">
        <f t="shared" si="78"/>
        <v>7.7309775584942866</v>
      </c>
      <c r="AU320" s="27">
        <f t="shared" si="78"/>
        <v>7.7430605044202654</v>
      </c>
      <c r="AV320" s="27">
        <f t="shared" si="78"/>
        <v>7.7396666487885506</v>
      </c>
      <c r="AW320" s="27">
        <f t="shared" si="78"/>
        <v>7.7316472006042485</v>
      </c>
      <c r="AY320" s="79"/>
    </row>
    <row r="321" spans="1:51" x14ac:dyDescent="0.3">
      <c r="A321" s="95" t="str">
        <f t="shared" si="71"/>
        <v>GS Mules&amp;Asses</v>
      </c>
      <c r="B321" s="95" t="s">
        <v>1021</v>
      </c>
      <c r="C321" s="95" t="s">
        <v>1323</v>
      </c>
      <c r="D321" t="s">
        <v>15</v>
      </c>
      <c r="E321" t="s">
        <v>16</v>
      </c>
      <c r="F321" t="s">
        <v>140</v>
      </c>
      <c r="G321" t="s">
        <v>124</v>
      </c>
      <c r="H321" t="s">
        <v>1020</v>
      </c>
      <c r="I321" t="s">
        <v>121</v>
      </c>
      <c r="J321" t="s">
        <v>286</v>
      </c>
      <c r="K321" s="27">
        <f t="shared" si="72"/>
        <v>1.67</v>
      </c>
      <c r="L321" s="27">
        <f t="shared" ref="L321:AW321" si="79">L1390</f>
        <v>1.67</v>
      </c>
      <c r="M321" s="27">
        <f t="shared" si="79"/>
        <v>1.67</v>
      </c>
      <c r="N321" s="27">
        <f t="shared" si="79"/>
        <v>1.67</v>
      </c>
      <c r="O321" s="27">
        <f t="shared" si="79"/>
        <v>1.67</v>
      </c>
      <c r="P321" s="27">
        <f t="shared" si="79"/>
        <v>1.67</v>
      </c>
      <c r="Q321" s="27">
        <f t="shared" si="79"/>
        <v>1.67</v>
      </c>
      <c r="R321" s="27">
        <f t="shared" si="79"/>
        <v>1.67</v>
      </c>
      <c r="S321" s="27">
        <f t="shared" si="79"/>
        <v>1.67</v>
      </c>
      <c r="T321" s="27">
        <f t="shared" si="79"/>
        <v>1.67</v>
      </c>
      <c r="U321" s="27">
        <f t="shared" si="79"/>
        <v>1.67</v>
      </c>
      <c r="V321" s="27">
        <f t="shared" si="79"/>
        <v>1.67</v>
      </c>
      <c r="W321" s="27">
        <f t="shared" si="79"/>
        <v>1.67</v>
      </c>
      <c r="X321" s="27">
        <f t="shared" si="79"/>
        <v>1.67</v>
      </c>
      <c r="Y321" s="27">
        <f t="shared" si="79"/>
        <v>1.67</v>
      </c>
      <c r="Z321" s="27">
        <f t="shared" si="79"/>
        <v>1.67</v>
      </c>
      <c r="AA321" s="27">
        <f t="shared" si="79"/>
        <v>1.67</v>
      </c>
      <c r="AB321" s="27">
        <f t="shared" si="79"/>
        <v>1.67</v>
      </c>
      <c r="AC321" s="27">
        <f t="shared" si="79"/>
        <v>1.67</v>
      </c>
      <c r="AD321" s="27">
        <f t="shared" si="79"/>
        <v>1.67</v>
      </c>
      <c r="AE321" s="27">
        <f t="shared" si="79"/>
        <v>1.67</v>
      </c>
      <c r="AF321" s="27">
        <f t="shared" si="79"/>
        <v>1.67</v>
      </c>
      <c r="AG321" s="27">
        <f t="shared" si="79"/>
        <v>1.67</v>
      </c>
      <c r="AH321" s="27">
        <f t="shared" si="79"/>
        <v>1.67</v>
      </c>
      <c r="AI321" s="27">
        <f t="shared" si="79"/>
        <v>1.67</v>
      </c>
      <c r="AJ321" s="27">
        <f t="shared" si="79"/>
        <v>1.67</v>
      </c>
      <c r="AK321" s="27">
        <f t="shared" si="79"/>
        <v>1.67</v>
      </c>
      <c r="AL321" s="27">
        <f t="shared" si="79"/>
        <v>1.67</v>
      </c>
      <c r="AM321" s="27">
        <f t="shared" si="79"/>
        <v>1.67</v>
      </c>
      <c r="AN321" s="27">
        <f t="shared" si="79"/>
        <v>1.67</v>
      </c>
      <c r="AO321" s="27">
        <f t="shared" si="79"/>
        <v>1.67</v>
      </c>
      <c r="AP321" s="27">
        <f t="shared" si="79"/>
        <v>1.67</v>
      </c>
      <c r="AQ321" s="27">
        <f t="shared" si="79"/>
        <v>1.67</v>
      </c>
      <c r="AR321" s="27">
        <f t="shared" si="79"/>
        <v>1.67</v>
      </c>
      <c r="AS321" s="27">
        <f t="shared" si="79"/>
        <v>1.67</v>
      </c>
      <c r="AT321" s="27">
        <f t="shared" si="79"/>
        <v>1.67</v>
      </c>
      <c r="AU321" s="27">
        <f t="shared" si="79"/>
        <v>1.67</v>
      </c>
      <c r="AV321" s="27">
        <f t="shared" si="79"/>
        <v>1.67</v>
      </c>
      <c r="AW321" s="27">
        <f t="shared" si="79"/>
        <v>1.67</v>
      </c>
      <c r="AY321" s="79"/>
    </row>
    <row r="322" spans="1:51" x14ac:dyDescent="0.3">
      <c r="A322" s="95" t="str">
        <f t="shared" si="71"/>
        <v>GS Swine</v>
      </c>
      <c r="B322" s="95" t="s">
        <v>1021</v>
      </c>
      <c r="C322" s="95" t="s">
        <v>155</v>
      </c>
      <c r="D322" t="s">
        <v>15</v>
      </c>
      <c r="E322" t="s">
        <v>16</v>
      </c>
      <c r="F322" t="s">
        <v>21</v>
      </c>
      <c r="G322" t="s">
        <v>122</v>
      </c>
      <c r="H322" t="s">
        <v>1020</v>
      </c>
      <c r="I322" t="s">
        <v>121</v>
      </c>
      <c r="J322" t="s">
        <v>286</v>
      </c>
      <c r="K322" s="27">
        <f t="shared" si="72"/>
        <v>1.8400999552016302</v>
      </c>
      <c r="L322" s="27">
        <f t="shared" ref="L322:AW322" si="80">L1391</f>
        <v>1.8300977880312246</v>
      </c>
      <c r="M322" s="27">
        <f t="shared" si="80"/>
        <v>1.8309187348828151</v>
      </c>
      <c r="N322" s="27">
        <f t="shared" si="80"/>
        <v>1.8141094978660448</v>
      </c>
      <c r="O322" s="27">
        <f t="shared" si="80"/>
        <v>1.7866561368117295</v>
      </c>
      <c r="P322" s="27">
        <f t="shared" si="80"/>
        <v>1.7489975228040078</v>
      </c>
      <c r="Q322" s="27">
        <f t="shared" si="80"/>
        <v>1.721653192801009</v>
      </c>
      <c r="R322" s="27">
        <f t="shared" si="80"/>
        <v>1.6967284692901872</v>
      </c>
      <c r="S322" s="27">
        <f t="shared" si="80"/>
        <v>1.4981262376638635</v>
      </c>
      <c r="T322" s="27">
        <f t="shared" si="80"/>
        <v>1.5170710584409277</v>
      </c>
      <c r="U322" s="27">
        <f t="shared" si="80"/>
        <v>1.5577229248664515</v>
      </c>
      <c r="V322" s="27">
        <f t="shared" si="80"/>
        <v>1.561413903145964</v>
      </c>
      <c r="W322" s="27">
        <f t="shared" si="80"/>
        <v>1.5694069216965754</v>
      </c>
      <c r="X322" s="27">
        <f t="shared" si="80"/>
        <v>1.5828459974443794</v>
      </c>
      <c r="Y322" s="27">
        <f t="shared" si="80"/>
        <v>1.5997093513071265</v>
      </c>
      <c r="Z322" s="27">
        <f t="shared" si="80"/>
        <v>1.6203739618637112</v>
      </c>
      <c r="AA322" s="27">
        <f t="shared" si="80"/>
        <v>1.6412802243411935</v>
      </c>
      <c r="AB322" s="27">
        <f t="shared" si="80"/>
        <v>1.6654174874794287</v>
      </c>
      <c r="AC322" s="27">
        <f t="shared" si="80"/>
        <v>1.6893881557889758</v>
      </c>
      <c r="AD322" s="27">
        <f t="shared" si="80"/>
        <v>1.7191899551215701</v>
      </c>
      <c r="AE322" s="27">
        <f t="shared" si="80"/>
        <v>1.7466246880722003</v>
      </c>
      <c r="AF322" s="27">
        <f t="shared" si="80"/>
        <v>1.7758174373307805</v>
      </c>
      <c r="AG322" s="27">
        <f t="shared" si="80"/>
        <v>1.8114287830343814</v>
      </c>
      <c r="AH322" s="27">
        <f t="shared" si="80"/>
        <v>1.8420072235043694</v>
      </c>
      <c r="AI322" s="27">
        <f t="shared" si="80"/>
        <v>1.8750119445784728</v>
      </c>
      <c r="AJ322" s="27">
        <f t="shared" si="80"/>
        <v>1.9108329767517882</v>
      </c>
      <c r="AK322" s="27">
        <f t="shared" si="80"/>
        <v>1.940715836653381</v>
      </c>
      <c r="AL322" s="27">
        <f t="shared" si="80"/>
        <v>1.9687395447209077</v>
      </c>
      <c r="AM322" s="27">
        <f t="shared" si="80"/>
        <v>1.9951301179393999</v>
      </c>
      <c r="AN322" s="27">
        <f t="shared" si="80"/>
        <v>2.0256022791934827</v>
      </c>
      <c r="AO322" s="27">
        <f t="shared" si="80"/>
        <v>2.0520329509348483</v>
      </c>
      <c r="AP322" s="27">
        <f t="shared" si="80"/>
        <v>2.0793161183803317</v>
      </c>
      <c r="AQ322" s="27">
        <f t="shared" si="80"/>
        <v>2.1076575721978217</v>
      </c>
      <c r="AR322" s="27">
        <f t="shared" si="80"/>
        <v>2.1374119347182106</v>
      </c>
      <c r="AS322" s="27">
        <f t="shared" si="80"/>
        <v>2.1686559884141765</v>
      </c>
      <c r="AT322" s="27">
        <f t="shared" si="80"/>
        <v>2.149643552660391</v>
      </c>
      <c r="AU322" s="27">
        <f t="shared" si="80"/>
        <v>2.1262374260968961</v>
      </c>
      <c r="AV322" s="27">
        <f t="shared" si="80"/>
        <v>2.0967029621040374</v>
      </c>
      <c r="AW322" s="27">
        <f t="shared" si="80"/>
        <v>2.0657200323386067</v>
      </c>
      <c r="AY322" s="79"/>
    </row>
    <row r="323" spans="1:51" x14ac:dyDescent="0.3">
      <c r="A323" s="95" t="str">
        <f t="shared" si="71"/>
        <v>GS Swine</v>
      </c>
      <c r="B323" s="95" t="s">
        <v>1021</v>
      </c>
      <c r="C323" s="95" t="s">
        <v>155</v>
      </c>
      <c r="D323" t="s">
        <v>15</v>
      </c>
      <c r="E323" t="s">
        <v>16</v>
      </c>
      <c r="F323" t="s">
        <v>21</v>
      </c>
      <c r="G323" t="s">
        <v>123</v>
      </c>
      <c r="H323" t="s">
        <v>1020</v>
      </c>
      <c r="I323" t="s">
        <v>121</v>
      </c>
      <c r="J323" t="s">
        <v>286</v>
      </c>
      <c r="K323" s="27">
        <f t="shared" si="72"/>
        <v>0.25496723934882604</v>
      </c>
      <c r="L323" s="27">
        <f t="shared" ref="L323:AW323" si="81">L1392</f>
        <v>0.25358132281546886</v>
      </c>
      <c r="M323" s="27">
        <f t="shared" si="81"/>
        <v>0.25369507454499335</v>
      </c>
      <c r="N323" s="27">
        <f t="shared" si="81"/>
        <v>0.25136595935447842</v>
      </c>
      <c r="O323" s="27">
        <f t="shared" si="81"/>
        <v>0.247561977044127</v>
      </c>
      <c r="P323" s="27">
        <f t="shared" si="81"/>
        <v>0.24234393830437836</v>
      </c>
      <c r="Q323" s="27">
        <f t="shared" si="81"/>
        <v>0.23855506351363695</v>
      </c>
      <c r="R323" s="27">
        <f t="shared" si="81"/>
        <v>0.23510145332951485</v>
      </c>
      <c r="S323" s="27">
        <f t="shared" si="81"/>
        <v>0.2075828054521873</v>
      </c>
      <c r="T323" s="27">
        <f t="shared" si="81"/>
        <v>0.21020783059814849</v>
      </c>
      <c r="U323" s="27">
        <f t="shared" si="81"/>
        <v>0.21584061925595663</v>
      </c>
      <c r="V323" s="27">
        <f t="shared" si="81"/>
        <v>0.21635204720298934</v>
      </c>
      <c r="W323" s="27">
        <f t="shared" si="81"/>
        <v>0.21745957283938341</v>
      </c>
      <c r="X323" s="27">
        <f t="shared" si="81"/>
        <v>0.21932171300906883</v>
      </c>
      <c r="Y323" s="27">
        <f t="shared" si="81"/>
        <v>0.22165832671768446</v>
      </c>
      <c r="Z323" s="27">
        <f t="shared" si="81"/>
        <v>0.22452164872958766</v>
      </c>
      <c r="AA323" s="27">
        <f t="shared" si="81"/>
        <v>0.22741845442425518</v>
      </c>
      <c r="AB323" s="27">
        <f t="shared" si="81"/>
        <v>0.23076295281978809</v>
      </c>
      <c r="AC323" s="27">
        <f t="shared" si="81"/>
        <v>0.23408436756519632</v>
      </c>
      <c r="AD323" s="27">
        <f t="shared" si="81"/>
        <v>0.23821375329882435</v>
      </c>
      <c r="AE323" s="27">
        <f t="shared" si="81"/>
        <v>0.24201515446886457</v>
      </c>
      <c r="AF323" s="27">
        <f t="shared" si="81"/>
        <v>0.24606014923473155</v>
      </c>
      <c r="AG323" s="27">
        <f t="shared" si="81"/>
        <v>0.2509945151521249</v>
      </c>
      <c r="AH323" s="27">
        <f t="shared" si="81"/>
        <v>0.25523151354353607</v>
      </c>
      <c r="AI323" s="27">
        <f t="shared" si="81"/>
        <v>0.25980470131736011</v>
      </c>
      <c r="AJ323" s="27">
        <f t="shared" si="81"/>
        <v>0.26476812173266839</v>
      </c>
      <c r="AK323" s="27">
        <f t="shared" si="81"/>
        <v>0.26890873935043363</v>
      </c>
      <c r="AL323" s="27">
        <f t="shared" si="81"/>
        <v>0.27279174986956156</v>
      </c>
      <c r="AM323" s="27">
        <f t="shared" si="81"/>
        <v>0.27644847057070121</v>
      </c>
      <c r="AN323" s="27">
        <f t="shared" si="81"/>
        <v>0.28067074274128789</v>
      </c>
      <c r="AO323" s="27">
        <f t="shared" si="81"/>
        <v>0.28433301955890389</v>
      </c>
      <c r="AP323" s="27">
        <f t="shared" si="81"/>
        <v>0.28811341956630698</v>
      </c>
      <c r="AQ323" s="27">
        <f t="shared" si="81"/>
        <v>0.29204045745278195</v>
      </c>
      <c r="AR323" s="27">
        <f t="shared" si="81"/>
        <v>0.29616327026464162</v>
      </c>
      <c r="AS323" s="27">
        <f t="shared" si="81"/>
        <v>0.30049249710604664</v>
      </c>
      <c r="AT323" s="27">
        <f t="shared" si="81"/>
        <v>0.2978581031190588</v>
      </c>
      <c r="AU323" s="27">
        <f t="shared" si="81"/>
        <v>0.29461491219517799</v>
      </c>
      <c r="AV323" s="27">
        <f t="shared" si="81"/>
        <v>0.2905225688805555</v>
      </c>
      <c r="AW323" s="27">
        <f t="shared" si="81"/>
        <v>0.28622952379520583</v>
      </c>
      <c r="AY323" s="79"/>
    </row>
    <row r="324" spans="1:51" x14ac:dyDescent="0.3">
      <c r="A324" s="95" t="str">
        <f t="shared" si="71"/>
        <v>GS Cattle MMCH4</v>
      </c>
      <c r="B324" s="95" t="s">
        <v>1021</v>
      </c>
      <c r="C324" s="95" t="s">
        <v>1229</v>
      </c>
      <c r="D324" t="s">
        <v>15</v>
      </c>
      <c r="E324" t="s">
        <v>22</v>
      </c>
      <c r="F324" t="s">
        <v>6</v>
      </c>
      <c r="G324" t="s">
        <v>136</v>
      </c>
      <c r="H324" t="s">
        <v>1227</v>
      </c>
      <c r="I324" t="s">
        <v>121</v>
      </c>
      <c r="J324" t="s">
        <v>286</v>
      </c>
      <c r="K324" s="27">
        <f>K1393</f>
        <v>7.351330651107908</v>
      </c>
      <c r="L324" s="27">
        <f t="shared" ref="L324:AW331" si="82">L1393</f>
        <v>7.392428348789597</v>
      </c>
      <c r="M324" s="27">
        <f t="shared" si="82"/>
        <v>7.4507389435191715</v>
      </c>
      <c r="N324" s="27">
        <f t="shared" si="82"/>
        <v>7.4882097119910753</v>
      </c>
      <c r="O324" s="27">
        <f t="shared" si="82"/>
        <v>7.5131092090175429</v>
      </c>
      <c r="P324" s="27">
        <f t="shared" si="82"/>
        <v>7.5251923679492405</v>
      </c>
      <c r="Q324" s="27">
        <f t="shared" si="82"/>
        <v>7.5518885629203734</v>
      </c>
      <c r="R324" s="27">
        <f t="shared" si="82"/>
        <v>7.5825135825669046</v>
      </c>
      <c r="S324" s="27">
        <f t="shared" si="82"/>
        <v>7.3545862604907306</v>
      </c>
      <c r="T324" s="27">
        <f t="shared" si="82"/>
        <v>7.4319206101094348</v>
      </c>
      <c r="U324" s="27">
        <f t="shared" si="82"/>
        <v>7.5451176350008202</v>
      </c>
      <c r="V324" s="27">
        <f t="shared" si="82"/>
        <v>7.6037903760515064</v>
      </c>
      <c r="W324" s="27">
        <f t="shared" si="82"/>
        <v>7.6708455087945229</v>
      </c>
      <c r="X324" s="27">
        <f t="shared" si="82"/>
        <v>7.748454799455617</v>
      </c>
      <c r="Y324" s="27">
        <f t="shared" si="82"/>
        <v>7.8277085285324004</v>
      </c>
      <c r="Z324" s="27">
        <f t="shared" si="82"/>
        <v>7.9154321855609755</v>
      </c>
      <c r="AA324" s="27">
        <f t="shared" si="82"/>
        <v>8.0058732816474745</v>
      </c>
      <c r="AB324" s="27">
        <f t="shared" si="82"/>
        <v>8.10422418278708</v>
      </c>
      <c r="AC324" s="27">
        <f t="shared" si="82"/>
        <v>8.2047936963570631</v>
      </c>
      <c r="AD324" s="27">
        <f t="shared" si="82"/>
        <v>8.3134419507553705</v>
      </c>
      <c r="AE324" s="27">
        <f t="shared" si="82"/>
        <v>8.4206197210713736</v>
      </c>
      <c r="AF324" s="27">
        <f t="shared" si="82"/>
        <v>8.5337450585207524</v>
      </c>
      <c r="AG324" s="27">
        <f t="shared" si="82"/>
        <v>8.6617085162438627</v>
      </c>
      <c r="AH324" s="27">
        <f t="shared" si="82"/>
        <v>8.7833723342601697</v>
      </c>
      <c r="AI324" s="27">
        <f t="shared" si="82"/>
        <v>8.9081379352092647</v>
      </c>
      <c r="AJ324" s="27">
        <f t="shared" si="82"/>
        <v>9.0415690981618067</v>
      </c>
      <c r="AK324" s="27">
        <f t="shared" si="82"/>
        <v>9.1665780174046034</v>
      </c>
      <c r="AL324" s="27">
        <f t="shared" si="82"/>
        <v>9.290908547616274</v>
      </c>
      <c r="AM324" s="27">
        <f t="shared" si="82"/>
        <v>9.414906513410104</v>
      </c>
      <c r="AN324" s="27">
        <f t="shared" si="82"/>
        <v>9.5460926435688069</v>
      </c>
      <c r="AO324" s="27">
        <f t="shared" si="82"/>
        <v>9.6720022033758184</v>
      </c>
      <c r="AP324" s="27">
        <f t="shared" si="82"/>
        <v>9.8028010066851721</v>
      </c>
      <c r="AQ324" s="27">
        <f t="shared" si="82"/>
        <v>9.939085602989195</v>
      </c>
      <c r="AR324" s="27">
        <f t="shared" si="82"/>
        <v>10.081815307121353</v>
      </c>
      <c r="AS324" s="27">
        <f t="shared" si="82"/>
        <v>10.227069711733948</v>
      </c>
      <c r="AT324" s="27">
        <f t="shared" si="82"/>
        <v>10.261508370245586</v>
      </c>
      <c r="AU324" s="27">
        <f t="shared" si="82"/>
        <v>10.28601825816002</v>
      </c>
      <c r="AV324" s="27">
        <f t="shared" si="82"/>
        <v>10.296060407046117</v>
      </c>
      <c r="AW324" s="27">
        <f t="shared" si="82"/>
        <v>10.302124127636974</v>
      </c>
      <c r="AY324" s="79"/>
    </row>
    <row r="325" spans="1:51" x14ac:dyDescent="0.3">
      <c r="A325" s="95" t="str">
        <f t="shared" si="71"/>
        <v>GS Cattle MMCH4</v>
      </c>
      <c r="B325" s="95" t="s">
        <v>1021</v>
      </c>
      <c r="C325" s="95" t="s">
        <v>1229</v>
      </c>
      <c r="D325" t="s">
        <v>15</v>
      </c>
      <c r="E325" t="s">
        <v>22</v>
      </c>
      <c r="F325" t="s">
        <v>6</v>
      </c>
      <c r="G325" t="s">
        <v>137</v>
      </c>
      <c r="H325" t="s">
        <v>1227</v>
      </c>
      <c r="I325" t="s">
        <v>121</v>
      </c>
      <c r="J325" t="s">
        <v>286</v>
      </c>
      <c r="K325" s="27">
        <f t="shared" ref="K325:Z359" si="83">K1394</f>
        <v>2.0944490884992821</v>
      </c>
      <c r="L325" s="27">
        <f t="shared" si="83"/>
        <v>2.1061581299686467</v>
      </c>
      <c r="M325" s="27">
        <f t="shared" si="83"/>
        <v>2.1227712545548472</v>
      </c>
      <c r="N325" s="27">
        <f t="shared" si="83"/>
        <v>2.1334469567638776</v>
      </c>
      <c r="O325" s="27">
        <f t="shared" si="83"/>
        <v>2.1405410097083357</v>
      </c>
      <c r="P325" s="27">
        <f t="shared" si="83"/>
        <v>2.143983592066792</v>
      </c>
      <c r="Q325" s="27">
        <f t="shared" si="83"/>
        <v>2.151589537694508</v>
      </c>
      <c r="R325" s="27">
        <f t="shared" si="83"/>
        <v>2.1603148348588084</v>
      </c>
      <c r="S325" s="27">
        <f t="shared" si="83"/>
        <v>2.0953766359635408</v>
      </c>
      <c r="T325" s="27">
        <f t="shared" si="83"/>
        <v>2.117409770610283</v>
      </c>
      <c r="U325" s="27">
        <f t="shared" si="83"/>
        <v>2.149660449685487</v>
      </c>
      <c r="V325" s="27">
        <f t="shared" si="83"/>
        <v>2.1663767524673299</v>
      </c>
      <c r="W325" s="27">
        <f t="shared" si="83"/>
        <v>2.1854812613403793</v>
      </c>
      <c r="X325" s="27">
        <f t="shared" si="83"/>
        <v>2.207592728746584</v>
      </c>
      <c r="Y325" s="27">
        <f t="shared" si="83"/>
        <v>2.23017270895738</v>
      </c>
      <c r="Z325" s="27">
        <f t="shared" si="83"/>
        <v>2.2551658349944512</v>
      </c>
      <c r="AA325" s="27">
        <f t="shared" si="82"/>
        <v>2.2809331797448467</v>
      </c>
      <c r="AB325" s="27">
        <f t="shared" si="82"/>
        <v>2.3089540871181105</v>
      </c>
      <c r="AC325" s="27">
        <f t="shared" si="82"/>
        <v>2.3376070937674198</v>
      </c>
      <c r="AD325" s="27">
        <f t="shared" si="82"/>
        <v>2.3685617941055517</v>
      </c>
      <c r="AE325" s="27">
        <f t="shared" si="82"/>
        <v>2.3990975425298058</v>
      </c>
      <c r="AF325" s="27">
        <f t="shared" si="82"/>
        <v>2.4313277973165794</v>
      </c>
      <c r="AG325" s="27">
        <f t="shared" si="82"/>
        <v>2.4677855435545331</v>
      </c>
      <c r="AH325" s="27">
        <f t="shared" si="82"/>
        <v>2.5024484753203891</v>
      </c>
      <c r="AI325" s="27">
        <f t="shared" si="82"/>
        <v>2.5379951282443072</v>
      </c>
      <c r="AJ325" s="27">
        <f t="shared" si="82"/>
        <v>2.5760106645991079</v>
      </c>
      <c r="AK325" s="27">
        <f t="shared" si="82"/>
        <v>2.6116266407248583</v>
      </c>
      <c r="AL325" s="27">
        <f t="shared" si="82"/>
        <v>2.6470493387414713</v>
      </c>
      <c r="AM325" s="27">
        <f t="shared" si="82"/>
        <v>2.6823772866679478</v>
      </c>
      <c r="AN325" s="27">
        <f t="shared" si="82"/>
        <v>2.719753196387535</v>
      </c>
      <c r="AO325" s="27">
        <f t="shared" si="82"/>
        <v>2.755625771746582</v>
      </c>
      <c r="AP325" s="27">
        <f t="shared" si="82"/>
        <v>2.792891329149688</v>
      </c>
      <c r="AQ325" s="27">
        <f t="shared" si="82"/>
        <v>2.8317198300092477</v>
      </c>
      <c r="AR325" s="27">
        <f t="shared" si="82"/>
        <v>2.8723845902967362</v>
      </c>
      <c r="AS325" s="27">
        <f t="shared" si="82"/>
        <v>2.9137686566351899</v>
      </c>
      <c r="AT325" s="27">
        <f t="shared" si="82"/>
        <v>2.9235804880371647</v>
      </c>
      <c r="AU325" s="27">
        <f t="shared" si="82"/>
        <v>2.9305635384314317</v>
      </c>
      <c r="AV325" s="27">
        <f t="shared" si="82"/>
        <v>2.9334246217616835</v>
      </c>
      <c r="AW325" s="27">
        <f t="shared" si="82"/>
        <v>2.9351522211130368</v>
      </c>
      <c r="AY325" s="79"/>
    </row>
    <row r="326" spans="1:51" x14ac:dyDescent="0.3">
      <c r="A326" s="95" t="str">
        <f t="shared" si="71"/>
        <v>GS Cattle MMCH4</v>
      </c>
      <c r="B326" s="95" t="s">
        <v>1021</v>
      </c>
      <c r="C326" s="95" t="s">
        <v>1229</v>
      </c>
      <c r="D326" t="s">
        <v>15</v>
      </c>
      <c r="E326" t="s">
        <v>22</v>
      </c>
      <c r="F326" t="s">
        <v>67</v>
      </c>
      <c r="G326" t="s">
        <v>307</v>
      </c>
      <c r="H326" t="s">
        <v>1227</v>
      </c>
      <c r="I326" t="s">
        <v>121</v>
      </c>
      <c r="J326" t="s">
        <v>286</v>
      </c>
      <c r="K326" s="27">
        <f t="shared" si="83"/>
        <v>0.43258377187145641</v>
      </c>
      <c r="L326" s="27">
        <f t="shared" si="82"/>
        <v>0.43500213637199736</v>
      </c>
      <c r="M326" s="27">
        <f t="shared" si="82"/>
        <v>0.43843338143569016</v>
      </c>
      <c r="N326" s="27">
        <f t="shared" si="82"/>
        <v>0.44063832189202168</v>
      </c>
      <c r="O326" s="27">
        <f t="shared" si="82"/>
        <v>0.44210351490980387</v>
      </c>
      <c r="P326" s="27">
        <f t="shared" si="82"/>
        <v>0.44281453971808232</v>
      </c>
      <c r="Q326" s="27">
        <f t="shared" si="82"/>
        <v>0.44438545813589125</v>
      </c>
      <c r="R326" s="27">
        <f t="shared" si="82"/>
        <v>0.44618756541973886</v>
      </c>
      <c r="S326" s="27">
        <f t="shared" si="82"/>
        <v>0.43277534586715866</v>
      </c>
      <c r="T326" s="27">
        <f t="shared" si="82"/>
        <v>0.4373260301229735</v>
      </c>
      <c r="U326" s="27">
        <f t="shared" si="82"/>
        <v>0.44398702774586812</v>
      </c>
      <c r="V326" s="27">
        <f t="shared" si="82"/>
        <v>0.44743958304970527</v>
      </c>
      <c r="W326" s="27">
        <f t="shared" si="82"/>
        <v>0.45138539417179691</v>
      </c>
      <c r="X326" s="27">
        <f t="shared" si="82"/>
        <v>0.45595225713576731</v>
      </c>
      <c r="Y326" s="27">
        <f t="shared" si="82"/>
        <v>0.46061588589714619</v>
      </c>
      <c r="Z326" s="27">
        <f t="shared" si="82"/>
        <v>0.46577792148509239</v>
      </c>
      <c r="AA326" s="27">
        <f t="shared" si="82"/>
        <v>0.47109986282252775</v>
      </c>
      <c r="AB326" s="27">
        <f t="shared" si="82"/>
        <v>0.47688725095688084</v>
      </c>
      <c r="AC326" s="27">
        <f t="shared" si="82"/>
        <v>0.48280519174612069</v>
      </c>
      <c r="AD326" s="27">
        <f t="shared" si="82"/>
        <v>0.48919852023662819</v>
      </c>
      <c r="AE326" s="27">
        <f t="shared" si="82"/>
        <v>0.4955053191475276</v>
      </c>
      <c r="AF326" s="27">
        <f t="shared" si="82"/>
        <v>0.50216209837438885</v>
      </c>
      <c r="AG326" s="27">
        <f t="shared" si="82"/>
        <v>0.50969201613087478</v>
      </c>
      <c r="AH326" s="27">
        <f t="shared" si="82"/>
        <v>0.51685123611370132</v>
      </c>
      <c r="AI326" s="27">
        <f t="shared" si="82"/>
        <v>0.52419297828526779</v>
      </c>
      <c r="AJ326" s="27">
        <f t="shared" si="82"/>
        <v>0.53204463922865186</v>
      </c>
      <c r="AK326" s="27">
        <f t="shared" si="82"/>
        <v>0.53940069929044132</v>
      </c>
      <c r="AL326" s="27">
        <f t="shared" si="82"/>
        <v>0.54671684003696541</v>
      </c>
      <c r="AM326" s="27">
        <f t="shared" si="82"/>
        <v>0.55401341126919512</v>
      </c>
      <c r="AN326" s="27">
        <f t="shared" si="82"/>
        <v>0.56173296487038149</v>
      </c>
      <c r="AO326" s="27">
        <f t="shared" si="82"/>
        <v>0.56914202247926249</v>
      </c>
      <c r="AP326" s="27">
        <f t="shared" si="82"/>
        <v>0.57683878411020695</v>
      </c>
      <c r="AQ326" s="27">
        <f t="shared" si="82"/>
        <v>0.58485835328960278</v>
      </c>
      <c r="AR326" s="27">
        <f t="shared" si="82"/>
        <v>0.59325718020977147</v>
      </c>
      <c r="AS326" s="27">
        <f t="shared" si="82"/>
        <v>0.60180457131627674</v>
      </c>
      <c r="AT326" s="27">
        <f t="shared" si="82"/>
        <v>0.60383108943989172</v>
      </c>
      <c r="AU326" s="27">
        <f t="shared" si="82"/>
        <v>0.60527335618932376</v>
      </c>
      <c r="AV326" s="27">
        <f t="shared" si="82"/>
        <v>0.60586427922747954</v>
      </c>
      <c r="AW326" s="27">
        <f t="shared" si="82"/>
        <v>0.60622109451021655</v>
      </c>
      <c r="AY326" s="79"/>
    </row>
    <row r="327" spans="1:51" x14ac:dyDescent="0.3">
      <c r="A327" s="95" t="str">
        <f t="shared" si="71"/>
        <v>GS Cattle MMCH4</v>
      </c>
      <c r="B327" s="95" t="s">
        <v>1021</v>
      </c>
      <c r="C327" s="95" t="s">
        <v>1229</v>
      </c>
      <c r="D327" t="s">
        <v>15</v>
      </c>
      <c r="E327" t="s">
        <v>22</v>
      </c>
      <c r="F327" t="s">
        <v>67</v>
      </c>
      <c r="G327" t="s">
        <v>122</v>
      </c>
      <c r="H327" t="s">
        <v>1227</v>
      </c>
      <c r="I327" t="s">
        <v>121</v>
      </c>
      <c r="J327" t="s">
        <v>286</v>
      </c>
      <c r="K327" s="27">
        <f t="shared" si="83"/>
        <v>9.4871637196006553E-2</v>
      </c>
      <c r="L327" s="27">
        <f t="shared" si="82"/>
        <v>9.404884578461549E-2</v>
      </c>
      <c r="M327" s="27">
        <f t="shared" si="82"/>
        <v>9.3735634002294246E-2</v>
      </c>
      <c r="N327" s="27">
        <f t="shared" si="82"/>
        <v>9.2483917307495084E-2</v>
      </c>
      <c r="O327" s="27">
        <f t="shared" si="82"/>
        <v>9.0667019955957343E-2</v>
      </c>
      <c r="P327" s="27">
        <f t="shared" si="82"/>
        <v>8.8322512540543865E-2</v>
      </c>
      <c r="Q327" s="27">
        <f t="shared" si="82"/>
        <v>8.6473330972337892E-2</v>
      </c>
      <c r="R327" s="27">
        <f t="shared" si="82"/>
        <v>8.4723794986300283E-2</v>
      </c>
      <c r="S327" s="27">
        <f t="shared" si="82"/>
        <v>7.4532240818123416E-2</v>
      </c>
      <c r="T327" s="27">
        <f t="shared" si="82"/>
        <v>7.5742869009566477E-2</v>
      </c>
      <c r="U327" s="27">
        <f t="shared" si="82"/>
        <v>7.8001334092155483E-2</v>
      </c>
      <c r="V327" s="27">
        <f t="shared" si="82"/>
        <v>7.8452375655366738E-2</v>
      </c>
      <c r="W327" s="27">
        <f t="shared" si="82"/>
        <v>7.9102907310080586E-2</v>
      </c>
      <c r="X327" s="27">
        <f t="shared" si="82"/>
        <v>8.0010413317847237E-2</v>
      </c>
      <c r="Y327" s="27">
        <f t="shared" si="82"/>
        <v>8.1051364115397456E-2</v>
      </c>
      <c r="Z327" s="27">
        <f t="shared" si="82"/>
        <v>8.2271824268517132E-2</v>
      </c>
      <c r="AA327" s="27">
        <f t="shared" si="82"/>
        <v>8.3497913456907769E-2</v>
      </c>
      <c r="AB327" s="27">
        <f t="shared" si="82"/>
        <v>8.4876885462998888E-2</v>
      </c>
      <c r="AC327" s="27">
        <f t="shared" si="82"/>
        <v>8.6242172681273321E-2</v>
      </c>
      <c r="AD327" s="27">
        <f t="shared" si="82"/>
        <v>8.7131524640671032E-2</v>
      </c>
      <c r="AE327" s="27">
        <f t="shared" si="82"/>
        <v>8.7861744576890749E-2</v>
      </c>
      <c r="AF327" s="27">
        <f t="shared" si="82"/>
        <v>8.863318056494178E-2</v>
      </c>
      <c r="AG327" s="27">
        <f t="shared" si="82"/>
        <v>8.9665353249555477E-2</v>
      </c>
      <c r="AH327" s="27">
        <f t="shared" si="82"/>
        <v>9.0407657135718758E-2</v>
      </c>
      <c r="AI327" s="27">
        <f t="shared" si="82"/>
        <v>9.1198770165766427E-2</v>
      </c>
      <c r="AJ327" s="27">
        <f t="shared" si="82"/>
        <v>9.2069621900880569E-2</v>
      </c>
      <c r="AK327" s="27">
        <f t="shared" si="82"/>
        <v>9.2612278465111636E-2</v>
      </c>
      <c r="AL327" s="27">
        <f t="shared" si="82"/>
        <v>9.3019389326395155E-2</v>
      </c>
      <c r="AM327" s="27">
        <f t="shared" si="82"/>
        <v>9.3302561003725443E-2</v>
      </c>
      <c r="AN327" s="27">
        <f t="shared" si="82"/>
        <v>9.4182866906307741E-2</v>
      </c>
      <c r="AO327" s="27">
        <f t="shared" si="82"/>
        <v>9.4852010834144421E-2</v>
      </c>
      <c r="AP327" s="27">
        <f t="shared" si="82"/>
        <v>9.5529601297703756E-2</v>
      </c>
      <c r="AQ327" s="27">
        <f t="shared" si="82"/>
        <v>9.6223389625578193E-2</v>
      </c>
      <c r="AR327" s="27">
        <f t="shared" si="82"/>
        <v>9.6947366282069555E-2</v>
      </c>
      <c r="AS327" s="27">
        <f t="shared" si="82"/>
        <v>9.7690698003963641E-2</v>
      </c>
      <c r="AT327" s="27">
        <f t="shared" si="82"/>
        <v>9.6224389596631696E-2</v>
      </c>
      <c r="AU327" s="27">
        <f t="shared" si="82"/>
        <v>9.4563308773857144E-2</v>
      </c>
      <c r="AV327" s="27">
        <f t="shared" si="82"/>
        <v>9.2637583282449518E-2</v>
      </c>
      <c r="AW327" s="27">
        <f t="shared" si="82"/>
        <v>9.065150695451285E-2</v>
      </c>
      <c r="AY327" s="79"/>
    </row>
    <row r="328" spans="1:51" x14ac:dyDescent="0.3">
      <c r="A328" s="95" t="str">
        <f t="shared" si="71"/>
        <v>GS Cattle MMCH4</v>
      </c>
      <c r="B328" s="95" t="s">
        <v>1021</v>
      </c>
      <c r="C328" s="95" t="s">
        <v>1229</v>
      </c>
      <c r="D328" t="s">
        <v>15</v>
      </c>
      <c r="E328" t="s">
        <v>22</v>
      </c>
      <c r="F328" t="s">
        <v>67</v>
      </c>
      <c r="G328" t="s">
        <v>123</v>
      </c>
      <c r="H328" t="s">
        <v>1227</v>
      </c>
      <c r="I328" t="s">
        <v>121</v>
      </c>
      <c r="J328" t="s">
        <v>286</v>
      </c>
      <c r="K328" s="27">
        <f t="shared" si="83"/>
        <v>6.9689449734106304E-2</v>
      </c>
      <c r="L328" s="27">
        <f t="shared" si="82"/>
        <v>6.9085055392440989E-2</v>
      </c>
      <c r="M328" s="27">
        <f t="shared" si="82"/>
        <v>6.8854980763127793E-2</v>
      </c>
      <c r="N328" s="27">
        <f t="shared" si="82"/>
        <v>6.7935512624264269E-2</v>
      </c>
      <c r="O328" s="27">
        <f t="shared" si="82"/>
        <v>6.660088216573827E-2</v>
      </c>
      <c r="P328" s="27">
        <f t="shared" si="82"/>
        <v>6.4878687456057696E-2</v>
      </c>
      <c r="Q328" s="27">
        <f t="shared" si="82"/>
        <v>6.3520342119606069E-2</v>
      </c>
      <c r="R328" s="27">
        <f t="shared" si="82"/>
        <v>6.2235193009075998E-2</v>
      </c>
      <c r="S328" s="27">
        <f t="shared" si="82"/>
        <v>5.4748826979066356E-2</v>
      </c>
      <c r="T328" s="27">
        <f t="shared" si="82"/>
        <v>5.5638112913069561E-2</v>
      </c>
      <c r="U328" s="27">
        <f t="shared" si="82"/>
        <v>5.7297103877082825E-2</v>
      </c>
      <c r="V328" s="27">
        <f t="shared" si="82"/>
        <v>5.7628423534637221E-2</v>
      </c>
      <c r="W328" s="27">
        <f t="shared" si="82"/>
        <v>5.8106281769105768E-2</v>
      </c>
      <c r="X328" s="27">
        <f t="shared" si="82"/>
        <v>5.8772904546796331E-2</v>
      </c>
      <c r="Y328" s="27">
        <f t="shared" si="82"/>
        <v>5.9537551288705921E-2</v>
      </c>
      <c r="Z328" s="27">
        <f t="shared" si="82"/>
        <v>6.0434059444432087E-2</v>
      </c>
      <c r="AA328" s="27">
        <f t="shared" si="82"/>
        <v>6.1334702496341778E-2</v>
      </c>
      <c r="AB328" s="27">
        <f t="shared" si="82"/>
        <v>6.2347648020879123E-2</v>
      </c>
      <c r="AC328" s="27">
        <f t="shared" si="82"/>
        <v>6.3350541169797603E-2</v>
      </c>
      <c r="AD328" s="27">
        <f t="shared" si="82"/>
        <v>6.4003828606403412E-2</v>
      </c>
      <c r="AE328" s="27">
        <f t="shared" si="82"/>
        <v>6.4540223118441709E-2</v>
      </c>
      <c r="AF328" s="27">
        <f t="shared" si="82"/>
        <v>6.5106893528074167E-2</v>
      </c>
      <c r="AG328" s="27">
        <f t="shared" si="82"/>
        <v>6.5865092169388781E-2</v>
      </c>
      <c r="AH328" s="27">
        <f t="shared" si="82"/>
        <v>6.641036313646749E-2</v>
      </c>
      <c r="AI328" s="27">
        <f t="shared" si="82"/>
        <v>6.6991487626051227E-2</v>
      </c>
      <c r="AJ328" s="27">
        <f t="shared" si="82"/>
        <v>6.7631185432622337E-2</v>
      </c>
      <c r="AK328" s="27">
        <f t="shared" si="82"/>
        <v>6.8029802326707703E-2</v>
      </c>
      <c r="AL328" s="27">
        <f t="shared" si="82"/>
        <v>6.832885199784397E-2</v>
      </c>
      <c r="AM328" s="27">
        <f t="shared" si="82"/>
        <v>6.8536860196676486E-2</v>
      </c>
      <c r="AN328" s="27">
        <f t="shared" si="82"/>
        <v>6.9183502710306752E-2</v>
      </c>
      <c r="AO328" s="27">
        <f t="shared" si="82"/>
        <v>6.9675032882043061E-2</v>
      </c>
      <c r="AP328" s="27">
        <f t="shared" si="82"/>
        <v>7.0172767589129104E-2</v>
      </c>
      <c r="AQ328" s="27">
        <f t="shared" si="82"/>
        <v>7.0682400691608652E-2</v>
      </c>
      <c r="AR328" s="27">
        <f t="shared" si="82"/>
        <v>7.1214209104559126E-2</v>
      </c>
      <c r="AS328" s="27">
        <f t="shared" si="82"/>
        <v>7.1760235084501689E-2</v>
      </c>
      <c r="AT328" s="27">
        <f t="shared" si="82"/>
        <v>7.0683135236036573E-2</v>
      </c>
      <c r="AU328" s="27">
        <f t="shared" si="82"/>
        <v>6.9462962253632216E-2</v>
      </c>
      <c r="AV328" s="27">
        <f t="shared" si="82"/>
        <v>6.8048390377341353E-2</v>
      </c>
      <c r="AW328" s="27">
        <f t="shared" si="82"/>
        <v>6.658948684711255E-2</v>
      </c>
      <c r="AY328" s="79"/>
    </row>
    <row r="329" spans="1:51" x14ac:dyDescent="0.3">
      <c r="A329" s="95" t="str">
        <f t="shared" si="71"/>
        <v>GS Cattle MMCH4</v>
      </c>
      <c r="B329" s="95" t="s">
        <v>1021</v>
      </c>
      <c r="C329" s="95" t="s">
        <v>1229</v>
      </c>
      <c r="D329" t="s">
        <v>15</v>
      </c>
      <c r="E329" t="s">
        <v>22</v>
      </c>
      <c r="F329" t="s">
        <v>67</v>
      </c>
      <c r="G329" t="s">
        <v>135</v>
      </c>
      <c r="H329" t="s">
        <v>1227</v>
      </c>
      <c r="I329" t="s">
        <v>121</v>
      </c>
      <c r="J329" t="s">
        <v>286</v>
      </c>
      <c r="K329" s="27">
        <f t="shared" si="83"/>
        <v>0.47107022937833831</v>
      </c>
      <c r="L329" s="27">
        <f t="shared" si="82"/>
        <v>0.48695387967725939</v>
      </c>
      <c r="M329" s="27">
        <f t="shared" si="82"/>
        <v>0.50580611066616787</v>
      </c>
      <c r="N329" s="27">
        <f t="shared" si="82"/>
        <v>0.51986569055899412</v>
      </c>
      <c r="O329" s="27">
        <f t="shared" si="82"/>
        <v>0.5307082628613855</v>
      </c>
      <c r="P329" s="27">
        <f t="shared" si="82"/>
        <v>0.53817886796858128</v>
      </c>
      <c r="Q329" s="27">
        <f t="shared" si="82"/>
        <v>0.54837935702304741</v>
      </c>
      <c r="R329" s="27">
        <f t="shared" si="82"/>
        <v>0.55907244781022658</v>
      </c>
      <c r="S329" s="27">
        <f t="shared" si="82"/>
        <v>0.5116979963243764</v>
      </c>
      <c r="T329" s="27">
        <f t="shared" si="82"/>
        <v>0.53253794371544794</v>
      </c>
      <c r="U329" s="27">
        <f t="shared" si="82"/>
        <v>0.56144831136588025</v>
      </c>
      <c r="V329" s="27">
        <f t="shared" si="82"/>
        <v>0.57794253443008525</v>
      </c>
      <c r="W329" s="27">
        <f t="shared" si="82"/>
        <v>0.59624482437454274</v>
      </c>
      <c r="X329" s="27">
        <f t="shared" si="82"/>
        <v>0.61691451225743765</v>
      </c>
      <c r="Y329" s="27">
        <f t="shared" si="82"/>
        <v>0.63912634684399761</v>
      </c>
      <c r="Z329" s="27">
        <f t="shared" si="82"/>
        <v>0.66333849990898774</v>
      </c>
      <c r="AA329" s="27">
        <f t="shared" si="82"/>
        <v>0.68823157042214766</v>
      </c>
      <c r="AB329" s="27">
        <f t="shared" si="82"/>
        <v>0.71506797281834467</v>
      </c>
      <c r="AC329" s="27">
        <f t="shared" si="82"/>
        <v>0.74251772868278199</v>
      </c>
      <c r="AD329" s="27">
        <f t="shared" si="82"/>
        <v>0.7750525944257971</v>
      </c>
      <c r="AE329" s="27">
        <f t="shared" si="82"/>
        <v>0.80751598640792854</v>
      </c>
      <c r="AF329" s="27">
        <f t="shared" si="82"/>
        <v>0.84174152680537817</v>
      </c>
      <c r="AG329" s="27">
        <f t="shared" si="82"/>
        <v>0.88000003569074847</v>
      </c>
      <c r="AH329" s="27">
        <f t="shared" si="82"/>
        <v>0.91704807287784318</v>
      </c>
      <c r="AI329" s="27">
        <f t="shared" si="82"/>
        <v>0.95623961354371867</v>
      </c>
      <c r="AJ329" s="27">
        <f t="shared" si="82"/>
        <v>0.99805792050769693</v>
      </c>
      <c r="AK329" s="27">
        <f t="shared" si="82"/>
        <v>1.0381239689146564</v>
      </c>
      <c r="AL329" s="27">
        <f t="shared" si="82"/>
        <v>1.0784102253675423</v>
      </c>
      <c r="AM329" s="27">
        <f t="shared" si="82"/>
        <v>1.1190041069207182</v>
      </c>
      <c r="AN329" s="27">
        <f t="shared" si="82"/>
        <v>1.1614327193697984</v>
      </c>
      <c r="AO329" s="27">
        <f t="shared" si="82"/>
        <v>1.2028013950684227</v>
      </c>
      <c r="AP329" s="27">
        <f t="shared" si="82"/>
        <v>1.2458253070355789</v>
      </c>
      <c r="AQ329" s="27">
        <f t="shared" si="82"/>
        <v>1.2906949248380046</v>
      </c>
      <c r="AR329" s="27">
        <f t="shared" si="82"/>
        <v>1.3377043131160224</v>
      </c>
      <c r="AS329" s="27">
        <f t="shared" si="82"/>
        <v>1.3868240533486631</v>
      </c>
      <c r="AT329" s="27">
        <f t="shared" si="82"/>
        <v>1.4056131138026084</v>
      </c>
      <c r="AU329" s="27">
        <f t="shared" si="82"/>
        <v>1.4216407980502102</v>
      </c>
      <c r="AV329" s="27">
        <f t="shared" si="82"/>
        <v>1.4335765692204958</v>
      </c>
      <c r="AW329" s="27">
        <f t="shared" si="82"/>
        <v>1.4443117800465477</v>
      </c>
      <c r="AY329" s="79"/>
    </row>
    <row r="330" spans="1:51" x14ac:dyDescent="0.3">
      <c r="A330" s="95" t="str">
        <f t="shared" si="71"/>
        <v>GS Sheep MMCH4</v>
      </c>
      <c r="B330" s="95" t="s">
        <v>1021</v>
      </c>
      <c r="C330" s="95" t="s">
        <v>1324</v>
      </c>
      <c r="D330" t="s">
        <v>15</v>
      </c>
      <c r="E330" t="s">
        <v>22</v>
      </c>
      <c r="F330" t="s">
        <v>18</v>
      </c>
      <c r="G330" t="s">
        <v>122</v>
      </c>
      <c r="H330" t="s">
        <v>1227</v>
      </c>
      <c r="I330" t="s">
        <v>121</v>
      </c>
      <c r="J330" t="s">
        <v>286</v>
      </c>
      <c r="K330" s="27">
        <f t="shared" si="83"/>
        <v>3.6054675351507588E-2</v>
      </c>
      <c r="L330" s="27">
        <f t="shared" si="82"/>
        <v>3.6074169999743479E-2</v>
      </c>
      <c r="M330" s="27">
        <f t="shared" si="82"/>
        <v>3.6120780972302438E-2</v>
      </c>
      <c r="N330" s="27">
        <f t="shared" si="82"/>
        <v>3.6189509224973292E-2</v>
      </c>
      <c r="O330" s="27">
        <f t="shared" si="82"/>
        <v>3.6279918010713667E-2</v>
      </c>
      <c r="P330" s="27">
        <f t="shared" si="82"/>
        <v>3.6391052650159628E-2</v>
      </c>
      <c r="Q330" s="27">
        <f t="shared" si="82"/>
        <v>3.6515872019705298E-2</v>
      </c>
      <c r="R330" s="27">
        <f t="shared" si="82"/>
        <v>3.6653588090719266E-2</v>
      </c>
      <c r="S330" s="27">
        <f t="shared" si="82"/>
        <v>3.6779521855622693E-2</v>
      </c>
      <c r="T330" s="27">
        <f t="shared" si="82"/>
        <v>3.6834860200729257E-2</v>
      </c>
      <c r="U330" s="27">
        <f t="shared" si="82"/>
        <v>3.6902440208564632E-2</v>
      </c>
      <c r="V330" s="27">
        <f t="shared" si="82"/>
        <v>3.697347207185564E-2</v>
      </c>
      <c r="W330" s="27">
        <f t="shared" si="82"/>
        <v>3.7053220502968609E-2</v>
      </c>
      <c r="X330" s="27">
        <f t="shared" si="82"/>
        <v>3.714146236421613E-2</v>
      </c>
      <c r="Y330" s="27">
        <f t="shared" si="82"/>
        <v>3.7196571628197998E-2</v>
      </c>
      <c r="Z330" s="27">
        <f t="shared" si="82"/>
        <v>3.7258831126487216E-2</v>
      </c>
      <c r="AA330" s="27">
        <f t="shared" si="82"/>
        <v>3.7327399595166219E-2</v>
      </c>
      <c r="AB330" s="27">
        <f t="shared" si="82"/>
        <v>3.7402465573387562E-2</v>
      </c>
      <c r="AC330" s="27">
        <f t="shared" si="82"/>
        <v>3.7483254267417832E-2</v>
      </c>
      <c r="AD330" s="27">
        <f t="shared" si="82"/>
        <v>3.7537448557312683E-2</v>
      </c>
      <c r="AE330" s="27">
        <f t="shared" si="82"/>
        <v>3.759628261627642E-2</v>
      </c>
      <c r="AF330" s="27">
        <f t="shared" si="82"/>
        <v>3.7660229373785575E-2</v>
      </c>
      <c r="AG330" s="27">
        <f t="shared" si="82"/>
        <v>3.7729913053341259E-2</v>
      </c>
      <c r="AH330" s="27">
        <f t="shared" si="82"/>
        <v>3.7803241196451468E-2</v>
      </c>
      <c r="AI330" s="27">
        <f t="shared" si="82"/>
        <v>3.7850112312391396E-2</v>
      </c>
      <c r="AJ330" s="27">
        <f t="shared" si="82"/>
        <v>3.7901451820370476E-2</v>
      </c>
      <c r="AK330" s="27">
        <f t="shared" si="82"/>
        <v>3.7955566436191537E-2</v>
      </c>
      <c r="AL330" s="27">
        <f t="shared" si="82"/>
        <v>3.8013032265109208E-2</v>
      </c>
      <c r="AM330" s="27">
        <f t="shared" si="82"/>
        <v>3.8073762176342195E-2</v>
      </c>
      <c r="AN330" s="27">
        <f t="shared" si="82"/>
        <v>3.8109645900532299E-2</v>
      </c>
      <c r="AO330" s="27">
        <f t="shared" si="82"/>
        <v>3.8147952211549679E-2</v>
      </c>
      <c r="AP330" s="27">
        <f t="shared" si="82"/>
        <v>3.8189503844275732E-2</v>
      </c>
      <c r="AQ330" s="27">
        <f t="shared" si="82"/>
        <v>3.8234260627096527E-2</v>
      </c>
      <c r="AR330" s="27">
        <f t="shared" si="82"/>
        <v>3.8282221632507191E-2</v>
      </c>
      <c r="AS330" s="27">
        <f t="shared" si="82"/>
        <v>3.8303980390956796E-2</v>
      </c>
      <c r="AT330" s="27">
        <f t="shared" si="82"/>
        <v>3.8318002472277804E-2</v>
      </c>
      <c r="AU330" s="27">
        <f t="shared" si="82"/>
        <v>3.8333373323501507E-2</v>
      </c>
      <c r="AV330" s="27">
        <f t="shared" si="82"/>
        <v>3.8349609063517129E-2</v>
      </c>
      <c r="AW330" s="27">
        <f t="shared" si="82"/>
        <v>3.8367594097231859E-2</v>
      </c>
      <c r="AY330" s="79"/>
    </row>
    <row r="331" spans="1:51" x14ac:dyDescent="0.3">
      <c r="A331" s="95" t="str">
        <f t="shared" si="71"/>
        <v>GS Sheep MMCH4</v>
      </c>
      <c r="B331" s="95" t="s">
        <v>1021</v>
      </c>
      <c r="C331" s="95" t="s">
        <v>1324</v>
      </c>
      <c r="D331" t="s">
        <v>15</v>
      </c>
      <c r="E331" t="s">
        <v>22</v>
      </c>
      <c r="F331" t="s">
        <v>18</v>
      </c>
      <c r="G331" t="s">
        <v>123</v>
      </c>
      <c r="H331" t="s">
        <v>1227</v>
      </c>
      <c r="I331" t="s">
        <v>121</v>
      </c>
      <c r="J331" t="s">
        <v>286</v>
      </c>
      <c r="K331" s="27">
        <f t="shared" si="83"/>
        <v>4.1176157807460215E-3</v>
      </c>
      <c r="L331" s="27">
        <f t="shared" si="82"/>
        <v>4.1198421624963379E-3</v>
      </c>
      <c r="M331" s="27">
        <f t="shared" si="82"/>
        <v>4.1251653577350569E-3</v>
      </c>
      <c r="N331" s="27">
        <f t="shared" si="82"/>
        <v>4.1330144517851795E-3</v>
      </c>
      <c r="O331" s="27">
        <f t="shared" si="82"/>
        <v>4.1433395660526989E-3</v>
      </c>
      <c r="P331" s="27">
        <f t="shared" ref="L331:AW337" si="84">P1400</f>
        <v>4.1560316716037502E-3</v>
      </c>
      <c r="Q331" s="27">
        <f t="shared" si="84"/>
        <v>4.1702866385608306E-3</v>
      </c>
      <c r="R331" s="27">
        <f t="shared" si="84"/>
        <v>4.1860144702980757E-3</v>
      </c>
      <c r="S331" s="27">
        <f t="shared" si="84"/>
        <v>4.2003967065168081E-3</v>
      </c>
      <c r="T331" s="27">
        <f t="shared" si="84"/>
        <v>4.2067166092997236E-3</v>
      </c>
      <c r="U331" s="27">
        <f t="shared" si="84"/>
        <v>4.2144345683164958E-3</v>
      </c>
      <c r="V331" s="27">
        <f t="shared" si="84"/>
        <v>4.2225467456796619E-3</v>
      </c>
      <c r="W331" s="27">
        <f t="shared" si="84"/>
        <v>4.2316543966358575E-3</v>
      </c>
      <c r="X331" s="27">
        <f t="shared" si="84"/>
        <v>4.2417320377975895E-3</v>
      </c>
      <c r="Y331" s="27">
        <f t="shared" si="84"/>
        <v>4.2480257784241436E-3</v>
      </c>
      <c r="Z331" s="27">
        <f t="shared" si="84"/>
        <v>4.2551361098903872E-3</v>
      </c>
      <c r="AA331" s="27">
        <f t="shared" si="84"/>
        <v>4.2629669558470248E-3</v>
      </c>
      <c r="AB331" s="27">
        <f t="shared" si="84"/>
        <v>4.2715398483639559E-3</v>
      </c>
      <c r="AC331" s="27">
        <f t="shared" si="84"/>
        <v>4.2807663023037507E-3</v>
      </c>
      <c r="AD331" s="27">
        <f t="shared" si="84"/>
        <v>4.2869555485283185E-3</v>
      </c>
      <c r="AE331" s="27">
        <f t="shared" si="84"/>
        <v>4.2936746784961411E-3</v>
      </c>
      <c r="AF331" s="27">
        <f t="shared" si="84"/>
        <v>4.3009777030076704E-3</v>
      </c>
      <c r="AG331" s="27">
        <f t="shared" si="84"/>
        <v>4.3089359113621063E-3</v>
      </c>
      <c r="AH331" s="27">
        <f t="shared" si="84"/>
        <v>4.3173103348259087E-3</v>
      </c>
      <c r="AI331" s="27">
        <f t="shared" si="84"/>
        <v>4.3226632396787153E-3</v>
      </c>
      <c r="AJ331" s="27">
        <f t="shared" si="84"/>
        <v>4.3285264562011056E-3</v>
      </c>
      <c r="AK331" s="27">
        <f t="shared" si="84"/>
        <v>4.3347066032666795E-3</v>
      </c>
      <c r="AL331" s="27">
        <f t="shared" si="84"/>
        <v>4.3412694748415342E-3</v>
      </c>
      <c r="AM331" s="27">
        <f t="shared" si="84"/>
        <v>4.3482051201751372E-3</v>
      </c>
      <c r="AN331" s="27">
        <f t="shared" si="84"/>
        <v>4.3523032125184075E-3</v>
      </c>
      <c r="AO331" s="27">
        <f t="shared" si="84"/>
        <v>4.3566779758246795E-3</v>
      </c>
      <c r="AP331" s="27">
        <f t="shared" si="84"/>
        <v>4.361423370338997E-3</v>
      </c>
      <c r="AQ331" s="27">
        <f t="shared" si="84"/>
        <v>4.3665348082715704E-3</v>
      </c>
      <c r="AR331" s="27">
        <f t="shared" si="84"/>
        <v>4.3720121836969238E-3</v>
      </c>
      <c r="AS331" s="27">
        <f t="shared" si="84"/>
        <v>4.3744971376255895E-3</v>
      </c>
      <c r="AT331" s="27">
        <f t="shared" si="84"/>
        <v>4.3760985261490854E-3</v>
      </c>
      <c r="AU331" s="27">
        <f t="shared" si="84"/>
        <v>4.3778539506244196E-3</v>
      </c>
      <c r="AV331" s="27">
        <f t="shared" si="84"/>
        <v>4.3797081495223055E-3</v>
      </c>
      <c r="AW331" s="27">
        <f t="shared" si="84"/>
        <v>4.381762126098687E-3</v>
      </c>
      <c r="AY331" s="79"/>
    </row>
    <row r="332" spans="1:51" x14ac:dyDescent="0.3">
      <c r="A332" s="95" t="str">
        <f t="shared" si="71"/>
        <v>GS Goats MMCH4</v>
      </c>
      <c r="B332" s="95" t="s">
        <v>1021</v>
      </c>
      <c r="C332" s="95" t="s">
        <v>1325</v>
      </c>
      <c r="D332" t="s">
        <v>15</v>
      </c>
      <c r="E332" t="s">
        <v>22</v>
      </c>
      <c r="F332" t="s">
        <v>19</v>
      </c>
      <c r="G332" t="s">
        <v>122</v>
      </c>
      <c r="H332" t="s">
        <v>1227</v>
      </c>
      <c r="I332" t="s">
        <v>121</v>
      </c>
      <c r="J332" t="s">
        <v>286</v>
      </c>
      <c r="K332" s="27">
        <f t="shared" si="83"/>
        <v>1.5789672763163301E-2</v>
      </c>
      <c r="L332" s="27">
        <f t="shared" si="84"/>
        <v>1.5830718290757027E-2</v>
      </c>
      <c r="M332" s="27">
        <f t="shared" si="84"/>
        <v>1.588733914557475E-2</v>
      </c>
      <c r="N332" s="27">
        <f t="shared" si="84"/>
        <v>1.5956318300360577E-2</v>
      </c>
      <c r="O332" s="27">
        <f t="shared" si="84"/>
        <v>1.6037557372574476E-2</v>
      </c>
      <c r="P332" s="27">
        <f t="shared" si="84"/>
        <v>1.6130561898613765E-2</v>
      </c>
      <c r="Q332" s="27">
        <f t="shared" si="84"/>
        <v>1.6230654784419023E-2</v>
      </c>
      <c r="R332" s="27">
        <f t="shared" si="84"/>
        <v>1.6337439810579345E-2</v>
      </c>
      <c r="S332" s="27">
        <f t="shared" si="84"/>
        <v>1.6434281735880792E-2</v>
      </c>
      <c r="T332" s="27">
        <f t="shared" si="84"/>
        <v>1.6481585221637597E-2</v>
      </c>
      <c r="U332" s="27">
        <f t="shared" si="84"/>
        <v>1.6535805571967339E-2</v>
      </c>
      <c r="V332" s="27">
        <f t="shared" si="84"/>
        <v>1.6591075188605784E-2</v>
      </c>
      <c r="W332" s="27">
        <f t="shared" si="84"/>
        <v>1.6651019239861981E-2</v>
      </c>
      <c r="X332" s="27">
        <f t="shared" si="84"/>
        <v>1.6715538656301921E-2</v>
      </c>
      <c r="Y332" s="27">
        <f t="shared" si="84"/>
        <v>1.675682826181454E-2</v>
      </c>
      <c r="Z332" s="27">
        <f t="shared" si="84"/>
        <v>1.6802001380323034E-2</v>
      </c>
      <c r="AA332" s="27">
        <f t="shared" si="84"/>
        <v>1.6850529656754189E-2</v>
      </c>
      <c r="AB332" s="27">
        <f t="shared" si="84"/>
        <v>1.6902568919116488E-2</v>
      </c>
      <c r="AC332" s="27">
        <f t="shared" si="84"/>
        <v>1.6957630528557751E-2</v>
      </c>
      <c r="AD332" s="27">
        <f t="shared" si="84"/>
        <v>1.6994350372716287E-2</v>
      </c>
      <c r="AE332" s="27">
        <f t="shared" si="84"/>
        <v>1.7033509901620177E-2</v>
      </c>
      <c r="AF332" s="27">
        <f t="shared" si="84"/>
        <v>1.7075440579577206E-2</v>
      </c>
      <c r="AG332" s="27">
        <f t="shared" si="84"/>
        <v>1.7120568284346587E-2</v>
      </c>
      <c r="AH332" s="27">
        <f t="shared" si="84"/>
        <v>1.7167529660259997E-2</v>
      </c>
      <c r="AI332" s="27">
        <f t="shared" si="84"/>
        <v>1.7196614048621731E-2</v>
      </c>
      <c r="AJ332" s="27">
        <f t="shared" si="84"/>
        <v>1.7228175905563897E-2</v>
      </c>
      <c r="AK332" s="27">
        <f t="shared" si="84"/>
        <v>1.7261117551388462E-2</v>
      </c>
      <c r="AL332" s="27">
        <f t="shared" si="84"/>
        <v>1.7295827028863175E-2</v>
      </c>
      <c r="AM332" s="27">
        <f t="shared" si="84"/>
        <v>1.7332256815907665E-2</v>
      </c>
      <c r="AN332" s="27">
        <f t="shared" si="84"/>
        <v>1.7352159823168515E-2</v>
      </c>
      <c r="AO332" s="27">
        <f t="shared" si="84"/>
        <v>1.7373316667964631E-2</v>
      </c>
      <c r="AP332" s="27">
        <f t="shared" si="84"/>
        <v>1.7396267425724934E-2</v>
      </c>
      <c r="AQ332" s="27">
        <f t="shared" si="84"/>
        <v>1.7420990177436466E-2</v>
      </c>
      <c r="AR332" s="27">
        <f t="shared" si="84"/>
        <v>1.7447487775150525E-2</v>
      </c>
      <c r="AS332" s="27">
        <f t="shared" si="84"/>
        <v>1.7456827369575736E-2</v>
      </c>
      <c r="AT332" s="27">
        <f t="shared" si="84"/>
        <v>1.746097508558354E-2</v>
      </c>
      <c r="AU332" s="27">
        <f t="shared" si="84"/>
        <v>1.746579683409127E-2</v>
      </c>
      <c r="AV332" s="27">
        <f t="shared" si="84"/>
        <v>1.7470987825332424E-2</v>
      </c>
      <c r="AW332" s="27">
        <f t="shared" si="84"/>
        <v>1.7477120152816387E-2</v>
      </c>
      <c r="AY332" s="79"/>
    </row>
    <row r="333" spans="1:51" x14ac:dyDescent="0.3">
      <c r="A333" s="95" t="str">
        <f t="shared" si="71"/>
        <v>GS Goats MMCH4</v>
      </c>
      <c r="B333" s="95" t="s">
        <v>1021</v>
      </c>
      <c r="C333" s="95" t="s">
        <v>1325</v>
      </c>
      <c r="D333" t="s">
        <v>15</v>
      </c>
      <c r="E333" t="s">
        <v>22</v>
      </c>
      <c r="F333" t="s">
        <v>19</v>
      </c>
      <c r="G333" t="s">
        <v>123</v>
      </c>
      <c r="H333" t="s">
        <v>1227</v>
      </c>
      <c r="I333" t="s">
        <v>121</v>
      </c>
      <c r="J333" t="s">
        <v>286</v>
      </c>
      <c r="K333" s="27">
        <f t="shared" si="83"/>
        <v>2.6592218800664803E-2</v>
      </c>
      <c r="L333" s="27">
        <f t="shared" si="84"/>
        <v>2.6661345733624896E-2</v>
      </c>
      <c r="M333" s="27">
        <f t="shared" si="84"/>
        <v>2.6756703894783639E-2</v>
      </c>
      <c r="N333" s="27">
        <f t="shared" si="84"/>
        <v>2.6872875319249704E-2</v>
      </c>
      <c r="O333" s="27">
        <f t="shared" si="84"/>
        <v>2.7009694315810229E-2</v>
      </c>
      <c r="P333" s="27">
        <f t="shared" si="84"/>
        <v>2.7166328132291764E-2</v>
      </c>
      <c r="Q333" s="27">
        <f t="shared" si="84"/>
        <v>2.7334899828466052E-2</v>
      </c>
      <c r="R333" s="27">
        <f t="shared" si="84"/>
        <v>2.7514742110372921E-2</v>
      </c>
      <c r="S333" s="27">
        <f t="shared" si="84"/>
        <v>2.7677838692887386E-2</v>
      </c>
      <c r="T333" s="27">
        <f t="shared" si="84"/>
        <v>2.7757504982502564E-2</v>
      </c>
      <c r="U333" s="27">
        <f t="shared" si="84"/>
        <v>2.7848820327731318E-2</v>
      </c>
      <c r="V333" s="27">
        <f t="shared" si="84"/>
        <v>2.7941902797566111E-2</v>
      </c>
      <c r="W333" s="27">
        <f t="shared" si="84"/>
        <v>2.804285772872351E-2</v>
      </c>
      <c r="X333" s="27">
        <f t="shared" si="84"/>
        <v>2.8151518273156369E-2</v>
      </c>
      <c r="Y333" s="27">
        <f t="shared" si="84"/>
        <v>2.82210562705838E-2</v>
      </c>
      <c r="Z333" s="27">
        <f t="shared" si="84"/>
        <v>2.8297134696609751E-2</v>
      </c>
      <c r="AA333" s="27">
        <f t="shared" si="84"/>
        <v>2.8378863720651775E-2</v>
      </c>
      <c r="AB333" s="27">
        <f t="shared" si="84"/>
        <v>2.8466505780859123E-2</v>
      </c>
      <c r="AC333" s="27">
        <f t="shared" si="84"/>
        <v>2.8559237934827175E-2</v>
      </c>
      <c r="AD333" s="27">
        <f t="shared" si="84"/>
        <v>2.8621079756683557E-2</v>
      </c>
      <c r="AE333" s="27">
        <f t="shared" si="84"/>
        <v>2.8687030380003167E-2</v>
      </c>
      <c r="AF333" s="27">
        <f t="shared" si="84"/>
        <v>2.8757648041269384E-2</v>
      </c>
      <c r="AG333" s="27">
        <f t="shared" si="84"/>
        <v>2.8833649983627477E-2</v>
      </c>
      <c r="AH333" s="27">
        <f t="shared" si="84"/>
        <v>2.8912740108052549E-2</v>
      </c>
      <c r="AI333" s="27">
        <f t="shared" si="84"/>
        <v>2.8961722657000817E-2</v>
      </c>
      <c r="AJ333" s="27">
        <f t="shared" si="84"/>
        <v>2.9014877641157257E-2</v>
      </c>
      <c r="AK333" s="27">
        <f t="shared" si="84"/>
        <v>2.9070356400379201E-2</v>
      </c>
      <c r="AL333" s="27">
        <f t="shared" si="84"/>
        <v>2.9128812457911796E-2</v>
      </c>
      <c r="AM333" s="27">
        <f t="shared" si="84"/>
        <v>2.9190165779318728E-2</v>
      </c>
      <c r="AN333" s="27">
        <f t="shared" si="84"/>
        <v>2.9223685481203028E-2</v>
      </c>
      <c r="AO333" s="27">
        <f t="shared" si="84"/>
        <v>2.9259316836861168E-2</v>
      </c>
      <c r="AP333" s="27">
        <f t="shared" si="84"/>
        <v>2.9297969415743415E-2</v>
      </c>
      <c r="AQ333" s="27">
        <f t="shared" si="84"/>
        <v>2.9339606302886588E-2</v>
      </c>
      <c r="AR333" s="27">
        <f t="shared" si="84"/>
        <v>2.9384232301580378E-2</v>
      </c>
      <c r="AS333" s="27">
        <f t="shared" si="84"/>
        <v>2.939996160402952E-2</v>
      </c>
      <c r="AT333" s="27">
        <f t="shared" si="84"/>
        <v>2.9406946990823593E-2</v>
      </c>
      <c r="AU333" s="27">
        <f t="shared" si="84"/>
        <v>2.9415067551220409E-2</v>
      </c>
      <c r="AV333" s="27">
        <f t="shared" si="84"/>
        <v>2.9423809972735263E-2</v>
      </c>
      <c r="AW333" s="27">
        <f t="shared" si="84"/>
        <v>2.9434137748152581E-2</v>
      </c>
      <c r="AY333" s="79"/>
    </row>
    <row r="334" spans="1:51" x14ac:dyDescent="0.3">
      <c r="A334" s="95" t="str">
        <f t="shared" si="71"/>
        <v>GS Horses MMCH4</v>
      </c>
      <c r="B334" s="95" t="s">
        <v>1021</v>
      </c>
      <c r="C334" s="95" t="s">
        <v>1326</v>
      </c>
      <c r="D334" t="s">
        <v>15</v>
      </c>
      <c r="E334" t="s">
        <v>22</v>
      </c>
      <c r="F334" t="s">
        <v>20</v>
      </c>
      <c r="G334" t="s">
        <v>3</v>
      </c>
      <c r="H334" t="s">
        <v>1227</v>
      </c>
      <c r="I334" t="s">
        <v>121</v>
      </c>
      <c r="J334" t="s">
        <v>286</v>
      </c>
      <c r="K334" s="27">
        <f t="shared" si="83"/>
        <v>4.1336182129460552E-3</v>
      </c>
      <c r="L334" s="27">
        <f t="shared" si="84"/>
        <v>4.1536453250924071E-3</v>
      </c>
      <c r="M334" s="27">
        <f t="shared" si="84"/>
        <v>4.1840370126470534E-3</v>
      </c>
      <c r="N334" s="27">
        <f t="shared" si="84"/>
        <v>4.1905340987284569E-3</v>
      </c>
      <c r="O334" s="27">
        <f t="shared" si="84"/>
        <v>4.1812329246154589E-3</v>
      </c>
      <c r="P334" s="27">
        <f t="shared" si="84"/>
        <v>4.1564738854214548E-3</v>
      </c>
      <c r="Q334" s="27">
        <f t="shared" si="84"/>
        <v>4.1427460620707141E-3</v>
      </c>
      <c r="R334" s="27">
        <f t="shared" si="84"/>
        <v>4.1304087921358321E-3</v>
      </c>
      <c r="S334" s="27">
        <f t="shared" si="84"/>
        <v>3.8942776940038416E-3</v>
      </c>
      <c r="T334" s="27">
        <f t="shared" si="84"/>
        <v>3.9425050527123239E-3</v>
      </c>
      <c r="U334" s="27">
        <f t="shared" si="84"/>
        <v>4.0191071248696416E-3</v>
      </c>
      <c r="V334" s="27">
        <f t="shared" si="84"/>
        <v>4.0473828533201294E-3</v>
      </c>
      <c r="W334" s="27">
        <f t="shared" si="84"/>
        <v>4.0809840197269919E-3</v>
      </c>
      <c r="X334" s="27">
        <f t="shared" si="84"/>
        <v>4.1216678621320202E-3</v>
      </c>
      <c r="Y334" s="27">
        <f t="shared" si="84"/>
        <v>4.1703472412361522E-3</v>
      </c>
      <c r="Z334" s="27">
        <f t="shared" si="84"/>
        <v>4.2244482436929265E-3</v>
      </c>
      <c r="AA334" s="27">
        <f t="shared" si="84"/>
        <v>4.2791921283487086E-3</v>
      </c>
      <c r="AB334" s="27">
        <f t="shared" si="84"/>
        <v>4.3388287504468421E-3</v>
      </c>
      <c r="AC334" s="27">
        <f t="shared" si="84"/>
        <v>4.3986726547954836E-3</v>
      </c>
      <c r="AD334" s="27">
        <f t="shared" si="84"/>
        <v>4.4704656017983358E-3</v>
      </c>
      <c r="AE334" s="27">
        <f t="shared" si="84"/>
        <v>4.539631463046338E-3</v>
      </c>
      <c r="AF334" s="27">
        <f t="shared" si="84"/>
        <v>4.6121605087864415E-3</v>
      </c>
      <c r="AG334" s="27">
        <f t="shared" si="84"/>
        <v>4.6951125632471334E-3</v>
      </c>
      <c r="AH334" s="27">
        <f t="shared" si="84"/>
        <v>4.7715465683054572E-3</v>
      </c>
      <c r="AI334" s="27">
        <f t="shared" si="84"/>
        <v>4.855932813312959E-3</v>
      </c>
      <c r="AJ334" s="27">
        <f t="shared" si="84"/>
        <v>4.945901658536307E-3</v>
      </c>
      <c r="AK334" s="27">
        <f t="shared" si="84"/>
        <v>5.0279520878702428E-3</v>
      </c>
      <c r="AL334" s="27">
        <f t="shared" si="84"/>
        <v>5.1082371551630715E-3</v>
      </c>
      <c r="AM334" s="27">
        <f t="shared" si="84"/>
        <v>5.1870452828056204E-3</v>
      </c>
      <c r="AN334" s="27">
        <f t="shared" si="84"/>
        <v>5.27706789842347E-3</v>
      </c>
      <c r="AO334" s="27">
        <f t="shared" si="84"/>
        <v>5.3619473096130918E-3</v>
      </c>
      <c r="AP334" s="27">
        <f t="shared" si="84"/>
        <v>5.4495970329020271E-3</v>
      </c>
      <c r="AQ334" s="27">
        <f t="shared" si="84"/>
        <v>5.5404524678757516E-3</v>
      </c>
      <c r="AR334" s="27">
        <f t="shared" si="84"/>
        <v>5.6352215326777718E-3</v>
      </c>
      <c r="AS334" s="27">
        <f t="shared" si="84"/>
        <v>5.7381722103153144E-3</v>
      </c>
      <c r="AT334" s="27">
        <f t="shared" si="84"/>
        <v>5.7552832935457467E-3</v>
      </c>
      <c r="AU334" s="27">
        <f t="shared" si="84"/>
        <v>5.7642783755128633E-3</v>
      </c>
      <c r="AV334" s="27">
        <f t="shared" si="84"/>
        <v>5.7617518385425876E-3</v>
      </c>
      <c r="AW334" s="27">
        <f t="shared" si="84"/>
        <v>5.7557818048942742E-3</v>
      </c>
      <c r="AY334" s="79"/>
    </row>
    <row r="335" spans="1:51" x14ac:dyDescent="0.3">
      <c r="A335" s="95" t="str">
        <f t="shared" si="71"/>
        <v>GS Mules MMCH4</v>
      </c>
      <c r="B335" s="95" t="s">
        <v>1021</v>
      </c>
      <c r="C335" s="95" t="s">
        <v>1327</v>
      </c>
      <c r="D335" t="s">
        <v>15</v>
      </c>
      <c r="E335" t="s">
        <v>22</v>
      </c>
      <c r="F335" t="s">
        <v>140</v>
      </c>
      <c r="G335" t="s">
        <v>124</v>
      </c>
      <c r="H335" t="s">
        <v>1227</v>
      </c>
      <c r="I335" t="s">
        <v>121</v>
      </c>
      <c r="J335" t="s">
        <v>286</v>
      </c>
      <c r="K335" s="27">
        <f t="shared" si="83"/>
        <v>7.515E-4</v>
      </c>
      <c r="L335" s="27">
        <f t="shared" si="84"/>
        <v>7.515E-4</v>
      </c>
      <c r="M335" s="27">
        <f t="shared" si="84"/>
        <v>7.515E-4</v>
      </c>
      <c r="N335" s="27">
        <f t="shared" si="84"/>
        <v>7.515E-4</v>
      </c>
      <c r="O335" s="27">
        <f t="shared" si="84"/>
        <v>7.515E-4</v>
      </c>
      <c r="P335" s="27">
        <f t="shared" si="84"/>
        <v>7.515E-4</v>
      </c>
      <c r="Q335" s="27">
        <f t="shared" si="84"/>
        <v>7.515E-4</v>
      </c>
      <c r="R335" s="27">
        <f t="shared" si="84"/>
        <v>7.515E-4</v>
      </c>
      <c r="S335" s="27">
        <f t="shared" si="84"/>
        <v>7.515E-4</v>
      </c>
      <c r="T335" s="27">
        <f t="shared" si="84"/>
        <v>7.515E-4</v>
      </c>
      <c r="U335" s="27">
        <f t="shared" si="84"/>
        <v>7.515E-4</v>
      </c>
      <c r="V335" s="27">
        <f t="shared" si="84"/>
        <v>7.515E-4</v>
      </c>
      <c r="W335" s="27">
        <f t="shared" si="84"/>
        <v>7.515E-4</v>
      </c>
      <c r="X335" s="27">
        <f t="shared" si="84"/>
        <v>7.515E-4</v>
      </c>
      <c r="Y335" s="27">
        <f t="shared" si="84"/>
        <v>7.515E-4</v>
      </c>
      <c r="Z335" s="27">
        <f t="shared" si="84"/>
        <v>7.515E-4</v>
      </c>
      <c r="AA335" s="27">
        <f t="shared" si="84"/>
        <v>7.515E-4</v>
      </c>
      <c r="AB335" s="27">
        <f t="shared" si="84"/>
        <v>7.515E-4</v>
      </c>
      <c r="AC335" s="27">
        <f t="shared" si="84"/>
        <v>7.515E-4</v>
      </c>
      <c r="AD335" s="27">
        <f t="shared" si="84"/>
        <v>7.515E-4</v>
      </c>
      <c r="AE335" s="27">
        <f t="shared" si="84"/>
        <v>7.515E-4</v>
      </c>
      <c r="AF335" s="27">
        <f t="shared" si="84"/>
        <v>7.515E-4</v>
      </c>
      <c r="AG335" s="27">
        <f t="shared" si="84"/>
        <v>7.515E-4</v>
      </c>
      <c r="AH335" s="27">
        <f t="shared" si="84"/>
        <v>7.515E-4</v>
      </c>
      <c r="AI335" s="27">
        <f t="shared" si="84"/>
        <v>7.515E-4</v>
      </c>
      <c r="AJ335" s="27">
        <f t="shared" si="84"/>
        <v>7.515E-4</v>
      </c>
      <c r="AK335" s="27">
        <f t="shared" si="84"/>
        <v>7.515E-4</v>
      </c>
      <c r="AL335" s="27">
        <f t="shared" si="84"/>
        <v>7.515E-4</v>
      </c>
      <c r="AM335" s="27">
        <f t="shared" si="84"/>
        <v>7.515E-4</v>
      </c>
      <c r="AN335" s="27">
        <f t="shared" si="84"/>
        <v>7.515E-4</v>
      </c>
      <c r="AO335" s="27">
        <f t="shared" si="84"/>
        <v>7.515E-4</v>
      </c>
      <c r="AP335" s="27">
        <f t="shared" si="84"/>
        <v>7.515E-4</v>
      </c>
      <c r="AQ335" s="27">
        <f t="shared" si="84"/>
        <v>7.515E-4</v>
      </c>
      <c r="AR335" s="27">
        <f t="shared" si="84"/>
        <v>7.515E-4</v>
      </c>
      <c r="AS335" s="27">
        <f t="shared" si="84"/>
        <v>7.515E-4</v>
      </c>
      <c r="AT335" s="27">
        <f t="shared" si="84"/>
        <v>7.515E-4</v>
      </c>
      <c r="AU335" s="27">
        <f t="shared" si="84"/>
        <v>7.515E-4</v>
      </c>
      <c r="AV335" s="27">
        <f t="shared" si="84"/>
        <v>7.515E-4</v>
      </c>
      <c r="AW335" s="27">
        <f t="shared" si="84"/>
        <v>7.515E-4</v>
      </c>
      <c r="AY335" s="79"/>
    </row>
    <row r="336" spans="1:51" x14ac:dyDescent="0.3">
      <c r="A336" s="95" t="str">
        <f t="shared" si="71"/>
        <v>GS Swine MMCH4</v>
      </c>
      <c r="B336" s="95" t="s">
        <v>1021</v>
      </c>
      <c r="C336" s="95" t="s">
        <v>1230</v>
      </c>
      <c r="D336" t="s">
        <v>15</v>
      </c>
      <c r="E336" t="s">
        <v>22</v>
      </c>
      <c r="F336" t="s">
        <v>21</v>
      </c>
      <c r="G336" t="s">
        <v>122</v>
      </c>
      <c r="H336" t="s">
        <v>1227</v>
      </c>
      <c r="I336" t="s">
        <v>121</v>
      </c>
      <c r="J336" t="s">
        <v>286</v>
      </c>
      <c r="K336" s="27">
        <f t="shared" si="83"/>
        <v>23.279067868377393</v>
      </c>
      <c r="L336" s="27">
        <f t="shared" si="84"/>
        <v>23.152530650802596</v>
      </c>
      <c r="M336" s="27">
        <f t="shared" si="84"/>
        <v>23.162916433064304</v>
      </c>
      <c r="N336" s="27">
        <f t="shared" si="84"/>
        <v>22.950263110497293</v>
      </c>
      <c r="O336" s="27">
        <f t="shared" si="84"/>
        <v>22.602951186820601</v>
      </c>
      <c r="P336" s="27">
        <f t="shared" si="84"/>
        <v>22.126532811374943</v>
      </c>
      <c r="Q336" s="27">
        <f t="shared" si="84"/>
        <v>21.780600237355962</v>
      </c>
      <c r="R336" s="27">
        <f t="shared" si="84"/>
        <v>21.465278056857681</v>
      </c>
      <c r="S336" s="27">
        <f t="shared" si="84"/>
        <v>18.952765181798245</v>
      </c>
      <c r="T336" s="27">
        <f t="shared" si="84"/>
        <v>19.192435731964196</v>
      </c>
      <c r="U336" s="27">
        <f t="shared" si="84"/>
        <v>19.706721684105471</v>
      </c>
      <c r="V336" s="27">
        <f t="shared" si="84"/>
        <v>19.753416176775058</v>
      </c>
      <c r="W336" s="27">
        <f t="shared" si="84"/>
        <v>19.854535695194098</v>
      </c>
      <c r="X336" s="27">
        <f t="shared" si="84"/>
        <v>20.024553174699502</v>
      </c>
      <c r="Y336" s="27">
        <f t="shared" si="84"/>
        <v>20.23789112840667</v>
      </c>
      <c r="Z336" s="27">
        <f t="shared" si="84"/>
        <v>20.499318704805695</v>
      </c>
      <c r="AA336" s="27">
        <f t="shared" si="84"/>
        <v>20.763803414840964</v>
      </c>
      <c r="AB336" s="27">
        <f t="shared" si="84"/>
        <v>21.06916344985618</v>
      </c>
      <c r="AC336" s="27">
        <f t="shared" si="84"/>
        <v>21.372415897013145</v>
      </c>
      <c r="AD336" s="27">
        <f t="shared" si="84"/>
        <v>21.74943786655458</v>
      </c>
      <c r="AE336" s="27">
        <f t="shared" si="84"/>
        <v>22.096514126462726</v>
      </c>
      <c r="AF336" s="27">
        <f t="shared" si="84"/>
        <v>22.465831015653421</v>
      </c>
      <c r="AG336" s="27">
        <f t="shared" si="84"/>
        <v>22.916349440576454</v>
      </c>
      <c r="AH336" s="27">
        <f t="shared" si="84"/>
        <v>23.303196681672105</v>
      </c>
      <c r="AI336" s="27">
        <f t="shared" si="84"/>
        <v>23.720738750345618</v>
      </c>
      <c r="AJ336" s="27">
        <f t="shared" si="84"/>
        <v>24.1739099146189</v>
      </c>
      <c r="AK336" s="27">
        <f t="shared" si="84"/>
        <v>24.551957379803568</v>
      </c>
      <c r="AL336" s="27">
        <f t="shared" si="84"/>
        <v>24.90648475217996</v>
      </c>
      <c r="AM336" s="27">
        <f t="shared" si="84"/>
        <v>25.240351368122212</v>
      </c>
      <c r="AN336" s="27">
        <f t="shared" si="84"/>
        <v>25.625854072975109</v>
      </c>
      <c r="AO336" s="27">
        <f t="shared" si="84"/>
        <v>25.960227974531257</v>
      </c>
      <c r="AP336" s="27">
        <f t="shared" si="84"/>
        <v>26.305386782253809</v>
      </c>
      <c r="AQ336" s="27">
        <f t="shared" si="84"/>
        <v>26.663933949781747</v>
      </c>
      <c r="AR336" s="27">
        <f t="shared" si="84"/>
        <v>27.040355797157176</v>
      </c>
      <c r="AS336" s="27">
        <f t="shared" si="84"/>
        <v>27.435623697912018</v>
      </c>
      <c r="AT336" s="27">
        <f t="shared" si="84"/>
        <v>27.195097752022821</v>
      </c>
      <c r="AU336" s="27">
        <f t="shared" si="84"/>
        <v>26.898987311246398</v>
      </c>
      <c r="AV336" s="27">
        <f t="shared" si="84"/>
        <v>26.52534739576117</v>
      </c>
      <c r="AW336" s="27">
        <f t="shared" si="84"/>
        <v>26.133382968648512</v>
      </c>
      <c r="AY336" s="79"/>
    </row>
    <row r="337" spans="1:51" x14ac:dyDescent="0.3">
      <c r="A337" s="95" t="str">
        <f t="shared" si="71"/>
        <v>GS Swine MMCH4</v>
      </c>
      <c r="B337" s="95" t="s">
        <v>1021</v>
      </c>
      <c r="C337" s="95" t="s">
        <v>1230</v>
      </c>
      <c r="D337" t="s">
        <v>15</v>
      </c>
      <c r="E337" t="s">
        <v>22</v>
      </c>
      <c r="F337" t="s">
        <v>21</v>
      </c>
      <c r="G337" t="s">
        <v>123</v>
      </c>
      <c r="H337" t="s">
        <v>1227</v>
      </c>
      <c r="I337" t="s">
        <v>121</v>
      </c>
      <c r="J337" t="s">
        <v>286</v>
      </c>
      <c r="K337" s="27">
        <f t="shared" si="83"/>
        <v>7.7932061732677776E-2</v>
      </c>
      <c r="L337" s="27">
        <f t="shared" si="84"/>
        <v>7.7508449141861113E-2</v>
      </c>
      <c r="M337" s="27">
        <f t="shared" si="84"/>
        <v>7.7543217949140597E-2</v>
      </c>
      <c r="N337" s="27">
        <f t="shared" si="84"/>
        <v>7.6831311787104617E-2</v>
      </c>
      <c r="O337" s="27">
        <f t="shared" si="84"/>
        <v>7.5668604825232008E-2</v>
      </c>
      <c r="P337" s="27">
        <f t="shared" si="84"/>
        <v>7.4073684167079379E-2</v>
      </c>
      <c r="Q337" s="27">
        <f t="shared" si="84"/>
        <v>7.2915594897087016E-2</v>
      </c>
      <c r="R337" s="27">
        <f t="shared" si="84"/>
        <v>7.1859980996426681E-2</v>
      </c>
      <c r="S337" s="27">
        <f t="shared" si="84"/>
        <v>6.344876326252144E-2</v>
      </c>
      <c r="T337" s="27">
        <f t="shared" si="84"/>
        <v>6.4251115840238279E-2</v>
      </c>
      <c r="U337" s="27">
        <f t="shared" si="84"/>
        <v>6.5972806966237654E-2</v>
      </c>
      <c r="V337" s="27">
        <f t="shared" si="84"/>
        <v>6.6129127576060945E-2</v>
      </c>
      <c r="W337" s="27">
        <f t="shared" si="84"/>
        <v>6.6467648542465979E-2</v>
      </c>
      <c r="X337" s="27">
        <f t="shared" si="84"/>
        <v>6.7036821362587692E-2</v>
      </c>
      <c r="Y337" s="27">
        <f t="shared" si="84"/>
        <v>6.775101948564978E-2</v>
      </c>
      <c r="Z337" s="27">
        <f t="shared" si="84"/>
        <v>6.8626208738834141E-2</v>
      </c>
      <c r="AA337" s="27">
        <f t="shared" si="84"/>
        <v>6.951163245366497E-2</v>
      </c>
      <c r="AB337" s="27">
        <f t="shared" si="84"/>
        <v>7.0533895769105751E-2</v>
      </c>
      <c r="AC337" s="27">
        <f t="shared" si="84"/>
        <v>7.1549103446923737E-2</v>
      </c>
      <c r="AD337" s="27">
        <f t="shared" si="84"/>
        <v>7.2811271656192611E-2</v>
      </c>
      <c r="AE337" s="27">
        <f t="shared" si="84"/>
        <v>7.3973189679115328E-2</v>
      </c>
      <c r="AF337" s="27">
        <f t="shared" si="84"/>
        <v>7.5209563350521091E-2</v>
      </c>
      <c r="AG337" s="27">
        <f t="shared" si="84"/>
        <v>7.6717777936316622E-2</v>
      </c>
      <c r="AH337" s="27">
        <f t="shared" si="84"/>
        <v>7.801283851368343E-2</v>
      </c>
      <c r="AI337" s="27">
        <f t="shared" si="84"/>
        <v>7.9410657122909484E-2</v>
      </c>
      <c r="AJ337" s="27">
        <f t="shared" si="84"/>
        <v>8.0927752366984504E-2</v>
      </c>
      <c r="AK337" s="27">
        <f t="shared" si="84"/>
        <v>8.2193353660010307E-2</v>
      </c>
      <c r="AL337" s="27">
        <f t="shared" si="84"/>
        <v>8.3380216004592958E-2</v>
      </c>
      <c r="AM337" s="27">
        <f t="shared" si="84"/>
        <v>8.4497911690313968E-2</v>
      </c>
      <c r="AN337" s="27">
        <f t="shared" si="84"/>
        <v>8.5788471121755847E-2</v>
      </c>
      <c r="AO337" s="27">
        <f t="shared" si="84"/>
        <v>8.6907865063352116E-2</v>
      </c>
      <c r="AP337" s="27">
        <f t="shared" si="84"/>
        <v>8.8063363971774958E-2</v>
      </c>
      <c r="AQ337" s="27">
        <f t="shared" ref="L337:AW344" si="85">AQ1406</f>
        <v>8.9263683509990727E-2</v>
      </c>
      <c r="AR337" s="27">
        <f t="shared" si="85"/>
        <v>9.0523842671562632E-2</v>
      </c>
      <c r="AS337" s="27">
        <f t="shared" si="85"/>
        <v>9.1847093353967207E-2</v>
      </c>
      <c r="AT337" s="27">
        <f t="shared" si="85"/>
        <v>9.1041877141302144E-2</v>
      </c>
      <c r="AU337" s="27">
        <f t="shared" si="85"/>
        <v>9.0050578981051232E-2</v>
      </c>
      <c r="AV337" s="27">
        <f t="shared" si="85"/>
        <v>8.8799732979655169E-2</v>
      </c>
      <c r="AW337" s="27">
        <f t="shared" si="85"/>
        <v>8.7487541439019989E-2</v>
      </c>
      <c r="AY337" s="79"/>
    </row>
    <row r="338" spans="1:51" x14ac:dyDescent="0.3">
      <c r="A338" s="95" t="str">
        <f t="shared" si="71"/>
        <v>GS Poultry MMCH4</v>
      </c>
      <c r="B338" s="95" t="s">
        <v>1021</v>
      </c>
      <c r="C338" s="95" t="s">
        <v>1231</v>
      </c>
      <c r="D338" t="s">
        <v>15</v>
      </c>
      <c r="E338" t="s">
        <v>22</v>
      </c>
      <c r="F338" t="s">
        <v>28</v>
      </c>
      <c r="G338" t="s">
        <v>131</v>
      </c>
      <c r="H338" t="s">
        <v>1227</v>
      </c>
      <c r="I338" t="s">
        <v>121</v>
      </c>
      <c r="J338" t="s">
        <v>286</v>
      </c>
      <c r="K338" s="27">
        <f t="shared" si="83"/>
        <v>0.55586528215230246</v>
      </c>
      <c r="L338" s="27">
        <f t="shared" si="85"/>
        <v>0.56716712532642333</v>
      </c>
      <c r="M338" s="27">
        <f t="shared" si="85"/>
        <v>0.58037790885594753</v>
      </c>
      <c r="N338" s="27">
        <f t="shared" si="85"/>
        <v>0.5905201523722613</v>
      </c>
      <c r="O338" s="27">
        <f t="shared" si="85"/>
        <v>0.5986618277459016</v>
      </c>
      <c r="P338" s="27">
        <f t="shared" si="85"/>
        <v>0.60475451589519691</v>
      </c>
      <c r="Q338" s="27">
        <f t="shared" si="85"/>
        <v>0.61256702388185857</v>
      </c>
      <c r="R338" s="27">
        <f t="shared" si="85"/>
        <v>0.6206898695388976</v>
      </c>
      <c r="S338" s="27">
        <f t="shared" si="85"/>
        <v>0.59306384026239212</v>
      </c>
      <c r="T338" s="27">
        <f t="shared" si="85"/>
        <v>0.60782510553672808</v>
      </c>
      <c r="U338" s="27">
        <f t="shared" si="85"/>
        <v>0.62749693593989653</v>
      </c>
      <c r="V338" s="27">
        <f t="shared" si="85"/>
        <v>0.63952779473480192</v>
      </c>
      <c r="W338" s="27">
        <f t="shared" si="85"/>
        <v>0.65264407206550135</v>
      </c>
      <c r="X338" s="27">
        <f t="shared" si="85"/>
        <v>0.66717765079794833</v>
      </c>
      <c r="Y338" s="27">
        <f t="shared" si="85"/>
        <v>0.68218893777565714</v>
      </c>
      <c r="Z338" s="27">
        <f t="shared" si="85"/>
        <v>0.6983681341066772</v>
      </c>
      <c r="AA338" s="27">
        <f t="shared" si="85"/>
        <v>0.71491117725499365</v>
      </c>
      <c r="AB338" s="27">
        <f t="shared" si="85"/>
        <v>0.73257463286693114</v>
      </c>
      <c r="AC338" s="27">
        <f t="shared" si="85"/>
        <v>0.7505526685248175</v>
      </c>
      <c r="AD338" s="27">
        <f t="shared" si="85"/>
        <v>0.76994977468450398</v>
      </c>
      <c r="AE338" s="27">
        <f t="shared" si="85"/>
        <v>0.78914658446111008</v>
      </c>
      <c r="AF338" s="27">
        <f t="shared" si="85"/>
        <v>0.80922915626502845</v>
      </c>
      <c r="AG338" s="27">
        <f t="shared" si="85"/>
        <v>0.83151801683952153</v>
      </c>
      <c r="AH338" s="27">
        <f t="shared" si="85"/>
        <v>0.85291597213422199</v>
      </c>
      <c r="AI338" s="27">
        <f t="shared" si="85"/>
        <v>0.87504492147223956</v>
      </c>
      <c r="AJ338" s="27">
        <f t="shared" si="85"/>
        <v>0.89850514567918238</v>
      </c>
      <c r="AK338" s="27">
        <f t="shared" si="85"/>
        <v>0.92075676441275556</v>
      </c>
      <c r="AL338" s="27">
        <f t="shared" si="85"/>
        <v>0.94294773672658772</v>
      </c>
      <c r="AM338" s="27">
        <f t="shared" si="85"/>
        <v>0.96512911525862388</v>
      </c>
      <c r="AN338" s="27">
        <f t="shared" si="85"/>
        <v>0.98866250207381989</v>
      </c>
      <c r="AO338" s="27">
        <f t="shared" si="85"/>
        <v>1.0114465581050009</v>
      </c>
      <c r="AP338" s="27">
        <f t="shared" si="85"/>
        <v>1.0350196328361636</v>
      </c>
      <c r="AQ338" s="27">
        <f t="shared" si="85"/>
        <v>1.0594801323783987</v>
      </c>
      <c r="AR338" s="27">
        <f t="shared" si="85"/>
        <v>1.0849829625275211</v>
      </c>
      <c r="AS338" s="27">
        <f t="shared" si="85"/>
        <v>1.1111668702046387</v>
      </c>
      <c r="AT338" s="27">
        <f t="shared" si="85"/>
        <v>1.1203381651267506</v>
      </c>
      <c r="AU338" s="27">
        <f t="shared" si="85"/>
        <v>1.1279342308342708</v>
      </c>
      <c r="AV338" s="27">
        <f t="shared" si="85"/>
        <v>1.13323884791937</v>
      </c>
      <c r="AW338" s="27">
        <f t="shared" si="85"/>
        <v>1.137864963271239</v>
      </c>
      <c r="AY338" s="79"/>
    </row>
    <row r="339" spans="1:51" x14ac:dyDescent="0.3">
      <c r="A339" s="95" t="str">
        <f t="shared" si="71"/>
        <v>GS Poultry MMCH4</v>
      </c>
      <c r="B339" s="95" t="s">
        <v>1021</v>
      </c>
      <c r="C339" s="95" t="s">
        <v>1231</v>
      </c>
      <c r="D339" t="s">
        <v>15</v>
      </c>
      <c r="E339" t="s">
        <v>22</v>
      </c>
      <c r="F339" t="s">
        <v>28</v>
      </c>
      <c r="G339" t="s">
        <v>132</v>
      </c>
      <c r="H339" t="s">
        <v>1227</v>
      </c>
      <c r="I339" t="s">
        <v>121</v>
      </c>
      <c r="J339" t="s">
        <v>286</v>
      </c>
      <c r="K339" s="27">
        <f t="shared" si="83"/>
        <v>2.2100196981344111</v>
      </c>
      <c r="L339" s="27">
        <f t="shared" si="85"/>
        <v>2.2391217074451477</v>
      </c>
      <c r="M339" s="27">
        <f t="shared" si="85"/>
        <v>2.2858678822724823</v>
      </c>
      <c r="N339" s="27">
        <f t="shared" si="85"/>
        <v>2.2992900748078591</v>
      </c>
      <c r="O339" s="27">
        <f t="shared" si="85"/>
        <v>2.2910596881616572</v>
      </c>
      <c r="P339" s="27">
        <f t="shared" si="85"/>
        <v>2.2612642885898917</v>
      </c>
      <c r="Q339" s="27">
        <f t="shared" si="85"/>
        <v>2.2487211059946204</v>
      </c>
      <c r="R339" s="27">
        <f t="shared" si="85"/>
        <v>2.2390235702415184</v>
      </c>
      <c r="S339" s="27">
        <f t="shared" si="85"/>
        <v>1.8873806466050964</v>
      </c>
      <c r="T339" s="27">
        <f t="shared" si="85"/>
        <v>1.9621300984115682</v>
      </c>
      <c r="U339" s="27">
        <f t="shared" si="85"/>
        <v>2.0814254172868796</v>
      </c>
      <c r="V339" s="27">
        <f t="shared" si="85"/>
        <v>2.1274151344864149</v>
      </c>
      <c r="W339" s="27">
        <f t="shared" si="85"/>
        <v>2.1824506881567056</v>
      </c>
      <c r="X339" s="27">
        <f t="shared" si="85"/>
        <v>2.2493281606911828</v>
      </c>
      <c r="Y339" s="27">
        <f t="shared" si="85"/>
        <v>2.3261233859270511</v>
      </c>
      <c r="Z339" s="27">
        <f t="shared" si="85"/>
        <v>2.4121225146398793</v>
      </c>
      <c r="AA339" s="27">
        <f t="shared" si="85"/>
        <v>2.4999478814416944</v>
      </c>
      <c r="AB339" s="27">
        <f t="shared" si="85"/>
        <v>2.5962654285530302</v>
      </c>
      <c r="AC339" s="27">
        <f t="shared" si="85"/>
        <v>2.6938179504840183</v>
      </c>
      <c r="AD339" s="27">
        <f t="shared" si="85"/>
        <v>2.8076989520027458</v>
      </c>
      <c r="AE339" s="27">
        <f t="shared" si="85"/>
        <v>2.9182147779075716</v>
      </c>
      <c r="AF339" s="27">
        <f t="shared" si="85"/>
        <v>3.0347920342807941</v>
      </c>
      <c r="AG339" s="27">
        <f t="shared" si="85"/>
        <v>3.1685994721864104</v>
      </c>
      <c r="AH339" s="27">
        <f t="shared" si="85"/>
        <v>3.2930349508119656</v>
      </c>
      <c r="AI339" s="27">
        <f t="shared" si="85"/>
        <v>3.427074485424797</v>
      </c>
      <c r="AJ339" s="27">
        <f t="shared" si="85"/>
        <v>3.5705841120118782</v>
      </c>
      <c r="AK339" s="27">
        <f t="shared" si="85"/>
        <v>3.702270113838861</v>
      </c>
      <c r="AL339" s="27">
        <f t="shared" si="85"/>
        <v>3.8318633402397859</v>
      </c>
      <c r="AM339" s="27">
        <f t="shared" si="85"/>
        <v>3.9598368656050509</v>
      </c>
      <c r="AN339" s="27">
        <f t="shared" si="85"/>
        <v>4.1020537482739581</v>
      </c>
      <c r="AO339" s="27">
        <f t="shared" si="85"/>
        <v>4.2366042379514601</v>
      </c>
      <c r="AP339" s="27">
        <f t="shared" si="85"/>
        <v>4.376057584996432</v>
      </c>
      <c r="AQ339" s="27">
        <f t="shared" si="85"/>
        <v>4.5211331273416295</v>
      </c>
      <c r="AR339" s="27">
        <f t="shared" si="85"/>
        <v>4.67298612402322</v>
      </c>
      <c r="AS339" s="27">
        <f t="shared" si="85"/>
        <v>4.8333405314076359</v>
      </c>
      <c r="AT339" s="27">
        <f t="shared" si="85"/>
        <v>4.8577536687430269</v>
      </c>
      <c r="AU339" s="27">
        <f t="shared" si="85"/>
        <v>4.8696640260341857</v>
      </c>
      <c r="AV339" s="27">
        <f t="shared" si="85"/>
        <v>4.8636695672494161</v>
      </c>
      <c r="AW339" s="27">
        <f t="shared" si="85"/>
        <v>4.8525780818062749</v>
      </c>
      <c r="AY339" s="79"/>
    </row>
    <row r="340" spans="1:51" x14ac:dyDescent="0.3">
      <c r="A340" s="95" t="str">
        <f t="shared" si="71"/>
        <v>GS Poultry MMCH4</v>
      </c>
      <c r="B340" s="95" t="s">
        <v>1021</v>
      </c>
      <c r="C340" s="95" t="s">
        <v>1231</v>
      </c>
      <c r="D340" t="s">
        <v>15</v>
      </c>
      <c r="E340" t="s">
        <v>22</v>
      </c>
      <c r="F340" t="s">
        <v>28</v>
      </c>
      <c r="G340" t="s">
        <v>134</v>
      </c>
      <c r="H340" t="s">
        <v>1227</v>
      </c>
      <c r="I340" t="s">
        <v>121</v>
      </c>
      <c r="J340" t="s">
        <v>286</v>
      </c>
      <c r="K340" s="27">
        <f t="shared" si="83"/>
        <v>2.3161053423012622E-2</v>
      </c>
      <c r="L340" s="27">
        <f t="shared" si="85"/>
        <v>2.3631963555267657E-2</v>
      </c>
      <c r="M340" s="27">
        <f t="shared" si="85"/>
        <v>2.4182412868997839E-2</v>
      </c>
      <c r="N340" s="27">
        <f t="shared" si="85"/>
        <v>2.460500634884424E-2</v>
      </c>
      <c r="O340" s="27">
        <f t="shared" si="85"/>
        <v>2.4944242822745925E-2</v>
      </c>
      <c r="P340" s="27">
        <f t="shared" si="85"/>
        <v>2.5198104828966561E-2</v>
      </c>
      <c r="Q340" s="27">
        <f t="shared" si="85"/>
        <v>2.5523625995077459E-2</v>
      </c>
      <c r="R340" s="27">
        <f t="shared" si="85"/>
        <v>2.5862077897454098E-2</v>
      </c>
      <c r="S340" s="27">
        <f t="shared" si="85"/>
        <v>2.4710993344266366E-2</v>
      </c>
      <c r="T340" s="27">
        <f t="shared" si="85"/>
        <v>2.5326046064030362E-2</v>
      </c>
      <c r="U340" s="27">
        <f t="shared" si="85"/>
        <v>2.6145705664162376E-2</v>
      </c>
      <c r="V340" s="27">
        <f t="shared" si="85"/>
        <v>2.6646991447283438E-2</v>
      </c>
      <c r="W340" s="27">
        <f t="shared" si="85"/>
        <v>2.7193503002729248E-2</v>
      </c>
      <c r="X340" s="27">
        <f t="shared" si="85"/>
        <v>2.7799068783247873E-2</v>
      </c>
      <c r="Y340" s="27">
        <f t="shared" si="85"/>
        <v>2.842453907398574E-2</v>
      </c>
      <c r="Z340" s="27">
        <f t="shared" si="85"/>
        <v>2.9098672254444909E-2</v>
      </c>
      <c r="AA340" s="27">
        <f t="shared" si="85"/>
        <v>2.9787965718958094E-2</v>
      </c>
      <c r="AB340" s="27">
        <f t="shared" si="85"/>
        <v>3.0523943036122159E-2</v>
      </c>
      <c r="AC340" s="27">
        <f t="shared" si="85"/>
        <v>3.1273027855200759E-2</v>
      </c>
      <c r="AD340" s="27">
        <f t="shared" si="85"/>
        <v>3.2081240611854363E-2</v>
      </c>
      <c r="AE340" s="27">
        <f t="shared" si="85"/>
        <v>3.2881107685879617E-2</v>
      </c>
      <c r="AF340" s="27">
        <f t="shared" si="85"/>
        <v>3.3717881511042887E-2</v>
      </c>
      <c r="AG340" s="27">
        <f t="shared" si="85"/>
        <v>3.4646584034980096E-2</v>
      </c>
      <c r="AH340" s="27">
        <f t="shared" si="85"/>
        <v>3.5538165505592613E-2</v>
      </c>
      <c r="AI340" s="27">
        <f t="shared" si="85"/>
        <v>3.6460205061343343E-2</v>
      </c>
      <c r="AJ340" s="27">
        <f t="shared" si="85"/>
        <v>3.7437714403299294E-2</v>
      </c>
      <c r="AK340" s="27">
        <f t="shared" si="85"/>
        <v>3.8364865183864859E-2</v>
      </c>
      <c r="AL340" s="27">
        <f t="shared" si="85"/>
        <v>3.9289489030274523E-2</v>
      </c>
      <c r="AM340" s="27">
        <f t="shared" si="85"/>
        <v>4.0213713135776041E-2</v>
      </c>
      <c r="AN340" s="27">
        <f t="shared" si="85"/>
        <v>4.1194270919742537E-2</v>
      </c>
      <c r="AO340" s="27">
        <f t="shared" si="85"/>
        <v>4.2143606587708417E-2</v>
      </c>
      <c r="AP340" s="27">
        <f t="shared" si="85"/>
        <v>4.312581803484019E-2</v>
      </c>
      <c r="AQ340" s="27">
        <f t="shared" si="85"/>
        <v>4.4145005515766646E-2</v>
      </c>
      <c r="AR340" s="27">
        <f t="shared" si="85"/>
        <v>4.5207623438646753E-2</v>
      </c>
      <c r="AS340" s="27">
        <f t="shared" si="85"/>
        <v>4.6298619591859998E-2</v>
      </c>
      <c r="AT340" s="27">
        <f t="shared" si="85"/>
        <v>4.6680756880281324E-2</v>
      </c>
      <c r="AU340" s="27">
        <f t="shared" si="85"/>
        <v>4.6997259618094658E-2</v>
      </c>
      <c r="AV340" s="27">
        <f t="shared" si="85"/>
        <v>4.721828532997379E-2</v>
      </c>
      <c r="AW340" s="27">
        <f t="shared" si="85"/>
        <v>4.7411040136301673E-2</v>
      </c>
      <c r="AY340" s="79"/>
    </row>
    <row r="341" spans="1:51" x14ac:dyDescent="0.3">
      <c r="A341" s="95" t="str">
        <f t="shared" si="71"/>
        <v>GS Poultry MMCH4</v>
      </c>
      <c r="B341" s="95" t="s">
        <v>1021</v>
      </c>
      <c r="C341" s="95" t="s">
        <v>1231</v>
      </c>
      <c r="D341" t="s">
        <v>15</v>
      </c>
      <c r="E341" t="s">
        <v>22</v>
      </c>
      <c r="F341" t="s">
        <v>28</v>
      </c>
      <c r="G341" t="s">
        <v>133</v>
      </c>
      <c r="H341" t="s">
        <v>1227</v>
      </c>
      <c r="I341" t="s">
        <v>121</v>
      </c>
      <c r="J341" t="s">
        <v>286</v>
      </c>
      <c r="K341" s="27">
        <f t="shared" si="83"/>
        <v>9.2084154088933862E-2</v>
      </c>
      <c r="L341" s="27">
        <f t="shared" si="85"/>
        <v>9.3296737810214581E-2</v>
      </c>
      <c r="M341" s="27">
        <f t="shared" si="85"/>
        <v>9.5244495094686854E-2</v>
      </c>
      <c r="N341" s="27">
        <f t="shared" si="85"/>
        <v>9.5803753116994225E-2</v>
      </c>
      <c r="O341" s="27">
        <f t="shared" si="85"/>
        <v>9.5460820340069155E-2</v>
      </c>
      <c r="P341" s="27">
        <f t="shared" si="85"/>
        <v>9.4219345357912251E-2</v>
      </c>
      <c r="Q341" s="27">
        <f t="shared" si="85"/>
        <v>9.3696712749775937E-2</v>
      </c>
      <c r="R341" s="27">
        <f t="shared" si="85"/>
        <v>9.3292648760063338E-2</v>
      </c>
      <c r="S341" s="27">
        <f t="shared" si="85"/>
        <v>7.8640860275212429E-2</v>
      </c>
      <c r="T341" s="27">
        <f t="shared" si="85"/>
        <v>8.1755420767148743E-2</v>
      </c>
      <c r="U341" s="27">
        <f t="shared" si="85"/>
        <v>8.6726059053620061E-2</v>
      </c>
      <c r="V341" s="27">
        <f t="shared" si="85"/>
        <v>8.8642297270267373E-2</v>
      </c>
      <c r="W341" s="27">
        <f t="shared" si="85"/>
        <v>9.0935445339862836E-2</v>
      </c>
      <c r="X341" s="27">
        <f t="shared" si="85"/>
        <v>9.3722006695466042E-2</v>
      </c>
      <c r="Y341" s="27">
        <f t="shared" si="85"/>
        <v>9.6921807746960562E-2</v>
      </c>
      <c r="Z341" s="27">
        <f t="shared" si="85"/>
        <v>0.10050510477666173</v>
      </c>
      <c r="AA341" s="27">
        <f t="shared" si="85"/>
        <v>0.10416449506007071</v>
      </c>
      <c r="AB341" s="27">
        <f t="shared" si="85"/>
        <v>0.10817772618970968</v>
      </c>
      <c r="AC341" s="27">
        <f t="shared" si="85"/>
        <v>0.11224241460350089</v>
      </c>
      <c r="AD341" s="27">
        <f t="shared" si="85"/>
        <v>0.11698745633344786</v>
      </c>
      <c r="AE341" s="27">
        <f t="shared" si="85"/>
        <v>0.12159228241281558</v>
      </c>
      <c r="AF341" s="27">
        <f t="shared" si="85"/>
        <v>0.12644966809503322</v>
      </c>
      <c r="AG341" s="27">
        <f t="shared" si="85"/>
        <v>0.13202497800776722</v>
      </c>
      <c r="AH341" s="27">
        <f t="shared" si="85"/>
        <v>0.13720978961716535</v>
      </c>
      <c r="AI341" s="27">
        <f t="shared" si="85"/>
        <v>0.14279477022603335</v>
      </c>
      <c r="AJ341" s="27">
        <f t="shared" si="85"/>
        <v>0.14877433800049503</v>
      </c>
      <c r="AK341" s="27">
        <f t="shared" si="85"/>
        <v>0.15426125474328603</v>
      </c>
      <c r="AL341" s="27">
        <f t="shared" si="85"/>
        <v>0.15966097250999123</v>
      </c>
      <c r="AM341" s="27">
        <f t="shared" si="85"/>
        <v>0.16499320273354395</v>
      </c>
      <c r="AN341" s="27">
        <f t="shared" si="85"/>
        <v>0.17091890617808173</v>
      </c>
      <c r="AO341" s="27">
        <f t="shared" si="85"/>
        <v>0.17652517658131101</v>
      </c>
      <c r="AP341" s="27">
        <f t="shared" si="85"/>
        <v>0.18233573270818484</v>
      </c>
      <c r="AQ341" s="27">
        <f t="shared" si="85"/>
        <v>0.18838054697256806</v>
      </c>
      <c r="AR341" s="27">
        <f t="shared" si="85"/>
        <v>0.19470775516763436</v>
      </c>
      <c r="AS341" s="27">
        <f t="shared" si="85"/>
        <v>0.2013891888086517</v>
      </c>
      <c r="AT341" s="27">
        <f t="shared" si="85"/>
        <v>0.20240640286429301</v>
      </c>
      <c r="AU341" s="27">
        <f t="shared" si="85"/>
        <v>0.20290266775142457</v>
      </c>
      <c r="AV341" s="27">
        <f t="shared" si="85"/>
        <v>0.20265289863539254</v>
      </c>
      <c r="AW341" s="27">
        <f t="shared" si="85"/>
        <v>0.20219075340859499</v>
      </c>
      <c r="AY341" s="79"/>
    </row>
    <row r="342" spans="1:51" x14ac:dyDescent="0.3">
      <c r="A342" s="95" t="str">
        <f t="shared" si="71"/>
        <v>GS Cattle MMN2O</v>
      </c>
      <c r="B342" s="95" t="s">
        <v>1021</v>
      </c>
      <c r="C342" s="95" t="s">
        <v>1232</v>
      </c>
      <c r="D342" t="s">
        <v>15</v>
      </c>
      <c r="E342" t="s">
        <v>657</v>
      </c>
      <c r="F342" t="s">
        <v>6</v>
      </c>
      <c r="G342" t="s">
        <v>136</v>
      </c>
      <c r="H342" t="s">
        <v>1227</v>
      </c>
      <c r="I342" t="s">
        <v>139</v>
      </c>
      <c r="J342" t="s">
        <v>287</v>
      </c>
      <c r="K342" s="27">
        <f t="shared" si="83"/>
        <v>5.9474079071945893E-2</v>
      </c>
      <c r="L342" s="27">
        <f t="shared" si="85"/>
        <v>5.9806569587962516E-2</v>
      </c>
      <c r="M342" s="27">
        <f t="shared" si="85"/>
        <v>6.0278316688762053E-2</v>
      </c>
      <c r="N342" s="27">
        <f t="shared" si="85"/>
        <v>6.0581464452445992E-2</v>
      </c>
      <c r="O342" s="27">
        <f t="shared" si="85"/>
        <v>6.078290752789528E-2</v>
      </c>
      <c r="P342" s="27">
        <f t="shared" si="85"/>
        <v>6.0880663265441157E-2</v>
      </c>
      <c r="Q342" s="27">
        <f t="shared" si="85"/>
        <v>6.1096642070638009E-2</v>
      </c>
      <c r="R342" s="27">
        <f t="shared" si="85"/>
        <v>6.1344406036983767E-2</v>
      </c>
      <c r="S342" s="27">
        <f t="shared" si="85"/>
        <v>5.9500417755247011E-2</v>
      </c>
      <c r="T342" s="27">
        <f t="shared" si="85"/>
        <v>6.0126071727634615E-2</v>
      </c>
      <c r="U342" s="27">
        <f t="shared" si="85"/>
        <v>6.104186359289164E-2</v>
      </c>
      <c r="V342" s="27">
        <f t="shared" si="85"/>
        <v>6.1516540546796637E-2</v>
      </c>
      <c r="W342" s="27">
        <f t="shared" si="85"/>
        <v>6.2059033118034318E-2</v>
      </c>
      <c r="X342" s="27">
        <f t="shared" si="85"/>
        <v>6.2686911431302672E-2</v>
      </c>
      <c r="Y342" s="27">
        <f t="shared" si="85"/>
        <v>6.3328093657155735E-2</v>
      </c>
      <c r="Z342" s="27">
        <f t="shared" si="85"/>
        <v>6.403779969028206E-2</v>
      </c>
      <c r="AA342" s="27">
        <f t="shared" si="85"/>
        <v>6.476949047597555E-2</v>
      </c>
      <c r="AB342" s="27">
        <f t="shared" si="85"/>
        <v>6.5565173536469165E-2</v>
      </c>
      <c r="AC342" s="27">
        <f t="shared" si="85"/>
        <v>6.637880571901654E-2</v>
      </c>
      <c r="AD342" s="27">
        <f t="shared" si="85"/>
        <v>6.7257796908474193E-2</v>
      </c>
      <c r="AE342" s="27">
        <f t="shared" si="85"/>
        <v>6.8124891518831304E-2</v>
      </c>
      <c r="AF342" s="27">
        <f t="shared" si="85"/>
        <v>6.9040103414992046E-2</v>
      </c>
      <c r="AG342" s="27">
        <f t="shared" si="85"/>
        <v>7.0075359365803738E-2</v>
      </c>
      <c r="AH342" s="27">
        <f t="shared" si="85"/>
        <v>7.1059649676811054E-2</v>
      </c>
      <c r="AI342" s="27">
        <f t="shared" si="85"/>
        <v>7.2069034177178609E-2</v>
      </c>
      <c r="AJ342" s="27">
        <f t="shared" si="85"/>
        <v>7.3148525212574408E-2</v>
      </c>
      <c r="AK342" s="27">
        <f t="shared" si="85"/>
        <v>7.4159878217982214E-2</v>
      </c>
      <c r="AL342" s="27">
        <f t="shared" si="85"/>
        <v>7.5165742888720646E-2</v>
      </c>
      <c r="AM342" s="27">
        <f t="shared" si="85"/>
        <v>7.6168917031251032E-2</v>
      </c>
      <c r="AN342" s="27">
        <f t="shared" si="85"/>
        <v>7.7230245197332834E-2</v>
      </c>
      <c r="AO342" s="27">
        <f t="shared" si="85"/>
        <v>7.8248884607158259E-2</v>
      </c>
      <c r="AP342" s="27">
        <f t="shared" si="85"/>
        <v>7.9307079203447303E-2</v>
      </c>
      <c r="AQ342" s="27">
        <f t="shared" si="85"/>
        <v>8.0409655218804749E-2</v>
      </c>
      <c r="AR342" s="27">
        <f t="shared" si="85"/>
        <v>8.1564373746965665E-2</v>
      </c>
      <c r="AS342" s="27">
        <f t="shared" si="85"/>
        <v>8.2739517725039347E-2</v>
      </c>
      <c r="AT342" s="27">
        <f t="shared" si="85"/>
        <v>8.3018134970904087E-2</v>
      </c>
      <c r="AU342" s="27">
        <f t="shared" si="85"/>
        <v>8.3216426012492323E-2</v>
      </c>
      <c r="AV342" s="27">
        <f t="shared" si="85"/>
        <v>8.3297669475104599E-2</v>
      </c>
      <c r="AW342" s="27">
        <f t="shared" si="85"/>
        <v>8.3346726471042673E-2</v>
      </c>
      <c r="AY342" s="79"/>
    </row>
    <row r="343" spans="1:51" x14ac:dyDescent="0.3">
      <c r="A343" s="95" t="str">
        <f t="shared" si="71"/>
        <v>GS Cattle MMN2O</v>
      </c>
      <c r="B343" s="95" t="s">
        <v>1021</v>
      </c>
      <c r="C343" s="95" t="s">
        <v>1232</v>
      </c>
      <c r="D343" t="s">
        <v>15</v>
      </c>
      <c r="E343" t="s">
        <v>657</v>
      </c>
      <c r="F343" t="s">
        <v>6</v>
      </c>
      <c r="G343" t="s">
        <v>137</v>
      </c>
      <c r="H343" t="s">
        <v>1227</v>
      </c>
      <c r="I343" t="s">
        <v>139</v>
      </c>
      <c r="J343" t="s">
        <v>287</v>
      </c>
      <c r="K343" s="27">
        <f t="shared" si="83"/>
        <v>0.26041511380118898</v>
      </c>
      <c r="L343" s="27">
        <f t="shared" si="85"/>
        <v>0.26187096745907484</v>
      </c>
      <c r="M343" s="27">
        <f t="shared" si="85"/>
        <v>0.26393657447404822</v>
      </c>
      <c r="N343" s="27">
        <f t="shared" si="85"/>
        <v>0.26526394701365208</v>
      </c>
      <c r="O343" s="27">
        <f t="shared" si="85"/>
        <v>0.26614599213711043</v>
      </c>
      <c r="P343" s="27">
        <f t="shared" si="85"/>
        <v>0.26657402855087203</v>
      </c>
      <c r="Q343" s="27">
        <f t="shared" si="85"/>
        <v>0.26751972028770321</v>
      </c>
      <c r="R343" s="27">
        <f t="shared" si="85"/>
        <v>0.26860458755254496</v>
      </c>
      <c r="S343" s="27">
        <f t="shared" si="85"/>
        <v>0.26053044120627478</v>
      </c>
      <c r="T343" s="27">
        <f t="shared" si="85"/>
        <v>0.26326994979492208</v>
      </c>
      <c r="U343" s="27">
        <f t="shared" si="85"/>
        <v>0.26727986548475752</v>
      </c>
      <c r="V343" s="27">
        <f t="shared" si="85"/>
        <v>0.2693583012486882</v>
      </c>
      <c r="W343" s="27">
        <f t="shared" si="85"/>
        <v>0.27173367665390064</v>
      </c>
      <c r="X343" s="27">
        <f t="shared" si="85"/>
        <v>0.27448292481300673</v>
      </c>
      <c r="Y343" s="27">
        <f t="shared" si="85"/>
        <v>0.27729042591127234</v>
      </c>
      <c r="Z343" s="27">
        <f t="shared" si="85"/>
        <v>0.28039796755405094</v>
      </c>
      <c r="AA343" s="27">
        <f t="shared" si="85"/>
        <v>0.28360177234089196</v>
      </c>
      <c r="AB343" s="27">
        <f t="shared" si="85"/>
        <v>0.28708577575853983</v>
      </c>
      <c r="AC343" s="27">
        <f t="shared" si="85"/>
        <v>0.29064837177880054</v>
      </c>
      <c r="AD343" s="27">
        <f t="shared" si="85"/>
        <v>0.29449715084700523</v>
      </c>
      <c r="AE343" s="27">
        <f t="shared" si="85"/>
        <v>0.29829383917166835</v>
      </c>
      <c r="AF343" s="27">
        <f t="shared" si="85"/>
        <v>0.30230121539018168</v>
      </c>
      <c r="AG343" s="27">
        <f t="shared" si="85"/>
        <v>0.30683422036395941</v>
      </c>
      <c r="AH343" s="27">
        <f t="shared" si="85"/>
        <v>0.31114406554952856</v>
      </c>
      <c r="AI343" s="27">
        <f t="shared" si="85"/>
        <v>0.31556378895902254</v>
      </c>
      <c r="AJ343" s="27">
        <f t="shared" si="85"/>
        <v>0.32029048309563773</v>
      </c>
      <c r="AK343" s="27">
        <f t="shared" si="85"/>
        <v>0.32471882586455802</v>
      </c>
      <c r="AL343" s="27">
        <f t="shared" si="85"/>
        <v>0.32912313723492953</v>
      </c>
      <c r="AM343" s="27">
        <f t="shared" si="85"/>
        <v>0.33351566777203023</v>
      </c>
      <c r="AN343" s="27">
        <f t="shared" si="85"/>
        <v>0.33816283338541037</v>
      </c>
      <c r="AO343" s="27">
        <f t="shared" si="85"/>
        <v>0.34262308063885955</v>
      </c>
      <c r="AP343" s="27">
        <f t="shared" si="85"/>
        <v>0.34725652550284908</v>
      </c>
      <c r="AQ343" s="27">
        <f t="shared" si="85"/>
        <v>0.35208430027455134</v>
      </c>
      <c r="AR343" s="27">
        <f t="shared" si="85"/>
        <v>0.3571403879283947</v>
      </c>
      <c r="AS343" s="27">
        <f t="shared" si="85"/>
        <v>0.36228591111358999</v>
      </c>
      <c r="AT343" s="27">
        <f t="shared" si="85"/>
        <v>0.36350587353959202</v>
      </c>
      <c r="AU343" s="27">
        <f t="shared" si="85"/>
        <v>0.36437411706629697</v>
      </c>
      <c r="AV343" s="27">
        <f t="shared" si="85"/>
        <v>0.36472985230241872</v>
      </c>
      <c r="AW343" s="27">
        <f t="shared" si="85"/>
        <v>0.36494465484126087</v>
      </c>
      <c r="AY343" s="79"/>
    </row>
    <row r="344" spans="1:51" x14ac:dyDescent="0.3">
      <c r="A344" s="95" t="str">
        <f t="shared" si="71"/>
        <v>GS Cattle MMN2O</v>
      </c>
      <c r="B344" s="95" t="s">
        <v>1021</v>
      </c>
      <c r="C344" s="95" t="s">
        <v>1232</v>
      </c>
      <c r="D344" t="s">
        <v>15</v>
      </c>
      <c r="E344" t="s">
        <v>657</v>
      </c>
      <c r="F344" t="s">
        <v>67</v>
      </c>
      <c r="G344" t="s">
        <v>307</v>
      </c>
      <c r="H344" t="s">
        <v>1227</v>
      </c>
      <c r="I344" t="s">
        <v>139</v>
      </c>
      <c r="J344" t="s">
        <v>287</v>
      </c>
      <c r="K344" s="27">
        <f t="shared" si="83"/>
        <v>1.1586934798802538E-2</v>
      </c>
      <c r="L344" s="27">
        <f t="shared" si="85"/>
        <v>1.1651711689683764E-2</v>
      </c>
      <c r="M344" s="27">
        <f t="shared" si="85"/>
        <v>1.1743619004328788E-2</v>
      </c>
      <c r="N344" s="27">
        <f t="shared" si="85"/>
        <v>1.1802679244134426E-2</v>
      </c>
      <c r="O344" s="27">
        <f t="shared" si="85"/>
        <v>1.1841925043604099E-2</v>
      </c>
      <c r="P344" s="27">
        <f t="shared" si="85"/>
        <v>1.1860970136438286E-2</v>
      </c>
      <c r="Q344" s="27">
        <f t="shared" si="85"/>
        <v>1.1903047834366352E-2</v>
      </c>
      <c r="R344" s="27">
        <f t="shared" si="85"/>
        <v>1.1951318021451857E-2</v>
      </c>
      <c r="S344" s="27">
        <f t="shared" si="85"/>
        <v>1.1592066187314282E-2</v>
      </c>
      <c r="T344" s="27">
        <f t="shared" si="85"/>
        <v>1.1713958142562505E-2</v>
      </c>
      <c r="U344" s="27">
        <f t="shared" si="85"/>
        <v>1.1892375711990867E-2</v>
      </c>
      <c r="V344" s="27">
        <f t="shared" si="85"/>
        <v>1.1984853830210035E-2</v>
      </c>
      <c r="W344" s="27">
        <f t="shared" si="85"/>
        <v>1.2090544009021577E-2</v>
      </c>
      <c r="X344" s="27">
        <f t="shared" si="85"/>
        <v>1.221286931764253E-2</v>
      </c>
      <c r="Y344" s="27">
        <f t="shared" si="85"/>
        <v>1.2337786538069315E-2</v>
      </c>
      <c r="Z344" s="27">
        <f t="shared" si="85"/>
        <v>1.2476053790971267E-2</v>
      </c>
      <c r="AA344" s="27">
        <f t="shared" si="85"/>
        <v>1.2618604185344915E-2</v>
      </c>
      <c r="AB344" s="27">
        <f t="shared" si="85"/>
        <v>1.2773621764201382E-2</v>
      </c>
      <c r="AC344" s="27">
        <f t="shared" si="85"/>
        <v>1.293213624978054E-2</v>
      </c>
      <c r="AD344" s="27">
        <f t="shared" si="85"/>
        <v>1.3103384191066813E-2</v>
      </c>
      <c r="AE344" s="27">
        <f t="shared" si="85"/>
        <v>1.3272314401864145E-2</v>
      </c>
      <c r="AF344" s="27">
        <f t="shared" ref="L344:AW351" si="86">AF1413</f>
        <v>1.345061897981439E-2</v>
      </c>
      <c r="AG344" s="27">
        <f t="shared" si="86"/>
        <v>1.3652310933507637E-2</v>
      </c>
      <c r="AH344" s="27">
        <f t="shared" si="86"/>
        <v>1.3844073594396234E-2</v>
      </c>
      <c r="AI344" s="27">
        <f t="shared" si="86"/>
        <v>1.4040725187412617E-2</v>
      </c>
      <c r="AJ344" s="27">
        <f t="shared" si="86"/>
        <v>1.4251035165107133E-2</v>
      </c>
      <c r="AK344" s="27">
        <f t="shared" si="86"/>
        <v>1.4448070268720213E-2</v>
      </c>
      <c r="AL344" s="27">
        <f t="shared" si="86"/>
        <v>1.4644036117004574E-2</v>
      </c>
      <c r="AM344" s="27">
        <f t="shared" si="86"/>
        <v>1.4839477787774847E-2</v>
      </c>
      <c r="AN344" s="27">
        <f t="shared" si="86"/>
        <v>1.5046249215805637E-2</v>
      </c>
      <c r="AO344" s="27">
        <f t="shared" si="86"/>
        <v>1.5244703880582538E-2</v>
      </c>
      <c r="AP344" s="27">
        <f t="shared" si="86"/>
        <v>1.5450864816287217E-2</v>
      </c>
      <c r="AQ344" s="27">
        <f t="shared" si="86"/>
        <v>1.5665672285356487E-2</v>
      </c>
      <c r="AR344" s="27">
        <f t="shared" si="86"/>
        <v>1.589063832948109E-2</v>
      </c>
      <c r="AS344" s="27">
        <f t="shared" si="86"/>
        <v>1.6119583726629205E-2</v>
      </c>
      <c r="AT344" s="27">
        <f t="shared" si="86"/>
        <v>1.6173864850642101E-2</v>
      </c>
      <c r="AU344" s="27">
        <f t="shared" si="86"/>
        <v>1.6212496560555425E-2</v>
      </c>
      <c r="AV344" s="27">
        <f t="shared" si="86"/>
        <v>1.6228324677927005E-2</v>
      </c>
      <c r="AW344" s="27">
        <f t="shared" si="86"/>
        <v>1.6237882122484858E-2</v>
      </c>
      <c r="AY344" s="79"/>
    </row>
    <row r="345" spans="1:51" x14ac:dyDescent="0.3">
      <c r="A345" s="95" t="str">
        <f t="shared" si="71"/>
        <v>GS Cattle MMN2O</v>
      </c>
      <c r="B345" s="95" t="s">
        <v>1021</v>
      </c>
      <c r="C345" s="95" t="s">
        <v>1232</v>
      </c>
      <c r="D345" t="s">
        <v>15</v>
      </c>
      <c r="E345" t="s">
        <v>657</v>
      </c>
      <c r="F345" t="s">
        <v>67</v>
      </c>
      <c r="G345" t="s">
        <v>122</v>
      </c>
      <c r="H345" t="s">
        <v>1227</v>
      </c>
      <c r="I345" t="s">
        <v>139</v>
      </c>
      <c r="J345" t="s">
        <v>287</v>
      </c>
      <c r="K345" s="27">
        <f t="shared" si="83"/>
        <v>0.52525224947331306</v>
      </c>
      <c r="L345" s="27">
        <f t="shared" si="86"/>
        <v>0.52069690445710348</v>
      </c>
      <c r="M345" s="27">
        <f t="shared" si="86"/>
        <v>0.51896282251134873</v>
      </c>
      <c r="N345" s="27">
        <f t="shared" si="86"/>
        <v>0.51203275332440912</v>
      </c>
      <c r="O345" s="27">
        <f t="shared" si="86"/>
        <v>0.50197358865556674</v>
      </c>
      <c r="P345" s="27">
        <f t="shared" si="86"/>
        <v>0.48899333628247271</v>
      </c>
      <c r="Q345" s="27">
        <f t="shared" si="86"/>
        <v>0.47875543160314177</v>
      </c>
      <c r="R345" s="27">
        <f t="shared" si="86"/>
        <v>0.46906920988966794</v>
      </c>
      <c r="S345" s="27">
        <f t="shared" si="86"/>
        <v>0.41264416115350733</v>
      </c>
      <c r="T345" s="27">
        <f t="shared" si="86"/>
        <v>0.41934674582080395</v>
      </c>
      <c r="U345" s="27">
        <f t="shared" si="86"/>
        <v>0.43185062896277993</v>
      </c>
      <c r="V345" s="27">
        <f t="shared" si="86"/>
        <v>0.43434779885132324</v>
      </c>
      <c r="W345" s="27">
        <f t="shared" si="86"/>
        <v>0.43794943602225234</v>
      </c>
      <c r="X345" s="27">
        <f t="shared" si="86"/>
        <v>0.44297379932068648</v>
      </c>
      <c r="Y345" s="27">
        <f t="shared" si="86"/>
        <v>0.44873697326986872</v>
      </c>
      <c r="Z345" s="27">
        <f t="shared" si="86"/>
        <v>0.45549399211939318</v>
      </c>
      <c r="AA345" s="27">
        <f t="shared" si="86"/>
        <v>0.46228217585155068</v>
      </c>
      <c r="AB345" s="27">
        <f t="shared" si="86"/>
        <v>0.46991678793970998</v>
      </c>
      <c r="AC345" s="27">
        <f t="shared" si="86"/>
        <v>0.47747563485930333</v>
      </c>
      <c r="AD345" s="27">
        <f t="shared" si="86"/>
        <v>0.48239948914340336</v>
      </c>
      <c r="AE345" s="27">
        <f t="shared" si="86"/>
        <v>0.48644231664639292</v>
      </c>
      <c r="AF345" s="27">
        <f t="shared" si="86"/>
        <v>0.49071333483501467</v>
      </c>
      <c r="AG345" s="27">
        <f t="shared" si="86"/>
        <v>0.49642790918475599</v>
      </c>
      <c r="AH345" s="27">
        <f t="shared" si="86"/>
        <v>0.50053763889453751</v>
      </c>
      <c r="AI345" s="27">
        <f t="shared" si="86"/>
        <v>0.50491759807835224</v>
      </c>
      <c r="AJ345" s="27">
        <f t="shared" si="86"/>
        <v>0.50973902676184191</v>
      </c>
      <c r="AK345" s="27">
        <f t="shared" si="86"/>
        <v>0.51274341869053752</v>
      </c>
      <c r="AL345" s="27">
        <f t="shared" si="86"/>
        <v>0.51499736836395149</v>
      </c>
      <c r="AM345" s="27">
        <f t="shared" si="86"/>
        <v>0.51656513471542254</v>
      </c>
      <c r="AN345" s="27">
        <f t="shared" si="86"/>
        <v>0.52143890594170261</v>
      </c>
      <c r="AO345" s="27">
        <f t="shared" si="86"/>
        <v>0.52514358906624359</v>
      </c>
      <c r="AP345" s="27">
        <f t="shared" si="86"/>
        <v>0.52889503602895283</v>
      </c>
      <c r="AQ345" s="27">
        <f t="shared" si="86"/>
        <v>0.53273616168720928</v>
      </c>
      <c r="AR345" s="27">
        <f t="shared" si="86"/>
        <v>0.53674442357271479</v>
      </c>
      <c r="AS345" s="27">
        <f t="shared" si="86"/>
        <v>0.54085984384551011</v>
      </c>
      <c r="AT345" s="27">
        <f t="shared" si="86"/>
        <v>0.53274169797877946</v>
      </c>
      <c r="AU345" s="27">
        <f t="shared" si="86"/>
        <v>0.52354520401592364</v>
      </c>
      <c r="AV345" s="27">
        <f t="shared" si="86"/>
        <v>0.51288351759282347</v>
      </c>
      <c r="AW345" s="27">
        <f t="shared" si="86"/>
        <v>0.50188770167031349</v>
      </c>
      <c r="AY345" s="79"/>
    </row>
    <row r="346" spans="1:51" x14ac:dyDescent="0.3">
      <c r="A346" s="95" t="str">
        <f t="shared" si="71"/>
        <v>GS Cattle MMN2O</v>
      </c>
      <c r="B346" s="95" t="s">
        <v>1021</v>
      </c>
      <c r="C346" s="95" t="s">
        <v>1232</v>
      </c>
      <c r="D346" t="s">
        <v>15</v>
      </c>
      <c r="E346" t="s">
        <v>657</v>
      </c>
      <c r="F346" t="s">
        <v>67</v>
      </c>
      <c r="G346" t="s">
        <v>123</v>
      </c>
      <c r="H346" t="s">
        <v>1227</v>
      </c>
      <c r="I346" t="s">
        <v>139</v>
      </c>
      <c r="J346" t="s">
        <v>287</v>
      </c>
      <c r="K346" s="27">
        <f t="shared" si="83"/>
        <v>0.80452586370517887</v>
      </c>
      <c r="L346" s="27">
        <f t="shared" si="86"/>
        <v>0.79754846782098032</v>
      </c>
      <c r="M346" s="27">
        <f t="shared" si="86"/>
        <v>0.79489238443144172</v>
      </c>
      <c r="N346" s="27">
        <f t="shared" si="86"/>
        <v>0.78427763712907439</v>
      </c>
      <c r="O346" s="27">
        <f t="shared" si="86"/>
        <v>0.76887007218962322</v>
      </c>
      <c r="P346" s="27">
        <f t="shared" si="86"/>
        <v>0.74898829393537225</v>
      </c>
      <c r="Q346" s="27">
        <f t="shared" si="86"/>
        <v>0.73330695394505496</v>
      </c>
      <c r="R346" s="27">
        <f t="shared" si="86"/>
        <v>0.71847062359542491</v>
      </c>
      <c r="S346" s="27">
        <f t="shared" si="86"/>
        <v>0.63204469945214758</v>
      </c>
      <c r="T346" s="27">
        <f t="shared" si="86"/>
        <v>0.6423110100180156</v>
      </c>
      <c r="U346" s="27">
        <f t="shared" si="86"/>
        <v>0.66146313624794417</v>
      </c>
      <c r="V346" s="27">
        <f t="shared" si="86"/>
        <v>0.6652880370711457</v>
      </c>
      <c r="W346" s="27">
        <f t="shared" si="86"/>
        <v>0.6708046441082407</v>
      </c>
      <c r="X346" s="27">
        <f t="shared" si="86"/>
        <v>0.67850043261042148</v>
      </c>
      <c r="Y346" s="27">
        <f t="shared" si="86"/>
        <v>0.68732785315702249</v>
      </c>
      <c r="Z346" s="27">
        <f t="shared" si="86"/>
        <v>0.69767754024819972</v>
      </c>
      <c r="AA346" s="27">
        <f t="shared" si="86"/>
        <v>0.70807496241170254</v>
      </c>
      <c r="AB346" s="27">
        <f t="shared" si="86"/>
        <v>0.71976885404270319</v>
      </c>
      <c r="AC346" s="27">
        <f t="shared" si="86"/>
        <v>0.73134669659873019</v>
      </c>
      <c r="AD346" s="27">
        <f t="shared" si="86"/>
        <v>0.73888853601902071</v>
      </c>
      <c r="AE346" s="27">
        <f t="shared" si="86"/>
        <v>0.74508091176213287</v>
      </c>
      <c r="AF346" s="27">
        <f t="shared" si="86"/>
        <v>0.7516228058721478</v>
      </c>
      <c r="AG346" s="27">
        <f t="shared" si="86"/>
        <v>0.76037578669049388</v>
      </c>
      <c r="AH346" s="27">
        <f t="shared" si="86"/>
        <v>0.76667063616076714</v>
      </c>
      <c r="AI346" s="27">
        <f t="shared" si="86"/>
        <v>0.77337939456948435</v>
      </c>
      <c r="AJ346" s="27">
        <f t="shared" si="86"/>
        <v>0.78076434928365657</v>
      </c>
      <c r="AK346" s="27">
        <f t="shared" si="86"/>
        <v>0.78536615920216046</v>
      </c>
      <c r="AL346" s="27">
        <f t="shared" si="86"/>
        <v>0.78881852101416539</v>
      </c>
      <c r="AM346" s="27">
        <f t="shared" si="86"/>
        <v>0.79121985976001552</v>
      </c>
      <c r="AN346" s="27">
        <f t="shared" si="86"/>
        <v>0.79868498724734416</v>
      </c>
      <c r="AO346" s="27">
        <f t="shared" si="86"/>
        <v>0.80435942918169867</v>
      </c>
      <c r="AP346" s="27">
        <f t="shared" si="86"/>
        <v>0.81010549901927509</v>
      </c>
      <c r="AQ346" s="27">
        <f t="shared" si="86"/>
        <v>0.81598892920145427</v>
      </c>
      <c r="AR346" s="27">
        <f t="shared" si="86"/>
        <v>0.82212836098613751</v>
      </c>
      <c r="AS346" s="27">
        <f t="shared" si="86"/>
        <v>0.82843192665920329</v>
      </c>
      <c r="AT346" s="27">
        <f t="shared" si="86"/>
        <v>0.81599740910755991</v>
      </c>
      <c r="AU346" s="27">
        <f t="shared" si="86"/>
        <v>0.80191119195009897</v>
      </c>
      <c r="AV346" s="27">
        <f t="shared" si="86"/>
        <v>0.78558074788879373</v>
      </c>
      <c r="AW346" s="27">
        <f t="shared" si="86"/>
        <v>0.76873851958597172</v>
      </c>
      <c r="AY346" s="79"/>
    </row>
    <row r="347" spans="1:51" x14ac:dyDescent="0.3">
      <c r="A347" s="95" t="str">
        <f t="shared" si="71"/>
        <v>GS Cattle MMN2O</v>
      </c>
      <c r="B347" s="95" t="s">
        <v>1021</v>
      </c>
      <c r="C347" s="95" t="s">
        <v>1232</v>
      </c>
      <c r="D347" t="s">
        <v>15</v>
      </c>
      <c r="E347" t="s">
        <v>657</v>
      </c>
      <c r="F347" t="s">
        <v>67</v>
      </c>
      <c r="G347" t="s">
        <v>135</v>
      </c>
      <c r="H347" t="s">
        <v>1227</v>
      </c>
      <c r="I347" t="s">
        <v>139</v>
      </c>
      <c r="J347" t="s">
        <v>287</v>
      </c>
      <c r="K347" s="27">
        <f t="shared" si="83"/>
        <v>0.97926119892671493</v>
      </c>
      <c r="L347" s="27">
        <f t="shared" si="86"/>
        <v>1.0122801448609142</v>
      </c>
      <c r="M347" s="27">
        <f t="shared" si="86"/>
        <v>1.0514701788925804</v>
      </c>
      <c r="N347" s="27">
        <f t="shared" si="86"/>
        <v>1.0806972456941153</v>
      </c>
      <c r="O347" s="27">
        <f t="shared" si="86"/>
        <v>1.1032367943433714</v>
      </c>
      <c r="P347" s="27">
        <f t="shared" si="86"/>
        <v>1.1187666946803865</v>
      </c>
      <c r="Q347" s="27">
        <f t="shared" si="86"/>
        <v>1.1399714801203362</v>
      </c>
      <c r="R347" s="27">
        <f t="shared" si="86"/>
        <v>1.1622002864669057</v>
      </c>
      <c r="S347" s="27">
        <f t="shared" si="86"/>
        <v>1.0637182358780759</v>
      </c>
      <c r="T347" s="27">
        <f t="shared" si="86"/>
        <v>1.1070403364801074</v>
      </c>
      <c r="U347" s="27">
        <f t="shared" si="86"/>
        <v>1.167139233674557</v>
      </c>
      <c r="V347" s="27">
        <f t="shared" si="86"/>
        <v>1.2014274387995842</v>
      </c>
      <c r="W347" s="27">
        <f t="shared" si="86"/>
        <v>1.2394742549139584</v>
      </c>
      <c r="X347" s="27">
        <f t="shared" si="86"/>
        <v>1.2824424199036168</v>
      </c>
      <c r="Y347" s="27">
        <f t="shared" si="86"/>
        <v>1.3286164007902908</v>
      </c>
      <c r="Z347" s="27">
        <f t="shared" si="86"/>
        <v>1.3789486454543383</v>
      </c>
      <c r="AA347" s="27">
        <f t="shared" si="86"/>
        <v>1.4306963818966387</v>
      </c>
      <c r="AB347" s="27">
        <f t="shared" si="86"/>
        <v>1.4864839183326823</v>
      </c>
      <c r="AC347" s="27">
        <f t="shared" si="86"/>
        <v>1.5435464944872577</v>
      </c>
      <c r="AD347" s="27">
        <f t="shared" si="86"/>
        <v>1.6111800014411353</v>
      </c>
      <c r="AE347" s="27">
        <f t="shared" si="86"/>
        <v>1.6786649286792732</v>
      </c>
      <c r="AF347" s="27">
        <f t="shared" si="86"/>
        <v>1.7498130115622672</v>
      </c>
      <c r="AG347" s="27">
        <f t="shared" si="86"/>
        <v>1.8293448328146484</v>
      </c>
      <c r="AH347" s="27">
        <f t="shared" si="86"/>
        <v>1.9063603244571439</v>
      </c>
      <c r="AI347" s="27">
        <f t="shared" si="86"/>
        <v>1.9878317329791768</v>
      </c>
      <c r="AJ347" s="27">
        <f t="shared" si="86"/>
        <v>2.0747636655461594</v>
      </c>
      <c r="AK347" s="27">
        <f t="shared" si="86"/>
        <v>2.1580530015142441</v>
      </c>
      <c r="AL347" s="27">
        <f t="shared" si="86"/>
        <v>2.2418001061580344</v>
      </c>
      <c r="AM347" s="27">
        <f t="shared" si="86"/>
        <v>2.326186702125502</v>
      </c>
      <c r="AN347" s="27">
        <f t="shared" si="86"/>
        <v>2.4143873382610392</v>
      </c>
      <c r="AO347" s="27">
        <f t="shared" si="86"/>
        <v>2.5003845769659914</v>
      </c>
      <c r="AP347" s="27">
        <f t="shared" si="86"/>
        <v>2.5898227222528956</v>
      </c>
      <c r="AQ347" s="27">
        <f t="shared" si="86"/>
        <v>2.6830977224212833</v>
      </c>
      <c r="AR347" s="27">
        <f t="shared" si="86"/>
        <v>2.7808208792989615</v>
      </c>
      <c r="AS347" s="27">
        <f t="shared" si="86"/>
        <v>2.8829310376391781</v>
      </c>
      <c r="AT347" s="27">
        <f t="shared" si="86"/>
        <v>2.9219897527083054</v>
      </c>
      <c r="AU347" s="27">
        <f t="shared" si="86"/>
        <v>2.955308116539189</v>
      </c>
      <c r="AV347" s="27">
        <f t="shared" si="86"/>
        <v>2.9801202079374365</v>
      </c>
      <c r="AW347" s="27">
        <f t="shared" si="86"/>
        <v>3.0024365734571252</v>
      </c>
      <c r="AY347" s="79"/>
    </row>
    <row r="348" spans="1:51" x14ac:dyDescent="0.3">
      <c r="A348" s="95" t="str">
        <f t="shared" si="71"/>
        <v>GS Sheep MMN2O</v>
      </c>
      <c r="B348" s="95" t="s">
        <v>1021</v>
      </c>
      <c r="C348" s="95" t="s">
        <v>1328</v>
      </c>
      <c r="D348" t="s">
        <v>15</v>
      </c>
      <c r="E348" t="s">
        <v>657</v>
      </c>
      <c r="F348" t="s">
        <v>18</v>
      </c>
      <c r="G348" t="s">
        <v>122</v>
      </c>
      <c r="H348" t="s">
        <v>1227</v>
      </c>
      <c r="I348" t="s">
        <v>139</v>
      </c>
      <c r="J348" t="s">
        <v>287</v>
      </c>
      <c r="K348" s="27">
        <f t="shared" si="83"/>
        <v>0.1171883187565219</v>
      </c>
      <c r="L348" s="27">
        <f t="shared" si="86"/>
        <v>0.11725168210757804</v>
      </c>
      <c r="M348" s="27">
        <f t="shared" si="86"/>
        <v>0.11740318150277541</v>
      </c>
      <c r="N348" s="27">
        <f t="shared" si="86"/>
        <v>0.11762656857541021</v>
      </c>
      <c r="O348" s="27">
        <f t="shared" si="86"/>
        <v>0.1179204237689029</v>
      </c>
      <c r="P348" s="27">
        <f t="shared" si="86"/>
        <v>0.11828164409401502</v>
      </c>
      <c r="Q348" s="27">
        <f t="shared" si="86"/>
        <v>0.1186873438242913</v>
      </c>
      <c r="R348" s="27">
        <f t="shared" si="86"/>
        <v>0.11913496163447934</v>
      </c>
      <c r="S348" s="27">
        <f t="shared" si="86"/>
        <v>0.11954428347803586</v>
      </c>
      <c r="T348" s="27">
        <f t="shared" si="86"/>
        <v>0.11972414940561894</v>
      </c>
      <c r="U348" s="27">
        <f t="shared" si="86"/>
        <v>0.11994380434419684</v>
      </c>
      <c r="V348" s="27">
        <f t="shared" si="86"/>
        <v>0.12017467883012861</v>
      </c>
      <c r="W348" s="27">
        <f t="shared" si="86"/>
        <v>0.12043388472990403</v>
      </c>
      <c r="X348" s="27">
        <f t="shared" si="86"/>
        <v>0.12072069678028939</v>
      </c>
      <c r="Y348" s="27">
        <f t="shared" si="86"/>
        <v>0.12089981812671623</v>
      </c>
      <c r="Z348" s="27">
        <f t="shared" si="86"/>
        <v>0.12110217984152867</v>
      </c>
      <c r="AA348" s="27">
        <f t="shared" si="86"/>
        <v>0.12132504756910802</v>
      </c>
      <c r="AB348" s="27">
        <f t="shared" si="86"/>
        <v>0.12156903411725499</v>
      </c>
      <c r="AC348" s="27">
        <f t="shared" si="86"/>
        <v>0.12183162117803532</v>
      </c>
      <c r="AD348" s="27">
        <f t="shared" si="86"/>
        <v>0.12200776858907328</v>
      </c>
      <c r="AE348" s="27">
        <f t="shared" si="86"/>
        <v>0.12219899661673859</v>
      </c>
      <c r="AF348" s="27">
        <f t="shared" si="86"/>
        <v>0.12240684242118335</v>
      </c>
      <c r="AG348" s="27">
        <f t="shared" si="86"/>
        <v>0.12263333491271973</v>
      </c>
      <c r="AH348" s="27">
        <f t="shared" si="86"/>
        <v>0.12287167298468532</v>
      </c>
      <c r="AI348" s="27">
        <f t="shared" si="86"/>
        <v>0.12302401792252464</v>
      </c>
      <c r="AJ348" s="27">
        <f t="shared" si="86"/>
        <v>0.12319088645114676</v>
      </c>
      <c r="AK348" s="27">
        <f t="shared" si="86"/>
        <v>0.12336677489796816</v>
      </c>
      <c r="AL348" s="27">
        <f t="shared" si="86"/>
        <v>0.12355355577482134</v>
      </c>
      <c r="AM348" s="27">
        <f t="shared" si="86"/>
        <v>0.12375094588099321</v>
      </c>
      <c r="AN348" s="27">
        <f t="shared" si="86"/>
        <v>0.12386757855810271</v>
      </c>
      <c r="AO348" s="27">
        <f t="shared" si="86"/>
        <v>0.12399208535623993</v>
      </c>
      <c r="AP348" s="27">
        <f t="shared" si="86"/>
        <v>0.12412714040619617</v>
      </c>
      <c r="AQ348" s="27">
        <f t="shared" si="86"/>
        <v>0.1242726131383893</v>
      </c>
      <c r="AR348" s="27">
        <f t="shared" si="86"/>
        <v>0.12442850053815514</v>
      </c>
      <c r="AS348" s="27">
        <f t="shared" si="86"/>
        <v>0.12449922291454818</v>
      </c>
      <c r="AT348" s="27">
        <f t="shared" si="86"/>
        <v>0.12454479881058539</v>
      </c>
      <c r="AU348" s="27">
        <f t="shared" si="86"/>
        <v>0.12459475860623467</v>
      </c>
      <c r="AV348" s="27">
        <f t="shared" si="86"/>
        <v>0.12464752954530567</v>
      </c>
      <c r="AW348" s="27">
        <f t="shared" si="86"/>
        <v>0.12470598620434532</v>
      </c>
      <c r="AY348" s="79"/>
    </row>
    <row r="349" spans="1:51" x14ac:dyDescent="0.3">
      <c r="A349" s="95" t="str">
        <f t="shared" si="71"/>
        <v>GS Sheep MMN2O</v>
      </c>
      <c r="B349" s="95" t="s">
        <v>1021</v>
      </c>
      <c r="C349" s="95" t="s">
        <v>1328</v>
      </c>
      <c r="D349" t="s">
        <v>15</v>
      </c>
      <c r="E349" t="s">
        <v>657</v>
      </c>
      <c r="F349" t="s">
        <v>18</v>
      </c>
      <c r="G349" t="s">
        <v>123</v>
      </c>
      <c r="H349" t="s">
        <v>1227</v>
      </c>
      <c r="I349" t="s">
        <v>139</v>
      </c>
      <c r="J349" t="s">
        <v>287</v>
      </c>
      <c r="K349" s="27">
        <f t="shared" si="83"/>
        <v>6.266545072674834E-2</v>
      </c>
      <c r="L349" s="27">
        <f t="shared" si="86"/>
        <v>6.269933373655362E-2</v>
      </c>
      <c r="M349" s="27">
        <f t="shared" si="86"/>
        <v>6.2780346741822493E-2</v>
      </c>
      <c r="N349" s="27">
        <f t="shared" si="86"/>
        <v>6.2899801067490158E-2</v>
      </c>
      <c r="O349" s="27">
        <f t="shared" si="86"/>
        <v>6.3056937617822231E-2</v>
      </c>
      <c r="P349" s="27">
        <f t="shared" si="86"/>
        <v>6.3250097095874355E-2</v>
      </c>
      <c r="Q349" s="27">
        <f t="shared" si="86"/>
        <v>6.3467041555247503E-2</v>
      </c>
      <c r="R349" s="27">
        <f t="shared" si="86"/>
        <v>6.3706401349179126E-2</v>
      </c>
      <c r="S349" s="27">
        <f t="shared" si="86"/>
        <v>6.3925282702636074E-2</v>
      </c>
      <c r="T349" s="27">
        <f t="shared" si="86"/>
        <v>6.402146446837842E-2</v>
      </c>
      <c r="U349" s="27">
        <f t="shared" si="86"/>
        <v>6.4138923067293366E-2</v>
      </c>
      <c r="V349" s="27">
        <f t="shared" si="86"/>
        <v>6.4262381223155141E-2</v>
      </c>
      <c r="W349" s="27">
        <f t="shared" si="86"/>
        <v>6.4400989360150498E-2</v>
      </c>
      <c r="X349" s="27">
        <f t="shared" si="86"/>
        <v>6.4554359649970958E-2</v>
      </c>
      <c r="Y349" s="27">
        <f t="shared" si="86"/>
        <v>6.4650143257311041E-2</v>
      </c>
      <c r="Z349" s="27">
        <f t="shared" si="86"/>
        <v>6.4758354452787853E-2</v>
      </c>
      <c r="AA349" s="27">
        <f t="shared" si="86"/>
        <v>6.4877531063130933E-2</v>
      </c>
      <c r="AB349" s="27">
        <f t="shared" si="86"/>
        <v>6.500800078206817E-2</v>
      </c>
      <c r="AC349" s="27">
        <f t="shared" si="86"/>
        <v>6.5148416965979825E-2</v>
      </c>
      <c r="AD349" s="27">
        <f t="shared" si="86"/>
        <v>6.5242610286817326E-2</v>
      </c>
      <c r="AE349" s="27">
        <f t="shared" si="86"/>
        <v>6.5344867838358231E-2</v>
      </c>
      <c r="AF349" s="27">
        <f t="shared" si="86"/>
        <v>6.5456011603840999E-2</v>
      </c>
      <c r="AG349" s="27">
        <f t="shared" si="86"/>
        <v>6.5577126525694585E-2</v>
      </c>
      <c r="AH349" s="27">
        <f t="shared" si="86"/>
        <v>6.570457577032536E-2</v>
      </c>
      <c r="AI349" s="27">
        <f t="shared" si="86"/>
        <v>6.5786040922287098E-2</v>
      </c>
      <c r="AJ349" s="27">
        <f t="shared" si="86"/>
        <v>6.5875272440148028E-2</v>
      </c>
      <c r="AK349" s="27">
        <f t="shared" si="86"/>
        <v>6.5969327282086584E-2</v>
      </c>
      <c r="AL349" s="27">
        <f t="shared" si="86"/>
        <v>6.6069206757782967E-2</v>
      </c>
      <c r="AM349" s="27">
        <f t="shared" si="86"/>
        <v>6.6174759428079058E-2</v>
      </c>
      <c r="AN349" s="27">
        <f t="shared" si="86"/>
        <v>6.623712775418944E-2</v>
      </c>
      <c r="AO349" s="27">
        <f t="shared" si="86"/>
        <v>6.6303706699144024E-2</v>
      </c>
      <c r="AP349" s="27">
        <f t="shared" si="86"/>
        <v>6.6375926231502153E-2</v>
      </c>
      <c r="AQ349" s="27">
        <f t="shared" si="86"/>
        <v>6.6453716530296997E-2</v>
      </c>
      <c r="AR349" s="27">
        <f t="shared" si="86"/>
        <v>6.653707598346266E-2</v>
      </c>
      <c r="AS349" s="27">
        <f t="shared" si="86"/>
        <v>6.6574894169098925E-2</v>
      </c>
      <c r="AT349" s="27">
        <f t="shared" si="86"/>
        <v>6.659926548953217E-2</v>
      </c>
      <c r="AU349" s="27">
        <f t="shared" si="86"/>
        <v>6.66259810627719E-2</v>
      </c>
      <c r="AV349" s="27">
        <f t="shared" si="86"/>
        <v>6.6654199870902653E-2</v>
      </c>
      <c r="AW349" s="27">
        <f t="shared" si="86"/>
        <v>6.6685459069136477E-2</v>
      </c>
      <c r="AY349" s="79"/>
    </row>
    <row r="350" spans="1:51" x14ac:dyDescent="0.3">
      <c r="A350" s="95" t="str">
        <f t="shared" si="71"/>
        <v>GS Goats MMN2O</v>
      </c>
      <c r="B350" s="95" t="s">
        <v>1021</v>
      </c>
      <c r="C350" s="95" t="s">
        <v>1329</v>
      </c>
      <c r="D350" t="s">
        <v>15</v>
      </c>
      <c r="E350" t="s">
        <v>657</v>
      </c>
      <c r="F350" t="s">
        <v>19</v>
      </c>
      <c r="G350" t="s">
        <v>122</v>
      </c>
      <c r="H350" t="s">
        <v>1227</v>
      </c>
      <c r="I350" t="s">
        <v>139</v>
      </c>
      <c r="J350" t="s">
        <v>287</v>
      </c>
      <c r="K350" s="27">
        <f t="shared" si="83"/>
        <v>1.4486129996083084E-2</v>
      </c>
      <c r="L350" s="27">
        <f t="shared" si="86"/>
        <v>1.4523786941695514E-2</v>
      </c>
      <c r="M350" s="27">
        <f t="shared" si="86"/>
        <v>1.457573336741831E-2</v>
      </c>
      <c r="N350" s="27">
        <f t="shared" si="86"/>
        <v>1.4639017833045654E-2</v>
      </c>
      <c r="O350" s="27">
        <f t="shared" si="86"/>
        <v>1.4713550078172181E-2</v>
      </c>
      <c r="P350" s="27">
        <f t="shared" si="86"/>
        <v>1.4798876460462532E-2</v>
      </c>
      <c r="Q350" s="27">
        <f t="shared" si="86"/>
        <v>1.4890706011157261E-2</v>
      </c>
      <c r="R350" s="27">
        <f t="shared" si="86"/>
        <v>1.4988675221399694E-2</v>
      </c>
      <c r="S350" s="27">
        <f t="shared" si="86"/>
        <v>1.5077522200056563E-2</v>
      </c>
      <c r="T350" s="27">
        <f t="shared" si="86"/>
        <v>1.5120920467659648E-2</v>
      </c>
      <c r="U350" s="27">
        <f t="shared" si="86"/>
        <v>1.5170664566545743E-2</v>
      </c>
      <c r="V350" s="27">
        <f t="shared" si="86"/>
        <v>1.522137130781058E-2</v>
      </c>
      <c r="W350" s="27">
        <f t="shared" si="86"/>
        <v>1.527636657794784E-2</v>
      </c>
      <c r="X350" s="27">
        <f t="shared" si="86"/>
        <v>1.5335559486365858E-2</v>
      </c>
      <c r="Y350" s="27">
        <f t="shared" si="86"/>
        <v>1.5373440359637548E-2</v>
      </c>
      <c r="Z350" s="27">
        <f t="shared" si="86"/>
        <v>1.5414884136013281E-2</v>
      </c>
      <c r="AA350" s="27">
        <f t="shared" si="86"/>
        <v>1.5459406079654034E-2</v>
      </c>
      <c r="AB350" s="27">
        <f t="shared" si="86"/>
        <v>1.5507149153927192E-2</v>
      </c>
      <c r="AC350" s="27">
        <f t="shared" si="86"/>
        <v>1.55576650603759E-2</v>
      </c>
      <c r="AD350" s="27">
        <f t="shared" si="86"/>
        <v>1.5591353436562988E-2</v>
      </c>
      <c r="AE350" s="27">
        <f t="shared" si="86"/>
        <v>1.5627280085252663E-2</v>
      </c>
      <c r="AF350" s="27">
        <f t="shared" si="86"/>
        <v>1.5665749106164011E-2</v>
      </c>
      <c r="AG350" s="27">
        <f t="shared" si="86"/>
        <v>1.5707151218007597E-2</v>
      </c>
      <c r="AH350" s="27">
        <f t="shared" si="86"/>
        <v>1.575023561921594E-2</v>
      </c>
      <c r="AI350" s="27">
        <f t="shared" si="86"/>
        <v>1.5776918897393025E-2</v>
      </c>
      <c r="AJ350" s="27">
        <f t="shared" si="86"/>
        <v>1.5805875112600263E-2</v>
      </c>
      <c r="AK350" s="27">
        <f t="shared" si="86"/>
        <v>1.5836097205917665E-2</v>
      </c>
      <c r="AL350" s="27">
        <f t="shared" si="86"/>
        <v>1.5867941184595159E-2</v>
      </c>
      <c r="AM350" s="27">
        <f t="shared" si="86"/>
        <v>1.5901363449816974E-2</v>
      </c>
      <c r="AN350" s="27">
        <f t="shared" si="86"/>
        <v>1.5919623331121565E-2</v>
      </c>
      <c r="AO350" s="27">
        <f t="shared" si="86"/>
        <v>1.5939033537312693E-2</v>
      </c>
      <c r="AP350" s="27">
        <f t="shared" si="86"/>
        <v>1.5960089556991585E-2</v>
      </c>
      <c r="AQ350" s="27">
        <f t="shared" si="86"/>
        <v>1.5982771280705937E-2</v>
      </c>
      <c r="AR350" s="27">
        <f t="shared" si="86"/>
        <v>1.6007081325051208E-2</v>
      </c>
      <c r="AS350" s="27">
        <f t="shared" si="86"/>
        <v>1.6015649873683192E-2</v>
      </c>
      <c r="AT350" s="27">
        <f t="shared" si="86"/>
        <v>1.601945516807891E-2</v>
      </c>
      <c r="AU350" s="27">
        <f t="shared" si="86"/>
        <v>1.602387884909745E-2</v>
      </c>
      <c r="AV350" s="27">
        <f t="shared" si="86"/>
        <v>1.6028641289399778E-2</v>
      </c>
      <c r="AW350" s="27">
        <f t="shared" si="86"/>
        <v>1.6034267352361548E-2</v>
      </c>
      <c r="AY350" s="79"/>
    </row>
    <row r="351" spans="1:51" x14ac:dyDescent="0.3">
      <c r="A351" s="95" t="str">
        <f t="shared" si="71"/>
        <v>GS Goats MMN2O</v>
      </c>
      <c r="B351" s="95" t="s">
        <v>1021</v>
      </c>
      <c r="C351" s="95" t="s">
        <v>1329</v>
      </c>
      <c r="D351" t="s">
        <v>15</v>
      </c>
      <c r="E351" t="s">
        <v>657</v>
      </c>
      <c r="F351" t="s">
        <v>19</v>
      </c>
      <c r="G351" t="s">
        <v>123</v>
      </c>
      <c r="H351" t="s">
        <v>1227</v>
      </c>
      <c r="I351" t="s">
        <v>139</v>
      </c>
      <c r="J351" t="s">
        <v>287</v>
      </c>
      <c r="K351" s="27">
        <f t="shared" si="83"/>
        <v>0.11484439540301131</v>
      </c>
      <c r="L351" s="27">
        <f t="shared" si="86"/>
        <v>0.11514293539628438</v>
      </c>
      <c r="M351" s="27">
        <f t="shared" si="86"/>
        <v>0.1155547607669731</v>
      </c>
      <c r="N351" s="27">
        <f t="shared" si="86"/>
        <v>0.11605647283191664</v>
      </c>
      <c r="O351" s="27">
        <f t="shared" si="86"/>
        <v>0.11664735601685972</v>
      </c>
      <c r="P351" s="27">
        <f t="shared" si="86"/>
        <v>0.11732381389682567</v>
      </c>
      <c r="Q351" s="27">
        <f t="shared" si="86"/>
        <v>0.11805182815822728</v>
      </c>
      <c r="R351" s="27">
        <f t="shared" si="86"/>
        <v>0.11882851694408277</v>
      </c>
      <c r="S351" s="27">
        <f t="shared" si="86"/>
        <v>0.11953288571269048</v>
      </c>
      <c r="T351" s="27">
        <f t="shared" si="86"/>
        <v>0.11987694225544984</v>
      </c>
      <c r="U351" s="27">
        <f t="shared" ref="L351:AW357" si="87">U1420</f>
        <v>0.12027130782879383</v>
      </c>
      <c r="V351" s="27">
        <f t="shared" si="87"/>
        <v>0.12067330512172106</v>
      </c>
      <c r="W351" s="27">
        <f t="shared" si="87"/>
        <v>0.12110930138508789</v>
      </c>
      <c r="X351" s="27">
        <f t="shared" si="87"/>
        <v>0.12157857604859369</v>
      </c>
      <c r="Y351" s="27">
        <f t="shared" si="87"/>
        <v>0.12187889131494858</v>
      </c>
      <c r="Z351" s="27">
        <f t="shared" si="87"/>
        <v>0.12220745287296136</v>
      </c>
      <c r="AA351" s="27">
        <f t="shared" si="87"/>
        <v>0.1225604177918853</v>
      </c>
      <c r="AB351" s="27">
        <f t="shared" si="87"/>
        <v>0.12293891946908028</v>
      </c>
      <c r="AC351" s="27">
        <f t="shared" si="87"/>
        <v>0.1233394038452322</v>
      </c>
      <c r="AD351" s="27">
        <f t="shared" si="87"/>
        <v>0.12360648147026812</v>
      </c>
      <c r="AE351" s="27">
        <f t="shared" si="87"/>
        <v>0.12389130386581051</v>
      </c>
      <c r="AF351" s="27">
        <f t="shared" si="87"/>
        <v>0.12419628189993717</v>
      </c>
      <c r="AG351" s="27">
        <f t="shared" si="87"/>
        <v>0.12452451314626521</v>
      </c>
      <c r="AH351" s="27">
        <f t="shared" si="87"/>
        <v>0.12486608139184988</v>
      </c>
      <c r="AI351" s="27">
        <f t="shared" si="87"/>
        <v>0.12507762339447212</v>
      </c>
      <c r="AJ351" s="27">
        <f t="shared" si="87"/>
        <v>0.12530718498404322</v>
      </c>
      <c r="AK351" s="27">
        <f t="shared" si="87"/>
        <v>0.12554678231167932</v>
      </c>
      <c r="AL351" s="27">
        <f t="shared" si="87"/>
        <v>0.12579923776247484</v>
      </c>
      <c r="AM351" s="27">
        <f t="shared" si="87"/>
        <v>0.12606420568996382</v>
      </c>
      <c r="AN351" s="27">
        <f t="shared" si="87"/>
        <v>0.12620896795767253</v>
      </c>
      <c r="AO351" s="27">
        <f t="shared" si="87"/>
        <v>0.1263628498705969</v>
      </c>
      <c r="AP351" s="27">
        <f t="shared" si="87"/>
        <v>0.12652977960616255</v>
      </c>
      <c r="AQ351" s="27">
        <f t="shared" si="87"/>
        <v>0.1267095977389128</v>
      </c>
      <c r="AR351" s="27">
        <f t="shared" si="87"/>
        <v>0.12690232501291954</v>
      </c>
      <c r="AS351" s="27">
        <f t="shared" si="87"/>
        <v>0.12697025549451732</v>
      </c>
      <c r="AT351" s="27">
        <f t="shared" si="87"/>
        <v>0.1270004234368404</v>
      </c>
      <c r="AU351" s="27">
        <f t="shared" si="87"/>
        <v>0.12703549387816376</v>
      </c>
      <c r="AV351" s="27">
        <f t="shared" si="87"/>
        <v>0.12707324996466249</v>
      </c>
      <c r="AW351" s="27">
        <f t="shared" si="87"/>
        <v>0.1271178527536419</v>
      </c>
      <c r="AY351" s="79"/>
    </row>
    <row r="352" spans="1:51" x14ac:dyDescent="0.3">
      <c r="A352" s="95" t="str">
        <f t="shared" si="71"/>
        <v>GS Horses MMN2O</v>
      </c>
      <c r="B352" s="95" t="s">
        <v>1021</v>
      </c>
      <c r="C352" s="95" t="s">
        <v>1330</v>
      </c>
      <c r="D352" t="s">
        <v>15</v>
      </c>
      <c r="E352" t="s">
        <v>657</v>
      </c>
      <c r="F352" t="s">
        <v>20</v>
      </c>
      <c r="G352" t="s">
        <v>3</v>
      </c>
      <c r="H352" t="s">
        <v>1227</v>
      </c>
      <c r="I352" t="s">
        <v>139</v>
      </c>
      <c r="J352" t="s">
        <v>287</v>
      </c>
      <c r="K352" s="27" t="str">
        <f t="shared" si="83"/>
        <v>NO</v>
      </c>
      <c r="L352" s="27" t="str">
        <f t="shared" si="87"/>
        <v>NO</v>
      </c>
      <c r="M352" s="27" t="str">
        <f t="shared" si="87"/>
        <v>NO</v>
      </c>
      <c r="N352" s="27" t="str">
        <f t="shared" si="87"/>
        <v>NO</v>
      </c>
      <c r="O352" s="27" t="str">
        <f t="shared" si="87"/>
        <v>NO</v>
      </c>
      <c r="P352" s="27" t="str">
        <f t="shared" si="87"/>
        <v>NO</v>
      </c>
      <c r="Q352" s="27" t="str">
        <f t="shared" si="87"/>
        <v>NO</v>
      </c>
      <c r="R352" s="27" t="str">
        <f t="shared" si="87"/>
        <v>NO</v>
      </c>
      <c r="S352" s="27" t="str">
        <f t="shared" si="87"/>
        <v>NO</v>
      </c>
      <c r="T352" s="27" t="str">
        <f t="shared" si="87"/>
        <v>NO</v>
      </c>
      <c r="U352" s="27" t="str">
        <f t="shared" si="87"/>
        <v>NO</v>
      </c>
      <c r="V352" s="27" t="str">
        <f t="shared" si="87"/>
        <v>NO</v>
      </c>
      <c r="W352" s="27" t="str">
        <f t="shared" si="87"/>
        <v>NO</v>
      </c>
      <c r="X352" s="27" t="str">
        <f t="shared" si="87"/>
        <v>NO</v>
      </c>
      <c r="Y352" s="27" t="str">
        <f t="shared" si="87"/>
        <v>NO</v>
      </c>
      <c r="Z352" s="27" t="str">
        <f t="shared" si="87"/>
        <v>NO</v>
      </c>
      <c r="AA352" s="27" t="str">
        <f t="shared" si="87"/>
        <v>NO</v>
      </c>
      <c r="AB352" s="27" t="str">
        <f t="shared" si="87"/>
        <v>NO</v>
      </c>
      <c r="AC352" s="27" t="str">
        <f t="shared" si="87"/>
        <v>NO</v>
      </c>
      <c r="AD352" s="27" t="str">
        <f t="shared" si="87"/>
        <v>NO</v>
      </c>
      <c r="AE352" s="27" t="str">
        <f t="shared" si="87"/>
        <v>NO</v>
      </c>
      <c r="AF352" s="27" t="str">
        <f t="shared" si="87"/>
        <v>NO</v>
      </c>
      <c r="AG352" s="27" t="str">
        <f t="shared" si="87"/>
        <v>NO</v>
      </c>
      <c r="AH352" s="27" t="str">
        <f t="shared" si="87"/>
        <v>NO</v>
      </c>
      <c r="AI352" s="27" t="str">
        <f t="shared" si="87"/>
        <v>NO</v>
      </c>
      <c r="AJ352" s="27" t="str">
        <f t="shared" si="87"/>
        <v>NO</v>
      </c>
      <c r="AK352" s="27" t="str">
        <f t="shared" si="87"/>
        <v>NO</v>
      </c>
      <c r="AL352" s="27" t="str">
        <f t="shared" si="87"/>
        <v>NO</v>
      </c>
      <c r="AM352" s="27" t="str">
        <f t="shared" si="87"/>
        <v>NO</v>
      </c>
      <c r="AN352" s="27" t="str">
        <f t="shared" si="87"/>
        <v>NO</v>
      </c>
      <c r="AO352" s="27" t="str">
        <f t="shared" si="87"/>
        <v>NO</v>
      </c>
      <c r="AP352" s="27" t="str">
        <f t="shared" si="87"/>
        <v>NO</v>
      </c>
      <c r="AQ352" s="27" t="str">
        <f t="shared" si="87"/>
        <v>NO</v>
      </c>
      <c r="AR352" s="27" t="str">
        <f t="shared" si="87"/>
        <v>NO</v>
      </c>
      <c r="AS352" s="27" t="str">
        <f t="shared" si="87"/>
        <v>NO</v>
      </c>
      <c r="AT352" s="27" t="str">
        <f t="shared" si="87"/>
        <v>NO</v>
      </c>
      <c r="AU352" s="27" t="str">
        <f t="shared" si="87"/>
        <v>NO</v>
      </c>
      <c r="AV352" s="27" t="str">
        <f t="shared" si="87"/>
        <v>NO</v>
      </c>
      <c r="AW352" s="27" t="str">
        <f t="shared" si="87"/>
        <v>NO</v>
      </c>
      <c r="AY352" s="79"/>
    </row>
    <row r="353" spans="1:51" x14ac:dyDescent="0.3">
      <c r="A353" s="95" t="str">
        <f t="shared" si="71"/>
        <v>GS Mules MMN2O</v>
      </c>
      <c r="B353" s="95" t="s">
        <v>1021</v>
      </c>
      <c r="C353" s="95" t="s">
        <v>1331</v>
      </c>
      <c r="D353" t="s">
        <v>15</v>
      </c>
      <c r="E353" t="s">
        <v>657</v>
      </c>
      <c r="F353" t="s">
        <v>140</v>
      </c>
      <c r="G353" t="s">
        <v>124</v>
      </c>
      <c r="H353" t="s">
        <v>1227</v>
      </c>
      <c r="I353" t="s">
        <v>139</v>
      </c>
      <c r="J353" t="s">
        <v>287</v>
      </c>
      <c r="K353" s="27" t="str">
        <f t="shared" si="83"/>
        <v>NO</v>
      </c>
      <c r="L353" s="27" t="str">
        <f t="shared" si="87"/>
        <v>NO</v>
      </c>
      <c r="M353" s="27" t="str">
        <f t="shared" si="87"/>
        <v>NO</v>
      </c>
      <c r="N353" s="27" t="str">
        <f t="shared" si="87"/>
        <v>NO</v>
      </c>
      <c r="O353" s="27" t="str">
        <f t="shared" si="87"/>
        <v>NO</v>
      </c>
      <c r="P353" s="27" t="str">
        <f t="shared" si="87"/>
        <v>NO</v>
      </c>
      <c r="Q353" s="27" t="str">
        <f t="shared" si="87"/>
        <v>NO</v>
      </c>
      <c r="R353" s="27" t="str">
        <f t="shared" si="87"/>
        <v>NO</v>
      </c>
      <c r="S353" s="27" t="str">
        <f t="shared" si="87"/>
        <v>NO</v>
      </c>
      <c r="T353" s="27" t="str">
        <f t="shared" si="87"/>
        <v>NO</v>
      </c>
      <c r="U353" s="27" t="str">
        <f t="shared" si="87"/>
        <v>NO</v>
      </c>
      <c r="V353" s="27" t="str">
        <f t="shared" si="87"/>
        <v>NO</v>
      </c>
      <c r="W353" s="27" t="str">
        <f t="shared" si="87"/>
        <v>NO</v>
      </c>
      <c r="X353" s="27" t="str">
        <f t="shared" si="87"/>
        <v>NO</v>
      </c>
      <c r="Y353" s="27" t="str">
        <f t="shared" si="87"/>
        <v>NO</v>
      </c>
      <c r="Z353" s="27" t="str">
        <f t="shared" si="87"/>
        <v>NO</v>
      </c>
      <c r="AA353" s="27" t="str">
        <f t="shared" si="87"/>
        <v>NO</v>
      </c>
      <c r="AB353" s="27" t="str">
        <f t="shared" si="87"/>
        <v>NO</v>
      </c>
      <c r="AC353" s="27" t="str">
        <f t="shared" si="87"/>
        <v>NO</v>
      </c>
      <c r="AD353" s="27" t="str">
        <f t="shared" si="87"/>
        <v>NO</v>
      </c>
      <c r="AE353" s="27" t="str">
        <f t="shared" si="87"/>
        <v>NO</v>
      </c>
      <c r="AF353" s="27" t="str">
        <f t="shared" si="87"/>
        <v>NO</v>
      </c>
      <c r="AG353" s="27" t="str">
        <f t="shared" si="87"/>
        <v>NO</v>
      </c>
      <c r="AH353" s="27" t="str">
        <f t="shared" si="87"/>
        <v>NO</v>
      </c>
      <c r="AI353" s="27" t="str">
        <f t="shared" si="87"/>
        <v>NO</v>
      </c>
      <c r="AJ353" s="27" t="str">
        <f t="shared" si="87"/>
        <v>NO</v>
      </c>
      <c r="AK353" s="27" t="str">
        <f t="shared" si="87"/>
        <v>NO</v>
      </c>
      <c r="AL353" s="27" t="str">
        <f t="shared" si="87"/>
        <v>NO</v>
      </c>
      <c r="AM353" s="27" t="str">
        <f t="shared" si="87"/>
        <v>NO</v>
      </c>
      <c r="AN353" s="27" t="str">
        <f t="shared" si="87"/>
        <v>NO</v>
      </c>
      <c r="AO353" s="27" t="str">
        <f t="shared" si="87"/>
        <v>NO</v>
      </c>
      <c r="AP353" s="27" t="str">
        <f t="shared" si="87"/>
        <v>NO</v>
      </c>
      <c r="AQ353" s="27" t="str">
        <f t="shared" si="87"/>
        <v>NO</v>
      </c>
      <c r="AR353" s="27" t="str">
        <f t="shared" si="87"/>
        <v>NO</v>
      </c>
      <c r="AS353" s="27" t="str">
        <f t="shared" si="87"/>
        <v>NO</v>
      </c>
      <c r="AT353" s="27" t="str">
        <f t="shared" si="87"/>
        <v>NO</v>
      </c>
      <c r="AU353" s="27" t="str">
        <f t="shared" si="87"/>
        <v>NO</v>
      </c>
      <c r="AV353" s="27" t="str">
        <f t="shared" si="87"/>
        <v>NO</v>
      </c>
      <c r="AW353" s="27" t="str">
        <f t="shared" si="87"/>
        <v>NO</v>
      </c>
      <c r="AY353" s="79"/>
    </row>
    <row r="354" spans="1:51" x14ac:dyDescent="0.3">
      <c r="A354" s="95" t="str">
        <f t="shared" si="71"/>
        <v>GS Swine MMN2O</v>
      </c>
      <c r="B354" s="95" t="s">
        <v>1021</v>
      </c>
      <c r="C354" s="95" t="s">
        <v>1233</v>
      </c>
      <c r="D354" t="s">
        <v>15</v>
      </c>
      <c r="E354" t="s">
        <v>657</v>
      </c>
      <c r="F354" t="s">
        <v>21</v>
      </c>
      <c r="G354" t="s">
        <v>122</v>
      </c>
      <c r="H354" t="s">
        <v>1227</v>
      </c>
      <c r="I354" t="s">
        <v>139</v>
      </c>
      <c r="J354" t="s">
        <v>287</v>
      </c>
      <c r="K354" s="27">
        <f t="shared" si="83"/>
        <v>9.7466979224281824E-2</v>
      </c>
      <c r="L354" s="27">
        <f t="shared" si="87"/>
        <v>9.6937181363551506E-2</v>
      </c>
      <c r="M354" s="27">
        <f t="shared" si="87"/>
        <v>9.6980665528366608E-2</v>
      </c>
      <c r="N354" s="27">
        <f t="shared" si="87"/>
        <v>9.6090308702663593E-2</v>
      </c>
      <c r="O354" s="27">
        <f t="shared" si="87"/>
        <v>9.4636150647850484E-2</v>
      </c>
      <c r="P354" s="27">
        <f t="shared" si="87"/>
        <v>9.2641437622218326E-2</v>
      </c>
      <c r="Q354" s="27">
        <f t="shared" si="87"/>
        <v>9.1193054757597189E-2</v>
      </c>
      <c r="R354" s="27">
        <f t="shared" si="87"/>
        <v>8.9872834352323558E-2</v>
      </c>
      <c r="S354" s="27">
        <f t="shared" si="87"/>
        <v>7.9353210388908066E-2</v>
      </c>
      <c r="T354" s="27">
        <f t="shared" si="87"/>
        <v>8.0356685470718767E-2</v>
      </c>
      <c r="U354" s="27">
        <f t="shared" si="87"/>
        <v>8.2509946009160923E-2</v>
      </c>
      <c r="V354" s="27">
        <f t="shared" si="87"/>
        <v>8.2705450879572748E-2</v>
      </c>
      <c r="W354" s="27">
        <f t="shared" si="87"/>
        <v>8.3128827539525094E-2</v>
      </c>
      <c r="X354" s="27">
        <f t="shared" si="87"/>
        <v>8.3840672628701915E-2</v>
      </c>
      <c r="Y354" s="27">
        <f t="shared" si="87"/>
        <v>8.4733895932113168E-2</v>
      </c>
      <c r="Z354" s="27">
        <f t="shared" si="87"/>
        <v>8.5828465366834875E-2</v>
      </c>
      <c r="AA354" s="27">
        <f t="shared" si="87"/>
        <v>8.6935834694674932E-2</v>
      </c>
      <c r="AB354" s="27">
        <f t="shared" si="87"/>
        <v>8.8214344657231616E-2</v>
      </c>
      <c r="AC354" s="27">
        <f t="shared" si="87"/>
        <v>8.9484030373768036E-2</v>
      </c>
      <c r="AD354" s="27">
        <f t="shared" si="87"/>
        <v>9.1062581228130657E-2</v>
      </c>
      <c r="AE354" s="27">
        <f t="shared" si="87"/>
        <v>9.2515752583830088E-2</v>
      </c>
      <c r="AF354" s="27">
        <f t="shared" si="87"/>
        <v>9.4062043086931529E-2</v>
      </c>
      <c r="AG354" s="27">
        <f t="shared" si="87"/>
        <v>9.5948315776645976E-2</v>
      </c>
      <c r="AH354" s="27">
        <f t="shared" si="87"/>
        <v>9.7568003997154984E-2</v>
      </c>
      <c r="AI354" s="27">
        <f t="shared" si="87"/>
        <v>9.931620819342124E-2</v>
      </c>
      <c r="AJ354" s="27">
        <f t="shared" si="87"/>
        <v>0.10121358762042433</v>
      </c>
      <c r="AK354" s="27">
        <f t="shared" si="87"/>
        <v>0.10279643211588628</v>
      </c>
      <c r="AL354" s="27">
        <f t="shared" si="87"/>
        <v>0.10428080048635653</v>
      </c>
      <c r="AM354" s="27">
        <f t="shared" si="87"/>
        <v>0.10567866446887142</v>
      </c>
      <c r="AN354" s="27">
        <f t="shared" si="87"/>
        <v>0.10729272325925118</v>
      </c>
      <c r="AO354" s="27">
        <f t="shared" si="87"/>
        <v>0.10869271119263345</v>
      </c>
      <c r="AP354" s="27">
        <f t="shared" si="87"/>
        <v>0.110137854380135</v>
      </c>
      <c r="AQ354" s="27">
        <f t="shared" si="87"/>
        <v>0.1116390532050176</v>
      </c>
      <c r="AR354" s="27">
        <f t="shared" si="87"/>
        <v>0.11321509141175116</v>
      </c>
      <c r="AS354" s="27">
        <f t="shared" si="87"/>
        <v>0.114870036037916</v>
      </c>
      <c r="AT354" s="27">
        <f t="shared" si="87"/>
        <v>0.11386297950526468</v>
      </c>
      <c r="AU354" s="27">
        <f t="shared" si="87"/>
        <v>0.11262319660921266</v>
      </c>
      <c r="AV354" s="27">
        <f t="shared" si="87"/>
        <v>0.11105880605518059</v>
      </c>
      <c r="AW354" s="27">
        <f t="shared" si="87"/>
        <v>0.1094176927215173</v>
      </c>
      <c r="AY354" s="79"/>
    </row>
    <row r="355" spans="1:51" x14ac:dyDescent="0.3">
      <c r="A355" s="95" t="str">
        <f t="shared" si="71"/>
        <v>GS Swine MMN2O</v>
      </c>
      <c r="B355" s="95" t="s">
        <v>1021</v>
      </c>
      <c r="C355" s="95" t="s">
        <v>1233</v>
      </c>
      <c r="D355" t="s">
        <v>15</v>
      </c>
      <c r="E355" t="s">
        <v>657</v>
      </c>
      <c r="F355" t="s">
        <v>21</v>
      </c>
      <c r="G355" t="s">
        <v>123</v>
      </c>
      <c r="H355" t="s">
        <v>1227</v>
      </c>
      <c r="I355" t="s">
        <v>139</v>
      </c>
      <c r="J355" t="s">
        <v>287</v>
      </c>
      <c r="K355" s="27">
        <f t="shared" si="83"/>
        <v>3.8131055665722169E-2</v>
      </c>
      <c r="L355" s="27">
        <f t="shared" si="87"/>
        <v>3.7923788015899962E-2</v>
      </c>
      <c r="M355" s="27">
        <f t="shared" si="87"/>
        <v>3.7940799901590251E-2</v>
      </c>
      <c r="N355" s="27">
        <f t="shared" si="87"/>
        <v>3.759247428451009E-2</v>
      </c>
      <c r="O355" s="27">
        <f t="shared" si="87"/>
        <v>3.7023578211438569E-2</v>
      </c>
      <c r="P355" s="27">
        <f t="shared" si="87"/>
        <v>3.6243206089281201E-2</v>
      </c>
      <c r="Q355" s="27">
        <f t="shared" si="87"/>
        <v>3.567656938754183E-2</v>
      </c>
      <c r="R355" s="27">
        <f t="shared" si="87"/>
        <v>3.5160072434777256E-2</v>
      </c>
      <c r="S355" s="27">
        <f t="shared" si="87"/>
        <v>3.1044582551701744E-2</v>
      </c>
      <c r="T355" s="27">
        <f t="shared" si="87"/>
        <v>3.1437162320852502E-2</v>
      </c>
      <c r="U355" s="27">
        <f t="shared" si="87"/>
        <v>3.2279561440098872E-2</v>
      </c>
      <c r="V355" s="27">
        <f t="shared" si="87"/>
        <v>3.2356046903749484E-2</v>
      </c>
      <c r="W355" s="27">
        <f t="shared" si="87"/>
        <v>3.2521680425139969E-2</v>
      </c>
      <c r="X355" s="27">
        <f t="shared" si="87"/>
        <v>3.2800168636601942E-2</v>
      </c>
      <c r="Y355" s="27">
        <f t="shared" si="87"/>
        <v>3.314961567779854E-2</v>
      </c>
      <c r="Z355" s="27">
        <f t="shared" si="87"/>
        <v>3.3577833402176044E-2</v>
      </c>
      <c r="AA355" s="27">
        <f t="shared" si="87"/>
        <v>3.4011058703898145E-2</v>
      </c>
      <c r="AB355" s="27">
        <f t="shared" si="87"/>
        <v>3.4511237686969419E-2</v>
      </c>
      <c r="AC355" s="27">
        <f t="shared" si="87"/>
        <v>3.5007964446334923E-2</v>
      </c>
      <c r="AD355" s="27">
        <f t="shared" si="87"/>
        <v>3.5625525501144749E-2</v>
      </c>
      <c r="AE355" s="27">
        <f t="shared" si="87"/>
        <v>3.6194035557545495E-2</v>
      </c>
      <c r="AF355" s="27">
        <f t="shared" si="87"/>
        <v>3.6798975709773488E-2</v>
      </c>
      <c r="AG355" s="27">
        <f t="shared" si="87"/>
        <v>3.7536923776951441E-2</v>
      </c>
      <c r="AH355" s="27">
        <f t="shared" si="87"/>
        <v>3.817057860229723E-2</v>
      </c>
      <c r="AI355" s="27">
        <f t="shared" si="87"/>
        <v>3.8854511479394858E-2</v>
      </c>
      <c r="AJ355" s="27">
        <f t="shared" si="87"/>
        <v>3.9596804727075885E-2</v>
      </c>
      <c r="AK355" s="27">
        <f t="shared" si="87"/>
        <v>4.0216045541216196E-2</v>
      </c>
      <c r="AL355" s="27">
        <f t="shared" si="87"/>
        <v>4.0796760501434604E-2</v>
      </c>
      <c r="AM355" s="27">
        <f t="shared" si="87"/>
        <v>4.1343633193648956E-2</v>
      </c>
      <c r="AN355" s="27">
        <f t="shared" si="87"/>
        <v>4.1975085671950317E-2</v>
      </c>
      <c r="AO355" s="27">
        <f t="shared" si="87"/>
        <v>4.252278929674716E-2</v>
      </c>
      <c r="AP355" s="27">
        <f t="shared" si="87"/>
        <v>4.3088158571204301E-2</v>
      </c>
      <c r="AQ355" s="27">
        <f t="shared" si="87"/>
        <v>4.3675457945951471E-2</v>
      </c>
      <c r="AR355" s="27">
        <f t="shared" si="87"/>
        <v>4.4292036002135757E-2</v>
      </c>
      <c r="AS355" s="27">
        <f t="shared" si="87"/>
        <v>4.4939483847203046E-2</v>
      </c>
      <c r="AT355" s="27">
        <f t="shared" si="87"/>
        <v>4.4545502941970565E-2</v>
      </c>
      <c r="AU355" s="27">
        <f t="shared" si="87"/>
        <v>4.4060474771414608E-2</v>
      </c>
      <c r="AV355" s="27">
        <f t="shared" si="87"/>
        <v>4.3448453512794687E-2</v>
      </c>
      <c r="AW355" s="27">
        <f t="shared" si="87"/>
        <v>4.2806416749393235E-2</v>
      </c>
      <c r="AY355" s="79"/>
    </row>
    <row r="356" spans="1:51" x14ac:dyDescent="0.3">
      <c r="A356" s="95" t="str">
        <f t="shared" si="71"/>
        <v>GS Poultry MMN2O</v>
      </c>
      <c r="B356" s="95" t="s">
        <v>1021</v>
      </c>
      <c r="C356" s="95" t="s">
        <v>1234</v>
      </c>
      <c r="D356" t="s">
        <v>15</v>
      </c>
      <c r="E356" t="s">
        <v>657</v>
      </c>
      <c r="F356" t="s">
        <v>28</v>
      </c>
      <c r="G356" t="s">
        <v>131</v>
      </c>
      <c r="H356" t="s">
        <v>1227</v>
      </c>
      <c r="I356" t="s">
        <v>139</v>
      </c>
      <c r="J356" t="s">
        <v>287</v>
      </c>
      <c r="K356" s="27">
        <f t="shared" si="83"/>
        <v>0.32784224726088984</v>
      </c>
      <c r="L356" s="27">
        <f t="shared" si="87"/>
        <v>0.33450793008613733</v>
      </c>
      <c r="M356" s="27">
        <f t="shared" si="87"/>
        <v>0.34229948156355033</v>
      </c>
      <c r="N356" s="27">
        <f t="shared" si="87"/>
        <v>0.34828124731402299</v>
      </c>
      <c r="O356" s="27">
        <f t="shared" si="87"/>
        <v>0.35308310351311478</v>
      </c>
      <c r="P356" s="27">
        <f t="shared" si="87"/>
        <v>0.3566764932045714</v>
      </c>
      <c r="Q356" s="27">
        <f t="shared" si="87"/>
        <v>0.36128421068096001</v>
      </c>
      <c r="R356" s="27">
        <f t="shared" si="87"/>
        <v>0.36607496135357964</v>
      </c>
      <c r="S356" s="27">
        <f t="shared" si="87"/>
        <v>0.34978148195901088</v>
      </c>
      <c r="T356" s="27">
        <f t="shared" si="87"/>
        <v>0.35848748777612982</v>
      </c>
      <c r="U356" s="27">
        <f t="shared" si="87"/>
        <v>0.37008968221816879</v>
      </c>
      <c r="V356" s="27">
        <f t="shared" si="87"/>
        <v>0.37718532914997255</v>
      </c>
      <c r="W356" s="27">
        <f t="shared" si="87"/>
        <v>0.38492114207778078</v>
      </c>
      <c r="X356" s="27">
        <f t="shared" si="87"/>
        <v>0.39349286127913036</v>
      </c>
      <c r="Y356" s="27">
        <f t="shared" si="87"/>
        <v>0.40234632670513226</v>
      </c>
      <c r="Z356" s="27">
        <f t="shared" si="87"/>
        <v>0.41188861015823597</v>
      </c>
      <c r="AA356" s="27">
        <f t="shared" si="87"/>
        <v>0.42164548581932815</v>
      </c>
      <c r="AB356" s="27">
        <f t="shared" si="87"/>
        <v>0.43206316644832626</v>
      </c>
      <c r="AC356" s="27">
        <f t="shared" si="87"/>
        <v>0.44266638237250944</v>
      </c>
      <c r="AD356" s="27">
        <f t="shared" si="87"/>
        <v>0.45410654796286065</v>
      </c>
      <c r="AE356" s="27">
        <f t="shared" si="87"/>
        <v>0.46542858130344616</v>
      </c>
      <c r="AF356" s="27">
        <f t="shared" si="87"/>
        <v>0.4772730257801403</v>
      </c>
      <c r="AG356" s="27">
        <f t="shared" si="87"/>
        <v>0.49041871120833058</v>
      </c>
      <c r="AH356" s="27">
        <f t="shared" si="87"/>
        <v>0.50303895207575822</v>
      </c>
      <c r="AI356" s="27">
        <f t="shared" si="87"/>
        <v>0.51609032389809528</v>
      </c>
      <c r="AJ356" s="27">
        <f t="shared" si="87"/>
        <v>0.52992686464312622</v>
      </c>
      <c r="AK356" s="27">
        <f t="shared" si="87"/>
        <v>0.54305058530896999</v>
      </c>
      <c r="AL356" s="27">
        <f t="shared" si="87"/>
        <v>0.55613853749065978</v>
      </c>
      <c r="AM356" s="27">
        <f t="shared" si="87"/>
        <v>0.56922083138232038</v>
      </c>
      <c r="AN356" s="27">
        <f t="shared" si="87"/>
        <v>0.58310052249970834</v>
      </c>
      <c r="AO356" s="27">
        <f t="shared" si="87"/>
        <v>0.59653826788660902</v>
      </c>
      <c r="AP356" s="27">
        <f t="shared" si="87"/>
        <v>0.61044136643017999</v>
      </c>
      <c r="AQ356" s="27">
        <f t="shared" si="87"/>
        <v>0.62486785679849377</v>
      </c>
      <c r="AR356" s="27">
        <f t="shared" si="87"/>
        <v>0.6399091004524019</v>
      </c>
      <c r="AS356" s="27">
        <f t="shared" si="87"/>
        <v>0.65535203493771454</v>
      </c>
      <c r="AT356" s="27">
        <f t="shared" si="87"/>
        <v>0.66076114760241544</v>
      </c>
      <c r="AU356" s="27">
        <f t="shared" si="87"/>
        <v>0.6652412101856594</v>
      </c>
      <c r="AV356" s="27">
        <f t="shared" si="87"/>
        <v>0.66836980562393489</v>
      </c>
      <c r="AW356" s="27">
        <f t="shared" si="87"/>
        <v>0.67109822940167552</v>
      </c>
      <c r="AY356" s="79"/>
    </row>
    <row r="357" spans="1:51" x14ac:dyDescent="0.3">
      <c r="A357" s="95" t="str">
        <f t="shared" si="71"/>
        <v>GS Poultry MMN2O</v>
      </c>
      <c r="B357" s="95" t="s">
        <v>1021</v>
      </c>
      <c r="C357" s="95" t="s">
        <v>1234</v>
      </c>
      <c r="D357" t="s">
        <v>15</v>
      </c>
      <c r="E357" t="s">
        <v>657</v>
      </c>
      <c r="F357" t="s">
        <v>28</v>
      </c>
      <c r="G357" t="s">
        <v>132</v>
      </c>
      <c r="H357" t="s">
        <v>1227</v>
      </c>
      <c r="I357" t="s">
        <v>139</v>
      </c>
      <c r="J357" t="s">
        <v>287</v>
      </c>
      <c r="K357" s="27">
        <f t="shared" si="83"/>
        <v>1.7017151675634961</v>
      </c>
      <c r="L357" s="27">
        <f t="shared" si="87"/>
        <v>1.7241237147327637</v>
      </c>
      <c r="M357" s="27">
        <f t="shared" si="87"/>
        <v>1.7601182693498112</v>
      </c>
      <c r="N357" s="27">
        <f t="shared" si="87"/>
        <v>1.7704533576020511</v>
      </c>
      <c r="O357" s="27">
        <f t="shared" si="87"/>
        <v>1.7641159598844758</v>
      </c>
      <c r="P357" s="27">
        <f t="shared" si="87"/>
        <v>1.7411735022142167</v>
      </c>
      <c r="Q357" s="27">
        <f t="shared" si="87"/>
        <v>1.7315152516158574</v>
      </c>
      <c r="R357" s="27">
        <f t="shared" si="87"/>
        <v>1.7240481490859689</v>
      </c>
      <c r="S357" s="27">
        <f t="shared" si="87"/>
        <v>1.4532830978859241</v>
      </c>
      <c r="T357" s="27">
        <f t="shared" si="87"/>
        <v>1.5108401757769072</v>
      </c>
      <c r="U357" s="27">
        <f t="shared" si="87"/>
        <v>1.6026975713108973</v>
      </c>
      <c r="V357" s="27">
        <f t="shared" si="87"/>
        <v>1.6381096535545392</v>
      </c>
      <c r="W357" s="27">
        <f t="shared" si="87"/>
        <v>1.6804870298806631</v>
      </c>
      <c r="X357" s="27">
        <f t="shared" si="87"/>
        <v>1.7319826837322108</v>
      </c>
      <c r="Y357" s="27">
        <f t="shared" si="87"/>
        <v>1.7911150071638293</v>
      </c>
      <c r="Z357" s="27">
        <f t="shared" si="87"/>
        <v>1.8573343362727066</v>
      </c>
      <c r="AA357" s="27">
        <f t="shared" si="87"/>
        <v>1.9249598687101048</v>
      </c>
      <c r="AB357" s="27">
        <f t="shared" si="87"/>
        <v>1.9991243799858327</v>
      </c>
      <c r="AC357" s="27">
        <f t="shared" si="87"/>
        <v>2.0742398218726938</v>
      </c>
      <c r="AD357" s="27">
        <f t="shared" si="87"/>
        <v>2.1619281930421144</v>
      </c>
      <c r="AE357" s="27">
        <f t="shared" si="87"/>
        <v>2.2470253789888299</v>
      </c>
      <c r="AF357" s="27">
        <f t="shared" si="87"/>
        <v>2.3367898663962117</v>
      </c>
      <c r="AG357" s="27">
        <f t="shared" si="87"/>
        <v>2.4398215935835355</v>
      </c>
      <c r="AH357" s="27">
        <f t="shared" si="87"/>
        <v>2.5356369121252129</v>
      </c>
      <c r="AI357" s="27">
        <f t="shared" si="87"/>
        <v>2.6388473537770931</v>
      </c>
      <c r="AJ357" s="27">
        <f t="shared" si="87"/>
        <v>2.7493497662491455</v>
      </c>
      <c r="AK357" s="27">
        <f t="shared" si="87"/>
        <v>2.8507479876559225</v>
      </c>
      <c r="AL357" s="27">
        <f t="shared" si="87"/>
        <v>2.9505347719846347</v>
      </c>
      <c r="AM357" s="27">
        <f t="shared" si="87"/>
        <v>3.0490743865158891</v>
      </c>
      <c r="AN357" s="27">
        <f t="shared" si="87"/>
        <v>3.1585813861709466</v>
      </c>
      <c r="AO357" s="27">
        <f t="shared" si="87"/>
        <v>3.2621852632226234</v>
      </c>
      <c r="AP357" s="27">
        <f t="shared" si="87"/>
        <v>3.3695643404472522</v>
      </c>
      <c r="AQ357" s="27">
        <f t="shared" si="87"/>
        <v>3.4812725080530544</v>
      </c>
      <c r="AR357" s="27">
        <f t="shared" si="87"/>
        <v>3.5981993154978791</v>
      </c>
      <c r="AS357" s="27">
        <f t="shared" si="87"/>
        <v>3.7216722091838785</v>
      </c>
      <c r="AT357" s="27">
        <f t="shared" si="87"/>
        <v>3.7404703249321303</v>
      </c>
      <c r="AU357" s="27">
        <f t="shared" si="87"/>
        <v>3.749641300046322</v>
      </c>
      <c r="AV357" s="27">
        <f t="shared" ref="L357:AW359" si="88">AV1426</f>
        <v>3.7450255667820502</v>
      </c>
      <c r="AW357" s="27">
        <f t="shared" si="88"/>
        <v>3.7364851229908305</v>
      </c>
      <c r="AY357" s="79"/>
    </row>
    <row r="358" spans="1:51" x14ac:dyDescent="0.3">
      <c r="A358" s="95" t="str">
        <f t="shared" si="71"/>
        <v>GS Poultry MMN2O</v>
      </c>
      <c r="B358" s="95" t="s">
        <v>1021</v>
      </c>
      <c r="C358" s="95" t="s">
        <v>1234</v>
      </c>
      <c r="D358" t="s">
        <v>15</v>
      </c>
      <c r="E358" t="s">
        <v>657</v>
      </c>
      <c r="F358" t="s">
        <v>28</v>
      </c>
      <c r="G358" t="s">
        <v>134</v>
      </c>
      <c r="H358" t="s">
        <v>1227</v>
      </c>
      <c r="I358" t="s">
        <v>139</v>
      </c>
      <c r="J358" t="s">
        <v>287</v>
      </c>
      <c r="K358" s="27">
        <f t="shared" si="83"/>
        <v>1.3660093635870424E-2</v>
      </c>
      <c r="L358" s="27">
        <f t="shared" si="88"/>
        <v>1.3937830420255735E-2</v>
      </c>
      <c r="M358" s="27">
        <f t="shared" si="88"/>
        <v>1.4262478398481276E-2</v>
      </c>
      <c r="N358" s="27">
        <f t="shared" si="88"/>
        <v>1.4511718638084306E-2</v>
      </c>
      <c r="O358" s="27">
        <f t="shared" si="88"/>
        <v>1.4711795979713132E-2</v>
      </c>
      <c r="P358" s="27">
        <f t="shared" si="88"/>
        <v>1.4861520550190493E-2</v>
      </c>
      <c r="Q358" s="27">
        <f t="shared" si="88"/>
        <v>1.5053508778373347E-2</v>
      </c>
      <c r="R358" s="27">
        <f t="shared" si="88"/>
        <v>1.5253123389732504E-2</v>
      </c>
      <c r="S358" s="27">
        <f t="shared" si="88"/>
        <v>1.45742284149588E-2</v>
      </c>
      <c r="T358" s="27">
        <f t="shared" si="88"/>
        <v>1.4936978657338758E-2</v>
      </c>
      <c r="U358" s="27">
        <f t="shared" si="88"/>
        <v>1.5420403425757045E-2</v>
      </c>
      <c r="V358" s="27">
        <f t="shared" si="88"/>
        <v>1.5716055381248869E-2</v>
      </c>
      <c r="W358" s="27">
        <f t="shared" si="88"/>
        <v>1.6038380919907547E-2</v>
      </c>
      <c r="X358" s="27">
        <f t="shared" si="88"/>
        <v>1.6395535886630449E-2</v>
      </c>
      <c r="Y358" s="27">
        <f t="shared" si="88"/>
        <v>1.6764430279380526E-2</v>
      </c>
      <c r="Z358" s="27">
        <f t="shared" si="88"/>
        <v>1.7162025423259852E-2</v>
      </c>
      <c r="AA358" s="27">
        <f t="shared" si="88"/>
        <v>1.7568561909138691E-2</v>
      </c>
      <c r="AB358" s="27">
        <f t="shared" si="88"/>
        <v>1.8002631935346944E-2</v>
      </c>
      <c r="AC358" s="27">
        <f t="shared" si="88"/>
        <v>1.8444432598854574E-2</v>
      </c>
      <c r="AD358" s="27">
        <f t="shared" si="88"/>
        <v>1.8921106165119213E-2</v>
      </c>
      <c r="AE358" s="27">
        <f t="shared" si="88"/>
        <v>1.9392857554310274E-2</v>
      </c>
      <c r="AF358" s="27">
        <f t="shared" si="88"/>
        <v>1.988637607417253E-2</v>
      </c>
      <c r="AG358" s="27">
        <f t="shared" si="88"/>
        <v>2.0434112967013793E-2</v>
      </c>
      <c r="AH358" s="27">
        <f t="shared" si="88"/>
        <v>2.0959956336489938E-2</v>
      </c>
      <c r="AI358" s="27">
        <f t="shared" si="88"/>
        <v>2.1503763495753996E-2</v>
      </c>
      <c r="AJ358" s="27">
        <f t="shared" si="88"/>
        <v>2.2080286026796948E-2</v>
      </c>
      <c r="AK358" s="27">
        <f t="shared" si="88"/>
        <v>2.2627107721207101E-2</v>
      </c>
      <c r="AL358" s="27">
        <f t="shared" si="88"/>
        <v>2.3172439062110847E-2</v>
      </c>
      <c r="AM358" s="27">
        <f t="shared" si="88"/>
        <v>2.371753464093004E-2</v>
      </c>
      <c r="AN358" s="27">
        <f t="shared" si="88"/>
        <v>2.4295855104154534E-2</v>
      </c>
      <c r="AO358" s="27">
        <f t="shared" si="88"/>
        <v>2.4855761161942075E-2</v>
      </c>
      <c r="AP358" s="27">
        <f t="shared" si="88"/>
        <v>2.5435056934590854E-2</v>
      </c>
      <c r="AQ358" s="27">
        <f t="shared" si="88"/>
        <v>2.6036160699937267E-2</v>
      </c>
      <c r="AR358" s="27">
        <f t="shared" si="88"/>
        <v>2.6662879185516769E-2</v>
      </c>
      <c r="AS358" s="27">
        <f t="shared" si="88"/>
        <v>2.7306334789071466E-2</v>
      </c>
      <c r="AT358" s="27">
        <f t="shared" si="88"/>
        <v>2.7531714483434007E-2</v>
      </c>
      <c r="AU358" s="27">
        <f t="shared" si="88"/>
        <v>2.7718383757735835E-2</v>
      </c>
      <c r="AV358" s="27">
        <f t="shared" si="88"/>
        <v>2.7848741900997311E-2</v>
      </c>
      <c r="AW358" s="27">
        <f t="shared" si="88"/>
        <v>2.7962426225069836E-2</v>
      </c>
      <c r="AY358" s="79"/>
    </row>
    <row r="359" spans="1:51" x14ac:dyDescent="0.3">
      <c r="A359" s="95" t="str">
        <f t="shared" si="71"/>
        <v>GS Poultry MMN2O</v>
      </c>
      <c r="B359" s="95" t="s">
        <v>1021</v>
      </c>
      <c r="C359" s="95" t="s">
        <v>1234</v>
      </c>
      <c r="D359" t="s">
        <v>15</v>
      </c>
      <c r="E359" t="s">
        <v>657</v>
      </c>
      <c r="F359" t="s">
        <v>28</v>
      </c>
      <c r="G359" t="s">
        <v>133</v>
      </c>
      <c r="H359" t="s">
        <v>1227</v>
      </c>
      <c r="I359" t="s">
        <v>139</v>
      </c>
      <c r="J359" t="s">
        <v>287</v>
      </c>
      <c r="K359" s="27">
        <f t="shared" si="83"/>
        <v>7.0904798648479067E-2</v>
      </c>
      <c r="L359" s="27">
        <f t="shared" si="88"/>
        <v>7.1838488113865229E-2</v>
      </c>
      <c r="M359" s="27">
        <f t="shared" si="88"/>
        <v>7.333826122290886E-2</v>
      </c>
      <c r="N359" s="27">
        <f t="shared" si="88"/>
        <v>7.3768889900085552E-2</v>
      </c>
      <c r="O359" s="27">
        <f t="shared" si="88"/>
        <v>7.3504831661853232E-2</v>
      </c>
      <c r="P359" s="27">
        <f t="shared" si="88"/>
        <v>7.2548895925592424E-2</v>
      </c>
      <c r="Q359" s="27">
        <f t="shared" si="88"/>
        <v>7.2146468817327461E-2</v>
      </c>
      <c r="R359" s="27">
        <f t="shared" si="88"/>
        <v>7.1835339545248775E-2</v>
      </c>
      <c r="S359" s="27">
        <f t="shared" si="88"/>
        <v>6.0553462411913554E-2</v>
      </c>
      <c r="T359" s="27">
        <f t="shared" si="88"/>
        <v>6.2951673990704532E-2</v>
      </c>
      <c r="U359" s="27">
        <f t="shared" si="88"/>
        <v>6.6779065471287438E-2</v>
      </c>
      <c r="V359" s="27">
        <f t="shared" si="88"/>
        <v>6.8254568898105869E-2</v>
      </c>
      <c r="W359" s="27">
        <f t="shared" si="88"/>
        <v>7.0020292911694371E-2</v>
      </c>
      <c r="X359" s="27">
        <f t="shared" si="88"/>
        <v>7.2165945155508851E-2</v>
      </c>
      <c r="Y359" s="27">
        <f t="shared" si="88"/>
        <v>7.4629791965159634E-2</v>
      </c>
      <c r="Z359" s="27">
        <f t="shared" si="88"/>
        <v>7.738893067802953E-2</v>
      </c>
      <c r="AA359" s="27">
        <f t="shared" si="88"/>
        <v>8.0206661196254428E-2</v>
      </c>
      <c r="AB359" s="27">
        <f t="shared" si="88"/>
        <v>8.3296849166076437E-2</v>
      </c>
      <c r="AC359" s="27">
        <f t="shared" si="88"/>
        <v>8.6426659244695656E-2</v>
      </c>
      <c r="AD359" s="27">
        <f t="shared" si="88"/>
        <v>9.0080341376754844E-2</v>
      </c>
      <c r="AE359" s="27">
        <f t="shared" si="88"/>
        <v>9.3626057457867992E-2</v>
      </c>
      <c r="AF359" s="27">
        <f t="shared" si="88"/>
        <v>9.7366244433175556E-2</v>
      </c>
      <c r="AG359" s="27">
        <f t="shared" si="88"/>
        <v>0.10165923306598072</v>
      </c>
      <c r="AH359" s="27">
        <f t="shared" si="88"/>
        <v>0.10565153800521729</v>
      </c>
      <c r="AI359" s="27">
        <f t="shared" si="88"/>
        <v>0.10995197307404567</v>
      </c>
      <c r="AJ359" s="27">
        <f t="shared" si="88"/>
        <v>0.11455624026038116</v>
      </c>
      <c r="AK359" s="27">
        <f t="shared" si="88"/>
        <v>0.11878116615233021</v>
      </c>
      <c r="AL359" s="27">
        <f t="shared" si="88"/>
        <v>0.12293894883269324</v>
      </c>
      <c r="AM359" s="27">
        <f t="shared" si="88"/>
        <v>0.12704476610482884</v>
      </c>
      <c r="AN359" s="27">
        <f t="shared" si="88"/>
        <v>0.13160755775712291</v>
      </c>
      <c r="AO359" s="27">
        <f t="shared" si="88"/>
        <v>0.13592438596760945</v>
      </c>
      <c r="AP359" s="27">
        <f t="shared" si="88"/>
        <v>0.14039851418530233</v>
      </c>
      <c r="AQ359" s="27">
        <f t="shared" si="88"/>
        <v>0.14505302116887739</v>
      </c>
      <c r="AR359" s="27">
        <f t="shared" si="88"/>
        <v>0.14992497147907843</v>
      </c>
      <c r="AS359" s="27">
        <f t="shared" si="88"/>
        <v>0.15506967538266181</v>
      </c>
      <c r="AT359" s="27">
        <f t="shared" si="88"/>
        <v>0.15585293020550561</v>
      </c>
      <c r="AU359" s="27">
        <f t="shared" si="88"/>
        <v>0.1562350541685969</v>
      </c>
      <c r="AV359" s="27">
        <f t="shared" si="88"/>
        <v>0.15604273194925225</v>
      </c>
      <c r="AW359" s="27">
        <f t="shared" si="88"/>
        <v>0.15568688012461812</v>
      </c>
      <c r="AY359" s="79"/>
    </row>
    <row r="360" spans="1:51" x14ac:dyDescent="0.3">
      <c r="A360" s="95" t="str">
        <f t="shared" si="71"/>
        <v>GS Synthetic</v>
      </c>
      <c r="B360" s="95" t="s">
        <v>1021</v>
      </c>
      <c r="C360" s="95" t="s">
        <v>1126</v>
      </c>
      <c r="D360" t="s">
        <v>369</v>
      </c>
      <c r="E360" t="s">
        <v>55</v>
      </c>
      <c r="H360" t="s">
        <v>419</v>
      </c>
      <c r="I360" t="s">
        <v>139</v>
      </c>
      <c r="J360" t="s">
        <v>287</v>
      </c>
      <c r="K360" s="22">
        <f>K1463</f>
        <v>6.6064812063358538</v>
      </c>
      <c r="L360" s="22">
        <f t="shared" ref="L360:AW367" si="89">L1463</f>
        <v>6.6058242184852958</v>
      </c>
      <c r="M360" s="22">
        <f t="shared" si="89"/>
        <v>6.6046196765835479</v>
      </c>
      <c r="N360" s="22">
        <f t="shared" si="89"/>
        <v>6.6031799495417181</v>
      </c>
      <c r="O360" s="22">
        <f t="shared" si="89"/>
        <v>6.6022073532502725</v>
      </c>
      <c r="P360" s="22">
        <f t="shared" si="89"/>
        <v>6.6015380384919204</v>
      </c>
      <c r="Q360" s="22">
        <f t="shared" si="89"/>
        <v>6.6011715236312982</v>
      </c>
      <c r="R360" s="22">
        <f t="shared" si="89"/>
        <v>6.6005785698707236</v>
      </c>
      <c r="S360" s="22">
        <f t="shared" si="89"/>
        <v>6.599955716072432</v>
      </c>
      <c r="T360" s="22">
        <f t="shared" si="89"/>
        <v>6.6042852126323481</v>
      </c>
      <c r="U360" s="22">
        <f t="shared" si="89"/>
        <v>6.6025684208058211</v>
      </c>
      <c r="V360" s="22">
        <f t="shared" si="89"/>
        <v>6.6002252909433183</v>
      </c>
      <c r="W360" s="22">
        <f t="shared" si="89"/>
        <v>6.598966168189885</v>
      </c>
      <c r="X360" s="22">
        <f t="shared" si="89"/>
        <v>6.597589047711292</v>
      </c>
      <c r="Y360" s="22">
        <f t="shared" si="89"/>
        <v>6.5960579609281904</v>
      </c>
      <c r="Z360" s="22">
        <f t="shared" si="89"/>
        <v>6.5944507555305236</v>
      </c>
      <c r="AA360" s="22">
        <f t="shared" si="89"/>
        <v>6.5927354812209922</v>
      </c>
      <c r="AB360" s="22">
        <f t="shared" si="89"/>
        <v>6.5910165055066825</v>
      </c>
      <c r="AC360" s="22">
        <f t="shared" si="89"/>
        <v>6.589206056061478</v>
      </c>
      <c r="AD360" s="22">
        <f t="shared" si="89"/>
        <v>6.5874036822299606</v>
      </c>
      <c r="AE360" s="22">
        <f t="shared" si="89"/>
        <v>6.5854496085579246</v>
      </c>
      <c r="AF360" s="22">
        <f t="shared" si="89"/>
        <v>6.5835675614397218</v>
      </c>
      <c r="AG360" s="22">
        <f t="shared" si="89"/>
        <v>6.5816378763594336</v>
      </c>
      <c r="AH360" s="22">
        <f t="shared" si="89"/>
        <v>6.5795282781002431</v>
      </c>
      <c r="AI360" s="22">
        <f t="shared" si="89"/>
        <v>6.5775665224366495</v>
      </c>
      <c r="AJ360" s="22">
        <f t="shared" si="89"/>
        <v>6.5755521924304867</v>
      </c>
      <c r="AK360" s="22">
        <f t="shared" si="89"/>
        <v>6.573462792654313</v>
      </c>
      <c r="AL360" s="22">
        <f t="shared" si="89"/>
        <v>6.5715425101563261</v>
      </c>
      <c r="AM360" s="22">
        <f t="shared" si="89"/>
        <v>6.5696756052718408</v>
      </c>
      <c r="AN360" s="22">
        <f t="shared" si="89"/>
        <v>6.5678548596880235</v>
      </c>
      <c r="AO360" s="22">
        <f t="shared" si="89"/>
        <v>6.5659337062591927</v>
      </c>
      <c r="AP360" s="22">
        <f t="shared" si="89"/>
        <v>6.564123592040632</v>
      </c>
      <c r="AQ360" s="22">
        <f t="shared" si="89"/>
        <v>6.5622903638449301</v>
      </c>
      <c r="AR360" s="22">
        <f t="shared" si="89"/>
        <v>6.5604286486377719</v>
      </c>
      <c r="AS360" s="22">
        <f t="shared" si="89"/>
        <v>6.5585292511260116</v>
      </c>
      <c r="AT360" s="22">
        <f t="shared" si="89"/>
        <v>6.5566000956326942</v>
      </c>
      <c r="AU360" s="22">
        <f t="shared" si="89"/>
        <v>6.5560073347552805</v>
      </c>
      <c r="AV360" s="22">
        <f t="shared" si="89"/>
        <v>6.5555391486602428</v>
      </c>
      <c r="AW360" s="22">
        <f t="shared" si="89"/>
        <v>6.5552474687649953</v>
      </c>
      <c r="AY360" s="79"/>
    </row>
    <row r="361" spans="1:51" x14ac:dyDescent="0.3">
      <c r="A361" s="95" t="str">
        <f t="shared" si="71"/>
        <v>GS Organic</v>
      </c>
      <c r="B361" s="95" t="s">
        <v>1021</v>
      </c>
      <c r="C361" s="95" t="s">
        <v>1127</v>
      </c>
      <c r="D361" t="s">
        <v>369</v>
      </c>
      <c r="E361" t="s">
        <v>55</v>
      </c>
      <c r="H361" t="s">
        <v>420</v>
      </c>
      <c r="I361" t="s">
        <v>139</v>
      </c>
      <c r="J361" t="s">
        <v>287</v>
      </c>
      <c r="K361" s="22">
        <f t="shared" ref="K361:Z424" si="90">K1464</f>
        <v>4.3602775961816637E-2</v>
      </c>
      <c r="L361" s="22">
        <f t="shared" si="90"/>
        <v>4.3598439842002956E-2</v>
      </c>
      <c r="M361" s="22">
        <f t="shared" si="90"/>
        <v>4.3590489865451415E-2</v>
      </c>
      <c r="N361" s="22">
        <f t="shared" si="90"/>
        <v>4.3580987666975365E-2</v>
      </c>
      <c r="O361" s="22">
        <f t="shared" si="90"/>
        <v>4.3574568531451807E-2</v>
      </c>
      <c r="P361" s="22">
        <f t="shared" si="90"/>
        <v>4.3570151054046678E-2</v>
      </c>
      <c r="Q361" s="22">
        <f t="shared" si="90"/>
        <v>4.356773205596657E-2</v>
      </c>
      <c r="R361" s="22">
        <f t="shared" si="90"/>
        <v>4.3563818561146786E-2</v>
      </c>
      <c r="S361" s="22">
        <f t="shared" si="90"/>
        <v>4.3559707726078062E-2</v>
      </c>
      <c r="T361" s="22">
        <f t="shared" si="90"/>
        <v>4.3588282403373507E-2</v>
      </c>
      <c r="U361" s="22">
        <f t="shared" si="90"/>
        <v>4.3576951577318432E-2</v>
      </c>
      <c r="V361" s="22">
        <f t="shared" si="90"/>
        <v>4.356148692022592E-2</v>
      </c>
      <c r="W361" s="22">
        <f t="shared" si="90"/>
        <v>4.3553176710053244E-2</v>
      </c>
      <c r="X361" s="22">
        <f t="shared" si="90"/>
        <v>4.3544087714894535E-2</v>
      </c>
      <c r="Y361" s="22">
        <f t="shared" si="90"/>
        <v>4.3533982542126072E-2</v>
      </c>
      <c r="Z361" s="22">
        <f t="shared" si="90"/>
        <v>4.3523374986501467E-2</v>
      </c>
      <c r="AA361" s="22">
        <f t="shared" si="89"/>
        <v>4.3512054176058558E-2</v>
      </c>
      <c r="AB361" s="22">
        <f t="shared" si="89"/>
        <v>4.3500708936344119E-2</v>
      </c>
      <c r="AC361" s="22">
        <f t="shared" si="89"/>
        <v>4.3488759970005758E-2</v>
      </c>
      <c r="AD361" s="22">
        <f t="shared" si="89"/>
        <v>4.3476864302717751E-2</v>
      </c>
      <c r="AE361" s="22">
        <f t="shared" si="89"/>
        <v>4.3463967416482306E-2</v>
      </c>
      <c r="AF361" s="22">
        <f t="shared" si="89"/>
        <v>4.3451545905502167E-2</v>
      </c>
      <c r="AG361" s="22">
        <f t="shared" si="89"/>
        <v>4.3438809983972274E-2</v>
      </c>
      <c r="AH361" s="22">
        <f t="shared" si="89"/>
        <v>4.342488663546161E-2</v>
      </c>
      <c r="AI361" s="22">
        <f t="shared" si="89"/>
        <v>4.3411939048081889E-2</v>
      </c>
      <c r="AJ361" s="22">
        <f t="shared" si="89"/>
        <v>4.3398644470041221E-2</v>
      </c>
      <c r="AK361" s="22">
        <f t="shared" si="89"/>
        <v>4.3384854431518481E-2</v>
      </c>
      <c r="AL361" s="22">
        <f t="shared" si="89"/>
        <v>4.3372180567031765E-2</v>
      </c>
      <c r="AM361" s="22">
        <f t="shared" si="89"/>
        <v>4.3359858994794151E-2</v>
      </c>
      <c r="AN361" s="22">
        <f t="shared" si="89"/>
        <v>4.3347842073940955E-2</v>
      </c>
      <c r="AO361" s="22">
        <f t="shared" si="89"/>
        <v>4.3335162461310681E-2</v>
      </c>
      <c r="AP361" s="22">
        <f t="shared" si="89"/>
        <v>4.3323215707468173E-2</v>
      </c>
      <c r="AQ361" s="22">
        <f t="shared" si="89"/>
        <v>4.3311116401376547E-2</v>
      </c>
      <c r="AR361" s="22">
        <f t="shared" si="89"/>
        <v>4.32988290810093E-2</v>
      </c>
      <c r="AS361" s="22">
        <f t="shared" si="89"/>
        <v>4.3286293057431681E-2</v>
      </c>
      <c r="AT361" s="22">
        <f t="shared" si="89"/>
        <v>4.3273560631175802E-2</v>
      </c>
      <c r="AU361" s="22">
        <f t="shared" si="89"/>
        <v>4.326964840938486E-2</v>
      </c>
      <c r="AV361" s="22">
        <f t="shared" si="89"/>
        <v>4.3266558381157602E-2</v>
      </c>
      <c r="AW361" s="22">
        <f t="shared" si="89"/>
        <v>4.326463329384897E-2</v>
      </c>
      <c r="AY361" s="79"/>
    </row>
    <row r="362" spans="1:51" x14ac:dyDescent="0.3">
      <c r="A362" s="95" t="str">
        <f t="shared" si="71"/>
        <v>GS Crop residues</v>
      </c>
      <c r="B362" s="95" t="s">
        <v>1021</v>
      </c>
      <c r="C362" s="95" t="s">
        <v>58</v>
      </c>
      <c r="D362" t="s">
        <v>369</v>
      </c>
      <c r="E362" t="s">
        <v>55</v>
      </c>
      <c r="H362" t="s">
        <v>58</v>
      </c>
      <c r="I362" t="s">
        <v>139</v>
      </c>
      <c r="J362" t="s">
        <v>287</v>
      </c>
      <c r="K362" s="22">
        <f t="shared" si="90"/>
        <v>2.94930909510781</v>
      </c>
      <c r="L362" s="22">
        <f t="shared" si="89"/>
        <v>2.9542138952234782</v>
      </c>
      <c r="M362" s="22">
        <f t="shared" si="89"/>
        <v>2.9632065078783478</v>
      </c>
      <c r="N362" s="22">
        <f t="shared" si="89"/>
        <v>2.9739549157146588</v>
      </c>
      <c r="O362" s="22">
        <f t="shared" si="89"/>
        <v>2.9812159181802835</v>
      </c>
      <c r="P362" s="22">
        <f t="shared" si="89"/>
        <v>2.9862127459015309</v>
      </c>
      <c r="Q362" s="22">
        <f t="shared" si="89"/>
        <v>2.9889489945692191</v>
      </c>
      <c r="R362" s="22">
        <f t="shared" si="89"/>
        <v>2.993375742599615</v>
      </c>
      <c r="S362" s="22">
        <f t="shared" si="89"/>
        <v>2.9980257119701434</v>
      </c>
      <c r="T362" s="22">
        <f t="shared" si="89"/>
        <v>2.9657034776855355</v>
      </c>
      <c r="U362" s="22">
        <f t="shared" si="89"/>
        <v>2.9785203368438653</v>
      </c>
      <c r="V362" s="22">
        <f t="shared" si="89"/>
        <v>2.9960131772531153</v>
      </c>
      <c r="W362" s="22">
        <f t="shared" si="89"/>
        <v>3.0054132680180357</v>
      </c>
      <c r="X362" s="22">
        <f t="shared" si="89"/>
        <v>3.0156942810945373</v>
      </c>
      <c r="Y362" s="22">
        <f t="shared" si="89"/>
        <v>3.0271247430497872</v>
      </c>
      <c r="Z362" s="22">
        <f t="shared" si="89"/>
        <v>3.0391234751628531</v>
      </c>
      <c r="AA362" s="22">
        <f t="shared" si="89"/>
        <v>3.0519290051656554</v>
      </c>
      <c r="AB362" s="22">
        <f t="shared" si="89"/>
        <v>3.0647621683287483</v>
      </c>
      <c r="AC362" s="22">
        <f t="shared" si="89"/>
        <v>3.078278236610247</v>
      </c>
      <c r="AD362" s="22">
        <f t="shared" si="89"/>
        <v>3.0917340156932256</v>
      </c>
      <c r="AE362" s="22">
        <f t="shared" si="89"/>
        <v>3.1063223231702981</v>
      </c>
      <c r="AF362" s="22">
        <f t="shared" si="89"/>
        <v>3.1203729101259317</v>
      </c>
      <c r="AG362" s="22">
        <f t="shared" si="89"/>
        <v>3.1347791424435716</v>
      </c>
      <c r="AH362" s="22">
        <f t="shared" si="89"/>
        <v>3.1505285322943979</v>
      </c>
      <c r="AI362" s="22">
        <f t="shared" si="89"/>
        <v>3.165174190349632</v>
      </c>
      <c r="AJ362" s="22">
        <f t="shared" si="89"/>
        <v>3.1802123467460328</v>
      </c>
      <c r="AK362" s="22">
        <f t="shared" si="89"/>
        <v>3.1958109430597368</v>
      </c>
      <c r="AL362" s="22">
        <f t="shared" si="89"/>
        <v>3.2101469795788988</v>
      </c>
      <c r="AM362" s="22">
        <f t="shared" si="89"/>
        <v>3.2240845208676738</v>
      </c>
      <c r="AN362" s="22">
        <f t="shared" si="89"/>
        <v>3.2376774558702412</v>
      </c>
      <c r="AO362" s="22">
        <f t="shared" si="89"/>
        <v>3.2520199943996095</v>
      </c>
      <c r="AP362" s="22">
        <f t="shared" si="89"/>
        <v>3.2655335600173556</v>
      </c>
      <c r="AQ362" s="22">
        <f t="shared" si="89"/>
        <v>3.2792196850479614</v>
      </c>
      <c r="AR362" s="22">
        <f t="shared" si="89"/>
        <v>3.2931184823478818</v>
      </c>
      <c r="AS362" s="22">
        <f t="shared" si="89"/>
        <v>3.3072986001803124</v>
      </c>
      <c r="AT362" s="22">
        <f t="shared" si="89"/>
        <v>3.3217008788202178</v>
      </c>
      <c r="AU362" s="22">
        <f t="shared" si="89"/>
        <v>3.3261261868645517</v>
      </c>
      <c r="AV362" s="22">
        <f t="shared" si="89"/>
        <v>3.3296214710028345</v>
      </c>
      <c r="AW362" s="22">
        <f t="shared" si="89"/>
        <v>3.3317990327077256</v>
      </c>
      <c r="AY362" s="79"/>
    </row>
    <row r="363" spans="1:51" x14ac:dyDescent="0.3">
      <c r="A363" s="95" t="str">
        <f t="shared" si="71"/>
        <v>GS Organic</v>
      </c>
      <c r="B363" s="95" t="s">
        <v>1021</v>
      </c>
      <c r="C363" s="95" t="s">
        <v>1127</v>
      </c>
      <c r="D363" t="s">
        <v>369</v>
      </c>
      <c r="E363" t="s">
        <v>55</v>
      </c>
      <c r="F363" t="s">
        <v>421</v>
      </c>
      <c r="G363" t="s">
        <v>1152</v>
      </c>
      <c r="H363" t="s">
        <v>1153</v>
      </c>
      <c r="I363" t="s">
        <v>139</v>
      </c>
      <c r="J363" t="s">
        <v>287</v>
      </c>
      <c r="K363" s="22">
        <f t="shared" si="90"/>
        <v>0.31878106382562998</v>
      </c>
      <c r="L363" s="22">
        <f t="shared" si="89"/>
        <v>0.32056321299147905</v>
      </c>
      <c r="M363" s="22">
        <f t="shared" si="89"/>
        <v>0.32309177745176459</v>
      </c>
      <c r="N363" s="22">
        <f t="shared" si="89"/>
        <v>0.32471664946511047</v>
      </c>
      <c r="O363" s="22">
        <f t="shared" si="89"/>
        <v>0.32579638434951874</v>
      </c>
      <c r="P363" s="22">
        <f t="shared" si="89"/>
        <v>0.32632035510276458</v>
      </c>
      <c r="Q363" s="22">
        <f t="shared" si="89"/>
        <v>0.32747800149861978</v>
      </c>
      <c r="R363" s="22">
        <f t="shared" si="89"/>
        <v>0.32880601635823298</v>
      </c>
      <c r="S363" s="22">
        <f t="shared" si="89"/>
        <v>0.31892223916812396</v>
      </c>
      <c r="T363" s="22">
        <f t="shared" si="89"/>
        <v>0.32227574446012153</v>
      </c>
      <c r="U363" s="22">
        <f t="shared" si="89"/>
        <v>0.32718438885789924</v>
      </c>
      <c r="V363" s="22">
        <f t="shared" si="89"/>
        <v>0.3297286573308299</v>
      </c>
      <c r="W363" s="22">
        <f t="shared" si="89"/>
        <v>0.33263641751266398</v>
      </c>
      <c r="X363" s="22">
        <f t="shared" si="89"/>
        <v>0.3360018452717824</v>
      </c>
      <c r="Y363" s="22">
        <f t="shared" si="89"/>
        <v>0.33943858200235472</v>
      </c>
      <c r="Z363" s="22">
        <f t="shared" si="89"/>
        <v>0.34324260633991188</v>
      </c>
      <c r="AA363" s="22">
        <f t="shared" si="89"/>
        <v>0.34716446895122904</v>
      </c>
      <c r="AB363" s="22">
        <f t="shared" si="89"/>
        <v>0.35142933015547478</v>
      </c>
      <c r="AC363" s="22">
        <f t="shared" si="89"/>
        <v>0.3557903986539287</v>
      </c>
      <c r="AD363" s="22">
        <f t="shared" si="89"/>
        <v>0.36050179142942168</v>
      </c>
      <c r="AE363" s="22">
        <f t="shared" si="89"/>
        <v>0.36514941854093586</v>
      </c>
      <c r="AF363" s="22">
        <f t="shared" si="89"/>
        <v>0.37005495430435736</v>
      </c>
      <c r="AG363" s="22">
        <f t="shared" si="89"/>
        <v>0.37560392620070809</v>
      </c>
      <c r="AH363" s="22">
        <f t="shared" si="89"/>
        <v>0.38087972226770728</v>
      </c>
      <c r="AI363" s="22">
        <f t="shared" si="89"/>
        <v>0.38629002318967742</v>
      </c>
      <c r="AJ363" s="22">
        <f t="shared" si="89"/>
        <v>0.39207609513939878</v>
      </c>
      <c r="AK363" s="22">
        <f t="shared" si="89"/>
        <v>0.39749694724838469</v>
      </c>
      <c r="AL363" s="22">
        <f t="shared" si="89"/>
        <v>0.4028883818835427</v>
      </c>
      <c r="AM363" s="22">
        <f t="shared" si="89"/>
        <v>0.40826539528750555</v>
      </c>
      <c r="AN363" s="22">
        <f t="shared" si="89"/>
        <v>0.41395411425770406</v>
      </c>
      <c r="AO363" s="22">
        <f t="shared" si="89"/>
        <v>0.41941402149436835</v>
      </c>
      <c r="AP363" s="22">
        <f t="shared" si="89"/>
        <v>0.4250859445304776</v>
      </c>
      <c r="AQ363" s="22">
        <f t="shared" si="89"/>
        <v>0.43099575197279355</v>
      </c>
      <c r="AR363" s="22">
        <f t="shared" si="89"/>
        <v>0.43718504328373597</v>
      </c>
      <c r="AS363" s="22">
        <f t="shared" si="89"/>
        <v>0.44348381500621098</v>
      </c>
      <c r="AT363" s="22">
        <f t="shared" si="89"/>
        <v>0.44497720344404595</v>
      </c>
      <c r="AU363" s="22">
        <f t="shared" si="89"/>
        <v>0.44604004342695891</v>
      </c>
      <c r="AV363" s="22">
        <f t="shared" si="89"/>
        <v>0.44647550838656064</v>
      </c>
      <c r="AW363" s="22">
        <f t="shared" si="89"/>
        <v>0.44673845388478889</v>
      </c>
      <c r="AY363" s="79"/>
    </row>
    <row r="364" spans="1:51" x14ac:dyDescent="0.3">
      <c r="A364" s="95" t="str">
        <f t="shared" si="71"/>
        <v>GS Organic</v>
      </c>
      <c r="B364" s="95" t="s">
        <v>1021</v>
      </c>
      <c r="C364" s="95" t="s">
        <v>1127</v>
      </c>
      <c r="D364" t="s">
        <v>369</v>
      </c>
      <c r="E364" t="s">
        <v>55</v>
      </c>
      <c r="F364" t="s">
        <v>421</v>
      </c>
      <c r="G364" t="s">
        <v>1154</v>
      </c>
      <c r="H364" t="s">
        <v>1155</v>
      </c>
      <c r="I364" t="s">
        <v>139</v>
      </c>
      <c r="J364" t="s">
        <v>287</v>
      </c>
      <c r="K364" s="22">
        <f t="shared" si="90"/>
        <v>0.93210651077804862</v>
      </c>
      <c r="L364" s="22">
        <f t="shared" si="89"/>
        <v>0.93731746283627471</v>
      </c>
      <c r="M364" s="22">
        <f t="shared" si="89"/>
        <v>0.94471091139331731</v>
      </c>
      <c r="N364" s="22">
        <f t="shared" si="89"/>
        <v>0.94946198965576145</v>
      </c>
      <c r="O364" s="22">
        <f t="shared" si="89"/>
        <v>0.95261910289076079</v>
      </c>
      <c r="P364" s="22">
        <f t="shared" si="89"/>
        <v>0.95415117805450056</v>
      </c>
      <c r="Q364" s="22">
        <f t="shared" si="89"/>
        <v>0.95753610227115837</v>
      </c>
      <c r="R364" s="22">
        <f t="shared" si="89"/>
        <v>0.96141917889497119</v>
      </c>
      <c r="S364" s="22">
        <f t="shared" si="89"/>
        <v>0.93251930335211441</v>
      </c>
      <c r="T364" s="22">
        <f t="shared" si="89"/>
        <v>0.94232485478320349</v>
      </c>
      <c r="U364" s="22">
        <f t="shared" si="89"/>
        <v>0.95667758749371812</v>
      </c>
      <c r="V364" s="22">
        <f t="shared" si="89"/>
        <v>0.96411695412461496</v>
      </c>
      <c r="W364" s="22">
        <f t="shared" si="89"/>
        <v>0.97261915988534076</v>
      </c>
      <c r="X364" s="22">
        <f t="shared" si="89"/>
        <v>0.98245957226172753</v>
      </c>
      <c r="Y364" s="22">
        <f t="shared" si="89"/>
        <v>0.99250848998586416</v>
      </c>
      <c r="Z364" s="22">
        <f t="shared" si="89"/>
        <v>1.0036313459348443</v>
      </c>
      <c r="AA364" s="22">
        <f t="shared" si="89"/>
        <v>1.0150987575511923</v>
      </c>
      <c r="AB364" s="22">
        <f t="shared" si="89"/>
        <v>1.0275690870253942</v>
      </c>
      <c r="AC364" s="22">
        <f t="shared" si="89"/>
        <v>1.0403207238151548</v>
      </c>
      <c r="AD364" s="22">
        <f t="shared" si="89"/>
        <v>1.054096698548936</v>
      </c>
      <c r="AE364" s="22">
        <f t="shared" si="89"/>
        <v>1.0676862243454883</v>
      </c>
      <c r="AF364" s="22">
        <f t="shared" si="89"/>
        <v>1.0820298675000297</v>
      </c>
      <c r="AG364" s="22">
        <f t="shared" si="89"/>
        <v>1.0982548990958272</v>
      </c>
      <c r="AH364" s="22">
        <f t="shared" si="89"/>
        <v>1.1136811725531401</v>
      </c>
      <c r="AI364" s="22">
        <f t="shared" si="89"/>
        <v>1.1295007342740186</v>
      </c>
      <c r="AJ364" s="22">
        <f t="shared" si="89"/>
        <v>1.146419039494041</v>
      </c>
      <c r="AK364" s="22">
        <f t="shared" si="89"/>
        <v>1.1622694525772803</v>
      </c>
      <c r="AL364" s="22">
        <f t="shared" si="89"/>
        <v>1.1780338498270926</v>
      </c>
      <c r="AM364" s="22">
        <f t="shared" si="89"/>
        <v>1.1937560798185081</v>
      </c>
      <c r="AN364" s="22">
        <f t="shared" si="89"/>
        <v>1.2103897277726068</v>
      </c>
      <c r="AO364" s="22">
        <f t="shared" si="89"/>
        <v>1.2263543369073659</v>
      </c>
      <c r="AP364" s="22">
        <f t="shared" si="89"/>
        <v>1.2429388740412319</v>
      </c>
      <c r="AQ364" s="22">
        <f t="shared" si="89"/>
        <v>1.260218978224084</v>
      </c>
      <c r="AR364" s="22">
        <f t="shared" si="89"/>
        <v>1.2783162850678402</v>
      </c>
      <c r="AS364" s="22">
        <f t="shared" si="89"/>
        <v>1.2967337094341598</v>
      </c>
      <c r="AT364" s="22">
        <f t="shared" si="89"/>
        <v>1.3011003335658498</v>
      </c>
      <c r="AU364" s="22">
        <f t="shared" si="89"/>
        <v>1.3042080466028143</v>
      </c>
      <c r="AV364" s="22">
        <f t="shared" si="89"/>
        <v>1.3054813334134847</v>
      </c>
      <c r="AW364" s="22">
        <f t="shared" si="89"/>
        <v>1.3062501783628579</v>
      </c>
      <c r="AY364" s="79"/>
    </row>
    <row r="365" spans="1:51" x14ac:dyDescent="0.3">
      <c r="A365" s="95" t="str">
        <f t="shared" si="71"/>
        <v>GS Organic</v>
      </c>
      <c r="B365" s="95" t="s">
        <v>1021</v>
      </c>
      <c r="C365" s="95" t="s">
        <v>1127</v>
      </c>
      <c r="D365" t="s">
        <v>369</v>
      </c>
      <c r="E365" t="s">
        <v>55</v>
      </c>
      <c r="F365" t="s">
        <v>421</v>
      </c>
      <c r="G365" t="s">
        <v>1156</v>
      </c>
      <c r="H365" t="s">
        <v>1157</v>
      </c>
      <c r="I365" t="s">
        <v>139</v>
      </c>
      <c r="J365" t="s">
        <v>287</v>
      </c>
      <c r="K365" s="22">
        <f t="shared" si="90"/>
        <v>4.9862442750846919E-2</v>
      </c>
      <c r="L365" s="22">
        <f t="shared" si="89"/>
        <v>5.0141199304605803E-2</v>
      </c>
      <c r="M365" s="22">
        <f t="shared" si="89"/>
        <v>5.0536707115294892E-2</v>
      </c>
      <c r="N365" s="22">
        <f t="shared" si="89"/>
        <v>5.0790863013925151E-2</v>
      </c>
      <c r="O365" s="22">
        <f t="shared" si="89"/>
        <v>5.0959750770976316E-2</v>
      </c>
      <c r="P365" s="22">
        <f t="shared" si="89"/>
        <v>5.1041708153806091E-2</v>
      </c>
      <c r="Q365" s="22">
        <f t="shared" si="89"/>
        <v>5.122278251388987E-2</v>
      </c>
      <c r="R365" s="22">
        <f t="shared" si="89"/>
        <v>5.1430505218981168E-2</v>
      </c>
      <c r="S365" s="22">
        <f t="shared" si="89"/>
        <v>4.9884524826075798E-2</v>
      </c>
      <c r="T365" s="22">
        <f t="shared" si="89"/>
        <v>5.0409066540160655E-2</v>
      </c>
      <c r="U365" s="22">
        <f t="shared" si="89"/>
        <v>5.1176856813934052E-2</v>
      </c>
      <c r="V365" s="22">
        <f t="shared" si="89"/>
        <v>5.1574820982670536E-2</v>
      </c>
      <c r="W365" s="22">
        <f t="shared" si="89"/>
        <v>5.2029641052156198E-2</v>
      </c>
      <c r="X365" s="22">
        <f t="shared" si="89"/>
        <v>5.255604763025503E-2</v>
      </c>
      <c r="Y365" s="22">
        <f t="shared" si="89"/>
        <v>5.3093608068824946E-2</v>
      </c>
      <c r="Z365" s="22">
        <f t="shared" si="89"/>
        <v>5.3688618147146365E-2</v>
      </c>
      <c r="AA365" s="22">
        <f t="shared" si="89"/>
        <v>5.4302060010934287E-2</v>
      </c>
      <c r="AB365" s="22">
        <f t="shared" si="89"/>
        <v>5.4969152325279956E-2</v>
      </c>
      <c r="AC365" s="22">
        <f t="shared" si="89"/>
        <v>5.5651292994888926E-2</v>
      </c>
      <c r="AD365" s="22">
        <f t="shared" si="89"/>
        <v>5.6388229968890861E-2</v>
      </c>
      <c r="AE365" s="22">
        <f t="shared" si="89"/>
        <v>5.711519297602205E-2</v>
      </c>
      <c r="AF365" s="22">
        <f t="shared" si="89"/>
        <v>5.7882497009801276E-2</v>
      </c>
      <c r="AG365" s="22">
        <f t="shared" si="89"/>
        <v>5.8750444717194539E-2</v>
      </c>
      <c r="AH365" s="22">
        <f t="shared" si="89"/>
        <v>5.9575663367885126E-2</v>
      </c>
      <c r="AI365" s="22">
        <f t="shared" si="89"/>
        <v>6.0421920723165649E-2</v>
      </c>
      <c r="AJ365" s="22">
        <f t="shared" si="89"/>
        <v>6.1326954660511038E-2</v>
      </c>
      <c r="AK365" s="22">
        <f t="shared" si="89"/>
        <v>6.2174862389725999E-2</v>
      </c>
      <c r="AL365" s="22">
        <f t="shared" si="89"/>
        <v>6.3018168756843018E-2</v>
      </c>
      <c r="AM365" s="22">
        <f t="shared" si="89"/>
        <v>6.3859219413391094E-2</v>
      </c>
      <c r="AN365" s="22">
        <f t="shared" si="89"/>
        <v>6.4749025792016954E-2</v>
      </c>
      <c r="AO365" s="22">
        <f t="shared" si="89"/>
        <v>6.5603042366106867E-2</v>
      </c>
      <c r="AP365" s="22">
        <f t="shared" si="89"/>
        <v>6.6490221592755999E-2</v>
      </c>
      <c r="AQ365" s="22">
        <f t="shared" si="89"/>
        <v>6.7414609734650743E-2</v>
      </c>
      <c r="AR365" s="22">
        <f t="shared" si="89"/>
        <v>6.8382713611200324E-2</v>
      </c>
      <c r="AS365" s="22">
        <f t="shared" si="89"/>
        <v>6.9367941970261027E-2</v>
      </c>
      <c r="AT365" s="22">
        <f t="shared" si="89"/>
        <v>6.9601531740596523E-2</v>
      </c>
      <c r="AU365" s="22">
        <f t="shared" si="89"/>
        <v>6.9767776865590186E-2</v>
      </c>
      <c r="AV365" s="22">
        <f t="shared" si="89"/>
        <v>6.983589053067922E-2</v>
      </c>
      <c r="AW365" s="22">
        <f t="shared" si="89"/>
        <v>6.9877019400426524E-2</v>
      </c>
      <c r="AY365" s="79"/>
    </row>
    <row r="366" spans="1:51" x14ac:dyDescent="0.3">
      <c r="A366" s="95" t="str">
        <f t="shared" si="71"/>
        <v>GS Organic</v>
      </c>
      <c r="B366" s="95" t="s">
        <v>1021</v>
      </c>
      <c r="C366" s="95" t="s">
        <v>1127</v>
      </c>
      <c r="D366" t="s">
        <v>369</v>
      </c>
      <c r="E366" t="s">
        <v>55</v>
      </c>
      <c r="F366" t="s">
        <v>421</v>
      </c>
      <c r="G366" t="s">
        <v>1158</v>
      </c>
      <c r="H366" t="s">
        <v>1159</v>
      </c>
      <c r="I366" t="s">
        <v>139</v>
      </c>
      <c r="J366" t="s">
        <v>287</v>
      </c>
      <c r="K366" s="22">
        <f t="shared" si="90"/>
        <v>0.3999997899835232</v>
      </c>
      <c r="L366" s="22">
        <f t="shared" si="89"/>
        <v>0.39653071954810187</v>
      </c>
      <c r="M366" s="22">
        <f t="shared" si="89"/>
        <v>0.39521014945095023</v>
      </c>
      <c r="N366" s="22">
        <f t="shared" si="89"/>
        <v>0.38993263522397309</v>
      </c>
      <c r="O366" s="22">
        <f t="shared" si="89"/>
        <v>0.382272194437701</v>
      </c>
      <c r="P366" s="22">
        <f t="shared" si="89"/>
        <v>0.37238723301511378</v>
      </c>
      <c r="Q366" s="22">
        <f t="shared" si="89"/>
        <v>0.36459067483623875</v>
      </c>
      <c r="R366" s="22">
        <f t="shared" si="89"/>
        <v>0.3572142444544395</v>
      </c>
      <c r="S366" s="22">
        <f t="shared" si="89"/>
        <v>0.31424439964767104</v>
      </c>
      <c r="T366" s="22">
        <f t="shared" si="89"/>
        <v>0.31934867566353531</v>
      </c>
      <c r="U366" s="22">
        <f t="shared" si="89"/>
        <v>0.32887086359473244</v>
      </c>
      <c r="V366" s="22">
        <f t="shared" si="89"/>
        <v>0.33077255450985388</v>
      </c>
      <c r="W366" s="22">
        <f t="shared" si="89"/>
        <v>0.33351533974002295</v>
      </c>
      <c r="X366" s="22">
        <f t="shared" si="89"/>
        <v>0.33734158563652278</v>
      </c>
      <c r="Y366" s="22">
        <f t="shared" si="89"/>
        <v>0.34173046425936165</v>
      </c>
      <c r="Z366" s="22">
        <f t="shared" si="89"/>
        <v>0.34687619399861491</v>
      </c>
      <c r="AA366" s="22">
        <f t="shared" si="89"/>
        <v>0.35204565699464252</v>
      </c>
      <c r="AB366" s="22">
        <f t="shared" si="89"/>
        <v>0.35785970773870229</v>
      </c>
      <c r="AC366" s="22">
        <f t="shared" si="89"/>
        <v>0.36361606039285416</v>
      </c>
      <c r="AD366" s="22">
        <f t="shared" si="89"/>
        <v>0.36736576480920718</v>
      </c>
      <c r="AE366" s="22">
        <f t="shared" si="89"/>
        <v>0.37044453344609923</v>
      </c>
      <c r="AF366" s="22">
        <f t="shared" si="89"/>
        <v>0.37369707806666508</v>
      </c>
      <c r="AG366" s="22">
        <f t="shared" si="89"/>
        <v>0.37804894622531426</v>
      </c>
      <c r="AH366" s="22">
        <f t="shared" si="89"/>
        <v>0.38117866346584023</v>
      </c>
      <c r="AI366" s="22">
        <f t="shared" si="89"/>
        <v>0.38451417084428363</v>
      </c>
      <c r="AJ366" s="22">
        <f t="shared" si="89"/>
        <v>0.38818587422632583</v>
      </c>
      <c r="AK366" s="22">
        <f t="shared" si="89"/>
        <v>0.39047383423356319</v>
      </c>
      <c r="AL366" s="22">
        <f t="shared" si="89"/>
        <v>0.39219030360024004</v>
      </c>
      <c r="AM366" s="22">
        <f t="shared" si="89"/>
        <v>0.39338421797559098</v>
      </c>
      <c r="AN366" s="22">
        <f t="shared" si="89"/>
        <v>0.39709578221714281</v>
      </c>
      <c r="AO366" s="22">
        <f t="shared" si="89"/>
        <v>0.39991704090429331</v>
      </c>
      <c r="AP366" s="22">
        <f t="shared" si="89"/>
        <v>0.40277391205281804</v>
      </c>
      <c r="AQ366" s="22">
        <f t="shared" si="89"/>
        <v>0.40569907697718249</v>
      </c>
      <c r="AR366" s="22">
        <f t="shared" si="89"/>
        <v>0.40875152256691355</v>
      </c>
      <c r="AS366" s="22">
        <f t="shared" si="89"/>
        <v>0.41188557339004239</v>
      </c>
      <c r="AT366" s="22">
        <f t="shared" si="89"/>
        <v>0.4057032930761475</v>
      </c>
      <c r="AU366" s="22">
        <f t="shared" si="89"/>
        <v>0.3986998092121265</v>
      </c>
      <c r="AV366" s="22">
        <f t="shared" si="89"/>
        <v>0.39058052493607326</v>
      </c>
      <c r="AW366" s="22">
        <f t="shared" si="89"/>
        <v>0.38220678819508502</v>
      </c>
      <c r="AY366" s="79"/>
    </row>
    <row r="367" spans="1:51" x14ac:dyDescent="0.3">
      <c r="A367" s="95" t="str">
        <f t="shared" si="71"/>
        <v>GS Organic</v>
      </c>
      <c r="B367" s="95" t="s">
        <v>1021</v>
      </c>
      <c r="C367" s="95" t="s">
        <v>1127</v>
      </c>
      <c r="D367" t="s">
        <v>369</v>
      </c>
      <c r="E367" t="s">
        <v>55</v>
      </c>
      <c r="F367" t="s">
        <v>421</v>
      </c>
      <c r="G367" t="s">
        <v>1160</v>
      </c>
      <c r="H367" t="s">
        <v>1161</v>
      </c>
      <c r="I367" t="s">
        <v>139</v>
      </c>
      <c r="J367" t="s">
        <v>287</v>
      </c>
      <c r="K367" s="22">
        <f t="shared" si="90"/>
        <v>2.6602988559851246</v>
      </c>
      <c r="L367" s="22">
        <f t="shared" si="89"/>
        <v>2.6372269335947083</v>
      </c>
      <c r="M367" s="22">
        <f t="shared" si="89"/>
        <v>2.6284441511866339</v>
      </c>
      <c r="N367" s="22">
        <f t="shared" si="89"/>
        <v>2.5933447201068058</v>
      </c>
      <c r="O367" s="22">
        <f t="shared" si="89"/>
        <v>2.5423970387070201</v>
      </c>
      <c r="P367" s="22">
        <f t="shared" ref="L367:AW373" si="91">P1470</f>
        <v>2.4766546252796311</v>
      </c>
      <c r="Q367" s="22">
        <f t="shared" si="91"/>
        <v>2.4248016610449818</v>
      </c>
      <c r="R367" s="22">
        <f t="shared" si="91"/>
        <v>2.3757428620222045</v>
      </c>
      <c r="S367" s="22">
        <f t="shared" si="91"/>
        <v>2.0899611395217677</v>
      </c>
      <c r="T367" s="22">
        <f t="shared" si="91"/>
        <v>2.123908406459571</v>
      </c>
      <c r="U367" s="22">
        <f t="shared" si="91"/>
        <v>2.1872381038598681</v>
      </c>
      <c r="V367" s="22">
        <f t="shared" si="91"/>
        <v>2.1998857759152552</v>
      </c>
      <c r="W367" s="22">
        <f t="shared" si="91"/>
        <v>2.2181273565179156</v>
      </c>
      <c r="X367" s="22">
        <f t="shared" si="91"/>
        <v>2.2435747638317936</v>
      </c>
      <c r="Y367" s="22">
        <f t="shared" si="91"/>
        <v>2.2727641011058872</v>
      </c>
      <c r="Z367" s="22">
        <f t="shared" si="91"/>
        <v>2.3069870664207133</v>
      </c>
      <c r="AA367" s="22">
        <f t="shared" si="91"/>
        <v>2.3413678757080296</v>
      </c>
      <c r="AB367" s="22">
        <f t="shared" si="91"/>
        <v>2.380035677367871</v>
      </c>
      <c r="AC367" s="22">
        <f t="shared" si="91"/>
        <v>2.4183197434198012</v>
      </c>
      <c r="AD367" s="22">
        <f t="shared" si="91"/>
        <v>2.4432580924362282</v>
      </c>
      <c r="AE367" s="22">
        <f t="shared" si="91"/>
        <v>2.4637342148934525</v>
      </c>
      <c r="AF367" s="22">
        <f t="shared" si="91"/>
        <v>2.4853660780839015</v>
      </c>
      <c r="AG367" s="22">
        <f t="shared" si="91"/>
        <v>2.5143092679899</v>
      </c>
      <c r="AH367" s="22">
        <f t="shared" si="91"/>
        <v>2.5351242369049363</v>
      </c>
      <c r="AI367" s="22">
        <f t="shared" si="91"/>
        <v>2.5573078647097613</v>
      </c>
      <c r="AJ367" s="22">
        <f t="shared" si="91"/>
        <v>2.5817274482979573</v>
      </c>
      <c r="AK367" s="22">
        <f t="shared" si="91"/>
        <v>2.5969440997618101</v>
      </c>
      <c r="AL367" s="22">
        <f t="shared" si="91"/>
        <v>2.6083599094868397</v>
      </c>
      <c r="AM367" s="22">
        <f t="shared" si="91"/>
        <v>2.6163003362731181</v>
      </c>
      <c r="AN367" s="22">
        <f t="shared" si="91"/>
        <v>2.6409850244978843</v>
      </c>
      <c r="AO367" s="22">
        <f t="shared" si="91"/>
        <v>2.6597485124941493</v>
      </c>
      <c r="AP367" s="22">
        <f t="shared" si="91"/>
        <v>2.6787488500904026</v>
      </c>
      <c r="AQ367" s="22">
        <f t="shared" si="91"/>
        <v>2.6982033925594746</v>
      </c>
      <c r="AR367" s="22">
        <f t="shared" si="91"/>
        <v>2.7185044469941606</v>
      </c>
      <c r="AS367" s="22">
        <f t="shared" si="91"/>
        <v>2.739348237486432</v>
      </c>
      <c r="AT367" s="22">
        <f t="shared" si="91"/>
        <v>2.6982314327823316</v>
      </c>
      <c r="AU367" s="22">
        <f t="shared" si="91"/>
        <v>2.6516530080483269</v>
      </c>
      <c r="AV367" s="22">
        <f t="shared" si="91"/>
        <v>2.5976536730189443</v>
      </c>
      <c r="AW367" s="22">
        <f t="shared" si="91"/>
        <v>2.5419620380976129</v>
      </c>
      <c r="AY367" s="79"/>
    </row>
    <row r="368" spans="1:51" x14ac:dyDescent="0.3">
      <c r="A368" s="95" t="str">
        <f t="shared" si="71"/>
        <v>GS Organic</v>
      </c>
      <c r="B368" s="95" t="s">
        <v>1021</v>
      </c>
      <c r="C368" s="95" t="s">
        <v>1127</v>
      </c>
      <c r="D368" t="s">
        <v>369</v>
      </c>
      <c r="E368" t="s">
        <v>55</v>
      </c>
      <c r="F368" t="s">
        <v>421</v>
      </c>
      <c r="G368" t="s">
        <v>1162</v>
      </c>
      <c r="H368" t="s">
        <v>1163</v>
      </c>
      <c r="I368" t="s">
        <v>139</v>
      </c>
      <c r="J368" t="s">
        <v>287</v>
      </c>
      <c r="K368" s="22">
        <f t="shared" si="90"/>
        <v>0.34358078636628736</v>
      </c>
      <c r="L368" s="22">
        <f t="shared" si="91"/>
        <v>0.35516571939691499</v>
      </c>
      <c r="M368" s="22">
        <f t="shared" si="91"/>
        <v>0.36891582276573964</v>
      </c>
      <c r="N368" s="22">
        <f t="shared" si="91"/>
        <v>0.37917034791782095</v>
      </c>
      <c r="O368" s="22">
        <f t="shared" si="91"/>
        <v>0.38707850955818851</v>
      </c>
      <c r="P368" s="22">
        <f t="shared" si="91"/>
        <v>0.39252728601928993</v>
      </c>
      <c r="Q368" s="22">
        <f t="shared" si="91"/>
        <v>0.39996713645364929</v>
      </c>
      <c r="R368" s="22">
        <f t="shared" si="91"/>
        <v>0.40776627193753145</v>
      </c>
      <c r="S368" s="22">
        <f t="shared" si="91"/>
        <v>0.37321314104522196</v>
      </c>
      <c r="T368" s="22">
        <f t="shared" si="91"/>
        <v>0.3884130094850205</v>
      </c>
      <c r="U368" s="22">
        <f t="shared" si="91"/>
        <v>0.40949913684353023</v>
      </c>
      <c r="V368" s="22">
        <f t="shared" si="91"/>
        <v>0.4215293985273969</v>
      </c>
      <c r="W368" s="22">
        <f t="shared" si="91"/>
        <v>0.43487839572409737</v>
      </c>
      <c r="X368" s="22">
        <f t="shared" si="91"/>
        <v>0.4499540833261832</v>
      </c>
      <c r="Y368" s="22">
        <f t="shared" si="91"/>
        <v>0.46615455433442204</v>
      </c>
      <c r="Z368" s="22">
        <f t="shared" si="91"/>
        <v>0.48381398189083635</v>
      </c>
      <c r="AA368" s="22">
        <f t="shared" si="91"/>
        <v>0.50197004484830632</v>
      </c>
      <c r="AB368" s="22">
        <f t="shared" si="91"/>
        <v>0.52154350048929543</v>
      </c>
      <c r="AC368" s="22">
        <f t="shared" si="91"/>
        <v>0.5415643129229577</v>
      </c>
      <c r="AD368" s="22">
        <f t="shared" si="91"/>
        <v>0.56529401193420392</v>
      </c>
      <c r="AE368" s="22">
        <f t="shared" si="91"/>
        <v>0.58897158069089917</v>
      </c>
      <c r="AF368" s="22">
        <f t="shared" si="91"/>
        <v>0.61393439377098979</v>
      </c>
      <c r="AG368" s="22">
        <f t="shared" si="91"/>
        <v>0.64183870134182519</v>
      </c>
      <c r="AH368" s="22">
        <f t="shared" si="91"/>
        <v>0.66886013669524935</v>
      </c>
      <c r="AI368" s="22">
        <f t="shared" si="91"/>
        <v>0.6974449623138369</v>
      </c>
      <c r="AJ368" s="22">
        <f t="shared" si="91"/>
        <v>0.72794565179733817</v>
      </c>
      <c r="AK368" s="22">
        <f t="shared" si="91"/>
        <v>0.75716831024556897</v>
      </c>
      <c r="AL368" s="22">
        <f t="shared" si="91"/>
        <v>0.78655158010344739</v>
      </c>
      <c r="AM368" s="22">
        <f t="shared" si="91"/>
        <v>0.81615922006003327</v>
      </c>
      <c r="AN368" s="22">
        <f t="shared" si="91"/>
        <v>0.84710504325273028</v>
      </c>
      <c r="AO368" s="22">
        <f t="shared" si="91"/>
        <v>0.8772777887183536</v>
      </c>
      <c r="AP368" s="22">
        <f t="shared" si="91"/>
        <v>0.90865780083615855</v>
      </c>
      <c r="AQ368" s="22">
        <f t="shared" si="91"/>
        <v>0.94138400089523855</v>
      </c>
      <c r="AR368" s="22">
        <f t="shared" si="91"/>
        <v>0.9756708685083213</v>
      </c>
      <c r="AS368" s="22">
        <f t="shared" si="91"/>
        <v>1.0114969469202602</v>
      </c>
      <c r="AT368" s="22">
        <f t="shared" si="91"/>
        <v>1.0252009760930854</v>
      </c>
      <c r="AU368" s="22">
        <f t="shared" si="91"/>
        <v>1.0368909620314641</v>
      </c>
      <c r="AV368" s="22">
        <f t="shared" si="91"/>
        <v>1.0455964615277633</v>
      </c>
      <c r="AW368" s="22">
        <f t="shared" si="91"/>
        <v>1.0534263177729573</v>
      </c>
      <c r="AY368" s="79"/>
    </row>
    <row r="369" spans="1:51" x14ac:dyDescent="0.3">
      <c r="A369" s="95" t="str">
        <f t="shared" si="71"/>
        <v>GS Organic</v>
      </c>
      <c r="B369" s="95" t="s">
        <v>1021</v>
      </c>
      <c r="C369" s="95" t="s">
        <v>1127</v>
      </c>
      <c r="D369" t="s">
        <v>369</v>
      </c>
      <c r="E369" t="s">
        <v>55</v>
      </c>
      <c r="F369" t="s">
        <v>421</v>
      </c>
      <c r="G369" t="s">
        <v>1164</v>
      </c>
      <c r="H369" t="s">
        <v>1165</v>
      </c>
      <c r="I369" t="s">
        <v>139</v>
      </c>
      <c r="J369" t="s">
        <v>287</v>
      </c>
      <c r="K369" s="22">
        <f t="shared" si="90"/>
        <v>5.8359782740747899E-2</v>
      </c>
      <c r="L369" s="22">
        <f t="shared" si="91"/>
        <v>5.8391337689573865E-2</v>
      </c>
      <c r="M369" s="22">
        <f t="shared" si="91"/>
        <v>5.8466784388382168E-2</v>
      </c>
      <c r="N369" s="22">
        <f t="shared" si="91"/>
        <v>5.857803115055428E-2</v>
      </c>
      <c r="O369" s="22">
        <f t="shared" si="91"/>
        <v>5.872437103691365E-2</v>
      </c>
      <c r="P369" s="22">
        <f t="shared" si="91"/>
        <v>5.890425875881948E-2</v>
      </c>
      <c r="Q369" s="22">
        <f t="shared" si="91"/>
        <v>5.9106297224497076E-2</v>
      </c>
      <c r="R369" s="22">
        <f t="shared" si="91"/>
        <v>5.932921089397071E-2</v>
      </c>
      <c r="S369" s="22">
        <f t="shared" si="91"/>
        <v>5.9533053172061867E-2</v>
      </c>
      <c r="T369" s="22">
        <f t="shared" si="91"/>
        <v>5.9622626403998236E-2</v>
      </c>
      <c r="U369" s="22">
        <f t="shared" si="91"/>
        <v>5.9732014563410027E-2</v>
      </c>
      <c r="V369" s="22">
        <f t="shared" si="91"/>
        <v>5.9846990057404043E-2</v>
      </c>
      <c r="W369" s="22">
        <f t="shared" si="91"/>
        <v>5.9976074595492208E-2</v>
      </c>
      <c r="X369" s="22">
        <f t="shared" si="91"/>
        <v>6.0118906996584121E-2</v>
      </c>
      <c r="Y369" s="22">
        <f t="shared" si="91"/>
        <v>6.0208109427104674E-2</v>
      </c>
      <c r="Z369" s="22">
        <f t="shared" si="91"/>
        <v>6.0308885561081285E-2</v>
      </c>
      <c r="AA369" s="22">
        <f t="shared" si="91"/>
        <v>6.0419873689415794E-2</v>
      </c>
      <c r="AB369" s="22">
        <f t="shared" si="91"/>
        <v>6.0541378990392976E-2</v>
      </c>
      <c r="AC369" s="22">
        <f t="shared" si="91"/>
        <v>6.0672147346661598E-2</v>
      </c>
      <c r="AD369" s="22">
        <f t="shared" si="91"/>
        <v>6.075986875735849E-2</v>
      </c>
      <c r="AE369" s="22">
        <f t="shared" si="91"/>
        <v>6.0855100315135816E-2</v>
      </c>
      <c r="AF369" s="22">
        <f t="shared" si="91"/>
        <v>6.095860752574931E-2</v>
      </c>
      <c r="AG369" s="22">
        <f t="shared" si="91"/>
        <v>6.1071400786534412E-2</v>
      </c>
      <c r="AH369" s="22">
        <f t="shared" si="91"/>
        <v>6.1190093146373289E-2</v>
      </c>
      <c r="AI369" s="22">
        <f t="shared" si="91"/>
        <v>6.1265960925417272E-2</v>
      </c>
      <c r="AJ369" s="22">
        <f t="shared" si="91"/>
        <v>6.1349061452671098E-2</v>
      </c>
      <c r="AK369" s="22">
        <f t="shared" si="91"/>
        <v>6.1436653899188148E-2</v>
      </c>
      <c r="AL369" s="22">
        <f t="shared" si="91"/>
        <v>6.152967077586103E-2</v>
      </c>
      <c r="AM369" s="22">
        <f t="shared" si="91"/>
        <v>6.1627971048734624E-2</v>
      </c>
      <c r="AN369" s="22">
        <f t="shared" si="91"/>
        <v>6.1686054121935154E-2</v>
      </c>
      <c r="AO369" s="22">
        <f t="shared" si="91"/>
        <v>6.1748058507407479E-2</v>
      </c>
      <c r="AP369" s="22">
        <f t="shared" si="91"/>
        <v>6.1815315922285695E-2</v>
      </c>
      <c r="AQ369" s="22">
        <f t="shared" si="91"/>
        <v>6.1887761342917867E-2</v>
      </c>
      <c r="AR369" s="22">
        <f t="shared" si="91"/>
        <v>6.1965393268001254E-2</v>
      </c>
      <c r="AS369" s="22">
        <f t="shared" si="91"/>
        <v>6.2000613011444994E-2</v>
      </c>
      <c r="AT369" s="22">
        <f t="shared" si="91"/>
        <v>6.2023309807671526E-2</v>
      </c>
      <c r="AU369" s="22">
        <f t="shared" si="91"/>
        <v>6.2048189785904866E-2</v>
      </c>
      <c r="AV369" s="22">
        <f t="shared" si="91"/>
        <v>6.2074469713562223E-2</v>
      </c>
      <c r="AW369" s="22">
        <f t="shared" si="91"/>
        <v>6.2103581129763968E-2</v>
      </c>
      <c r="AY369" s="79"/>
    </row>
    <row r="370" spans="1:51" x14ac:dyDescent="0.3">
      <c r="A370" s="95" t="str">
        <f t="shared" si="71"/>
        <v>GS Organic</v>
      </c>
      <c r="B370" s="95" t="s">
        <v>1021</v>
      </c>
      <c r="C370" s="95" t="s">
        <v>1127</v>
      </c>
      <c r="D370" t="s">
        <v>369</v>
      </c>
      <c r="E370" t="s">
        <v>55</v>
      </c>
      <c r="F370" t="s">
        <v>421</v>
      </c>
      <c r="G370" t="s">
        <v>1166</v>
      </c>
      <c r="H370" t="s">
        <v>1167</v>
      </c>
      <c r="I370" t="s">
        <v>139</v>
      </c>
      <c r="J370" t="s">
        <v>287</v>
      </c>
      <c r="K370" s="22">
        <f t="shared" si="90"/>
        <v>4.7496930236945983E-2</v>
      </c>
      <c r="L370" s="22">
        <f t="shared" si="91"/>
        <v>4.7522611675988952E-2</v>
      </c>
      <c r="M370" s="22">
        <f t="shared" si="91"/>
        <v>4.7584015033260249E-2</v>
      </c>
      <c r="N370" s="22">
        <f t="shared" si="91"/>
        <v>4.7674554775764919E-2</v>
      </c>
      <c r="O370" s="22">
        <f t="shared" si="91"/>
        <v>4.7793655551108268E-2</v>
      </c>
      <c r="P370" s="22">
        <f t="shared" si="91"/>
        <v>4.7940059704389672E-2</v>
      </c>
      <c r="Q370" s="22">
        <f t="shared" si="91"/>
        <v>4.8104491552124547E-2</v>
      </c>
      <c r="R370" s="22">
        <f t="shared" si="91"/>
        <v>4.8285912978158388E-2</v>
      </c>
      <c r="S370" s="22">
        <f t="shared" si="91"/>
        <v>4.8451812884003569E-2</v>
      </c>
      <c r="T370" s="22">
        <f t="shared" si="91"/>
        <v>4.8524713319004827E-2</v>
      </c>
      <c r="U370" s="22">
        <f t="shared" si="91"/>
        <v>4.8613740411504645E-2</v>
      </c>
      <c r="V370" s="22">
        <f t="shared" si="91"/>
        <v>4.8707314834861425E-2</v>
      </c>
      <c r="W370" s="22">
        <f t="shared" si="91"/>
        <v>4.8812372102251839E-2</v>
      </c>
      <c r="X370" s="22">
        <f t="shared" si="91"/>
        <v>4.8928618261364118E-2</v>
      </c>
      <c r="Y370" s="22">
        <f t="shared" si="91"/>
        <v>4.9001216914416376E-2</v>
      </c>
      <c r="Z370" s="22">
        <f t="shared" si="91"/>
        <v>4.908323498885471E-2</v>
      </c>
      <c r="AA370" s="22">
        <f t="shared" si="91"/>
        <v>4.9173564238571964E-2</v>
      </c>
      <c r="AB370" s="22">
        <f t="shared" si="91"/>
        <v>4.9272453037208674E-2</v>
      </c>
      <c r="AC370" s="22">
        <f t="shared" si="91"/>
        <v>4.9378880703714607E-2</v>
      </c>
      <c r="AD370" s="22">
        <f t="shared" si="91"/>
        <v>4.9450274007947166E-2</v>
      </c>
      <c r="AE370" s="22">
        <f t="shared" si="91"/>
        <v>4.9527779551040076E-2</v>
      </c>
      <c r="AF370" s="22">
        <f t="shared" si="91"/>
        <v>4.9612020350622385E-2</v>
      </c>
      <c r="AG370" s="22">
        <f t="shared" si="91"/>
        <v>4.9703818732780645E-2</v>
      </c>
      <c r="AH370" s="22">
        <f t="shared" si="91"/>
        <v>4.9800418179697173E-2</v>
      </c>
      <c r="AI370" s="22">
        <f t="shared" si="91"/>
        <v>4.9862164239042377E-2</v>
      </c>
      <c r="AJ370" s="22">
        <f t="shared" si="91"/>
        <v>4.992979677227443E-2</v>
      </c>
      <c r="AK370" s="22">
        <f t="shared" si="91"/>
        <v>5.0001085117194859E-2</v>
      </c>
      <c r="AL370" s="22">
        <f t="shared" si="91"/>
        <v>5.0076788210912958E-2</v>
      </c>
      <c r="AM370" s="22">
        <f t="shared" si="91"/>
        <v>5.0156791270960163E-2</v>
      </c>
      <c r="AN370" s="22">
        <f t="shared" si="91"/>
        <v>5.0204062997244822E-2</v>
      </c>
      <c r="AO370" s="22">
        <f t="shared" si="91"/>
        <v>5.0254526138690123E-2</v>
      </c>
      <c r="AP370" s="22">
        <f t="shared" si="91"/>
        <v>5.0309264532021343E-2</v>
      </c>
      <c r="AQ370" s="22">
        <f t="shared" si="91"/>
        <v>5.036822525682455E-2</v>
      </c>
      <c r="AR370" s="22">
        <f t="shared" si="91"/>
        <v>5.0431407091243406E-2</v>
      </c>
      <c r="AS370" s="22">
        <f t="shared" si="91"/>
        <v>5.0460071174945387E-2</v>
      </c>
      <c r="AT370" s="22">
        <f t="shared" si="91"/>
        <v>5.0478543281871534E-2</v>
      </c>
      <c r="AU370" s="22">
        <f t="shared" si="91"/>
        <v>5.0498792202188725E-2</v>
      </c>
      <c r="AV370" s="22">
        <f t="shared" si="91"/>
        <v>5.0520180491040283E-2</v>
      </c>
      <c r="AW370" s="22">
        <f t="shared" si="91"/>
        <v>5.0543873226679401E-2</v>
      </c>
      <c r="AY370" s="79"/>
    </row>
    <row r="371" spans="1:51" x14ac:dyDescent="0.3">
      <c r="A371" s="95" t="str">
        <f t="shared" si="71"/>
        <v>GS Organic</v>
      </c>
      <c r="B371" s="95" t="s">
        <v>1021</v>
      </c>
      <c r="C371" s="95" t="s">
        <v>1127</v>
      </c>
      <c r="D371" t="s">
        <v>369</v>
      </c>
      <c r="E371" t="s">
        <v>55</v>
      </c>
      <c r="F371" t="s">
        <v>421</v>
      </c>
      <c r="G371" t="s">
        <v>1168</v>
      </c>
      <c r="H371" t="s">
        <v>1169</v>
      </c>
      <c r="I371" t="s">
        <v>139</v>
      </c>
      <c r="J371" t="s">
        <v>287</v>
      </c>
      <c r="K371" s="22">
        <f t="shared" si="90"/>
        <v>7.214092738049376E-3</v>
      </c>
      <c r="L371" s="22">
        <f t="shared" si="91"/>
        <v>7.2328458969643655E-3</v>
      </c>
      <c r="M371" s="22">
        <f t="shared" si="91"/>
        <v>7.2587152169743185E-3</v>
      </c>
      <c r="N371" s="22">
        <f t="shared" si="91"/>
        <v>7.2902308808567374E-3</v>
      </c>
      <c r="O371" s="22">
        <f t="shared" si="91"/>
        <v>7.3273479389297461E-3</v>
      </c>
      <c r="P371" s="22">
        <f t="shared" si="91"/>
        <v>7.3698404773103405E-3</v>
      </c>
      <c r="Q371" s="22">
        <f t="shared" si="91"/>
        <v>7.4155715935563154E-3</v>
      </c>
      <c r="R371" s="22">
        <f t="shared" si="91"/>
        <v>7.4643602602570466E-3</v>
      </c>
      <c r="S371" s="22">
        <f t="shared" si="91"/>
        <v>7.508606055628168E-3</v>
      </c>
      <c r="T371" s="22">
        <f t="shared" si="91"/>
        <v>7.530218392894506E-3</v>
      </c>
      <c r="U371" s="22">
        <f t="shared" si="91"/>
        <v>7.5549909541397786E-3</v>
      </c>
      <c r="V371" s="22">
        <f t="shared" si="91"/>
        <v>7.5802429112896688E-3</v>
      </c>
      <c r="W371" s="22">
        <f t="shared" si="91"/>
        <v>7.6076305558180233E-3</v>
      </c>
      <c r="X371" s="22">
        <f t="shared" si="91"/>
        <v>7.6371086242101958E-3</v>
      </c>
      <c r="Y371" s="22">
        <f t="shared" si="91"/>
        <v>7.6559732990994986E-3</v>
      </c>
      <c r="Z371" s="22">
        <f t="shared" si="91"/>
        <v>7.6766122997346123E-3</v>
      </c>
      <c r="AA371" s="22">
        <f t="shared" si="91"/>
        <v>7.6987842276677087E-3</v>
      </c>
      <c r="AB371" s="22">
        <f t="shared" si="91"/>
        <v>7.7225602786557407E-3</v>
      </c>
      <c r="AC371" s="22">
        <f t="shared" si="91"/>
        <v>7.7477172000671966E-3</v>
      </c>
      <c r="AD371" s="22">
        <f t="shared" si="91"/>
        <v>7.7644940114083667E-3</v>
      </c>
      <c r="AE371" s="22">
        <f t="shared" si="91"/>
        <v>7.7823854824558272E-3</v>
      </c>
      <c r="AF371" s="22">
        <f t="shared" si="91"/>
        <v>7.8015430548696758E-3</v>
      </c>
      <c r="AG371" s="22">
        <f t="shared" si="91"/>
        <v>7.8221613065677827E-3</v>
      </c>
      <c r="AH371" s="22">
        <f t="shared" si="91"/>
        <v>7.8436173383695379E-3</v>
      </c>
      <c r="AI371" s="22">
        <f t="shared" si="91"/>
        <v>7.8569056109017259E-3</v>
      </c>
      <c r="AJ371" s="22">
        <f t="shared" si="91"/>
        <v>7.8713258060749292E-3</v>
      </c>
      <c r="AK371" s="22">
        <f t="shared" si="91"/>
        <v>7.8863764085469988E-3</v>
      </c>
      <c r="AL371" s="22">
        <f t="shared" si="91"/>
        <v>7.9022347099283879E-3</v>
      </c>
      <c r="AM371" s="22">
        <f t="shared" si="91"/>
        <v>7.9188789980088534E-3</v>
      </c>
      <c r="AN371" s="22">
        <f t="shared" si="91"/>
        <v>7.927972418898541E-3</v>
      </c>
      <c r="AO371" s="22">
        <f t="shared" si="91"/>
        <v>7.9376387015817219E-3</v>
      </c>
      <c r="AP371" s="22">
        <f t="shared" si="91"/>
        <v>7.9481245993818089E-3</v>
      </c>
      <c r="AQ371" s="22">
        <f t="shared" si="91"/>
        <v>7.9594200977915561E-3</v>
      </c>
      <c r="AR371" s="22">
        <f t="shared" si="91"/>
        <v>7.9715264998755E-3</v>
      </c>
      <c r="AS371" s="22">
        <f t="shared" si="91"/>
        <v>7.9757936370942299E-3</v>
      </c>
      <c r="AT371" s="22">
        <f t="shared" si="91"/>
        <v>7.9776886737032964E-3</v>
      </c>
      <c r="AU371" s="22">
        <f t="shared" si="91"/>
        <v>7.979891666850529E-3</v>
      </c>
      <c r="AV371" s="22">
        <f t="shared" si="91"/>
        <v>7.9822633621210899E-3</v>
      </c>
      <c r="AW371" s="22">
        <f t="shared" si="91"/>
        <v>7.9850651414760491E-3</v>
      </c>
      <c r="AY371" s="79"/>
    </row>
    <row r="372" spans="1:51" x14ac:dyDescent="0.3">
      <c r="A372" s="95" t="str">
        <f t="shared" si="71"/>
        <v>GS Organic</v>
      </c>
      <c r="B372" s="95" t="s">
        <v>1021</v>
      </c>
      <c r="C372" s="95" t="s">
        <v>1127</v>
      </c>
      <c r="D372" t="s">
        <v>369</v>
      </c>
      <c r="E372" t="s">
        <v>55</v>
      </c>
      <c r="F372" t="s">
        <v>421</v>
      </c>
      <c r="G372" t="s">
        <v>1170</v>
      </c>
      <c r="H372" t="s">
        <v>1171</v>
      </c>
      <c r="I372" t="s">
        <v>139</v>
      </c>
      <c r="J372" t="s">
        <v>287</v>
      </c>
      <c r="K372" s="22">
        <f t="shared" si="90"/>
        <v>8.7045671471293537E-2</v>
      </c>
      <c r="L372" s="22">
        <f t="shared" si="91"/>
        <v>8.7271948200639354E-2</v>
      </c>
      <c r="M372" s="22">
        <f t="shared" si="91"/>
        <v>8.7584088952434122E-2</v>
      </c>
      <c r="N372" s="22">
        <f t="shared" si="91"/>
        <v>8.7964358824768829E-2</v>
      </c>
      <c r="O372" s="22">
        <f t="shared" si="91"/>
        <v>8.8412215452112072E-2</v>
      </c>
      <c r="P372" s="22">
        <f t="shared" si="91"/>
        <v>8.8924932944132923E-2</v>
      </c>
      <c r="Q372" s="22">
        <f t="shared" si="91"/>
        <v>8.9476727309038592E-2</v>
      </c>
      <c r="R372" s="22">
        <f t="shared" si="91"/>
        <v>9.0065414259340087E-2</v>
      </c>
      <c r="S372" s="22">
        <f t="shared" si="91"/>
        <v>9.0599286654346481E-2</v>
      </c>
      <c r="T372" s="22">
        <f t="shared" si="91"/>
        <v>9.0860062399505684E-2</v>
      </c>
      <c r="U372" s="22">
        <f t="shared" si="91"/>
        <v>9.1158969594901898E-2</v>
      </c>
      <c r="V372" s="22">
        <f t="shared" si="91"/>
        <v>9.146366120975781E-2</v>
      </c>
      <c r="W372" s="22">
        <f t="shared" si="91"/>
        <v>9.1794122155375246E-2</v>
      </c>
      <c r="X372" s="22">
        <f t="shared" si="91"/>
        <v>9.2149806279498009E-2</v>
      </c>
      <c r="Y372" s="22">
        <f t="shared" si="91"/>
        <v>9.2377428567213551E-2</v>
      </c>
      <c r="Z372" s="22">
        <f t="shared" si="91"/>
        <v>9.2626459974767344E-2</v>
      </c>
      <c r="AA372" s="22">
        <f t="shared" si="91"/>
        <v>9.289398777414952E-2</v>
      </c>
      <c r="AB372" s="22">
        <f t="shared" si="91"/>
        <v>9.3180871017592357E-2</v>
      </c>
      <c r="AC372" s="22">
        <f t="shared" si="91"/>
        <v>9.34844159255835E-2</v>
      </c>
      <c r="AD372" s="22">
        <f t="shared" si="91"/>
        <v>9.368684592771491E-2</v>
      </c>
      <c r="AE372" s="22">
        <f t="shared" si="91"/>
        <v>9.3902725480069615E-2</v>
      </c>
      <c r="AF372" s="22">
        <f t="shared" si="91"/>
        <v>9.4133881886713511E-2</v>
      </c>
      <c r="AG372" s="22">
        <f t="shared" si="91"/>
        <v>9.4382662936360925E-2</v>
      </c>
      <c r="AH372" s="22">
        <f t="shared" si="91"/>
        <v>9.4641552690500438E-2</v>
      </c>
      <c r="AI372" s="22">
        <f t="shared" si="91"/>
        <v>9.4801889776154655E-2</v>
      </c>
      <c r="AJ372" s="22">
        <f t="shared" si="91"/>
        <v>9.4975884707627883E-2</v>
      </c>
      <c r="AK372" s="22">
        <f t="shared" si="91"/>
        <v>9.5157486171013425E-2</v>
      </c>
      <c r="AL372" s="22">
        <f t="shared" si="91"/>
        <v>9.534883337741358E-2</v>
      </c>
      <c r="AM372" s="22">
        <f t="shared" si="91"/>
        <v>9.5549664346009811E-2</v>
      </c>
      <c r="AN372" s="22">
        <f t="shared" si="91"/>
        <v>9.5659386102584815E-2</v>
      </c>
      <c r="AO372" s="22">
        <f t="shared" si="91"/>
        <v>9.5776020043586318E-2</v>
      </c>
      <c r="AP372" s="22">
        <f t="shared" si="91"/>
        <v>9.5902543509270868E-2</v>
      </c>
      <c r="AQ372" s="22">
        <f t="shared" si="91"/>
        <v>9.6038835663999289E-2</v>
      </c>
      <c r="AR372" s="22">
        <f t="shared" si="91"/>
        <v>9.6184912230625655E-2</v>
      </c>
      <c r="AS372" s="22">
        <f t="shared" si="91"/>
        <v>9.6236399761761113E-2</v>
      </c>
      <c r="AT372" s="22">
        <f t="shared" si="91"/>
        <v>9.625926538604522E-2</v>
      </c>
      <c r="AU372" s="22">
        <f t="shared" si="91"/>
        <v>9.6285846832210489E-2</v>
      </c>
      <c r="AV372" s="22">
        <f t="shared" si="91"/>
        <v>9.6314463848216167E-2</v>
      </c>
      <c r="AW372" s="22">
        <f t="shared" si="91"/>
        <v>9.6348270284329823E-2</v>
      </c>
      <c r="AY372" s="79"/>
    </row>
    <row r="373" spans="1:51" x14ac:dyDescent="0.3">
      <c r="A373" s="95" t="str">
        <f t="shared" si="71"/>
        <v>GS Organic</v>
      </c>
      <c r="B373" s="95" t="s">
        <v>1021</v>
      </c>
      <c r="C373" s="95" t="s">
        <v>1127</v>
      </c>
      <c r="D373" t="s">
        <v>369</v>
      </c>
      <c r="E373" t="s">
        <v>55</v>
      </c>
      <c r="F373" t="s">
        <v>421</v>
      </c>
      <c r="G373" t="s">
        <v>1172</v>
      </c>
      <c r="H373" t="s">
        <v>1173</v>
      </c>
      <c r="I373" t="s">
        <v>139</v>
      </c>
      <c r="J373" t="s">
        <v>287</v>
      </c>
      <c r="K373" s="22">
        <f t="shared" si="90"/>
        <v>0</v>
      </c>
      <c r="L373" s="22">
        <f t="shared" si="91"/>
        <v>0</v>
      </c>
      <c r="M373" s="22">
        <f t="shared" si="91"/>
        <v>0</v>
      </c>
      <c r="N373" s="22">
        <f t="shared" si="91"/>
        <v>0</v>
      </c>
      <c r="O373" s="22">
        <f t="shared" si="91"/>
        <v>0</v>
      </c>
      <c r="P373" s="22">
        <f t="shared" si="91"/>
        <v>0</v>
      </c>
      <c r="Q373" s="22">
        <f t="shared" si="91"/>
        <v>0</v>
      </c>
      <c r="R373" s="22">
        <f t="shared" si="91"/>
        <v>0</v>
      </c>
      <c r="S373" s="22">
        <f t="shared" si="91"/>
        <v>0</v>
      </c>
      <c r="T373" s="22">
        <f t="shared" si="91"/>
        <v>0</v>
      </c>
      <c r="U373" s="22">
        <f t="shared" si="91"/>
        <v>0</v>
      </c>
      <c r="V373" s="22">
        <f t="shared" si="91"/>
        <v>0</v>
      </c>
      <c r="W373" s="22">
        <f t="shared" si="91"/>
        <v>0</v>
      </c>
      <c r="X373" s="22">
        <f t="shared" si="91"/>
        <v>0</v>
      </c>
      <c r="Y373" s="22">
        <f t="shared" si="91"/>
        <v>0</v>
      </c>
      <c r="Z373" s="22">
        <f t="shared" si="91"/>
        <v>0</v>
      </c>
      <c r="AA373" s="22">
        <f t="shared" si="91"/>
        <v>0</v>
      </c>
      <c r="AB373" s="22">
        <f t="shared" si="91"/>
        <v>0</v>
      </c>
      <c r="AC373" s="22">
        <f t="shared" si="91"/>
        <v>0</v>
      </c>
      <c r="AD373" s="22">
        <f t="shared" si="91"/>
        <v>0</v>
      </c>
      <c r="AE373" s="22">
        <f t="shared" si="91"/>
        <v>0</v>
      </c>
      <c r="AF373" s="22">
        <f t="shared" si="91"/>
        <v>0</v>
      </c>
      <c r="AG373" s="22">
        <f t="shared" si="91"/>
        <v>0</v>
      </c>
      <c r="AH373" s="22">
        <f t="shared" si="91"/>
        <v>0</v>
      </c>
      <c r="AI373" s="22">
        <f t="shared" si="91"/>
        <v>0</v>
      </c>
      <c r="AJ373" s="22">
        <f t="shared" si="91"/>
        <v>0</v>
      </c>
      <c r="AK373" s="22">
        <f t="shared" si="91"/>
        <v>0</v>
      </c>
      <c r="AL373" s="22">
        <f t="shared" si="91"/>
        <v>0</v>
      </c>
      <c r="AM373" s="22">
        <f t="shared" si="91"/>
        <v>0</v>
      </c>
      <c r="AN373" s="22">
        <f t="shared" si="91"/>
        <v>0</v>
      </c>
      <c r="AO373" s="22">
        <f t="shared" si="91"/>
        <v>0</v>
      </c>
      <c r="AP373" s="22">
        <f t="shared" si="91"/>
        <v>0</v>
      </c>
      <c r="AQ373" s="22">
        <f t="shared" ref="L373:AW380" si="92">AQ1476</f>
        <v>0</v>
      </c>
      <c r="AR373" s="22">
        <f t="shared" si="92"/>
        <v>0</v>
      </c>
      <c r="AS373" s="22">
        <f t="shared" si="92"/>
        <v>0</v>
      </c>
      <c r="AT373" s="22">
        <f t="shared" si="92"/>
        <v>0</v>
      </c>
      <c r="AU373" s="22">
        <f t="shared" si="92"/>
        <v>0</v>
      </c>
      <c r="AV373" s="22">
        <f t="shared" si="92"/>
        <v>0</v>
      </c>
      <c r="AW373" s="22">
        <f t="shared" si="92"/>
        <v>0</v>
      </c>
      <c r="AY373" s="79"/>
    </row>
    <row r="374" spans="1:51" x14ac:dyDescent="0.3">
      <c r="A374" s="95" t="str">
        <f t="shared" ref="A374:A437" si="93">B374&amp;" "&amp;C374</f>
        <v>GS Organic</v>
      </c>
      <c r="B374" s="95" t="s">
        <v>1021</v>
      </c>
      <c r="C374" s="95" t="s">
        <v>1127</v>
      </c>
      <c r="D374" t="s">
        <v>369</v>
      </c>
      <c r="E374" t="s">
        <v>55</v>
      </c>
      <c r="F374" t="s">
        <v>421</v>
      </c>
      <c r="G374" t="s">
        <v>1174</v>
      </c>
      <c r="H374" t="s">
        <v>1175</v>
      </c>
      <c r="I374" t="s">
        <v>139</v>
      </c>
      <c r="J374" t="s">
        <v>287</v>
      </c>
      <c r="K374" s="22">
        <f t="shared" si="90"/>
        <v>0</v>
      </c>
      <c r="L374" s="22">
        <f t="shared" si="92"/>
        <v>0</v>
      </c>
      <c r="M374" s="22">
        <f t="shared" si="92"/>
        <v>0</v>
      </c>
      <c r="N374" s="22">
        <f t="shared" si="92"/>
        <v>0</v>
      </c>
      <c r="O374" s="22">
        <f t="shared" si="92"/>
        <v>0</v>
      </c>
      <c r="P374" s="22">
        <f t="shared" si="92"/>
        <v>0</v>
      </c>
      <c r="Q374" s="22">
        <f t="shared" si="92"/>
        <v>0</v>
      </c>
      <c r="R374" s="22">
        <f t="shared" si="92"/>
        <v>0</v>
      </c>
      <c r="S374" s="22">
        <f t="shared" si="92"/>
        <v>0</v>
      </c>
      <c r="T374" s="22">
        <f t="shared" si="92"/>
        <v>0</v>
      </c>
      <c r="U374" s="22">
        <f t="shared" si="92"/>
        <v>0</v>
      </c>
      <c r="V374" s="22">
        <f t="shared" si="92"/>
        <v>0</v>
      </c>
      <c r="W374" s="22">
        <f t="shared" si="92"/>
        <v>0</v>
      </c>
      <c r="X374" s="22">
        <f t="shared" si="92"/>
        <v>0</v>
      </c>
      <c r="Y374" s="22">
        <f t="shared" si="92"/>
        <v>0</v>
      </c>
      <c r="Z374" s="22">
        <f t="shared" si="92"/>
        <v>0</v>
      </c>
      <c r="AA374" s="22">
        <f t="shared" si="92"/>
        <v>0</v>
      </c>
      <c r="AB374" s="22">
        <f t="shared" si="92"/>
        <v>0</v>
      </c>
      <c r="AC374" s="22">
        <f t="shared" si="92"/>
        <v>0</v>
      </c>
      <c r="AD374" s="22">
        <f t="shared" si="92"/>
        <v>0</v>
      </c>
      <c r="AE374" s="22">
        <f t="shared" si="92"/>
        <v>0</v>
      </c>
      <c r="AF374" s="22">
        <f t="shared" si="92"/>
        <v>0</v>
      </c>
      <c r="AG374" s="22">
        <f t="shared" si="92"/>
        <v>0</v>
      </c>
      <c r="AH374" s="22">
        <f t="shared" si="92"/>
        <v>0</v>
      </c>
      <c r="AI374" s="22">
        <f t="shared" si="92"/>
        <v>0</v>
      </c>
      <c r="AJ374" s="22">
        <f t="shared" si="92"/>
        <v>0</v>
      </c>
      <c r="AK374" s="22">
        <f t="shared" si="92"/>
        <v>0</v>
      </c>
      <c r="AL374" s="22">
        <f t="shared" si="92"/>
        <v>0</v>
      </c>
      <c r="AM374" s="22">
        <f t="shared" si="92"/>
        <v>0</v>
      </c>
      <c r="AN374" s="22">
        <f t="shared" si="92"/>
        <v>0</v>
      </c>
      <c r="AO374" s="22">
        <f t="shared" si="92"/>
        <v>0</v>
      </c>
      <c r="AP374" s="22">
        <f t="shared" si="92"/>
        <v>0</v>
      </c>
      <c r="AQ374" s="22">
        <f t="shared" si="92"/>
        <v>0</v>
      </c>
      <c r="AR374" s="22">
        <f t="shared" si="92"/>
        <v>0</v>
      </c>
      <c r="AS374" s="22">
        <f t="shared" si="92"/>
        <v>0</v>
      </c>
      <c r="AT374" s="22">
        <f t="shared" si="92"/>
        <v>0</v>
      </c>
      <c r="AU374" s="22">
        <f t="shared" si="92"/>
        <v>0</v>
      </c>
      <c r="AV374" s="22">
        <f t="shared" si="92"/>
        <v>0</v>
      </c>
      <c r="AW374" s="22">
        <f t="shared" si="92"/>
        <v>0</v>
      </c>
      <c r="AY374" s="79"/>
    </row>
    <row r="375" spans="1:51" x14ac:dyDescent="0.3">
      <c r="A375" s="95" t="str">
        <f t="shared" si="93"/>
        <v>GS Organic</v>
      </c>
      <c r="B375" s="95" t="s">
        <v>1021</v>
      </c>
      <c r="C375" s="95" t="s">
        <v>1127</v>
      </c>
      <c r="D375" t="s">
        <v>369</v>
      </c>
      <c r="E375" t="s">
        <v>55</v>
      </c>
      <c r="F375" t="s">
        <v>421</v>
      </c>
      <c r="G375" t="s">
        <v>1176</v>
      </c>
      <c r="H375" t="s">
        <v>1177</v>
      </c>
      <c r="I375" t="s">
        <v>139</v>
      </c>
      <c r="J375" t="s">
        <v>287</v>
      </c>
      <c r="K375" s="22">
        <f t="shared" si="90"/>
        <v>0.12462873299340151</v>
      </c>
      <c r="L375" s="22">
        <f t="shared" si="92"/>
        <v>0.1239512929347177</v>
      </c>
      <c r="M375" s="22">
        <f t="shared" si="92"/>
        <v>0.12400689511310994</v>
      </c>
      <c r="N375" s="22">
        <f t="shared" si="92"/>
        <v>0.12286841678965586</v>
      </c>
      <c r="O375" s="22">
        <f t="shared" si="92"/>
        <v>0.12100901910044999</v>
      </c>
      <c r="P375" s="22">
        <f t="shared" si="92"/>
        <v>0.11845842648899828</v>
      </c>
      <c r="Q375" s="22">
        <f t="shared" si="92"/>
        <v>0.11660641339960404</v>
      </c>
      <c r="R375" s="22">
        <f t="shared" si="92"/>
        <v>0.1149182786313902</v>
      </c>
      <c r="S375" s="22">
        <f t="shared" si="92"/>
        <v>0.10146708298993465</v>
      </c>
      <c r="T375" s="22">
        <f t="shared" si="92"/>
        <v>0.10275020296586759</v>
      </c>
      <c r="U375" s="22">
        <f t="shared" si="92"/>
        <v>0.10550352655141972</v>
      </c>
      <c r="V375" s="22">
        <f t="shared" si="92"/>
        <v>0.10575351402910073</v>
      </c>
      <c r="W375" s="22">
        <f t="shared" si="92"/>
        <v>0.10629487580237802</v>
      </c>
      <c r="X375" s="22">
        <f t="shared" si="92"/>
        <v>0.10720509536861222</v>
      </c>
      <c r="Y375" s="22">
        <f t="shared" si="92"/>
        <v>0.10834723898966528</v>
      </c>
      <c r="Z375" s="22">
        <f t="shared" si="92"/>
        <v>0.10974683917126901</v>
      </c>
      <c r="AA375" s="22">
        <f t="shared" si="92"/>
        <v>0.1111628062750292</v>
      </c>
      <c r="AB375" s="22">
        <f t="shared" si="92"/>
        <v>0.11279760688156307</v>
      </c>
      <c r="AC375" s="22">
        <f t="shared" si="92"/>
        <v>0.11442112413234014</v>
      </c>
      <c r="AD375" s="22">
        <f t="shared" si="92"/>
        <v>0.11643957996744059</v>
      </c>
      <c r="AE375" s="22">
        <f t="shared" si="92"/>
        <v>0.11829771598770626</v>
      </c>
      <c r="AF375" s="22">
        <f t="shared" si="92"/>
        <v>0.12027492127071612</v>
      </c>
      <c r="AG375" s="22">
        <f t="shared" si="92"/>
        <v>0.12268685377616716</v>
      </c>
      <c r="AH375" s="22">
        <f t="shared" si="92"/>
        <v>0.12475791099342097</v>
      </c>
      <c r="AI375" s="22">
        <f t="shared" si="92"/>
        <v>0.12699329856497024</v>
      </c>
      <c r="AJ375" s="22">
        <f t="shared" si="92"/>
        <v>0.12941943299405728</v>
      </c>
      <c r="AK375" s="22">
        <f t="shared" si="92"/>
        <v>0.13144337900700456</v>
      </c>
      <c r="AL375" s="22">
        <f t="shared" si="92"/>
        <v>0.13334140591601026</v>
      </c>
      <c r="AM375" s="22">
        <f t="shared" si="92"/>
        <v>0.13512882169953486</v>
      </c>
      <c r="AN375" s="22">
        <f t="shared" si="92"/>
        <v>0.13719268069693955</v>
      </c>
      <c r="AO375" s="22">
        <f t="shared" si="92"/>
        <v>0.13898281232646292</v>
      </c>
      <c r="AP375" s="22">
        <f t="shared" si="92"/>
        <v>0.140830682916952</v>
      </c>
      <c r="AQ375" s="22">
        <f t="shared" si="92"/>
        <v>0.14275023053200411</v>
      </c>
      <c r="AR375" s="22">
        <f t="shared" si="92"/>
        <v>0.14476547350370239</v>
      </c>
      <c r="AS375" s="22">
        <f t="shared" si="92"/>
        <v>0.14688161225730581</v>
      </c>
      <c r="AT375" s="22">
        <f t="shared" si="92"/>
        <v>0.14559391276445241</v>
      </c>
      <c r="AU375" s="22">
        <f t="shared" si="92"/>
        <v>0.14400863154663293</v>
      </c>
      <c r="AV375" s="22">
        <f t="shared" si="92"/>
        <v>0.1420082821543816</v>
      </c>
      <c r="AW375" s="22">
        <f t="shared" si="92"/>
        <v>0.13990982914905775</v>
      </c>
      <c r="AY375" s="79"/>
    </row>
    <row r="376" spans="1:51" x14ac:dyDescent="0.3">
      <c r="A376" s="95" t="str">
        <f t="shared" si="93"/>
        <v>GS Organic</v>
      </c>
      <c r="B376" s="95" t="s">
        <v>1021</v>
      </c>
      <c r="C376" s="95" t="s">
        <v>1127</v>
      </c>
      <c r="D376" t="s">
        <v>369</v>
      </c>
      <c r="E376" t="s">
        <v>55</v>
      </c>
      <c r="F376" t="s">
        <v>421</v>
      </c>
      <c r="G376" t="s">
        <v>1178</v>
      </c>
      <c r="H376" t="s">
        <v>1179</v>
      </c>
      <c r="I376" t="s">
        <v>139</v>
      </c>
      <c r="J376" t="s">
        <v>287</v>
      </c>
      <c r="K376" s="22">
        <f t="shared" si="90"/>
        <v>3.1618785484610064E-2</v>
      </c>
      <c r="L376" s="22">
        <f t="shared" si="92"/>
        <v>3.1446916354757486E-2</v>
      </c>
      <c r="M376" s="22">
        <f t="shared" si="92"/>
        <v>3.1461022839745618E-2</v>
      </c>
      <c r="N376" s="22">
        <f t="shared" si="92"/>
        <v>3.1172186541537576E-2</v>
      </c>
      <c r="O376" s="22">
        <f t="shared" si="92"/>
        <v>3.0700450247237825E-2</v>
      </c>
      <c r="P376" s="22">
        <f t="shared" si="92"/>
        <v>3.0053355161673623E-2</v>
      </c>
      <c r="Q376" s="22">
        <f t="shared" si="92"/>
        <v>2.9583492368545915E-2</v>
      </c>
      <c r="R376" s="22">
        <f t="shared" si="92"/>
        <v>2.9155206131309674E-2</v>
      </c>
      <c r="S376" s="22">
        <f t="shared" si="92"/>
        <v>2.5742586430512242E-2</v>
      </c>
      <c r="T376" s="22">
        <f t="shared" si="92"/>
        <v>2.6068118868302407E-2</v>
      </c>
      <c r="U376" s="22">
        <f t="shared" si="92"/>
        <v>2.6766647576171875E-2</v>
      </c>
      <c r="V376" s="22">
        <f t="shared" si="92"/>
        <v>2.6830070353895639E-2</v>
      </c>
      <c r="W376" s="22">
        <f t="shared" si="92"/>
        <v>2.6967415903093594E-2</v>
      </c>
      <c r="X376" s="22">
        <f t="shared" si="92"/>
        <v>2.7198342082935097E-2</v>
      </c>
      <c r="Y376" s="22">
        <f t="shared" si="92"/>
        <v>2.7488108281140813E-2</v>
      </c>
      <c r="Z376" s="22">
        <f t="shared" si="92"/>
        <v>2.7843192191916763E-2</v>
      </c>
      <c r="AA376" s="22">
        <f t="shared" si="92"/>
        <v>2.8202428453344759E-2</v>
      </c>
      <c r="AB376" s="22">
        <f t="shared" si="92"/>
        <v>2.8617183610093744E-2</v>
      </c>
      <c r="AC376" s="22">
        <f t="shared" si="92"/>
        <v>2.902907613639907E-2</v>
      </c>
      <c r="AD376" s="22">
        <f t="shared" si="92"/>
        <v>2.9541166089713286E-2</v>
      </c>
      <c r="AE376" s="22">
        <f t="shared" si="92"/>
        <v>3.0012582293784919E-2</v>
      </c>
      <c r="AF376" s="22">
        <f t="shared" si="92"/>
        <v>3.05142068245088E-2</v>
      </c>
      <c r="AG376" s="22">
        <f t="shared" si="92"/>
        <v>3.1126123311674345E-2</v>
      </c>
      <c r="AH376" s="22">
        <f t="shared" si="92"/>
        <v>3.1651558436511636E-2</v>
      </c>
      <c r="AI376" s="22">
        <f t="shared" si="92"/>
        <v>3.2218684799767874E-2</v>
      </c>
      <c r="AJ376" s="22">
        <f t="shared" si="92"/>
        <v>3.2834204369193265E-2</v>
      </c>
      <c r="AK376" s="22">
        <f t="shared" si="92"/>
        <v>3.334768720159275E-2</v>
      </c>
      <c r="AL376" s="22">
        <f t="shared" si="92"/>
        <v>3.3829223876470492E-2</v>
      </c>
      <c r="AM376" s="22">
        <f t="shared" si="92"/>
        <v>3.4282698086419032E-2</v>
      </c>
      <c r="AN376" s="22">
        <f t="shared" si="92"/>
        <v>3.4806306995392507E-2</v>
      </c>
      <c r="AO376" s="22">
        <f t="shared" si="92"/>
        <v>3.5260470225842028E-2</v>
      </c>
      <c r="AP376" s="22">
        <f t="shared" si="92"/>
        <v>3.5729282051178403E-2</v>
      </c>
      <c r="AQ376" s="22">
        <f t="shared" si="92"/>
        <v>3.6216278611362E-2</v>
      </c>
      <c r="AR376" s="22">
        <f t="shared" si="92"/>
        <v>3.672755344896201E-2</v>
      </c>
      <c r="AS376" s="22">
        <f t="shared" si="92"/>
        <v>3.7264425931725673E-2</v>
      </c>
      <c r="AT376" s="22">
        <f t="shared" si="92"/>
        <v>3.6937731653004804E-2</v>
      </c>
      <c r="AU376" s="22">
        <f t="shared" si="92"/>
        <v>3.6535539754274135E-2</v>
      </c>
      <c r="AV376" s="22">
        <f t="shared" si="92"/>
        <v>3.6028043474654464E-2</v>
      </c>
      <c r="AW376" s="22">
        <f t="shared" si="92"/>
        <v>3.5495657933766529E-2</v>
      </c>
      <c r="AY376" s="79"/>
    </row>
    <row r="377" spans="1:51" x14ac:dyDescent="0.3">
      <c r="A377" s="95" t="str">
        <f t="shared" si="93"/>
        <v>GS Organic</v>
      </c>
      <c r="B377" s="95" t="s">
        <v>1021</v>
      </c>
      <c r="C377" s="95" t="s">
        <v>1127</v>
      </c>
      <c r="D377" t="s">
        <v>369</v>
      </c>
      <c r="E377" t="s">
        <v>55</v>
      </c>
      <c r="F377" t="s">
        <v>421</v>
      </c>
      <c r="G377" t="s">
        <v>1180</v>
      </c>
      <c r="H377" t="s">
        <v>1181</v>
      </c>
      <c r="I377" t="s">
        <v>139</v>
      </c>
      <c r="J377" t="s">
        <v>287</v>
      </c>
      <c r="K377" s="22">
        <f t="shared" si="90"/>
        <v>0.15700744358616764</v>
      </c>
      <c r="L377" s="22">
        <f t="shared" si="92"/>
        <v>0.16019971617730658</v>
      </c>
      <c r="M377" s="22">
        <f t="shared" si="92"/>
        <v>0.16393118028621728</v>
      </c>
      <c r="N377" s="22">
        <f t="shared" si="92"/>
        <v>0.1667959170810015</v>
      </c>
      <c r="O377" s="22">
        <f t="shared" si="92"/>
        <v>0.16909558154641685</v>
      </c>
      <c r="P377" s="22">
        <f t="shared" si="92"/>
        <v>0.17081649742586277</v>
      </c>
      <c r="Q377" s="22">
        <f t="shared" si="92"/>
        <v>0.17302318661183388</v>
      </c>
      <c r="R377" s="22">
        <f t="shared" si="92"/>
        <v>0.17531753251219051</v>
      </c>
      <c r="S377" s="22">
        <f t="shared" si="92"/>
        <v>0.16751439680213853</v>
      </c>
      <c r="T377" s="22">
        <f t="shared" si="92"/>
        <v>0.17168380366965671</v>
      </c>
      <c r="U377" s="22">
        <f t="shared" si="92"/>
        <v>0.17724022876298692</v>
      </c>
      <c r="V377" s="22">
        <f t="shared" si="92"/>
        <v>0.18063841613712966</v>
      </c>
      <c r="W377" s="22">
        <f t="shared" si="92"/>
        <v>0.18434318641003919</v>
      </c>
      <c r="X377" s="22">
        <f t="shared" si="92"/>
        <v>0.188448281864291</v>
      </c>
      <c r="Y377" s="22">
        <f t="shared" si="92"/>
        <v>0.19268830884381843</v>
      </c>
      <c r="Z377" s="22">
        <f t="shared" si="92"/>
        <v>0.19725821874244767</v>
      </c>
      <c r="AA377" s="22">
        <f t="shared" si="92"/>
        <v>0.20193089933116126</v>
      </c>
      <c r="AB377" s="22">
        <f t="shared" si="92"/>
        <v>0.20692004706096712</v>
      </c>
      <c r="AC377" s="22">
        <f t="shared" si="92"/>
        <v>0.21199804978928341</v>
      </c>
      <c r="AD377" s="22">
        <f t="shared" si="92"/>
        <v>0.21747687739173732</v>
      </c>
      <c r="AE377" s="22">
        <f t="shared" si="92"/>
        <v>0.22289913009362322</v>
      </c>
      <c r="AF377" s="22">
        <f t="shared" si="92"/>
        <v>0.22857157153008073</v>
      </c>
      <c r="AG377" s="22">
        <f t="shared" si="92"/>
        <v>0.23486719230657463</v>
      </c>
      <c r="AH377" s="22">
        <f t="shared" si="92"/>
        <v>0.24091117160634945</v>
      </c>
      <c r="AI377" s="22">
        <f t="shared" si="92"/>
        <v>0.24716162450629867</v>
      </c>
      <c r="AJ377" s="22">
        <f t="shared" si="92"/>
        <v>0.25378810388351081</v>
      </c>
      <c r="AK377" s="22">
        <f t="shared" si="92"/>
        <v>0.26007320548130258</v>
      </c>
      <c r="AL377" s="22">
        <f t="shared" si="92"/>
        <v>0.26634117713838401</v>
      </c>
      <c r="AM377" s="22">
        <f t="shared" si="92"/>
        <v>0.27260643897493425</v>
      </c>
      <c r="AN377" s="22">
        <f t="shared" si="92"/>
        <v>0.2792535835644861</v>
      </c>
      <c r="AO377" s="22">
        <f t="shared" si="92"/>
        <v>0.2856890752327706</v>
      </c>
      <c r="AP377" s="22">
        <f t="shared" si="92"/>
        <v>0.29234742990941948</v>
      </c>
      <c r="AQ377" s="22">
        <f t="shared" si="92"/>
        <v>0.29925644298376841</v>
      </c>
      <c r="AR377" s="22">
        <f t="shared" si="92"/>
        <v>0.30645986851598017</v>
      </c>
      <c r="AS377" s="22">
        <f t="shared" si="92"/>
        <v>0.31385566843275581</v>
      </c>
      <c r="AT377" s="22">
        <f t="shared" si="92"/>
        <v>0.31644615504224521</v>
      </c>
      <c r="AU377" s="22">
        <f t="shared" si="92"/>
        <v>0.31859170882360827</v>
      </c>
      <c r="AV377" s="22">
        <f t="shared" si="92"/>
        <v>0.32009002936003406</v>
      </c>
      <c r="AW377" s="22">
        <f t="shared" si="92"/>
        <v>0.3213967030603942</v>
      </c>
      <c r="AY377" s="79"/>
    </row>
    <row r="378" spans="1:51" x14ac:dyDescent="0.3">
      <c r="A378" s="95" t="str">
        <f t="shared" si="93"/>
        <v>GS Organic</v>
      </c>
      <c r="B378" s="95" t="s">
        <v>1021</v>
      </c>
      <c r="C378" s="95" t="s">
        <v>1127</v>
      </c>
      <c r="D378" t="s">
        <v>369</v>
      </c>
      <c r="E378" t="s">
        <v>55</v>
      </c>
      <c r="F378" t="s">
        <v>421</v>
      </c>
      <c r="G378" t="s">
        <v>1182</v>
      </c>
      <c r="H378" t="s">
        <v>1183</v>
      </c>
      <c r="I378" t="s">
        <v>139</v>
      </c>
      <c r="J378" t="s">
        <v>287</v>
      </c>
      <c r="K378" s="22">
        <f t="shared" si="90"/>
        <v>0.78620275218739033</v>
      </c>
      <c r="L378" s="22">
        <f t="shared" si="92"/>
        <v>0.79655563720176326</v>
      </c>
      <c r="M378" s="22">
        <f t="shared" si="92"/>
        <v>0.8131853402467214</v>
      </c>
      <c r="N378" s="22">
        <f t="shared" si="92"/>
        <v>0.81796021384654038</v>
      </c>
      <c r="O378" s="22">
        <f t="shared" si="92"/>
        <v>0.81503229757580642</v>
      </c>
      <c r="P378" s="22">
        <f t="shared" si="92"/>
        <v>0.80443274266431908</v>
      </c>
      <c r="Q378" s="22">
        <f t="shared" si="92"/>
        <v>0.79997057217510736</v>
      </c>
      <c r="R378" s="22">
        <f t="shared" si="92"/>
        <v>0.79652072541357855</v>
      </c>
      <c r="S378" s="22">
        <f t="shared" si="92"/>
        <v>0.6714256257710044</v>
      </c>
      <c r="T378" s="22">
        <f t="shared" si="92"/>
        <v>0.69801734564768969</v>
      </c>
      <c r="U378" s="22">
        <f t="shared" si="92"/>
        <v>0.74045602078801331</v>
      </c>
      <c r="V378" s="22">
        <f t="shared" si="92"/>
        <v>0.75681661805559275</v>
      </c>
      <c r="W378" s="22">
        <f t="shared" si="92"/>
        <v>0.77639522353149193</v>
      </c>
      <c r="X378" s="22">
        <f t="shared" si="92"/>
        <v>0.8001865286543951</v>
      </c>
      <c r="Y378" s="22">
        <f t="shared" si="92"/>
        <v>0.82750602154681474</v>
      </c>
      <c r="Z378" s="22">
        <f t="shared" si="92"/>
        <v>0.85809975414422934</v>
      </c>
      <c r="AA378" s="22">
        <f t="shared" si="92"/>
        <v>0.88934316122776869</v>
      </c>
      <c r="AB378" s="22">
        <f t="shared" si="92"/>
        <v>0.92360761628524812</v>
      </c>
      <c r="AC378" s="22">
        <f t="shared" si="92"/>
        <v>0.95831140706580387</v>
      </c>
      <c r="AD378" s="22">
        <f t="shared" si="92"/>
        <v>0.99882396760608316</v>
      </c>
      <c r="AE378" s="22">
        <f t="shared" si="92"/>
        <v>1.0381393848215872</v>
      </c>
      <c r="AF378" s="22">
        <f t="shared" si="92"/>
        <v>1.079611123684572</v>
      </c>
      <c r="AG378" s="22">
        <f t="shared" si="92"/>
        <v>1.1272124079778039</v>
      </c>
      <c r="AH378" s="22">
        <f t="shared" si="92"/>
        <v>1.1714796676080013</v>
      </c>
      <c r="AI378" s="22">
        <f t="shared" si="92"/>
        <v>1.2191635190702683</v>
      </c>
      <c r="AJ378" s="22">
        <f t="shared" si="92"/>
        <v>1.2702163053795446</v>
      </c>
      <c r="AK378" s="22">
        <f t="shared" si="92"/>
        <v>1.3170629000720371</v>
      </c>
      <c r="AL378" s="22">
        <f t="shared" si="92"/>
        <v>1.3631650010384939</v>
      </c>
      <c r="AM378" s="22">
        <f t="shared" si="92"/>
        <v>1.4086909019769458</v>
      </c>
      <c r="AN378" s="22">
        <f t="shared" si="92"/>
        <v>1.4592838015136291</v>
      </c>
      <c r="AO378" s="22">
        <f t="shared" si="92"/>
        <v>1.5071494225223063</v>
      </c>
      <c r="AP378" s="22">
        <f t="shared" si="92"/>
        <v>1.5567592089604327</v>
      </c>
      <c r="AQ378" s="22">
        <f t="shared" si="92"/>
        <v>1.6083690614713202</v>
      </c>
      <c r="AR378" s="22">
        <f t="shared" si="92"/>
        <v>1.6623899573120902</v>
      </c>
      <c r="AS378" s="22">
        <f t="shared" si="92"/>
        <v>1.7194351847901206</v>
      </c>
      <c r="AT378" s="22">
        <f t="shared" si="92"/>
        <v>1.7281200285400726</v>
      </c>
      <c r="AU378" s="22">
        <f t="shared" si="92"/>
        <v>1.7323570747934378</v>
      </c>
      <c r="AV378" s="22">
        <f t="shared" si="92"/>
        <v>1.7302245779661751</v>
      </c>
      <c r="AW378" s="22">
        <f t="shared" si="92"/>
        <v>1.7262788410170404</v>
      </c>
      <c r="AY378" s="79"/>
    </row>
    <row r="379" spans="1:51" x14ac:dyDescent="0.3">
      <c r="A379" s="95" t="str">
        <f t="shared" si="93"/>
        <v>GS U&amp;D</v>
      </c>
      <c r="B379" s="95" t="s">
        <v>1021</v>
      </c>
      <c r="C379" s="95" t="s">
        <v>1336</v>
      </c>
      <c r="D379" t="s">
        <v>369</v>
      </c>
      <c r="E379" t="s">
        <v>55</v>
      </c>
      <c r="F379" t="s">
        <v>422</v>
      </c>
      <c r="G379" t="s">
        <v>1152</v>
      </c>
      <c r="H379" t="s">
        <v>1240</v>
      </c>
      <c r="I379" t="s">
        <v>139</v>
      </c>
      <c r="J379" t="s">
        <v>287</v>
      </c>
      <c r="K379" s="22">
        <f t="shared" si="90"/>
        <v>0</v>
      </c>
      <c r="L379" s="22">
        <f t="shared" si="92"/>
        <v>0</v>
      </c>
      <c r="M379" s="22">
        <f t="shared" si="92"/>
        <v>0</v>
      </c>
      <c r="N379" s="22">
        <f t="shared" si="92"/>
        <v>0</v>
      </c>
      <c r="O379" s="22">
        <f t="shared" si="92"/>
        <v>0</v>
      </c>
      <c r="P379" s="22">
        <f t="shared" si="92"/>
        <v>0</v>
      </c>
      <c r="Q379" s="22">
        <f t="shared" si="92"/>
        <v>0</v>
      </c>
      <c r="R379" s="22">
        <f t="shared" si="92"/>
        <v>0</v>
      </c>
      <c r="S379" s="22">
        <f t="shared" si="92"/>
        <v>0</v>
      </c>
      <c r="T379" s="22">
        <f t="shared" si="92"/>
        <v>0</v>
      </c>
      <c r="U379" s="22">
        <f t="shared" si="92"/>
        <v>0</v>
      </c>
      <c r="V379" s="22">
        <f t="shared" si="92"/>
        <v>0</v>
      </c>
      <c r="W379" s="22">
        <f t="shared" si="92"/>
        <v>0</v>
      </c>
      <c r="X379" s="22">
        <f t="shared" si="92"/>
        <v>0</v>
      </c>
      <c r="Y379" s="22">
        <f t="shared" si="92"/>
        <v>0</v>
      </c>
      <c r="Z379" s="22">
        <f t="shared" si="92"/>
        <v>0</v>
      </c>
      <c r="AA379" s="22">
        <f t="shared" si="92"/>
        <v>0</v>
      </c>
      <c r="AB379" s="22">
        <f t="shared" si="92"/>
        <v>0</v>
      </c>
      <c r="AC379" s="22">
        <f t="shared" si="92"/>
        <v>0</v>
      </c>
      <c r="AD379" s="22">
        <f t="shared" si="92"/>
        <v>0</v>
      </c>
      <c r="AE379" s="22">
        <f t="shared" si="92"/>
        <v>0</v>
      </c>
      <c r="AF379" s="22">
        <f t="shared" si="92"/>
        <v>0</v>
      </c>
      <c r="AG379" s="22">
        <f t="shared" si="92"/>
        <v>0</v>
      </c>
      <c r="AH379" s="22">
        <f t="shared" si="92"/>
        <v>0</v>
      </c>
      <c r="AI379" s="22">
        <f t="shared" si="92"/>
        <v>0</v>
      </c>
      <c r="AJ379" s="22">
        <f t="shared" si="92"/>
        <v>0</v>
      </c>
      <c r="AK379" s="22">
        <f t="shared" si="92"/>
        <v>0</v>
      </c>
      <c r="AL379" s="22">
        <f t="shared" si="92"/>
        <v>0</v>
      </c>
      <c r="AM379" s="22">
        <f t="shared" si="92"/>
        <v>0</v>
      </c>
      <c r="AN379" s="22">
        <f t="shared" si="92"/>
        <v>0</v>
      </c>
      <c r="AO379" s="22">
        <f t="shared" si="92"/>
        <v>0</v>
      </c>
      <c r="AP379" s="22">
        <f t="shared" si="92"/>
        <v>0</v>
      </c>
      <c r="AQ379" s="22">
        <f t="shared" si="92"/>
        <v>0</v>
      </c>
      <c r="AR379" s="22">
        <f t="shared" si="92"/>
        <v>0</v>
      </c>
      <c r="AS379" s="22">
        <f t="shared" si="92"/>
        <v>0</v>
      </c>
      <c r="AT379" s="22">
        <f t="shared" si="92"/>
        <v>0</v>
      </c>
      <c r="AU379" s="22">
        <f t="shared" si="92"/>
        <v>0</v>
      </c>
      <c r="AV379" s="22">
        <f t="shared" si="92"/>
        <v>0</v>
      </c>
      <c r="AW379" s="22">
        <f t="shared" si="92"/>
        <v>0</v>
      </c>
      <c r="AY379" s="79"/>
    </row>
    <row r="380" spans="1:51" x14ac:dyDescent="0.3">
      <c r="A380" s="95" t="str">
        <f t="shared" si="93"/>
        <v>GS U&amp;D</v>
      </c>
      <c r="B380" s="95" t="s">
        <v>1021</v>
      </c>
      <c r="C380" s="95" t="s">
        <v>1336</v>
      </c>
      <c r="D380" t="s">
        <v>369</v>
      </c>
      <c r="E380" t="s">
        <v>55</v>
      </c>
      <c r="F380" t="s">
        <v>422</v>
      </c>
      <c r="G380" t="s">
        <v>1154</v>
      </c>
      <c r="H380" t="s">
        <v>1241</v>
      </c>
      <c r="I380" t="s">
        <v>139</v>
      </c>
      <c r="J380" t="s">
        <v>287</v>
      </c>
      <c r="K380" s="22">
        <f t="shared" si="90"/>
        <v>1.0775797812462991</v>
      </c>
      <c r="L380" s="22">
        <f t="shared" si="92"/>
        <v>1.0836040032789305</v>
      </c>
      <c r="M380" s="22">
        <f t="shared" si="92"/>
        <v>1.0921513426512339</v>
      </c>
      <c r="N380" s="22">
        <f t="shared" si="92"/>
        <v>1.0976439186771809</v>
      </c>
      <c r="O380" s="22">
        <f t="shared" si="92"/>
        <v>1.1012937605673538</v>
      </c>
      <c r="P380" s="22">
        <f t="shared" si="92"/>
        <v>1.1030649457277464</v>
      </c>
      <c r="Q380" s="22">
        <f t="shared" si="92"/>
        <v>1.1069781529146336</v>
      </c>
      <c r="R380" s="22">
        <f t="shared" si="92"/>
        <v>1.1114672588381171</v>
      </c>
      <c r="S380" s="22">
        <f t="shared" si="92"/>
        <v>1.0780569980949297</v>
      </c>
      <c r="T380" s="22">
        <f t="shared" si="92"/>
        <v>1.0893928957031254</v>
      </c>
      <c r="U380" s="22">
        <f t="shared" si="92"/>
        <v>1.1059856502817549</v>
      </c>
      <c r="V380" s="22">
        <f t="shared" si="92"/>
        <v>1.1145860741325027</v>
      </c>
      <c r="W380" s="22">
        <f t="shared" si="92"/>
        <v>1.1244152137402783</v>
      </c>
      <c r="X380" s="22">
        <f t="shared" si="92"/>
        <v>1.1357914130193381</v>
      </c>
      <c r="Y380" s="22">
        <f t="shared" si="92"/>
        <v>1.1474086589431955</v>
      </c>
      <c r="Z380" s="22">
        <f t="shared" si="92"/>
        <v>1.1602674519477969</v>
      </c>
      <c r="AA380" s="22">
        <f t="shared" si="92"/>
        <v>1.1735245752036907</v>
      </c>
      <c r="AB380" s="22">
        <f t="shared" si="92"/>
        <v>1.18794114106982</v>
      </c>
      <c r="AC380" s="22">
        <f t="shared" si="92"/>
        <v>1.2026829177053815</v>
      </c>
      <c r="AD380" s="22">
        <f t="shared" si="92"/>
        <v>1.218608900056573</v>
      </c>
      <c r="AE380" s="22">
        <f t="shared" si="92"/>
        <v>1.2343193345034551</v>
      </c>
      <c r="AF380" s="22">
        <f t="shared" ref="L380:AW387" si="94">AF1483</f>
        <v>1.2509015809248898</v>
      </c>
      <c r="AG380" s="22">
        <f t="shared" si="94"/>
        <v>1.2696588428853492</v>
      </c>
      <c r="AH380" s="22">
        <f t="shared" si="94"/>
        <v>1.2874926850325319</v>
      </c>
      <c r="AI380" s="22">
        <f t="shared" si="94"/>
        <v>1.3057811956925069</v>
      </c>
      <c r="AJ380" s="22">
        <f t="shared" si="94"/>
        <v>1.3253399300509145</v>
      </c>
      <c r="AK380" s="22">
        <f t="shared" si="94"/>
        <v>1.3436641070257576</v>
      </c>
      <c r="AL380" s="22">
        <f t="shared" si="94"/>
        <v>1.361888843730743</v>
      </c>
      <c r="AM380" s="22">
        <f t="shared" si="94"/>
        <v>1.380064832160125</v>
      </c>
      <c r="AN380" s="22">
        <f t="shared" si="94"/>
        <v>1.3992944829741121</v>
      </c>
      <c r="AO380" s="22">
        <f t="shared" si="94"/>
        <v>1.4177506785056255</v>
      </c>
      <c r="AP380" s="22">
        <f t="shared" si="94"/>
        <v>1.4369235538048923</v>
      </c>
      <c r="AQ380" s="22">
        <f t="shared" si="94"/>
        <v>1.4569005528602124</v>
      </c>
      <c r="AR380" s="22">
        <f t="shared" si="94"/>
        <v>1.4778222948761157</v>
      </c>
      <c r="AS380" s="22">
        <f t="shared" si="94"/>
        <v>1.499114114952786</v>
      </c>
      <c r="AT380" s="22">
        <f t="shared" si="94"/>
        <v>1.5041622353362427</v>
      </c>
      <c r="AU380" s="22">
        <f t="shared" si="94"/>
        <v>1.5077549671708836</v>
      </c>
      <c r="AV380" s="22">
        <f t="shared" si="94"/>
        <v>1.5092269750444909</v>
      </c>
      <c r="AW380" s="22">
        <f t="shared" si="94"/>
        <v>1.5101158131362518</v>
      </c>
      <c r="AY380" s="79"/>
    </row>
    <row r="381" spans="1:51" x14ac:dyDescent="0.3">
      <c r="A381" s="95" t="str">
        <f t="shared" si="93"/>
        <v>GS U&amp;D</v>
      </c>
      <c r="B381" s="95" t="s">
        <v>1021</v>
      </c>
      <c r="C381" s="95" t="s">
        <v>1336</v>
      </c>
      <c r="D381" t="s">
        <v>369</v>
      </c>
      <c r="E381" t="s">
        <v>55</v>
      </c>
      <c r="F381" t="s">
        <v>422</v>
      </c>
      <c r="G381" t="s">
        <v>1156</v>
      </c>
      <c r="H381" t="s">
        <v>1242</v>
      </c>
      <c r="I381" t="s">
        <v>139</v>
      </c>
      <c r="J381" t="s">
        <v>287</v>
      </c>
      <c r="K381" s="22">
        <f t="shared" si="90"/>
        <v>0.73383920392416069</v>
      </c>
      <c r="L381" s="22">
        <f t="shared" si="94"/>
        <v>0.7379417403466384</v>
      </c>
      <c r="M381" s="22">
        <f t="shared" si="94"/>
        <v>0.74376253694082328</v>
      </c>
      <c r="N381" s="22">
        <f t="shared" si="94"/>
        <v>0.74750301879518044</v>
      </c>
      <c r="O381" s="22">
        <f t="shared" si="94"/>
        <v>0.74998858609492636</v>
      </c>
      <c r="P381" s="22">
        <f t="shared" si="94"/>
        <v>0.75119477530775824</v>
      </c>
      <c r="Q381" s="22">
        <f t="shared" si="94"/>
        <v>0.7538596961765357</v>
      </c>
      <c r="R381" s="22">
        <f t="shared" si="94"/>
        <v>0.75691680802528427</v>
      </c>
      <c r="S381" s="22">
        <f t="shared" si="94"/>
        <v>0.73416419186323789</v>
      </c>
      <c r="T381" s="22">
        <f t="shared" si="94"/>
        <v>0.74188401569562545</v>
      </c>
      <c r="U381" s="22">
        <f t="shared" si="94"/>
        <v>0.75318379509275502</v>
      </c>
      <c r="V381" s="22">
        <f t="shared" si="94"/>
        <v>0.75904074257996901</v>
      </c>
      <c r="W381" s="22">
        <f t="shared" si="94"/>
        <v>0.76573445390469996</v>
      </c>
      <c r="X381" s="22">
        <f t="shared" si="94"/>
        <v>0.77348172345069344</v>
      </c>
      <c r="Y381" s="22">
        <f t="shared" si="94"/>
        <v>0.78139314741105659</v>
      </c>
      <c r="Z381" s="22">
        <f t="shared" si="94"/>
        <v>0.79015007342818022</v>
      </c>
      <c r="AA381" s="22">
        <f t="shared" si="94"/>
        <v>0.79917826507184453</v>
      </c>
      <c r="AB381" s="22">
        <f t="shared" si="94"/>
        <v>0.80899604506608758</v>
      </c>
      <c r="AC381" s="22">
        <f t="shared" si="94"/>
        <v>0.81903529581943424</v>
      </c>
      <c r="AD381" s="22">
        <f t="shared" si="94"/>
        <v>0.82988099876756494</v>
      </c>
      <c r="AE381" s="22">
        <f t="shared" si="94"/>
        <v>0.84057991211806271</v>
      </c>
      <c r="AF381" s="22">
        <f t="shared" si="94"/>
        <v>0.8518725353882447</v>
      </c>
      <c r="AG381" s="22">
        <f t="shared" si="94"/>
        <v>0.86464635912215038</v>
      </c>
      <c r="AH381" s="22">
        <f t="shared" si="94"/>
        <v>0.87679132764509471</v>
      </c>
      <c r="AI381" s="22">
        <f t="shared" si="94"/>
        <v>0.88924592853613249</v>
      </c>
      <c r="AJ381" s="22">
        <f t="shared" si="94"/>
        <v>0.90256556045678527</v>
      </c>
      <c r="AK381" s="22">
        <f t="shared" si="94"/>
        <v>0.91504445035228033</v>
      </c>
      <c r="AL381" s="22">
        <f t="shared" si="94"/>
        <v>0.92745562074362309</v>
      </c>
      <c r="AM381" s="22">
        <f t="shared" si="94"/>
        <v>0.93983359322574034</v>
      </c>
      <c r="AN381" s="22">
        <f t="shared" si="94"/>
        <v>0.95292911700102378</v>
      </c>
      <c r="AO381" s="22">
        <f t="shared" si="94"/>
        <v>0.9654979124368942</v>
      </c>
      <c r="AP381" s="22">
        <f t="shared" si="94"/>
        <v>0.97855477169819061</v>
      </c>
      <c r="AQ381" s="22">
        <f t="shared" si="94"/>
        <v>0.99215924473924411</v>
      </c>
      <c r="AR381" s="22">
        <f t="shared" si="94"/>
        <v>1.0064070942004693</v>
      </c>
      <c r="AS381" s="22">
        <f t="shared" si="94"/>
        <v>1.0209069693531829</v>
      </c>
      <c r="AT381" s="22">
        <f t="shared" si="94"/>
        <v>1.0243447738739997</v>
      </c>
      <c r="AU381" s="22">
        <f t="shared" si="94"/>
        <v>1.0267914488351768</v>
      </c>
      <c r="AV381" s="22">
        <f t="shared" si="94"/>
        <v>1.0277938962687103</v>
      </c>
      <c r="AW381" s="22">
        <f t="shared" si="94"/>
        <v>1.0283992010907079</v>
      </c>
      <c r="AY381" s="79"/>
    </row>
    <row r="382" spans="1:51" x14ac:dyDescent="0.3">
      <c r="A382" s="95" t="str">
        <f t="shared" si="93"/>
        <v>GS U&amp;D</v>
      </c>
      <c r="B382" s="95" t="s">
        <v>1021</v>
      </c>
      <c r="C382" s="95" t="s">
        <v>1336</v>
      </c>
      <c r="D382" t="s">
        <v>369</v>
      </c>
      <c r="E382" t="s">
        <v>55</v>
      </c>
      <c r="F382" t="s">
        <v>422</v>
      </c>
      <c r="G382" t="s">
        <v>1158</v>
      </c>
      <c r="H382" t="s">
        <v>1243</v>
      </c>
      <c r="I382" t="s">
        <v>139</v>
      </c>
      <c r="J382" t="s">
        <v>287</v>
      </c>
      <c r="K382" s="22">
        <f t="shared" si="90"/>
        <v>15.353527292296844</v>
      </c>
      <c r="L382" s="22">
        <f t="shared" si="94"/>
        <v>15.220371053361486</v>
      </c>
      <c r="M382" s="22">
        <f t="shared" si="94"/>
        <v>15.169682504177887</v>
      </c>
      <c r="N382" s="22">
        <f t="shared" si="94"/>
        <v>14.967111251021189</v>
      </c>
      <c r="O382" s="22">
        <f t="shared" si="94"/>
        <v>14.673074129931953</v>
      </c>
      <c r="P382" s="22">
        <f t="shared" si="94"/>
        <v>14.293651368256896</v>
      </c>
      <c r="Q382" s="22">
        <f t="shared" si="94"/>
        <v>13.994389539168758</v>
      </c>
      <c r="R382" s="22">
        <f t="shared" si="94"/>
        <v>13.711253827544139</v>
      </c>
      <c r="S382" s="22">
        <f t="shared" si="94"/>
        <v>12.061906249102522</v>
      </c>
      <c r="T382" s="22">
        <f t="shared" si="94"/>
        <v>12.257827954761961</v>
      </c>
      <c r="U382" s="22">
        <f t="shared" si="94"/>
        <v>12.623326077373568</v>
      </c>
      <c r="V382" s="22">
        <f t="shared" si="94"/>
        <v>12.696320274115601</v>
      </c>
      <c r="W382" s="22">
        <f t="shared" si="94"/>
        <v>12.80159889911199</v>
      </c>
      <c r="X382" s="22">
        <f t="shared" si="94"/>
        <v>12.948464903220069</v>
      </c>
      <c r="Y382" s="22">
        <f t="shared" si="94"/>
        <v>13.116926910965395</v>
      </c>
      <c r="Z382" s="22">
        <f t="shared" si="94"/>
        <v>13.314439769643803</v>
      </c>
      <c r="AA382" s="22">
        <f t="shared" si="94"/>
        <v>13.51286360181456</v>
      </c>
      <c r="AB382" s="22">
        <f t="shared" si="94"/>
        <v>13.736029185929986</v>
      </c>
      <c r="AC382" s="22">
        <f t="shared" si="94"/>
        <v>13.956980095887328</v>
      </c>
      <c r="AD382" s="22">
        <f t="shared" si="94"/>
        <v>14.10090814419179</v>
      </c>
      <c r="AE382" s="22">
        <f t="shared" si="94"/>
        <v>14.219083101971489</v>
      </c>
      <c r="AF382" s="22">
        <f t="shared" si="94"/>
        <v>14.343928249023508</v>
      </c>
      <c r="AG382" s="22">
        <f t="shared" si="94"/>
        <v>14.51096965309287</v>
      </c>
      <c r="AH382" s="22">
        <f t="shared" si="94"/>
        <v>14.631100213840327</v>
      </c>
      <c r="AI382" s="22">
        <f t="shared" si="94"/>
        <v>14.759129789982603</v>
      </c>
      <c r="AJ382" s="22">
        <f t="shared" si="94"/>
        <v>14.900063859192302</v>
      </c>
      <c r="AK382" s="22">
        <f t="shared" si="94"/>
        <v>14.987884546338787</v>
      </c>
      <c r="AL382" s="22">
        <f t="shared" si="94"/>
        <v>15.053769229100121</v>
      </c>
      <c r="AM382" s="22">
        <f t="shared" si="94"/>
        <v>15.099596245527735</v>
      </c>
      <c r="AN382" s="22">
        <f t="shared" si="94"/>
        <v>15.242060327526691</v>
      </c>
      <c r="AO382" s="22">
        <f t="shared" si="94"/>
        <v>15.350351065013276</v>
      </c>
      <c r="AP382" s="22">
        <f t="shared" si="94"/>
        <v>15.4600087454617</v>
      </c>
      <c r="AQ382" s="22">
        <f t="shared" si="94"/>
        <v>15.572287803164578</v>
      </c>
      <c r="AR382" s="22">
        <f t="shared" si="94"/>
        <v>15.689452381356277</v>
      </c>
      <c r="AS382" s="22">
        <f t="shared" si="94"/>
        <v>15.809749281637989</v>
      </c>
      <c r="AT382" s="22">
        <f t="shared" si="94"/>
        <v>15.572449633225865</v>
      </c>
      <c r="AU382" s="22">
        <f t="shared" si="94"/>
        <v>15.303629040465463</v>
      </c>
      <c r="AV382" s="22">
        <f t="shared" si="94"/>
        <v>14.991979745020995</v>
      </c>
      <c r="AW382" s="22">
        <f t="shared" si="94"/>
        <v>14.670563587286086</v>
      </c>
      <c r="AY382" s="79"/>
    </row>
    <row r="383" spans="1:51" x14ac:dyDescent="0.3">
      <c r="A383" s="95" t="str">
        <f t="shared" si="93"/>
        <v>GS U&amp;D</v>
      </c>
      <c r="B383" s="95" t="s">
        <v>1021</v>
      </c>
      <c r="C383" s="95" t="s">
        <v>1336</v>
      </c>
      <c r="D383" t="s">
        <v>369</v>
      </c>
      <c r="E383" t="s">
        <v>55</v>
      </c>
      <c r="F383" t="s">
        <v>422</v>
      </c>
      <c r="G383" t="s">
        <v>1160</v>
      </c>
      <c r="H383" t="s">
        <v>1244</v>
      </c>
      <c r="I383" t="s">
        <v>139</v>
      </c>
      <c r="J383" t="s">
        <v>287</v>
      </c>
      <c r="K383" s="22">
        <f t="shared" si="90"/>
        <v>9.6543103644621464</v>
      </c>
      <c r="L383" s="22">
        <f t="shared" si="94"/>
        <v>9.570581613851763</v>
      </c>
      <c r="M383" s="22">
        <f t="shared" si="94"/>
        <v>9.5387086131773007</v>
      </c>
      <c r="N383" s="22">
        <f t="shared" si="94"/>
        <v>9.4113316455488931</v>
      </c>
      <c r="O383" s="22">
        <f t="shared" si="94"/>
        <v>9.2264408662754782</v>
      </c>
      <c r="P383" s="22">
        <f t="shared" si="94"/>
        <v>8.9878595272244652</v>
      </c>
      <c r="Q383" s="22">
        <f t="shared" si="94"/>
        <v>8.7996834473406587</v>
      </c>
      <c r="R383" s="22">
        <f t="shared" si="94"/>
        <v>8.6216474831450967</v>
      </c>
      <c r="S383" s="22">
        <f t="shared" si="94"/>
        <v>7.5845363934257692</v>
      </c>
      <c r="T383" s="22">
        <f t="shared" si="94"/>
        <v>7.7077321202161873</v>
      </c>
      <c r="U383" s="22">
        <f t="shared" si="94"/>
        <v>7.9375576349753283</v>
      </c>
      <c r="V383" s="22">
        <f t="shared" si="94"/>
        <v>7.9834564448537479</v>
      </c>
      <c r="W383" s="22">
        <f t="shared" si="94"/>
        <v>8.0496557292988875</v>
      </c>
      <c r="X383" s="22">
        <f t="shared" si="94"/>
        <v>8.1420051913250582</v>
      </c>
      <c r="Y383" s="22">
        <f t="shared" si="94"/>
        <v>8.2479342378842677</v>
      </c>
      <c r="Z383" s="22">
        <f t="shared" si="94"/>
        <v>8.3721304829783953</v>
      </c>
      <c r="AA383" s="22">
        <f t="shared" si="94"/>
        <v>8.4968995489404282</v>
      </c>
      <c r="AB383" s="22">
        <f t="shared" si="94"/>
        <v>8.6372262485124356</v>
      </c>
      <c r="AC383" s="22">
        <f t="shared" si="94"/>
        <v>8.7761603591847646</v>
      </c>
      <c r="AD383" s="22">
        <f t="shared" si="94"/>
        <v>8.8666624322282459</v>
      </c>
      <c r="AE383" s="22">
        <f t="shared" si="94"/>
        <v>8.9409709411455953</v>
      </c>
      <c r="AF383" s="22">
        <f t="shared" si="94"/>
        <v>9.0194736704657732</v>
      </c>
      <c r="AG383" s="22">
        <f t="shared" si="94"/>
        <v>9.1245094402859266</v>
      </c>
      <c r="AH383" s="22">
        <f t="shared" si="94"/>
        <v>9.2000476339292057</v>
      </c>
      <c r="AI383" s="22">
        <f t="shared" si="94"/>
        <v>9.2805527348338117</v>
      </c>
      <c r="AJ383" s="22">
        <f t="shared" si="94"/>
        <v>9.3691721914038766</v>
      </c>
      <c r="AK383" s="22">
        <f t="shared" si="94"/>
        <v>9.4243939104259251</v>
      </c>
      <c r="AL383" s="22">
        <f t="shared" si="94"/>
        <v>9.4658222521699837</v>
      </c>
      <c r="AM383" s="22">
        <f t="shared" si="94"/>
        <v>9.4946383171201845</v>
      </c>
      <c r="AN383" s="22">
        <f t="shared" si="94"/>
        <v>9.5842198469681268</v>
      </c>
      <c r="AO383" s="22">
        <f t="shared" si="94"/>
        <v>9.6523131501803814</v>
      </c>
      <c r="AP383" s="22">
        <f t="shared" si="94"/>
        <v>9.7212659882312984</v>
      </c>
      <c r="AQ383" s="22">
        <f t="shared" si="94"/>
        <v>9.7918671504174508</v>
      </c>
      <c r="AR383" s="22">
        <f t="shared" si="94"/>
        <v>9.8655403318336496</v>
      </c>
      <c r="AS383" s="22">
        <f t="shared" si="94"/>
        <v>9.9411831199104377</v>
      </c>
      <c r="AT383" s="22">
        <f t="shared" si="94"/>
        <v>9.7919689092907181</v>
      </c>
      <c r="AU383" s="22">
        <f t="shared" si="94"/>
        <v>9.6229343034011841</v>
      </c>
      <c r="AV383" s="22">
        <f t="shared" si="94"/>
        <v>9.4269689746655256</v>
      </c>
      <c r="AW383" s="22">
        <f t="shared" si="94"/>
        <v>9.2248622350316598</v>
      </c>
      <c r="AY383" s="79"/>
    </row>
    <row r="384" spans="1:51" x14ac:dyDescent="0.3">
      <c r="A384" s="95" t="str">
        <f t="shared" si="93"/>
        <v>GS U&amp;D</v>
      </c>
      <c r="B384" s="95" t="s">
        <v>1021</v>
      </c>
      <c r="C384" s="95" t="s">
        <v>1336</v>
      </c>
      <c r="D384" t="s">
        <v>369</v>
      </c>
      <c r="E384" t="s">
        <v>55</v>
      </c>
      <c r="F384" t="s">
        <v>422</v>
      </c>
      <c r="G384" t="s">
        <v>1162</v>
      </c>
      <c r="H384" t="s">
        <v>1245</v>
      </c>
      <c r="I384" t="s">
        <v>139</v>
      </c>
      <c r="J384" t="s">
        <v>287</v>
      </c>
      <c r="K384" s="22">
        <f t="shared" si="90"/>
        <v>0</v>
      </c>
      <c r="L384" s="22">
        <f t="shared" si="94"/>
        <v>0</v>
      </c>
      <c r="M384" s="22">
        <f t="shared" si="94"/>
        <v>0</v>
      </c>
      <c r="N384" s="22">
        <f t="shared" si="94"/>
        <v>0</v>
      </c>
      <c r="O384" s="22">
        <f t="shared" si="94"/>
        <v>0</v>
      </c>
      <c r="P384" s="22">
        <f t="shared" si="94"/>
        <v>0</v>
      </c>
      <c r="Q384" s="22">
        <f t="shared" si="94"/>
        <v>0</v>
      </c>
      <c r="R384" s="22">
        <f t="shared" si="94"/>
        <v>0</v>
      </c>
      <c r="S384" s="22">
        <f t="shared" si="94"/>
        <v>0</v>
      </c>
      <c r="T384" s="22">
        <f t="shared" si="94"/>
        <v>0</v>
      </c>
      <c r="U384" s="22">
        <f t="shared" si="94"/>
        <v>0</v>
      </c>
      <c r="V384" s="22">
        <f t="shared" si="94"/>
        <v>0</v>
      </c>
      <c r="W384" s="22">
        <f t="shared" si="94"/>
        <v>0</v>
      </c>
      <c r="X384" s="22">
        <f t="shared" si="94"/>
        <v>0</v>
      </c>
      <c r="Y384" s="22">
        <f t="shared" si="94"/>
        <v>0</v>
      </c>
      <c r="Z384" s="22">
        <f t="shared" si="94"/>
        <v>0</v>
      </c>
      <c r="AA384" s="22">
        <f t="shared" si="94"/>
        <v>0</v>
      </c>
      <c r="AB384" s="22">
        <f t="shared" si="94"/>
        <v>0</v>
      </c>
      <c r="AC384" s="22">
        <f t="shared" si="94"/>
        <v>0</v>
      </c>
      <c r="AD384" s="22">
        <f t="shared" si="94"/>
        <v>0</v>
      </c>
      <c r="AE384" s="22">
        <f t="shared" si="94"/>
        <v>0</v>
      </c>
      <c r="AF384" s="22">
        <f t="shared" si="94"/>
        <v>0</v>
      </c>
      <c r="AG384" s="22">
        <f t="shared" si="94"/>
        <v>0</v>
      </c>
      <c r="AH384" s="22">
        <f t="shared" si="94"/>
        <v>0</v>
      </c>
      <c r="AI384" s="22">
        <f t="shared" si="94"/>
        <v>0</v>
      </c>
      <c r="AJ384" s="22">
        <f t="shared" si="94"/>
        <v>0</v>
      </c>
      <c r="AK384" s="22">
        <f t="shared" si="94"/>
        <v>0</v>
      </c>
      <c r="AL384" s="22">
        <f t="shared" si="94"/>
        <v>0</v>
      </c>
      <c r="AM384" s="22">
        <f t="shared" si="94"/>
        <v>0</v>
      </c>
      <c r="AN384" s="22">
        <f t="shared" si="94"/>
        <v>0</v>
      </c>
      <c r="AO384" s="22">
        <f t="shared" si="94"/>
        <v>0</v>
      </c>
      <c r="AP384" s="22">
        <f t="shared" si="94"/>
        <v>0</v>
      </c>
      <c r="AQ384" s="22">
        <f t="shared" si="94"/>
        <v>0</v>
      </c>
      <c r="AR384" s="22">
        <f t="shared" si="94"/>
        <v>0</v>
      </c>
      <c r="AS384" s="22">
        <f t="shared" si="94"/>
        <v>0</v>
      </c>
      <c r="AT384" s="22">
        <f t="shared" si="94"/>
        <v>0</v>
      </c>
      <c r="AU384" s="22">
        <f t="shared" si="94"/>
        <v>0</v>
      </c>
      <c r="AV384" s="22">
        <f t="shared" si="94"/>
        <v>0</v>
      </c>
      <c r="AW384" s="22">
        <f t="shared" si="94"/>
        <v>0</v>
      </c>
      <c r="AY384" s="79"/>
    </row>
    <row r="385" spans="1:51" x14ac:dyDescent="0.3">
      <c r="A385" s="95" t="str">
        <f t="shared" si="93"/>
        <v>GS U&amp;D</v>
      </c>
      <c r="B385" s="95" t="s">
        <v>1021</v>
      </c>
      <c r="C385" s="95" t="s">
        <v>1336</v>
      </c>
      <c r="D385" t="s">
        <v>369</v>
      </c>
      <c r="E385" t="s">
        <v>55</v>
      </c>
      <c r="F385" t="s">
        <v>422</v>
      </c>
      <c r="G385" t="s">
        <v>1164</v>
      </c>
      <c r="H385" t="s">
        <v>1246</v>
      </c>
      <c r="I385" t="s">
        <v>139</v>
      </c>
      <c r="J385" t="s">
        <v>287</v>
      </c>
      <c r="K385" s="22">
        <f t="shared" si="90"/>
        <v>5.8008217784478333</v>
      </c>
      <c r="L385" s="22">
        <f t="shared" si="94"/>
        <v>5.8039582643251126</v>
      </c>
      <c r="M385" s="22">
        <f t="shared" si="94"/>
        <v>5.8114574843873825</v>
      </c>
      <c r="N385" s="22">
        <f t="shared" si="94"/>
        <v>5.8225151444828054</v>
      </c>
      <c r="O385" s="22">
        <f t="shared" si="94"/>
        <v>5.8370609765606929</v>
      </c>
      <c r="P385" s="22">
        <f t="shared" si="94"/>
        <v>5.8549413826537444</v>
      </c>
      <c r="Q385" s="22">
        <f t="shared" si="94"/>
        <v>5.8750235193024203</v>
      </c>
      <c r="R385" s="22">
        <f t="shared" si="94"/>
        <v>5.8971806009067276</v>
      </c>
      <c r="S385" s="22">
        <f t="shared" si="94"/>
        <v>5.917442032162775</v>
      </c>
      <c r="T385" s="22">
        <f t="shared" si="94"/>
        <v>5.9263453955781369</v>
      </c>
      <c r="U385" s="22">
        <f t="shared" si="94"/>
        <v>5.9372183150377431</v>
      </c>
      <c r="V385" s="22">
        <f t="shared" si="94"/>
        <v>5.9486466020913653</v>
      </c>
      <c r="W385" s="22">
        <f t="shared" si="94"/>
        <v>5.9614772941302494</v>
      </c>
      <c r="X385" s="22">
        <f t="shared" si="94"/>
        <v>5.975674490624324</v>
      </c>
      <c r="Y385" s="22">
        <f t="shared" si="94"/>
        <v>5.984540997272453</v>
      </c>
      <c r="Z385" s="22">
        <f t="shared" si="94"/>
        <v>5.9945579021556687</v>
      </c>
      <c r="AA385" s="22">
        <f t="shared" si="94"/>
        <v>6.0055898546708475</v>
      </c>
      <c r="AB385" s="22">
        <f t="shared" si="94"/>
        <v>6.0176671888041211</v>
      </c>
      <c r="AC385" s="22">
        <f t="shared" si="94"/>
        <v>6.030665248312749</v>
      </c>
      <c r="AD385" s="22">
        <f t="shared" si="94"/>
        <v>6.0393845451591259</v>
      </c>
      <c r="AE385" s="22">
        <f t="shared" si="94"/>
        <v>6.0488503325285592</v>
      </c>
      <c r="AF385" s="22">
        <f t="shared" si="94"/>
        <v>6.0591386998485763</v>
      </c>
      <c r="AG385" s="22">
        <f t="shared" si="94"/>
        <v>6.0703500781796258</v>
      </c>
      <c r="AH385" s="22">
        <f t="shared" si="94"/>
        <v>6.0821478127419235</v>
      </c>
      <c r="AI385" s="22">
        <f t="shared" si="94"/>
        <v>6.0896888871649706</v>
      </c>
      <c r="AJ385" s="22">
        <f t="shared" si="94"/>
        <v>6.0979488793317644</v>
      </c>
      <c r="AK385" s="22">
        <f t="shared" si="94"/>
        <v>6.1066553574494229</v>
      </c>
      <c r="AL385" s="22">
        <f t="shared" si="94"/>
        <v>6.1159010108536567</v>
      </c>
      <c r="AM385" s="22">
        <f t="shared" si="94"/>
        <v>6.1256718211091643</v>
      </c>
      <c r="AN385" s="22">
        <f t="shared" si="94"/>
        <v>6.1314451386260842</v>
      </c>
      <c r="AO385" s="22">
        <f t="shared" si="94"/>
        <v>6.1376082251338753</v>
      </c>
      <c r="AP385" s="22">
        <f t="shared" si="94"/>
        <v>6.1442934501067121</v>
      </c>
      <c r="AQ385" s="22">
        <f t="shared" si="94"/>
        <v>6.1514943503502693</v>
      </c>
      <c r="AR385" s="22">
        <f t="shared" si="94"/>
        <v>6.1592107766386786</v>
      </c>
      <c r="AS385" s="22">
        <f t="shared" si="94"/>
        <v>6.1627115342701337</v>
      </c>
      <c r="AT385" s="22">
        <f t="shared" si="94"/>
        <v>6.1649675411239766</v>
      </c>
      <c r="AU385" s="22">
        <f t="shared" si="94"/>
        <v>6.1674405510086165</v>
      </c>
      <c r="AV385" s="22">
        <f t="shared" si="94"/>
        <v>6.1700527124926303</v>
      </c>
      <c r="AW385" s="22">
        <f t="shared" si="94"/>
        <v>6.1729463171150929</v>
      </c>
      <c r="AY385" s="79"/>
    </row>
    <row r="386" spans="1:51" x14ac:dyDescent="0.3">
      <c r="A386" s="95" t="str">
        <f t="shared" si="93"/>
        <v>GS U&amp;D</v>
      </c>
      <c r="B386" s="95" t="s">
        <v>1021</v>
      </c>
      <c r="C386" s="95" t="s">
        <v>1336</v>
      </c>
      <c r="D386" t="s">
        <v>369</v>
      </c>
      <c r="E386" t="s">
        <v>55</v>
      </c>
      <c r="F386" t="s">
        <v>422</v>
      </c>
      <c r="G386" t="s">
        <v>1166</v>
      </c>
      <c r="H386" t="s">
        <v>1247</v>
      </c>
      <c r="I386" t="s">
        <v>139</v>
      </c>
      <c r="J386" t="s">
        <v>287</v>
      </c>
      <c r="K386" s="22">
        <f t="shared" si="90"/>
        <v>0.6475429908430661</v>
      </c>
      <c r="L386" s="22">
        <f t="shared" si="94"/>
        <v>0.64789311527772075</v>
      </c>
      <c r="M386" s="22">
        <f t="shared" si="94"/>
        <v>0.64873024966549919</v>
      </c>
      <c r="N386" s="22">
        <f t="shared" si="94"/>
        <v>0.64996461103073178</v>
      </c>
      <c r="O386" s="22">
        <f t="shared" si="94"/>
        <v>0.65158835538416293</v>
      </c>
      <c r="P386" s="22">
        <f t="shared" si="94"/>
        <v>0.65358433665736837</v>
      </c>
      <c r="Q386" s="22">
        <f t="shared" si="94"/>
        <v>0.65582609607089082</v>
      </c>
      <c r="R386" s="22">
        <f t="shared" si="94"/>
        <v>0.65829948060818433</v>
      </c>
      <c r="S386" s="22">
        <f t="shared" si="94"/>
        <v>0.66056125459390613</v>
      </c>
      <c r="T386" s="22">
        <f t="shared" si="94"/>
        <v>0.6615551328399103</v>
      </c>
      <c r="U386" s="22">
        <f t="shared" si="94"/>
        <v>0.6627688716953648</v>
      </c>
      <c r="V386" s="22">
        <f t="shared" si="94"/>
        <v>0.66404460597260306</v>
      </c>
      <c r="W386" s="22">
        <f t="shared" si="94"/>
        <v>0.6654768900548883</v>
      </c>
      <c r="X386" s="22">
        <f t="shared" si="94"/>
        <v>0.66706171638303324</v>
      </c>
      <c r="Y386" s="22">
        <f t="shared" si="94"/>
        <v>0.66805148032554751</v>
      </c>
      <c r="Z386" s="22">
        <f t="shared" si="94"/>
        <v>0.66916966267880784</v>
      </c>
      <c r="AA386" s="22">
        <f t="shared" si="94"/>
        <v>0.67040115431901948</v>
      </c>
      <c r="AB386" s="22">
        <f t="shared" si="94"/>
        <v>0.67174934141470444</v>
      </c>
      <c r="AC386" s="22">
        <f t="shared" si="94"/>
        <v>0.67320030864845803</v>
      </c>
      <c r="AD386" s="22">
        <f t="shared" si="94"/>
        <v>0.67417363963044585</v>
      </c>
      <c r="AE386" s="22">
        <f t="shared" si="94"/>
        <v>0.67523030099636827</v>
      </c>
      <c r="AF386" s="22">
        <f t="shared" si="94"/>
        <v>0.67637878657302375</v>
      </c>
      <c r="AG386" s="22">
        <f t="shared" si="94"/>
        <v>0.67763030743217745</v>
      </c>
      <c r="AH386" s="22">
        <f t="shared" si="94"/>
        <v>0.67894728296002871</v>
      </c>
      <c r="AI386" s="22">
        <f t="shared" si="94"/>
        <v>0.67978908953029982</v>
      </c>
      <c r="AJ386" s="22">
        <f t="shared" si="94"/>
        <v>0.68071114854819625</v>
      </c>
      <c r="AK386" s="22">
        <f t="shared" si="94"/>
        <v>0.68168304858156126</v>
      </c>
      <c r="AL386" s="22">
        <f t="shared" si="94"/>
        <v>0.68271513649709059</v>
      </c>
      <c r="AM386" s="22">
        <f t="shared" si="94"/>
        <v>0.68380584742348371</v>
      </c>
      <c r="AN386" s="22">
        <f t="shared" si="94"/>
        <v>0.68445032012662432</v>
      </c>
      <c r="AO386" s="22">
        <f t="shared" si="94"/>
        <v>0.68513830255782171</v>
      </c>
      <c r="AP386" s="22">
        <f t="shared" si="94"/>
        <v>0.6858845710588557</v>
      </c>
      <c r="AQ386" s="22">
        <f t="shared" si="94"/>
        <v>0.6866884041464022</v>
      </c>
      <c r="AR386" s="22">
        <f t="shared" si="94"/>
        <v>0.68754978516244758</v>
      </c>
      <c r="AS386" s="22">
        <f t="shared" si="94"/>
        <v>0.6879405730806889</v>
      </c>
      <c r="AT386" s="22">
        <f t="shared" si="94"/>
        <v>0.68819241005849918</v>
      </c>
      <c r="AU386" s="22">
        <f t="shared" si="94"/>
        <v>0.68846847098197617</v>
      </c>
      <c r="AV386" s="22">
        <f t="shared" si="94"/>
        <v>0.68876006533266065</v>
      </c>
      <c r="AW386" s="22">
        <f t="shared" si="94"/>
        <v>0.68908307704774374</v>
      </c>
      <c r="AY386" s="79"/>
    </row>
    <row r="387" spans="1:51" x14ac:dyDescent="0.3">
      <c r="A387" s="95" t="str">
        <f t="shared" si="93"/>
        <v>GS U&amp;D</v>
      </c>
      <c r="B387" s="95" t="s">
        <v>1021</v>
      </c>
      <c r="C387" s="95" t="s">
        <v>1336</v>
      </c>
      <c r="D387" t="s">
        <v>369</v>
      </c>
      <c r="E387" t="s">
        <v>55</v>
      </c>
      <c r="F387" t="s">
        <v>422</v>
      </c>
      <c r="G387" t="s">
        <v>1168</v>
      </c>
      <c r="H387" t="s">
        <v>1248</v>
      </c>
      <c r="I387" t="s">
        <v>139</v>
      </c>
      <c r="J387" t="s">
        <v>287</v>
      </c>
      <c r="K387" s="22">
        <f t="shared" si="90"/>
        <v>0.71706343480611268</v>
      </c>
      <c r="L387" s="22">
        <f t="shared" si="94"/>
        <v>0.71892745361392807</v>
      </c>
      <c r="M387" s="22">
        <f t="shared" si="94"/>
        <v>0.72149880168720626</v>
      </c>
      <c r="N387" s="22">
        <f t="shared" si="94"/>
        <v>0.72463138273575978</v>
      </c>
      <c r="O387" s="22">
        <f t="shared" si="94"/>
        <v>0.72832072886952293</v>
      </c>
      <c r="P387" s="22">
        <f t="shared" si="94"/>
        <v>0.7325443847928953</v>
      </c>
      <c r="Q387" s="22">
        <f t="shared" si="94"/>
        <v>0.73708994755228441</v>
      </c>
      <c r="R387" s="22">
        <f t="shared" si="94"/>
        <v>0.74193942345928476</v>
      </c>
      <c r="S387" s="22">
        <f t="shared" si="94"/>
        <v>0.74633734890279979</v>
      </c>
      <c r="T387" s="22">
        <f t="shared" si="94"/>
        <v>0.7484855631491526</v>
      </c>
      <c r="U387" s="22">
        <f t="shared" ref="L387:AW393" si="95">U1490</f>
        <v>0.75094789604401424</v>
      </c>
      <c r="V387" s="22">
        <f t="shared" si="95"/>
        <v>0.7534578797366237</v>
      </c>
      <c r="W387" s="22">
        <f t="shared" si="95"/>
        <v>0.75618014560841795</v>
      </c>
      <c r="X387" s="22">
        <f t="shared" si="95"/>
        <v>0.75911019457510998</v>
      </c>
      <c r="Y387" s="22">
        <f t="shared" si="95"/>
        <v>0.76098529780205848</v>
      </c>
      <c r="Z387" s="22">
        <f t="shared" si="95"/>
        <v>0.76303676473265736</v>
      </c>
      <c r="AA387" s="22">
        <f t="shared" si="95"/>
        <v>0.7652406009428746</v>
      </c>
      <c r="AB387" s="22">
        <f t="shared" si="95"/>
        <v>0.76760388311939587</v>
      </c>
      <c r="AC387" s="22">
        <f t="shared" si="95"/>
        <v>0.77010442048860683</v>
      </c>
      <c r="AD387" s="22">
        <f t="shared" si="95"/>
        <v>0.77177199510986771</v>
      </c>
      <c r="AE387" s="22">
        <f t="shared" si="95"/>
        <v>0.773550364220007</v>
      </c>
      <c r="AF387" s="22">
        <f t="shared" si="95"/>
        <v>0.77545458075511842</v>
      </c>
      <c r="AG387" s="22">
        <f t="shared" si="95"/>
        <v>0.77750398529137599</v>
      </c>
      <c r="AH387" s="22">
        <f t="shared" si="95"/>
        <v>0.77963666315118907</v>
      </c>
      <c r="AI387" s="22">
        <f t="shared" si="95"/>
        <v>0.78095748542095478</v>
      </c>
      <c r="AJ387" s="22">
        <f t="shared" si="95"/>
        <v>0.78239081807371291</v>
      </c>
      <c r="AK387" s="22">
        <f t="shared" si="95"/>
        <v>0.78388681169292429</v>
      </c>
      <c r="AL387" s="22">
        <f t="shared" si="95"/>
        <v>0.78546308863746028</v>
      </c>
      <c r="AM387" s="22">
        <f t="shared" si="95"/>
        <v>0.78711749076594029</v>
      </c>
      <c r="AN387" s="22">
        <f t="shared" si="95"/>
        <v>0.7880213548905175</v>
      </c>
      <c r="AO387" s="22">
        <f t="shared" si="95"/>
        <v>0.7889821600969783</v>
      </c>
      <c r="AP387" s="22">
        <f t="shared" si="95"/>
        <v>0.7900244330710835</v>
      </c>
      <c r="AQ387" s="22">
        <f t="shared" si="95"/>
        <v>0.79114717839494386</v>
      </c>
      <c r="AR387" s="22">
        <f t="shared" si="95"/>
        <v>0.79235052559003472</v>
      </c>
      <c r="AS387" s="22">
        <f t="shared" si="95"/>
        <v>0.79277466874731783</v>
      </c>
      <c r="AT387" s="22">
        <f t="shared" si="95"/>
        <v>0.79296303081990593</v>
      </c>
      <c r="AU387" s="22">
        <f t="shared" si="95"/>
        <v>0.79318200303032371</v>
      </c>
      <c r="AV387" s="22">
        <f t="shared" si="95"/>
        <v>0.79341774382528896</v>
      </c>
      <c r="AW387" s="22">
        <f t="shared" si="95"/>
        <v>0.79369623394189648</v>
      </c>
      <c r="AY387" s="79"/>
    </row>
    <row r="388" spans="1:51" x14ac:dyDescent="0.3">
      <c r="A388" s="95" t="str">
        <f t="shared" si="93"/>
        <v>GS U&amp;D</v>
      </c>
      <c r="B388" s="95" t="s">
        <v>1021</v>
      </c>
      <c r="C388" s="95" t="s">
        <v>1336</v>
      </c>
      <c r="D388" t="s">
        <v>369</v>
      </c>
      <c r="E388" t="s">
        <v>55</v>
      </c>
      <c r="F388" t="s">
        <v>422</v>
      </c>
      <c r="G388" t="s">
        <v>1170</v>
      </c>
      <c r="H388" t="s">
        <v>1249</v>
      </c>
      <c r="I388" t="s">
        <v>139</v>
      </c>
      <c r="J388" t="s">
        <v>287</v>
      </c>
      <c r="K388" s="22">
        <f t="shared" si="90"/>
        <v>1.1867254191644503</v>
      </c>
      <c r="L388" s="22">
        <f t="shared" si="95"/>
        <v>1.1898103324282718</v>
      </c>
      <c r="M388" s="22">
        <f t="shared" si="95"/>
        <v>1.194065861258722</v>
      </c>
      <c r="N388" s="22">
        <f t="shared" si="95"/>
        <v>1.1992502192631385</v>
      </c>
      <c r="O388" s="22">
        <f t="shared" si="95"/>
        <v>1.2053560121742171</v>
      </c>
      <c r="P388" s="22">
        <f t="shared" si="95"/>
        <v>1.212346076933865</v>
      </c>
      <c r="Q388" s="22">
        <f t="shared" si="95"/>
        <v>1.2198688909683484</v>
      </c>
      <c r="R388" s="22">
        <f t="shared" si="95"/>
        <v>1.2278946750888551</v>
      </c>
      <c r="S388" s="22">
        <f t="shared" si="95"/>
        <v>1.2351731523644685</v>
      </c>
      <c r="T388" s="22">
        <f t="shared" si="95"/>
        <v>1.2387284033063148</v>
      </c>
      <c r="U388" s="22">
        <f t="shared" si="95"/>
        <v>1.2428035142308693</v>
      </c>
      <c r="V388" s="22">
        <f t="shared" si="95"/>
        <v>1.2469574862577844</v>
      </c>
      <c r="W388" s="22">
        <f t="shared" si="95"/>
        <v>1.2514627809792418</v>
      </c>
      <c r="X388" s="22">
        <f t="shared" si="95"/>
        <v>1.2563119525021347</v>
      </c>
      <c r="Y388" s="22">
        <f t="shared" si="95"/>
        <v>1.2594152102544689</v>
      </c>
      <c r="Z388" s="22">
        <f t="shared" si="95"/>
        <v>1.2628103463539342</v>
      </c>
      <c r="AA388" s="22">
        <f t="shared" si="95"/>
        <v>1.2664576505161484</v>
      </c>
      <c r="AB388" s="22">
        <f t="shared" si="95"/>
        <v>1.2703688345138295</v>
      </c>
      <c r="AC388" s="22">
        <f t="shared" si="95"/>
        <v>1.2745071730673998</v>
      </c>
      <c r="AD388" s="22">
        <f t="shared" si="95"/>
        <v>1.2772669751927705</v>
      </c>
      <c r="AE388" s="22">
        <f t="shared" si="95"/>
        <v>1.2802101399467087</v>
      </c>
      <c r="AF388" s="22">
        <f t="shared" si="95"/>
        <v>1.2833615796326843</v>
      </c>
      <c r="AG388" s="22">
        <f t="shared" si="95"/>
        <v>1.2867533025114073</v>
      </c>
      <c r="AH388" s="22">
        <f t="shared" si="95"/>
        <v>1.2902828410491152</v>
      </c>
      <c r="AI388" s="22">
        <f t="shared" si="95"/>
        <v>1.2924687750762118</v>
      </c>
      <c r="AJ388" s="22">
        <f t="shared" si="95"/>
        <v>1.2948409115017798</v>
      </c>
      <c r="AK388" s="22">
        <f t="shared" si="95"/>
        <v>1.2973167505540197</v>
      </c>
      <c r="AL388" s="22">
        <f t="shared" si="95"/>
        <v>1.2999254568789065</v>
      </c>
      <c r="AM388" s="22">
        <f t="shared" si="95"/>
        <v>1.3026634587962926</v>
      </c>
      <c r="AN388" s="22">
        <f t="shared" si="95"/>
        <v>1.3041593355626162</v>
      </c>
      <c r="AO388" s="22">
        <f t="shared" si="95"/>
        <v>1.3057494486628347</v>
      </c>
      <c r="AP388" s="22">
        <f t="shared" si="95"/>
        <v>1.3074743892636795</v>
      </c>
      <c r="AQ388" s="22">
        <f t="shared" si="95"/>
        <v>1.3093325099687654</v>
      </c>
      <c r="AR388" s="22">
        <f t="shared" si="95"/>
        <v>1.3113240251335019</v>
      </c>
      <c r="AS388" s="22">
        <f t="shared" si="95"/>
        <v>1.3120259734433455</v>
      </c>
      <c r="AT388" s="22">
        <f t="shared" si="95"/>
        <v>1.3123377088473509</v>
      </c>
      <c r="AU388" s="22">
        <f t="shared" si="95"/>
        <v>1.3127001034076922</v>
      </c>
      <c r="AV388" s="22">
        <f t="shared" si="95"/>
        <v>1.313090249634846</v>
      </c>
      <c r="AW388" s="22">
        <f t="shared" si="95"/>
        <v>1.3135511451209665</v>
      </c>
      <c r="AY388" s="79"/>
    </row>
    <row r="389" spans="1:51" x14ac:dyDescent="0.3">
      <c r="A389" s="95" t="str">
        <f t="shared" si="93"/>
        <v>GS U&amp;D</v>
      </c>
      <c r="B389" s="95" t="s">
        <v>1021</v>
      </c>
      <c r="C389" s="95" t="s">
        <v>1336</v>
      </c>
      <c r="D389" t="s">
        <v>369</v>
      </c>
      <c r="E389" t="s">
        <v>55</v>
      </c>
      <c r="F389" t="s">
        <v>422</v>
      </c>
      <c r="G389" t="s">
        <v>1172</v>
      </c>
      <c r="H389" t="s">
        <v>1250</v>
      </c>
      <c r="I389" t="s">
        <v>139</v>
      </c>
      <c r="J389" t="s">
        <v>287</v>
      </c>
      <c r="K389" s="22">
        <f t="shared" si="90"/>
        <v>0.19147730421375916</v>
      </c>
      <c r="L389" s="22">
        <f t="shared" si="95"/>
        <v>0.19240499933397132</v>
      </c>
      <c r="M389" s="22">
        <f t="shared" si="95"/>
        <v>0.19381280191845887</v>
      </c>
      <c r="N389" s="22">
        <f t="shared" si="95"/>
        <v>0.19411375969056655</v>
      </c>
      <c r="O389" s="22">
        <f t="shared" si="95"/>
        <v>0.19368291106027893</v>
      </c>
      <c r="P389" s="22">
        <f t="shared" si="95"/>
        <v>0.19253602379697463</v>
      </c>
      <c r="Q389" s="22">
        <f t="shared" si="95"/>
        <v>0.19190012409058904</v>
      </c>
      <c r="R389" s="22">
        <f t="shared" si="95"/>
        <v>0.19132863754616405</v>
      </c>
      <c r="S389" s="22">
        <f t="shared" si="95"/>
        <v>0.1803905818810948</v>
      </c>
      <c r="T389" s="22">
        <f t="shared" si="95"/>
        <v>0.18262456774024571</v>
      </c>
      <c r="U389" s="22">
        <f t="shared" si="95"/>
        <v>0.18617292598676535</v>
      </c>
      <c r="V389" s="22">
        <f t="shared" si="95"/>
        <v>0.1874827131948397</v>
      </c>
      <c r="W389" s="22">
        <f t="shared" si="95"/>
        <v>0.18903918513554135</v>
      </c>
      <c r="X389" s="22">
        <f t="shared" si="95"/>
        <v>0.19092374052200031</v>
      </c>
      <c r="Y389" s="22">
        <f t="shared" si="95"/>
        <v>0.19317866485257018</v>
      </c>
      <c r="Z389" s="22">
        <f t="shared" si="95"/>
        <v>0.19568472941200174</v>
      </c>
      <c r="AA389" s="22">
        <f t="shared" si="95"/>
        <v>0.19822057353598227</v>
      </c>
      <c r="AB389" s="22">
        <f t="shared" si="95"/>
        <v>0.20098305885598644</v>
      </c>
      <c r="AC389" s="22">
        <f t="shared" si="95"/>
        <v>0.20375514589644325</v>
      </c>
      <c r="AD389" s="22">
        <f t="shared" si="95"/>
        <v>0.20708073603212976</v>
      </c>
      <c r="AE389" s="22">
        <f t="shared" si="95"/>
        <v>0.21028463440230635</v>
      </c>
      <c r="AF389" s="22">
        <f t="shared" si="95"/>
        <v>0.2136443220754487</v>
      </c>
      <c r="AG389" s="22">
        <f t="shared" si="95"/>
        <v>0.21748682395851593</v>
      </c>
      <c r="AH389" s="22">
        <f t="shared" si="95"/>
        <v>0.22102739700732632</v>
      </c>
      <c r="AI389" s="22">
        <f t="shared" si="95"/>
        <v>0.22493633340985938</v>
      </c>
      <c r="AJ389" s="22">
        <f t="shared" si="95"/>
        <v>0.22910386680533321</v>
      </c>
      <c r="AK389" s="22">
        <f t="shared" si="95"/>
        <v>0.2329046036438828</v>
      </c>
      <c r="AL389" s="22">
        <f t="shared" si="95"/>
        <v>0.23662356544971794</v>
      </c>
      <c r="AM389" s="22">
        <f t="shared" si="95"/>
        <v>0.24027411251375713</v>
      </c>
      <c r="AN389" s="22">
        <f t="shared" si="95"/>
        <v>0.24444413665938144</v>
      </c>
      <c r="AO389" s="22">
        <f t="shared" si="95"/>
        <v>0.2483759174868751</v>
      </c>
      <c r="AP389" s="22">
        <f t="shared" si="95"/>
        <v>0.25243602460510989</v>
      </c>
      <c r="AQ389" s="22">
        <f t="shared" si="95"/>
        <v>0.25664462657697379</v>
      </c>
      <c r="AR389" s="22">
        <f t="shared" si="95"/>
        <v>0.26103451555954071</v>
      </c>
      <c r="AS389" s="22">
        <f t="shared" si="95"/>
        <v>0.26580339289786814</v>
      </c>
      <c r="AT389" s="22">
        <f t="shared" si="95"/>
        <v>0.26659601183855292</v>
      </c>
      <c r="AU389" s="22">
        <f t="shared" si="95"/>
        <v>0.26701268168020675</v>
      </c>
      <c r="AV389" s="22">
        <f t="shared" si="95"/>
        <v>0.26689564753163691</v>
      </c>
      <c r="AW389" s="22">
        <f t="shared" si="95"/>
        <v>0.2666191038621068</v>
      </c>
      <c r="AY389" s="79"/>
    </row>
    <row r="390" spans="1:51" x14ac:dyDescent="0.3">
      <c r="A390" s="95" t="str">
        <f t="shared" si="93"/>
        <v>GS U&amp;D</v>
      </c>
      <c r="B390" s="95" t="s">
        <v>1021</v>
      </c>
      <c r="C390" s="95" t="s">
        <v>1336</v>
      </c>
      <c r="D390" t="s">
        <v>369</v>
      </c>
      <c r="E390" t="s">
        <v>55</v>
      </c>
      <c r="F390" t="s">
        <v>422</v>
      </c>
      <c r="G390" t="s">
        <v>1174</v>
      </c>
      <c r="H390" t="s">
        <v>1251</v>
      </c>
      <c r="I390" t="s">
        <v>139</v>
      </c>
      <c r="J390" t="s">
        <v>287</v>
      </c>
      <c r="K390" s="22">
        <f t="shared" si="90"/>
        <v>3.4640571428571423E-2</v>
      </c>
      <c r="L390" s="22">
        <f t="shared" si="95"/>
        <v>3.4640571428571423E-2</v>
      </c>
      <c r="M390" s="22">
        <f t="shared" si="95"/>
        <v>3.4640571428571423E-2</v>
      </c>
      <c r="N390" s="22">
        <f t="shared" si="95"/>
        <v>3.4640571428571423E-2</v>
      </c>
      <c r="O390" s="22">
        <f t="shared" si="95"/>
        <v>3.4640571428571423E-2</v>
      </c>
      <c r="P390" s="22">
        <f t="shared" si="95"/>
        <v>3.4640571428571423E-2</v>
      </c>
      <c r="Q390" s="22">
        <f t="shared" si="95"/>
        <v>3.4640571428571423E-2</v>
      </c>
      <c r="R390" s="22">
        <f t="shared" si="95"/>
        <v>3.4640571428571423E-2</v>
      </c>
      <c r="S390" s="22">
        <f t="shared" si="95"/>
        <v>3.4640571428571423E-2</v>
      </c>
      <c r="T390" s="22">
        <f t="shared" si="95"/>
        <v>3.4640571428571423E-2</v>
      </c>
      <c r="U390" s="22">
        <f t="shared" si="95"/>
        <v>3.4640571428571423E-2</v>
      </c>
      <c r="V390" s="22">
        <f t="shared" si="95"/>
        <v>3.4640571428571423E-2</v>
      </c>
      <c r="W390" s="22">
        <f t="shared" si="95"/>
        <v>3.4640571428571423E-2</v>
      </c>
      <c r="X390" s="22">
        <f t="shared" si="95"/>
        <v>3.4640571428571423E-2</v>
      </c>
      <c r="Y390" s="22">
        <f t="shared" si="95"/>
        <v>3.4640571428571423E-2</v>
      </c>
      <c r="Z390" s="22">
        <f t="shared" si="95"/>
        <v>3.4640571428571423E-2</v>
      </c>
      <c r="AA390" s="22">
        <f t="shared" si="95"/>
        <v>3.4640571428571423E-2</v>
      </c>
      <c r="AB390" s="22">
        <f t="shared" si="95"/>
        <v>3.4640571428571423E-2</v>
      </c>
      <c r="AC390" s="22">
        <f t="shared" si="95"/>
        <v>3.4640571428571423E-2</v>
      </c>
      <c r="AD390" s="22">
        <f t="shared" si="95"/>
        <v>3.4640571428571423E-2</v>
      </c>
      <c r="AE390" s="22">
        <f t="shared" si="95"/>
        <v>3.4640571428571423E-2</v>
      </c>
      <c r="AF390" s="22">
        <f t="shared" si="95"/>
        <v>3.4640571428571423E-2</v>
      </c>
      <c r="AG390" s="22">
        <f t="shared" si="95"/>
        <v>3.4640571428571423E-2</v>
      </c>
      <c r="AH390" s="22">
        <f t="shared" si="95"/>
        <v>3.4640571428571423E-2</v>
      </c>
      <c r="AI390" s="22">
        <f t="shared" si="95"/>
        <v>3.4640571428571423E-2</v>
      </c>
      <c r="AJ390" s="22">
        <f t="shared" si="95"/>
        <v>3.4640571428571423E-2</v>
      </c>
      <c r="AK390" s="22">
        <f t="shared" si="95"/>
        <v>3.4640571428571423E-2</v>
      </c>
      <c r="AL390" s="22">
        <f t="shared" si="95"/>
        <v>3.4640571428571423E-2</v>
      </c>
      <c r="AM390" s="22">
        <f t="shared" si="95"/>
        <v>3.4640571428571423E-2</v>
      </c>
      <c r="AN390" s="22">
        <f t="shared" si="95"/>
        <v>3.4640571428571423E-2</v>
      </c>
      <c r="AO390" s="22">
        <f t="shared" si="95"/>
        <v>3.4640571428571423E-2</v>
      </c>
      <c r="AP390" s="22">
        <f t="shared" si="95"/>
        <v>3.4640571428571423E-2</v>
      </c>
      <c r="AQ390" s="22">
        <f t="shared" si="95"/>
        <v>3.4640571428571423E-2</v>
      </c>
      <c r="AR390" s="22">
        <f t="shared" si="95"/>
        <v>3.4640571428571423E-2</v>
      </c>
      <c r="AS390" s="22">
        <f t="shared" si="95"/>
        <v>3.4640571428571423E-2</v>
      </c>
      <c r="AT390" s="22">
        <f t="shared" si="95"/>
        <v>3.4640571428571423E-2</v>
      </c>
      <c r="AU390" s="22">
        <f t="shared" si="95"/>
        <v>3.4640571428571423E-2</v>
      </c>
      <c r="AV390" s="22">
        <f t="shared" si="95"/>
        <v>3.4640571428571423E-2</v>
      </c>
      <c r="AW390" s="22">
        <f t="shared" si="95"/>
        <v>3.4640571428571423E-2</v>
      </c>
      <c r="AY390" s="79"/>
    </row>
    <row r="391" spans="1:51" x14ac:dyDescent="0.3">
      <c r="A391" s="95" t="str">
        <f t="shared" si="93"/>
        <v>GS U&amp;D</v>
      </c>
      <c r="B391" s="95" t="s">
        <v>1021</v>
      </c>
      <c r="C391" s="95" t="s">
        <v>1336</v>
      </c>
      <c r="D391" t="s">
        <v>369</v>
      </c>
      <c r="E391" t="s">
        <v>55</v>
      </c>
      <c r="F391" t="s">
        <v>422</v>
      </c>
      <c r="G391" t="s">
        <v>1176</v>
      </c>
      <c r="H391" t="s">
        <v>1252</v>
      </c>
      <c r="I391" t="s">
        <v>139</v>
      </c>
      <c r="J391" t="s">
        <v>287</v>
      </c>
      <c r="K391" s="22">
        <f t="shared" si="90"/>
        <v>0</v>
      </c>
      <c r="L391" s="22">
        <f t="shared" si="95"/>
        <v>0</v>
      </c>
      <c r="M391" s="22">
        <f t="shared" si="95"/>
        <v>0</v>
      </c>
      <c r="N391" s="22">
        <f t="shared" si="95"/>
        <v>0</v>
      </c>
      <c r="O391" s="22">
        <f t="shared" si="95"/>
        <v>0</v>
      </c>
      <c r="P391" s="22">
        <f t="shared" si="95"/>
        <v>0</v>
      </c>
      <c r="Q391" s="22">
        <f t="shared" si="95"/>
        <v>0</v>
      </c>
      <c r="R391" s="22">
        <f t="shared" si="95"/>
        <v>0</v>
      </c>
      <c r="S391" s="22">
        <f t="shared" si="95"/>
        <v>0</v>
      </c>
      <c r="T391" s="22">
        <f t="shared" si="95"/>
        <v>0</v>
      </c>
      <c r="U391" s="22">
        <f t="shared" si="95"/>
        <v>0</v>
      </c>
      <c r="V391" s="22">
        <f t="shared" si="95"/>
        <v>0</v>
      </c>
      <c r="W391" s="22">
        <f t="shared" si="95"/>
        <v>0</v>
      </c>
      <c r="X391" s="22">
        <f t="shared" si="95"/>
        <v>0</v>
      </c>
      <c r="Y391" s="22">
        <f t="shared" si="95"/>
        <v>0</v>
      </c>
      <c r="Z391" s="22">
        <f t="shared" si="95"/>
        <v>0</v>
      </c>
      <c r="AA391" s="22">
        <f t="shared" si="95"/>
        <v>0</v>
      </c>
      <c r="AB391" s="22">
        <f t="shared" si="95"/>
        <v>0</v>
      </c>
      <c r="AC391" s="22">
        <f t="shared" si="95"/>
        <v>0</v>
      </c>
      <c r="AD391" s="22">
        <f t="shared" si="95"/>
        <v>0</v>
      </c>
      <c r="AE391" s="22">
        <f t="shared" si="95"/>
        <v>0</v>
      </c>
      <c r="AF391" s="22">
        <f t="shared" si="95"/>
        <v>0</v>
      </c>
      <c r="AG391" s="22">
        <f t="shared" si="95"/>
        <v>0</v>
      </c>
      <c r="AH391" s="22">
        <f t="shared" si="95"/>
        <v>0</v>
      </c>
      <c r="AI391" s="22">
        <f t="shared" si="95"/>
        <v>0</v>
      </c>
      <c r="AJ391" s="22">
        <f t="shared" si="95"/>
        <v>0</v>
      </c>
      <c r="AK391" s="22">
        <f t="shared" si="95"/>
        <v>0</v>
      </c>
      <c r="AL391" s="22">
        <f t="shared" si="95"/>
        <v>0</v>
      </c>
      <c r="AM391" s="22">
        <f t="shared" si="95"/>
        <v>0</v>
      </c>
      <c r="AN391" s="22">
        <f t="shared" si="95"/>
        <v>0</v>
      </c>
      <c r="AO391" s="22">
        <f t="shared" si="95"/>
        <v>0</v>
      </c>
      <c r="AP391" s="22">
        <f t="shared" si="95"/>
        <v>0</v>
      </c>
      <c r="AQ391" s="22">
        <f t="shared" si="95"/>
        <v>0</v>
      </c>
      <c r="AR391" s="22">
        <f t="shared" si="95"/>
        <v>0</v>
      </c>
      <c r="AS391" s="22">
        <f t="shared" si="95"/>
        <v>0</v>
      </c>
      <c r="AT391" s="22">
        <f t="shared" si="95"/>
        <v>0</v>
      </c>
      <c r="AU391" s="22">
        <f t="shared" si="95"/>
        <v>0</v>
      </c>
      <c r="AV391" s="22">
        <f t="shared" si="95"/>
        <v>0</v>
      </c>
      <c r="AW391" s="22">
        <f t="shared" si="95"/>
        <v>0</v>
      </c>
      <c r="AY391" s="79"/>
    </row>
    <row r="392" spans="1:51" x14ac:dyDescent="0.3">
      <c r="A392" s="95" t="str">
        <f t="shared" si="93"/>
        <v>GS U&amp;D</v>
      </c>
      <c r="B392" s="95" t="s">
        <v>1021</v>
      </c>
      <c r="C392" s="95" t="s">
        <v>1336</v>
      </c>
      <c r="D392" t="s">
        <v>369</v>
      </c>
      <c r="E392" t="s">
        <v>55</v>
      </c>
      <c r="F392" t="s">
        <v>422</v>
      </c>
      <c r="G392" t="s">
        <v>1178</v>
      </c>
      <c r="H392" t="s">
        <v>1253</v>
      </c>
      <c r="I392" t="s">
        <v>139</v>
      </c>
      <c r="J392" t="s">
        <v>287</v>
      </c>
      <c r="K392" s="22">
        <f t="shared" si="90"/>
        <v>0</v>
      </c>
      <c r="L392" s="22">
        <f t="shared" si="95"/>
        <v>0</v>
      </c>
      <c r="M392" s="22">
        <f t="shared" si="95"/>
        <v>0</v>
      </c>
      <c r="N392" s="22">
        <f t="shared" si="95"/>
        <v>0</v>
      </c>
      <c r="O392" s="22">
        <f t="shared" si="95"/>
        <v>0</v>
      </c>
      <c r="P392" s="22">
        <f t="shared" si="95"/>
        <v>0</v>
      </c>
      <c r="Q392" s="22">
        <f t="shared" si="95"/>
        <v>0</v>
      </c>
      <c r="R392" s="22">
        <f t="shared" si="95"/>
        <v>0</v>
      </c>
      <c r="S392" s="22">
        <f t="shared" si="95"/>
        <v>0</v>
      </c>
      <c r="T392" s="22">
        <f t="shared" si="95"/>
        <v>0</v>
      </c>
      <c r="U392" s="22">
        <f t="shared" si="95"/>
        <v>0</v>
      </c>
      <c r="V392" s="22">
        <f t="shared" si="95"/>
        <v>0</v>
      </c>
      <c r="W392" s="22">
        <f t="shared" si="95"/>
        <v>0</v>
      </c>
      <c r="X392" s="22">
        <f t="shared" si="95"/>
        <v>0</v>
      </c>
      <c r="Y392" s="22">
        <f t="shared" si="95"/>
        <v>0</v>
      </c>
      <c r="Z392" s="22">
        <f t="shared" si="95"/>
        <v>0</v>
      </c>
      <c r="AA392" s="22">
        <f t="shared" si="95"/>
        <v>0</v>
      </c>
      <c r="AB392" s="22">
        <f t="shared" si="95"/>
        <v>0</v>
      </c>
      <c r="AC392" s="22">
        <f t="shared" si="95"/>
        <v>0</v>
      </c>
      <c r="AD392" s="22">
        <f t="shared" si="95"/>
        <v>0</v>
      </c>
      <c r="AE392" s="22">
        <f t="shared" si="95"/>
        <v>0</v>
      </c>
      <c r="AF392" s="22">
        <f t="shared" si="95"/>
        <v>0</v>
      </c>
      <c r="AG392" s="22">
        <f t="shared" si="95"/>
        <v>0</v>
      </c>
      <c r="AH392" s="22">
        <f t="shared" si="95"/>
        <v>0</v>
      </c>
      <c r="AI392" s="22">
        <f t="shared" si="95"/>
        <v>0</v>
      </c>
      <c r="AJ392" s="22">
        <f t="shared" si="95"/>
        <v>0</v>
      </c>
      <c r="AK392" s="22">
        <f t="shared" si="95"/>
        <v>0</v>
      </c>
      <c r="AL392" s="22">
        <f t="shared" si="95"/>
        <v>0</v>
      </c>
      <c r="AM392" s="22">
        <f t="shared" si="95"/>
        <v>0</v>
      </c>
      <c r="AN392" s="22">
        <f t="shared" si="95"/>
        <v>0</v>
      </c>
      <c r="AO392" s="22">
        <f t="shared" si="95"/>
        <v>0</v>
      </c>
      <c r="AP392" s="22">
        <f t="shared" si="95"/>
        <v>0</v>
      </c>
      <c r="AQ392" s="22">
        <f t="shared" si="95"/>
        <v>0</v>
      </c>
      <c r="AR392" s="22">
        <f t="shared" si="95"/>
        <v>0</v>
      </c>
      <c r="AS392" s="22">
        <f t="shared" si="95"/>
        <v>0</v>
      </c>
      <c r="AT392" s="22">
        <f t="shared" si="95"/>
        <v>0</v>
      </c>
      <c r="AU392" s="22">
        <f t="shared" si="95"/>
        <v>0</v>
      </c>
      <c r="AV392" s="22">
        <f t="shared" si="95"/>
        <v>0</v>
      </c>
      <c r="AW392" s="22">
        <f t="shared" si="95"/>
        <v>0</v>
      </c>
      <c r="AY392" s="79"/>
    </row>
    <row r="393" spans="1:51" x14ac:dyDescent="0.3">
      <c r="A393" s="95" t="str">
        <f t="shared" si="93"/>
        <v>GS U&amp;D</v>
      </c>
      <c r="B393" s="95" t="s">
        <v>1021</v>
      </c>
      <c r="C393" s="95" t="s">
        <v>1336</v>
      </c>
      <c r="D393" t="s">
        <v>369</v>
      </c>
      <c r="E393" t="s">
        <v>55</v>
      </c>
      <c r="F393" t="s">
        <v>422</v>
      </c>
      <c r="G393" t="s">
        <v>1180</v>
      </c>
      <c r="H393" t="s">
        <v>1254</v>
      </c>
      <c r="I393" t="s">
        <v>139</v>
      </c>
      <c r="J393" t="s">
        <v>287</v>
      </c>
      <c r="K393" s="22">
        <f t="shared" si="90"/>
        <v>0</v>
      </c>
      <c r="L393" s="22">
        <f t="shared" si="95"/>
        <v>0</v>
      </c>
      <c r="M393" s="22">
        <f t="shared" si="95"/>
        <v>0</v>
      </c>
      <c r="N393" s="22">
        <f t="shared" si="95"/>
        <v>0</v>
      </c>
      <c r="O393" s="22">
        <f t="shared" si="95"/>
        <v>0</v>
      </c>
      <c r="P393" s="22">
        <f t="shared" si="95"/>
        <v>0</v>
      </c>
      <c r="Q393" s="22">
        <f t="shared" si="95"/>
        <v>0</v>
      </c>
      <c r="R393" s="22">
        <f t="shared" si="95"/>
        <v>0</v>
      </c>
      <c r="S393" s="22">
        <f t="shared" si="95"/>
        <v>0</v>
      </c>
      <c r="T393" s="22">
        <f t="shared" si="95"/>
        <v>0</v>
      </c>
      <c r="U393" s="22">
        <f t="shared" si="95"/>
        <v>0</v>
      </c>
      <c r="V393" s="22">
        <f t="shared" si="95"/>
        <v>0</v>
      </c>
      <c r="W393" s="22">
        <f t="shared" si="95"/>
        <v>0</v>
      </c>
      <c r="X393" s="22">
        <f t="shared" si="95"/>
        <v>0</v>
      </c>
      <c r="Y393" s="22">
        <f t="shared" si="95"/>
        <v>0</v>
      </c>
      <c r="Z393" s="22">
        <f t="shared" si="95"/>
        <v>0</v>
      </c>
      <c r="AA393" s="22">
        <f t="shared" si="95"/>
        <v>0</v>
      </c>
      <c r="AB393" s="22">
        <f t="shared" si="95"/>
        <v>0</v>
      </c>
      <c r="AC393" s="22">
        <f t="shared" si="95"/>
        <v>0</v>
      </c>
      <c r="AD393" s="22">
        <f t="shared" si="95"/>
        <v>0</v>
      </c>
      <c r="AE393" s="22">
        <f t="shared" si="95"/>
        <v>0</v>
      </c>
      <c r="AF393" s="22">
        <f t="shared" si="95"/>
        <v>0</v>
      </c>
      <c r="AG393" s="22">
        <f t="shared" si="95"/>
        <v>0</v>
      </c>
      <c r="AH393" s="22">
        <f t="shared" si="95"/>
        <v>0</v>
      </c>
      <c r="AI393" s="22">
        <f t="shared" si="95"/>
        <v>0</v>
      </c>
      <c r="AJ393" s="22">
        <f t="shared" si="95"/>
        <v>0</v>
      </c>
      <c r="AK393" s="22">
        <f t="shared" si="95"/>
        <v>0</v>
      </c>
      <c r="AL393" s="22">
        <f t="shared" si="95"/>
        <v>0</v>
      </c>
      <c r="AM393" s="22">
        <f t="shared" si="95"/>
        <v>0</v>
      </c>
      <c r="AN393" s="22">
        <f t="shared" si="95"/>
        <v>0</v>
      </c>
      <c r="AO393" s="22">
        <f t="shared" si="95"/>
        <v>0</v>
      </c>
      <c r="AP393" s="22">
        <f t="shared" si="95"/>
        <v>0</v>
      </c>
      <c r="AQ393" s="22">
        <f t="shared" si="95"/>
        <v>0</v>
      </c>
      <c r="AR393" s="22">
        <f t="shared" si="95"/>
        <v>0</v>
      </c>
      <c r="AS393" s="22">
        <f t="shared" si="95"/>
        <v>0</v>
      </c>
      <c r="AT393" s="22">
        <f t="shared" si="95"/>
        <v>0</v>
      </c>
      <c r="AU393" s="22">
        <f t="shared" si="95"/>
        <v>0</v>
      </c>
      <c r="AV393" s="22">
        <f t="shared" ref="L393:AW400" si="96">AV1496</f>
        <v>0</v>
      </c>
      <c r="AW393" s="22">
        <f t="shared" si="96"/>
        <v>0</v>
      </c>
      <c r="AY393" s="79"/>
    </row>
    <row r="394" spans="1:51" x14ac:dyDescent="0.3">
      <c r="A394" s="95" t="str">
        <f t="shared" si="93"/>
        <v>GS U&amp;D</v>
      </c>
      <c r="B394" s="95" t="s">
        <v>1021</v>
      </c>
      <c r="C394" s="95" t="s">
        <v>1336</v>
      </c>
      <c r="D394" t="s">
        <v>369</v>
      </c>
      <c r="E394" t="s">
        <v>55</v>
      </c>
      <c r="F394" t="s">
        <v>422</v>
      </c>
      <c r="G394" t="s">
        <v>1182</v>
      </c>
      <c r="H394" t="s">
        <v>1255</v>
      </c>
      <c r="I394" t="s">
        <v>139</v>
      </c>
      <c r="J394" t="s">
        <v>287</v>
      </c>
      <c r="K394" s="22">
        <f t="shared" si="90"/>
        <v>0</v>
      </c>
      <c r="L394" s="22">
        <f t="shared" si="96"/>
        <v>0</v>
      </c>
      <c r="M394" s="22">
        <f t="shared" si="96"/>
        <v>0</v>
      </c>
      <c r="N394" s="22">
        <f t="shared" si="96"/>
        <v>0</v>
      </c>
      <c r="O394" s="22">
        <f t="shared" si="96"/>
        <v>0</v>
      </c>
      <c r="P394" s="22">
        <f t="shared" si="96"/>
        <v>0</v>
      </c>
      <c r="Q394" s="22">
        <f t="shared" si="96"/>
        <v>0</v>
      </c>
      <c r="R394" s="22">
        <f t="shared" si="96"/>
        <v>0</v>
      </c>
      <c r="S394" s="22">
        <f t="shared" si="96"/>
        <v>0</v>
      </c>
      <c r="T394" s="22">
        <f t="shared" si="96"/>
        <v>0</v>
      </c>
      <c r="U394" s="22">
        <f t="shared" si="96"/>
        <v>0</v>
      </c>
      <c r="V394" s="22">
        <f t="shared" si="96"/>
        <v>0</v>
      </c>
      <c r="W394" s="22">
        <f t="shared" si="96"/>
        <v>0</v>
      </c>
      <c r="X394" s="22">
        <f t="shared" si="96"/>
        <v>0</v>
      </c>
      <c r="Y394" s="22">
        <f t="shared" si="96"/>
        <v>0</v>
      </c>
      <c r="Z394" s="22">
        <f t="shared" si="96"/>
        <v>0</v>
      </c>
      <c r="AA394" s="22">
        <f t="shared" si="96"/>
        <v>0</v>
      </c>
      <c r="AB394" s="22">
        <f t="shared" si="96"/>
        <v>0</v>
      </c>
      <c r="AC394" s="22">
        <f t="shared" si="96"/>
        <v>0</v>
      </c>
      <c r="AD394" s="22">
        <f t="shared" si="96"/>
        <v>0</v>
      </c>
      <c r="AE394" s="22">
        <f t="shared" si="96"/>
        <v>0</v>
      </c>
      <c r="AF394" s="22">
        <f t="shared" si="96"/>
        <v>0</v>
      </c>
      <c r="AG394" s="22">
        <f t="shared" si="96"/>
        <v>0</v>
      </c>
      <c r="AH394" s="22">
        <f t="shared" si="96"/>
        <v>0</v>
      </c>
      <c r="AI394" s="22">
        <f t="shared" si="96"/>
        <v>0</v>
      </c>
      <c r="AJ394" s="22">
        <f t="shared" si="96"/>
        <v>0</v>
      </c>
      <c r="AK394" s="22">
        <f t="shared" si="96"/>
        <v>0</v>
      </c>
      <c r="AL394" s="22">
        <f t="shared" si="96"/>
        <v>0</v>
      </c>
      <c r="AM394" s="22">
        <f t="shared" si="96"/>
        <v>0</v>
      </c>
      <c r="AN394" s="22">
        <f t="shared" si="96"/>
        <v>0</v>
      </c>
      <c r="AO394" s="22">
        <f t="shared" si="96"/>
        <v>0</v>
      </c>
      <c r="AP394" s="22">
        <f t="shared" si="96"/>
        <v>0</v>
      </c>
      <c r="AQ394" s="22">
        <f t="shared" si="96"/>
        <v>0</v>
      </c>
      <c r="AR394" s="22">
        <f t="shared" si="96"/>
        <v>0</v>
      </c>
      <c r="AS394" s="22">
        <f t="shared" si="96"/>
        <v>0</v>
      </c>
      <c r="AT394" s="22">
        <f t="shared" si="96"/>
        <v>0</v>
      </c>
      <c r="AU394" s="22">
        <f t="shared" si="96"/>
        <v>0</v>
      </c>
      <c r="AV394" s="22">
        <f t="shared" si="96"/>
        <v>0</v>
      </c>
      <c r="AW394" s="22">
        <f t="shared" si="96"/>
        <v>0</v>
      </c>
      <c r="AY394" s="79"/>
    </row>
    <row r="395" spans="1:51" x14ac:dyDescent="0.3">
      <c r="A395" s="95" t="str">
        <f t="shared" si="93"/>
        <v>GS FSOM</v>
      </c>
      <c r="B395" s="95" t="s">
        <v>1021</v>
      </c>
      <c r="C395" s="95" t="s">
        <v>60</v>
      </c>
      <c r="D395" t="s">
        <v>369</v>
      </c>
      <c r="E395" t="s">
        <v>55</v>
      </c>
      <c r="F395" t="s">
        <v>60</v>
      </c>
      <c r="G395" t="s">
        <v>1266</v>
      </c>
      <c r="H395" t="s">
        <v>1267</v>
      </c>
      <c r="J395" t="s">
        <v>287</v>
      </c>
      <c r="K395" s="22" t="str">
        <f t="shared" si="90"/>
        <v>NO</v>
      </c>
      <c r="L395" s="22" t="str">
        <f t="shared" si="96"/>
        <v>NO</v>
      </c>
      <c r="M395" s="22" t="str">
        <f t="shared" si="96"/>
        <v>NO</v>
      </c>
      <c r="N395" s="22" t="str">
        <f t="shared" si="96"/>
        <v>NO</v>
      </c>
      <c r="O395" s="22" t="str">
        <f t="shared" si="96"/>
        <v>NO</v>
      </c>
      <c r="P395" s="22" t="str">
        <f t="shared" si="96"/>
        <v>NO</v>
      </c>
      <c r="Q395" s="22" t="str">
        <f t="shared" si="96"/>
        <v>NO</v>
      </c>
      <c r="R395" s="22" t="str">
        <f t="shared" si="96"/>
        <v>NO</v>
      </c>
      <c r="S395" s="22" t="str">
        <f t="shared" si="96"/>
        <v>NO</v>
      </c>
      <c r="T395" s="22" t="str">
        <f t="shared" si="96"/>
        <v>NO</v>
      </c>
      <c r="U395" s="22" t="str">
        <f t="shared" si="96"/>
        <v>NO</v>
      </c>
      <c r="V395" s="22" t="str">
        <f t="shared" si="96"/>
        <v>NO</v>
      </c>
      <c r="W395" s="22" t="str">
        <f t="shared" si="96"/>
        <v>NO</v>
      </c>
      <c r="X395" s="22" t="str">
        <f t="shared" si="96"/>
        <v>NO</v>
      </c>
      <c r="Y395" s="22" t="str">
        <f t="shared" si="96"/>
        <v>NO</v>
      </c>
      <c r="Z395" s="22" t="str">
        <f t="shared" si="96"/>
        <v>NO</v>
      </c>
      <c r="AA395" s="22" t="str">
        <f t="shared" si="96"/>
        <v>NO</v>
      </c>
      <c r="AB395" s="22" t="str">
        <f t="shared" si="96"/>
        <v>NO</v>
      </c>
      <c r="AC395" s="22" t="str">
        <f t="shared" si="96"/>
        <v>NO</v>
      </c>
      <c r="AD395" s="22" t="str">
        <f t="shared" si="96"/>
        <v>NO</v>
      </c>
      <c r="AE395" s="22" t="str">
        <f t="shared" si="96"/>
        <v>NO</v>
      </c>
      <c r="AF395" s="22" t="str">
        <f t="shared" si="96"/>
        <v>NO</v>
      </c>
      <c r="AG395" s="22" t="str">
        <f t="shared" si="96"/>
        <v>NO</v>
      </c>
      <c r="AH395" s="22" t="str">
        <f t="shared" si="96"/>
        <v>NO</v>
      </c>
      <c r="AI395" s="22" t="str">
        <f t="shared" si="96"/>
        <v>NO</v>
      </c>
      <c r="AJ395" s="22" t="str">
        <f t="shared" si="96"/>
        <v>NO</v>
      </c>
      <c r="AK395" s="22" t="str">
        <f t="shared" si="96"/>
        <v>NO</v>
      </c>
      <c r="AL395" s="22" t="str">
        <f t="shared" si="96"/>
        <v>NO</v>
      </c>
      <c r="AM395" s="22" t="str">
        <f t="shared" si="96"/>
        <v>NO</v>
      </c>
      <c r="AN395" s="22" t="str">
        <f t="shared" si="96"/>
        <v>NO</v>
      </c>
      <c r="AO395" s="22" t="str">
        <f t="shared" si="96"/>
        <v>NO</v>
      </c>
      <c r="AP395" s="22" t="str">
        <f t="shared" si="96"/>
        <v>NO</v>
      </c>
      <c r="AQ395" s="22" t="str">
        <f t="shared" si="96"/>
        <v>NO</v>
      </c>
      <c r="AR395" s="22" t="str">
        <f t="shared" si="96"/>
        <v>NO</v>
      </c>
      <c r="AS395" s="22" t="str">
        <f t="shared" si="96"/>
        <v>NO</v>
      </c>
      <c r="AT395" s="22" t="str">
        <f t="shared" si="96"/>
        <v>NO</v>
      </c>
      <c r="AU395" s="22" t="str">
        <f t="shared" si="96"/>
        <v>NO</v>
      </c>
      <c r="AV395" s="22" t="str">
        <f t="shared" si="96"/>
        <v>NO</v>
      </c>
      <c r="AW395" s="22" t="str">
        <f t="shared" si="96"/>
        <v>NO</v>
      </c>
      <c r="AY395" s="79"/>
    </row>
    <row r="396" spans="1:51" x14ac:dyDescent="0.3">
      <c r="A396" s="95" t="str">
        <f t="shared" si="93"/>
        <v>GS FSOM</v>
      </c>
      <c r="B396" s="95" t="s">
        <v>1021</v>
      </c>
      <c r="C396" s="95" t="s">
        <v>60</v>
      </c>
      <c r="D396" t="s">
        <v>369</v>
      </c>
      <c r="E396" t="s">
        <v>55</v>
      </c>
      <c r="F396" t="s">
        <v>60</v>
      </c>
      <c r="G396" t="s">
        <v>1268</v>
      </c>
      <c r="H396" t="s">
        <v>1269</v>
      </c>
      <c r="J396" t="s">
        <v>287</v>
      </c>
      <c r="K396" s="22" t="str">
        <f t="shared" si="90"/>
        <v>NO</v>
      </c>
      <c r="L396" s="22" t="str">
        <f t="shared" si="96"/>
        <v>NO</v>
      </c>
      <c r="M396" s="22" t="str">
        <f t="shared" si="96"/>
        <v>NO</v>
      </c>
      <c r="N396" s="22" t="str">
        <f t="shared" si="96"/>
        <v>NO</v>
      </c>
      <c r="O396" s="22" t="str">
        <f t="shared" si="96"/>
        <v>NO</v>
      </c>
      <c r="P396" s="22" t="str">
        <f t="shared" si="96"/>
        <v>NO</v>
      </c>
      <c r="Q396" s="22" t="str">
        <f t="shared" si="96"/>
        <v>NO</v>
      </c>
      <c r="R396" s="22" t="str">
        <f t="shared" si="96"/>
        <v>NO</v>
      </c>
      <c r="S396" s="22" t="str">
        <f t="shared" si="96"/>
        <v>NO</v>
      </c>
      <c r="T396" s="22" t="str">
        <f t="shared" si="96"/>
        <v>NO</v>
      </c>
      <c r="U396" s="22" t="str">
        <f t="shared" si="96"/>
        <v>NO</v>
      </c>
      <c r="V396" s="22" t="str">
        <f t="shared" si="96"/>
        <v>NO</v>
      </c>
      <c r="W396" s="22" t="str">
        <f t="shared" si="96"/>
        <v>NO</v>
      </c>
      <c r="X396" s="22" t="str">
        <f t="shared" si="96"/>
        <v>NO</v>
      </c>
      <c r="Y396" s="22" t="str">
        <f t="shared" si="96"/>
        <v>NO</v>
      </c>
      <c r="Z396" s="22" t="str">
        <f t="shared" si="96"/>
        <v>NO</v>
      </c>
      <c r="AA396" s="22" t="str">
        <f t="shared" si="96"/>
        <v>NO</v>
      </c>
      <c r="AB396" s="22" t="str">
        <f t="shared" si="96"/>
        <v>NO</v>
      </c>
      <c r="AC396" s="22" t="str">
        <f t="shared" si="96"/>
        <v>NO</v>
      </c>
      <c r="AD396" s="22" t="str">
        <f t="shared" si="96"/>
        <v>NO</v>
      </c>
      <c r="AE396" s="22" t="str">
        <f t="shared" si="96"/>
        <v>NO</v>
      </c>
      <c r="AF396" s="22" t="str">
        <f t="shared" si="96"/>
        <v>NO</v>
      </c>
      <c r="AG396" s="22" t="str">
        <f t="shared" si="96"/>
        <v>NO</v>
      </c>
      <c r="AH396" s="22" t="str">
        <f t="shared" si="96"/>
        <v>NO</v>
      </c>
      <c r="AI396" s="22" t="str">
        <f t="shared" si="96"/>
        <v>NO</v>
      </c>
      <c r="AJ396" s="22" t="str">
        <f t="shared" si="96"/>
        <v>NO</v>
      </c>
      <c r="AK396" s="22" t="str">
        <f t="shared" si="96"/>
        <v>NO</v>
      </c>
      <c r="AL396" s="22" t="str">
        <f t="shared" si="96"/>
        <v>NO</v>
      </c>
      <c r="AM396" s="22" t="str">
        <f t="shared" si="96"/>
        <v>NO</v>
      </c>
      <c r="AN396" s="22" t="str">
        <f t="shared" si="96"/>
        <v>NO</v>
      </c>
      <c r="AO396" s="22" t="str">
        <f t="shared" si="96"/>
        <v>NO</v>
      </c>
      <c r="AP396" s="22" t="str">
        <f t="shared" si="96"/>
        <v>NO</v>
      </c>
      <c r="AQ396" s="22" t="str">
        <f t="shared" si="96"/>
        <v>NO</v>
      </c>
      <c r="AR396" s="22" t="str">
        <f t="shared" si="96"/>
        <v>NO</v>
      </c>
      <c r="AS396" s="22" t="str">
        <f t="shared" si="96"/>
        <v>NO</v>
      </c>
      <c r="AT396" s="22" t="str">
        <f t="shared" si="96"/>
        <v>NO</v>
      </c>
      <c r="AU396" s="22" t="str">
        <f t="shared" si="96"/>
        <v>NO</v>
      </c>
      <c r="AV396" s="22" t="str">
        <f t="shared" si="96"/>
        <v>NO</v>
      </c>
      <c r="AW396" s="22" t="str">
        <f t="shared" si="96"/>
        <v>NO</v>
      </c>
      <c r="AY396" s="79"/>
    </row>
    <row r="397" spans="1:51" x14ac:dyDescent="0.3">
      <c r="A397" s="95" t="str">
        <f t="shared" si="93"/>
        <v>GS FSOM</v>
      </c>
      <c r="B397" s="95" t="s">
        <v>1021</v>
      </c>
      <c r="C397" s="95" t="s">
        <v>60</v>
      </c>
      <c r="D397" t="s">
        <v>369</v>
      </c>
      <c r="E397" t="s">
        <v>55</v>
      </c>
      <c r="F397" t="s">
        <v>60</v>
      </c>
      <c r="G397" t="s">
        <v>1270</v>
      </c>
      <c r="H397" t="s">
        <v>1271</v>
      </c>
      <c r="J397" t="s">
        <v>287</v>
      </c>
      <c r="K397" s="22">
        <f t="shared" si="90"/>
        <v>3.4398813895090996E-3</v>
      </c>
      <c r="L397" s="22">
        <f t="shared" si="96"/>
        <v>3.4358310252377683E-3</v>
      </c>
      <c r="M397" s="22">
        <f t="shared" si="96"/>
        <v>3.4317806609664363E-3</v>
      </c>
      <c r="N397" s="22">
        <f t="shared" si="96"/>
        <v>3.4277302966951037E-3</v>
      </c>
      <c r="O397" s="22">
        <f t="shared" si="96"/>
        <v>3.4236799324237725E-3</v>
      </c>
      <c r="P397" s="22">
        <f t="shared" si="96"/>
        <v>3.4196295681524396E-3</v>
      </c>
      <c r="Q397" s="22">
        <f t="shared" si="96"/>
        <v>3.4155792038811079E-3</v>
      </c>
      <c r="R397" s="22">
        <f t="shared" si="96"/>
        <v>3.4115288396097763E-3</v>
      </c>
      <c r="S397" s="22">
        <f t="shared" si="96"/>
        <v>3.4074784753384451E-3</v>
      </c>
      <c r="T397" s="22">
        <f t="shared" si="96"/>
        <v>3.4034281110671134E-3</v>
      </c>
      <c r="U397" s="22">
        <f t="shared" si="96"/>
        <v>3.39937774679578E-3</v>
      </c>
      <c r="V397" s="22">
        <f t="shared" si="96"/>
        <v>3.3953273825244488E-3</v>
      </c>
      <c r="W397" s="22">
        <f t="shared" si="96"/>
        <v>3.3912770182531172E-3</v>
      </c>
      <c r="X397" s="22">
        <f t="shared" si="96"/>
        <v>3.387226653981786E-3</v>
      </c>
      <c r="Y397" s="22">
        <f t="shared" si="96"/>
        <v>3.3831762897104547E-3</v>
      </c>
      <c r="Z397" s="22">
        <f t="shared" si="96"/>
        <v>3.3791259254391218E-3</v>
      </c>
      <c r="AA397" s="22">
        <f t="shared" si="96"/>
        <v>3.375075561167791E-3</v>
      </c>
      <c r="AB397" s="22">
        <f t="shared" si="96"/>
        <v>3.3710251968964585E-3</v>
      </c>
      <c r="AC397" s="22">
        <f t="shared" si="96"/>
        <v>3.3669748326251273E-3</v>
      </c>
      <c r="AD397" s="22">
        <f t="shared" si="96"/>
        <v>3.3629244683537943E-3</v>
      </c>
      <c r="AE397" s="22">
        <f t="shared" si="96"/>
        <v>3.358874104082464E-3</v>
      </c>
      <c r="AF397" s="22">
        <f t="shared" si="96"/>
        <v>3.3548237398111319E-3</v>
      </c>
      <c r="AG397" s="22">
        <f t="shared" si="96"/>
        <v>3.3507733755397998E-3</v>
      </c>
      <c r="AH397" s="22">
        <f t="shared" si="96"/>
        <v>3.3467230112684673E-3</v>
      </c>
      <c r="AI397" s="22">
        <f t="shared" si="96"/>
        <v>3.3426726469971361E-3</v>
      </c>
      <c r="AJ397" s="22">
        <f t="shared" si="96"/>
        <v>3.3386222827258044E-3</v>
      </c>
      <c r="AK397" s="22">
        <f t="shared" si="96"/>
        <v>3.3345719184544728E-3</v>
      </c>
      <c r="AL397" s="22">
        <f t="shared" si="96"/>
        <v>3.3305215541831416E-3</v>
      </c>
      <c r="AM397" s="22">
        <f t="shared" si="96"/>
        <v>3.3264711899118095E-3</v>
      </c>
      <c r="AN397" s="22">
        <f t="shared" si="96"/>
        <v>3.3224208256404765E-3</v>
      </c>
      <c r="AO397" s="22">
        <f t="shared" si="96"/>
        <v>3.3183704613691458E-3</v>
      </c>
      <c r="AP397" s="22">
        <f t="shared" si="96"/>
        <v>3.3143200970978137E-3</v>
      </c>
      <c r="AQ397" s="22">
        <f t="shared" si="96"/>
        <v>3.3102697328264833E-3</v>
      </c>
      <c r="AR397" s="22">
        <f t="shared" si="96"/>
        <v>3.3062193685551499E-3</v>
      </c>
      <c r="AS397" s="22">
        <f t="shared" si="96"/>
        <v>3.3021690042838187E-3</v>
      </c>
      <c r="AT397" s="22">
        <f t="shared" si="96"/>
        <v>3.2981186400124866E-3</v>
      </c>
      <c r="AU397" s="22">
        <f t="shared" si="96"/>
        <v>3.2940682757411541E-3</v>
      </c>
      <c r="AV397" s="22">
        <f t="shared" si="96"/>
        <v>3.2900179114698229E-3</v>
      </c>
      <c r="AW397" s="22">
        <f t="shared" si="96"/>
        <v>3.2859675471984908E-3</v>
      </c>
      <c r="AY397" s="79"/>
    </row>
    <row r="398" spans="1:51" x14ac:dyDescent="0.3">
      <c r="A398" s="95" t="str">
        <f t="shared" si="93"/>
        <v>GS FSOM</v>
      </c>
      <c r="B398" s="95" t="s">
        <v>1021</v>
      </c>
      <c r="C398" s="95" t="s">
        <v>60</v>
      </c>
      <c r="D398" t="s">
        <v>369</v>
      </c>
      <c r="E398" t="s">
        <v>55</v>
      </c>
      <c r="F398" t="s">
        <v>60</v>
      </c>
      <c r="G398" t="s">
        <v>1272</v>
      </c>
      <c r="H398" t="s">
        <v>1273</v>
      </c>
      <c r="J398" t="s">
        <v>287</v>
      </c>
      <c r="K398" s="22">
        <f t="shared" si="90"/>
        <v>0.49020960547040615</v>
      </c>
      <c r="L398" s="22">
        <f t="shared" si="96"/>
        <v>0.49134551154341793</v>
      </c>
      <c r="M398" s="22">
        <f t="shared" si="96"/>
        <v>0.49248141761642988</v>
      </c>
      <c r="N398" s="22">
        <f t="shared" si="96"/>
        <v>0.49361732368944172</v>
      </c>
      <c r="O398" s="22">
        <f t="shared" si="96"/>
        <v>0.49475322976245356</v>
      </c>
      <c r="P398" s="22">
        <f t="shared" si="96"/>
        <v>0.49588913583546534</v>
      </c>
      <c r="Q398" s="22">
        <f t="shared" si="96"/>
        <v>0.49702504190847724</v>
      </c>
      <c r="R398" s="22">
        <f t="shared" si="96"/>
        <v>0.49816094798148913</v>
      </c>
      <c r="S398" s="22">
        <f t="shared" si="96"/>
        <v>0.49929685405450086</v>
      </c>
      <c r="T398" s="22">
        <f t="shared" si="96"/>
        <v>0.50043276012751292</v>
      </c>
      <c r="U398" s="22">
        <f t="shared" si="96"/>
        <v>0.50156866620052454</v>
      </c>
      <c r="V398" s="22">
        <f t="shared" si="96"/>
        <v>0.50270457227353649</v>
      </c>
      <c r="W398" s="22">
        <f t="shared" si="96"/>
        <v>0.50384047834654833</v>
      </c>
      <c r="X398" s="22">
        <f t="shared" si="96"/>
        <v>0.50497638441956039</v>
      </c>
      <c r="Y398" s="22">
        <f t="shared" si="96"/>
        <v>0.506112290492572</v>
      </c>
      <c r="Z398" s="22">
        <f t="shared" si="96"/>
        <v>0.50724819656558406</v>
      </c>
      <c r="AA398" s="22">
        <f t="shared" si="96"/>
        <v>0.50838410263859568</v>
      </c>
      <c r="AB398" s="22">
        <f t="shared" si="96"/>
        <v>0.50952000871160763</v>
      </c>
      <c r="AC398" s="22">
        <f t="shared" si="96"/>
        <v>0.51065591478461958</v>
      </c>
      <c r="AD398" s="22">
        <f t="shared" si="96"/>
        <v>0.51179182085763142</v>
      </c>
      <c r="AE398" s="22">
        <f t="shared" si="96"/>
        <v>0.51292772693064326</v>
      </c>
      <c r="AF398" s="22">
        <f t="shared" si="96"/>
        <v>0.5140636330036551</v>
      </c>
      <c r="AG398" s="22">
        <f t="shared" si="96"/>
        <v>0.51519953907666705</v>
      </c>
      <c r="AH398" s="22">
        <f t="shared" si="96"/>
        <v>0.51633544514967877</v>
      </c>
      <c r="AI398" s="22">
        <f t="shared" si="96"/>
        <v>0.51747135122269072</v>
      </c>
      <c r="AJ398" s="22">
        <f t="shared" si="96"/>
        <v>0.51860725729570256</v>
      </c>
      <c r="AK398" s="22">
        <f t="shared" si="96"/>
        <v>0.5197431633687144</v>
      </c>
      <c r="AL398" s="22">
        <f t="shared" si="96"/>
        <v>0.52087906944172624</v>
      </c>
      <c r="AM398" s="22">
        <f t="shared" si="96"/>
        <v>0.52201497551473808</v>
      </c>
      <c r="AN398" s="22">
        <f t="shared" si="96"/>
        <v>0.52315088158774992</v>
      </c>
      <c r="AO398" s="22">
        <f t="shared" si="96"/>
        <v>0.52428678766076187</v>
      </c>
      <c r="AP398" s="22">
        <f t="shared" si="96"/>
        <v>0.52542269373377359</v>
      </c>
      <c r="AQ398" s="22">
        <f t="shared" si="96"/>
        <v>0.52655859980678543</v>
      </c>
      <c r="AR398" s="22">
        <f t="shared" si="96"/>
        <v>0.52769450587979749</v>
      </c>
      <c r="AS398" s="22">
        <f t="shared" si="96"/>
        <v>0.52883041195280922</v>
      </c>
      <c r="AT398" s="22">
        <f t="shared" si="96"/>
        <v>0.52996631802582106</v>
      </c>
      <c r="AU398" s="22">
        <f t="shared" si="96"/>
        <v>0.53110222409883301</v>
      </c>
      <c r="AV398" s="22">
        <f t="shared" si="96"/>
        <v>0.53223813017184474</v>
      </c>
      <c r="AW398" s="22">
        <f t="shared" si="96"/>
        <v>0.5333740362448568</v>
      </c>
      <c r="AY398" s="79"/>
    </row>
    <row r="399" spans="1:51" x14ac:dyDescent="0.3">
      <c r="A399" s="95" t="str">
        <f t="shared" si="93"/>
        <v>GS FSOM</v>
      </c>
      <c r="B399" s="95" t="s">
        <v>1021</v>
      </c>
      <c r="C399" s="95" t="s">
        <v>60</v>
      </c>
      <c r="D399" t="s">
        <v>369</v>
      </c>
      <c r="E399" t="s">
        <v>55</v>
      </c>
      <c r="F399" t="s">
        <v>60</v>
      </c>
      <c r="G399" t="s">
        <v>1274</v>
      </c>
      <c r="H399" t="s">
        <v>1275</v>
      </c>
      <c r="J399" t="s">
        <v>287</v>
      </c>
      <c r="K399" s="22">
        <f t="shared" si="90"/>
        <v>0.57597220909378744</v>
      </c>
      <c r="L399" s="22">
        <f t="shared" si="96"/>
        <v>0.57597220909378744</v>
      </c>
      <c r="M399" s="22">
        <f t="shared" si="96"/>
        <v>0.57597220909378744</v>
      </c>
      <c r="N399" s="22">
        <f t="shared" si="96"/>
        <v>0.57597220909378744</v>
      </c>
      <c r="O399" s="22">
        <f t="shared" si="96"/>
        <v>0.57597220909378744</v>
      </c>
      <c r="P399" s="22">
        <f t="shared" si="96"/>
        <v>0.57597220909378744</v>
      </c>
      <c r="Q399" s="22">
        <f t="shared" si="96"/>
        <v>0.57597220909378744</v>
      </c>
      <c r="R399" s="22">
        <f t="shared" si="96"/>
        <v>0.57597220909378744</v>
      </c>
      <c r="S399" s="22">
        <f t="shared" si="96"/>
        <v>0.57597220909378744</v>
      </c>
      <c r="T399" s="22">
        <f t="shared" si="96"/>
        <v>0.57597220909378744</v>
      </c>
      <c r="U399" s="22">
        <f t="shared" si="96"/>
        <v>0.57597220909378744</v>
      </c>
      <c r="V399" s="22">
        <f t="shared" si="96"/>
        <v>0.57597220909378744</v>
      </c>
      <c r="W399" s="22">
        <f t="shared" si="96"/>
        <v>0.57597220909378744</v>
      </c>
      <c r="X399" s="22">
        <f t="shared" si="96"/>
        <v>0.57597220909378744</v>
      </c>
      <c r="Y399" s="22">
        <f t="shared" si="96"/>
        <v>0.57597220909378744</v>
      </c>
      <c r="Z399" s="22">
        <f t="shared" si="96"/>
        <v>0.57597220909378744</v>
      </c>
      <c r="AA399" s="22">
        <f t="shared" si="96"/>
        <v>0.57597220909378744</v>
      </c>
      <c r="AB399" s="22">
        <f t="shared" si="96"/>
        <v>0.57597220909378744</v>
      </c>
      <c r="AC399" s="22">
        <f t="shared" si="96"/>
        <v>0.57597220909378744</v>
      </c>
      <c r="AD399" s="22">
        <f t="shared" si="96"/>
        <v>0.57597220909378744</v>
      </c>
      <c r="AE399" s="22">
        <f t="shared" si="96"/>
        <v>0.57597220909378744</v>
      </c>
      <c r="AF399" s="22">
        <f t="shared" si="96"/>
        <v>0.57597220909378744</v>
      </c>
      <c r="AG399" s="22">
        <f t="shared" si="96"/>
        <v>0.57597220909378744</v>
      </c>
      <c r="AH399" s="22">
        <f t="shared" si="96"/>
        <v>0.57597220909378744</v>
      </c>
      <c r="AI399" s="22">
        <f t="shared" si="96"/>
        <v>0.57597220909378744</v>
      </c>
      <c r="AJ399" s="22">
        <f t="shared" si="96"/>
        <v>0.57597220909378744</v>
      </c>
      <c r="AK399" s="22">
        <f t="shared" si="96"/>
        <v>0.57597220909378744</v>
      </c>
      <c r="AL399" s="22">
        <f t="shared" si="96"/>
        <v>0.57597220909378744</v>
      </c>
      <c r="AM399" s="22">
        <f t="shared" si="96"/>
        <v>0.57597220909378744</v>
      </c>
      <c r="AN399" s="22">
        <f t="shared" si="96"/>
        <v>0.57597220909378744</v>
      </c>
      <c r="AO399" s="22">
        <f t="shared" si="96"/>
        <v>0.57597220909378744</v>
      </c>
      <c r="AP399" s="22">
        <f t="shared" si="96"/>
        <v>0.57597220909378744</v>
      </c>
      <c r="AQ399" s="22">
        <f t="shared" si="96"/>
        <v>0.57597220909378744</v>
      </c>
      <c r="AR399" s="22">
        <f t="shared" si="96"/>
        <v>0.57597220909378744</v>
      </c>
      <c r="AS399" s="22">
        <f t="shared" si="96"/>
        <v>0.57597220909378744</v>
      </c>
      <c r="AT399" s="22">
        <f t="shared" si="96"/>
        <v>0.57597220909378744</v>
      </c>
      <c r="AU399" s="22">
        <f t="shared" si="96"/>
        <v>0.57597220909378744</v>
      </c>
      <c r="AV399" s="22">
        <f t="shared" si="96"/>
        <v>0.57597220909378744</v>
      </c>
      <c r="AW399" s="22">
        <f t="shared" si="96"/>
        <v>0.57597220909378744</v>
      </c>
      <c r="AY399" s="79"/>
    </row>
    <row r="400" spans="1:51" x14ac:dyDescent="0.3">
      <c r="A400" s="95" t="str">
        <f t="shared" si="93"/>
        <v>GS FSOM</v>
      </c>
      <c r="B400" s="95" t="s">
        <v>1021</v>
      </c>
      <c r="C400" s="95" t="s">
        <v>60</v>
      </c>
      <c r="D400" t="s">
        <v>369</v>
      </c>
      <c r="E400" t="s">
        <v>55</v>
      </c>
      <c r="F400" t="s">
        <v>60</v>
      </c>
      <c r="G400" t="s">
        <v>1276</v>
      </c>
      <c r="H400" t="s">
        <v>1277</v>
      </c>
      <c r="J400" t="s">
        <v>287</v>
      </c>
      <c r="K400" s="22" t="str">
        <f t="shared" si="90"/>
        <v>NO</v>
      </c>
      <c r="L400" s="22" t="str">
        <f t="shared" si="96"/>
        <v>NO</v>
      </c>
      <c r="M400" s="22" t="str">
        <f t="shared" si="96"/>
        <v>NO</v>
      </c>
      <c r="N400" s="22" t="str">
        <f t="shared" si="96"/>
        <v>NO</v>
      </c>
      <c r="O400" s="22" t="str">
        <f t="shared" si="96"/>
        <v>NO</v>
      </c>
      <c r="P400" s="22" t="str">
        <f t="shared" si="96"/>
        <v>NO</v>
      </c>
      <c r="Q400" s="22" t="str">
        <f t="shared" si="96"/>
        <v>NO</v>
      </c>
      <c r="R400" s="22" t="str">
        <f t="shared" si="96"/>
        <v>NO</v>
      </c>
      <c r="S400" s="22" t="str">
        <f t="shared" si="96"/>
        <v>NO</v>
      </c>
      <c r="T400" s="22" t="str">
        <f t="shared" si="96"/>
        <v>NO</v>
      </c>
      <c r="U400" s="22" t="str">
        <f t="shared" si="96"/>
        <v>NO</v>
      </c>
      <c r="V400" s="22" t="str">
        <f t="shared" si="96"/>
        <v>NO</v>
      </c>
      <c r="W400" s="22" t="str">
        <f t="shared" si="96"/>
        <v>NO</v>
      </c>
      <c r="X400" s="22" t="str">
        <f t="shared" si="96"/>
        <v>NO</v>
      </c>
      <c r="Y400" s="22" t="str">
        <f t="shared" si="96"/>
        <v>NO</v>
      </c>
      <c r="Z400" s="22" t="str">
        <f t="shared" si="96"/>
        <v>NO</v>
      </c>
      <c r="AA400" s="22" t="str">
        <f t="shared" si="96"/>
        <v>NO</v>
      </c>
      <c r="AB400" s="22" t="str">
        <f t="shared" si="96"/>
        <v>NO</v>
      </c>
      <c r="AC400" s="22" t="str">
        <f t="shared" si="96"/>
        <v>NO</v>
      </c>
      <c r="AD400" s="22" t="str">
        <f t="shared" si="96"/>
        <v>NO</v>
      </c>
      <c r="AE400" s="22" t="str">
        <f t="shared" si="96"/>
        <v>NO</v>
      </c>
      <c r="AF400" s="22" t="str">
        <f t="shared" si="96"/>
        <v>NO</v>
      </c>
      <c r="AG400" s="22" t="str">
        <f t="shared" si="96"/>
        <v>NO</v>
      </c>
      <c r="AH400" s="22" t="str">
        <f t="shared" si="96"/>
        <v>NO</v>
      </c>
      <c r="AI400" s="22" t="str">
        <f t="shared" si="96"/>
        <v>NO</v>
      </c>
      <c r="AJ400" s="22" t="str">
        <f t="shared" si="96"/>
        <v>NO</v>
      </c>
      <c r="AK400" s="22" t="str">
        <f t="shared" ref="L400:AW407" si="97">AK1503</f>
        <v>NO</v>
      </c>
      <c r="AL400" s="22" t="str">
        <f t="shared" si="97"/>
        <v>NO</v>
      </c>
      <c r="AM400" s="22" t="str">
        <f t="shared" si="97"/>
        <v>NO</v>
      </c>
      <c r="AN400" s="22" t="str">
        <f t="shared" si="97"/>
        <v>NO</v>
      </c>
      <c r="AO400" s="22" t="str">
        <f t="shared" si="97"/>
        <v>NO</v>
      </c>
      <c r="AP400" s="22" t="str">
        <f t="shared" si="97"/>
        <v>NO</v>
      </c>
      <c r="AQ400" s="22" t="str">
        <f t="shared" si="97"/>
        <v>NO</v>
      </c>
      <c r="AR400" s="22" t="str">
        <f t="shared" si="97"/>
        <v>NO</v>
      </c>
      <c r="AS400" s="22" t="str">
        <f t="shared" si="97"/>
        <v>NO</v>
      </c>
      <c r="AT400" s="22" t="str">
        <f t="shared" si="97"/>
        <v>NO</v>
      </c>
      <c r="AU400" s="22" t="str">
        <f t="shared" si="97"/>
        <v>NO</v>
      </c>
      <c r="AV400" s="22" t="str">
        <f t="shared" si="97"/>
        <v>NO</v>
      </c>
      <c r="AW400" s="22" t="str">
        <f t="shared" si="97"/>
        <v>NO</v>
      </c>
      <c r="AY400" s="79"/>
    </row>
    <row r="401" spans="1:51" x14ac:dyDescent="0.3">
      <c r="A401" s="95" t="str">
        <f t="shared" si="93"/>
        <v>GS FSOM</v>
      </c>
      <c r="B401" s="95" t="s">
        <v>1021</v>
      </c>
      <c r="C401" s="95" t="s">
        <v>60</v>
      </c>
      <c r="D401" t="s">
        <v>369</v>
      </c>
      <c r="E401" t="s">
        <v>55</v>
      </c>
      <c r="F401" t="s">
        <v>60</v>
      </c>
      <c r="G401" t="s">
        <v>1278</v>
      </c>
      <c r="H401" t="s">
        <v>1279</v>
      </c>
      <c r="J401" t="s">
        <v>287</v>
      </c>
      <c r="K401" s="22" t="str">
        <f t="shared" si="90"/>
        <v>NO</v>
      </c>
      <c r="L401" s="22" t="str">
        <f t="shared" si="97"/>
        <v>NO</v>
      </c>
      <c r="M401" s="22" t="str">
        <f t="shared" si="97"/>
        <v>NO</v>
      </c>
      <c r="N401" s="22" t="str">
        <f t="shared" si="97"/>
        <v>NO</v>
      </c>
      <c r="O401" s="22" t="str">
        <f t="shared" si="97"/>
        <v>NO</v>
      </c>
      <c r="P401" s="22" t="str">
        <f t="shared" si="97"/>
        <v>NO</v>
      </c>
      <c r="Q401" s="22" t="str">
        <f t="shared" si="97"/>
        <v>NO</v>
      </c>
      <c r="R401" s="22" t="str">
        <f t="shared" si="97"/>
        <v>NO</v>
      </c>
      <c r="S401" s="22" t="str">
        <f t="shared" si="97"/>
        <v>NO</v>
      </c>
      <c r="T401" s="22" t="str">
        <f t="shared" si="97"/>
        <v>NO</v>
      </c>
      <c r="U401" s="22" t="str">
        <f t="shared" si="97"/>
        <v>NO</v>
      </c>
      <c r="V401" s="22" t="str">
        <f t="shared" si="97"/>
        <v>NO</v>
      </c>
      <c r="W401" s="22" t="str">
        <f t="shared" si="97"/>
        <v>NO</v>
      </c>
      <c r="X401" s="22" t="str">
        <f t="shared" si="97"/>
        <v>NO</v>
      </c>
      <c r="Y401" s="22" t="str">
        <f t="shared" si="97"/>
        <v>NO</v>
      </c>
      <c r="Z401" s="22" t="str">
        <f t="shared" si="97"/>
        <v>NO</v>
      </c>
      <c r="AA401" s="22" t="str">
        <f t="shared" si="97"/>
        <v>NO</v>
      </c>
      <c r="AB401" s="22" t="str">
        <f t="shared" si="97"/>
        <v>NO</v>
      </c>
      <c r="AC401" s="22" t="str">
        <f t="shared" si="97"/>
        <v>NO</v>
      </c>
      <c r="AD401" s="22" t="str">
        <f t="shared" si="97"/>
        <v>NO</v>
      </c>
      <c r="AE401" s="22" t="str">
        <f t="shared" si="97"/>
        <v>NO</v>
      </c>
      <c r="AF401" s="22" t="str">
        <f t="shared" si="97"/>
        <v>NO</v>
      </c>
      <c r="AG401" s="22" t="str">
        <f t="shared" si="97"/>
        <v>NO</v>
      </c>
      <c r="AH401" s="22" t="str">
        <f t="shared" si="97"/>
        <v>NO</v>
      </c>
      <c r="AI401" s="22" t="str">
        <f t="shared" si="97"/>
        <v>NO</v>
      </c>
      <c r="AJ401" s="22" t="str">
        <f t="shared" si="97"/>
        <v>NO</v>
      </c>
      <c r="AK401" s="22" t="str">
        <f t="shared" si="97"/>
        <v>NO</v>
      </c>
      <c r="AL401" s="22" t="str">
        <f t="shared" si="97"/>
        <v>NO</v>
      </c>
      <c r="AM401" s="22" t="str">
        <f t="shared" si="97"/>
        <v>NO</v>
      </c>
      <c r="AN401" s="22" t="str">
        <f t="shared" si="97"/>
        <v>NO</v>
      </c>
      <c r="AO401" s="22" t="str">
        <f t="shared" si="97"/>
        <v>NO</v>
      </c>
      <c r="AP401" s="22" t="str">
        <f t="shared" si="97"/>
        <v>NO</v>
      </c>
      <c r="AQ401" s="22" t="str">
        <f t="shared" si="97"/>
        <v>NO</v>
      </c>
      <c r="AR401" s="22" t="str">
        <f t="shared" si="97"/>
        <v>NO</v>
      </c>
      <c r="AS401" s="22" t="str">
        <f t="shared" si="97"/>
        <v>NO</v>
      </c>
      <c r="AT401" s="22" t="str">
        <f t="shared" si="97"/>
        <v>NO</v>
      </c>
      <c r="AU401" s="22" t="str">
        <f t="shared" si="97"/>
        <v>NO</v>
      </c>
      <c r="AV401" s="22" t="str">
        <f t="shared" si="97"/>
        <v>NO</v>
      </c>
      <c r="AW401" s="22" t="str">
        <f t="shared" si="97"/>
        <v>NO</v>
      </c>
      <c r="AY401" s="79"/>
    </row>
    <row r="402" spans="1:51" x14ac:dyDescent="0.3">
      <c r="A402" s="95" t="str">
        <f t="shared" si="93"/>
        <v>GS FSOM</v>
      </c>
      <c r="B402" s="95" t="s">
        <v>1021</v>
      </c>
      <c r="C402" s="95" t="s">
        <v>60</v>
      </c>
      <c r="D402" t="s">
        <v>369</v>
      </c>
      <c r="E402" t="s">
        <v>55</v>
      </c>
      <c r="F402" t="s">
        <v>60</v>
      </c>
      <c r="G402" t="s">
        <v>1280</v>
      </c>
      <c r="H402" t="s">
        <v>1281</v>
      </c>
      <c r="J402" t="s">
        <v>287</v>
      </c>
      <c r="K402" s="22" t="str">
        <f t="shared" si="90"/>
        <v>NO</v>
      </c>
      <c r="L402" s="22" t="str">
        <f t="shared" si="97"/>
        <v>NO</v>
      </c>
      <c r="M402" s="22" t="str">
        <f t="shared" si="97"/>
        <v>NO</v>
      </c>
      <c r="N402" s="22" t="str">
        <f t="shared" si="97"/>
        <v>NO</v>
      </c>
      <c r="O402" s="22" t="str">
        <f t="shared" si="97"/>
        <v>NO</v>
      </c>
      <c r="P402" s="22" t="str">
        <f t="shared" si="97"/>
        <v>NO</v>
      </c>
      <c r="Q402" s="22" t="str">
        <f t="shared" si="97"/>
        <v>NO</v>
      </c>
      <c r="R402" s="22" t="str">
        <f t="shared" si="97"/>
        <v>NO</v>
      </c>
      <c r="S402" s="22" t="str">
        <f t="shared" si="97"/>
        <v>NO</v>
      </c>
      <c r="T402" s="22" t="str">
        <f t="shared" si="97"/>
        <v>NO</v>
      </c>
      <c r="U402" s="22" t="str">
        <f t="shared" si="97"/>
        <v>NO</v>
      </c>
      <c r="V402" s="22" t="str">
        <f t="shared" si="97"/>
        <v>NO</v>
      </c>
      <c r="W402" s="22" t="str">
        <f t="shared" si="97"/>
        <v>NO</v>
      </c>
      <c r="X402" s="22" t="str">
        <f t="shared" si="97"/>
        <v>NO</v>
      </c>
      <c r="Y402" s="22" t="str">
        <f t="shared" si="97"/>
        <v>NO</v>
      </c>
      <c r="Z402" s="22" t="str">
        <f t="shared" si="97"/>
        <v>NO</v>
      </c>
      <c r="AA402" s="22" t="str">
        <f t="shared" si="97"/>
        <v>NO</v>
      </c>
      <c r="AB402" s="22" t="str">
        <f t="shared" si="97"/>
        <v>NO</v>
      </c>
      <c r="AC402" s="22" t="str">
        <f t="shared" si="97"/>
        <v>NO</v>
      </c>
      <c r="AD402" s="22" t="str">
        <f t="shared" si="97"/>
        <v>NO</v>
      </c>
      <c r="AE402" s="22" t="str">
        <f t="shared" si="97"/>
        <v>NO</v>
      </c>
      <c r="AF402" s="22" t="str">
        <f t="shared" si="97"/>
        <v>NO</v>
      </c>
      <c r="AG402" s="22" t="str">
        <f t="shared" si="97"/>
        <v>NO</v>
      </c>
      <c r="AH402" s="22" t="str">
        <f t="shared" si="97"/>
        <v>NO</v>
      </c>
      <c r="AI402" s="22" t="str">
        <f t="shared" si="97"/>
        <v>NO</v>
      </c>
      <c r="AJ402" s="22" t="str">
        <f t="shared" si="97"/>
        <v>NO</v>
      </c>
      <c r="AK402" s="22" t="str">
        <f t="shared" si="97"/>
        <v>NO</v>
      </c>
      <c r="AL402" s="22" t="str">
        <f t="shared" si="97"/>
        <v>NO</v>
      </c>
      <c r="AM402" s="22" t="str">
        <f t="shared" si="97"/>
        <v>NO</v>
      </c>
      <c r="AN402" s="22" t="str">
        <f t="shared" si="97"/>
        <v>NO</v>
      </c>
      <c r="AO402" s="22" t="str">
        <f t="shared" si="97"/>
        <v>NO</v>
      </c>
      <c r="AP402" s="22" t="str">
        <f t="shared" si="97"/>
        <v>NO</v>
      </c>
      <c r="AQ402" s="22" t="str">
        <f t="shared" si="97"/>
        <v>NO</v>
      </c>
      <c r="AR402" s="22" t="str">
        <f t="shared" si="97"/>
        <v>NO</v>
      </c>
      <c r="AS402" s="22" t="str">
        <f t="shared" si="97"/>
        <v>NO</v>
      </c>
      <c r="AT402" s="22" t="str">
        <f t="shared" si="97"/>
        <v>NO</v>
      </c>
      <c r="AU402" s="22" t="str">
        <f t="shared" si="97"/>
        <v>NO</v>
      </c>
      <c r="AV402" s="22" t="str">
        <f t="shared" si="97"/>
        <v>NO</v>
      </c>
      <c r="AW402" s="22" t="str">
        <f t="shared" si="97"/>
        <v>NO</v>
      </c>
      <c r="AY402" s="79"/>
    </row>
    <row r="403" spans="1:51" x14ac:dyDescent="0.3">
      <c r="A403" s="95" t="str">
        <f t="shared" si="93"/>
        <v>GS FSOM</v>
      </c>
      <c r="B403" s="95" t="s">
        <v>1021</v>
      </c>
      <c r="C403" s="95" t="s">
        <v>60</v>
      </c>
      <c r="D403" t="s">
        <v>369</v>
      </c>
      <c r="E403" t="s">
        <v>55</v>
      </c>
      <c r="F403" t="s">
        <v>60</v>
      </c>
      <c r="G403" t="s">
        <v>1282</v>
      </c>
      <c r="H403" t="s">
        <v>1283</v>
      </c>
      <c r="J403" t="s">
        <v>287</v>
      </c>
      <c r="K403" s="22">
        <f t="shared" si="90"/>
        <v>5.604018730639919E-5</v>
      </c>
      <c r="L403" s="22">
        <f t="shared" si="97"/>
        <v>5.604018730639919E-5</v>
      </c>
      <c r="M403" s="22">
        <f t="shared" si="97"/>
        <v>5.604018730639919E-5</v>
      </c>
      <c r="N403" s="22">
        <f t="shared" si="97"/>
        <v>5.604018730639919E-5</v>
      </c>
      <c r="O403" s="22">
        <f t="shared" si="97"/>
        <v>5.604018730639919E-5</v>
      </c>
      <c r="P403" s="22">
        <f t="shared" si="97"/>
        <v>5.604018730639919E-5</v>
      </c>
      <c r="Q403" s="22">
        <f t="shared" si="97"/>
        <v>5.604018730639919E-5</v>
      </c>
      <c r="R403" s="22">
        <f t="shared" si="97"/>
        <v>5.604018730639919E-5</v>
      </c>
      <c r="S403" s="22">
        <f t="shared" si="97"/>
        <v>5.604018730639919E-5</v>
      </c>
      <c r="T403" s="22">
        <f t="shared" si="97"/>
        <v>5.604018730639919E-5</v>
      </c>
      <c r="U403" s="22">
        <f t="shared" si="97"/>
        <v>5.604018730639919E-5</v>
      </c>
      <c r="V403" s="22">
        <f t="shared" si="97"/>
        <v>5.604018730639919E-5</v>
      </c>
      <c r="W403" s="22">
        <f t="shared" si="97"/>
        <v>5.604018730639919E-5</v>
      </c>
      <c r="X403" s="22">
        <f t="shared" si="97"/>
        <v>5.604018730639919E-5</v>
      </c>
      <c r="Y403" s="22">
        <f t="shared" si="97"/>
        <v>5.604018730639919E-5</v>
      </c>
      <c r="Z403" s="22">
        <f t="shared" si="97"/>
        <v>5.604018730639919E-5</v>
      </c>
      <c r="AA403" s="22">
        <f t="shared" si="97"/>
        <v>5.604018730639919E-5</v>
      </c>
      <c r="AB403" s="22">
        <f t="shared" si="97"/>
        <v>5.604018730639919E-5</v>
      </c>
      <c r="AC403" s="22">
        <f t="shared" si="97"/>
        <v>5.604018730639919E-5</v>
      </c>
      <c r="AD403" s="22">
        <f t="shared" si="97"/>
        <v>5.604018730639919E-5</v>
      </c>
      <c r="AE403" s="22">
        <f t="shared" si="97"/>
        <v>5.604018730639919E-5</v>
      </c>
      <c r="AF403" s="22">
        <f t="shared" si="97"/>
        <v>5.604018730639919E-5</v>
      </c>
      <c r="AG403" s="22">
        <f t="shared" si="97"/>
        <v>5.604018730639919E-5</v>
      </c>
      <c r="AH403" s="22">
        <f t="shared" si="97"/>
        <v>5.604018730639919E-5</v>
      </c>
      <c r="AI403" s="22">
        <f t="shared" si="97"/>
        <v>5.604018730639919E-5</v>
      </c>
      <c r="AJ403" s="22">
        <f t="shared" si="97"/>
        <v>5.604018730639919E-5</v>
      </c>
      <c r="AK403" s="22">
        <f t="shared" si="97"/>
        <v>5.604018730639919E-5</v>
      </c>
      <c r="AL403" s="22">
        <f t="shared" si="97"/>
        <v>5.604018730639919E-5</v>
      </c>
      <c r="AM403" s="22">
        <f t="shared" si="97"/>
        <v>5.604018730639919E-5</v>
      </c>
      <c r="AN403" s="22">
        <f t="shared" si="97"/>
        <v>5.604018730639919E-5</v>
      </c>
      <c r="AO403" s="22">
        <f t="shared" si="97"/>
        <v>5.604018730639919E-5</v>
      </c>
      <c r="AP403" s="22">
        <f t="shared" si="97"/>
        <v>5.604018730639919E-5</v>
      </c>
      <c r="AQ403" s="22">
        <f t="shared" si="97"/>
        <v>5.604018730639919E-5</v>
      </c>
      <c r="AR403" s="22">
        <f t="shared" si="97"/>
        <v>5.604018730639919E-5</v>
      </c>
      <c r="AS403" s="22">
        <f t="shared" si="97"/>
        <v>5.604018730639919E-5</v>
      </c>
      <c r="AT403" s="22">
        <f t="shared" si="97"/>
        <v>5.604018730639919E-5</v>
      </c>
      <c r="AU403" s="22">
        <f t="shared" si="97"/>
        <v>5.604018730639919E-5</v>
      </c>
      <c r="AV403" s="22">
        <f t="shared" si="97"/>
        <v>5.604018730639919E-5</v>
      </c>
      <c r="AW403" s="22">
        <f t="shared" si="97"/>
        <v>5.604018730639919E-5</v>
      </c>
      <c r="AY403" s="79"/>
    </row>
    <row r="404" spans="1:51" x14ac:dyDescent="0.3">
      <c r="A404" s="95" t="str">
        <f t="shared" si="93"/>
        <v>GS FSOM</v>
      </c>
      <c r="B404" s="95" t="s">
        <v>1021</v>
      </c>
      <c r="C404" s="95" t="s">
        <v>60</v>
      </c>
      <c r="D404" t="s">
        <v>369</v>
      </c>
      <c r="E404" t="s">
        <v>55</v>
      </c>
      <c r="F404" t="s">
        <v>60</v>
      </c>
      <c r="G404" t="s">
        <v>1284</v>
      </c>
      <c r="H404" t="s">
        <v>1285</v>
      </c>
      <c r="J404" t="s">
        <v>287</v>
      </c>
      <c r="K404" s="22">
        <f t="shared" si="90"/>
        <v>6.110857899094551E-2</v>
      </c>
      <c r="L404" s="22">
        <f t="shared" si="97"/>
        <v>6.110857899094551E-2</v>
      </c>
      <c r="M404" s="22">
        <f t="shared" si="97"/>
        <v>6.110857899094551E-2</v>
      </c>
      <c r="N404" s="22">
        <f t="shared" si="97"/>
        <v>6.110857899094551E-2</v>
      </c>
      <c r="O404" s="22">
        <f t="shared" si="97"/>
        <v>6.110857899094551E-2</v>
      </c>
      <c r="P404" s="22">
        <f t="shared" si="97"/>
        <v>6.110857899094551E-2</v>
      </c>
      <c r="Q404" s="22">
        <f t="shared" si="97"/>
        <v>6.110857899094551E-2</v>
      </c>
      <c r="R404" s="22">
        <f t="shared" si="97"/>
        <v>6.110857899094551E-2</v>
      </c>
      <c r="S404" s="22">
        <f t="shared" si="97"/>
        <v>6.110857899094551E-2</v>
      </c>
      <c r="T404" s="22">
        <f t="shared" si="97"/>
        <v>6.110857899094551E-2</v>
      </c>
      <c r="U404" s="22">
        <f t="shared" si="97"/>
        <v>6.110857899094551E-2</v>
      </c>
      <c r="V404" s="22">
        <f t="shared" si="97"/>
        <v>6.110857899094551E-2</v>
      </c>
      <c r="W404" s="22">
        <f t="shared" si="97"/>
        <v>6.110857899094551E-2</v>
      </c>
      <c r="X404" s="22">
        <f t="shared" si="97"/>
        <v>6.110857899094551E-2</v>
      </c>
      <c r="Y404" s="22">
        <f t="shared" si="97"/>
        <v>6.110857899094551E-2</v>
      </c>
      <c r="Z404" s="22">
        <f t="shared" si="97"/>
        <v>6.110857899094551E-2</v>
      </c>
      <c r="AA404" s="22">
        <f t="shared" si="97"/>
        <v>6.110857899094551E-2</v>
      </c>
      <c r="AB404" s="22">
        <f t="shared" si="97"/>
        <v>6.110857899094551E-2</v>
      </c>
      <c r="AC404" s="22">
        <f t="shared" si="97"/>
        <v>6.110857899094551E-2</v>
      </c>
      <c r="AD404" s="22">
        <f t="shared" si="97"/>
        <v>6.110857899094551E-2</v>
      </c>
      <c r="AE404" s="22">
        <f t="shared" si="97"/>
        <v>6.110857899094551E-2</v>
      </c>
      <c r="AF404" s="22">
        <f t="shared" si="97"/>
        <v>6.110857899094551E-2</v>
      </c>
      <c r="AG404" s="22">
        <f t="shared" si="97"/>
        <v>6.110857899094551E-2</v>
      </c>
      <c r="AH404" s="22">
        <f t="shared" si="97"/>
        <v>6.110857899094551E-2</v>
      </c>
      <c r="AI404" s="22">
        <f t="shared" si="97"/>
        <v>6.110857899094551E-2</v>
      </c>
      <c r="AJ404" s="22">
        <f t="shared" si="97"/>
        <v>6.110857899094551E-2</v>
      </c>
      <c r="AK404" s="22">
        <f t="shared" si="97"/>
        <v>6.110857899094551E-2</v>
      </c>
      <c r="AL404" s="22">
        <f t="shared" si="97"/>
        <v>6.110857899094551E-2</v>
      </c>
      <c r="AM404" s="22">
        <f t="shared" si="97"/>
        <v>6.110857899094551E-2</v>
      </c>
      <c r="AN404" s="22">
        <f t="shared" si="97"/>
        <v>6.110857899094551E-2</v>
      </c>
      <c r="AO404" s="22">
        <f t="shared" si="97"/>
        <v>6.110857899094551E-2</v>
      </c>
      <c r="AP404" s="22">
        <f t="shared" si="97"/>
        <v>6.110857899094551E-2</v>
      </c>
      <c r="AQ404" s="22">
        <f t="shared" si="97"/>
        <v>6.110857899094551E-2</v>
      </c>
      <c r="AR404" s="22">
        <f t="shared" si="97"/>
        <v>6.110857899094551E-2</v>
      </c>
      <c r="AS404" s="22">
        <f t="shared" si="97"/>
        <v>6.110857899094551E-2</v>
      </c>
      <c r="AT404" s="22">
        <f t="shared" si="97"/>
        <v>6.110857899094551E-2</v>
      </c>
      <c r="AU404" s="22">
        <f t="shared" si="97"/>
        <v>6.110857899094551E-2</v>
      </c>
      <c r="AV404" s="22">
        <f t="shared" si="97"/>
        <v>6.110857899094551E-2</v>
      </c>
      <c r="AW404" s="22">
        <f t="shared" si="97"/>
        <v>6.110857899094551E-2</v>
      </c>
      <c r="AY404" s="79"/>
    </row>
    <row r="405" spans="1:51" x14ac:dyDescent="0.3">
      <c r="A405" s="95" t="str">
        <f t="shared" si="93"/>
        <v>GS FSOM</v>
      </c>
      <c r="B405" s="95" t="s">
        <v>1021</v>
      </c>
      <c r="C405" s="95" t="s">
        <v>60</v>
      </c>
      <c r="D405" t="s">
        <v>369</v>
      </c>
      <c r="E405" t="s">
        <v>55</v>
      </c>
      <c r="F405" t="s">
        <v>60</v>
      </c>
      <c r="G405" t="s">
        <v>1286</v>
      </c>
      <c r="H405" t="s">
        <v>1287</v>
      </c>
      <c r="J405" t="s">
        <v>287</v>
      </c>
      <c r="K405" s="22" t="str">
        <f t="shared" si="90"/>
        <v>NO</v>
      </c>
      <c r="L405" s="22" t="str">
        <f t="shared" si="97"/>
        <v>NO</v>
      </c>
      <c r="M405" s="22" t="str">
        <f t="shared" si="97"/>
        <v>NO</v>
      </c>
      <c r="N405" s="22" t="str">
        <f t="shared" si="97"/>
        <v>NO</v>
      </c>
      <c r="O405" s="22" t="str">
        <f t="shared" si="97"/>
        <v>NO</v>
      </c>
      <c r="P405" s="22" t="str">
        <f t="shared" si="97"/>
        <v>NO</v>
      </c>
      <c r="Q405" s="22" t="str">
        <f t="shared" si="97"/>
        <v>NO</v>
      </c>
      <c r="R405" s="22" t="str">
        <f t="shared" si="97"/>
        <v>NO</v>
      </c>
      <c r="S405" s="22" t="str">
        <f t="shared" si="97"/>
        <v>NO</v>
      </c>
      <c r="T405" s="22" t="str">
        <f t="shared" si="97"/>
        <v>NO</v>
      </c>
      <c r="U405" s="22" t="str">
        <f t="shared" si="97"/>
        <v>NO</v>
      </c>
      <c r="V405" s="22" t="str">
        <f t="shared" si="97"/>
        <v>NO</v>
      </c>
      <c r="W405" s="22" t="str">
        <f t="shared" si="97"/>
        <v>NO</v>
      </c>
      <c r="X405" s="22" t="str">
        <f t="shared" si="97"/>
        <v>NO</v>
      </c>
      <c r="Y405" s="22" t="str">
        <f t="shared" si="97"/>
        <v>NO</v>
      </c>
      <c r="Z405" s="22" t="str">
        <f t="shared" si="97"/>
        <v>NO</v>
      </c>
      <c r="AA405" s="22" t="str">
        <f t="shared" si="97"/>
        <v>NO</v>
      </c>
      <c r="AB405" s="22" t="str">
        <f t="shared" si="97"/>
        <v>NO</v>
      </c>
      <c r="AC405" s="22" t="str">
        <f t="shared" si="97"/>
        <v>NO</v>
      </c>
      <c r="AD405" s="22" t="str">
        <f t="shared" si="97"/>
        <v>NO</v>
      </c>
      <c r="AE405" s="22" t="str">
        <f t="shared" si="97"/>
        <v>NO</v>
      </c>
      <c r="AF405" s="22" t="str">
        <f t="shared" si="97"/>
        <v>NO</v>
      </c>
      <c r="AG405" s="22" t="str">
        <f t="shared" si="97"/>
        <v>NO</v>
      </c>
      <c r="AH405" s="22" t="str">
        <f t="shared" si="97"/>
        <v>NO</v>
      </c>
      <c r="AI405" s="22" t="str">
        <f t="shared" si="97"/>
        <v>NO</v>
      </c>
      <c r="AJ405" s="22" t="str">
        <f t="shared" si="97"/>
        <v>NO</v>
      </c>
      <c r="AK405" s="22" t="str">
        <f t="shared" si="97"/>
        <v>NO</v>
      </c>
      <c r="AL405" s="22" t="str">
        <f t="shared" si="97"/>
        <v>NO</v>
      </c>
      <c r="AM405" s="22" t="str">
        <f t="shared" si="97"/>
        <v>NO</v>
      </c>
      <c r="AN405" s="22" t="str">
        <f t="shared" si="97"/>
        <v>NO</v>
      </c>
      <c r="AO405" s="22" t="str">
        <f t="shared" si="97"/>
        <v>NO</v>
      </c>
      <c r="AP405" s="22" t="str">
        <f t="shared" si="97"/>
        <v>NO</v>
      </c>
      <c r="AQ405" s="22" t="str">
        <f t="shared" si="97"/>
        <v>NO</v>
      </c>
      <c r="AR405" s="22" t="str">
        <f t="shared" si="97"/>
        <v>NO</v>
      </c>
      <c r="AS405" s="22" t="str">
        <f t="shared" si="97"/>
        <v>NO</v>
      </c>
      <c r="AT405" s="22" t="str">
        <f t="shared" si="97"/>
        <v>NO</v>
      </c>
      <c r="AU405" s="22" t="str">
        <f t="shared" si="97"/>
        <v>NO</v>
      </c>
      <c r="AV405" s="22" t="str">
        <f t="shared" si="97"/>
        <v>NO</v>
      </c>
      <c r="AW405" s="22" t="str">
        <f t="shared" si="97"/>
        <v>NO</v>
      </c>
      <c r="AY405" s="79"/>
    </row>
    <row r="406" spans="1:51" x14ac:dyDescent="0.3">
      <c r="A406" s="95" t="str">
        <f t="shared" si="93"/>
        <v>GS FSOM</v>
      </c>
      <c r="B406" s="95" t="s">
        <v>1021</v>
      </c>
      <c r="C406" s="95" t="s">
        <v>60</v>
      </c>
      <c r="D406" t="s">
        <v>369</v>
      </c>
      <c r="E406" t="s">
        <v>55</v>
      </c>
      <c r="F406" t="s">
        <v>60</v>
      </c>
      <c r="G406" t="s">
        <v>1288</v>
      </c>
      <c r="H406" t="s">
        <v>1289</v>
      </c>
      <c r="J406" t="s">
        <v>287</v>
      </c>
      <c r="K406" s="22">
        <f t="shared" si="90"/>
        <v>3.1961717215001131</v>
      </c>
      <c r="L406" s="22">
        <f t="shared" si="97"/>
        <v>3.1961717215001131</v>
      </c>
      <c r="M406" s="22">
        <f t="shared" si="97"/>
        <v>3.1961717215001131</v>
      </c>
      <c r="N406" s="22">
        <f t="shared" si="97"/>
        <v>3.1961717215001131</v>
      </c>
      <c r="O406" s="22">
        <f t="shared" si="97"/>
        <v>3.1961717215001131</v>
      </c>
      <c r="P406" s="22">
        <f t="shared" si="97"/>
        <v>3.1961717215001131</v>
      </c>
      <c r="Q406" s="22">
        <f t="shared" si="97"/>
        <v>3.1961717215001131</v>
      </c>
      <c r="R406" s="22">
        <f t="shared" si="97"/>
        <v>3.1961717215001131</v>
      </c>
      <c r="S406" s="22">
        <f t="shared" si="97"/>
        <v>3.1961717215001131</v>
      </c>
      <c r="T406" s="22">
        <f t="shared" si="97"/>
        <v>3.1961717215001131</v>
      </c>
      <c r="U406" s="22">
        <f t="shared" si="97"/>
        <v>3.1961717215001131</v>
      </c>
      <c r="V406" s="22">
        <f t="shared" si="97"/>
        <v>3.1961717215001131</v>
      </c>
      <c r="W406" s="22">
        <f t="shared" si="97"/>
        <v>3.1961717215001131</v>
      </c>
      <c r="X406" s="22">
        <f t="shared" si="97"/>
        <v>3.1961717215001131</v>
      </c>
      <c r="Y406" s="22">
        <f t="shared" si="97"/>
        <v>3.1961717215001131</v>
      </c>
      <c r="Z406" s="22">
        <f t="shared" si="97"/>
        <v>3.1961717215001131</v>
      </c>
      <c r="AA406" s="22">
        <f t="shared" si="97"/>
        <v>3.1961717215001131</v>
      </c>
      <c r="AB406" s="22">
        <f t="shared" si="97"/>
        <v>3.1961717215001131</v>
      </c>
      <c r="AC406" s="22">
        <f t="shared" si="97"/>
        <v>3.1961717215001131</v>
      </c>
      <c r="AD406" s="22">
        <f t="shared" si="97"/>
        <v>3.1961717215001131</v>
      </c>
      <c r="AE406" s="22">
        <f t="shared" si="97"/>
        <v>3.1961717215001131</v>
      </c>
      <c r="AF406" s="22">
        <f t="shared" si="97"/>
        <v>3.1961717215001131</v>
      </c>
      <c r="AG406" s="22">
        <f t="shared" si="97"/>
        <v>3.1961717215001131</v>
      </c>
      <c r="AH406" s="22">
        <f t="shared" si="97"/>
        <v>3.1961717215001131</v>
      </c>
      <c r="AI406" s="22">
        <f t="shared" si="97"/>
        <v>3.1961717215001131</v>
      </c>
      <c r="AJ406" s="22">
        <f t="shared" si="97"/>
        <v>3.1961717215001131</v>
      </c>
      <c r="AK406" s="22">
        <f t="shared" si="97"/>
        <v>3.1961717215001131</v>
      </c>
      <c r="AL406" s="22">
        <f t="shared" si="97"/>
        <v>3.1961717215001131</v>
      </c>
      <c r="AM406" s="22">
        <f t="shared" si="97"/>
        <v>3.1961717215001131</v>
      </c>
      <c r="AN406" s="22">
        <f t="shared" si="97"/>
        <v>3.1961717215001131</v>
      </c>
      <c r="AO406" s="22">
        <f t="shared" si="97"/>
        <v>3.1961717215001131</v>
      </c>
      <c r="AP406" s="22">
        <f t="shared" si="97"/>
        <v>3.1961717215001131</v>
      </c>
      <c r="AQ406" s="22">
        <f t="shared" si="97"/>
        <v>3.1961717215001131</v>
      </c>
      <c r="AR406" s="22">
        <f t="shared" si="97"/>
        <v>3.1961717215001131</v>
      </c>
      <c r="AS406" s="22">
        <f t="shared" si="97"/>
        <v>3.1961717215001131</v>
      </c>
      <c r="AT406" s="22">
        <f t="shared" si="97"/>
        <v>3.1961717215001131</v>
      </c>
      <c r="AU406" s="22">
        <f t="shared" si="97"/>
        <v>3.1961717215001131</v>
      </c>
      <c r="AV406" s="22">
        <f t="shared" si="97"/>
        <v>3.1961717215001131</v>
      </c>
      <c r="AW406" s="22">
        <f t="shared" si="97"/>
        <v>3.1961717215001131</v>
      </c>
      <c r="AY406" s="79"/>
    </row>
    <row r="407" spans="1:51" x14ac:dyDescent="0.3">
      <c r="A407" s="95" t="str">
        <f t="shared" si="93"/>
        <v>GS Volatilisation</v>
      </c>
      <c r="B407" s="95" t="s">
        <v>1021</v>
      </c>
      <c r="C407" s="95" t="s">
        <v>62</v>
      </c>
      <c r="D407" t="s">
        <v>369</v>
      </c>
      <c r="E407" t="s">
        <v>61</v>
      </c>
      <c r="F407" t="s">
        <v>62</v>
      </c>
      <c r="G407" t="s">
        <v>435</v>
      </c>
      <c r="H407" t="s">
        <v>1184</v>
      </c>
      <c r="I407" t="s">
        <v>139</v>
      </c>
      <c r="J407" t="s">
        <v>287</v>
      </c>
      <c r="K407" s="22">
        <f t="shared" si="90"/>
        <v>0.66064812063358536</v>
      </c>
      <c r="L407" s="22">
        <f t="shared" si="97"/>
        <v>0.66058242184852956</v>
      </c>
      <c r="M407" s="22">
        <f t="shared" si="97"/>
        <v>0.66046196765835474</v>
      </c>
      <c r="N407" s="22">
        <f t="shared" si="97"/>
        <v>0.66031799495417198</v>
      </c>
      <c r="O407" s="22">
        <f t="shared" si="97"/>
        <v>0.66022073532502734</v>
      </c>
      <c r="P407" s="22">
        <f t="shared" si="97"/>
        <v>0.66015380384919209</v>
      </c>
      <c r="Q407" s="22">
        <f t="shared" si="97"/>
        <v>0.66011715236312984</v>
      </c>
      <c r="R407" s="22">
        <f t="shared" si="97"/>
        <v>0.66005785698707231</v>
      </c>
      <c r="S407" s="22">
        <f t="shared" si="97"/>
        <v>0.65999557160724309</v>
      </c>
      <c r="T407" s="22">
        <f t="shared" si="97"/>
        <v>0.66042852126323504</v>
      </c>
      <c r="U407" s="22">
        <f t="shared" si="97"/>
        <v>0.660256842080582</v>
      </c>
      <c r="V407" s="22">
        <f t="shared" si="97"/>
        <v>0.66002252909433212</v>
      </c>
      <c r="W407" s="22">
        <f t="shared" si="97"/>
        <v>0.65989661681898848</v>
      </c>
      <c r="X407" s="22">
        <f t="shared" si="97"/>
        <v>0.6597589047711292</v>
      </c>
      <c r="Y407" s="22">
        <f t="shared" si="97"/>
        <v>0.659605796092819</v>
      </c>
      <c r="Z407" s="22">
        <f t="shared" ref="L407:AW414" si="98">Z1510</f>
        <v>0.65944507555305243</v>
      </c>
      <c r="AA407" s="22">
        <f t="shared" si="98"/>
        <v>0.65927354812209926</v>
      </c>
      <c r="AB407" s="22">
        <f t="shared" si="98"/>
        <v>0.65910165055066838</v>
      </c>
      <c r="AC407" s="22">
        <f t="shared" si="98"/>
        <v>0.65892060560614785</v>
      </c>
      <c r="AD407" s="22">
        <f t="shared" si="98"/>
        <v>0.6587403682229962</v>
      </c>
      <c r="AE407" s="22">
        <f t="shared" si="98"/>
        <v>0.6585449608557925</v>
      </c>
      <c r="AF407" s="22">
        <f t="shared" si="98"/>
        <v>0.65835675614397215</v>
      </c>
      <c r="AG407" s="22">
        <f t="shared" si="98"/>
        <v>0.65816378763594341</v>
      </c>
      <c r="AH407" s="22">
        <f t="shared" si="98"/>
        <v>0.6579528278100244</v>
      </c>
      <c r="AI407" s="22">
        <f t="shared" si="98"/>
        <v>0.65775665224366497</v>
      </c>
      <c r="AJ407" s="22">
        <f t="shared" si="98"/>
        <v>0.65755521924304883</v>
      </c>
      <c r="AK407" s="22">
        <f t="shared" si="98"/>
        <v>0.65734627926543143</v>
      </c>
      <c r="AL407" s="22">
        <f t="shared" si="98"/>
        <v>0.65715425101563263</v>
      </c>
      <c r="AM407" s="22">
        <f t="shared" si="98"/>
        <v>0.65696756052718408</v>
      </c>
      <c r="AN407" s="22">
        <f t="shared" si="98"/>
        <v>0.65678548596880248</v>
      </c>
      <c r="AO407" s="22">
        <f t="shared" si="98"/>
        <v>0.65659337062591927</v>
      </c>
      <c r="AP407" s="22">
        <f t="shared" si="98"/>
        <v>0.65641235920406316</v>
      </c>
      <c r="AQ407" s="22">
        <f t="shared" si="98"/>
        <v>0.65622903638449304</v>
      </c>
      <c r="AR407" s="22">
        <f t="shared" si="98"/>
        <v>0.65604286486377728</v>
      </c>
      <c r="AS407" s="22">
        <f t="shared" si="98"/>
        <v>0.65585292511260118</v>
      </c>
      <c r="AT407" s="22">
        <f t="shared" si="98"/>
        <v>0.65566000956326953</v>
      </c>
      <c r="AU407" s="22">
        <f t="shared" si="98"/>
        <v>0.65560073347552816</v>
      </c>
      <c r="AV407" s="22">
        <f t="shared" si="98"/>
        <v>0.65555391486602432</v>
      </c>
      <c r="AW407" s="22">
        <f t="shared" si="98"/>
        <v>0.65552474687649953</v>
      </c>
      <c r="AY407" s="79"/>
    </row>
    <row r="408" spans="1:51" x14ac:dyDescent="0.3">
      <c r="A408" s="95" t="str">
        <f t="shared" si="93"/>
        <v>GS Volatilisation</v>
      </c>
      <c r="B408" s="95" t="s">
        <v>1021</v>
      </c>
      <c r="C408" s="95" t="s">
        <v>62</v>
      </c>
      <c r="D408" t="s">
        <v>369</v>
      </c>
      <c r="E408" t="s">
        <v>61</v>
      </c>
      <c r="F408" t="s">
        <v>62</v>
      </c>
      <c r="G408" t="s">
        <v>436</v>
      </c>
      <c r="H408" t="s">
        <v>1185</v>
      </c>
      <c r="I408" t="s">
        <v>139</v>
      </c>
      <c r="J408" t="s">
        <v>287</v>
      </c>
      <c r="K408" s="22">
        <f t="shared" si="90"/>
        <v>8.720555192363328E-3</v>
      </c>
      <c r="L408" s="22">
        <f t="shared" si="98"/>
        <v>8.7196879684005926E-3</v>
      </c>
      <c r="M408" s="22">
        <f t="shared" si="98"/>
        <v>8.7180979730902847E-3</v>
      </c>
      <c r="N408" s="22">
        <f t="shared" si="98"/>
        <v>8.7161975333950713E-3</v>
      </c>
      <c r="O408" s="22">
        <f t="shared" si="98"/>
        <v>8.7149137062903607E-3</v>
      </c>
      <c r="P408" s="22">
        <f t="shared" si="98"/>
        <v>8.7140302108093363E-3</v>
      </c>
      <c r="Q408" s="22">
        <f t="shared" si="98"/>
        <v>8.7135464111933163E-3</v>
      </c>
      <c r="R408" s="22">
        <f t="shared" si="98"/>
        <v>8.7127637122293555E-3</v>
      </c>
      <c r="S408" s="22">
        <f t="shared" si="98"/>
        <v>8.7119415452156113E-3</v>
      </c>
      <c r="T408" s="22">
        <f t="shared" si="98"/>
        <v>8.7176564806747021E-3</v>
      </c>
      <c r="U408" s="22">
        <f t="shared" si="98"/>
        <v>8.7153903154636864E-3</v>
      </c>
      <c r="V408" s="22">
        <f t="shared" si="98"/>
        <v>8.7122973840451836E-3</v>
      </c>
      <c r="W408" s="22">
        <f t="shared" si="98"/>
        <v>8.7106353420106468E-3</v>
      </c>
      <c r="X408" s="22">
        <f t="shared" si="98"/>
        <v>8.7088175429789073E-3</v>
      </c>
      <c r="Y408" s="22">
        <f t="shared" si="98"/>
        <v>8.7067965084252144E-3</v>
      </c>
      <c r="Z408" s="22">
        <f t="shared" si="98"/>
        <v>8.7046749973002935E-3</v>
      </c>
      <c r="AA408" s="22">
        <f t="shared" si="98"/>
        <v>8.702410835211713E-3</v>
      </c>
      <c r="AB408" s="22">
        <f t="shared" si="98"/>
        <v>8.7001417872688246E-3</v>
      </c>
      <c r="AC408" s="22">
        <f t="shared" si="98"/>
        <v>8.6977519940011523E-3</v>
      </c>
      <c r="AD408" s="22">
        <f t="shared" si="98"/>
        <v>8.6953728605435512E-3</v>
      </c>
      <c r="AE408" s="22">
        <f t="shared" si="98"/>
        <v>8.6927934832964609E-3</v>
      </c>
      <c r="AF408" s="22">
        <f t="shared" si="98"/>
        <v>8.6903091811004352E-3</v>
      </c>
      <c r="AG408" s="22">
        <f t="shared" si="98"/>
        <v>8.6877619967944547E-3</v>
      </c>
      <c r="AH408" s="22">
        <f t="shared" si="98"/>
        <v>8.6849773270923237E-3</v>
      </c>
      <c r="AI408" s="22">
        <f t="shared" si="98"/>
        <v>8.6823878096163789E-3</v>
      </c>
      <c r="AJ408" s="22">
        <f t="shared" si="98"/>
        <v>8.6797288940082453E-3</v>
      </c>
      <c r="AK408" s="22">
        <f t="shared" si="98"/>
        <v>8.6769708863036962E-3</v>
      </c>
      <c r="AL408" s="22">
        <f t="shared" si="98"/>
        <v>8.6744361134063527E-3</v>
      </c>
      <c r="AM408" s="22">
        <f t="shared" si="98"/>
        <v>8.6719717989588319E-3</v>
      </c>
      <c r="AN408" s="22">
        <f t="shared" si="98"/>
        <v>8.6695684147881907E-3</v>
      </c>
      <c r="AO408" s="22">
        <f t="shared" si="98"/>
        <v>8.6670324922621354E-3</v>
      </c>
      <c r="AP408" s="22">
        <f t="shared" si="98"/>
        <v>8.6646431414936359E-3</v>
      </c>
      <c r="AQ408" s="22">
        <f t="shared" si="98"/>
        <v>8.6622232802753101E-3</v>
      </c>
      <c r="AR408" s="22">
        <f t="shared" si="98"/>
        <v>8.6597658162018594E-3</v>
      </c>
      <c r="AS408" s="22">
        <f t="shared" si="98"/>
        <v>8.6572586114863365E-3</v>
      </c>
      <c r="AT408" s="22">
        <f t="shared" si="98"/>
        <v>8.6547121262351596E-3</v>
      </c>
      <c r="AU408" s="22">
        <f t="shared" si="98"/>
        <v>8.6539296818769745E-3</v>
      </c>
      <c r="AV408" s="22">
        <f t="shared" si="98"/>
        <v>8.6533116762315225E-3</v>
      </c>
      <c r="AW408" s="22">
        <f t="shared" si="98"/>
        <v>8.6529266587697939E-3</v>
      </c>
      <c r="AY408" s="79"/>
    </row>
    <row r="409" spans="1:51" x14ac:dyDescent="0.3">
      <c r="A409" s="95" t="str">
        <f t="shared" si="93"/>
        <v>GS Volatilisation</v>
      </c>
      <c r="B409" s="95" t="s">
        <v>1021</v>
      </c>
      <c r="C409" s="95" t="s">
        <v>62</v>
      </c>
      <c r="D409" t="s">
        <v>369</v>
      </c>
      <c r="E409" t="s">
        <v>61</v>
      </c>
      <c r="F409" t="s">
        <v>62</v>
      </c>
      <c r="G409" t="s">
        <v>437</v>
      </c>
      <c r="H409" t="s">
        <v>1186</v>
      </c>
      <c r="I409" t="s">
        <v>139</v>
      </c>
      <c r="J409" t="s">
        <v>287</v>
      </c>
      <c r="K409" s="22">
        <f t="shared" si="90"/>
        <v>1.2008407282256135</v>
      </c>
      <c r="L409" s="22">
        <f t="shared" si="98"/>
        <v>1.201903510760759</v>
      </c>
      <c r="M409" s="22">
        <f t="shared" si="98"/>
        <v>1.2088775122881088</v>
      </c>
      <c r="N409" s="22">
        <f t="shared" si="98"/>
        <v>1.2055442230548155</v>
      </c>
      <c r="O409" s="22">
        <f t="shared" si="98"/>
        <v>1.195843583832628</v>
      </c>
      <c r="P409" s="22">
        <f t="shared" si="98"/>
        <v>1.1799964998501222</v>
      </c>
      <c r="Q409" s="22">
        <f t="shared" si="98"/>
        <v>1.169776622170569</v>
      </c>
      <c r="R409" s="22">
        <f t="shared" si="98"/>
        <v>1.1606871439933113</v>
      </c>
      <c r="S409" s="22">
        <f t="shared" si="98"/>
        <v>1.0501974396641209</v>
      </c>
      <c r="T409" s="22">
        <f t="shared" si="98"/>
        <v>1.0703473698117068</v>
      </c>
      <c r="U409" s="22">
        <f t="shared" si="98"/>
        <v>1.1035346153332457</v>
      </c>
      <c r="V409" s="22">
        <f t="shared" si="98"/>
        <v>1.1150489977959306</v>
      </c>
      <c r="W409" s="22">
        <f t="shared" si="98"/>
        <v>1.1291994422976275</v>
      </c>
      <c r="X409" s="22">
        <f t="shared" si="98"/>
        <v>1.1467521172180308</v>
      </c>
      <c r="Y409" s="22">
        <f t="shared" si="98"/>
        <v>1.1661924411251976</v>
      </c>
      <c r="Z409" s="22">
        <f t="shared" si="98"/>
        <v>1.1881766019612736</v>
      </c>
      <c r="AA409" s="22">
        <f t="shared" si="98"/>
        <v>1.2105548738562886</v>
      </c>
      <c r="AB409" s="22">
        <f t="shared" si="98"/>
        <v>1.2352132344527478</v>
      </c>
      <c r="AC409" s="22">
        <f t="shared" si="98"/>
        <v>1.2600610700998878</v>
      </c>
      <c r="AD409" s="22">
        <f t="shared" si="98"/>
        <v>1.2841695325772586</v>
      </c>
      <c r="AE409" s="22">
        <f t="shared" si="98"/>
        <v>1.3069035937836597</v>
      </c>
      <c r="AF409" s="22">
        <f t="shared" si="98"/>
        <v>1.3308885489727156</v>
      </c>
      <c r="AG409" s="22">
        <f t="shared" si="98"/>
        <v>1.3591357613410466</v>
      </c>
      <c r="AH409" s="22">
        <f t="shared" si="98"/>
        <v>1.3843151170507964</v>
      </c>
      <c r="AI409" s="22">
        <f t="shared" si="98"/>
        <v>1.4109607447095132</v>
      </c>
      <c r="AJ409" s="22">
        <f t="shared" si="98"/>
        <v>1.439613035796105</v>
      </c>
      <c r="AK409" s="22">
        <f t="shared" si="98"/>
        <v>1.4645872559628428</v>
      </c>
      <c r="AL409" s="22">
        <f t="shared" si="98"/>
        <v>1.4885153057402958</v>
      </c>
      <c r="AM409" s="22">
        <f t="shared" si="98"/>
        <v>1.5115373270459393</v>
      </c>
      <c r="AN409" s="22">
        <f t="shared" si="98"/>
        <v>1.5400585132402391</v>
      </c>
      <c r="AO409" s="22">
        <f t="shared" si="98"/>
        <v>1.5662225533166572</v>
      </c>
      <c r="AP409" s="22">
        <f t="shared" si="98"/>
        <v>1.593267491108957</v>
      </c>
      <c r="AQ409" s="22">
        <f t="shared" si="98"/>
        <v>1.6213524132646824</v>
      </c>
      <c r="AR409" s="22">
        <f t="shared" si="98"/>
        <v>1.6507413943805305</v>
      </c>
      <c r="AS409" s="22">
        <f t="shared" si="98"/>
        <v>1.6812851986409043</v>
      </c>
      <c r="AT409" s="22">
        <f t="shared" si="98"/>
        <v>1.6777302811702246</v>
      </c>
      <c r="AU409" s="22">
        <f t="shared" si="98"/>
        <v>1.6711130643184777</v>
      </c>
      <c r="AV409" s="22">
        <f t="shared" si="98"/>
        <v>1.6601731404367381</v>
      </c>
      <c r="AW409" s="22">
        <f t="shared" si="98"/>
        <v>1.6481045233312475</v>
      </c>
      <c r="AY409" s="79"/>
    </row>
    <row r="410" spans="1:51" x14ac:dyDescent="0.3">
      <c r="A410" s="95" t="str">
        <f t="shared" si="93"/>
        <v>GS Volatilisation</v>
      </c>
      <c r="B410" s="95" t="s">
        <v>1021</v>
      </c>
      <c r="C410" s="95" t="s">
        <v>62</v>
      </c>
      <c r="D410" t="s">
        <v>369</v>
      </c>
      <c r="E410" t="s">
        <v>61</v>
      </c>
      <c r="F410" t="s">
        <v>62</v>
      </c>
      <c r="G410" t="s">
        <v>438</v>
      </c>
      <c r="H410" t="s">
        <v>1265</v>
      </c>
      <c r="I410" t="s">
        <v>139</v>
      </c>
      <c r="J410" t="s">
        <v>287</v>
      </c>
      <c r="K410" s="22">
        <f t="shared" si="90"/>
        <v>4.3975799639737048</v>
      </c>
      <c r="L410" s="22">
        <f t="shared" si="98"/>
        <v>4.3787767883653972</v>
      </c>
      <c r="M410" s="22">
        <f t="shared" si="98"/>
        <v>4.3752716537638934</v>
      </c>
      <c r="N410" s="22">
        <f t="shared" si="98"/>
        <v>4.3473821211305594</v>
      </c>
      <c r="O410" s="22">
        <f t="shared" si="98"/>
        <v>4.3052096453824609</v>
      </c>
      <c r="P410" s="22">
        <f t="shared" si="98"/>
        <v>4.2496956169043703</v>
      </c>
      <c r="Q410" s="22">
        <f t="shared" si="98"/>
        <v>4.2083609134426787</v>
      </c>
      <c r="R410" s="22">
        <f t="shared" si="98"/>
        <v>4.1703852155628214</v>
      </c>
      <c r="S410" s="22">
        <f t="shared" si="98"/>
        <v>3.900775371515369</v>
      </c>
      <c r="T410" s="22">
        <f t="shared" si="98"/>
        <v>3.9381596254461564</v>
      </c>
      <c r="U410" s="22">
        <f t="shared" si="98"/>
        <v>4.0049157346570068</v>
      </c>
      <c r="V410" s="22">
        <f t="shared" si="98"/>
        <v>4.0223863253045398</v>
      </c>
      <c r="W410" s="22">
        <f t="shared" si="98"/>
        <v>4.045795803072969</v>
      </c>
      <c r="X410" s="22">
        <f t="shared" si="98"/>
        <v>4.0767188563085508</v>
      </c>
      <c r="Y410" s="22">
        <f t="shared" si="98"/>
        <v>4.1095287399075264</v>
      </c>
      <c r="Z410" s="22">
        <f t="shared" si="98"/>
        <v>4.1476787731521458</v>
      </c>
      <c r="AA410" s="22">
        <f t="shared" si="98"/>
        <v>4.1863566801857406</v>
      </c>
      <c r="AB410" s="22">
        <f t="shared" si="98"/>
        <v>4.2296218376851549</v>
      </c>
      <c r="AC410" s="22">
        <f t="shared" si="98"/>
        <v>4.2728604404281354</v>
      </c>
      <c r="AD410" s="22">
        <f t="shared" si="98"/>
        <v>4.3024697400350007</v>
      </c>
      <c r="AE410" s="22">
        <f t="shared" si="98"/>
        <v>4.3280485976783627</v>
      </c>
      <c r="AF410" s="22">
        <f t="shared" si="98"/>
        <v>4.3551413116429245</v>
      </c>
      <c r="AG410" s="22">
        <f t="shared" si="98"/>
        <v>4.3898514432989648</v>
      </c>
      <c r="AH410" s="22">
        <f t="shared" si="98"/>
        <v>4.4168796997123483</v>
      </c>
      <c r="AI410" s="22">
        <f t="shared" si="98"/>
        <v>4.4439671933106792</v>
      </c>
      <c r="AJ410" s="22">
        <f t="shared" si="98"/>
        <v>4.4736413932482595</v>
      </c>
      <c r="AK410" s="22">
        <f t="shared" si="98"/>
        <v>4.4945161300843504</v>
      </c>
      <c r="AL410" s="22">
        <f t="shared" si="98"/>
        <v>4.5119473605235276</v>
      </c>
      <c r="AM410" s="22">
        <f t="shared" si="98"/>
        <v>4.5262479592108207</v>
      </c>
      <c r="AN410" s="22">
        <f t="shared" si="98"/>
        <v>4.5552825489057529</v>
      </c>
      <c r="AO410" s="22">
        <f t="shared" si="98"/>
        <v>4.5786902056870105</v>
      </c>
      <c r="AP410" s="22">
        <f t="shared" si="98"/>
        <v>4.6026259938264094</v>
      </c>
      <c r="AQ410" s="22">
        <f t="shared" si="98"/>
        <v>4.6273110032913349</v>
      </c>
      <c r="AR410" s="22">
        <f t="shared" si="98"/>
        <v>4.6531442501292055</v>
      </c>
      <c r="AS410" s="22">
        <f t="shared" si="98"/>
        <v>4.6782746913590252</v>
      </c>
      <c r="AT410" s="22">
        <f t="shared" si="98"/>
        <v>4.6412320099960542</v>
      </c>
      <c r="AU410" s="22">
        <f t="shared" si="98"/>
        <v>4.5987998522947482</v>
      </c>
      <c r="AV410" s="22">
        <f t="shared" si="98"/>
        <v>4.5489683571490982</v>
      </c>
      <c r="AW410" s="22">
        <f t="shared" si="98"/>
        <v>4.4975013733577454</v>
      </c>
      <c r="AY410" s="79"/>
    </row>
    <row r="411" spans="1:51" x14ac:dyDescent="0.3">
      <c r="A411" s="95" t="str">
        <f t="shared" si="93"/>
        <v>GS Leaching</v>
      </c>
      <c r="B411" s="95" t="s">
        <v>1021</v>
      </c>
      <c r="C411" s="95" t="s">
        <v>1190</v>
      </c>
      <c r="D411" t="s">
        <v>369</v>
      </c>
      <c r="E411" t="s">
        <v>61</v>
      </c>
      <c r="F411" t="s">
        <v>63</v>
      </c>
      <c r="G411" t="s">
        <v>435</v>
      </c>
      <c r="H411" t="s">
        <v>1187</v>
      </c>
      <c r="I411" t="s">
        <v>139</v>
      </c>
      <c r="J411" t="s">
        <v>287</v>
      </c>
      <c r="K411" s="22">
        <f t="shared" si="90"/>
        <v>2.2792360161858692E-4</v>
      </c>
      <c r="L411" s="22">
        <f t="shared" si="98"/>
        <v>2.2790093553774266E-4</v>
      </c>
      <c r="M411" s="22">
        <f t="shared" si="98"/>
        <v>2.278593788421324E-4</v>
      </c>
      <c r="N411" s="22">
        <f t="shared" si="98"/>
        <v>2.2780970825918929E-4</v>
      </c>
      <c r="O411" s="22">
        <f t="shared" si="98"/>
        <v>2.277761536871344E-4</v>
      </c>
      <c r="P411" s="22">
        <f t="shared" si="98"/>
        <v>2.2775306232797126E-4</v>
      </c>
      <c r="Q411" s="22">
        <f t="shared" si="98"/>
        <v>2.2774041756527976E-4</v>
      </c>
      <c r="R411" s="22">
        <f t="shared" si="98"/>
        <v>2.2771996066053992E-4</v>
      </c>
      <c r="S411" s="22">
        <f t="shared" si="98"/>
        <v>2.2769847220449889E-4</v>
      </c>
      <c r="T411" s="22">
        <f t="shared" si="98"/>
        <v>2.2784783983581601E-4</v>
      </c>
      <c r="U411" s="22">
        <f t="shared" si="98"/>
        <v>2.2778861051780079E-4</v>
      </c>
      <c r="V411" s="22">
        <f t="shared" si="98"/>
        <v>2.2770777253754449E-4</v>
      </c>
      <c r="W411" s="22">
        <f t="shared" si="98"/>
        <v>2.2766433280255099E-4</v>
      </c>
      <c r="X411" s="22">
        <f t="shared" si="98"/>
        <v>2.2761682214603963E-4</v>
      </c>
      <c r="Y411" s="22">
        <f t="shared" si="98"/>
        <v>2.2756399965202255E-4</v>
      </c>
      <c r="Z411" s="22">
        <f t="shared" si="98"/>
        <v>2.2750855106580306E-4</v>
      </c>
      <c r="AA411" s="22">
        <f t="shared" si="98"/>
        <v>2.2744937410212421E-4</v>
      </c>
      <c r="AB411" s="22">
        <f t="shared" si="98"/>
        <v>2.273900694399806E-4</v>
      </c>
      <c r="AC411" s="22">
        <f t="shared" si="98"/>
        <v>2.27327608934121E-4</v>
      </c>
      <c r="AD411" s="22">
        <f t="shared" si="98"/>
        <v>2.2726542703693366E-4</v>
      </c>
      <c r="AE411" s="22">
        <f t="shared" si="98"/>
        <v>2.2719801149524835E-4</v>
      </c>
      <c r="AF411" s="22">
        <f t="shared" si="98"/>
        <v>2.2713308086967036E-4</v>
      </c>
      <c r="AG411" s="22">
        <f t="shared" si="98"/>
        <v>2.2706650673440042E-4</v>
      </c>
      <c r="AH411" s="22">
        <f t="shared" si="98"/>
        <v>2.2699372559445836E-4</v>
      </c>
      <c r="AI411" s="22">
        <f t="shared" si="98"/>
        <v>2.2692604502406438E-4</v>
      </c>
      <c r="AJ411" s="22">
        <f t="shared" si="98"/>
        <v>2.2685655063885179E-4</v>
      </c>
      <c r="AK411" s="22">
        <f t="shared" si="98"/>
        <v>2.2678446634657377E-4</v>
      </c>
      <c r="AL411" s="22">
        <f t="shared" si="98"/>
        <v>2.2671821660039324E-4</v>
      </c>
      <c r="AM411" s="22">
        <f t="shared" si="98"/>
        <v>2.2665380838187847E-4</v>
      </c>
      <c r="AN411" s="22">
        <f t="shared" si="98"/>
        <v>2.2659099265923683E-4</v>
      </c>
      <c r="AO411" s="22">
        <f t="shared" si="98"/>
        <v>2.2652471286594214E-4</v>
      </c>
      <c r="AP411" s="22">
        <f t="shared" si="98"/>
        <v>2.2646226392540174E-4</v>
      </c>
      <c r="AQ411" s="22">
        <f t="shared" si="98"/>
        <v>2.2639901755265007E-4</v>
      </c>
      <c r="AR411" s="22">
        <f t="shared" si="98"/>
        <v>2.2633478837800309E-4</v>
      </c>
      <c r="AS411" s="22">
        <f t="shared" si="98"/>
        <v>2.2626925916384739E-4</v>
      </c>
      <c r="AT411" s="22">
        <f t="shared" si="98"/>
        <v>2.2620270329932796E-4</v>
      </c>
      <c r="AU411" s="22">
        <f t="shared" si="98"/>
        <v>2.261822530490572E-4</v>
      </c>
      <c r="AV411" s="22">
        <f t="shared" si="98"/>
        <v>2.2616610062877842E-4</v>
      </c>
      <c r="AW411" s="22">
        <f t="shared" si="98"/>
        <v>2.2615603767239231E-4</v>
      </c>
      <c r="AY411" s="79"/>
    </row>
    <row r="412" spans="1:51" x14ac:dyDescent="0.3">
      <c r="A412" s="95" t="str">
        <f t="shared" si="93"/>
        <v>GS Leaching</v>
      </c>
      <c r="B412" s="95" t="s">
        <v>1021</v>
      </c>
      <c r="C412" s="95" t="s">
        <v>1190</v>
      </c>
      <c r="D412" t="s">
        <v>369</v>
      </c>
      <c r="E412" t="s">
        <v>61</v>
      </c>
      <c r="F412" t="s">
        <v>63</v>
      </c>
      <c r="G412" t="s">
        <v>436</v>
      </c>
      <c r="H412" t="s">
        <v>1188</v>
      </c>
      <c r="I412" t="s">
        <v>139</v>
      </c>
      <c r="J412" t="s">
        <v>287</v>
      </c>
      <c r="K412" s="22">
        <f t="shared" si="90"/>
        <v>1.5042957706826741E-6</v>
      </c>
      <c r="L412" s="22">
        <f t="shared" si="98"/>
        <v>1.5041461745491019E-6</v>
      </c>
      <c r="M412" s="22">
        <f t="shared" si="98"/>
        <v>1.5038719003580737E-6</v>
      </c>
      <c r="N412" s="22">
        <f t="shared" si="98"/>
        <v>1.5035440745106496E-6</v>
      </c>
      <c r="O412" s="22">
        <f t="shared" si="98"/>
        <v>1.5033226143350872E-6</v>
      </c>
      <c r="P412" s="22">
        <f t="shared" si="98"/>
        <v>1.5031702113646103E-6</v>
      </c>
      <c r="Q412" s="22">
        <f t="shared" si="98"/>
        <v>1.5030867559308466E-6</v>
      </c>
      <c r="R412" s="22">
        <f t="shared" si="98"/>
        <v>1.5029517403595637E-6</v>
      </c>
      <c r="S412" s="22">
        <f t="shared" si="98"/>
        <v>1.5028099165496928E-6</v>
      </c>
      <c r="T412" s="22">
        <f t="shared" si="98"/>
        <v>1.503795742916386E-6</v>
      </c>
      <c r="U412" s="22">
        <f t="shared" si="98"/>
        <v>1.5034048294174857E-6</v>
      </c>
      <c r="V412" s="22">
        <f t="shared" si="98"/>
        <v>1.502871298747794E-6</v>
      </c>
      <c r="W412" s="22">
        <f t="shared" si="98"/>
        <v>1.5025845964968368E-6</v>
      </c>
      <c r="X412" s="22">
        <f t="shared" si="98"/>
        <v>1.5022710261638614E-6</v>
      </c>
      <c r="Y412" s="22">
        <f t="shared" si="98"/>
        <v>1.5019223977033493E-6</v>
      </c>
      <c r="Z412" s="22">
        <f t="shared" si="98"/>
        <v>1.5015564370343004E-6</v>
      </c>
      <c r="AA412" s="22">
        <f t="shared" si="98"/>
        <v>1.5011658690740202E-6</v>
      </c>
      <c r="AB412" s="22">
        <f t="shared" si="98"/>
        <v>1.500774458303872E-6</v>
      </c>
      <c r="AC412" s="22">
        <f t="shared" si="98"/>
        <v>1.5003622189651987E-6</v>
      </c>
      <c r="AD412" s="22">
        <f t="shared" si="98"/>
        <v>1.4999518184437622E-6</v>
      </c>
      <c r="AE412" s="22">
        <f t="shared" si="98"/>
        <v>1.4995068758686393E-6</v>
      </c>
      <c r="AF412" s="22">
        <f t="shared" si="98"/>
        <v>1.4990783337398247E-6</v>
      </c>
      <c r="AG412" s="22">
        <f t="shared" si="98"/>
        <v>1.498638944447043E-6</v>
      </c>
      <c r="AH412" s="22">
        <f t="shared" si="98"/>
        <v>1.4981585889234254E-6</v>
      </c>
      <c r="AI412" s="22">
        <f t="shared" si="98"/>
        <v>1.497711897158825E-6</v>
      </c>
      <c r="AJ412" s="22">
        <f t="shared" si="98"/>
        <v>1.4972532342164218E-6</v>
      </c>
      <c r="AK412" s="22">
        <f t="shared" si="98"/>
        <v>1.4967774778873874E-6</v>
      </c>
      <c r="AL412" s="22">
        <f t="shared" si="98"/>
        <v>1.4963402295625958E-6</v>
      </c>
      <c r="AM412" s="22">
        <f t="shared" si="98"/>
        <v>1.4959151353203979E-6</v>
      </c>
      <c r="AN412" s="22">
        <f t="shared" si="98"/>
        <v>1.4955005515509629E-6</v>
      </c>
      <c r="AO412" s="22">
        <f t="shared" si="98"/>
        <v>1.4950631049152183E-6</v>
      </c>
      <c r="AP412" s="22">
        <f t="shared" si="98"/>
        <v>1.4946509419076516E-6</v>
      </c>
      <c r="AQ412" s="22">
        <f t="shared" si="98"/>
        <v>1.4942335158474905E-6</v>
      </c>
      <c r="AR412" s="22">
        <f t="shared" si="98"/>
        <v>1.4938096032948206E-6</v>
      </c>
      <c r="AS412" s="22">
        <f t="shared" si="98"/>
        <v>1.4933771104813929E-6</v>
      </c>
      <c r="AT412" s="22">
        <f t="shared" si="98"/>
        <v>1.4929378417755646E-6</v>
      </c>
      <c r="AU412" s="22">
        <f t="shared" si="98"/>
        <v>1.4928028701237777E-6</v>
      </c>
      <c r="AV412" s="22">
        <f t="shared" si="98"/>
        <v>1.4926962641499375E-6</v>
      </c>
      <c r="AW412" s="22">
        <f t="shared" si="98"/>
        <v>1.4926298486377895E-6</v>
      </c>
      <c r="AY412" s="79"/>
    </row>
    <row r="413" spans="1:51" x14ac:dyDescent="0.3">
      <c r="A413" s="95" t="str">
        <f t="shared" si="93"/>
        <v>GS Leaching</v>
      </c>
      <c r="B413" s="95" t="s">
        <v>1021</v>
      </c>
      <c r="C413" s="95" t="s">
        <v>1190</v>
      </c>
      <c r="D413" t="s">
        <v>369</v>
      </c>
      <c r="E413" t="s">
        <v>61</v>
      </c>
      <c r="F413" t="s">
        <v>63</v>
      </c>
      <c r="G413" t="s">
        <v>437</v>
      </c>
      <c r="H413" t="s">
        <v>1189</v>
      </c>
      <c r="I413" t="s">
        <v>139</v>
      </c>
      <c r="J413" t="s">
        <v>287</v>
      </c>
      <c r="K413" s="22">
        <f t="shared" si="90"/>
        <v>0.20714502561891829</v>
      </c>
      <c r="L413" s="22">
        <f t="shared" si="98"/>
        <v>0.20732835560623092</v>
      </c>
      <c r="M413" s="22">
        <f t="shared" si="98"/>
        <v>0.20853137086969875</v>
      </c>
      <c r="N413" s="22">
        <f t="shared" si="98"/>
        <v>0.20795637847695567</v>
      </c>
      <c r="O413" s="22">
        <f t="shared" si="98"/>
        <v>0.20628301821112832</v>
      </c>
      <c r="P413" s="22">
        <f t="shared" si="98"/>
        <v>0.20354939622414608</v>
      </c>
      <c r="Q413" s="22">
        <f t="shared" si="98"/>
        <v>0.20178646732442315</v>
      </c>
      <c r="R413" s="22">
        <f t="shared" si="98"/>
        <v>0.20021853233884618</v>
      </c>
      <c r="S413" s="22">
        <f t="shared" si="98"/>
        <v>0.18115905834206086</v>
      </c>
      <c r="T413" s="22">
        <f t="shared" si="98"/>
        <v>0.1846349212925194</v>
      </c>
      <c r="U413" s="22">
        <f t="shared" si="98"/>
        <v>0.19035972114498487</v>
      </c>
      <c r="V413" s="22">
        <f t="shared" si="98"/>
        <v>0.19234595211979802</v>
      </c>
      <c r="W413" s="22">
        <f t="shared" si="98"/>
        <v>0.1947869037963407</v>
      </c>
      <c r="X413" s="22">
        <f t="shared" si="98"/>
        <v>0.19781474022011031</v>
      </c>
      <c r="Y413" s="22">
        <f t="shared" si="98"/>
        <v>0.20116819609409653</v>
      </c>
      <c r="Z413" s="22">
        <f t="shared" si="98"/>
        <v>0.20496046383831973</v>
      </c>
      <c r="AA413" s="22">
        <f t="shared" si="98"/>
        <v>0.20882071574020974</v>
      </c>
      <c r="AB413" s="22">
        <f t="shared" si="98"/>
        <v>0.21307428294309891</v>
      </c>
      <c r="AC413" s="22">
        <f t="shared" si="98"/>
        <v>0.21736053459223065</v>
      </c>
      <c r="AD413" s="22">
        <f t="shared" si="98"/>
        <v>0.2215192443695771</v>
      </c>
      <c r="AE413" s="22">
        <f t="shared" si="98"/>
        <v>0.22544086992768131</v>
      </c>
      <c r="AF413" s="22">
        <f t="shared" si="98"/>
        <v>0.22957827469779338</v>
      </c>
      <c r="AG413" s="22">
        <f t="shared" si="98"/>
        <v>0.23445091883133051</v>
      </c>
      <c r="AH413" s="22">
        <f t="shared" si="98"/>
        <v>0.23879435769126237</v>
      </c>
      <c r="AI413" s="22">
        <f t="shared" si="98"/>
        <v>0.24339072846239099</v>
      </c>
      <c r="AJ413" s="22">
        <f t="shared" si="98"/>
        <v>0.24833324867482812</v>
      </c>
      <c r="AK413" s="22">
        <f t="shared" si="98"/>
        <v>0.25264130165359039</v>
      </c>
      <c r="AL413" s="22">
        <f t="shared" si="98"/>
        <v>0.256768890240201</v>
      </c>
      <c r="AM413" s="22">
        <f t="shared" si="98"/>
        <v>0.26074018891542444</v>
      </c>
      <c r="AN413" s="22">
        <f t="shared" si="98"/>
        <v>0.26566009353394121</v>
      </c>
      <c r="AO413" s="22">
        <f t="shared" si="98"/>
        <v>0.2701733904471233</v>
      </c>
      <c r="AP413" s="22">
        <f t="shared" si="98"/>
        <v>0.27483864221629506</v>
      </c>
      <c r="AQ413" s="22">
        <f t="shared" si="98"/>
        <v>0.27968329128815766</v>
      </c>
      <c r="AR413" s="22">
        <f t="shared" si="98"/>
        <v>0.28475289053064146</v>
      </c>
      <c r="AS413" s="22">
        <f t="shared" si="98"/>
        <v>0.29002169676555595</v>
      </c>
      <c r="AT413" s="22">
        <f t="shared" si="98"/>
        <v>0.28940847350186372</v>
      </c>
      <c r="AU413" s="22">
        <f t="shared" si="98"/>
        <v>0.2882670035949374</v>
      </c>
      <c r="AV413" s="22">
        <f t="shared" si="98"/>
        <v>0.28637986672533733</v>
      </c>
      <c r="AW413" s="22">
        <f t="shared" si="98"/>
        <v>0.28429803027464012</v>
      </c>
      <c r="AY413" s="79"/>
    </row>
    <row r="414" spans="1:51" x14ac:dyDescent="0.3">
      <c r="A414" s="95" t="str">
        <f t="shared" si="93"/>
        <v>GS Leaching</v>
      </c>
      <c r="B414" s="95" t="s">
        <v>1021</v>
      </c>
      <c r="C414" s="95" t="s">
        <v>1190</v>
      </c>
      <c r="D414" t="s">
        <v>369</v>
      </c>
      <c r="E414" t="s">
        <v>61</v>
      </c>
      <c r="F414" t="s">
        <v>63</v>
      </c>
      <c r="G414" t="s">
        <v>438</v>
      </c>
      <c r="H414" t="s">
        <v>1191</v>
      </c>
      <c r="I414" t="s">
        <v>139</v>
      </c>
      <c r="J414" t="s">
        <v>287</v>
      </c>
      <c r="K414" s="22">
        <f t="shared" si="90"/>
        <v>0</v>
      </c>
      <c r="L414" s="22">
        <f t="shared" si="98"/>
        <v>0</v>
      </c>
      <c r="M414" s="22">
        <f t="shared" si="98"/>
        <v>0</v>
      </c>
      <c r="N414" s="22">
        <f t="shared" si="98"/>
        <v>0</v>
      </c>
      <c r="O414" s="22">
        <f t="shared" ref="L414:AW420" si="99">O1517</f>
        <v>0</v>
      </c>
      <c r="P414" s="22">
        <f t="shared" si="99"/>
        <v>0</v>
      </c>
      <c r="Q414" s="22">
        <f t="shared" si="99"/>
        <v>0</v>
      </c>
      <c r="R414" s="22">
        <f t="shared" si="99"/>
        <v>0</v>
      </c>
      <c r="S414" s="22">
        <f t="shared" si="99"/>
        <v>0</v>
      </c>
      <c r="T414" s="22">
        <f t="shared" si="99"/>
        <v>0</v>
      </c>
      <c r="U414" s="22">
        <f t="shared" si="99"/>
        <v>0</v>
      </c>
      <c r="V414" s="22">
        <f t="shared" si="99"/>
        <v>0</v>
      </c>
      <c r="W414" s="22">
        <f t="shared" si="99"/>
        <v>0</v>
      </c>
      <c r="X414" s="22">
        <f t="shared" si="99"/>
        <v>0</v>
      </c>
      <c r="Y414" s="22">
        <f t="shared" si="99"/>
        <v>0</v>
      </c>
      <c r="Z414" s="22">
        <f t="shared" si="99"/>
        <v>0</v>
      </c>
      <c r="AA414" s="22">
        <f t="shared" si="99"/>
        <v>0</v>
      </c>
      <c r="AB414" s="22">
        <f t="shared" si="99"/>
        <v>0</v>
      </c>
      <c r="AC414" s="22">
        <f t="shared" si="99"/>
        <v>0</v>
      </c>
      <c r="AD414" s="22">
        <f t="shared" si="99"/>
        <v>0</v>
      </c>
      <c r="AE414" s="22">
        <f t="shared" si="99"/>
        <v>0</v>
      </c>
      <c r="AF414" s="22">
        <f t="shared" si="99"/>
        <v>0</v>
      </c>
      <c r="AG414" s="22">
        <f t="shared" si="99"/>
        <v>0</v>
      </c>
      <c r="AH414" s="22">
        <f t="shared" si="99"/>
        <v>0</v>
      </c>
      <c r="AI414" s="22">
        <f t="shared" si="99"/>
        <v>0</v>
      </c>
      <c r="AJ414" s="22">
        <f t="shared" si="99"/>
        <v>0</v>
      </c>
      <c r="AK414" s="22">
        <f t="shared" si="99"/>
        <v>0</v>
      </c>
      <c r="AL414" s="22">
        <f t="shared" si="99"/>
        <v>0</v>
      </c>
      <c r="AM414" s="22">
        <f t="shared" si="99"/>
        <v>0</v>
      </c>
      <c r="AN414" s="22">
        <f t="shared" si="99"/>
        <v>0</v>
      </c>
      <c r="AO414" s="22">
        <f t="shared" si="99"/>
        <v>0</v>
      </c>
      <c r="AP414" s="22">
        <f t="shared" si="99"/>
        <v>0</v>
      </c>
      <c r="AQ414" s="22">
        <f t="shared" si="99"/>
        <v>0</v>
      </c>
      <c r="AR414" s="22">
        <f t="shared" si="99"/>
        <v>0</v>
      </c>
      <c r="AS414" s="22">
        <f t="shared" si="99"/>
        <v>0</v>
      </c>
      <c r="AT414" s="22">
        <f t="shared" si="99"/>
        <v>0</v>
      </c>
      <c r="AU414" s="22">
        <f t="shared" si="99"/>
        <v>0</v>
      </c>
      <c r="AV414" s="22">
        <f t="shared" si="99"/>
        <v>0</v>
      </c>
      <c r="AW414" s="22">
        <f t="shared" si="99"/>
        <v>0</v>
      </c>
      <c r="AY414" s="79"/>
    </row>
    <row r="415" spans="1:51" x14ac:dyDescent="0.3">
      <c r="A415" s="95" t="str">
        <f t="shared" si="93"/>
        <v>GS Leaching</v>
      </c>
      <c r="B415" s="95" t="s">
        <v>1021</v>
      </c>
      <c r="C415" s="95" t="s">
        <v>1190</v>
      </c>
      <c r="D415" t="s">
        <v>369</v>
      </c>
      <c r="E415" t="s">
        <v>61</v>
      </c>
      <c r="F415" t="s">
        <v>63</v>
      </c>
      <c r="G415" t="s">
        <v>439</v>
      </c>
      <c r="H415" t="s">
        <v>1192</v>
      </c>
      <c r="I415" t="s">
        <v>139</v>
      </c>
      <c r="J415" t="s">
        <v>287</v>
      </c>
      <c r="K415" s="22">
        <f t="shared" si="90"/>
        <v>0.10175116378121943</v>
      </c>
      <c r="L415" s="22">
        <f t="shared" si="99"/>
        <v>0.10192037938520998</v>
      </c>
      <c r="M415" s="22">
        <f t="shared" si="99"/>
        <v>0.102230624521803</v>
      </c>
      <c r="N415" s="22">
        <f t="shared" si="99"/>
        <v>0.10260144459215571</v>
      </c>
      <c r="O415" s="22">
        <f t="shared" si="99"/>
        <v>0.10285194917721978</v>
      </c>
      <c r="P415" s="22">
        <f t="shared" si="99"/>
        <v>0.10302433973360284</v>
      </c>
      <c r="Q415" s="22">
        <f t="shared" si="99"/>
        <v>0.10311874031263807</v>
      </c>
      <c r="R415" s="22">
        <f t="shared" si="99"/>
        <v>0.10327146311968674</v>
      </c>
      <c r="S415" s="22">
        <f t="shared" si="99"/>
        <v>0.10343188706296993</v>
      </c>
      <c r="T415" s="22">
        <f t="shared" si="99"/>
        <v>0.10231676998015095</v>
      </c>
      <c r="U415" s="22">
        <f t="shared" si="99"/>
        <v>0.10275895162111336</v>
      </c>
      <c r="V415" s="22">
        <f t="shared" si="99"/>
        <v>0.10336245461523248</v>
      </c>
      <c r="W415" s="22">
        <f t="shared" si="99"/>
        <v>0.10368675774662221</v>
      </c>
      <c r="X415" s="22">
        <f t="shared" si="99"/>
        <v>0.10404145269776151</v>
      </c>
      <c r="Y415" s="22">
        <f t="shared" si="99"/>
        <v>0.10443580363521765</v>
      </c>
      <c r="Z415" s="22">
        <f t="shared" si="99"/>
        <v>0.1048497598931184</v>
      </c>
      <c r="AA415" s="22">
        <f t="shared" si="99"/>
        <v>0.10529155067821512</v>
      </c>
      <c r="AB415" s="22">
        <f t="shared" si="99"/>
        <v>0.10573429480734184</v>
      </c>
      <c r="AC415" s="22">
        <f t="shared" si="99"/>
        <v>0.10620059916305352</v>
      </c>
      <c r="AD415" s="22">
        <f t="shared" si="99"/>
        <v>0.10666482354141628</v>
      </c>
      <c r="AE415" s="22">
        <f t="shared" si="99"/>
        <v>0.10716812014937527</v>
      </c>
      <c r="AF415" s="22">
        <f t="shared" si="99"/>
        <v>0.10765286539934465</v>
      </c>
      <c r="AG415" s="22">
        <f t="shared" si="99"/>
        <v>0.10814988041430322</v>
      </c>
      <c r="AH415" s="22">
        <f t="shared" si="99"/>
        <v>0.1086932343641567</v>
      </c>
      <c r="AI415" s="22">
        <f t="shared" si="99"/>
        <v>0.1091985095670623</v>
      </c>
      <c r="AJ415" s="22">
        <f t="shared" si="99"/>
        <v>0.10971732596273812</v>
      </c>
      <c r="AK415" s="22">
        <f t="shared" si="99"/>
        <v>0.11025547753556091</v>
      </c>
      <c r="AL415" s="22">
        <f t="shared" si="99"/>
        <v>0.11075007079547201</v>
      </c>
      <c r="AM415" s="22">
        <f t="shared" si="99"/>
        <v>0.11123091596993474</v>
      </c>
      <c r="AN415" s="22">
        <f t="shared" si="99"/>
        <v>0.11169987222752331</v>
      </c>
      <c r="AO415" s="22">
        <f t="shared" si="99"/>
        <v>0.11219468980678651</v>
      </c>
      <c r="AP415" s="22">
        <f t="shared" si="99"/>
        <v>0.11266090782059876</v>
      </c>
      <c r="AQ415" s="22">
        <f t="shared" si="99"/>
        <v>0.11313307913415467</v>
      </c>
      <c r="AR415" s="22">
        <f t="shared" si="99"/>
        <v>0.11361258764100189</v>
      </c>
      <c r="AS415" s="22">
        <f t="shared" si="99"/>
        <v>0.11410180170622075</v>
      </c>
      <c r="AT415" s="22">
        <f t="shared" si="99"/>
        <v>0.1145986803192975</v>
      </c>
      <c r="AU415" s="22">
        <f t="shared" si="99"/>
        <v>0.11475135344682705</v>
      </c>
      <c r="AV415" s="22">
        <f t="shared" si="99"/>
        <v>0.11487194074959778</v>
      </c>
      <c r="AW415" s="22">
        <f t="shared" si="99"/>
        <v>0.11494706662841653</v>
      </c>
      <c r="AY415" s="79"/>
    </row>
    <row r="416" spans="1:51" x14ac:dyDescent="0.3">
      <c r="A416" s="95" t="str">
        <f t="shared" si="93"/>
        <v>GS Leaching</v>
      </c>
      <c r="B416" s="95" t="s">
        <v>1021</v>
      </c>
      <c r="C416" s="95" t="s">
        <v>1190</v>
      </c>
      <c r="D416" t="s">
        <v>369</v>
      </c>
      <c r="E416" t="s">
        <v>61</v>
      </c>
      <c r="F416" t="s">
        <v>63</v>
      </c>
      <c r="G416" t="s">
        <v>1193</v>
      </c>
      <c r="H416" t="s">
        <v>1194</v>
      </c>
      <c r="I416" t="s">
        <v>139</v>
      </c>
      <c r="J416" t="s">
        <v>287</v>
      </c>
      <c r="K416" s="22" t="str">
        <f t="shared" si="90"/>
        <v>NO</v>
      </c>
      <c r="L416" s="22" t="str">
        <f t="shared" si="99"/>
        <v>NO</v>
      </c>
      <c r="M416" s="22" t="str">
        <f t="shared" si="99"/>
        <v>NO</v>
      </c>
      <c r="N416" s="22" t="str">
        <f t="shared" si="99"/>
        <v>NO</v>
      </c>
      <c r="O416" s="22" t="str">
        <f t="shared" si="99"/>
        <v>NO</v>
      </c>
      <c r="P416" s="22" t="str">
        <f t="shared" si="99"/>
        <v>NO</v>
      </c>
      <c r="Q416" s="22" t="str">
        <f t="shared" si="99"/>
        <v>NO</v>
      </c>
      <c r="R416" s="22" t="str">
        <f t="shared" si="99"/>
        <v>NO</v>
      </c>
      <c r="S416" s="22" t="str">
        <f t="shared" si="99"/>
        <v>NO</v>
      </c>
      <c r="T416" s="22" t="str">
        <f t="shared" si="99"/>
        <v>NO</v>
      </c>
      <c r="U416" s="22" t="str">
        <f t="shared" si="99"/>
        <v>NO</v>
      </c>
      <c r="V416" s="22" t="str">
        <f t="shared" si="99"/>
        <v>NO</v>
      </c>
      <c r="W416" s="22" t="str">
        <f t="shared" si="99"/>
        <v>NO</v>
      </c>
      <c r="X416" s="22" t="str">
        <f t="shared" si="99"/>
        <v>NO</v>
      </c>
      <c r="Y416" s="22" t="str">
        <f t="shared" si="99"/>
        <v>NO</v>
      </c>
      <c r="Z416" s="22" t="str">
        <f t="shared" si="99"/>
        <v>NO</v>
      </c>
      <c r="AA416" s="22" t="str">
        <f t="shared" si="99"/>
        <v>NO</v>
      </c>
      <c r="AB416" s="22" t="str">
        <f t="shared" si="99"/>
        <v>NO</v>
      </c>
      <c r="AC416" s="22" t="str">
        <f t="shared" si="99"/>
        <v>NO</v>
      </c>
      <c r="AD416" s="22" t="str">
        <f t="shared" si="99"/>
        <v>NO</v>
      </c>
      <c r="AE416" s="22" t="str">
        <f t="shared" si="99"/>
        <v>NO</v>
      </c>
      <c r="AF416" s="22" t="str">
        <f t="shared" si="99"/>
        <v>NO</v>
      </c>
      <c r="AG416" s="22" t="str">
        <f t="shared" si="99"/>
        <v>NO</v>
      </c>
      <c r="AH416" s="22" t="str">
        <f t="shared" si="99"/>
        <v>NO</v>
      </c>
      <c r="AI416" s="22" t="str">
        <f t="shared" si="99"/>
        <v>NO</v>
      </c>
      <c r="AJ416" s="22" t="str">
        <f t="shared" si="99"/>
        <v>NO</v>
      </c>
      <c r="AK416" s="22" t="str">
        <f t="shared" si="99"/>
        <v>NO</v>
      </c>
      <c r="AL416" s="22" t="str">
        <f t="shared" si="99"/>
        <v>NO</v>
      </c>
      <c r="AM416" s="22" t="str">
        <f t="shared" si="99"/>
        <v>NO</v>
      </c>
      <c r="AN416" s="22" t="str">
        <f t="shared" si="99"/>
        <v>NO</v>
      </c>
      <c r="AO416" s="22" t="str">
        <f t="shared" si="99"/>
        <v>NO</v>
      </c>
      <c r="AP416" s="22" t="str">
        <f t="shared" si="99"/>
        <v>NO</v>
      </c>
      <c r="AQ416" s="22" t="str">
        <f t="shared" si="99"/>
        <v>NO</v>
      </c>
      <c r="AR416" s="22" t="str">
        <f t="shared" si="99"/>
        <v>NO</v>
      </c>
      <c r="AS416" s="22" t="str">
        <f t="shared" si="99"/>
        <v>NO</v>
      </c>
      <c r="AT416" s="22" t="str">
        <f t="shared" si="99"/>
        <v>NO</v>
      </c>
      <c r="AU416" s="22" t="str">
        <f t="shared" si="99"/>
        <v>NO</v>
      </c>
      <c r="AV416" s="22" t="str">
        <f t="shared" si="99"/>
        <v>NO</v>
      </c>
      <c r="AW416" s="22" t="str">
        <f t="shared" si="99"/>
        <v>NO</v>
      </c>
      <c r="AY416" s="79"/>
    </row>
    <row r="417" spans="1:51" x14ac:dyDescent="0.3">
      <c r="A417" s="95" t="str">
        <f t="shared" si="93"/>
        <v>GS Leaching</v>
      </c>
      <c r="B417" s="95" t="s">
        <v>1021</v>
      </c>
      <c r="C417" s="95" t="s">
        <v>1190</v>
      </c>
      <c r="D417" t="s">
        <v>369</v>
      </c>
      <c r="E417" t="s">
        <v>61</v>
      </c>
      <c r="F417" t="s">
        <v>63</v>
      </c>
      <c r="G417" t="s">
        <v>1195</v>
      </c>
      <c r="H417" t="s">
        <v>1196</v>
      </c>
      <c r="I417" t="s">
        <v>139</v>
      </c>
      <c r="J417" t="s">
        <v>287</v>
      </c>
      <c r="K417" s="22" t="str">
        <f t="shared" si="90"/>
        <v>NO</v>
      </c>
      <c r="L417" s="22" t="str">
        <f t="shared" si="99"/>
        <v>NO</v>
      </c>
      <c r="M417" s="22" t="str">
        <f t="shared" si="99"/>
        <v>NO</v>
      </c>
      <c r="N417" s="22" t="str">
        <f t="shared" si="99"/>
        <v>NO</v>
      </c>
      <c r="O417" s="22" t="str">
        <f t="shared" si="99"/>
        <v>NO</v>
      </c>
      <c r="P417" s="22" t="str">
        <f t="shared" si="99"/>
        <v>NO</v>
      </c>
      <c r="Q417" s="22" t="str">
        <f t="shared" si="99"/>
        <v>NO</v>
      </c>
      <c r="R417" s="22" t="str">
        <f t="shared" si="99"/>
        <v>NO</v>
      </c>
      <c r="S417" s="22" t="str">
        <f t="shared" si="99"/>
        <v>NO</v>
      </c>
      <c r="T417" s="22" t="str">
        <f t="shared" si="99"/>
        <v>NO</v>
      </c>
      <c r="U417" s="22" t="str">
        <f t="shared" si="99"/>
        <v>NO</v>
      </c>
      <c r="V417" s="22" t="str">
        <f t="shared" si="99"/>
        <v>NO</v>
      </c>
      <c r="W417" s="22" t="str">
        <f t="shared" si="99"/>
        <v>NO</v>
      </c>
      <c r="X417" s="22" t="str">
        <f t="shared" si="99"/>
        <v>NO</v>
      </c>
      <c r="Y417" s="22" t="str">
        <f t="shared" si="99"/>
        <v>NO</v>
      </c>
      <c r="Z417" s="22" t="str">
        <f t="shared" si="99"/>
        <v>NO</v>
      </c>
      <c r="AA417" s="22" t="str">
        <f t="shared" si="99"/>
        <v>NO</v>
      </c>
      <c r="AB417" s="22" t="str">
        <f t="shared" si="99"/>
        <v>NO</v>
      </c>
      <c r="AC417" s="22" t="str">
        <f t="shared" si="99"/>
        <v>NO</v>
      </c>
      <c r="AD417" s="22" t="str">
        <f t="shared" si="99"/>
        <v>NO</v>
      </c>
      <c r="AE417" s="22" t="str">
        <f t="shared" si="99"/>
        <v>NO</v>
      </c>
      <c r="AF417" s="22" t="str">
        <f t="shared" si="99"/>
        <v>NO</v>
      </c>
      <c r="AG417" s="22" t="str">
        <f t="shared" si="99"/>
        <v>NO</v>
      </c>
      <c r="AH417" s="22" t="str">
        <f t="shared" si="99"/>
        <v>NO</v>
      </c>
      <c r="AI417" s="22" t="str">
        <f t="shared" si="99"/>
        <v>NO</v>
      </c>
      <c r="AJ417" s="22" t="str">
        <f t="shared" si="99"/>
        <v>NO</v>
      </c>
      <c r="AK417" s="22" t="str">
        <f t="shared" si="99"/>
        <v>NO</v>
      </c>
      <c r="AL417" s="22" t="str">
        <f t="shared" si="99"/>
        <v>NO</v>
      </c>
      <c r="AM417" s="22" t="str">
        <f t="shared" si="99"/>
        <v>NO</v>
      </c>
      <c r="AN417" s="22" t="str">
        <f t="shared" si="99"/>
        <v>NO</v>
      </c>
      <c r="AO417" s="22" t="str">
        <f t="shared" si="99"/>
        <v>NO</v>
      </c>
      <c r="AP417" s="22" t="str">
        <f t="shared" si="99"/>
        <v>NO</v>
      </c>
      <c r="AQ417" s="22" t="str">
        <f t="shared" si="99"/>
        <v>NO</v>
      </c>
      <c r="AR417" s="22" t="str">
        <f t="shared" si="99"/>
        <v>NO</v>
      </c>
      <c r="AS417" s="22" t="str">
        <f t="shared" si="99"/>
        <v>NO</v>
      </c>
      <c r="AT417" s="22" t="str">
        <f t="shared" si="99"/>
        <v>NO</v>
      </c>
      <c r="AU417" s="22" t="str">
        <f t="shared" si="99"/>
        <v>NO</v>
      </c>
      <c r="AV417" s="22" t="str">
        <f t="shared" si="99"/>
        <v>NO</v>
      </c>
      <c r="AW417" s="22" t="str">
        <f t="shared" si="99"/>
        <v>NO</v>
      </c>
      <c r="AY417" s="79"/>
    </row>
    <row r="418" spans="1:51" x14ac:dyDescent="0.3">
      <c r="A418" s="95" t="str">
        <f t="shared" si="93"/>
        <v>GS Leaching</v>
      </c>
      <c r="B418" s="95" t="s">
        <v>1021</v>
      </c>
      <c r="C418" s="95" t="s">
        <v>1190</v>
      </c>
      <c r="D418" t="s">
        <v>369</v>
      </c>
      <c r="E418" t="s">
        <v>61</v>
      </c>
      <c r="F418" t="s">
        <v>63</v>
      </c>
      <c r="G418" t="s">
        <v>1197</v>
      </c>
      <c r="H418" t="s">
        <v>1198</v>
      </c>
      <c r="I418" t="s">
        <v>139</v>
      </c>
      <c r="J418" t="s">
        <v>287</v>
      </c>
      <c r="K418" s="22">
        <f t="shared" si="90"/>
        <v>1.1867590793806392E-4</v>
      </c>
      <c r="L418" s="22">
        <f t="shared" si="99"/>
        <v>1.1853617037070301E-4</v>
      </c>
      <c r="M418" s="22">
        <f t="shared" si="99"/>
        <v>1.1839643280334203E-4</v>
      </c>
      <c r="N418" s="22">
        <f t="shared" si="99"/>
        <v>1.1825669523598106E-4</v>
      </c>
      <c r="O418" s="22">
        <f t="shared" si="99"/>
        <v>1.1811695766862012E-4</v>
      </c>
      <c r="P418" s="22">
        <f t="shared" si="99"/>
        <v>1.1797722010125916E-4</v>
      </c>
      <c r="Q418" s="22">
        <f t="shared" si="99"/>
        <v>1.178374825338982E-4</v>
      </c>
      <c r="R418" s="22">
        <f t="shared" si="99"/>
        <v>1.1769774496653728E-4</v>
      </c>
      <c r="S418" s="22">
        <f t="shared" si="99"/>
        <v>1.1755800739917633E-4</v>
      </c>
      <c r="T418" s="22">
        <f t="shared" si="99"/>
        <v>1.174182698318154E-4</v>
      </c>
      <c r="U418" s="22">
        <f t="shared" si="99"/>
        <v>1.1727853226445441E-4</v>
      </c>
      <c r="V418" s="22">
        <f t="shared" si="99"/>
        <v>1.1713879469709348E-4</v>
      </c>
      <c r="W418" s="22">
        <f t="shared" si="99"/>
        <v>1.1699905712973254E-4</v>
      </c>
      <c r="X418" s="22">
        <f t="shared" si="99"/>
        <v>1.168593195623716E-4</v>
      </c>
      <c r="Y418" s="22">
        <f t="shared" si="99"/>
        <v>1.1671958199501069E-4</v>
      </c>
      <c r="Z418" s="22">
        <f t="shared" si="99"/>
        <v>1.1657984442764968E-4</v>
      </c>
      <c r="AA418" s="22">
        <f t="shared" si="99"/>
        <v>1.1644010686028878E-4</v>
      </c>
      <c r="AB418" s="22">
        <f t="shared" si="99"/>
        <v>1.1630036929292779E-4</v>
      </c>
      <c r="AC418" s="22">
        <f t="shared" si="99"/>
        <v>1.1616063172556689E-4</v>
      </c>
      <c r="AD418" s="22">
        <f t="shared" si="99"/>
        <v>1.1602089415820588E-4</v>
      </c>
      <c r="AE418" s="22">
        <f t="shared" si="99"/>
        <v>1.1588115659084502E-4</v>
      </c>
      <c r="AF418" s="22">
        <f t="shared" si="99"/>
        <v>1.1574141902348403E-4</v>
      </c>
      <c r="AG418" s="22">
        <f t="shared" si="99"/>
        <v>1.1560168145612309E-4</v>
      </c>
      <c r="AH418" s="22">
        <f t="shared" si="99"/>
        <v>1.154619438887621E-4</v>
      </c>
      <c r="AI418" s="22">
        <f t="shared" si="99"/>
        <v>1.1532220632140118E-4</v>
      </c>
      <c r="AJ418" s="22">
        <f t="shared" si="99"/>
        <v>1.1518246875404022E-4</v>
      </c>
      <c r="AK418" s="22">
        <f t="shared" si="99"/>
        <v>1.1504273118667928E-4</v>
      </c>
      <c r="AL418" s="22">
        <f t="shared" si="99"/>
        <v>1.1490299361931835E-4</v>
      </c>
      <c r="AM418" s="22">
        <f t="shared" si="99"/>
        <v>1.1476325605195744E-4</v>
      </c>
      <c r="AN418" s="22">
        <f t="shared" si="99"/>
        <v>1.1462351848459642E-4</v>
      </c>
      <c r="AO418" s="22">
        <f t="shared" si="99"/>
        <v>1.1448378091723552E-4</v>
      </c>
      <c r="AP418" s="22">
        <f t="shared" si="99"/>
        <v>1.1434404334987458E-4</v>
      </c>
      <c r="AQ418" s="22">
        <f t="shared" si="99"/>
        <v>1.1420430578251366E-4</v>
      </c>
      <c r="AR418" s="22">
        <f t="shared" si="99"/>
        <v>1.1406456821515268E-4</v>
      </c>
      <c r="AS418" s="22">
        <f t="shared" si="99"/>
        <v>1.1392483064779174E-4</v>
      </c>
      <c r="AT418" s="22">
        <f t="shared" si="99"/>
        <v>1.1378509308043078E-4</v>
      </c>
      <c r="AU418" s="22">
        <f t="shared" si="99"/>
        <v>1.136453555130698E-4</v>
      </c>
      <c r="AV418" s="22">
        <f t="shared" si="99"/>
        <v>1.1350561794570888E-4</v>
      </c>
      <c r="AW418" s="22">
        <f t="shared" si="99"/>
        <v>1.1336588037834792E-4</v>
      </c>
      <c r="AY418" s="79"/>
    </row>
    <row r="419" spans="1:51" x14ac:dyDescent="0.3">
      <c r="A419" s="95" t="str">
        <f t="shared" si="93"/>
        <v>GS Leaching</v>
      </c>
      <c r="B419" s="95" t="s">
        <v>1021</v>
      </c>
      <c r="C419" s="95" t="s">
        <v>1190</v>
      </c>
      <c r="D419" t="s">
        <v>369</v>
      </c>
      <c r="E419" t="s">
        <v>61</v>
      </c>
      <c r="F419" t="s">
        <v>63</v>
      </c>
      <c r="G419" t="s">
        <v>1199</v>
      </c>
      <c r="H419" t="s">
        <v>1200</v>
      </c>
      <c r="I419" t="s">
        <v>139</v>
      </c>
      <c r="J419" t="s">
        <v>287</v>
      </c>
      <c r="K419" s="22">
        <f t="shared" si="90"/>
        <v>1.6912231388729011E-2</v>
      </c>
      <c r="L419" s="22">
        <f t="shared" si="99"/>
        <v>1.6951420148247919E-2</v>
      </c>
      <c r="M419" s="22">
        <f t="shared" si="99"/>
        <v>1.6990608907766828E-2</v>
      </c>
      <c r="N419" s="22">
        <f t="shared" si="99"/>
        <v>1.702979766728574E-2</v>
      </c>
      <c r="O419" s="22">
        <f t="shared" si="99"/>
        <v>1.7068986426804648E-2</v>
      </c>
      <c r="P419" s="22">
        <f t="shared" si="99"/>
        <v>1.7108175186323554E-2</v>
      </c>
      <c r="Q419" s="22">
        <f t="shared" si="99"/>
        <v>1.7147363945842466E-2</v>
      </c>
      <c r="R419" s="22">
        <f t="shared" si="99"/>
        <v>1.7186552705361371E-2</v>
      </c>
      <c r="S419" s="22">
        <f t="shared" si="99"/>
        <v>1.7225741464880276E-2</v>
      </c>
      <c r="T419" s="22">
        <f t="shared" si="99"/>
        <v>1.7264930224399191E-2</v>
      </c>
      <c r="U419" s="22">
        <f t="shared" si="99"/>
        <v>1.7304118983918097E-2</v>
      </c>
      <c r="V419" s="22">
        <f t="shared" si="99"/>
        <v>1.7343307743437009E-2</v>
      </c>
      <c r="W419" s="22">
        <f t="shared" si="99"/>
        <v>1.7382496502955917E-2</v>
      </c>
      <c r="X419" s="22">
        <f t="shared" si="99"/>
        <v>1.7421685262474829E-2</v>
      </c>
      <c r="Y419" s="22">
        <f t="shared" si="99"/>
        <v>1.7460874021993734E-2</v>
      </c>
      <c r="Z419" s="22">
        <f t="shared" si="99"/>
        <v>1.750006278151265E-2</v>
      </c>
      <c r="AA419" s="22">
        <f t="shared" si="99"/>
        <v>1.7539251541031548E-2</v>
      </c>
      <c r="AB419" s="22">
        <f t="shared" si="99"/>
        <v>1.7578440300550464E-2</v>
      </c>
      <c r="AC419" s="22">
        <f t="shared" si="99"/>
        <v>1.7617629060069376E-2</v>
      </c>
      <c r="AD419" s="22">
        <f t="shared" si="99"/>
        <v>1.7656817819588281E-2</v>
      </c>
      <c r="AE419" s="22">
        <f t="shared" si="99"/>
        <v>1.769600657910719E-2</v>
      </c>
      <c r="AF419" s="22">
        <f t="shared" si="99"/>
        <v>1.7735195338626102E-2</v>
      </c>
      <c r="AG419" s="22">
        <f t="shared" si="99"/>
        <v>1.777438409814501E-2</v>
      </c>
      <c r="AH419" s="22">
        <f t="shared" si="99"/>
        <v>1.7813572857663919E-2</v>
      </c>
      <c r="AI419" s="22">
        <f t="shared" si="99"/>
        <v>1.7852761617182831E-2</v>
      </c>
      <c r="AJ419" s="22">
        <f t="shared" si="99"/>
        <v>1.7891950376701736E-2</v>
      </c>
      <c r="AK419" s="22">
        <f t="shared" si="99"/>
        <v>1.7931139136220645E-2</v>
      </c>
      <c r="AL419" s="22">
        <f t="shared" si="99"/>
        <v>1.7970327895739557E-2</v>
      </c>
      <c r="AM419" s="22">
        <f t="shared" si="99"/>
        <v>1.8009516655258465E-2</v>
      </c>
      <c r="AN419" s="22">
        <f t="shared" si="99"/>
        <v>1.8048705414777374E-2</v>
      </c>
      <c r="AO419" s="22">
        <f t="shared" si="99"/>
        <v>1.8087894174296286E-2</v>
      </c>
      <c r="AP419" s="22">
        <f t="shared" si="99"/>
        <v>1.8127082933815188E-2</v>
      </c>
      <c r="AQ419" s="22">
        <f t="shared" si="99"/>
        <v>1.8166271693334096E-2</v>
      </c>
      <c r="AR419" s="22">
        <f t="shared" si="99"/>
        <v>1.8205460452853015E-2</v>
      </c>
      <c r="AS419" s="22">
        <f t="shared" si="99"/>
        <v>1.8244649212371917E-2</v>
      </c>
      <c r="AT419" s="22">
        <f t="shared" si="99"/>
        <v>1.8283837971890825E-2</v>
      </c>
      <c r="AU419" s="22">
        <f t="shared" si="99"/>
        <v>1.8323026731409734E-2</v>
      </c>
      <c r="AV419" s="22">
        <f t="shared" si="99"/>
        <v>1.8362215490928643E-2</v>
      </c>
      <c r="AW419" s="22">
        <f t="shared" si="99"/>
        <v>1.8401404250447555E-2</v>
      </c>
      <c r="AY419" s="79"/>
    </row>
    <row r="420" spans="1:51" x14ac:dyDescent="0.3">
      <c r="A420" s="95" t="str">
        <f t="shared" si="93"/>
        <v>GS Leaching</v>
      </c>
      <c r="B420" s="95" t="s">
        <v>1021</v>
      </c>
      <c r="C420" s="95" t="s">
        <v>1190</v>
      </c>
      <c r="D420" t="s">
        <v>369</v>
      </c>
      <c r="E420" t="s">
        <v>61</v>
      </c>
      <c r="F420" t="s">
        <v>63</v>
      </c>
      <c r="G420" t="s">
        <v>1201</v>
      </c>
      <c r="H420" t="s">
        <v>1202</v>
      </c>
      <c r="I420" t="s">
        <v>139</v>
      </c>
      <c r="J420" t="s">
        <v>287</v>
      </c>
      <c r="K420" s="22">
        <f t="shared" si="90"/>
        <v>1.9871041213735664E-2</v>
      </c>
      <c r="L420" s="22">
        <f t="shared" si="99"/>
        <v>1.9871041213735664E-2</v>
      </c>
      <c r="M420" s="22">
        <f t="shared" si="99"/>
        <v>1.9871041213735664E-2</v>
      </c>
      <c r="N420" s="22">
        <f t="shared" si="99"/>
        <v>1.9871041213735664E-2</v>
      </c>
      <c r="O420" s="22">
        <f t="shared" si="99"/>
        <v>1.9871041213735664E-2</v>
      </c>
      <c r="P420" s="22">
        <f t="shared" si="99"/>
        <v>1.9871041213735664E-2</v>
      </c>
      <c r="Q420" s="22">
        <f t="shared" si="99"/>
        <v>1.9871041213735664E-2</v>
      </c>
      <c r="R420" s="22">
        <f t="shared" si="99"/>
        <v>1.9871041213735664E-2</v>
      </c>
      <c r="S420" s="22">
        <f t="shared" si="99"/>
        <v>1.9871041213735664E-2</v>
      </c>
      <c r="T420" s="22">
        <f t="shared" si="99"/>
        <v>1.9871041213735664E-2</v>
      </c>
      <c r="U420" s="22">
        <f t="shared" si="99"/>
        <v>1.9871041213735664E-2</v>
      </c>
      <c r="V420" s="22">
        <f t="shared" si="99"/>
        <v>1.9871041213735664E-2</v>
      </c>
      <c r="W420" s="22">
        <f t="shared" si="99"/>
        <v>1.9871041213735664E-2</v>
      </c>
      <c r="X420" s="22">
        <f t="shared" si="99"/>
        <v>1.9871041213735664E-2</v>
      </c>
      <c r="Y420" s="22">
        <f t="shared" si="99"/>
        <v>1.9871041213735664E-2</v>
      </c>
      <c r="Z420" s="22">
        <f t="shared" si="99"/>
        <v>1.9871041213735664E-2</v>
      </c>
      <c r="AA420" s="22">
        <f t="shared" si="99"/>
        <v>1.9871041213735664E-2</v>
      </c>
      <c r="AB420" s="22">
        <f t="shared" si="99"/>
        <v>1.9871041213735664E-2</v>
      </c>
      <c r="AC420" s="22">
        <f t="shared" si="99"/>
        <v>1.9871041213735664E-2</v>
      </c>
      <c r="AD420" s="22">
        <f t="shared" si="99"/>
        <v>1.9871041213735664E-2</v>
      </c>
      <c r="AE420" s="22">
        <f t="shared" si="99"/>
        <v>1.9871041213735664E-2</v>
      </c>
      <c r="AF420" s="22">
        <f t="shared" si="99"/>
        <v>1.9871041213735664E-2</v>
      </c>
      <c r="AG420" s="22">
        <f t="shared" si="99"/>
        <v>1.9871041213735664E-2</v>
      </c>
      <c r="AH420" s="22">
        <f t="shared" si="99"/>
        <v>1.9871041213735664E-2</v>
      </c>
      <c r="AI420" s="22">
        <f t="shared" si="99"/>
        <v>1.9871041213735664E-2</v>
      </c>
      <c r="AJ420" s="22">
        <f t="shared" si="99"/>
        <v>1.9871041213735664E-2</v>
      </c>
      <c r="AK420" s="22">
        <f t="shared" si="99"/>
        <v>1.9871041213735664E-2</v>
      </c>
      <c r="AL420" s="22">
        <f t="shared" si="99"/>
        <v>1.9871041213735664E-2</v>
      </c>
      <c r="AM420" s="22">
        <f t="shared" si="99"/>
        <v>1.9871041213735664E-2</v>
      </c>
      <c r="AN420" s="22">
        <f t="shared" si="99"/>
        <v>1.9871041213735664E-2</v>
      </c>
      <c r="AO420" s="22">
        <f t="shared" si="99"/>
        <v>1.9871041213735664E-2</v>
      </c>
      <c r="AP420" s="22">
        <f t="shared" ref="L420:AW427" si="100">AP1523</f>
        <v>1.9871041213735664E-2</v>
      </c>
      <c r="AQ420" s="22">
        <f t="shared" si="100"/>
        <v>1.9871041213735664E-2</v>
      </c>
      <c r="AR420" s="22">
        <f t="shared" si="100"/>
        <v>1.9871041213735664E-2</v>
      </c>
      <c r="AS420" s="22">
        <f t="shared" si="100"/>
        <v>1.9871041213735664E-2</v>
      </c>
      <c r="AT420" s="22">
        <f t="shared" si="100"/>
        <v>1.9871041213735664E-2</v>
      </c>
      <c r="AU420" s="22">
        <f t="shared" si="100"/>
        <v>1.9871041213735664E-2</v>
      </c>
      <c r="AV420" s="22">
        <f t="shared" si="100"/>
        <v>1.9871041213735664E-2</v>
      </c>
      <c r="AW420" s="22">
        <f t="shared" si="100"/>
        <v>1.9871041213735664E-2</v>
      </c>
      <c r="AY420" s="79"/>
    </row>
    <row r="421" spans="1:51" x14ac:dyDescent="0.3">
      <c r="A421" s="95" t="str">
        <f t="shared" si="93"/>
        <v>GS Leaching</v>
      </c>
      <c r="B421" s="95" t="s">
        <v>1021</v>
      </c>
      <c r="C421" s="95" t="s">
        <v>1190</v>
      </c>
      <c r="D421" t="s">
        <v>369</v>
      </c>
      <c r="E421" t="s">
        <v>61</v>
      </c>
      <c r="F421" t="s">
        <v>63</v>
      </c>
      <c r="G421" t="s">
        <v>1203</v>
      </c>
      <c r="H421" t="s">
        <v>1204</v>
      </c>
      <c r="I421" t="s">
        <v>139</v>
      </c>
      <c r="J421" t="s">
        <v>287</v>
      </c>
      <c r="K421" s="22" t="str">
        <f t="shared" si="90"/>
        <v>NO</v>
      </c>
      <c r="L421" s="22" t="str">
        <f t="shared" si="100"/>
        <v>NO</v>
      </c>
      <c r="M421" s="22" t="str">
        <f t="shared" si="100"/>
        <v>NO</v>
      </c>
      <c r="N421" s="22" t="str">
        <f t="shared" si="100"/>
        <v>NO</v>
      </c>
      <c r="O421" s="22" t="str">
        <f t="shared" si="100"/>
        <v>NO</v>
      </c>
      <c r="P421" s="22" t="str">
        <f t="shared" si="100"/>
        <v>NO</v>
      </c>
      <c r="Q421" s="22" t="str">
        <f t="shared" si="100"/>
        <v>NO</v>
      </c>
      <c r="R421" s="22" t="str">
        <f t="shared" si="100"/>
        <v>NO</v>
      </c>
      <c r="S421" s="22" t="str">
        <f t="shared" si="100"/>
        <v>NO</v>
      </c>
      <c r="T421" s="22" t="str">
        <f t="shared" si="100"/>
        <v>NO</v>
      </c>
      <c r="U421" s="22" t="str">
        <f t="shared" si="100"/>
        <v>NO</v>
      </c>
      <c r="V421" s="22" t="str">
        <f t="shared" si="100"/>
        <v>NO</v>
      </c>
      <c r="W421" s="22" t="str">
        <f t="shared" si="100"/>
        <v>NO</v>
      </c>
      <c r="X421" s="22" t="str">
        <f t="shared" si="100"/>
        <v>NO</v>
      </c>
      <c r="Y421" s="22" t="str">
        <f t="shared" si="100"/>
        <v>NO</v>
      </c>
      <c r="Z421" s="22" t="str">
        <f t="shared" si="100"/>
        <v>NO</v>
      </c>
      <c r="AA421" s="22" t="str">
        <f t="shared" si="100"/>
        <v>NO</v>
      </c>
      <c r="AB421" s="22" t="str">
        <f t="shared" si="100"/>
        <v>NO</v>
      </c>
      <c r="AC421" s="22" t="str">
        <f t="shared" si="100"/>
        <v>NO</v>
      </c>
      <c r="AD421" s="22" t="str">
        <f t="shared" si="100"/>
        <v>NO</v>
      </c>
      <c r="AE421" s="22" t="str">
        <f t="shared" si="100"/>
        <v>NO</v>
      </c>
      <c r="AF421" s="22" t="str">
        <f t="shared" si="100"/>
        <v>NO</v>
      </c>
      <c r="AG421" s="22" t="str">
        <f t="shared" si="100"/>
        <v>NO</v>
      </c>
      <c r="AH421" s="22" t="str">
        <f t="shared" si="100"/>
        <v>NO</v>
      </c>
      <c r="AI421" s="22" t="str">
        <f t="shared" si="100"/>
        <v>NO</v>
      </c>
      <c r="AJ421" s="22" t="str">
        <f t="shared" si="100"/>
        <v>NO</v>
      </c>
      <c r="AK421" s="22" t="str">
        <f t="shared" si="100"/>
        <v>NO</v>
      </c>
      <c r="AL421" s="22" t="str">
        <f t="shared" si="100"/>
        <v>NO</v>
      </c>
      <c r="AM421" s="22" t="str">
        <f t="shared" si="100"/>
        <v>NO</v>
      </c>
      <c r="AN421" s="22" t="str">
        <f t="shared" si="100"/>
        <v>NO</v>
      </c>
      <c r="AO421" s="22" t="str">
        <f t="shared" si="100"/>
        <v>NO</v>
      </c>
      <c r="AP421" s="22" t="str">
        <f t="shared" si="100"/>
        <v>NO</v>
      </c>
      <c r="AQ421" s="22" t="str">
        <f t="shared" si="100"/>
        <v>NO</v>
      </c>
      <c r="AR421" s="22" t="str">
        <f t="shared" si="100"/>
        <v>NO</v>
      </c>
      <c r="AS421" s="22" t="str">
        <f t="shared" si="100"/>
        <v>NO</v>
      </c>
      <c r="AT421" s="22" t="str">
        <f t="shared" si="100"/>
        <v>NO</v>
      </c>
      <c r="AU421" s="22" t="str">
        <f t="shared" si="100"/>
        <v>NO</v>
      </c>
      <c r="AV421" s="22" t="str">
        <f t="shared" si="100"/>
        <v>NO</v>
      </c>
      <c r="AW421" s="22" t="str">
        <f t="shared" si="100"/>
        <v>NO</v>
      </c>
      <c r="AY421" s="79"/>
    </row>
    <row r="422" spans="1:51" x14ac:dyDescent="0.3">
      <c r="A422" s="95" t="str">
        <f t="shared" si="93"/>
        <v>GS Leaching</v>
      </c>
      <c r="B422" s="95" t="s">
        <v>1021</v>
      </c>
      <c r="C422" s="95" t="s">
        <v>1190</v>
      </c>
      <c r="D422" t="s">
        <v>369</v>
      </c>
      <c r="E422" t="s">
        <v>61</v>
      </c>
      <c r="F422" t="s">
        <v>63</v>
      </c>
      <c r="G422" t="s">
        <v>1205</v>
      </c>
      <c r="H422" t="s">
        <v>1206</v>
      </c>
      <c r="I422" t="s">
        <v>139</v>
      </c>
      <c r="J422" t="s">
        <v>287</v>
      </c>
      <c r="K422" s="22" t="str">
        <f t="shared" si="90"/>
        <v>NO</v>
      </c>
      <c r="L422" s="22" t="str">
        <f t="shared" si="100"/>
        <v>NO</v>
      </c>
      <c r="M422" s="22" t="str">
        <f t="shared" si="100"/>
        <v>NO</v>
      </c>
      <c r="N422" s="22" t="str">
        <f t="shared" si="100"/>
        <v>NO</v>
      </c>
      <c r="O422" s="22" t="str">
        <f t="shared" si="100"/>
        <v>NO</v>
      </c>
      <c r="P422" s="22" t="str">
        <f t="shared" si="100"/>
        <v>NO</v>
      </c>
      <c r="Q422" s="22" t="str">
        <f t="shared" si="100"/>
        <v>NO</v>
      </c>
      <c r="R422" s="22" t="str">
        <f t="shared" si="100"/>
        <v>NO</v>
      </c>
      <c r="S422" s="22" t="str">
        <f t="shared" si="100"/>
        <v>NO</v>
      </c>
      <c r="T422" s="22" t="str">
        <f t="shared" si="100"/>
        <v>NO</v>
      </c>
      <c r="U422" s="22" t="str">
        <f t="shared" si="100"/>
        <v>NO</v>
      </c>
      <c r="V422" s="22" t="str">
        <f t="shared" si="100"/>
        <v>NO</v>
      </c>
      <c r="W422" s="22" t="str">
        <f t="shared" si="100"/>
        <v>NO</v>
      </c>
      <c r="X422" s="22" t="str">
        <f t="shared" si="100"/>
        <v>NO</v>
      </c>
      <c r="Y422" s="22" t="str">
        <f t="shared" si="100"/>
        <v>NO</v>
      </c>
      <c r="Z422" s="22" t="str">
        <f t="shared" si="100"/>
        <v>NO</v>
      </c>
      <c r="AA422" s="22" t="str">
        <f t="shared" si="100"/>
        <v>NO</v>
      </c>
      <c r="AB422" s="22" t="str">
        <f t="shared" si="100"/>
        <v>NO</v>
      </c>
      <c r="AC422" s="22" t="str">
        <f t="shared" si="100"/>
        <v>NO</v>
      </c>
      <c r="AD422" s="22" t="str">
        <f t="shared" si="100"/>
        <v>NO</v>
      </c>
      <c r="AE422" s="22" t="str">
        <f t="shared" si="100"/>
        <v>NO</v>
      </c>
      <c r="AF422" s="22" t="str">
        <f t="shared" si="100"/>
        <v>NO</v>
      </c>
      <c r="AG422" s="22" t="str">
        <f t="shared" si="100"/>
        <v>NO</v>
      </c>
      <c r="AH422" s="22" t="str">
        <f t="shared" si="100"/>
        <v>NO</v>
      </c>
      <c r="AI422" s="22" t="str">
        <f t="shared" si="100"/>
        <v>NO</v>
      </c>
      <c r="AJ422" s="22" t="str">
        <f t="shared" si="100"/>
        <v>NO</v>
      </c>
      <c r="AK422" s="22" t="str">
        <f t="shared" si="100"/>
        <v>NO</v>
      </c>
      <c r="AL422" s="22" t="str">
        <f t="shared" si="100"/>
        <v>NO</v>
      </c>
      <c r="AM422" s="22" t="str">
        <f t="shared" si="100"/>
        <v>NO</v>
      </c>
      <c r="AN422" s="22" t="str">
        <f t="shared" si="100"/>
        <v>NO</v>
      </c>
      <c r="AO422" s="22" t="str">
        <f t="shared" si="100"/>
        <v>NO</v>
      </c>
      <c r="AP422" s="22" t="str">
        <f t="shared" si="100"/>
        <v>NO</v>
      </c>
      <c r="AQ422" s="22" t="str">
        <f t="shared" si="100"/>
        <v>NO</v>
      </c>
      <c r="AR422" s="22" t="str">
        <f t="shared" si="100"/>
        <v>NO</v>
      </c>
      <c r="AS422" s="22" t="str">
        <f t="shared" si="100"/>
        <v>NO</v>
      </c>
      <c r="AT422" s="22" t="str">
        <f t="shared" si="100"/>
        <v>NO</v>
      </c>
      <c r="AU422" s="22" t="str">
        <f t="shared" si="100"/>
        <v>NO</v>
      </c>
      <c r="AV422" s="22" t="str">
        <f t="shared" si="100"/>
        <v>NO</v>
      </c>
      <c r="AW422" s="22" t="str">
        <f t="shared" si="100"/>
        <v>NO</v>
      </c>
      <c r="AY422" s="79"/>
    </row>
    <row r="423" spans="1:51" x14ac:dyDescent="0.3">
      <c r="A423" s="95" t="str">
        <f t="shared" si="93"/>
        <v>GS Leaching</v>
      </c>
      <c r="B423" s="95" t="s">
        <v>1021</v>
      </c>
      <c r="C423" s="95" t="s">
        <v>1190</v>
      </c>
      <c r="D423" t="s">
        <v>369</v>
      </c>
      <c r="E423" t="s">
        <v>61</v>
      </c>
      <c r="F423" t="s">
        <v>63</v>
      </c>
      <c r="G423" t="s">
        <v>1207</v>
      </c>
      <c r="H423" t="s">
        <v>1208</v>
      </c>
      <c r="I423" t="s">
        <v>139</v>
      </c>
      <c r="J423" t="s">
        <v>287</v>
      </c>
      <c r="K423" s="22" t="str">
        <f t="shared" si="90"/>
        <v>NO</v>
      </c>
      <c r="L423" s="22" t="str">
        <f t="shared" si="100"/>
        <v>NO</v>
      </c>
      <c r="M423" s="22" t="str">
        <f t="shared" si="100"/>
        <v>NO</v>
      </c>
      <c r="N423" s="22" t="str">
        <f t="shared" si="100"/>
        <v>NO</v>
      </c>
      <c r="O423" s="22" t="str">
        <f t="shared" si="100"/>
        <v>NO</v>
      </c>
      <c r="P423" s="22" t="str">
        <f t="shared" si="100"/>
        <v>NO</v>
      </c>
      <c r="Q423" s="22" t="str">
        <f t="shared" si="100"/>
        <v>NO</v>
      </c>
      <c r="R423" s="22" t="str">
        <f t="shared" si="100"/>
        <v>NO</v>
      </c>
      <c r="S423" s="22" t="str">
        <f t="shared" si="100"/>
        <v>NO</v>
      </c>
      <c r="T423" s="22" t="str">
        <f t="shared" si="100"/>
        <v>NO</v>
      </c>
      <c r="U423" s="22" t="str">
        <f t="shared" si="100"/>
        <v>NO</v>
      </c>
      <c r="V423" s="22" t="str">
        <f t="shared" si="100"/>
        <v>NO</v>
      </c>
      <c r="W423" s="22" t="str">
        <f t="shared" si="100"/>
        <v>NO</v>
      </c>
      <c r="X423" s="22" t="str">
        <f t="shared" si="100"/>
        <v>NO</v>
      </c>
      <c r="Y423" s="22" t="str">
        <f t="shared" si="100"/>
        <v>NO</v>
      </c>
      <c r="Z423" s="22" t="str">
        <f t="shared" si="100"/>
        <v>NO</v>
      </c>
      <c r="AA423" s="22" t="str">
        <f t="shared" si="100"/>
        <v>NO</v>
      </c>
      <c r="AB423" s="22" t="str">
        <f t="shared" si="100"/>
        <v>NO</v>
      </c>
      <c r="AC423" s="22" t="str">
        <f t="shared" si="100"/>
        <v>NO</v>
      </c>
      <c r="AD423" s="22" t="str">
        <f t="shared" si="100"/>
        <v>NO</v>
      </c>
      <c r="AE423" s="22" t="str">
        <f t="shared" si="100"/>
        <v>NO</v>
      </c>
      <c r="AF423" s="22" t="str">
        <f t="shared" si="100"/>
        <v>NO</v>
      </c>
      <c r="AG423" s="22" t="str">
        <f t="shared" si="100"/>
        <v>NO</v>
      </c>
      <c r="AH423" s="22" t="str">
        <f t="shared" si="100"/>
        <v>NO</v>
      </c>
      <c r="AI423" s="22" t="str">
        <f t="shared" si="100"/>
        <v>NO</v>
      </c>
      <c r="AJ423" s="22" t="str">
        <f t="shared" si="100"/>
        <v>NO</v>
      </c>
      <c r="AK423" s="22" t="str">
        <f t="shared" si="100"/>
        <v>NO</v>
      </c>
      <c r="AL423" s="22" t="str">
        <f t="shared" si="100"/>
        <v>NO</v>
      </c>
      <c r="AM423" s="22" t="str">
        <f t="shared" si="100"/>
        <v>NO</v>
      </c>
      <c r="AN423" s="22" t="str">
        <f t="shared" si="100"/>
        <v>NO</v>
      </c>
      <c r="AO423" s="22" t="str">
        <f t="shared" si="100"/>
        <v>NO</v>
      </c>
      <c r="AP423" s="22" t="str">
        <f t="shared" si="100"/>
        <v>NO</v>
      </c>
      <c r="AQ423" s="22" t="str">
        <f t="shared" si="100"/>
        <v>NO</v>
      </c>
      <c r="AR423" s="22" t="str">
        <f t="shared" si="100"/>
        <v>NO</v>
      </c>
      <c r="AS423" s="22" t="str">
        <f t="shared" si="100"/>
        <v>NO</v>
      </c>
      <c r="AT423" s="22" t="str">
        <f t="shared" si="100"/>
        <v>NO</v>
      </c>
      <c r="AU423" s="22" t="str">
        <f t="shared" si="100"/>
        <v>NO</v>
      </c>
      <c r="AV423" s="22" t="str">
        <f t="shared" si="100"/>
        <v>NO</v>
      </c>
      <c r="AW423" s="22" t="str">
        <f t="shared" si="100"/>
        <v>NO</v>
      </c>
      <c r="AY423" s="79"/>
    </row>
    <row r="424" spans="1:51" x14ac:dyDescent="0.3">
      <c r="A424" s="95" t="str">
        <f t="shared" si="93"/>
        <v>GS Leaching</v>
      </c>
      <c r="B424" s="95" t="s">
        <v>1021</v>
      </c>
      <c r="C424" s="95" t="s">
        <v>1190</v>
      </c>
      <c r="D424" t="s">
        <v>369</v>
      </c>
      <c r="E424" t="s">
        <v>61</v>
      </c>
      <c r="F424" t="s">
        <v>63</v>
      </c>
      <c r="G424" t="s">
        <v>1209</v>
      </c>
      <c r="H424" t="s">
        <v>1210</v>
      </c>
      <c r="I424" t="s">
        <v>139</v>
      </c>
      <c r="J424" t="s">
        <v>287</v>
      </c>
      <c r="K424" s="22">
        <f t="shared" si="90"/>
        <v>1.9333864620707719E-6</v>
      </c>
      <c r="L424" s="22">
        <f t="shared" si="100"/>
        <v>1.9333864620707719E-6</v>
      </c>
      <c r="M424" s="22">
        <f t="shared" si="100"/>
        <v>1.9333864620707719E-6</v>
      </c>
      <c r="N424" s="22">
        <f t="shared" si="100"/>
        <v>1.9333864620707719E-6</v>
      </c>
      <c r="O424" s="22">
        <f t="shared" si="100"/>
        <v>1.9333864620707719E-6</v>
      </c>
      <c r="P424" s="22">
        <f t="shared" si="100"/>
        <v>1.9333864620707719E-6</v>
      </c>
      <c r="Q424" s="22">
        <f t="shared" si="100"/>
        <v>1.9333864620707719E-6</v>
      </c>
      <c r="R424" s="22">
        <f t="shared" si="100"/>
        <v>1.9333864620707719E-6</v>
      </c>
      <c r="S424" s="22">
        <f t="shared" si="100"/>
        <v>1.9333864620707719E-6</v>
      </c>
      <c r="T424" s="22">
        <f t="shared" si="100"/>
        <v>1.9333864620707719E-6</v>
      </c>
      <c r="U424" s="22">
        <f t="shared" si="100"/>
        <v>1.9333864620707719E-6</v>
      </c>
      <c r="V424" s="22">
        <f t="shared" si="100"/>
        <v>1.9333864620707719E-6</v>
      </c>
      <c r="W424" s="22">
        <f t="shared" si="100"/>
        <v>1.9333864620707719E-6</v>
      </c>
      <c r="X424" s="22">
        <f t="shared" si="100"/>
        <v>1.9333864620707719E-6</v>
      </c>
      <c r="Y424" s="22">
        <f t="shared" si="100"/>
        <v>1.9333864620707719E-6</v>
      </c>
      <c r="Z424" s="22">
        <f t="shared" si="100"/>
        <v>1.9333864620707719E-6</v>
      </c>
      <c r="AA424" s="22">
        <f t="shared" si="100"/>
        <v>1.9333864620707719E-6</v>
      </c>
      <c r="AB424" s="22">
        <f t="shared" si="100"/>
        <v>1.9333864620707719E-6</v>
      </c>
      <c r="AC424" s="22">
        <f t="shared" si="100"/>
        <v>1.9333864620707719E-6</v>
      </c>
      <c r="AD424" s="22">
        <f t="shared" si="100"/>
        <v>1.9333864620707719E-6</v>
      </c>
      <c r="AE424" s="22">
        <f t="shared" si="100"/>
        <v>1.9333864620707719E-6</v>
      </c>
      <c r="AF424" s="22">
        <f t="shared" si="100"/>
        <v>1.9333864620707719E-6</v>
      </c>
      <c r="AG424" s="22">
        <f t="shared" si="100"/>
        <v>1.9333864620707719E-6</v>
      </c>
      <c r="AH424" s="22">
        <f t="shared" si="100"/>
        <v>1.9333864620707719E-6</v>
      </c>
      <c r="AI424" s="22">
        <f t="shared" si="100"/>
        <v>1.9333864620707719E-6</v>
      </c>
      <c r="AJ424" s="22">
        <f t="shared" si="100"/>
        <v>1.9333864620707719E-6</v>
      </c>
      <c r="AK424" s="22">
        <f t="shared" si="100"/>
        <v>1.9333864620707719E-6</v>
      </c>
      <c r="AL424" s="22">
        <f t="shared" si="100"/>
        <v>1.9333864620707719E-6</v>
      </c>
      <c r="AM424" s="22">
        <f t="shared" si="100"/>
        <v>1.9333864620707719E-6</v>
      </c>
      <c r="AN424" s="22">
        <f t="shared" si="100"/>
        <v>1.9333864620707719E-6</v>
      </c>
      <c r="AO424" s="22">
        <f t="shared" si="100"/>
        <v>1.9333864620707719E-6</v>
      </c>
      <c r="AP424" s="22">
        <f t="shared" si="100"/>
        <v>1.9333864620707719E-6</v>
      </c>
      <c r="AQ424" s="22">
        <f t="shared" si="100"/>
        <v>1.9333864620707719E-6</v>
      </c>
      <c r="AR424" s="22">
        <f t="shared" si="100"/>
        <v>1.9333864620707719E-6</v>
      </c>
      <c r="AS424" s="22">
        <f t="shared" si="100"/>
        <v>1.9333864620707719E-6</v>
      </c>
      <c r="AT424" s="22">
        <f t="shared" si="100"/>
        <v>1.9333864620707719E-6</v>
      </c>
      <c r="AU424" s="22">
        <f t="shared" si="100"/>
        <v>1.9333864620707719E-6</v>
      </c>
      <c r="AV424" s="22">
        <f t="shared" si="100"/>
        <v>1.9333864620707719E-6</v>
      </c>
      <c r="AW424" s="22">
        <f t="shared" si="100"/>
        <v>1.9333864620707719E-6</v>
      </c>
      <c r="AY424" s="79"/>
    </row>
    <row r="425" spans="1:51" x14ac:dyDescent="0.3">
      <c r="A425" s="95" t="str">
        <f t="shared" si="93"/>
        <v>GS Leaching</v>
      </c>
      <c r="B425" s="95" t="s">
        <v>1021</v>
      </c>
      <c r="C425" s="95" t="s">
        <v>1190</v>
      </c>
      <c r="D425" t="s">
        <v>369</v>
      </c>
      <c r="E425" t="s">
        <v>61</v>
      </c>
      <c r="F425" t="s">
        <v>63</v>
      </c>
      <c r="G425" t="s">
        <v>1211</v>
      </c>
      <c r="H425" t="s">
        <v>1212</v>
      </c>
      <c r="I425" t="s">
        <v>139</v>
      </c>
      <c r="J425" t="s">
        <v>287</v>
      </c>
      <c r="K425" s="22">
        <f t="shared" ref="K425:Z459" si="101">K1528</f>
        <v>2.1082459751876198E-3</v>
      </c>
      <c r="L425" s="22">
        <f t="shared" si="101"/>
        <v>2.1082459751876198E-3</v>
      </c>
      <c r="M425" s="22">
        <f t="shared" si="101"/>
        <v>2.1082459751876198E-3</v>
      </c>
      <c r="N425" s="22">
        <f t="shared" si="101"/>
        <v>2.1082459751876198E-3</v>
      </c>
      <c r="O425" s="22">
        <f t="shared" si="101"/>
        <v>2.1082459751876198E-3</v>
      </c>
      <c r="P425" s="22">
        <f t="shared" si="101"/>
        <v>2.1082459751876198E-3</v>
      </c>
      <c r="Q425" s="22">
        <f t="shared" si="101"/>
        <v>2.1082459751876198E-3</v>
      </c>
      <c r="R425" s="22">
        <f t="shared" si="101"/>
        <v>2.1082459751876198E-3</v>
      </c>
      <c r="S425" s="22">
        <f t="shared" si="101"/>
        <v>2.1082459751876198E-3</v>
      </c>
      <c r="T425" s="22">
        <f t="shared" si="101"/>
        <v>2.1082459751876198E-3</v>
      </c>
      <c r="U425" s="22">
        <f t="shared" si="101"/>
        <v>2.1082459751876198E-3</v>
      </c>
      <c r="V425" s="22">
        <f t="shared" si="101"/>
        <v>2.1082459751876198E-3</v>
      </c>
      <c r="W425" s="22">
        <f t="shared" si="101"/>
        <v>2.1082459751876198E-3</v>
      </c>
      <c r="X425" s="22">
        <f t="shared" si="101"/>
        <v>2.1082459751876198E-3</v>
      </c>
      <c r="Y425" s="22">
        <f t="shared" si="101"/>
        <v>2.1082459751876198E-3</v>
      </c>
      <c r="Z425" s="22">
        <f t="shared" si="101"/>
        <v>2.1082459751876198E-3</v>
      </c>
      <c r="AA425" s="22">
        <f t="shared" si="100"/>
        <v>2.1082459751876198E-3</v>
      </c>
      <c r="AB425" s="22">
        <f t="shared" si="100"/>
        <v>2.1082459751876198E-3</v>
      </c>
      <c r="AC425" s="22">
        <f t="shared" si="100"/>
        <v>2.1082459751876198E-3</v>
      </c>
      <c r="AD425" s="22">
        <f t="shared" si="100"/>
        <v>2.1082459751876198E-3</v>
      </c>
      <c r="AE425" s="22">
        <f t="shared" si="100"/>
        <v>2.1082459751876198E-3</v>
      </c>
      <c r="AF425" s="22">
        <f t="shared" si="100"/>
        <v>2.1082459751876198E-3</v>
      </c>
      <c r="AG425" s="22">
        <f t="shared" si="100"/>
        <v>2.1082459751876198E-3</v>
      </c>
      <c r="AH425" s="22">
        <f t="shared" si="100"/>
        <v>2.1082459751876198E-3</v>
      </c>
      <c r="AI425" s="22">
        <f t="shared" si="100"/>
        <v>2.1082459751876198E-3</v>
      </c>
      <c r="AJ425" s="22">
        <f t="shared" si="100"/>
        <v>2.1082459751876198E-3</v>
      </c>
      <c r="AK425" s="22">
        <f t="shared" si="100"/>
        <v>2.1082459751876198E-3</v>
      </c>
      <c r="AL425" s="22">
        <f t="shared" si="100"/>
        <v>2.1082459751876198E-3</v>
      </c>
      <c r="AM425" s="22">
        <f t="shared" si="100"/>
        <v>2.1082459751876198E-3</v>
      </c>
      <c r="AN425" s="22">
        <f t="shared" si="100"/>
        <v>2.1082459751876198E-3</v>
      </c>
      <c r="AO425" s="22">
        <f t="shared" si="100"/>
        <v>2.1082459751876198E-3</v>
      </c>
      <c r="AP425" s="22">
        <f t="shared" si="100"/>
        <v>2.1082459751876198E-3</v>
      </c>
      <c r="AQ425" s="22">
        <f t="shared" si="100"/>
        <v>2.1082459751876198E-3</v>
      </c>
      <c r="AR425" s="22">
        <f t="shared" si="100"/>
        <v>2.1082459751876198E-3</v>
      </c>
      <c r="AS425" s="22">
        <f t="shared" si="100"/>
        <v>2.1082459751876198E-3</v>
      </c>
      <c r="AT425" s="22">
        <f t="shared" si="100"/>
        <v>2.1082459751876198E-3</v>
      </c>
      <c r="AU425" s="22">
        <f t="shared" si="100"/>
        <v>2.1082459751876198E-3</v>
      </c>
      <c r="AV425" s="22">
        <f t="shared" si="100"/>
        <v>2.1082459751876198E-3</v>
      </c>
      <c r="AW425" s="22">
        <f t="shared" si="100"/>
        <v>2.1082459751876198E-3</v>
      </c>
      <c r="AY425" s="79"/>
    </row>
    <row r="426" spans="1:51" x14ac:dyDescent="0.3">
      <c r="A426" s="95" t="str">
        <f t="shared" si="93"/>
        <v>GS Leaching</v>
      </c>
      <c r="B426" s="95" t="s">
        <v>1021</v>
      </c>
      <c r="C426" s="95" t="s">
        <v>1190</v>
      </c>
      <c r="D426" t="s">
        <v>369</v>
      </c>
      <c r="E426" t="s">
        <v>61</v>
      </c>
      <c r="F426" t="s">
        <v>63</v>
      </c>
      <c r="G426" t="s">
        <v>1213</v>
      </c>
      <c r="H426" t="s">
        <v>1214</v>
      </c>
      <c r="I426" t="s">
        <v>139</v>
      </c>
      <c r="J426" t="s">
        <v>287</v>
      </c>
      <c r="K426" s="22" t="str">
        <f t="shared" si="101"/>
        <v>NO</v>
      </c>
      <c r="L426" s="22" t="str">
        <f t="shared" si="100"/>
        <v>NO</v>
      </c>
      <c r="M426" s="22" t="str">
        <f t="shared" si="100"/>
        <v>NO</v>
      </c>
      <c r="N426" s="22" t="str">
        <f t="shared" si="100"/>
        <v>NO</v>
      </c>
      <c r="O426" s="22" t="str">
        <f t="shared" si="100"/>
        <v>NO</v>
      </c>
      <c r="P426" s="22" t="str">
        <f t="shared" si="100"/>
        <v>NO</v>
      </c>
      <c r="Q426" s="22" t="str">
        <f t="shared" si="100"/>
        <v>NO</v>
      </c>
      <c r="R426" s="22" t="str">
        <f t="shared" si="100"/>
        <v>NO</v>
      </c>
      <c r="S426" s="22" t="str">
        <f t="shared" si="100"/>
        <v>NO</v>
      </c>
      <c r="T426" s="22" t="str">
        <f t="shared" si="100"/>
        <v>NO</v>
      </c>
      <c r="U426" s="22" t="str">
        <f t="shared" si="100"/>
        <v>NO</v>
      </c>
      <c r="V426" s="22" t="str">
        <f t="shared" si="100"/>
        <v>NO</v>
      </c>
      <c r="W426" s="22" t="str">
        <f t="shared" si="100"/>
        <v>NO</v>
      </c>
      <c r="X426" s="22" t="str">
        <f t="shared" si="100"/>
        <v>NO</v>
      </c>
      <c r="Y426" s="22" t="str">
        <f t="shared" si="100"/>
        <v>NO</v>
      </c>
      <c r="Z426" s="22" t="str">
        <f t="shared" si="100"/>
        <v>NO</v>
      </c>
      <c r="AA426" s="22" t="str">
        <f t="shared" si="100"/>
        <v>NO</v>
      </c>
      <c r="AB426" s="22" t="str">
        <f t="shared" si="100"/>
        <v>NO</v>
      </c>
      <c r="AC426" s="22" t="str">
        <f t="shared" si="100"/>
        <v>NO</v>
      </c>
      <c r="AD426" s="22" t="str">
        <f t="shared" si="100"/>
        <v>NO</v>
      </c>
      <c r="AE426" s="22" t="str">
        <f t="shared" si="100"/>
        <v>NO</v>
      </c>
      <c r="AF426" s="22" t="str">
        <f t="shared" si="100"/>
        <v>NO</v>
      </c>
      <c r="AG426" s="22" t="str">
        <f t="shared" si="100"/>
        <v>NO</v>
      </c>
      <c r="AH426" s="22" t="str">
        <f t="shared" si="100"/>
        <v>NO</v>
      </c>
      <c r="AI426" s="22" t="str">
        <f t="shared" si="100"/>
        <v>NO</v>
      </c>
      <c r="AJ426" s="22" t="str">
        <f t="shared" si="100"/>
        <v>NO</v>
      </c>
      <c r="AK426" s="22" t="str">
        <f t="shared" si="100"/>
        <v>NO</v>
      </c>
      <c r="AL426" s="22" t="str">
        <f t="shared" si="100"/>
        <v>NO</v>
      </c>
      <c r="AM426" s="22" t="str">
        <f t="shared" si="100"/>
        <v>NO</v>
      </c>
      <c r="AN426" s="22" t="str">
        <f t="shared" si="100"/>
        <v>NO</v>
      </c>
      <c r="AO426" s="22" t="str">
        <f t="shared" si="100"/>
        <v>NO</v>
      </c>
      <c r="AP426" s="22" t="str">
        <f t="shared" si="100"/>
        <v>NO</v>
      </c>
      <c r="AQ426" s="22" t="str">
        <f t="shared" si="100"/>
        <v>NO</v>
      </c>
      <c r="AR426" s="22" t="str">
        <f t="shared" si="100"/>
        <v>NO</v>
      </c>
      <c r="AS426" s="22" t="str">
        <f t="shared" si="100"/>
        <v>NO</v>
      </c>
      <c r="AT426" s="22" t="str">
        <f t="shared" si="100"/>
        <v>NO</v>
      </c>
      <c r="AU426" s="22" t="str">
        <f t="shared" si="100"/>
        <v>NO</v>
      </c>
      <c r="AV426" s="22" t="str">
        <f t="shared" si="100"/>
        <v>NO</v>
      </c>
      <c r="AW426" s="22" t="str">
        <f t="shared" si="100"/>
        <v>NO</v>
      </c>
      <c r="AY426" s="79"/>
    </row>
    <row r="427" spans="1:51" x14ac:dyDescent="0.3">
      <c r="A427" s="95"/>
      <c r="B427" s="95" t="s">
        <v>1021</v>
      </c>
      <c r="C427" s="95"/>
      <c r="D427" t="s">
        <v>369</v>
      </c>
      <c r="E427" t="s">
        <v>61</v>
      </c>
      <c r="F427" t="s">
        <v>63</v>
      </c>
      <c r="G427" t="s">
        <v>1215</v>
      </c>
      <c r="H427" t="s">
        <v>1216</v>
      </c>
      <c r="I427" t="s">
        <v>139</v>
      </c>
      <c r="J427" t="s">
        <v>287</v>
      </c>
      <c r="K427" s="22">
        <f t="shared" si="101"/>
        <v>0.11026792439175388</v>
      </c>
      <c r="L427" s="22">
        <f t="shared" si="100"/>
        <v>0.11026792439175388</v>
      </c>
      <c r="M427" s="22">
        <f t="shared" si="100"/>
        <v>0.11026792439175388</v>
      </c>
      <c r="N427" s="22">
        <f t="shared" si="100"/>
        <v>0.11026792439175388</v>
      </c>
      <c r="O427" s="22">
        <f t="shared" si="100"/>
        <v>0.11026792439175388</v>
      </c>
      <c r="P427" s="22">
        <f t="shared" si="100"/>
        <v>0.11026792439175388</v>
      </c>
      <c r="Q427" s="22">
        <f t="shared" si="100"/>
        <v>0.11026792439175388</v>
      </c>
      <c r="R427" s="22">
        <f t="shared" si="100"/>
        <v>0.11026792439175388</v>
      </c>
      <c r="S427" s="22">
        <f t="shared" si="100"/>
        <v>0.11026792439175388</v>
      </c>
      <c r="T427" s="22">
        <f t="shared" si="100"/>
        <v>0.11026792439175388</v>
      </c>
      <c r="U427" s="22">
        <f t="shared" si="100"/>
        <v>0.11026792439175388</v>
      </c>
      <c r="V427" s="22">
        <f t="shared" si="100"/>
        <v>0.11026792439175388</v>
      </c>
      <c r="W427" s="22">
        <f t="shared" si="100"/>
        <v>0.11026792439175388</v>
      </c>
      <c r="X427" s="22">
        <f t="shared" si="100"/>
        <v>0.11026792439175388</v>
      </c>
      <c r="Y427" s="22">
        <f t="shared" si="100"/>
        <v>0.11026792439175388</v>
      </c>
      <c r="Z427" s="22">
        <f t="shared" si="100"/>
        <v>0.11026792439175388</v>
      </c>
      <c r="AA427" s="22">
        <f t="shared" si="100"/>
        <v>0.11026792439175388</v>
      </c>
      <c r="AB427" s="22">
        <f t="shared" si="100"/>
        <v>0.11026792439175388</v>
      </c>
      <c r="AC427" s="22">
        <f t="shared" si="100"/>
        <v>0.11026792439175388</v>
      </c>
      <c r="AD427" s="22">
        <f t="shared" si="100"/>
        <v>0.11026792439175388</v>
      </c>
      <c r="AE427" s="22">
        <f t="shared" si="100"/>
        <v>0.11026792439175388</v>
      </c>
      <c r="AF427" s="22">
        <f t="shared" si="100"/>
        <v>0.11026792439175388</v>
      </c>
      <c r="AG427" s="22">
        <f t="shared" si="100"/>
        <v>0.11026792439175388</v>
      </c>
      <c r="AH427" s="22">
        <f t="shared" si="100"/>
        <v>0.11026792439175388</v>
      </c>
      <c r="AI427" s="22">
        <f t="shared" si="100"/>
        <v>0.11026792439175388</v>
      </c>
      <c r="AJ427" s="22">
        <f t="shared" si="100"/>
        <v>0.11026792439175388</v>
      </c>
      <c r="AK427" s="22">
        <f t="shared" si="100"/>
        <v>0.11026792439175388</v>
      </c>
      <c r="AL427" s="22">
        <f t="shared" si="100"/>
        <v>0.11026792439175388</v>
      </c>
      <c r="AM427" s="22">
        <f t="shared" si="100"/>
        <v>0.11026792439175388</v>
      </c>
      <c r="AN427" s="22">
        <f t="shared" si="100"/>
        <v>0.11026792439175388</v>
      </c>
      <c r="AO427" s="22">
        <f t="shared" si="100"/>
        <v>0.11026792439175388</v>
      </c>
      <c r="AP427" s="22">
        <f t="shared" si="100"/>
        <v>0.11026792439175388</v>
      </c>
      <c r="AQ427" s="22">
        <f t="shared" si="100"/>
        <v>0.11026792439175388</v>
      </c>
      <c r="AR427" s="22">
        <f t="shared" si="100"/>
        <v>0.11026792439175388</v>
      </c>
      <c r="AS427" s="22">
        <f t="shared" si="100"/>
        <v>0.11026792439175388</v>
      </c>
      <c r="AT427" s="22">
        <f t="shared" ref="L427:AW434" si="102">AT1530</f>
        <v>0.11026792439175388</v>
      </c>
      <c r="AU427" s="22">
        <f t="shared" si="102"/>
        <v>0.11026792439175388</v>
      </c>
      <c r="AV427" s="22">
        <f t="shared" si="102"/>
        <v>0.11026792439175388</v>
      </c>
      <c r="AW427" s="22">
        <f t="shared" si="102"/>
        <v>0.11026792439175388</v>
      </c>
      <c r="AY427" s="79"/>
    </row>
    <row r="428" spans="1:51" x14ac:dyDescent="0.3">
      <c r="A428" s="95" t="str">
        <f t="shared" si="93"/>
        <v>GS MM Volatilisation</v>
      </c>
      <c r="B428" s="95" t="s">
        <v>1021</v>
      </c>
      <c r="C428" s="95" t="s">
        <v>1332</v>
      </c>
      <c r="D428" t="s">
        <v>369</v>
      </c>
      <c r="E428" t="s">
        <v>64</v>
      </c>
      <c r="F428" t="s">
        <v>62</v>
      </c>
      <c r="G428" t="s">
        <v>1152</v>
      </c>
      <c r="H428" t="s">
        <v>1290</v>
      </c>
      <c r="I428" t="s">
        <v>139</v>
      </c>
      <c r="J428" t="s">
        <v>287</v>
      </c>
      <c r="K428" s="22">
        <f t="shared" si="101"/>
        <v>0.39609736661915962</v>
      </c>
      <c r="L428" s="22">
        <f t="shared" si="102"/>
        <v>0.39831175345583031</v>
      </c>
      <c r="M428" s="22">
        <f t="shared" si="102"/>
        <v>0.40145358914715529</v>
      </c>
      <c r="N428" s="22">
        <f t="shared" si="102"/>
        <v>0.40347255325329029</v>
      </c>
      <c r="O428" s="22">
        <f t="shared" si="102"/>
        <v>0.40481416413578264</v>
      </c>
      <c r="P428" s="22">
        <f t="shared" si="102"/>
        <v>0.40546521734783814</v>
      </c>
      <c r="Q428" s="22">
        <f t="shared" si="102"/>
        <v>0.40690363619044922</v>
      </c>
      <c r="R428" s="22">
        <f t="shared" si="102"/>
        <v>0.40855374420631185</v>
      </c>
      <c r="S428" s="22">
        <f t="shared" si="102"/>
        <v>0.39627278224994505</v>
      </c>
      <c r="T428" s="22">
        <f t="shared" si="102"/>
        <v>0.40043963770604657</v>
      </c>
      <c r="U428" s="22">
        <f t="shared" si="102"/>
        <v>0.40653881152865828</v>
      </c>
      <c r="V428" s="22">
        <f t="shared" si="102"/>
        <v>0.4097001600416656</v>
      </c>
      <c r="W428" s="22">
        <f t="shared" si="102"/>
        <v>0.41331316056610856</v>
      </c>
      <c r="X428" s="22">
        <f t="shared" si="102"/>
        <v>0.41749483013247579</v>
      </c>
      <c r="Y428" s="22">
        <f t="shared" si="102"/>
        <v>0.42176510375665716</v>
      </c>
      <c r="Z428" s="22">
        <f t="shared" si="102"/>
        <v>0.42649174593727851</v>
      </c>
      <c r="AA428" s="22">
        <f t="shared" si="102"/>
        <v>0.43136480656999721</v>
      </c>
      <c r="AB428" s="22">
        <f t="shared" si="102"/>
        <v>0.43666405575288475</v>
      </c>
      <c r="AC428" s="22">
        <f t="shared" si="102"/>
        <v>0.44208284608865023</v>
      </c>
      <c r="AD428" s="22">
        <f t="shared" si="102"/>
        <v>0.44793692741043817</v>
      </c>
      <c r="AE428" s="22">
        <f t="shared" si="102"/>
        <v>0.45371177751541658</v>
      </c>
      <c r="AF428" s="22">
        <f t="shared" si="102"/>
        <v>0.45980708874384696</v>
      </c>
      <c r="AG428" s="22">
        <f t="shared" si="102"/>
        <v>0.4667018933762529</v>
      </c>
      <c r="AH428" s="22">
        <f t="shared" si="102"/>
        <v>0.47325726684756153</v>
      </c>
      <c r="AI428" s="22">
        <f t="shared" si="102"/>
        <v>0.47997976762000966</v>
      </c>
      <c r="AJ428" s="22">
        <f t="shared" si="102"/>
        <v>0.48716917791574549</v>
      </c>
      <c r="AK428" s="22">
        <f t="shared" si="102"/>
        <v>0.49390478893176154</v>
      </c>
      <c r="AL428" s="22">
        <f t="shared" si="102"/>
        <v>0.50060384763887944</v>
      </c>
      <c r="AM428" s="22">
        <f t="shared" si="102"/>
        <v>0.50728498742813199</v>
      </c>
      <c r="AN428" s="22">
        <f t="shared" si="102"/>
        <v>0.51435343301423675</v>
      </c>
      <c r="AO428" s="22">
        <f t="shared" si="102"/>
        <v>0.52113757148367401</v>
      </c>
      <c r="AP428" s="22">
        <f t="shared" si="102"/>
        <v>0.52818514749495915</v>
      </c>
      <c r="AQ428" s="22">
        <f t="shared" si="102"/>
        <v>0.5355283037572397</v>
      </c>
      <c r="AR428" s="22">
        <f t="shared" si="102"/>
        <v>0.5432187291547913</v>
      </c>
      <c r="AS428" s="22">
        <f t="shared" si="102"/>
        <v>0.55104518804876201</v>
      </c>
      <c r="AT428" s="22">
        <f t="shared" si="102"/>
        <v>0.55290077890622136</v>
      </c>
      <c r="AU428" s="22">
        <f t="shared" si="102"/>
        <v>0.55422139724319897</v>
      </c>
      <c r="AV428" s="22">
        <f t="shared" si="102"/>
        <v>0.55476247870419659</v>
      </c>
      <c r="AW428" s="22">
        <f t="shared" si="102"/>
        <v>0.55508919829714432</v>
      </c>
      <c r="AY428" s="79"/>
    </row>
    <row r="429" spans="1:51" x14ac:dyDescent="0.3">
      <c r="A429" s="95" t="str">
        <f t="shared" si="93"/>
        <v>GS MM Volatilisation</v>
      </c>
      <c r="B429" s="95" t="s">
        <v>1021</v>
      </c>
      <c r="C429" s="95" t="s">
        <v>1332</v>
      </c>
      <c r="D429" t="s">
        <v>369</v>
      </c>
      <c r="E429" t="s">
        <v>64</v>
      </c>
      <c r="F429" t="s">
        <v>62</v>
      </c>
      <c r="G429" t="s">
        <v>1154</v>
      </c>
      <c r="H429" t="s">
        <v>1291</v>
      </c>
      <c r="I429" t="s">
        <v>139</v>
      </c>
      <c r="J429" t="s">
        <v>287</v>
      </c>
      <c r="K429" s="22">
        <f t="shared" si="101"/>
        <v>3.1249813656142676E-2</v>
      </c>
      <c r="L429" s="22">
        <f t="shared" si="102"/>
        <v>3.1424516095088978E-2</v>
      </c>
      <c r="M429" s="22">
        <f t="shared" si="102"/>
        <v>3.1672388936885787E-2</v>
      </c>
      <c r="N429" s="22">
        <f t="shared" si="102"/>
        <v>3.1831673641638247E-2</v>
      </c>
      <c r="O429" s="22">
        <f t="shared" si="102"/>
        <v>3.1937519056453256E-2</v>
      </c>
      <c r="P429" s="22">
        <f t="shared" si="102"/>
        <v>3.198888342610464E-2</v>
      </c>
      <c r="Q429" s="22">
        <f t="shared" si="102"/>
        <v>3.2102366434524382E-2</v>
      </c>
      <c r="R429" s="22">
        <f t="shared" si="102"/>
        <v>3.2232550506305392E-2</v>
      </c>
      <c r="S429" s="22">
        <f t="shared" si="102"/>
        <v>3.1263652944752973E-2</v>
      </c>
      <c r="T429" s="22">
        <f t="shared" si="102"/>
        <v>3.1592393975390647E-2</v>
      </c>
      <c r="U429" s="22">
        <f t="shared" si="102"/>
        <v>3.2073583858170898E-2</v>
      </c>
      <c r="V429" s="22">
        <f t="shared" si="102"/>
        <v>3.2322996149842582E-2</v>
      </c>
      <c r="W429" s="22">
        <f t="shared" si="102"/>
        <v>3.2608041198468073E-2</v>
      </c>
      <c r="X429" s="22">
        <f t="shared" si="102"/>
        <v>3.2937950977560811E-2</v>
      </c>
      <c r="Y429" s="22">
        <f t="shared" si="102"/>
        <v>3.3274851109352674E-2</v>
      </c>
      <c r="Z429" s="22">
        <f t="shared" si="102"/>
        <v>3.3647756106486112E-2</v>
      </c>
      <c r="AA429" s="22">
        <f t="shared" si="102"/>
        <v>3.4032212680907031E-2</v>
      </c>
      <c r="AB429" s="22">
        <f t="shared" si="102"/>
        <v>3.4450293091024778E-2</v>
      </c>
      <c r="AC429" s="22">
        <f t="shared" si="102"/>
        <v>3.4877804613456062E-2</v>
      </c>
      <c r="AD429" s="22">
        <f t="shared" si="102"/>
        <v>3.5339658101640622E-2</v>
      </c>
      <c r="AE429" s="22">
        <f t="shared" si="102"/>
        <v>3.5795260700600191E-2</v>
      </c>
      <c r="AF429" s="22">
        <f t="shared" si="102"/>
        <v>3.6276145846821803E-2</v>
      </c>
      <c r="AG429" s="22">
        <f t="shared" si="102"/>
        <v>3.682010644367513E-2</v>
      </c>
      <c r="AH429" s="22">
        <f t="shared" si="102"/>
        <v>3.7337287865943425E-2</v>
      </c>
      <c r="AI429" s="22">
        <f t="shared" si="102"/>
        <v>3.7867654675082699E-2</v>
      </c>
      <c r="AJ429" s="22">
        <f t="shared" si="102"/>
        <v>3.843485797147652E-2</v>
      </c>
      <c r="AK429" s="22">
        <f t="shared" si="102"/>
        <v>3.8966259103746965E-2</v>
      </c>
      <c r="AL429" s="22">
        <f t="shared" si="102"/>
        <v>3.9494776468191543E-2</v>
      </c>
      <c r="AM429" s="22">
        <f t="shared" si="102"/>
        <v>4.0021880132643621E-2</v>
      </c>
      <c r="AN429" s="22">
        <f t="shared" si="102"/>
        <v>4.0579540006249255E-2</v>
      </c>
      <c r="AO429" s="22">
        <f t="shared" si="102"/>
        <v>4.1114769676663131E-2</v>
      </c>
      <c r="AP429" s="22">
        <f t="shared" si="102"/>
        <v>4.167078306034188E-2</v>
      </c>
      <c r="AQ429" s="22">
        <f t="shared" si="102"/>
        <v>4.2250116032946157E-2</v>
      </c>
      <c r="AR429" s="22">
        <f t="shared" si="102"/>
        <v>4.2856846551407354E-2</v>
      </c>
      <c r="AS429" s="22">
        <f t="shared" si="102"/>
        <v>4.3474309333630792E-2</v>
      </c>
      <c r="AT429" s="22">
        <f t="shared" si="102"/>
        <v>4.3620704824751035E-2</v>
      </c>
      <c r="AU429" s="22">
        <f t="shared" si="102"/>
        <v>4.3724894047955633E-2</v>
      </c>
      <c r="AV429" s="22">
        <f t="shared" si="102"/>
        <v>4.376758227629024E-2</v>
      </c>
      <c r="AW429" s="22">
        <f t="shared" si="102"/>
        <v>4.3793358580951298E-2</v>
      </c>
      <c r="AY429" s="79"/>
    </row>
    <row r="430" spans="1:51" x14ac:dyDescent="0.3">
      <c r="A430" s="95" t="str">
        <f t="shared" si="93"/>
        <v>GS MM Volatilisation</v>
      </c>
      <c r="B430" s="95" t="s">
        <v>1021</v>
      </c>
      <c r="C430" s="95" t="s">
        <v>1332</v>
      </c>
      <c r="D430" t="s">
        <v>369</v>
      </c>
      <c r="E430" t="s">
        <v>64</v>
      </c>
      <c r="F430" t="s">
        <v>62</v>
      </c>
      <c r="G430" t="s">
        <v>1156</v>
      </c>
      <c r="H430" t="s">
        <v>1292</v>
      </c>
      <c r="I430" t="s">
        <v>139</v>
      </c>
      <c r="J430" t="s">
        <v>287</v>
      </c>
      <c r="K430" s="22">
        <f t="shared" si="101"/>
        <v>2.8967336997006343E-4</v>
      </c>
      <c r="L430" s="22">
        <f t="shared" si="102"/>
        <v>2.9129279224209415E-4</v>
      </c>
      <c r="M430" s="22">
        <f t="shared" si="102"/>
        <v>2.9359047510821973E-4</v>
      </c>
      <c r="N430" s="22">
        <f t="shared" si="102"/>
        <v>2.9506698110336069E-4</v>
      </c>
      <c r="O430" s="22">
        <f t="shared" si="102"/>
        <v>2.9604812609010248E-4</v>
      </c>
      <c r="P430" s="22">
        <f t="shared" si="102"/>
        <v>2.9652425341095714E-4</v>
      </c>
      <c r="Q430" s="22">
        <f t="shared" si="102"/>
        <v>2.9757619585915883E-4</v>
      </c>
      <c r="R430" s="22">
        <f t="shared" si="102"/>
        <v>2.9878295053629647E-4</v>
      </c>
      <c r="S430" s="22">
        <f t="shared" si="102"/>
        <v>2.8980165468285715E-4</v>
      </c>
      <c r="T430" s="22">
        <f t="shared" si="102"/>
        <v>2.9284895356406268E-4</v>
      </c>
      <c r="U430" s="22">
        <f t="shared" si="102"/>
        <v>2.9730939279977176E-4</v>
      </c>
      <c r="V430" s="22">
        <f t="shared" si="102"/>
        <v>2.996213457552509E-4</v>
      </c>
      <c r="W430" s="22">
        <f t="shared" si="102"/>
        <v>3.0226360022553945E-4</v>
      </c>
      <c r="X430" s="22">
        <f t="shared" si="102"/>
        <v>3.0532173294106326E-4</v>
      </c>
      <c r="Y430" s="22">
        <f t="shared" si="102"/>
        <v>3.084446634517329E-4</v>
      </c>
      <c r="Z430" s="22">
        <f t="shared" si="102"/>
        <v>3.1190134477428172E-4</v>
      </c>
      <c r="AA430" s="22">
        <f t="shared" si="102"/>
        <v>3.1546510463362291E-4</v>
      </c>
      <c r="AB430" s="22">
        <f t="shared" si="102"/>
        <v>3.1934054410503462E-4</v>
      </c>
      <c r="AC430" s="22">
        <f t="shared" si="102"/>
        <v>3.2330340624451355E-4</v>
      </c>
      <c r="AD430" s="22">
        <f t="shared" si="102"/>
        <v>3.2758460477667038E-4</v>
      </c>
      <c r="AE430" s="22">
        <f t="shared" si="102"/>
        <v>3.3180786004660364E-4</v>
      </c>
      <c r="AF430" s="22">
        <f t="shared" si="102"/>
        <v>3.3626547449535976E-4</v>
      </c>
      <c r="AG430" s="22">
        <f t="shared" si="102"/>
        <v>3.4130777333769093E-4</v>
      </c>
      <c r="AH430" s="22">
        <f t="shared" si="102"/>
        <v>3.4610183985990577E-4</v>
      </c>
      <c r="AI430" s="22">
        <f t="shared" si="102"/>
        <v>3.5101812968531553E-4</v>
      </c>
      <c r="AJ430" s="22">
        <f t="shared" si="102"/>
        <v>3.5627587912767834E-4</v>
      </c>
      <c r="AK430" s="22">
        <f t="shared" si="102"/>
        <v>3.6120175671800533E-4</v>
      </c>
      <c r="AL430" s="22">
        <f t="shared" si="102"/>
        <v>3.661009029251144E-4</v>
      </c>
      <c r="AM430" s="22">
        <f t="shared" si="102"/>
        <v>3.7098694469437114E-4</v>
      </c>
      <c r="AN430" s="22">
        <f t="shared" si="102"/>
        <v>3.7615623039514106E-4</v>
      </c>
      <c r="AO430" s="22">
        <f t="shared" si="102"/>
        <v>3.8111759701456354E-4</v>
      </c>
      <c r="AP430" s="22">
        <f t="shared" si="102"/>
        <v>3.8627162040718048E-4</v>
      </c>
      <c r="AQ430" s="22">
        <f t="shared" si="102"/>
        <v>3.916418071339122E-4</v>
      </c>
      <c r="AR430" s="22">
        <f t="shared" si="102"/>
        <v>3.9726595823702738E-4</v>
      </c>
      <c r="AS430" s="22">
        <f t="shared" si="102"/>
        <v>4.0298959316573016E-4</v>
      </c>
      <c r="AT430" s="22">
        <f t="shared" si="102"/>
        <v>4.0434662126605264E-4</v>
      </c>
      <c r="AU430" s="22">
        <f t="shared" si="102"/>
        <v>4.0531241401388569E-4</v>
      </c>
      <c r="AV430" s="22">
        <f t="shared" si="102"/>
        <v>4.0570811694817522E-4</v>
      </c>
      <c r="AW430" s="22">
        <f t="shared" si="102"/>
        <v>4.0594705306212152E-4</v>
      </c>
      <c r="AY430" s="79"/>
    </row>
    <row r="431" spans="1:51" x14ac:dyDescent="0.3">
      <c r="A431" s="95" t="str">
        <f t="shared" si="93"/>
        <v>GS MM Volatilisation</v>
      </c>
      <c r="B431" s="95" t="s">
        <v>1021</v>
      </c>
      <c r="C431" s="95" t="s">
        <v>1332</v>
      </c>
      <c r="D431" t="s">
        <v>369</v>
      </c>
      <c r="E431" t="s">
        <v>64</v>
      </c>
      <c r="F431" t="s">
        <v>62</v>
      </c>
      <c r="G431" t="s">
        <v>1158</v>
      </c>
      <c r="H431" t="s">
        <v>1293</v>
      </c>
      <c r="I431" t="s">
        <v>139</v>
      </c>
      <c r="J431" t="s">
        <v>287</v>
      </c>
      <c r="K431" s="22">
        <f t="shared" si="101"/>
        <v>3.2323215352203891E-3</v>
      </c>
      <c r="L431" s="22">
        <f t="shared" si="102"/>
        <v>3.2042886428129448E-3</v>
      </c>
      <c r="M431" s="22">
        <f t="shared" si="102"/>
        <v>3.193617369300608E-3</v>
      </c>
      <c r="N431" s="22">
        <f t="shared" si="102"/>
        <v>3.150970789688672E-3</v>
      </c>
      <c r="O431" s="22">
        <f t="shared" si="102"/>
        <v>3.0890682378804119E-3</v>
      </c>
      <c r="P431" s="22">
        <f t="shared" si="102"/>
        <v>3.0091897617382942E-3</v>
      </c>
      <c r="Q431" s="22">
        <f t="shared" si="102"/>
        <v>2.9461872714039495E-3</v>
      </c>
      <c r="R431" s="22">
        <f t="shared" si="102"/>
        <v>2.8865797531671877E-3</v>
      </c>
      <c r="S431" s="22">
        <f t="shared" si="102"/>
        <v>2.5393486840215836E-3</v>
      </c>
      <c r="T431" s="22">
        <f t="shared" si="102"/>
        <v>2.580595358897255E-3</v>
      </c>
      <c r="U431" s="22">
        <f t="shared" si="102"/>
        <v>2.657542332078646E-3</v>
      </c>
      <c r="V431" s="22">
        <f t="shared" si="102"/>
        <v>2.672909531392759E-3</v>
      </c>
      <c r="W431" s="22">
        <f t="shared" si="102"/>
        <v>2.69507345244463E-3</v>
      </c>
      <c r="X431" s="22">
        <f t="shared" si="102"/>
        <v>2.7259926112042248E-3</v>
      </c>
      <c r="Y431" s="22">
        <f t="shared" si="102"/>
        <v>2.7614582970453471E-3</v>
      </c>
      <c r="Z431" s="22">
        <f t="shared" si="102"/>
        <v>2.8030399515039583E-3</v>
      </c>
      <c r="AA431" s="22">
        <f t="shared" si="102"/>
        <v>2.8448133898556971E-3</v>
      </c>
      <c r="AB431" s="22">
        <f t="shared" si="102"/>
        <v>2.8917956180905236E-3</v>
      </c>
      <c r="AC431" s="22">
        <f t="shared" si="102"/>
        <v>2.9383115991341744E-3</v>
      </c>
      <c r="AD431" s="22">
        <f t="shared" si="102"/>
        <v>2.9686122408824826E-3</v>
      </c>
      <c r="AE431" s="22">
        <f t="shared" si="102"/>
        <v>2.9934911793624186E-3</v>
      </c>
      <c r="AF431" s="22">
        <f t="shared" si="102"/>
        <v>3.0197743682154753E-3</v>
      </c>
      <c r="AG431" s="22">
        <f t="shared" si="102"/>
        <v>3.0549409795984986E-3</v>
      </c>
      <c r="AH431" s="22">
        <f t="shared" si="102"/>
        <v>3.0802316239663852E-3</v>
      </c>
      <c r="AI431" s="22">
        <f t="shared" si="102"/>
        <v>3.1071852189437066E-3</v>
      </c>
      <c r="AJ431" s="22">
        <f t="shared" si="102"/>
        <v>3.1368555493036434E-3</v>
      </c>
      <c r="AK431" s="22">
        <f t="shared" si="102"/>
        <v>3.1553441150186925E-3</v>
      </c>
      <c r="AL431" s="22">
        <f t="shared" si="102"/>
        <v>3.1692145745473945E-3</v>
      </c>
      <c r="AM431" s="22">
        <f t="shared" si="102"/>
        <v>3.1788623674795236E-3</v>
      </c>
      <c r="AN431" s="22">
        <f t="shared" si="102"/>
        <v>3.2088548057950931E-3</v>
      </c>
      <c r="AO431" s="22">
        <f t="shared" si="102"/>
        <v>3.2316528557922693E-3</v>
      </c>
      <c r="AP431" s="22">
        <f t="shared" si="102"/>
        <v>3.2547386832550949E-3</v>
      </c>
      <c r="AQ431" s="22">
        <f t="shared" si="102"/>
        <v>3.2783763796135966E-3</v>
      </c>
      <c r="AR431" s="22">
        <f t="shared" si="102"/>
        <v>3.3030426066013221E-3</v>
      </c>
      <c r="AS431" s="22">
        <f t="shared" si="102"/>
        <v>3.3283682698185247E-3</v>
      </c>
      <c r="AT431" s="22">
        <f t="shared" si="102"/>
        <v>3.2784104491001818E-3</v>
      </c>
      <c r="AU431" s="22">
        <f t="shared" si="102"/>
        <v>3.2218166400979921E-3</v>
      </c>
      <c r="AV431" s="22">
        <f t="shared" si="102"/>
        <v>3.1562062621096833E-3</v>
      </c>
      <c r="AW431" s="22">
        <f t="shared" si="102"/>
        <v>3.0885397025865453E-3</v>
      </c>
      <c r="AY431" s="79"/>
    </row>
    <row r="432" spans="1:51" x14ac:dyDescent="0.3">
      <c r="A432" s="95" t="str">
        <f t="shared" si="93"/>
        <v>GS MM Volatilisation</v>
      </c>
      <c r="B432" s="95" t="s">
        <v>1021</v>
      </c>
      <c r="C432" s="95" t="s">
        <v>1332</v>
      </c>
      <c r="D432" t="s">
        <v>369</v>
      </c>
      <c r="E432" t="s">
        <v>64</v>
      </c>
      <c r="F432" t="s">
        <v>62</v>
      </c>
      <c r="G432" t="s">
        <v>1160</v>
      </c>
      <c r="H432" t="s">
        <v>1294</v>
      </c>
      <c r="I432" t="s">
        <v>139</v>
      </c>
      <c r="J432" t="s">
        <v>287</v>
      </c>
      <c r="K432" s="22">
        <f t="shared" si="101"/>
        <v>1.6090517274103575E-2</v>
      </c>
      <c r="L432" s="22">
        <f t="shared" si="102"/>
        <v>1.5950969356419605E-2</v>
      </c>
      <c r="M432" s="22">
        <f t="shared" si="102"/>
        <v>1.5897847688628834E-2</v>
      </c>
      <c r="N432" s="22">
        <f t="shared" si="102"/>
        <v>1.5685552742581484E-2</v>
      </c>
      <c r="O432" s="22">
        <f t="shared" si="102"/>
        <v>1.5377401443792458E-2</v>
      </c>
      <c r="P432" s="22">
        <f t="shared" si="102"/>
        <v>1.4979765878707444E-2</v>
      </c>
      <c r="Q432" s="22">
        <f t="shared" si="102"/>
        <v>1.4666139078901097E-2</v>
      </c>
      <c r="R432" s="22">
        <f t="shared" si="102"/>
        <v>1.4369412471908495E-2</v>
      </c>
      <c r="S432" s="22">
        <f t="shared" si="102"/>
        <v>1.2640893989042949E-2</v>
      </c>
      <c r="T432" s="22">
        <f t="shared" si="102"/>
        <v>1.284622020036031E-2</v>
      </c>
      <c r="U432" s="22">
        <f t="shared" si="102"/>
        <v>1.322926272495888E-2</v>
      </c>
      <c r="V432" s="22">
        <f t="shared" si="102"/>
        <v>1.3305760741422912E-2</v>
      </c>
      <c r="W432" s="22">
        <f t="shared" si="102"/>
        <v>1.3416092882164809E-2</v>
      </c>
      <c r="X432" s="22">
        <f t="shared" si="102"/>
        <v>1.3570008652208428E-2</v>
      </c>
      <c r="Y432" s="22">
        <f t="shared" si="102"/>
        <v>1.3746557063140447E-2</v>
      </c>
      <c r="Z432" s="22">
        <f t="shared" si="102"/>
        <v>1.3953550804963992E-2</v>
      </c>
      <c r="AA432" s="22">
        <f t="shared" si="102"/>
        <v>1.4161499248234047E-2</v>
      </c>
      <c r="AB432" s="22">
        <f t="shared" si="102"/>
        <v>1.439537708085406E-2</v>
      </c>
      <c r="AC432" s="22">
        <f t="shared" si="102"/>
        <v>1.4626933931974607E-2</v>
      </c>
      <c r="AD432" s="22">
        <f t="shared" si="102"/>
        <v>1.4777770720380409E-2</v>
      </c>
      <c r="AE432" s="22">
        <f t="shared" si="102"/>
        <v>1.4901618235242655E-2</v>
      </c>
      <c r="AF432" s="22">
        <f t="shared" si="102"/>
        <v>1.5032456117442953E-2</v>
      </c>
      <c r="AG432" s="22">
        <f t="shared" si="102"/>
        <v>1.5207515733809875E-2</v>
      </c>
      <c r="AH432" s="22">
        <f t="shared" si="102"/>
        <v>1.5333412723215338E-2</v>
      </c>
      <c r="AI432" s="22">
        <f t="shared" si="102"/>
        <v>1.5467587891389686E-2</v>
      </c>
      <c r="AJ432" s="22">
        <f t="shared" si="102"/>
        <v>1.5615286985673127E-2</v>
      </c>
      <c r="AK432" s="22">
        <f t="shared" si="102"/>
        <v>1.5707323184043206E-2</v>
      </c>
      <c r="AL432" s="22">
        <f t="shared" si="102"/>
        <v>1.5776370420283306E-2</v>
      </c>
      <c r="AM432" s="22">
        <f t="shared" si="102"/>
        <v>1.5824397195200308E-2</v>
      </c>
      <c r="AN432" s="22">
        <f t="shared" si="102"/>
        <v>1.5973699744946876E-2</v>
      </c>
      <c r="AO432" s="22">
        <f t="shared" si="102"/>
        <v>1.608718858363397E-2</v>
      </c>
      <c r="AP432" s="22">
        <f t="shared" si="102"/>
        <v>1.6202109980385494E-2</v>
      </c>
      <c r="AQ432" s="22">
        <f t="shared" si="102"/>
        <v>1.6319778584029082E-2</v>
      </c>
      <c r="AR432" s="22">
        <f t="shared" si="102"/>
        <v>1.6442567219722745E-2</v>
      </c>
      <c r="AS432" s="22">
        <f t="shared" si="102"/>
        <v>1.6568638533184063E-2</v>
      </c>
      <c r="AT432" s="22">
        <f t="shared" si="102"/>
        <v>1.6319948182151194E-2</v>
      </c>
      <c r="AU432" s="22">
        <f t="shared" si="102"/>
        <v>1.603822383900198E-2</v>
      </c>
      <c r="AV432" s="22">
        <f t="shared" si="102"/>
        <v>1.5711614957775871E-2</v>
      </c>
      <c r="AW432" s="22">
        <f t="shared" si="102"/>
        <v>1.5374770391719434E-2</v>
      </c>
      <c r="AY432" s="79"/>
    </row>
    <row r="433" spans="1:51" x14ac:dyDescent="0.3">
      <c r="A433" s="95" t="str">
        <f t="shared" si="93"/>
        <v>GS MM Volatilisation</v>
      </c>
      <c r="B433" s="95" t="s">
        <v>1021</v>
      </c>
      <c r="C433" s="95" t="s">
        <v>1332</v>
      </c>
      <c r="D433" t="s">
        <v>369</v>
      </c>
      <c r="E433" t="s">
        <v>64</v>
      </c>
      <c r="F433" t="s">
        <v>62</v>
      </c>
      <c r="G433" t="s">
        <v>1162</v>
      </c>
      <c r="H433" t="s">
        <v>1295</v>
      </c>
      <c r="I433" t="s">
        <v>139</v>
      </c>
      <c r="J433" t="s">
        <v>287</v>
      </c>
      <c r="K433" s="22">
        <f t="shared" si="101"/>
        <v>0.15836052531214873</v>
      </c>
      <c r="L433" s="22">
        <f t="shared" si="102"/>
        <v>0.16370016056893641</v>
      </c>
      <c r="M433" s="22">
        <f t="shared" si="102"/>
        <v>0.17003774892948584</v>
      </c>
      <c r="N433" s="22">
        <f t="shared" si="102"/>
        <v>0.17476418316081974</v>
      </c>
      <c r="O433" s="22">
        <f t="shared" si="102"/>
        <v>0.1784091501709566</v>
      </c>
      <c r="P433" s="22">
        <f t="shared" si="102"/>
        <v>0.18092055691117107</v>
      </c>
      <c r="Q433" s="22">
        <f t="shared" si="102"/>
        <v>0.18434967364231716</v>
      </c>
      <c r="R433" s="22">
        <f t="shared" si="102"/>
        <v>0.18794438918293385</v>
      </c>
      <c r="S433" s="22">
        <f t="shared" si="102"/>
        <v>0.17201843471628311</v>
      </c>
      <c r="T433" s="22">
        <f t="shared" si="102"/>
        <v>0.17902423727078304</v>
      </c>
      <c r="U433" s="22">
        <f t="shared" si="102"/>
        <v>0.18874308750279975</v>
      </c>
      <c r="V433" s="22">
        <f t="shared" si="102"/>
        <v>0.19428798010301845</v>
      </c>
      <c r="W433" s="22">
        <f t="shared" si="102"/>
        <v>0.20044069379465723</v>
      </c>
      <c r="X433" s="22">
        <f t="shared" si="102"/>
        <v>0.20738925990441343</v>
      </c>
      <c r="Y433" s="22">
        <f t="shared" si="102"/>
        <v>0.21485625224208699</v>
      </c>
      <c r="Z433" s="22">
        <f t="shared" si="102"/>
        <v>0.22299569523633012</v>
      </c>
      <c r="AA433" s="22">
        <f t="shared" si="102"/>
        <v>0.23136404347242787</v>
      </c>
      <c r="AB433" s="22">
        <f t="shared" si="102"/>
        <v>0.24038568507894228</v>
      </c>
      <c r="AC433" s="22">
        <f t="shared" si="102"/>
        <v>0.24961351882279642</v>
      </c>
      <c r="AD433" s="22">
        <f t="shared" si="102"/>
        <v>0.26055082309019489</v>
      </c>
      <c r="AE433" s="22">
        <f t="shared" si="102"/>
        <v>0.27146409989499087</v>
      </c>
      <c r="AF433" s="22">
        <f t="shared" si="102"/>
        <v>0.28296976129835516</v>
      </c>
      <c r="AG433" s="22">
        <f t="shared" si="102"/>
        <v>0.29583119296374027</v>
      </c>
      <c r="AH433" s="22">
        <f t="shared" si="102"/>
        <v>0.30828569818364093</v>
      </c>
      <c r="AI433" s="22">
        <f t="shared" si="102"/>
        <v>0.32146078881891821</v>
      </c>
      <c r="AJ433" s="22">
        <f t="shared" si="102"/>
        <v>0.33551892419975027</v>
      </c>
      <c r="AK433" s="22">
        <f t="shared" si="102"/>
        <v>0.34898799967344624</v>
      </c>
      <c r="AL433" s="22">
        <f t="shared" si="102"/>
        <v>0.36253110288155638</v>
      </c>
      <c r="AM433" s="22">
        <f t="shared" si="102"/>
        <v>0.3761776209722954</v>
      </c>
      <c r="AN433" s="22">
        <f t="shared" si="102"/>
        <v>0.39044092384449941</v>
      </c>
      <c r="AO433" s="22">
        <f t="shared" si="102"/>
        <v>0.40434790587507169</v>
      </c>
      <c r="AP433" s="22">
        <f t="shared" si="102"/>
        <v>0.41881133165575385</v>
      </c>
      <c r="AQ433" s="22">
        <f t="shared" si="102"/>
        <v>0.43389523168298461</v>
      </c>
      <c r="AR433" s="22">
        <f t="shared" si="102"/>
        <v>0.44969846219520337</v>
      </c>
      <c r="AS433" s="22">
        <f t="shared" si="102"/>
        <v>0.46621113351536414</v>
      </c>
      <c r="AT433" s="22">
        <f t="shared" si="102"/>
        <v>0.47252748572368597</v>
      </c>
      <c r="AU433" s="22">
        <f t="shared" si="102"/>
        <v>0.47791554113176593</v>
      </c>
      <c r="AV433" s="22">
        <f t="shared" si="102"/>
        <v>0.48192801076931108</v>
      </c>
      <c r="AW433" s="22">
        <f t="shared" si="102"/>
        <v>0.48553688587906652</v>
      </c>
      <c r="AY433" s="79"/>
    </row>
    <row r="434" spans="1:51" x14ac:dyDescent="0.3">
      <c r="A434" s="95" t="str">
        <f t="shared" si="93"/>
        <v>GS MM Volatilisation</v>
      </c>
      <c r="B434" s="95" t="s">
        <v>1021</v>
      </c>
      <c r="C434" s="95" t="s">
        <v>1332</v>
      </c>
      <c r="D434" t="s">
        <v>369</v>
      </c>
      <c r="E434" t="s">
        <v>64</v>
      </c>
      <c r="F434" t="s">
        <v>62</v>
      </c>
      <c r="G434" t="s">
        <v>1164</v>
      </c>
      <c r="H434" t="s">
        <v>1296</v>
      </c>
      <c r="I434" t="s">
        <v>139</v>
      </c>
      <c r="J434" t="s">
        <v>287</v>
      </c>
      <c r="K434" s="22">
        <f t="shared" si="101"/>
        <v>1.1718831875652189E-4</v>
      </c>
      <c r="L434" s="22">
        <f t="shared" si="102"/>
        <v>1.1725168210757805E-4</v>
      </c>
      <c r="M434" s="22">
        <f t="shared" si="102"/>
        <v>1.1740318150277543E-4</v>
      </c>
      <c r="N434" s="22">
        <f t="shared" si="102"/>
        <v>1.1762656857541023E-4</v>
      </c>
      <c r="O434" s="22">
        <f t="shared" si="102"/>
        <v>1.179204237689029E-4</v>
      </c>
      <c r="P434" s="22">
        <f t="shared" si="102"/>
        <v>1.1828164409401504E-4</v>
      </c>
      <c r="Q434" s="22">
        <f t="shared" si="102"/>
        <v>1.1868734382429133E-4</v>
      </c>
      <c r="R434" s="22">
        <f t="shared" si="102"/>
        <v>1.1913496163447935E-4</v>
      </c>
      <c r="S434" s="22">
        <f t="shared" si="102"/>
        <v>1.1954428347803586E-4</v>
      </c>
      <c r="T434" s="22">
        <f t="shared" si="102"/>
        <v>1.1972414940561896E-4</v>
      </c>
      <c r="U434" s="22">
        <f t="shared" si="102"/>
        <v>1.1994380434419684E-4</v>
      </c>
      <c r="V434" s="22">
        <f t="shared" si="102"/>
        <v>1.201746788301286E-4</v>
      </c>
      <c r="W434" s="22">
        <f t="shared" si="102"/>
        <v>1.2043388472990403E-4</v>
      </c>
      <c r="X434" s="22">
        <f t="shared" si="102"/>
        <v>1.207206967802894E-4</v>
      </c>
      <c r="Y434" s="22">
        <f t="shared" si="102"/>
        <v>1.2089981812671622E-4</v>
      </c>
      <c r="Z434" s="22">
        <f t="shared" si="102"/>
        <v>1.2110217984152869E-4</v>
      </c>
      <c r="AA434" s="22">
        <f t="shared" si="102"/>
        <v>1.2132504756910802E-4</v>
      </c>
      <c r="AB434" s="22">
        <f t="shared" si="102"/>
        <v>1.2156903411725496E-4</v>
      </c>
      <c r="AC434" s="22">
        <f t="shared" si="102"/>
        <v>1.2183162117803533E-4</v>
      </c>
      <c r="AD434" s="22">
        <f t="shared" si="102"/>
        <v>1.2200776858907327E-4</v>
      </c>
      <c r="AE434" s="22">
        <f t="shared" si="102"/>
        <v>1.2219899661673858E-4</v>
      </c>
      <c r="AF434" s="22">
        <f t="shared" si="102"/>
        <v>1.2240684242118336E-4</v>
      </c>
      <c r="AG434" s="22">
        <f t="shared" si="102"/>
        <v>1.2263333491271974E-4</v>
      </c>
      <c r="AH434" s="22">
        <f t="shared" si="102"/>
        <v>1.2287167298468532E-4</v>
      </c>
      <c r="AI434" s="22">
        <f t="shared" ref="L434:AW441" si="103">AI1537</f>
        <v>1.2302401792252464E-4</v>
      </c>
      <c r="AJ434" s="22">
        <f t="shared" si="103"/>
        <v>1.2319088645114677E-4</v>
      </c>
      <c r="AK434" s="22">
        <f t="shared" si="103"/>
        <v>1.2336677489796816E-4</v>
      </c>
      <c r="AL434" s="22">
        <f t="shared" si="103"/>
        <v>1.2355355577482136E-4</v>
      </c>
      <c r="AM434" s="22">
        <f t="shared" si="103"/>
        <v>1.2375094588099321E-4</v>
      </c>
      <c r="AN434" s="22">
        <f t="shared" si="103"/>
        <v>1.2386757855810271E-4</v>
      </c>
      <c r="AO434" s="22">
        <f t="shared" si="103"/>
        <v>1.2399208535623994E-4</v>
      </c>
      <c r="AP434" s="22">
        <f t="shared" si="103"/>
        <v>1.2412714040619619E-4</v>
      </c>
      <c r="AQ434" s="22">
        <f t="shared" si="103"/>
        <v>1.242726131383893E-4</v>
      </c>
      <c r="AR434" s="22">
        <f t="shared" si="103"/>
        <v>1.2442850053815514E-4</v>
      </c>
      <c r="AS434" s="22">
        <f t="shared" si="103"/>
        <v>1.2449922291454818E-4</v>
      </c>
      <c r="AT434" s="22">
        <f t="shared" si="103"/>
        <v>1.2454479881058539E-4</v>
      </c>
      <c r="AU434" s="22">
        <f t="shared" si="103"/>
        <v>1.2459475860623469E-4</v>
      </c>
      <c r="AV434" s="22">
        <f t="shared" si="103"/>
        <v>1.2464752954530566E-4</v>
      </c>
      <c r="AW434" s="22">
        <f t="shared" si="103"/>
        <v>1.2470598620434531E-4</v>
      </c>
      <c r="AY434" s="79"/>
    </row>
    <row r="435" spans="1:51" x14ac:dyDescent="0.3">
      <c r="A435" s="95" t="str">
        <f t="shared" si="93"/>
        <v>GS MM Volatilisation</v>
      </c>
      <c r="B435" s="95" t="s">
        <v>1021</v>
      </c>
      <c r="C435" s="95" t="s">
        <v>1332</v>
      </c>
      <c r="D435" t="s">
        <v>369</v>
      </c>
      <c r="E435" t="s">
        <v>64</v>
      </c>
      <c r="F435" t="s">
        <v>62</v>
      </c>
      <c r="G435" t="s">
        <v>1166</v>
      </c>
      <c r="H435" t="s">
        <v>1297</v>
      </c>
      <c r="I435" t="s">
        <v>139</v>
      </c>
      <c r="J435" t="s">
        <v>287</v>
      </c>
      <c r="K435" s="22">
        <f t="shared" si="101"/>
        <v>8.042066176599371E-4</v>
      </c>
      <c r="L435" s="22">
        <f t="shared" si="103"/>
        <v>8.046414496191049E-4</v>
      </c>
      <c r="M435" s="22">
        <f t="shared" si="103"/>
        <v>8.0568111652005547E-4</v>
      </c>
      <c r="N435" s="22">
        <f t="shared" si="103"/>
        <v>8.0721411369945729E-4</v>
      </c>
      <c r="O435" s="22">
        <f t="shared" si="103"/>
        <v>8.0923069942871869E-4</v>
      </c>
      <c r="P435" s="22">
        <f t="shared" si="103"/>
        <v>8.117095793970544E-4</v>
      </c>
      <c r="Q435" s="22">
        <f t="shared" si="103"/>
        <v>8.1449369995900982E-4</v>
      </c>
      <c r="R435" s="22">
        <f t="shared" si="103"/>
        <v>8.1756548398113221E-4</v>
      </c>
      <c r="S435" s="22">
        <f t="shared" si="103"/>
        <v>8.2037446135049667E-4</v>
      </c>
      <c r="T435" s="22">
        <f t="shared" si="103"/>
        <v>8.2160879401085645E-4</v>
      </c>
      <c r="U435" s="22">
        <f t="shared" si="103"/>
        <v>8.2311617936359845E-4</v>
      </c>
      <c r="V435" s="22">
        <f t="shared" si="103"/>
        <v>8.2470055903049121E-4</v>
      </c>
      <c r="W435" s="22">
        <f t="shared" si="103"/>
        <v>8.2647936345526477E-4</v>
      </c>
      <c r="X435" s="22">
        <f t="shared" si="103"/>
        <v>8.2844761550796096E-4</v>
      </c>
      <c r="Y435" s="22">
        <f t="shared" si="103"/>
        <v>8.2967683846882541E-4</v>
      </c>
      <c r="Z435" s="22">
        <f t="shared" si="103"/>
        <v>8.3106554881077761E-4</v>
      </c>
      <c r="AA435" s="22">
        <f t="shared" si="103"/>
        <v>8.3259498197684714E-4</v>
      </c>
      <c r="AB435" s="22">
        <f t="shared" si="103"/>
        <v>8.3426934336987486E-4</v>
      </c>
      <c r="AC435" s="22">
        <f t="shared" si="103"/>
        <v>8.3607135106340792E-4</v>
      </c>
      <c r="AD435" s="22">
        <f t="shared" si="103"/>
        <v>8.3728016534748921E-4</v>
      </c>
      <c r="AE435" s="22">
        <f t="shared" si="103"/>
        <v>8.3859247059226414E-4</v>
      </c>
      <c r="AF435" s="22">
        <f t="shared" si="103"/>
        <v>8.4001881558262628E-4</v>
      </c>
      <c r="AG435" s="22">
        <f t="shared" si="103"/>
        <v>8.4157312374641413E-4</v>
      </c>
      <c r="AH435" s="22">
        <f t="shared" si="103"/>
        <v>8.4320872238584225E-4</v>
      </c>
      <c r="AI435" s="22">
        <f t="shared" si="103"/>
        <v>8.4425419183601768E-4</v>
      </c>
      <c r="AJ435" s="22">
        <f t="shared" si="103"/>
        <v>8.4539932964856662E-4</v>
      </c>
      <c r="AK435" s="22">
        <f t="shared" si="103"/>
        <v>8.4660636678677789E-4</v>
      </c>
      <c r="AL435" s="22">
        <f t="shared" si="103"/>
        <v>8.4788815339154825E-4</v>
      </c>
      <c r="AM435" s="22">
        <f t="shared" si="103"/>
        <v>8.4924274599368159E-4</v>
      </c>
      <c r="AN435" s="22">
        <f t="shared" si="103"/>
        <v>8.5004313951209814E-4</v>
      </c>
      <c r="AO435" s="22">
        <f t="shared" si="103"/>
        <v>8.5089756930568201E-4</v>
      </c>
      <c r="AP435" s="22">
        <f t="shared" si="103"/>
        <v>8.5182438663761119E-4</v>
      </c>
      <c r="AQ435" s="22">
        <f t="shared" si="103"/>
        <v>8.5282269547214476E-4</v>
      </c>
      <c r="AR435" s="22">
        <f t="shared" si="103"/>
        <v>8.5389247512110444E-4</v>
      </c>
      <c r="AS435" s="22">
        <f t="shared" si="103"/>
        <v>8.5437780850343642E-4</v>
      </c>
      <c r="AT435" s="22">
        <f t="shared" si="103"/>
        <v>8.5469057378232966E-4</v>
      </c>
      <c r="AU435" s="22">
        <f t="shared" si="103"/>
        <v>8.5503342363890623E-4</v>
      </c>
      <c r="AV435" s="22">
        <f t="shared" si="103"/>
        <v>8.5539556500991744E-4</v>
      </c>
      <c r="AW435" s="22">
        <f t="shared" si="103"/>
        <v>8.5579672472058501E-4</v>
      </c>
      <c r="AY435" s="79"/>
    </row>
    <row r="436" spans="1:51" x14ac:dyDescent="0.3">
      <c r="A436" s="95" t="str">
        <f t="shared" si="93"/>
        <v>GS MM Volatilisation</v>
      </c>
      <c r="B436" s="95" t="s">
        <v>1021</v>
      </c>
      <c r="C436" s="95" t="s">
        <v>1332</v>
      </c>
      <c r="D436" t="s">
        <v>369</v>
      </c>
      <c r="E436" t="s">
        <v>64</v>
      </c>
      <c r="F436" t="s">
        <v>62</v>
      </c>
      <c r="G436" t="s">
        <v>1168</v>
      </c>
      <c r="H436" t="s">
        <v>1298</v>
      </c>
      <c r="I436" t="s">
        <v>139</v>
      </c>
      <c r="J436" t="s">
        <v>287</v>
      </c>
      <c r="K436" s="22">
        <f t="shared" si="101"/>
        <v>1.4486129996083085E-5</v>
      </c>
      <c r="L436" s="22">
        <f t="shared" si="103"/>
        <v>1.4523786941695515E-5</v>
      </c>
      <c r="M436" s="22">
        <f t="shared" si="103"/>
        <v>1.4575733367418309E-5</v>
      </c>
      <c r="N436" s="22">
        <f t="shared" si="103"/>
        <v>1.4639017833045655E-5</v>
      </c>
      <c r="O436" s="22">
        <f t="shared" si="103"/>
        <v>1.471355007817218E-5</v>
      </c>
      <c r="P436" s="22">
        <f t="shared" si="103"/>
        <v>1.4798876460462532E-5</v>
      </c>
      <c r="Q436" s="22">
        <f t="shared" si="103"/>
        <v>1.489070601115726E-5</v>
      </c>
      <c r="R436" s="22">
        <f t="shared" si="103"/>
        <v>1.4988675221399694E-5</v>
      </c>
      <c r="S436" s="22">
        <f t="shared" si="103"/>
        <v>1.5077522200056562E-5</v>
      </c>
      <c r="T436" s="22">
        <f t="shared" si="103"/>
        <v>1.5120920467659651E-5</v>
      </c>
      <c r="U436" s="22">
        <f t="shared" si="103"/>
        <v>1.5170664566545744E-5</v>
      </c>
      <c r="V436" s="22">
        <f t="shared" si="103"/>
        <v>1.5221371307810579E-5</v>
      </c>
      <c r="W436" s="22">
        <f t="shared" si="103"/>
        <v>1.5276366577947841E-5</v>
      </c>
      <c r="X436" s="22">
        <f t="shared" si="103"/>
        <v>1.5335559486365855E-5</v>
      </c>
      <c r="Y436" s="22">
        <f t="shared" si="103"/>
        <v>1.5373440359637545E-5</v>
      </c>
      <c r="Z436" s="22">
        <f t="shared" si="103"/>
        <v>1.5414884136013281E-5</v>
      </c>
      <c r="AA436" s="22">
        <f t="shared" si="103"/>
        <v>1.5459406079654033E-5</v>
      </c>
      <c r="AB436" s="22">
        <f t="shared" si="103"/>
        <v>1.5507149153927191E-5</v>
      </c>
      <c r="AC436" s="22">
        <f t="shared" si="103"/>
        <v>1.5557665060375898E-5</v>
      </c>
      <c r="AD436" s="22">
        <f t="shared" si="103"/>
        <v>1.5591353436562986E-5</v>
      </c>
      <c r="AE436" s="22">
        <f t="shared" si="103"/>
        <v>1.5627280085252664E-5</v>
      </c>
      <c r="AF436" s="22">
        <f t="shared" si="103"/>
        <v>1.5665749106164008E-5</v>
      </c>
      <c r="AG436" s="22">
        <f t="shared" si="103"/>
        <v>1.5707151218007595E-5</v>
      </c>
      <c r="AH436" s="22">
        <f t="shared" si="103"/>
        <v>1.5750235619215941E-5</v>
      </c>
      <c r="AI436" s="22">
        <f t="shared" si="103"/>
        <v>1.5776918897393027E-5</v>
      </c>
      <c r="AJ436" s="22">
        <f t="shared" si="103"/>
        <v>1.5805875112600263E-5</v>
      </c>
      <c r="AK436" s="22">
        <f t="shared" si="103"/>
        <v>1.5836097205917668E-5</v>
      </c>
      <c r="AL436" s="22">
        <f t="shared" si="103"/>
        <v>1.5867941184595161E-5</v>
      </c>
      <c r="AM436" s="22">
        <f t="shared" si="103"/>
        <v>1.5901363449816974E-5</v>
      </c>
      <c r="AN436" s="22">
        <f t="shared" si="103"/>
        <v>1.5919623331121566E-5</v>
      </c>
      <c r="AO436" s="22">
        <f t="shared" si="103"/>
        <v>1.5939033537312695E-5</v>
      </c>
      <c r="AP436" s="22">
        <f t="shared" si="103"/>
        <v>1.5960089556991586E-5</v>
      </c>
      <c r="AQ436" s="22">
        <f t="shared" si="103"/>
        <v>1.5982771280705936E-5</v>
      </c>
      <c r="AR436" s="22">
        <f t="shared" si="103"/>
        <v>1.6007081325051207E-5</v>
      </c>
      <c r="AS436" s="22">
        <f t="shared" si="103"/>
        <v>1.6015649873683189E-5</v>
      </c>
      <c r="AT436" s="22">
        <f t="shared" si="103"/>
        <v>1.6019455168078908E-5</v>
      </c>
      <c r="AU436" s="22">
        <f t="shared" si="103"/>
        <v>1.6023878849097448E-5</v>
      </c>
      <c r="AV436" s="22">
        <f t="shared" si="103"/>
        <v>1.6028641289399774E-5</v>
      </c>
      <c r="AW436" s="22">
        <f t="shared" si="103"/>
        <v>1.6034267352361545E-5</v>
      </c>
      <c r="AY436" s="79"/>
    </row>
    <row r="437" spans="1:51" x14ac:dyDescent="0.3">
      <c r="A437" s="95" t="str">
        <f t="shared" si="93"/>
        <v>GS MM Volatilisation</v>
      </c>
      <c r="B437" s="95" t="s">
        <v>1021</v>
      </c>
      <c r="C437" s="95" t="s">
        <v>1332</v>
      </c>
      <c r="D437" t="s">
        <v>369</v>
      </c>
      <c r="E437" t="s">
        <v>64</v>
      </c>
      <c r="F437" t="s">
        <v>62</v>
      </c>
      <c r="G437" t="s">
        <v>1170</v>
      </c>
      <c r="H437" t="s">
        <v>1299</v>
      </c>
      <c r="I437" t="s">
        <v>139</v>
      </c>
      <c r="J437" t="s">
        <v>287</v>
      </c>
      <c r="K437" s="22">
        <f t="shared" si="101"/>
        <v>1.4738364076719787E-3</v>
      </c>
      <c r="L437" s="22">
        <f t="shared" si="103"/>
        <v>1.4776676709189833E-3</v>
      </c>
      <c r="M437" s="22">
        <f t="shared" si="103"/>
        <v>1.4829527631761549E-3</v>
      </c>
      <c r="N437" s="22">
        <f t="shared" si="103"/>
        <v>1.4893914013429305E-3</v>
      </c>
      <c r="O437" s="22">
        <f t="shared" si="103"/>
        <v>1.4969744022163664E-3</v>
      </c>
      <c r="P437" s="22">
        <f t="shared" si="103"/>
        <v>1.5056556116759296E-3</v>
      </c>
      <c r="Q437" s="22">
        <f t="shared" si="103"/>
        <v>1.5149984613639169E-3</v>
      </c>
      <c r="R437" s="22">
        <f t="shared" si="103"/>
        <v>1.5249659674490626E-3</v>
      </c>
      <c r="S437" s="22">
        <f t="shared" si="103"/>
        <v>1.5340053666461951E-3</v>
      </c>
      <c r="T437" s="22">
        <f t="shared" si="103"/>
        <v>1.5384207589449399E-3</v>
      </c>
      <c r="U437" s="22">
        <f t="shared" si="103"/>
        <v>1.5434817838028542E-3</v>
      </c>
      <c r="V437" s="22">
        <f t="shared" si="103"/>
        <v>1.5486407490620871E-3</v>
      </c>
      <c r="W437" s="22">
        <f t="shared" si="103"/>
        <v>1.5542360344419619E-3</v>
      </c>
      <c r="X437" s="22">
        <f t="shared" si="103"/>
        <v>1.5602583926236193E-3</v>
      </c>
      <c r="Y437" s="22">
        <f t="shared" si="103"/>
        <v>1.5641124385418405E-3</v>
      </c>
      <c r="Z437" s="22">
        <f t="shared" si="103"/>
        <v>1.5683289785363378E-3</v>
      </c>
      <c r="AA437" s="22">
        <f t="shared" si="103"/>
        <v>1.5728586949958615E-3</v>
      </c>
      <c r="AB437" s="22">
        <f t="shared" si="103"/>
        <v>1.5777161331865307E-3</v>
      </c>
      <c r="AC437" s="22">
        <f t="shared" si="103"/>
        <v>1.5828556826804803E-3</v>
      </c>
      <c r="AD437" s="22">
        <f t="shared" si="103"/>
        <v>1.5862831788684411E-3</v>
      </c>
      <c r="AE437" s="22">
        <f t="shared" si="103"/>
        <v>1.5899383996112353E-3</v>
      </c>
      <c r="AF437" s="22">
        <f t="shared" si="103"/>
        <v>1.5938522843825273E-3</v>
      </c>
      <c r="AG437" s="22">
        <f t="shared" si="103"/>
        <v>1.5980645853770706E-3</v>
      </c>
      <c r="AH437" s="22">
        <f t="shared" si="103"/>
        <v>1.6024480445287401E-3</v>
      </c>
      <c r="AI437" s="22">
        <f t="shared" si="103"/>
        <v>1.6051628335623928E-3</v>
      </c>
      <c r="AJ437" s="22">
        <f t="shared" si="103"/>
        <v>1.6081088739618883E-3</v>
      </c>
      <c r="AK437" s="22">
        <f t="shared" si="103"/>
        <v>1.611183706333218E-3</v>
      </c>
      <c r="AL437" s="22">
        <f t="shared" si="103"/>
        <v>1.6144235512850938E-3</v>
      </c>
      <c r="AM437" s="22">
        <f t="shared" si="103"/>
        <v>1.6178239730212022E-3</v>
      </c>
      <c r="AN437" s="22">
        <f t="shared" si="103"/>
        <v>1.6196817554567978E-3</v>
      </c>
      <c r="AO437" s="22">
        <f t="shared" si="103"/>
        <v>1.6216565733393274E-3</v>
      </c>
      <c r="AP437" s="22">
        <f t="shared" si="103"/>
        <v>1.623798838279086E-3</v>
      </c>
      <c r="AQ437" s="22">
        <f t="shared" si="103"/>
        <v>1.6261065043160481E-3</v>
      </c>
      <c r="AR437" s="22">
        <f t="shared" si="103"/>
        <v>1.6285798376658015E-3</v>
      </c>
      <c r="AS437" s="22">
        <f t="shared" si="103"/>
        <v>1.6294516121796393E-3</v>
      </c>
      <c r="AT437" s="22">
        <f t="shared" si="103"/>
        <v>1.6298387674394525E-3</v>
      </c>
      <c r="AU437" s="22">
        <f t="shared" si="103"/>
        <v>1.630288838103102E-3</v>
      </c>
      <c r="AV437" s="22">
        <f t="shared" si="103"/>
        <v>1.6307733745465026E-3</v>
      </c>
      <c r="AW437" s="22">
        <f t="shared" si="103"/>
        <v>1.6313457770050716E-3</v>
      </c>
      <c r="AY437" s="79"/>
    </row>
    <row r="438" spans="1:51" x14ac:dyDescent="0.3">
      <c r="A438" s="95" t="str">
        <f t="shared" ref="A438:A459" si="104">B438&amp;" "&amp;C438</f>
        <v>GS MM Volatilisation</v>
      </c>
      <c r="B438" s="95" t="s">
        <v>1021</v>
      </c>
      <c r="C438" s="95" t="s">
        <v>1332</v>
      </c>
      <c r="D438" t="s">
        <v>369</v>
      </c>
      <c r="E438" t="s">
        <v>64</v>
      </c>
      <c r="F438" t="s">
        <v>62</v>
      </c>
      <c r="G438" t="s">
        <v>1172</v>
      </c>
      <c r="H438" t="s">
        <v>1300</v>
      </c>
      <c r="I438" t="s">
        <v>139</v>
      </c>
      <c r="J438" t="s">
        <v>287</v>
      </c>
      <c r="K438" s="22">
        <f t="shared" si="101"/>
        <v>0</v>
      </c>
      <c r="L438" s="22">
        <f t="shared" si="103"/>
        <v>0</v>
      </c>
      <c r="M438" s="22">
        <f t="shared" si="103"/>
        <v>0</v>
      </c>
      <c r="N438" s="22">
        <f t="shared" si="103"/>
        <v>0</v>
      </c>
      <c r="O438" s="22">
        <f t="shared" si="103"/>
        <v>0</v>
      </c>
      <c r="P438" s="22">
        <f t="shared" si="103"/>
        <v>0</v>
      </c>
      <c r="Q438" s="22">
        <f t="shared" si="103"/>
        <v>0</v>
      </c>
      <c r="R438" s="22">
        <f t="shared" si="103"/>
        <v>0</v>
      </c>
      <c r="S438" s="22">
        <f t="shared" si="103"/>
        <v>0</v>
      </c>
      <c r="T438" s="22">
        <f t="shared" si="103"/>
        <v>0</v>
      </c>
      <c r="U438" s="22">
        <f t="shared" si="103"/>
        <v>0</v>
      </c>
      <c r="V438" s="22">
        <f t="shared" si="103"/>
        <v>0</v>
      </c>
      <c r="W438" s="22">
        <f t="shared" si="103"/>
        <v>0</v>
      </c>
      <c r="X438" s="22">
        <f t="shared" si="103"/>
        <v>0</v>
      </c>
      <c r="Y438" s="22">
        <f t="shared" si="103"/>
        <v>0</v>
      </c>
      <c r="Z438" s="22">
        <f t="shared" si="103"/>
        <v>0</v>
      </c>
      <c r="AA438" s="22">
        <f t="shared" si="103"/>
        <v>0</v>
      </c>
      <c r="AB438" s="22">
        <f t="shared" si="103"/>
        <v>0</v>
      </c>
      <c r="AC438" s="22">
        <f t="shared" si="103"/>
        <v>0</v>
      </c>
      <c r="AD438" s="22">
        <f t="shared" si="103"/>
        <v>0</v>
      </c>
      <c r="AE438" s="22">
        <f t="shared" si="103"/>
        <v>0</v>
      </c>
      <c r="AF438" s="22">
        <f t="shared" si="103"/>
        <v>0</v>
      </c>
      <c r="AG438" s="22">
        <f t="shared" si="103"/>
        <v>0</v>
      </c>
      <c r="AH438" s="22">
        <f t="shared" si="103"/>
        <v>0</v>
      </c>
      <c r="AI438" s="22">
        <f t="shared" si="103"/>
        <v>0</v>
      </c>
      <c r="AJ438" s="22">
        <f t="shared" si="103"/>
        <v>0</v>
      </c>
      <c r="AK438" s="22">
        <f t="shared" si="103"/>
        <v>0</v>
      </c>
      <c r="AL438" s="22">
        <f t="shared" si="103"/>
        <v>0</v>
      </c>
      <c r="AM438" s="22">
        <f t="shared" si="103"/>
        <v>0</v>
      </c>
      <c r="AN438" s="22">
        <f t="shared" si="103"/>
        <v>0</v>
      </c>
      <c r="AO438" s="22">
        <f t="shared" si="103"/>
        <v>0</v>
      </c>
      <c r="AP438" s="22">
        <f t="shared" si="103"/>
        <v>0</v>
      </c>
      <c r="AQ438" s="22">
        <f t="shared" si="103"/>
        <v>0</v>
      </c>
      <c r="AR438" s="22">
        <f t="shared" si="103"/>
        <v>0</v>
      </c>
      <c r="AS438" s="22">
        <f t="shared" si="103"/>
        <v>0</v>
      </c>
      <c r="AT438" s="22">
        <f t="shared" si="103"/>
        <v>0</v>
      </c>
      <c r="AU438" s="22">
        <f t="shared" si="103"/>
        <v>0</v>
      </c>
      <c r="AV438" s="22">
        <f t="shared" si="103"/>
        <v>0</v>
      </c>
      <c r="AW438" s="22">
        <f t="shared" si="103"/>
        <v>0</v>
      </c>
      <c r="AY438" s="79"/>
    </row>
    <row r="439" spans="1:51" x14ac:dyDescent="0.3">
      <c r="A439" s="95" t="str">
        <f t="shared" si="104"/>
        <v>GS MM Volatilisation</v>
      </c>
      <c r="B439" s="95" t="s">
        <v>1021</v>
      </c>
      <c r="C439" s="95" t="s">
        <v>1332</v>
      </c>
      <c r="D439" t="s">
        <v>369</v>
      </c>
      <c r="E439" t="s">
        <v>64</v>
      </c>
      <c r="F439" t="s">
        <v>62</v>
      </c>
      <c r="G439" t="s">
        <v>1174</v>
      </c>
      <c r="H439" t="s">
        <v>1301</v>
      </c>
      <c r="I439" t="s">
        <v>139</v>
      </c>
      <c r="J439" t="s">
        <v>287</v>
      </c>
      <c r="K439" s="22">
        <f t="shared" si="101"/>
        <v>0</v>
      </c>
      <c r="L439" s="22">
        <f t="shared" si="103"/>
        <v>0</v>
      </c>
      <c r="M439" s="22">
        <f t="shared" si="103"/>
        <v>0</v>
      </c>
      <c r="N439" s="22">
        <f t="shared" si="103"/>
        <v>0</v>
      </c>
      <c r="O439" s="22">
        <f t="shared" si="103"/>
        <v>0</v>
      </c>
      <c r="P439" s="22">
        <f t="shared" si="103"/>
        <v>0</v>
      </c>
      <c r="Q439" s="22">
        <f t="shared" si="103"/>
        <v>0</v>
      </c>
      <c r="R439" s="22">
        <f t="shared" si="103"/>
        <v>0</v>
      </c>
      <c r="S439" s="22">
        <f t="shared" si="103"/>
        <v>0</v>
      </c>
      <c r="T439" s="22">
        <f t="shared" si="103"/>
        <v>0</v>
      </c>
      <c r="U439" s="22">
        <f t="shared" si="103"/>
        <v>0</v>
      </c>
      <c r="V439" s="22">
        <f t="shared" si="103"/>
        <v>0</v>
      </c>
      <c r="W439" s="22">
        <f t="shared" si="103"/>
        <v>0</v>
      </c>
      <c r="X439" s="22">
        <f t="shared" si="103"/>
        <v>0</v>
      </c>
      <c r="Y439" s="22">
        <f t="shared" si="103"/>
        <v>0</v>
      </c>
      <c r="Z439" s="22">
        <f t="shared" si="103"/>
        <v>0</v>
      </c>
      <c r="AA439" s="22">
        <f t="shared" si="103"/>
        <v>0</v>
      </c>
      <c r="AB439" s="22">
        <f t="shared" si="103"/>
        <v>0</v>
      </c>
      <c r="AC439" s="22">
        <f t="shared" si="103"/>
        <v>0</v>
      </c>
      <c r="AD439" s="22">
        <f t="shared" si="103"/>
        <v>0</v>
      </c>
      <c r="AE439" s="22">
        <f t="shared" si="103"/>
        <v>0</v>
      </c>
      <c r="AF439" s="22">
        <f t="shared" si="103"/>
        <v>0</v>
      </c>
      <c r="AG439" s="22">
        <f t="shared" si="103"/>
        <v>0</v>
      </c>
      <c r="AH439" s="22">
        <f t="shared" si="103"/>
        <v>0</v>
      </c>
      <c r="AI439" s="22">
        <f t="shared" si="103"/>
        <v>0</v>
      </c>
      <c r="AJ439" s="22">
        <f t="shared" si="103"/>
        <v>0</v>
      </c>
      <c r="AK439" s="22">
        <f t="shared" si="103"/>
        <v>0</v>
      </c>
      <c r="AL439" s="22">
        <f t="shared" si="103"/>
        <v>0</v>
      </c>
      <c r="AM439" s="22">
        <f t="shared" si="103"/>
        <v>0</v>
      </c>
      <c r="AN439" s="22">
        <f t="shared" si="103"/>
        <v>0</v>
      </c>
      <c r="AO439" s="22">
        <f t="shared" si="103"/>
        <v>0</v>
      </c>
      <c r="AP439" s="22">
        <f t="shared" si="103"/>
        <v>0</v>
      </c>
      <c r="AQ439" s="22">
        <f t="shared" si="103"/>
        <v>0</v>
      </c>
      <c r="AR439" s="22">
        <f t="shared" si="103"/>
        <v>0</v>
      </c>
      <c r="AS439" s="22">
        <f t="shared" si="103"/>
        <v>0</v>
      </c>
      <c r="AT439" s="22">
        <f t="shared" si="103"/>
        <v>0</v>
      </c>
      <c r="AU439" s="22">
        <f t="shared" si="103"/>
        <v>0</v>
      </c>
      <c r="AV439" s="22">
        <f t="shared" si="103"/>
        <v>0</v>
      </c>
      <c r="AW439" s="22">
        <f t="shared" si="103"/>
        <v>0</v>
      </c>
      <c r="AY439" s="79"/>
    </row>
    <row r="440" spans="1:51" x14ac:dyDescent="0.3">
      <c r="A440" s="95" t="str">
        <f t="shared" si="104"/>
        <v>GS MM Volatilisation</v>
      </c>
      <c r="B440" s="95" t="s">
        <v>1021</v>
      </c>
      <c r="C440" s="95" t="s">
        <v>1332</v>
      </c>
      <c r="D440" t="s">
        <v>369</v>
      </c>
      <c r="E440" t="s">
        <v>64</v>
      </c>
      <c r="F440" t="s">
        <v>62</v>
      </c>
      <c r="G440" t="s">
        <v>1176</v>
      </c>
      <c r="H440" t="s">
        <v>1302</v>
      </c>
      <c r="I440" t="s">
        <v>139</v>
      </c>
      <c r="J440" t="s">
        <v>287</v>
      </c>
      <c r="K440" s="22">
        <f t="shared" si="101"/>
        <v>0.13075625264316332</v>
      </c>
      <c r="L440" s="22">
        <f t="shared" si="103"/>
        <v>0.13004550543955862</v>
      </c>
      <c r="M440" s="22">
        <f t="shared" si="103"/>
        <v>0.13010384136507711</v>
      </c>
      <c r="N440" s="22">
        <f t="shared" si="103"/>
        <v>0.1289093884029483</v>
      </c>
      <c r="O440" s="22">
        <f t="shared" si="103"/>
        <v>0.12695857121838472</v>
      </c>
      <c r="P440" s="22">
        <f t="shared" si="103"/>
        <v>0.12428257569245393</v>
      </c>
      <c r="Q440" s="22">
        <f t="shared" si="103"/>
        <v>0.12233950618032063</v>
      </c>
      <c r="R440" s="22">
        <f t="shared" si="103"/>
        <v>0.1205683722616282</v>
      </c>
      <c r="S440" s="22">
        <f t="shared" si="103"/>
        <v>0.1064558326136491</v>
      </c>
      <c r="T440" s="22">
        <f t="shared" si="103"/>
        <v>0.10780203870685764</v>
      </c>
      <c r="U440" s="22">
        <f t="shared" si="103"/>
        <v>0.11069073271596624</v>
      </c>
      <c r="V440" s="22">
        <f t="shared" si="103"/>
        <v>0.11095301112483856</v>
      </c>
      <c r="W440" s="22">
        <f t="shared" si="103"/>
        <v>0.11152098959254672</v>
      </c>
      <c r="X440" s="22">
        <f t="shared" si="103"/>
        <v>0.11247596118460781</v>
      </c>
      <c r="Y440" s="22">
        <f t="shared" si="103"/>
        <v>0.11367425965304444</v>
      </c>
      <c r="Z440" s="22">
        <f t="shared" si="103"/>
        <v>0.11514267283955164</v>
      </c>
      <c r="AA440" s="22">
        <f t="shared" si="103"/>
        <v>0.11662825764737823</v>
      </c>
      <c r="AB440" s="22">
        <f t="shared" si="103"/>
        <v>0.11834343516699931</v>
      </c>
      <c r="AC440" s="22">
        <f t="shared" si="103"/>
        <v>0.12004677457127924</v>
      </c>
      <c r="AD440" s="22">
        <f t="shared" si="103"/>
        <v>0.12216447018435615</v>
      </c>
      <c r="AE440" s="22">
        <f t="shared" si="103"/>
        <v>0.12411396366852792</v>
      </c>
      <c r="AF440" s="22">
        <f t="shared" si="103"/>
        <v>0.12618838059713719</v>
      </c>
      <c r="AG440" s="22">
        <f t="shared" si="103"/>
        <v>0.12871889862830188</v>
      </c>
      <c r="AH440" s="22">
        <f t="shared" si="103"/>
        <v>0.13089178183294797</v>
      </c>
      <c r="AI440" s="22">
        <f t="shared" si="103"/>
        <v>0.13323707488889489</v>
      </c>
      <c r="AJ440" s="22">
        <f t="shared" si="103"/>
        <v>0.13578249309813545</v>
      </c>
      <c r="AK440" s="22">
        <f t="shared" si="103"/>
        <v>0.13790594882017243</v>
      </c>
      <c r="AL440" s="22">
        <f t="shared" si="103"/>
        <v>0.13989729447599811</v>
      </c>
      <c r="AM440" s="22">
        <f t="shared" si="103"/>
        <v>0.14177259067901168</v>
      </c>
      <c r="AN440" s="22">
        <f t="shared" si="103"/>
        <v>0.14393792175478221</v>
      </c>
      <c r="AO440" s="22">
        <f t="shared" si="103"/>
        <v>0.14581606733158803</v>
      </c>
      <c r="AP440" s="22">
        <f t="shared" si="103"/>
        <v>0.14775479067393846</v>
      </c>
      <c r="AQ440" s="22">
        <f t="shared" si="103"/>
        <v>0.14976871512687839</v>
      </c>
      <c r="AR440" s="22">
        <f t="shared" si="103"/>
        <v>0.15188303991230881</v>
      </c>
      <c r="AS440" s="22">
        <f t="shared" si="103"/>
        <v>0.15410322114057187</v>
      </c>
      <c r="AT440" s="22">
        <f t="shared" si="103"/>
        <v>0.15275221037305547</v>
      </c>
      <c r="AU440" s="22">
        <f t="shared" si="103"/>
        <v>0.15108898692169739</v>
      </c>
      <c r="AV440" s="22">
        <f t="shared" si="103"/>
        <v>0.14899028797623304</v>
      </c>
      <c r="AW440" s="22">
        <f t="shared" si="103"/>
        <v>0.14678866203706492</v>
      </c>
      <c r="AY440" s="79"/>
    </row>
    <row r="441" spans="1:51" x14ac:dyDescent="0.3">
      <c r="A441" s="95" t="str">
        <f t="shared" si="104"/>
        <v>GS MM Volatilisation</v>
      </c>
      <c r="B441" s="95" t="s">
        <v>1021</v>
      </c>
      <c r="C441" s="95" t="s">
        <v>1332</v>
      </c>
      <c r="D441" t="s">
        <v>369</v>
      </c>
      <c r="E441" t="s">
        <v>64</v>
      </c>
      <c r="F441" t="s">
        <v>62</v>
      </c>
      <c r="G441" t="s">
        <v>1178</v>
      </c>
      <c r="H441" t="s">
        <v>1303</v>
      </c>
      <c r="I441" t="s">
        <v>139</v>
      </c>
      <c r="J441" t="s">
        <v>287</v>
      </c>
      <c r="K441" s="22">
        <f t="shared" si="101"/>
        <v>1.2724633182830876E-2</v>
      </c>
      <c r="L441" s="22">
        <f t="shared" si="103"/>
        <v>1.2655466337890209E-2</v>
      </c>
      <c r="M441" s="22">
        <f t="shared" si="103"/>
        <v>1.2661143337946407E-2</v>
      </c>
      <c r="N441" s="22">
        <f t="shared" si="103"/>
        <v>1.2544904339887072E-2</v>
      </c>
      <c r="O441" s="22">
        <f t="shared" si="103"/>
        <v>1.2355059245839611E-2</v>
      </c>
      <c r="P441" s="22">
        <f t="shared" si="103"/>
        <v>1.2094642930917434E-2</v>
      </c>
      <c r="Q441" s="22">
        <f t="shared" si="103"/>
        <v>1.1905551806853844E-2</v>
      </c>
      <c r="R441" s="22">
        <f t="shared" si="103"/>
        <v>1.1733192711380723E-2</v>
      </c>
      <c r="S441" s="22">
        <f t="shared" si="103"/>
        <v>1.0359821368376874E-2</v>
      </c>
      <c r="T441" s="22">
        <f t="shared" si="103"/>
        <v>1.049082832504853E-2</v>
      </c>
      <c r="U441" s="22">
        <f t="shared" si="103"/>
        <v>1.0771943536752097E-2</v>
      </c>
      <c r="V441" s="22">
        <f t="shared" si="103"/>
        <v>1.0797467337543365E-2</v>
      </c>
      <c r="W441" s="22">
        <f t="shared" si="103"/>
        <v>1.0852740546366932E-2</v>
      </c>
      <c r="X441" s="22">
        <f t="shared" ref="L441:AW448" si="105">X1544</f>
        <v>1.0945674252888513E-2</v>
      </c>
      <c r="Y441" s="22">
        <f t="shared" si="105"/>
        <v>1.1062287478995693E-2</v>
      </c>
      <c r="Z441" s="22">
        <f t="shared" si="105"/>
        <v>1.1205187101625038E-2</v>
      </c>
      <c r="AA441" s="22">
        <f t="shared" si="105"/>
        <v>1.1349757792199721E-2</v>
      </c>
      <c r="AB441" s="22">
        <f t="shared" si="105"/>
        <v>1.1516671452842603E-2</v>
      </c>
      <c r="AC441" s="22">
        <f t="shared" si="105"/>
        <v>1.1682433079282552E-2</v>
      </c>
      <c r="AD441" s="22">
        <f t="shared" si="105"/>
        <v>1.1888518060494371E-2</v>
      </c>
      <c r="AE441" s="22">
        <f t="shared" si="105"/>
        <v>1.2078234337742711E-2</v>
      </c>
      <c r="AF441" s="22">
        <f t="shared" si="105"/>
        <v>1.2280107624497444E-2</v>
      </c>
      <c r="AG441" s="22">
        <f t="shared" si="105"/>
        <v>1.2526366698600652E-2</v>
      </c>
      <c r="AH441" s="22">
        <f t="shared" si="105"/>
        <v>1.2737822297620535E-2</v>
      </c>
      <c r="AI441" s="22">
        <f t="shared" si="105"/>
        <v>1.2966056077955363E-2</v>
      </c>
      <c r="AJ441" s="22">
        <f t="shared" si="105"/>
        <v>1.3213765172968019E-2</v>
      </c>
      <c r="AK441" s="22">
        <f t="shared" si="105"/>
        <v>1.3420410703080012E-2</v>
      </c>
      <c r="AL441" s="22">
        <f t="shared" si="105"/>
        <v>1.3614199852725929E-2</v>
      </c>
      <c r="AM441" s="22">
        <f t="shared" si="105"/>
        <v>1.3796695571363754E-2</v>
      </c>
      <c r="AN441" s="22">
        <f t="shared" si="105"/>
        <v>1.4007416229853083E-2</v>
      </c>
      <c r="AO441" s="22">
        <f t="shared" si="105"/>
        <v>1.419018923722911E-2</v>
      </c>
      <c r="AP441" s="22">
        <f t="shared" si="105"/>
        <v>1.4378857410840086E-2</v>
      </c>
      <c r="AQ441" s="22">
        <f t="shared" si="105"/>
        <v>1.4574843831401781E-2</v>
      </c>
      <c r="AR441" s="22">
        <f t="shared" si="105"/>
        <v>1.4780600778240808E-2</v>
      </c>
      <c r="AS441" s="22">
        <f t="shared" si="105"/>
        <v>1.4996659216426185E-2</v>
      </c>
      <c r="AT441" s="22">
        <f t="shared" si="105"/>
        <v>1.4865184689623886E-2</v>
      </c>
      <c r="AU441" s="22">
        <f t="shared" si="105"/>
        <v>1.4703326974281053E-2</v>
      </c>
      <c r="AV441" s="22">
        <f t="shared" si="105"/>
        <v>1.4499090666629237E-2</v>
      </c>
      <c r="AW441" s="22">
        <f t="shared" si="105"/>
        <v>1.4284837948954819E-2</v>
      </c>
      <c r="AY441" s="79"/>
    </row>
    <row r="442" spans="1:51" x14ac:dyDescent="0.3">
      <c r="A442" s="95" t="str">
        <f t="shared" si="104"/>
        <v>GS MM Volatilisation</v>
      </c>
      <c r="B442" s="95" t="s">
        <v>1021</v>
      </c>
      <c r="C442" s="95" t="s">
        <v>1332</v>
      </c>
      <c r="D442" t="s">
        <v>369</v>
      </c>
      <c r="E442" t="s">
        <v>64</v>
      </c>
      <c r="F442" t="s">
        <v>62</v>
      </c>
      <c r="G442" t="s">
        <v>1180</v>
      </c>
      <c r="H442" t="s">
        <v>1304</v>
      </c>
      <c r="I442" t="s">
        <v>139</v>
      </c>
      <c r="J442" t="s">
        <v>287</v>
      </c>
      <c r="K442" s="22">
        <f t="shared" si="101"/>
        <v>6.4453339767617107E-2</v>
      </c>
      <c r="L442" s="22">
        <f t="shared" si="105"/>
        <v>6.5763803942104543E-2</v>
      </c>
      <c r="M442" s="22">
        <f t="shared" si="105"/>
        <v>6.7295612361813625E-2</v>
      </c>
      <c r="N442" s="22">
        <f t="shared" si="105"/>
        <v>6.8471619369899747E-2</v>
      </c>
      <c r="O442" s="22">
        <f t="shared" si="105"/>
        <v>6.94156577655035E-2</v>
      </c>
      <c r="P442" s="22">
        <f t="shared" si="105"/>
        <v>7.0122113289878316E-2</v>
      </c>
      <c r="Q442" s="22">
        <f t="shared" si="105"/>
        <v>7.1027984276732931E-2</v>
      </c>
      <c r="R442" s="22">
        <f t="shared" si="105"/>
        <v>7.1969839340941838E-2</v>
      </c>
      <c r="S442" s="22">
        <f t="shared" si="105"/>
        <v>6.8766563459968802E-2</v>
      </c>
      <c r="T442" s="22">
        <f t="shared" si="105"/>
        <v>7.0478152358708523E-2</v>
      </c>
      <c r="U442" s="22">
        <f t="shared" si="105"/>
        <v>7.2759128000714796E-2</v>
      </c>
      <c r="V442" s="22">
        <f t="shared" si="105"/>
        <v>7.4154122533566028E-2</v>
      </c>
      <c r="W442" s="22">
        <f t="shared" si="105"/>
        <v>7.5674972830257564E-2</v>
      </c>
      <c r="X442" s="22">
        <f t="shared" si="105"/>
        <v>7.7360161163039912E-2</v>
      </c>
      <c r="Y442" s="22">
        <f t="shared" si="105"/>
        <v>7.9100740420260676E-2</v>
      </c>
      <c r="Z442" s="22">
        <f t="shared" si="105"/>
        <v>8.0976740364442315E-2</v>
      </c>
      <c r="AA442" s="22">
        <f t="shared" si="105"/>
        <v>8.2894928844752261E-2</v>
      </c>
      <c r="AB442" s="22">
        <f t="shared" si="105"/>
        <v>8.4943030682698137E-2</v>
      </c>
      <c r="AC442" s="22">
        <f t="shared" si="105"/>
        <v>8.7027608507248444E-2</v>
      </c>
      <c r="AD442" s="22">
        <f t="shared" si="105"/>
        <v>8.9276729497460336E-2</v>
      </c>
      <c r="AE442" s="22">
        <f t="shared" si="105"/>
        <v>9.1502625848092475E-2</v>
      </c>
      <c r="AF442" s="22">
        <f t="shared" si="105"/>
        <v>9.3831227517320093E-2</v>
      </c>
      <c r="AG442" s="22">
        <f t="shared" si="105"/>
        <v>9.6415651387216014E-2</v>
      </c>
      <c r="AH442" s="22">
        <f t="shared" si="105"/>
        <v>9.8896773571356525E-2</v>
      </c>
      <c r="AI442" s="22">
        <f t="shared" si="105"/>
        <v>0.10146265551465955</v>
      </c>
      <c r="AJ442" s="22">
        <f t="shared" si="105"/>
        <v>0.10418290059990712</v>
      </c>
      <c r="AK442" s="22">
        <f t="shared" si="105"/>
        <v>0.10676300622740972</v>
      </c>
      <c r="AL442" s="22">
        <f t="shared" si="105"/>
        <v>0.1093360798195923</v>
      </c>
      <c r="AM442" s="22">
        <f t="shared" si="105"/>
        <v>0.11190804099965344</v>
      </c>
      <c r="AN442" s="22">
        <f t="shared" si="105"/>
        <v>0.11463676938939842</v>
      </c>
      <c r="AO442" s="22">
        <f t="shared" si="105"/>
        <v>0.11727861184981632</v>
      </c>
      <c r="AP442" s="22">
        <f t="shared" si="105"/>
        <v>0.12001194210770205</v>
      </c>
      <c r="AQ442" s="22">
        <f t="shared" si="105"/>
        <v>0.12284817048623448</v>
      </c>
      <c r="AR442" s="22">
        <f t="shared" si="105"/>
        <v>0.12580525852431573</v>
      </c>
      <c r="AS442" s="22">
        <f t="shared" si="105"/>
        <v>0.12884131843333302</v>
      </c>
      <c r="AT442" s="22">
        <f t="shared" si="105"/>
        <v>0.12990474262387622</v>
      </c>
      <c r="AU442" s="22">
        <f t="shared" si="105"/>
        <v>0.13078551683241871</v>
      </c>
      <c r="AV442" s="22">
        <f t="shared" si="105"/>
        <v>0.13140059443899127</v>
      </c>
      <c r="AW442" s="22">
        <f t="shared" si="105"/>
        <v>0.13193699884155385</v>
      </c>
      <c r="AY442" s="79"/>
    </row>
    <row r="443" spans="1:51" x14ac:dyDescent="0.3">
      <c r="A443" s="95" t="str">
        <f t="shared" si="104"/>
        <v>GS MM Volatilisation</v>
      </c>
      <c r="B443" s="95" t="s">
        <v>1021</v>
      </c>
      <c r="C443" s="95" t="s">
        <v>1332</v>
      </c>
      <c r="D443" t="s">
        <v>369</v>
      </c>
      <c r="E443" t="s">
        <v>64</v>
      </c>
      <c r="F443" t="s">
        <v>62</v>
      </c>
      <c r="G443" t="s">
        <v>1182</v>
      </c>
      <c r="H443" t="s">
        <v>1305</v>
      </c>
      <c r="I443" t="s">
        <v>139</v>
      </c>
      <c r="J443" t="s">
        <v>287</v>
      </c>
      <c r="K443" s="22">
        <f t="shared" si="101"/>
        <v>0.31034319165291718</v>
      </c>
      <c r="L443" s="22">
        <f t="shared" si="105"/>
        <v>0.31442985679016972</v>
      </c>
      <c r="M443" s="22">
        <f t="shared" si="105"/>
        <v>0.32099421325528477</v>
      </c>
      <c r="N443" s="22">
        <f t="shared" si="105"/>
        <v>0.3228790317815291</v>
      </c>
      <c r="O443" s="22">
        <f t="shared" si="105"/>
        <v>0.32172327535887091</v>
      </c>
      <c r="P443" s="22">
        <f t="shared" si="105"/>
        <v>0.31753924052538912</v>
      </c>
      <c r="Q443" s="22">
        <f t="shared" si="105"/>
        <v>0.31577785743754239</v>
      </c>
      <c r="R443" s="22">
        <f t="shared" si="105"/>
        <v>0.31441607582114939</v>
      </c>
      <c r="S443" s="22">
        <f t="shared" si="105"/>
        <v>0.2650364312253965</v>
      </c>
      <c r="T443" s="22">
        <f t="shared" si="105"/>
        <v>0.27553316275566697</v>
      </c>
      <c r="U443" s="22">
        <f t="shared" si="105"/>
        <v>0.29228527136368948</v>
      </c>
      <c r="V443" s="22">
        <f t="shared" si="105"/>
        <v>0.29874340186404968</v>
      </c>
      <c r="W443" s="22">
        <f t="shared" si="105"/>
        <v>0.30647179876243097</v>
      </c>
      <c r="X443" s="22">
        <f t="shared" si="105"/>
        <v>0.3158631034162086</v>
      </c>
      <c r="Y443" s="22">
        <f t="shared" si="105"/>
        <v>0.32664711376847955</v>
      </c>
      <c r="Z443" s="22">
        <f t="shared" si="105"/>
        <v>0.3387235871621958</v>
      </c>
      <c r="AA443" s="22">
        <f t="shared" si="105"/>
        <v>0.35105651101096136</v>
      </c>
      <c r="AB443" s="22">
        <f t="shared" si="105"/>
        <v>0.36458195379680847</v>
      </c>
      <c r="AC443" s="22">
        <f t="shared" si="105"/>
        <v>0.37828081857860674</v>
      </c>
      <c r="AD443" s="22">
        <f t="shared" si="105"/>
        <v>0.39427261879187497</v>
      </c>
      <c r="AE443" s="22">
        <f t="shared" si="105"/>
        <v>0.40979186242957388</v>
      </c>
      <c r="AF443" s="22">
        <f t="shared" si="105"/>
        <v>0.42616228566496256</v>
      </c>
      <c r="AG443" s="22">
        <f t="shared" si="105"/>
        <v>0.44495226630702778</v>
      </c>
      <c r="AH443" s="22">
        <f t="shared" si="105"/>
        <v>0.46242618458210583</v>
      </c>
      <c r="AI443" s="22">
        <f t="shared" si="105"/>
        <v>0.48124875752773738</v>
      </c>
      <c r="AJ443" s="22">
        <f t="shared" si="105"/>
        <v>0.50140117317613597</v>
      </c>
      <c r="AK443" s="22">
        <f t="shared" si="105"/>
        <v>0.51989325002843578</v>
      </c>
      <c r="AL443" s="22">
        <f t="shared" si="105"/>
        <v>0.53809144777835283</v>
      </c>
      <c r="AM443" s="22">
        <f t="shared" si="105"/>
        <v>0.55606219814879432</v>
      </c>
      <c r="AN443" s="22">
        <f t="shared" si="105"/>
        <v>0.57603307954485361</v>
      </c>
      <c r="AO443" s="22">
        <f t="shared" si="105"/>
        <v>0.59492740362722618</v>
      </c>
      <c r="AP443" s="22">
        <f t="shared" si="105"/>
        <v>0.61451021406332851</v>
      </c>
      <c r="AQ443" s="22">
        <f t="shared" si="105"/>
        <v>0.6348825242649947</v>
      </c>
      <c r="AR443" s="22">
        <f t="shared" si="105"/>
        <v>0.65620656209687755</v>
      </c>
      <c r="AS443" s="22">
        <f t="shared" si="105"/>
        <v>0.67872441504873171</v>
      </c>
      <c r="AT443" s="22">
        <f t="shared" si="105"/>
        <v>0.6821526428447654</v>
      </c>
      <c r="AU443" s="22">
        <f t="shared" si="105"/>
        <v>0.68382516110267277</v>
      </c>
      <c r="AV443" s="22">
        <f t="shared" si="105"/>
        <v>0.68298338603927977</v>
      </c>
      <c r="AW443" s="22">
        <f t="shared" si="105"/>
        <v>0.68142585829620028</v>
      </c>
      <c r="AY443" s="79"/>
    </row>
    <row r="444" spans="1:51" x14ac:dyDescent="0.3">
      <c r="A444" s="95" t="str">
        <f t="shared" si="104"/>
        <v>GS MM Leaching</v>
      </c>
      <c r="B444" s="95" t="s">
        <v>1021</v>
      </c>
      <c r="C444" s="95" t="s">
        <v>1333</v>
      </c>
      <c r="D444" t="s">
        <v>369</v>
      </c>
      <c r="E444" t="s">
        <v>64</v>
      </c>
      <c r="F444" t="s">
        <v>63</v>
      </c>
      <c r="G444" t="s">
        <v>1152</v>
      </c>
      <c r="H444" t="s">
        <v>1306</v>
      </c>
      <c r="I444" t="s">
        <v>139</v>
      </c>
      <c r="J444" t="s">
        <v>287</v>
      </c>
      <c r="K444" s="22">
        <f t="shared" si="101"/>
        <v>8.9211118607918846E-2</v>
      </c>
      <c r="L444" s="22">
        <f t="shared" si="105"/>
        <v>8.9709854381943774E-2</v>
      </c>
      <c r="M444" s="22">
        <f t="shared" si="105"/>
        <v>9.0417475033143083E-2</v>
      </c>
      <c r="N444" s="22">
        <f t="shared" si="105"/>
        <v>9.0872196678668984E-2</v>
      </c>
      <c r="O444" s="22">
        <f t="shared" si="105"/>
        <v>9.1174361291842934E-2</v>
      </c>
      <c r="P444" s="22">
        <f t="shared" si="105"/>
        <v>9.1320994898161728E-2</v>
      </c>
      <c r="Q444" s="22">
        <f t="shared" si="105"/>
        <v>9.1644963105957017E-2</v>
      </c>
      <c r="R444" s="22">
        <f t="shared" si="105"/>
        <v>9.2016609055475651E-2</v>
      </c>
      <c r="S444" s="22">
        <f t="shared" si="105"/>
        <v>8.9250626632870506E-2</v>
      </c>
      <c r="T444" s="22">
        <f t="shared" si="105"/>
        <v>9.018910759145192E-2</v>
      </c>
      <c r="U444" s="22">
        <f t="shared" si="105"/>
        <v>9.1562795389337467E-2</v>
      </c>
      <c r="V444" s="22">
        <f t="shared" si="105"/>
        <v>9.2274810820194952E-2</v>
      </c>
      <c r="W444" s="22">
        <f t="shared" si="105"/>
        <v>9.3088549677051477E-2</v>
      </c>
      <c r="X444" s="22">
        <f t="shared" si="105"/>
        <v>9.4030367146954022E-2</v>
      </c>
      <c r="Y444" s="22">
        <f t="shared" si="105"/>
        <v>9.4992140485733595E-2</v>
      </c>
      <c r="Z444" s="22">
        <f t="shared" si="105"/>
        <v>9.605669953542309E-2</v>
      </c>
      <c r="AA444" s="22">
        <f t="shared" si="105"/>
        <v>9.7154235713963338E-2</v>
      </c>
      <c r="AB444" s="22">
        <f t="shared" si="105"/>
        <v>9.8347760304703769E-2</v>
      </c>
      <c r="AC444" s="22">
        <f t="shared" si="105"/>
        <v>9.9568208578524817E-2</v>
      </c>
      <c r="AD444" s="22">
        <f t="shared" si="105"/>
        <v>0.10088669536271129</v>
      </c>
      <c r="AE444" s="22">
        <f t="shared" si="105"/>
        <v>0.10218733727824697</v>
      </c>
      <c r="AF444" s="22">
        <f t="shared" si="105"/>
        <v>0.10356015512248805</v>
      </c>
      <c r="AG444" s="22">
        <f t="shared" si="105"/>
        <v>0.1051130390487056</v>
      </c>
      <c r="AH444" s="22">
        <f t="shared" si="105"/>
        <v>0.10658947451521658</v>
      </c>
      <c r="AI444" s="22">
        <f t="shared" si="105"/>
        <v>0.10810355126576793</v>
      </c>
      <c r="AJ444" s="22">
        <f t="shared" si="105"/>
        <v>0.10972278781886159</v>
      </c>
      <c r="AK444" s="22">
        <f t="shared" si="105"/>
        <v>0.1112398173269733</v>
      </c>
      <c r="AL444" s="22">
        <f t="shared" si="105"/>
        <v>0.11274861433308095</v>
      </c>
      <c r="AM444" s="22">
        <f t="shared" si="105"/>
        <v>0.11425337554687653</v>
      </c>
      <c r="AN444" s="22">
        <f t="shared" si="105"/>
        <v>0.11584536779599926</v>
      </c>
      <c r="AO444" s="22">
        <f t="shared" si="105"/>
        <v>0.11737332691073739</v>
      </c>
      <c r="AP444" s="22">
        <f t="shared" si="105"/>
        <v>0.11896061880517098</v>
      </c>
      <c r="AQ444" s="22">
        <f t="shared" si="105"/>
        <v>0.12061448282820714</v>
      </c>
      <c r="AR444" s="22">
        <f t="shared" si="105"/>
        <v>0.12234656062044848</v>
      </c>
      <c r="AS444" s="22">
        <f t="shared" si="105"/>
        <v>0.12410927658755902</v>
      </c>
      <c r="AT444" s="22">
        <f t="shared" si="105"/>
        <v>0.12452720245635615</v>
      </c>
      <c r="AU444" s="22">
        <f t="shared" si="105"/>
        <v>0.12482463901873847</v>
      </c>
      <c r="AV444" s="22">
        <f t="shared" si="105"/>
        <v>0.12494650421265691</v>
      </c>
      <c r="AW444" s="22">
        <f t="shared" si="105"/>
        <v>0.12502008970656403</v>
      </c>
      <c r="AY444" s="79"/>
    </row>
    <row r="445" spans="1:51" x14ac:dyDescent="0.3">
      <c r="A445" s="95" t="str">
        <f t="shared" si="104"/>
        <v>GS MM Leaching</v>
      </c>
      <c r="B445" s="95" t="s">
        <v>1021</v>
      </c>
      <c r="C445" s="95" t="s">
        <v>1333</v>
      </c>
      <c r="D445" t="s">
        <v>369</v>
      </c>
      <c r="E445" t="s">
        <v>64</v>
      </c>
      <c r="F445" t="s">
        <v>63</v>
      </c>
      <c r="G445" t="s">
        <v>1154</v>
      </c>
      <c r="H445" t="s">
        <v>1307</v>
      </c>
      <c r="I445" t="s">
        <v>139</v>
      </c>
      <c r="J445" t="s">
        <v>287</v>
      </c>
      <c r="K445" s="22">
        <f t="shared" si="101"/>
        <v>2.6939494531157477E-2</v>
      </c>
      <c r="L445" s="22">
        <f t="shared" si="105"/>
        <v>2.709010008197326E-2</v>
      </c>
      <c r="M445" s="22">
        <f t="shared" si="105"/>
        <v>2.730378356628085E-2</v>
      </c>
      <c r="N445" s="22">
        <f t="shared" si="105"/>
        <v>2.7441097966929517E-2</v>
      </c>
      <c r="O445" s="22">
        <f t="shared" si="105"/>
        <v>2.7532344014183842E-2</v>
      </c>
      <c r="P445" s="22">
        <f t="shared" si="105"/>
        <v>2.757662364319366E-2</v>
      </c>
      <c r="Q445" s="22">
        <f t="shared" si="105"/>
        <v>2.7674453822865853E-2</v>
      </c>
      <c r="R445" s="22">
        <f t="shared" si="105"/>
        <v>2.7786681470952927E-2</v>
      </c>
      <c r="S445" s="22">
        <f t="shared" si="105"/>
        <v>2.6951424952373251E-2</v>
      </c>
      <c r="T445" s="22">
        <f t="shared" si="105"/>
        <v>2.7234822392578142E-2</v>
      </c>
      <c r="U445" s="22">
        <f t="shared" si="105"/>
        <v>2.7649641257043878E-2</v>
      </c>
      <c r="V445" s="22">
        <f t="shared" si="105"/>
        <v>2.7864651853312578E-2</v>
      </c>
      <c r="W445" s="22">
        <f t="shared" si="105"/>
        <v>2.8110380343506967E-2</v>
      </c>
      <c r="X445" s="22">
        <f t="shared" si="105"/>
        <v>2.8394785325483455E-2</v>
      </c>
      <c r="Y445" s="22">
        <f t="shared" si="105"/>
        <v>2.8685216473579894E-2</v>
      </c>
      <c r="Z445" s="22">
        <f t="shared" si="105"/>
        <v>2.9006686298694923E-2</v>
      </c>
      <c r="AA445" s="22">
        <f t="shared" si="105"/>
        <v>2.9338114380092265E-2</v>
      </c>
      <c r="AB445" s="22">
        <f t="shared" si="105"/>
        <v>2.9698528526745503E-2</v>
      </c>
      <c r="AC445" s="22">
        <f t="shared" si="105"/>
        <v>3.006707294263454E-2</v>
      </c>
      <c r="AD445" s="22">
        <f t="shared" si="105"/>
        <v>3.046522250141433E-2</v>
      </c>
      <c r="AE445" s="22">
        <f t="shared" si="105"/>
        <v>3.0857983362586373E-2</v>
      </c>
      <c r="AF445" s="22">
        <f t="shared" si="105"/>
        <v>3.1272539523122242E-2</v>
      </c>
      <c r="AG445" s="22">
        <f t="shared" si="105"/>
        <v>3.1741471072133737E-2</v>
      </c>
      <c r="AH445" s="22">
        <f t="shared" si="105"/>
        <v>3.2187317125813304E-2</v>
      </c>
      <c r="AI445" s="22">
        <f t="shared" si="105"/>
        <v>3.2644529892312681E-2</v>
      </c>
      <c r="AJ445" s="22">
        <f t="shared" si="105"/>
        <v>3.3133498251272868E-2</v>
      </c>
      <c r="AK445" s="22">
        <f t="shared" si="105"/>
        <v>3.3591602675643942E-2</v>
      </c>
      <c r="AL445" s="22">
        <f t="shared" si="105"/>
        <v>3.4047221093268576E-2</v>
      </c>
      <c r="AM445" s="22">
        <f t="shared" si="105"/>
        <v>3.4501620804003125E-2</v>
      </c>
      <c r="AN445" s="22">
        <f t="shared" si="105"/>
        <v>3.4982362074352798E-2</v>
      </c>
      <c r="AO445" s="22">
        <f t="shared" si="105"/>
        <v>3.5443766962640642E-2</v>
      </c>
      <c r="AP445" s="22">
        <f t="shared" si="105"/>
        <v>3.5923088845122318E-2</v>
      </c>
      <c r="AQ445" s="22">
        <f t="shared" si="105"/>
        <v>3.6422513821505312E-2</v>
      </c>
      <c r="AR445" s="22">
        <f t="shared" si="105"/>
        <v>3.6945557371902887E-2</v>
      </c>
      <c r="AS445" s="22">
        <f t="shared" si="105"/>
        <v>3.7477852873819655E-2</v>
      </c>
      <c r="AT445" s="22">
        <f t="shared" si="105"/>
        <v>3.7604055883406068E-2</v>
      </c>
      <c r="AU445" s="22">
        <f t="shared" si="105"/>
        <v>3.7693874179272106E-2</v>
      </c>
      <c r="AV445" s="22">
        <f t="shared" si="105"/>
        <v>3.7730674376112279E-2</v>
      </c>
      <c r="AW445" s="22">
        <f t="shared" si="105"/>
        <v>3.7752895328406304E-2</v>
      </c>
      <c r="AY445" s="79"/>
    </row>
    <row r="446" spans="1:51" x14ac:dyDescent="0.3">
      <c r="A446" s="95" t="str">
        <f t="shared" si="104"/>
        <v>GS MM Leaching</v>
      </c>
      <c r="B446" s="95" t="s">
        <v>1021</v>
      </c>
      <c r="C446" s="95" t="s">
        <v>1333</v>
      </c>
      <c r="D446" t="s">
        <v>369</v>
      </c>
      <c r="E446" t="s">
        <v>64</v>
      </c>
      <c r="F446" t="s">
        <v>63</v>
      </c>
      <c r="G446" t="s">
        <v>1156</v>
      </c>
      <c r="H446" t="s">
        <v>1308</v>
      </c>
      <c r="I446" t="s">
        <v>139</v>
      </c>
      <c r="J446" t="s">
        <v>287</v>
      </c>
      <c r="K446" s="22">
        <f t="shared" si="101"/>
        <v>1.4483668498503175E-3</v>
      </c>
      <c r="L446" s="22">
        <f t="shared" si="105"/>
        <v>1.4564639612104709E-3</v>
      </c>
      <c r="M446" s="22">
        <f t="shared" si="105"/>
        <v>1.4679523755410987E-3</v>
      </c>
      <c r="N446" s="22">
        <f t="shared" si="105"/>
        <v>1.4753349055168039E-3</v>
      </c>
      <c r="O446" s="22">
        <f t="shared" si="105"/>
        <v>1.4802406304505124E-3</v>
      </c>
      <c r="P446" s="22">
        <f t="shared" si="105"/>
        <v>1.4826212670547858E-3</v>
      </c>
      <c r="Q446" s="22">
        <f t="shared" si="105"/>
        <v>1.4878809792957942E-3</v>
      </c>
      <c r="R446" s="22">
        <f t="shared" si="105"/>
        <v>1.4939147526814823E-3</v>
      </c>
      <c r="S446" s="22">
        <f t="shared" si="105"/>
        <v>1.4490082734142855E-3</v>
      </c>
      <c r="T446" s="22">
        <f t="shared" si="105"/>
        <v>1.4642447678203134E-3</v>
      </c>
      <c r="U446" s="22">
        <f t="shared" si="105"/>
        <v>1.4865469639988589E-3</v>
      </c>
      <c r="V446" s="22">
        <f t="shared" si="105"/>
        <v>1.4981067287762548E-3</v>
      </c>
      <c r="W446" s="22">
        <f t="shared" si="105"/>
        <v>1.5113180011276973E-3</v>
      </c>
      <c r="X446" s="22">
        <f t="shared" si="105"/>
        <v>1.5266086647053162E-3</v>
      </c>
      <c r="Y446" s="22">
        <f t="shared" si="105"/>
        <v>1.5422233172586648E-3</v>
      </c>
      <c r="Z446" s="22">
        <f t="shared" si="105"/>
        <v>1.5595067238714088E-3</v>
      </c>
      <c r="AA446" s="22">
        <f t="shared" si="105"/>
        <v>1.5773255231681144E-3</v>
      </c>
      <c r="AB446" s="22">
        <f t="shared" si="105"/>
        <v>1.5967027205251731E-3</v>
      </c>
      <c r="AC446" s="22">
        <f t="shared" si="105"/>
        <v>1.6165170312225675E-3</v>
      </c>
      <c r="AD446" s="22">
        <f t="shared" si="105"/>
        <v>1.6379230238833516E-3</v>
      </c>
      <c r="AE446" s="22">
        <f t="shared" si="105"/>
        <v>1.6590393002330185E-3</v>
      </c>
      <c r="AF446" s="22">
        <f t="shared" si="105"/>
        <v>1.6813273724767988E-3</v>
      </c>
      <c r="AG446" s="22">
        <f t="shared" si="105"/>
        <v>1.7065388666884546E-3</v>
      </c>
      <c r="AH446" s="22">
        <f t="shared" si="105"/>
        <v>1.7305091992995292E-3</v>
      </c>
      <c r="AI446" s="22">
        <f t="shared" si="105"/>
        <v>1.7550906484265776E-3</v>
      </c>
      <c r="AJ446" s="22">
        <f t="shared" si="105"/>
        <v>1.7813793956383919E-3</v>
      </c>
      <c r="AK446" s="22">
        <f t="shared" si="105"/>
        <v>1.8060087835900271E-3</v>
      </c>
      <c r="AL446" s="22">
        <f t="shared" si="105"/>
        <v>1.8305045146255719E-3</v>
      </c>
      <c r="AM446" s="22">
        <f t="shared" si="105"/>
        <v>1.8549347234718561E-3</v>
      </c>
      <c r="AN446" s="22">
        <f t="shared" si="105"/>
        <v>1.8807811519757052E-3</v>
      </c>
      <c r="AO446" s="22">
        <f t="shared" si="105"/>
        <v>1.9055879850728176E-3</v>
      </c>
      <c r="AP446" s="22">
        <f t="shared" si="105"/>
        <v>1.9313581020359023E-3</v>
      </c>
      <c r="AQ446" s="22">
        <f t="shared" si="105"/>
        <v>1.9582090356695609E-3</v>
      </c>
      <c r="AR446" s="22">
        <f t="shared" si="105"/>
        <v>1.9863297911851367E-3</v>
      </c>
      <c r="AS446" s="22">
        <f t="shared" si="105"/>
        <v>2.014947965828651E-3</v>
      </c>
      <c r="AT446" s="22">
        <f t="shared" si="105"/>
        <v>2.0217331063302627E-3</v>
      </c>
      <c r="AU446" s="22">
        <f t="shared" si="105"/>
        <v>2.0265620700694281E-3</v>
      </c>
      <c r="AV446" s="22">
        <f t="shared" si="105"/>
        <v>2.0285405847408761E-3</v>
      </c>
      <c r="AW446" s="22">
        <f t="shared" si="105"/>
        <v>2.0297352653106076E-3</v>
      </c>
      <c r="AY446" s="79"/>
    </row>
    <row r="447" spans="1:51" x14ac:dyDescent="0.3">
      <c r="A447" s="95" t="str">
        <f t="shared" si="104"/>
        <v>GS MM Leaching</v>
      </c>
      <c r="B447" s="95" t="s">
        <v>1021</v>
      </c>
      <c r="C447" s="95" t="s">
        <v>1333</v>
      </c>
      <c r="D447" t="s">
        <v>369</v>
      </c>
      <c r="E447" t="s">
        <v>64</v>
      </c>
      <c r="F447" t="s">
        <v>63</v>
      </c>
      <c r="G447" t="s">
        <v>1158</v>
      </c>
      <c r="H447" t="s">
        <v>1309</v>
      </c>
      <c r="I447" t="s">
        <v>139</v>
      </c>
      <c r="J447" t="s">
        <v>287</v>
      </c>
      <c r="K447" s="22">
        <f t="shared" si="101"/>
        <v>3.030301439269115E-2</v>
      </c>
      <c r="L447" s="22">
        <f t="shared" si="105"/>
        <v>3.0040206026371356E-2</v>
      </c>
      <c r="M447" s="22">
        <f t="shared" si="105"/>
        <v>2.99401628371932E-2</v>
      </c>
      <c r="N447" s="22">
        <f t="shared" si="105"/>
        <v>2.9540351153331298E-2</v>
      </c>
      <c r="O447" s="22">
        <f t="shared" si="105"/>
        <v>2.8960014730128859E-2</v>
      </c>
      <c r="P447" s="22">
        <f t="shared" si="105"/>
        <v>2.8211154016296501E-2</v>
      </c>
      <c r="Q447" s="22">
        <f t="shared" si="105"/>
        <v>2.7620505669412022E-2</v>
      </c>
      <c r="R447" s="22">
        <f t="shared" si="105"/>
        <v>2.7061685185942385E-2</v>
      </c>
      <c r="S447" s="22">
        <f t="shared" si="105"/>
        <v>2.3806393912702346E-2</v>
      </c>
      <c r="T447" s="22">
        <f t="shared" si="105"/>
        <v>2.4193081489661764E-2</v>
      </c>
      <c r="U447" s="22">
        <f t="shared" si="105"/>
        <v>2.4914459363237305E-2</v>
      </c>
      <c r="V447" s="22">
        <f t="shared" si="105"/>
        <v>2.5058526856807112E-2</v>
      </c>
      <c r="W447" s="22">
        <f t="shared" si="105"/>
        <v>2.5266313616668409E-2</v>
      </c>
      <c r="X447" s="22">
        <f t="shared" si="105"/>
        <v>2.5556180730039606E-2</v>
      </c>
      <c r="Y447" s="22">
        <f t="shared" si="105"/>
        <v>2.588867153480013E-2</v>
      </c>
      <c r="Z447" s="22">
        <f t="shared" si="105"/>
        <v>2.627849954534961E-2</v>
      </c>
      <c r="AA447" s="22">
        <f t="shared" si="105"/>
        <v>2.6670125529897157E-2</v>
      </c>
      <c r="AB447" s="22">
        <f t="shared" si="105"/>
        <v>2.7110583919598655E-2</v>
      </c>
      <c r="AC447" s="22">
        <f t="shared" si="105"/>
        <v>2.7546671241882887E-2</v>
      </c>
      <c r="AD447" s="22">
        <f t="shared" si="105"/>
        <v>2.7830739758273274E-2</v>
      </c>
      <c r="AE447" s="22">
        <f t="shared" si="105"/>
        <v>2.8063979806522674E-2</v>
      </c>
      <c r="AF447" s="22">
        <f t="shared" si="105"/>
        <v>2.8310384702020075E-2</v>
      </c>
      <c r="AG447" s="22">
        <f t="shared" si="105"/>
        <v>2.8640071683735925E-2</v>
      </c>
      <c r="AH447" s="22">
        <f t="shared" si="105"/>
        <v>2.8877171474684857E-2</v>
      </c>
      <c r="AI447" s="22">
        <f t="shared" si="105"/>
        <v>2.9129861427597242E-2</v>
      </c>
      <c r="AJ447" s="22">
        <f t="shared" si="105"/>
        <v>2.9408020774721655E-2</v>
      </c>
      <c r="AK447" s="22">
        <f t="shared" si="105"/>
        <v>2.958135107830024E-2</v>
      </c>
      <c r="AL447" s="22">
        <f t="shared" si="105"/>
        <v>2.9711386636381822E-2</v>
      </c>
      <c r="AM447" s="22">
        <f t="shared" si="105"/>
        <v>2.9801834695120533E-2</v>
      </c>
      <c r="AN447" s="22">
        <f t="shared" si="105"/>
        <v>3.0083013804328998E-2</v>
      </c>
      <c r="AO447" s="22">
        <f t="shared" si="105"/>
        <v>3.0296745523052525E-2</v>
      </c>
      <c r="AP447" s="22">
        <f t="shared" si="105"/>
        <v>3.0513175155516516E-2</v>
      </c>
      <c r="AQ447" s="22">
        <f t="shared" si="105"/>
        <v>3.0734778558877459E-2</v>
      </c>
      <c r="AR447" s="22">
        <f t="shared" si="105"/>
        <v>3.0966024436887393E-2</v>
      </c>
      <c r="AS447" s="22">
        <f t="shared" si="105"/>
        <v>3.1203452529548665E-2</v>
      </c>
      <c r="AT447" s="22">
        <f t="shared" si="105"/>
        <v>3.0735097960314203E-2</v>
      </c>
      <c r="AU447" s="22">
        <f t="shared" si="105"/>
        <v>3.0204531000918678E-2</v>
      </c>
      <c r="AV447" s="22">
        <f t="shared" si="105"/>
        <v>2.9589433707278279E-2</v>
      </c>
      <c r="AW447" s="22">
        <f t="shared" si="105"/>
        <v>2.8955059711748863E-2</v>
      </c>
      <c r="AY447" s="79"/>
    </row>
    <row r="448" spans="1:51" x14ac:dyDescent="0.3">
      <c r="A448" s="95" t="str">
        <f t="shared" si="104"/>
        <v>GS MM Leaching</v>
      </c>
      <c r="B448" s="95" t="s">
        <v>1021</v>
      </c>
      <c r="C448" s="95" t="s">
        <v>1333</v>
      </c>
      <c r="D448" t="s">
        <v>369</v>
      </c>
      <c r="E448" t="s">
        <v>64</v>
      </c>
      <c r="F448" t="s">
        <v>63</v>
      </c>
      <c r="G448" t="s">
        <v>1160</v>
      </c>
      <c r="H448" t="s">
        <v>1310</v>
      </c>
      <c r="I448" t="s">
        <v>139</v>
      </c>
      <c r="J448" t="s">
        <v>287</v>
      </c>
      <c r="K448" s="22">
        <f t="shared" si="101"/>
        <v>4.0226293185258936E-2</v>
      </c>
      <c r="L448" s="22">
        <f t="shared" si="105"/>
        <v>3.9877423391049015E-2</v>
      </c>
      <c r="M448" s="22">
        <f t="shared" ref="L448:AW454" si="106">M1551</f>
        <v>3.9744619221572089E-2</v>
      </c>
      <c r="N448" s="22">
        <f t="shared" si="106"/>
        <v>3.9213881856453713E-2</v>
      </c>
      <c r="O448" s="22">
        <f t="shared" si="106"/>
        <v>3.8443503609481157E-2</v>
      </c>
      <c r="P448" s="22">
        <f t="shared" si="106"/>
        <v>3.7449414696768608E-2</v>
      </c>
      <c r="Q448" s="22">
        <f t="shared" si="106"/>
        <v>3.666534769725275E-2</v>
      </c>
      <c r="R448" s="22">
        <f t="shared" si="106"/>
        <v>3.5923531179771241E-2</v>
      </c>
      <c r="S448" s="22">
        <f t="shared" si="106"/>
        <v>3.160223497260737E-2</v>
      </c>
      <c r="T448" s="22">
        <f t="shared" si="106"/>
        <v>3.2115550500900779E-2</v>
      </c>
      <c r="U448" s="22">
        <f t="shared" si="106"/>
        <v>3.3073156812397204E-2</v>
      </c>
      <c r="V448" s="22">
        <f t="shared" si="106"/>
        <v>3.3264401853557279E-2</v>
      </c>
      <c r="W448" s="22">
        <f t="shared" si="106"/>
        <v>3.3540232205412031E-2</v>
      </c>
      <c r="X448" s="22">
        <f t="shared" si="106"/>
        <v>3.3925021630521073E-2</v>
      </c>
      <c r="Y448" s="22">
        <f t="shared" si="106"/>
        <v>3.4366392657851123E-2</v>
      </c>
      <c r="Z448" s="22">
        <f t="shared" si="106"/>
        <v>3.4883877012409983E-2</v>
      </c>
      <c r="AA448" s="22">
        <f t="shared" si="106"/>
        <v>3.5403748120585117E-2</v>
      </c>
      <c r="AB448" s="22">
        <f t="shared" si="106"/>
        <v>3.5988442702135158E-2</v>
      </c>
      <c r="AC448" s="22">
        <f t="shared" si="106"/>
        <v>3.6567334829936515E-2</v>
      </c>
      <c r="AD448" s="22">
        <f t="shared" si="106"/>
        <v>3.6944426800951023E-2</v>
      </c>
      <c r="AE448" s="22">
        <f t="shared" si="106"/>
        <v>3.7254045588106646E-2</v>
      </c>
      <c r="AF448" s="22">
        <f t="shared" si="106"/>
        <v>3.7581140293607394E-2</v>
      </c>
      <c r="AG448" s="22">
        <f t="shared" si="106"/>
        <v>3.801878933452469E-2</v>
      </c>
      <c r="AH448" s="22">
        <f t="shared" si="106"/>
        <v>3.8333531808038356E-2</v>
      </c>
      <c r="AI448" s="22">
        <f t="shared" si="106"/>
        <v>3.8668969728474223E-2</v>
      </c>
      <c r="AJ448" s="22">
        <f t="shared" si="106"/>
        <v>3.9038217464182824E-2</v>
      </c>
      <c r="AK448" s="22">
        <f t="shared" si="106"/>
        <v>3.9268307960108023E-2</v>
      </c>
      <c r="AL448" s="22">
        <f t="shared" si="106"/>
        <v>3.9440926050708265E-2</v>
      </c>
      <c r="AM448" s="22">
        <f t="shared" si="106"/>
        <v>3.9560992988000768E-2</v>
      </c>
      <c r="AN448" s="22">
        <f t="shared" si="106"/>
        <v>3.9934249362367197E-2</v>
      </c>
      <c r="AO448" s="22">
        <f t="shared" si="106"/>
        <v>4.0217971459084928E-2</v>
      </c>
      <c r="AP448" s="22">
        <f t="shared" si="106"/>
        <v>4.0505274950963739E-2</v>
      </c>
      <c r="AQ448" s="22">
        <f t="shared" si="106"/>
        <v>4.0799446460072705E-2</v>
      </c>
      <c r="AR448" s="22">
        <f t="shared" si="106"/>
        <v>4.1106418049306863E-2</v>
      </c>
      <c r="AS448" s="22">
        <f t="shared" si="106"/>
        <v>4.1421596332960157E-2</v>
      </c>
      <c r="AT448" s="22">
        <f t="shared" si="106"/>
        <v>4.0799870455377994E-2</v>
      </c>
      <c r="AU448" s="22">
        <f t="shared" si="106"/>
        <v>4.0095559597504944E-2</v>
      </c>
      <c r="AV448" s="22">
        <f t="shared" si="106"/>
        <v>3.9279037394439685E-2</v>
      </c>
      <c r="AW448" s="22">
        <f t="shared" si="106"/>
        <v>3.843692597929859E-2</v>
      </c>
      <c r="AY448" s="79"/>
    </row>
    <row r="449" spans="1:51" x14ac:dyDescent="0.3">
      <c r="A449" s="95" t="str">
        <f t="shared" si="104"/>
        <v>GS MM Leaching</v>
      </c>
      <c r="B449" s="95" t="s">
        <v>1021</v>
      </c>
      <c r="C449" s="95" t="s">
        <v>1333</v>
      </c>
      <c r="D449" t="s">
        <v>369</v>
      </c>
      <c r="E449" t="s">
        <v>64</v>
      </c>
      <c r="F449" t="s">
        <v>63</v>
      </c>
      <c r="G449" t="s">
        <v>1162</v>
      </c>
      <c r="H449" t="s">
        <v>1311</v>
      </c>
      <c r="I449" t="s">
        <v>139</v>
      </c>
      <c r="J449" t="s">
        <v>287</v>
      </c>
      <c r="K449" s="22">
        <f t="shared" si="101"/>
        <v>4.1968337096859203E-2</v>
      </c>
      <c r="L449" s="22">
        <f t="shared" si="106"/>
        <v>4.3383434779753462E-2</v>
      </c>
      <c r="M449" s="22">
        <f t="shared" si="106"/>
        <v>4.5063007666824861E-2</v>
      </c>
      <c r="N449" s="22">
        <f t="shared" si="106"/>
        <v>4.6315596244033502E-2</v>
      </c>
      <c r="O449" s="22">
        <f t="shared" si="106"/>
        <v>4.7281576900430194E-2</v>
      </c>
      <c r="P449" s="22">
        <f t="shared" si="106"/>
        <v>4.7947144057730852E-2</v>
      </c>
      <c r="Q449" s="22">
        <f t="shared" si="106"/>
        <v>4.8855920576585825E-2</v>
      </c>
      <c r="R449" s="22">
        <f t="shared" si="106"/>
        <v>4.9808583705724517E-2</v>
      </c>
      <c r="S449" s="22">
        <f t="shared" si="106"/>
        <v>4.558792439477468E-2</v>
      </c>
      <c r="T449" s="22">
        <f t="shared" si="106"/>
        <v>4.7444585849147458E-2</v>
      </c>
      <c r="U449" s="22">
        <f t="shared" si="106"/>
        <v>5.0020252871766716E-2</v>
      </c>
      <c r="V449" s="22">
        <f t="shared" si="106"/>
        <v>5.1489747377125035E-2</v>
      </c>
      <c r="W449" s="22">
        <f t="shared" si="106"/>
        <v>5.3120325210598208E-2</v>
      </c>
      <c r="X449" s="22">
        <f t="shared" si="106"/>
        <v>5.4961817995869279E-2</v>
      </c>
      <c r="Y449" s="22">
        <f t="shared" si="106"/>
        <v>5.6940702891012454E-2</v>
      </c>
      <c r="Z449" s="22">
        <f t="shared" si="106"/>
        <v>5.909779909090021E-2</v>
      </c>
      <c r="AA449" s="22">
        <f t="shared" si="106"/>
        <v>6.1315559224141662E-2</v>
      </c>
      <c r="AB449" s="22">
        <f t="shared" si="106"/>
        <v>6.3706453642829244E-2</v>
      </c>
      <c r="AC449" s="22">
        <f t="shared" si="106"/>
        <v>6.6151992620882463E-2</v>
      </c>
      <c r="AD449" s="22">
        <f t="shared" si="106"/>
        <v>6.9050571490334375E-2</v>
      </c>
      <c r="AE449" s="22">
        <f t="shared" si="106"/>
        <v>7.1942782657683113E-2</v>
      </c>
      <c r="AF449" s="22">
        <f t="shared" si="106"/>
        <v>7.499198620981147E-2</v>
      </c>
      <c r="AG449" s="22">
        <f t="shared" si="106"/>
        <v>7.8400492834913502E-2</v>
      </c>
      <c r="AH449" s="22">
        <f t="shared" si="106"/>
        <v>8.1701156762449018E-2</v>
      </c>
      <c r="AI449" s="22">
        <f t="shared" si="106"/>
        <v>8.5192788556250426E-2</v>
      </c>
      <c r="AJ449" s="22">
        <f t="shared" si="106"/>
        <v>8.8918442809121118E-2</v>
      </c>
      <c r="AK449" s="22">
        <f t="shared" si="106"/>
        <v>9.248798577918188E-2</v>
      </c>
      <c r="AL449" s="22">
        <f t="shared" si="106"/>
        <v>9.6077147406772881E-2</v>
      </c>
      <c r="AM449" s="22">
        <f t="shared" si="106"/>
        <v>9.9693715805378641E-2</v>
      </c>
      <c r="AN449" s="22">
        <f t="shared" si="106"/>
        <v>0.10347374306833025</v>
      </c>
      <c r="AO449" s="22">
        <f t="shared" si="106"/>
        <v>0.1071593390128282</v>
      </c>
      <c r="AP449" s="22">
        <f t="shared" si="106"/>
        <v>0.11099240238226693</v>
      </c>
      <c r="AQ449" s="22">
        <f t="shared" si="106"/>
        <v>0.11498990238948355</v>
      </c>
      <c r="AR449" s="22">
        <f t="shared" si="106"/>
        <v>0.11917803768424121</v>
      </c>
      <c r="AS449" s="22">
        <f t="shared" si="106"/>
        <v>0.12355418732739334</v>
      </c>
      <c r="AT449" s="22">
        <f t="shared" si="106"/>
        <v>0.1252281322589274</v>
      </c>
      <c r="AU449" s="22">
        <f t="shared" si="106"/>
        <v>0.1266560621373938</v>
      </c>
      <c r="AV449" s="22">
        <f t="shared" si="106"/>
        <v>0.12771943748303299</v>
      </c>
      <c r="AW449" s="22">
        <f t="shared" si="106"/>
        <v>0.12867585314816252</v>
      </c>
      <c r="AY449" s="79"/>
    </row>
    <row r="450" spans="1:51" x14ac:dyDescent="0.3">
      <c r="A450" s="95" t="str">
        <f t="shared" si="104"/>
        <v>GS MM Leaching</v>
      </c>
      <c r="B450" s="95" t="s">
        <v>1021</v>
      </c>
      <c r="C450" s="95" t="s">
        <v>1333</v>
      </c>
      <c r="D450" t="s">
        <v>369</v>
      </c>
      <c r="E450" t="s">
        <v>64</v>
      </c>
      <c r="F450" t="s">
        <v>63</v>
      </c>
      <c r="G450" t="s">
        <v>1164</v>
      </c>
      <c r="H450" t="s">
        <v>1312</v>
      </c>
      <c r="I450" t="s">
        <v>139</v>
      </c>
      <c r="J450" t="s">
        <v>287</v>
      </c>
      <c r="K450" s="22">
        <f t="shared" si="101"/>
        <v>4.3945619533695716E-3</v>
      </c>
      <c r="L450" s="22">
        <f t="shared" si="106"/>
        <v>4.3969380790341763E-3</v>
      </c>
      <c r="M450" s="22">
        <f t="shared" si="106"/>
        <v>4.4026193063540784E-3</v>
      </c>
      <c r="N450" s="22">
        <f t="shared" si="106"/>
        <v>4.4109963215778836E-3</v>
      </c>
      <c r="O450" s="22">
        <f t="shared" si="106"/>
        <v>4.4220158913338588E-3</v>
      </c>
      <c r="P450" s="22">
        <f t="shared" si="106"/>
        <v>4.4355616535255637E-3</v>
      </c>
      <c r="Q450" s="22">
        <f t="shared" si="106"/>
        <v>4.4507753934109251E-3</v>
      </c>
      <c r="R450" s="22">
        <f t="shared" si="106"/>
        <v>4.467561061292976E-3</v>
      </c>
      <c r="S450" s="22">
        <f t="shared" si="106"/>
        <v>4.4829106304263445E-3</v>
      </c>
      <c r="T450" s="22">
        <f t="shared" si="106"/>
        <v>4.4896556027107107E-3</v>
      </c>
      <c r="U450" s="22">
        <f t="shared" si="106"/>
        <v>4.4978926629073816E-3</v>
      </c>
      <c r="V450" s="22">
        <f t="shared" si="106"/>
        <v>4.5065504561298229E-3</v>
      </c>
      <c r="W450" s="22">
        <f t="shared" si="106"/>
        <v>4.5162706773714013E-3</v>
      </c>
      <c r="X450" s="22">
        <f t="shared" si="106"/>
        <v>4.527026129260852E-3</v>
      </c>
      <c r="Y450" s="22">
        <f t="shared" si="106"/>
        <v>4.5337431797518573E-3</v>
      </c>
      <c r="Z450" s="22">
        <f t="shared" si="106"/>
        <v>4.5413317440573253E-3</v>
      </c>
      <c r="AA450" s="22">
        <f t="shared" si="106"/>
        <v>4.5496892838415501E-3</v>
      </c>
      <c r="AB450" s="22">
        <f t="shared" si="106"/>
        <v>4.5588387793970616E-3</v>
      </c>
      <c r="AC450" s="22">
        <f t="shared" si="106"/>
        <v>4.5686857941763257E-3</v>
      </c>
      <c r="AD450" s="22">
        <f t="shared" si="106"/>
        <v>4.5752913220902473E-3</v>
      </c>
      <c r="AE450" s="22">
        <f t="shared" si="106"/>
        <v>4.582462373127697E-3</v>
      </c>
      <c r="AF450" s="22">
        <f t="shared" si="106"/>
        <v>4.5902565907943761E-3</v>
      </c>
      <c r="AG450" s="22">
        <f t="shared" si="106"/>
        <v>4.59875005922699E-3</v>
      </c>
      <c r="AH450" s="22">
        <f t="shared" si="106"/>
        <v>4.6076877369256993E-3</v>
      </c>
      <c r="AI450" s="22">
        <f t="shared" si="106"/>
        <v>4.6134006720946743E-3</v>
      </c>
      <c r="AJ450" s="22">
        <f t="shared" si="106"/>
        <v>4.6196582419180043E-3</v>
      </c>
      <c r="AK450" s="22">
        <f t="shared" si="106"/>
        <v>4.626254058673806E-3</v>
      </c>
      <c r="AL450" s="22">
        <f t="shared" si="106"/>
        <v>4.6332583415557996E-3</v>
      </c>
      <c r="AM450" s="22">
        <f t="shared" si="106"/>
        <v>4.6406604705372459E-3</v>
      </c>
      <c r="AN450" s="22">
        <f t="shared" si="106"/>
        <v>4.6450341959288514E-3</v>
      </c>
      <c r="AO450" s="22">
        <f t="shared" si="106"/>
        <v>4.6497032008589968E-3</v>
      </c>
      <c r="AP450" s="22">
        <f t="shared" si="106"/>
        <v>4.6547677652323564E-3</v>
      </c>
      <c r="AQ450" s="22">
        <f t="shared" si="106"/>
        <v>4.6602229926895984E-3</v>
      </c>
      <c r="AR450" s="22">
        <f t="shared" si="106"/>
        <v>4.6660687701808173E-3</v>
      </c>
      <c r="AS450" s="22">
        <f t="shared" si="106"/>
        <v>4.6687208592955552E-3</v>
      </c>
      <c r="AT450" s="22">
        <f t="shared" si="106"/>
        <v>4.6704299553969519E-3</v>
      </c>
      <c r="AU450" s="22">
        <f t="shared" si="106"/>
        <v>4.6723034477338006E-3</v>
      </c>
      <c r="AV450" s="22">
        <f t="shared" si="106"/>
        <v>4.6742823579489622E-3</v>
      </c>
      <c r="AW450" s="22">
        <f t="shared" si="106"/>
        <v>4.6764744826629494E-3</v>
      </c>
      <c r="AY450" s="79"/>
    </row>
    <row r="451" spans="1:51" x14ac:dyDescent="0.3">
      <c r="A451" s="95" t="str">
        <f t="shared" si="104"/>
        <v>GS MM Leaching</v>
      </c>
      <c r="B451" s="95" t="s">
        <v>1021</v>
      </c>
      <c r="C451" s="95" t="s">
        <v>1333</v>
      </c>
      <c r="D451" t="s">
        <v>369</v>
      </c>
      <c r="E451" t="s">
        <v>64</v>
      </c>
      <c r="F451" t="s">
        <v>63</v>
      </c>
      <c r="G451" t="s">
        <v>1166</v>
      </c>
      <c r="H451" t="s">
        <v>1313</v>
      </c>
      <c r="I451" t="s">
        <v>139</v>
      </c>
      <c r="J451" t="s">
        <v>287</v>
      </c>
      <c r="K451" s="22">
        <f t="shared" si="101"/>
        <v>3.6554846257269864E-3</v>
      </c>
      <c r="L451" s="22">
        <f t="shared" si="106"/>
        <v>3.6574611346322943E-3</v>
      </c>
      <c r="M451" s="22">
        <f t="shared" si="106"/>
        <v>3.662186893272979E-3</v>
      </c>
      <c r="N451" s="22">
        <f t="shared" si="106"/>
        <v>3.6691550622702605E-3</v>
      </c>
      <c r="O451" s="22">
        <f t="shared" si="106"/>
        <v>3.6783213610396305E-3</v>
      </c>
      <c r="P451" s="22">
        <f t="shared" si="106"/>
        <v>3.6895889972593382E-3</v>
      </c>
      <c r="Q451" s="22">
        <f t="shared" si="106"/>
        <v>3.7022440907227717E-3</v>
      </c>
      <c r="R451" s="22">
        <f t="shared" si="106"/>
        <v>3.7162067453687837E-3</v>
      </c>
      <c r="S451" s="22">
        <f t="shared" si="106"/>
        <v>3.7289748243204386E-3</v>
      </c>
      <c r="T451" s="22">
        <f t="shared" si="106"/>
        <v>3.7345854273220752E-3</v>
      </c>
      <c r="U451" s="22">
        <f t="shared" si="106"/>
        <v>3.7414371789254476E-3</v>
      </c>
      <c r="V451" s="22">
        <f t="shared" si="106"/>
        <v>3.7486389046840498E-3</v>
      </c>
      <c r="W451" s="22">
        <f t="shared" si="106"/>
        <v>3.7567243793421119E-3</v>
      </c>
      <c r="X451" s="22">
        <f t="shared" si="106"/>
        <v>3.7656709795816407E-3</v>
      </c>
      <c r="Y451" s="22">
        <f t="shared" si="106"/>
        <v>3.7712583566764787E-3</v>
      </c>
      <c r="Z451" s="22">
        <f t="shared" si="106"/>
        <v>3.7775706764126256E-3</v>
      </c>
      <c r="AA451" s="22">
        <f t="shared" si="106"/>
        <v>3.784522645349305E-3</v>
      </c>
      <c r="AB451" s="22">
        <f t="shared" si="106"/>
        <v>3.7921333789539768E-3</v>
      </c>
      <c r="AC451" s="22">
        <f t="shared" si="106"/>
        <v>3.8003243230154901E-3</v>
      </c>
      <c r="AD451" s="22">
        <f t="shared" si="106"/>
        <v>3.805818933397678E-3</v>
      </c>
      <c r="AE451" s="22">
        <f t="shared" si="106"/>
        <v>3.8117839572375635E-3</v>
      </c>
      <c r="AF451" s="22">
        <f t="shared" si="106"/>
        <v>3.8182673435573919E-3</v>
      </c>
      <c r="AG451" s="22">
        <f t="shared" si="106"/>
        <v>3.8253323806655189E-3</v>
      </c>
      <c r="AH451" s="22">
        <f t="shared" si="106"/>
        <v>3.8327669199356464E-3</v>
      </c>
      <c r="AI451" s="22">
        <f t="shared" si="106"/>
        <v>3.8375190538000809E-3</v>
      </c>
      <c r="AJ451" s="22">
        <f t="shared" si="106"/>
        <v>3.8427242256753023E-3</v>
      </c>
      <c r="AK451" s="22">
        <f t="shared" si="106"/>
        <v>3.8482107581217181E-3</v>
      </c>
      <c r="AL451" s="22">
        <f t="shared" si="106"/>
        <v>3.8540370608706733E-3</v>
      </c>
      <c r="AM451" s="22">
        <f t="shared" si="106"/>
        <v>3.8601942999712795E-3</v>
      </c>
      <c r="AN451" s="22">
        <f t="shared" si="106"/>
        <v>3.8638324523277176E-3</v>
      </c>
      <c r="AO451" s="22">
        <f t="shared" si="106"/>
        <v>3.8677162241167358E-3</v>
      </c>
      <c r="AP451" s="22">
        <f t="shared" si="106"/>
        <v>3.87192903017096E-3</v>
      </c>
      <c r="AQ451" s="22">
        <f t="shared" si="106"/>
        <v>3.8764667976006581E-3</v>
      </c>
      <c r="AR451" s="22">
        <f t="shared" si="106"/>
        <v>3.8813294323686563E-3</v>
      </c>
      <c r="AS451" s="22">
        <f t="shared" si="106"/>
        <v>3.8835354931974382E-3</v>
      </c>
      <c r="AT451" s="22">
        <f t="shared" si="106"/>
        <v>3.8849571535560438E-3</v>
      </c>
      <c r="AU451" s="22">
        <f t="shared" si="106"/>
        <v>3.8865155619950283E-3</v>
      </c>
      <c r="AV451" s="22">
        <f t="shared" si="106"/>
        <v>3.8881616591359886E-3</v>
      </c>
      <c r="AW451" s="22">
        <f t="shared" si="106"/>
        <v>3.8899851123662963E-3</v>
      </c>
      <c r="AY451" s="79"/>
    </row>
    <row r="452" spans="1:51" x14ac:dyDescent="0.3">
      <c r="A452" s="95" t="str">
        <f t="shared" si="104"/>
        <v>GS MM Leaching</v>
      </c>
      <c r="B452" s="95" t="s">
        <v>1021</v>
      </c>
      <c r="C452" s="95" t="s">
        <v>1333</v>
      </c>
      <c r="D452" t="s">
        <v>369</v>
      </c>
      <c r="E452" t="s">
        <v>64</v>
      </c>
      <c r="F452" t="s">
        <v>63</v>
      </c>
      <c r="G452" t="s">
        <v>1168</v>
      </c>
      <c r="H452" t="s">
        <v>1314</v>
      </c>
      <c r="I452" t="s">
        <v>139</v>
      </c>
      <c r="J452" t="s">
        <v>287</v>
      </c>
      <c r="K452" s="22">
        <f t="shared" si="101"/>
        <v>5.4322987485311562E-4</v>
      </c>
      <c r="L452" s="22">
        <f t="shared" si="106"/>
        <v>5.4464201031358182E-4</v>
      </c>
      <c r="M452" s="22">
        <f t="shared" si="106"/>
        <v>5.4659000127818655E-4</v>
      </c>
      <c r="N452" s="22">
        <f t="shared" si="106"/>
        <v>5.4896316873921213E-4</v>
      </c>
      <c r="O452" s="22">
        <f t="shared" si="106"/>
        <v>5.5175812793145673E-4</v>
      </c>
      <c r="P452" s="22">
        <f t="shared" si="106"/>
        <v>5.5495786726734487E-4</v>
      </c>
      <c r="Q452" s="22">
        <f t="shared" si="106"/>
        <v>5.5840147541839718E-4</v>
      </c>
      <c r="R452" s="22">
        <f t="shared" si="106"/>
        <v>5.620753208024884E-4</v>
      </c>
      <c r="S452" s="22">
        <f t="shared" si="106"/>
        <v>5.65407082502121E-4</v>
      </c>
      <c r="T452" s="22">
        <f t="shared" si="106"/>
        <v>5.6703451753723681E-4</v>
      </c>
      <c r="U452" s="22">
        <f t="shared" si="106"/>
        <v>5.6889992124546543E-4</v>
      </c>
      <c r="V452" s="22">
        <f t="shared" si="106"/>
        <v>5.7080142404289684E-4</v>
      </c>
      <c r="W452" s="22">
        <f t="shared" si="106"/>
        <v>5.7286374667304399E-4</v>
      </c>
      <c r="X452" s="22">
        <f t="shared" si="106"/>
        <v>5.7508348073871955E-4</v>
      </c>
      <c r="Y452" s="22">
        <f t="shared" si="106"/>
        <v>5.765040134864081E-4</v>
      </c>
      <c r="Z452" s="22">
        <f t="shared" si="106"/>
        <v>5.7805815510049798E-4</v>
      </c>
      <c r="AA452" s="22">
        <f t="shared" si="106"/>
        <v>5.7972772798702628E-4</v>
      </c>
      <c r="AB452" s="22">
        <f t="shared" si="106"/>
        <v>5.8151809327226973E-4</v>
      </c>
      <c r="AC452" s="22">
        <f t="shared" si="106"/>
        <v>5.8341243976409618E-4</v>
      </c>
      <c r="AD452" s="22">
        <f t="shared" si="106"/>
        <v>5.8467575387111191E-4</v>
      </c>
      <c r="AE452" s="22">
        <f t="shared" si="106"/>
        <v>5.8602300319697499E-4</v>
      </c>
      <c r="AF452" s="22">
        <f t="shared" si="106"/>
        <v>5.8746559148115021E-4</v>
      </c>
      <c r="AG452" s="22">
        <f t="shared" si="106"/>
        <v>5.8901817067528485E-4</v>
      </c>
      <c r="AH452" s="22">
        <f t="shared" si="106"/>
        <v>5.9063383572059778E-4</v>
      </c>
      <c r="AI452" s="22">
        <f t="shared" si="106"/>
        <v>5.9163445865223843E-4</v>
      </c>
      <c r="AJ452" s="22">
        <f t="shared" si="106"/>
        <v>5.927203167225099E-4</v>
      </c>
      <c r="AK452" s="22">
        <f t="shared" si="106"/>
        <v>5.9385364522191255E-4</v>
      </c>
      <c r="AL452" s="22">
        <f t="shared" si="106"/>
        <v>5.9504779442231843E-4</v>
      </c>
      <c r="AM452" s="22">
        <f t="shared" si="106"/>
        <v>5.9630112936813668E-4</v>
      </c>
      <c r="AN452" s="22">
        <f t="shared" si="106"/>
        <v>5.9698587491705869E-4</v>
      </c>
      <c r="AO452" s="22">
        <f t="shared" si="106"/>
        <v>5.9771375764922606E-4</v>
      </c>
      <c r="AP452" s="22">
        <f t="shared" si="106"/>
        <v>5.9850335838718442E-4</v>
      </c>
      <c r="AQ452" s="22">
        <f t="shared" si="106"/>
        <v>5.993539230264727E-4</v>
      </c>
      <c r="AR452" s="22">
        <f t="shared" si="106"/>
        <v>6.0026554968942018E-4</v>
      </c>
      <c r="AS452" s="22">
        <f t="shared" si="106"/>
        <v>6.0058687026311956E-4</v>
      </c>
      <c r="AT452" s="22">
        <f t="shared" si="106"/>
        <v>6.0072956880295909E-4</v>
      </c>
      <c r="AU452" s="22">
        <f t="shared" si="106"/>
        <v>6.0089545684115426E-4</v>
      </c>
      <c r="AV452" s="22">
        <f t="shared" si="106"/>
        <v>6.0107404835249166E-4</v>
      </c>
      <c r="AW452" s="22">
        <f t="shared" si="106"/>
        <v>6.0128502571355803E-4</v>
      </c>
      <c r="AY452" s="79"/>
    </row>
    <row r="453" spans="1:51" x14ac:dyDescent="0.3">
      <c r="A453" s="95" t="str">
        <f t="shared" si="104"/>
        <v>GS MM Leaching</v>
      </c>
      <c r="B453" s="95" t="s">
        <v>1021</v>
      </c>
      <c r="C453" s="95" t="s">
        <v>1333</v>
      </c>
      <c r="D453" t="s">
        <v>369</v>
      </c>
      <c r="E453" t="s">
        <v>64</v>
      </c>
      <c r="F453" t="s">
        <v>63</v>
      </c>
      <c r="G453" t="s">
        <v>1170</v>
      </c>
      <c r="H453" t="s">
        <v>1315</v>
      </c>
      <c r="I453" t="s">
        <v>139</v>
      </c>
      <c r="J453" t="s">
        <v>287</v>
      </c>
      <c r="K453" s="22">
        <f t="shared" si="101"/>
        <v>6.6992563985089947E-3</v>
      </c>
      <c r="L453" s="22">
        <f t="shared" si="106"/>
        <v>6.716671231449923E-3</v>
      </c>
      <c r="M453" s="22">
        <f t="shared" si="106"/>
        <v>6.7406943780734313E-3</v>
      </c>
      <c r="N453" s="22">
        <f t="shared" si="106"/>
        <v>6.7699609151951386E-3</v>
      </c>
      <c r="O453" s="22">
        <f t="shared" si="106"/>
        <v>6.8044291009834836E-3</v>
      </c>
      <c r="P453" s="22">
        <f t="shared" si="106"/>
        <v>6.8438891439814974E-3</v>
      </c>
      <c r="Q453" s="22">
        <f t="shared" si="106"/>
        <v>6.8863566425632575E-3</v>
      </c>
      <c r="R453" s="22">
        <f t="shared" si="106"/>
        <v>6.9316634884048298E-3</v>
      </c>
      <c r="S453" s="22">
        <f t="shared" si="106"/>
        <v>6.9727516665736141E-3</v>
      </c>
      <c r="T453" s="22">
        <f t="shared" si="106"/>
        <v>6.9928216315679071E-3</v>
      </c>
      <c r="U453" s="22">
        <f t="shared" si="106"/>
        <v>7.0158262900129739E-3</v>
      </c>
      <c r="V453" s="22">
        <f t="shared" si="106"/>
        <v>7.0392761321003963E-3</v>
      </c>
      <c r="W453" s="22">
        <f t="shared" si="106"/>
        <v>7.0647092474634627E-3</v>
      </c>
      <c r="X453" s="22">
        <f t="shared" si="106"/>
        <v>7.0920836028346328E-3</v>
      </c>
      <c r="Y453" s="22">
        <f t="shared" si="106"/>
        <v>7.1096019933720011E-3</v>
      </c>
      <c r="Z453" s="22">
        <f t="shared" si="106"/>
        <v>7.1287680842560801E-3</v>
      </c>
      <c r="AA453" s="22">
        <f t="shared" si="106"/>
        <v>7.1493577045266439E-3</v>
      </c>
      <c r="AB453" s="22">
        <f t="shared" si="106"/>
        <v>7.1714369690296844E-3</v>
      </c>
      <c r="AC453" s="22">
        <f t="shared" si="106"/>
        <v>7.1947985576385452E-3</v>
      </c>
      <c r="AD453" s="22">
        <f t="shared" si="106"/>
        <v>7.2103780857656428E-3</v>
      </c>
      <c r="AE453" s="22">
        <f t="shared" si="106"/>
        <v>7.2269927255056137E-3</v>
      </c>
      <c r="AF453" s="22">
        <f t="shared" si="106"/>
        <v>7.2447831108296695E-3</v>
      </c>
      <c r="AG453" s="22">
        <f t="shared" si="106"/>
        <v>7.2639299335321393E-3</v>
      </c>
      <c r="AH453" s="22">
        <f t="shared" si="106"/>
        <v>7.2838547478579095E-3</v>
      </c>
      <c r="AI453" s="22">
        <f t="shared" si="106"/>
        <v>7.2961946980108746E-3</v>
      </c>
      <c r="AJ453" s="22">
        <f t="shared" si="106"/>
        <v>7.3095857907358557E-3</v>
      </c>
      <c r="AK453" s="22">
        <f t="shared" si="106"/>
        <v>7.3235623015146271E-3</v>
      </c>
      <c r="AL453" s="22">
        <f t="shared" si="106"/>
        <v>7.3382888694777E-3</v>
      </c>
      <c r="AM453" s="22">
        <f t="shared" si="106"/>
        <v>7.3537453319145558E-3</v>
      </c>
      <c r="AN453" s="22">
        <f t="shared" si="106"/>
        <v>7.3621897975308988E-3</v>
      </c>
      <c r="AO453" s="22">
        <f t="shared" si="106"/>
        <v>7.3711662424514879E-3</v>
      </c>
      <c r="AP453" s="22">
        <f t="shared" si="106"/>
        <v>7.3809038103594829E-3</v>
      </c>
      <c r="AQ453" s="22">
        <f t="shared" si="106"/>
        <v>7.3913932014365797E-3</v>
      </c>
      <c r="AR453" s="22">
        <f t="shared" si="106"/>
        <v>7.4026356257536402E-3</v>
      </c>
      <c r="AS453" s="22">
        <f t="shared" si="106"/>
        <v>7.4065982371801786E-3</v>
      </c>
      <c r="AT453" s="22">
        <f t="shared" si="106"/>
        <v>7.408358033815691E-3</v>
      </c>
      <c r="AU453" s="22">
        <f t="shared" si="106"/>
        <v>7.4104038095595542E-3</v>
      </c>
      <c r="AV453" s="22">
        <f t="shared" si="106"/>
        <v>7.4126062479386483E-3</v>
      </c>
      <c r="AW453" s="22">
        <f t="shared" si="106"/>
        <v>7.4152080772957795E-3</v>
      </c>
      <c r="AY453" s="79"/>
    </row>
    <row r="454" spans="1:51" x14ac:dyDescent="0.3">
      <c r="A454" s="95" t="str">
        <f t="shared" si="104"/>
        <v>GS MM Leaching</v>
      </c>
      <c r="B454" s="95" t="s">
        <v>1021</v>
      </c>
      <c r="C454" s="95" t="s">
        <v>1333</v>
      </c>
      <c r="D454" t="s">
        <v>369</v>
      </c>
      <c r="E454" t="s">
        <v>64</v>
      </c>
      <c r="F454" t="s">
        <v>63</v>
      </c>
      <c r="G454" t="s">
        <v>1172</v>
      </c>
      <c r="H454" t="s">
        <v>1316</v>
      </c>
      <c r="I454" t="s">
        <v>139</v>
      </c>
      <c r="J454" t="s">
        <v>287</v>
      </c>
      <c r="K454" s="22">
        <f t="shared" si="101"/>
        <v>0</v>
      </c>
      <c r="L454" s="22">
        <f t="shared" si="106"/>
        <v>0</v>
      </c>
      <c r="M454" s="22">
        <f t="shared" si="106"/>
        <v>0</v>
      </c>
      <c r="N454" s="22">
        <f t="shared" si="106"/>
        <v>0</v>
      </c>
      <c r="O454" s="22">
        <f t="shared" si="106"/>
        <v>0</v>
      </c>
      <c r="P454" s="22">
        <f t="shared" si="106"/>
        <v>0</v>
      </c>
      <c r="Q454" s="22">
        <f t="shared" si="106"/>
        <v>0</v>
      </c>
      <c r="R454" s="22">
        <f t="shared" si="106"/>
        <v>0</v>
      </c>
      <c r="S454" s="22">
        <f t="shared" si="106"/>
        <v>0</v>
      </c>
      <c r="T454" s="22">
        <f t="shared" si="106"/>
        <v>0</v>
      </c>
      <c r="U454" s="22">
        <f t="shared" si="106"/>
        <v>0</v>
      </c>
      <c r="V454" s="22">
        <f t="shared" si="106"/>
        <v>0</v>
      </c>
      <c r="W454" s="22">
        <f t="shared" si="106"/>
        <v>0</v>
      </c>
      <c r="X454" s="22">
        <f t="shared" si="106"/>
        <v>0</v>
      </c>
      <c r="Y454" s="22">
        <f t="shared" si="106"/>
        <v>0</v>
      </c>
      <c r="Z454" s="22">
        <f t="shared" si="106"/>
        <v>0</v>
      </c>
      <c r="AA454" s="22">
        <f t="shared" si="106"/>
        <v>0</v>
      </c>
      <c r="AB454" s="22">
        <f t="shared" si="106"/>
        <v>0</v>
      </c>
      <c r="AC454" s="22">
        <f t="shared" si="106"/>
        <v>0</v>
      </c>
      <c r="AD454" s="22">
        <f t="shared" si="106"/>
        <v>0</v>
      </c>
      <c r="AE454" s="22">
        <f t="shared" si="106"/>
        <v>0</v>
      </c>
      <c r="AF454" s="22">
        <f t="shared" si="106"/>
        <v>0</v>
      </c>
      <c r="AG454" s="22">
        <f t="shared" si="106"/>
        <v>0</v>
      </c>
      <c r="AH454" s="22">
        <f t="shared" si="106"/>
        <v>0</v>
      </c>
      <c r="AI454" s="22">
        <f t="shared" si="106"/>
        <v>0</v>
      </c>
      <c r="AJ454" s="22">
        <f t="shared" si="106"/>
        <v>0</v>
      </c>
      <c r="AK454" s="22">
        <f t="shared" si="106"/>
        <v>0</v>
      </c>
      <c r="AL454" s="22">
        <f t="shared" si="106"/>
        <v>0</v>
      </c>
      <c r="AM454" s="22">
        <f t="shared" si="106"/>
        <v>0</v>
      </c>
      <c r="AN454" s="22">
        <f t="shared" ref="L454:AW459" si="107">AN1557</f>
        <v>0</v>
      </c>
      <c r="AO454" s="22">
        <f t="shared" si="107"/>
        <v>0</v>
      </c>
      <c r="AP454" s="22">
        <f t="shared" si="107"/>
        <v>0</v>
      </c>
      <c r="AQ454" s="22">
        <f t="shared" si="107"/>
        <v>0</v>
      </c>
      <c r="AR454" s="22">
        <f t="shared" si="107"/>
        <v>0</v>
      </c>
      <c r="AS454" s="22">
        <f t="shared" si="107"/>
        <v>0</v>
      </c>
      <c r="AT454" s="22">
        <f t="shared" si="107"/>
        <v>0</v>
      </c>
      <c r="AU454" s="22">
        <f t="shared" si="107"/>
        <v>0</v>
      </c>
      <c r="AV454" s="22">
        <f t="shared" si="107"/>
        <v>0</v>
      </c>
      <c r="AW454" s="22">
        <f t="shared" si="107"/>
        <v>0</v>
      </c>
      <c r="AY454" s="79"/>
    </row>
    <row r="455" spans="1:51" x14ac:dyDescent="0.3">
      <c r="A455" s="95" t="str">
        <f t="shared" si="104"/>
        <v>GS MM Leaching</v>
      </c>
      <c r="B455" s="95" t="s">
        <v>1021</v>
      </c>
      <c r="C455" s="95" t="s">
        <v>1333</v>
      </c>
      <c r="D455" t="s">
        <v>369</v>
      </c>
      <c r="E455" t="s">
        <v>64</v>
      </c>
      <c r="F455" t="s">
        <v>63</v>
      </c>
      <c r="G455" t="s">
        <v>1174</v>
      </c>
      <c r="H455" t="s">
        <v>1317</v>
      </c>
      <c r="I455" t="s">
        <v>139</v>
      </c>
      <c r="J455" t="s">
        <v>287</v>
      </c>
      <c r="K455" s="22">
        <f t="shared" si="101"/>
        <v>0</v>
      </c>
      <c r="L455" s="22">
        <f t="shared" si="107"/>
        <v>0</v>
      </c>
      <c r="M455" s="22">
        <f t="shared" si="107"/>
        <v>0</v>
      </c>
      <c r="N455" s="22">
        <f t="shared" si="107"/>
        <v>0</v>
      </c>
      <c r="O455" s="22">
        <f t="shared" si="107"/>
        <v>0</v>
      </c>
      <c r="P455" s="22">
        <f t="shared" si="107"/>
        <v>0</v>
      </c>
      <c r="Q455" s="22">
        <f t="shared" si="107"/>
        <v>0</v>
      </c>
      <c r="R455" s="22">
        <f t="shared" si="107"/>
        <v>0</v>
      </c>
      <c r="S455" s="22">
        <f t="shared" si="107"/>
        <v>0</v>
      </c>
      <c r="T455" s="22">
        <f t="shared" si="107"/>
        <v>0</v>
      </c>
      <c r="U455" s="22">
        <f t="shared" si="107"/>
        <v>0</v>
      </c>
      <c r="V455" s="22">
        <f t="shared" si="107"/>
        <v>0</v>
      </c>
      <c r="W455" s="22">
        <f t="shared" si="107"/>
        <v>0</v>
      </c>
      <c r="X455" s="22">
        <f t="shared" si="107"/>
        <v>0</v>
      </c>
      <c r="Y455" s="22">
        <f t="shared" si="107"/>
        <v>0</v>
      </c>
      <c r="Z455" s="22">
        <f t="shared" si="107"/>
        <v>0</v>
      </c>
      <c r="AA455" s="22">
        <f t="shared" si="107"/>
        <v>0</v>
      </c>
      <c r="AB455" s="22">
        <f t="shared" si="107"/>
        <v>0</v>
      </c>
      <c r="AC455" s="22">
        <f t="shared" si="107"/>
        <v>0</v>
      </c>
      <c r="AD455" s="22">
        <f t="shared" si="107"/>
        <v>0</v>
      </c>
      <c r="AE455" s="22">
        <f t="shared" si="107"/>
        <v>0</v>
      </c>
      <c r="AF455" s="22">
        <f t="shared" si="107"/>
        <v>0</v>
      </c>
      <c r="AG455" s="22">
        <f t="shared" si="107"/>
        <v>0</v>
      </c>
      <c r="AH455" s="22">
        <f t="shared" si="107"/>
        <v>0</v>
      </c>
      <c r="AI455" s="22">
        <f t="shared" si="107"/>
        <v>0</v>
      </c>
      <c r="AJ455" s="22">
        <f t="shared" si="107"/>
        <v>0</v>
      </c>
      <c r="AK455" s="22">
        <f t="shared" si="107"/>
        <v>0</v>
      </c>
      <c r="AL455" s="22">
        <f t="shared" si="107"/>
        <v>0</v>
      </c>
      <c r="AM455" s="22">
        <f t="shared" si="107"/>
        <v>0</v>
      </c>
      <c r="AN455" s="22">
        <f t="shared" si="107"/>
        <v>0</v>
      </c>
      <c r="AO455" s="22">
        <f t="shared" si="107"/>
        <v>0</v>
      </c>
      <c r="AP455" s="22">
        <f t="shared" si="107"/>
        <v>0</v>
      </c>
      <c r="AQ455" s="22">
        <f t="shared" si="107"/>
        <v>0</v>
      </c>
      <c r="AR455" s="22">
        <f t="shared" si="107"/>
        <v>0</v>
      </c>
      <c r="AS455" s="22">
        <f t="shared" si="107"/>
        <v>0</v>
      </c>
      <c r="AT455" s="22">
        <f t="shared" si="107"/>
        <v>0</v>
      </c>
      <c r="AU455" s="22">
        <f t="shared" si="107"/>
        <v>0</v>
      </c>
      <c r="AV455" s="22">
        <f t="shared" si="107"/>
        <v>0</v>
      </c>
      <c r="AW455" s="22">
        <f t="shared" si="107"/>
        <v>0</v>
      </c>
      <c r="AY455" s="79"/>
    </row>
    <row r="456" spans="1:51" x14ac:dyDescent="0.3">
      <c r="A456" s="95" t="str">
        <f t="shared" si="104"/>
        <v>GS MM Leaching</v>
      </c>
      <c r="B456" s="95" t="s">
        <v>1021</v>
      </c>
      <c r="C456" s="95" t="s">
        <v>1333</v>
      </c>
      <c r="D456" t="s">
        <v>369</v>
      </c>
      <c r="E456" t="s">
        <v>64</v>
      </c>
      <c r="F456" t="s">
        <v>63</v>
      </c>
      <c r="G456" t="s">
        <v>1176</v>
      </c>
      <c r="H456" t="s">
        <v>1318</v>
      </c>
      <c r="I456" t="s">
        <v>139</v>
      </c>
      <c r="J456" t="s">
        <v>287</v>
      </c>
      <c r="K456" s="22">
        <f t="shared" si="101"/>
        <v>2.6875086183165937E-2</v>
      </c>
      <c r="L456" s="22">
        <f t="shared" si="107"/>
        <v>2.6729002214214568E-2</v>
      </c>
      <c r="M456" s="22">
        <f t="shared" si="107"/>
        <v>2.6740992333189318E-2</v>
      </c>
      <c r="N456" s="22">
        <f t="shared" si="107"/>
        <v>2.6495489531984443E-2</v>
      </c>
      <c r="O456" s="22">
        <f t="shared" si="107"/>
        <v>2.609452683304701E-2</v>
      </c>
      <c r="P456" s="22">
        <f t="shared" si="107"/>
        <v>2.5544514050244025E-2</v>
      </c>
      <c r="Q456" s="22">
        <f t="shared" si="107"/>
        <v>2.5145143775072754E-2</v>
      </c>
      <c r="R456" s="22">
        <f t="shared" si="107"/>
        <v>2.4781112413324514E-2</v>
      </c>
      <c r="S456" s="22">
        <f t="shared" si="107"/>
        <v>2.1880480805765091E-2</v>
      </c>
      <c r="T456" s="22">
        <f t="shared" si="107"/>
        <v>2.2157174302587897E-2</v>
      </c>
      <c r="U456" s="22">
        <f t="shared" si="107"/>
        <v>2.2750904230467162E-2</v>
      </c>
      <c r="V456" s="22">
        <f t="shared" si="107"/>
        <v>2.2804811823411601E-2</v>
      </c>
      <c r="W456" s="22">
        <f t="shared" si="107"/>
        <v>2.292155171126611E-2</v>
      </c>
      <c r="X456" s="22">
        <f t="shared" si="107"/>
        <v>2.3117832526296487E-2</v>
      </c>
      <c r="Y456" s="22">
        <f t="shared" si="107"/>
        <v>2.3364125716575319E-2</v>
      </c>
      <c r="Z456" s="22">
        <f t="shared" si="107"/>
        <v>2.3665937141590494E-2</v>
      </c>
      <c r="AA456" s="22">
        <f t="shared" si="107"/>
        <v>2.3971277948899337E-2</v>
      </c>
      <c r="AB456" s="22">
        <f t="shared" si="107"/>
        <v>2.4323808269457244E-2</v>
      </c>
      <c r="AC456" s="22">
        <f t="shared" si="107"/>
        <v>2.4673905433943388E-2</v>
      </c>
      <c r="AD456" s="22">
        <f t="shared" si="107"/>
        <v>2.5109167618050737E-2</v>
      </c>
      <c r="AE456" s="22">
        <f t="shared" si="107"/>
        <v>2.5509858249217851E-2</v>
      </c>
      <c r="AF456" s="22">
        <f t="shared" si="107"/>
        <v>2.5936225115881856E-2</v>
      </c>
      <c r="AG456" s="22">
        <f t="shared" si="107"/>
        <v>2.6456337070766354E-2</v>
      </c>
      <c r="AH456" s="22">
        <f t="shared" si="107"/>
        <v>2.6902942278627297E-2</v>
      </c>
      <c r="AI456" s="22">
        <f t="shared" si="107"/>
        <v>2.7384983876862477E-2</v>
      </c>
      <c r="AJ456" s="22">
        <f t="shared" si="107"/>
        <v>2.7908158351219941E-2</v>
      </c>
      <c r="AK456" s="22">
        <f t="shared" si="107"/>
        <v>2.8344604443718637E-2</v>
      </c>
      <c r="AL456" s="22">
        <f t="shared" si="107"/>
        <v>2.8753897192929187E-2</v>
      </c>
      <c r="AM456" s="22">
        <f t="shared" si="107"/>
        <v>2.9139337629284397E-2</v>
      </c>
      <c r="AN456" s="22">
        <f t="shared" si="107"/>
        <v>2.9584390604572932E-2</v>
      </c>
      <c r="AO456" s="22">
        <f t="shared" si="107"/>
        <v>2.9970416689145254E-2</v>
      </c>
      <c r="AP456" s="22">
        <f t="shared" si="107"/>
        <v>3.0368893670993099E-2</v>
      </c>
      <c r="AQ456" s="22">
        <f t="shared" si="107"/>
        <v>3.0782827170501174E-2</v>
      </c>
      <c r="AR456" s="22">
        <f t="shared" si="107"/>
        <v>3.1217396528975507E-2</v>
      </c>
      <c r="AS456" s="22">
        <f t="shared" si="107"/>
        <v>3.1673723172219483E-2</v>
      </c>
      <c r="AT456" s="22">
        <f t="shared" si="107"/>
        <v>3.1396042142995774E-2</v>
      </c>
      <c r="AU456" s="22">
        <f t="shared" si="107"/>
        <v>3.1054190241510845E-2</v>
      </c>
      <c r="AV456" s="22">
        <f t="shared" si="107"/>
        <v>3.0622832551979947E-2</v>
      </c>
      <c r="AW456" s="22">
        <f t="shared" si="107"/>
        <v>3.01703196842419E-2</v>
      </c>
      <c r="AY456" s="79"/>
    </row>
    <row r="457" spans="1:51" x14ac:dyDescent="0.3">
      <c r="A457" s="95" t="str">
        <f t="shared" si="104"/>
        <v>GS MM Leaching</v>
      </c>
      <c r="B457" s="95" t="s">
        <v>1021</v>
      </c>
      <c r="C457" s="95" t="s">
        <v>1333</v>
      </c>
      <c r="D457" t="s">
        <v>369</v>
      </c>
      <c r="E457" t="s">
        <v>64</v>
      </c>
      <c r="F457" t="s">
        <v>63</v>
      </c>
      <c r="G457" t="s">
        <v>1178</v>
      </c>
      <c r="H457" t="s">
        <v>1319</v>
      </c>
      <c r="I457" t="s">
        <v>139</v>
      </c>
      <c r="J457" t="s">
        <v>287</v>
      </c>
      <c r="K457" s="22">
        <f t="shared" si="101"/>
        <v>4.0166140097319695E-3</v>
      </c>
      <c r="L457" s="22">
        <f t="shared" si="107"/>
        <v>3.994781041000697E-3</v>
      </c>
      <c r="M457" s="22">
        <f t="shared" si="107"/>
        <v>3.9965730233416695E-3</v>
      </c>
      <c r="N457" s="22">
        <f t="shared" si="107"/>
        <v>3.9598814204188995E-3</v>
      </c>
      <c r="O457" s="22">
        <f t="shared" si="107"/>
        <v>3.8999555700251301E-3</v>
      </c>
      <c r="P457" s="22">
        <f t="shared" si="107"/>
        <v>3.8177534504158571E-3</v>
      </c>
      <c r="Q457" s="22">
        <f t="shared" si="107"/>
        <v>3.7580655955978047E-3</v>
      </c>
      <c r="R457" s="22">
        <f t="shared" si="107"/>
        <v>3.7036593154610871E-3</v>
      </c>
      <c r="S457" s="22">
        <f t="shared" si="107"/>
        <v>3.2701456339573466E-3</v>
      </c>
      <c r="T457" s="22">
        <f t="shared" si="107"/>
        <v>3.31149883997744E-3</v>
      </c>
      <c r="U457" s="22">
        <f t="shared" si="107"/>
        <v>3.4002347022576052E-3</v>
      </c>
      <c r="V457" s="22">
        <f t="shared" si="107"/>
        <v>3.40829145755788E-3</v>
      </c>
      <c r="W457" s="22">
        <f t="shared" si="107"/>
        <v>3.4257388088279458E-3</v>
      </c>
      <c r="X457" s="22">
        <f t="shared" si="107"/>
        <v>3.4550739434622826E-3</v>
      </c>
      <c r="Y457" s="22">
        <f t="shared" si="107"/>
        <v>3.491883673925408E-3</v>
      </c>
      <c r="Z457" s="22">
        <f t="shared" si="107"/>
        <v>3.5369908780382062E-3</v>
      </c>
      <c r="AA457" s="22">
        <f t="shared" si="107"/>
        <v>3.5826255657196082E-3</v>
      </c>
      <c r="AB457" s="22">
        <f t="shared" si="107"/>
        <v>3.6353129585993062E-3</v>
      </c>
      <c r="AC457" s="22">
        <f t="shared" si="107"/>
        <v>3.6876367043189875E-3</v>
      </c>
      <c r="AD457" s="22">
        <f t="shared" si="107"/>
        <v>3.7526887817217083E-3</v>
      </c>
      <c r="AE457" s="22">
        <f t="shared" si="107"/>
        <v>3.8125739702470681E-3</v>
      </c>
      <c r="AF457" s="22">
        <f t="shared" si="107"/>
        <v>3.87629659864187E-3</v>
      </c>
      <c r="AG457" s="22">
        <f t="shared" si="107"/>
        <v>3.9540298922350536E-3</v>
      </c>
      <c r="AH457" s="22">
        <f t="shared" si="107"/>
        <v>4.0207772404105219E-3</v>
      </c>
      <c r="AI457" s="22">
        <f t="shared" si="107"/>
        <v>4.0928207316778291E-3</v>
      </c>
      <c r="AJ457" s="22">
        <f t="shared" si="107"/>
        <v>4.1710117338914204E-3</v>
      </c>
      <c r="AK457" s="22">
        <f t="shared" si="107"/>
        <v>4.2362407522348522E-3</v>
      </c>
      <c r="AL457" s="22">
        <f t="shared" si="107"/>
        <v>4.2974115696735888E-3</v>
      </c>
      <c r="AM457" s="22">
        <f t="shared" si="107"/>
        <v>4.3550175414658315E-3</v>
      </c>
      <c r="AN457" s="22">
        <f t="shared" si="107"/>
        <v>4.4215329008374625E-3</v>
      </c>
      <c r="AO457" s="22">
        <f t="shared" si="107"/>
        <v>4.479226400640501E-3</v>
      </c>
      <c r="AP457" s="22">
        <f t="shared" si="107"/>
        <v>4.5387807483712392E-3</v>
      </c>
      <c r="AQ457" s="22">
        <f t="shared" si="107"/>
        <v>4.6006451488010665E-3</v>
      </c>
      <c r="AR457" s="22">
        <f t="shared" si="107"/>
        <v>4.665593680000254E-3</v>
      </c>
      <c r="AS457" s="22">
        <f t="shared" si="107"/>
        <v>4.7337939445789724E-3</v>
      </c>
      <c r="AT457" s="22">
        <f t="shared" si="107"/>
        <v>4.6922931469772361E-3</v>
      </c>
      <c r="AU457" s="22">
        <f t="shared" si="107"/>
        <v>4.6412016964271002E-3</v>
      </c>
      <c r="AV457" s="22">
        <f t="shared" si="107"/>
        <v>4.5767331649713494E-3</v>
      </c>
      <c r="AW457" s="22">
        <f t="shared" si="107"/>
        <v>4.5091028879276577E-3</v>
      </c>
      <c r="AY457" s="79"/>
    </row>
    <row r="458" spans="1:51" x14ac:dyDescent="0.3">
      <c r="A458" s="95" t="str">
        <f t="shared" si="104"/>
        <v>GS MM Leaching</v>
      </c>
      <c r="B458" s="95" t="s">
        <v>1021</v>
      </c>
      <c r="C458" s="95" t="s">
        <v>1333</v>
      </c>
      <c r="D458" t="s">
        <v>369</v>
      </c>
      <c r="E458" t="s">
        <v>64</v>
      </c>
      <c r="F458" t="s">
        <v>63</v>
      </c>
      <c r="G458" t="s">
        <v>1180</v>
      </c>
      <c r="H458" t="s">
        <v>1320</v>
      </c>
      <c r="I458" t="s">
        <v>139</v>
      </c>
      <c r="J458" t="s">
        <v>287</v>
      </c>
      <c r="K458" s="22">
        <f t="shared" si="101"/>
        <v>1.6726645268412742E-2</v>
      </c>
      <c r="L458" s="22">
        <f t="shared" si="107"/>
        <v>1.7066731126843739E-2</v>
      </c>
      <c r="M458" s="22">
        <f t="shared" si="107"/>
        <v>1.7464259263446445E-2</v>
      </c>
      <c r="N458" s="22">
        <f t="shared" si="107"/>
        <v>1.77694513935726E-2</v>
      </c>
      <c r="O458" s="22">
        <f t="shared" si="107"/>
        <v>1.8014444056791569E-2</v>
      </c>
      <c r="P458" s="22">
        <f t="shared" si="107"/>
        <v>1.8197780265539362E-2</v>
      </c>
      <c r="Q458" s="22">
        <f t="shared" si="107"/>
        <v>1.8432867891885713E-2</v>
      </c>
      <c r="R458" s="22">
        <f t="shared" si="107"/>
        <v>1.8677293946611207E-2</v>
      </c>
      <c r="S458" s="22">
        <f t="shared" si="107"/>
        <v>1.7845993977500554E-2</v>
      </c>
      <c r="T458" s="22">
        <f t="shared" si="107"/>
        <v>1.8290177947761724E-2</v>
      </c>
      <c r="U458" s="22">
        <f t="shared" si="107"/>
        <v>1.8882126643784119E-2</v>
      </c>
      <c r="V458" s="22">
        <f t="shared" si="107"/>
        <v>1.9244149446427172E-2</v>
      </c>
      <c r="W458" s="22">
        <f t="shared" si="107"/>
        <v>1.9638833779478608E-2</v>
      </c>
      <c r="X458" s="22">
        <f t="shared" si="107"/>
        <v>2.0076166391792365E-2</v>
      </c>
      <c r="Y458" s="22">
        <f t="shared" si="107"/>
        <v>2.0527873811486335E-2</v>
      </c>
      <c r="Z458" s="22">
        <f t="shared" si="107"/>
        <v>2.1014725008073262E-2</v>
      </c>
      <c r="AA458" s="22">
        <f t="shared" si="107"/>
        <v>2.1512524786700418E-2</v>
      </c>
      <c r="AB458" s="22">
        <f t="shared" si="107"/>
        <v>2.204403910450644E-2</v>
      </c>
      <c r="AC458" s="22">
        <f t="shared" si="107"/>
        <v>2.2585019508801499E-2</v>
      </c>
      <c r="AD458" s="22">
        <f t="shared" si="107"/>
        <v>2.3168701426676565E-2</v>
      </c>
      <c r="AE458" s="22">
        <f t="shared" si="107"/>
        <v>2.3746356188951337E-2</v>
      </c>
      <c r="AF458" s="22">
        <f t="shared" si="107"/>
        <v>2.4350664580619397E-2</v>
      </c>
      <c r="AG458" s="22">
        <f t="shared" si="107"/>
        <v>2.5021362816751564E-2</v>
      </c>
      <c r="AH458" s="22">
        <f t="shared" si="107"/>
        <v>2.5665252656926436E-2</v>
      </c>
      <c r="AI458" s="22">
        <f t="shared" si="107"/>
        <v>2.6331138974392616E-2</v>
      </c>
      <c r="AJ458" s="22">
        <f t="shared" si="107"/>
        <v>2.7037084930771747E-2</v>
      </c>
      <c r="AK458" s="22">
        <f t="shared" si="107"/>
        <v>2.7706662515763772E-2</v>
      </c>
      <c r="AL458" s="22">
        <f t="shared" si="107"/>
        <v>2.8374415178094886E-2</v>
      </c>
      <c r="AM458" s="22">
        <f t="shared" si="107"/>
        <v>2.9041879152159198E-2</v>
      </c>
      <c r="AN458" s="22">
        <f t="shared" si="107"/>
        <v>2.9750026658148378E-2</v>
      </c>
      <c r="AO458" s="22">
        <f t="shared" si="107"/>
        <v>3.0435625912582094E-2</v>
      </c>
      <c r="AP458" s="22">
        <f t="shared" si="107"/>
        <v>3.1144967675009176E-2</v>
      </c>
      <c r="AQ458" s="22">
        <f t="shared" si="107"/>
        <v>3.1881013101963972E-2</v>
      </c>
      <c r="AR458" s="22">
        <f t="shared" si="107"/>
        <v>3.2648423492469485E-2</v>
      </c>
      <c r="AS458" s="22">
        <f t="shared" si="107"/>
        <v>3.3436328313148703E-2</v>
      </c>
      <c r="AT458" s="22">
        <f t="shared" si="107"/>
        <v>3.371230344910283E-2</v>
      </c>
      <c r="AU458" s="22">
        <f t="shared" si="107"/>
        <v>3.39408780706969E-2</v>
      </c>
      <c r="AV458" s="22">
        <f t="shared" si="107"/>
        <v>3.4100500286935446E-2</v>
      </c>
      <c r="AW458" s="22">
        <f t="shared" si="107"/>
        <v>3.4239705581718134E-2</v>
      </c>
      <c r="AY458" s="79"/>
    </row>
    <row r="459" spans="1:51" x14ac:dyDescent="0.3">
      <c r="A459" s="95" t="str">
        <f t="shared" si="104"/>
        <v>GS MM Leaching</v>
      </c>
      <c r="B459" s="95" t="s">
        <v>1021</v>
      </c>
      <c r="C459" s="95" t="s">
        <v>1333</v>
      </c>
      <c r="D459" t="s">
        <v>369</v>
      </c>
      <c r="E459" t="s">
        <v>64</v>
      </c>
      <c r="F459" t="s">
        <v>63</v>
      </c>
      <c r="G459" t="s">
        <v>1182</v>
      </c>
      <c r="H459" t="s">
        <v>1321</v>
      </c>
      <c r="I459" t="s">
        <v>139</v>
      </c>
      <c r="J459" t="s">
        <v>287</v>
      </c>
      <c r="K459" s="22">
        <f t="shared" si="101"/>
        <v>7.758579791322931E-2</v>
      </c>
      <c r="L459" s="22">
        <f t="shared" si="107"/>
        <v>7.8607464197542429E-2</v>
      </c>
      <c r="M459" s="22">
        <f t="shared" si="107"/>
        <v>8.0248553313821205E-2</v>
      </c>
      <c r="N459" s="22">
        <f t="shared" si="107"/>
        <v>8.0719757945382262E-2</v>
      </c>
      <c r="O459" s="22">
        <f t="shared" si="107"/>
        <v>8.0430818839717741E-2</v>
      </c>
      <c r="P459" s="22">
        <f t="shared" si="107"/>
        <v>7.938481013134728E-2</v>
      </c>
      <c r="Q459" s="22">
        <f t="shared" si="107"/>
        <v>7.8944464359385597E-2</v>
      </c>
      <c r="R459" s="22">
        <f t="shared" si="107"/>
        <v>7.8604018955287347E-2</v>
      </c>
      <c r="S459" s="22">
        <f t="shared" si="107"/>
        <v>6.6259107806349124E-2</v>
      </c>
      <c r="T459" s="22">
        <f t="shared" si="107"/>
        <v>6.8883290688916743E-2</v>
      </c>
      <c r="U459" s="22">
        <f t="shared" si="107"/>
        <v>7.307131784092237E-2</v>
      </c>
      <c r="V459" s="22">
        <f t="shared" si="107"/>
        <v>7.4685850466012449E-2</v>
      </c>
      <c r="W459" s="22">
        <f t="shared" si="107"/>
        <v>7.6617949690607756E-2</v>
      </c>
      <c r="X459" s="22">
        <f t="shared" si="107"/>
        <v>7.8965775854052137E-2</v>
      </c>
      <c r="Y459" s="22">
        <f t="shared" si="107"/>
        <v>8.1661778442119887E-2</v>
      </c>
      <c r="Z459" s="22">
        <f t="shared" si="107"/>
        <v>8.4680896790548951E-2</v>
      </c>
      <c r="AA459" s="22">
        <f t="shared" si="107"/>
        <v>8.776412775274034E-2</v>
      </c>
      <c r="AB459" s="22">
        <f t="shared" si="107"/>
        <v>9.1145488449202117E-2</v>
      </c>
      <c r="AC459" s="22">
        <f t="shared" si="107"/>
        <v>9.4570204644651698E-2</v>
      </c>
      <c r="AD459" s="22">
        <f t="shared" si="107"/>
        <v>9.8568154697968743E-2</v>
      </c>
      <c r="AE459" s="22">
        <f t="shared" si="107"/>
        <v>0.10244796560739347</v>
      </c>
      <c r="AF459" s="22">
        <f t="shared" si="107"/>
        <v>0.10654057141624064</v>
      </c>
      <c r="AG459" s="22">
        <f t="shared" si="107"/>
        <v>0.11123806657675694</v>
      </c>
      <c r="AH459" s="22">
        <f t="shared" si="107"/>
        <v>0.11560654614552646</v>
      </c>
      <c r="AI459" s="22">
        <f t="shared" si="107"/>
        <v>0.12031218938193437</v>
      </c>
      <c r="AJ459" s="22">
        <f t="shared" si="107"/>
        <v>0.12535029329403399</v>
      </c>
      <c r="AK459" s="22">
        <f t="shared" si="107"/>
        <v>0.12997331250710895</v>
      </c>
      <c r="AL459" s="22">
        <f t="shared" si="107"/>
        <v>0.13452286194458821</v>
      </c>
      <c r="AM459" s="22">
        <f t="shared" si="107"/>
        <v>0.13901554953719861</v>
      </c>
      <c r="AN459" s="22">
        <f t="shared" si="107"/>
        <v>0.1440082698862134</v>
      </c>
      <c r="AO459" s="22">
        <f t="shared" si="107"/>
        <v>0.14873185090680655</v>
      </c>
      <c r="AP459" s="22">
        <f t="shared" si="107"/>
        <v>0.15362755351583215</v>
      </c>
      <c r="AQ459" s="22">
        <f t="shared" si="107"/>
        <v>0.15872063106624867</v>
      </c>
      <c r="AR459" s="22">
        <f t="shared" si="107"/>
        <v>0.16405164052421939</v>
      </c>
      <c r="AS459" s="22">
        <f t="shared" si="107"/>
        <v>0.16968110376218293</v>
      </c>
      <c r="AT459" s="22">
        <f t="shared" si="107"/>
        <v>0.17053816071119138</v>
      </c>
      <c r="AU459" s="22">
        <f t="shared" si="107"/>
        <v>0.17095629027566819</v>
      </c>
      <c r="AV459" s="22">
        <f t="shared" si="107"/>
        <v>0.17074584650981994</v>
      </c>
      <c r="AW459" s="22">
        <f t="shared" si="107"/>
        <v>0.17035646457405007</v>
      </c>
      <c r="AY459" s="79"/>
    </row>
    <row r="462" spans="1:51" x14ac:dyDescent="0.3">
      <c r="A462" s="95" t="str">
        <f t="shared" si="0"/>
        <v>PQ Cattle</v>
      </c>
      <c r="B462" s="95" t="s">
        <v>968</v>
      </c>
      <c r="C462" s="95" t="s">
        <v>1108</v>
      </c>
      <c r="D462" t="s">
        <v>15</v>
      </c>
      <c r="E462" t="s">
        <v>16</v>
      </c>
      <c r="F462" t="s">
        <v>6</v>
      </c>
      <c r="G462" t="s">
        <v>136</v>
      </c>
      <c r="H462" t="s">
        <v>1020</v>
      </c>
      <c r="I462" t="s">
        <v>121</v>
      </c>
      <c r="J462" t="s">
        <v>286</v>
      </c>
      <c r="K462" s="93">
        <f>IF('Net zero activities &amp; levers'!$C$8="Off",('Activity data'!AD5*EF!$H4)*kgtoGg,IF('Net zero activities &amp; levers'!$C$8="On",(('Net zero supporting data'!B132*EF!$H4)+('Net zero supporting data'!B122*'Net zero supporting data'!B142))*kgtoGg,"ERROR"))</f>
        <v>72.246065125367707</v>
      </c>
      <c r="L462" s="93">
        <f>IF('Net zero activities &amp; levers'!$C$8="Off",('Activity data'!AE5*EF!$H4)*kgtoGg,IF('Net zero activities &amp; levers'!$C$8="On",(('Net zero supporting data'!C132*EF!$H4)+('Net zero supporting data'!C122*'Net zero supporting data'!C142))*kgtoGg,"ERROR"))</f>
        <v>72.649957574793376</v>
      </c>
      <c r="M462" s="93">
        <f>IF('Net zero activities &amp; levers'!$C$8="Off",('Activity data'!AF5*EF!$H4)*kgtoGg,IF('Net zero activities &amp; levers'!$C$8="On",(('Net zero supporting data'!D132*EF!$H4)+('Net zero supporting data'!D122*'Net zero supporting data'!D142))*kgtoGg,"ERROR"))</f>
        <v>73.223011790998029</v>
      </c>
      <c r="N462" s="93">
        <f>IF('Net zero activities &amp; levers'!$C$8="Off",('Activity data'!AG5*EF!$H4)*kgtoGg,IF('Net zero activities &amp; levers'!$C$8="On",(('Net zero supporting data'!E132*EF!$H4)+('Net zero supporting data'!E122*'Net zero supporting data'!E142))*kgtoGg,"ERROR"))</f>
        <v>73.591260167761035</v>
      </c>
      <c r="O462" s="93">
        <f>IF('Net zero activities &amp; levers'!$C$8="Off",('Activity data'!AH5*EF!$H4)*kgtoGg,IF('Net zero activities &amp; levers'!$C$8="On",(('Net zero supporting data'!F132*EF!$H4)+('Net zero supporting data'!F122*'Net zero supporting data'!F142))*kgtoGg,"ERROR"))</f>
        <v>73.835962898346551</v>
      </c>
      <c r="P462" s="93">
        <f>IF('Net zero activities &amp; levers'!$C$8="Off",('Activity data'!AI5*EF!$H4)*kgtoGg,IF('Net zero activities &amp; levers'!$C$8="On",(('Net zero supporting data'!G132*EF!$H4)+('Net zero supporting data'!G122*'Net zero supporting data'!G142))*kgtoGg,"ERROR"))</f>
        <v>73.954711561483904</v>
      </c>
      <c r="Q462" s="93">
        <f>IF('Net zero activities &amp; levers'!$C$8="Off",('Activity data'!AJ5*EF!$H4)*kgtoGg,IF('Net zero activities &amp; levers'!$C$8="On",(('Net zero supporting data'!H132*EF!$H4)+('Net zero supporting data'!H122*'Net zero supporting data'!H142))*kgtoGg,"ERROR"))</f>
        <v>74.217071552078707</v>
      </c>
      <c r="R462" s="93">
        <f>IF('Net zero activities &amp; levers'!$C$8="Off",('Activity data'!AK5*EF!$H4)*kgtoGg,IF('Net zero activities &amp; levers'!$C$8="On",(('Net zero supporting data'!I132*EF!$H4)+('Net zero supporting data'!I122*'Net zero supporting data'!I142))*kgtoGg,"ERROR"))</f>
        <v>74.518042528471312</v>
      </c>
      <c r="S462" s="93">
        <f>IF('Net zero activities &amp; levers'!$C$8="Off",('Activity data'!AL5*EF!$H4)*kgtoGg,IF('Net zero activities &amp; levers'!$C$8="On",(('Net zero supporting data'!J132*EF!$H4)+('Net zero supporting data'!J122*'Net zero supporting data'!J142))*kgtoGg,"ERROR"))</f>
        <v>72.278060008832611</v>
      </c>
      <c r="T462" s="93">
        <f>IF('Net zero activities &amp; levers'!$C$8="Off",('Activity data'!AM5*EF!$H4)*kgtoGg,IF('Net zero activities &amp; levers'!$C$8="On",(('Net zero supporting data'!K132*EF!$H4)+('Net zero supporting data'!K122*'Net zero supporting data'!K142))*kgtoGg,"ERROR"))</f>
        <v>73.038072409871731</v>
      </c>
      <c r="U462" s="93">
        <f>IF('Net zero activities &amp; levers'!$C$8="Off",('Activity data'!AN5*EF!$H4)*kgtoGg,IF('Net zero activities &amp; levers'!$C$8="On",(('Net zero supporting data'!L132*EF!$H4)+('Net zero supporting data'!L122*'Net zero supporting data'!L142))*kgtoGg,"ERROR"))</f>
        <v>74.1505294629453</v>
      </c>
      <c r="V462" s="93">
        <f>IF('Net zero activities &amp; levers'!$C$8="Off",('Activity data'!AO5*EF!$H4)*kgtoGg,IF('Net zero activities &amp; levers'!$C$8="On",(('Net zero supporting data'!M132*EF!$H4)+('Net zero supporting data'!M122*'Net zero supporting data'!M142))*kgtoGg,"ERROR"))</f>
        <v>74.727142714641815</v>
      </c>
      <c r="W462" s="93">
        <f>IF('Net zero activities &amp; levers'!$C$8="Off",('Activity data'!AP5*EF!$H4)*kgtoGg,IF('Net zero activities &amp; levers'!$C$8="On",(('Net zero supporting data'!N132*EF!$H4)+('Net zero supporting data'!N122*'Net zero supporting data'!N142))*kgtoGg,"ERROR"))</f>
        <v>75.386134904907664</v>
      </c>
      <c r="X462" s="93">
        <f>IF('Net zero activities &amp; levers'!$C$8="Off",('Activity data'!AQ5*EF!$H4)*kgtoGg,IF('Net zero activities &amp; levers'!$C$8="On",(('Net zero supporting data'!O132*EF!$H4)+('Net zero supporting data'!O122*'Net zero supporting data'!O142))*kgtoGg,"ERROR"))</f>
        <v>76.148849321322899</v>
      </c>
      <c r="Y462" s="93">
        <f>IF('Net zero activities &amp; levers'!$C$8="Off",('Activity data'!AR5*EF!$H4)*kgtoGg,IF('Net zero activities &amp; levers'!$C$8="On",(('Net zero supporting data'!P132*EF!$H4)+('Net zero supporting data'!P122*'Net zero supporting data'!P142))*kgtoGg,"ERROR"))</f>
        <v>76.927724649348932</v>
      </c>
      <c r="Z462" s="93">
        <f>IF('Net zero activities &amp; levers'!$C$8="Off",('Activity data'!AS5*EF!$H4)*kgtoGg,IF('Net zero activities &amp; levers'!$C$8="On",(('Net zero supporting data'!Q132*EF!$H4)+('Net zero supporting data'!Q122*'Net zero supporting data'!Q142))*kgtoGg,"ERROR"))</f>
        <v>77.789839188812167</v>
      </c>
      <c r="AA462" s="93">
        <f>IF('Net zero activities &amp; levers'!$C$8="Off",('Activity data'!AT5*EF!$H4)*kgtoGg,IF('Net zero activities &amp; levers'!$C$8="On",(('Net zero supporting data'!R132*EF!$H4)+('Net zero supporting data'!R122*'Net zero supporting data'!R142))*kgtoGg,"ERROR"))</f>
        <v>78.678659679683463</v>
      </c>
      <c r="AB462" s="93">
        <f>IF('Net zero activities &amp; levers'!$C$8="Off",('Activity data'!AU5*EF!$H4)*kgtoGg,IF('Net zero activities &amp; levers'!$C$8="On",(('Net zero supporting data'!S132*EF!$H4)+('Net zero supporting data'!S122*'Net zero supporting data'!S142))*kgtoGg,"ERROR"))</f>
        <v>79.645214708438644</v>
      </c>
      <c r="AC462" s="93">
        <f>IF('Net zero activities &amp; levers'!$C$8="Off",('Activity data'!AV5*EF!$H4)*kgtoGg,IF('Net zero activities &amp; levers'!$C$8="On",(('Net zero supporting data'!T132*EF!$H4)+('Net zero supporting data'!T122*'Net zero supporting data'!T142))*kgtoGg,"ERROR"))</f>
        <v>80.63357341135027</v>
      </c>
      <c r="AD462" s="93">
        <f>IF('Net zero activities &amp; levers'!$C$8="Off",('Activity data'!AW5*EF!$H4)*kgtoGg,IF('Net zero activities &amp; levers'!$C$8="On",(('Net zero supporting data'!U132*EF!$H4)+('Net zero supporting data'!U122*'Net zero supporting data'!U142))*kgtoGg,"ERROR"))</f>
        <v>81.701326888312266</v>
      </c>
      <c r="AE462" s="93">
        <f>IF('Net zero activities &amp; levers'!$C$8="Off",('Activity data'!AX5*EF!$H4)*kgtoGg,IF('Net zero activities &amp; levers'!$C$8="On",(('Net zero supporting data'!V132*EF!$H4)+('Net zero supporting data'!V122*'Net zero supporting data'!V142))*kgtoGg,"ERROR"))</f>
        <v>82.754629010299467</v>
      </c>
      <c r="AF462" s="93">
        <f>IF('Net zero activities &amp; levers'!$C$8="Off",('Activity data'!AY5*EF!$H4)*kgtoGg,IF('Net zero activities &amp; levers'!$C$8="On",(('Net zero supporting data'!W132*EF!$H4)+('Net zero supporting data'!W122*'Net zero supporting data'!W142))*kgtoGg,"ERROR"))</f>
        <v>83.866381546619579</v>
      </c>
      <c r="AG462" s="93">
        <f>IF('Net zero activities &amp; levers'!$C$8="Off",('Activity data'!AZ5*EF!$H4)*kgtoGg,IF('Net zero activities &amp; levers'!$C$8="On",(('Net zero supporting data'!X132*EF!$H4)+('Net zero supporting data'!X122*'Net zero supporting data'!X142))*kgtoGg,"ERROR"))</f>
        <v>85.123957452137844</v>
      </c>
      <c r="AH462" s="93">
        <f>IF('Net zero activities &amp; levers'!$C$8="Off",('Activity data'!BA5*EF!$H4)*kgtoGg,IF('Net zero activities &amp; levers'!$C$8="On",(('Net zero supporting data'!Y132*EF!$H4)+('Net zero supporting data'!Y122*'Net zero supporting data'!Y142))*kgtoGg,"ERROR"))</f>
        <v>86.31962290876946</v>
      </c>
      <c r="AI462" s="93">
        <f>IF('Net zero activities &amp; levers'!$C$8="Off",('Activity data'!BB5*EF!$H4)*kgtoGg,IF('Net zero activities &amp; levers'!$C$8="On",(('Net zero supporting data'!Z132*EF!$H4)+('Net zero supporting data'!Z122*'Net zero supporting data'!Z142))*kgtoGg,"ERROR"))</f>
        <v>87.545771501366829</v>
      </c>
      <c r="AJ462" s="93">
        <f>IF('Net zero activities &amp; levers'!$C$8="Off",('Activity data'!BC5*EF!$H4)*kgtoGg,IF('Net zero activities &amp; levers'!$C$8="On",(('Net zero supporting data'!AA132*EF!$H4)+('Net zero supporting data'!AA122*'Net zero supporting data'!AA142))*kgtoGg,"ERROR"))</f>
        <v>88.857081922014302</v>
      </c>
      <c r="AK462" s="93">
        <f>IF('Net zero activities &amp; levers'!$C$8="Off",('Activity data'!BD5*EF!$H4)*kgtoGg,IF('Net zero activities &amp; levers'!$C$8="On",(('Net zero supporting data'!AB132*EF!$H4)+('Net zero supporting data'!AB122*'Net zero supporting data'!AB142))*kgtoGg,"ERROR"))</f>
        <v>90.085621753712104</v>
      </c>
      <c r="AL462" s="93">
        <f>IF('Net zero activities &amp; levers'!$C$8="Off",('Activity data'!BE5*EF!$H4)*kgtoGg,IF('Net zero activities &amp; levers'!$C$8="On",(('Net zero supporting data'!AC132*EF!$H4)+('Net zero supporting data'!AC122*'Net zero supporting data'!AC142))*kgtoGg,"ERROR"))</f>
        <v>91.307494637553916</v>
      </c>
      <c r="AM462" s="93">
        <f>IF('Net zero activities &amp; levers'!$C$8="Off",('Activity data'!BF5*EF!$H4)*kgtoGg,IF('Net zero activities &amp; levers'!$C$8="On",(('Net zero supporting data'!AD132*EF!$H4)+('Net zero supporting data'!AD122*'Net zero supporting data'!AD142))*kgtoGg,"ERROR"))</f>
        <v>92.526099205531537</v>
      </c>
      <c r="AN462" s="93">
        <f>IF('Net zero activities &amp; levers'!$C$8="Off",('Activity data'!BG5*EF!$H4)*kgtoGg,IF('Net zero activities &amp; levers'!$C$8="On",(('Net zero supporting data'!AE132*EF!$H4)+('Net zero supporting data'!AE122*'Net zero supporting data'!AE142))*kgtoGg,"ERROR"))</f>
        <v>93.815346302798517</v>
      </c>
      <c r="AO462" s="93">
        <f>IF('Net zero activities &amp; levers'!$C$8="Off",('Activity data'!BH5*EF!$H4)*kgtoGg,IF('Net zero activities &amp; levers'!$C$8="On",(('Net zero supporting data'!AF132*EF!$H4)+('Net zero supporting data'!AF122*'Net zero supporting data'!AF142))*kgtoGg,"ERROR"))</f>
        <v>95.052737285389242</v>
      </c>
      <c r="AP462" s="93">
        <f>IF('Net zero activities &amp; levers'!$C$8="Off",('Activity data'!BI5*EF!$H4)*kgtoGg,IF('Net zero activities &amp; levers'!$C$8="On",(('Net zero supporting data'!AG132*EF!$H4)+('Net zero supporting data'!AG122*'Net zero supporting data'!AG142))*kgtoGg,"ERROR"))</f>
        <v>96.338177882566526</v>
      </c>
      <c r="AQ462" s="93">
        <f>IF('Net zero activities &amp; levers'!$C$8="Off",('Activity data'!BJ5*EF!$H4)*kgtoGg,IF('Net zero activities &amp; levers'!$C$8="On",(('Net zero supporting data'!AH132*EF!$H4)+('Net zero supporting data'!AH122*'Net zero supporting data'!AH142))*kgtoGg,"ERROR"))</f>
        <v>97.677530754509618</v>
      </c>
      <c r="AR462" s="93">
        <f>IF('Net zero activities &amp; levers'!$C$8="Off",('Activity data'!BK5*EF!$H4)*kgtoGg,IF('Net zero activities &amp; levers'!$C$8="On",(('Net zero supporting data'!AI132*EF!$H4)+('Net zero supporting data'!AI122*'Net zero supporting data'!AI142))*kgtoGg,"ERROR"))</f>
        <v>99.08022368038182</v>
      </c>
      <c r="AS462" s="93">
        <f>IF('Net zero activities &amp; levers'!$C$8="Off",('Activity data'!BL5*EF!$H4)*kgtoGg,IF('Net zero activities &amp; levers'!$C$8="On",(('Net zero supporting data'!AJ132*EF!$H4)+('Net zero supporting data'!AJ122*'Net zero supporting data'!AJ142))*kgtoGg,"ERROR"))</f>
        <v>100.50772839666152</v>
      </c>
      <c r="AT462" s="93">
        <f>IF('Net zero activities &amp; levers'!$C$8="Off",('Activity data'!BM5*EF!$H4)*kgtoGg,IF('Net zero activities &amp; levers'!$C$8="On",(('Net zero supporting data'!AK132*EF!$H4)+('Net zero supporting data'!AK122*'Net zero supporting data'!AK142))*kgtoGg,"ERROR"))</f>
        <v>100.84617835677685</v>
      </c>
      <c r="AU462" s="93">
        <f>IF('Net zero activities &amp; levers'!$C$8="Off",('Activity data'!BN5*EF!$H4)*kgtoGg,IF('Net zero activities &amp; levers'!$C$8="On",(('Net zero supporting data'!AL132*EF!$H4)+('Net zero supporting data'!AL122*'Net zero supporting data'!AL142))*kgtoGg,"ERROR"))</f>
        <v>101.08705215806816</v>
      </c>
      <c r="AV462" s="93">
        <f>IF('Net zero activities &amp; levers'!$C$8="Off",('Activity data'!BO5*EF!$H4)*kgtoGg,IF('Net zero activities &amp; levers'!$C$8="On",(('Net zero supporting data'!AM132*EF!$H4)+('Net zero supporting data'!AM122*'Net zero supporting data'!AM142))*kgtoGg,"ERROR"))</f>
        <v>101.18574255533849</v>
      </c>
      <c r="AW462" s="93">
        <f>IF('Net zero activities &amp; levers'!$C$8="Off",('Activity data'!BP5*EF!$H4)*kgtoGg,IF('Net zero activities &amp; levers'!$C$8="On",(('Net zero supporting data'!AN132*EF!$H4)+('Net zero supporting data'!AN122*'Net zero supporting data'!AN142))*kgtoGg,"ERROR"))</f>
        <v>101.24533448141288</v>
      </c>
      <c r="AY462" s="79"/>
    </row>
    <row r="463" spans="1:51" x14ac:dyDescent="0.3">
      <c r="A463" s="95" t="str">
        <f t="shared" si="0"/>
        <v>PQ Cattle</v>
      </c>
      <c r="B463" s="95" t="s">
        <v>968</v>
      </c>
      <c r="C463" s="95" t="s">
        <v>1108</v>
      </c>
      <c r="D463" t="s">
        <v>15</v>
      </c>
      <c r="E463" t="s">
        <v>16</v>
      </c>
      <c r="F463" t="s">
        <v>6</v>
      </c>
      <c r="G463" t="s">
        <v>137</v>
      </c>
      <c r="H463" t="s">
        <v>1020</v>
      </c>
      <c r="I463" t="s">
        <v>121</v>
      </c>
      <c r="J463" t="s">
        <v>286</v>
      </c>
      <c r="K463" s="93">
        <f>IF('Net zero activities &amp; levers'!$C$8="Off",('Activity data'!AD6*EF!$H5)*kgtoGg,IF('Net zero activities &amp; levers'!$C$8="On",(('Net zero supporting data'!B133*EF!$H5)+('Net zero supporting data'!B123*'Net zero supporting data'!B143))*kgtoGg,"ERROR"))</f>
        <v>57.783598896292567</v>
      </c>
      <c r="L463" s="93">
        <f>IF('Net zero activities &amp; levers'!$C$8="Off",('Activity data'!AE6*EF!$H5)*kgtoGg,IF('Net zero activities &amp; levers'!$C$8="On",(('Net zero supporting data'!C133*EF!$H5)+('Net zero supporting data'!C123*'Net zero supporting data'!C143))*kgtoGg,"ERROR"))</f>
        <v>58.106638763645272</v>
      </c>
      <c r="M463" s="93">
        <f>IF('Net zero activities &amp; levers'!$C$8="Off",('Activity data'!AF6*EF!$H5)*kgtoGg,IF('Net zero activities &amp; levers'!$C$8="On",(('Net zero supporting data'!D133*EF!$H5)+('Net zero supporting data'!D123*'Net zero supporting data'!D143))*kgtoGg,"ERROR"))</f>
        <v>58.564977012483297</v>
      </c>
      <c r="N463" s="93">
        <f>IF('Net zero activities &amp; levers'!$C$8="Off",('Activity data'!AG6*EF!$H5)*kgtoGg,IF('Net zero activities &amp; levers'!$C$8="On",(('Net zero supporting data'!E133*EF!$H5)+('Net zero supporting data'!E123*'Net zero supporting data'!E143))*kgtoGg,"ERROR"))</f>
        <v>58.859508160444918</v>
      </c>
      <c r="O463" s="93">
        <f>IF('Net zero activities &amp; levers'!$C$8="Off",('Activity data'!AH6*EF!$H5)*kgtoGg,IF('Net zero activities &amp; levers'!$C$8="On",(('Net zero supporting data'!F133*EF!$H5)+('Net zero supporting data'!F123*'Net zero supporting data'!F143))*kgtoGg,"ERROR"))</f>
        <v>59.055225455337649</v>
      </c>
      <c r="P463" s="93">
        <f>IF('Net zero activities &amp; levers'!$C$8="Off",('Activity data'!AI6*EF!$H5)*kgtoGg,IF('Net zero activities &amp; levers'!$C$8="On",(('Net zero supporting data'!G133*EF!$H5)+('Net zero supporting data'!G123*'Net zero supporting data'!G143))*kgtoGg,"ERROR"))</f>
        <v>59.150202601958597</v>
      </c>
      <c r="Q463" s="93">
        <f>IF('Net zero activities &amp; levers'!$C$8="Off",('Activity data'!AJ6*EF!$H5)*kgtoGg,IF('Net zero activities &amp; levers'!$C$8="On",(('Net zero supporting data'!H133*EF!$H5)+('Net zero supporting data'!H123*'Net zero supporting data'!H143))*kgtoGg,"ERROR"))</f>
        <v>59.360042465716688</v>
      </c>
      <c r="R463" s="93">
        <f>IF('Net zero activities &amp; levers'!$C$8="Off",('Activity data'!AK6*EF!$H5)*kgtoGg,IF('Net zero activities &amp; levers'!$C$8="On",(('Net zero supporting data'!I133*EF!$H5)+('Net zero supporting data'!I123*'Net zero supporting data'!I143))*kgtoGg,"ERROR"))</f>
        <v>59.600764035107602</v>
      </c>
      <c r="S463" s="93">
        <f>IF('Net zero activities &amp; levers'!$C$8="Off",('Activity data'!AL6*EF!$H5)*kgtoGg,IF('Net zero activities &amp; levers'!$C$8="On",(('Net zero supporting data'!J133*EF!$H5)+('Net zero supporting data'!J123*'Net zero supporting data'!J143))*kgtoGg,"ERROR"))</f>
        <v>57.809188933752196</v>
      </c>
      <c r="T463" s="93">
        <f>IF('Net zero activities &amp; levers'!$C$8="Off",('Activity data'!AM6*EF!$H5)*kgtoGg,IF('Net zero activities &amp; levers'!$C$8="On",(('Net zero supporting data'!K133*EF!$H5)+('Net zero supporting data'!K123*'Net zero supporting data'!K143))*kgtoGg,"ERROR"))</f>
        <v>58.417059433849957</v>
      </c>
      <c r="U463" s="93">
        <f>IF('Net zero activities &amp; levers'!$C$8="Off",('Activity data'!AN6*EF!$H5)*kgtoGg,IF('Net zero activities &amp; levers'!$C$8="On",(('Net zero supporting data'!L133*EF!$H5)+('Net zero supporting data'!L123*'Net zero supporting data'!L143))*kgtoGg,"ERROR"))</f>
        <v>59.306821001246142</v>
      </c>
      <c r="V463" s="93">
        <f>IF('Net zero activities &amp; levers'!$C$8="Off",('Activity data'!AO6*EF!$H5)*kgtoGg,IF('Net zero activities &amp; levers'!$C$8="On",(('Net zero supporting data'!M133*EF!$H5)+('Net zero supporting data'!M123*'Net zero supporting data'!M143))*kgtoGg,"ERROR"))</f>
        <v>59.768005825589199</v>
      </c>
      <c r="W463" s="93">
        <f>IF('Net zero activities &amp; levers'!$C$8="Off",('Activity data'!AP6*EF!$H5)*kgtoGg,IF('Net zero activities &amp; levers'!$C$8="On",(('Net zero supporting data'!N133*EF!$H5)+('Net zero supporting data'!N123*'Net zero supporting data'!N143))*kgtoGg,"ERROR"))</f>
        <v>60.295078688755297</v>
      </c>
      <c r="X463" s="93">
        <f>IF('Net zero activities &amp; levers'!$C$8="Off",('Activity data'!AQ6*EF!$H5)*kgtoGg,IF('Net zero activities &amp; levers'!$C$8="On",(('Net zero supporting data'!O133*EF!$H5)+('Net zero supporting data'!O123*'Net zero supporting data'!O143))*kgtoGg,"ERROR"))</f>
        <v>60.905110305481806</v>
      </c>
      <c r="Y463" s="93">
        <f>IF('Net zero activities &amp; levers'!$C$8="Off",('Activity data'!AR6*EF!$H5)*kgtoGg,IF('Net zero activities &amp; levers'!$C$8="On",(('Net zero supporting data'!P133*EF!$H5)+('Net zero supporting data'!P123*'Net zero supporting data'!P143))*kgtoGg,"ERROR"))</f>
        <v>61.528067686853028</v>
      </c>
      <c r="Z463" s="93">
        <f>IF('Net zero activities &amp; levers'!$C$8="Off",('Activity data'!AS6*EF!$H5)*kgtoGg,IF('Net zero activities &amp; levers'!$C$8="On",(('Net zero supporting data'!Q133*EF!$H5)+('Net zero supporting data'!Q123*'Net zero supporting data'!Q143))*kgtoGg,"ERROR"))</f>
        <v>62.217601167528549</v>
      </c>
      <c r="AA463" s="93">
        <f>IF('Net zero activities &amp; levers'!$C$8="Off",('Activity data'!AT6*EF!$H5)*kgtoGg,IF('Net zero activities &amp; levers'!$C$8="On",(('Net zero supporting data'!R133*EF!$H5)+('Net zero supporting data'!R123*'Net zero supporting data'!R143))*kgtoGg,"ERROR"))</f>
        <v>62.928494510248186</v>
      </c>
      <c r="AB463" s="93">
        <f>IF('Net zero activities &amp; levers'!$C$8="Off",('Activity data'!AU6*EF!$H5)*kgtoGg,IF('Net zero activities &amp; levers'!$C$8="On",(('Net zero supporting data'!S133*EF!$H5)+('Net zero supporting data'!S123*'Net zero supporting data'!S143))*kgtoGg,"ERROR"))</f>
        <v>63.701561223236183</v>
      </c>
      <c r="AC463" s="93">
        <f>IF('Net zero activities &amp; levers'!$C$8="Off",('Activity data'!AV6*EF!$H5)*kgtoGg,IF('Net zero activities &amp; levers'!$C$8="On",(('Net zero supporting data'!T133*EF!$H5)+('Net zero supporting data'!T123*'Net zero supporting data'!T143))*kgtoGg,"ERROR"))</f>
        <v>64.492066875766909</v>
      </c>
      <c r="AD463" s="93">
        <f>IF('Net zero activities &amp; levers'!$C$8="Off",('Activity data'!AW6*EF!$H5)*kgtoGg,IF('Net zero activities &amp; levers'!$C$8="On",(('Net zero supporting data'!U133*EF!$H5)+('Net zero supporting data'!U123*'Net zero supporting data'!U143))*kgtoGg,"ERROR"))</f>
        <v>65.346073782936557</v>
      </c>
      <c r="AE463" s="93">
        <f>IF('Net zero activities &amp; levers'!$C$8="Off",('Activity data'!AX6*EF!$H5)*kgtoGg,IF('Net zero activities &amp; levers'!$C$8="On",(('Net zero supporting data'!V133*EF!$H5)+('Net zero supporting data'!V123*'Net zero supporting data'!V143))*kgtoGg,"ERROR"))</f>
        <v>66.18852225716013</v>
      </c>
      <c r="AF463" s="93">
        <f>IF('Net zero activities &amp; levers'!$C$8="Off",('Activity data'!AY6*EF!$H5)*kgtoGg,IF('Net zero activities &amp; levers'!$C$8="On",(('Net zero supporting data'!W133*EF!$H5)+('Net zero supporting data'!W123*'Net zero supporting data'!W143))*kgtoGg,"ERROR"))</f>
        <v>67.077720340393881</v>
      </c>
      <c r="AG463" s="93">
        <f>IF('Net zero activities &amp; levers'!$C$8="Off",('Activity data'!AZ6*EF!$H5)*kgtoGg,IF('Net zero activities &amp; levers'!$C$8="On",(('Net zero supporting data'!X133*EF!$H5)+('Net zero supporting data'!X123*'Net zero supporting data'!X143))*kgtoGg,"ERROR"))</f>
        <v>68.083550368368549</v>
      </c>
      <c r="AH463" s="93">
        <f>IF('Net zero activities &amp; levers'!$C$8="Off",('Activity data'!BA6*EF!$H5)*kgtoGg,IF('Net zero activities &amp; levers'!$C$8="On",(('Net zero supporting data'!Y133*EF!$H5)+('Net zero supporting data'!Y123*'Net zero supporting data'!Y143))*kgtoGg,"ERROR"))</f>
        <v>69.039863394417281</v>
      </c>
      <c r="AI463" s="93">
        <f>IF('Net zero activities &amp; levers'!$C$8="Off",('Activity data'!BB6*EF!$H5)*kgtoGg,IF('Net zero activities &amp; levers'!$C$8="On",(('Net zero supporting data'!Z133*EF!$H5)+('Net zero supporting data'!Z123*'Net zero supporting data'!Z143))*kgtoGg,"ERROR"))</f>
        <v>70.020557337249372</v>
      </c>
      <c r="AJ463" s="93">
        <f>IF('Net zero activities &amp; levers'!$C$8="Off",('Activity data'!BC6*EF!$H5)*kgtoGg,IF('Net zero activities &amp; levers'!$C$8="On",(('Net zero supporting data'!AA133*EF!$H5)+('Net zero supporting data'!AA123*'Net zero supporting data'!AA143))*kgtoGg,"ERROR"))</f>
        <v>71.069365119981001</v>
      </c>
      <c r="AK463" s="93">
        <f>IF('Net zero activities &amp; levers'!$C$8="Off",('Activity data'!BD6*EF!$H5)*kgtoGg,IF('Net zero activities &amp; levers'!$C$8="On",(('Net zero supporting data'!AB133*EF!$H5)+('Net zero supporting data'!AB123*'Net zero supporting data'!AB143))*kgtoGg,"ERROR"))</f>
        <v>72.051971615431754</v>
      </c>
      <c r="AL463" s="93">
        <f>IF('Net zero activities &amp; levers'!$C$8="Off",('Activity data'!BE6*EF!$H5)*kgtoGg,IF('Net zero activities &amp; levers'!$C$8="On",(('Net zero supporting data'!AC133*EF!$H5)+('Net zero supporting data'!AC123*'Net zero supporting data'!AC143))*kgtoGg,"ERROR"))</f>
        <v>73.029245775618222</v>
      </c>
      <c r="AM463" s="93">
        <f>IF('Net zero activities &amp; levers'!$C$8="Off",('Activity data'!BF6*EF!$H5)*kgtoGg,IF('Net zero activities &amp; levers'!$C$8="On",(('Net zero supporting data'!AD133*EF!$H5)+('Net zero supporting data'!AD123*'Net zero supporting data'!AD143))*kgtoGg,"ERROR"))</f>
        <v>74.003905882670679</v>
      </c>
      <c r="AN463" s="93">
        <f>IF('Net zero activities &amp; levers'!$C$8="Off",('Activity data'!BG6*EF!$H5)*kgtoGg,IF('Net zero activities &amp; levers'!$C$8="On",(('Net zero supporting data'!AE133*EF!$H5)+('Net zero supporting data'!AE123*'Net zero supporting data'!AE143))*kgtoGg,"ERROR"))</f>
        <v>75.035067054111778</v>
      </c>
      <c r="AO463" s="93">
        <f>IF('Net zero activities &amp; levers'!$C$8="Off",('Activity data'!BH6*EF!$H5)*kgtoGg,IF('Net zero activities &amp; levers'!$C$8="On",(('Net zero supporting data'!AF133*EF!$H5)+('Net zero supporting data'!AF123*'Net zero supporting data'!AF143))*kgtoGg,"ERROR"))</f>
        <v>76.024752846574486</v>
      </c>
      <c r="AP463" s="93">
        <f>IF('Net zero activities &amp; levers'!$C$8="Off",('Activity data'!BI6*EF!$H5)*kgtoGg,IF('Net zero activities &amp; levers'!$C$8="On",(('Net zero supporting data'!AG133*EF!$H5)+('Net zero supporting data'!AG123*'Net zero supporting data'!AG143))*kgtoGg,"ERROR"))</f>
        <v>77.05286951622854</v>
      </c>
      <c r="AQ463" s="93">
        <f>IF('Net zero activities &amp; levers'!$C$8="Off",('Activity data'!BJ6*EF!$H5)*kgtoGg,IF('Net zero activities &amp; levers'!$C$8="On",(('Net zero supporting data'!AH133*EF!$H5)+('Net zero supporting data'!AH123*'Net zero supporting data'!AH143))*kgtoGg,"ERROR"))</f>
        <v>78.12410611573965</v>
      </c>
      <c r="AR463" s="93">
        <f>IF('Net zero activities &amp; levers'!$C$8="Off",('Activity data'!BK6*EF!$H5)*kgtoGg,IF('Net zero activities &amp; levers'!$C$8="On",(('Net zero supporting data'!AI133*EF!$H5)+('Net zero supporting data'!AI123*'Net zero supporting data'!AI143))*kgtoGg,"ERROR"))</f>
        <v>79.246003138956311</v>
      </c>
      <c r="AS463" s="93">
        <f>IF('Net zero activities &amp; levers'!$C$8="Off",('Activity data'!BL6*EF!$H5)*kgtoGg,IF('Net zero activities &amp; levers'!$C$8="On",(('Net zero supporting data'!AJ133*EF!$H5)+('Net zero supporting data'!AJ123*'Net zero supporting data'!AJ143))*kgtoGg,"ERROR"))</f>
        <v>80.387745042891623</v>
      </c>
      <c r="AT463" s="93">
        <f>IF('Net zero activities &amp; levers'!$C$8="Off",('Activity data'!BM6*EF!$H5)*kgtoGg,IF('Net zero activities &amp; levers'!$C$8="On",(('Net zero supporting data'!AK133*EF!$H5)+('Net zero supporting data'!AK123*'Net zero supporting data'!AK143))*kgtoGg,"ERROR"))</f>
        <v>80.658442923915771</v>
      </c>
      <c r="AU463" s="93">
        <f>IF('Net zero activities &amp; levers'!$C$8="Off",('Activity data'!BN6*EF!$H5)*kgtoGg,IF('Net zero activities &amp; levers'!$C$8="On",(('Net zero supporting data'!AL133*EF!$H5)+('Net zero supporting data'!AL123*'Net zero supporting data'!AL143))*kgtoGg,"ERROR"))</f>
        <v>80.851097777772381</v>
      </c>
      <c r="AV463" s="93">
        <f>IF('Net zero activities &amp; levers'!$C$8="Off",('Activity data'!BO6*EF!$H5)*kgtoGg,IF('Net zero activities &amp; levers'!$C$8="On",(('Net zero supporting data'!AM133*EF!$H5)+('Net zero supporting data'!AM123*'Net zero supporting data'!AM143))*kgtoGg,"ERROR"))</f>
        <v>80.930031991295138</v>
      </c>
      <c r="AW463" s="93">
        <f>IF('Net zero activities &amp; levers'!$C$8="Off",('Activity data'!BP6*EF!$H5)*kgtoGg,IF('Net zero activities &amp; levers'!$C$8="On",(('Net zero supporting data'!AN133*EF!$H5)+('Net zero supporting data'!AN123*'Net zero supporting data'!AN143))*kgtoGg,"ERROR"))</f>
        <v>80.977694600293489</v>
      </c>
      <c r="AY463" s="79"/>
    </row>
    <row r="464" spans="1:51" x14ac:dyDescent="0.3">
      <c r="A464" s="95" t="str">
        <f t="shared" si="0"/>
        <v>PQ Cattle</v>
      </c>
      <c r="B464" s="95" t="s">
        <v>968</v>
      </c>
      <c r="C464" s="95" t="s">
        <v>1108</v>
      </c>
      <c r="D464" t="s">
        <v>15</v>
      </c>
      <c r="E464" t="s">
        <v>16</v>
      </c>
      <c r="F464" t="s">
        <v>67</v>
      </c>
      <c r="G464" t="s">
        <v>307</v>
      </c>
      <c r="H464" t="s">
        <v>1020</v>
      </c>
      <c r="I464" t="s">
        <v>121</v>
      </c>
      <c r="J464" t="s">
        <v>286</v>
      </c>
      <c r="K464" s="93">
        <f>IF('Net zero activities &amp; levers'!$C$8="Off",('Activity data'!AD7*EF!$H6)*kgtoGg,IF('Net zero activities &amp; levers'!$C$8="On",(('Net zero supporting data'!B134*EF!$H6)+('Net zero supporting data'!B124*'Net zero supporting data'!B144))*kgtoGg,"ERROR"))</f>
        <v>26.126191807126649</v>
      </c>
      <c r="L464" s="93">
        <f>IF('Net zero activities &amp; levers'!$C$8="Off",('Activity data'!AE7*EF!$H6)*kgtoGg,IF('Net zero activities &amp; levers'!$C$8="On",(('Net zero supporting data'!C134*EF!$H6)+('Net zero supporting data'!C124*'Net zero supporting data'!C144))*kgtoGg,"ERROR"))</f>
        <v>26.272250579806297</v>
      </c>
      <c r="M464" s="93">
        <f>IF('Net zero activities &amp; levers'!$C$8="Off",('Activity data'!AF7*EF!$H6)*kgtoGg,IF('Net zero activities &amp; levers'!$C$8="On",(('Net zero supporting data'!D134*EF!$H6)+('Net zero supporting data'!D124*'Net zero supporting data'!D144))*kgtoGg,"ERROR"))</f>
        <v>26.479482964607669</v>
      </c>
      <c r="N464" s="93">
        <f>IF('Net zero activities &amp; levers'!$C$8="Off",('Activity data'!AG7*EF!$H6)*kgtoGg,IF('Net zero activities &amp; levers'!$C$8="On",(('Net zero supporting data'!E134*EF!$H6)+('Net zero supporting data'!E124*'Net zero supporting data'!E144))*kgtoGg,"ERROR"))</f>
        <v>26.61265184663991</v>
      </c>
      <c r="O464" s="93">
        <f>IF('Net zero activities &amp; levers'!$C$8="Off",('Activity data'!AH7*EF!$H6)*kgtoGg,IF('Net zero activities &amp; levers'!$C$8="On",(('Net zero supporting data'!F134*EF!$H6)+('Net zero supporting data'!F124*'Net zero supporting data'!F144))*kgtoGg,"ERROR"))</f>
        <v>26.701143177813595</v>
      </c>
      <c r="P464" s="93">
        <f>IF('Net zero activities &amp; levers'!$C$8="Off",('Activity data'!AI7*EF!$H6)*kgtoGg,IF('Net zero activities &amp; levers'!$C$8="On",(('Net zero supporting data'!G134*EF!$H6)+('Net zero supporting data'!G124*'Net zero supporting data'!G144))*kgtoGg,"ERROR"))</f>
        <v>26.744086005835889</v>
      </c>
      <c r="Q464" s="93">
        <f>IF('Net zero activities &amp; levers'!$C$8="Off",('Activity data'!AJ7*EF!$H6)*kgtoGg,IF('Net zero activities &amp; levers'!$C$8="On",(('Net zero supporting data'!H134*EF!$H6)+('Net zero supporting data'!H124*'Net zero supporting data'!H144))*kgtoGg,"ERROR"))</f>
        <v>26.838962694620271</v>
      </c>
      <c r="R464" s="93">
        <f>IF('Net zero activities &amp; levers'!$C$8="Off",('Activity data'!AK7*EF!$H6)*kgtoGg,IF('Net zero activities &amp; levers'!$C$8="On",(('Net zero supporting data'!I134*EF!$H6)+('Net zero supporting data'!I124*'Net zero supporting data'!I144))*kgtoGg,"ERROR"))</f>
        <v>26.947802192577246</v>
      </c>
      <c r="S464" s="93">
        <f>IF('Net zero activities &amp; levers'!$C$8="Off",('Activity data'!AL7*EF!$H6)*kgtoGg,IF('Net zero activities &amp; levers'!$C$8="On",(('Net zero supporting data'!J134*EF!$H6)+('Net zero supporting data'!J124*'Net zero supporting data'!J144))*kgtoGg,"ERROR"))</f>
        <v>26.137762049198656</v>
      </c>
      <c r="T464" s="93">
        <f>IF('Net zero activities &amp; levers'!$C$8="Off",('Activity data'!AM7*EF!$H6)*kgtoGg,IF('Net zero activities &amp; levers'!$C$8="On",(('Net zero supporting data'!K134*EF!$H6)+('Net zero supporting data'!K124*'Net zero supporting data'!K144))*kgtoGg,"ERROR"))</f>
        <v>26.412603727162519</v>
      </c>
      <c r="U464" s="93">
        <f>IF('Net zero activities &amp; levers'!$C$8="Off",('Activity data'!AN7*EF!$H6)*kgtoGg,IF('Net zero activities &amp; levers'!$C$8="On",(('Net zero supporting data'!L134*EF!$H6)+('Net zero supporting data'!L124*'Net zero supporting data'!L144))*kgtoGg,"ERROR"))</f>
        <v>26.814899219593229</v>
      </c>
      <c r="V464" s="93">
        <f>IF('Net zero activities &amp; levers'!$C$8="Off",('Activity data'!AO7*EF!$H6)*kgtoGg,IF('Net zero activities &amp; levers'!$C$8="On",(('Net zero supporting data'!M134*EF!$H6)+('Net zero supporting data'!M124*'Net zero supporting data'!M144))*kgtoGg,"ERROR"))</f>
        <v>27.023418650875932</v>
      </c>
      <c r="W464" s="93">
        <f>IF('Net zero activities &amp; levers'!$C$8="Off",('Activity data'!AP7*EF!$H6)*kgtoGg,IF('Net zero activities &amp; levers'!$C$8="On",(('Net zero supporting data'!N134*EF!$H6)+('Net zero supporting data'!N124*'Net zero supporting data'!N144))*kgtoGg,"ERROR"))</f>
        <v>27.261728603568962</v>
      </c>
      <c r="X464" s="93">
        <f>IF('Net zero activities &amp; levers'!$C$8="Off",('Activity data'!AQ7*EF!$H6)*kgtoGg,IF('Net zero activities &amp; levers'!$C$8="On",(('Net zero supporting data'!O134*EF!$H6)+('Net zero supporting data'!O124*'Net zero supporting data'!O144))*kgtoGg,"ERROR"))</f>
        <v>27.53754740564138</v>
      </c>
      <c r="Y464" s="93">
        <f>IF('Net zero activities &amp; levers'!$C$8="Off",('Activity data'!AR7*EF!$H6)*kgtoGg,IF('Net zero activities &amp; levers'!$C$8="On",(('Net zero supporting data'!P134*EF!$H6)+('Net zero supporting data'!P124*'Net zero supporting data'!P144))*kgtoGg,"ERROR"))</f>
        <v>27.819210444016349</v>
      </c>
      <c r="Z464" s="93">
        <f>IF('Net zero activities &amp; levers'!$C$8="Off",('Activity data'!AS7*EF!$H6)*kgtoGg,IF('Net zero activities &amp; levers'!$C$8="On",(('Net zero supporting data'!Q134*EF!$H6)+('Net zero supporting data'!Q124*'Net zero supporting data'!Q144))*kgtoGg,"ERROR"))</f>
        <v>28.13097510246029</v>
      </c>
      <c r="AA464" s="93">
        <f>IF('Net zero activities &amp; levers'!$C$8="Off",('Activity data'!AT7*EF!$H6)*kgtoGg,IF('Net zero activities &amp; levers'!$C$8="On",(('Net zero supporting data'!R134*EF!$H6)+('Net zero supporting data'!R124*'Net zero supporting data'!R144))*kgtoGg,"ERROR"))</f>
        <v>28.452397377657032</v>
      </c>
      <c r="AB464" s="93">
        <f>IF('Net zero activities &amp; levers'!$C$8="Off",('Activity data'!AU7*EF!$H6)*kgtoGg,IF('Net zero activities &amp; levers'!$C$8="On",(('Net zero supporting data'!S134*EF!$H6)+('Net zero supporting data'!S124*'Net zero supporting data'!S144))*kgtoGg,"ERROR"))</f>
        <v>28.801930629462248</v>
      </c>
      <c r="AC464" s="93">
        <f>IF('Net zero activities &amp; levers'!$C$8="Off",('Activity data'!AV7*EF!$H6)*kgtoGg,IF('Net zero activities &amp; levers'!$C$8="On",(('Net zero supporting data'!T134*EF!$H6)+('Net zero supporting data'!T124*'Net zero supporting data'!T144))*kgtoGg,"ERROR"))</f>
        <v>29.159348697860899</v>
      </c>
      <c r="AD464" s="93">
        <f>IF('Net zero activities &amp; levers'!$C$8="Off",('Activity data'!AW7*EF!$H6)*kgtoGg,IF('Net zero activities &amp; levers'!$C$8="On",(('Net zero supporting data'!U134*EF!$H6)+('Net zero supporting data'!U124*'Net zero supporting data'!U144))*kgtoGg,"ERROR"))</f>
        <v>29.545478130563247</v>
      </c>
      <c r="AE464" s="93">
        <f>IF('Net zero activities &amp; levers'!$C$8="Off",('Activity data'!AX7*EF!$H6)*kgtoGg,IF('Net zero activities &amp; levers'!$C$8="On",(('Net zero supporting data'!V134*EF!$H6)+('Net zero supporting data'!V124*'Net zero supporting data'!V144))*kgtoGg,"ERROR"))</f>
        <v>29.92638155031543</v>
      </c>
      <c r="AF464" s="93">
        <f>IF('Net zero activities &amp; levers'!$C$8="Off",('Activity data'!AY7*EF!$H6)*kgtoGg,IF('Net zero activities &amp; levers'!$C$8="On",(('Net zero supporting data'!W134*EF!$H6)+('Net zero supporting data'!W124*'Net zero supporting data'!W144))*kgtoGg,"ERROR"))</f>
        <v>30.328422269841898</v>
      </c>
      <c r="AG464" s="93">
        <f>IF('Net zero activities &amp; levers'!$C$8="Off",('Activity data'!AZ7*EF!$H6)*kgtoGg,IF('Net zero activities &amp; levers'!$C$8="On",(('Net zero supporting data'!X134*EF!$H6)+('Net zero supporting data'!X124*'Net zero supporting data'!X144))*kgtoGg,"ERROR"))</f>
        <v>30.783196786108999</v>
      </c>
      <c r="AH464" s="93">
        <f>IF('Net zero activities &amp; levers'!$C$8="Off",('Activity data'!BA7*EF!$H6)*kgtoGg,IF('Net zero activities &amp; levers'!$C$8="On",(('Net zero supporting data'!Y134*EF!$H6)+('Net zero supporting data'!Y124*'Net zero supporting data'!Y144))*kgtoGg,"ERROR"))</f>
        <v>31.215582757620478</v>
      </c>
      <c r="AI464" s="93">
        <f>IF('Net zero activities &amp; levers'!$C$8="Off",('Activity data'!BB7*EF!$H6)*kgtoGg,IF('Net zero activities &amp; levers'!$C$8="On",(('Net zero supporting data'!Z134*EF!$H6)+('Net zero supporting data'!Z124*'Net zero supporting data'!Z144))*kgtoGg,"ERROR"))</f>
        <v>31.658992281151598</v>
      </c>
      <c r="AJ464" s="93">
        <f>IF('Net zero activities &amp; levers'!$C$8="Off",('Activity data'!BC7*EF!$H6)*kgtoGg,IF('Net zero activities &amp; levers'!$C$8="On",(('Net zero supporting data'!AA134*EF!$H6)+('Net zero supporting data'!AA124*'Net zero supporting data'!AA144))*kgtoGg,"ERROR"))</f>
        <v>32.133198696533107</v>
      </c>
      <c r="AK464" s="93">
        <f>IF('Net zero activities &amp; levers'!$C$8="Off",('Activity data'!BD7*EF!$H6)*kgtoGg,IF('Net zero activities &amp; levers'!$C$8="On",(('Net zero supporting data'!AB134*EF!$H6)+('Net zero supporting data'!AB124*'Net zero supporting data'!AB144))*kgtoGg,"ERROR"))</f>
        <v>32.57747295880516</v>
      </c>
      <c r="AL464" s="93">
        <f>IF('Net zero activities &amp; levers'!$C$8="Off",('Activity data'!BE7*EF!$H6)*kgtoGg,IF('Net zero activities &amp; levers'!$C$8="On",(('Net zero supporting data'!AC134*EF!$H6)+('Net zero supporting data'!AC124*'Net zero supporting data'!AC144))*kgtoGg,"ERROR"))</f>
        <v>33.019336266817611</v>
      </c>
      <c r="AM464" s="93">
        <f>IF('Net zero activities &amp; levers'!$C$8="Off",('Activity data'!BF7*EF!$H6)*kgtoGg,IF('Net zero activities &amp; levers'!$C$8="On",(('Net zero supporting data'!AD134*EF!$H6)+('Net zero supporting data'!AD124*'Net zero supporting data'!AD144))*kgtoGg,"ERROR"))</f>
        <v>33.460017660673138</v>
      </c>
      <c r="AN464" s="93">
        <f>IF('Net zero activities &amp; levers'!$C$8="Off",('Activity data'!BG7*EF!$H6)*kgtoGg,IF('Net zero activities &amp; levers'!$C$8="On",(('Net zero supporting data'!AE134*EF!$H6)+('Net zero supporting data'!AE124*'Net zero supporting data'!AE144))*kgtoGg,"ERROR"))</f>
        <v>33.926245363061206</v>
      </c>
      <c r="AO464" s="93">
        <f>IF('Net zero activities &amp; levers'!$C$8="Off",('Activity data'!BH7*EF!$H6)*kgtoGg,IF('Net zero activities &amp; levers'!$C$8="On",(('Net zero supporting data'!AF134*EF!$H6)+('Net zero supporting data'!AF124*'Net zero supporting data'!AF144))*kgtoGg,"ERROR"))</f>
        <v>34.37372044831983</v>
      </c>
      <c r="AP464" s="93">
        <f>IF('Net zero activities &amp; levers'!$C$8="Off",('Activity data'!BI7*EF!$H6)*kgtoGg,IF('Net zero activities &amp; levers'!$C$8="On",(('Net zero supporting data'!AG134*EF!$H6)+('Net zero supporting data'!AG124*'Net zero supporting data'!AG144))*kgtoGg,"ERROR"))</f>
        <v>34.838571614127183</v>
      </c>
      <c r="AQ464" s="93">
        <f>IF('Net zero activities &amp; levers'!$C$8="Off",('Activity data'!BJ7*EF!$H6)*kgtoGg,IF('Net zero activities &amp; levers'!$C$8="On",(('Net zero supporting data'!AH134*EF!$H6)+('Net zero supporting data'!AH124*'Net zero supporting data'!AH144))*kgtoGg,"ERROR"))</f>
        <v>35.322918961890544</v>
      </c>
      <c r="AR464" s="93">
        <f>IF('Net zero activities &amp; levers'!$C$8="Off",('Activity data'!BK7*EF!$H6)*kgtoGg,IF('Net zero activities &amp; levers'!$C$8="On",(('Net zero supporting data'!AI134*EF!$H6)+('Net zero supporting data'!AI124*'Net zero supporting data'!AI144))*kgtoGg,"ERROR"))</f>
        <v>35.830171839458941</v>
      </c>
      <c r="AS464" s="93">
        <f>IF('Net zero activities &amp; levers'!$C$8="Off",('Activity data'!BL7*EF!$H6)*kgtoGg,IF('Net zero activities &amp; levers'!$C$8="On",(('Net zero supporting data'!AJ134*EF!$H6)+('Net zero supporting data'!AJ124*'Net zero supporting data'!AJ144))*kgtoGg,"ERROR"))</f>
        <v>36.346397352341668</v>
      </c>
      <c r="AT464" s="93">
        <f>IF('Net zero activities &amp; levers'!$C$8="Off",('Activity data'!BM7*EF!$H6)*kgtoGg,IF('Net zero activities &amp; levers'!$C$8="On",(('Net zero supporting data'!AK134*EF!$H6)+('Net zero supporting data'!AK124*'Net zero supporting data'!AK144))*kgtoGg,"ERROR"))</f>
        <v>36.468790295953795</v>
      </c>
      <c r="AU464" s="93">
        <f>IF('Net zero activities &amp; levers'!$C$8="Off",('Activity data'!BN7*EF!$H6)*kgtoGg,IF('Net zero activities &amp; levers'!$C$8="On",(('Net zero supporting data'!AL134*EF!$H6)+('Net zero supporting data'!AL124*'Net zero supporting data'!AL144))*kgtoGg,"ERROR"))</f>
        <v>36.555896979520966</v>
      </c>
      <c r="AV464" s="93">
        <f>IF('Net zero activities &amp; levers'!$C$8="Off",('Activity data'!BO7*EF!$H6)*kgtoGg,IF('Net zero activities &amp; levers'!$C$8="On",(('Net zero supporting data'!AM134*EF!$H6)+('Net zero supporting data'!AM124*'Net zero supporting data'!AM144))*kgtoGg,"ERROR"))</f>
        <v>36.591586179259828</v>
      </c>
      <c r="AW464" s="93">
        <f>IF('Net zero activities &amp; levers'!$C$8="Off",('Activity data'!BP7*EF!$H6)*kgtoGg,IF('Net zero activities &amp; levers'!$C$8="On",(('Net zero supporting data'!AN134*EF!$H6)+('Net zero supporting data'!AN124*'Net zero supporting data'!AN144))*kgtoGg,"ERROR"))</f>
        <v>36.613136281512098</v>
      </c>
      <c r="AY464" s="79"/>
    </row>
    <row r="465" spans="1:51" x14ac:dyDescent="0.3">
      <c r="A465" s="95" t="str">
        <f t="shared" si="0"/>
        <v>PQ Cattle</v>
      </c>
      <c r="B465" s="95" t="s">
        <v>968</v>
      </c>
      <c r="C465" s="95" t="s">
        <v>1108</v>
      </c>
      <c r="D465" t="s">
        <v>15</v>
      </c>
      <c r="E465" t="s">
        <v>16</v>
      </c>
      <c r="F465" t="s">
        <v>67</v>
      </c>
      <c r="G465" t="s">
        <v>122</v>
      </c>
      <c r="H465" t="s">
        <v>1020</v>
      </c>
      <c r="I465" t="s">
        <v>121</v>
      </c>
      <c r="J465" t="s">
        <v>286</v>
      </c>
      <c r="K465" s="93">
        <f>IF('Net zero activities &amp; levers'!$C$8="Off",('Activity data'!AD8*EF!$H7)*kgtoGg,IF('Net zero activities &amp; levers'!$C$8="On",(('Net zero supporting data'!B135*EF!$H7)+('Net zero supporting data'!B125*'Net zero supporting data'!B145))*kgtoGg,"ERROR"))</f>
        <v>463.23498593143194</v>
      </c>
      <c r="L465" s="93">
        <f>IF('Net zero activities &amp; levers'!$C$8="Off",('Activity data'!AE8*EF!$H7)*kgtoGg,IF('Net zero activities &amp; levers'!$C$8="On",(('Net zero supporting data'!C135*EF!$H7)+('Net zero supporting data'!C125*'Net zero supporting data'!C145))*kgtoGg,"ERROR"))</f>
        <v>459.2174968362159</v>
      </c>
      <c r="M465" s="93">
        <f>IF('Net zero activities &amp; levers'!$C$8="Off",('Activity data'!AF8*EF!$H7)*kgtoGg,IF('Net zero activities &amp; levers'!$C$8="On",(('Net zero supporting data'!D135*EF!$H7)+('Net zero supporting data'!D125*'Net zero supporting data'!D145))*kgtoGg,"ERROR"))</f>
        <v>457.68816035731248</v>
      </c>
      <c r="N465" s="93">
        <f>IF('Net zero activities &amp; levers'!$C$8="Off",('Activity data'!AG8*EF!$H7)*kgtoGg,IF('Net zero activities &amp; levers'!$C$8="On",(('Net zero supporting data'!E135*EF!$H7)+('Net zero supporting data'!E125*'Net zero supporting data'!E145))*kgtoGg,"ERROR"))</f>
        <v>451.57633407663525</v>
      </c>
      <c r="O465" s="93">
        <f>IF('Net zero activities &amp; levers'!$C$8="Off",('Activity data'!AH8*EF!$H7)*kgtoGg,IF('Net zero activities &amp; levers'!$C$8="On",(('Net zero supporting data'!F135*EF!$H7)+('Net zero supporting data'!F125*'Net zero supporting data'!F145))*kgtoGg,"ERROR"))</f>
        <v>442.70486896910717</v>
      </c>
      <c r="P465" s="93">
        <f>IF('Net zero activities &amp; levers'!$C$8="Off",('Activity data'!AI8*EF!$H7)*kgtoGg,IF('Net zero activities &amp; levers'!$C$8="On",(('Net zero supporting data'!G135*EF!$H7)+('Net zero supporting data'!G125*'Net zero supporting data'!G145))*kgtoGg,"ERROR"))</f>
        <v>431.25721304480408</v>
      </c>
      <c r="Q465" s="93">
        <f>IF('Net zero activities &amp; levers'!$C$8="Off",('Activity data'!AJ8*EF!$H7)*kgtoGg,IF('Net zero activities &amp; levers'!$C$8="On",(('Net zero supporting data'!H135*EF!$H7)+('Net zero supporting data'!H125*'Net zero supporting data'!H145))*kgtoGg,"ERROR"))</f>
        <v>422.22811200839215</v>
      </c>
      <c r="R465" s="93">
        <f>IF('Net zero activities &amp; levers'!$C$8="Off",('Activity data'!AK8*EF!$H7)*kgtoGg,IF('Net zero activities &amp; levers'!$C$8="On",(('Net zero supporting data'!I135*EF!$H7)+('Net zero supporting data'!I125*'Net zero supporting data'!I145))*kgtoGg,"ERROR"))</f>
        <v>413.68555596285586</v>
      </c>
      <c r="S465" s="93">
        <f>IF('Net zero activities &amp; levers'!$C$8="Off",('Activity data'!AL8*EF!$H7)*kgtoGg,IF('Net zero activities &amp; levers'!$C$8="On",(('Net zero supporting data'!J135*EF!$H7)+('Net zero supporting data'!J125*'Net zero supporting data'!J145))*kgtoGg,"ERROR"))</f>
        <v>363.92269119895411</v>
      </c>
      <c r="T465" s="93">
        <f>IF('Net zero activities &amp; levers'!$C$8="Off",('Activity data'!AM8*EF!$H7)*kgtoGg,IF('Net zero activities &amp; levers'!$C$8="On",(('Net zero supporting data'!K135*EF!$H7)+('Net zero supporting data'!K125*'Net zero supporting data'!K145))*kgtoGg,"ERROR"))</f>
        <v>369.83389237357579</v>
      </c>
      <c r="U465" s="93">
        <f>IF('Net zero activities &amp; levers'!$C$8="Off",('Activity data'!AN8*EF!$H7)*kgtoGg,IF('Net zero activities &amp; levers'!$C$8="On",(('Net zero supporting data'!L135*EF!$H7)+('Net zero supporting data'!L125*'Net zero supporting data'!L145))*kgtoGg,"ERROR"))</f>
        <v>380.86142464434585</v>
      </c>
      <c r="V465" s="93">
        <f>IF('Net zero activities &amp; levers'!$C$8="Off",('Activity data'!AO8*EF!$H7)*kgtoGg,IF('Net zero activities &amp; levers'!$C$8="On",(('Net zero supporting data'!M135*EF!$H7)+('Net zero supporting data'!M125*'Net zero supporting data'!M145))*kgtoGg,"ERROR"))</f>
        <v>383.06375021143805</v>
      </c>
      <c r="W465" s="93">
        <f>IF('Net zero activities &amp; levers'!$C$8="Off",('Activity data'!AP8*EF!$H7)*kgtoGg,IF('Net zero activities &amp; levers'!$C$8="On",(('Net zero supporting data'!N135*EF!$H7)+('Net zero supporting data'!N125*'Net zero supporting data'!N145))*kgtoGg,"ERROR"))</f>
        <v>386.24013707294779</v>
      </c>
      <c r="X465" s="93">
        <f>IF('Net zero activities &amp; levers'!$C$8="Off",('Activity data'!AQ8*EF!$H7)*kgtoGg,IF('Net zero activities &amp; levers'!$C$8="On",(('Net zero supporting data'!O135*EF!$H7)+('Net zero supporting data'!O125*'Net zero supporting data'!O145))*kgtoGg,"ERROR"))</f>
        <v>390.6712668095617</v>
      </c>
      <c r="Y465" s="93">
        <f>IF('Net zero activities &amp; levers'!$C$8="Off",('Activity data'!AR8*EF!$H7)*kgtoGg,IF('Net zero activities &amp; levers'!$C$8="On",(('Net zero supporting data'!P135*EF!$H7)+('Net zero supporting data'!P125*'Net zero supporting data'!P145))*kgtoGg,"ERROR"))</f>
        <v>395.75397479595648</v>
      </c>
      <c r="Z465" s="93">
        <f>IF('Net zero activities &amp; levers'!$C$8="Off",('Activity data'!AS8*EF!$H7)*kgtoGg,IF('Net zero activities &amp; levers'!$C$8="On",(('Net zero supporting data'!Q135*EF!$H7)+('Net zero supporting data'!Q125*'Net zero supporting data'!Q145))*kgtoGg,"ERROR"))</f>
        <v>401.71318303321101</v>
      </c>
      <c r="AA465" s="93">
        <f>IF('Net zero activities &amp; levers'!$C$8="Off",('Activity data'!AT8*EF!$H7)*kgtoGg,IF('Net zero activities &amp; levers'!$C$8="On",(('Net zero supporting data'!R135*EF!$H7)+('Net zero supporting data'!R125*'Net zero supporting data'!R145))*kgtoGg,"ERROR"))</f>
        <v>407.69987647206653</v>
      </c>
      <c r="AB465" s="93">
        <f>IF('Net zero activities &amp; levers'!$C$8="Off",('Activity data'!AU8*EF!$H7)*kgtoGg,IF('Net zero activities &amp; levers'!$C$8="On",(('Net zero supporting data'!S135*EF!$H7)+('Net zero supporting data'!S125*'Net zero supporting data'!S145))*kgtoGg,"ERROR"))</f>
        <v>414.43305929383774</v>
      </c>
      <c r="AC465" s="93">
        <f>IF('Net zero activities &amp; levers'!$C$8="Off",('Activity data'!AV8*EF!$H7)*kgtoGg,IF('Net zero activities &amp; levers'!$C$8="On",(('Net zero supporting data'!T135*EF!$H7)+('Net zero supporting data'!T125*'Net zero supporting data'!T145))*kgtoGg,"ERROR"))</f>
        <v>421.09942264585908</v>
      </c>
      <c r="AD465" s="93">
        <f>IF('Net zero activities &amp; levers'!$C$8="Off",('Activity data'!AW8*EF!$H7)*kgtoGg,IF('Net zero activities &amp; levers'!$C$8="On",(('Net zero supporting data'!U135*EF!$H7)+('Net zero supporting data'!U125*'Net zero supporting data'!U145))*kgtoGg,"ERROR"))</f>
        <v>425.44191060723506</v>
      </c>
      <c r="AE465" s="93">
        <f>IF('Net zero activities &amp; levers'!$C$8="Off",('Activity data'!AX8*EF!$H7)*kgtoGg,IF('Net zero activities &amp; levers'!$C$8="On",(('Net zero supporting data'!V135*EF!$H7)+('Net zero supporting data'!V125*'Net zero supporting data'!V145))*kgtoGg,"ERROR"))</f>
        <v>429.00739584475377</v>
      </c>
      <c r="AF465" s="93">
        <f>IF('Net zero activities &amp; levers'!$C$8="Off",('Activity data'!AY8*EF!$H7)*kgtoGg,IF('Net zero activities &amp; levers'!$C$8="On",(('Net zero supporting data'!W135*EF!$H7)+('Net zero supporting data'!W125*'Net zero supporting data'!W145))*kgtoGg,"ERROR"))</f>
        <v>432.77412897631666</v>
      </c>
      <c r="AG465" s="93">
        <f>IF('Net zero activities &amp; levers'!$C$8="Off",('Activity data'!AZ8*EF!$H7)*kgtoGg,IF('Net zero activities &amp; levers'!$C$8="On",(('Net zero supporting data'!X135*EF!$H7)+('Net zero supporting data'!X125*'Net zero supporting data'!X145))*kgtoGg,"ERROR"))</f>
        <v>437.81397558556199</v>
      </c>
      <c r="AH465" s="93">
        <f>IF('Net zero activities &amp; levers'!$C$8="Off",('Activity data'!BA8*EF!$H7)*kgtoGg,IF('Net zero activities &amp; levers'!$C$8="On",(('Net zero supporting data'!Y135*EF!$H7)+('Net zero supporting data'!Y125*'Net zero supporting data'!Y145))*kgtoGg,"ERROR"))</f>
        <v>441.43846379327863</v>
      </c>
      <c r="AI465" s="93">
        <f>IF('Net zero activities &amp; levers'!$C$8="Off",('Activity data'!BB8*EF!$H7)*kgtoGg,IF('Net zero activities &amp; levers'!$C$8="On",(('Net zero supporting data'!Z135*EF!$H7)+('Net zero supporting data'!Z125*'Net zero supporting data'!Z145))*kgtoGg,"ERROR"))</f>
        <v>445.30127510523226</v>
      </c>
      <c r="AJ465" s="93">
        <f>IF('Net zero activities &amp; levers'!$C$8="Off",('Activity data'!BC8*EF!$H7)*kgtoGg,IF('Net zero activities &amp; levers'!$C$8="On",(('Net zero supporting data'!AA135*EF!$H7)+('Net zero supporting data'!AA125*'Net zero supporting data'!AA145))*kgtoGg,"ERROR"))</f>
        <v>449.5534309991009</v>
      </c>
      <c r="AK465" s="93">
        <f>IF('Net zero activities &amp; levers'!$C$8="Off",('Activity data'!BD8*EF!$H7)*kgtoGg,IF('Net zero activities &amp; levers'!$C$8="On",(('Net zero supporting data'!AB135*EF!$H7)+('Net zero supporting data'!AB125*'Net zero supporting data'!AB145))*kgtoGg,"ERROR"))</f>
        <v>452.20309019469192</v>
      </c>
      <c r="AL465" s="93">
        <f>IF('Net zero activities &amp; levers'!$C$8="Off",('Activity data'!BE8*EF!$H7)*kgtoGg,IF('Net zero activities &amp; levers'!$C$8="On",(('Net zero supporting data'!AC135*EF!$H7)+('Net zero supporting data'!AC125*'Net zero supporting data'!AC145))*kgtoGg,"ERROR"))</f>
        <v>454.19091289569144</v>
      </c>
      <c r="AM465" s="93">
        <f>IF('Net zero activities &amp; levers'!$C$8="Off",('Activity data'!BF8*EF!$H7)*kgtoGg,IF('Net zero activities &amp; levers'!$C$8="On",(('Net zero supporting data'!AD135*EF!$H7)+('Net zero supporting data'!AD125*'Net zero supporting data'!AD145))*kgtoGg,"ERROR"))</f>
        <v>455.5735708938164</v>
      </c>
      <c r="AN465" s="93">
        <f>IF('Net zero activities &amp; levers'!$C$8="Off",('Activity data'!BG8*EF!$H7)*kgtoGg,IF('Net zero activities &amp; levers'!$C$8="On",(('Net zero supporting data'!AE135*EF!$H7)+('Net zero supporting data'!AE125*'Net zero supporting data'!AE145))*kgtoGg,"ERROR"))</f>
        <v>459.87188917365768</v>
      </c>
      <c r="AO465" s="93">
        <f>IF('Net zero activities &amp; levers'!$C$8="Off",('Activity data'!BH8*EF!$H7)*kgtoGg,IF('Net zero activities &amp; levers'!$C$8="On",(('Net zero supporting data'!AF135*EF!$H7)+('Net zero supporting data'!AF125*'Net zero supporting data'!AF145))*kgtoGg,"ERROR"))</f>
        <v>463.13915520973467</v>
      </c>
      <c r="AP465" s="93">
        <f>IF('Net zero activities &amp; levers'!$C$8="Off",('Activity data'!BI8*EF!$H7)*kgtoGg,IF('Net zero activities &amp; levers'!$C$8="On",(('Net zero supporting data'!AG135*EF!$H7)+('Net zero supporting data'!AG125*'Net zero supporting data'!AG145))*kgtoGg,"ERROR"))</f>
        <v>466.44766361257473</v>
      </c>
      <c r="AQ465" s="93">
        <f>IF('Net zero activities &amp; levers'!$C$8="Off",('Activity data'!BJ8*EF!$H7)*kgtoGg,IF('Net zero activities &amp; levers'!$C$8="On",(('Net zero supporting data'!AH135*EF!$H7)+('Net zero supporting data'!AH125*'Net zero supporting data'!AH145))*kgtoGg,"ERROR"))</f>
        <v>469.83526222266636</v>
      </c>
      <c r="AR465" s="93">
        <f>IF('Net zero activities &amp; levers'!$C$8="Off",('Activity data'!BK8*EF!$H7)*kgtoGg,IF('Net zero activities &amp; levers'!$C$8="On",(('Net zero supporting data'!AI135*EF!$H7)+('Net zero supporting data'!AI125*'Net zero supporting data'!AI145))*kgtoGg,"ERROR"))</f>
        <v>473.37026305322627</v>
      </c>
      <c r="AS465" s="93">
        <f>IF('Net zero activities &amp; levers'!$C$8="Off",('Activity data'!BL8*EF!$H7)*kgtoGg,IF('Net zero activities &amp; levers'!$C$8="On",(('Net zero supporting data'!AJ135*EF!$H7)+('Net zero supporting data'!AJ125*'Net zero supporting data'!AJ145))*kgtoGg,"ERROR"))</f>
        <v>476.99976993126808</v>
      </c>
      <c r="AT465" s="93">
        <f>IF('Net zero activities &amp; levers'!$C$8="Off",('Activity data'!BM8*EF!$H7)*kgtoGg,IF('Net zero activities &amp; levers'!$C$8="On",(('Net zero supporting data'!AK135*EF!$H7)+('Net zero supporting data'!AK125*'Net zero supporting data'!AK145))*kgtoGg,"ERROR"))</f>
        <v>469.84014483659178</v>
      </c>
      <c r="AU465" s="93">
        <f>IF('Net zero activities &amp; levers'!$C$8="Off",('Activity data'!BN8*EF!$H7)*kgtoGg,IF('Net zero activities &amp; levers'!$C$8="On",(('Net zero supporting data'!AL135*EF!$H7)+('Net zero supporting data'!AL125*'Net zero supporting data'!AL145))*kgtoGg,"ERROR"))</f>
        <v>461.72949370511395</v>
      </c>
      <c r="AV465" s="93">
        <f>IF('Net zero activities &amp; levers'!$C$8="Off",('Activity data'!BO8*EF!$H7)*kgtoGg,IF('Net zero activities &amp; levers'!$C$8="On",(('Net zero supporting data'!AM135*EF!$H7)+('Net zero supporting data'!AM125*'Net zero supporting data'!AM145))*kgtoGg,"ERROR"))</f>
        <v>452.32664742475527</v>
      </c>
      <c r="AW465" s="93">
        <f>IF('Net zero activities &amp; levers'!$C$8="Off",('Activity data'!BP8*EF!$H7)*kgtoGg,IF('Net zero activities &amp; levers'!$C$8="On",(('Net zero supporting data'!AN135*EF!$H7)+('Net zero supporting data'!AN125*'Net zero supporting data'!AN145))*kgtoGg,"ERROR"))</f>
        <v>442.62912277964222</v>
      </c>
      <c r="AY465" s="79"/>
    </row>
    <row r="466" spans="1:51" x14ac:dyDescent="0.3">
      <c r="A466" s="95" t="str">
        <f t="shared" si="0"/>
        <v>PQ Cattle</v>
      </c>
      <c r="B466" s="95" t="s">
        <v>968</v>
      </c>
      <c r="C466" s="95" t="s">
        <v>1108</v>
      </c>
      <c r="D466" t="s">
        <v>15</v>
      </c>
      <c r="E466" t="s">
        <v>16</v>
      </c>
      <c r="F466" t="s">
        <v>67</v>
      </c>
      <c r="G466" t="s">
        <v>123</v>
      </c>
      <c r="H466" t="s">
        <v>1020</v>
      </c>
      <c r="I466" t="s">
        <v>121</v>
      </c>
      <c r="J466" t="s">
        <v>286</v>
      </c>
      <c r="K466" s="93">
        <f>IF('Net zero activities &amp; levers'!$C$8="Off",('Activity data'!AD9*EF!$H8)*kgtoGg,IF('Net zero activities &amp; levers'!$C$8="On",(('Net zero supporting data'!B136*EF!$H8)+('Net zero supporting data'!B126*'Net zero supporting data'!B146))*kgtoGg,"ERROR"))</f>
        <v>326.20040935577742</v>
      </c>
      <c r="L466" s="93">
        <f>IF('Net zero activities &amp; levers'!$C$8="Off",('Activity data'!AE9*EF!$H8)*kgtoGg,IF('Net zero activities &amp; levers'!$C$8="On",(('Net zero supporting data'!C136*EF!$H8)+('Net zero supporting data'!C126*'Net zero supporting data'!C146))*kgtoGg,"ERROR"))</f>
        <v>323.37137738012308</v>
      </c>
      <c r="M466" s="93">
        <f>IF('Net zero activities &amp; levers'!$C$8="Off",('Activity data'!AF9*EF!$H8)*kgtoGg,IF('Net zero activities &amp; levers'!$C$8="On",(('Net zero supporting data'!D136*EF!$H8)+('Net zero supporting data'!D126*'Net zero supporting data'!D146))*kgtoGg,"ERROR"))</f>
        <v>322.29445054900748</v>
      </c>
      <c r="N466" s="93">
        <f>IF('Net zero activities &amp; levers'!$C$8="Off",('Activity data'!AG9*EF!$H8)*kgtoGg,IF('Net zero activities &amp; levers'!$C$8="On",(('Net zero supporting data'!E136*EF!$H8)+('Net zero supporting data'!E126*'Net zero supporting data'!E146))*kgtoGg,"ERROR"))</f>
        <v>317.99063003627219</v>
      </c>
      <c r="O466" s="93">
        <f>IF('Net zero activities &amp; levers'!$C$8="Off",('Activity data'!AH9*EF!$H8)*kgtoGg,IF('Net zero activities &amp; levers'!$C$8="On",(('Net zero supporting data'!F136*EF!$H8)+('Net zero supporting data'!F126*'Net zero supporting data'!F146))*kgtoGg,"ERROR"))</f>
        <v>311.74352945546792</v>
      </c>
      <c r="P466" s="93">
        <f>IF('Net zero activities &amp; levers'!$C$8="Off",('Activity data'!AI9*EF!$H8)*kgtoGg,IF('Net zero activities &amp; levers'!$C$8="On",(('Net zero supporting data'!G136*EF!$H8)+('Net zero supporting data'!G126*'Net zero supporting data'!G146))*kgtoGg,"ERROR"))</f>
        <v>303.68232906672063</v>
      </c>
      <c r="Q466" s="93">
        <f>IF('Net zero activities &amp; levers'!$C$8="Off",('Activity data'!AJ9*EF!$H8)*kgtoGg,IF('Net zero activities &amp; levers'!$C$8="On",(('Net zero supporting data'!H136*EF!$H8)+('Net zero supporting data'!H126*'Net zero supporting data'!H146))*kgtoGg,"ERROR"))</f>
        <v>297.32422455466599</v>
      </c>
      <c r="R466" s="93">
        <f>IF('Net zero activities &amp; levers'!$C$8="Off",('Activity data'!AK9*EF!$H8)*kgtoGg,IF('Net zero activities &amp; levers'!$C$8="On",(('Net zero supporting data'!I136*EF!$H8)+('Net zero supporting data'!I126*'Net zero supporting data'!I146))*kgtoGg,"ERROR"))</f>
        <v>291.30873487096773</v>
      </c>
      <c r="S466" s="93">
        <f>IF('Net zero activities &amp; levers'!$C$8="Off",('Activity data'!AL9*EF!$H8)*kgtoGg,IF('Net zero activities &amp; levers'!$C$8="On",(('Net zero supporting data'!J136*EF!$H8)+('Net zero supporting data'!J126*'Net zero supporting data'!J146))*kgtoGg,"ERROR"))</f>
        <v>256.26676405768438</v>
      </c>
      <c r="T466" s="93">
        <f>IF('Net zero activities &amp; levers'!$C$8="Off",('Activity data'!AM9*EF!$H8)*kgtoGg,IF('Net zero activities &amp; levers'!$C$8="On",(('Net zero supporting data'!K136*EF!$H8)+('Net zero supporting data'!K126*'Net zero supporting data'!K146))*kgtoGg,"ERROR"))</f>
        <v>260.42930855779127</v>
      </c>
      <c r="U466" s="93">
        <f>IF('Net zero activities &amp; levers'!$C$8="Off",('Activity data'!AN9*EF!$H8)*kgtoGg,IF('Net zero activities &amp; levers'!$C$8="On",(('Net zero supporting data'!L136*EF!$H8)+('Net zero supporting data'!L126*'Net zero supporting data'!L146))*kgtoGg,"ERROR"))</f>
        <v>268.19466663772192</v>
      </c>
      <c r="V466" s="93">
        <f>IF('Net zero activities &amp; levers'!$C$8="Off",('Activity data'!AO9*EF!$H8)*kgtoGg,IF('Net zero activities &amp; levers'!$C$8="On",(('Net zero supporting data'!M136*EF!$H8)+('Net zero supporting data'!M126*'Net zero supporting data'!M146))*kgtoGg,"ERROR"))</f>
        <v>269.7454983394245</v>
      </c>
      <c r="W466" s="93">
        <f>IF('Net zero activities &amp; levers'!$C$8="Off",('Activity data'!AP9*EF!$H8)*kgtoGg,IF('Net zero activities &amp; levers'!$C$8="On",(('Net zero supporting data'!N136*EF!$H8)+('Net zero supporting data'!N126*'Net zero supporting data'!N146))*kgtoGg,"ERROR"))</f>
        <v>271.98224367594827</v>
      </c>
      <c r="X466" s="93">
        <f>IF('Net zero activities &amp; levers'!$C$8="Off",('Activity data'!AQ9*EF!$H8)*kgtoGg,IF('Net zero activities &amp; levers'!$C$8="On",(('Net zero supporting data'!O136*EF!$H8)+('Net zero supporting data'!O126*'Net zero supporting data'!O146))*kgtoGg,"ERROR"))</f>
        <v>275.10255275857435</v>
      </c>
      <c r="Y466" s="93">
        <f>IF('Net zero activities &amp; levers'!$C$8="Off",('Activity data'!AR9*EF!$H8)*kgtoGg,IF('Net zero activities &amp; levers'!$C$8="On",(('Net zero supporting data'!P136*EF!$H8)+('Net zero supporting data'!P126*'Net zero supporting data'!P146))*kgtoGg,"ERROR"))</f>
        <v>278.68168964622578</v>
      </c>
      <c r="Z466" s="93">
        <f>IF('Net zero activities &amp; levers'!$C$8="Off",('Activity data'!AS9*EF!$H8)*kgtoGg,IF('Net zero activities &amp; levers'!$C$8="On",(('Net zero supporting data'!Q136*EF!$H8)+('Net zero supporting data'!Q126*'Net zero supporting data'!Q146))*kgtoGg,"ERROR"))</f>
        <v>282.87803971792886</v>
      </c>
      <c r="AA466" s="93">
        <f>IF('Net zero activities &amp; levers'!$C$8="Off",('Activity data'!AT9*EF!$H8)*kgtoGg,IF('Net zero activities &amp; levers'!$C$8="On",(('Net zero supporting data'!R136*EF!$H8)+('Net zero supporting data'!R126*'Net zero supporting data'!R146))*kgtoGg,"ERROR"))</f>
        <v>287.09374429498189</v>
      </c>
      <c r="AB466" s="93">
        <f>IF('Net zero activities &amp; levers'!$C$8="Off",('Activity data'!AU9*EF!$H8)*kgtoGg,IF('Net zero activities &amp; levers'!$C$8="On",(('Net zero supporting data'!S136*EF!$H8)+('Net zero supporting data'!S126*'Net zero supporting data'!S146))*kgtoGg,"ERROR"))</f>
        <v>291.83511111621357</v>
      </c>
      <c r="AC466" s="93">
        <f>IF('Net zero activities &amp; levers'!$C$8="Off",('Activity data'!AV9*EF!$H8)*kgtoGg,IF('Net zero activities &amp; levers'!$C$8="On",(('Net zero supporting data'!T136*EF!$H8)+('Net zero supporting data'!T126*'Net zero supporting data'!T146))*kgtoGg,"ERROR"))</f>
        <v>296.52942506137316</v>
      </c>
      <c r="AD466" s="93">
        <f>IF('Net zero activities &amp; levers'!$C$8="Off",('Activity data'!AW9*EF!$H8)*kgtoGg,IF('Net zero activities &amp; levers'!$C$8="On",(('Net zero supporting data'!U136*EF!$H8)+('Net zero supporting data'!U126*'Net zero supporting data'!U146))*kgtoGg,"ERROR"))</f>
        <v>299.58731445583493</v>
      </c>
      <c r="AE466" s="93">
        <f>IF('Net zero activities &amp; levers'!$C$8="Off",('Activity data'!AX9*EF!$H8)*kgtoGg,IF('Net zero activities &amp; levers'!$C$8="On",(('Net zero supporting data'!V136*EF!$H8)+('Net zero supporting data'!V126*'Net zero supporting data'!V146))*kgtoGg,"ERROR"))</f>
        <v>302.09805474824185</v>
      </c>
      <c r="AF466" s="93">
        <f>IF('Net zero activities &amp; levers'!$C$8="Off",('Activity data'!AY9*EF!$H8)*kgtoGg,IF('Net zero activities &amp; levers'!$C$8="On",(('Net zero supporting data'!W136*EF!$H8)+('Net zero supporting data'!W126*'Net zero supporting data'!W146))*kgtoGg,"ERROR"))</f>
        <v>304.75050960758114</v>
      </c>
      <c r="AG466" s="93">
        <f>IF('Net zero activities &amp; levers'!$C$8="Off",('Activity data'!AZ9*EF!$H8)*kgtoGg,IF('Net zero activities &amp; levers'!$C$8="On",(('Net zero supporting data'!X136*EF!$H8)+('Net zero supporting data'!X126*'Net zero supporting data'!X146))*kgtoGg,"ERROR"))</f>
        <v>308.29946440796289</v>
      </c>
      <c r="AH466" s="93">
        <f>IF('Net zero activities &amp; levers'!$C$8="Off",('Activity data'!BA9*EF!$H8)*kgtoGg,IF('Net zero activities &amp; levers'!$C$8="On",(('Net zero supporting data'!Y136*EF!$H8)+('Net zero supporting data'!Y126*'Net zero supporting data'!Y146))*kgtoGg,"ERROR"))</f>
        <v>310.85175336058825</v>
      </c>
      <c r="AI466" s="93">
        <f>IF('Net zero activities &amp; levers'!$C$8="Off",('Activity data'!BB9*EF!$H8)*kgtoGg,IF('Net zero activities &amp; levers'!$C$8="On",(('Net zero supporting data'!Z136*EF!$H8)+('Net zero supporting data'!Z126*'Net zero supporting data'!Z146))*kgtoGg,"ERROR"))</f>
        <v>313.57186446940221</v>
      </c>
      <c r="AJ466" s="93">
        <f>IF('Net zero activities &amp; levers'!$C$8="Off",('Activity data'!BC9*EF!$H8)*kgtoGg,IF('Net zero activities &amp; levers'!$C$8="On",(('Net zero supporting data'!AA136*EF!$H8)+('Net zero supporting data'!AA126*'Net zero supporting data'!AA146))*kgtoGg,"ERROR"))</f>
        <v>316.5661439071601</v>
      </c>
      <c r="AK466" s="93">
        <f>IF('Net zero activities &amp; levers'!$C$8="Off",('Activity data'!BD9*EF!$H8)*kgtoGg,IF('Net zero activities &amp; levers'!$C$8="On",(('Net zero supporting data'!AB136*EF!$H8)+('Net zero supporting data'!AB126*'Net zero supporting data'!AB146))*kgtoGg,"ERROR"))</f>
        <v>318.43197861417656</v>
      </c>
      <c r="AL466" s="93">
        <f>IF('Net zero activities &amp; levers'!$C$8="Off",('Activity data'!BE9*EF!$H8)*kgtoGg,IF('Net zero activities &amp; levers'!$C$8="On",(('Net zero supporting data'!AC136*EF!$H8)+('Net zero supporting data'!AC126*'Net zero supporting data'!AC146))*kgtoGg,"ERROR"))</f>
        <v>319.83176187426193</v>
      </c>
      <c r="AM466" s="93">
        <f>IF('Net zero activities &amp; levers'!$C$8="Off",('Activity data'!BF9*EF!$H8)*kgtoGg,IF('Net zero activities &amp; levers'!$C$8="On",(('Net zero supporting data'!AD136*EF!$H8)+('Net zero supporting data'!AD126*'Net zero supporting data'!AD146))*kgtoGg,"ERROR"))</f>
        <v>320.80540078040053</v>
      </c>
      <c r="AN466" s="93">
        <f>IF('Net zero activities &amp; levers'!$C$8="Off",('Activity data'!BG9*EF!$H8)*kgtoGg,IF('Net zero activities &amp; levers'!$C$8="On",(('Net zero supporting data'!AE136*EF!$H8)+('Net zero supporting data'!AE126*'Net zero supporting data'!AE146))*kgtoGg,"ERROR"))</f>
        <v>323.83218680694904</v>
      </c>
      <c r="AO466" s="93">
        <f>IF('Net zero activities &amp; levers'!$C$8="Off",('Activity data'!BH9*EF!$H8)*kgtoGg,IF('Net zero activities &amp; levers'!$C$8="On",(('Net zero supporting data'!AF136*EF!$H8)+('Net zero supporting data'!AF126*'Net zero supporting data'!AF146))*kgtoGg,"ERROR"))</f>
        <v>326.13292736155017</v>
      </c>
      <c r="AP466" s="93">
        <f>IF('Net zero activities &amp; levers'!$C$8="Off",('Activity data'!BI9*EF!$H8)*kgtoGg,IF('Net zero activities &amp; levers'!$C$8="On",(('Net zero supporting data'!AG136*EF!$H8)+('Net zero supporting data'!AG126*'Net zero supporting data'!AG146))*kgtoGg,"ERROR"))</f>
        <v>328.46270993009568</v>
      </c>
      <c r="AQ466" s="93">
        <f>IF('Net zero activities &amp; levers'!$C$8="Off",('Activity data'!BJ9*EF!$H8)*kgtoGg,IF('Net zero activities &amp; levers'!$C$8="On",(('Net zero supporting data'!AH136*EF!$H8)+('Net zero supporting data'!AH126*'Net zero supporting data'!AH146))*kgtoGg,"ERROR"))</f>
        <v>330.84818617197112</v>
      </c>
      <c r="AR466" s="93">
        <f>IF('Net zero activities &amp; levers'!$C$8="Off",('Activity data'!BK9*EF!$H8)*kgtoGg,IF('Net zero activities &amp; levers'!$C$8="On",(('Net zero supporting data'!AI136*EF!$H8)+('Net zero supporting data'!AI126*'Net zero supporting data'!AI146))*kgtoGg,"ERROR"))</f>
        <v>333.33745998120867</v>
      </c>
      <c r="AS466" s="93">
        <f>IF('Net zero activities &amp; levers'!$C$8="Off",('Activity data'!BL9*EF!$H8)*kgtoGg,IF('Net zero activities &amp; levers'!$C$8="On",(('Net zero supporting data'!AJ136*EF!$H8)+('Net zero supporting data'!AJ126*'Net zero supporting data'!AJ146))*kgtoGg,"ERROR"))</f>
        <v>335.89328297673717</v>
      </c>
      <c r="AT466" s="93">
        <f>IF('Net zero activities &amp; levers'!$C$8="Off",('Activity data'!BM9*EF!$H8)*kgtoGg,IF('Net zero activities &amp; levers'!$C$8="On",(('Net zero supporting data'!AK136*EF!$H8)+('Net zero supporting data'!AK126*'Net zero supporting data'!AK146))*kgtoGg,"ERROR"))</f>
        <v>330.85162440679704</v>
      </c>
      <c r="AU466" s="93">
        <f>IF('Net zero activities &amp; levers'!$C$8="Off",('Activity data'!BN9*EF!$H8)*kgtoGg,IF('Net zero activities &amp; levers'!$C$8="On",(('Net zero supporting data'!AL136*EF!$H8)+('Net zero supporting data'!AL126*'Net zero supporting data'!AL146))*kgtoGg,"ERROR"))</f>
        <v>325.14027314970184</v>
      </c>
      <c r="AV466" s="93">
        <f>IF('Net zero activities &amp; levers'!$C$8="Off",('Activity data'!BO9*EF!$H8)*kgtoGg,IF('Net zero activities &amp; levers'!$C$8="On",(('Net zero supporting data'!AM136*EF!$H8)+('Net zero supporting data'!AM126*'Net zero supporting data'!AM146))*kgtoGg,"ERROR"))</f>
        <v>318.5189850369415</v>
      </c>
      <c r="AW466" s="93">
        <f>IF('Net zero activities &amp; levers'!$C$8="Off",('Activity data'!BP9*EF!$H8)*kgtoGg,IF('Net zero activities &amp; levers'!$C$8="On",(('Net zero supporting data'!AN136*EF!$H8)+('Net zero supporting data'!AN126*'Net zero supporting data'!AN146))*kgtoGg,"ERROR"))</f>
        <v>311.6901905696734</v>
      </c>
      <c r="AY466" s="79"/>
    </row>
    <row r="467" spans="1:51" x14ac:dyDescent="0.3">
      <c r="A467" s="95" t="str">
        <f t="shared" si="0"/>
        <v>PQ Cattle</v>
      </c>
      <c r="B467" s="95" t="s">
        <v>968</v>
      </c>
      <c r="C467" s="95" t="s">
        <v>1108</v>
      </c>
      <c r="D467" t="s">
        <v>15</v>
      </c>
      <c r="E467" t="s">
        <v>16</v>
      </c>
      <c r="F467" t="s">
        <v>67</v>
      </c>
      <c r="G467" t="s">
        <v>135</v>
      </c>
      <c r="H467" t="s">
        <v>1020</v>
      </c>
      <c r="I467" t="s">
        <v>121</v>
      </c>
      <c r="J467" t="s">
        <v>286</v>
      </c>
      <c r="K467" s="93">
        <f>IF('Net zero activities &amp; levers'!$C$8="Off",('Activity data'!AD10*EF!$H9)*kgtoGg,IF('Net zero activities &amp; levers'!$C$8="On",(('Net zero supporting data'!B137*EF!$H9)+('Net zero supporting data'!B127*'Net zero supporting data'!B147))*kgtoGg,"ERROR"))</f>
        <v>31.891995988947272</v>
      </c>
      <c r="L467" s="93">
        <f>IF('Net zero activities &amp; levers'!$C$8="Off",('Activity data'!AE10*EF!$H9)*kgtoGg,IF('Net zero activities &amp; levers'!$C$8="On",(('Net zero supporting data'!C137*EF!$H9)+('Net zero supporting data'!C127*'Net zero supporting data'!C147))*kgtoGg,"ERROR"))</f>
        <v>32.967337371253535</v>
      </c>
      <c r="M467" s="93">
        <f>IF('Net zero activities &amp; levers'!$C$8="Off",('Activity data'!AF10*EF!$H9)*kgtoGg,IF('Net zero activities &amp; levers'!$C$8="On",(('Net zero supporting data'!D137*EF!$H9)+('Net zero supporting data'!D127*'Net zero supporting data'!D147))*kgtoGg,"ERROR"))</f>
        <v>34.243655078433662</v>
      </c>
      <c r="N467" s="93">
        <f>IF('Net zero activities &amp; levers'!$C$8="Off",('Activity data'!AG10*EF!$H9)*kgtoGg,IF('Net zero activities &amp; levers'!$C$8="On",(('Net zero supporting data'!E137*EF!$H9)+('Net zero supporting data'!E127*'Net zero supporting data'!E147))*kgtoGg,"ERROR"))</f>
        <v>35.19550479761466</v>
      </c>
      <c r="O467" s="93">
        <f>IF('Net zero activities &amp; levers'!$C$8="Off",('Activity data'!AH10*EF!$H9)*kgtoGg,IF('Net zero activities &amp; levers'!$C$8="On",(('Net zero supporting data'!F137*EF!$H9)+('Net zero supporting data'!F127*'Net zero supporting data'!F147))*kgtoGg,"ERROR"))</f>
        <v>35.929559405213332</v>
      </c>
      <c r="P467" s="93">
        <f>IF('Net zero activities &amp; levers'!$C$8="Off",('Activity data'!AI10*EF!$H9)*kgtoGg,IF('Net zero activities &amp; levers'!$C$8="On",(('Net zero supporting data'!G137*EF!$H9)+('Net zero supporting data'!G127*'Net zero supporting data'!G147))*kgtoGg,"ERROR"))</f>
        <v>36.435327957872907</v>
      </c>
      <c r="Q467" s="93">
        <f>IF('Net zero activities &amp; levers'!$C$8="Off",('Activity data'!AJ10*EF!$H9)*kgtoGg,IF('Net zero activities &amp; levers'!$C$8="On",(('Net zero supporting data'!H137*EF!$H9)+('Net zero supporting data'!H127*'Net zero supporting data'!H147))*kgtoGg,"ERROR"))</f>
        <v>37.125912791560339</v>
      </c>
      <c r="R467" s="93">
        <f>IF('Net zero activities &amp; levers'!$C$8="Off",('Activity data'!AK10*EF!$H9)*kgtoGg,IF('Net zero activities &amp; levers'!$C$8="On",(('Net zero supporting data'!I137*EF!$H9)+('Net zero supporting data'!I127*'Net zero supporting data'!I147))*kgtoGg,"ERROR"))</f>
        <v>37.849847328761314</v>
      </c>
      <c r="S467" s="93">
        <f>IF('Net zero activities &amp; levers'!$C$8="Off",('Activity data'!AL10*EF!$H9)*kgtoGg,IF('Net zero activities &amp; levers'!$C$8="On",(('Net zero supporting data'!J137*EF!$H9)+('Net zero supporting data'!J127*'Net zero supporting data'!J147))*kgtoGg,"ERROR"))</f>
        <v>34.642542509776739</v>
      </c>
      <c r="T467" s="93">
        <f>IF('Net zero activities &amp; levers'!$C$8="Off",('Activity data'!AM10*EF!$H9)*kgtoGg,IF('Net zero activities &amp; levers'!$C$8="On",(('Net zero supporting data'!K137*EF!$H9)+('Net zero supporting data'!K127*'Net zero supporting data'!K147))*kgtoGg,"ERROR"))</f>
        <v>36.053430902114805</v>
      </c>
      <c r="U467" s="93">
        <f>IF('Net zero activities &amp; levers'!$C$8="Off",('Activity data'!AN10*EF!$H9)*kgtoGg,IF('Net zero activities &amp; levers'!$C$8="On",(('Net zero supporting data'!L137*EF!$H9)+('Net zero supporting data'!L127*'Net zero supporting data'!L147))*kgtoGg,"ERROR"))</f>
        <v>38.010696022356719</v>
      </c>
      <c r="V467" s="93">
        <f>IF('Net zero activities &amp; levers'!$C$8="Off",('Activity data'!AO10*EF!$H9)*kgtoGg,IF('Net zero activities &amp; levers'!$C$8="On",(('Net zero supporting data'!M137*EF!$H9)+('Net zero supporting data'!M127*'Net zero supporting data'!M147))*kgtoGg,"ERROR"))</f>
        <v>39.127373882680487</v>
      </c>
      <c r="W467" s="93">
        <f>IF('Net zero activities &amp; levers'!$C$8="Off",('Activity data'!AP10*EF!$H9)*kgtoGg,IF('Net zero activities &amp; levers'!$C$8="On",(('Net zero supporting data'!N137*EF!$H9)+('Net zero supporting data'!N127*'Net zero supporting data'!N147))*kgtoGg,"ERROR"))</f>
        <v>40.366459949035139</v>
      </c>
      <c r="X467" s="93">
        <f>IF('Net zero activities &amp; levers'!$C$8="Off",('Activity data'!AQ10*EF!$H9)*kgtoGg,IF('Net zero activities &amp; levers'!$C$8="On",(('Net zero supporting data'!O137*EF!$H9)+('Net zero supporting data'!O127*'Net zero supporting data'!O147))*kgtoGg,"ERROR"))</f>
        <v>41.765821576969046</v>
      </c>
      <c r="Y467" s="93">
        <f>IF('Net zero activities &amp; levers'!$C$8="Off",('Activity data'!AR10*EF!$H9)*kgtoGg,IF('Net zero activities &amp; levers'!$C$8="On",(('Net zero supporting data'!P137*EF!$H9)+('Net zero supporting data'!P127*'Net zero supporting data'!P147))*kgtoGg,"ERROR"))</f>
        <v>43.269588309323517</v>
      </c>
      <c r="Z467" s="93">
        <f>IF('Net zero activities &amp; levers'!$C$8="Off",('Activity data'!AS10*EF!$H9)*kgtoGg,IF('Net zero activities &amp; levers'!$C$8="On",(('Net zero supporting data'!Q137*EF!$H9)+('Net zero supporting data'!Q127*'Net zero supporting data'!Q147))*kgtoGg,"ERROR"))</f>
        <v>44.908778901884347</v>
      </c>
      <c r="AA467" s="93">
        <f>IF('Net zero activities &amp; levers'!$C$8="Off",('Activity data'!AT10*EF!$H9)*kgtoGg,IF('Net zero activities &amp; levers'!$C$8="On",(('Net zero supporting data'!R137*EF!$H9)+('Net zero supporting data'!R127*'Net zero supporting data'!R147))*kgtoGg,"ERROR"))</f>
        <v>46.594068388350003</v>
      </c>
      <c r="AB467" s="93">
        <f>IF('Net zero activities &amp; levers'!$C$8="Off",('Activity data'!AU10*EF!$H9)*kgtoGg,IF('Net zero activities &amp; levers'!$C$8="On",(('Net zero supporting data'!S137*EF!$H9)+('Net zero supporting data'!S127*'Net zero supporting data'!S147))*kgtoGg,"ERROR"))</f>
        <v>48.410923677012072</v>
      </c>
      <c r="AC467" s="93">
        <f>IF('Net zero activities &amp; levers'!$C$8="Off",('Activity data'!AV10*EF!$H9)*kgtoGg,IF('Net zero activities &amp; levers'!$C$8="On",(('Net zero supporting data'!T137*EF!$H9)+('Net zero supporting data'!T127*'Net zero supporting data'!T147))*kgtoGg,"ERROR"))</f>
        <v>50.269303700477998</v>
      </c>
      <c r="AD467" s="93">
        <f>IF('Net zero activities &amp; levers'!$C$8="Off",('Activity data'!AW10*EF!$H9)*kgtoGg,IF('Net zero activities &amp; levers'!$C$8="On",(('Net zero supporting data'!U137*EF!$H9)+('Net zero supporting data'!U127*'Net zero supporting data'!U147))*kgtoGg,"ERROR"))</f>
        <v>52.471951507677524</v>
      </c>
      <c r="AE467" s="93">
        <f>IF('Net zero activities &amp; levers'!$C$8="Off",('Activity data'!AX10*EF!$H9)*kgtoGg,IF('Net zero activities &amp; levers'!$C$8="On",(('Net zero supporting data'!V137*EF!$H9)+('Net zero supporting data'!V127*'Net zero supporting data'!V147))*kgtoGg,"ERROR"))</f>
        <v>54.669760459111487</v>
      </c>
      <c r="AF467" s="93">
        <f>IF('Net zero activities &amp; levers'!$C$8="Off",('Activity data'!AY10*EF!$H9)*kgtoGg,IF('Net zero activities &amp; levers'!$C$8="On",(('Net zero supporting data'!W137*EF!$H9)+('Net zero supporting data'!W127*'Net zero supporting data'!W147))*kgtoGg,"ERROR"))</f>
        <v>56.986868883720433</v>
      </c>
      <c r="AG467" s="93">
        <f>IF('Net zero activities &amp; levers'!$C$8="Off",('Activity data'!AZ10*EF!$H9)*kgtoGg,IF('Net zero activities &amp; levers'!$C$8="On",(('Net zero supporting data'!X137*EF!$H9)+('Net zero supporting data'!X127*'Net zero supporting data'!X147))*kgtoGg,"ERROR"))</f>
        <v>59.577013910557568</v>
      </c>
      <c r="AH467" s="93">
        <f>IF('Net zero activities &amp; levers'!$C$8="Off",('Activity data'!BA10*EF!$H9)*kgtoGg,IF('Net zero activities &amp; levers'!$C$8="On",(('Net zero supporting data'!Y137*EF!$H9)+('Net zero supporting data'!Y127*'Net zero supporting data'!Y147))*kgtoGg,"ERROR"))</f>
        <v>62.085208612074666</v>
      </c>
      <c r="AI467" s="93">
        <f>IF('Net zero activities &amp; levers'!$C$8="Off",('Activity data'!BB10*EF!$H9)*kgtoGg,IF('Net zero activities &amp; levers'!$C$8="On",(('Net zero supporting data'!Z137*EF!$H9)+('Net zero supporting data'!Z127*'Net zero supporting data'!Z147))*kgtoGg,"ERROR"))</f>
        <v>64.738520962902328</v>
      </c>
      <c r="AJ467" s="93">
        <f>IF('Net zero activities &amp; levers'!$C$8="Off",('Activity data'!BC10*EF!$H9)*kgtoGg,IF('Net zero activities &amp; levers'!$C$8="On",(('Net zero supporting data'!AA137*EF!$H9)+('Net zero supporting data'!AA127*'Net zero supporting data'!AA147))*kgtoGg,"ERROR"))</f>
        <v>67.569668411383148</v>
      </c>
      <c r="AK467" s="93">
        <f>IF('Net zero activities &amp; levers'!$C$8="Off",('Activity data'!BD10*EF!$H9)*kgtoGg,IF('Net zero activities &amp; levers'!$C$8="On",(('Net zero supporting data'!AB137*EF!$H9)+('Net zero supporting data'!AB127*'Net zero supporting data'!AB147))*kgtoGg,"ERROR"))</f>
        <v>70.282185941463524</v>
      </c>
      <c r="AL467" s="93">
        <f>IF('Net zero activities &amp; levers'!$C$8="Off",('Activity data'!BE10*EF!$H9)*kgtoGg,IF('Net zero activities &amp; levers'!$C$8="On",(('Net zero supporting data'!AC137*EF!$H9)+('Net zero supporting data'!AC127*'Net zero supporting data'!AC147))*kgtoGg,"ERROR"))</f>
        <v>73.009611809365794</v>
      </c>
      <c r="AM467" s="93">
        <f>IF('Net zero activities &amp; levers'!$C$8="Off",('Activity data'!BF10*EF!$H9)*kgtoGg,IF('Net zero activities &amp; levers'!$C$8="On",(('Net zero supporting data'!AD137*EF!$H9)+('Net zero supporting data'!AD127*'Net zero supporting data'!AD147))*kgtoGg,"ERROR"))</f>
        <v>75.757864250149765</v>
      </c>
      <c r="AN467" s="93">
        <f>IF('Net zero activities &amp; levers'!$C$8="Off",('Activity data'!BG10*EF!$H9)*kgtoGg,IF('Net zero activities &amp; levers'!$C$8="On",(('Net zero supporting data'!AE137*EF!$H9)+('Net zero supporting data'!AE127*'Net zero supporting data'!AE147))*kgtoGg,"ERROR"))</f>
        <v>78.63033008147255</v>
      </c>
      <c r="AO467" s="93">
        <f>IF('Net zero activities &amp; levers'!$C$8="Off",('Activity data'!BH10*EF!$H9)*kgtoGg,IF('Net zero activities &amp; levers'!$C$8="On",(('Net zero supporting data'!AF137*EF!$H9)+('Net zero supporting data'!AF127*'Net zero supporting data'!AF147))*kgtoGg,"ERROR"))</f>
        <v>81.431036976471376</v>
      </c>
      <c r="AP467" s="93">
        <f>IF('Net zero activities &amp; levers'!$C$8="Off",('Activity data'!BI10*EF!$H9)*kgtoGg,IF('Net zero activities &amp; levers'!$C$8="On",(('Net zero supporting data'!AG137*EF!$H9)+('Net zero supporting data'!AG127*'Net zero supporting data'!AG147))*kgtoGg,"ERROR"))</f>
        <v>84.343805269420216</v>
      </c>
      <c r="AQ467" s="93">
        <f>IF('Net zero activities &amp; levers'!$C$8="Off",('Activity data'!BJ10*EF!$H9)*kgtoGg,IF('Net zero activities &amp; levers'!$C$8="On",(('Net zero supporting data'!AH137*EF!$H9)+('Net zero supporting data'!AH127*'Net zero supporting data'!AH147))*kgtoGg,"ERROR"))</f>
        <v>87.381529968917789</v>
      </c>
      <c r="AR467" s="93">
        <f>IF('Net zero activities &amp; levers'!$C$8="Off",('Activity data'!BK10*EF!$H9)*kgtoGg,IF('Net zero activities &amp; levers'!$C$8="On",(('Net zero supporting data'!AI137*EF!$H9)+('Net zero supporting data'!AI127*'Net zero supporting data'!AI147))*kgtoGg,"ERROR"))</f>
        <v>90.56411958911923</v>
      </c>
      <c r="AS467" s="93">
        <f>IF('Net zero activities &amp; levers'!$C$8="Off",('Activity data'!BL10*EF!$H9)*kgtoGg,IF('Net zero activities &amp; levers'!$C$8="On",(('Net zero supporting data'!AJ137*EF!$H9)+('Net zero supporting data'!AJ127*'Net zero supporting data'!AJ147))*kgtoGg,"ERROR"))</f>
        <v>93.889582462340528</v>
      </c>
      <c r="AT467" s="93">
        <f>IF('Net zero activities &amp; levers'!$C$8="Off",('Activity data'!BM10*EF!$H9)*kgtoGg,IF('Net zero activities &amp; levers'!$C$8="On",(('Net zero supporting data'!AK137*EF!$H9)+('Net zero supporting data'!AK127*'Net zero supporting data'!AK147))*kgtoGg,"ERROR"))</f>
        <v>95.161623451693828</v>
      </c>
      <c r="AU467" s="93">
        <f>IF('Net zero activities &amp; levers'!$C$8="Off",('Activity data'!BN10*EF!$H9)*kgtoGg,IF('Net zero activities &amp; levers'!$C$8="On",(('Net zero supporting data'!AL137*EF!$H9)+('Net zero supporting data'!AL127*'Net zero supporting data'!AL147))*kgtoGg,"ERROR"))</f>
        <v>96.246716097882043</v>
      </c>
      <c r="AV467" s="93">
        <f>IF('Net zero activities &amp; levers'!$C$8="Off",('Activity data'!BO10*EF!$H9)*kgtoGg,IF('Net zero activities &amp; levers'!$C$8="On",(('Net zero supporting data'!AM137*EF!$H9)+('Net zero supporting data'!AM127*'Net zero supporting data'!AM147))*kgtoGg,"ERROR"))</f>
        <v>97.054781525387583</v>
      </c>
      <c r="AW467" s="93">
        <f>IF('Net zero activities &amp; levers'!$C$8="Off",('Activity data'!BP10*EF!$H9)*kgtoGg,IF('Net zero activities &amp; levers'!$C$8="On",(('Net zero supporting data'!AN137*EF!$H9)+('Net zero supporting data'!AN127*'Net zero supporting data'!AN147))*kgtoGg,"ERROR"))</f>
        <v>97.781567637634097</v>
      </c>
      <c r="AY467" s="79"/>
    </row>
    <row r="468" spans="1:51" x14ac:dyDescent="0.3">
      <c r="A468" s="95" t="str">
        <f t="shared" si="0"/>
        <v>PQ Sheep</v>
      </c>
      <c r="B468" s="95" t="s">
        <v>968</v>
      </c>
      <c r="C468" s="95" t="s">
        <v>152</v>
      </c>
      <c r="D468" t="s">
        <v>15</v>
      </c>
      <c r="E468" t="s">
        <v>16</v>
      </c>
      <c r="F468" t="s">
        <v>18</v>
      </c>
      <c r="G468" t="s">
        <v>122</v>
      </c>
      <c r="H468" t="s">
        <v>1020</v>
      </c>
      <c r="I468" t="s">
        <v>121</v>
      </c>
      <c r="J468" t="s">
        <v>286</v>
      </c>
      <c r="K468" s="93">
        <f>IF('Net zero activities &amp; levers'!$C$8="Off",('Activity data'!AD11*EF!$H10)*kgtoGg,IF('Net zero activities &amp; levers'!$C$8="On",(('Net zero supporting data'!B138*EF!$H10)+('Net zero supporting data'!B128*'Net zero supporting data'!B148))*kgtoGg,"ERROR"))</f>
        <v>132.59034293279757</v>
      </c>
      <c r="L468" s="93">
        <f>IF('Net zero activities &amp; levers'!$C$8="Off",('Activity data'!AE11*EF!$H10)*kgtoGg,IF('Net zero activities &amp; levers'!$C$8="On",(('Net zero supporting data'!C138*EF!$H10)+('Net zero supporting data'!C128*'Net zero supporting data'!C148))*kgtoGg,"ERROR"))</f>
        <v>132.66203410931632</v>
      </c>
      <c r="M468" s="93">
        <f>IF('Net zero activities &amp; levers'!$C$8="Off",('Activity data'!AF11*EF!$H10)*kgtoGg,IF('Net zero activities &amp; levers'!$C$8="On",(('Net zero supporting data'!D138*EF!$H10)+('Net zero supporting data'!D128*'Net zero supporting data'!D148))*kgtoGg,"ERROR"))</f>
        <v>132.83344502276296</v>
      </c>
      <c r="N468" s="93">
        <f>IF('Net zero activities &amp; levers'!$C$8="Off",('Activity data'!AG11*EF!$H10)*kgtoGg,IF('Net zero activities &amp; levers'!$C$8="On",(('Net zero supporting data'!E138*EF!$H10)+('Net zero supporting data'!E128*'Net zero supporting data'!E148))*kgtoGg,"ERROR"))</f>
        <v>133.08619178866664</v>
      </c>
      <c r="O468" s="93">
        <f>IF('Net zero activities &amp; levers'!$C$8="Off",('Activity data'!AH11*EF!$H10)*kgtoGg,IF('Net zero activities &amp; levers'!$C$8="On",(('Net zero supporting data'!F138*EF!$H10)+('Net zero supporting data'!F128*'Net zero supporting data'!F148))*kgtoGg,"ERROR"))</f>
        <v>133.41866827856941</v>
      </c>
      <c r="P468" s="93">
        <f>IF('Net zero activities &amp; levers'!$C$8="Off",('Activity data'!AI11*EF!$H10)*kgtoGg,IF('Net zero activities &amp; levers'!$C$8="On",(('Net zero supporting data'!G138*EF!$H10)+('Net zero supporting data'!G128*'Net zero supporting data'!G148))*kgtoGg,"ERROR"))</f>
        <v>133.8273636783253</v>
      </c>
      <c r="Q468" s="93">
        <f>IF('Net zero activities &amp; levers'!$C$8="Off",('Activity data'!AJ11*EF!$H10)*kgtoGg,IF('Net zero activities &amp; levers'!$C$8="On",(('Net zero supporting data'!H138*EF!$H10)+('Net zero supporting data'!H128*'Net zero supporting data'!H148))*kgtoGg,"ERROR"))</f>
        <v>134.2863843975903</v>
      </c>
      <c r="R468" s="93">
        <f>IF('Net zero activities &amp; levers'!$C$8="Off",('Activity data'!AK11*EF!$H10)*kgtoGg,IF('Net zero activities &amp; levers'!$C$8="On",(('Net zero supporting data'!I138*EF!$H10)+('Net zero supporting data'!I128*'Net zero supporting data'!I148))*kgtoGg,"ERROR"))</f>
        <v>134.79283247693314</v>
      </c>
      <c r="S468" s="93">
        <f>IF('Net zero activities &amp; levers'!$C$8="Off",('Activity data'!AL11*EF!$H10)*kgtoGg,IF('Net zero activities &amp; levers'!$C$8="On",(('Net zero supporting data'!J138*EF!$H10)+('Net zero supporting data'!J128*'Net zero supporting data'!J148))*kgtoGg,"ERROR"))</f>
        <v>135.25595136269689</v>
      </c>
      <c r="T468" s="93">
        <f>IF('Net zero activities &amp; levers'!$C$8="Off",('Activity data'!AM11*EF!$H10)*kgtoGg,IF('Net zero activities &amp; levers'!$C$8="On",(('Net zero supporting data'!K138*EF!$H10)+('Net zero supporting data'!K128*'Net zero supporting data'!K148))*kgtoGg,"ERROR"))</f>
        <v>135.45945701303151</v>
      </c>
      <c r="U468" s="93">
        <f>IF('Net zero activities &amp; levers'!$C$8="Off",('Activity data'!AN11*EF!$H10)*kgtoGg,IF('Net zero activities &amp; levers'!$C$8="On",(('Net zero supporting data'!L138*EF!$H10)+('Net zero supporting data'!L128*'Net zero supporting data'!L148))*kgtoGg,"ERROR"))</f>
        <v>135.70798113166347</v>
      </c>
      <c r="V468" s="93">
        <f>IF('Net zero activities &amp; levers'!$C$8="Off",('Activity data'!AO11*EF!$H10)*kgtoGg,IF('Net zero activities &amp; levers'!$C$8="On",(('Net zero supporting data'!M138*EF!$H10)+('Net zero supporting data'!M128*'Net zero supporting data'!M148))*kgtoGg,"ERROR"))</f>
        <v>135.96919937925796</v>
      </c>
      <c r="W468" s="93">
        <f>IF('Net zero activities &amp; levers'!$C$8="Off",('Activity data'!AP11*EF!$H10)*kgtoGg,IF('Net zero activities &amp; levers'!$C$8="On",(('Net zero supporting data'!N138*EF!$H10)+('Net zero supporting data'!N128*'Net zero supporting data'!N148))*kgtoGg,"ERROR"))</f>
        <v>136.26247262957938</v>
      </c>
      <c r="X468" s="93">
        <f>IF('Net zero activities &amp; levers'!$C$8="Off",('Activity data'!AQ11*EF!$H10)*kgtoGg,IF('Net zero activities &amp; levers'!$C$8="On",(('Net zero supporting data'!O138*EF!$H10)+('Net zero supporting data'!O128*'Net zero supporting data'!O148))*kgtoGg,"ERROR"))</f>
        <v>136.58698029827343</v>
      </c>
      <c r="Y468" s="93">
        <f>IF('Net zero activities &amp; levers'!$C$8="Off",('Activity data'!AR11*EF!$H10)*kgtoGg,IF('Net zero activities &amp; levers'!$C$8="On",(('Net zero supporting data'!P138*EF!$H10)+('Net zero supporting data'!P128*'Net zero supporting data'!P148))*kgtoGg,"ERROR"))</f>
        <v>136.78964350738272</v>
      </c>
      <c r="Z468" s="93">
        <f>IF('Net zero activities &amp; levers'!$C$8="Off",('Activity data'!AS11*EF!$H10)*kgtoGg,IF('Net zero activities &amp; levers'!$C$8="On",(('Net zero supporting data'!Q138*EF!$H10)+('Net zero supporting data'!Q128*'Net zero supporting data'!Q148))*kgtoGg,"ERROR"))</f>
        <v>137.0186015592445</v>
      </c>
      <c r="AA468" s="93">
        <f>IF('Net zero activities &amp; levers'!$C$8="Off",('Activity data'!AT11*EF!$H10)*kgtoGg,IF('Net zero activities &amp; levers'!$C$8="On",(('Net zero supporting data'!R138*EF!$H10)+('Net zero supporting data'!R128*'Net zero supporting data'!R148))*kgtoGg,"ERROR"))</f>
        <v>137.27076072273411</v>
      </c>
      <c r="AB468" s="93">
        <f>IF('Net zero activities &amp; levers'!$C$8="Off",('Activity data'!AU11*EF!$H10)*kgtoGg,IF('Net zero activities &amp; levers'!$C$8="On",(('Net zero supporting data'!S138*EF!$H10)+('Net zero supporting data'!S128*'Net zero supporting data'!S148))*kgtoGg,"ERROR"))</f>
        <v>137.54681434679034</v>
      </c>
      <c r="AC468" s="93">
        <f>IF('Net zero activities &amp; levers'!$C$8="Off",('Activity data'!AV11*EF!$H10)*kgtoGg,IF('Net zero activities &amp; levers'!$C$8="On",(('Net zero supporting data'!T138*EF!$H10)+('Net zero supporting data'!T128*'Net zero supporting data'!T148))*kgtoGg,"ERROR"))</f>
        <v>137.84391314305282</v>
      </c>
      <c r="AD468" s="93">
        <f>IF('Net zero activities &amp; levers'!$C$8="Off",('Activity data'!AW11*EF!$H10)*kgtoGg,IF('Net zero activities &amp; levers'!$C$8="On",(('Net zero supporting data'!U138*EF!$H10)+('Net zero supporting data'!U128*'Net zero supporting data'!U148))*kgtoGg,"ERROR"))</f>
        <v>138.04321155337277</v>
      </c>
      <c r="AE468" s="93">
        <f>IF('Net zero activities &amp; levers'!$C$8="Off",('Activity data'!AX11*EF!$H10)*kgtoGg,IF('Net zero activities &amp; levers'!$C$8="On",(('Net zero supporting data'!V138*EF!$H10)+('Net zero supporting data'!V128*'Net zero supporting data'!V148))*kgtoGg,"ERROR"))</f>
        <v>138.25957262105894</v>
      </c>
      <c r="AF468" s="93">
        <f>IF('Net zero activities &amp; levers'!$C$8="Off",('Activity data'!AY11*EF!$H10)*kgtoGg,IF('Net zero activities &amp; levers'!$C$8="On",(('Net zero supporting data'!W138*EF!$H10)+('Net zero supporting data'!W128*'Net zero supporting data'!W148))*kgtoGg,"ERROR"))</f>
        <v>138.49473553474263</v>
      </c>
      <c r="AG468" s="93">
        <f>IF('Net zero activities &amp; levers'!$C$8="Off",('Activity data'!AZ11*EF!$H10)*kgtoGg,IF('Net zero activities &amp; levers'!$C$8="On",(('Net zero supporting data'!X138*EF!$H10)+('Net zero supporting data'!X128*'Net zero supporting data'!X148))*kgtoGg,"ERROR"))</f>
        <v>138.75099586378536</v>
      </c>
      <c r="AH468" s="93">
        <f>IF('Net zero activities &amp; levers'!$C$8="Off",('Activity data'!BA11*EF!$H10)*kgtoGg,IF('Net zero activities &amp; levers'!$C$8="On",(('Net zero supporting data'!Y138*EF!$H10)+('Net zero supporting data'!Y128*'Net zero supporting data'!Y148))*kgtoGg,"ERROR"))</f>
        <v>139.02065863419776</v>
      </c>
      <c r="AI468" s="93">
        <f>IF('Net zero activities &amp; levers'!$C$8="Off",('Activity data'!BB11*EF!$H10)*kgtoGg,IF('Net zero activities &amp; levers'!$C$8="On",(('Net zero supporting data'!Z138*EF!$H10)+('Net zero supporting data'!Z128*'Net zero supporting data'!Z148))*kgtoGg,"ERROR"))</f>
        <v>139.193026219692</v>
      </c>
      <c r="AJ468" s="93">
        <f>IF('Net zero activities &amp; levers'!$C$8="Off",('Activity data'!BC11*EF!$H10)*kgtoGg,IF('Net zero activities &amp; levers'!$C$8="On",(('Net zero supporting data'!AA138*EF!$H10)+('Net zero supporting data'!AA128*'Net zero supporting data'!AA148))*kgtoGg,"ERROR"))</f>
        <v>139.38182622697491</v>
      </c>
      <c r="AK468" s="93">
        <f>IF('Net zero activities &amp; levers'!$C$8="Off",('Activity data'!BD11*EF!$H10)*kgtoGg,IF('Net zero activities &amp; levers'!$C$8="On",(('Net zero supporting data'!AB138*EF!$H10)+('Net zero supporting data'!AB128*'Net zero supporting data'!AB148))*kgtoGg,"ERROR"))</f>
        <v>139.58083163749211</v>
      </c>
      <c r="AL468" s="93">
        <f>IF('Net zero activities &amp; levers'!$C$8="Off",('Activity data'!BE11*EF!$H10)*kgtoGg,IF('Net zero activities &amp; levers'!$C$8="On",(('Net zero supporting data'!AC138*EF!$H10)+('Net zero supporting data'!AC128*'Net zero supporting data'!AC148))*kgtoGg,"ERROR"))</f>
        <v>139.79216106672223</v>
      </c>
      <c r="AM468" s="93">
        <f>IF('Net zero activities &amp; levers'!$C$8="Off",('Activity data'!BF11*EF!$H10)*kgtoGg,IF('Net zero activities &amp; levers'!$C$8="On",(('Net zero supporting data'!AD138*EF!$H10)+('Net zero supporting data'!AD128*'Net zero supporting data'!AD148))*kgtoGg,"ERROR"))</f>
        <v>140.01549409297075</v>
      </c>
      <c r="AN468" s="93">
        <f>IF('Net zero activities &amp; levers'!$C$8="Off",('Activity data'!BG11*EF!$H10)*kgtoGg,IF('Net zero activities &amp; levers'!$C$8="On",(('Net zero supporting data'!AE138*EF!$H10)+('Net zero supporting data'!AE128*'Net zero supporting data'!AE148))*kgtoGg,"ERROR"))</f>
        <v>140.14745576644822</v>
      </c>
      <c r="AO468" s="93">
        <f>IF('Net zero activities &amp; levers'!$C$8="Off",('Activity data'!BH11*EF!$H10)*kgtoGg,IF('Net zero activities &amp; levers'!$C$8="On",(('Net zero supporting data'!AF138*EF!$H10)+('Net zero supporting data'!AF128*'Net zero supporting data'!AF148))*kgtoGg,"ERROR"))</f>
        <v>140.28832645422361</v>
      </c>
      <c r="AP468" s="93">
        <f>IF('Net zero activities &amp; levers'!$C$8="Off",('Activity data'!BI11*EF!$H10)*kgtoGg,IF('Net zero activities &amp; levers'!$C$8="On",(('Net zero supporting data'!AG138*EF!$H10)+('Net zero supporting data'!AG128*'Net zero supporting data'!AG148))*kgtoGg,"ERROR"))</f>
        <v>140.44113174726405</v>
      </c>
      <c r="AQ468" s="93">
        <f>IF('Net zero activities &amp; levers'!$C$8="Off",('Activity data'!BJ11*EF!$H10)*kgtoGg,IF('Net zero activities &amp; levers'!$C$8="On",(('Net zero supporting data'!AH138*EF!$H10)+('Net zero supporting data'!AH128*'Net zero supporting data'!AH148))*kgtoGg,"ERROR"))</f>
        <v>140.60572391526784</v>
      </c>
      <c r="AR468" s="93">
        <f>IF('Net zero activities &amp; levers'!$C$8="Off",('Activity data'!BK11*EF!$H10)*kgtoGg,IF('Net zero activities &amp; levers'!$C$8="On",(('Net zero supporting data'!AI138*EF!$H10)+('Net zero supporting data'!AI128*'Net zero supporting data'!AI148))*kgtoGg,"ERROR"))</f>
        <v>140.78209954735451</v>
      </c>
      <c r="AS468" s="93">
        <f>IF('Net zero activities &amp; levers'!$C$8="Off",('Activity data'!BL11*EF!$H10)*kgtoGg,IF('Net zero activities &amp; levers'!$C$8="On",(('Net zero supporting data'!AJ138*EF!$H10)+('Net zero supporting data'!AJ128*'Net zero supporting data'!AJ148))*kgtoGg,"ERROR"))</f>
        <v>140.86211694361444</v>
      </c>
      <c r="AT468" s="93">
        <f>IF('Net zero activities &amp; levers'!$C$8="Off",('Activity data'!BM11*EF!$H10)*kgtoGg,IF('Net zero activities &amp; levers'!$C$8="On",(('Net zero supporting data'!AK138*EF!$H10)+('Net zero supporting data'!AK128*'Net zero supporting data'!AK148))*kgtoGg,"ERROR"))</f>
        <v>140.91368286545006</v>
      </c>
      <c r="AU468" s="93">
        <f>IF('Net zero activities &amp; levers'!$C$8="Off",('Activity data'!BN11*EF!$H10)*kgtoGg,IF('Net zero activities &amp; levers'!$C$8="On",(('Net zero supporting data'!AL138*EF!$H10)+('Net zero supporting data'!AL128*'Net zero supporting data'!AL148))*kgtoGg,"ERROR"))</f>
        <v>140.97020886145611</v>
      </c>
      <c r="AV468" s="93">
        <f>IF('Net zero activities &amp; levers'!$C$8="Off",('Activity data'!BO11*EF!$H10)*kgtoGg,IF('Net zero activities &amp; levers'!$C$8="On",(('Net zero supporting data'!AM138*EF!$H10)+('Net zero supporting data'!AM128*'Net zero supporting data'!AM148))*kgtoGg,"ERROR"))</f>
        <v>141.02991546858686</v>
      </c>
      <c r="AW468" s="93">
        <f>IF('Net zero activities &amp; levers'!$C$8="Off",('Activity data'!BP11*EF!$H10)*kgtoGg,IF('Net zero activities &amp; levers'!$C$8="On",(('Net zero supporting data'!AN138*EF!$H10)+('Net zero supporting data'!AN128*'Net zero supporting data'!AN148))*kgtoGg,"ERROR"))</f>
        <v>141.09605506808808</v>
      </c>
      <c r="AY468" s="79"/>
    </row>
    <row r="469" spans="1:51" x14ac:dyDescent="0.3">
      <c r="A469" s="95" t="str">
        <f t="shared" si="0"/>
        <v>PQ Sheep</v>
      </c>
      <c r="B469" s="95" t="s">
        <v>968</v>
      </c>
      <c r="C469" s="95" t="s">
        <v>152</v>
      </c>
      <c r="D469" t="s">
        <v>15</v>
      </c>
      <c r="E469" t="s">
        <v>16</v>
      </c>
      <c r="F469" t="s">
        <v>18</v>
      </c>
      <c r="G469" t="s">
        <v>123</v>
      </c>
      <c r="H469" t="s">
        <v>1020</v>
      </c>
      <c r="I469" t="s">
        <v>121</v>
      </c>
      <c r="J469" t="s">
        <v>286</v>
      </c>
      <c r="K469" s="93">
        <f>IF('Net zero activities &amp; levers'!$C$8="Off",('Activity data'!AD12*EF!$H11)*kgtoGg,IF('Net zero activities &amp; levers'!$C$8="On",(('Net zero supporting data'!B139*EF!$H11)+('Net zero supporting data'!B129*'Net zero supporting data'!B149))*kgtoGg,"ERROR"))</f>
        <v>14.369321450610597</v>
      </c>
      <c r="L469" s="93">
        <f>IF('Net zero activities &amp; levers'!$C$8="Off",('Activity data'!AE12*EF!$H11)*kgtoGg,IF('Net zero activities &amp; levers'!$C$8="On",(('Net zero supporting data'!C139*EF!$H11)+('Net zero supporting data'!C129*'Net zero supporting data'!C149))*kgtoGg,"ERROR"))</f>
        <v>14.377090896995487</v>
      </c>
      <c r="M469" s="93">
        <f>IF('Net zero activities &amp; levers'!$C$8="Off",('Activity data'!AF12*EF!$H11)*kgtoGg,IF('Net zero activities &amp; levers'!$C$8="On",(('Net zero supporting data'!D139*EF!$H11)+('Net zero supporting data'!D129*'Net zero supporting data'!D149))*kgtoGg,"ERROR"))</f>
        <v>14.395667351818489</v>
      </c>
      <c r="N469" s="93">
        <f>IF('Net zero activities &amp; levers'!$C$8="Off",('Activity data'!AG12*EF!$H11)*kgtoGg,IF('Net zero activities &amp; levers'!$C$8="On",(('Net zero supporting data'!E139*EF!$H11)+('Net zero supporting data'!E129*'Net zero supporting data'!E149))*kgtoGg,"ERROR"))</f>
        <v>14.423058483363512</v>
      </c>
      <c r="O469" s="93">
        <f>IF('Net zero activities &amp; levers'!$C$8="Off",('Activity data'!AH12*EF!$H11)*kgtoGg,IF('Net zero activities &amp; levers'!$C$8="On",(('Net zero supporting data'!F139*EF!$H11)+('Net zero supporting data'!F129*'Net zero supporting data'!F149))*kgtoGg,"ERROR"))</f>
        <v>14.459090229360317</v>
      </c>
      <c r="P469" s="93">
        <f>IF('Net zero activities &amp; levers'!$C$8="Off",('Activity data'!AI12*EF!$H11)*kgtoGg,IF('Net zero activities &amp; levers'!$C$8="On",(('Net zero supporting data'!G139*EF!$H11)+('Net zero supporting data'!G129*'Net zero supporting data'!G149))*kgtoGg,"ERROR"))</f>
        <v>14.503382109482045</v>
      </c>
      <c r="Q469" s="93">
        <f>IF('Net zero activities &amp; levers'!$C$8="Off",('Activity data'!AJ12*EF!$H11)*kgtoGg,IF('Net zero activities &amp; levers'!$C$8="On",(('Net zero supporting data'!H139*EF!$H11)+('Net zero supporting data'!H129*'Net zero supporting data'!H149))*kgtoGg,"ERROR"))</f>
        <v>14.553127936528831</v>
      </c>
      <c r="R469" s="93">
        <f>IF('Net zero activities &amp; levers'!$C$8="Off",('Activity data'!AK12*EF!$H11)*kgtoGg,IF('Net zero activities &amp; levers'!$C$8="On",(('Net zero supporting data'!I139*EF!$H11)+('Net zero supporting data'!I129*'Net zero supporting data'!I149))*kgtoGg,"ERROR"))</f>
        <v>14.608013647578019</v>
      </c>
      <c r="S469" s="93">
        <f>IF('Net zero activities &amp; levers'!$C$8="Off",('Activity data'!AL12*EF!$H11)*kgtoGg,IF('Net zero activities &amp; levers'!$C$8="On",(('Net zero supporting data'!J139*EF!$H11)+('Net zero supporting data'!J129*'Net zero supporting data'!J149))*kgtoGg,"ERROR"))</f>
        <v>14.658203608567563</v>
      </c>
      <c r="T469" s="93">
        <f>IF('Net zero activities &amp; levers'!$C$8="Off",('Activity data'!AM12*EF!$H11)*kgtoGg,IF('Net zero activities &amp; levers'!$C$8="On",(('Net zero supporting data'!K139*EF!$H11)+('Net zero supporting data'!K129*'Net zero supporting data'!K149))*kgtoGg,"ERROR"))</f>
        <v>14.680258292506014</v>
      </c>
      <c r="U469" s="93">
        <f>IF('Net zero activities &amp; levers'!$C$8="Off",('Activity data'!AN12*EF!$H11)*kgtoGg,IF('Net zero activities &amp; levers'!$C$8="On",(('Net zero supporting data'!L139*EF!$H11)+('Net zero supporting data'!L129*'Net zero supporting data'!L149))*kgtoGg,"ERROR"))</f>
        <v>14.707191799651872</v>
      </c>
      <c r="V469" s="93">
        <f>IF('Net zero activities &amp; levers'!$C$8="Off",('Activity data'!AO12*EF!$H11)*kgtoGg,IF('Net zero activities &amp; levers'!$C$8="On",(('Net zero supporting data'!M139*EF!$H11)+('Net zero supporting data'!M129*'Net zero supporting data'!M149))*kgtoGg,"ERROR"))</f>
        <v>14.735501017996329</v>
      </c>
      <c r="W469" s="93">
        <f>IF('Net zero activities &amp; levers'!$C$8="Off",('Activity data'!AP12*EF!$H11)*kgtoGg,IF('Net zero activities &amp; levers'!$C$8="On",(('Net zero supporting data'!N139*EF!$H11)+('Net zero supporting data'!N129*'Net zero supporting data'!N149))*kgtoGg,"ERROR"))</f>
        <v>14.767284159313563</v>
      </c>
      <c r="X469" s="93">
        <f>IF('Net zero activities &amp; levers'!$C$8="Off",('Activity data'!AQ12*EF!$H11)*kgtoGg,IF('Net zero activities &amp; levers'!$C$8="On",(('Net zero supporting data'!O139*EF!$H11)+('Net zero supporting data'!O129*'Net zero supporting data'!O149))*kgtoGg,"ERROR"))</f>
        <v>14.802452293745619</v>
      </c>
      <c r="Y469" s="93">
        <f>IF('Net zero activities &amp; levers'!$C$8="Off",('Activity data'!AR12*EF!$H11)*kgtoGg,IF('Net zero activities &amp; levers'!$C$8="On",(('Net zero supporting data'!P139*EF!$H11)+('Net zero supporting data'!P129*'Net zero supporting data'!P149))*kgtoGg,"ERROR"))</f>
        <v>14.824415679113581</v>
      </c>
      <c r="Z469" s="93">
        <f>IF('Net zero activities &amp; levers'!$C$8="Off",('Activity data'!AS12*EF!$H11)*kgtoGg,IF('Net zero activities &amp; levers'!$C$8="On",(('Net zero supporting data'!Q139*EF!$H11)+('Net zero supporting data'!Q129*'Net zero supporting data'!Q149))*kgtoGg,"ERROR"))</f>
        <v>14.849228736936167</v>
      </c>
      <c r="AA469" s="93">
        <f>IF('Net zero activities &amp; levers'!$C$8="Off",('Activity data'!AT12*EF!$H11)*kgtoGg,IF('Net zero activities &amp; levers'!$C$8="On",(('Net zero supporting data'!R139*EF!$H11)+('Net zero supporting data'!R129*'Net zero supporting data'!R149))*kgtoGg,"ERROR"))</f>
        <v>14.876556187765189</v>
      </c>
      <c r="AB469" s="93">
        <f>IF('Net zero activities &amp; levers'!$C$8="Off",('Activity data'!AU12*EF!$H11)*kgtoGg,IF('Net zero activities &amp; levers'!$C$8="On",(('Net zero supporting data'!S139*EF!$H11)+('Net zero supporting data'!S129*'Net zero supporting data'!S149))*kgtoGg,"ERROR"))</f>
        <v>14.906473172471083</v>
      </c>
      <c r="AC469" s="93">
        <f>IF('Net zero activities &amp; levers'!$C$8="Off",('Activity data'!AV12*EF!$H11)*kgtoGg,IF('Net zero activities &amp; levers'!$C$8="On",(('Net zero supporting data'!T139*EF!$H11)+('Net zero supporting data'!T129*'Net zero supporting data'!T149))*kgtoGg,"ERROR"))</f>
        <v>14.938670902800874</v>
      </c>
      <c r="AD469" s="93">
        <f>IF('Net zero activities &amp; levers'!$C$8="Off",('Activity data'!AW12*EF!$H11)*kgtoGg,IF('Net zero activities &amp; levers'!$C$8="On",(('Net zero supporting data'!U139*EF!$H11)+('Net zero supporting data'!U129*'Net zero supporting data'!U149))*kgtoGg,"ERROR"))</f>
        <v>14.960269632083405</v>
      </c>
      <c r="AE469" s="93">
        <f>IF('Net zero activities &amp; levers'!$C$8="Off",('Activity data'!AX12*EF!$H11)*kgtoGg,IF('Net zero activities &amp; levers'!$C$8="On",(('Net zero supporting data'!V139*EF!$H11)+('Net zero supporting data'!V129*'Net zero supporting data'!V149))*kgtoGg,"ERROR"))</f>
        <v>14.983717506658669</v>
      </c>
      <c r="AF469" s="93">
        <f>IF('Net zero activities &amp; levers'!$C$8="Off",('Activity data'!AY12*EF!$H11)*kgtoGg,IF('Net zero activities &amp; levers'!$C$8="On",(('Net zero supporting data'!W139*EF!$H11)+('Net zero supporting data'!W129*'Net zero supporting data'!W149))*kgtoGg,"ERROR"))</f>
        <v>15.009203009035685</v>
      </c>
      <c r="AG469" s="93">
        <f>IF('Net zero activities &amp; levers'!$C$8="Off",('Activity data'!AZ12*EF!$H11)*kgtoGg,IF('Net zero activities &amp; levers'!$C$8="On",(('Net zero supporting data'!X139*EF!$H11)+('Net zero supporting data'!X129*'Net zero supporting data'!X149))*kgtoGg,"ERROR"))</f>
        <v>15.036974918826434</v>
      </c>
      <c r="AH469" s="93">
        <f>IF('Net zero activities &amp; levers'!$C$8="Off",('Activity data'!BA12*EF!$H11)*kgtoGg,IF('Net zero activities &amp; levers'!$C$8="On",(('Net zero supporting data'!Y139*EF!$H11)+('Net zero supporting data'!Y129*'Net zero supporting data'!Y149))*kgtoGg,"ERROR"))</f>
        <v>15.066199302334384</v>
      </c>
      <c r="AI469" s="93">
        <f>IF('Net zero activities &amp; levers'!$C$8="Off",('Activity data'!BB12*EF!$H11)*kgtoGg,IF('Net zero activities &amp; levers'!$C$8="On",(('Net zero supporting data'!Z139*EF!$H11)+('Net zero supporting data'!Z129*'Net zero supporting data'!Z149))*kgtoGg,"ERROR"))</f>
        <v>15.084879435358006</v>
      </c>
      <c r="AJ469" s="93">
        <f>IF('Net zero activities &amp; levers'!$C$8="Off",('Activity data'!BC12*EF!$H11)*kgtoGg,IF('Net zero activities &amp; levers'!$C$8="On",(('Net zero supporting data'!AA139*EF!$H11)+('Net zero supporting data'!AA129*'Net zero supporting data'!AA149))*kgtoGg,"ERROR"))</f>
        <v>15.105340412639743</v>
      </c>
      <c r="AK469" s="93">
        <f>IF('Net zero activities &amp; levers'!$C$8="Off",('Activity data'!BD12*EF!$H11)*kgtoGg,IF('Net zero activities &amp; levers'!$C$8="On",(('Net zero supporting data'!AB139*EF!$H11)+('Net zero supporting data'!AB129*'Net zero supporting data'!AB149))*kgtoGg,"ERROR"))</f>
        <v>15.126907388415511</v>
      </c>
      <c r="AL469" s="93">
        <f>IF('Net zero activities &amp; levers'!$C$8="Off",('Activity data'!BE12*EF!$H11)*kgtoGg,IF('Net zero activities &amp; levers'!$C$8="On",(('Net zero supporting data'!AC139*EF!$H11)+('Net zero supporting data'!AC129*'Net zero supporting data'!AC149))*kgtoGg,"ERROR"))</f>
        <v>15.14980996512972</v>
      </c>
      <c r="AM469" s="93">
        <f>IF('Net zero activities &amp; levers'!$C$8="Off",('Activity data'!BF12*EF!$H11)*kgtoGg,IF('Net zero activities &amp; levers'!$C$8="On",(('Net zero supporting data'!AD139*EF!$H11)+('Net zero supporting data'!AD129*'Net zero supporting data'!AD149))*kgtoGg,"ERROR"))</f>
        <v>15.174013417460552</v>
      </c>
      <c r="AN469" s="93">
        <f>IF('Net zero activities &amp; levers'!$C$8="Off",('Activity data'!BG12*EF!$H11)*kgtoGg,IF('Net zero activities &amp; levers'!$C$8="On",(('Net zero supporting data'!AE139*EF!$H11)+('Net zero supporting data'!AE129*'Net zero supporting data'!AE149))*kgtoGg,"ERROR"))</f>
        <v>15.188314607603177</v>
      </c>
      <c r="AO469" s="93">
        <f>IF('Net zero activities &amp; levers'!$C$8="Off",('Activity data'!BH12*EF!$H11)*kgtoGg,IF('Net zero activities &amp; levers'!$C$8="On",(('Net zero supporting data'!AF139*EF!$H11)+('Net zero supporting data'!AF129*'Net zero supporting data'!AF149))*kgtoGg,"ERROR"))</f>
        <v>15.203581301623565</v>
      </c>
      <c r="AP469" s="93">
        <f>IF('Net zero activities &amp; levers'!$C$8="Off",('Activity data'!BI12*EF!$H11)*kgtoGg,IF('Net zero activities &amp; levers'!$C$8="On",(('Net zero supporting data'!AG139*EF!$H11)+('Net zero supporting data'!AG129*'Net zero supporting data'!AG149))*kgtoGg,"ERROR"))</f>
        <v>15.220141394360979</v>
      </c>
      <c r="AQ469" s="93">
        <f>IF('Net zero activities &amp; levers'!$C$8="Off",('Activity data'!BJ12*EF!$H11)*kgtoGg,IF('Net zero activities &amp; levers'!$C$8="On",(('Net zero supporting data'!AH139*EF!$H11)+('Net zero supporting data'!AH129*'Net zero supporting data'!AH149))*kgtoGg,"ERROR"))</f>
        <v>15.237978875718865</v>
      </c>
      <c r="AR469" s="93">
        <f>IF('Net zero activities &amp; levers'!$C$8="Off",('Activity data'!BK12*EF!$H11)*kgtoGg,IF('Net zero activities &amp; levers'!$C$8="On",(('Net zero supporting data'!AI139*EF!$H11)+('Net zero supporting data'!AI129*'Net zero supporting data'!AI149))*kgtoGg,"ERROR"))</f>
        <v>15.25709337604709</v>
      </c>
      <c r="AS469" s="93">
        <f>IF('Net zero activities &amp; levers'!$C$8="Off",('Activity data'!BL12*EF!$H11)*kgtoGg,IF('Net zero activities &amp; levers'!$C$8="On",(('Net zero supporting data'!AJ139*EF!$H11)+('Net zero supporting data'!AJ129*'Net zero supporting data'!AJ149))*kgtoGg,"ERROR"))</f>
        <v>15.265765166639579</v>
      </c>
      <c r="AT469" s="93">
        <f>IF('Net zero activities &amp; levers'!$C$8="Off",('Activity data'!BM12*EF!$H11)*kgtoGg,IF('Net zero activities &amp; levers'!$C$8="On",(('Net zero supporting data'!AK139*EF!$H11)+('Net zero supporting data'!AK129*'Net zero supporting data'!AK149))*kgtoGg,"ERROR"))</f>
        <v>15.271353562373108</v>
      </c>
      <c r="AU469" s="93">
        <f>IF('Net zero activities &amp; levers'!$C$8="Off",('Activity data'!BN12*EF!$H11)*kgtoGg,IF('Net zero activities &amp; levers'!$C$8="On",(('Net zero supporting data'!AL139*EF!$H11)+('Net zero supporting data'!AL129*'Net zero supporting data'!AL149))*kgtoGg,"ERROR"))</f>
        <v>15.277479500272968</v>
      </c>
      <c r="AV469" s="93">
        <f>IF('Net zero activities &amp; levers'!$C$8="Off",('Activity data'!BO12*EF!$H11)*kgtoGg,IF('Net zero activities &amp; levers'!$C$8="On",(('Net zero supporting data'!AM139*EF!$H11)+('Net zero supporting data'!AM129*'Net zero supporting data'!AM149))*kgtoGg,"ERROR"))</f>
        <v>15.283950133138154</v>
      </c>
      <c r="AW469" s="93">
        <f>IF('Net zero activities &amp; levers'!$C$8="Off",('Activity data'!BP12*EF!$H11)*kgtoGg,IF('Net zero activities &amp; levers'!$C$8="On",(('Net zero supporting data'!AN139*EF!$H11)+('Net zero supporting data'!AN129*'Net zero supporting data'!AN149))*kgtoGg,"ERROR"))</f>
        <v>15.291117933935899</v>
      </c>
      <c r="AY469" s="79"/>
    </row>
    <row r="470" spans="1:51" x14ac:dyDescent="0.3">
      <c r="A470" s="95" t="str">
        <f t="shared" si="0"/>
        <v>PQ Goats</v>
      </c>
      <c r="B470" s="95" t="s">
        <v>968</v>
      </c>
      <c r="C470" s="95" t="s">
        <v>153</v>
      </c>
      <c r="D470" t="s">
        <v>15</v>
      </c>
      <c r="E470" t="s">
        <v>16</v>
      </c>
      <c r="F470" t="s">
        <v>19</v>
      </c>
      <c r="G470" t="s">
        <v>122</v>
      </c>
      <c r="H470" t="s">
        <v>1020</v>
      </c>
      <c r="I470" t="s">
        <v>121</v>
      </c>
      <c r="J470" t="s">
        <v>286</v>
      </c>
      <c r="K470" s="93">
        <f>IF('Net zero activities &amp; levers'!$C$8="Off",('Activity data'!AD13*EF!$H12)*kgtoGg,IF('Net zero activities &amp; levers'!$C$8="On",(('Net zero supporting data'!B140*EF!$H12)+('Net zero supporting data'!B130*'Net zero supporting data'!B150))*kgtoGg,"ERROR"))</f>
        <v>15.123414197798359</v>
      </c>
      <c r="L470" s="93">
        <f>IF('Net zero activities &amp; levers'!$C$8="Off",('Activity data'!AE13*EF!$H12)*kgtoGg,IF('Net zero activities &amp; levers'!$C$8="On",(('Net zero supporting data'!C140*EF!$H12)+('Net zero supporting data'!C130*'Net zero supporting data'!C150))*kgtoGg,"ERROR"))</f>
        <v>15.162727774721576</v>
      </c>
      <c r="M470" s="93">
        <f>IF('Net zero activities &amp; levers'!$C$8="Off",('Activity data'!AF13*EF!$H12)*kgtoGg,IF('Net zero activities &amp; levers'!$C$8="On",(('Net zero supporting data'!D140*EF!$H12)+('Net zero supporting data'!D130*'Net zero supporting data'!D150))*kgtoGg,"ERROR"))</f>
        <v>15.216959464794312</v>
      </c>
      <c r="N470" s="93">
        <f>IF('Net zero activities &amp; levers'!$C$8="Off",('Activity data'!AG13*EF!$H12)*kgtoGg,IF('Net zero activities &amp; levers'!$C$8="On",(('Net zero supporting data'!E140*EF!$H12)+('Net zero supporting data'!E130*'Net zero supporting data'!E150))*kgtoGg,"ERROR"))</f>
        <v>15.283027985940228</v>
      </c>
      <c r="O470" s="93">
        <f>IF('Net zero activities &amp; levers'!$C$8="Off",('Activity data'!AH13*EF!$H12)*kgtoGg,IF('Net zero activities &amp; levers'!$C$8="On",(('Net zero supporting data'!F140*EF!$H12)+('Net zero supporting data'!F130*'Net zero supporting data'!F150))*kgtoGg,"ERROR"))</f>
        <v>15.360839106953575</v>
      </c>
      <c r="P470" s="93">
        <f>IF('Net zero activities &amp; levers'!$C$8="Off",('Activity data'!AI13*EF!$H12)*kgtoGg,IF('Net zero activities &amp; levers'!$C$8="On",(('Net zero supporting data'!G140*EF!$H12)+('Net zero supporting data'!G130*'Net zero supporting data'!G150))*kgtoGg,"ERROR"))</f>
        <v>15.449919228540612</v>
      </c>
      <c r="Q470" s="93">
        <f>IF('Net zero activities &amp; levers'!$C$8="Off",('Activity data'!AJ13*EF!$H12)*kgtoGg,IF('Net zero activities &amp; levers'!$C$8="On",(('Net zero supporting data'!H140*EF!$H12)+('Net zero supporting data'!H130*'Net zero supporting data'!H150))*kgtoGg,"ERROR"))</f>
        <v>15.545788610572222</v>
      </c>
      <c r="R470" s="93">
        <f>IF('Net zero activities &amp; levers'!$C$8="Off",('Activity data'!AK13*EF!$H12)*kgtoGg,IF('Net zero activities &amp; levers'!$C$8="On",(('Net zero supporting data'!I140*EF!$H12)+('Net zero supporting data'!I130*'Net zero supporting data'!I150))*kgtoGg,"ERROR"))</f>
        <v>15.648067752449878</v>
      </c>
      <c r="S470" s="93">
        <f>IF('Net zero activities &amp; levers'!$C$8="Off",('Activity data'!AL13*EF!$H12)*kgtoGg,IF('Net zero activities &amp; levers'!$C$8="On",(('Net zero supporting data'!J140*EF!$H12)+('Net zero supporting data'!J130*'Net zero supporting data'!J150))*kgtoGg,"ERROR"))</f>
        <v>15.740823350999253</v>
      </c>
      <c r="T470" s="93">
        <f>IF('Net zero activities &amp; levers'!$C$8="Off",('Activity data'!AM13*EF!$H12)*kgtoGg,IF('Net zero activities &amp; levers'!$C$8="On",(('Net zero supporting data'!K140*EF!$H12)+('Net zero supporting data'!K130*'Net zero supporting data'!K150))*kgtoGg,"ERROR"))</f>
        <v>15.786130826260475</v>
      </c>
      <c r="U470" s="93">
        <f>IF('Net zero activities &amp; levers'!$C$8="Off",('Activity data'!AN13*EF!$H12)*kgtoGg,IF('Net zero activities &amp; levers'!$C$8="On",(('Net zero supporting data'!L140*EF!$H12)+('Net zero supporting data'!L130*'Net zero supporting data'!L150))*kgtoGg,"ERROR"))</f>
        <v>15.838063303157622</v>
      </c>
      <c r="V470" s="93">
        <f>IF('Net zero activities &amp; levers'!$C$8="Off",('Activity data'!AO13*EF!$H12)*kgtoGg,IF('Net zero activities &amp; levers'!$C$8="On",(('Net zero supporting data'!M140*EF!$H12)+('Net zero supporting data'!M130*'Net zero supporting data'!M150))*kgtoGg,"ERROR"))</f>
        <v>15.891000771686212</v>
      </c>
      <c r="W470" s="93">
        <f>IF('Net zero activities &amp; levers'!$C$8="Off",('Activity data'!AP13*EF!$H12)*kgtoGg,IF('Net zero activities &amp; levers'!$C$8="On",(('Net zero supporting data'!N140*EF!$H12)+('Net zero supporting data'!N130*'Net zero supporting data'!N150))*kgtoGg,"ERROR"))</f>
        <v>15.94841543311963</v>
      </c>
      <c r="X470" s="93">
        <f>IF('Net zero activities &amp; levers'!$C$8="Off",('Activity data'!AQ13*EF!$H12)*kgtoGg,IF('Net zero activities &amp; levers'!$C$8="On",(('Net zero supporting data'!O140*EF!$H12)+('Net zero supporting data'!O130*'Net zero supporting data'!O150))*kgtoGg,"ERROR"))</f>
        <v>16.010212398342233</v>
      </c>
      <c r="Y470" s="93">
        <f>IF('Net zero activities &amp; levers'!$C$8="Off",('Activity data'!AR13*EF!$H12)*kgtoGg,IF('Net zero activities &amp; levers'!$C$8="On",(('Net zero supporting data'!P140*EF!$H12)+('Net zero supporting data'!P130*'Net zero supporting data'!P150))*kgtoGg,"ERROR"))</f>
        <v>16.04975975411061</v>
      </c>
      <c r="Z470" s="93">
        <f>IF('Net zero activities &amp; levers'!$C$8="Off",('Activity data'!AS13*EF!$H12)*kgtoGg,IF('Net zero activities &amp; levers'!$C$8="On",(('Net zero supporting data'!Q140*EF!$H12)+('Net zero supporting data'!Q130*'Net zero supporting data'!Q150))*kgtoGg,"ERROR"))</f>
        <v>16.093026754767141</v>
      </c>
      <c r="AA470" s="93">
        <f>IF('Net zero activities &amp; levers'!$C$8="Off",('Activity data'!AT13*EF!$H12)*kgtoGg,IF('Net zero activities &amp; levers'!$C$8="On",(('Net zero supporting data'!R140*EF!$H12)+('Net zero supporting data'!R130*'Net zero supporting data'!R150))*kgtoGg,"ERROR"))</f>
        <v>16.139507339626743</v>
      </c>
      <c r="AB470" s="93">
        <f>IF('Net zero activities &amp; levers'!$C$8="Off",('Activity data'!AU13*EF!$H12)*kgtoGg,IF('Net zero activities &amp; levers'!$C$8="On",(('Net zero supporting data'!S140*EF!$H12)+('Net zero supporting data'!S130*'Net zero supporting data'!S150))*kgtoGg,"ERROR"))</f>
        <v>16.189350761403606</v>
      </c>
      <c r="AC470" s="93">
        <f>IF('Net zero activities &amp; levers'!$C$8="Off",('Activity data'!AV13*EF!$H12)*kgtoGg,IF('Net zero activities &amp; levers'!$C$8="On",(('Net zero supporting data'!T140*EF!$H12)+('Net zero supporting data'!T130*'Net zero supporting data'!T150))*kgtoGg,"ERROR"))</f>
        <v>16.242088999774211</v>
      </c>
      <c r="AD470" s="93">
        <f>IF('Net zero activities &amp; levers'!$C$8="Off",('Activity data'!AW13*EF!$H12)*kgtoGg,IF('Net zero activities &amp; levers'!$C$8="On",(('Net zero supporting data'!U140*EF!$H12)+('Net zero supporting data'!U130*'Net zero supporting data'!U150))*kgtoGg,"ERROR"))</f>
        <v>16.277259419124743</v>
      </c>
      <c r="AE470" s="93">
        <f>IF('Net zero activities &amp; levers'!$C$8="Off",('Activity data'!AX13*EF!$H12)*kgtoGg,IF('Net zero activities &amp; levers'!$C$8="On",(('Net zero supporting data'!V140*EF!$H12)+('Net zero supporting data'!V130*'Net zero supporting data'!V150))*kgtoGg,"ERROR"))</f>
        <v>16.31476657866423</v>
      </c>
      <c r="AF470" s="93">
        <f>IF('Net zero activities &amp; levers'!$C$8="Off",('Activity data'!AY13*EF!$H12)*kgtoGg,IF('Net zero activities &amp; levers'!$C$8="On",(('Net zero supporting data'!W140*EF!$H12)+('Net zero supporting data'!W130*'Net zero supporting data'!W150))*kgtoGg,"ERROR"))</f>
        <v>16.354927956284293</v>
      </c>
      <c r="AG470" s="93">
        <f>IF('Net zero activities &amp; levers'!$C$8="Off",('Activity data'!AZ13*EF!$H12)*kgtoGg,IF('Net zero activities &amp; levers'!$C$8="On",(('Net zero supporting data'!X140*EF!$H12)+('Net zero supporting data'!X130*'Net zero supporting data'!X150))*kgtoGg,"ERROR"))</f>
        <v>16.39815145947275</v>
      </c>
      <c r="AH470" s="93">
        <f>IF('Net zero activities &amp; levers'!$C$8="Off",('Activity data'!BA13*EF!$H12)*kgtoGg,IF('Net zero activities &amp; levers'!$C$8="On",(('Net zero supporting data'!Y140*EF!$H12)+('Net zero supporting data'!Y130*'Net zero supporting data'!Y150))*kgtoGg,"ERROR"))</f>
        <v>16.443131260504089</v>
      </c>
      <c r="AI470" s="93">
        <f>IF('Net zero activities &amp; levers'!$C$8="Off",('Activity data'!BB13*EF!$H12)*kgtoGg,IF('Net zero activities &amp; levers'!$C$8="On",(('Net zero supporting data'!Z140*EF!$H12)+('Net zero supporting data'!Z130*'Net zero supporting data'!Z150))*kgtoGg,"ERROR"))</f>
        <v>16.470988408557865</v>
      </c>
      <c r="AJ470" s="93">
        <f>IF('Net zero activities &amp; levers'!$C$8="Off",('Activity data'!BC13*EF!$H12)*kgtoGg,IF('Net zero activities &amp; levers'!$C$8="On",(('Net zero supporting data'!AA140*EF!$H12)+('Net zero supporting data'!AA130*'Net zero supporting data'!AA150))*kgtoGg,"ERROR"))</f>
        <v>16.501218486314869</v>
      </c>
      <c r="AK470" s="93">
        <f>IF('Net zero activities &amp; levers'!$C$8="Off",('Activity data'!BD13*EF!$H12)*kgtoGg,IF('Net zero activities &amp; levers'!$C$8="On",(('Net zero supporting data'!AB140*EF!$H12)+('Net zero supporting data'!AB130*'Net zero supporting data'!AB150))*kgtoGg,"ERROR"))</f>
        <v>16.532770131598127</v>
      </c>
      <c r="AL470" s="93">
        <f>IF('Net zero activities &amp; levers'!$C$8="Off",('Activity data'!BE13*EF!$H12)*kgtoGg,IF('Net zero activities &amp; levers'!$C$8="On",(('Net zero supporting data'!AC140*EF!$H12)+('Net zero supporting data'!AC130*'Net zero supporting data'!AC150))*kgtoGg,"ERROR"))</f>
        <v>16.566015013383382</v>
      </c>
      <c r="AM470" s="93">
        <f>IF('Net zero activities &amp; levers'!$C$8="Off",('Activity data'!BF13*EF!$H12)*kgtoGg,IF('Net zero activities &amp; levers'!$C$8="On",(('Net zero supporting data'!AD140*EF!$H12)+('Net zero supporting data'!AD130*'Net zero supporting data'!AD150))*kgtoGg,"ERROR"))</f>
        <v>16.600907614824543</v>
      </c>
      <c r="AN470" s="93">
        <f>IF('Net zero activities &amp; levers'!$C$8="Off",('Activity data'!BG13*EF!$H12)*kgtoGg,IF('Net zero activities &amp; levers'!$C$8="On",(('Net zero supporting data'!AE140*EF!$H12)+('Net zero supporting data'!AE130*'Net zero supporting data'!AE150))*kgtoGg,"ERROR"))</f>
        <v>16.619970797900123</v>
      </c>
      <c r="AO470" s="93">
        <f>IF('Net zero activities &amp; levers'!$C$8="Off",('Activity data'!BH13*EF!$H12)*kgtoGg,IF('Net zero activities &amp; levers'!$C$8="On",(('Net zero supporting data'!AF140*EF!$H12)+('Net zero supporting data'!AF130*'Net zero supporting data'!AF150))*kgtoGg,"ERROR"))</f>
        <v>16.64023491177819</v>
      </c>
      <c r="AP470" s="93">
        <f>IF('Net zero activities &amp; levers'!$C$8="Off",('Activity data'!BI13*EF!$H12)*kgtoGg,IF('Net zero activities &amp; levers'!$C$8="On",(('Net zero supporting data'!AG140*EF!$H12)+('Net zero supporting data'!AG130*'Net zero supporting data'!AG150))*kgtoGg,"ERROR"))</f>
        <v>16.662217242949243</v>
      </c>
      <c r="AQ470" s="93">
        <f>IF('Net zero activities &amp; levers'!$C$8="Off",('Activity data'!BJ13*EF!$H12)*kgtoGg,IF('Net zero activities &amp; levers'!$C$8="On",(('Net zero supporting data'!AH140*EF!$H12)+('Net zero supporting data'!AH130*'Net zero supporting data'!AH150))*kgtoGg,"ERROR"))</f>
        <v>16.685896797291566</v>
      </c>
      <c r="AR470" s="93">
        <f>IF('Net zero activities &amp; levers'!$C$8="Off",('Activity data'!BK13*EF!$H12)*kgtoGg,IF('Net zero activities &amp; levers'!$C$8="On",(('Net zero supporting data'!AI140*EF!$H12)+('Net zero supporting data'!AI130*'Net zero supporting data'!AI150))*kgtoGg,"ERROR"))</f>
        <v>16.711276306511749</v>
      </c>
      <c r="AS470" s="93">
        <f>IF('Net zero activities &amp; levers'!$C$8="Off",('Activity data'!BL13*EF!$H12)*kgtoGg,IF('Net zero activities &amp; levers'!$C$8="On",(('Net zero supporting data'!AJ140*EF!$H12)+('Net zero supporting data'!AJ130*'Net zero supporting data'!AJ150))*kgtoGg,"ERROR"))</f>
        <v>16.720221808869553</v>
      </c>
      <c r="AT470" s="93">
        <f>IF('Net zero activities &amp; levers'!$C$8="Off",('Activity data'!BM13*EF!$H12)*kgtoGg,IF('Net zero activities &amp; levers'!$C$8="On",(('Net zero supporting data'!AK140*EF!$H12)+('Net zero supporting data'!AK130*'Net zero supporting data'!AK150))*kgtoGg,"ERROR"))</f>
        <v>16.72419450850062</v>
      </c>
      <c r="AU470" s="93">
        <f>IF('Net zero activities &amp; levers'!$C$8="Off",('Activity data'!BN13*EF!$H12)*kgtoGg,IF('Net zero activities &amp; levers'!$C$8="On",(('Net zero supporting data'!AL140*EF!$H12)+('Net zero supporting data'!AL130*'Net zero supporting data'!AL150))*kgtoGg,"ERROR"))</f>
        <v>16.728812799261537</v>
      </c>
      <c r="AV470" s="93">
        <f>IF('Net zero activities &amp; levers'!$C$8="Off",('Activity data'!BO13*EF!$H12)*kgtoGg,IF('Net zero activities &amp; levers'!$C$8="On",(('Net zero supporting data'!AM140*EF!$H12)+('Net zero supporting data'!AM130*'Net zero supporting data'!AM150))*kgtoGg,"ERROR"))</f>
        <v>16.733784752247175</v>
      </c>
      <c r="AW470" s="93">
        <f>IF('Net zero activities &amp; levers'!$C$8="Off",('Activity data'!BP13*EF!$H12)*kgtoGg,IF('Net zero activities &amp; levers'!$C$8="On",(('Net zero supporting data'!AN140*EF!$H12)+('Net zero supporting data'!AN130*'Net zero supporting data'!AN150))*kgtoGg,"ERROR"))</f>
        <v>16.739658320998576</v>
      </c>
      <c r="AY470" s="79"/>
    </row>
    <row r="471" spans="1:51" x14ac:dyDescent="0.3">
      <c r="A471" s="95" t="str">
        <f t="shared" si="0"/>
        <v>PQ Goats</v>
      </c>
      <c r="B471" s="95" t="s">
        <v>968</v>
      </c>
      <c r="C471" s="95" t="s">
        <v>153</v>
      </c>
      <c r="D471" t="s">
        <v>15</v>
      </c>
      <c r="E471" t="s">
        <v>16</v>
      </c>
      <c r="F471" t="s">
        <v>19</v>
      </c>
      <c r="G471" t="s">
        <v>123</v>
      </c>
      <c r="H471" t="s">
        <v>1020</v>
      </c>
      <c r="I471" t="s">
        <v>121</v>
      </c>
      <c r="J471" t="s">
        <v>286</v>
      </c>
      <c r="K471" s="93">
        <f>IF('Net zero activities &amp; levers'!$C$8="Off",('Activity data'!AD14*EF!$H13)*kgtoGg,IF('Net zero activities &amp; levers'!$C$8="On",(('Net zero supporting data'!B141*EF!$H13)+('Net zero supporting data'!B131*'Net zero supporting data'!B151))*kgtoGg,"ERROR"))</f>
        <v>22.381101687842744</v>
      </c>
      <c r="L471" s="93">
        <f>IF('Net zero activities &amp; levers'!$C$8="Off",('Activity data'!AE14*EF!$H13)*kgtoGg,IF('Net zero activities &amp; levers'!$C$8="On",(('Net zero supporting data'!C141*EF!$H13)+('Net zero supporting data'!C131*'Net zero supporting data'!C151))*kgtoGg,"ERROR"))</f>
        <v>22.439281748993185</v>
      </c>
      <c r="M471" s="93">
        <f>IF('Net zero activities &amp; levers'!$C$8="Off",('Activity data'!AF14*EF!$H13)*kgtoGg,IF('Net zero activities &amp; levers'!$C$8="On",(('Net zero supporting data'!D141*EF!$H13)+('Net zero supporting data'!D131*'Net zero supporting data'!D151))*kgtoGg,"ERROR"))</f>
        <v>22.519539087339325</v>
      </c>
      <c r="N471" s="93">
        <f>IF('Net zero activities &amp; levers'!$C$8="Off",('Activity data'!AG14*EF!$H13)*kgtoGg,IF('Net zero activities &amp; levers'!$C$8="On",(('Net zero supporting data'!E141*EF!$H13)+('Net zero supporting data'!E131*'Net zero supporting data'!E151))*kgtoGg,"ERROR"))</f>
        <v>22.617313721478975</v>
      </c>
      <c r="O471" s="93">
        <f>IF('Net zero activities &amp; levers'!$C$8="Off",('Activity data'!AH14*EF!$H13)*kgtoGg,IF('Net zero activities &amp; levers'!$C$8="On",(('Net zero supporting data'!F141*EF!$H13)+('Net zero supporting data'!F131*'Net zero supporting data'!F151))*kgtoGg,"ERROR"))</f>
        <v>22.73246619889365</v>
      </c>
      <c r="P471" s="93">
        <f>IF('Net zero activities &amp; levers'!$C$8="Off",('Activity data'!AI14*EF!$H13)*kgtoGg,IF('Net zero activities &amp; levers'!$C$8="On",(('Net zero supporting data'!G141*EF!$H13)+('Net zero supporting data'!G131*'Net zero supporting data'!G151))*kgtoGg,"ERROR"))</f>
        <v>22.864295641209328</v>
      </c>
      <c r="Q471" s="93">
        <f>IF('Net zero activities &amp; levers'!$C$8="Off",('Activity data'!AJ14*EF!$H13)*kgtoGg,IF('Net zero activities &amp; levers'!$C$8="On",(('Net zero supporting data'!H141*EF!$H13)+('Net zero supporting data'!H131*'Net zero supporting data'!H151))*kgtoGg,"ERROR"))</f>
        <v>23.006172492556328</v>
      </c>
      <c r="R471" s="93">
        <f>IF('Net zero activities &amp; levers'!$C$8="Off",('Activity data'!AK14*EF!$H13)*kgtoGg,IF('Net zero activities &amp; levers'!$C$8="On",(('Net zero supporting data'!I141*EF!$H13)+('Net zero supporting data'!I131*'Net zero supporting data'!I151))*kgtoGg,"ERROR"))</f>
        <v>23.157535130977113</v>
      </c>
      <c r="S471" s="93">
        <f>IF('Net zero activities &amp; levers'!$C$8="Off",('Activity data'!AL14*EF!$H13)*kgtoGg,IF('Net zero activities &amp; levers'!$C$8="On",(('Net zero supporting data'!J141*EF!$H13)+('Net zero supporting data'!J131*'Net zero supporting data'!J151))*kgtoGg,"ERROR"))</f>
        <v>23.294803902175122</v>
      </c>
      <c r="T471" s="93">
        <f>IF('Net zero activities &amp; levers'!$C$8="Off",('Activity data'!AM14*EF!$H13)*kgtoGg,IF('Net zero activities &amp; levers'!$C$8="On",(('Net zero supporting data'!K141*EF!$H13)+('Net zero supporting data'!K131*'Net zero supporting data'!K151))*kgtoGg,"ERROR"))</f>
        <v>23.361854318025564</v>
      </c>
      <c r="U471" s="93">
        <f>IF('Net zero activities &amp; levers'!$C$8="Off",('Activity data'!AN14*EF!$H13)*kgtoGg,IF('Net zero activities &amp; levers'!$C$8="On",(('Net zero supporting data'!L141*EF!$H13)+('Net zero supporting data'!L131*'Net zero supporting data'!L151))*kgtoGg,"ERROR"))</f>
        <v>23.438709056719805</v>
      </c>
      <c r="V471" s="93">
        <f>IF('Net zero activities &amp; levers'!$C$8="Off",('Activity data'!AO14*EF!$H13)*kgtoGg,IF('Net zero activities &amp; levers'!$C$8="On",(('Net zero supporting data'!M141*EF!$H13)+('Net zero supporting data'!M131*'Net zero supporting data'!M151))*kgtoGg,"ERROR"))</f>
        <v>23.517051079938867</v>
      </c>
      <c r="W471" s="93">
        <f>IF('Net zero activities &amp; levers'!$C$8="Off",('Activity data'!AP14*EF!$H13)*kgtoGg,IF('Net zero activities &amp; levers'!$C$8="On",(('Net zero supporting data'!N141*EF!$H13)+('Net zero supporting data'!N131*'Net zero supporting data'!N151))*kgtoGg,"ERROR"))</f>
        <v>23.602018889396962</v>
      </c>
      <c r="X471" s="93">
        <f>IF('Net zero activities &amp; levers'!$C$8="Off",('Activity data'!AQ14*EF!$H13)*kgtoGg,IF('Net zero activities &amp; levers'!$C$8="On",(('Net zero supporting data'!O141*EF!$H13)+('Net zero supporting data'!O131*'Net zero supporting data'!O151))*kgtoGg,"ERROR"))</f>
        <v>23.693472058936443</v>
      </c>
      <c r="Y471" s="93">
        <f>IF('Net zero activities &amp; levers'!$C$8="Off",('Activity data'!AR14*EF!$H13)*kgtoGg,IF('Net zero activities &amp; levers'!$C$8="On",(('Net zero supporting data'!P141*EF!$H13)+('Net zero supporting data'!P131*'Net zero supporting data'!P151))*kgtoGg,"ERROR"))</f>
        <v>23.75199808879723</v>
      </c>
      <c r="Z471" s="93">
        <f>IF('Net zero activities &amp; levers'!$C$8="Off",('Activity data'!AS14*EF!$H13)*kgtoGg,IF('Net zero activities &amp; levers'!$C$8="On",(('Net zero supporting data'!Q141*EF!$H13)+('Net zero supporting data'!Q131*'Net zero supporting data'!Q151))*kgtoGg,"ERROR"))</f>
        <v>23.816028811539901</v>
      </c>
      <c r="AA471" s="93">
        <f>IF('Net zero activities &amp; levers'!$C$8="Off",('Activity data'!AT14*EF!$H13)*kgtoGg,IF('Net zero activities &amp; levers'!$C$8="On",(('Net zero supporting data'!R141*EF!$H13)+('Net zero supporting data'!R131*'Net zero supporting data'!R151))*kgtoGg,"ERROR"))</f>
        <v>23.884815309261068</v>
      </c>
      <c r="AB471" s="93">
        <f>IF('Net zero activities &amp; levers'!$C$8="Off",('Activity data'!AU14*EF!$H13)*kgtoGg,IF('Net zero activities &amp; levers'!$C$8="On",(('Net zero supporting data'!S141*EF!$H13)+('Net zero supporting data'!S131*'Net zero supporting data'!S151))*kgtoGg,"ERROR"))</f>
        <v>23.958578460667738</v>
      </c>
      <c r="AC471" s="93">
        <f>IF('Net zero activities &amp; levers'!$C$8="Off",('Activity data'!AV14*EF!$H13)*kgtoGg,IF('Net zero activities &amp; levers'!$C$8="On",(('Net zero supporting data'!T141*EF!$H13)+('Net zero supporting data'!T131*'Net zero supporting data'!T151))*kgtoGg,"ERROR"))</f>
        <v>24.036625643689554</v>
      </c>
      <c r="AD471" s="93">
        <f>IF('Net zero activities &amp; levers'!$C$8="Off",('Activity data'!AW14*EF!$H13)*kgtoGg,IF('Net zero activities &amp; levers'!$C$8="On",(('Net zero supporting data'!U141*EF!$H13)+('Net zero supporting data'!U131*'Net zero supporting data'!U151))*kgtoGg,"ERROR"))</f>
        <v>24.088674256627954</v>
      </c>
      <c r="AE471" s="93">
        <f>IF('Net zero activities &amp; levers'!$C$8="Off",('Activity data'!AX14*EF!$H13)*kgtoGg,IF('Net zero activities &amp; levers'!$C$8="On",(('Net zero supporting data'!V141*EF!$H13)+('Net zero supporting data'!V131*'Net zero supporting data'!V151))*kgtoGg,"ERROR"))</f>
        <v>24.144181005348596</v>
      </c>
      <c r="AF471" s="93">
        <f>IF('Net zero activities &amp; levers'!$C$8="Off",('Activity data'!AY14*EF!$H13)*kgtoGg,IF('Net zero activities &amp; levers'!$C$8="On",(('Net zero supporting data'!W141*EF!$H13)+('Net zero supporting data'!W131*'Net zero supporting data'!W151))*kgtoGg,"ERROR"))</f>
        <v>24.20361572456493</v>
      </c>
      <c r="AG471" s="93">
        <f>IF('Net zero activities &amp; levers'!$C$8="Off",('Activity data'!AZ14*EF!$H13)*kgtoGg,IF('Net zero activities &amp; levers'!$C$8="On",(('Net zero supporting data'!X141*EF!$H13)+('Net zero supporting data'!X131*'Net zero supporting data'!X151))*kgtoGg,"ERROR"))</f>
        <v>24.267582075516717</v>
      </c>
      <c r="AH471" s="93">
        <f>IF('Net zero activities &amp; levers'!$C$8="Off",('Activity data'!BA14*EF!$H13)*kgtoGg,IF('Net zero activities &amp; levers'!$C$8="On",(('Net zero supporting data'!Y141*EF!$H13)+('Net zero supporting data'!Y131*'Net zero supporting data'!Y151))*kgtoGg,"ERROR"))</f>
        <v>24.334147567119</v>
      </c>
      <c r="AI471" s="93">
        <f>IF('Net zero activities &amp; levers'!$C$8="Off",('Activity data'!BB14*EF!$H13)*kgtoGg,IF('Net zero activities &amp; levers'!$C$8="On",(('Net zero supporting data'!Z141*EF!$H13)+('Net zero supporting data'!Z131*'Net zero supporting data'!Z151))*kgtoGg,"ERROR"))</f>
        <v>24.375373288716684</v>
      </c>
      <c r="AJ471" s="93">
        <f>IF('Net zero activities &amp; levers'!$C$8="Off",('Activity data'!BC14*EF!$H13)*kgtoGg,IF('Net zero activities &amp; levers'!$C$8="On",(('Net zero supporting data'!AA141*EF!$H13)+('Net zero supporting data'!AA131*'Net zero supporting data'!AA151))*kgtoGg,"ERROR"))</f>
        <v>24.420110702865486</v>
      </c>
      <c r="AK471" s="93">
        <f>IF('Net zero activities &amp; levers'!$C$8="Off",('Activity data'!BD14*EF!$H13)*kgtoGg,IF('Net zero activities &amp; levers'!$C$8="On",(('Net zero supporting data'!AB141*EF!$H13)+('Net zero supporting data'!AB131*'Net zero supporting data'!AB151))*kgtoGg,"ERROR"))</f>
        <v>24.466803901389813</v>
      </c>
      <c r="AL471" s="93">
        <f>IF('Net zero activities &amp; levers'!$C$8="Off",('Activity data'!BE14*EF!$H13)*kgtoGg,IF('Net zero activities &amp; levers'!$C$8="On",(('Net zero supporting data'!AC141*EF!$H13)+('Net zero supporting data'!AC131*'Net zero supporting data'!AC151))*kgtoGg,"ERROR"))</f>
        <v>24.516002916248802</v>
      </c>
      <c r="AM471" s="93">
        <f>IF('Net zero activities &amp; levers'!$C$8="Off",('Activity data'!BF14*EF!$H13)*kgtoGg,IF('Net zero activities &amp; levers'!$C$8="On",(('Net zero supporting data'!AD141*EF!$H13)+('Net zero supporting data'!AD131*'Net zero supporting data'!AD151))*kgtoGg,"ERROR"))</f>
        <v>24.567640387179249</v>
      </c>
      <c r="AN471" s="93">
        <f>IF('Net zero activities &amp; levers'!$C$8="Off",('Activity data'!BG14*EF!$H13)*kgtoGg,IF('Net zero activities &amp; levers'!$C$8="On",(('Net zero supporting data'!AE141*EF!$H13)+('Net zero supporting data'!AE131*'Net zero supporting data'!AE151))*kgtoGg,"ERROR"))</f>
        <v>24.595851942673818</v>
      </c>
      <c r="AO471" s="93">
        <f>IF('Net zero activities &amp; levers'!$C$8="Off",('Activity data'!BH14*EF!$H13)*kgtoGg,IF('Net zero activities &amp; levers'!$C$8="On",(('Net zero supporting data'!AF141*EF!$H13)+('Net zero supporting data'!AF131*'Net zero supporting data'!AF151))*kgtoGg,"ERROR"))</f>
        <v>24.625840752567356</v>
      </c>
      <c r="AP471" s="93">
        <f>IF('Net zero activities &amp; levers'!$C$8="Off",('Activity data'!BI14*EF!$H13)*kgtoGg,IF('Net zero activities &amp; levers'!$C$8="On",(('Net zero supporting data'!AG141*EF!$H13)+('Net zero supporting data'!AG131*'Net zero supporting data'!AG151))*kgtoGg,"ERROR"))</f>
        <v>24.658372347803756</v>
      </c>
      <c r="AQ471" s="93">
        <f>IF('Net zero activities &amp; levers'!$C$8="Off",('Activity data'!BJ14*EF!$H13)*kgtoGg,IF('Net zero activities &amp; levers'!$C$8="On",(('Net zero supporting data'!AH141*EF!$H13)+('Net zero supporting data'!AH131*'Net zero supporting data'!AH151))*kgtoGg,"ERROR"))</f>
        <v>24.693415659236397</v>
      </c>
      <c r="AR471" s="93">
        <f>IF('Net zero activities &amp; levers'!$C$8="Off",('Activity data'!BK14*EF!$H13)*kgtoGg,IF('Net zero activities &amp; levers'!$C$8="On",(('Net zero supporting data'!AI141*EF!$H13)+('Net zero supporting data'!AI131*'Net zero supporting data'!AI151))*kgtoGg,"ERROR"))</f>
        <v>24.730974729510827</v>
      </c>
      <c r="AS471" s="93">
        <f>IF('Net zero activities &amp; levers'!$C$8="Off",('Activity data'!BL14*EF!$H13)*kgtoGg,IF('Net zero activities &amp; levers'!$C$8="On",(('Net zero supporting data'!AJ141*EF!$H13)+('Net zero supporting data'!AJ131*'Net zero supporting data'!AJ151))*kgtoGg,"ERROR"))</f>
        <v>24.744213155391417</v>
      </c>
      <c r="AT471" s="93">
        <f>IF('Net zero activities &amp; levers'!$C$8="Off",('Activity data'!BM14*EF!$H13)*kgtoGg,IF('Net zero activities &amp; levers'!$C$8="On",(('Net zero supporting data'!AK141*EF!$H13)+('Net zero supporting data'!AK131*'Net zero supporting data'!AK151))*kgtoGg,"ERROR"))</f>
        <v>24.750092343335041</v>
      </c>
      <c r="AU471" s="93">
        <f>IF('Net zero activities &amp; levers'!$C$8="Off",('Activity data'!BN14*EF!$H13)*kgtoGg,IF('Net zero activities &amp; levers'!$C$8="On",(('Net zero supporting data'!AL141*EF!$H13)+('Net zero supporting data'!AL131*'Net zero supporting data'!AL151))*kgtoGg,"ERROR"))</f>
        <v>24.756926939927592</v>
      </c>
      <c r="AV471" s="93">
        <f>IF('Net zero activities &amp; levers'!$C$8="Off",('Activity data'!BO14*EF!$H13)*kgtoGg,IF('Net zero activities &amp; levers'!$C$8="On",(('Net zero supporting data'!AM141*EF!$H13)+('Net zero supporting data'!AM131*'Net zero supporting data'!AM151))*kgtoGg,"ERROR"))</f>
        <v>24.764284920334894</v>
      </c>
      <c r="AW471" s="93">
        <f>IF('Net zero activities &amp; levers'!$C$8="Off",('Activity data'!BP14*EF!$H13)*kgtoGg,IF('Net zero activities &amp; levers'!$C$8="On",(('Net zero supporting data'!AN141*EF!$H13)+('Net zero supporting data'!AN131*'Net zero supporting data'!AN151))*kgtoGg,"ERROR"))</f>
        <v>24.772977199589842</v>
      </c>
      <c r="AY471" s="79"/>
    </row>
    <row r="472" spans="1:51" x14ac:dyDescent="0.3">
      <c r="A472" s="95" t="str">
        <f t="shared" ref="A472:A611" si="108">B472&amp;" "&amp;C472</f>
        <v>PQ Horses</v>
      </c>
      <c r="B472" s="95" t="s">
        <v>968</v>
      </c>
      <c r="C472" s="95" t="s">
        <v>3</v>
      </c>
      <c r="D472" t="s">
        <v>15</v>
      </c>
      <c r="E472" t="s">
        <v>16</v>
      </c>
      <c r="F472" t="s">
        <v>20</v>
      </c>
      <c r="G472" t="s">
        <v>3</v>
      </c>
      <c r="H472" t="s">
        <v>1020</v>
      </c>
      <c r="I472" t="s">
        <v>121</v>
      </c>
      <c r="J472" t="s">
        <v>286</v>
      </c>
      <c r="K472" s="27">
        <f>K1389</f>
        <v>5.5526214800767901</v>
      </c>
      <c r="L472" s="27">
        <f t="shared" ref="L472:AW479" si="109">L1389</f>
        <v>5.5795235710196511</v>
      </c>
      <c r="M472" s="27">
        <f t="shared" si="109"/>
        <v>5.6203482259438022</v>
      </c>
      <c r="N472" s="27">
        <f t="shared" si="109"/>
        <v>5.629075655008374</v>
      </c>
      <c r="O472" s="27">
        <f t="shared" si="109"/>
        <v>5.6165815405282276</v>
      </c>
      <c r="P472" s="27">
        <f t="shared" si="109"/>
        <v>5.5833231296706103</v>
      </c>
      <c r="Q472" s="27">
        <f t="shared" si="109"/>
        <v>5.5648827699457346</v>
      </c>
      <c r="R472" s="27">
        <f t="shared" si="109"/>
        <v>5.5483103177944013</v>
      </c>
      <c r="S472" s="27">
        <f t="shared" si="109"/>
        <v>5.2311192904529218</v>
      </c>
      <c r="T472" s="27">
        <f t="shared" si="109"/>
        <v>5.2959023096135693</v>
      </c>
      <c r="U472" s="27">
        <f t="shared" si="109"/>
        <v>5.3988006154965325</v>
      </c>
      <c r="V472" s="27">
        <f t="shared" si="109"/>
        <v>5.4367829372956962</v>
      </c>
      <c r="W472" s="27">
        <f t="shared" si="109"/>
        <v>5.4819188324690939</v>
      </c>
      <c r="X472" s="27">
        <f t="shared" si="109"/>
        <v>5.5365687700280883</v>
      </c>
      <c r="Y472" s="27">
        <f t="shared" si="109"/>
        <v>5.601958980764981</v>
      </c>
      <c r="Z472" s="27">
        <f t="shared" si="109"/>
        <v>5.6746319691397513</v>
      </c>
      <c r="AA472" s="27">
        <f t="shared" si="109"/>
        <v>5.7481685306176677</v>
      </c>
      <c r="AB472" s="27">
        <f t="shared" si="109"/>
        <v>5.8282774259733703</v>
      </c>
      <c r="AC472" s="27">
        <f t="shared" si="109"/>
        <v>5.9086647601730373</v>
      </c>
      <c r="AD472" s="27">
        <f t="shared" si="109"/>
        <v>6.0051030471917946</v>
      </c>
      <c r="AE472" s="27">
        <f t="shared" si="109"/>
        <v>6.0980124130473197</v>
      </c>
      <c r="AF472" s="27">
        <f t="shared" si="109"/>
        <v>6.195439489414623</v>
      </c>
      <c r="AG472" s="27">
        <f t="shared" si="109"/>
        <v>6.3068676222722697</v>
      </c>
      <c r="AH472" s="27">
        <f t="shared" si="109"/>
        <v>6.4095401663804648</v>
      </c>
      <c r="AI472" s="27">
        <f t="shared" si="109"/>
        <v>6.5228948238532292</v>
      </c>
      <c r="AJ472" s="27">
        <f t="shared" si="109"/>
        <v>6.6437484965413081</v>
      </c>
      <c r="AK472" s="27">
        <f t="shared" si="109"/>
        <v>6.7539654911689828</v>
      </c>
      <c r="AL472" s="27">
        <f t="shared" si="109"/>
        <v>6.8618111039503944</v>
      </c>
      <c r="AM472" s="27">
        <f t="shared" si="109"/>
        <v>6.9676727679478478</v>
      </c>
      <c r="AN472" s="27">
        <f t="shared" si="109"/>
        <v>7.0885986695240639</v>
      </c>
      <c r="AO472" s="27">
        <f t="shared" si="109"/>
        <v>7.202615789032512</v>
      </c>
      <c r="AP472" s="27">
        <f t="shared" si="109"/>
        <v>7.3203542233012309</v>
      </c>
      <c r="AQ472" s="27">
        <f t="shared" si="109"/>
        <v>7.4423988374450394</v>
      </c>
      <c r="AR472" s="27">
        <f t="shared" si="109"/>
        <v>7.5697005662835739</v>
      </c>
      <c r="AS472" s="27">
        <f t="shared" si="109"/>
        <v>7.7079925213190776</v>
      </c>
      <c r="AT472" s="27">
        <f t="shared" si="109"/>
        <v>7.7309775584942866</v>
      </c>
      <c r="AU472" s="27">
        <f t="shared" si="109"/>
        <v>7.7430605044202654</v>
      </c>
      <c r="AV472" s="27">
        <f t="shared" si="109"/>
        <v>7.7396666487885506</v>
      </c>
      <c r="AW472" s="27">
        <f t="shared" si="109"/>
        <v>7.7316472006042485</v>
      </c>
      <c r="AY472" s="79"/>
    </row>
    <row r="473" spans="1:51" x14ac:dyDescent="0.3">
      <c r="A473" s="95" t="str">
        <f t="shared" si="108"/>
        <v>PQ Mules&amp;Asses</v>
      </c>
      <c r="B473" s="95" t="s">
        <v>968</v>
      </c>
      <c r="C473" s="95" t="s">
        <v>1323</v>
      </c>
      <c r="D473" t="s">
        <v>15</v>
      </c>
      <c r="E473" t="s">
        <v>16</v>
      </c>
      <c r="F473" t="s">
        <v>140</v>
      </c>
      <c r="G473" t="s">
        <v>124</v>
      </c>
      <c r="H473" t="s">
        <v>1020</v>
      </c>
      <c r="I473" t="s">
        <v>121</v>
      </c>
      <c r="J473" t="s">
        <v>286</v>
      </c>
      <c r="K473" s="27">
        <f t="shared" ref="K473:Z511" si="110">K1390</f>
        <v>1.67</v>
      </c>
      <c r="L473" s="27">
        <f t="shared" si="110"/>
        <v>1.67</v>
      </c>
      <c r="M473" s="27">
        <f t="shared" si="110"/>
        <v>1.67</v>
      </c>
      <c r="N473" s="27">
        <f t="shared" si="110"/>
        <v>1.67</v>
      </c>
      <c r="O473" s="27">
        <f t="shared" si="110"/>
        <v>1.67</v>
      </c>
      <c r="P473" s="27">
        <f t="shared" si="110"/>
        <v>1.67</v>
      </c>
      <c r="Q473" s="27">
        <f t="shared" si="110"/>
        <v>1.67</v>
      </c>
      <c r="R473" s="27">
        <f t="shared" si="110"/>
        <v>1.67</v>
      </c>
      <c r="S473" s="27">
        <f t="shared" si="110"/>
        <v>1.67</v>
      </c>
      <c r="T473" s="27">
        <f t="shared" si="110"/>
        <v>1.67</v>
      </c>
      <c r="U473" s="27">
        <f t="shared" si="110"/>
        <v>1.67</v>
      </c>
      <c r="V473" s="27">
        <f t="shared" si="110"/>
        <v>1.67</v>
      </c>
      <c r="W473" s="27">
        <f t="shared" si="110"/>
        <v>1.67</v>
      </c>
      <c r="X473" s="27">
        <f t="shared" si="110"/>
        <v>1.67</v>
      </c>
      <c r="Y473" s="27">
        <f t="shared" si="110"/>
        <v>1.67</v>
      </c>
      <c r="Z473" s="27">
        <f t="shared" si="110"/>
        <v>1.67</v>
      </c>
      <c r="AA473" s="27">
        <f t="shared" si="109"/>
        <v>1.67</v>
      </c>
      <c r="AB473" s="27">
        <f t="shared" si="109"/>
        <v>1.67</v>
      </c>
      <c r="AC473" s="27">
        <f t="shared" si="109"/>
        <v>1.67</v>
      </c>
      <c r="AD473" s="27">
        <f t="shared" si="109"/>
        <v>1.67</v>
      </c>
      <c r="AE473" s="27">
        <f t="shared" si="109"/>
        <v>1.67</v>
      </c>
      <c r="AF473" s="27">
        <f t="shared" si="109"/>
        <v>1.67</v>
      </c>
      <c r="AG473" s="27">
        <f t="shared" si="109"/>
        <v>1.67</v>
      </c>
      <c r="AH473" s="27">
        <f t="shared" si="109"/>
        <v>1.67</v>
      </c>
      <c r="AI473" s="27">
        <f t="shared" si="109"/>
        <v>1.67</v>
      </c>
      <c r="AJ473" s="27">
        <f t="shared" si="109"/>
        <v>1.67</v>
      </c>
      <c r="AK473" s="27">
        <f t="shared" si="109"/>
        <v>1.67</v>
      </c>
      <c r="AL473" s="27">
        <f t="shared" si="109"/>
        <v>1.67</v>
      </c>
      <c r="AM473" s="27">
        <f t="shared" si="109"/>
        <v>1.67</v>
      </c>
      <c r="AN473" s="27">
        <f t="shared" si="109"/>
        <v>1.67</v>
      </c>
      <c r="AO473" s="27">
        <f t="shared" si="109"/>
        <v>1.67</v>
      </c>
      <c r="AP473" s="27">
        <f t="shared" si="109"/>
        <v>1.67</v>
      </c>
      <c r="AQ473" s="27">
        <f t="shared" si="109"/>
        <v>1.67</v>
      </c>
      <c r="AR473" s="27">
        <f t="shared" si="109"/>
        <v>1.67</v>
      </c>
      <c r="AS473" s="27">
        <f t="shared" si="109"/>
        <v>1.67</v>
      </c>
      <c r="AT473" s="27">
        <f t="shared" si="109"/>
        <v>1.67</v>
      </c>
      <c r="AU473" s="27">
        <f t="shared" si="109"/>
        <v>1.67</v>
      </c>
      <c r="AV473" s="27">
        <f t="shared" si="109"/>
        <v>1.67</v>
      </c>
      <c r="AW473" s="27">
        <f t="shared" si="109"/>
        <v>1.67</v>
      </c>
      <c r="AY473" s="79"/>
    </row>
    <row r="474" spans="1:51" x14ac:dyDescent="0.3">
      <c r="A474" s="95" t="str">
        <f t="shared" si="108"/>
        <v>PQ Swine</v>
      </c>
      <c r="B474" s="95" t="s">
        <v>968</v>
      </c>
      <c r="C474" s="95" t="s">
        <v>155</v>
      </c>
      <c r="D474" t="s">
        <v>15</v>
      </c>
      <c r="E474" t="s">
        <v>16</v>
      </c>
      <c r="F474" t="s">
        <v>21</v>
      </c>
      <c r="G474" t="s">
        <v>122</v>
      </c>
      <c r="H474" t="s">
        <v>1020</v>
      </c>
      <c r="I474" t="s">
        <v>121</v>
      </c>
      <c r="J474" t="s">
        <v>286</v>
      </c>
      <c r="K474" s="27">
        <f t="shared" si="110"/>
        <v>1.8400999552016302</v>
      </c>
      <c r="L474" s="27">
        <f t="shared" si="109"/>
        <v>1.8300977880312246</v>
      </c>
      <c r="M474" s="27">
        <f t="shared" si="109"/>
        <v>1.8309187348828151</v>
      </c>
      <c r="N474" s="27">
        <f t="shared" si="109"/>
        <v>1.8141094978660448</v>
      </c>
      <c r="O474" s="27">
        <f t="shared" si="109"/>
        <v>1.7866561368117295</v>
      </c>
      <c r="P474" s="27">
        <f t="shared" si="109"/>
        <v>1.7489975228040078</v>
      </c>
      <c r="Q474" s="27">
        <f t="shared" si="109"/>
        <v>1.721653192801009</v>
      </c>
      <c r="R474" s="27">
        <f t="shared" si="109"/>
        <v>1.6967284692901872</v>
      </c>
      <c r="S474" s="27">
        <f t="shared" si="109"/>
        <v>1.4981262376638635</v>
      </c>
      <c r="T474" s="27">
        <f t="shared" si="109"/>
        <v>1.5170710584409277</v>
      </c>
      <c r="U474" s="27">
        <f t="shared" si="109"/>
        <v>1.5577229248664515</v>
      </c>
      <c r="V474" s="27">
        <f t="shared" si="109"/>
        <v>1.561413903145964</v>
      </c>
      <c r="W474" s="27">
        <f t="shared" si="109"/>
        <v>1.5694069216965754</v>
      </c>
      <c r="X474" s="27">
        <f t="shared" si="109"/>
        <v>1.5828459974443794</v>
      </c>
      <c r="Y474" s="27">
        <f t="shared" si="109"/>
        <v>1.5997093513071265</v>
      </c>
      <c r="Z474" s="27">
        <f t="shared" si="109"/>
        <v>1.6203739618637112</v>
      </c>
      <c r="AA474" s="27">
        <f t="shared" si="109"/>
        <v>1.6412802243411935</v>
      </c>
      <c r="AB474" s="27">
        <f t="shared" si="109"/>
        <v>1.6654174874794287</v>
      </c>
      <c r="AC474" s="27">
        <f t="shared" si="109"/>
        <v>1.6893881557889758</v>
      </c>
      <c r="AD474" s="27">
        <f t="shared" si="109"/>
        <v>1.7191899551215701</v>
      </c>
      <c r="AE474" s="27">
        <f t="shared" si="109"/>
        <v>1.7466246880722003</v>
      </c>
      <c r="AF474" s="27">
        <f t="shared" si="109"/>
        <v>1.7758174373307805</v>
      </c>
      <c r="AG474" s="27">
        <f t="shared" si="109"/>
        <v>1.8114287830343814</v>
      </c>
      <c r="AH474" s="27">
        <f t="shared" si="109"/>
        <v>1.8420072235043694</v>
      </c>
      <c r="AI474" s="27">
        <f t="shared" si="109"/>
        <v>1.8750119445784728</v>
      </c>
      <c r="AJ474" s="27">
        <f t="shared" si="109"/>
        <v>1.9108329767517882</v>
      </c>
      <c r="AK474" s="27">
        <f t="shared" si="109"/>
        <v>1.940715836653381</v>
      </c>
      <c r="AL474" s="27">
        <f t="shared" si="109"/>
        <v>1.9687395447209077</v>
      </c>
      <c r="AM474" s="27">
        <f t="shared" si="109"/>
        <v>1.9951301179393999</v>
      </c>
      <c r="AN474" s="27">
        <f t="shared" si="109"/>
        <v>2.0256022791934827</v>
      </c>
      <c r="AO474" s="27">
        <f t="shared" si="109"/>
        <v>2.0520329509348483</v>
      </c>
      <c r="AP474" s="27">
        <f t="shared" si="109"/>
        <v>2.0793161183803317</v>
      </c>
      <c r="AQ474" s="27">
        <f t="shared" si="109"/>
        <v>2.1076575721978217</v>
      </c>
      <c r="AR474" s="27">
        <f t="shared" si="109"/>
        <v>2.1374119347182106</v>
      </c>
      <c r="AS474" s="27">
        <f t="shared" si="109"/>
        <v>2.1686559884141765</v>
      </c>
      <c r="AT474" s="27">
        <f t="shared" si="109"/>
        <v>2.149643552660391</v>
      </c>
      <c r="AU474" s="27">
        <f t="shared" si="109"/>
        <v>2.1262374260968961</v>
      </c>
      <c r="AV474" s="27">
        <f t="shared" si="109"/>
        <v>2.0967029621040374</v>
      </c>
      <c r="AW474" s="27">
        <f t="shared" si="109"/>
        <v>2.0657200323386067</v>
      </c>
      <c r="AY474" s="79"/>
    </row>
    <row r="475" spans="1:51" x14ac:dyDescent="0.3">
      <c r="A475" s="95" t="str">
        <f t="shared" si="108"/>
        <v>PQ Swine</v>
      </c>
      <c r="B475" s="95" t="s">
        <v>968</v>
      </c>
      <c r="C475" s="95" t="s">
        <v>155</v>
      </c>
      <c r="D475" t="s">
        <v>15</v>
      </c>
      <c r="E475" t="s">
        <v>16</v>
      </c>
      <c r="F475" t="s">
        <v>21</v>
      </c>
      <c r="G475" t="s">
        <v>123</v>
      </c>
      <c r="H475" t="s">
        <v>1020</v>
      </c>
      <c r="I475" t="s">
        <v>121</v>
      </c>
      <c r="J475" t="s">
        <v>286</v>
      </c>
      <c r="K475" s="27">
        <f t="shared" si="110"/>
        <v>0.25496723934882604</v>
      </c>
      <c r="L475" s="27">
        <f t="shared" si="109"/>
        <v>0.25358132281546886</v>
      </c>
      <c r="M475" s="27">
        <f t="shared" si="109"/>
        <v>0.25369507454499335</v>
      </c>
      <c r="N475" s="27">
        <f t="shared" si="109"/>
        <v>0.25136595935447842</v>
      </c>
      <c r="O475" s="27">
        <f t="shared" si="109"/>
        <v>0.247561977044127</v>
      </c>
      <c r="P475" s="27">
        <f t="shared" si="109"/>
        <v>0.24234393830437836</v>
      </c>
      <c r="Q475" s="27">
        <f t="shared" si="109"/>
        <v>0.23855506351363695</v>
      </c>
      <c r="R475" s="27">
        <f t="shared" si="109"/>
        <v>0.23510145332951485</v>
      </c>
      <c r="S475" s="27">
        <f t="shared" si="109"/>
        <v>0.2075828054521873</v>
      </c>
      <c r="T475" s="27">
        <f t="shared" si="109"/>
        <v>0.21020783059814849</v>
      </c>
      <c r="U475" s="27">
        <f t="shared" si="109"/>
        <v>0.21584061925595663</v>
      </c>
      <c r="V475" s="27">
        <f t="shared" si="109"/>
        <v>0.21635204720298934</v>
      </c>
      <c r="W475" s="27">
        <f t="shared" si="109"/>
        <v>0.21745957283938341</v>
      </c>
      <c r="X475" s="27">
        <f t="shared" si="109"/>
        <v>0.21932171300906883</v>
      </c>
      <c r="Y475" s="27">
        <f t="shared" si="109"/>
        <v>0.22165832671768446</v>
      </c>
      <c r="Z475" s="27">
        <f t="shared" si="109"/>
        <v>0.22452164872958766</v>
      </c>
      <c r="AA475" s="27">
        <f t="shared" si="109"/>
        <v>0.22741845442425518</v>
      </c>
      <c r="AB475" s="27">
        <f t="shared" si="109"/>
        <v>0.23076295281978809</v>
      </c>
      <c r="AC475" s="27">
        <f t="shared" si="109"/>
        <v>0.23408436756519632</v>
      </c>
      <c r="AD475" s="27">
        <f t="shared" si="109"/>
        <v>0.23821375329882435</v>
      </c>
      <c r="AE475" s="27">
        <f t="shared" si="109"/>
        <v>0.24201515446886457</v>
      </c>
      <c r="AF475" s="27">
        <f t="shared" si="109"/>
        <v>0.24606014923473155</v>
      </c>
      <c r="AG475" s="27">
        <f t="shared" si="109"/>
        <v>0.2509945151521249</v>
      </c>
      <c r="AH475" s="27">
        <f t="shared" si="109"/>
        <v>0.25523151354353607</v>
      </c>
      <c r="AI475" s="27">
        <f t="shared" si="109"/>
        <v>0.25980470131736011</v>
      </c>
      <c r="AJ475" s="27">
        <f t="shared" si="109"/>
        <v>0.26476812173266839</v>
      </c>
      <c r="AK475" s="27">
        <f t="shared" si="109"/>
        <v>0.26890873935043363</v>
      </c>
      <c r="AL475" s="27">
        <f t="shared" si="109"/>
        <v>0.27279174986956156</v>
      </c>
      <c r="AM475" s="27">
        <f t="shared" si="109"/>
        <v>0.27644847057070121</v>
      </c>
      <c r="AN475" s="27">
        <f t="shared" si="109"/>
        <v>0.28067074274128789</v>
      </c>
      <c r="AO475" s="27">
        <f t="shared" si="109"/>
        <v>0.28433301955890389</v>
      </c>
      <c r="AP475" s="27">
        <f t="shared" si="109"/>
        <v>0.28811341956630698</v>
      </c>
      <c r="AQ475" s="27">
        <f t="shared" si="109"/>
        <v>0.29204045745278195</v>
      </c>
      <c r="AR475" s="27">
        <f t="shared" si="109"/>
        <v>0.29616327026464162</v>
      </c>
      <c r="AS475" s="27">
        <f t="shared" si="109"/>
        <v>0.30049249710604664</v>
      </c>
      <c r="AT475" s="27">
        <f t="shared" si="109"/>
        <v>0.2978581031190588</v>
      </c>
      <c r="AU475" s="27">
        <f t="shared" si="109"/>
        <v>0.29461491219517799</v>
      </c>
      <c r="AV475" s="27">
        <f t="shared" si="109"/>
        <v>0.2905225688805555</v>
      </c>
      <c r="AW475" s="27">
        <f t="shared" si="109"/>
        <v>0.28622952379520583</v>
      </c>
      <c r="AY475" s="79"/>
    </row>
    <row r="476" spans="1:51" x14ac:dyDescent="0.3">
      <c r="A476" s="95" t="str">
        <f t="shared" si="108"/>
        <v>PQ Cattle MMCH4</v>
      </c>
      <c r="B476" s="95" t="s">
        <v>968</v>
      </c>
      <c r="C476" s="95" t="s">
        <v>1229</v>
      </c>
      <c r="D476" t="s">
        <v>15</v>
      </c>
      <c r="E476" t="s">
        <v>22</v>
      </c>
      <c r="F476" t="s">
        <v>6</v>
      </c>
      <c r="G476" t="s">
        <v>136</v>
      </c>
      <c r="H476" t="s">
        <v>1227</v>
      </c>
      <c r="I476" t="s">
        <v>121</v>
      </c>
      <c r="J476" t="s">
        <v>286</v>
      </c>
      <c r="K476" s="27">
        <f t="shared" si="110"/>
        <v>7.351330651107908</v>
      </c>
      <c r="L476" s="27">
        <f t="shared" si="109"/>
        <v>7.392428348789597</v>
      </c>
      <c r="M476" s="27">
        <f t="shared" si="109"/>
        <v>7.4507389435191715</v>
      </c>
      <c r="N476" s="27">
        <f t="shared" si="109"/>
        <v>7.4882097119910753</v>
      </c>
      <c r="O476" s="27">
        <f t="shared" si="109"/>
        <v>7.5131092090175429</v>
      </c>
      <c r="P476" s="27">
        <f t="shared" si="109"/>
        <v>7.5251923679492405</v>
      </c>
      <c r="Q476" s="27">
        <f t="shared" si="109"/>
        <v>7.5518885629203734</v>
      </c>
      <c r="R476" s="27">
        <f t="shared" si="109"/>
        <v>7.5825135825669046</v>
      </c>
      <c r="S476" s="27">
        <f t="shared" si="109"/>
        <v>7.3545862604907306</v>
      </c>
      <c r="T476" s="27">
        <f t="shared" si="109"/>
        <v>7.4319206101094348</v>
      </c>
      <c r="U476" s="27">
        <f t="shared" si="109"/>
        <v>7.5451176350008202</v>
      </c>
      <c r="V476" s="27">
        <f t="shared" si="109"/>
        <v>7.6037903760515064</v>
      </c>
      <c r="W476" s="27">
        <f t="shared" si="109"/>
        <v>7.6708455087945229</v>
      </c>
      <c r="X476" s="27">
        <f t="shared" si="109"/>
        <v>7.748454799455617</v>
      </c>
      <c r="Y476" s="27">
        <f t="shared" si="109"/>
        <v>7.8277085285324004</v>
      </c>
      <c r="Z476" s="27">
        <f t="shared" si="109"/>
        <v>7.9154321855609755</v>
      </c>
      <c r="AA476" s="27">
        <f t="shared" si="109"/>
        <v>8.0058732816474745</v>
      </c>
      <c r="AB476" s="27">
        <f t="shared" si="109"/>
        <v>8.10422418278708</v>
      </c>
      <c r="AC476" s="27">
        <f t="shared" si="109"/>
        <v>8.2047936963570631</v>
      </c>
      <c r="AD476" s="27">
        <f t="shared" si="109"/>
        <v>8.3134419507553705</v>
      </c>
      <c r="AE476" s="27">
        <f t="shared" si="109"/>
        <v>8.4206197210713736</v>
      </c>
      <c r="AF476" s="27">
        <f t="shared" si="109"/>
        <v>8.5337450585207524</v>
      </c>
      <c r="AG476" s="27">
        <f t="shared" si="109"/>
        <v>8.6617085162438627</v>
      </c>
      <c r="AH476" s="27">
        <f t="shared" si="109"/>
        <v>8.7833723342601697</v>
      </c>
      <c r="AI476" s="27">
        <f t="shared" si="109"/>
        <v>8.9081379352092647</v>
      </c>
      <c r="AJ476" s="27">
        <f t="shared" si="109"/>
        <v>9.0415690981618067</v>
      </c>
      <c r="AK476" s="27">
        <f t="shared" si="109"/>
        <v>9.1665780174046034</v>
      </c>
      <c r="AL476" s="27">
        <f t="shared" si="109"/>
        <v>9.290908547616274</v>
      </c>
      <c r="AM476" s="27">
        <f t="shared" si="109"/>
        <v>9.414906513410104</v>
      </c>
      <c r="AN476" s="27">
        <f t="shared" si="109"/>
        <v>9.5460926435688069</v>
      </c>
      <c r="AO476" s="27">
        <f t="shared" si="109"/>
        <v>9.6720022033758184</v>
      </c>
      <c r="AP476" s="27">
        <f t="shared" si="109"/>
        <v>9.8028010066851721</v>
      </c>
      <c r="AQ476" s="27">
        <f t="shared" si="109"/>
        <v>9.939085602989195</v>
      </c>
      <c r="AR476" s="27">
        <f t="shared" si="109"/>
        <v>10.081815307121353</v>
      </c>
      <c r="AS476" s="27">
        <f t="shared" si="109"/>
        <v>10.227069711733948</v>
      </c>
      <c r="AT476" s="27">
        <f t="shared" si="109"/>
        <v>10.261508370245586</v>
      </c>
      <c r="AU476" s="27">
        <f t="shared" si="109"/>
        <v>10.28601825816002</v>
      </c>
      <c r="AV476" s="27">
        <f t="shared" si="109"/>
        <v>10.296060407046117</v>
      </c>
      <c r="AW476" s="27">
        <f t="shared" si="109"/>
        <v>10.302124127636974</v>
      </c>
      <c r="AY476" s="79"/>
    </row>
    <row r="477" spans="1:51" x14ac:dyDescent="0.3">
      <c r="A477" s="95" t="str">
        <f t="shared" si="108"/>
        <v>PQ Cattle MMCH4</v>
      </c>
      <c r="B477" s="95" t="s">
        <v>968</v>
      </c>
      <c r="C477" s="95" t="s">
        <v>1229</v>
      </c>
      <c r="D477" t="s">
        <v>15</v>
      </c>
      <c r="E477" t="s">
        <v>22</v>
      </c>
      <c r="F477" t="s">
        <v>6</v>
      </c>
      <c r="G477" t="s">
        <v>137</v>
      </c>
      <c r="H477" t="s">
        <v>1227</v>
      </c>
      <c r="I477" t="s">
        <v>121</v>
      </c>
      <c r="J477" t="s">
        <v>286</v>
      </c>
      <c r="K477" s="27">
        <f t="shared" si="110"/>
        <v>2.0944490884992821</v>
      </c>
      <c r="L477" s="27">
        <f t="shared" si="109"/>
        <v>2.1061581299686467</v>
      </c>
      <c r="M477" s="27">
        <f t="shared" si="109"/>
        <v>2.1227712545548472</v>
      </c>
      <c r="N477" s="27">
        <f t="shared" si="109"/>
        <v>2.1334469567638776</v>
      </c>
      <c r="O477" s="27">
        <f t="shared" si="109"/>
        <v>2.1405410097083357</v>
      </c>
      <c r="P477" s="27">
        <f t="shared" si="109"/>
        <v>2.143983592066792</v>
      </c>
      <c r="Q477" s="27">
        <f t="shared" si="109"/>
        <v>2.151589537694508</v>
      </c>
      <c r="R477" s="27">
        <f t="shared" si="109"/>
        <v>2.1603148348588084</v>
      </c>
      <c r="S477" s="27">
        <f t="shared" si="109"/>
        <v>2.0953766359635408</v>
      </c>
      <c r="T477" s="27">
        <f t="shared" si="109"/>
        <v>2.117409770610283</v>
      </c>
      <c r="U477" s="27">
        <f t="shared" si="109"/>
        <v>2.149660449685487</v>
      </c>
      <c r="V477" s="27">
        <f t="shared" si="109"/>
        <v>2.1663767524673299</v>
      </c>
      <c r="W477" s="27">
        <f t="shared" si="109"/>
        <v>2.1854812613403793</v>
      </c>
      <c r="X477" s="27">
        <f t="shared" si="109"/>
        <v>2.207592728746584</v>
      </c>
      <c r="Y477" s="27">
        <f t="shared" si="109"/>
        <v>2.23017270895738</v>
      </c>
      <c r="Z477" s="27">
        <f t="shared" si="109"/>
        <v>2.2551658349944512</v>
      </c>
      <c r="AA477" s="27">
        <f t="shared" si="109"/>
        <v>2.2809331797448467</v>
      </c>
      <c r="AB477" s="27">
        <f t="shared" si="109"/>
        <v>2.3089540871181105</v>
      </c>
      <c r="AC477" s="27">
        <f t="shared" si="109"/>
        <v>2.3376070937674198</v>
      </c>
      <c r="AD477" s="27">
        <f t="shared" si="109"/>
        <v>2.3685617941055517</v>
      </c>
      <c r="AE477" s="27">
        <f t="shared" si="109"/>
        <v>2.3990975425298058</v>
      </c>
      <c r="AF477" s="27">
        <f t="shared" si="109"/>
        <v>2.4313277973165794</v>
      </c>
      <c r="AG477" s="27">
        <f t="shared" si="109"/>
        <v>2.4677855435545331</v>
      </c>
      <c r="AH477" s="27">
        <f t="shared" si="109"/>
        <v>2.5024484753203891</v>
      </c>
      <c r="AI477" s="27">
        <f t="shared" si="109"/>
        <v>2.5379951282443072</v>
      </c>
      <c r="AJ477" s="27">
        <f t="shared" si="109"/>
        <v>2.5760106645991079</v>
      </c>
      <c r="AK477" s="27">
        <f t="shared" si="109"/>
        <v>2.6116266407248583</v>
      </c>
      <c r="AL477" s="27">
        <f t="shared" si="109"/>
        <v>2.6470493387414713</v>
      </c>
      <c r="AM477" s="27">
        <f t="shared" si="109"/>
        <v>2.6823772866679478</v>
      </c>
      <c r="AN477" s="27">
        <f t="shared" si="109"/>
        <v>2.719753196387535</v>
      </c>
      <c r="AO477" s="27">
        <f t="shared" si="109"/>
        <v>2.755625771746582</v>
      </c>
      <c r="AP477" s="27">
        <f t="shared" si="109"/>
        <v>2.792891329149688</v>
      </c>
      <c r="AQ477" s="27">
        <f t="shared" si="109"/>
        <v>2.8317198300092477</v>
      </c>
      <c r="AR477" s="27">
        <f t="shared" si="109"/>
        <v>2.8723845902967362</v>
      </c>
      <c r="AS477" s="27">
        <f t="shared" si="109"/>
        <v>2.9137686566351899</v>
      </c>
      <c r="AT477" s="27">
        <f t="shared" si="109"/>
        <v>2.9235804880371647</v>
      </c>
      <c r="AU477" s="27">
        <f t="shared" si="109"/>
        <v>2.9305635384314317</v>
      </c>
      <c r="AV477" s="27">
        <f t="shared" si="109"/>
        <v>2.9334246217616835</v>
      </c>
      <c r="AW477" s="27">
        <f t="shared" si="109"/>
        <v>2.9351522211130368</v>
      </c>
      <c r="AY477" s="79"/>
    </row>
    <row r="478" spans="1:51" x14ac:dyDescent="0.3">
      <c r="A478" s="95" t="str">
        <f t="shared" si="108"/>
        <v>PQ Cattle MMCH4</v>
      </c>
      <c r="B478" s="95" t="s">
        <v>968</v>
      </c>
      <c r="C478" s="95" t="s">
        <v>1229</v>
      </c>
      <c r="D478" t="s">
        <v>15</v>
      </c>
      <c r="E478" t="s">
        <v>22</v>
      </c>
      <c r="F478" t="s">
        <v>67</v>
      </c>
      <c r="G478" t="s">
        <v>307</v>
      </c>
      <c r="H478" t="s">
        <v>1227</v>
      </c>
      <c r="I478" t="s">
        <v>121</v>
      </c>
      <c r="J478" t="s">
        <v>286</v>
      </c>
      <c r="K478" s="27">
        <f t="shared" si="110"/>
        <v>0.43258377187145641</v>
      </c>
      <c r="L478" s="27">
        <f t="shared" si="109"/>
        <v>0.43500213637199736</v>
      </c>
      <c r="M478" s="27">
        <f t="shared" si="109"/>
        <v>0.43843338143569016</v>
      </c>
      <c r="N478" s="27">
        <f t="shared" si="109"/>
        <v>0.44063832189202168</v>
      </c>
      <c r="O478" s="27">
        <f t="shared" si="109"/>
        <v>0.44210351490980387</v>
      </c>
      <c r="P478" s="27">
        <f t="shared" si="109"/>
        <v>0.44281453971808232</v>
      </c>
      <c r="Q478" s="27">
        <f t="shared" si="109"/>
        <v>0.44438545813589125</v>
      </c>
      <c r="R478" s="27">
        <f t="shared" si="109"/>
        <v>0.44618756541973886</v>
      </c>
      <c r="S478" s="27">
        <f t="shared" si="109"/>
        <v>0.43277534586715866</v>
      </c>
      <c r="T478" s="27">
        <f t="shared" si="109"/>
        <v>0.4373260301229735</v>
      </c>
      <c r="U478" s="27">
        <f t="shared" si="109"/>
        <v>0.44398702774586812</v>
      </c>
      <c r="V478" s="27">
        <f t="shared" si="109"/>
        <v>0.44743958304970527</v>
      </c>
      <c r="W478" s="27">
        <f t="shared" si="109"/>
        <v>0.45138539417179691</v>
      </c>
      <c r="X478" s="27">
        <f t="shared" si="109"/>
        <v>0.45595225713576731</v>
      </c>
      <c r="Y478" s="27">
        <f t="shared" si="109"/>
        <v>0.46061588589714619</v>
      </c>
      <c r="Z478" s="27">
        <f t="shared" si="109"/>
        <v>0.46577792148509239</v>
      </c>
      <c r="AA478" s="27">
        <f t="shared" si="109"/>
        <v>0.47109986282252775</v>
      </c>
      <c r="AB478" s="27">
        <f t="shared" si="109"/>
        <v>0.47688725095688084</v>
      </c>
      <c r="AC478" s="27">
        <f t="shared" si="109"/>
        <v>0.48280519174612069</v>
      </c>
      <c r="AD478" s="27">
        <f t="shared" si="109"/>
        <v>0.48919852023662819</v>
      </c>
      <c r="AE478" s="27">
        <f t="shared" si="109"/>
        <v>0.4955053191475276</v>
      </c>
      <c r="AF478" s="27">
        <f t="shared" si="109"/>
        <v>0.50216209837438885</v>
      </c>
      <c r="AG478" s="27">
        <f t="shared" si="109"/>
        <v>0.50969201613087478</v>
      </c>
      <c r="AH478" s="27">
        <f t="shared" si="109"/>
        <v>0.51685123611370132</v>
      </c>
      <c r="AI478" s="27">
        <f t="shared" si="109"/>
        <v>0.52419297828526779</v>
      </c>
      <c r="AJ478" s="27">
        <f t="shared" si="109"/>
        <v>0.53204463922865186</v>
      </c>
      <c r="AK478" s="27">
        <f t="shared" si="109"/>
        <v>0.53940069929044132</v>
      </c>
      <c r="AL478" s="27">
        <f t="shared" si="109"/>
        <v>0.54671684003696541</v>
      </c>
      <c r="AM478" s="27">
        <f t="shared" si="109"/>
        <v>0.55401341126919512</v>
      </c>
      <c r="AN478" s="27">
        <f t="shared" si="109"/>
        <v>0.56173296487038149</v>
      </c>
      <c r="AO478" s="27">
        <f t="shared" si="109"/>
        <v>0.56914202247926249</v>
      </c>
      <c r="AP478" s="27">
        <f t="shared" si="109"/>
        <v>0.57683878411020695</v>
      </c>
      <c r="AQ478" s="27">
        <f t="shared" si="109"/>
        <v>0.58485835328960278</v>
      </c>
      <c r="AR478" s="27">
        <f t="shared" si="109"/>
        <v>0.59325718020977147</v>
      </c>
      <c r="AS478" s="27">
        <f t="shared" si="109"/>
        <v>0.60180457131627674</v>
      </c>
      <c r="AT478" s="27">
        <f t="shared" si="109"/>
        <v>0.60383108943989172</v>
      </c>
      <c r="AU478" s="27">
        <f t="shared" si="109"/>
        <v>0.60527335618932376</v>
      </c>
      <c r="AV478" s="27">
        <f t="shared" si="109"/>
        <v>0.60586427922747954</v>
      </c>
      <c r="AW478" s="27">
        <f t="shared" si="109"/>
        <v>0.60622109451021655</v>
      </c>
      <c r="AY478" s="79"/>
    </row>
    <row r="479" spans="1:51" x14ac:dyDescent="0.3">
      <c r="A479" s="95" t="str">
        <f t="shared" si="108"/>
        <v>PQ Cattle MMCH4</v>
      </c>
      <c r="B479" s="95" t="s">
        <v>968</v>
      </c>
      <c r="C479" s="95" t="s">
        <v>1229</v>
      </c>
      <c r="D479" t="s">
        <v>15</v>
      </c>
      <c r="E479" t="s">
        <v>22</v>
      </c>
      <c r="F479" t="s">
        <v>67</v>
      </c>
      <c r="G479" t="s">
        <v>122</v>
      </c>
      <c r="H479" t="s">
        <v>1227</v>
      </c>
      <c r="I479" t="s">
        <v>121</v>
      </c>
      <c r="J479" t="s">
        <v>286</v>
      </c>
      <c r="K479" s="27">
        <f t="shared" si="110"/>
        <v>9.4871637196006553E-2</v>
      </c>
      <c r="L479" s="27">
        <f t="shared" si="109"/>
        <v>9.404884578461549E-2</v>
      </c>
      <c r="M479" s="27">
        <f t="shared" si="109"/>
        <v>9.3735634002294246E-2</v>
      </c>
      <c r="N479" s="27">
        <f t="shared" si="109"/>
        <v>9.2483917307495084E-2</v>
      </c>
      <c r="O479" s="27">
        <f t="shared" si="109"/>
        <v>9.0667019955957343E-2</v>
      </c>
      <c r="P479" s="27">
        <f t="shared" ref="L479:AW485" si="111">P1396</f>
        <v>8.8322512540543865E-2</v>
      </c>
      <c r="Q479" s="27">
        <f t="shared" si="111"/>
        <v>8.6473330972337892E-2</v>
      </c>
      <c r="R479" s="27">
        <f t="shared" si="111"/>
        <v>8.4723794986300283E-2</v>
      </c>
      <c r="S479" s="27">
        <f t="shared" si="111"/>
        <v>7.4532240818123416E-2</v>
      </c>
      <c r="T479" s="27">
        <f t="shared" si="111"/>
        <v>7.5742869009566477E-2</v>
      </c>
      <c r="U479" s="27">
        <f t="shared" si="111"/>
        <v>7.8001334092155483E-2</v>
      </c>
      <c r="V479" s="27">
        <f t="shared" si="111"/>
        <v>7.8452375655366738E-2</v>
      </c>
      <c r="W479" s="27">
        <f t="shared" si="111"/>
        <v>7.9102907310080586E-2</v>
      </c>
      <c r="X479" s="27">
        <f t="shared" si="111"/>
        <v>8.0010413317847237E-2</v>
      </c>
      <c r="Y479" s="27">
        <f t="shared" si="111"/>
        <v>8.1051364115397456E-2</v>
      </c>
      <c r="Z479" s="27">
        <f t="shared" si="111"/>
        <v>8.2271824268517132E-2</v>
      </c>
      <c r="AA479" s="27">
        <f t="shared" si="111"/>
        <v>8.3497913456907769E-2</v>
      </c>
      <c r="AB479" s="27">
        <f t="shared" si="111"/>
        <v>8.4876885462998888E-2</v>
      </c>
      <c r="AC479" s="27">
        <f t="shared" si="111"/>
        <v>8.6242172681273321E-2</v>
      </c>
      <c r="AD479" s="27">
        <f t="shared" si="111"/>
        <v>8.7131524640671032E-2</v>
      </c>
      <c r="AE479" s="27">
        <f t="shared" si="111"/>
        <v>8.7861744576890749E-2</v>
      </c>
      <c r="AF479" s="27">
        <f t="shared" si="111"/>
        <v>8.863318056494178E-2</v>
      </c>
      <c r="AG479" s="27">
        <f t="shared" si="111"/>
        <v>8.9665353249555477E-2</v>
      </c>
      <c r="AH479" s="27">
        <f t="shared" si="111"/>
        <v>9.0407657135718758E-2</v>
      </c>
      <c r="AI479" s="27">
        <f t="shared" si="111"/>
        <v>9.1198770165766427E-2</v>
      </c>
      <c r="AJ479" s="27">
        <f t="shared" si="111"/>
        <v>9.2069621900880569E-2</v>
      </c>
      <c r="AK479" s="27">
        <f t="shared" si="111"/>
        <v>9.2612278465111636E-2</v>
      </c>
      <c r="AL479" s="27">
        <f t="shared" si="111"/>
        <v>9.3019389326395155E-2</v>
      </c>
      <c r="AM479" s="27">
        <f t="shared" si="111"/>
        <v>9.3302561003725443E-2</v>
      </c>
      <c r="AN479" s="27">
        <f t="shared" si="111"/>
        <v>9.4182866906307741E-2</v>
      </c>
      <c r="AO479" s="27">
        <f t="shared" si="111"/>
        <v>9.4852010834144421E-2</v>
      </c>
      <c r="AP479" s="27">
        <f t="shared" si="111"/>
        <v>9.5529601297703756E-2</v>
      </c>
      <c r="AQ479" s="27">
        <f t="shared" si="111"/>
        <v>9.6223389625578193E-2</v>
      </c>
      <c r="AR479" s="27">
        <f t="shared" si="111"/>
        <v>9.6947366282069555E-2</v>
      </c>
      <c r="AS479" s="27">
        <f t="shared" si="111"/>
        <v>9.7690698003963641E-2</v>
      </c>
      <c r="AT479" s="27">
        <f t="shared" si="111"/>
        <v>9.6224389596631696E-2</v>
      </c>
      <c r="AU479" s="27">
        <f t="shared" si="111"/>
        <v>9.4563308773857144E-2</v>
      </c>
      <c r="AV479" s="27">
        <f t="shared" si="111"/>
        <v>9.2637583282449518E-2</v>
      </c>
      <c r="AW479" s="27">
        <f t="shared" si="111"/>
        <v>9.065150695451285E-2</v>
      </c>
      <c r="AY479" s="79"/>
    </row>
    <row r="480" spans="1:51" x14ac:dyDescent="0.3">
      <c r="A480" s="95" t="str">
        <f t="shared" si="108"/>
        <v>PQ Cattle MMCH4</v>
      </c>
      <c r="B480" s="95" t="s">
        <v>968</v>
      </c>
      <c r="C480" s="95" t="s">
        <v>1229</v>
      </c>
      <c r="D480" t="s">
        <v>15</v>
      </c>
      <c r="E480" t="s">
        <v>22</v>
      </c>
      <c r="F480" t="s">
        <v>67</v>
      </c>
      <c r="G480" t="s">
        <v>123</v>
      </c>
      <c r="H480" t="s">
        <v>1227</v>
      </c>
      <c r="I480" t="s">
        <v>121</v>
      </c>
      <c r="J480" t="s">
        <v>286</v>
      </c>
      <c r="K480" s="27">
        <f t="shared" si="110"/>
        <v>6.9689449734106304E-2</v>
      </c>
      <c r="L480" s="27">
        <f t="shared" si="111"/>
        <v>6.9085055392440989E-2</v>
      </c>
      <c r="M480" s="27">
        <f t="shared" si="111"/>
        <v>6.8854980763127793E-2</v>
      </c>
      <c r="N480" s="27">
        <f t="shared" si="111"/>
        <v>6.7935512624264269E-2</v>
      </c>
      <c r="O480" s="27">
        <f t="shared" si="111"/>
        <v>6.660088216573827E-2</v>
      </c>
      <c r="P480" s="27">
        <f t="shared" si="111"/>
        <v>6.4878687456057696E-2</v>
      </c>
      <c r="Q480" s="27">
        <f t="shared" si="111"/>
        <v>6.3520342119606069E-2</v>
      </c>
      <c r="R480" s="27">
        <f t="shared" si="111"/>
        <v>6.2235193009075998E-2</v>
      </c>
      <c r="S480" s="27">
        <f t="shared" si="111"/>
        <v>5.4748826979066356E-2</v>
      </c>
      <c r="T480" s="27">
        <f t="shared" si="111"/>
        <v>5.5638112913069561E-2</v>
      </c>
      <c r="U480" s="27">
        <f t="shared" si="111"/>
        <v>5.7297103877082825E-2</v>
      </c>
      <c r="V480" s="27">
        <f t="shared" si="111"/>
        <v>5.7628423534637221E-2</v>
      </c>
      <c r="W480" s="27">
        <f t="shared" si="111"/>
        <v>5.8106281769105768E-2</v>
      </c>
      <c r="X480" s="27">
        <f t="shared" si="111"/>
        <v>5.8772904546796331E-2</v>
      </c>
      <c r="Y480" s="27">
        <f t="shared" si="111"/>
        <v>5.9537551288705921E-2</v>
      </c>
      <c r="Z480" s="27">
        <f t="shared" si="111"/>
        <v>6.0434059444432087E-2</v>
      </c>
      <c r="AA480" s="27">
        <f t="shared" si="111"/>
        <v>6.1334702496341778E-2</v>
      </c>
      <c r="AB480" s="27">
        <f t="shared" si="111"/>
        <v>6.2347648020879123E-2</v>
      </c>
      <c r="AC480" s="27">
        <f t="shared" si="111"/>
        <v>6.3350541169797603E-2</v>
      </c>
      <c r="AD480" s="27">
        <f t="shared" si="111"/>
        <v>6.4003828606403412E-2</v>
      </c>
      <c r="AE480" s="27">
        <f t="shared" si="111"/>
        <v>6.4540223118441709E-2</v>
      </c>
      <c r="AF480" s="27">
        <f t="shared" si="111"/>
        <v>6.5106893528074167E-2</v>
      </c>
      <c r="AG480" s="27">
        <f t="shared" si="111"/>
        <v>6.5865092169388781E-2</v>
      </c>
      <c r="AH480" s="27">
        <f t="shared" si="111"/>
        <v>6.641036313646749E-2</v>
      </c>
      <c r="AI480" s="27">
        <f t="shared" si="111"/>
        <v>6.6991487626051227E-2</v>
      </c>
      <c r="AJ480" s="27">
        <f t="shared" si="111"/>
        <v>6.7631185432622337E-2</v>
      </c>
      <c r="AK480" s="27">
        <f t="shared" si="111"/>
        <v>6.8029802326707703E-2</v>
      </c>
      <c r="AL480" s="27">
        <f t="shared" si="111"/>
        <v>6.832885199784397E-2</v>
      </c>
      <c r="AM480" s="27">
        <f t="shared" si="111"/>
        <v>6.8536860196676486E-2</v>
      </c>
      <c r="AN480" s="27">
        <f t="shared" si="111"/>
        <v>6.9183502710306752E-2</v>
      </c>
      <c r="AO480" s="27">
        <f t="shared" si="111"/>
        <v>6.9675032882043061E-2</v>
      </c>
      <c r="AP480" s="27">
        <f t="shared" si="111"/>
        <v>7.0172767589129104E-2</v>
      </c>
      <c r="AQ480" s="27">
        <f t="shared" si="111"/>
        <v>7.0682400691608652E-2</v>
      </c>
      <c r="AR480" s="27">
        <f t="shared" si="111"/>
        <v>7.1214209104559126E-2</v>
      </c>
      <c r="AS480" s="27">
        <f t="shared" si="111"/>
        <v>7.1760235084501689E-2</v>
      </c>
      <c r="AT480" s="27">
        <f t="shared" si="111"/>
        <v>7.0683135236036573E-2</v>
      </c>
      <c r="AU480" s="27">
        <f t="shared" si="111"/>
        <v>6.9462962253632216E-2</v>
      </c>
      <c r="AV480" s="27">
        <f t="shared" si="111"/>
        <v>6.8048390377341353E-2</v>
      </c>
      <c r="AW480" s="27">
        <f t="shared" si="111"/>
        <v>6.658948684711255E-2</v>
      </c>
      <c r="AY480" s="79"/>
    </row>
    <row r="481" spans="1:51" x14ac:dyDescent="0.3">
      <c r="A481" s="95" t="str">
        <f t="shared" si="108"/>
        <v>PQ Cattle MMCH4</v>
      </c>
      <c r="B481" s="95" t="s">
        <v>968</v>
      </c>
      <c r="C481" s="95" t="s">
        <v>1229</v>
      </c>
      <c r="D481" t="s">
        <v>15</v>
      </c>
      <c r="E481" t="s">
        <v>22</v>
      </c>
      <c r="F481" t="s">
        <v>67</v>
      </c>
      <c r="G481" t="s">
        <v>135</v>
      </c>
      <c r="H481" t="s">
        <v>1227</v>
      </c>
      <c r="I481" t="s">
        <v>121</v>
      </c>
      <c r="J481" t="s">
        <v>286</v>
      </c>
      <c r="K481" s="27">
        <f t="shared" si="110"/>
        <v>0.47107022937833831</v>
      </c>
      <c r="L481" s="27">
        <f t="shared" si="111"/>
        <v>0.48695387967725939</v>
      </c>
      <c r="M481" s="27">
        <f t="shared" si="111"/>
        <v>0.50580611066616787</v>
      </c>
      <c r="N481" s="27">
        <f t="shared" si="111"/>
        <v>0.51986569055899412</v>
      </c>
      <c r="O481" s="27">
        <f t="shared" si="111"/>
        <v>0.5307082628613855</v>
      </c>
      <c r="P481" s="27">
        <f t="shared" si="111"/>
        <v>0.53817886796858128</v>
      </c>
      <c r="Q481" s="27">
        <f t="shared" si="111"/>
        <v>0.54837935702304741</v>
      </c>
      <c r="R481" s="27">
        <f t="shared" si="111"/>
        <v>0.55907244781022658</v>
      </c>
      <c r="S481" s="27">
        <f t="shared" si="111"/>
        <v>0.5116979963243764</v>
      </c>
      <c r="T481" s="27">
        <f t="shared" si="111"/>
        <v>0.53253794371544794</v>
      </c>
      <c r="U481" s="27">
        <f t="shared" si="111"/>
        <v>0.56144831136588025</v>
      </c>
      <c r="V481" s="27">
        <f t="shared" si="111"/>
        <v>0.57794253443008525</v>
      </c>
      <c r="W481" s="27">
        <f t="shared" si="111"/>
        <v>0.59624482437454274</v>
      </c>
      <c r="X481" s="27">
        <f t="shared" si="111"/>
        <v>0.61691451225743765</v>
      </c>
      <c r="Y481" s="27">
        <f t="shared" si="111"/>
        <v>0.63912634684399761</v>
      </c>
      <c r="Z481" s="27">
        <f t="shared" si="111"/>
        <v>0.66333849990898774</v>
      </c>
      <c r="AA481" s="27">
        <f t="shared" si="111"/>
        <v>0.68823157042214766</v>
      </c>
      <c r="AB481" s="27">
        <f t="shared" si="111"/>
        <v>0.71506797281834467</v>
      </c>
      <c r="AC481" s="27">
        <f t="shared" si="111"/>
        <v>0.74251772868278199</v>
      </c>
      <c r="AD481" s="27">
        <f t="shared" si="111"/>
        <v>0.7750525944257971</v>
      </c>
      <c r="AE481" s="27">
        <f t="shared" si="111"/>
        <v>0.80751598640792854</v>
      </c>
      <c r="AF481" s="27">
        <f t="shared" si="111"/>
        <v>0.84174152680537817</v>
      </c>
      <c r="AG481" s="27">
        <f t="shared" si="111"/>
        <v>0.88000003569074847</v>
      </c>
      <c r="AH481" s="27">
        <f t="shared" si="111"/>
        <v>0.91704807287784318</v>
      </c>
      <c r="AI481" s="27">
        <f t="shared" si="111"/>
        <v>0.95623961354371867</v>
      </c>
      <c r="AJ481" s="27">
        <f t="shared" si="111"/>
        <v>0.99805792050769693</v>
      </c>
      <c r="AK481" s="27">
        <f t="shared" si="111"/>
        <v>1.0381239689146564</v>
      </c>
      <c r="AL481" s="27">
        <f t="shared" si="111"/>
        <v>1.0784102253675423</v>
      </c>
      <c r="AM481" s="27">
        <f t="shared" si="111"/>
        <v>1.1190041069207182</v>
      </c>
      <c r="AN481" s="27">
        <f t="shared" si="111"/>
        <v>1.1614327193697984</v>
      </c>
      <c r="AO481" s="27">
        <f t="shared" si="111"/>
        <v>1.2028013950684227</v>
      </c>
      <c r="AP481" s="27">
        <f t="shared" si="111"/>
        <v>1.2458253070355789</v>
      </c>
      <c r="AQ481" s="27">
        <f t="shared" si="111"/>
        <v>1.2906949248380046</v>
      </c>
      <c r="AR481" s="27">
        <f t="shared" si="111"/>
        <v>1.3377043131160224</v>
      </c>
      <c r="AS481" s="27">
        <f t="shared" si="111"/>
        <v>1.3868240533486631</v>
      </c>
      <c r="AT481" s="27">
        <f t="shared" si="111"/>
        <v>1.4056131138026084</v>
      </c>
      <c r="AU481" s="27">
        <f t="shared" si="111"/>
        <v>1.4216407980502102</v>
      </c>
      <c r="AV481" s="27">
        <f t="shared" si="111"/>
        <v>1.4335765692204958</v>
      </c>
      <c r="AW481" s="27">
        <f t="shared" si="111"/>
        <v>1.4443117800465477</v>
      </c>
      <c r="AY481" s="79"/>
    </row>
    <row r="482" spans="1:51" x14ac:dyDescent="0.3">
      <c r="A482" s="95" t="str">
        <f t="shared" si="108"/>
        <v>PQ Sheep MMCH4</v>
      </c>
      <c r="B482" s="95" t="s">
        <v>968</v>
      </c>
      <c r="C482" s="95" t="s">
        <v>1324</v>
      </c>
      <c r="D482" t="s">
        <v>15</v>
      </c>
      <c r="E482" t="s">
        <v>22</v>
      </c>
      <c r="F482" t="s">
        <v>18</v>
      </c>
      <c r="G482" t="s">
        <v>122</v>
      </c>
      <c r="H482" t="s">
        <v>1227</v>
      </c>
      <c r="I482" t="s">
        <v>121</v>
      </c>
      <c r="J482" t="s">
        <v>286</v>
      </c>
      <c r="K482" s="27">
        <f t="shared" si="110"/>
        <v>3.6054675351507588E-2</v>
      </c>
      <c r="L482" s="27">
        <f t="shared" si="111"/>
        <v>3.6074169999743479E-2</v>
      </c>
      <c r="M482" s="27">
        <f t="shared" si="111"/>
        <v>3.6120780972302438E-2</v>
      </c>
      <c r="N482" s="27">
        <f t="shared" si="111"/>
        <v>3.6189509224973292E-2</v>
      </c>
      <c r="O482" s="27">
        <f t="shared" si="111"/>
        <v>3.6279918010713667E-2</v>
      </c>
      <c r="P482" s="27">
        <f t="shared" si="111"/>
        <v>3.6391052650159628E-2</v>
      </c>
      <c r="Q482" s="27">
        <f t="shared" si="111"/>
        <v>3.6515872019705298E-2</v>
      </c>
      <c r="R482" s="27">
        <f t="shared" si="111"/>
        <v>3.6653588090719266E-2</v>
      </c>
      <c r="S482" s="27">
        <f t="shared" si="111"/>
        <v>3.6779521855622693E-2</v>
      </c>
      <c r="T482" s="27">
        <f t="shared" si="111"/>
        <v>3.6834860200729257E-2</v>
      </c>
      <c r="U482" s="27">
        <f t="shared" si="111"/>
        <v>3.6902440208564632E-2</v>
      </c>
      <c r="V482" s="27">
        <f t="shared" si="111"/>
        <v>3.697347207185564E-2</v>
      </c>
      <c r="W482" s="27">
        <f t="shared" si="111"/>
        <v>3.7053220502968609E-2</v>
      </c>
      <c r="X482" s="27">
        <f t="shared" si="111"/>
        <v>3.714146236421613E-2</v>
      </c>
      <c r="Y482" s="27">
        <f t="shared" si="111"/>
        <v>3.7196571628197998E-2</v>
      </c>
      <c r="Z482" s="27">
        <f t="shared" si="111"/>
        <v>3.7258831126487216E-2</v>
      </c>
      <c r="AA482" s="27">
        <f t="shared" si="111"/>
        <v>3.7327399595166219E-2</v>
      </c>
      <c r="AB482" s="27">
        <f t="shared" si="111"/>
        <v>3.7402465573387562E-2</v>
      </c>
      <c r="AC482" s="27">
        <f t="shared" si="111"/>
        <v>3.7483254267417832E-2</v>
      </c>
      <c r="AD482" s="27">
        <f t="shared" si="111"/>
        <v>3.7537448557312683E-2</v>
      </c>
      <c r="AE482" s="27">
        <f t="shared" si="111"/>
        <v>3.759628261627642E-2</v>
      </c>
      <c r="AF482" s="27">
        <f t="shared" si="111"/>
        <v>3.7660229373785575E-2</v>
      </c>
      <c r="AG482" s="27">
        <f t="shared" si="111"/>
        <v>3.7729913053341259E-2</v>
      </c>
      <c r="AH482" s="27">
        <f t="shared" si="111"/>
        <v>3.7803241196451468E-2</v>
      </c>
      <c r="AI482" s="27">
        <f t="shared" si="111"/>
        <v>3.7850112312391396E-2</v>
      </c>
      <c r="AJ482" s="27">
        <f t="shared" si="111"/>
        <v>3.7901451820370476E-2</v>
      </c>
      <c r="AK482" s="27">
        <f t="shared" si="111"/>
        <v>3.7955566436191537E-2</v>
      </c>
      <c r="AL482" s="27">
        <f t="shared" si="111"/>
        <v>3.8013032265109208E-2</v>
      </c>
      <c r="AM482" s="27">
        <f t="shared" si="111"/>
        <v>3.8073762176342195E-2</v>
      </c>
      <c r="AN482" s="27">
        <f t="shared" si="111"/>
        <v>3.8109645900532299E-2</v>
      </c>
      <c r="AO482" s="27">
        <f t="shared" si="111"/>
        <v>3.8147952211549679E-2</v>
      </c>
      <c r="AP482" s="27">
        <f t="shared" si="111"/>
        <v>3.8189503844275732E-2</v>
      </c>
      <c r="AQ482" s="27">
        <f t="shared" si="111"/>
        <v>3.8234260627096527E-2</v>
      </c>
      <c r="AR482" s="27">
        <f t="shared" si="111"/>
        <v>3.8282221632507191E-2</v>
      </c>
      <c r="AS482" s="27">
        <f t="shared" si="111"/>
        <v>3.8303980390956796E-2</v>
      </c>
      <c r="AT482" s="27">
        <f t="shared" si="111"/>
        <v>3.8318002472277804E-2</v>
      </c>
      <c r="AU482" s="27">
        <f t="shared" si="111"/>
        <v>3.8333373323501507E-2</v>
      </c>
      <c r="AV482" s="27">
        <f t="shared" si="111"/>
        <v>3.8349609063517129E-2</v>
      </c>
      <c r="AW482" s="27">
        <f t="shared" si="111"/>
        <v>3.8367594097231859E-2</v>
      </c>
      <c r="AY482" s="79"/>
    </row>
    <row r="483" spans="1:51" x14ac:dyDescent="0.3">
      <c r="A483" s="95" t="str">
        <f t="shared" si="108"/>
        <v>PQ Sheep MMCH4</v>
      </c>
      <c r="B483" s="95" t="s">
        <v>968</v>
      </c>
      <c r="C483" s="95" t="s">
        <v>1324</v>
      </c>
      <c r="D483" t="s">
        <v>15</v>
      </c>
      <c r="E483" t="s">
        <v>22</v>
      </c>
      <c r="F483" t="s">
        <v>18</v>
      </c>
      <c r="G483" t="s">
        <v>123</v>
      </c>
      <c r="H483" t="s">
        <v>1227</v>
      </c>
      <c r="I483" t="s">
        <v>121</v>
      </c>
      <c r="J483" t="s">
        <v>286</v>
      </c>
      <c r="K483" s="27">
        <f t="shared" si="110"/>
        <v>4.1176157807460215E-3</v>
      </c>
      <c r="L483" s="27">
        <f t="shared" si="111"/>
        <v>4.1198421624963379E-3</v>
      </c>
      <c r="M483" s="27">
        <f t="shared" si="111"/>
        <v>4.1251653577350569E-3</v>
      </c>
      <c r="N483" s="27">
        <f t="shared" si="111"/>
        <v>4.1330144517851795E-3</v>
      </c>
      <c r="O483" s="27">
        <f t="shared" si="111"/>
        <v>4.1433395660526989E-3</v>
      </c>
      <c r="P483" s="27">
        <f t="shared" si="111"/>
        <v>4.1560316716037502E-3</v>
      </c>
      <c r="Q483" s="27">
        <f t="shared" si="111"/>
        <v>4.1702866385608306E-3</v>
      </c>
      <c r="R483" s="27">
        <f t="shared" si="111"/>
        <v>4.1860144702980757E-3</v>
      </c>
      <c r="S483" s="27">
        <f t="shared" si="111"/>
        <v>4.2003967065168081E-3</v>
      </c>
      <c r="T483" s="27">
        <f t="shared" si="111"/>
        <v>4.2067166092997236E-3</v>
      </c>
      <c r="U483" s="27">
        <f t="shared" si="111"/>
        <v>4.2144345683164958E-3</v>
      </c>
      <c r="V483" s="27">
        <f t="shared" si="111"/>
        <v>4.2225467456796619E-3</v>
      </c>
      <c r="W483" s="27">
        <f t="shared" si="111"/>
        <v>4.2316543966358575E-3</v>
      </c>
      <c r="X483" s="27">
        <f t="shared" si="111"/>
        <v>4.2417320377975895E-3</v>
      </c>
      <c r="Y483" s="27">
        <f t="shared" si="111"/>
        <v>4.2480257784241436E-3</v>
      </c>
      <c r="Z483" s="27">
        <f t="shared" si="111"/>
        <v>4.2551361098903872E-3</v>
      </c>
      <c r="AA483" s="27">
        <f t="shared" si="111"/>
        <v>4.2629669558470248E-3</v>
      </c>
      <c r="AB483" s="27">
        <f t="shared" si="111"/>
        <v>4.2715398483639559E-3</v>
      </c>
      <c r="AC483" s="27">
        <f t="shared" si="111"/>
        <v>4.2807663023037507E-3</v>
      </c>
      <c r="AD483" s="27">
        <f t="shared" si="111"/>
        <v>4.2869555485283185E-3</v>
      </c>
      <c r="AE483" s="27">
        <f t="shared" si="111"/>
        <v>4.2936746784961411E-3</v>
      </c>
      <c r="AF483" s="27">
        <f t="shared" si="111"/>
        <v>4.3009777030076704E-3</v>
      </c>
      <c r="AG483" s="27">
        <f t="shared" si="111"/>
        <v>4.3089359113621063E-3</v>
      </c>
      <c r="AH483" s="27">
        <f t="shared" si="111"/>
        <v>4.3173103348259087E-3</v>
      </c>
      <c r="AI483" s="27">
        <f t="shared" si="111"/>
        <v>4.3226632396787153E-3</v>
      </c>
      <c r="AJ483" s="27">
        <f t="shared" si="111"/>
        <v>4.3285264562011056E-3</v>
      </c>
      <c r="AK483" s="27">
        <f t="shared" si="111"/>
        <v>4.3347066032666795E-3</v>
      </c>
      <c r="AL483" s="27">
        <f t="shared" si="111"/>
        <v>4.3412694748415342E-3</v>
      </c>
      <c r="AM483" s="27">
        <f t="shared" si="111"/>
        <v>4.3482051201751372E-3</v>
      </c>
      <c r="AN483" s="27">
        <f t="shared" si="111"/>
        <v>4.3523032125184075E-3</v>
      </c>
      <c r="AO483" s="27">
        <f t="shared" si="111"/>
        <v>4.3566779758246795E-3</v>
      </c>
      <c r="AP483" s="27">
        <f t="shared" si="111"/>
        <v>4.361423370338997E-3</v>
      </c>
      <c r="AQ483" s="27">
        <f t="shared" si="111"/>
        <v>4.3665348082715704E-3</v>
      </c>
      <c r="AR483" s="27">
        <f t="shared" si="111"/>
        <v>4.3720121836969238E-3</v>
      </c>
      <c r="AS483" s="27">
        <f t="shared" si="111"/>
        <v>4.3744971376255895E-3</v>
      </c>
      <c r="AT483" s="27">
        <f t="shared" si="111"/>
        <v>4.3760985261490854E-3</v>
      </c>
      <c r="AU483" s="27">
        <f t="shared" si="111"/>
        <v>4.3778539506244196E-3</v>
      </c>
      <c r="AV483" s="27">
        <f t="shared" si="111"/>
        <v>4.3797081495223055E-3</v>
      </c>
      <c r="AW483" s="27">
        <f t="shared" si="111"/>
        <v>4.381762126098687E-3</v>
      </c>
      <c r="AY483" s="79"/>
    </row>
    <row r="484" spans="1:51" x14ac:dyDescent="0.3">
      <c r="A484" s="95" t="str">
        <f t="shared" si="108"/>
        <v>PQ Goats MMCH4</v>
      </c>
      <c r="B484" s="95" t="s">
        <v>968</v>
      </c>
      <c r="C484" s="95" t="s">
        <v>1325</v>
      </c>
      <c r="D484" t="s">
        <v>15</v>
      </c>
      <c r="E484" t="s">
        <v>22</v>
      </c>
      <c r="F484" t="s">
        <v>19</v>
      </c>
      <c r="G484" t="s">
        <v>122</v>
      </c>
      <c r="H484" t="s">
        <v>1227</v>
      </c>
      <c r="I484" t="s">
        <v>121</v>
      </c>
      <c r="J484" t="s">
        <v>286</v>
      </c>
      <c r="K484" s="27">
        <f t="shared" si="110"/>
        <v>1.5789672763163301E-2</v>
      </c>
      <c r="L484" s="27">
        <f t="shared" si="111"/>
        <v>1.5830718290757027E-2</v>
      </c>
      <c r="M484" s="27">
        <f t="shared" si="111"/>
        <v>1.588733914557475E-2</v>
      </c>
      <c r="N484" s="27">
        <f t="shared" si="111"/>
        <v>1.5956318300360577E-2</v>
      </c>
      <c r="O484" s="27">
        <f t="shared" si="111"/>
        <v>1.6037557372574476E-2</v>
      </c>
      <c r="P484" s="27">
        <f t="shared" si="111"/>
        <v>1.6130561898613765E-2</v>
      </c>
      <c r="Q484" s="27">
        <f t="shared" si="111"/>
        <v>1.6230654784419023E-2</v>
      </c>
      <c r="R484" s="27">
        <f t="shared" si="111"/>
        <v>1.6337439810579345E-2</v>
      </c>
      <c r="S484" s="27">
        <f t="shared" si="111"/>
        <v>1.6434281735880792E-2</v>
      </c>
      <c r="T484" s="27">
        <f t="shared" si="111"/>
        <v>1.6481585221637597E-2</v>
      </c>
      <c r="U484" s="27">
        <f t="shared" si="111"/>
        <v>1.6535805571967339E-2</v>
      </c>
      <c r="V484" s="27">
        <f t="shared" si="111"/>
        <v>1.6591075188605784E-2</v>
      </c>
      <c r="W484" s="27">
        <f t="shared" si="111"/>
        <v>1.6651019239861981E-2</v>
      </c>
      <c r="X484" s="27">
        <f t="shared" si="111"/>
        <v>1.6715538656301921E-2</v>
      </c>
      <c r="Y484" s="27">
        <f t="shared" si="111"/>
        <v>1.675682826181454E-2</v>
      </c>
      <c r="Z484" s="27">
        <f t="shared" si="111"/>
        <v>1.6802001380323034E-2</v>
      </c>
      <c r="AA484" s="27">
        <f t="shared" si="111"/>
        <v>1.6850529656754189E-2</v>
      </c>
      <c r="AB484" s="27">
        <f t="shared" si="111"/>
        <v>1.6902568919116488E-2</v>
      </c>
      <c r="AC484" s="27">
        <f t="shared" si="111"/>
        <v>1.6957630528557751E-2</v>
      </c>
      <c r="AD484" s="27">
        <f t="shared" si="111"/>
        <v>1.6994350372716287E-2</v>
      </c>
      <c r="AE484" s="27">
        <f t="shared" si="111"/>
        <v>1.7033509901620177E-2</v>
      </c>
      <c r="AF484" s="27">
        <f t="shared" si="111"/>
        <v>1.7075440579577206E-2</v>
      </c>
      <c r="AG484" s="27">
        <f t="shared" si="111"/>
        <v>1.7120568284346587E-2</v>
      </c>
      <c r="AH484" s="27">
        <f t="shared" si="111"/>
        <v>1.7167529660259997E-2</v>
      </c>
      <c r="AI484" s="27">
        <f t="shared" si="111"/>
        <v>1.7196614048621731E-2</v>
      </c>
      <c r="AJ484" s="27">
        <f t="shared" si="111"/>
        <v>1.7228175905563897E-2</v>
      </c>
      <c r="AK484" s="27">
        <f t="shared" si="111"/>
        <v>1.7261117551388462E-2</v>
      </c>
      <c r="AL484" s="27">
        <f t="shared" si="111"/>
        <v>1.7295827028863175E-2</v>
      </c>
      <c r="AM484" s="27">
        <f t="shared" si="111"/>
        <v>1.7332256815907665E-2</v>
      </c>
      <c r="AN484" s="27">
        <f t="shared" si="111"/>
        <v>1.7352159823168515E-2</v>
      </c>
      <c r="AO484" s="27">
        <f t="shared" si="111"/>
        <v>1.7373316667964631E-2</v>
      </c>
      <c r="AP484" s="27">
        <f t="shared" si="111"/>
        <v>1.7396267425724934E-2</v>
      </c>
      <c r="AQ484" s="27">
        <f t="shared" si="111"/>
        <v>1.7420990177436466E-2</v>
      </c>
      <c r="AR484" s="27">
        <f t="shared" si="111"/>
        <v>1.7447487775150525E-2</v>
      </c>
      <c r="AS484" s="27">
        <f t="shared" si="111"/>
        <v>1.7456827369575736E-2</v>
      </c>
      <c r="AT484" s="27">
        <f t="shared" si="111"/>
        <v>1.746097508558354E-2</v>
      </c>
      <c r="AU484" s="27">
        <f t="shared" si="111"/>
        <v>1.746579683409127E-2</v>
      </c>
      <c r="AV484" s="27">
        <f t="shared" si="111"/>
        <v>1.7470987825332424E-2</v>
      </c>
      <c r="AW484" s="27">
        <f t="shared" si="111"/>
        <v>1.7477120152816387E-2</v>
      </c>
      <c r="AY484" s="79"/>
    </row>
    <row r="485" spans="1:51" x14ac:dyDescent="0.3">
      <c r="A485" s="95" t="str">
        <f t="shared" si="108"/>
        <v>PQ Goats MMCH4</v>
      </c>
      <c r="B485" s="95" t="s">
        <v>968</v>
      </c>
      <c r="C485" s="95" t="s">
        <v>1325</v>
      </c>
      <c r="D485" t="s">
        <v>15</v>
      </c>
      <c r="E485" t="s">
        <v>22</v>
      </c>
      <c r="F485" t="s">
        <v>19</v>
      </c>
      <c r="G485" t="s">
        <v>123</v>
      </c>
      <c r="H485" t="s">
        <v>1227</v>
      </c>
      <c r="I485" t="s">
        <v>121</v>
      </c>
      <c r="J485" t="s">
        <v>286</v>
      </c>
      <c r="K485" s="27">
        <f t="shared" si="110"/>
        <v>2.6592218800664803E-2</v>
      </c>
      <c r="L485" s="27">
        <f t="shared" si="111"/>
        <v>2.6661345733624896E-2</v>
      </c>
      <c r="M485" s="27">
        <f t="shared" si="111"/>
        <v>2.6756703894783639E-2</v>
      </c>
      <c r="N485" s="27">
        <f t="shared" si="111"/>
        <v>2.6872875319249704E-2</v>
      </c>
      <c r="O485" s="27">
        <f t="shared" si="111"/>
        <v>2.7009694315810229E-2</v>
      </c>
      <c r="P485" s="27">
        <f t="shared" si="111"/>
        <v>2.7166328132291764E-2</v>
      </c>
      <c r="Q485" s="27">
        <f t="shared" si="111"/>
        <v>2.7334899828466052E-2</v>
      </c>
      <c r="R485" s="27">
        <f t="shared" si="111"/>
        <v>2.7514742110372921E-2</v>
      </c>
      <c r="S485" s="27">
        <f t="shared" si="111"/>
        <v>2.7677838692887386E-2</v>
      </c>
      <c r="T485" s="27">
        <f t="shared" si="111"/>
        <v>2.7757504982502564E-2</v>
      </c>
      <c r="U485" s="27">
        <f t="shared" si="111"/>
        <v>2.7848820327731318E-2</v>
      </c>
      <c r="V485" s="27">
        <f t="shared" si="111"/>
        <v>2.7941902797566111E-2</v>
      </c>
      <c r="W485" s="27">
        <f t="shared" si="111"/>
        <v>2.804285772872351E-2</v>
      </c>
      <c r="X485" s="27">
        <f t="shared" si="111"/>
        <v>2.8151518273156369E-2</v>
      </c>
      <c r="Y485" s="27">
        <f t="shared" si="111"/>
        <v>2.82210562705838E-2</v>
      </c>
      <c r="Z485" s="27">
        <f t="shared" si="111"/>
        <v>2.8297134696609751E-2</v>
      </c>
      <c r="AA485" s="27">
        <f t="shared" si="111"/>
        <v>2.8378863720651775E-2</v>
      </c>
      <c r="AB485" s="27">
        <f t="shared" si="111"/>
        <v>2.8466505780859123E-2</v>
      </c>
      <c r="AC485" s="27">
        <f t="shared" si="111"/>
        <v>2.8559237934827175E-2</v>
      </c>
      <c r="AD485" s="27">
        <f t="shared" si="111"/>
        <v>2.8621079756683557E-2</v>
      </c>
      <c r="AE485" s="27">
        <f t="shared" si="111"/>
        <v>2.8687030380003167E-2</v>
      </c>
      <c r="AF485" s="27">
        <f t="shared" si="111"/>
        <v>2.8757648041269384E-2</v>
      </c>
      <c r="AG485" s="27">
        <f t="shared" si="111"/>
        <v>2.8833649983627477E-2</v>
      </c>
      <c r="AH485" s="27">
        <f t="shared" si="111"/>
        <v>2.8912740108052549E-2</v>
      </c>
      <c r="AI485" s="27">
        <f t="shared" si="111"/>
        <v>2.8961722657000817E-2</v>
      </c>
      <c r="AJ485" s="27">
        <f t="shared" si="111"/>
        <v>2.9014877641157257E-2</v>
      </c>
      <c r="AK485" s="27">
        <f t="shared" si="111"/>
        <v>2.9070356400379201E-2</v>
      </c>
      <c r="AL485" s="27">
        <f t="shared" si="111"/>
        <v>2.9128812457911796E-2</v>
      </c>
      <c r="AM485" s="27">
        <f t="shared" si="111"/>
        <v>2.9190165779318728E-2</v>
      </c>
      <c r="AN485" s="27">
        <f t="shared" si="111"/>
        <v>2.9223685481203028E-2</v>
      </c>
      <c r="AO485" s="27">
        <f t="shared" si="111"/>
        <v>2.9259316836861168E-2</v>
      </c>
      <c r="AP485" s="27">
        <f t="shared" si="111"/>
        <v>2.9297969415743415E-2</v>
      </c>
      <c r="AQ485" s="27">
        <f t="shared" ref="L485:AW492" si="112">AQ1402</f>
        <v>2.9339606302886588E-2</v>
      </c>
      <c r="AR485" s="27">
        <f t="shared" si="112"/>
        <v>2.9384232301580378E-2</v>
      </c>
      <c r="AS485" s="27">
        <f t="shared" si="112"/>
        <v>2.939996160402952E-2</v>
      </c>
      <c r="AT485" s="27">
        <f t="shared" si="112"/>
        <v>2.9406946990823593E-2</v>
      </c>
      <c r="AU485" s="27">
        <f t="shared" si="112"/>
        <v>2.9415067551220409E-2</v>
      </c>
      <c r="AV485" s="27">
        <f t="shared" si="112"/>
        <v>2.9423809972735263E-2</v>
      </c>
      <c r="AW485" s="27">
        <f t="shared" si="112"/>
        <v>2.9434137748152581E-2</v>
      </c>
      <c r="AY485" s="79"/>
    </row>
    <row r="486" spans="1:51" x14ac:dyDescent="0.3">
      <c r="A486" s="95" t="str">
        <f t="shared" si="108"/>
        <v>PQ Horses MMCH4</v>
      </c>
      <c r="B486" s="95" t="s">
        <v>968</v>
      </c>
      <c r="C486" s="95" t="s">
        <v>1326</v>
      </c>
      <c r="D486" t="s">
        <v>15</v>
      </c>
      <c r="E486" t="s">
        <v>22</v>
      </c>
      <c r="F486" t="s">
        <v>20</v>
      </c>
      <c r="G486" t="s">
        <v>3</v>
      </c>
      <c r="H486" t="s">
        <v>1227</v>
      </c>
      <c r="I486" t="s">
        <v>121</v>
      </c>
      <c r="J486" t="s">
        <v>286</v>
      </c>
      <c r="K486" s="27">
        <f t="shared" si="110"/>
        <v>4.1336182129460552E-3</v>
      </c>
      <c r="L486" s="27">
        <f t="shared" si="112"/>
        <v>4.1536453250924071E-3</v>
      </c>
      <c r="M486" s="27">
        <f t="shared" si="112"/>
        <v>4.1840370126470534E-3</v>
      </c>
      <c r="N486" s="27">
        <f t="shared" si="112"/>
        <v>4.1905340987284569E-3</v>
      </c>
      <c r="O486" s="27">
        <f t="shared" si="112"/>
        <v>4.1812329246154589E-3</v>
      </c>
      <c r="P486" s="27">
        <f t="shared" si="112"/>
        <v>4.1564738854214548E-3</v>
      </c>
      <c r="Q486" s="27">
        <f t="shared" si="112"/>
        <v>4.1427460620707141E-3</v>
      </c>
      <c r="R486" s="27">
        <f t="shared" si="112"/>
        <v>4.1304087921358321E-3</v>
      </c>
      <c r="S486" s="27">
        <f t="shared" si="112"/>
        <v>3.8942776940038416E-3</v>
      </c>
      <c r="T486" s="27">
        <f t="shared" si="112"/>
        <v>3.9425050527123239E-3</v>
      </c>
      <c r="U486" s="27">
        <f t="shared" si="112"/>
        <v>4.0191071248696416E-3</v>
      </c>
      <c r="V486" s="27">
        <f t="shared" si="112"/>
        <v>4.0473828533201294E-3</v>
      </c>
      <c r="W486" s="27">
        <f t="shared" si="112"/>
        <v>4.0809840197269919E-3</v>
      </c>
      <c r="X486" s="27">
        <f t="shared" si="112"/>
        <v>4.1216678621320202E-3</v>
      </c>
      <c r="Y486" s="27">
        <f t="shared" si="112"/>
        <v>4.1703472412361522E-3</v>
      </c>
      <c r="Z486" s="27">
        <f t="shared" si="112"/>
        <v>4.2244482436929265E-3</v>
      </c>
      <c r="AA486" s="27">
        <f t="shared" si="112"/>
        <v>4.2791921283487086E-3</v>
      </c>
      <c r="AB486" s="27">
        <f t="shared" si="112"/>
        <v>4.3388287504468421E-3</v>
      </c>
      <c r="AC486" s="27">
        <f t="shared" si="112"/>
        <v>4.3986726547954836E-3</v>
      </c>
      <c r="AD486" s="27">
        <f t="shared" si="112"/>
        <v>4.4704656017983358E-3</v>
      </c>
      <c r="AE486" s="27">
        <f t="shared" si="112"/>
        <v>4.539631463046338E-3</v>
      </c>
      <c r="AF486" s="27">
        <f t="shared" si="112"/>
        <v>4.6121605087864415E-3</v>
      </c>
      <c r="AG486" s="27">
        <f t="shared" si="112"/>
        <v>4.6951125632471334E-3</v>
      </c>
      <c r="AH486" s="27">
        <f t="shared" si="112"/>
        <v>4.7715465683054572E-3</v>
      </c>
      <c r="AI486" s="27">
        <f t="shared" si="112"/>
        <v>4.855932813312959E-3</v>
      </c>
      <c r="AJ486" s="27">
        <f t="shared" si="112"/>
        <v>4.945901658536307E-3</v>
      </c>
      <c r="AK486" s="27">
        <f t="shared" si="112"/>
        <v>5.0279520878702428E-3</v>
      </c>
      <c r="AL486" s="27">
        <f t="shared" si="112"/>
        <v>5.1082371551630715E-3</v>
      </c>
      <c r="AM486" s="27">
        <f t="shared" si="112"/>
        <v>5.1870452828056204E-3</v>
      </c>
      <c r="AN486" s="27">
        <f t="shared" si="112"/>
        <v>5.27706789842347E-3</v>
      </c>
      <c r="AO486" s="27">
        <f t="shared" si="112"/>
        <v>5.3619473096130918E-3</v>
      </c>
      <c r="AP486" s="27">
        <f t="shared" si="112"/>
        <v>5.4495970329020271E-3</v>
      </c>
      <c r="AQ486" s="27">
        <f t="shared" si="112"/>
        <v>5.5404524678757516E-3</v>
      </c>
      <c r="AR486" s="27">
        <f t="shared" si="112"/>
        <v>5.6352215326777718E-3</v>
      </c>
      <c r="AS486" s="27">
        <f t="shared" si="112"/>
        <v>5.7381722103153144E-3</v>
      </c>
      <c r="AT486" s="27">
        <f t="shared" si="112"/>
        <v>5.7552832935457467E-3</v>
      </c>
      <c r="AU486" s="27">
        <f t="shared" si="112"/>
        <v>5.7642783755128633E-3</v>
      </c>
      <c r="AV486" s="27">
        <f t="shared" si="112"/>
        <v>5.7617518385425876E-3</v>
      </c>
      <c r="AW486" s="27">
        <f t="shared" si="112"/>
        <v>5.7557818048942742E-3</v>
      </c>
      <c r="AY486" s="79"/>
    </row>
    <row r="487" spans="1:51" x14ac:dyDescent="0.3">
      <c r="A487" s="95" t="str">
        <f t="shared" si="108"/>
        <v>PQ Mules MMCH4</v>
      </c>
      <c r="B487" s="95" t="s">
        <v>968</v>
      </c>
      <c r="C487" s="95" t="s">
        <v>1327</v>
      </c>
      <c r="D487" t="s">
        <v>15</v>
      </c>
      <c r="E487" t="s">
        <v>22</v>
      </c>
      <c r="F487" t="s">
        <v>140</v>
      </c>
      <c r="G487" t="s">
        <v>124</v>
      </c>
      <c r="H487" t="s">
        <v>1227</v>
      </c>
      <c r="I487" t="s">
        <v>121</v>
      </c>
      <c r="J487" t="s">
        <v>286</v>
      </c>
      <c r="K487" s="27">
        <f t="shared" si="110"/>
        <v>7.515E-4</v>
      </c>
      <c r="L487" s="27">
        <f t="shared" si="112"/>
        <v>7.515E-4</v>
      </c>
      <c r="M487" s="27">
        <f t="shared" si="112"/>
        <v>7.515E-4</v>
      </c>
      <c r="N487" s="27">
        <f t="shared" si="112"/>
        <v>7.515E-4</v>
      </c>
      <c r="O487" s="27">
        <f t="shared" si="112"/>
        <v>7.515E-4</v>
      </c>
      <c r="P487" s="27">
        <f t="shared" si="112"/>
        <v>7.515E-4</v>
      </c>
      <c r="Q487" s="27">
        <f t="shared" si="112"/>
        <v>7.515E-4</v>
      </c>
      <c r="R487" s="27">
        <f t="shared" si="112"/>
        <v>7.515E-4</v>
      </c>
      <c r="S487" s="27">
        <f t="shared" si="112"/>
        <v>7.515E-4</v>
      </c>
      <c r="T487" s="27">
        <f t="shared" si="112"/>
        <v>7.515E-4</v>
      </c>
      <c r="U487" s="27">
        <f t="shared" si="112"/>
        <v>7.515E-4</v>
      </c>
      <c r="V487" s="27">
        <f t="shared" si="112"/>
        <v>7.515E-4</v>
      </c>
      <c r="W487" s="27">
        <f t="shared" si="112"/>
        <v>7.515E-4</v>
      </c>
      <c r="X487" s="27">
        <f t="shared" si="112"/>
        <v>7.515E-4</v>
      </c>
      <c r="Y487" s="27">
        <f t="shared" si="112"/>
        <v>7.515E-4</v>
      </c>
      <c r="Z487" s="27">
        <f t="shared" si="112"/>
        <v>7.515E-4</v>
      </c>
      <c r="AA487" s="27">
        <f t="shared" si="112"/>
        <v>7.515E-4</v>
      </c>
      <c r="AB487" s="27">
        <f t="shared" si="112"/>
        <v>7.515E-4</v>
      </c>
      <c r="AC487" s="27">
        <f t="shared" si="112"/>
        <v>7.515E-4</v>
      </c>
      <c r="AD487" s="27">
        <f t="shared" si="112"/>
        <v>7.515E-4</v>
      </c>
      <c r="AE487" s="27">
        <f t="shared" si="112"/>
        <v>7.515E-4</v>
      </c>
      <c r="AF487" s="27">
        <f t="shared" si="112"/>
        <v>7.515E-4</v>
      </c>
      <c r="AG487" s="27">
        <f t="shared" si="112"/>
        <v>7.515E-4</v>
      </c>
      <c r="AH487" s="27">
        <f t="shared" si="112"/>
        <v>7.515E-4</v>
      </c>
      <c r="AI487" s="27">
        <f t="shared" si="112"/>
        <v>7.515E-4</v>
      </c>
      <c r="AJ487" s="27">
        <f t="shared" si="112"/>
        <v>7.515E-4</v>
      </c>
      <c r="AK487" s="27">
        <f t="shared" si="112"/>
        <v>7.515E-4</v>
      </c>
      <c r="AL487" s="27">
        <f t="shared" si="112"/>
        <v>7.515E-4</v>
      </c>
      <c r="AM487" s="27">
        <f t="shared" si="112"/>
        <v>7.515E-4</v>
      </c>
      <c r="AN487" s="27">
        <f t="shared" si="112"/>
        <v>7.515E-4</v>
      </c>
      <c r="AO487" s="27">
        <f t="shared" si="112"/>
        <v>7.515E-4</v>
      </c>
      <c r="AP487" s="27">
        <f t="shared" si="112"/>
        <v>7.515E-4</v>
      </c>
      <c r="AQ487" s="27">
        <f t="shared" si="112"/>
        <v>7.515E-4</v>
      </c>
      <c r="AR487" s="27">
        <f t="shared" si="112"/>
        <v>7.515E-4</v>
      </c>
      <c r="AS487" s="27">
        <f t="shared" si="112"/>
        <v>7.515E-4</v>
      </c>
      <c r="AT487" s="27">
        <f t="shared" si="112"/>
        <v>7.515E-4</v>
      </c>
      <c r="AU487" s="27">
        <f t="shared" si="112"/>
        <v>7.515E-4</v>
      </c>
      <c r="AV487" s="27">
        <f t="shared" si="112"/>
        <v>7.515E-4</v>
      </c>
      <c r="AW487" s="27">
        <f t="shared" si="112"/>
        <v>7.515E-4</v>
      </c>
      <c r="AY487" s="79"/>
    </row>
    <row r="488" spans="1:51" x14ac:dyDescent="0.3">
      <c r="A488" s="95" t="str">
        <f t="shared" si="108"/>
        <v>PQ Swine MMCH4</v>
      </c>
      <c r="B488" s="95" t="s">
        <v>968</v>
      </c>
      <c r="C488" s="95" t="s">
        <v>1230</v>
      </c>
      <c r="D488" t="s">
        <v>15</v>
      </c>
      <c r="E488" t="s">
        <v>22</v>
      </c>
      <c r="F488" t="s">
        <v>21</v>
      </c>
      <c r="G488" t="s">
        <v>122</v>
      </c>
      <c r="H488" t="s">
        <v>1227</v>
      </c>
      <c r="I488" t="s">
        <v>121</v>
      </c>
      <c r="J488" t="s">
        <v>286</v>
      </c>
      <c r="K488" s="27">
        <f t="shared" si="110"/>
        <v>23.279067868377393</v>
      </c>
      <c r="L488" s="27">
        <f t="shared" si="112"/>
        <v>23.152530650802596</v>
      </c>
      <c r="M488" s="27">
        <f t="shared" si="112"/>
        <v>23.162916433064304</v>
      </c>
      <c r="N488" s="27">
        <f t="shared" si="112"/>
        <v>22.950263110497293</v>
      </c>
      <c r="O488" s="27">
        <f t="shared" si="112"/>
        <v>22.602951186820601</v>
      </c>
      <c r="P488" s="27">
        <f t="shared" si="112"/>
        <v>22.126532811374943</v>
      </c>
      <c r="Q488" s="27">
        <f t="shared" si="112"/>
        <v>21.780600237355962</v>
      </c>
      <c r="R488" s="27">
        <f t="shared" si="112"/>
        <v>21.465278056857681</v>
      </c>
      <c r="S488" s="27">
        <f t="shared" si="112"/>
        <v>18.952765181798245</v>
      </c>
      <c r="T488" s="27">
        <f t="shared" si="112"/>
        <v>19.192435731964196</v>
      </c>
      <c r="U488" s="27">
        <f t="shared" si="112"/>
        <v>19.706721684105471</v>
      </c>
      <c r="V488" s="27">
        <f t="shared" si="112"/>
        <v>19.753416176775058</v>
      </c>
      <c r="W488" s="27">
        <f t="shared" si="112"/>
        <v>19.854535695194098</v>
      </c>
      <c r="X488" s="27">
        <f t="shared" si="112"/>
        <v>20.024553174699502</v>
      </c>
      <c r="Y488" s="27">
        <f t="shared" si="112"/>
        <v>20.23789112840667</v>
      </c>
      <c r="Z488" s="27">
        <f t="shared" si="112"/>
        <v>20.499318704805695</v>
      </c>
      <c r="AA488" s="27">
        <f t="shared" si="112"/>
        <v>20.763803414840964</v>
      </c>
      <c r="AB488" s="27">
        <f t="shared" si="112"/>
        <v>21.06916344985618</v>
      </c>
      <c r="AC488" s="27">
        <f t="shared" si="112"/>
        <v>21.372415897013145</v>
      </c>
      <c r="AD488" s="27">
        <f t="shared" si="112"/>
        <v>21.74943786655458</v>
      </c>
      <c r="AE488" s="27">
        <f t="shared" si="112"/>
        <v>22.096514126462726</v>
      </c>
      <c r="AF488" s="27">
        <f t="shared" si="112"/>
        <v>22.465831015653421</v>
      </c>
      <c r="AG488" s="27">
        <f t="shared" si="112"/>
        <v>22.916349440576454</v>
      </c>
      <c r="AH488" s="27">
        <f t="shared" si="112"/>
        <v>23.303196681672105</v>
      </c>
      <c r="AI488" s="27">
        <f t="shared" si="112"/>
        <v>23.720738750345618</v>
      </c>
      <c r="AJ488" s="27">
        <f t="shared" si="112"/>
        <v>24.1739099146189</v>
      </c>
      <c r="AK488" s="27">
        <f t="shared" si="112"/>
        <v>24.551957379803568</v>
      </c>
      <c r="AL488" s="27">
        <f t="shared" si="112"/>
        <v>24.90648475217996</v>
      </c>
      <c r="AM488" s="27">
        <f t="shared" si="112"/>
        <v>25.240351368122212</v>
      </c>
      <c r="AN488" s="27">
        <f t="shared" si="112"/>
        <v>25.625854072975109</v>
      </c>
      <c r="AO488" s="27">
        <f t="shared" si="112"/>
        <v>25.960227974531257</v>
      </c>
      <c r="AP488" s="27">
        <f t="shared" si="112"/>
        <v>26.305386782253809</v>
      </c>
      <c r="AQ488" s="27">
        <f t="shared" si="112"/>
        <v>26.663933949781747</v>
      </c>
      <c r="AR488" s="27">
        <f t="shared" si="112"/>
        <v>27.040355797157176</v>
      </c>
      <c r="AS488" s="27">
        <f t="shared" si="112"/>
        <v>27.435623697912018</v>
      </c>
      <c r="AT488" s="27">
        <f t="shared" si="112"/>
        <v>27.195097752022821</v>
      </c>
      <c r="AU488" s="27">
        <f t="shared" si="112"/>
        <v>26.898987311246398</v>
      </c>
      <c r="AV488" s="27">
        <f t="shared" si="112"/>
        <v>26.52534739576117</v>
      </c>
      <c r="AW488" s="27">
        <f t="shared" si="112"/>
        <v>26.133382968648512</v>
      </c>
      <c r="AY488" s="79"/>
    </row>
    <row r="489" spans="1:51" x14ac:dyDescent="0.3">
      <c r="A489" s="95" t="str">
        <f t="shared" si="108"/>
        <v>PQ Swine MMCH4</v>
      </c>
      <c r="B489" s="95" t="s">
        <v>968</v>
      </c>
      <c r="C489" s="95" t="s">
        <v>1230</v>
      </c>
      <c r="D489" t="s">
        <v>15</v>
      </c>
      <c r="E489" t="s">
        <v>22</v>
      </c>
      <c r="F489" t="s">
        <v>21</v>
      </c>
      <c r="G489" t="s">
        <v>123</v>
      </c>
      <c r="H489" t="s">
        <v>1227</v>
      </c>
      <c r="I489" t="s">
        <v>121</v>
      </c>
      <c r="J489" t="s">
        <v>286</v>
      </c>
      <c r="K489" s="27">
        <f t="shared" si="110"/>
        <v>7.7932061732677776E-2</v>
      </c>
      <c r="L489" s="27">
        <f t="shared" si="112"/>
        <v>7.7508449141861113E-2</v>
      </c>
      <c r="M489" s="27">
        <f t="shared" si="112"/>
        <v>7.7543217949140597E-2</v>
      </c>
      <c r="N489" s="27">
        <f t="shared" si="112"/>
        <v>7.6831311787104617E-2</v>
      </c>
      <c r="O489" s="27">
        <f t="shared" si="112"/>
        <v>7.5668604825232008E-2</v>
      </c>
      <c r="P489" s="27">
        <f t="shared" si="112"/>
        <v>7.4073684167079379E-2</v>
      </c>
      <c r="Q489" s="27">
        <f t="shared" si="112"/>
        <v>7.2915594897087016E-2</v>
      </c>
      <c r="R489" s="27">
        <f t="shared" si="112"/>
        <v>7.1859980996426681E-2</v>
      </c>
      <c r="S489" s="27">
        <f t="shared" si="112"/>
        <v>6.344876326252144E-2</v>
      </c>
      <c r="T489" s="27">
        <f t="shared" si="112"/>
        <v>6.4251115840238279E-2</v>
      </c>
      <c r="U489" s="27">
        <f t="shared" si="112"/>
        <v>6.5972806966237654E-2</v>
      </c>
      <c r="V489" s="27">
        <f t="shared" si="112"/>
        <v>6.6129127576060945E-2</v>
      </c>
      <c r="W489" s="27">
        <f t="shared" si="112"/>
        <v>6.6467648542465979E-2</v>
      </c>
      <c r="X489" s="27">
        <f t="shared" si="112"/>
        <v>6.7036821362587692E-2</v>
      </c>
      <c r="Y489" s="27">
        <f t="shared" si="112"/>
        <v>6.775101948564978E-2</v>
      </c>
      <c r="Z489" s="27">
        <f t="shared" si="112"/>
        <v>6.8626208738834141E-2</v>
      </c>
      <c r="AA489" s="27">
        <f t="shared" si="112"/>
        <v>6.951163245366497E-2</v>
      </c>
      <c r="AB489" s="27">
        <f t="shared" si="112"/>
        <v>7.0533895769105751E-2</v>
      </c>
      <c r="AC489" s="27">
        <f t="shared" si="112"/>
        <v>7.1549103446923737E-2</v>
      </c>
      <c r="AD489" s="27">
        <f t="shared" si="112"/>
        <v>7.2811271656192611E-2</v>
      </c>
      <c r="AE489" s="27">
        <f t="shared" si="112"/>
        <v>7.3973189679115328E-2</v>
      </c>
      <c r="AF489" s="27">
        <f t="shared" si="112"/>
        <v>7.5209563350521091E-2</v>
      </c>
      <c r="AG489" s="27">
        <f t="shared" si="112"/>
        <v>7.6717777936316622E-2</v>
      </c>
      <c r="AH489" s="27">
        <f t="shared" si="112"/>
        <v>7.801283851368343E-2</v>
      </c>
      <c r="AI489" s="27">
        <f t="shared" si="112"/>
        <v>7.9410657122909484E-2</v>
      </c>
      <c r="AJ489" s="27">
        <f t="shared" si="112"/>
        <v>8.0927752366984504E-2</v>
      </c>
      <c r="AK489" s="27">
        <f t="shared" si="112"/>
        <v>8.2193353660010307E-2</v>
      </c>
      <c r="AL489" s="27">
        <f t="shared" si="112"/>
        <v>8.3380216004592958E-2</v>
      </c>
      <c r="AM489" s="27">
        <f t="shared" si="112"/>
        <v>8.4497911690313968E-2</v>
      </c>
      <c r="AN489" s="27">
        <f t="shared" si="112"/>
        <v>8.5788471121755847E-2</v>
      </c>
      <c r="AO489" s="27">
        <f t="shared" si="112"/>
        <v>8.6907865063352116E-2</v>
      </c>
      <c r="AP489" s="27">
        <f t="shared" si="112"/>
        <v>8.8063363971774958E-2</v>
      </c>
      <c r="AQ489" s="27">
        <f t="shared" si="112"/>
        <v>8.9263683509990727E-2</v>
      </c>
      <c r="AR489" s="27">
        <f t="shared" si="112"/>
        <v>9.0523842671562632E-2</v>
      </c>
      <c r="AS489" s="27">
        <f t="shared" si="112"/>
        <v>9.1847093353967207E-2</v>
      </c>
      <c r="AT489" s="27">
        <f t="shared" si="112"/>
        <v>9.1041877141302144E-2</v>
      </c>
      <c r="AU489" s="27">
        <f t="shared" si="112"/>
        <v>9.0050578981051232E-2</v>
      </c>
      <c r="AV489" s="27">
        <f t="shared" si="112"/>
        <v>8.8799732979655169E-2</v>
      </c>
      <c r="AW489" s="27">
        <f t="shared" si="112"/>
        <v>8.7487541439019989E-2</v>
      </c>
      <c r="AY489" s="79"/>
    </row>
    <row r="490" spans="1:51" x14ac:dyDescent="0.3">
      <c r="A490" s="95" t="str">
        <f t="shared" si="108"/>
        <v>PQ Poultry MMCH4</v>
      </c>
      <c r="B490" s="95" t="s">
        <v>968</v>
      </c>
      <c r="C490" s="95" t="s">
        <v>1231</v>
      </c>
      <c r="D490" t="s">
        <v>15</v>
      </c>
      <c r="E490" t="s">
        <v>22</v>
      </c>
      <c r="F490" t="s">
        <v>28</v>
      </c>
      <c r="G490" t="s">
        <v>131</v>
      </c>
      <c r="H490" t="s">
        <v>1227</v>
      </c>
      <c r="I490" t="s">
        <v>121</v>
      </c>
      <c r="J490" t="s">
        <v>286</v>
      </c>
      <c r="K490" s="27">
        <f t="shared" si="110"/>
        <v>0.55586528215230246</v>
      </c>
      <c r="L490" s="27">
        <f t="shared" si="112"/>
        <v>0.56716712532642333</v>
      </c>
      <c r="M490" s="27">
        <f t="shared" si="112"/>
        <v>0.58037790885594753</v>
      </c>
      <c r="N490" s="27">
        <f t="shared" si="112"/>
        <v>0.5905201523722613</v>
      </c>
      <c r="O490" s="27">
        <f t="shared" si="112"/>
        <v>0.5986618277459016</v>
      </c>
      <c r="P490" s="27">
        <f t="shared" si="112"/>
        <v>0.60475451589519691</v>
      </c>
      <c r="Q490" s="27">
        <f t="shared" si="112"/>
        <v>0.61256702388185857</v>
      </c>
      <c r="R490" s="27">
        <f t="shared" si="112"/>
        <v>0.6206898695388976</v>
      </c>
      <c r="S490" s="27">
        <f t="shared" si="112"/>
        <v>0.59306384026239212</v>
      </c>
      <c r="T490" s="27">
        <f t="shared" si="112"/>
        <v>0.60782510553672808</v>
      </c>
      <c r="U490" s="27">
        <f t="shared" si="112"/>
        <v>0.62749693593989653</v>
      </c>
      <c r="V490" s="27">
        <f t="shared" si="112"/>
        <v>0.63952779473480192</v>
      </c>
      <c r="W490" s="27">
        <f t="shared" si="112"/>
        <v>0.65264407206550135</v>
      </c>
      <c r="X490" s="27">
        <f t="shared" si="112"/>
        <v>0.66717765079794833</v>
      </c>
      <c r="Y490" s="27">
        <f t="shared" si="112"/>
        <v>0.68218893777565714</v>
      </c>
      <c r="Z490" s="27">
        <f t="shared" si="112"/>
        <v>0.6983681341066772</v>
      </c>
      <c r="AA490" s="27">
        <f t="shared" si="112"/>
        <v>0.71491117725499365</v>
      </c>
      <c r="AB490" s="27">
        <f t="shared" si="112"/>
        <v>0.73257463286693114</v>
      </c>
      <c r="AC490" s="27">
        <f t="shared" si="112"/>
        <v>0.7505526685248175</v>
      </c>
      <c r="AD490" s="27">
        <f t="shared" si="112"/>
        <v>0.76994977468450398</v>
      </c>
      <c r="AE490" s="27">
        <f t="shared" si="112"/>
        <v>0.78914658446111008</v>
      </c>
      <c r="AF490" s="27">
        <f t="shared" si="112"/>
        <v>0.80922915626502845</v>
      </c>
      <c r="AG490" s="27">
        <f t="shared" si="112"/>
        <v>0.83151801683952153</v>
      </c>
      <c r="AH490" s="27">
        <f t="shared" si="112"/>
        <v>0.85291597213422199</v>
      </c>
      <c r="AI490" s="27">
        <f t="shared" si="112"/>
        <v>0.87504492147223956</v>
      </c>
      <c r="AJ490" s="27">
        <f t="shared" si="112"/>
        <v>0.89850514567918238</v>
      </c>
      <c r="AK490" s="27">
        <f t="shared" si="112"/>
        <v>0.92075676441275556</v>
      </c>
      <c r="AL490" s="27">
        <f t="shared" si="112"/>
        <v>0.94294773672658772</v>
      </c>
      <c r="AM490" s="27">
        <f t="shared" si="112"/>
        <v>0.96512911525862388</v>
      </c>
      <c r="AN490" s="27">
        <f t="shared" si="112"/>
        <v>0.98866250207381989</v>
      </c>
      <c r="AO490" s="27">
        <f t="shared" si="112"/>
        <v>1.0114465581050009</v>
      </c>
      <c r="AP490" s="27">
        <f t="shared" si="112"/>
        <v>1.0350196328361636</v>
      </c>
      <c r="AQ490" s="27">
        <f t="shared" si="112"/>
        <v>1.0594801323783987</v>
      </c>
      <c r="AR490" s="27">
        <f t="shared" si="112"/>
        <v>1.0849829625275211</v>
      </c>
      <c r="AS490" s="27">
        <f t="shared" si="112"/>
        <v>1.1111668702046387</v>
      </c>
      <c r="AT490" s="27">
        <f t="shared" si="112"/>
        <v>1.1203381651267506</v>
      </c>
      <c r="AU490" s="27">
        <f t="shared" si="112"/>
        <v>1.1279342308342708</v>
      </c>
      <c r="AV490" s="27">
        <f t="shared" si="112"/>
        <v>1.13323884791937</v>
      </c>
      <c r="AW490" s="27">
        <f t="shared" si="112"/>
        <v>1.137864963271239</v>
      </c>
      <c r="AY490" s="79"/>
    </row>
    <row r="491" spans="1:51" x14ac:dyDescent="0.3">
      <c r="A491" s="95" t="str">
        <f t="shared" si="108"/>
        <v>PQ Poultry MMCH4</v>
      </c>
      <c r="B491" s="95" t="s">
        <v>968</v>
      </c>
      <c r="C491" s="95" t="s">
        <v>1231</v>
      </c>
      <c r="D491" t="s">
        <v>15</v>
      </c>
      <c r="E491" t="s">
        <v>22</v>
      </c>
      <c r="F491" t="s">
        <v>28</v>
      </c>
      <c r="G491" t="s">
        <v>132</v>
      </c>
      <c r="H491" t="s">
        <v>1227</v>
      </c>
      <c r="I491" t="s">
        <v>121</v>
      </c>
      <c r="J491" t="s">
        <v>286</v>
      </c>
      <c r="K491" s="27">
        <f t="shared" si="110"/>
        <v>2.2100196981344111</v>
      </c>
      <c r="L491" s="27">
        <f t="shared" si="112"/>
        <v>2.2391217074451477</v>
      </c>
      <c r="M491" s="27">
        <f t="shared" si="112"/>
        <v>2.2858678822724823</v>
      </c>
      <c r="N491" s="27">
        <f t="shared" si="112"/>
        <v>2.2992900748078591</v>
      </c>
      <c r="O491" s="27">
        <f t="shared" si="112"/>
        <v>2.2910596881616572</v>
      </c>
      <c r="P491" s="27">
        <f t="shared" si="112"/>
        <v>2.2612642885898917</v>
      </c>
      <c r="Q491" s="27">
        <f t="shared" si="112"/>
        <v>2.2487211059946204</v>
      </c>
      <c r="R491" s="27">
        <f t="shared" si="112"/>
        <v>2.2390235702415184</v>
      </c>
      <c r="S491" s="27">
        <f t="shared" si="112"/>
        <v>1.8873806466050964</v>
      </c>
      <c r="T491" s="27">
        <f t="shared" si="112"/>
        <v>1.9621300984115682</v>
      </c>
      <c r="U491" s="27">
        <f t="shared" si="112"/>
        <v>2.0814254172868796</v>
      </c>
      <c r="V491" s="27">
        <f t="shared" si="112"/>
        <v>2.1274151344864149</v>
      </c>
      <c r="W491" s="27">
        <f t="shared" si="112"/>
        <v>2.1824506881567056</v>
      </c>
      <c r="X491" s="27">
        <f t="shared" si="112"/>
        <v>2.2493281606911828</v>
      </c>
      <c r="Y491" s="27">
        <f t="shared" si="112"/>
        <v>2.3261233859270511</v>
      </c>
      <c r="Z491" s="27">
        <f t="shared" si="112"/>
        <v>2.4121225146398793</v>
      </c>
      <c r="AA491" s="27">
        <f t="shared" si="112"/>
        <v>2.4999478814416944</v>
      </c>
      <c r="AB491" s="27">
        <f t="shared" si="112"/>
        <v>2.5962654285530302</v>
      </c>
      <c r="AC491" s="27">
        <f t="shared" si="112"/>
        <v>2.6938179504840183</v>
      </c>
      <c r="AD491" s="27">
        <f t="shared" si="112"/>
        <v>2.8076989520027458</v>
      </c>
      <c r="AE491" s="27">
        <f t="shared" si="112"/>
        <v>2.9182147779075716</v>
      </c>
      <c r="AF491" s="27">
        <f t="shared" si="112"/>
        <v>3.0347920342807941</v>
      </c>
      <c r="AG491" s="27">
        <f t="shared" si="112"/>
        <v>3.1685994721864104</v>
      </c>
      <c r="AH491" s="27">
        <f t="shared" si="112"/>
        <v>3.2930349508119656</v>
      </c>
      <c r="AI491" s="27">
        <f t="shared" si="112"/>
        <v>3.427074485424797</v>
      </c>
      <c r="AJ491" s="27">
        <f t="shared" si="112"/>
        <v>3.5705841120118782</v>
      </c>
      <c r="AK491" s="27">
        <f t="shared" si="112"/>
        <v>3.702270113838861</v>
      </c>
      <c r="AL491" s="27">
        <f t="shared" si="112"/>
        <v>3.8318633402397859</v>
      </c>
      <c r="AM491" s="27">
        <f t="shared" si="112"/>
        <v>3.9598368656050509</v>
      </c>
      <c r="AN491" s="27">
        <f t="shared" si="112"/>
        <v>4.1020537482739581</v>
      </c>
      <c r="AO491" s="27">
        <f t="shared" si="112"/>
        <v>4.2366042379514601</v>
      </c>
      <c r="AP491" s="27">
        <f t="shared" si="112"/>
        <v>4.376057584996432</v>
      </c>
      <c r="AQ491" s="27">
        <f t="shared" si="112"/>
        <v>4.5211331273416295</v>
      </c>
      <c r="AR491" s="27">
        <f t="shared" si="112"/>
        <v>4.67298612402322</v>
      </c>
      <c r="AS491" s="27">
        <f t="shared" si="112"/>
        <v>4.8333405314076359</v>
      </c>
      <c r="AT491" s="27">
        <f t="shared" si="112"/>
        <v>4.8577536687430269</v>
      </c>
      <c r="AU491" s="27">
        <f t="shared" si="112"/>
        <v>4.8696640260341857</v>
      </c>
      <c r="AV491" s="27">
        <f t="shared" si="112"/>
        <v>4.8636695672494161</v>
      </c>
      <c r="AW491" s="27">
        <f t="shared" si="112"/>
        <v>4.8525780818062749</v>
      </c>
      <c r="AY491" s="79"/>
    </row>
    <row r="492" spans="1:51" x14ac:dyDescent="0.3">
      <c r="A492" s="95" t="str">
        <f t="shared" si="108"/>
        <v>PQ Poultry MMCH4</v>
      </c>
      <c r="B492" s="95" t="s">
        <v>968</v>
      </c>
      <c r="C492" s="95" t="s">
        <v>1231</v>
      </c>
      <c r="D492" t="s">
        <v>15</v>
      </c>
      <c r="E492" t="s">
        <v>22</v>
      </c>
      <c r="F492" t="s">
        <v>28</v>
      </c>
      <c r="G492" t="s">
        <v>134</v>
      </c>
      <c r="H492" t="s">
        <v>1227</v>
      </c>
      <c r="I492" t="s">
        <v>121</v>
      </c>
      <c r="J492" t="s">
        <v>286</v>
      </c>
      <c r="K492" s="27">
        <f t="shared" si="110"/>
        <v>2.3161053423012622E-2</v>
      </c>
      <c r="L492" s="27">
        <f t="shared" si="112"/>
        <v>2.3631963555267657E-2</v>
      </c>
      <c r="M492" s="27">
        <f t="shared" si="112"/>
        <v>2.4182412868997839E-2</v>
      </c>
      <c r="N492" s="27">
        <f t="shared" si="112"/>
        <v>2.460500634884424E-2</v>
      </c>
      <c r="O492" s="27">
        <f t="shared" si="112"/>
        <v>2.4944242822745925E-2</v>
      </c>
      <c r="P492" s="27">
        <f t="shared" si="112"/>
        <v>2.5198104828966561E-2</v>
      </c>
      <c r="Q492" s="27">
        <f t="shared" si="112"/>
        <v>2.5523625995077459E-2</v>
      </c>
      <c r="R492" s="27">
        <f t="shared" si="112"/>
        <v>2.5862077897454098E-2</v>
      </c>
      <c r="S492" s="27">
        <f t="shared" si="112"/>
        <v>2.4710993344266366E-2</v>
      </c>
      <c r="T492" s="27">
        <f t="shared" si="112"/>
        <v>2.5326046064030362E-2</v>
      </c>
      <c r="U492" s="27">
        <f t="shared" si="112"/>
        <v>2.6145705664162376E-2</v>
      </c>
      <c r="V492" s="27">
        <f t="shared" si="112"/>
        <v>2.6646991447283438E-2</v>
      </c>
      <c r="W492" s="27">
        <f t="shared" si="112"/>
        <v>2.7193503002729248E-2</v>
      </c>
      <c r="X492" s="27">
        <f t="shared" si="112"/>
        <v>2.7799068783247873E-2</v>
      </c>
      <c r="Y492" s="27">
        <f t="shared" si="112"/>
        <v>2.842453907398574E-2</v>
      </c>
      <c r="Z492" s="27">
        <f t="shared" si="112"/>
        <v>2.9098672254444909E-2</v>
      </c>
      <c r="AA492" s="27">
        <f t="shared" si="112"/>
        <v>2.9787965718958094E-2</v>
      </c>
      <c r="AB492" s="27">
        <f t="shared" si="112"/>
        <v>3.0523943036122159E-2</v>
      </c>
      <c r="AC492" s="27">
        <f t="shared" si="112"/>
        <v>3.1273027855200759E-2</v>
      </c>
      <c r="AD492" s="27">
        <f t="shared" si="112"/>
        <v>3.2081240611854363E-2</v>
      </c>
      <c r="AE492" s="27">
        <f t="shared" si="112"/>
        <v>3.2881107685879617E-2</v>
      </c>
      <c r="AF492" s="27">
        <f t="shared" ref="L492:AW499" si="113">AF1409</f>
        <v>3.3717881511042887E-2</v>
      </c>
      <c r="AG492" s="27">
        <f t="shared" si="113"/>
        <v>3.4646584034980096E-2</v>
      </c>
      <c r="AH492" s="27">
        <f t="shared" si="113"/>
        <v>3.5538165505592613E-2</v>
      </c>
      <c r="AI492" s="27">
        <f t="shared" si="113"/>
        <v>3.6460205061343343E-2</v>
      </c>
      <c r="AJ492" s="27">
        <f t="shared" si="113"/>
        <v>3.7437714403299294E-2</v>
      </c>
      <c r="AK492" s="27">
        <f t="shared" si="113"/>
        <v>3.8364865183864859E-2</v>
      </c>
      <c r="AL492" s="27">
        <f t="shared" si="113"/>
        <v>3.9289489030274523E-2</v>
      </c>
      <c r="AM492" s="27">
        <f t="shared" si="113"/>
        <v>4.0213713135776041E-2</v>
      </c>
      <c r="AN492" s="27">
        <f t="shared" si="113"/>
        <v>4.1194270919742537E-2</v>
      </c>
      <c r="AO492" s="27">
        <f t="shared" si="113"/>
        <v>4.2143606587708417E-2</v>
      </c>
      <c r="AP492" s="27">
        <f t="shared" si="113"/>
        <v>4.312581803484019E-2</v>
      </c>
      <c r="AQ492" s="27">
        <f t="shared" si="113"/>
        <v>4.4145005515766646E-2</v>
      </c>
      <c r="AR492" s="27">
        <f t="shared" si="113"/>
        <v>4.5207623438646753E-2</v>
      </c>
      <c r="AS492" s="27">
        <f t="shared" si="113"/>
        <v>4.6298619591859998E-2</v>
      </c>
      <c r="AT492" s="27">
        <f t="shared" si="113"/>
        <v>4.6680756880281324E-2</v>
      </c>
      <c r="AU492" s="27">
        <f t="shared" si="113"/>
        <v>4.6997259618094658E-2</v>
      </c>
      <c r="AV492" s="27">
        <f t="shared" si="113"/>
        <v>4.721828532997379E-2</v>
      </c>
      <c r="AW492" s="27">
        <f t="shared" si="113"/>
        <v>4.7411040136301673E-2</v>
      </c>
      <c r="AY492" s="79"/>
    </row>
    <row r="493" spans="1:51" x14ac:dyDescent="0.3">
      <c r="A493" s="95" t="str">
        <f t="shared" si="108"/>
        <v>PQ Poultry MMCH4</v>
      </c>
      <c r="B493" s="95" t="s">
        <v>968</v>
      </c>
      <c r="C493" s="95" t="s">
        <v>1231</v>
      </c>
      <c r="D493" t="s">
        <v>15</v>
      </c>
      <c r="E493" t="s">
        <v>22</v>
      </c>
      <c r="F493" t="s">
        <v>28</v>
      </c>
      <c r="G493" t="s">
        <v>133</v>
      </c>
      <c r="H493" t="s">
        <v>1227</v>
      </c>
      <c r="I493" t="s">
        <v>121</v>
      </c>
      <c r="J493" t="s">
        <v>286</v>
      </c>
      <c r="K493" s="27">
        <f t="shared" si="110"/>
        <v>9.2084154088933862E-2</v>
      </c>
      <c r="L493" s="27">
        <f t="shared" si="113"/>
        <v>9.3296737810214581E-2</v>
      </c>
      <c r="M493" s="27">
        <f t="shared" si="113"/>
        <v>9.5244495094686854E-2</v>
      </c>
      <c r="N493" s="27">
        <f t="shared" si="113"/>
        <v>9.5803753116994225E-2</v>
      </c>
      <c r="O493" s="27">
        <f t="shared" si="113"/>
        <v>9.5460820340069155E-2</v>
      </c>
      <c r="P493" s="27">
        <f t="shared" si="113"/>
        <v>9.4219345357912251E-2</v>
      </c>
      <c r="Q493" s="27">
        <f t="shared" si="113"/>
        <v>9.3696712749775937E-2</v>
      </c>
      <c r="R493" s="27">
        <f t="shared" si="113"/>
        <v>9.3292648760063338E-2</v>
      </c>
      <c r="S493" s="27">
        <f t="shared" si="113"/>
        <v>7.8640860275212429E-2</v>
      </c>
      <c r="T493" s="27">
        <f t="shared" si="113"/>
        <v>8.1755420767148743E-2</v>
      </c>
      <c r="U493" s="27">
        <f t="shared" si="113"/>
        <v>8.6726059053620061E-2</v>
      </c>
      <c r="V493" s="27">
        <f t="shared" si="113"/>
        <v>8.8642297270267373E-2</v>
      </c>
      <c r="W493" s="27">
        <f t="shared" si="113"/>
        <v>9.0935445339862836E-2</v>
      </c>
      <c r="X493" s="27">
        <f t="shared" si="113"/>
        <v>9.3722006695466042E-2</v>
      </c>
      <c r="Y493" s="27">
        <f t="shared" si="113"/>
        <v>9.6921807746960562E-2</v>
      </c>
      <c r="Z493" s="27">
        <f t="shared" si="113"/>
        <v>0.10050510477666173</v>
      </c>
      <c r="AA493" s="27">
        <f t="shared" si="113"/>
        <v>0.10416449506007071</v>
      </c>
      <c r="AB493" s="27">
        <f t="shared" si="113"/>
        <v>0.10817772618970968</v>
      </c>
      <c r="AC493" s="27">
        <f t="shared" si="113"/>
        <v>0.11224241460350089</v>
      </c>
      <c r="AD493" s="27">
        <f t="shared" si="113"/>
        <v>0.11698745633344786</v>
      </c>
      <c r="AE493" s="27">
        <f t="shared" si="113"/>
        <v>0.12159228241281558</v>
      </c>
      <c r="AF493" s="27">
        <f t="shared" si="113"/>
        <v>0.12644966809503322</v>
      </c>
      <c r="AG493" s="27">
        <f t="shared" si="113"/>
        <v>0.13202497800776722</v>
      </c>
      <c r="AH493" s="27">
        <f t="shared" si="113"/>
        <v>0.13720978961716535</v>
      </c>
      <c r="AI493" s="27">
        <f t="shared" si="113"/>
        <v>0.14279477022603335</v>
      </c>
      <c r="AJ493" s="27">
        <f t="shared" si="113"/>
        <v>0.14877433800049503</v>
      </c>
      <c r="AK493" s="27">
        <f t="shared" si="113"/>
        <v>0.15426125474328603</v>
      </c>
      <c r="AL493" s="27">
        <f t="shared" si="113"/>
        <v>0.15966097250999123</v>
      </c>
      <c r="AM493" s="27">
        <f t="shared" si="113"/>
        <v>0.16499320273354395</v>
      </c>
      <c r="AN493" s="27">
        <f t="shared" si="113"/>
        <v>0.17091890617808173</v>
      </c>
      <c r="AO493" s="27">
        <f t="shared" si="113"/>
        <v>0.17652517658131101</v>
      </c>
      <c r="AP493" s="27">
        <f t="shared" si="113"/>
        <v>0.18233573270818484</v>
      </c>
      <c r="AQ493" s="27">
        <f t="shared" si="113"/>
        <v>0.18838054697256806</v>
      </c>
      <c r="AR493" s="27">
        <f t="shared" si="113"/>
        <v>0.19470775516763436</v>
      </c>
      <c r="AS493" s="27">
        <f t="shared" si="113"/>
        <v>0.2013891888086517</v>
      </c>
      <c r="AT493" s="27">
        <f t="shared" si="113"/>
        <v>0.20240640286429301</v>
      </c>
      <c r="AU493" s="27">
        <f t="shared" si="113"/>
        <v>0.20290266775142457</v>
      </c>
      <c r="AV493" s="27">
        <f t="shared" si="113"/>
        <v>0.20265289863539254</v>
      </c>
      <c r="AW493" s="27">
        <f t="shared" si="113"/>
        <v>0.20219075340859499</v>
      </c>
      <c r="AY493" s="79"/>
    </row>
    <row r="494" spans="1:51" x14ac:dyDescent="0.3">
      <c r="A494" s="95" t="str">
        <f t="shared" si="108"/>
        <v>PQ Cattle MMN2O</v>
      </c>
      <c r="B494" s="95" t="s">
        <v>968</v>
      </c>
      <c r="C494" s="95" t="s">
        <v>1232</v>
      </c>
      <c r="D494" t="s">
        <v>15</v>
      </c>
      <c r="E494" t="s">
        <v>657</v>
      </c>
      <c r="F494" t="s">
        <v>6</v>
      </c>
      <c r="G494" t="s">
        <v>136</v>
      </c>
      <c r="H494" t="s">
        <v>1227</v>
      </c>
      <c r="I494" t="s">
        <v>139</v>
      </c>
      <c r="J494" t="s">
        <v>287</v>
      </c>
      <c r="K494" s="27">
        <f t="shared" si="110"/>
        <v>5.9474079071945893E-2</v>
      </c>
      <c r="L494" s="27">
        <f t="shared" si="113"/>
        <v>5.9806569587962516E-2</v>
      </c>
      <c r="M494" s="27">
        <f t="shared" si="113"/>
        <v>6.0278316688762053E-2</v>
      </c>
      <c r="N494" s="27">
        <f t="shared" si="113"/>
        <v>6.0581464452445992E-2</v>
      </c>
      <c r="O494" s="27">
        <f t="shared" si="113"/>
        <v>6.078290752789528E-2</v>
      </c>
      <c r="P494" s="27">
        <f t="shared" si="113"/>
        <v>6.0880663265441157E-2</v>
      </c>
      <c r="Q494" s="27">
        <f t="shared" si="113"/>
        <v>6.1096642070638009E-2</v>
      </c>
      <c r="R494" s="27">
        <f t="shared" si="113"/>
        <v>6.1344406036983767E-2</v>
      </c>
      <c r="S494" s="27">
        <f t="shared" si="113"/>
        <v>5.9500417755247011E-2</v>
      </c>
      <c r="T494" s="27">
        <f t="shared" si="113"/>
        <v>6.0126071727634615E-2</v>
      </c>
      <c r="U494" s="27">
        <f t="shared" si="113"/>
        <v>6.104186359289164E-2</v>
      </c>
      <c r="V494" s="27">
        <f t="shared" si="113"/>
        <v>6.1516540546796637E-2</v>
      </c>
      <c r="W494" s="27">
        <f t="shared" si="113"/>
        <v>6.2059033118034318E-2</v>
      </c>
      <c r="X494" s="27">
        <f t="shared" si="113"/>
        <v>6.2686911431302672E-2</v>
      </c>
      <c r="Y494" s="27">
        <f t="shared" si="113"/>
        <v>6.3328093657155735E-2</v>
      </c>
      <c r="Z494" s="27">
        <f t="shared" si="113"/>
        <v>6.403779969028206E-2</v>
      </c>
      <c r="AA494" s="27">
        <f t="shared" si="113"/>
        <v>6.476949047597555E-2</v>
      </c>
      <c r="AB494" s="27">
        <f t="shared" si="113"/>
        <v>6.5565173536469165E-2</v>
      </c>
      <c r="AC494" s="27">
        <f t="shared" si="113"/>
        <v>6.637880571901654E-2</v>
      </c>
      <c r="AD494" s="27">
        <f t="shared" si="113"/>
        <v>6.7257796908474193E-2</v>
      </c>
      <c r="AE494" s="27">
        <f t="shared" si="113"/>
        <v>6.8124891518831304E-2</v>
      </c>
      <c r="AF494" s="27">
        <f t="shared" si="113"/>
        <v>6.9040103414992046E-2</v>
      </c>
      <c r="AG494" s="27">
        <f t="shared" si="113"/>
        <v>7.0075359365803738E-2</v>
      </c>
      <c r="AH494" s="27">
        <f t="shared" si="113"/>
        <v>7.1059649676811054E-2</v>
      </c>
      <c r="AI494" s="27">
        <f t="shared" si="113"/>
        <v>7.2069034177178609E-2</v>
      </c>
      <c r="AJ494" s="27">
        <f t="shared" si="113"/>
        <v>7.3148525212574408E-2</v>
      </c>
      <c r="AK494" s="27">
        <f t="shared" si="113"/>
        <v>7.4159878217982214E-2</v>
      </c>
      <c r="AL494" s="27">
        <f t="shared" si="113"/>
        <v>7.5165742888720646E-2</v>
      </c>
      <c r="AM494" s="27">
        <f t="shared" si="113"/>
        <v>7.6168917031251032E-2</v>
      </c>
      <c r="AN494" s="27">
        <f t="shared" si="113"/>
        <v>7.7230245197332834E-2</v>
      </c>
      <c r="AO494" s="27">
        <f t="shared" si="113"/>
        <v>7.8248884607158259E-2</v>
      </c>
      <c r="AP494" s="27">
        <f t="shared" si="113"/>
        <v>7.9307079203447303E-2</v>
      </c>
      <c r="AQ494" s="27">
        <f t="shared" si="113"/>
        <v>8.0409655218804749E-2</v>
      </c>
      <c r="AR494" s="27">
        <f t="shared" si="113"/>
        <v>8.1564373746965665E-2</v>
      </c>
      <c r="AS494" s="27">
        <f t="shared" si="113"/>
        <v>8.2739517725039347E-2</v>
      </c>
      <c r="AT494" s="27">
        <f t="shared" si="113"/>
        <v>8.3018134970904087E-2</v>
      </c>
      <c r="AU494" s="27">
        <f t="shared" si="113"/>
        <v>8.3216426012492323E-2</v>
      </c>
      <c r="AV494" s="27">
        <f t="shared" si="113"/>
        <v>8.3297669475104599E-2</v>
      </c>
      <c r="AW494" s="27">
        <f t="shared" si="113"/>
        <v>8.3346726471042673E-2</v>
      </c>
      <c r="AY494" s="79"/>
    </row>
    <row r="495" spans="1:51" x14ac:dyDescent="0.3">
      <c r="A495" s="95" t="str">
        <f t="shared" si="108"/>
        <v>PQ Cattle MMN2O</v>
      </c>
      <c r="B495" s="95" t="s">
        <v>968</v>
      </c>
      <c r="C495" s="95" t="s">
        <v>1232</v>
      </c>
      <c r="D495" t="s">
        <v>15</v>
      </c>
      <c r="E495" t="s">
        <v>657</v>
      </c>
      <c r="F495" t="s">
        <v>6</v>
      </c>
      <c r="G495" t="s">
        <v>137</v>
      </c>
      <c r="H495" t="s">
        <v>1227</v>
      </c>
      <c r="I495" t="s">
        <v>139</v>
      </c>
      <c r="J495" t="s">
        <v>287</v>
      </c>
      <c r="K495" s="27">
        <f t="shared" si="110"/>
        <v>0.26041511380118898</v>
      </c>
      <c r="L495" s="27">
        <f t="shared" si="113"/>
        <v>0.26187096745907484</v>
      </c>
      <c r="M495" s="27">
        <f t="shared" si="113"/>
        <v>0.26393657447404822</v>
      </c>
      <c r="N495" s="27">
        <f t="shared" si="113"/>
        <v>0.26526394701365208</v>
      </c>
      <c r="O495" s="27">
        <f t="shared" si="113"/>
        <v>0.26614599213711043</v>
      </c>
      <c r="P495" s="27">
        <f t="shared" si="113"/>
        <v>0.26657402855087203</v>
      </c>
      <c r="Q495" s="27">
        <f t="shared" si="113"/>
        <v>0.26751972028770321</v>
      </c>
      <c r="R495" s="27">
        <f t="shared" si="113"/>
        <v>0.26860458755254496</v>
      </c>
      <c r="S495" s="27">
        <f t="shared" si="113"/>
        <v>0.26053044120627478</v>
      </c>
      <c r="T495" s="27">
        <f t="shared" si="113"/>
        <v>0.26326994979492208</v>
      </c>
      <c r="U495" s="27">
        <f t="shared" si="113"/>
        <v>0.26727986548475752</v>
      </c>
      <c r="V495" s="27">
        <f t="shared" si="113"/>
        <v>0.2693583012486882</v>
      </c>
      <c r="W495" s="27">
        <f t="shared" si="113"/>
        <v>0.27173367665390064</v>
      </c>
      <c r="X495" s="27">
        <f t="shared" si="113"/>
        <v>0.27448292481300673</v>
      </c>
      <c r="Y495" s="27">
        <f t="shared" si="113"/>
        <v>0.27729042591127234</v>
      </c>
      <c r="Z495" s="27">
        <f t="shared" si="113"/>
        <v>0.28039796755405094</v>
      </c>
      <c r="AA495" s="27">
        <f t="shared" si="113"/>
        <v>0.28360177234089196</v>
      </c>
      <c r="AB495" s="27">
        <f t="shared" si="113"/>
        <v>0.28708577575853983</v>
      </c>
      <c r="AC495" s="27">
        <f t="shared" si="113"/>
        <v>0.29064837177880054</v>
      </c>
      <c r="AD495" s="27">
        <f t="shared" si="113"/>
        <v>0.29449715084700523</v>
      </c>
      <c r="AE495" s="27">
        <f t="shared" si="113"/>
        <v>0.29829383917166835</v>
      </c>
      <c r="AF495" s="27">
        <f t="shared" si="113"/>
        <v>0.30230121539018168</v>
      </c>
      <c r="AG495" s="27">
        <f t="shared" si="113"/>
        <v>0.30683422036395941</v>
      </c>
      <c r="AH495" s="27">
        <f t="shared" si="113"/>
        <v>0.31114406554952856</v>
      </c>
      <c r="AI495" s="27">
        <f t="shared" si="113"/>
        <v>0.31556378895902254</v>
      </c>
      <c r="AJ495" s="27">
        <f t="shared" si="113"/>
        <v>0.32029048309563773</v>
      </c>
      <c r="AK495" s="27">
        <f t="shared" si="113"/>
        <v>0.32471882586455802</v>
      </c>
      <c r="AL495" s="27">
        <f t="shared" si="113"/>
        <v>0.32912313723492953</v>
      </c>
      <c r="AM495" s="27">
        <f t="shared" si="113"/>
        <v>0.33351566777203023</v>
      </c>
      <c r="AN495" s="27">
        <f t="shared" si="113"/>
        <v>0.33816283338541037</v>
      </c>
      <c r="AO495" s="27">
        <f t="shared" si="113"/>
        <v>0.34262308063885955</v>
      </c>
      <c r="AP495" s="27">
        <f t="shared" si="113"/>
        <v>0.34725652550284908</v>
      </c>
      <c r="AQ495" s="27">
        <f t="shared" si="113"/>
        <v>0.35208430027455134</v>
      </c>
      <c r="AR495" s="27">
        <f t="shared" si="113"/>
        <v>0.3571403879283947</v>
      </c>
      <c r="AS495" s="27">
        <f t="shared" si="113"/>
        <v>0.36228591111358999</v>
      </c>
      <c r="AT495" s="27">
        <f t="shared" si="113"/>
        <v>0.36350587353959202</v>
      </c>
      <c r="AU495" s="27">
        <f t="shared" si="113"/>
        <v>0.36437411706629697</v>
      </c>
      <c r="AV495" s="27">
        <f t="shared" si="113"/>
        <v>0.36472985230241872</v>
      </c>
      <c r="AW495" s="27">
        <f t="shared" si="113"/>
        <v>0.36494465484126087</v>
      </c>
      <c r="AY495" s="79"/>
    </row>
    <row r="496" spans="1:51" x14ac:dyDescent="0.3">
      <c r="A496" s="95" t="str">
        <f t="shared" si="108"/>
        <v>PQ Cattle MMN2O</v>
      </c>
      <c r="B496" s="95" t="s">
        <v>968</v>
      </c>
      <c r="C496" s="95" t="s">
        <v>1232</v>
      </c>
      <c r="D496" t="s">
        <v>15</v>
      </c>
      <c r="E496" t="s">
        <v>657</v>
      </c>
      <c r="F496" t="s">
        <v>67</v>
      </c>
      <c r="G496" t="s">
        <v>307</v>
      </c>
      <c r="H496" t="s">
        <v>1227</v>
      </c>
      <c r="I496" t="s">
        <v>139</v>
      </c>
      <c r="J496" t="s">
        <v>287</v>
      </c>
      <c r="K496" s="27">
        <f t="shared" si="110"/>
        <v>1.1586934798802538E-2</v>
      </c>
      <c r="L496" s="27">
        <f t="shared" si="113"/>
        <v>1.1651711689683764E-2</v>
      </c>
      <c r="M496" s="27">
        <f t="shared" si="113"/>
        <v>1.1743619004328788E-2</v>
      </c>
      <c r="N496" s="27">
        <f t="shared" si="113"/>
        <v>1.1802679244134426E-2</v>
      </c>
      <c r="O496" s="27">
        <f t="shared" si="113"/>
        <v>1.1841925043604099E-2</v>
      </c>
      <c r="P496" s="27">
        <f t="shared" si="113"/>
        <v>1.1860970136438286E-2</v>
      </c>
      <c r="Q496" s="27">
        <f t="shared" si="113"/>
        <v>1.1903047834366352E-2</v>
      </c>
      <c r="R496" s="27">
        <f t="shared" si="113"/>
        <v>1.1951318021451857E-2</v>
      </c>
      <c r="S496" s="27">
        <f t="shared" si="113"/>
        <v>1.1592066187314282E-2</v>
      </c>
      <c r="T496" s="27">
        <f t="shared" si="113"/>
        <v>1.1713958142562505E-2</v>
      </c>
      <c r="U496" s="27">
        <f t="shared" si="113"/>
        <v>1.1892375711990867E-2</v>
      </c>
      <c r="V496" s="27">
        <f t="shared" si="113"/>
        <v>1.1984853830210035E-2</v>
      </c>
      <c r="W496" s="27">
        <f t="shared" si="113"/>
        <v>1.2090544009021577E-2</v>
      </c>
      <c r="X496" s="27">
        <f t="shared" si="113"/>
        <v>1.221286931764253E-2</v>
      </c>
      <c r="Y496" s="27">
        <f t="shared" si="113"/>
        <v>1.2337786538069315E-2</v>
      </c>
      <c r="Z496" s="27">
        <f t="shared" si="113"/>
        <v>1.2476053790971267E-2</v>
      </c>
      <c r="AA496" s="27">
        <f t="shared" si="113"/>
        <v>1.2618604185344915E-2</v>
      </c>
      <c r="AB496" s="27">
        <f t="shared" si="113"/>
        <v>1.2773621764201382E-2</v>
      </c>
      <c r="AC496" s="27">
        <f t="shared" si="113"/>
        <v>1.293213624978054E-2</v>
      </c>
      <c r="AD496" s="27">
        <f t="shared" si="113"/>
        <v>1.3103384191066813E-2</v>
      </c>
      <c r="AE496" s="27">
        <f t="shared" si="113"/>
        <v>1.3272314401864145E-2</v>
      </c>
      <c r="AF496" s="27">
        <f t="shared" si="113"/>
        <v>1.345061897981439E-2</v>
      </c>
      <c r="AG496" s="27">
        <f t="shared" si="113"/>
        <v>1.3652310933507637E-2</v>
      </c>
      <c r="AH496" s="27">
        <f t="shared" si="113"/>
        <v>1.3844073594396234E-2</v>
      </c>
      <c r="AI496" s="27">
        <f t="shared" si="113"/>
        <v>1.4040725187412617E-2</v>
      </c>
      <c r="AJ496" s="27">
        <f t="shared" si="113"/>
        <v>1.4251035165107133E-2</v>
      </c>
      <c r="AK496" s="27">
        <f t="shared" si="113"/>
        <v>1.4448070268720213E-2</v>
      </c>
      <c r="AL496" s="27">
        <f t="shared" si="113"/>
        <v>1.4644036117004574E-2</v>
      </c>
      <c r="AM496" s="27">
        <f t="shared" si="113"/>
        <v>1.4839477787774847E-2</v>
      </c>
      <c r="AN496" s="27">
        <f t="shared" si="113"/>
        <v>1.5046249215805637E-2</v>
      </c>
      <c r="AO496" s="27">
        <f t="shared" si="113"/>
        <v>1.5244703880582538E-2</v>
      </c>
      <c r="AP496" s="27">
        <f t="shared" si="113"/>
        <v>1.5450864816287217E-2</v>
      </c>
      <c r="AQ496" s="27">
        <f t="shared" si="113"/>
        <v>1.5665672285356487E-2</v>
      </c>
      <c r="AR496" s="27">
        <f t="shared" si="113"/>
        <v>1.589063832948109E-2</v>
      </c>
      <c r="AS496" s="27">
        <f t="shared" si="113"/>
        <v>1.6119583726629205E-2</v>
      </c>
      <c r="AT496" s="27">
        <f t="shared" si="113"/>
        <v>1.6173864850642101E-2</v>
      </c>
      <c r="AU496" s="27">
        <f t="shared" si="113"/>
        <v>1.6212496560555425E-2</v>
      </c>
      <c r="AV496" s="27">
        <f t="shared" si="113"/>
        <v>1.6228324677927005E-2</v>
      </c>
      <c r="AW496" s="27">
        <f t="shared" si="113"/>
        <v>1.6237882122484858E-2</v>
      </c>
      <c r="AY496" s="79"/>
    </row>
    <row r="497" spans="1:51" x14ac:dyDescent="0.3">
      <c r="A497" s="95" t="str">
        <f t="shared" si="108"/>
        <v>PQ Cattle MMN2O</v>
      </c>
      <c r="B497" s="95" t="s">
        <v>968</v>
      </c>
      <c r="C497" s="95" t="s">
        <v>1232</v>
      </c>
      <c r="D497" t="s">
        <v>15</v>
      </c>
      <c r="E497" t="s">
        <v>657</v>
      </c>
      <c r="F497" t="s">
        <v>67</v>
      </c>
      <c r="G497" t="s">
        <v>122</v>
      </c>
      <c r="H497" t="s">
        <v>1227</v>
      </c>
      <c r="I497" t="s">
        <v>139</v>
      </c>
      <c r="J497" t="s">
        <v>287</v>
      </c>
      <c r="K497" s="27">
        <f t="shared" si="110"/>
        <v>0.52525224947331306</v>
      </c>
      <c r="L497" s="27">
        <f t="shared" si="113"/>
        <v>0.52069690445710348</v>
      </c>
      <c r="M497" s="27">
        <f t="shared" si="113"/>
        <v>0.51896282251134873</v>
      </c>
      <c r="N497" s="27">
        <f t="shared" si="113"/>
        <v>0.51203275332440912</v>
      </c>
      <c r="O497" s="27">
        <f t="shared" si="113"/>
        <v>0.50197358865556674</v>
      </c>
      <c r="P497" s="27">
        <f t="shared" si="113"/>
        <v>0.48899333628247271</v>
      </c>
      <c r="Q497" s="27">
        <f t="shared" si="113"/>
        <v>0.47875543160314177</v>
      </c>
      <c r="R497" s="27">
        <f t="shared" si="113"/>
        <v>0.46906920988966794</v>
      </c>
      <c r="S497" s="27">
        <f t="shared" si="113"/>
        <v>0.41264416115350733</v>
      </c>
      <c r="T497" s="27">
        <f t="shared" si="113"/>
        <v>0.41934674582080395</v>
      </c>
      <c r="U497" s="27">
        <f t="shared" si="113"/>
        <v>0.43185062896277993</v>
      </c>
      <c r="V497" s="27">
        <f t="shared" si="113"/>
        <v>0.43434779885132324</v>
      </c>
      <c r="W497" s="27">
        <f t="shared" si="113"/>
        <v>0.43794943602225234</v>
      </c>
      <c r="X497" s="27">
        <f t="shared" si="113"/>
        <v>0.44297379932068648</v>
      </c>
      <c r="Y497" s="27">
        <f t="shared" si="113"/>
        <v>0.44873697326986872</v>
      </c>
      <c r="Z497" s="27">
        <f t="shared" si="113"/>
        <v>0.45549399211939318</v>
      </c>
      <c r="AA497" s="27">
        <f t="shared" si="113"/>
        <v>0.46228217585155068</v>
      </c>
      <c r="AB497" s="27">
        <f t="shared" si="113"/>
        <v>0.46991678793970998</v>
      </c>
      <c r="AC497" s="27">
        <f t="shared" si="113"/>
        <v>0.47747563485930333</v>
      </c>
      <c r="AD497" s="27">
        <f t="shared" si="113"/>
        <v>0.48239948914340336</v>
      </c>
      <c r="AE497" s="27">
        <f t="shared" si="113"/>
        <v>0.48644231664639292</v>
      </c>
      <c r="AF497" s="27">
        <f t="shared" si="113"/>
        <v>0.49071333483501467</v>
      </c>
      <c r="AG497" s="27">
        <f t="shared" si="113"/>
        <v>0.49642790918475599</v>
      </c>
      <c r="AH497" s="27">
        <f t="shared" si="113"/>
        <v>0.50053763889453751</v>
      </c>
      <c r="AI497" s="27">
        <f t="shared" si="113"/>
        <v>0.50491759807835224</v>
      </c>
      <c r="AJ497" s="27">
        <f t="shared" si="113"/>
        <v>0.50973902676184191</v>
      </c>
      <c r="AK497" s="27">
        <f t="shared" si="113"/>
        <v>0.51274341869053752</v>
      </c>
      <c r="AL497" s="27">
        <f t="shared" si="113"/>
        <v>0.51499736836395149</v>
      </c>
      <c r="AM497" s="27">
        <f t="shared" si="113"/>
        <v>0.51656513471542254</v>
      </c>
      <c r="AN497" s="27">
        <f t="shared" si="113"/>
        <v>0.52143890594170261</v>
      </c>
      <c r="AO497" s="27">
        <f t="shared" si="113"/>
        <v>0.52514358906624359</v>
      </c>
      <c r="AP497" s="27">
        <f t="shared" si="113"/>
        <v>0.52889503602895283</v>
      </c>
      <c r="AQ497" s="27">
        <f t="shared" si="113"/>
        <v>0.53273616168720928</v>
      </c>
      <c r="AR497" s="27">
        <f t="shared" si="113"/>
        <v>0.53674442357271479</v>
      </c>
      <c r="AS497" s="27">
        <f t="shared" si="113"/>
        <v>0.54085984384551011</v>
      </c>
      <c r="AT497" s="27">
        <f t="shared" si="113"/>
        <v>0.53274169797877946</v>
      </c>
      <c r="AU497" s="27">
        <f t="shared" si="113"/>
        <v>0.52354520401592364</v>
      </c>
      <c r="AV497" s="27">
        <f t="shared" si="113"/>
        <v>0.51288351759282347</v>
      </c>
      <c r="AW497" s="27">
        <f t="shared" si="113"/>
        <v>0.50188770167031349</v>
      </c>
      <c r="AY497" s="79"/>
    </row>
    <row r="498" spans="1:51" x14ac:dyDescent="0.3">
      <c r="A498" s="95" t="str">
        <f t="shared" si="108"/>
        <v>PQ Cattle MMN2O</v>
      </c>
      <c r="B498" s="95" t="s">
        <v>968</v>
      </c>
      <c r="C498" s="95" t="s">
        <v>1232</v>
      </c>
      <c r="D498" t="s">
        <v>15</v>
      </c>
      <c r="E498" t="s">
        <v>657</v>
      </c>
      <c r="F498" t="s">
        <v>67</v>
      </c>
      <c r="G498" t="s">
        <v>123</v>
      </c>
      <c r="H498" t="s">
        <v>1227</v>
      </c>
      <c r="I498" t="s">
        <v>139</v>
      </c>
      <c r="J498" t="s">
        <v>287</v>
      </c>
      <c r="K498" s="27">
        <f t="shared" si="110"/>
        <v>0.80452586370517887</v>
      </c>
      <c r="L498" s="27">
        <f t="shared" si="113"/>
        <v>0.79754846782098032</v>
      </c>
      <c r="M498" s="27">
        <f t="shared" si="113"/>
        <v>0.79489238443144172</v>
      </c>
      <c r="N498" s="27">
        <f t="shared" si="113"/>
        <v>0.78427763712907439</v>
      </c>
      <c r="O498" s="27">
        <f t="shared" si="113"/>
        <v>0.76887007218962322</v>
      </c>
      <c r="P498" s="27">
        <f t="shared" si="113"/>
        <v>0.74898829393537225</v>
      </c>
      <c r="Q498" s="27">
        <f t="shared" si="113"/>
        <v>0.73330695394505496</v>
      </c>
      <c r="R498" s="27">
        <f t="shared" si="113"/>
        <v>0.71847062359542491</v>
      </c>
      <c r="S498" s="27">
        <f t="shared" si="113"/>
        <v>0.63204469945214758</v>
      </c>
      <c r="T498" s="27">
        <f t="shared" si="113"/>
        <v>0.6423110100180156</v>
      </c>
      <c r="U498" s="27">
        <f t="shared" si="113"/>
        <v>0.66146313624794417</v>
      </c>
      <c r="V498" s="27">
        <f t="shared" si="113"/>
        <v>0.6652880370711457</v>
      </c>
      <c r="W498" s="27">
        <f t="shared" si="113"/>
        <v>0.6708046441082407</v>
      </c>
      <c r="X498" s="27">
        <f t="shared" si="113"/>
        <v>0.67850043261042148</v>
      </c>
      <c r="Y498" s="27">
        <f t="shared" si="113"/>
        <v>0.68732785315702249</v>
      </c>
      <c r="Z498" s="27">
        <f t="shared" si="113"/>
        <v>0.69767754024819972</v>
      </c>
      <c r="AA498" s="27">
        <f t="shared" si="113"/>
        <v>0.70807496241170254</v>
      </c>
      <c r="AB498" s="27">
        <f t="shared" si="113"/>
        <v>0.71976885404270319</v>
      </c>
      <c r="AC498" s="27">
        <f t="shared" si="113"/>
        <v>0.73134669659873019</v>
      </c>
      <c r="AD498" s="27">
        <f t="shared" si="113"/>
        <v>0.73888853601902071</v>
      </c>
      <c r="AE498" s="27">
        <f t="shared" si="113"/>
        <v>0.74508091176213287</v>
      </c>
      <c r="AF498" s="27">
        <f t="shared" si="113"/>
        <v>0.7516228058721478</v>
      </c>
      <c r="AG498" s="27">
        <f t="shared" si="113"/>
        <v>0.76037578669049388</v>
      </c>
      <c r="AH498" s="27">
        <f t="shared" si="113"/>
        <v>0.76667063616076714</v>
      </c>
      <c r="AI498" s="27">
        <f t="shared" si="113"/>
        <v>0.77337939456948435</v>
      </c>
      <c r="AJ498" s="27">
        <f t="shared" si="113"/>
        <v>0.78076434928365657</v>
      </c>
      <c r="AK498" s="27">
        <f t="shared" si="113"/>
        <v>0.78536615920216046</v>
      </c>
      <c r="AL498" s="27">
        <f t="shared" si="113"/>
        <v>0.78881852101416539</v>
      </c>
      <c r="AM498" s="27">
        <f t="shared" si="113"/>
        <v>0.79121985976001552</v>
      </c>
      <c r="AN498" s="27">
        <f t="shared" si="113"/>
        <v>0.79868498724734416</v>
      </c>
      <c r="AO498" s="27">
        <f t="shared" si="113"/>
        <v>0.80435942918169867</v>
      </c>
      <c r="AP498" s="27">
        <f t="shared" si="113"/>
        <v>0.81010549901927509</v>
      </c>
      <c r="AQ498" s="27">
        <f t="shared" si="113"/>
        <v>0.81598892920145427</v>
      </c>
      <c r="AR498" s="27">
        <f t="shared" si="113"/>
        <v>0.82212836098613751</v>
      </c>
      <c r="AS498" s="27">
        <f t="shared" si="113"/>
        <v>0.82843192665920329</v>
      </c>
      <c r="AT498" s="27">
        <f t="shared" si="113"/>
        <v>0.81599740910755991</v>
      </c>
      <c r="AU498" s="27">
        <f t="shared" si="113"/>
        <v>0.80191119195009897</v>
      </c>
      <c r="AV498" s="27">
        <f t="shared" si="113"/>
        <v>0.78558074788879373</v>
      </c>
      <c r="AW498" s="27">
        <f t="shared" si="113"/>
        <v>0.76873851958597172</v>
      </c>
      <c r="AY498" s="79"/>
    </row>
    <row r="499" spans="1:51" x14ac:dyDescent="0.3">
      <c r="A499" s="95" t="str">
        <f t="shared" si="108"/>
        <v>PQ Cattle MMN2O</v>
      </c>
      <c r="B499" s="95" t="s">
        <v>968</v>
      </c>
      <c r="C499" s="95" t="s">
        <v>1232</v>
      </c>
      <c r="D499" t="s">
        <v>15</v>
      </c>
      <c r="E499" t="s">
        <v>657</v>
      </c>
      <c r="F499" t="s">
        <v>67</v>
      </c>
      <c r="G499" t="s">
        <v>135</v>
      </c>
      <c r="H499" t="s">
        <v>1227</v>
      </c>
      <c r="I499" t="s">
        <v>139</v>
      </c>
      <c r="J499" t="s">
        <v>287</v>
      </c>
      <c r="K499" s="27">
        <f t="shared" si="110"/>
        <v>0.97926119892671493</v>
      </c>
      <c r="L499" s="27">
        <f t="shared" si="113"/>
        <v>1.0122801448609142</v>
      </c>
      <c r="M499" s="27">
        <f t="shared" si="113"/>
        <v>1.0514701788925804</v>
      </c>
      <c r="N499" s="27">
        <f t="shared" si="113"/>
        <v>1.0806972456941153</v>
      </c>
      <c r="O499" s="27">
        <f t="shared" si="113"/>
        <v>1.1032367943433714</v>
      </c>
      <c r="P499" s="27">
        <f t="shared" si="113"/>
        <v>1.1187666946803865</v>
      </c>
      <c r="Q499" s="27">
        <f t="shared" si="113"/>
        <v>1.1399714801203362</v>
      </c>
      <c r="R499" s="27">
        <f t="shared" si="113"/>
        <v>1.1622002864669057</v>
      </c>
      <c r="S499" s="27">
        <f t="shared" si="113"/>
        <v>1.0637182358780759</v>
      </c>
      <c r="T499" s="27">
        <f t="shared" si="113"/>
        <v>1.1070403364801074</v>
      </c>
      <c r="U499" s="27">
        <f t="shared" ref="L499:AW505" si="114">U1416</f>
        <v>1.167139233674557</v>
      </c>
      <c r="V499" s="27">
        <f t="shared" si="114"/>
        <v>1.2014274387995842</v>
      </c>
      <c r="W499" s="27">
        <f t="shared" si="114"/>
        <v>1.2394742549139584</v>
      </c>
      <c r="X499" s="27">
        <f t="shared" si="114"/>
        <v>1.2824424199036168</v>
      </c>
      <c r="Y499" s="27">
        <f t="shared" si="114"/>
        <v>1.3286164007902908</v>
      </c>
      <c r="Z499" s="27">
        <f t="shared" si="114"/>
        <v>1.3789486454543383</v>
      </c>
      <c r="AA499" s="27">
        <f t="shared" si="114"/>
        <v>1.4306963818966387</v>
      </c>
      <c r="AB499" s="27">
        <f t="shared" si="114"/>
        <v>1.4864839183326823</v>
      </c>
      <c r="AC499" s="27">
        <f t="shared" si="114"/>
        <v>1.5435464944872577</v>
      </c>
      <c r="AD499" s="27">
        <f t="shared" si="114"/>
        <v>1.6111800014411353</v>
      </c>
      <c r="AE499" s="27">
        <f t="shared" si="114"/>
        <v>1.6786649286792732</v>
      </c>
      <c r="AF499" s="27">
        <f t="shared" si="114"/>
        <v>1.7498130115622672</v>
      </c>
      <c r="AG499" s="27">
        <f t="shared" si="114"/>
        <v>1.8293448328146484</v>
      </c>
      <c r="AH499" s="27">
        <f t="shared" si="114"/>
        <v>1.9063603244571439</v>
      </c>
      <c r="AI499" s="27">
        <f t="shared" si="114"/>
        <v>1.9878317329791768</v>
      </c>
      <c r="AJ499" s="27">
        <f t="shared" si="114"/>
        <v>2.0747636655461594</v>
      </c>
      <c r="AK499" s="27">
        <f t="shared" si="114"/>
        <v>2.1580530015142441</v>
      </c>
      <c r="AL499" s="27">
        <f t="shared" si="114"/>
        <v>2.2418001061580344</v>
      </c>
      <c r="AM499" s="27">
        <f t="shared" si="114"/>
        <v>2.326186702125502</v>
      </c>
      <c r="AN499" s="27">
        <f t="shared" si="114"/>
        <v>2.4143873382610392</v>
      </c>
      <c r="AO499" s="27">
        <f t="shared" si="114"/>
        <v>2.5003845769659914</v>
      </c>
      <c r="AP499" s="27">
        <f t="shared" si="114"/>
        <v>2.5898227222528956</v>
      </c>
      <c r="AQ499" s="27">
        <f t="shared" si="114"/>
        <v>2.6830977224212833</v>
      </c>
      <c r="AR499" s="27">
        <f t="shared" si="114"/>
        <v>2.7808208792989615</v>
      </c>
      <c r="AS499" s="27">
        <f t="shared" si="114"/>
        <v>2.8829310376391781</v>
      </c>
      <c r="AT499" s="27">
        <f t="shared" si="114"/>
        <v>2.9219897527083054</v>
      </c>
      <c r="AU499" s="27">
        <f t="shared" si="114"/>
        <v>2.955308116539189</v>
      </c>
      <c r="AV499" s="27">
        <f t="shared" si="114"/>
        <v>2.9801202079374365</v>
      </c>
      <c r="AW499" s="27">
        <f t="shared" si="114"/>
        <v>3.0024365734571252</v>
      </c>
      <c r="AY499" s="79"/>
    </row>
    <row r="500" spans="1:51" x14ac:dyDescent="0.3">
      <c r="A500" s="95" t="str">
        <f t="shared" si="108"/>
        <v>PQ Sheep MMN2O</v>
      </c>
      <c r="B500" s="95" t="s">
        <v>968</v>
      </c>
      <c r="C500" s="95" t="s">
        <v>1328</v>
      </c>
      <c r="D500" t="s">
        <v>15</v>
      </c>
      <c r="E500" t="s">
        <v>657</v>
      </c>
      <c r="F500" t="s">
        <v>18</v>
      </c>
      <c r="G500" t="s">
        <v>122</v>
      </c>
      <c r="H500" t="s">
        <v>1227</v>
      </c>
      <c r="I500" t="s">
        <v>139</v>
      </c>
      <c r="J500" t="s">
        <v>287</v>
      </c>
      <c r="K500" s="27">
        <f t="shared" si="110"/>
        <v>0.1171883187565219</v>
      </c>
      <c r="L500" s="27">
        <f t="shared" si="114"/>
        <v>0.11725168210757804</v>
      </c>
      <c r="M500" s="27">
        <f t="shared" si="114"/>
        <v>0.11740318150277541</v>
      </c>
      <c r="N500" s="27">
        <f t="shared" si="114"/>
        <v>0.11762656857541021</v>
      </c>
      <c r="O500" s="27">
        <f t="shared" si="114"/>
        <v>0.1179204237689029</v>
      </c>
      <c r="P500" s="27">
        <f t="shared" si="114"/>
        <v>0.11828164409401502</v>
      </c>
      <c r="Q500" s="27">
        <f t="shared" si="114"/>
        <v>0.1186873438242913</v>
      </c>
      <c r="R500" s="27">
        <f t="shared" si="114"/>
        <v>0.11913496163447934</v>
      </c>
      <c r="S500" s="27">
        <f t="shared" si="114"/>
        <v>0.11954428347803586</v>
      </c>
      <c r="T500" s="27">
        <f t="shared" si="114"/>
        <v>0.11972414940561894</v>
      </c>
      <c r="U500" s="27">
        <f t="shared" si="114"/>
        <v>0.11994380434419684</v>
      </c>
      <c r="V500" s="27">
        <f t="shared" si="114"/>
        <v>0.12017467883012861</v>
      </c>
      <c r="W500" s="27">
        <f t="shared" si="114"/>
        <v>0.12043388472990403</v>
      </c>
      <c r="X500" s="27">
        <f t="shared" si="114"/>
        <v>0.12072069678028939</v>
      </c>
      <c r="Y500" s="27">
        <f t="shared" si="114"/>
        <v>0.12089981812671623</v>
      </c>
      <c r="Z500" s="27">
        <f t="shared" si="114"/>
        <v>0.12110217984152867</v>
      </c>
      <c r="AA500" s="27">
        <f t="shared" si="114"/>
        <v>0.12132504756910802</v>
      </c>
      <c r="AB500" s="27">
        <f t="shared" si="114"/>
        <v>0.12156903411725499</v>
      </c>
      <c r="AC500" s="27">
        <f t="shared" si="114"/>
        <v>0.12183162117803532</v>
      </c>
      <c r="AD500" s="27">
        <f t="shared" si="114"/>
        <v>0.12200776858907328</v>
      </c>
      <c r="AE500" s="27">
        <f t="shared" si="114"/>
        <v>0.12219899661673859</v>
      </c>
      <c r="AF500" s="27">
        <f t="shared" si="114"/>
        <v>0.12240684242118335</v>
      </c>
      <c r="AG500" s="27">
        <f t="shared" si="114"/>
        <v>0.12263333491271973</v>
      </c>
      <c r="AH500" s="27">
        <f t="shared" si="114"/>
        <v>0.12287167298468532</v>
      </c>
      <c r="AI500" s="27">
        <f t="shared" si="114"/>
        <v>0.12302401792252464</v>
      </c>
      <c r="AJ500" s="27">
        <f t="shared" si="114"/>
        <v>0.12319088645114676</v>
      </c>
      <c r="AK500" s="27">
        <f t="shared" si="114"/>
        <v>0.12336677489796816</v>
      </c>
      <c r="AL500" s="27">
        <f t="shared" si="114"/>
        <v>0.12355355577482134</v>
      </c>
      <c r="AM500" s="27">
        <f t="shared" si="114"/>
        <v>0.12375094588099321</v>
      </c>
      <c r="AN500" s="27">
        <f t="shared" si="114"/>
        <v>0.12386757855810271</v>
      </c>
      <c r="AO500" s="27">
        <f t="shared" si="114"/>
        <v>0.12399208535623993</v>
      </c>
      <c r="AP500" s="27">
        <f t="shared" si="114"/>
        <v>0.12412714040619617</v>
      </c>
      <c r="AQ500" s="27">
        <f t="shared" si="114"/>
        <v>0.1242726131383893</v>
      </c>
      <c r="AR500" s="27">
        <f t="shared" si="114"/>
        <v>0.12442850053815514</v>
      </c>
      <c r="AS500" s="27">
        <f t="shared" si="114"/>
        <v>0.12449922291454818</v>
      </c>
      <c r="AT500" s="27">
        <f t="shared" si="114"/>
        <v>0.12454479881058539</v>
      </c>
      <c r="AU500" s="27">
        <f t="shared" si="114"/>
        <v>0.12459475860623467</v>
      </c>
      <c r="AV500" s="27">
        <f t="shared" si="114"/>
        <v>0.12464752954530567</v>
      </c>
      <c r="AW500" s="27">
        <f t="shared" si="114"/>
        <v>0.12470598620434532</v>
      </c>
      <c r="AY500" s="79"/>
    </row>
    <row r="501" spans="1:51" x14ac:dyDescent="0.3">
      <c r="A501" s="95" t="str">
        <f t="shared" si="108"/>
        <v>PQ Sheep MMN2O</v>
      </c>
      <c r="B501" s="95" t="s">
        <v>968</v>
      </c>
      <c r="C501" s="95" t="s">
        <v>1328</v>
      </c>
      <c r="D501" t="s">
        <v>15</v>
      </c>
      <c r="E501" t="s">
        <v>657</v>
      </c>
      <c r="F501" t="s">
        <v>18</v>
      </c>
      <c r="G501" t="s">
        <v>123</v>
      </c>
      <c r="H501" t="s">
        <v>1227</v>
      </c>
      <c r="I501" t="s">
        <v>139</v>
      </c>
      <c r="J501" t="s">
        <v>287</v>
      </c>
      <c r="K501" s="27">
        <f t="shared" si="110"/>
        <v>6.266545072674834E-2</v>
      </c>
      <c r="L501" s="27">
        <f t="shared" si="114"/>
        <v>6.269933373655362E-2</v>
      </c>
      <c r="M501" s="27">
        <f t="shared" si="114"/>
        <v>6.2780346741822493E-2</v>
      </c>
      <c r="N501" s="27">
        <f t="shared" si="114"/>
        <v>6.2899801067490158E-2</v>
      </c>
      <c r="O501" s="27">
        <f t="shared" si="114"/>
        <v>6.3056937617822231E-2</v>
      </c>
      <c r="P501" s="27">
        <f t="shared" si="114"/>
        <v>6.3250097095874355E-2</v>
      </c>
      <c r="Q501" s="27">
        <f t="shared" si="114"/>
        <v>6.3467041555247503E-2</v>
      </c>
      <c r="R501" s="27">
        <f t="shared" si="114"/>
        <v>6.3706401349179126E-2</v>
      </c>
      <c r="S501" s="27">
        <f t="shared" si="114"/>
        <v>6.3925282702636074E-2</v>
      </c>
      <c r="T501" s="27">
        <f t="shared" si="114"/>
        <v>6.402146446837842E-2</v>
      </c>
      <c r="U501" s="27">
        <f t="shared" si="114"/>
        <v>6.4138923067293366E-2</v>
      </c>
      <c r="V501" s="27">
        <f t="shared" si="114"/>
        <v>6.4262381223155141E-2</v>
      </c>
      <c r="W501" s="27">
        <f t="shared" si="114"/>
        <v>6.4400989360150498E-2</v>
      </c>
      <c r="X501" s="27">
        <f t="shared" si="114"/>
        <v>6.4554359649970958E-2</v>
      </c>
      <c r="Y501" s="27">
        <f t="shared" si="114"/>
        <v>6.4650143257311041E-2</v>
      </c>
      <c r="Z501" s="27">
        <f t="shared" si="114"/>
        <v>6.4758354452787853E-2</v>
      </c>
      <c r="AA501" s="27">
        <f t="shared" si="114"/>
        <v>6.4877531063130933E-2</v>
      </c>
      <c r="AB501" s="27">
        <f t="shared" si="114"/>
        <v>6.500800078206817E-2</v>
      </c>
      <c r="AC501" s="27">
        <f t="shared" si="114"/>
        <v>6.5148416965979825E-2</v>
      </c>
      <c r="AD501" s="27">
        <f t="shared" si="114"/>
        <v>6.5242610286817326E-2</v>
      </c>
      <c r="AE501" s="27">
        <f t="shared" si="114"/>
        <v>6.5344867838358231E-2</v>
      </c>
      <c r="AF501" s="27">
        <f t="shared" si="114"/>
        <v>6.5456011603840999E-2</v>
      </c>
      <c r="AG501" s="27">
        <f t="shared" si="114"/>
        <v>6.5577126525694585E-2</v>
      </c>
      <c r="AH501" s="27">
        <f t="shared" si="114"/>
        <v>6.570457577032536E-2</v>
      </c>
      <c r="AI501" s="27">
        <f t="shared" si="114"/>
        <v>6.5786040922287098E-2</v>
      </c>
      <c r="AJ501" s="27">
        <f t="shared" si="114"/>
        <v>6.5875272440148028E-2</v>
      </c>
      <c r="AK501" s="27">
        <f t="shared" si="114"/>
        <v>6.5969327282086584E-2</v>
      </c>
      <c r="AL501" s="27">
        <f t="shared" si="114"/>
        <v>6.6069206757782967E-2</v>
      </c>
      <c r="AM501" s="27">
        <f t="shared" si="114"/>
        <v>6.6174759428079058E-2</v>
      </c>
      <c r="AN501" s="27">
        <f t="shared" si="114"/>
        <v>6.623712775418944E-2</v>
      </c>
      <c r="AO501" s="27">
        <f t="shared" si="114"/>
        <v>6.6303706699144024E-2</v>
      </c>
      <c r="AP501" s="27">
        <f t="shared" si="114"/>
        <v>6.6375926231502153E-2</v>
      </c>
      <c r="AQ501" s="27">
        <f t="shared" si="114"/>
        <v>6.6453716530296997E-2</v>
      </c>
      <c r="AR501" s="27">
        <f t="shared" si="114"/>
        <v>6.653707598346266E-2</v>
      </c>
      <c r="AS501" s="27">
        <f t="shared" si="114"/>
        <v>6.6574894169098925E-2</v>
      </c>
      <c r="AT501" s="27">
        <f t="shared" si="114"/>
        <v>6.659926548953217E-2</v>
      </c>
      <c r="AU501" s="27">
        <f t="shared" si="114"/>
        <v>6.66259810627719E-2</v>
      </c>
      <c r="AV501" s="27">
        <f t="shared" si="114"/>
        <v>6.6654199870902653E-2</v>
      </c>
      <c r="AW501" s="27">
        <f t="shared" si="114"/>
        <v>6.6685459069136477E-2</v>
      </c>
      <c r="AY501" s="79"/>
    </row>
    <row r="502" spans="1:51" x14ac:dyDescent="0.3">
      <c r="A502" s="95" t="str">
        <f t="shared" si="108"/>
        <v>PQ Goats MMN2O</v>
      </c>
      <c r="B502" s="95" t="s">
        <v>968</v>
      </c>
      <c r="C502" s="95" t="s">
        <v>1329</v>
      </c>
      <c r="D502" t="s">
        <v>15</v>
      </c>
      <c r="E502" t="s">
        <v>657</v>
      </c>
      <c r="F502" t="s">
        <v>19</v>
      </c>
      <c r="G502" t="s">
        <v>122</v>
      </c>
      <c r="H502" t="s">
        <v>1227</v>
      </c>
      <c r="I502" t="s">
        <v>139</v>
      </c>
      <c r="J502" t="s">
        <v>287</v>
      </c>
      <c r="K502" s="27">
        <f t="shared" si="110"/>
        <v>1.4486129996083084E-2</v>
      </c>
      <c r="L502" s="27">
        <f t="shared" si="114"/>
        <v>1.4523786941695514E-2</v>
      </c>
      <c r="M502" s="27">
        <f t="shared" si="114"/>
        <v>1.457573336741831E-2</v>
      </c>
      <c r="N502" s="27">
        <f t="shared" si="114"/>
        <v>1.4639017833045654E-2</v>
      </c>
      <c r="O502" s="27">
        <f t="shared" si="114"/>
        <v>1.4713550078172181E-2</v>
      </c>
      <c r="P502" s="27">
        <f t="shared" si="114"/>
        <v>1.4798876460462532E-2</v>
      </c>
      <c r="Q502" s="27">
        <f t="shared" si="114"/>
        <v>1.4890706011157261E-2</v>
      </c>
      <c r="R502" s="27">
        <f t="shared" si="114"/>
        <v>1.4988675221399694E-2</v>
      </c>
      <c r="S502" s="27">
        <f t="shared" si="114"/>
        <v>1.5077522200056563E-2</v>
      </c>
      <c r="T502" s="27">
        <f t="shared" si="114"/>
        <v>1.5120920467659648E-2</v>
      </c>
      <c r="U502" s="27">
        <f t="shared" si="114"/>
        <v>1.5170664566545743E-2</v>
      </c>
      <c r="V502" s="27">
        <f t="shared" si="114"/>
        <v>1.522137130781058E-2</v>
      </c>
      <c r="W502" s="27">
        <f t="shared" si="114"/>
        <v>1.527636657794784E-2</v>
      </c>
      <c r="X502" s="27">
        <f t="shared" si="114"/>
        <v>1.5335559486365858E-2</v>
      </c>
      <c r="Y502" s="27">
        <f t="shared" si="114"/>
        <v>1.5373440359637548E-2</v>
      </c>
      <c r="Z502" s="27">
        <f t="shared" si="114"/>
        <v>1.5414884136013281E-2</v>
      </c>
      <c r="AA502" s="27">
        <f t="shared" si="114"/>
        <v>1.5459406079654034E-2</v>
      </c>
      <c r="AB502" s="27">
        <f t="shared" si="114"/>
        <v>1.5507149153927192E-2</v>
      </c>
      <c r="AC502" s="27">
        <f t="shared" si="114"/>
        <v>1.55576650603759E-2</v>
      </c>
      <c r="AD502" s="27">
        <f t="shared" si="114"/>
        <v>1.5591353436562988E-2</v>
      </c>
      <c r="AE502" s="27">
        <f t="shared" si="114"/>
        <v>1.5627280085252663E-2</v>
      </c>
      <c r="AF502" s="27">
        <f t="shared" si="114"/>
        <v>1.5665749106164011E-2</v>
      </c>
      <c r="AG502" s="27">
        <f t="shared" si="114"/>
        <v>1.5707151218007597E-2</v>
      </c>
      <c r="AH502" s="27">
        <f t="shared" si="114"/>
        <v>1.575023561921594E-2</v>
      </c>
      <c r="AI502" s="27">
        <f t="shared" si="114"/>
        <v>1.5776918897393025E-2</v>
      </c>
      <c r="AJ502" s="27">
        <f t="shared" si="114"/>
        <v>1.5805875112600263E-2</v>
      </c>
      <c r="AK502" s="27">
        <f t="shared" si="114"/>
        <v>1.5836097205917665E-2</v>
      </c>
      <c r="AL502" s="27">
        <f t="shared" si="114"/>
        <v>1.5867941184595159E-2</v>
      </c>
      <c r="AM502" s="27">
        <f t="shared" si="114"/>
        <v>1.5901363449816974E-2</v>
      </c>
      <c r="AN502" s="27">
        <f t="shared" si="114"/>
        <v>1.5919623331121565E-2</v>
      </c>
      <c r="AO502" s="27">
        <f t="shared" si="114"/>
        <v>1.5939033537312693E-2</v>
      </c>
      <c r="AP502" s="27">
        <f t="shared" si="114"/>
        <v>1.5960089556991585E-2</v>
      </c>
      <c r="AQ502" s="27">
        <f t="shared" si="114"/>
        <v>1.5982771280705937E-2</v>
      </c>
      <c r="AR502" s="27">
        <f t="shared" si="114"/>
        <v>1.6007081325051208E-2</v>
      </c>
      <c r="AS502" s="27">
        <f t="shared" si="114"/>
        <v>1.6015649873683192E-2</v>
      </c>
      <c r="AT502" s="27">
        <f t="shared" si="114"/>
        <v>1.601945516807891E-2</v>
      </c>
      <c r="AU502" s="27">
        <f t="shared" si="114"/>
        <v>1.602387884909745E-2</v>
      </c>
      <c r="AV502" s="27">
        <f t="shared" si="114"/>
        <v>1.6028641289399778E-2</v>
      </c>
      <c r="AW502" s="27">
        <f t="shared" si="114"/>
        <v>1.6034267352361548E-2</v>
      </c>
      <c r="AY502" s="79"/>
    </row>
    <row r="503" spans="1:51" x14ac:dyDescent="0.3">
      <c r="A503" s="95" t="str">
        <f t="shared" si="108"/>
        <v>PQ Goats MMN2O</v>
      </c>
      <c r="B503" s="95" t="s">
        <v>968</v>
      </c>
      <c r="C503" s="95" t="s">
        <v>1329</v>
      </c>
      <c r="D503" t="s">
        <v>15</v>
      </c>
      <c r="E503" t="s">
        <v>657</v>
      </c>
      <c r="F503" t="s">
        <v>19</v>
      </c>
      <c r="G503" t="s">
        <v>123</v>
      </c>
      <c r="H503" t="s">
        <v>1227</v>
      </c>
      <c r="I503" t="s">
        <v>139</v>
      </c>
      <c r="J503" t="s">
        <v>287</v>
      </c>
      <c r="K503" s="27">
        <f t="shared" si="110"/>
        <v>0.11484439540301131</v>
      </c>
      <c r="L503" s="27">
        <f t="shared" si="114"/>
        <v>0.11514293539628438</v>
      </c>
      <c r="M503" s="27">
        <f t="shared" si="114"/>
        <v>0.1155547607669731</v>
      </c>
      <c r="N503" s="27">
        <f t="shared" si="114"/>
        <v>0.11605647283191664</v>
      </c>
      <c r="O503" s="27">
        <f t="shared" si="114"/>
        <v>0.11664735601685972</v>
      </c>
      <c r="P503" s="27">
        <f t="shared" si="114"/>
        <v>0.11732381389682567</v>
      </c>
      <c r="Q503" s="27">
        <f t="shared" si="114"/>
        <v>0.11805182815822728</v>
      </c>
      <c r="R503" s="27">
        <f t="shared" si="114"/>
        <v>0.11882851694408277</v>
      </c>
      <c r="S503" s="27">
        <f t="shared" si="114"/>
        <v>0.11953288571269048</v>
      </c>
      <c r="T503" s="27">
        <f t="shared" si="114"/>
        <v>0.11987694225544984</v>
      </c>
      <c r="U503" s="27">
        <f t="shared" si="114"/>
        <v>0.12027130782879383</v>
      </c>
      <c r="V503" s="27">
        <f t="shared" si="114"/>
        <v>0.12067330512172106</v>
      </c>
      <c r="W503" s="27">
        <f t="shared" si="114"/>
        <v>0.12110930138508789</v>
      </c>
      <c r="X503" s="27">
        <f t="shared" si="114"/>
        <v>0.12157857604859369</v>
      </c>
      <c r="Y503" s="27">
        <f t="shared" si="114"/>
        <v>0.12187889131494858</v>
      </c>
      <c r="Z503" s="27">
        <f t="shared" si="114"/>
        <v>0.12220745287296136</v>
      </c>
      <c r="AA503" s="27">
        <f t="shared" si="114"/>
        <v>0.1225604177918853</v>
      </c>
      <c r="AB503" s="27">
        <f t="shared" si="114"/>
        <v>0.12293891946908028</v>
      </c>
      <c r="AC503" s="27">
        <f t="shared" si="114"/>
        <v>0.1233394038452322</v>
      </c>
      <c r="AD503" s="27">
        <f t="shared" si="114"/>
        <v>0.12360648147026812</v>
      </c>
      <c r="AE503" s="27">
        <f t="shared" si="114"/>
        <v>0.12389130386581051</v>
      </c>
      <c r="AF503" s="27">
        <f t="shared" si="114"/>
        <v>0.12419628189993717</v>
      </c>
      <c r="AG503" s="27">
        <f t="shared" si="114"/>
        <v>0.12452451314626521</v>
      </c>
      <c r="AH503" s="27">
        <f t="shared" si="114"/>
        <v>0.12486608139184988</v>
      </c>
      <c r="AI503" s="27">
        <f t="shared" si="114"/>
        <v>0.12507762339447212</v>
      </c>
      <c r="AJ503" s="27">
        <f t="shared" si="114"/>
        <v>0.12530718498404322</v>
      </c>
      <c r="AK503" s="27">
        <f t="shared" si="114"/>
        <v>0.12554678231167932</v>
      </c>
      <c r="AL503" s="27">
        <f t="shared" si="114"/>
        <v>0.12579923776247484</v>
      </c>
      <c r="AM503" s="27">
        <f t="shared" si="114"/>
        <v>0.12606420568996382</v>
      </c>
      <c r="AN503" s="27">
        <f t="shared" si="114"/>
        <v>0.12620896795767253</v>
      </c>
      <c r="AO503" s="27">
        <f t="shared" si="114"/>
        <v>0.1263628498705969</v>
      </c>
      <c r="AP503" s="27">
        <f t="shared" si="114"/>
        <v>0.12652977960616255</v>
      </c>
      <c r="AQ503" s="27">
        <f t="shared" si="114"/>
        <v>0.1267095977389128</v>
      </c>
      <c r="AR503" s="27">
        <f t="shared" si="114"/>
        <v>0.12690232501291954</v>
      </c>
      <c r="AS503" s="27">
        <f t="shared" si="114"/>
        <v>0.12697025549451732</v>
      </c>
      <c r="AT503" s="27">
        <f t="shared" si="114"/>
        <v>0.1270004234368404</v>
      </c>
      <c r="AU503" s="27">
        <f t="shared" si="114"/>
        <v>0.12703549387816376</v>
      </c>
      <c r="AV503" s="27">
        <f t="shared" si="114"/>
        <v>0.12707324996466249</v>
      </c>
      <c r="AW503" s="27">
        <f t="shared" si="114"/>
        <v>0.1271178527536419</v>
      </c>
      <c r="AY503" s="79"/>
    </row>
    <row r="504" spans="1:51" x14ac:dyDescent="0.3">
      <c r="A504" s="95" t="str">
        <f t="shared" si="108"/>
        <v>PQ Horses MMN2O</v>
      </c>
      <c r="B504" s="95" t="s">
        <v>968</v>
      </c>
      <c r="C504" s="95" t="s">
        <v>1330</v>
      </c>
      <c r="D504" t="s">
        <v>15</v>
      </c>
      <c r="E504" t="s">
        <v>657</v>
      </c>
      <c r="F504" t="s">
        <v>20</v>
      </c>
      <c r="G504" t="s">
        <v>3</v>
      </c>
      <c r="H504" t="s">
        <v>1227</v>
      </c>
      <c r="I504" t="s">
        <v>139</v>
      </c>
      <c r="J504" t="s">
        <v>287</v>
      </c>
      <c r="K504" s="27" t="str">
        <f t="shared" si="110"/>
        <v>NO</v>
      </c>
      <c r="L504" s="27" t="str">
        <f t="shared" si="114"/>
        <v>NO</v>
      </c>
      <c r="M504" s="27" t="str">
        <f t="shared" si="114"/>
        <v>NO</v>
      </c>
      <c r="N504" s="27" t="str">
        <f t="shared" si="114"/>
        <v>NO</v>
      </c>
      <c r="O504" s="27" t="str">
        <f t="shared" si="114"/>
        <v>NO</v>
      </c>
      <c r="P504" s="27" t="str">
        <f t="shared" si="114"/>
        <v>NO</v>
      </c>
      <c r="Q504" s="27" t="str">
        <f t="shared" si="114"/>
        <v>NO</v>
      </c>
      <c r="R504" s="27" t="str">
        <f t="shared" si="114"/>
        <v>NO</v>
      </c>
      <c r="S504" s="27" t="str">
        <f t="shared" si="114"/>
        <v>NO</v>
      </c>
      <c r="T504" s="27" t="str">
        <f t="shared" si="114"/>
        <v>NO</v>
      </c>
      <c r="U504" s="27" t="str">
        <f t="shared" si="114"/>
        <v>NO</v>
      </c>
      <c r="V504" s="27" t="str">
        <f t="shared" si="114"/>
        <v>NO</v>
      </c>
      <c r="W504" s="27" t="str">
        <f t="shared" si="114"/>
        <v>NO</v>
      </c>
      <c r="X504" s="27" t="str">
        <f t="shared" si="114"/>
        <v>NO</v>
      </c>
      <c r="Y504" s="27" t="str">
        <f t="shared" si="114"/>
        <v>NO</v>
      </c>
      <c r="Z504" s="27" t="str">
        <f t="shared" si="114"/>
        <v>NO</v>
      </c>
      <c r="AA504" s="27" t="str">
        <f t="shared" si="114"/>
        <v>NO</v>
      </c>
      <c r="AB504" s="27" t="str">
        <f t="shared" si="114"/>
        <v>NO</v>
      </c>
      <c r="AC504" s="27" t="str">
        <f t="shared" si="114"/>
        <v>NO</v>
      </c>
      <c r="AD504" s="27" t="str">
        <f t="shared" si="114"/>
        <v>NO</v>
      </c>
      <c r="AE504" s="27" t="str">
        <f t="shared" si="114"/>
        <v>NO</v>
      </c>
      <c r="AF504" s="27" t="str">
        <f t="shared" si="114"/>
        <v>NO</v>
      </c>
      <c r="AG504" s="27" t="str">
        <f t="shared" si="114"/>
        <v>NO</v>
      </c>
      <c r="AH504" s="27" t="str">
        <f t="shared" si="114"/>
        <v>NO</v>
      </c>
      <c r="AI504" s="27" t="str">
        <f t="shared" si="114"/>
        <v>NO</v>
      </c>
      <c r="AJ504" s="27" t="str">
        <f t="shared" si="114"/>
        <v>NO</v>
      </c>
      <c r="AK504" s="27" t="str">
        <f t="shared" si="114"/>
        <v>NO</v>
      </c>
      <c r="AL504" s="27" t="str">
        <f t="shared" si="114"/>
        <v>NO</v>
      </c>
      <c r="AM504" s="27" t="str">
        <f t="shared" si="114"/>
        <v>NO</v>
      </c>
      <c r="AN504" s="27" t="str">
        <f t="shared" si="114"/>
        <v>NO</v>
      </c>
      <c r="AO504" s="27" t="str">
        <f t="shared" si="114"/>
        <v>NO</v>
      </c>
      <c r="AP504" s="27" t="str">
        <f t="shared" si="114"/>
        <v>NO</v>
      </c>
      <c r="AQ504" s="27" t="str">
        <f t="shared" si="114"/>
        <v>NO</v>
      </c>
      <c r="AR504" s="27" t="str">
        <f t="shared" si="114"/>
        <v>NO</v>
      </c>
      <c r="AS504" s="27" t="str">
        <f t="shared" si="114"/>
        <v>NO</v>
      </c>
      <c r="AT504" s="27" t="str">
        <f t="shared" si="114"/>
        <v>NO</v>
      </c>
      <c r="AU504" s="27" t="str">
        <f t="shared" si="114"/>
        <v>NO</v>
      </c>
      <c r="AV504" s="27" t="str">
        <f t="shared" si="114"/>
        <v>NO</v>
      </c>
      <c r="AW504" s="27" t="str">
        <f t="shared" si="114"/>
        <v>NO</v>
      </c>
      <c r="AY504" s="79"/>
    </row>
    <row r="505" spans="1:51" x14ac:dyDescent="0.3">
      <c r="A505" s="95" t="str">
        <f t="shared" si="108"/>
        <v>PQ Mules MMN2O</v>
      </c>
      <c r="B505" s="95" t="s">
        <v>968</v>
      </c>
      <c r="C505" s="95" t="s">
        <v>1331</v>
      </c>
      <c r="D505" t="s">
        <v>15</v>
      </c>
      <c r="E505" t="s">
        <v>657</v>
      </c>
      <c r="F505" t="s">
        <v>140</v>
      </c>
      <c r="G505" t="s">
        <v>124</v>
      </c>
      <c r="H505" t="s">
        <v>1227</v>
      </c>
      <c r="I505" t="s">
        <v>139</v>
      </c>
      <c r="J505" t="s">
        <v>287</v>
      </c>
      <c r="K505" s="27" t="str">
        <f t="shared" si="110"/>
        <v>NO</v>
      </c>
      <c r="L505" s="27" t="str">
        <f t="shared" si="114"/>
        <v>NO</v>
      </c>
      <c r="M505" s="27" t="str">
        <f t="shared" si="114"/>
        <v>NO</v>
      </c>
      <c r="N505" s="27" t="str">
        <f t="shared" si="114"/>
        <v>NO</v>
      </c>
      <c r="O505" s="27" t="str">
        <f t="shared" si="114"/>
        <v>NO</v>
      </c>
      <c r="P505" s="27" t="str">
        <f t="shared" si="114"/>
        <v>NO</v>
      </c>
      <c r="Q505" s="27" t="str">
        <f t="shared" si="114"/>
        <v>NO</v>
      </c>
      <c r="R505" s="27" t="str">
        <f t="shared" si="114"/>
        <v>NO</v>
      </c>
      <c r="S505" s="27" t="str">
        <f t="shared" si="114"/>
        <v>NO</v>
      </c>
      <c r="T505" s="27" t="str">
        <f t="shared" si="114"/>
        <v>NO</v>
      </c>
      <c r="U505" s="27" t="str">
        <f t="shared" si="114"/>
        <v>NO</v>
      </c>
      <c r="V505" s="27" t="str">
        <f t="shared" si="114"/>
        <v>NO</v>
      </c>
      <c r="W505" s="27" t="str">
        <f t="shared" si="114"/>
        <v>NO</v>
      </c>
      <c r="X505" s="27" t="str">
        <f t="shared" si="114"/>
        <v>NO</v>
      </c>
      <c r="Y505" s="27" t="str">
        <f t="shared" si="114"/>
        <v>NO</v>
      </c>
      <c r="Z505" s="27" t="str">
        <f t="shared" si="114"/>
        <v>NO</v>
      </c>
      <c r="AA505" s="27" t="str">
        <f t="shared" si="114"/>
        <v>NO</v>
      </c>
      <c r="AB505" s="27" t="str">
        <f t="shared" si="114"/>
        <v>NO</v>
      </c>
      <c r="AC505" s="27" t="str">
        <f t="shared" si="114"/>
        <v>NO</v>
      </c>
      <c r="AD505" s="27" t="str">
        <f t="shared" si="114"/>
        <v>NO</v>
      </c>
      <c r="AE505" s="27" t="str">
        <f t="shared" si="114"/>
        <v>NO</v>
      </c>
      <c r="AF505" s="27" t="str">
        <f t="shared" si="114"/>
        <v>NO</v>
      </c>
      <c r="AG505" s="27" t="str">
        <f t="shared" si="114"/>
        <v>NO</v>
      </c>
      <c r="AH505" s="27" t="str">
        <f t="shared" si="114"/>
        <v>NO</v>
      </c>
      <c r="AI505" s="27" t="str">
        <f t="shared" si="114"/>
        <v>NO</v>
      </c>
      <c r="AJ505" s="27" t="str">
        <f t="shared" si="114"/>
        <v>NO</v>
      </c>
      <c r="AK505" s="27" t="str">
        <f t="shared" si="114"/>
        <v>NO</v>
      </c>
      <c r="AL505" s="27" t="str">
        <f t="shared" si="114"/>
        <v>NO</v>
      </c>
      <c r="AM505" s="27" t="str">
        <f t="shared" si="114"/>
        <v>NO</v>
      </c>
      <c r="AN505" s="27" t="str">
        <f t="shared" si="114"/>
        <v>NO</v>
      </c>
      <c r="AO505" s="27" t="str">
        <f t="shared" si="114"/>
        <v>NO</v>
      </c>
      <c r="AP505" s="27" t="str">
        <f t="shared" si="114"/>
        <v>NO</v>
      </c>
      <c r="AQ505" s="27" t="str">
        <f t="shared" si="114"/>
        <v>NO</v>
      </c>
      <c r="AR505" s="27" t="str">
        <f t="shared" si="114"/>
        <v>NO</v>
      </c>
      <c r="AS505" s="27" t="str">
        <f t="shared" si="114"/>
        <v>NO</v>
      </c>
      <c r="AT505" s="27" t="str">
        <f t="shared" si="114"/>
        <v>NO</v>
      </c>
      <c r="AU505" s="27" t="str">
        <f t="shared" si="114"/>
        <v>NO</v>
      </c>
      <c r="AV505" s="27" t="str">
        <f t="shared" ref="L505:AW511" si="115">AV1422</f>
        <v>NO</v>
      </c>
      <c r="AW505" s="27" t="str">
        <f t="shared" si="115"/>
        <v>NO</v>
      </c>
      <c r="AY505" s="79"/>
    </row>
    <row r="506" spans="1:51" x14ac:dyDescent="0.3">
      <c r="A506" s="95" t="str">
        <f t="shared" si="108"/>
        <v>PQ Swine MMN2O</v>
      </c>
      <c r="B506" s="95" t="s">
        <v>968</v>
      </c>
      <c r="C506" s="95" t="s">
        <v>1233</v>
      </c>
      <c r="D506" t="s">
        <v>15</v>
      </c>
      <c r="E506" t="s">
        <v>657</v>
      </c>
      <c r="F506" t="s">
        <v>21</v>
      </c>
      <c r="G506" t="s">
        <v>122</v>
      </c>
      <c r="H506" t="s">
        <v>1227</v>
      </c>
      <c r="I506" t="s">
        <v>139</v>
      </c>
      <c r="J506" t="s">
        <v>287</v>
      </c>
      <c r="K506" s="27">
        <f t="shared" si="110"/>
        <v>9.7466979224281824E-2</v>
      </c>
      <c r="L506" s="27">
        <f t="shared" si="115"/>
        <v>9.6937181363551506E-2</v>
      </c>
      <c r="M506" s="27">
        <f t="shared" si="115"/>
        <v>9.6980665528366608E-2</v>
      </c>
      <c r="N506" s="27">
        <f t="shared" si="115"/>
        <v>9.6090308702663593E-2</v>
      </c>
      <c r="O506" s="27">
        <f t="shared" si="115"/>
        <v>9.4636150647850484E-2</v>
      </c>
      <c r="P506" s="27">
        <f t="shared" si="115"/>
        <v>9.2641437622218326E-2</v>
      </c>
      <c r="Q506" s="27">
        <f t="shared" si="115"/>
        <v>9.1193054757597189E-2</v>
      </c>
      <c r="R506" s="27">
        <f t="shared" si="115"/>
        <v>8.9872834352323558E-2</v>
      </c>
      <c r="S506" s="27">
        <f t="shared" si="115"/>
        <v>7.9353210388908066E-2</v>
      </c>
      <c r="T506" s="27">
        <f t="shared" si="115"/>
        <v>8.0356685470718767E-2</v>
      </c>
      <c r="U506" s="27">
        <f t="shared" si="115"/>
        <v>8.2509946009160923E-2</v>
      </c>
      <c r="V506" s="27">
        <f t="shared" si="115"/>
        <v>8.2705450879572748E-2</v>
      </c>
      <c r="W506" s="27">
        <f t="shared" si="115"/>
        <v>8.3128827539525094E-2</v>
      </c>
      <c r="X506" s="27">
        <f t="shared" si="115"/>
        <v>8.3840672628701915E-2</v>
      </c>
      <c r="Y506" s="27">
        <f t="shared" si="115"/>
        <v>8.4733895932113168E-2</v>
      </c>
      <c r="Z506" s="27">
        <f t="shared" si="115"/>
        <v>8.5828465366834875E-2</v>
      </c>
      <c r="AA506" s="27">
        <f t="shared" si="115"/>
        <v>8.6935834694674932E-2</v>
      </c>
      <c r="AB506" s="27">
        <f t="shared" si="115"/>
        <v>8.8214344657231616E-2</v>
      </c>
      <c r="AC506" s="27">
        <f t="shared" si="115"/>
        <v>8.9484030373768036E-2</v>
      </c>
      <c r="AD506" s="27">
        <f t="shared" si="115"/>
        <v>9.1062581228130657E-2</v>
      </c>
      <c r="AE506" s="27">
        <f t="shared" si="115"/>
        <v>9.2515752583830088E-2</v>
      </c>
      <c r="AF506" s="27">
        <f t="shared" si="115"/>
        <v>9.4062043086931529E-2</v>
      </c>
      <c r="AG506" s="27">
        <f t="shared" si="115"/>
        <v>9.5948315776645976E-2</v>
      </c>
      <c r="AH506" s="27">
        <f t="shared" si="115"/>
        <v>9.7568003997154984E-2</v>
      </c>
      <c r="AI506" s="27">
        <f t="shared" si="115"/>
        <v>9.931620819342124E-2</v>
      </c>
      <c r="AJ506" s="27">
        <f t="shared" si="115"/>
        <v>0.10121358762042433</v>
      </c>
      <c r="AK506" s="27">
        <f t="shared" si="115"/>
        <v>0.10279643211588628</v>
      </c>
      <c r="AL506" s="27">
        <f t="shared" si="115"/>
        <v>0.10428080048635653</v>
      </c>
      <c r="AM506" s="27">
        <f t="shared" si="115"/>
        <v>0.10567866446887142</v>
      </c>
      <c r="AN506" s="27">
        <f t="shared" si="115"/>
        <v>0.10729272325925118</v>
      </c>
      <c r="AO506" s="27">
        <f t="shared" si="115"/>
        <v>0.10869271119263345</v>
      </c>
      <c r="AP506" s="27">
        <f t="shared" si="115"/>
        <v>0.110137854380135</v>
      </c>
      <c r="AQ506" s="27">
        <f t="shared" si="115"/>
        <v>0.1116390532050176</v>
      </c>
      <c r="AR506" s="27">
        <f t="shared" si="115"/>
        <v>0.11321509141175116</v>
      </c>
      <c r="AS506" s="27">
        <f t="shared" si="115"/>
        <v>0.114870036037916</v>
      </c>
      <c r="AT506" s="27">
        <f t="shared" si="115"/>
        <v>0.11386297950526468</v>
      </c>
      <c r="AU506" s="27">
        <f t="shared" si="115"/>
        <v>0.11262319660921266</v>
      </c>
      <c r="AV506" s="27">
        <f t="shared" si="115"/>
        <v>0.11105880605518059</v>
      </c>
      <c r="AW506" s="27">
        <f t="shared" si="115"/>
        <v>0.1094176927215173</v>
      </c>
      <c r="AY506" s="79"/>
    </row>
    <row r="507" spans="1:51" x14ac:dyDescent="0.3">
      <c r="A507" s="95" t="str">
        <f t="shared" si="108"/>
        <v>PQ Swine MMN2O</v>
      </c>
      <c r="B507" s="95" t="s">
        <v>968</v>
      </c>
      <c r="C507" s="95" t="s">
        <v>1233</v>
      </c>
      <c r="D507" t="s">
        <v>15</v>
      </c>
      <c r="E507" t="s">
        <v>657</v>
      </c>
      <c r="F507" t="s">
        <v>21</v>
      </c>
      <c r="G507" t="s">
        <v>123</v>
      </c>
      <c r="H507" t="s">
        <v>1227</v>
      </c>
      <c r="I507" t="s">
        <v>139</v>
      </c>
      <c r="J507" t="s">
        <v>287</v>
      </c>
      <c r="K507" s="27">
        <f t="shared" si="110"/>
        <v>3.8131055665722169E-2</v>
      </c>
      <c r="L507" s="27">
        <f t="shared" si="115"/>
        <v>3.7923788015899962E-2</v>
      </c>
      <c r="M507" s="27">
        <f t="shared" si="115"/>
        <v>3.7940799901590251E-2</v>
      </c>
      <c r="N507" s="27">
        <f t="shared" si="115"/>
        <v>3.759247428451009E-2</v>
      </c>
      <c r="O507" s="27">
        <f t="shared" si="115"/>
        <v>3.7023578211438569E-2</v>
      </c>
      <c r="P507" s="27">
        <f t="shared" si="115"/>
        <v>3.6243206089281201E-2</v>
      </c>
      <c r="Q507" s="27">
        <f t="shared" si="115"/>
        <v>3.567656938754183E-2</v>
      </c>
      <c r="R507" s="27">
        <f t="shared" si="115"/>
        <v>3.5160072434777256E-2</v>
      </c>
      <c r="S507" s="27">
        <f t="shared" si="115"/>
        <v>3.1044582551701744E-2</v>
      </c>
      <c r="T507" s="27">
        <f t="shared" si="115"/>
        <v>3.1437162320852502E-2</v>
      </c>
      <c r="U507" s="27">
        <f t="shared" si="115"/>
        <v>3.2279561440098872E-2</v>
      </c>
      <c r="V507" s="27">
        <f t="shared" si="115"/>
        <v>3.2356046903749484E-2</v>
      </c>
      <c r="W507" s="27">
        <f t="shared" si="115"/>
        <v>3.2521680425139969E-2</v>
      </c>
      <c r="X507" s="27">
        <f t="shared" si="115"/>
        <v>3.2800168636601942E-2</v>
      </c>
      <c r="Y507" s="27">
        <f t="shared" si="115"/>
        <v>3.314961567779854E-2</v>
      </c>
      <c r="Z507" s="27">
        <f t="shared" si="115"/>
        <v>3.3577833402176044E-2</v>
      </c>
      <c r="AA507" s="27">
        <f t="shared" si="115"/>
        <v>3.4011058703898145E-2</v>
      </c>
      <c r="AB507" s="27">
        <f t="shared" si="115"/>
        <v>3.4511237686969419E-2</v>
      </c>
      <c r="AC507" s="27">
        <f t="shared" si="115"/>
        <v>3.5007964446334923E-2</v>
      </c>
      <c r="AD507" s="27">
        <f t="shared" si="115"/>
        <v>3.5625525501144749E-2</v>
      </c>
      <c r="AE507" s="27">
        <f t="shared" si="115"/>
        <v>3.6194035557545495E-2</v>
      </c>
      <c r="AF507" s="27">
        <f t="shared" si="115"/>
        <v>3.6798975709773488E-2</v>
      </c>
      <c r="AG507" s="27">
        <f t="shared" si="115"/>
        <v>3.7536923776951441E-2</v>
      </c>
      <c r="AH507" s="27">
        <f t="shared" si="115"/>
        <v>3.817057860229723E-2</v>
      </c>
      <c r="AI507" s="27">
        <f t="shared" si="115"/>
        <v>3.8854511479394858E-2</v>
      </c>
      <c r="AJ507" s="27">
        <f t="shared" si="115"/>
        <v>3.9596804727075885E-2</v>
      </c>
      <c r="AK507" s="27">
        <f t="shared" si="115"/>
        <v>4.0216045541216196E-2</v>
      </c>
      <c r="AL507" s="27">
        <f t="shared" si="115"/>
        <v>4.0796760501434604E-2</v>
      </c>
      <c r="AM507" s="27">
        <f t="shared" si="115"/>
        <v>4.1343633193648956E-2</v>
      </c>
      <c r="AN507" s="27">
        <f t="shared" si="115"/>
        <v>4.1975085671950317E-2</v>
      </c>
      <c r="AO507" s="27">
        <f t="shared" si="115"/>
        <v>4.252278929674716E-2</v>
      </c>
      <c r="AP507" s="27">
        <f t="shared" si="115"/>
        <v>4.3088158571204301E-2</v>
      </c>
      <c r="AQ507" s="27">
        <f t="shared" si="115"/>
        <v>4.3675457945951471E-2</v>
      </c>
      <c r="AR507" s="27">
        <f t="shared" si="115"/>
        <v>4.4292036002135757E-2</v>
      </c>
      <c r="AS507" s="27">
        <f t="shared" si="115"/>
        <v>4.4939483847203046E-2</v>
      </c>
      <c r="AT507" s="27">
        <f t="shared" si="115"/>
        <v>4.4545502941970565E-2</v>
      </c>
      <c r="AU507" s="27">
        <f t="shared" si="115"/>
        <v>4.4060474771414608E-2</v>
      </c>
      <c r="AV507" s="27">
        <f t="shared" si="115"/>
        <v>4.3448453512794687E-2</v>
      </c>
      <c r="AW507" s="27">
        <f t="shared" si="115"/>
        <v>4.2806416749393235E-2</v>
      </c>
      <c r="AY507" s="79"/>
    </row>
    <row r="508" spans="1:51" x14ac:dyDescent="0.3">
      <c r="A508" s="95" t="str">
        <f t="shared" si="108"/>
        <v>PQ Poultry MMN2O</v>
      </c>
      <c r="B508" s="95" t="s">
        <v>968</v>
      </c>
      <c r="C508" s="95" t="s">
        <v>1234</v>
      </c>
      <c r="D508" t="s">
        <v>15</v>
      </c>
      <c r="E508" t="s">
        <v>657</v>
      </c>
      <c r="F508" t="s">
        <v>28</v>
      </c>
      <c r="G508" t="s">
        <v>131</v>
      </c>
      <c r="H508" t="s">
        <v>1227</v>
      </c>
      <c r="I508" t="s">
        <v>139</v>
      </c>
      <c r="J508" t="s">
        <v>287</v>
      </c>
      <c r="K508" s="27">
        <f t="shared" si="110"/>
        <v>0.32784224726088984</v>
      </c>
      <c r="L508" s="27">
        <f t="shared" si="115"/>
        <v>0.33450793008613733</v>
      </c>
      <c r="M508" s="27">
        <f t="shared" si="115"/>
        <v>0.34229948156355033</v>
      </c>
      <c r="N508" s="27">
        <f t="shared" si="115"/>
        <v>0.34828124731402299</v>
      </c>
      <c r="O508" s="27">
        <f t="shared" si="115"/>
        <v>0.35308310351311478</v>
      </c>
      <c r="P508" s="27">
        <f t="shared" si="115"/>
        <v>0.3566764932045714</v>
      </c>
      <c r="Q508" s="27">
        <f t="shared" si="115"/>
        <v>0.36128421068096001</v>
      </c>
      <c r="R508" s="27">
        <f t="shared" si="115"/>
        <v>0.36607496135357964</v>
      </c>
      <c r="S508" s="27">
        <f t="shared" si="115"/>
        <v>0.34978148195901088</v>
      </c>
      <c r="T508" s="27">
        <f t="shared" si="115"/>
        <v>0.35848748777612982</v>
      </c>
      <c r="U508" s="27">
        <f t="shared" si="115"/>
        <v>0.37008968221816879</v>
      </c>
      <c r="V508" s="27">
        <f t="shared" si="115"/>
        <v>0.37718532914997255</v>
      </c>
      <c r="W508" s="27">
        <f t="shared" si="115"/>
        <v>0.38492114207778078</v>
      </c>
      <c r="X508" s="27">
        <f t="shared" si="115"/>
        <v>0.39349286127913036</v>
      </c>
      <c r="Y508" s="27">
        <f t="shared" si="115"/>
        <v>0.40234632670513226</v>
      </c>
      <c r="Z508" s="27">
        <f t="shared" si="115"/>
        <v>0.41188861015823597</v>
      </c>
      <c r="AA508" s="27">
        <f t="shared" si="115"/>
        <v>0.42164548581932815</v>
      </c>
      <c r="AB508" s="27">
        <f t="shared" si="115"/>
        <v>0.43206316644832626</v>
      </c>
      <c r="AC508" s="27">
        <f t="shared" si="115"/>
        <v>0.44266638237250944</v>
      </c>
      <c r="AD508" s="27">
        <f t="shared" si="115"/>
        <v>0.45410654796286065</v>
      </c>
      <c r="AE508" s="27">
        <f t="shared" si="115"/>
        <v>0.46542858130344616</v>
      </c>
      <c r="AF508" s="27">
        <f t="shared" si="115"/>
        <v>0.4772730257801403</v>
      </c>
      <c r="AG508" s="27">
        <f t="shared" si="115"/>
        <v>0.49041871120833058</v>
      </c>
      <c r="AH508" s="27">
        <f t="shared" si="115"/>
        <v>0.50303895207575822</v>
      </c>
      <c r="AI508" s="27">
        <f t="shared" si="115"/>
        <v>0.51609032389809528</v>
      </c>
      <c r="AJ508" s="27">
        <f t="shared" si="115"/>
        <v>0.52992686464312622</v>
      </c>
      <c r="AK508" s="27">
        <f t="shared" si="115"/>
        <v>0.54305058530896999</v>
      </c>
      <c r="AL508" s="27">
        <f t="shared" si="115"/>
        <v>0.55613853749065978</v>
      </c>
      <c r="AM508" s="27">
        <f t="shared" si="115"/>
        <v>0.56922083138232038</v>
      </c>
      <c r="AN508" s="27">
        <f t="shared" si="115"/>
        <v>0.58310052249970834</v>
      </c>
      <c r="AO508" s="27">
        <f t="shared" si="115"/>
        <v>0.59653826788660902</v>
      </c>
      <c r="AP508" s="27">
        <f t="shared" si="115"/>
        <v>0.61044136643017999</v>
      </c>
      <c r="AQ508" s="27">
        <f t="shared" si="115"/>
        <v>0.62486785679849377</v>
      </c>
      <c r="AR508" s="27">
        <f t="shared" si="115"/>
        <v>0.6399091004524019</v>
      </c>
      <c r="AS508" s="27">
        <f t="shared" si="115"/>
        <v>0.65535203493771454</v>
      </c>
      <c r="AT508" s="27">
        <f t="shared" si="115"/>
        <v>0.66076114760241544</v>
      </c>
      <c r="AU508" s="27">
        <f t="shared" si="115"/>
        <v>0.6652412101856594</v>
      </c>
      <c r="AV508" s="27">
        <f t="shared" si="115"/>
        <v>0.66836980562393489</v>
      </c>
      <c r="AW508" s="27">
        <f t="shared" si="115"/>
        <v>0.67109822940167552</v>
      </c>
      <c r="AY508" s="79"/>
    </row>
    <row r="509" spans="1:51" x14ac:dyDescent="0.3">
      <c r="A509" s="95" t="str">
        <f t="shared" si="108"/>
        <v>PQ Poultry MMN2O</v>
      </c>
      <c r="B509" s="95" t="s">
        <v>968</v>
      </c>
      <c r="C509" s="95" t="s">
        <v>1234</v>
      </c>
      <c r="D509" t="s">
        <v>15</v>
      </c>
      <c r="E509" t="s">
        <v>657</v>
      </c>
      <c r="F509" t="s">
        <v>28</v>
      </c>
      <c r="G509" t="s">
        <v>132</v>
      </c>
      <c r="H509" t="s">
        <v>1227</v>
      </c>
      <c r="I509" t="s">
        <v>139</v>
      </c>
      <c r="J509" t="s">
        <v>287</v>
      </c>
      <c r="K509" s="27">
        <f t="shared" si="110"/>
        <v>1.7017151675634961</v>
      </c>
      <c r="L509" s="27">
        <f t="shared" si="115"/>
        <v>1.7241237147327637</v>
      </c>
      <c r="M509" s="27">
        <f t="shared" si="115"/>
        <v>1.7601182693498112</v>
      </c>
      <c r="N509" s="27">
        <f t="shared" si="115"/>
        <v>1.7704533576020511</v>
      </c>
      <c r="O509" s="27">
        <f t="shared" si="115"/>
        <v>1.7641159598844758</v>
      </c>
      <c r="P509" s="27">
        <f t="shared" si="115"/>
        <v>1.7411735022142167</v>
      </c>
      <c r="Q509" s="27">
        <f t="shared" si="115"/>
        <v>1.7315152516158574</v>
      </c>
      <c r="R509" s="27">
        <f t="shared" si="115"/>
        <v>1.7240481490859689</v>
      </c>
      <c r="S509" s="27">
        <f t="shared" si="115"/>
        <v>1.4532830978859241</v>
      </c>
      <c r="T509" s="27">
        <f t="shared" si="115"/>
        <v>1.5108401757769072</v>
      </c>
      <c r="U509" s="27">
        <f t="shared" si="115"/>
        <v>1.6026975713108973</v>
      </c>
      <c r="V509" s="27">
        <f t="shared" si="115"/>
        <v>1.6381096535545392</v>
      </c>
      <c r="W509" s="27">
        <f t="shared" si="115"/>
        <v>1.6804870298806631</v>
      </c>
      <c r="X509" s="27">
        <f t="shared" si="115"/>
        <v>1.7319826837322108</v>
      </c>
      <c r="Y509" s="27">
        <f t="shared" si="115"/>
        <v>1.7911150071638293</v>
      </c>
      <c r="Z509" s="27">
        <f t="shared" si="115"/>
        <v>1.8573343362727066</v>
      </c>
      <c r="AA509" s="27">
        <f t="shared" si="115"/>
        <v>1.9249598687101048</v>
      </c>
      <c r="AB509" s="27">
        <f t="shared" si="115"/>
        <v>1.9991243799858327</v>
      </c>
      <c r="AC509" s="27">
        <f t="shared" si="115"/>
        <v>2.0742398218726938</v>
      </c>
      <c r="AD509" s="27">
        <f t="shared" si="115"/>
        <v>2.1619281930421144</v>
      </c>
      <c r="AE509" s="27">
        <f t="shared" si="115"/>
        <v>2.2470253789888299</v>
      </c>
      <c r="AF509" s="27">
        <f t="shared" si="115"/>
        <v>2.3367898663962117</v>
      </c>
      <c r="AG509" s="27">
        <f t="shared" si="115"/>
        <v>2.4398215935835355</v>
      </c>
      <c r="AH509" s="27">
        <f t="shared" si="115"/>
        <v>2.5356369121252129</v>
      </c>
      <c r="AI509" s="27">
        <f t="shared" si="115"/>
        <v>2.6388473537770931</v>
      </c>
      <c r="AJ509" s="27">
        <f t="shared" si="115"/>
        <v>2.7493497662491455</v>
      </c>
      <c r="AK509" s="27">
        <f t="shared" si="115"/>
        <v>2.8507479876559225</v>
      </c>
      <c r="AL509" s="27">
        <f t="shared" si="115"/>
        <v>2.9505347719846347</v>
      </c>
      <c r="AM509" s="27">
        <f t="shared" si="115"/>
        <v>3.0490743865158891</v>
      </c>
      <c r="AN509" s="27">
        <f t="shared" si="115"/>
        <v>3.1585813861709466</v>
      </c>
      <c r="AO509" s="27">
        <f t="shared" si="115"/>
        <v>3.2621852632226234</v>
      </c>
      <c r="AP509" s="27">
        <f t="shared" si="115"/>
        <v>3.3695643404472522</v>
      </c>
      <c r="AQ509" s="27">
        <f t="shared" si="115"/>
        <v>3.4812725080530544</v>
      </c>
      <c r="AR509" s="27">
        <f t="shared" si="115"/>
        <v>3.5981993154978791</v>
      </c>
      <c r="AS509" s="27">
        <f t="shared" si="115"/>
        <v>3.7216722091838785</v>
      </c>
      <c r="AT509" s="27">
        <f t="shared" si="115"/>
        <v>3.7404703249321303</v>
      </c>
      <c r="AU509" s="27">
        <f t="shared" si="115"/>
        <v>3.749641300046322</v>
      </c>
      <c r="AV509" s="27">
        <f t="shared" si="115"/>
        <v>3.7450255667820502</v>
      </c>
      <c r="AW509" s="27">
        <f t="shared" si="115"/>
        <v>3.7364851229908305</v>
      </c>
      <c r="AY509" s="79"/>
    </row>
    <row r="510" spans="1:51" x14ac:dyDescent="0.3">
      <c r="A510" s="95" t="str">
        <f t="shared" si="108"/>
        <v>PQ Poultry MMN2O</v>
      </c>
      <c r="B510" s="95" t="s">
        <v>968</v>
      </c>
      <c r="C510" s="95" t="s">
        <v>1234</v>
      </c>
      <c r="D510" t="s">
        <v>15</v>
      </c>
      <c r="E510" t="s">
        <v>657</v>
      </c>
      <c r="F510" t="s">
        <v>28</v>
      </c>
      <c r="G510" t="s">
        <v>134</v>
      </c>
      <c r="H510" t="s">
        <v>1227</v>
      </c>
      <c r="I510" t="s">
        <v>139</v>
      </c>
      <c r="J510" t="s">
        <v>287</v>
      </c>
      <c r="K510" s="27">
        <f t="shared" si="110"/>
        <v>1.3660093635870424E-2</v>
      </c>
      <c r="L510" s="27">
        <f t="shared" si="115"/>
        <v>1.3937830420255735E-2</v>
      </c>
      <c r="M510" s="27">
        <f t="shared" si="115"/>
        <v>1.4262478398481276E-2</v>
      </c>
      <c r="N510" s="27">
        <f t="shared" si="115"/>
        <v>1.4511718638084306E-2</v>
      </c>
      <c r="O510" s="27">
        <f t="shared" si="115"/>
        <v>1.4711795979713132E-2</v>
      </c>
      <c r="P510" s="27">
        <f t="shared" si="115"/>
        <v>1.4861520550190493E-2</v>
      </c>
      <c r="Q510" s="27">
        <f t="shared" si="115"/>
        <v>1.5053508778373347E-2</v>
      </c>
      <c r="R510" s="27">
        <f t="shared" si="115"/>
        <v>1.5253123389732504E-2</v>
      </c>
      <c r="S510" s="27">
        <f t="shared" si="115"/>
        <v>1.45742284149588E-2</v>
      </c>
      <c r="T510" s="27">
        <f t="shared" si="115"/>
        <v>1.4936978657338758E-2</v>
      </c>
      <c r="U510" s="27">
        <f t="shared" si="115"/>
        <v>1.5420403425757045E-2</v>
      </c>
      <c r="V510" s="27">
        <f t="shared" si="115"/>
        <v>1.5716055381248869E-2</v>
      </c>
      <c r="W510" s="27">
        <f t="shared" si="115"/>
        <v>1.6038380919907547E-2</v>
      </c>
      <c r="X510" s="27">
        <f t="shared" si="115"/>
        <v>1.6395535886630449E-2</v>
      </c>
      <c r="Y510" s="27">
        <f t="shared" si="115"/>
        <v>1.6764430279380526E-2</v>
      </c>
      <c r="Z510" s="27">
        <f t="shared" si="115"/>
        <v>1.7162025423259852E-2</v>
      </c>
      <c r="AA510" s="27">
        <f t="shared" si="115"/>
        <v>1.7568561909138691E-2</v>
      </c>
      <c r="AB510" s="27">
        <f t="shared" si="115"/>
        <v>1.8002631935346944E-2</v>
      </c>
      <c r="AC510" s="27">
        <f t="shared" si="115"/>
        <v>1.8444432598854574E-2</v>
      </c>
      <c r="AD510" s="27">
        <f t="shared" si="115"/>
        <v>1.8921106165119213E-2</v>
      </c>
      <c r="AE510" s="27">
        <f t="shared" si="115"/>
        <v>1.9392857554310274E-2</v>
      </c>
      <c r="AF510" s="27">
        <f t="shared" si="115"/>
        <v>1.988637607417253E-2</v>
      </c>
      <c r="AG510" s="27">
        <f t="shared" si="115"/>
        <v>2.0434112967013793E-2</v>
      </c>
      <c r="AH510" s="27">
        <f t="shared" si="115"/>
        <v>2.0959956336489938E-2</v>
      </c>
      <c r="AI510" s="27">
        <f t="shared" si="115"/>
        <v>2.1503763495753996E-2</v>
      </c>
      <c r="AJ510" s="27">
        <f t="shared" si="115"/>
        <v>2.2080286026796948E-2</v>
      </c>
      <c r="AK510" s="27">
        <f t="shared" si="115"/>
        <v>2.2627107721207101E-2</v>
      </c>
      <c r="AL510" s="27">
        <f t="shared" si="115"/>
        <v>2.3172439062110847E-2</v>
      </c>
      <c r="AM510" s="27">
        <f t="shared" si="115"/>
        <v>2.371753464093004E-2</v>
      </c>
      <c r="AN510" s="27">
        <f t="shared" si="115"/>
        <v>2.4295855104154534E-2</v>
      </c>
      <c r="AO510" s="27">
        <f t="shared" si="115"/>
        <v>2.4855761161942075E-2</v>
      </c>
      <c r="AP510" s="27">
        <f t="shared" si="115"/>
        <v>2.5435056934590854E-2</v>
      </c>
      <c r="AQ510" s="27">
        <f t="shared" si="115"/>
        <v>2.6036160699937267E-2</v>
      </c>
      <c r="AR510" s="27">
        <f t="shared" si="115"/>
        <v>2.6662879185516769E-2</v>
      </c>
      <c r="AS510" s="27">
        <f t="shared" si="115"/>
        <v>2.7306334789071466E-2</v>
      </c>
      <c r="AT510" s="27">
        <f t="shared" si="115"/>
        <v>2.7531714483434007E-2</v>
      </c>
      <c r="AU510" s="27">
        <f t="shared" si="115"/>
        <v>2.7718383757735835E-2</v>
      </c>
      <c r="AV510" s="27">
        <f t="shared" si="115"/>
        <v>2.7848741900997311E-2</v>
      </c>
      <c r="AW510" s="27">
        <f t="shared" si="115"/>
        <v>2.7962426225069836E-2</v>
      </c>
      <c r="AY510" s="79"/>
    </row>
    <row r="511" spans="1:51" x14ac:dyDescent="0.3">
      <c r="A511" s="95" t="str">
        <f t="shared" si="108"/>
        <v>PQ Poultry MMN2O</v>
      </c>
      <c r="B511" s="95" t="s">
        <v>968</v>
      </c>
      <c r="C511" s="95" t="s">
        <v>1234</v>
      </c>
      <c r="D511" t="s">
        <v>15</v>
      </c>
      <c r="E511" t="s">
        <v>657</v>
      </c>
      <c r="F511" t="s">
        <v>28</v>
      </c>
      <c r="G511" t="s">
        <v>133</v>
      </c>
      <c r="H511" t="s">
        <v>1227</v>
      </c>
      <c r="I511" t="s">
        <v>139</v>
      </c>
      <c r="J511" t="s">
        <v>287</v>
      </c>
      <c r="K511" s="27">
        <f t="shared" si="110"/>
        <v>7.0904798648479067E-2</v>
      </c>
      <c r="L511" s="27">
        <f t="shared" si="115"/>
        <v>7.1838488113865229E-2</v>
      </c>
      <c r="M511" s="27">
        <f t="shared" si="115"/>
        <v>7.333826122290886E-2</v>
      </c>
      <c r="N511" s="27">
        <f t="shared" si="115"/>
        <v>7.3768889900085552E-2</v>
      </c>
      <c r="O511" s="27">
        <f t="shared" si="115"/>
        <v>7.3504831661853232E-2</v>
      </c>
      <c r="P511" s="27">
        <f t="shared" si="115"/>
        <v>7.2548895925592424E-2</v>
      </c>
      <c r="Q511" s="27">
        <f t="shared" si="115"/>
        <v>7.2146468817327461E-2</v>
      </c>
      <c r="R511" s="27">
        <f t="shared" si="115"/>
        <v>7.1835339545248775E-2</v>
      </c>
      <c r="S511" s="27">
        <f t="shared" si="115"/>
        <v>6.0553462411913554E-2</v>
      </c>
      <c r="T511" s="27">
        <f t="shared" si="115"/>
        <v>6.2951673990704532E-2</v>
      </c>
      <c r="U511" s="27">
        <f t="shared" si="115"/>
        <v>6.6779065471287438E-2</v>
      </c>
      <c r="V511" s="27">
        <f t="shared" si="115"/>
        <v>6.8254568898105869E-2</v>
      </c>
      <c r="W511" s="27">
        <f t="shared" si="115"/>
        <v>7.0020292911694371E-2</v>
      </c>
      <c r="X511" s="27">
        <f t="shared" si="115"/>
        <v>7.2165945155508851E-2</v>
      </c>
      <c r="Y511" s="27">
        <f t="shared" si="115"/>
        <v>7.4629791965159634E-2</v>
      </c>
      <c r="Z511" s="27">
        <f t="shared" si="115"/>
        <v>7.738893067802953E-2</v>
      </c>
      <c r="AA511" s="27">
        <f t="shared" si="115"/>
        <v>8.0206661196254428E-2</v>
      </c>
      <c r="AB511" s="27">
        <f t="shared" si="115"/>
        <v>8.3296849166076437E-2</v>
      </c>
      <c r="AC511" s="27">
        <f t="shared" si="115"/>
        <v>8.6426659244695656E-2</v>
      </c>
      <c r="AD511" s="27">
        <f t="shared" si="115"/>
        <v>9.0080341376754844E-2</v>
      </c>
      <c r="AE511" s="27">
        <f t="shared" si="115"/>
        <v>9.3626057457867992E-2</v>
      </c>
      <c r="AF511" s="27">
        <f t="shared" si="115"/>
        <v>9.7366244433175556E-2</v>
      </c>
      <c r="AG511" s="27">
        <f t="shared" si="115"/>
        <v>0.10165923306598072</v>
      </c>
      <c r="AH511" s="27">
        <f t="shared" si="115"/>
        <v>0.10565153800521729</v>
      </c>
      <c r="AI511" s="27">
        <f t="shared" si="115"/>
        <v>0.10995197307404567</v>
      </c>
      <c r="AJ511" s="27">
        <f t="shared" si="115"/>
        <v>0.11455624026038116</v>
      </c>
      <c r="AK511" s="27">
        <f t="shared" si="115"/>
        <v>0.11878116615233021</v>
      </c>
      <c r="AL511" s="27">
        <f t="shared" si="115"/>
        <v>0.12293894883269324</v>
      </c>
      <c r="AM511" s="27">
        <f t="shared" si="115"/>
        <v>0.12704476610482884</v>
      </c>
      <c r="AN511" s="27">
        <f t="shared" si="115"/>
        <v>0.13160755775712291</v>
      </c>
      <c r="AO511" s="27">
        <f t="shared" si="115"/>
        <v>0.13592438596760945</v>
      </c>
      <c r="AP511" s="27">
        <f t="shared" si="115"/>
        <v>0.14039851418530233</v>
      </c>
      <c r="AQ511" s="27">
        <f t="shared" si="115"/>
        <v>0.14505302116887739</v>
      </c>
      <c r="AR511" s="27">
        <f t="shared" si="115"/>
        <v>0.14992497147907843</v>
      </c>
      <c r="AS511" s="27">
        <f t="shared" si="115"/>
        <v>0.15506967538266181</v>
      </c>
      <c r="AT511" s="27">
        <f t="shared" si="115"/>
        <v>0.15585293020550561</v>
      </c>
      <c r="AU511" s="27">
        <f t="shared" si="115"/>
        <v>0.1562350541685969</v>
      </c>
      <c r="AV511" s="27">
        <f t="shared" si="115"/>
        <v>0.15604273194925225</v>
      </c>
      <c r="AW511" s="27">
        <f t="shared" si="115"/>
        <v>0.15568688012461812</v>
      </c>
      <c r="AY511" s="79"/>
    </row>
    <row r="512" spans="1:51" x14ac:dyDescent="0.3">
      <c r="A512" s="95" t="str">
        <f t="shared" si="108"/>
        <v>PQ Synthetic</v>
      </c>
      <c r="B512" s="95" t="s">
        <v>968</v>
      </c>
      <c r="C512" s="95" t="s">
        <v>1126</v>
      </c>
      <c r="D512" t="s">
        <v>369</v>
      </c>
      <c r="E512" t="s">
        <v>55</v>
      </c>
      <c r="H512" t="s">
        <v>419</v>
      </c>
      <c r="I512" t="s">
        <v>139</v>
      </c>
      <c r="J512" t="s">
        <v>287</v>
      </c>
      <c r="K512" s="22">
        <f>K1463</f>
        <v>6.6064812063358538</v>
      </c>
      <c r="L512" s="22">
        <f t="shared" ref="L512:AW519" si="116">L1463</f>
        <v>6.6058242184852958</v>
      </c>
      <c r="M512" s="22">
        <f t="shared" si="116"/>
        <v>6.6046196765835479</v>
      </c>
      <c r="N512" s="22">
        <f t="shared" si="116"/>
        <v>6.6031799495417181</v>
      </c>
      <c r="O512" s="22">
        <f t="shared" si="116"/>
        <v>6.6022073532502725</v>
      </c>
      <c r="P512" s="22">
        <f t="shared" si="116"/>
        <v>6.6015380384919204</v>
      </c>
      <c r="Q512" s="22">
        <f t="shared" si="116"/>
        <v>6.6011715236312982</v>
      </c>
      <c r="R512" s="22">
        <f t="shared" si="116"/>
        <v>6.6005785698707236</v>
      </c>
      <c r="S512" s="22">
        <f t="shared" si="116"/>
        <v>6.599955716072432</v>
      </c>
      <c r="T512" s="22">
        <f t="shared" si="116"/>
        <v>6.6042852126323481</v>
      </c>
      <c r="U512" s="22">
        <f t="shared" si="116"/>
        <v>6.6025684208058211</v>
      </c>
      <c r="V512" s="22">
        <f t="shared" si="116"/>
        <v>6.6002252909433183</v>
      </c>
      <c r="W512" s="22">
        <f t="shared" si="116"/>
        <v>6.598966168189885</v>
      </c>
      <c r="X512" s="22">
        <f t="shared" si="116"/>
        <v>6.597589047711292</v>
      </c>
      <c r="Y512" s="22">
        <f t="shared" si="116"/>
        <v>6.5960579609281904</v>
      </c>
      <c r="Z512" s="22">
        <f t="shared" si="116"/>
        <v>6.5944507555305236</v>
      </c>
      <c r="AA512" s="22">
        <f t="shared" si="116"/>
        <v>6.5927354812209922</v>
      </c>
      <c r="AB512" s="22">
        <f t="shared" si="116"/>
        <v>6.5910165055066825</v>
      </c>
      <c r="AC512" s="22">
        <f t="shared" si="116"/>
        <v>6.589206056061478</v>
      </c>
      <c r="AD512" s="22">
        <f t="shared" si="116"/>
        <v>6.5874036822299606</v>
      </c>
      <c r="AE512" s="22">
        <f t="shared" si="116"/>
        <v>6.5854496085579246</v>
      </c>
      <c r="AF512" s="22">
        <f t="shared" si="116"/>
        <v>6.5835675614397218</v>
      </c>
      <c r="AG512" s="22">
        <f t="shared" si="116"/>
        <v>6.5816378763594336</v>
      </c>
      <c r="AH512" s="22">
        <f t="shared" si="116"/>
        <v>6.5795282781002431</v>
      </c>
      <c r="AI512" s="22">
        <f t="shared" si="116"/>
        <v>6.5775665224366495</v>
      </c>
      <c r="AJ512" s="22">
        <f t="shared" si="116"/>
        <v>6.5755521924304867</v>
      </c>
      <c r="AK512" s="22">
        <f t="shared" si="116"/>
        <v>6.573462792654313</v>
      </c>
      <c r="AL512" s="22">
        <f t="shared" si="116"/>
        <v>6.5715425101563261</v>
      </c>
      <c r="AM512" s="22">
        <f t="shared" si="116"/>
        <v>6.5696756052718408</v>
      </c>
      <c r="AN512" s="22">
        <f t="shared" si="116"/>
        <v>6.5678548596880235</v>
      </c>
      <c r="AO512" s="22">
        <f t="shared" si="116"/>
        <v>6.5659337062591927</v>
      </c>
      <c r="AP512" s="22">
        <f t="shared" si="116"/>
        <v>6.564123592040632</v>
      </c>
      <c r="AQ512" s="22">
        <f t="shared" si="116"/>
        <v>6.5622903638449301</v>
      </c>
      <c r="AR512" s="22">
        <f t="shared" si="116"/>
        <v>6.5604286486377719</v>
      </c>
      <c r="AS512" s="22">
        <f t="shared" si="116"/>
        <v>6.5585292511260116</v>
      </c>
      <c r="AT512" s="22">
        <f t="shared" si="116"/>
        <v>6.5566000956326942</v>
      </c>
      <c r="AU512" s="22">
        <f t="shared" si="116"/>
        <v>6.5560073347552805</v>
      </c>
      <c r="AV512" s="22">
        <f t="shared" si="116"/>
        <v>6.5555391486602428</v>
      </c>
      <c r="AW512" s="22">
        <f t="shared" si="116"/>
        <v>6.5552474687649953</v>
      </c>
      <c r="AY512" s="79"/>
    </row>
    <row r="513" spans="1:51" x14ac:dyDescent="0.3">
      <c r="A513" s="95" t="str">
        <f t="shared" si="108"/>
        <v>PQ Organic</v>
      </c>
      <c r="B513" s="95" t="s">
        <v>968</v>
      </c>
      <c r="C513" s="95" t="s">
        <v>1127</v>
      </c>
      <c r="D513" t="s">
        <v>369</v>
      </c>
      <c r="E513" t="s">
        <v>55</v>
      </c>
      <c r="H513" t="s">
        <v>420</v>
      </c>
      <c r="I513" t="s">
        <v>139</v>
      </c>
      <c r="J513" t="s">
        <v>287</v>
      </c>
      <c r="K513" s="22">
        <f t="shared" ref="K513:Z576" si="117">K1464</f>
        <v>4.3602775961816637E-2</v>
      </c>
      <c r="L513" s="22">
        <f t="shared" si="117"/>
        <v>4.3598439842002956E-2</v>
      </c>
      <c r="M513" s="22">
        <f t="shared" si="117"/>
        <v>4.3590489865451415E-2</v>
      </c>
      <c r="N513" s="22">
        <f t="shared" si="117"/>
        <v>4.3580987666975365E-2</v>
      </c>
      <c r="O513" s="22">
        <f t="shared" si="117"/>
        <v>4.3574568531451807E-2</v>
      </c>
      <c r="P513" s="22">
        <f t="shared" si="117"/>
        <v>4.3570151054046678E-2</v>
      </c>
      <c r="Q513" s="22">
        <f t="shared" si="117"/>
        <v>4.356773205596657E-2</v>
      </c>
      <c r="R513" s="22">
        <f t="shared" si="117"/>
        <v>4.3563818561146786E-2</v>
      </c>
      <c r="S513" s="22">
        <f t="shared" si="117"/>
        <v>4.3559707726078062E-2</v>
      </c>
      <c r="T513" s="22">
        <f t="shared" si="117"/>
        <v>4.3588282403373507E-2</v>
      </c>
      <c r="U513" s="22">
        <f t="shared" si="117"/>
        <v>4.3576951577318432E-2</v>
      </c>
      <c r="V513" s="22">
        <f t="shared" si="117"/>
        <v>4.356148692022592E-2</v>
      </c>
      <c r="W513" s="22">
        <f t="shared" si="117"/>
        <v>4.3553176710053244E-2</v>
      </c>
      <c r="X513" s="22">
        <f t="shared" si="117"/>
        <v>4.3544087714894535E-2</v>
      </c>
      <c r="Y513" s="22">
        <f t="shared" si="117"/>
        <v>4.3533982542126072E-2</v>
      </c>
      <c r="Z513" s="22">
        <f t="shared" si="117"/>
        <v>4.3523374986501467E-2</v>
      </c>
      <c r="AA513" s="22">
        <f t="shared" si="116"/>
        <v>4.3512054176058558E-2</v>
      </c>
      <c r="AB513" s="22">
        <f t="shared" si="116"/>
        <v>4.3500708936344119E-2</v>
      </c>
      <c r="AC513" s="22">
        <f t="shared" si="116"/>
        <v>4.3488759970005758E-2</v>
      </c>
      <c r="AD513" s="22">
        <f t="shared" si="116"/>
        <v>4.3476864302717751E-2</v>
      </c>
      <c r="AE513" s="22">
        <f t="shared" si="116"/>
        <v>4.3463967416482306E-2</v>
      </c>
      <c r="AF513" s="22">
        <f t="shared" si="116"/>
        <v>4.3451545905502167E-2</v>
      </c>
      <c r="AG513" s="22">
        <f t="shared" si="116"/>
        <v>4.3438809983972274E-2</v>
      </c>
      <c r="AH513" s="22">
        <f t="shared" si="116"/>
        <v>4.342488663546161E-2</v>
      </c>
      <c r="AI513" s="22">
        <f t="shared" si="116"/>
        <v>4.3411939048081889E-2</v>
      </c>
      <c r="AJ513" s="22">
        <f t="shared" si="116"/>
        <v>4.3398644470041221E-2</v>
      </c>
      <c r="AK513" s="22">
        <f t="shared" si="116"/>
        <v>4.3384854431518481E-2</v>
      </c>
      <c r="AL513" s="22">
        <f t="shared" si="116"/>
        <v>4.3372180567031765E-2</v>
      </c>
      <c r="AM513" s="22">
        <f t="shared" si="116"/>
        <v>4.3359858994794151E-2</v>
      </c>
      <c r="AN513" s="22">
        <f t="shared" si="116"/>
        <v>4.3347842073940955E-2</v>
      </c>
      <c r="AO513" s="22">
        <f t="shared" si="116"/>
        <v>4.3335162461310681E-2</v>
      </c>
      <c r="AP513" s="22">
        <f t="shared" si="116"/>
        <v>4.3323215707468173E-2</v>
      </c>
      <c r="AQ513" s="22">
        <f t="shared" si="116"/>
        <v>4.3311116401376547E-2</v>
      </c>
      <c r="AR513" s="22">
        <f t="shared" si="116"/>
        <v>4.32988290810093E-2</v>
      </c>
      <c r="AS513" s="22">
        <f t="shared" si="116"/>
        <v>4.3286293057431681E-2</v>
      </c>
      <c r="AT513" s="22">
        <f t="shared" si="116"/>
        <v>4.3273560631175802E-2</v>
      </c>
      <c r="AU513" s="22">
        <f t="shared" si="116"/>
        <v>4.326964840938486E-2</v>
      </c>
      <c r="AV513" s="22">
        <f t="shared" si="116"/>
        <v>4.3266558381157602E-2</v>
      </c>
      <c r="AW513" s="22">
        <f t="shared" si="116"/>
        <v>4.326463329384897E-2</v>
      </c>
      <c r="AY513" s="79"/>
    </row>
    <row r="514" spans="1:51" x14ac:dyDescent="0.3">
      <c r="A514" s="95" t="str">
        <f t="shared" si="108"/>
        <v>PQ Crop residues</v>
      </c>
      <c r="B514" s="95" t="s">
        <v>968</v>
      </c>
      <c r="C514" s="95" t="s">
        <v>58</v>
      </c>
      <c r="D514" t="s">
        <v>369</v>
      </c>
      <c r="E514" t="s">
        <v>55</v>
      </c>
      <c r="H514" t="s">
        <v>58</v>
      </c>
      <c r="I514" t="s">
        <v>139</v>
      </c>
      <c r="J514" t="s">
        <v>287</v>
      </c>
      <c r="K514" s="22">
        <f t="shared" si="117"/>
        <v>2.94930909510781</v>
      </c>
      <c r="L514" s="22">
        <f t="shared" si="116"/>
        <v>2.9542138952234782</v>
      </c>
      <c r="M514" s="22">
        <f t="shared" si="116"/>
        <v>2.9632065078783478</v>
      </c>
      <c r="N514" s="22">
        <f t="shared" si="116"/>
        <v>2.9739549157146588</v>
      </c>
      <c r="O514" s="22">
        <f t="shared" si="116"/>
        <v>2.9812159181802835</v>
      </c>
      <c r="P514" s="22">
        <f t="shared" si="116"/>
        <v>2.9862127459015309</v>
      </c>
      <c r="Q514" s="22">
        <f t="shared" si="116"/>
        <v>2.9889489945692191</v>
      </c>
      <c r="R514" s="22">
        <f t="shared" si="116"/>
        <v>2.993375742599615</v>
      </c>
      <c r="S514" s="22">
        <f t="shared" si="116"/>
        <v>2.9980257119701434</v>
      </c>
      <c r="T514" s="22">
        <f t="shared" si="116"/>
        <v>2.9657034776855355</v>
      </c>
      <c r="U514" s="22">
        <f t="shared" si="116"/>
        <v>2.9785203368438653</v>
      </c>
      <c r="V514" s="22">
        <f t="shared" si="116"/>
        <v>2.9960131772531153</v>
      </c>
      <c r="W514" s="22">
        <f t="shared" si="116"/>
        <v>3.0054132680180357</v>
      </c>
      <c r="X514" s="22">
        <f t="shared" si="116"/>
        <v>3.0156942810945373</v>
      </c>
      <c r="Y514" s="22">
        <f t="shared" si="116"/>
        <v>3.0271247430497872</v>
      </c>
      <c r="Z514" s="22">
        <f t="shared" si="116"/>
        <v>3.0391234751628531</v>
      </c>
      <c r="AA514" s="22">
        <f t="shared" si="116"/>
        <v>3.0519290051656554</v>
      </c>
      <c r="AB514" s="22">
        <f t="shared" si="116"/>
        <v>3.0647621683287483</v>
      </c>
      <c r="AC514" s="22">
        <f t="shared" si="116"/>
        <v>3.078278236610247</v>
      </c>
      <c r="AD514" s="22">
        <f t="shared" si="116"/>
        <v>3.0917340156932256</v>
      </c>
      <c r="AE514" s="22">
        <f t="shared" si="116"/>
        <v>3.1063223231702981</v>
      </c>
      <c r="AF514" s="22">
        <f t="shared" si="116"/>
        <v>3.1203729101259317</v>
      </c>
      <c r="AG514" s="22">
        <f t="shared" si="116"/>
        <v>3.1347791424435716</v>
      </c>
      <c r="AH514" s="22">
        <f t="shared" si="116"/>
        <v>3.1505285322943979</v>
      </c>
      <c r="AI514" s="22">
        <f t="shared" si="116"/>
        <v>3.165174190349632</v>
      </c>
      <c r="AJ514" s="22">
        <f t="shared" si="116"/>
        <v>3.1802123467460328</v>
      </c>
      <c r="AK514" s="22">
        <f t="shared" si="116"/>
        <v>3.1958109430597368</v>
      </c>
      <c r="AL514" s="22">
        <f t="shared" si="116"/>
        <v>3.2101469795788988</v>
      </c>
      <c r="AM514" s="22">
        <f t="shared" si="116"/>
        <v>3.2240845208676738</v>
      </c>
      <c r="AN514" s="22">
        <f t="shared" si="116"/>
        <v>3.2376774558702412</v>
      </c>
      <c r="AO514" s="22">
        <f t="shared" si="116"/>
        <v>3.2520199943996095</v>
      </c>
      <c r="AP514" s="22">
        <f t="shared" si="116"/>
        <v>3.2655335600173556</v>
      </c>
      <c r="AQ514" s="22">
        <f t="shared" si="116"/>
        <v>3.2792196850479614</v>
      </c>
      <c r="AR514" s="22">
        <f t="shared" si="116"/>
        <v>3.2931184823478818</v>
      </c>
      <c r="AS514" s="22">
        <f t="shared" si="116"/>
        <v>3.3072986001803124</v>
      </c>
      <c r="AT514" s="22">
        <f t="shared" si="116"/>
        <v>3.3217008788202178</v>
      </c>
      <c r="AU514" s="22">
        <f t="shared" si="116"/>
        <v>3.3261261868645517</v>
      </c>
      <c r="AV514" s="22">
        <f t="shared" si="116"/>
        <v>3.3296214710028345</v>
      </c>
      <c r="AW514" s="22">
        <f t="shared" si="116"/>
        <v>3.3317990327077256</v>
      </c>
      <c r="AY514" s="79"/>
    </row>
    <row r="515" spans="1:51" x14ac:dyDescent="0.3">
      <c r="A515" s="95" t="str">
        <f t="shared" si="108"/>
        <v>PQ Organic</v>
      </c>
      <c r="B515" s="95" t="s">
        <v>968</v>
      </c>
      <c r="C515" s="95" t="s">
        <v>1127</v>
      </c>
      <c r="D515" t="s">
        <v>369</v>
      </c>
      <c r="E515" t="s">
        <v>55</v>
      </c>
      <c r="F515" t="s">
        <v>421</v>
      </c>
      <c r="G515" t="s">
        <v>1152</v>
      </c>
      <c r="H515" t="s">
        <v>1153</v>
      </c>
      <c r="I515" t="s">
        <v>139</v>
      </c>
      <c r="J515" t="s">
        <v>287</v>
      </c>
      <c r="K515" s="22">
        <f t="shared" si="117"/>
        <v>0.31878106382562998</v>
      </c>
      <c r="L515" s="22">
        <f t="shared" si="116"/>
        <v>0.32056321299147905</v>
      </c>
      <c r="M515" s="22">
        <f t="shared" si="116"/>
        <v>0.32309177745176459</v>
      </c>
      <c r="N515" s="22">
        <f t="shared" si="116"/>
        <v>0.32471664946511047</v>
      </c>
      <c r="O515" s="22">
        <f t="shared" si="116"/>
        <v>0.32579638434951874</v>
      </c>
      <c r="P515" s="22">
        <f t="shared" si="116"/>
        <v>0.32632035510276458</v>
      </c>
      <c r="Q515" s="22">
        <f t="shared" si="116"/>
        <v>0.32747800149861978</v>
      </c>
      <c r="R515" s="22">
        <f t="shared" si="116"/>
        <v>0.32880601635823298</v>
      </c>
      <c r="S515" s="22">
        <f t="shared" si="116"/>
        <v>0.31892223916812396</v>
      </c>
      <c r="T515" s="22">
        <f t="shared" si="116"/>
        <v>0.32227574446012153</v>
      </c>
      <c r="U515" s="22">
        <f t="shared" si="116"/>
        <v>0.32718438885789924</v>
      </c>
      <c r="V515" s="22">
        <f t="shared" si="116"/>
        <v>0.3297286573308299</v>
      </c>
      <c r="W515" s="22">
        <f t="shared" si="116"/>
        <v>0.33263641751266398</v>
      </c>
      <c r="X515" s="22">
        <f t="shared" si="116"/>
        <v>0.3360018452717824</v>
      </c>
      <c r="Y515" s="22">
        <f t="shared" si="116"/>
        <v>0.33943858200235472</v>
      </c>
      <c r="Z515" s="22">
        <f t="shared" si="116"/>
        <v>0.34324260633991188</v>
      </c>
      <c r="AA515" s="22">
        <f t="shared" si="116"/>
        <v>0.34716446895122904</v>
      </c>
      <c r="AB515" s="22">
        <f t="shared" si="116"/>
        <v>0.35142933015547478</v>
      </c>
      <c r="AC515" s="22">
        <f t="shared" si="116"/>
        <v>0.3557903986539287</v>
      </c>
      <c r="AD515" s="22">
        <f t="shared" si="116"/>
        <v>0.36050179142942168</v>
      </c>
      <c r="AE515" s="22">
        <f t="shared" si="116"/>
        <v>0.36514941854093586</v>
      </c>
      <c r="AF515" s="22">
        <f t="shared" si="116"/>
        <v>0.37005495430435736</v>
      </c>
      <c r="AG515" s="22">
        <f t="shared" si="116"/>
        <v>0.37560392620070809</v>
      </c>
      <c r="AH515" s="22">
        <f t="shared" si="116"/>
        <v>0.38087972226770728</v>
      </c>
      <c r="AI515" s="22">
        <f t="shared" si="116"/>
        <v>0.38629002318967742</v>
      </c>
      <c r="AJ515" s="22">
        <f t="shared" si="116"/>
        <v>0.39207609513939878</v>
      </c>
      <c r="AK515" s="22">
        <f t="shared" si="116"/>
        <v>0.39749694724838469</v>
      </c>
      <c r="AL515" s="22">
        <f t="shared" si="116"/>
        <v>0.4028883818835427</v>
      </c>
      <c r="AM515" s="22">
        <f t="shared" si="116"/>
        <v>0.40826539528750555</v>
      </c>
      <c r="AN515" s="22">
        <f t="shared" si="116"/>
        <v>0.41395411425770406</v>
      </c>
      <c r="AO515" s="22">
        <f t="shared" si="116"/>
        <v>0.41941402149436835</v>
      </c>
      <c r="AP515" s="22">
        <f t="shared" si="116"/>
        <v>0.4250859445304776</v>
      </c>
      <c r="AQ515" s="22">
        <f t="shared" si="116"/>
        <v>0.43099575197279355</v>
      </c>
      <c r="AR515" s="22">
        <f t="shared" si="116"/>
        <v>0.43718504328373597</v>
      </c>
      <c r="AS515" s="22">
        <f t="shared" si="116"/>
        <v>0.44348381500621098</v>
      </c>
      <c r="AT515" s="22">
        <f t="shared" si="116"/>
        <v>0.44497720344404595</v>
      </c>
      <c r="AU515" s="22">
        <f t="shared" si="116"/>
        <v>0.44604004342695891</v>
      </c>
      <c r="AV515" s="22">
        <f t="shared" si="116"/>
        <v>0.44647550838656064</v>
      </c>
      <c r="AW515" s="22">
        <f t="shared" si="116"/>
        <v>0.44673845388478889</v>
      </c>
      <c r="AY515" s="79"/>
    </row>
    <row r="516" spans="1:51" x14ac:dyDescent="0.3">
      <c r="A516" s="95" t="str">
        <f t="shared" si="108"/>
        <v>PQ Organic</v>
      </c>
      <c r="B516" s="95" t="s">
        <v>968</v>
      </c>
      <c r="C516" s="95" t="s">
        <v>1127</v>
      </c>
      <c r="D516" t="s">
        <v>369</v>
      </c>
      <c r="E516" t="s">
        <v>55</v>
      </c>
      <c r="F516" t="s">
        <v>421</v>
      </c>
      <c r="G516" t="s">
        <v>1154</v>
      </c>
      <c r="H516" t="s">
        <v>1155</v>
      </c>
      <c r="I516" t="s">
        <v>139</v>
      </c>
      <c r="J516" t="s">
        <v>287</v>
      </c>
      <c r="K516" s="22">
        <f t="shared" si="117"/>
        <v>0.93210651077804862</v>
      </c>
      <c r="L516" s="22">
        <f t="shared" si="116"/>
        <v>0.93731746283627471</v>
      </c>
      <c r="M516" s="22">
        <f t="shared" si="116"/>
        <v>0.94471091139331731</v>
      </c>
      <c r="N516" s="22">
        <f t="shared" si="116"/>
        <v>0.94946198965576145</v>
      </c>
      <c r="O516" s="22">
        <f t="shared" si="116"/>
        <v>0.95261910289076079</v>
      </c>
      <c r="P516" s="22">
        <f t="shared" si="116"/>
        <v>0.95415117805450056</v>
      </c>
      <c r="Q516" s="22">
        <f t="shared" si="116"/>
        <v>0.95753610227115837</v>
      </c>
      <c r="R516" s="22">
        <f t="shared" si="116"/>
        <v>0.96141917889497119</v>
      </c>
      <c r="S516" s="22">
        <f t="shared" si="116"/>
        <v>0.93251930335211441</v>
      </c>
      <c r="T516" s="22">
        <f t="shared" si="116"/>
        <v>0.94232485478320349</v>
      </c>
      <c r="U516" s="22">
        <f t="shared" si="116"/>
        <v>0.95667758749371812</v>
      </c>
      <c r="V516" s="22">
        <f t="shared" si="116"/>
        <v>0.96411695412461496</v>
      </c>
      <c r="W516" s="22">
        <f t="shared" si="116"/>
        <v>0.97261915988534076</v>
      </c>
      <c r="X516" s="22">
        <f t="shared" si="116"/>
        <v>0.98245957226172753</v>
      </c>
      <c r="Y516" s="22">
        <f t="shared" si="116"/>
        <v>0.99250848998586416</v>
      </c>
      <c r="Z516" s="22">
        <f t="shared" si="116"/>
        <v>1.0036313459348443</v>
      </c>
      <c r="AA516" s="22">
        <f t="shared" si="116"/>
        <v>1.0150987575511923</v>
      </c>
      <c r="AB516" s="22">
        <f t="shared" si="116"/>
        <v>1.0275690870253942</v>
      </c>
      <c r="AC516" s="22">
        <f t="shared" si="116"/>
        <v>1.0403207238151548</v>
      </c>
      <c r="AD516" s="22">
        <f t="shared" si="116"/>
        <v>1.054096698548936</v>
      </c>
      <c r="AE516" s="22">
        <f t="shared" si="116"/>
        <v>1.0676862243454883</v>
      </c>
      <c r="AF516" s="22">
        <f t="shared" si="116"/>
        <v>1.0820298675000297</v>
      </c>
      <c r="AG516" s="22">
        <f t="shared" si="116"/>
        <v>1.0982548990958272</v>
      </c>
      <c r="AH516" s="22">
        <f t="shared" si="116"/>
        <v>1.1136811725531401</v>
      </c>
      <c r="AI516" s="22">
        <f t="shared" si="116"/>
        <v>1.1295007342740186</v>
      </c>
      <c r="AJ516" s="22">
        <f t="shared" si="116"/>
        <v>1.146419039494041</v>
      </c>
      <c r="AK516" s="22">
        <f t="shared" si="116"/>
        <v>1.1622694525772803</v>
      </c>
      <c r="AL516" s="22">
        <f t="shared" si="116"/>
        <v>1.1780338498270926</v>
      </c>
      <c r="AM516" s="22">
        <f t="shared" si="116"/>
        <v>1.1937560798185081</v>
      </c>
      <c r="AN516" s="22">
        <f t="shared" si="116"/>
        <v>1.2103897277726068</v>
      </c>
      <c r="AO516" s="22">
        <f t="shared" si="116"/>
        <v>1.2263543369073659</v>
      </c>
      <c r="AP516" s="22">
        <f t="shared" si="116"/>
        <v>1.2429388740412319</v>
      </c>
      <c r="AQ516" s="22">
        <f t="shared" si="116"/>
        <v>1.260218978224084</v>
      </c>
      <c r="AR516" s="22">
        <f t="shared" si="116"/>
        <v>1.2783162850678402</v>
      </c>
      <c r="AS516" s="22">
        <f t="shared" si="116"/>
        <v>1.2967337094341598</v>
      </c>
      <c r="AT516" s="22">
        <f t="shared" si="116"/>
        <v>1.3011003335658498</v>
      </c>
      <c r="AU516" s="22">
        <f t="shared" si="116"/>
        <v>1.3042080466028143</v>
      </c>
      <c r="AV516" s="22">
        <f t="shared" si="116"/>
        <v>1.3054813334134847</v>
      </c>
      <c r="AW516" s="22">
        <f t="shared" si="116"/>
        <v>1.3062501783628579</v>
      </c>
      <c r="AY516" s="79"/>
    </row>
    <row r="517" spans="1:51" x14ac:dyDescent="0.3">
      <c r="A517" s="95" t="str">
        <f t="shared" si="108"/>
        <v>PQ Organic</v>
      </c>
      <c r="B517" s="95" t="s">
        <v>968</v>
      </c>
      <c r="C517" s="95" t="s">
        <v>1127</v>
      </c>
      <c r="D517" t="s">
        <v>369</v>
      </c>
      <c r="E517" t="s">
        <v>55</v>
      </c>
      <c r="F517" t="s">
        <v>421</v>
      </c>
      <c r="G517" t="s">
        <v>1156</v>
      </c>
      <c r="H517" t="s">
        <v>1157</v>
      </c>
      <c r="I517" t="s">
        <v>139</v>
      </c>
      <c r="J517" t="s">
        <v>287</v>
      </c>
      <c r="K517" s="22">
        <f t="shared" si="117"/>
        <v>4.9862442750846919E-2</v>
      </c>
      <c r="L517" s="22">
        <f t="shared" si="116"/>
        <v>5.0141199304605803E-2</v>
      </c>
      <c r="M517" s="22">
        <f t="shared" si="116"/>
        <v>5.0536707115294892E-2</v>
      </c>
      <c r="N517" s="22">
        <f t="shared" si="116"/>
        <v>5.0790863013925151E-2</v>
      </c>
      <c r="O517" s="22">
        <f t="shared" si="116"/>
        <v>5.0959750770976316E-2</v>
      </c>
      <c r="P517" s="22">
        <f t="shared" si="116"/>
        <v>5.1041708153806091E-2</v>
      </c>
      <c r="Q517" s="22">
        <f t="shared" si="116"/>
        <v>5.122278251388987E-2</v>
      </c>
      <c r="R517" s="22">
        <f t="shared" si="116"/>
        <v>5.1430505218981168E-2</v>
      </c>
      <c r="S517" s="22">
        <f t="shared" si="116"/>
        <v>4.9884524826075798E-2</v>
      </c>
      <c r="T517" s="22">
        <f t="shared" si="116"/>
        <v>5.0409066540160655E-2</v>
      </c>
      <c r="U517" s="22">
        <f t="shared" si="116"/>
        <v>5.1176856813934052E-2</v>
      </c>
      <c r="V517" s="22">
        <f t="shared" si="116"/>
        <v>5.1574820982670536E-2</v>
      </c>
      <c r="W517" s="22">
        <f t="shared" si="116"/>
        <v>5.2029641052156198E-2</v>
      </c>
      <c r="X517" s="22">
        <f t="shared" si="116"/>
        <v>5.255604763025503E-2</v>
      </c>
      <c r="Y517" s="22">
        <f t="shared" si="116"/>
        <v>5.3093608068824946E-2</v>
      </c>
      <c r="Z517" s="22">
        <f t="shared" si="116"/>
        <v>5.3688618147146365E-2</v>
      </c>
      <c r="AA517" s="22">
        <f t="shared" si="116"/>
        <v>5.4302060010934287E-2</v>
      </c>
      <c r="AB517" s="22">
        <f t="shared" si="116"/>
        <v>5.4969152325279956E-2</v>
      </c>
      <c r="AC517" s="22">
        <f t="shared" si="116"/>
        <v>5.5651292994888926E-2</v>
      </c>
      <c r="AD517" s="22">
        <f t="shared" si="116"/>
        <v>5.6388229968890861E-2</v>
      </c>
      <c r="AE517" s="22">
        <f t="shared" si="116"/>
        <v>5.711519297602205E-2</v>
      </c>
      <c r="AF517" s="22">
        <f t="shared" si="116"/>
        <v>5.7882497009801276E-2</v>
      </c>
      <c r="AG517" s="22">
        <f t="shared" si="116"/>
        <v>5.8750444717194539E-2</v>
      </c>
      <c r="AH517" s="22">
        <f t="shared" si="116"/>
        <v>5.9575663367885126E-2</v>
      </c>
      <c r="AI517" s="22">
        <f t="shared" si="116"/>
        <v>6.0421920723165649E-2</v>
      </c>
      <c r="AJ517" s="22">
        <f t="shared" si="116"/>
        <v>6.1326954660511038E-2</v>
      </c>
      <c r="AK517" s="22">
        <f t="shared" si="116"/>
        <v>6.2174862389725999E-2</v>
      </c>
      <c r="AL517" s="22">
        <f t="shared" si="116"/>
        <v>6.3018168756843018E-2</v>
      </c>
      <c r="AM517" s="22">
        <f t="shared" si="116"/>
        <v>6.3859219413391094E-2</v>
      </c>
      <c r="AN517" s="22">
        <f t="shared" si="116"/>
        <v>6.4749025792016954E-2</v>
      </c>
      <c r="AO517" s="22">
        <f t="shared" si="116"/>
        <v>6.5603042366106867E-2</v>
      </c>
      <c r="AP517" s="22">
        <f t="shared" si="116"/>
        <v>6.6490221592755999E-2</v>
      </c>
      <c r="AQ517" s="22">
        <f t="shared" si="116"/>
        <v>6.7414609734650743E-2</v>
      </c>
      <c r="AR517" s="22">
        <f t="shared" si="116"/>
        <v>6.8382713611200324E-2</v>
      </c>
      <c r="AS517" s="22">
        <f t="shared" si="116"/>
        <v>6.9367941970261027E-2</v>
      </c>
      <c r="AT517" s="22">
        <f t="shared" si="116"/>
        <v>6.9601531740596523E-2</v>
      </c>
      <c r="AU517" s="22">
        <f t="shared" si="116"/>
        <v>6.9767776865590186E-2</v>
      </c>
      <c r="AV517" s="22">
        <f t="shared" si="116"/>
        <v>6.983589053067922E-2</v>
      </c>
      <c r="AW517" s="22">
        <f t="shared" si="116"/>
        <v>6.9877019400426524E-2</v>
      </c>
      <c r="AY517" s="79"/>
    </row>
    <row r="518" spans="1:51" x14ac:dyDescent="0.3">
      <c r="A518" s="95" t="str">
        <f t="shared" si="108"/>
        <v>PQ Organic</v>
      </c>
      <c r="B518" s="95" t="s">
        <v>968</v>
      </c>
      <c r="C518" s="95" t="s">
        <v>1127</v>
      </c>
      <c r="D518" t="s">
        <v>369</v>
      </c>
      <c r="E518" t="s">
        <v>55</v>
      </c>
      <c r="F518" t="s">
        <v>421</v>
      </c>
      <c r="G518" t="s">
        <v>1158</v>
      </c>
      <c r="H518" t="s">
        <v>1159</v>
      </c>
      <c r="I518" t="s">
        <v>139</v>
      </c>
      <c r="J518" t="s">
        <v>287</v>
      </c>
      <c r="K518" s="22">
        <f t="shared" si="117"/>
        <v>0.3999997899835232</v>
      </c>
      <c r="L518" s="22">
        <f t="shared" si="116"/>
        <v>0.39653071954810187</v>
      </c>
      <c r="M518" s="22">
        <f t="shared" si="116"/>
        <v>0.39521014945095023</v>
      </c>
      <c r="N518" s="22">
        <f t="shared" si="116"/>
        <v>0.38993263522397309</v>
      </c>
      <c r="O518" s="22">
        <f t="shared" si="116"/>
        <v>0.382272194437701</v>
      </c>
      <c r="P518" s="22">
        <f t="shared" si="116"/>
        <v>0.37238723301511378</v>
      </c>
      <c r="Q518" s="22">
        <f t="shared" si="116"/>
        <v>0.36459067483623875</v>
      </c>
      <c r="R518" s="22">
        <f t="shared" si="116"/>
        <v>0.3572142444544395</v>
      </c>
      <c r="S518" s="22">
        <f t="shared" si="116"/>
        <v>0.31424439964767104</v>
      </c>
      <c r="T518" s="22">
        <f t="shared" si="116"/>
        <v>0.31934867566353531</v>
      </c>
      <c r="U518" s="22">
        <f t="shared" si="116"/>
        <v>0.32887086359473244</v>
      </c>
      <c r="V518" s="22">
        <f t="shared" si="116"/>
        <v>0.33077255450985388</v>
      </c>
      <c r="W518" s="22">
        <f t="shared" si="116"/>
        <v>0.33351533974002295</v>
      </c>
      <c r="X518" s="22">
        <f t="shared" si="116"/>
        <v>0.33734158563652278</v>
      </c>
      <c r="Y518" s="22">
        <f t="shared" si="116"/>
        <v>0.34173046425936165</v>
      </c>
      <c r="Z518" s="22">
        <f t="shared" si="116"/>
        <v>0.34687619399861491</v>
      </c>
      <c r="AA518" s="22">
        <f t="shared" si="116"/>
        <v>0.35204565699464252</v>
      </c>
      <c r="AB518" s="22">
        <f t="shared" si="116"/>
        <v>0.35785970773870229</v>
      </c>
      <c r="AC518" s="22">
        <f t="shared" si="116"/>
        <v>0.36361606039285416</v>
      </c>
      <c r="AD518" s="22">
        <f t="shared" si="116"/>
        <v>0.36736576480920718</v>
      </c>
      <c r="AE518" s="22">
        <f t="shared" si="116"/>
        <v>0.37044453344609923</v>
      </c>
      <c r="AF518" s="22">
        <f t="shared" si="116"/>
        <v>0.37369707806666508</v>
      </c>
      <c r="AG518" s="22">
        <f t="shared" si="116"/>
        <v>0.37804894622531426</v>
      </c>
      <c r="AH518" s="22">
        <f t="shared" si="116"/>
        <v>0.38117866346584023</v>
      </c>
      <c r="AI518" s="22">
        <f t="shared" si="116"/>
        <v>0.38451417084428363</v>
      </c>
      <c r="AJ518" s="22">
        <f t="shared" si="116"/>
        <v>0.38818587422632583</v>
      </c>
      <c r="AK518" s="22">
        <f t="shared" si="116"/>
        <v>0.39047383423356319</v>
      </c>
      <c r="AL518" s="22">
        <f t="shared" si="116"/>
        <v>0.39219030360024004</v>
      </c>
      <c r="AM518" s="22">
        <f t="shared" si="116"/>
        <v>0.39338421797559098</v>
      </c>
      <c r="AN518" s="22">
        <f t="shared" si="116"/>
        <v>0.39709578221714281</v>
      </c>
      <c r="AO518" s="22">
        <f t="shared" si="116"/>
        <v>0.39991704090429331</v>
      </c>
      <c r="AP518" s="22">
        <f t="shared" si="116"/>
        <v>0.40277391205281804</v>
      </c>
      <c r="AQ518" s="22">
        <f t="shared" si="116"/>
        <v>0.40569907697718249</v>
      </c>
      <c r="AR518" s="22">
        <f t="shared" si="116"/>
        <v>0.40875152256691355</v>
      </c>
      <c r="AS518" s="22">
        <f t="shared" si="116"/>
        <v>0.41188557339004239</v>
      </c>
      <c r="AT518" s="22">
        <f t="shared" si="116"/>
        <v>0.4057032930761475</v>
      </c>
      <c r="AU518" s="22">
        <f t="shared" si="116"/>
        <v>0.3986998092121265</v>
      </c>
      <c r="AV518" s="22">
        <f t="shared" si="116"/>
        <v>0.39058052493607326</v>
      </c>
      <c r="AW518" s="22">
        <f t="shared" si="116"/>
        <v>0.38220678819508502</v>
      </c>
      <c r="AY518" s="79"/>
    </row>
    <row r="519" spans="1:51" x14ac:dyDescent="0.3">
      <c r="A519" s="95" t="str">
        <f t="shared" si="108"/>
        <v>PQ Organic</v>
      </c>
      <c r="B519" s="95" t="s">
        <v>968</v>
      </c>
      <c r="C519" s="95" t="s">
        <v>1127</v>
      </c>
      <c r="D519" t="s">
        <v>369</v>
      </c>
      <c r="E519" t="s">
        <v>55</v>
      </c>
      <c r="F519" t="s">
        <v>421</v>
      </c>
      <c r="G519" t="s">
        <v>1160</v>
      </c>
      <c r="H519" t="s">
        <v>1161</v>
      </c>
      <c r="I519" t="s">
        <v>139</v>
      </c>
      <c r="J519" t="s">
        <v>287</v>
      </c>
      <c r="K519" s="22">
        <f t="shared" si="117"/>
        <v>2.6602988559851246</v>
      </c>
      <c r="L519" s="22">
        <f t="shared" si="116"/>
        <v>2.6372269335947083</v>
      </c>
      <c r="M519" s="22">
        <f t="shared" si="116"/>
        <v>2.6284441511866339</v>
      </c>
      <c r="N519" s="22">
        <f t="shared" si="116"/>
        <v>2.5933447201068058</v>
      </c>
      <c r="O519" s="22">
        <f t="shared" si="116"/>
        <v>2.5423970387070201</v>
      </c>
      <c r="P519" s="22">
        <f t="shared" ref="L519:AW525" si="118">P1470</f>
        <v>2.4766546252796311</v>
      </c>
      <c r="Q519" s="22">
        <f t="shared" si="118"/>
        <v>2.4248016610449818</v>
      </c>
      <c r="R519" s="22">
        <f t="shared" si="118"/>
        <v>2.3757428620222045</v>
      </c>
      <c r="S519" s="22">
        <f t="shared" si="118"/>
        <v>2.0899611395217677</v>
      </c>
      <c r="T519" s="22">
        <f t="shared" si="118"/>
        <v>2.123908406459571</v>
      </c>
      <c r="U519" s="22">
        <f t="shared" si="118"/>
        <v>2.1872381038598681</v>
      </c>
      <c r="V519" s="22">
        <f t="shared" si="118"/>
        <v>2.1998857759152552</v>
      </c>
      <c r="W519" s="22">
        <f t="shared" si="118"/>
        <v>2.2181273565179156</v>
      </c>
      <c r="X519" s="22">
        <f t="shared" si="118"/>
        <v>2.2435747638317936</v>
      </c>
      <c r="Y519" s="22">
        <f t="shared" si="118"/>
        <v>2.2727641011058872</v>
      </c>
      <c r="Z519" s="22">
        <f t="shared" si="118"/>
        <v>2.3069870664207133</v>
      </c>
      <c r="AA519" s="22">
        <f t="shared" si="118"/>
        <v>2.3413678757080296</v>
      </c>
      <c r="AB519" s="22">
        <f t="shared" si="118"/>
        <v>2.380035677367871</v>
      </c>
      <c r="AC519" s="22">
        <f t="shared" si="118"/>
        <v>2.4183197434198012</v>
      </c>
      <c r="AD519" s="22">
        <f t="shared" si="118"/>
        <v>2.4432580924362282</v>
      </c>
      <c r="AE519" s="22">
        <f t="shared" si="118"/>
        <v>2.4637342148934525</v>
      </c>
      <c r="AF519" s="22">
        <f t="shared" si="118"/>
        <v>2.4853660780839015</v>
      </c>
      <c r="AG519" s="22">
        <f t="shared" si="118"/>
        <v>2.5143092679899</v>
      </c>
      <c r="AH519" s="22">
        <f t="shared" si="118"/>
        <v>2.5351242369049363</v>
      </c>
      <c r="AI519" s="22">
        <f t="shared" si="118"/>
        <v>2.5573078647097613</v>
      </c>
      <c r="AJ519" s="22">
        <f t="shared" si="118"/>
        <v>2.5817274482979573</v>
      </c>
      <c r="AK519" s="22">
        <f t="shared" si="118"/>
        <v>2.5969440997618101</v>
      </c>
      <c r="AL519" s="22">
        <f t="shared" si="118"/>
        <v>2.6083599094868397</v>
      </c>
      <c r="AM519" s="22">
        <f t="shared" si="118"/>
        <v>2.6163003362731181</v>
      </c>
      <c r="AN519" s="22">
        <f t="shared" si="118"/>
        <v>2.6409850244978843</v>
      </c>
      <c r="AO519" s="22">
        <f t="shared" si="118"/>
        <v>2.6597485124941493</v>
      </c>
      <c r="AP519" s="22">
        <f t="shared" si="118"/>
        <v>2.6787488500904026</v>
      </c>
      <c r="AQ519" s="22">
        <f t="shared" si="118"/>
        <v>2.6982033925594746</v>
      </c>
      <c r="AR519" s="22">
        <f t="shared" si="118"/>
        <v>2.7185044469941606</v>
      </c>
      <c r="AS519" s="22">
        <f t="shared" si="118"/>
        <v>2.739348237486432</v>
      </c>
      <c r="AT519" s="22">
        <f t="shared" si="118"/>
        <v>2.6982314327823316</v>
      </c>
      <c r="AU519" s="22">
        <f t="shared" si="118"/>
        <v>2.6516530080483269</v>
      </c>
      <c r="AV519" s="22">
        <f t="shared" si="118"/>
        <v>2.5976536730189443</v>
      </c>
      <c r="AW519" s="22">
        <f t="shared" si="118"/>
        <v>2.5419620380976129</v>
      </c>
      <c r="AY519" s="79"/>
    </row>
    <row r="520" spans="1:51" x14ac:dyDescent="0.3">
      <c r="A520" s="95" t="str">
        <f t="shared" si="108"/>
        <v>PQ Organic</v>
      </c>
      <c r="B520" s="95" t="s">
        <v>968</v>
      </c>
      <c r="C520" s="95" t="s">
        <v>1127</v>
      </c>
      <c r="D520" t="s">
        <v>369</v>
      </c>
      <c r="E520" t="s">
        <v>55</v>
      </c>
      <c r="F520" t="s">
        <v>421</v>
      </c>
      <c r="G520" t="s">
        <v>1162</v>
      </c>
      <c r="H520" t="s">
        <v>1163</v>
      </c>
      <c r="I520" t="s">
        <v>139</v>
      </c>
      <c r="J520" t="s">
        <v>287</v>
      </c>
      <c r="K520" s="22">
        <f t="shared" si="117"/>
        <v>0.34358078636628736</v>
      </c>
      <c r="L520" s="22">
        <f t="shared" si="118"/>
        <v>0.35516571939691499</v>
      </c>
      <c r="M520" s="22">
        <f t="shared" si="118"/>
        <v>0.36891582276573964</v>
      </c>
      <c r="N520" s="22">
        <f t="shared" si="118"/>
        <v>0.37917034791782095</v>
      </c>
      <c r="O520" s="22">
        <f t="shared" si="118"/>
        <v>0.38707850955818851</v>
      </c>
      <c r="P520" s="22">
        <f t="shared" si="118"/>
        <v>0.39252728601928993</v>
      </c>
      <c r="Q520" s="22">
        <f t="shared" si="118"/>
        <v>0.39996713645364929</v>
      </c>
      <c r="R520" s="22">
        <f t="shared" si="118"/>
        <v>0.40776627193753145</v>
      </c>
      <c r="S520" s="22">
        <f t="shared" si="118"/>
        <v>0.37321314104522196</v>
      </c>
      <c r="T520" s="22">
        <f t="shared" si="118"/>
        <v>0.3884130094850205</v>
      </c>
      <c r="U520" s="22">
        <f t="shared" si="118"/>
        <v>0.40949913684353023</v>
      </c>
      <c r="V520" s="22">
        <f t="shared" si="118"/>
        <v>0.4215293985273969</v>
      </c>
      <c r="W520" s="22">
        <f t="shared" si="118"/>
        <v>0.43487839572409737</v>
      </c>
      <c r="X520" s="22">
        <f t="shared" si="118"/>
        <v>0.4499540833261832</v>
      </c>
      <c r="Y520" s="22">
        <f t="shared" si="118"/>
        <v>0.46615455433442204</v>
      </c>
      <c r="Z520" s="22">
        <f t="shared" si="118"/>
        <v>0.48381398189083635</v>
      </c>
      <c r="AA520" s="22">
        <f t="shared" si="118"/>
        <v>0.50197004484830632</v>
      </c>
      <c r="AB520" s="22">
        <f t="shared" si="118"/>
        <v>0.52154350048929543</v>
      </c>
      <c r="AC520" s="22">
        <f t="shared" si="118"/>
        <v>0.5415643129229577</v>
      </c>
      <c r="AD520" s="22">
        <f t="shared" si="118"/>
        <v>0.56529401193420392</v>
      </c>
      <c r="AE520" s="22">
        <f t="shared" si="118"/>
        <v>0.58897158069089917</v>
      </c>
      <c r="AF520" s="22">
        <f t="shared" si="118"/>
        <v>0.61393439377098979</v>
      </c>
      <c r="AG520" s="22">
        <f t="shared" si="118"/>
        <v>0.64183870134182519</v>
      </c>
      <c r="AH520" s="22">
        <f t="shared" si="118"/>
        <v>0.66886013669524935</v>
      </c>
      <c r="AI520" s="22">
        <f t="shared" si="118"/>
        <v>0.6974449623138369</v>
      </c>
      <c r="AJ520" s="22">
        <f t="shared" si="118"/>
        <v>0.72794565179733817</v>
      </c>
      <c r="AK520" s="22">
        <f t="shared" si="118"/>
        <v>0.75716831024556897</v>
      </c>
      <c r="AL520" s="22">
        <f t="shared" si="118"/>
        <v>0.78655158010344739</v>
      </c>
      <c r="AM520" s="22">
        <f t="shared" si="118"/>
        <v>0.81615922006003327</v>
      </c>
      <c r="AN520" s="22">
        <f t="shared" si="118"/>
        <v>0.84710504325273028</v>
      </c>
      <c r="AO520" s="22">
        <f t="shared" si="118"/>
        <v>0.8772777887183536</v>
      </c>
      <c r="AP520" s="22">
        <f t="shared" si="118"/>
        <v>0.90865780083615855</v>
      </c>
      <c r="AQ520" s="22">
        <f t="shared" si="118"/>
        <v>0.94138400089523855</v>
      </c>
      <c r="AR520" s="22">
        <f t="shared" si="118"/>
        <v>0.9756708685083213</v>
      </c>
      <c r="AS520" s="22">
        <f t="shared" si="118"/>
        <v>1.0114969469202602</v>
      </c>
      <c r="AT520" s="22">
        <f t="shared" si="118"/>
        <v>1.0252009760930854</v>
      </c>
      <c r="AU520" s="22">
        <f t="shared" si="118"/>
        <v>1.0368909620314641</v>
      </c>
      <c r="AV520" s="22">
        <f t="shared" si="118"/>
        <v>1.0455964615277633</v>
      </c>
      <c r="AW520" s="22">
        <f t="shared" si="118"/>
        <v>1.0534263177729573</v>
      </c>
      <c r="AY520" s="79"/>
    </row>
    <row r="521" spans="1:51" x14ac:dyDescent="0.3">
      <c r="A521" s="95" t="str">
        <f t="shared" si="108"/>
        <v>PQ Organic</v>
      </c>
      <c r="B521" s="95" t="s">
        <v>968</v>
      </c>
      <c r="C521" s="95" t="s">
        <v>1127</v>
      </c>
      <c r="D521" t="s">
        <v>369</v>
      </c>
      <c r="E521" t="s">
        <v>55</v>
      </c>
      <c r="F521" t="s">
        <v>421</v>
      </c>
      <c r="G521" t="s">
        <v>1164</v>
      </c>
      <c r="H521" t="s">
        <v>1165</v>
      </c>
      <c r="I521" t="s">
        <v>139</v>
      </c>
      <c r="J521" t="s">
        <v>287</v>
      </c>
      <c r="K521" s="22">
        <f t="shared" si="117"/>
        <v>5.8359782740747899E-2</v>
      </c>
      <c r="L521" s="22">
        <f t="shared" si="118"/>
        <v>5.8391337689573865E-2</v>
      </c>
      <c r="M521" s="22">
        <f t="shared" si="118"/>
        <v>5.8466784388382168E-2</v>
      </c>
      <c r="N521" s="22">
        <f t="shared" si="118"/>
        <v>5.857803115055428E-2</v>
      </c>
      <c r="O521" s="22">
        <f t="shared" si="118"/>
        <v>5.872437103691365E-2</v>
      </c>
      <c r="P521" s="22">
        <f t="shared" si="118"/>
        <v>5.890425875881948E-2</v>
      </c>
      <c r="Q521" s="22">
        <f t="shared" si="118"/>
        <v>5.9106297224497076E-2</v>
      </c>
      <c r="R521" s="22">
        <f t="shared" si="118"/>
        <v>5.932921089397071E-2</v>
      </c>
      <c r="S521" s="22">
        <f t="shared" si="118"/>
        <v>5.9533053172061867E-2</v>
      </c>
      <c r="T521" s="22">
        <f t="shared" si="118"/>
        <v>5.9622626403998236E-2</v>
      </c>
      <c r="U521" s="22">
        <f t="shared" si="118"/>
        <v>5.9732014563410027E-2</v>
      </c>
      <c r="V521" s="22">
        <f t="shared" si="118"/>
        <v>5.9846990057404043E-2</v>
      </c>
      <c r="W521" s="22">
        <f t="shared" si="118"/>
        <v>5.9976074595492208E-2</v>
      </c>
      <c r="X521" s="22">
        <f t="shared" si="118"/>
        <v>6.0118906996584121E-2</v>
      </c>
      <c r="Y521" s="22">
        <f t="shared" si="118"/>
        <v>6.0208109427104674E-2</v>
      </c>
      <c r="Z521" s="22">
        <f t="shared" si="118"/>
        <v>6.0308885561081285E-2</v>
      </c>
      <c r="AA521" s="22">
        <f t="shared" si="118"/>
        <v>6.0419873689415794E-2</v>
      </c>
      <c r="AB521" s="22">
        <f t="shared" si="118"/>
        <v>6.0541378990392976E-2</v>
      </c>
      <c r="AC521" s="22">
        <f t="shared" si="118"/>
        <v>6.0672147346661598E-2</v>
      </c>
      <c r="AD521" s="22">
        <f t="shared" si="118"/>
        <v>6.075986875735849E-2</v>
      </c>
      <c r="AE521" s="22">
        <f t="shared" si="118"/>
        <v>6.0855100315135816E-2</v>
      </c>
      <c r="AF521" s="22">
        <f t="shared" si="118"/>
        <v>6.095860752574931E-2</v>
      </c>
      <c r="AG521" s="22">
        <f t="shared" si="118"/>
        <v>6.1071400786534412E-2</v>
      </c>
      <c r="AH521" s="22">
        <f t="shared" si="118"/>
        <v>6.1190093146373289E-2</v>
      </c>
      <c r="AI521" s="22">
        <f t="shared" si="118"/>
        <v>6.1265960925417272E-2</v>
      </c>
      <c r="AJ521" s="22">
        <f t="shared" si="118"/>
        <v>6.1349061452671098E-2</v>
      </c>
      <c r="AK521" s="22">
        <f t="shared" si="118"/>
        <v>6.1436653899188148E-2</v>
      </c>
      <c r="AL521" s="22">
        <f t="shared" si="118"/>
        <v>6.152967077586103E-2</v>
      </c>
      <c r="AM521" s="22">
        <f t="shared" si="118"/>
        <v>6.1627971048734624E-2</v>
      </c>
      <c r="AN521" s="22">
        <f t="shared" si="118"/>
        <v>6.1686054121935154E-2</v>
      </c>
      <c r="AO521" s="22">
        <f t="shared" si="118"/>
        <v>6.1748058507407479E-2</v>
      </c>
      <c r="AP521" s="22">
        <f t="shared" si="118"/>
        <v>6.1815315922285695E-2</v>
      </c>
      <c r="AQ521" s="22">
        <f t="shared" si="118"/>
        <v>6.1887761342917867E-2</v>
      </c>
      <c r="AR521" s="22">
        <f t="shared" si="118"/>
        <v>6.1965393268001254E-2</v>
      </c>
      <c r="AS521" s="22">
        <f t="shared" si="118"/>
        <v>6.2000613011444994E-2</v>
      </c>
      <c r="AT521" s="22">
        <f t="shared" si="118"/>
        <v>6.2023309807671526E-2</v>
      </c>
      <c r="AU521" s="22">
        <f t="shared" si="118"/>
        <v>6.2048189785904866E-2</v>
      </c>
      <c r="AV521" s="22">
        <f t="shared" si="118"/>
        <v>6.2074469713562223E-2</v>
      </c>
      <c r="AW521" s="22">
        <f t="shared" si="118"/>
        <v>6.2103581129763968E-2</v>
      </c>
      <c r="AY521" s="79"/>
    </row>
    <row r="522" spans="1:51" x14ac:dyDescent="0.3">
      <c r="A522" s="95" t="str">
        <f t="shared" si="108"/>
        <v>PQ Organic</v>
      </c>
      <c r="B522" s="95" t="s">
        <v>968</v>
      </c>
      <c r="C522" s="95" t="s">
        <v>1127</v>
      </c>
      <c r="D522" t="s">
        <v>369</v>
      </c>
      <c r="E522" t="s">
        <v>55</v>
      </c>
      <c r="F522" t="s">
        <v>421</v>
      </c>
      <c r="G522" t="s">
        <v>1166</v>
      </c>
      <c r="H522" t="s">
        <v>1167</v>
      </c>
      <c r="I522" t="s">
        <v>139</v>
      </c>
      <c r="J522" t="s">
        <v>287</v>
      </c>
      <c r="K522" s="22">
        <f t="shared" si="117"/>
        <v>4.7496930236945983E-2</v>
      </c>
      <c r="L522" s="22">
        <f t="shared" si="118"/>
        <v>4.7522611675988952E-2</v>
      </c>
      <c r="M522" s="22">
        <f t="shared" si="118"/>
        <v>4.7584015033260249E-2</v>
      </c>
      <c r="N522" s="22">
        <f t="shared" si="118"/>
        <v>4.7674554775764919E-2</v>
      </c>
      <c r="O522" s="22">
        <f t="shared" si="118"/>
        <v>4.7793655551108268E-2</v>
      </c>
      <c r="P522" s="22">
        <f t="shared" si="118"/>
        <v>4.7940059704389672E-2</v>
      </c>
      <c r="Q522" s="22">
        <f t="shared" si="118"/>
        <v>4.8104491552124547E-2</v>
      </c>
      <c r="R522" s="22">
        <f t="shared" si="118"/>
        <v>4.8285912978158388E-2</v>
      </c>
      <c r="S522" s="22">
        <f t="shared" si="118"/>
        <v>4.8451812884003569E-2</v>
      </c>
      <c r="T522" s="22">
        <f t="shared" si="118"/>
        <v>4.8524713319004827E-2</v>
      </c>
      <c r="U522" s="22">
        <f t="shared" si="118"/>
        <v>4.8613740411504645E-2</v>
      </c>
      <c r="V522" s="22">
        <f t="shared" si="118"/>
        <v>4.8707314834861425E-2</v>
      </c>
      <c r="W522" s="22">
        <f t="shared" si="118"/>
        <v>4.8812372102251839E-2</v>
      </c>
      <c r="X522" s="22">
        <f t="shared" si="118"/>
        <v>4.8928618261364118E-2</v>
      </c>
      <c r="Y522" s="22">
        <f t="shared" si="118"/>
        <v>4.9001216914416376E-2</v>
      </c>
      <c r="Z522" s="22">
        <f t="shared" si="118"/>
        <v>4.908323498885471E-2</v>
      </c>
      <c r="AA522" s="22">
        <f t="shared" si="118"/>
        <v>4.9173564238571964E-2</v>
      </c>
      <c r="AB522" s="22">
        <f t="shared" si="118"/>
        <v>4.9272453037208674E-2</v>
      </c>
      <c r="AC522" s="22">
        <f t="shared" si="118"/>
        <v>4.9378880703714607E-2</v>
      </c>
      <c r="AD522" s="22">
        <f t="shared" si="118"/>
        <v>4.9450274007947166E-2</v>
      </c>
      <c r="AE522" s="22">
        <f t="shared" si="118"/>
        <v>4.9527779551040076E-2</v>
      </c>
      <c r="AF522" s="22">
        <f t="shared" si="118"/>
        <v>4.9612020350622385E-2</v>
      </c>
      <c r="AG522" s="22">
        <f t="shared" si="118"/>
        <v>4.9703818732780645E-2</v>
      </c>
      <c r="AH522" s="22">
        <f t="shared" si="118"/>
        <v>4.9800418179697173E-2</v>
      </c>
      <c r="AI522" s="22">
        <f t="shared" si="118"/>
        <v>4.9862164239042377E-2</v>
      </c>
      <c r="AJ522" s="22">
        <f t="shared" si="118"/>
        <v>4.992979677227443E-2</v>
      </c>
      <c r="AK522" s="22">
        <f t="shared" si="118"/>
        <v>5.0001085117194859E-2</v>
      </c>
      <c r="AL522" s="22">
        <f t="shared" si="118"/>
        <v>5.0076788210912958E-2</v>
      </c>
      <c r="AM522" s="22">
        <f t="shared" si="118"/>
        <v>5.0156791270960163E-2</v>
      </c>
      <c r="AN522" s="22">
        <f t="shared" si="118"/>
        <v>5.0204062997244822E-2</v>
      </c>
      <c r="AO522" s="22">
        <f t="shared" si="118"/>
        <v>5.0254526138690123E-2</v>
      </c>
      <c r="AP522" s="22">
        <f t="shared" si="118"/>
        <v>5.0309264532021343E-2</v>
      </c>
      <c r="AQ522" s="22">
        <f t="shared" si="118"/>
        <v>5.036822525682455E-2</v>
      </c>
      <c r="AR522" s="22">
        <f t="shared" si="118"/>
        <v>5.0431407091243406E-2</v>
      </c>
      <c r="AS522" s="22">
        <f t="shared" si="118"/>
        <v>5.0460071174945387E-2</v>
      </c>
      <c r="AT522" s="22">
        <f t="shared" si="118"/>
        <v>5.0478543281871534E-2</v>
      </c>
      <c r="AU522" s="22">
        <f t="shared" si="118"/>
        <v>5.0498792202188725E-2</v>
      </c>
      <c r="AV522" s="22">
        <f t="shared" si="118"/>
        <v>5.0520180491040283E-2</v>
      </c>
      <c r="AW522" s="22">
        <f t="shared" si="118"/>
        <v>5.0543873226679401E-2</v>
      </c>
      <c r="AY522" s="79"/>
    </row>
    <row r="523" spans="1:51" x14ac:dyDescent="0.3">
      <c r="A523" s="95" t="str">
        <f t="shared" si="108"/>
        <v>PQ Organic</v>
      </c>
      <c r="B523" s="95" t="s">
        <v>968</v>
      </c>
      <c r="C523" s="95" t="s">
        <v>1127</v>
      </c>
      <c r="D523" t="s">
        <v>369</v>
      </c>
      <c r="E523" t="s">
        <v>55</v>
      </c>
      <c r="F523" t="s">
        <v>421</v>
      </c>
      <c r="G523" t="s">
        <v>1168</v>
      </c>
      <c r="H523" t="s">
        <v>1169</v>
      </c>
      <c r="I523" t="s">
        <v>139</v>
      </c>
      <c r="J523" t="s">
        <v>287</v>
      </c>
      <c r="K523" s="22">
        <f t="shared" si="117"/>
        <v>7.214092738049376E-3</v>
      </c>
      <c r="L523" s="22">
        <f t="shared" si="118"/>
        <v>7.2328458969643655E-3</v>
      </c>
      <c r="M523" s="22">
        <f t="shared" si="118"/>
        <v>7.2587152169743185E-3</v>
      </c>
      <c r="N523" s="22">
        <f t="shared" si="118"/>
        <v>7.2902308808567374E-3</v>
      </c>
      <c r="O523" s="22">
        <f t="shared" si="118"/>
        <v>7.3273479389297461E-3</v>
      </c>
      <c r="P523" s="22">
        <f t="shared" si="118"/>
        <v>7.3698404773103405E-3</v>
      </c>
      <c r="Q523" s="22">
        <f t="shared" si="118"/>
        <v>7.4155715935563154E-3</v>
      </c>
      <c r="R523" s="22">
        <f t="shared" si="118"/>
        <v>7.4643602602570466E-3</v>
      </c>
      <c r="S523" s="22">
        <f t="shared" si="118"/>
        <v>7.508606055628168E-3</v>
      </c>
      <c r="T523" s="22">
        <f t="shared" si="118"/>
        <v>7.530218392894506E-3</v>
      </c>
      <c r="U523" s="22">
        <f t="shared" si="118"/>
        <v>7.5549909541397786E-3</v>
      </c>
      <c r="V523" s="22">
        <f t="shared" si="118"/>
        <v>7.5802429112896688E-3</v>
      </c>
      <c r="W523" s="22">
        <f t="shared" si="118"/>
        <v>7.6076305558180233E-3</v>
      </c>
      <c r="X523" s="22">
        <f t="shared" si="118"/>
        <v>7.6371086242101958E-3</v>
      </c>
      <c r="Y523" s="22">
        <f t="shared" si="118"/>
        <v>7.6559732990994986E-3</v>
      </c>
      <c r="Z523" s="22">
        <f t="shared" si="118"/>
        <v>7.6766122997346123E-3</v>
      </c>
      <c r="AA523" s="22">
        <f t="shared" si="118"/>
        <v>7.6987842276677087E-3</v>
      </c>
      <c r="AB523" s="22">
        <f t="shared" si="118"/>
        <v>7.7225602786557407E-3</v>
      </c>
      <c r="AC523" s="22">
        <f t="shared" si="118"/>
        <v>7.7477172000671966E-3</v>
      </c>
      <c r="AD523" s="22">
        <f t="shared" si="118"/>
        <v>7.7644940114083667E-3</v>
      </c>
      <c r="AE523" s="22">
        <f t="shared" si="118"/>
        <v>7.7823854824558272E-3</v>
      </c>
      <c r="AF523" s="22">
        <f t="shared" si="118"/>
        <v>7.8015430548696758E-3</v>
      </c>
      <c r="AG523" s="22">
        <f t="shared" si="118"/>
        <v>7.8221613065677827E-3</v>
      </c>
      <c r="AH523" s="22">
        <f t="shared" si="118"/>
        <v>7.8436173383695379E-3</v>
      </c>
      <c r="AI523" s="22">
        <f t="shared" si="118"/>
        <v>7.8569056109017259E-3</v>
      </c>
      <c r="AJ523" s="22">
        <f t="shared" si="118"/>
        <v>7.8713258060749292E-3</v>
      </c>
      <c r="AK523" s="22">
        <f t="shared" si="118"/>
        <v>7.8863764085469988E-3</v>
      </c>
      <c r="AL523" s="22">
        <f t="shared" si="118"/>
        <v>7.9022347099283879E-3</v>
      </c>
      <c r="AM523" s="22">
        <f t="shared" si="118"/>
        <v>7.9188789980088534E-3</v>
      </c>
      <c r="AN523" s="22">
        <f t="shared" si="118"/>
        <v>7.927972418898541E-3</v>
      </c>
      <c r="AO523" s="22">
        <f t="shared" si="118"/>
        <v>7.9376387015817219E-3</v>
      </c>
      <c r="AP523" s="22">
        <f t="shared" si="118"/>
        <v>7.9481245993818089E-3</v>
      </c>
      <c r="AQ523" s="22">
        <f t="shared" si="118"/>
        <v>7.9594200977915561E-3</v>
      </c>
      <c r="AR523" s="22">
        <f t="shared" si="118"/>
        <v>7.9715264998755E-3</v>
      </c>
      <c r="AS523" s="22">
        <f t="shared" si="118"/>
        <v>7.9757936370942299E-3</v>
      </c>
      <c r="AT523" s="22">
        <f t="shared" si="118"/>
        <v>7.9776886737032964E-3</v>
      </c>
      <c r="AU523" s="22">
        <f t="shared" si="118"/>
        <v>7.979891666850529E-3</v>
      </c>
      <c r="AV523" s="22">
        <f t="shared" si="118"/>
        <v>7.9822633621210899E-3</v>
      </c>
      <c r="AW523" s="22">
        <f t="shared" si="118"/>
        <v>7.9850651414760491E-3</v>
      </c>
      <c r="AY523" s="79"/>
    </row>
    <row r="524" spans="1:51" x14ac:dyDescent="0.3">
      <c r="A524" s="95" t="str">
        <f t="shared" si="108"/>
        <v>PQ Organic</v>
      </c>
      <c r="B524" s="95" t="s">
        <v>968</v>
      </c>
      <c r="C524" s="95" t="s">
        <v>1127</v>
      </c>
      <c r="D524" t="s">
        <v>369</v>
      </c>
      <c r="E524" t="s">
        <v>55</v>
      </c>
      <c r="F524" t="s">
        <v>421</v>
      </c>
      <c r="G524" t="s">
        <v>1170</v>
      </c>
      <c r="H524" t="s">
        <v>1171</v>
      </c>
      <c r="I524" t="s">
        <v>139</v>
      </c>
      <c r="J524" t="s">
        <v>287</v>
      </c>
      <c r="K524" s="22">
        <f t="shared" si="117"/>
        <v>8.7045671471293537E-2</v>
      </c>
      <c r="L524" s="22">
        <f t="shared" si="118"/>
        <v>8.7271948200639354E-2</v>
      </c>
      <c r="M524" s="22">
        <f t="shared" si="118"/>
        <v>8.7584088952434122E-2</v>
      </c>
      <c r="N524" s="22">
        <f t="shared" si="118"/>
        <v>8.7964358824768829E-2</v>
      </c>
      <c r="O524" s="22">
        <f t="shared" si="118"/>
        <v>8.8412215452112072E-2</v>
      </c>
      <c r="P524" s="22">
        <f t="shared" si="118"/>
        <v>8.8924932944132923E-2</v>
      </c>
      <c r="Q524" s="22">
        <f t="shared" si="118"/>
        <v>8.9476727309038592E-2</v>
      </c>
      <c r="R524" s="22">
        <f t="shared" si="118"/>
        <v>9.0065414259340087E-2</v>
      </c>
      <c r="S524" s="22">
        <f t="shared" si="118"/>
        <v>9.0599286654346481E-2</v>
      </c>
      <c r="T524" s="22">
        <f t="shared" si="118"/>
        <v>9.0860062399505684E-2</v>
      </c>
      <c r="U524" s="22">
        <f t="shared" si="118"/>
        <v>9.1158969594901898E-2</v>
      </c>
      <c r="V524" s="22">
        <f t="shared" si="118"/>
        <v>9.146366120975781E-2</v>
      </c>
      <c r="W524" s="22">
        <f t="shared" si="118"/>
        <v>9.1794122155375246E-2</v>
      </c>
      <c r="X524" s="22">
        <f t="shared" si="118"/>
        <v>9.2149806279498009E-2</v>
      </c>
      <c r="Y524" s="22">
        <f t="shared" si="118"/>
        <v>9.2377428567213551E-2</v>
      </c>
      <c r="Z524" s="22">
        <f t="shared" si="118"/>
        <v>9.2626459974767344E-2</v>
      </c>
      <c r="AA524" s="22">
        <f t="shared" si="118"/>
        <v>9.289398777414952E-2</v>
      </c>
      <c r="AB524" s="22">
        <f t="shared" si="118"/>
        <v>9.3180871017592357E-2</v>
      </c>
      <c r="AC524" s="22">
        <f t="shared" si="118"/>
        <v>9.34844159255835E-2</v>
      </c>
      <c r="AD524" s="22">
        <f t="shared" si="118"/>
        <v>9.368684592771491E-2</v>
      </c>
      <c r="AE524" s="22">
        <f t="shared" si="118"/>
        <v>9.3902725480069615E-2</v>
      </c>
      <c r="AF524" s="22">
        <f t="shared" si="118"/>
        <v>9.4133881886713511E-2</v>
      </c>
      <c r="AG524" s="22">
        <f t="shared" si="118"/>
        <v>9.4382662936360925E-2</v>
      </c>
      <c r="AH524" s="22">
        <f t="shared" si="118"/>
        <v>9.4641552690500438E-2</v>
      </c>
      <c r="AI524" s="22">
        <f t="shared" si="118"/>
        <v>9.4801889776154655E-2</v>
      </c>
      <c r="AJ524" s="22">
        <f t="shared" si="118"/>
        <v>9.4975884707627883E-2</v>
      </c>
      <c r="AK524" s="22">
        <f t="shared" si="118"/>
        <v>9.5157486171013425E-2</v>
      </c>
      <c r="AL524" s="22">
        <f t="shared" si="118"/>
        <v>9.534883337741358E-2</v>
      </c>
      <c r="AM524" s="22">
        <f t="shared" si="118"/>
        <v>9.5549664346009811E-2</v>
      </c>
      <c r="AN524" s="22">
        <f t="shared" si="118"/>
        <v>9.5659386102584815E-2</v>
      </c>
      <c r="AO524" s="22">
        <f t="shared" si="118"/>
        <v>9.5776020043586318E-2</v>
      </c>
      <c r="AP524" s="22">
        <f t="shared" si="118"/>
        <v>9.5902543509270868E-2</v>
      </c>
      <c r="AQ524" s="22">
        <f t="shared" si="118"/>
        <v>9.6038835663999289E-2</v>
      </c>
      <c r="AR524" s="22">
        <f t="shared" si="118"/>
        <v>9.6184912230625655E-2</v>
      </c>
      <c r="AS524" s="22">
        <f t="shared" si="118"/>
        <v>9.6236399761761113E-2</v>
      </c>
      <c r="AT524" s="22">
        <f t="shared" si="118"/>
        <v>9.625926538604522E-2</v>
      </c>
      <c r="AU524" s="22">
        <f t="shared" si="118"/>
        <v>9.6285846832210489E-2</v>
      </c>
      <c r="AV524" s="22">
        <f t="shared" si="118"/>
        <v>9.6314463848216167E-2</v>
      </c>
      <c r="AW524" s="22">
        <f t="shared" si="118"/>
        <v>9.6348270284329823E-2</v>
      </c>
      <c r="AY524" s="79"/>
    </row>
    <row r="525" spans="1:51" x14ac:dyDescent="0.3">
      <c r="A525" s="95" t="str">
        <f t="shared" si="108"/>
        <v>PQ Organic</v>
      </c>
      <c r="B525" s="95" t="s">
        <v>968</v>
      </c>
      <c r="C525" s="95" t="s">
        <v>1127</v>
      </c>
      <c r="D525" t="s">
        <v>369</v>
      </c>
      <c r="E525" t="s">
        <v>55</v>
      </c>
      <c r="F525" t="s">
        <v>421</v>
      </c>
      <c r="G525" t="s">
        <v>1172</v>
      </c>
      <c r="H525" t="s">
        <v>1173</v>
      </c>
      <c r="I525" t="s">
        <v>139</v>
      </c>
      <c r="J525" t="s">
        <v>287</v>
      </c>
      <c r="K525" s="22">
        <f t="shared" si="117"/>
        <v>0</v>
      </c>
      <c r="L525" s="22">
        <f t="shared" si="118"/>
        <v>0</v>
      </c>
      <c r="M525" s="22">
        <f t="shared" si="118"/>
        <v>0</v>
      </c>
      <c r="N525" s="22">
        <f t="shared" si="118"/>
        <v>0</v>
      </c>
      <c r="O525" s="22">
        <f t="shared" si="118"/>
        <v>0</v>
      </c>
      <c r="P525" s="22">
        <f t="shared" si="118"/>
        <v>0</v>
      </c>
      <c r="Q525" s="22">
        <f t="shared" si="118"/>
        <v>0</v>
      </c>
      <c r="R525" s="22">
        <f t="shared" si="118"/>
        <v>0</v>
      </c>
      <c r="S525" s="22">
        <f t="shared" si="118"/>
        <v>0</v>
      </c>
      <c r="T525" s="22">
        <f t="shared" si="118"/>
        <v>0</v>
      </c>
      <c r="U525" s="22">
        <f t="shared" si="118"/>
        <v>0</v>
      </c>
      <c r="V525" s="22">
        <f t="shared" si="118"/>
        <v>0</v>
      </c>
      <c r="W525" s="22">
        <f t="shared" si="118"/>
        <v>0</v>
      </c>
      <c r="X525" s="22">
        <f t="shared" si="118"/>
        <v>0</v>
      </c>
      <c r="Y525" s="22">
        <f t="shared" si="118"/>
        <v>0</v>
      </c>
      <c r="Z525" s="22">
        <f t="shared" si="118"/>
        <v>0</v>
      </c>
      <c r="AA525" s="22">
        <f t="shared" si="118"/>
        <v>0</v>
      </c>
      <c r="AB525" s="22">
        <f t="shared" si="118"/>
        <v>0</v>
      </c>
      <c r="AC525" s="22">
        <f t="shared" si="118"/>
        <v>0</v>
      </c>
      <c r="AD525" s="22">
        <f t="shared" si="118"/>
        <v>0</v>
      </c>
      <c r="AE525" s="22">
        <f t="shared" si="118"/>
        <v>0</v>
      </c>
      <c r="AF525" s="22">
        <f t="shared" si="118"/>
        <v>0</v>
      </c>
      <c r="AG525" s="22">
        <f t="shared" si="118"/>
        <v>0</v>
      </c>
      <c r="AH525" s="22">
        <f t="shared" si="118"/>
        <v>0</v>
      </c>
      <c r="AI525" s="22">
        <f t="shared" si="118"/>
        <v>0</v>
      </c>
      <c r="AJ525" s="22">
        <f t="shared" si="118"/>
        <v>0</v>
      </c>
      <c r="AK525" s="22">
        <f t="shared" si="118"/>
        <v>0</v>
      </c>
      <c r="AL525" s="22">
        <f t="shared" si="118"/>
        <v>0</v>
      </c>
      <c r="AM525" s="22">
        <f t="shared" si="118"/>
        <v>0</v>
      </c>
      <c r="AN525" s="22">
        <f t="shared" si="118"/>
        <v>0</v>
      </c>
      <c r="AO525" s="22">
        <f t="shared" si="118"/>
        <v>0</v>
      </c>
      <c r="AP525" s="22">
        <f t="shared" si="118"/>
        <v>0</v>
      </c>
      <c r="AQ525" s="22">
        <f t="shared" ref="L525:AW532" si="119">AQ1476</f>
        <v>0</v>
      </c>
      <c r="AR525" s="22">
        <f t="shared" si="119"/>
        <v>0</v>
      </c>
      <c r="AS525" s="22">
        <f t="shared" si="119"/>
        <v>0</v>
      </c>
      <c r="AT525" s="22">
        <f t="shared" si="119"/>
        <v>0</v>
      </c>
      <c r="AU525" s="22">
        <f t="shared" si="119"/>
        <v>0</v>
      </c>
      <c r="AV525" s="22">
        <f t="shared" si="119"/>
        <v>0</v>
      </c>
      <c r="AW525" s="22">
        <f t="shared" si="119"/>
        <v>0</v>
      </c>
      <c r="AY525" s="79"/>
    </row>
    <row r="526" spans="1:51" x14ac:dyDescent="0.3">
      <c r="A526" s="95" t="str">
        <f t="shared" si="108"/>
        <v>PQ Organic</v>
      </c>
      <c r="B526" s="95" t="s">
        <v>968</v>
      </c>
      <c r="C526" s="95" t="s">
        <v>1127</v>
      </c>
      <c r="D526" t="s">
        <v>369</v>
      </c>
      <c r="E526" t="s">
        <v>55</v>
      </c>
      <c r="F526" t="s">
        <v>421</v>
      </c>
      <c r="G526" t="s">
        <v>1174</v>
      </c>
      <c r="H526" t="s">
        <v>1175</v>
      </c>
      <c r="I526" t="s">
        <v>139</v>
      </c>
      <c r="J526" t="s">
        <v>287</v>
      </c>
      <c r="K526" s="22">
        <f t="shared" si="117"/>
        <v>0</v>
      </c>
      <c r="L526" s="22">
        <f t="shared" si="119"/>
        <v>0</v>
      </c>
      <c r="M526" s="22">
        <f t="shared" si="119"/>
        <v>0</v>
      </c>
      <c r="N526" s="22">
        <f t="shared" si="119"/>
        <v>0</v>
      </c>
      <c r="O526" s="22">
        <f t="shared" si="119"/>
        <v>0</v>
      </c>
      <c r="P526" s="22">
        <f t="shared" si="119"/>
        <v>0</v>
      </c>
      <c r="Q526" s="22">
        <f t="shared" si="119"/>
        <v>0</v>
      </c>
      <c r="R526" s="22">
        <f t="shared" si="119"/>
        <v>0</v>
      </c>
      <c r="S526" s="22">
        <f t="shared" si="119"/>
        <v>0</v>
      </c>
      <c r="T526" s="22">
        <f t="shared" si="119"/>
        <v>0</v>
      </c>
      <c r="U526" s="22">
        <f t="shared" si="119"/>
        <v>0</v>
      </c>
      <c r="V526" s="22">
        <f t="shared" si="119"/>
        <v>0</v>
      </c>
      <c r="W526" s="22">
        <f t="shared" si="119"/>
        <v>0</v>
      </c>
      <c r="X526" s="22">
        <f t="shared" si="119"/>
        <v>0</v>
      </c>
      <c r="Y526" s="22">
        <f t="shared" si="119"/>
        <v>0</v>
      </c>
      <c r="Z526" s="22">
        <f t="shared" si="119"/>
        <v>0</v>
      </c>
      <c r="AA526" s="22">
        <f t="shared" si="119"/>
        <v>0</v>
      </c>
      <c r="AB526" s="22">
        <f t="shared" si="119"/>
        <v>0</v>
      </c>
      <c r="AC526" s="22">
        <f t="shared" si="119"/>
        <v>0</v>
      </c>
      <c r="AD526" s="22">
        <f t="shared" si="119"/>
        <v>0</v>
      </c>
      <c r="AE526" s="22">
        <f t="shared" si="119"/>
        <v>0</v>
      </c>
      <c r="AF526" s="22">
        <f t="shared" si="119"/>
        <v>0</v>
      </c>
      <c r="AG526" s="22">
        <f t="shared" si="119"/>
        <v>0</v>
      </c>
      <c r="AH526" s="22">
        <f t="shared" si="119"/>
        <v>0</v>
      </c>
      <c r="AI526" s="22">
        <f t="shared" si="119"/>
        <v>0</v>
      </c>
      <c r="AJ526" s="22">
        <f t="shared" si="119"/>
        <v>0</v>
      </c>
      <c r="AK526" s="22">
        <f t="shared" si="119"/>
        <v>0</v>
      </c>
      <c r="AL526" s="22">
        <f t="shared" si="119"/>
        <v>0</v>
      </c>
      <c r="AM526" s="22">
        <f t="shared" si="119"/>
        <v>0</v>
      </c>
      <c r="AN526" s="22">
        <f t="shared" si="119"/>
        <v>0</v>
      </c>
      <c r="AO526" s="22">
        <f t="shared" si="119"/>
        <v>0</v>
      </c>
      <c r="AP526" s="22">
        <f t="shared" si="119"/>
        <v>0</v>
      </c>
      <c r="AQ526" s="22">
        <f t="shared" si="119"/>
        <v>0</v>
      </c>
      <c r="AR526" s="22">
        <f t="shared" si="119"/>
        <v>0</v>
      </c>
      <c r="AS526" s="22">
        <f t="shared" si="119"/>
        <v>0</v>
      </c>
      <c r="AT526" s="22">
        <f t="shared" si="119"/>
        <v>0</v>
      </c>
      <c r="AU526" s="22">
        <f t="shared" si="119"/>
        <v>0</v>
      </c>
      <c r="AV526" s="22">
        <f t="shared" si="119"/>
        <v>0</v>
      </c>
      <c r="AW526" s="22">
        <f t="shared" si="119"/>
        <v>0</v>
      </c>
      <c r="AY526" s="79"/>
    </row>
    <row r="527" spans="1:51" x14ac:dyDescent="0.3">
      <c r="A527" s="95" t="str">
        <f t="shared" si="108"/>
        <v>PQ Organic</v>
      </c>
      <c r="B527" s="95" t="s">
        <v>968</v>
      </c>
      <c r="C527" s="95" t="s">
        <v>1127</v>
      </c>
      <c r="D527" t="s">
        <v>369</v>
      </c>
      <c r="E527" t="s">
        <v>55</v>
      </c>
      <c r="F527" t="s">
        <v>421</v>
      </c>
      <c r="G527" t="s">
        <v>1176</v>
      </c>
      <c r="H527" t="s">
        <v>1177</v>
      </c>
      <c r="I527" t="s">
        <v>139</v>
      </c>
      <c r="J527" t="s">
        <v>287</v>
      </c>
      <c r="K527" s="22">
        <f t="shared" si="117"/>
        <v>0.12462873299340151</v>
      </c>
      <c r="L527" s="22">
        <f t="shared" si="119"/>
        <v>0.1239512929347177</v>
      </c>
      <c r="M527" s="22">
        <f t="shared" si="119"/>
        <v>0.12400689511310994</v>
      </c>
      <c r="N527" s="22">
        <f t="shared" si="119"/>
        <v>0.12286841678965586</v>
      </c>
      <c r="O527" s="22">
        <f t="shared" si="119"/>
        <v>0.12100901910044999</v>
      </c>
      <c r="P527" s="22">
        <f t="shared" si="119"/>
        <v>0.11845842648899828</v>
      </c>
      <c r="Q527" s="22">
        <f t="shared" si="119"/>
        <v>0.11660641339960404</v>
      </c>
      <c r="R527" s="22">
        <f t="shared" si="119"/>
        <v>0.1149182786313902</v>
      </c>
      <c r="S527" s="22">
        <f t="shared" si="119"/>
        <v>0.10146708298993465</v>
      </c>
      <c r="T527" s="22">
        <f t="shared" si="119"/>
        <v>0.10275020296586759</v>
      </c>
      <c r="U527" s="22">
        <f t="shared" si="119"/>
        <v>0.10550352655141972</v>
      </c>
      <c r="V527" s="22">
        <f t="shared" si="119"/>
        <v>0.10575351402910073</v>
      </c>
      <c r="W527" s="22">
        <f t="shared" si="119"/>
        <v>0.10629487580237802</v>
      </c>
      <c r="X527" s="22">
        <f t="shared" si="119"/>
        <v>0.10720509536861222</v>
      </c>
      <c r="Y527" s="22">
        <f t="shared" si="119"/>
        <v>0.10834723898966528</v>
      </c>
      <c r="Z527" s="22">
        <f t="shared" si="119"/>
        <v>0.10974683917126901</v>
      </c>
      <c r="AA527" s="22">
        <f t="shared" si="119"/>
        <v>0.1111628062750292</v>
      </c>
      <c r="AB527" s="22">
        <f t="shared" si="119"/>
        <v>0.11279760688156307</v>
      </c>
      <c r="AC527" s="22">
        <f t="shared" si="119"/>
        <v>0.11442112413234014</v>
      </c>
      <c r="AD527" s="22">
        <f t="shared" si="119"/>
        <v>0.11643957996744059</v>
      </c>
      <c r="AE527" s="22">
        <f t="shared" si="119"/>
        <v>0.11829771598770626</v>
      </c>
      <c r="AF527" s="22">
        <f t="shared" si="119"/>
        <v>0.12027492127071612</v>
      </c>
      <c r="AG527" s="22">
        <f t="shared" si="119"/>
        <v>0.12268685377616716</v>
      </c>
      <c r="AH527" s="22">
        <f t="shared" si="119"/>
        <v>0.12475791099342097</v>
      </c>
      <c r="AI527" s="22">
        <f t="shared" si="119"/>
        <v>0.12699329856497024</v>
      </c>
      <c r="AJ527" s="22">
        <f t="shared" si="119"/>
        <v>0.12941943299405728</v>
      </c>
      <c r="AK527" s="22">
        <f t="shared" si="119"/>
        <v>0.13144337900700456</v>
      </c>
      <c r="AL527" s="22">
        <f t="shared" si="119"/>
        <v>0.13334140591601026</v>
      </c>
      <c r="AM527" s="22">
        <f t="shared" si="119"/>
        <v>0.13512882169953486</v>
      </c>
      <c r="AN527" s="22">
        <f t="shared" si="119"/>
        <v>0.13719268069693955</v>
      </c>
      <c r="AO527" s="22">
        <f t="shared" si="119"/>
        <v>0.13898281232646292</v>
      </c>
      <c r="AP527" s="22">
        <f t="shared" si="119"/>
        <v>0.140830682916952</v>
      </c>
      <c r="AQ527" s="22">
        <f t="shared" si="119"/>
        <v>0.14275023053200411</v>
      </c>
      <c r="AR527" s="22">
        <f t="shared" si="119"/>
        <v>0.14476547350370239</v>
      </c>
      <c r="AS527" s="22">
        <f t="shared" si="119"/>
        <v>0.14688161225730581</v>
      </c>
      <c r="AT527" s="22">
        <f t="shared" si="119"/>
        <v>0.14559391276445241</v>
      </c>
      <c r="AU527" s="22">
        <f t="shared" si="119"/>
        <v>0.14400863154663293</v>
      </c>
      <c r="AV527" s="22">
        <f t="shared" si="119"/>
        <v>0.1420082821543816</v>
      </c>
      <c r="AW527" s="22">
        <f t="shared" si="119"/>
        <v>0.13990982914905775</v>
      </c>
      <c r="AY527" s="79"/>
    </row>
    <row r="528" spans="1:51" x14ac:dyDescent="0.3">
      <c r="A528" s="95" t="str">
        <f t="shared" si="108"/>
        <v>PQ Organic</v>
      </c>
      <c r="B528" s="95" t="s">
        <v>968</v>
      </c>
      <c r="C528" s="95" t="s">
        <v>1127</v>
      </c>
      <c r="D528" t="s">
        <v>369</v>
      </c>
      <c r="E528" t="s">
        <v>55</v>
      </c>
      <c r="F528" t="s">
        <v>421</v>
      </c>
      <c r="G528" t="s">
        <v>1178</v>
      </c>
      <c r="H528" t="s">
        <v>1179</v>
      </c>
      <c r="I528" t="s">
        <v>139</v>
      </c>
      <c r="J528" t="s">
        <v>287</v>
      </c>
      <c r="K528" s="22">
        <f t="shared" si="117"/>
        <v>3.1618785484610064E-2</v>
      </c>
      <c r="L528" s="22">
        <f t="shared" si="119"/>
        <v>3.1446916354757486E-2</v>
      </c>
      <c r="M528" s="22">
        <f t="shared" si="119"/>
        <v>3.1461022839745618E-2</v>
      </c>
      <c r="N528" s="22">
        <f t="shared" si="119"/>
        <v>3.1172186541537576E-2</v>
      </c>
      <c r="O528" s="22">
        <f t="shared" si="119"/>
        <v>3.0700450247237825E-2</v>
      </c>
      <c r="P528" s="22">
        <f t="shared" si="119"/>
        <v>3.0053355161673623E-2</v>
      </c>
      <c r="Q528" s="22">
        <f t="shared" si="119"/>
        <v>2.9583492368545915E-2</v>
      </c>
      <c r="R528" s="22">
        <f t="shared" si="119"/>
        <v>2.9155206131309674E-2</v>
      </c>
      <c r="S528" s="22">
        <f t="shared" si="119"/>
        <v>2.5742586430512242E-2</v>
      </c>
      <c r="T528" s="22">
        <f t="shared" si="119"/>
        <v>2.6068118868302407E-2</v>
      </c>
      <c r="U528" s="22">
        <f t="shared" si="119"/>
        <v>2.6766647576171875E-2</v>
      </c>
      <c r="V528" s="22">
        <f t="shared" si="119"/>
        <v>2.6830070353895639E-2</v>
      </c>
      <c r="W528" s="22">
        <f t="shared" si="119"/>
        <v>2.6967415903093594E-2</v>
      </c>
      <c r="X528" s="22">
        <f t="shared" si="119"/>
        <v>2.7198342082935097E-2</v>
      </c>
      <c r="Y528" s="22">
        <f t="shared" si="119"/>
        <v>2.7488108281140813E-2</v>
      </c>
      <c r="Z528" s="22">
        <f t="shared" si="119"/>
        <v>2.7843192191916763E-2</v>
      </c>
      <c r="AA528" s="22">
        <f t="shared" si="119"/>
        <v>2.8202428453344759E-2</v>
      </c>
      <c r="AB528" s="22">
        <f t="shared" si="119"/>
        <v>2.8617183610093744E-2</v>
      </c>
      <c r="AC528" s="22">
        <f t="shared" si="119"/>
        <v>2.902907613639907E-2</v>
      </c>
      <c r="AD528" s="22">
        <f t="shared" si="119"/>
        <v>2.9541166089713286E-2</v>
      </c>
      <c r="AE528" s="22">
        <f t="shared" si="119"/>
        <v>3.0012582293784919E-2</v>
      </c>
      <c r="AF528" s="22">
        <f t="shared" si="119"/>
        <v>3.05142068245088E-2</v>
      </c>
      <c r="AG528" s="22">
        <f t="shared" si="119"/>
        <v>3.1126123311674345E-2</v>
      </c>
      <c r="AH528" s="22">
        <f t="shared" si="119"/>
        <v>3.1651558436511636E-2</v>
      </c>
      <c r="AI528" s="22">
        <f t="shared" si="119"/>
        <v>3.2218684799767874E-2</v>
      </c>
      <c r="AJ528" s="22">
        <f t="shared" si="119"/>
        <v>3.2834204369193265E-2</v>
      </c>
      <c r="AK528" s="22">
        <f t="shared" si="119"/>
        <v>3.334768720159275E-2</v>
      </c>
      <c r="AL528" s="22">
        <f t="shared" si="119"/>
        <v>3.3829223876470492E-2</v>
      </c>
      <c r="AM528" s="22">
        <f t="shared" si="119"/>
        <v>3.4282698086419032E-2</v>
      </c>
      <c r="AN528" s="22">
        <f t="shared" si="119"/>
        <v>3.4806306995392507E-2</v>
      </c>
      <c r="AO528" s="22">
        <f t="shared" si="119"/>
        <v>3.5260470225842028E-2</v>
      </c>
      <c r="AP528" s="22">
        <f t="shared" si="119"/>
        <v>3.5729282051178403E-2</v>
      </c>
      <c r="AQ528" s="22">
        <f t="shared" si="119"/>
        <v>3.6216278611362E-2</v>
      </c>
      <c r="AR528" s="22">
        <f t="shared" si="119"/>
        <v>3.672755344896201E-2</v>
      </c>
      <c r="AS528" s="22">
        <f t="shared" si="119"/>
        <v>3.7264425931725673E-2</v>
      </c>
      <c r="AT528" s="22">
        <f t="shared" si="119"/>
        <v>3.6937731653004804E-2</v>
      </c>
      <c r="AU528" s="22">
        <f t="shared" si="119"/>
        <v>3.6535539754274135E-2</v>
      </c>
      <c r="AV528" s="22">
        <f t="shared" si="119"/>
        <v>3.6028043474654464E-2</v>
      </c>
      <c r="AW528" s="22">
        <f t="shared" si="119"/>
        <v>3.5495657933766529E-2</v>
      </c>
      <c r="AY528" s="79"/>
    </row>
    <row r="529" spans="1:51" x14ac:dyDescent="0.3">
      <c r="A529" s="95" t="str">
        <f t="shared" si="108"/>
        <v>PQ Organic</v>
      </c>
      <c r="B529" s="95" t="s">
        <v>968</v>
      </c>
      <c r="C529" s="95" t="s">
        <v>1127</v>
      </c>
      <c r="D529" t="s">
        <v>369</v>
      </c>
      <c r="E529" t="s">
        <v>55</v>
      </c>
      <c r="F529" t="s">
        <v>421</v>
      </c>
      <c r="G529" t="s">
        <v>1180</v>
      </c>
      <c r="H529" t="s">
        <v>1181</v>
      </c>
      <c r="I529" t="s">
        <v>139</v>
      </c>
      <c r="J529" t="s">
        <v>287</v>
      </c>
      <c r="K529" s="22">
        <f t="shared" si="117"/>
        <v>0.15700744358616764</v>
      </c>
      <c r="L529" s="22">
        <f t="shared" si="119"/>
        <v>0.16019971617730658</v>
      </c>
      <c r="M529" s="22">
        <f t="shared" si="119"/>
        <v>0.16393118028621728</v>
      </c>
      <c r="N529" s="22">
        <f t="shared" si="119"/>
        <v>0.1667959170810015</v>
      </c>
      <c r="O529" s="22">
        <f t="shared" si="119"/>
        <v>0.16909558154641685</v>
      </c>
      <c r="P529" s="22">
        <f t="shared" si="119"/>
        <v>0.17081649742586277</v>
      </c>
      <c r="Q529" s="22">
        <f t="shared" si="119"/>
        <v>0.17302318661183388</v>
      </c>
      <c r="R529" s="22">
        <f t="shared" si="119"/>
        <v>0.17531753251219051</v>
      </c>
      <c r="S529" s="22">
        <f t="shared" si="119"/>
        <v>0.16751439680213853</v>
      </c>
      <c r="T529" s="22">
        <f t="shared" si="119"/>
        <v>0.17168380366965671</v>
      </c>
      <c r="U529" s="22">
        <f t="shared" si="119"/>
        <v>0.17724022876298692</v>
      </c>
      <c r="V529" s="22">
        <f t="shared" si="119"/>
        <v>0.18063841613712966</v>
      </c>
      <c r="W529" s="22">
        <f t="shared" si="119"/>
        <v>0.18434318641003919</v>
      </c>
      <c r="X529" s="22">
        <f t="shared" si="119"/>
        <v>0.188448281864291</v>
      </c>
      <c r="Y529" s="22">
        <f t="shared" si="119"/>
        <v>0.19268830884381843</v>
      </c>
      <c r="Z529" s="22">
        <f t="shared" si="119"/>
        <v>0.19725821874244767</v>
      </c>
      <c r="AA529" s="22">
        <f t="shared" si="119"/>
        <v>0.20193089933116126</v>
      </c>
      <c r="AB529" s="22">
        <f t="shared" si="119"/>
        <v>0.20692004706096712</v>
      </c>
      <c r="AC529" s="22">
        <f t="shared" si="119"/>
        <v>0.21199804978928341</v>
      </c>
      <c r="AD529" s="22">
        <f t="shared" si="119"/>
        <v>0.21747687739173732</v>
      </c>
      <c r="AE529" s="22">
        <f t="shared" si="119"/>
        <v>0.22289913009362322</v>
      </c>
      <c r="AF529" s="22">
        <f t="shared" si="119"/>
        <v>0.22857157153008073</v>
      </c>
      <c r="AG529" s="22">
        <f t="shared" si="119"/>
        <v>0.23486719230657463</v>
      </c>
      <c r="AH529" s="22">
        <f t="shared" si="119"/>
        <v>0.24091117160634945</v>
      </c>
      <c r="AI529" s="22">
        <f t="shared" si="119"/>
        <v>0.24716162450629867</v>
      </c>
      <c r="AJ529" s="22">
        <f t="shared" si="119"/>
        <v>0.25378810388351081</v>
      </c>
      <c r="AK529" s="22">
        <f t="shared" si="119"/>
        <v>0.26007320548130258</v>
      </c>
      <c r="AL529" s="22">
        <f t="shared" si="119"/>
        <v>0.26634117713838401</v>
      </c>
      <c r="AM529" s="22">
        <f t="shared" si="119"/>
        <v>0.27260643897493425</v>
      </c>
      <c r="AN529" s="22">
        <f t="shared" si="119"/>
        <v>0.2792535835644861</v>
      </c>
      <c r="AO529" s="22">
        <f t="shared" si="119"/>
        <v>0.2856890752327706</v>
      </c>
      <c r="AP529" s="22">
        <f t="shared" si="119"/>
        <v>0.29234742990941948</v>
      </c>
      <c r="AQ529" s="22">
        <f t="shared" si="119"/>
        <v>0.29925644298376841</v>
      </c>
      <c r="AR529" s="22">
        <f t="shared" si="119"/>
        <v>0.30645986851598017</v>
      </c>
      <c r="AS529" s="22">
        <f t="shared" si="119"/>
        <v>0.31385566843275581</v>
      </c>
      <c r="AT529" s="22">
        <f t="shared" si="119"/>
        <v>0.31644615504224521</v>
      </c>
      <c r="AU529" s="22">
        <f t="shared" si="119"/>
        <v>0.31859170882360827</v>
      </c>
      <c r="AV529" s="22">
        <f t="shared" si="119"/>
        <v>0.32009002936003406</v>
      </c>
      <c r="AW529" s="22">
        <f t="shared" si="119"/>
        <v>0.3213967030603942</v>
      </c>
      <c r="AY529" s="79"/>
    </row>
    <row r="530" spans="1:51" x14ac:dyDescent="0.3">
      <c r="A530" s="95" t="str">
        <f t="shared" si="108"/>
        <v>PQ Organic</v>
      </c>
      <c r="B530" s="95" t="s">
        <v>968</v>
      </c>
      <c r="C530" s="95" t="s">
        <v>1127</v>
      </c>
      <c r="D530" t="s">
        <v>369</v>
      </c>
      <c r="E530" t="s">
        <v>55</v>
      </c>
      <c r="F530" t="s">
        <v>421</v>
      </c>
      <c r="G530" t="s">
        <v>1182</v>
      </c>
      <c r="H530" t="s">
        <v>1183</v>
      </c>
      <c r="I530" t="s">
        <v>139</v>
      </c>
      <c r="J530" t="s">
        <v>287</v>
      </c>
      <c r="K530" s="22">
        <f t="shared" si="117"/>
        <v>0.78620275218739033</v>
      </c>
      <c r="L530" s="22">
        <f t="shared" si="119"/>
        <v>0.79655563720176326</v>
      </c>
      <c r="M530" s="22">
        <f t="shared" si="119"/>
        <v>0.8131853402467214</v>
      </c>
      <c r="N530" s="22">
        <f t="shared" si="119"/>
        <v>0.81796021384654038</v>
      </c>
      <c r="O530" s="22">
        <f t="shared" si="119"/>
        <v>0.81503229757580642</v>
      </c>
      <c r="P530" s="22">
        <f t="shared" si="119"/>
        <v>0.80443274266431908</v>
      </c>
      <c r="Q530" s="22">
        <f t="shared" si="119"/>
        <v>0.79997057217510736</v>
      </c>
      <c r="R530" s="22">
        <f t="shared" si="119"/>
        <v>0.79652072541357855</v>
      </c>
      <c r="S530" s="22">
        <f t="shared" si="119"/>
        <v>0.6714256257710044</v>
      </c>
      <c r="T530" s="22">
        <f t="shared" si="119"/>
        <v>0.69801734564768969</v>
      </c>
      <c r="U530" s="22">
        <f t="shared" si="119"/>
        <v>0.74045602078801331</v>
      </c>
      <c r="V530" s="22">
        <f t="shared" si="119"/>
        <v>0.75681661805559275</v>
      </c>
      <c r="W530" s="22">
        <f t="shared" si="119"/>
        <v>0.77639522353149193</v>
      </c>
      <c r="X530" s="22">
        <f t="shared" si="119"/>
        <v>0.8001865286543951</v>
      </c>
      <c r="Y530" s="22">
        <f t="shared" si="119"/>
        <v>0.82750602154681474</v>
      </c>
      <c r="Z530" s="22">
        <f t="shared" si="119"/>
        <v>0.85809975414422934</v>
      </c>
      <c r="AA530" s="22">
        <f t="shared" si="119"/>
        <v>0.88934316122776869</v>
      </c>
      <c r="AB530" s="22">
        <f t="shared" si="119"/>
        <v>0.92360761628524812</v>
      </c>
      <c r="AC530" s="22">
        <f t="shared" si="119"/>
        <v>0.95831140706580387</v>
      </c>
      <c r="AD530" s="22">
        <f t="shared" si="119"/>
        <v>0.99882396760608316</v>
      </c>
      <c r="AE530" s="22">
        <f t="shared" si="119"/>
        <v>1.0381393848215872</v>
      </c>
      <c r="AF530" s="22">
        <f t="shared" si="119"/>
        <v>1.079611123684572</v>
      </c>
      <c r="AG530" s="22">
        <f t="shared" si="119"/>
        <v>1.1272124079778039</v>
      </c>
      <c r="AH530" s="22">
        <f t="shared" si="119"/>
        <v>1.1714796676080013</v>
      </c>
      <c r="AI530" s="22">
        <f t="shared" si="119"/>
        <v>1.2191635190702683</v>
      </c>
      <c r="AJ530" s="22">
        <f t="shared" si="119"/>
        <v>1.2702163053795446</v>
      </c>
      <c r="AK530" s="22">
        <f t="shared" si="119"/>
        <v>1.3170629000720371</v>
      </c>
      <c r="AL530" s="22">
        <f t="shared" si="119"/>
        <v>1.3631650010384939</v>
      </c>
      <c r="AM530" s="22">
        <f t="shared" si="119"/>
        <v>1.4086909019769458</v>
      </c>
      <c r="AN530" s="22">
        <f t="shared" si="119"/>
        <v>1.4592838015136291</v>
      </c>
      <c r="AO530" s="22">
        <f t="shared" si="119"/>
        <v>1.5071494225223063</v>
      </c>
      <c r="AP530" s="22">
        <f t="shared" si="119"/>
        <v>1.5567592089604327</v>
      </c>
      <c r="AQ530" s="22">
        <f t="shared" si="119"/>
        <v>1.6083690614713202</v>
      </c>
      <c r="AR530" s="22">
        <f t="shared" si="119"/>
        <v>1.6623899573120902</v>
      </c>
      <c r="AS530" s="22">
        <f t="shared" si="119"/>
        <v>1.7194351847901206</v>
      </c>
      <c r="AT530" s="22">
        <f t="shared" si="119"/>
        <v>1.7281200285400726</v>
      </c>
      <c r="AU530" s="22">
        <f t="shared" si="119"/>
        <v>1.7323570747934378</v>
      </c>
      <c r="AV530" s="22">
        <f t="shared" si="119"/>
        <v>1.7302245779661751</v>
      </c>
      <c r="AW530" s="22">
        <f t="shared" si="119"/>
        <v>1.7262788410170404</v>
      </c>
      <c r="AY530" s="79"/>
    </row>
    <row r="531" spans="1:51" x14ac:dyDescent="0.3">
      <c r="A531" s="95" t="str">
        <f t="shared" si="108"/>
        <v>PQ U&amp;D</v>
      </c>
      <c r="B531" s="95" t="s">
        <v>968</v>
      </c>
      <c r="C531" s="95" t="s">
        <v>1336</v>
      </c>
      <c r="D531" t="s">
        <v>369</v>
      </c>
      <c r="E531" t="s">
        <v>55</v>
      </c>
      <c r="F531" t="s">
        <v>422</v>
      </c>
      <c r="G531" t="s">
        <v>1152</v>
      </c>
      <c r="H531" t="s">
        <v>1240</v>
      </c>
      <c r="I531" t="s">
        <v>139</v>
      </c>
      <c r="J531" t="s">
        <v>287</v>
      </c>
      <c r="K531" s="22">
        <f t="shared" si="117"/>
        <v>0</v>
      </c>
      <c r="L531" s="22">
        <f t="shared" si="119"/>
        <v>0</v>
      </c>
      <c r="M531" s="22">
        <f t="shared" si="119"/>
        <v>0</v>
      </c>
      <c r="N531" s="22">
        <f t="shared" si="119"/>
        <v>0</v>
      </c>
      <c r="O531" s="22">
        <f t="shared" si="119"/>
        <v>0</v>
      </c>
      <c r="P531" s="22">
        <f t="shared" si="119"/>
        <v>0</v>
      </c>
      <c r="Q531" s="22">
        <f t="shared" si="119"/>
        <v>0</v>
      </c>
      <c r="R531" s="22">
        <f t="shared" si="119"/>
        <v>0</v>
      </c>
      <c r="S531" s="22">
        <f t="shared" si="119"/>
        <v>0</v>
      </c>
      <c r="T531" s="22">
        <f t="shared" si="119"/>
        <v>0</v>
      </c>
      <c r="U531" s="22">
        <f t="shared" si="119"/>
        <v>0</v>
      </c>
      <c r="V531" s="22">
        <f t="shared" si="119"/>
        <v>0</v>
      </c>
      <c r="W531" s="22">
        <f t="shared" si="119"/>
        <v>0</v>
      </c>
      <c r="X531" s="22">
        <f t="shared" si="119"/>
        <v>0</v>
      </c>
      <c r="Y531" s="22">
        <f t="shared" si="119"/>
        <v>0</v>
      </c>
      <c r="Z531" s="22">
        <f t="shared" si="119"/>
        <v>0</v>
      </c>
      <c r="AA531" s="22">
        <f t="shared" si="119"/>
        <v>0</v>
      </c>
      <c r="AB531" s="22">
        <f t="shared" si="119"/>
        <v>0</v>
      </c>
      <c r="AC531" s="22">
        <f t="shared" si="119"/>
        <v>0</v>
      </c>
      <c r="AD531" s="22">
        <f t="shared" si="119"/>
        <v>0</v>
      </c>
      <c r="AE531" s="22">
        <f t="shared" si="119"/>
        <v>0</v>
      </c>
      <c r="AF531" s="22">
        <f t="shared" si="119"/>
        <v>0</v>
      </c>
      <c r="AG531" s="22">
        <f t="shared" si="119"/>
        <v>0</v>
      </c>
      <c r="AH531" s="22">
        <f t="shared" si="119"/>
        <v>0</v>
      </c>
      <c r="AI531" s="22">
        <f t="shared" si="119"/>
        <v>0</v>
      </c>
      <c r="AJ531" s="22">
        <f t="shared" si="119"/>
        <v>0</v>
      </c>
      <c r="AK531" s="22">
        <f t="shared" si="119"/>
        <v>0</v>
      </c>
      <c r="AL531" s="22">
        <f t="shared" si="119"/>
        <v>0</v>
      </c>
      <c r="AM531" s="22">
        <f t="shared" si="119"/>
        <v>0</v>
      </c>
      <c r="AN531" s="22">
        <f t="shared" si="119"/>
        <v>0</v>
      </c>
      <c r="AO531" s="22">
        <f t="shared" si="119"/>
        <v>0</v>
      </c>
      <c r="AP531" s="22">
        <f t="shared" si="119"/>
        <v>0</v>
      </c>
      <c r="AQ531" s="22">
        <f t="shared" si="119"/>
        <v>0</v>
      </c>
      <c r="AR531" s="22">
        <f t="shared" si="119"/>
        <v>0</v>
      </c>
      <c r="AS531" s="22">
        <f t="shared" si="119"/>
        <v>0</v>
      </c>
      <c r="AT531" s="22">
        <f t="shared" si="119"/>
        <v>0</v>
      </c>
      <c r="AU531" s="22">
        <f t="shared" si="119"/>
        <v>0</v>
      </c>
      <c r="AV531" s="22">
        <f t="shared" si="119"/>
        <v>0</v>
      </c>
      <c r="AW531" s="22">
        <f t="shared" si="119"/>
        <v>0</v>
      </c>
      <c r="AY531" s="79"/>
    </row>
    <row r="532" spans="1:51" x14ac:dyDescent="0.3">
      <c r="A532" s="95" t="str">
        <f t="shared" si="108"/>
        <v>PQ U&amp;D</v>
      </c>
      <c r="B532" s="95" t="s">
        <v>968</v>
      </c>
      <c r="C532" s="95" t="s">
        <v>1336</v>
      </c>
      <c r="D532" t="s">
        <v>369</v>
      </c>
      <c r="E532" t="s">
        <v>55</v>
      </c>
      <c r="F532" t="s">
        <v>422</v>
      </c>
      <c r="G532" t="s">
        <v>1154</v>
      </c>
      <c r="H532" t="s">
        <v>1241</v>
      </c>
      <c r="I532" t="s">
        <v>139</v>
      </c>
      <c r="J532" t="s">
        <v>287</v>
      </c>
      <c r="K532" s="22">
        <f t="shared" si="117"/>
        <v>1.0775797812462991</v>
      </c>
      <c r="L532" s="22">
        <f t="shared" si="119"/>
        <v>1.0836040032789305</v>
      </c>
      <c r="M532" s="22">
        <f t="shared" si="119"/>
        <v>1.0921513426512339</v>
      </c>
      <c r="N532" s="22">
        <f t="shared" si="119"/>
        <v>1.0976439186771809</v>
      </c>
      <c r="O532" s="22">
        <f t="shared" si="119"/>
        <v>1.1012937605673538</v>
      </c>
      <c r="P532" s="22">
        <f t="shared" si="119"/>
        <v>1.1030649457277464</v>
      </c>
      <c r="Q532" s="22">
        <f t="shared" si="119"/>
        <v>1.1069781529146336</v>
      </c>
      <c r="R532" s="22">
        <f t="shared" si="119"/>
        <v>1.1114672588381171</v>
      </c>
      <c r="S532" s="22">
        <f t="shared" si="119"/>
        <v>1.0780569980949297</v>
      </c>
      <c r="T532" s="22">
        <f t="shared" si="119"/>
        <v>1.0893928957031254</v>
      </c>
      <c r="U532" s="22">
        <f t="shared" si="119"/>
        <v>1.1059856502817549</v>
      </c>
      <c r="V532" s="22">
        <f t="shared" si="119"/>
        <v>1.1145860741325027</v>
      </c>
      <c r="W532" s="22">
        <f t="shared" si="119"/>
        <v>1.1244152137402783</v>
      </c>
      <c r="X532" s="22">
        <f t="shared" si="119"/>
        <v>1.1357914130193381</v>
      </c>
      <c r="Y532" s="22">
        <f t="shared" si="119"/>
        <v>1.1474086589431955</v>
      </c>
      <c r="Z532" s="22">
        <f t="shared" si="119"/>
        <v>1.1602674519477969</v>
      </c>
      <c r="AA532" s="22">
        <f t="shared" si="119"/>
        <v>1.1735245752036907</v>
      </c>
      <c r="AB532" s="22">
        <f t="shared" si="119"/>
        <v>1.18794114106982</v>
      </c>
      <c r="AC532" s="22">
        <f t="shared" si="119"/>
        <v>1.2026829177053815</v>
      </c>
      <c r="AD532" s="22">
        <f t="shared" si="119"/>
        <v>1.218608900056573</v>
      </c>
      <c r="AE532" s="22">
        <f t="shared" si="119"/>
        <v>1.2343193345034551</v>
      </c>
      <c r="AF532" s="22">
        <f t="shared" ref="L532:AW539" si="120">AF1483</f>
        <v>1.2509015809248898</v>
      </c>
      <c r="AG532" s="22">
        <f t="shared" si="120"/>
        <v>1.2696588428853492</v>
      </c>
      <c r="AH532" s="22">
        <f t="shared" si="120"/>
        <v>1.2874926850325319</v>
      </c>
      <c r="AI532" s="22">
        <f t="shared" si="120"/>
        <v>1.3057811956925069</v>
      </c>
      <c r="AJ532" s="22">
        <f t="shared" si="120"/>
        <v>1.3253399300509145</v>
      </c>
      <c r="AK532" s="22">
        <f t="shared" si="120"/>
        <v>1.3436641070257576</v>
      </c>
      <c r="AL532" s="22">
        <f t="shared" si="120"/>
        <v>1.361888843730743</v>
      </c>
      <c r="AM532" s="22">
        <f t="shared" si="120"/>
        <v>1.380064832160125</v>
      </c>
      <c r="AN532" s="22">
        <f t="shared" si="120"/>
        <v>1.3992944829741121</v>
      </c>
      <c r="AO532" s="22">
        <f t="shared" si="120"/>
        <v>1.4177506785056255</v>
      </c>
      <c r="AP532" s="22">
        <f t="shared" si="120"/>
        <v>1.4369235538048923</v>
      </c>
      <c r="AQ532" s="22">
        <f t="shared" si="120"/>
        <v>1.4569005528602124</v>
      </c>
      <c r="AR532" s="22">
        <f t="shared" si="120"/>
        <v>1.4778222948761157</v>
      </c>
      <c r="AS532" s="22">
        <f t="shared" si="120"/>
        <v>1.499114114952786</v>
      </c>
      <c r="AT532" s="22">
        <f t="shared" si="120"/>
        <v>1.5041622353362427</v>
      </c>
      <c r="AU532" s="22">
        <f t="shared" si="120"/>
        <v>1.5077549671708836</v>
      </c>
      <c r="AV532" s="22">
        <f t="shared" si="120"/>
        <v>1.5092269750444909</v>
      </c>
      <c r="AW532" s="22">
        <f t="shared" si="120"/>
        <v>1.5101158131362518</v>
      </c>
      <c r="AY532" s="79"/>
    </row>
    <row r="533" spans="1:51" x14ac:dyDescent="0.3">
      <c r="A533" s="95" t="str">
        <f t="shared" si="108"/>
        <v>PQ U&amp;D</v>
      </c>
      <c r="B533" s="95" t="s">
        <v>968</v>
      </c>
      <c r="C533" s="95" t="s">
        <v>1336</v>
      </c>
      <c r="D533" t="s">
        <v>369</v>
      </c>
      <c r="E533" t="s">
        <v>55</v>
      </c>
      <c r="F533" t="s">
        <v>422</v>
      </c>
      <c r="G533" t="s">
        <v>1156</v>
      </c>
      <c r="H533" t="s">
        <v>1242</v>
      </c>
      <c r="I533" t="s">
        <v>139</v>
      </c>
      <c r="J533" t="s">
        <v>287</v>
      </c>
      <c r="K533" s="22">
        <f t="shared" si="117"/>
        <v>0.73383920392416069</v>
      </c>
      <c r="L533" s="22">
        <f t="shared" si="120"/>
        <v>0.7379417403466384</v>
      </c>
      <c r="M533" s="22">
        <f t="shared" si="120"/>
        <v>0.74376253694082328</v>
      </c>
      <c r="N533" s="22">
        <f t="shared" si="120"/>
        <v>0.74750301879518044</v>
      </c>
      <c r="O533" s="22">
        <f t="shared" si="120"/>
        <v>0.74998858609492636</v>
      </c>
      <c r="P533" s="22">
        <f t="shared" si="120"/>
        <v>0.75119477530775824</v>
      </c>
      <c r="Q533" s="22">
        <f t="shared" si="120"/>
        <v>0.7538596961765357</v>
      </c>
      <c r="R533" s="22">
        <f t="shared" si="120"/>
        <v>0.75691680802528427</v>
      </c>
      <c r="S533" s="22">
        <f t="shared" si="120"/>
        <v>0.73416419186323789</v>
      </c>
      <c r="T533" s="22">
        <f t="shared" si="120"/>
        <v>0.74188401569562545</v>
      </c>
      <c r="U533" s="22">
        <f t="shared" si="120"/>
        <v>0.75318379509275502</v>
      </c>
      <c r="V533" s="22">
        <f t="shared" si="120"/>
        <v>0.75904074257996901</v>
      </c>
      <c r="W533" s="22">
        <f t="shared" si="120"/>
        <v>0.76573445390469996</v>
      </c>
      <c r="X533" s="22">
        <f t="shared" si="120"/>
        <v>0.77348172345069344</v>
      </c>
      <c r="Y533" s="22">
        <f t="shared" si="120"/>
        <v>0.78139314741105659</v>
      </c>
      <c r="Z533" s="22">
        <f t="shared" si="120"/>
        <v>0.79015007342818022</v>
      </c>
      <c r="AA533" s="22">
        <f t="shared" si="120"/>
        <v>0.79917826507184453</v>
      </c>
      <c r="AB533" s="22">
        <f t="shared" si="120"/>
        <v>0.80899604506608758</v>
      </c>
      <c r="AC533" s="22">
        <f t="shared" si="120"/>
        <v>0.81903529581943424</v>
      </c>
      <c r="AD533" s="22">
        <f t="shared" si="120"/>
        <v>0.82988099876756494</v>
      </c>
      <c r="AE533" s="22">
        <f t="shared" si="120"/>
        <v>0.84057991211806271</v>
      </c>
      <c r="AF533" s="22">
        <f t="shared" si="120"/>
        <v>0.8518725353882447</v>
      </c>
      <c r="AG533" s="22">
        <f t="shared" si="120"/>
        <v>0.86464635912215038</v>
      </c>
      <c r="AH533" s="22">
        <f t="shared" si="120"/>
        <v>0.87679132764509471</v>
      </c>
      <c r="AI533" s="22">
        <f t="shared" si="120"/>
        <v>0.88924592853613249</v>
      </c>
      <c r="AJ533" s="22">
        <f t="shared" si="120"/>
        <v>0.90256556045678527</v>
      </c>
      <c r="AK533" s="22">
        <f t="shared" si="120"/>
        <v>0.91504445035228033</v>
      </c>
      <c r="AL533" s="22">
        <f t="shared" si="120"/>
        <v>0.92745562074362309</v>
      </c>
      <c r="AM533" s="22">
        <f t="shared" si="120"/>
        <v>0.93983359322574034</v>
      </c>
      <c r="AN533" s="22">
        <f t="shared" si="120"/>
        <v>0.95292911700102378</v>
      </c>
      <c r="AO533" s="22">
        <f t="shared" si="120"/>
        <v>0.9654979124368942</v>
      </c>
      <c r="AP533" s="22">
        <f t="shared" si="120"/>
        <v>0.97855477169819061</v>
      </c>
      <c r="AQ533" s="22">
        <f t="shared" si="120"/>
        <v>0.99215924473924411</v>
      </c>
      <c r="AR533" s="22">
        <f t="shared" si="120"/>
        <v>1.0064070942004693</v>
      </c>
      <c r="AS533" s="22">
        <f t="shared" si="120"/>
        <v>1.0209069693531829</v>
      </c>
      <c r="AT533" s="22">
        <f t="shared" si="120"/>
        <v>1.0243447738739997</v>
      </c>
      <c r="AU533" s="22">
        <f t="shared" si="120"/>
        <v>1.0267914488351768</v>
      </c>
      <c r="AV533" s="22">
        <f t="shared" si="120"/>
        <v>1.0277938962687103</v>
      </c>
      <c r="AW533" s="22">
        <f t="shared" si="120"/>
        <v>1.0283992010907079</v>
      </c>
      <c r="AY533" s="79"/>
    </row>
    <row r="534" spans="1:51" x14ac:dyDescent="0.3">
      <c r="A534" s="95" t="str">
        <f t="shared" si="108"/>
        <v>PQ U&amp;D</v>
      </c>
      <c r="B534" s="95" t="s">
        <v>968</v>
      </c>
      <c r="C534" s="95" t="s">
        <v>1336</v>
      </c>
      <c r="D534" t="s">
        <v>369</v>
      </c>
      <c r="E534" t="s">
        <v>55</v>
      </c>
      <c r="F534" t="s">
        <v>422</v>
      </c>
      <c r="G534" t="s">
        <v>1158</v>
      </c>
      <c r="H534" t="s">
        <v>1243</v>
      </c>
      <c r="I534" t="s">
        <v>139</v>
      </c>
      <c r="J534" t="s">
        <v>287</v>
      </c>
      <c r="K534" s="22">
        <f t="shared" si="117"/>
        <v>15.353527292296844</v>
      </c>
      <c r="L534" s="22">
        <f t="shared" si="120"/>
        <v>15.220371053361486</v>
      </c>
      <c r="M534" s="22">
        <f t="shared" si="120"/>
        <v>15.169682504177887</v>
      </c>
      <c r="N534" s="22">
        <f t="shared" si="120"/>
        <v>14.967111251021189</v>
      </c>
      <c r="O534" s="22">
        <f t="shared" si="120"/>
        <v>14.673074129931953</v>
      </c>
      <c r="P534" s="22">
        <f t="shared" si="120"/>
        <v>14.293651368256896</v>
      </c>
      <c r="Q534" s="22">
        <f t="shared" si="120"/>
        <v>13.994389539168758</v>
      </c>
      <c r="R534" s="22">
        <f t="shared" si="120"/>
        <v>13.711253827544139</v>
      </c>
      <c r="S534" s="22">
        <f t="shared" si="120"/>
        <v>12.061906249102522</v>
      </c>
      <c r="T534" s="22">
        <f t="shared" si="120"/>
        <v>12.257827954761961</v>
      </c>
      <c r="U534" s="22">
        <f t="shared" si="120"/>
        <v>12.623326077373568</v>
      </c>
      <c r="V534" s="22">
        <f t="shared" si="120"/>
        <v>12.696320274115601</v>
      </c>
      <c r="W534" s="22">
        <f t="shared" si="120"/>
        <v>12.80159889911199</v>
      </c>
      <c r="X534" s="22">
        <f t="shared" si="120"/>
        <v>12.948464903220069</v>
      </c>
      <c r="Y534" s="22">
        <f t="shared" si="120"/>
        <v>13.116926910965395</v>
      </c>
      <c r="Z534" s="22">
        <f t="shared" si="120"/>
        <v>13.314439769643803</v>
      </c>
      <c r="AA534" s="22">
        <f t="shared" si="120"/>
        <v>13.51286360181456</v>
      </c>
      <c r="AB534" s="22">
        <f t="shared" si="120"/>
        <v>13.736029185929986</v>
      </c>
      <c r="AC534" s="22">
        <f t="shared" si="120"/>
        <v>13.956980095887328</v>
      </c>
      <c r="AD534" s="22">
        <f t="shared" si="120"/>
        <v>14.10090814419179</v>
      </c>
      <c r="AE534" s="22">
        <f t="shared" si="120"/>
        <v>14.219083101971489</v>
      </c>
      <c r="AF534" s="22">
        <f t="shared" si="120"/>
        <v>14.343928249023508</v>
      </c>
      <c r="AG534" s="22">
        <f t="shared" si="120"/>
        <v>14.51096965309287</v>
      </c>
      <c r="AH534" s="22">
        <f t="shared" si="120"/>
        <v>14.631100213840327</v>
      </c>
      <c r="AI534" s="22">
        <f t="shared" si="120"/>
        <v>14.759129789982603</v>
      </c>
      <c r="AJ534" s="22">
        <f t="shared" si="120"/>
        <v>14.900063859192302</v>
      </c>
      <c r="AK534" s="22">
        <f t="shared" si="120"/>
        <v>14.987884546338787</v>
      </c>
      <c r="AL534" s="22">
        <f t="shared" si="120"/>
        <v>15.053769229100121</v>
      </c>
      <c r="AM534" s="22">
        <f t="shared" si="120"/>
        <v>15.099596245527735</v>
      </c>
      <c r="AN534" s="22">
        <f t="shared" si="120"/>
        <v>15.242060327526691</v>
      </c>
      <c r="AO534" s="22">
        <f t="shared" si="120"/>
        <v>15.350351065013276</v>
      </c>
      <c r="AP534" s="22">
        <f t="shared" si="120"/>
        <v>15.4600087454617</v>
      </c>
      <c r="AQ534" s="22">
        <f t="shared" si="120"/>
        <v>15.572287803164578</v>
      </c>
      <c r="AR534" s="22">
        <f t="shared" si="120"/>
        <v>15.689452381356277</v>
      </c>
      <c r="AS534" s="22">
        <f t="shared" si="120"/>
        <v>15.809749281637989</v>
      </c>
      <c r="AT534" s="22">
        <f t="shared" si="120"/>
        <v>15.572449633225865</v>
      </c>
      <c r="AU534" s="22">
        <f t="shared" si="120"/>
        <v>15.303629040465463</v>
      </c>
      <c r="AV534" s="22">
        <f t="shared" si="120"/>
        <v>14.991979745020995</v>
      </c>
      <c r="AW534" s="22">
        <f t="shared" si="120"/>
        <v>14.670563587286086</v>
      </c>
      <c r="AY534" s="79"/>
    </row>
    <row r="535" spans="1:51" x14ac:dyDescent="0.3">
      <c r="A535" s="95" t="str">
        <f t="shared" si="108"/>
        <v>PQ U&amp;D</v>
      </c>
      <c r="B535" s="95" t="s">
        <v>968</v>
      </c>
      <c r="C535" s="95" t="s">
        <v>1336</v>
      </c>
      <c r="D535" t="s">
        <v>369</v>
      </c>
      <c r="E535" t="s">
        <v>55</v>
      </c>
      <c r="F535" t="s">
        <v>422</v>
      </c>
      <c r="G535" t="s">
        <v>1160</v>
      </c>
      <c r="H535" t="s">
        <v>1244</v>
      </c>
      <c r="I535" t="s">
        <v>139</v>
      </c>
      <c r="J535" t="s">
        <v>287</v>
      </c>
      <c r="K535" s="22">
        <f t="shared" si="117"/>
        <v>9.6543103644621464</v>
      </c>
      <c r="L535" s="22">
        <f t="shared" si="120"/>
        <v>9.570581613851763</v>
      </c>
      <c r="M535" s="22">
        <f t="shared" si="120"/>
        <v>9.5387086131773007</v>
      </c>
      <c r="N535" s="22">
        <f t="shared" si="120"/>
        <v>9.4113316455488931</v>
      </c>
      <c r="O535" s="22">
        <f t="shared" si="120"/>
        <v>9.2264408662754782</v>
      </c>
      <c r="P535" s="22">
        <f t="shared" si="120"/>
        <v>8.9878595272244652</v>
      </c>
      <c r="Q535" s="22">
        <f t="shared" si="120"/>
        <v>8.7996834473406587</v>
      </c>
      <c r="R535" s="22">
        <f t="shared" si="120"/>
        <v>8.6216474831450967</v>
      </c>
      <c r="S535" s="22">
        <f t="shared" si="120"/>
        <v>7.5845363934257692</v>
      </c>
      <c r="T535" s="22">
        <f t="shared" si="120"/>
        <v>7.7077321202161873</v>
      </c>
      <c r="U535" s="22">
        <f t="shared" si="120"/>
        <v>7.9375576349753283</v>
      </c>
      <c r="V535" s="22">
        <f t="shared" si="120"/>
        <v>7.9834564448537479</v>
      </c>
      <c r="W535" s="22">
        <f t="shared" si="120"/>
        <v>8.0496557292988875</v>
      </c>
      <c r="X535" s="22">
        <f t="shared" si="120"/>
        <v>8.1420051913250582</v>
      </c>
      <c r="Y535" s="22">
        <f t="shared" si="120"/>
        <v>8.2479342378842677</v>
      </c>
      <c r="Z535" s="22">
        <f t="shared" si="120"/>
        <v>8.3721304829783953</v>
      </c>
      <c r="AA535" s="22">
        <f t="shared" si="120"/>
        <v>8.4968995489404282</v>
      </c>
      <c r="AB535" s="22">
        <f t="shared" si="120"/>
        <v>8.6372262485124356</v>
      </c>
      <c r="AC535" s="22">
        <f t="shared" si="120"/>
        <v>8.7761603591847646</v>
      </c>
      <c r="AD535" s="22">
        <f t="shared" si="120"/>
        <v>8.8666624322282459</v>
      </c>
      <c r="AE535" s="22">
        <f t="shared" si="120"/>
        <v>8.9409709411455953</v>
      </c>
      <c r="AF535" s="22">
        <f t="shared" si="120"/>
        <v>9.0194736704657732</v>
      </c>
      <c r="AG535" s="22">
        <f t="shared" si="120"/>
        <v>9.1245094402859266</v>
      </c>
      <c r="AH535" s="22">
        <f t="shared" si="120"/>
        <v>9.2000476339292057</v>
      </c>
      <c r="AI535" s="22">
        <f t="shared" si="120"/>
        <v>9.2805527348338117</v>
      </c>
      <c r="AJ535" s="22">
        <f t="shared" si="120"/>
        <v>9.3691721914038766</v>
      </c>
      <c r="AK535" s="22">
        <f t="shared" si="120"/>
        <v>9.4243939104259251</v>
      </c>
      <c r="AL535" s="22">
        <f t="shared" si="120"/>
        <v>9.4658222521699837</v>
      </c>
      <c r="AM535" s="22">
        <f t="shared" si="120"/>
        <v>9.4946383171201845</v>
      </c>
      <c r="AN535" s="22">
        <f t="shared" si="120"/>
        <v>9.5842198469681268</v>
      </c>
      <c r="AO535" s="22">
        <f t="shared" si="120"/>
        <v>9.6523131501803814</v>
      </c>
      <c r="AP535" s="22">
        <f t="shared" si="120"/>
        <v>9.7212659882312984</v>
      </c>
      <c r="AQ535" s="22">
        <f t="shared" si="120"/>
        <v>9.7918671504174508</v>
      </c>
      <c r="AR535" s="22">
        <f t="shared" si="120"/>
        <v>9.8655403318336496</v>
      </c>
      <c r="AS535" s="22">
        <f t="shared" si="120"/>
        <v>9.9411831199104377</v>
      </c>
      <c r="AT535" s="22">
        <f t="shared" si="120"/>
        <v>9.7919689092907181</v>
      </c>
      <c r="AU535" s="22">
        <f t="shared" si="120"/>
        <v>9.6229343034011841</v>
      </c>
      <c r="AV535" s="22">
        <f t="shared" si="120"/>
        <v>9.4269689746655256</v>
      </c>
      <c r="AW535" s="22">
        <f t="shared" si="120"/>
        <v>9.2248622350316598</v>
      </c>
      <c r="AY535" s="79"/>
    </row>
    <row r="536" spans="1:51" x14ac:dyDescent="0.3">
      <c r="A536" s="95" t="str">
        <f t="shared" si="108"/>
        <v>PQ U&amp;D</v>
      </c>
      <c r="B536" s="95" t="s">
        <v>968</v>
      </c>
      <c r="C536" s="95" t="s">
        <v>1336</v>
      </c>
      <c r="D536" t="s">
        <v>369</v>
      </c>
      <c r="E536" t="s">
        <v>55</v>
      </c>
      <c r="F536" t="s">
        <v>422</v>
      </c>
      <c r="G536" t="s">
        <v>1162</v>
      </c>
      <c r="H536" t="s">
        <v>1245</v>
      </c>
      <c r="I536" t="s">
        <v>139</v>
      </c>
      <c r="J536" t="s">
        <v>287</v>
      </c>
      <c r="K536" s="22">
        <f t="shared" si="117"/>
        <v>0</v>
      </c>
      <c r="L536" s="22">
        <f t="shared" si="120"/>
        <v>0</v>
      </c>
      <c r="M536" s="22">
        <f t="shared" si="120"/>
        <v>0</v>
      </c>
      <c r="N536" s="22">
        <f t="shared" si="120"/>
        <v>0</v>
      </c>
      <c r="O536" s="22">
        <f t="shared" si="120"/>
        <v>0</v>
      </c>
      <c r="P536" s="22">
        <f t="shared" si="120"/>
        <v>0</v>
      </c>
      <c r="Q536" s="22">
        <f t="shared" si="120"/>
        <v>0</v>
      </c>
      <c r="R536" s="22">
        <f t="shared" si="120"/>
        <v>0</v>
      </c>
      <c r="S536" s="22">
        <f t="shared" si="120"/>
        <v>0</v>
      </c>
      <c r="T536" s="22">
        <f t="shared" si="120"/>
        <v>0</v>
      </c>
      <c r="U536" s="22">
        <f t="shared" si="120"/>
        <v>0</v>
      </c>
      <c r="V536" s="22">
        <f t="shared" si="120"/>
        <v>0</v>
      </c>
      <c r="W536" s="22">
        <f t="shared" si="120"/>
        <v>0</v>
      </c>
      <c r="X536" s="22">
        <f t="shared" si="120"/>
        <v>0</v>
      </c>
      <c r="Y536" s="22">
        <f t="shared" si="120"/>
        <v>0</v>
      </c>
      <c r="Z536" s="22">
        <f t="shared" si="120"/>
        <v>0</v>
      </c>
      <c r="AA536" s="22">
        <f t="shared" si="120"/>
        <v>0</v>
      </c>
      <c r="AB536" s="22">
        <f t="shared" si="120"/>
        <v>0</v>
      </c>
      <c r="AC536" s="22">
        <f t="shared" si="120"/>
        <v>0</v>
      </c>
      <c r="AD536" s="22">
        <f t="shared" si="120"/>
        <v>0</v>
      </c>
      <c r="AE536" s="22">
        <f t="shared" si="120"/>
        <v>0</v>
      </c>
      <c r="AF536" s="22">
        <f t="shared" si="120"/>
        <v>0</v>
      </c>
      <c r="AG536" s="22">
        <f t="shared" si="120"/>
        <v>0</v>
      </c>
      <c r="AH536" s="22">
        <f t="shared" si="120"/>
        <v>0</v>
      </c>
      <c r="AI536" s="22">
        <f t="shared" si="120"/>
        <v>0</v>
      </c>
      <c r="AJ536" s="22">
        <f t="shared" si="120"/>
        <v>0</v>
      </c>
      <c r="AK536" s="22">
        <f t="shared" si="120"/>
        <v>0</v>
      </c>
      <c r="AL536" s="22">
        <f t="shared" si="120"/>
        <v>0</v>
      </c>
      <c r="AM536" s="22">
        <f t="shared" si="120"/>
        <v>0</v>
      </c>
      <c r="AN536" s="22">
        <f t="shared" si="120"/>
        <v>0</v>
      </c>
      <c r="AO536" s="22">
        <f t="shared" si="120"/>
        <v>0</v>
      </c>
      <c r="AP536" s="22">
        <f t="shared" si="120"/>
        <v>0</v>
      </c>
      <c r="AQ536" s="22">
        <f t="shared" si="120"/>
        <v>0</v>
      </c>
      <c r="AR536" s="22">
        <f t="shared" si="120"/>
        <v>0</v>
      </c>
      <c r="AS536" s="22">
        <f t="shared" si="120"/>
        <v>0</v>
      </c>
      <c r="AT536" s="22">
        <f t="shared" si="120"/>
        <v>0</v>
      </c>
      <c r="AU536" s="22">
        <f t="shared" si="120"/>
        <v>0</v>
      </c>
      <c r="AV536" s="22">
        <f t="shared" si="120"/>
        <v>0</v>
      </c>
      <c r="AW536" s="22">
        <f t="shared" si="120"/>
        <v>0</v>
      </c>
      <c r="AY536" s="79"/>
    </row>
    <row r="537" spans="1:51" x14ac:dyDescent="0.3">
      <c r="A537" s="95" t="str">
        <f t="shared" si="108"/>
        <v>PQ U&amp;D</v>
      </c>
      <c r="B537" s="95" t="s">
        <v>968</v>
      </c>
      <c r="C537" s="95" t="s">
        <v>1336</v>
      </c>
      <c r="D537" t="s">
        <v>369</v>
      </c>
      <c r="E537" t="s">
        <v>55</v>
      </c>
      <c r="F537" t="s">
        <v>422</v>
      </c>
      <c r="G537" t="s">
        <v>1164</v>
      </c>
      <c r="H537" t="s">
        <v>1246</v>
      </c>
      <c r="I537" t="s">
        <v>139</v>
      </c>
      <c r="J537" t="s">
        <v>287</v>
      </c>
      <c r="K537" s="22">
        <f t="shared" si="117"/>
        <v>5.8008217784478333</v>
      </c>
      <c r="L537" s="22">
        <f t="shared" si="120"/>
        <v>5.8039582643251126</v>
      </c>
      <c r="M537" s="22">
        <f t="shared" si="120"/>
        <v>5.8114574843873825</v>
      </c>
      <c r="N537" s="22">
        <f t="shared" si="120"/>
        <v>5.8225151444828054</v>
      </c>
      <c r="O537" s="22">
        <f t="shared" si="120"/>
        <v>5.8370609765606929</v>
      </c>
      <c r="P537" s="22">
        <f t="shared" si="120"/>
        <v>5.8549413826537444</v>
      </c>
      <c r="Q537" s="22">
        <f t="shared" si="120"/>
        <v>5.8750235193024203</v>
      </c>
      <c r="R537" s="22">
        <f t="shared" si="120"/>
        <v>5.8971806009067276</v>
      </c>
      <c r="S537" s="22">
        <f t="shared" si="120"/>
        <v>5.917442032162775</v>
      </c>
      <c r="T537" s="22">
        <f t="shared" si="120"/>
        <v>5.9263453955781369</v>
      </c>
      <c r="U537" s="22">
        <f t="shared" si="120"/>
        <v>5.9372183150377431</v>
      </c>
      <c r="V537" s="22">
        <f t="shared" si="120"/>
        <v>5.9486466020913653</v>
      </c>
      <c r="W537" s="22">
        <f t="shared" si="120"/>
        <v>5.9614772941302494</v>
      </c>
      <c r="X537" s="22">
        <f t="shared" si="120"/>
        <v>5.975674490624324</v>
      </c>
      <c r="Y537" s="22">
        <f t="shared" si="120"/>
        <v>5.984540997272453</v>
      </c>
      <c r="Z537" s="22">
        <f t="shared" si="120"/>
        <v>5.9945579021556687</v>
      </c>
      <c r="AA537" s="22">
        <f t="shared" si="120"/>
        <v>6.0055898546708475</v>
      </c>
      <c r="AB537" s="22">
        <f t="shared" si="120"/>
        <v>6.0176671888041211</v>
      </c>
      <c r="AC537" s="22">
        <f t="shared" si="120"/>
        <v>6.030665248312749</v>
      </c>
      <c r="AD537" s="22">
        <f t="shared" si="120"/>
        <v>6.0393845451591259</v>
      </c>
      <c r="AE537" s="22">
        <f t="shared" si="120"/>
        <v>6.0488503325285592</v>
      </c>
      <c r="AF537" s="22">
        <f t="shared" si="120"/>
        <v>6.0591386998485763</v>
      </c>
      <c r="AG537" s="22">
        <f t="shared" si="120"/>
        <v>6.0703500781796258</v>
      </c>
      <c r="AH537" s="22">
        <f t="shared" si="120"/>
        <v>6.0821478127419235</v>
      </c>
      <c r="AI537" s="22">
        <f t="shared" si="120"/>
        <v>6.0896888871649706</v>
      </c>
      <c r="AJ537" s="22">
        <f t="shared" si="120"/>
        <v>6.0979488793317644</v>
      </c>
      <c r="AK537" s="22">
        <f t="shared" si="120"/>
        <v>6.1066553574494229</v>
      </c>
      <c r="AL537" s="22">
        <f t="shared" si="120"/>
        <v>6.1159010108536567</v>
      </c>
      <c r="AM537" s="22">
        <f t="shared" si="120"/>
        <v>6.1256718211091643</v>
      </c>
      <c r="AN537" s="22">
        <f t="shared" si="120"/>
        <v>6.1314451386260842</v>
      </c>
      <c r="AO537" s="22">
        <f t="shared" si="120"/>
        <v>6.1376082251338753</v>
      </c>
      <c r="AP537" s="22">
        <f t="shared" si="120"/>
        <v>6.1442934501067121</v>
      </c>
      <c r="AQ537" s="22">
        <f t="shared" si="120"/>
        <v>6.1514943503502693</v>
      </c>
      <c r="AR537" s="22">
        <f t="shared" si="120"/>
        <v>6.1592107766386786</v>
      </c>
      <c r="AS537" s="22">
        <f t="shared" si="120"/>
        <v>6.1627115342701337</v>
      </c>
      <c r="AT537" s="22">
        <f t="shared" si="120"/>
        <v>6.1649675411239766</v>
      </c>
      <c r="AU537" s="22">
        <f t="shared" si="120"/>
        <v>6.1674405510086165</v>
      </c>
      <c r="AV537" s="22">
        <f t="shared" si="120"/>
        <v>6.1700527124926303</v>
      </c>
      <c r="AW537" s="22">
        <f t="shared" si="120"/>
        <v>6.1729463171150929</v>
      </c>
      <c r="AY537" s="79"/>
    </row>
    <row r="538" spans="1:51" x14ac:dyDescent="0.3">
      <c r="A538" s="95" t="str">
        <f t="shared" si="108"/>
        <v>PQ U&amp;D</v>
      </c>
      <c r="B538" s="95" t="s">
        <v>968</v>
      </c>
      <c r="C538" s="95" t="s">
        <v>1336</v>
      </c>
      <c r="D538" t="s">
        <v>369</v>
      </c>
      <c r="E538" t="s">
        <v>55</v>
      </c>
      <c r="F538" t="s">
        <v>422</v>
      </c>
      <c r="G538" t="s">
        <v>1166</v>
      </c>
      <c r="H538" t="s">
        <v>1247</v>
      </c>
      <c r="I538" t="s">
        <v>139</v>
      </c>
      <c r="J538" t="s">
        <v>287</v>
      </c>
      <c r="K538" s="22">
        <f t="shared" si="117"/>
        <v>0.6475429908430661</v>
      </c>
      <c r="L538" s="22">
        <f t="shared" si="120"/>
        <v>0.64789311527772075</v>
      </c>
      <c r="M538" s="22">
        <f t="shared" si="120"/>
        <v>0.64873024966549919</v>
      </c>
      <c r="N538" s="22">
        <f t="shared" si="120"/>
        <v>0.64996461103073178</v>
      </c>
      <c r="O538" s="22">
        <f t="shared" si="120"/>
        <v>0.65158835538416293</v>
      </c>
      <c r="P538" s="22">
        <f t="shared" si="120"/>
        <v>0.65358433665736837</v>
      </c>
      <c r="Q538" s="22">
        <f t="shared" si="120"/>
        <v>0.65582609607089082</v>
      </c>
      <c r="R538" s="22">
        <f t="shared" si="120"/>
        <v>0.65829948060818433</v>
      </c>
      <c r="S538" s="22">
        <f t="shared" si="120"/>
        <v>0.66056125459390613</v>
      </c>
      <c r="T538" s="22">
        <f t="shared" si="120"/>
        <v>0.6615551328399103</v>
      </c>
      <c r="U538" s="22">
        <f t="shared" si="120"/>
        <v>0.6627688716953648</v>
      </c>
      <c r="V538" s="22">
        <f t="shared" si="120"/>
        <v>0.66404460597260306</v>
      </c>
      <c r="W538" s="22">
        <f t="shared" si="120"/>
        <v>0.6654768900548883</v>
      </c>
      <c r="X538" s="22">
        <f t="shared" si="120"/>
        <v>0.66706171638303324</v>
      </c>
      <c r="Y538" s="22">
        <f t="shared" si="120"/>
        <v>0.66805148032554751</v>
      </c>
      <c r="Z538" s="22">
        <f t="shared" si="120"/>
        <v>0.66916966267880784</v>
      </c>
      <c r="AA538" s="22">
        <f t="shared" si="120"/>
        <v>0.67040115431901948</v>
      </c>
      <c r="AB538" s="22">
        <f t="shared" si="120"/>
        <v>0.67174934141470444</v>
      </c>
      <c r="AC538" s="22">
        <f t="shared" si="120"/>
        <v>0.67320030864845803</v>
      </c>
      <c r="AD538" s="22">
        <f t="shared" si="120"/>
        <v>0.67417363963044585</v>
      </c>
      <c r="AE538" s="22">
        <f t="shared" si="120"/>
        <v>0.67523030099636827</v>
      </c>
      <c r="AF538" s="22">
        <f t="shared" si="120"/>
        <v>0.67637878657302375</v>
      </c>
      <c r="AG538" s="22">
        <f t="shared" si="120"/>
        <v>0.67763030743217745</v>
      </c>
      <c r="AH538" s="22">
        <f t="shared" si="120"/>
        <v>0.67894728296002871</v>
      </c>
      <c r="AI538" s="22">
        <f t="shared" si="120"/>
        <v>0.67978908953029982</v>
      </c>
      <c r="AJ538" s="22">
        <f t="shared" si="120"/>
        <v>0.68071114854819625</v>
      </c>
      <c r="AK538" s="22">
        <f t="shared" si="120"/>
        <v>0.68168304858156126</v>
      </c>
      <c r="AL538" s="22">
        <f t="shared" si="120"/>
        <v>0.68271513649709059</v>
      </c>
      <c r="AM538" s="22">
        <f t="shared" si="120"/>
        <v>0.68380584742348371</v>
      </c>
      <c r="AN538" s="22">
        <f t="shared" si="120"/>
        <v>0.68445032012662432</v>
      </c>
      <c r="AO538" s="22">
        <f t="shared" si="120"/>
        <v>0.68513830255782171</v>
      </c>
      <c r="AP538" s="22">
        <f t="shared" si="120"/>
        <v>0.6858845710588557</v>
      </c>
      <c r="AQ538" s="22">
        <f t="shared" si="120"/>
        <v>0.6866884041464022</v>
      </c>
      <c r="AR538" s="22">
        <f t="shared" si="120"/>
        <v>0.68754978516244758</v>
      </c>
      <c r="AS538" s="22">
        <f t="shared" si="120"/>
        <v>0.6879405730806889</v>
      </c>
      <c r="AT538" s="22">
        <f t="shared" si="120"/>
        <v>0.68819241005849918</v>
      </c>
      <c r="AU538" s="22">
        <f t="shared" si="120"/>
        <v>0.68846847098197617</v>
      </c>
      <c r="AV538" s="22">
        <f t="shared" si="120"/>
        <v>0.68876006533266065</v>
      </c>
      <c r="AW538" s="22">
        <f t="shared" si="120"/>
        <v>0.68908307704774374</v>
      </c>
      <c r="AY538" s="79"/>
    </row>
    <row r="539" spans="1:51" x14ac:dyDescent="0.3">
      <c r="A539" s="95" t="str">
        <f t="shared" si="108"/>
        <v>PQ U&amp;D</v>
      </c>
      <c r="B539" s="95" t="s">
        <v>968</v>
      </c>
      <c r="C539" s="95" t="s">
        <v>1336</v>
      </c>
      <c r="D539" t="s">
        <v>369</v>
      </c>
      <c r="E539" t="s">
        <v>55</v>
      </c>
      <c r="F539" t="s">
        <v>422</v>
      </c>
      <c r="G539" t="s">
        <v>1168</v>
      </c>
      <c r="H539" t="s">
        <v>1248</v>
      </c>
      <c r="I539" t="s">
        <v>139</v>
      </c>
      <c r="J539" t="s">
        <v>287</v>
      </c>
      <c r="K539" s="22">
        <f t="shared" si="117"/>
        <v>0.71706343480611268</v>
      </c>
      <c r="L539" s="22">
        <f t="shared" si="120"/>
        <v>0.71892745361392807</v>
      </c>
      <c r="M539" s="22">
        <f t="shared" si="120"/>
        <v>0.72149880168720626</v>
      </c>
      <c r="N539" s="22">
        <f t="shared" si="120"/>
        <v>0.72463138273575978</v>
      </c>
      <c r="O539" s="22">
        <f t="shared" si="120"/>
        <v>0.72832072886952293</v>
      </c>
      <c r="P539" s="22">
        <f t="shared" si="120"/>
        <v>0.7325443847928953</v>
      </c>
      <c r="Q539" s="22">
        <f t="shared" si="120"/>
        <v>0.73708994755228441</v>
      </c>
      <c r="R539" s="22">
        <f t="shared" si="120"/>
        <v>0.74193942345928476</v>
      </c>
      <c r="S539" s="22">
        <f t="shared" si="120"/>
        <v>0.74633734890279979</v>
      </c>
      <c r="T539" s="22">
        <f t="shared" si="120"/>
        <v>0.7484855631491526</v>
      </c>
      <c r="U539" s="22">
        <f t="shared" ref="L539:AW545" si="121">U1490</f>
        <v>0.75094789604401424</v>
      </c>
      <c r="V539" s="22">
        <f t="shared" si="121"/>
        <v>0.7534578797366237</v>
      </c>
      <c r="W539" s="22">
        <f t="shared" si="121"/>
        <v>0.75618014560841795</v>
      </c>
      <c r="X539" s="22">
        <f t="shared" si="121"/>
        <v>0.75911019457510998</v>
      </c>
      <c r="Y539" s="22">
        <f t="shared" si="121"/>
        <v>0.76098529780205848</v>
      </c>
      <c r="Z539" s="22">
        <f t="shared" si="121"/>
        <v>0.76303676473265736</v>
      </c>
      <c r="AA539" s="22">
        <f t="shared" si="121"/>
        <v>0.7652406009428746</v>
      </c>
      <c r="AB539" s="22">
        <f t="shared" si="121"/>
        <v>0.76760388311939587</v>
      </c>
      <c r="AC539" s="22">
        <f t="shared" si="121"/>
        <v>0.77010442048860683</v>
      </c>
      <c r="AD539" s="22">
        <f t="shared" si="121"/>
        <v>0.77177199510986771</v>
      </c>
      <c r="AE539" s="22">
        <f t="shared" si="121"/>
        <v>0.773550364220007</v>
      </c>
      <c r="AF539" s="22">
        <f t="shared" si="121"/>
        <v>0.77545458075511842</v>
      </c>
      <c r="AG539" s="22">
        <f t="shared" si="121"/>
        <v>0.77750398529137599</v>
      </c>
      <c r="AH539" s="22">
        <f t="shared" si="121"/>
        <v>0.77963666315118907</v>
      </c>
      <c r="AI539" s="22">
        <f t="shared" si="121"/>
        <v>0.78095748542095478</v>
      </c>
      <c r="AJ539" s="22">
        <f t="shared" si="121"/>
        <v>0.78239081807371291</v>
      </c>
      <c r="AK539" s="22">
        <f t="shared" si="121"/>
        <v>0.78388681169292429</v>
      </c>
      <c r="AL539" s="22">
        <f t="shared" si="121"/>
        <v>0.78546308863746028</v>
      </c>
      <c r="AM539" s="22">
        <f t="shared" si="121"/>
        <v>0.78711749076594029</v>
      </c>
      <c r="AN539" s="22">
        <f t="shared" si="121"/>
        <v>0.7880213548905175</v>
      </c>
      <c r="AO539" s="22">
        <f t="shared" si="121"/>
        <v>0.7889821600969783</v>
      </c>
      <c r="AP539" s="22">
        <f t="shared" si="121"/>
        <v>0.7900244330710835</v>
      </c>
      <c r="AQ539" s="22">
        <f t="shared" si="121"/>
        <v>0.79114717839494386</v>
      </c>
      <c r="AR539" s="22">
        <f t="shared" si="121"/>
        <v>0.79235052559003472</v>
      </c>
      <c r="AS539" s="22">
        <f t="shared" si="121"/>
        <v>0.79277466874731783</v>
      </c>
      <c r="AT539" s="22">
        <f t="shared" si="121"/>
        <v>0.79296303081990593</v>
      </c>
      <c r="AU539" s="22">
        <f t="shared" si="121"/>
        <v>0.79318200303032371</v>
      </c>
      <c r="AV539" s="22">
        <f t="shared" si="121"/>
        <v>0.79341774382528896</v>
      </c>
      <c r="AW539" s="22">
        <f t="shared" si="121"/>
        <v>0.79369623394189648</v>
      </c>
      <c r="AY539" s="79"/>
    </row>
    <row r="540" spans="1:51" x14ac:dyDescent="0.3">
      <c r="A540" s="95" t="str">
        <f t="shared" si="108"/>
        <v>PQ U&amp;D</v>
      </c>
      <c r="B540" s="95" t="s">
        <v>968</v>
      </c>
      <c r="C540" s="95" t="s">
        <v>1336</v>
      </c>
      <c r="D540" t="s">
        <v>369</v>
      </c>
      <c r="E540" t="s">
        <v>55</v>
      </c>
      <c r="F540" t="s">
        <v>422</v>
      </c>
      <c r="G540" t="s">
        <v>1170</v>
      </c>
      <c r="H540" t="s">
        <v>1249</v>
      </c>
      <c r="I540" t="s">
        <v>139</v>
      </c>
      <c r="J540" t="s">
        <v>287</v>
      </c>
      <c r="K540" s="22">
        <f t="shared" si="117"/>
        <v>1.1867254191644503</v>
      </c>
      <c r="L540" s="22">
        <f t="shared" si="121"/>
        <v>1.1898103324282718</v>
      </c>
      <c r="M540" s="22">
        <f t="shared" si="121"/>
        <v>1.194065861258722</v>
      </c>
      <c r="N540" s="22">
        <f t="shared" si="121"/>
        <v>1.1992502192631385</v>
      </c>
      <c r="O540" s="22">
        <f t="shared" si="121"/>
        <v>1.2053560121742171</v>
      </c>
      <c r="P540" s="22">
        <f t="shared" si="121"/>
        <v>1.212346076933865</v>
      </c>
      <c r="Q540" s="22">
        <f t="shared" si="121"/>
        <v>1.2198688909683484</v>
      </c>
      <c r="R540" s="22">
        <f t="shared" si="121"/>
        <v>1.2278946750888551</v>
      </c>
      <c r="S540" s="22">
        <f t="shared" si="121"/>
        <v>1.2351731523644685</v>
      </c>
      <c r="T540" s="22">
        <f t="shared" si="121"/>
        <v>1.2387284033063148</v>
      </c>
      <c r="U540" s="22">
        <f t="shared" si="121"/>
        <v>1.2428035142308693</v>
      </c>
      <c r="V540" s="22">
        <f t="shared" si="121"/>
        <v>1.2469574862577844</v>
      </c>
      <c r="W540" s="22">
        <f t="shared" si="121"/>
        <v>1.2514627809792418</v>
      </c>
      <c r="X540" s="22">
        <f t="shared" si="121"/>
        <v>1.2563119525021347</v>
      </c>
      <c r="Y540" s="22">
        <f t="shared" si="121"/>
        <v>1.2594152102544689</v>
      </c>
      <c r="Z540" s="22">
        <f t="shared" si="121"/>
        <v>1.2628103463539342</v>
      </c>
      <c r="AA540" s="22">
        <f t="shared" si="121"/>
        <v>1.2664576505161484</v>
      </c>
      <c r="AB540" s="22">
        <f t="shared" si="121"/>
        <v>1.2703688345138295</v>
      </c>
      <c r="AC540" s="22">
        <f t="shared" si="121"/>
        <v>1.2745071730673998</v>
      </c>
      <c r="AD540" s="22">
        <f t="shared" si="121"/>
        <v>1.2772669751927705</v>
      </c>
      <c r="AE540" s="22">
        <f t="shared" si="121"/>
        <v>1.2802101399467087</v>
      </c>
      <c r="AF540" s="22">
        <f t="shared" si="121"/>
        <v>1.2833615796326843</v>
      </c>
      <c r="AG540" s="22">
        <f t="shared" si="121"/>
        <v>1.2867533025114073</v>
      </c>
      <c r="AH540" s="22">
        <f t="shared" si="121"/>
        <v>1.2902828410491152</v>
      </c>
      <c r="AI540" s="22">
        <f t="shared" si="121"/>
        <v>1.2924687750762118</v>
      </c>
      <c r="AJ540" s="22">
        <f t="shared" si="121"/>
        <v>1.2948409115017798</v>
      </c>
      <c r="AK540" s="22">
        <f t="shared" si="121"/>
        <v>1.2973167505540197</v>
      </c>
      <c r="AL540" s="22">
        <f t="shared" si="121"/>
        <v>1.2999254568789065</v>
      </c>
      <c r="AM540" s="22">
        <f t="shared" si="121"/>
        <v>1.3026634587962926</v>
      </c>
      <c r="AN540" s="22">
        <f t="shared" si="121"/>
        <v>1.3041593355626162</v>
      </c>
      <c r="AO540" s="22">
        <f t="shared" si="121"/>
        <v>1.3057494486628347</v>
      </c>
      <c r="AP540" s="22">
        <f t="shared" si="121"/>
        <v>1.3074743892636795</v>
      </c>
      <c r="AQ540" s="22">
        <f t="shared" si="121"/>
        <v>1.3093325099687654</v>
      </c>
      <c r="AR540" s="22">
        <f t="shared" si="121"/>
        <v>1.3113240251335019</v>
      </c>
      <c r="AS540" s="22">
        <f t="shared" si="121"/>
        <v>1.3120259734433455</v>
      </c>
      <c r="AT540" s="22">
        <f t="shared" si="121"/>
        <v>1.3123377088473509</v>
      </c>
      <c r="AU540" s="22">
        <f t="shared" si="121"/>
        <v>1.3127001034076922</v>
      </c>
      <c r="AV540" s="22">
        <f t="shared" si="121"/>
        <v>1.313090249634846</v>
      </c>
      <c r="AW540" s="22">
        <f t="shared" si="121"/>
        <v>1.3135511451209665</v>
      </c>
      <c r="AY540" s="79"/>
    </row>
    <row r="541" spans="1:51" x14ac:dyDescent="0.3">
      <c r="A541" s="95" t="str">
        <f t="shared" si="108"/>
        <v>PQ U&amp;D</v>
      </c>
      <c r="B541" s="95" t="s">
        <v>968</v>
      </c>
      <c r="C541" s="95" t="s">
        <v>1336</v>
      </c>
      <c r="D541" t="s">
        <v>369</v>
      </c>
      <c r="E541" t="s">
        <v>55</v>
      </c>
      <c r="F541" t="s">
        <v>422</v>
      </c>
      <c r="G541" t="s">
        <v>1172</v>
      </c>
      <c r="H541" t="s">
        <v>1250</v>
      </c>
      <c r="I541" t="s">
        <v>139</v>
      </c>
      <c r="J541" t="s">
        <v>287</v>
      </c>
      <c r="K541" s="22">
        <f t="shared" si="117"/>
        <v>0.19147730421375916</v>
      </c>
      <c r="L541" s="22">
        <f t="shared" si="121"/>
        <v>0.19240499933397132</v>
      </c>
      <c r="M541" s="22">
        <f t="shared" si="121"/>
        <v>0.19381280191845887</v>
      </c>
      <c r="N541" s="22">
        <f t="shared" si="121"/>
        <v>0.19411375969056655</v>
      </c>
      <c r="O541" s="22">
        <f t="shared" si="121"/>
        <v>0.19368291106027893</v>
      </c>
      <c r="P541" s="22">
        <f t="shared" si="121"/>
        <v>0.19253602379697463</v>
      </c>
      <c r="Q541" s="22">
        <f t="shared" si="121"/>
        <v>0.19190012409058904</v>
      </c>
      <c r="R541" s="22">
        <f t="shared" si="121"/>
        <v>0.19132863754616405</v>
      </c>
      <c r="S541" s="22">
        <f t="shared" si="121"/>
        <v>0.1803905818810948</v>
      </c>
      <c r="T541" s="22">
        <f t="shared" si="121"/>
        <v>0.18262456774024571</v>
      </c>
      <c r="U541" s="22">
        <f t="shared" si="121"/>
        <v>0.18617292598676535</v>
      </c>
      <c r="V541" s="22">
        <f t="shared" si="121"/>
        <v>0.1874827131948397</v>
      </c>
      <c r="W541" s="22">
        <f t="shared" si="121"/>
        <v>0.18903918513554135</v>
      </c>
      <c r="X541" s="22">
        <f t="shared" si="121"/>
        <v>0.19092374052200031</v>
      </c>
      <c r="Y541" s="22">
        <f t="shared" si="121"/>
        <v>0.19317866485257018</v>
      </c>
      <c r="Z541" s="22">
        <f t="shared" si="121"/>
        <v>0.19568472941200174</v>
      </c>
      <c r="AA541" s="22">
        <f t="shared" si="121"/>
        <v>0.19822057353598227</v>
      </c>
      <c r="AB541" s="22">
        <f t="shared" si="121"/>
        <v>0.20098305885598644</v>
      </c>
      <c r="AC541" s="22">
        <f t="shared" si="121"/>
        <v>0.20375514589644325</v>
      </c>
      <c r="AD541" s="22">
        <f t="shared" si="121"/>
        <v>0.20708073603212976</v>
      </c>
      <c r="AE541" s="22">
        <f t="shared" si="121"/>
        <v>0.21028463440230635</v>
      </c>
      <c r="AF541" s="22">
        <f t="shared" si="121"/>
        <v>0.2136443220754487</v>
      </c>
      <c r="AG541" s="22">
        <f t="shared" si="121"/>
        <v>0.21748682395851593</v>
      </c>
      <c r="AH541" s="22">
        <f t="shared" si="121"/>
        <v>0.22102739700732632</v>
      </c>
      <c r="AI541" s="22">
        <f t="shared" si="121"/>
        <v>0.22493633340985938</v>
      </c>
      <c r="AJ541" s="22">
        <f t="shared" si="121"/>
        <v>0.22910386680533321</v>
      </c>
      <c r="AK541" s="22">
        <f t="shared" si="121"/>
        <v>0.2329046036438828</v>
      </c>
      <c r="AL541" s="22">
        <f t="shared" si="121"/>
        <v>0.23662356544971794</v>
      </c>
      <c r="AM541" s="22">
        <f t="shared" si="121"/>
        <v>0.24027411251375713</v>
      </c>
      <c r="AN541" s="22">
        <f t="shared" si="121"/>
        <v>0.24444413665938144</v>
      </c>
      <c r="AO541" s="22">
        <f t="shared" si="121"/>
        <v>0.2483759174868751</v>
      </c>
      <c r="AP541" s="22">
        <f t="shared" si="121"/>
        <v>0.25243602460510989</v>
      </c>
      <c r="AQ541" s="22">
        <f t="shared" si="121"/>
        <v>0.25664462657697379</v>
      </c>
      <c r="AR541" s="22">
        <f t="shared" si="121"/>
        <v>0.26103451555954071</v>
      </c>
      <c r="AS541" s="22">
        <f t="shared" si="121"/>
        <v>0.26580339289786814</v>
      </c>
      <c r="AT541" s="22">
        <f t="shared" si="121"/>
        <v>0.26659601183855292</v>
      </c>
      <c r="AU541" s="22">
        <f t="shared" si="121"/>
        <v>0.26701268168020675</v>
      </c>
      <c r="AV541" s="22">
        <f t="shared" si="121"/>
        <v>0.26689564753163691</v>
      </c>
      <c r="AW541" s="22">
        <f t="shared" si="121"/>
        <v>0.2666191038621068</v>
      </c>
      <c r="AY541" s="79"/>
    </row>
    <row r="542" spans="1:51" x14ac:dyDescent="0.3">
      <c r="A542" s="95" t="str">
        <f t="shared" si="108"/>
        <v>PQ U&amp;D</v>
      </c>
      <c r="B542" s="95" t="s">
        <v>968</v>
      </c>
      <c r="C542" s="95" t="s">
        <v>1336</v>
      </c>
      <c r="D542" t="s">
        <v>369</v>
      </c>
      <c r="E542" t="s">
        <v>55</v>
      </c>
      <c r="F542" t="s">
        <v>422</v>
      </c>
      <c r="G542" t="s">
        <v>1174</v>
      </c>
      <c r="H542" t="s">
        <v>1251</v>
      </c>
      <c r="I542" t="s">
        <v>139</v>
      </c>
      <c r="J542" t="s">
        <v>287</v>
      </c>
      <c r="K542" s="22">
        <f t="shared" si="117"/>
        <v>3.4640571428571423E-2</v>
      </c>
      <c r="L542" s="22">
        <f t="shared" si="121"/>
        <v>3.4640571428571423E-2</v>
      </c>
      <c r="M542" s="22">
        <f t="shared" si="121"/>
        <v>3.4640571428571423E-2</v>
      </c>
      <c r="N542" s="22">
        <f t="shared" si="121"/>
        <v>3.4640571428571423E-2</v>
      </c>
      <c r="O542" s="22">
        <f t="shared" si="121"/>
        <v>3.4640571428571423E-2</v>
      </c>
      <c r="P542" s="22">
        <f t="shared" si="121"/>
        <v>3.4640571428571423E-2</v>
      </c>
      <c r="Q542" s="22">
        <f t="shared" si="121"/>
        <v>3.4640571428571423E-2</v>
      </c>
      <c r="R542" s="22">
        <f t="shared" si="121"/>
        <v>3.4640571428571423E-2</v>
      </c>
      <c r="S542" s="22">
        <f t="shared" si="121"/>
        <v>3.4640571428571423E-2</v>
      </c>
      <c r="T542" s="22">
        <f t="shared" si="121"/>
        <v>3.4640571428571423E-2</v>
      </c>
      <c r="U542" s="22">
        <f t="shared" si="121"/>
        <v>3.4640571428571423E-2</v>
      </c>
      <c r="V542" s="22">
        <f t="shared" si="121"/>
        <v>3.4640571428571423E-2</v>
      </c>
      <c r="W542" s="22">
        <f t="shared" si="121"/>
        <v>3.4640571428571423E-2</v>
      </c>
      <c r="X542" s="22">
        <f t="shared" si="121"/>
        <v>3.4640571428571423E-2</v>
      </c>
      <c r="Y542" s="22">
        <f t="shared" si="121"/>
        <v>3.4640571428571423E-2</v>
      </c>
      <c r="Z542" s="22">
        <f t="shared" si="121"/>
        <v>3.4640571428571423E-2</v>
      </c>
      <c r="AA542" s="22">
        <f t="shared" si="121"/>
        <v>3.4640571428571423E-2</v>
      </c>
      <c r="AB542" s="22">
        <f t="shared" si="121"/>
        <v>3.4640571428571423E-2</v>
      </c>
      <c r="AC542" s="22">
        <f t="shared" si="121"/>
        <v>3.4640571428571423E-2</v>
      </c>
      <c r="AD542" s="22">
        <f t="shared" si="121"/>
        <v>3.4640571428571423E-2</v>
      </c>
      <c r="AE542" s="22">
        <f t="shared" si="121"/>
        <v>3.4640571428571423E-2</v>
      </c>
      <c r="AF542" s="22">
        <f t="shared" si="121"/>
        <v>3.4640571428571423E-2</v>
      </c>
      <c r="AG542" s="22">
        <f t="shared" si="121"/>
        <v>3.4640571428571423E-2</v>
      </c>
      <c r="AH542" s="22">
        <f t="shared" si="121"/>
        <v>3.4640571428571423E-2</v>
      </c>
      <c r="AI542" s="22">
        <f t="shared" si="121"/>
        <v>3.4640571428571423E-2</v>
      </c>
      <c r="AJ542" s="22">
        <f t="shared" si="121"/>
        <v>3.4640571428571423E-2</v>
      </c>
      <c r="AK542" s="22">
        <f t="shared" si="121"/>
        <v>3.4640571428571423E-2</v>
      </c>
      <c r="AL542" s="22">
        <f t="shared" si="121"/>
        <v>3.4640571428571423E-2</v>
      </c>
      <c r="AM542" s="22">
        <f t="shared" si="121"/>
        <v>3.4640571428571423E-2</v>
      </c>
      <c r="AN542" s="22">
        <f t="shared" si="121"/>
        <v>3.4640571428571423E-2</v>
      </c>
      <c r="AO542" s="22">
        <f t="shared" si="121"/>
        <v>3.4640571428571423E-2</v>
      </c>
      <c r="AP542" s="22">
        <f t="shared" si="121"/>
        <v>3.4640571428571423E-2</v>
      </c>
      <c r="AQ542" s="22">
        <f t="shared" si="121"/>
        <v>3.4640571428571423E-2</v>
      </c>
      <c r="AR542" s="22">
        <f t="shared" si="121"/>
        <v>3.4640571428571423E-2</v>
      </c>
      <c r="AS542" s="22">
        <f t="shared" si="121"/>
        <v>3.4640571428571423E-2</v>
      </c>
      <c r="AT542" s="22">
        <f t="shared" si="121"/>
        <v>3.4640571428571423E-2</v>
      </c>
      <c r="AU542" s="22">
        <f t="shared" si="121"/>
        <v>3.4640571428571423E-2</v>
      </c>
      <c r="AV542" s="22">
        <f t="shared" si="121"/>
        <v>3.4640571428571423E-2</v>
      </c>
      <c r="AW542" s="22">
        <f t="shared" si="121"/>
        <v>3.4640571428571423E-2</v>
      </c>
      <c r="AY542" s="79"/>
    </row>
    <row r="543" spans="1:51" x14ac:dyDescent="0.3">
      <c r="A543" s="95" t="str">
        <f t="shared" si="108"/>
        <v>PQ U&amp;D</v>
      </c>
      <c r="B543" s="95" t="s">
        <v>968</v>
      </c>
      <c r="C543" s="95" t="s">
        <v>1336</v>
      </c>
      <c r="D543" t="s">
        <v>369</v>
      </c>
      <c r="E543" t="s">
        <v>55</v>
      </c>
      <c r="F543" t="s">
        <v>422</v>
      </c>
      <c r="G543" t="s">
        <v>1176</v>
      </c>
      <c r="H543" t="s">
        <v>1252</v>
      </c>
      <c r="I543" t="s">
        <v>139</v>
      </c>
      <c r="J543" t="s">
        <v>287</v>
      </c>
      <c r="K543" s="22">
        <f t="shared" si="117"/>
        <v>0</v>
      </c>
      <c r="L543" s="22">
        <f t="shared" si="121"/>
        <v>0</v>
      </c>
      <c r="M543" s="22">
        <f t="shared" si="121"/>
        <v>0</v>
      </c>
      <c r="N543" s="22">
        <f t="shared" si="121"/>
        <v>0</v>
      </c>
      <c r="O543" s="22">
        <f t="shared" si="121"/>
        <v>0</v>
      </c>
      <c r="P543" s="22">
        <f t="shared" si="121"/>
        <v>0</v>
      </c>
      <c r="Q543" s="22">
        <f t="shared" si="121"/>
        <v>0</v>
      </c>
      <c r="R543" s="22">
        <f t="shared" si="121"/>
        <v>0</v>
      </c>
      <c r="S543" s="22">
        <f t="shared" si="121"/>
        <v>0</v>
      </c>
      <c r="T543" s="22">
        <f t="shared" si="121"/>
        <v>0</v>
      </c>
      <c r="U543" s="22">
        <f t="shared" si="121"/>
        <v>0</v>
      </c>
      <c r="V543" s="22">
        <f t="shared" si="121"/>
        <v>0</v>
      </c>
      <c r="W543" s="22">
        <f t="shared" si="121"/>
        <v>0</v>
      </c>
      <c r="X543" s="22">
        <f t="shared" si="121"/>
        <v>0</v>
      </c>
      <c r="Y543" s="22">
        <f t="shared" si="121"/>
        <v>0</v>
      </c>
      <c r="Z543" s="22">
        <f t="shared" si="121"/>
        <v>0</v>
      </c>
      <c r="AA543" s="22">
        <f t="shared" si="121"/>
        <v>0</v>
      </c>
      <c r="AB543" s="22">
        <f t="shared" si="121"/>
        <v>0</v>
      </c>
      <c r="AC543" s="22">
        <f t="shared" si="121"/>
        <v>0</v>
      </c>
      <c r="AD543" s="22">
        <f t="shared" si="121"/>
        <v>0</v>
      </c>
      <c r="AE543" s="22">
        <f t="shared" si="121"/>
        <v>0</v>
      </c>
      <c r="AF543" s="22">
        <f t="shared" si="121"/>
        <v>0</v>
      </c>
      <c r="AG543" s="22">
        <f t="shared" si="121"/>
        <v>0</v>
      </c>
      <c r="AH543" s="22">
        <f t="shared" si="121"/>
        <v>0</v>
      </c>
      <c r="AI543" s="22">
        <f t="shared" si="121"/>
        <v>0</v>
      </c>
      <c r="AJ543" s="22">
        <f t="shared" si="121"/>
        <v>0</v>
      </c>
      <c r="AK543" s="22">
        <f t="shared" si="121"/>
        <v>0</v>
      </c>
      <c r="AL543" s="22">
        <f t="shared" si="121"/>
        <v>0</v>
      </c>
      <c r="AM543" s="22">
        <f t="shared" si="121"/>
        <v>0</v>
      </c>
      <c r="AN543" s="22">
        <f t="shared" si="121"/>
        <v>0</v>
      </c>
      <c r="AO543" s="22">
        <f t="shared" si="121"/>
        <v>0</v>
      </c>
      <c r="AP543" s="22">
        <f t="shared" si="121"/>
        <v>0</v>
      </c>
      <c r="AQ543" s="22">
        <f t="shared" si="121"/>
        <v>0</v>
      </c>
      <c r="AR543" s="22">
        <f t="shared" si="121"/>
        <v>0</v>
      </c>
      <c r="AS543" s="22">
        <f t="shared" si="121"/>
        <v>0</v>
      </c>
      <c r="AT543" s="22">
        <f t="shared" si="121"/>
        <v>0</v>
      </c>
      <c r="AU543" s="22">
        <f t="shared" si="121"/>
        <v>0</v>
      </c>
      <c r="AV543" s="22">
        <f t="shared" si="121"/>
        <v>0</v>
      </c>
      <c r="AW543" s="22">
        <f t="shared" si="121"/>
        <v>0</v>
      </c>
      <c r="AY543" s="79"/>
    </row>
    <row r="544" spans="1:51" x14ac:dyDescent="0.3">
      <c r="A544" s="95" t="str">
        <f t="shared" si="108"/>
        <v>PQ U&amp;D</v>
      </c>
      <c r="B544" s="95" t="s">
        <v>968</v>
      </c>
      <c r="C544" s="95" t="s">
        <v>1336</v>
      </c>
      <c r="D544" t="s">
        <v>369</v>
      </c>
      <c r="E544" t="s">
        <v>55</v>
      </c>
      <c r="F544" t="s">
        <v>422</v>
      </c>
      <c r="G544" t="s">
        <v>1178</v>
      </c>
      <c r="H544" t="s">
        <v>1253</v>
      </c>
      <c r="I544" t="s">
        <v>139</v>
      </c>
      <c r="J544" t="s">
        <v>287</v>
      </c>
      <c r="K544" s="22">
        <f t="shared" si="117"/>
        <v>0</v>
      </c>
      <c r="L544" s="22">
        <f t="shared" si="121"/>
        <v>0</v>
      </c>
      <c r="M544" s="22">
        <f t="shared" si="121"/>
        <v>0</v>
      </c>
      <c r="N544" s="22">
        <f t="shared" si="121"/>
        <v>0</v>
      </c>
      <c r="O544" s="22">
        <f t="shared" si="121"/>
        <v>0</v>
      </c>
      <c r="P544" s="22">
        <f t="shared" si="121"/>
        <v>0</v>
      </c>
      <c r="Q544" s="22">
        <f t="shared" si="121"/>
        <v>0</v>
      </c>
      <c r="R544" s="22">
        <f t="shared" si="121"/>
        <v>0</v>
      </c>
      <c r="S544" s="22">
        <f t="shared" si="121"/>
        <v>0</v>
      </c>
      <c r="T544" s="22">
        <f t="shared" si="121"/>
        <v>0</v>
      </c>
      <c r="U544" s="22">
        <f t="shared" si="121"/>
        <v>0</v>
      </c>
      <c r="V544" s="22">
        <f t="shared" si="121"/>
        <v>0</v>
      </c>
      <c r="W544" s="22">
        <f t="shared" si="121"/>
        <v>0</v>
      </c>
      <c r="X544" s="22">
        <f t="shared" si="121"/>
        <v>0</v>
      </c>
      <c r="Y544" s="22">
        <f t="shared" si="121"/>
        <v>0</v>
      </c>
      <c r="Z544" s="22">
        <f t="shared" si="121"/>
        <v>0</v>
      </c>
      <c r="AA544" s="22">
        <f t="shared" si="121"/>
        <v>0</v>
      </c>
      <c r="AB544" s="22">
        <f t="shared" si="121"/>
        <v>0</v>
      </c>
      <c r="AC544" s="22">
        <f t="shared" si="121"/>
        <v>0</v>
      </c>
      <c r="AD544" s="22">
        <f t="shared" si="121"/>
        <v>0</v>
      </c>
      <c r="AE544" s="22">
        <f t="shared" si="121"/>
        <v>0</v>
      </c>
      <c r="AF544" s="22">
        <f t="shared" si="121"/>
        <v>0</v>
      </c>
      <c r="AG544" s="22">
        <f t="shared" si="121"/>
        <v>0</v>
      </c>
      <c r="AH544" s="22">
        <f t="shared" si="121"/>
        <v>0</v>
      </c>
      <c r="AI544" s="22">
        <f t="shared" si="121"/>
        <v>0</v>
      </c>
      <c r="AJ544" s="22">
        <f t="shared" si="121"/>
        <v>0</v>
      </c>
      <c r="AK544" s="22">
        <f t="shared" si="121"/>
        <v>0</v>
      </c>
      <c r="AL544" s="22">
        <f t="shared" si="121"/>
        <v>0</v>
      </c>
      <c r="AM544" s="22">
        <f t="shared" si="121"/>
        <v>0</v>
      </c>
      <c r="AN544" s="22">
        <f t="shared" si="121"/>
        <v>0</v>
      </c>
      <c r="AO544" s="22">
        <f t="shared" si="121"/>
        <v>0</v>
      </c>
      <c r="AP544" s="22">
        <f t="shared" si="121"/>
        <v>0</v>
      </c>
      <c r="AQ544" s="22">
        <f t="shared" si="121"/>
        <v>0</v>
      </c>
      <c r="AR544" s="22">
        <f t="shared" si="121"/>
        <v>0</v>
      </c>
      <c r="AS544" s="22">
        <f t="shared" si="121"/>
        <v>0</v>
      </c>
      <c r="AT544" s="22">
        <f t="shared" si="121"/>
        <v>0</v>
      </c>
      <c r="AU544" s="22">
        <f t="shared" si="121"/>
        <v>0</v>
      </c>
      <c r="AV544" s="22">
        <f t="shared" si="121"/>
        <v>0</v>
      </c>
      <c r="AW544" s="22">
        <f t="shared" si="121"/>
        <v>0</v>
      </c>
      <c r="AY544" s="79"/>
    </row>
    <row r="545" spans="1:51" x14ac:dyDescent="0.3">
      <c r="A545" s="95" t="str">
        <f t="shared" si="108"/>
        <v>PQ U&amp;D</v>
      </c>
      <c r="B545" s="95" t="s">
        <v>968</v>
      </c>
      <c r="C545" s="95" t="s">
        <v>1336</v>
      </c>
      <c r="D545" t="s">
        <v>369</v>
      </c>
      <c r="E545" t="s">
        <v>55</v>
      </c>
      <c r="F545" t="s">
        <v>422</v>
      </c>
      <c r="G545" t="s">
        <v>1180</v>
      </c>
      <c r="H545" t="s">
        <v>1254</v>
      </c>
      <c r="I545" t="s">
        <v>139</v>
      </c>
      <c r="J545" t="s">
        <v>287</v>
      </c>
      <c r="K545" s="22">
        <f t="shared" si="117"/>
        <v>0</v>
      </c>
      <c r="L545" s="22">
        <f t="shared" si="121"/>
        <v>0</v>
      </c>
      <c r="M545" s="22">
        <f t="shared" si="121"/>
        <v>0</v>
      </c>
      <c r="N545" s="22">
        <f t="shared" si="121"/>
        <v>0</v>
      </c>
      <c r="O545" s="22">
        <f t="shared" si="121"/>
        <v>0</v>
      </c>
      <c r="P545" s="22">
        <f t="shared" si="121"/>
        <v>0</v>
      </c>
      <c r="Q545" s="22">
        <f t="shared" si="121"/>
        <v>0</v>
      </c>
      <c r="R545" s="22">
        <f t="shared" si="121"/>
        <v>0</v>
      </c>
      <c r="S545" s="22">
        <f t="shared" si="121"/>
        <v>0</v>
      </c>
      <c r="T545" s="22">
        <f t="shared" si="121"/>
        <v>0</v>
      </c>
      <c r="U545" s="22">
        <f t="shared" si="121"/>
        <v>0</v>
      </c>
      <c r="V545" s="22">
        <f t="shared" si="121"/>
        <v>0</v>
      </c>
      <c r="W545" s="22">
        <f t="shared" si="121"/>
        <v>0</v>
      </c>
      <c r="X545" s="22">
        <f t="shared" si="121"/>
        <v>0</v>
      </c>
      <c r="Y545" s="22">
        <f t="shared" si="121"/>
        <v>0</v>
      </c>
      <c r="Z545" s="22">
        <f t="shared" si="121"/>
        <v>0</v>
      </c>
      <c r="AA545" s="22">
        <f t="shared" si="121"/>
        <v>0</v>
      </c>
      <c r="AB545" s="22">
        <f t="shared" si="121"/>
        <v>0</v>
      </c>
      <c r="AC545" s="22">
        <f t="shared" si="121"/>
        <v>0</v>
      </c>
      <c r="AD545" s="22">
        <f t="shared" si="121"/>
        <v>0</v>
      </c>
      <c r="AE545" s="22">
        <f t="shared" si="121"/>
        <v>0</v>
      </c>
      <c r="AF545" s="22">
        <f t="shared" si="121"/>
        <v>0</v>
      </c>
      <c r="AG545" s="22">
        <f t="shared" si="121"/>
        <v>0</v>
      </c>
      <c r="AH545" s="22">
        <f t="shared" si="121"/>
        <v>0</v>
      </c>
      <c r="AI545" s="22">
        <f t="shared" si="121"/>
        <v>0</v>
      </c>
      <c r="AJ545" s="22">
        <f t="shared" si="121"/>
        <v>0</v>
      </c>
      <c r="AK545" s="22">
        <f t="shared" si="121"/>
        <v>0</v>
      </c>
      <c r="AL545" s="22">
        <f t="shared" si="121"/>
        <v>0</v>
      </c>
      <c r="AM545" s="22">
        <f t="shared" si="121"/>
        <v>0</v>
      </c>
      <c r="AN545" s="22">
        <f t="shared" si="121"/>
        <v>0</v>
      </c>
      <c r="AO545" s="22">
        <f t="shared" si="121"/>
        <v>0</v>
      </c>
      <c r="AP545" s="22">
        <f t="shared" si="121"/>
        <v>0</v>
      </c>
      <c r="AQ545" s="22">
        <f t="shared" si="121"/>
        <v>0</v>
      </c>
      <c r="AR545" s="22">
        <f t="shared" si="121"/>
        <v>0</v>
      </c>
      <c r="AS545" s="22">
        <f t="shared" si="121"/>
        <v>0</v>
      </c>
      <c r="AT545" s="22">
        <f t="shared" si="121"/>
        <v>0</v>
      </c>
      <c r="AU545" s="22">
        <f t="shared" si="121"/>
        <v>0</v>
      </c>
      <c r="AV545" s="22">
        <f t="shared" ref="L545:AW552" si="122">AV1496</f>
        <v>0</v>
      </c>
      <c r="AW545" s="22">
        <f t="shared" si="122"/>
        <v>0</v>
      </c>
      <c r="AY545" s="79"/>
    </row>
    <row r="546" spans="1:51" x14ac:dyDescent="0.3">
      <c r="A546" s="95" t="str">
        <f t="shared" si="108"/>
        <v>PQ U&amp;D</v>
      </c>
      <c r="B546" s="95" t="s">
        <v>968</v>
      </c>
      <c r="C546" s="95" t="s">
        <v>1336</v>
      </c>
      <c r="D546" t="s">
        <v>369</v>
      </c>
      <c r="E546" t="s">
        <v>55</v>
      </c>
      <c r="F546" t="s">
        <v>422</v>
      </c>
      <c r="G546" t="s">
        <v>1182</v>
      </c>
      <c r="H546" t="s">
        <v>1255</v>
      </c>
      <c r="I546" t="s">
        <v>139</v>
      </c>
      <c r="J546" t="s">
        <v>287</v>
      </c>
      <c r="K546" s="22">
        <f t="shared" si="117"/>
        <v>0</v>
      </c>
      <c r="L546" s="22">
        <f t="shared" si="122"/>
        <v>0</v>
      </c>
      <c r="M546" s="22">
        <f t="shared" si="122"/>
        <v>0</v>
      </c>
      <c r="N546" s="22">
        <f t="shared" si="122"/>
        <v>0</v>
      </c>
      <c r="O546" s="22">
        <f t="shared" si="122"/>
        <v>0</v>
      </c>
      <c r="P546" s="22">
        <f t="shared" si="122"/>
        <v>0</v>
      </c>
      <c r="Q546" s="22">
        <f t="shared" si="122"/>
        <v>0</v>
      </c>
      <c r="R546" s="22">
        <f t="shared" si="122"/>
        <v>0</v>
      </c>
      <c r="S546" s="22">
        <f t="shared" si="122"/>
        <v>0</v>
      </c>
      <c r="T546" s="22">
        <f t="shared" si="122"/>
        <v>0</v>
      </c>
      <c r="U546" s="22">
        <f t="shared" si="122"/>
        <v>0</v>
      </c>
      <c r="V546" s="22">
        <f t="shared" si="122"/>
        <v>0</v>
      </c>
      <c r="W546" s="22">
        <f t="shared" si="122"/>
        <v>0</v>
      </c>
      <c r="X546" s="22">
        <f t="shared" si="122"/>
        <v>0</v>
      </c>
      <c r="Y546" s="22">
        <f t="shared" si="122"/>
        <v>0</v>
      </c>
      <c r="Z546" s="22">
        <f t="shared" si="122"/>
        <v>0</v>
      </c>
      <c r="AA546" s="22">
        <f t="shared" si="122"/>
        <v>0</v>
      </c>
      <c r="AB546" s="22">
        <f t="shared" si="122"/>
        <v>0</v>
      </c>
      <c r="AC546" s="22">
        <f t="shared" si="122"/>
        <v>0</v>
      </c>
      <c r="AD546" s="22">
        <f t="shared" si="122"/>
        <v>0</v>
      </c>
      <c r="AE546" s="22">
        <f t="shared" si="122"/>
        <v>0</v>
      </c>
      <c r="AF546" s="22">
        <f t="shared" si="122"/>
        <v>0</v>
      </c>
      <c r="AG546" s="22">
        <f t="shared" si="122"/>
        <v>0</v>
      </c>
      <c r="AH546" s="22">
        <f t="shared" si="122"/>
        <v>0</v>
      </c>
      <c r="AI546" s="22">
        <f t="shared" si="122"/>
        <v>0</v>
      </c>
      <c r="AJ546" s="22">
        <f t="shared" si="122"/>
        <v>0</v>
      </c>
      <c r="AK546" s="22">
        <f t="shared" si="122"/>
        <v>0</v>
      </c>
      <c r="AL546" s="22">
        <f t="shared" si="122"/>
        <v>0</v>
      </c>
      <c r="AM546" s="22">
        <f t="shared" si="122"/>
        <v>0</v>
      </c>
      <c r="AN546" s="22">
        <f t="shared" si="122"/>
        <v>0</v>
      </c>
      <c r="AO546" s="22">
        <f t="shared" si="122"/>
        <v>0</v>
      </c>
      <c r="AP546" s="22">
        <f t="shared" si="122"/>
        <v>0</v>
      </c>
      <c r="AQ546" s="22">
        <f t="shared" si="122"/>
        <v>0</v>
      </c>
      <c r="AR546" s="22">
        <f t="shared" si="122"/>
        <v>0</v>
      </c>
      <c r="AS546" s="22">
        <f t="shared" si="122"/>
        <v>0</v>
      </c>
      <c r="AT546" s="22">
        <f t="shared" si="122"/>
        <v>0</v>
      </c>
      <c r="AU546" s="22">
        <f t="shared" si="122"/>
        <v>0</v>
      </c>
      <c r="AV546" s="22">
        <f t="shared" si="122"/>
        <v>0</v>
      </c>
      <c r="AW546" s="22">
        <f t="shared" si="122"/>
        <v>0</v>
      </c>
      <c r="AY546" s="79"/>
    </row>
    <row r="547" spans="1:51" x14ac:dyDescent="0.3">
      <c r="A547" s="95" t="str">
        <f t="shared" si="108"/>
        <v>PQ FSOM</v>
      </c>
      <c r="B547" s="95" t="s">
        <v>968</v>
      </c>
      <c r="C547" s="95" t="s">
        <v>60</v>
      </c>
      <c r="D547" t="s">
        <v>369</v>
      </c>
      <c r="E547" t="s">
        <v>55</v>
      </c>
      <c r="F547" t="s">
        <v>60</v>
      </c>
      <c r="G547" t="s">
        <v>1266</v>
      </c>
      <c r="H547" t="s">
        <v>1267</v>
      </c>
      <c r="J547" t="s">
        <v>287</v>
      </c>
      <c r="K547" s="22" t="str">
        <f t="shared" si="117"/>
        <v>NO</v>
      </c>
      <c r="L547" s="22" t="str">
        <f t="shared" si="122"/>
        <v>NO</v>
      </c>
      <c r="M547" s="22" t="str">
        <f t="shared" si="122"/>
        <v>NO</v>
      </c>
      <c r="N547" s="22" t="str">
        <f t="shared" si="122"/>
        <v>NO</v>
      </c>
      <c r="O547" s="22" t="str">
        <f t="shared" si="122"/>
        <v>NO</v>
      </c>
      <c r="P547" s="22" t="str">
        <f t="shared" si="122"/>
        <v>NO</v>
      </c>
      <c r="Q547" s="22" t="str">
        <f t="shared" si="122"/>
        <v>NO</v>
      </c>
      <c r="R547" s="22" t="str">
        <f t="shared" si="122"/>
        <v>NO</v>
      </c>
      <c r="S547" s="22" t="str">
        <f t="shared" si="122"/>
        <v>NO</v>
      </c>
      <c r="T547" s="22" t="str">
        <f t="shared" si="122"/>
        <v>NO</v>
      </c>
      <c r="U547" s="22" t="str">
        <f t="shared" si="122"/>
        <v>NO</v>
      </c>
      <c r="V547" s="22" t="str">
        <f t="shared" si="122"/>
        <v>NO</v>
      </c>
      <c r="W547" s="22" t="str">
        <f t="shared" si="122"/>
        <v>NO</v>
      </c>
      <c r="X547" s="22" t="str">
        <f t="shared" si="122"/>
        <v>NO</v>
      </c>
      <c r="Y547" s="22" t="str">
        <f t="shared" si="122"/>
        <v>NO</v>
      </c>
      <c r="Z547" s="22" t="str">
        <f t="shared" si="122"/>
        <v>NO</v>
      </c>
      <c r="AA547" s="22" t="str">
        <f t="shared" si="122"/>
        <v>NO</v>
      </c>
      <c r="AB547" s="22" t="str">
        <f t="shared" si="122"/>
        <v>NO</v>
      </c>
      <c r="AC547" s="22" t="str">
        <f t="shared" si="122"/>
        <v>NO</v>
      </c>
      <c r="AD547" s="22" t="str">
        <f t="shared" si="122"/>
        <v>NO</v>
      </c>
      <c r="AE547" s="22" t="str">
        <f t="shared" si="122"/>
        <v>NO</v>
      </c>
      <c r="AF547" s="22" t="str">
        <f t="shared" si="122"/>
        <v>NO</v>
      </c>
      <c r="AG547" s="22" t="str">
        <f t="shared" si="122"/>
        <v>NO</v>
      </c>
      <c r="AH547" s="22" t="str">
        <f t="shared" si="122"/>
        <v>NO</v>
      </c>
      <c r="AI547" s="22" t="str">
        <f t="shared" si="122"/>
        <v>NO</v>
      </c>
      <c r="AJ547" s="22" t="str">
        <f t="shared" si="122"/>
        <v>NO</v>
      </c>
      <c r="AK547" s="22" t="str">
        <f t="shared" si="122"/>
        <v>NO</v>
      </c>
      <c r="AL547" s="22" t="str">
        <f t="shared" si="122"/>
        <v>NO</v>
      </c>
      <c r="AM547" s="22" t="str">
        <f t="shared" si="122"/>
        <v>NO</v>
      </c>
      <c r="AN547" s="22" t="str">
        <f t="shared" si="122"/>
        <v>NO</v>
      </c>
      <c r="AO547" s="22" t="str">
        <f t="shared" si="122"/>
        <v>NO</v>
      </c>
      <c r="AP547" s="22" t="str">
        <f t="shared" si="122"/>
        <v>NO</v>
      </c>
      <c r="AQ547" s="22" t="str">
        <f t="shared" si="122"/>
        <v>NO</v>
      </c>
      <c r="AR547" s="22" t="str">
        <f t="shared" si="122"/>
        <v>NO</v>
      </c>
      <c r="AS547" s="22" t="str">
        <f t="shared" si="122"/>
        <v>NO</v>
      </c>
      <c r="AT547" s="22" t="str">
        <f t="shared" si="122"/>
        <v>NO</v>
      </c>
      <c r="AU547" s="22" t="str">
        <f t="shared" si="122"/>
        <v>NO</v>
      </c>
      <c r="AV547" s="22" t="str">
        <f t="shared" si="122"/>
        <v>NO</v>
      </c>
      <c r="AW547" s="22" t="str">
        <f t="shared" si="122"/>
        <v>NO</v>
      </c>
      <c r="AY547" s="79"/>
    </row>
    <row r="548" spans="1:51" x14ac:dyDescent="0.3">
      <c r="A548" s="95" t="str">
        <f t="shared" si="108"/>
        <v>PQ FSOM</v>
      </c>
      <c r="B548" s="95" t="s">
        <v>968</v>
      </c>
      <c r="C548" s="95" t="s">
        <v>60</v>
      </c>
      <c r="D548" t="s">
        <v>369</v>
      </c>
      <c r="E548" t="s">
        <v>55</v>
      </c>
      <c r="F548" t="s">
        <v>60</v>
      </c>
      <c r="G548" t="s">
        <v>1268</v>
      </c>
      <c r="H548" t="s">
        <v>1269</v>
      </c>
      <c r="J548" t="s">
        <v>287</v>
      </c>
      <c r="K548" s="22" t="str">
        <f t="shared" si="117"/>
        <v>NO</v>
      </c>
      <c r="L548" s="22" t="str">
        <f t="shared" si="122"/>
        <v>NO</v>
      </c>
      <c r="M548" s="22" t="str">
        <f t="shared" si="122"/>
        <v>NO</v>
      </c>
      <c r="N548" s="22" t="str">
        <f t="shared" si="122"/>
        <v>NO</v>
      </c>
      <c r="O548" s="22" t="str">
        <f t="shared" si="122"/>
        <v>NO</v>
      </c>
      <c r="P548" s="22" t="str">
        <f t="shared" si="122"/>
        <v>NO</v>
      </c>
      <c r="Q548" s="22" t="str">
        <f t="shared" si="122"/>
        <v>NO</v>
      </c>
      <c r="R548" s="22" t="str">
        <f t="shared" si="122"/>
        <v>NO</v>
      </c>
      <c r="S548" s="22" t="str">
        <f t="shared" si="122"/>
        <v>NO</v>
      </c>
      <c r="T548" s="22" t="str">
        <f t="shared" si="122"/>
        <v>NO</v>
      </c>
      <c r="U548" s="22" t="str">
        <f t="shared" si="122"/>
        <v>NO</v>
      </c>
      <c r="V548" s="22" t="str">
        <f t="shared" si="122"/>
        <v>NO</v>
      </c>
      <c r="W548" s="22" t="str">
        <f t="shared" si="122"/>
        <v>NO</v>
      </c>
      <c r="X548" s="22" t="str">
        <f t="shared" si="122"/>
        <v>NO</v>
      </c>
      <c r="Y548" s="22" t="str">
        <f t="shared" si="122"/>
        <v>NO</v>
      </c>
      <c r="Z548" s="22" t="str">
        <f t="shared" si="122"/>
        <v>NO</v>
      </c>
      <c r="AA548" s="22" t="str">
        <f t="shared" si="122"/>
        <v>NO</v>
      </c>
      <c r="AB548" s="22" t="str">
        <f t="shared" si="122"/>
        <v>NO</v>
      </c>
      <c r="AC548" s="22" t="str">
        <f t="shared" si="122"/>
        <v>NO</v>
      </c>
      <c r="AD548" s="22" t="str">
        <f t="shared" si="122"/>
        <v>NO</v>
      </c>
      <c r="AE548" s="22" t="str">
        <f t="shared" si="122"/>
        <v>NO</v>
      </c>
      <c r="AF548" s="22" t="str">
        <f t="shared" si="122"/>
        <v>NO</v>
      </c>
      <c r="AG548" s="22" t="str">
        <f t="shared" si="122"/>
        <v>NO</v>
      </c>
      <c r="AH548" s="22" t="str">
        <f t="shared" si="122"/>
        <v>NO</v>
      </c>
      <c r="AI548" s="22" t="str">
        <f t="shared" si="122"/>
        <v>NO</v>
      </c>
      <c r="AJ548" s="22" t="str">
        <f t="shared" si="122"/>
        <v>NO</v>
      </c>
      <c r="AK548" s="22" t="str">
        <f t="shared" si="122"/>
        <v>NO</v>
      </c>
      <c r="AL548" s="22" t="str">
        <f t="shared" si="122"/>
        <v>NO</v>
      </c>
      <c r="AM548" s="22" t="str">
        <f t="shared" si="122"/>
        <v>NO</v>
      </c>
      <c r="AN548" s="22" t="str">
        <f t="shared" si="122"/>
        <v>NO</v>
      </c>
      <c r="AO548" s="22" t="str">
        <f t="shared" si="122"/>
        <v>NO</v>
      </c>
      <c r="AP548" s="22" t="str">
        <f t="shared" si="122"/>
        <v>NO</v>
      </c>
      <c r="AQ548" s="22" t="str">
        <f t="shared" si="122"/>
        <v>NO</v>
      </c>
      <c r="AR548" s="22" t="str">
        <f t="shared" si="122"/>
        <v>NO</v>
      </c>
      <c r="AS548" s="22" t="str">
        <f t="shared" si="122"/>
        <v>NO</v>
      </c>
      <c r="AT548" s="22" t="str">
        <f t="shared" si="122"/>
        <v>NO</v>
      </c>
      <c r="AU548" s="22" t="str">
        <f t="shared" si="122"/>
        <v>NO</v>
      </c>
      <c r="AV548" s="22" t="str">
        <f t="shared" si="122"/>
        <v>NO</v>
      </c>
      <c r="AW548" s="22" t="str">
        <f t="shared" si="122"/>
        <v>NO</v>
      </c>
      <c r="AY548" s="79"/>
    </row>
    <row r="549" spans="1:51" x14ac:dyDescent="0.3">
      <c r="A549" s="95" t="str">
        <f t="shared" si="108"/>
        <v>PQ FSOM</v>
      </c>
      <c r="B549" s="95" t="s">
        <v>968</v>
      </c>
      <c r="C549" s="95" t="s">
        <v>60</v>
      </c>
      <c r="D549" t="s">
        <v>369</v>
      </c>
      <c r="E549" t="s">
        <v>55</v>
      </c>
      <c r="F549" t="s">
        <v>60</v>
      </c>
      <c r="G549" t="s">
        <v>1270</v>
      </c>
      <c r="H549" t="s">
        <v>1271</v>
      </c>
      <c r="J549" t="s">
        <v>287</v>
      </c>
      <c r="K549" s="22">
        <f t="shared" si="117"/>
        <v>3.4398813895090996E-3</v>
      </c>
      <c r="L549" s="22">
        <f t="shared" si="122"/>
        <v>3.4358310252377683E-3</v>
      </c>
      <c r="M549" s="22">
        <f t="shared" si="122"/>
        <v>3.4317806609664363E-3</v>
      </c>
      <c r="N549" s="22">
        <f t="shared" si="122"/>
        <v>3.4277302966951037E-3</v>
      </c>
      <c r="O549" s="22">
        <f t="shared" si="122"/>
        <v>3.4236799324237725E-3</v>
      </c>
      <c r="P549" s="22">
        <f t="shared" si="122"/>
        <v>3.4196295681524396E-3</v>
      </c>
      <c r="Q549" s="22">
        <f t="shared" si="122"/>
        <v>3.4155792038811079E-3</v>
      </c>
      <c r="R549" s="22">
        <f t="shared" si="122"/>
        <v>3.4115288396097763E-3</v>
      </c>
      <c r="S549" s="22">
        <f t="shared" si="122"/>
        <v>3.4074784753384451E-3</v>
      </c>
      <c r="T549" s="22">
        <f t="shared" si="122"/>
        <v>3.4034281110671134E-3</v>
      </c>
      <c r="U549" s="22">
        <f t="shared" si="122"/>
        <v>3.39937774679578E-3</v>
      </c>
      <c r="V549" s="22">
        <f t="shared" si="122"/>
        <v>3.3953273825244488E-3</v>
      </c>
      <c r="W549" s="22">
        <f t="shared" si="122"/>
        <v>3.3912770182531172E-3</v>
      </c>
      <c r="X549" s="22">
        <f t="shared" si="122"/>
        <v>3.387226653981786E-3</v>
      </c>
      <c r="Y549" s="22">
        <f t="shared" si="122"/>
        <v>3.3831762897104547E-3</v>
      </c>
      <c r="Z549" s="22">
        <f t="shared" si="122"/>
        <v>3.3791259254391218E-3</v>
      </c>
      <c r="AA549" s="22">
        <f t="shared" si="122"/>
        <v>3.375075561167791E-3</v>
      </c>
      <c r="AB549" s="22">
        <f t="shared" si="122"/>
        <v>3.3710251968964585E-3</v>
      </c>
      <c r="AC549" s="22">
        <f t="shared" si="122"/>
        <v>3.3669748326251273E-3</v>
      </c>
      <c r="AD549" s="22">
        <f t="shared" si="122"/>
        <v>3.3629244683537943E-3</v>
      </c>
      <c r="AE549" s="22">
        <f t="shared" si="122"/>
        <v>3.358874104082464E-3</v>
      </c>
      <c r="AF549" s="22">
        <f t="shared" si="122"/>
        <v>3.3548237398111319E-3</v>
      </c>
      <c r="AG549" s="22">
        <f t="shared" si="122"/>
        <v>3.3507733755397998E-3</v>
      </c>
      <c r="AH549" s="22">
        <f t="shared" si="122"/>
        <v>3.3467230112684673E-3</v>
      </c>
      <c r="AI549" s="22">
        <f t="shared" si="122"/>
        <v>3.3426726469971361E-3</v>
      </c>
      <c r="AJ549" s="22">
        <f t="shared" si="122"/>
        <v>3.3386222827258044E-3</v>
      </c>
      <c r="AK549" s="22">
        <f t="shared" si="122"/>
        <v>3.3345719184544728E-3</v>
      </c>
      <c r="AL549" s="22">
        <f t="shared" si="122"/>
        <v>3.3305215541831416E-3</v>
      </c>
      <c r="AM549" s="22">
        <f t="shared" si="122"/>
        <v>3.3264711899118095E-3</v>
      </c>
      <c r="AN549" s="22">
        <f t="shared" si="122"/>
        <v>3.3224208256404765E-3</v>
      </c>
      <c r="AO549" s="22">
        <f t="shared" si="122"/>
        <v>3.3183704613691458E-3</v>
      </c>
      <c r="AP549" s="22">
        <f t="shared" si="122"/>
        <v>3.3143200970978137E-3</v>
      </c>
      <c r="AQ549" s="22">
        <f t="shared" si="122"/>
        <v>3.3102697328264833E-3</v>
      </c>
      <c r="AR549" s="22">
        <f t="shared" si="122"/>
        <v>3.3062193685551499E-3</v>
      </c>
      <c r="AS549" s="22">
        <f t="shared" si="122"/>
        <v>3.3021690042838187E-3</v>
      </c>
      <c r="AT549" s="22">
        <f t="shared" si="122"/>
        <v>3.2981186400124866E-3</v>
      </c>
      <c r="AU549" s="22">
        <f t="shared" si="122"/>
        <v>3.2940682757411541E-3</v>
      </c>
      <c r="AV549" s="22">
        <f t="shared" si="122"/>
        <v>3.2900179114698229E-3</v>
      </c>
      <c r="AW549" s="22">
        <f t="shared" si="122"/>
        <v>3.2859675471984908E-3</v>
      </c>
      <c r="AY549" s="79"/>
    </row>
    <row r="550" spans="1:51" x14ac:dyDescent="0.3">
      <c r="A550" s="95" t="str">
        <f t="shared" si="108"/>
        <v>PQ FSOM</v>
      </c>
      <c r="B550" s="95" t="s">
        <v>968</v>
      </c>
      <c r="C550" s="95" t="s">
        <v>60</v>
      </c>
      <c r="D550" t="s">
        <v>369</v>
      </c>
      <c r="E550" t="s">
        <v>55</v>
      </c>
      <c r="F550" t="s">
        <v>60</v>
      </c>
      <c r="G550" t="s">
        <v>1272</v>
      </c>
      <c r="H550" t="s">
        <v>1273</v>
      </c>
      <c r="J550" t="s">
        <v>287</v>
      </c>
      <c r="K550" s="22">
        <f t="shared" si="117"/>
        <v>0.49020960547040615</v>
      </c>
      <c r="L550" s="22">
        <f t="shared" si="122"/>
        <v>0.49134551154341793</v>
      </c>
      <c r="M550" s="22">
        <f t="shared" si="122"/>
        <v>0.49248141761642988</v>
      </c>
      <c r="N550" s="22">
        <f t="shared" si="122"/>
        <v>0.49361732368944172</v>
      </c>
      <c r="O550" s="22">
        <f t="shared" si="122"/>
        <v>0.49475322976245356</v>
      </c>
      <c r="P550" s="22">
        <f t="shared" si="122"/>
        <v>0.49588913583546534</v>
      </c>
      <c r="Q550" s="22">
        <f t="shared" si="122"/>
        <v>0.49702504190847724</v>
      </c>
      <c r="R550" s="22">
        <f t="shared" si="122"/>
        <v>0.49816094798148913</v>
      </c>
      <c r="S550" s="22">
        <f t="shared" si="122"/>
        <v>0.49929685405450086</v>
      </c>
      <c r="T550" s="22">
        <f t="shared" si="122"/>
        <v>0.50043276012751292</v>
      </c>
      <c r="U550" s="22">
        <f t="shared" si="122"/>
        <v>0.50156866620052454</v>
      </c>
      <c r="V550" s="22">
        <f t="shared" si="122"/>
        <v>0.50270457227353649</v>
      </c>
      <c r="W550" s="22">
        <f t="shared" si="122"/>
        <v>0.50384047834654833</v>
      </c>
      <c r="X550" s="22">
        <f t="shared" si="122"/>
        <v>0.50497638441956039</v>
      </c>
      <c r="Y550" s="22">
        <f t="shared" si="122"/>
        <v>0.506112290492572</v>
      </c>
      <c r="Z550" s="22">
        <f t="shared" si="122"/>
        <v>0.50724819656558406</v>
      </c>
      <c r="AA550" s="22">
        <f t="shared" si="122"/>
        <v>0.50838410263859568</v>
      </c>
      <c r="AB550" s="22">
        <f t="shared" si="122"/>
        <v>0.50952000871160763</v>
      </c>
      <c r="AC550" s="22">
        <f t="shared" si="122"/>
        <v>0.51065591478461958</v>
      </c>
      <c r="AD550" s="22">
        <f t="shared" si="122"/>
        <v>0.51179182085763142</v>
      </c>
      <c r="AE550" s="22">
        <f t="shared" si="122"/>
        <v>0.51292772693064326</v>
      </c>
      <c r="AF550" s="22">
        <f t="shared" si="122"/>
        <v>0.5140636330036551</v>
      </c>
      <c r="AG550" s="22">
        <f t="shared" si="122"/>
        <v>0.51519953907666705</v>
      </c>
      <c r="AH550" s="22">
        <f t="shared" si="122"/>
        <v>0.51633544514967877</v>
      </c>
      <c r="AI550" s="22">
        <f t="shared" si="122"/>
        <v>0.51747135122269072</v>
      </c>
      <c r="AJ550" s="22">
        <f t="shared" si="122"/>
        <v>0.51860725729570256</v>
      </c>
      <c r="AK550" s="22">
        <f t="shared" si="122"/>
        <v>0.5197431633687144</v>
      </c>
      <c r="AL550" s="22">
        <f t="shared" si="122"/>
        <v>0.52087906944172624</v>
      </c>
      <c r="AM550" s="22">
        <f t="shared" si="122"/>
        <v>0.52201497551473808</v>
      </c>
      <c r="AN550" s="22">
        <f t="shared" si="122"/>
        <v>0.52315088158774992</v>
      </c>
      <c r="AO550" s="22">
        <f t="shared" si="122"/>
        <v>0.52428678766076187</v>
      </c>
      <c r="AP550" s="22">
        <f t="shared" si="122"/>
        <v>0.52542269373377359</v>
      </c>
      <c r="AQ550" s="22">
        <f t="shared" si="122"/>
        <v>0.52655859980678543</v>
      </c>
      <c r="AR550" s="22">
        <f t="shared" si="122"/>
        <v>0.52769450587979749</v>
      </c>
      <c r="AS550" s="22">
        <f t="shared" si="122"/>
        <v>0.52883041195280922</v>
      </c>
      <c r="AT550" s="22">
        <f t="shared" si="122"/>
        <v>0.52996631802582106</v>
      </c>
      <c r="AU550" s="22">
        <f t="shared" si="122"/>
        <v>0.53110222409883301</v>
      </c>
      <c r="AV550" s="22">
        <f t="shared" si="122"/>
        <v>0.53223813017184474</v>
      </c>
      <c r="AW550" s="22">
        <f t="shared" si="122"/>
        <v>0.5333740362448568</v>
      </c>
      <c r="AY550" s="79"/>
    </row>
    <row r="551" spans="1:51" x14ac:dyDescent="0.3">
      <c r="A551" s="95" t="str">
        <f t="shared" si="108"/>
        <v>PQ FSOM</v>
      </c>
      <c r="B551" s="95" t="s">
        <v>968</v>
      </c>
      <c r="C551" s="95" t="s">
        <v>60</v>
      </c>
      <c r="D551" t="s">
        <v>369</v>
      </c>
      <c r="E551" t="s">
        <v>55</v>
      </c>
      <c r="F551" t="s">
        <v>60</v>
      </c>
      <c r="G551" t="s">
        <v>1274</v>
      </c>
      <c r="H551" t="s">
        <v>1275</v>
      </c>
      <c r="J551" t="s">
        <v>287</v>
      </c>
      <c r="K551" s="22">
        <f t="shared" si="117"/>
        <v>0.57597220909378744</v>
      </c>
      <c r="L551" s="22">
        <f t="shared" si="122"/>
        <v>0.57597220909378744</v>
      </c>
      <c r="M551" s="22">
        <f t="shared" si="122"/>
        <v>0.57597220909378744</v>
      </c>
      <c r="N551" s="22">
        <f t="shared" si="122"/>
        <v>0.57597220909378744</v>
      </c>
      <c r="O551" s="22">
        <f t="shared" si="122"/>
        <v>0.57597220909378744</v>
      </c>
      <c r="P551" s="22">
        <f t="shared" si="122"/>
        <v>0.57597220909378744</v>
      </c>
      <c r="Q551" s="22">
        <f t="shared" si="122"/>
        <v>0.57597220909378744</v>
      </c>
      <c r="R551" s="22">
        <f t="shared" si="122"/>
        <v>0.57597220909378744</v>
      </c>
      <c r="S551" s="22">
        <f t="shared" si="122"/>
        <v>0.57597220909378744</v>
      </c>
      <c r="T551" s="22">
        <f t="shared" si="122"/>
        <v>0.57597220909378744</v>
      </c>
      <c r="U551" s="22">
        <f t="shared" si="122"/>
        <v>0.57597220909378744</v>
      </c>
      <c r="V551" s="22">
        <f t="shared" si="122"/>
        <v>0.57597220909378744</v>
      </c>
      <c r="W551" s="22">
        <f t="shared" si="122"/>
        <v>0.57597220909378744</v>
      </c>
      <c r="X551" s="22">
        <f t="shared" si="122"/>
        <v>0.57597220909378744</v>
      </c>
      <c r="Y551" s="22">
        <f t="shared" si="122"/>
        <v>0.57597220909378744</v>
      </c>
      <c r="Z551" s="22">
        <f t="shared" si="122"/>
        <v>0.57597220909378744</v>
      </c>
      <c r="AA551" s="22">
        <f t="shared" si="122"/>
        <v>0.57597220909378744</v>
      </c>
      <c r="AB551" s="22">
        <f t="shared" si="122"/>
        <v>0.57597220909378744</v>
      </c>
      <c r="AC551" s="22">
        <f t="shared" si="122"/>
        <v>0.57597220909378744</v>
      </c>
      <c r="AD551" s="22">
        <f t="shared" si="122"/>
        <v>0.57597220909378744</v>
      </c>
      <c r="AE551" s="22">
        <f t="shared" si="122"/>
        <v>0.57597220909378744</v>
      </c>
      <c r="AF551" s="22">
        <f t="shared" si="122"/>
        <v>0.57597220909378744</v>
      </c>
      <c r="AG551" s="22">
        <f t="shared" si="122"/>
        <v>0.57597220909378744</v>
      </c>
      <c r="AH551" s="22">
        <f t="shared" si="122"/>
        <v>0.57597220909378744</v>
      </c>
      <c r="AI551" s="22">
        <f t="shared" si="122"/>
        <v>0.57597220909378744</v>
      </c>
      <c r="AJ551" s="22">
        <f t="shared" si="122"/>
        <v>0.57597220909378744</v>
      </c>
      <c r="AK551" s="22">
        <f t="shared" si="122"/>
        <v>0.57597220909378744</v>
      </c>
      <c r="AL551" s="22">
        <f t="shared" si="122"/>
        <v>0.57597220909378744</v>
      </c>
      <c r="AM551" s="22">
        <f t="shared" si="122"/>
        <v>0.57597220909378744</v>
      </c>
      <c r="AN551" s="22">
        <f t="shared" si="122"/>
        <v>0.57597220909378744</v>
      </c>
      <c r="AO551" s="22">
        <f t="shared" si="122"/>
        <v>0.57597220909378744</v>
      </c>
      <c r="AP551" s="22">
        <f t="shared" si="122"/>
        <v>0.57597220909378744</v>
      </c>
      <c r="AQ551" s="22">
        <f t="shared" si="122"/>
        <v>0.57597220909378744</v>
      </c>
      <c r="AR551" s="22">
        <f t="shared" si="122"/>
        <v>0.57597220909378744</v>
      </c>
      <c r="AS551" s="22">
        <f t="shared" si="122"/>
        <v>0.57597220909378744</v>
      </c>
      <c r="AT551" s="22">
        <f t="shared" si="122"/>
        <v>0.57597220909378744</v>
      </c>
      <c r="AU551" s="22">
        <f t="shared" si="122"/>
        <v>0.57597220909378744</v>
      </c>
      <c r="AV551" s="22">
        <f t="shared" si="122"/>
        <v>0.57597220909378744</v>
      </c>
      <c r="AW551" s="22">
        <f t="shared" si="122"/>
        <v>0.57597220909378744</v>
      </c>
      <c r="AY551" s="79"/>
    </row>
    <row r="552" spans="1:51" x14ac:dyDescent="0.3">
      <c r="A552" s="95" t="str">
        <f t="shared" si="108"/>
        <v>PQ FSOM</v>
      </c>
      <c r="B552" s="95" t="s">
        <v>968</v>
      </c>
      <c r="C552" s="95" t="s">
        <v>60</v>
      </c>
      <c r="D552" t="s">
        <v>369</v>
      </c>
      <c r="E552" t="s">
        <v>55</v>
      </c>
      <c r="F552" t="s">
        <v>60</v>
      </c>
      <c r="G552" t="s">
        <v>1276</v>
      </c>
      <c r="H552" t="s">
        <v>1277</v>
      </c>
      <c r="J552" t="s">
        <v>287</v>
      </c>
      <c r="K552" s="22" t="str">
        <f t="shared" si="117"/>
        <v>NO</v>
      </c>
      <c r="L552" s="22" t="str">
        <f t="shared" si="122"/>
        <v>NO</v>
      </c>
      <c r="M552" s="22" t="str">
        <f t="shared" si="122"/>
        <v>NO</v>
      </c>
      <c r="N552" s="22" t="str">
        <f t="shared" si="122"/>
        <v>NO</v>
      </c>
      <c r="O552" s="22" t="str">
        <f t="shared" si="122"/>
        <v>NO</v>
      </c>
      <c r="P552" s="22" t="str">
        <f t="shared" si="122"/>
        <v>NO</v>
      </c>
      <c r="Q552" s="22" t="str">
        <f t="shared" si="122"/>
        <v>NO</v>
      </c>
      <c r="R552" s="22" t="str">
        <f t="shared" si="122"/>
        <v>NO</v>
      </c>
      <c r="S552" s="22" t="str">
        <f t="shared" si="122"/>
        <v>NO</v>
      </c>
      <c r="T552" s="22" t="str">
        <f t="shared" si="122"/>
        <v>NO</v>
      </c>
      <c r="U552" s="22" t="str">
        <f t="shared" si="122"/>
        <v>NO</v>
      </c>
      <c r="V552" s="22" t="str">
        <f t="shared" si="122"/>
        <v>NO</v>
      </c>
      <c r="W552" s="22" t="str">
        <f t="shared" si="122"/>
        <v>NO</v>
      </c>
      <c r="X552" s="22" t="str">
        <f t="shared" si="122"/>
        <v>NO</v>
      </c>
      <c r="Y552" s="22" t="str">
        <f t="shared" si="122"/>
        <v>NO</v>
      </c>
      <c r="Z552" s="22" t="str">
        <f t="shared" si="122"/>
        <v>NO</v>
      </c>
      <c r="AA552" s="22" t="str">
        <f t="shared" si="122"/>
        <v>NO</v>
      </c>
      <c r="AB552" s="22" t="str">
        <f t="shared" si="122"/>
        <v>NO</v>
      </c>
      <c r="AC552" s="22" t="str">
        <f t="shared" si="122"/>
        <v>NO</v>
      </c>
      <c r="AD552" s="22" t="str">
        <f t="shared" si="122"/>
        <v>NO</v>
      </c>
      <c r="AE552" s="22" t="str">
        <f t="shared" si="122"/>
        <v>NO</v>
      </c>
      <c r="AF552" s="22" t="str">
        <f t="shared" si="122"/>
        <v>NO</v>
      </c>
      <c r="AG552" s="22" t="str">
        <f t="shared" si="122"/>
        <v>NO</v>
      </c>
      <c r="AH552" s="22" t="str">
        <f t="shared" si="122"/>
        <v>NO</v>
      </c>
      <c r="AI552" s="22" t="str">
        <f t="shared" si="122"/>
        <v>NO</v>
      </c>
      <c r="AJ552" s="22" t="str">
        <f t="shared" si="122"/>
        <v>NO</v>
      </c>
      <c r="AK552" s="22" t="str">
        <f t="shared" ref="L552:AW559" si="123">AK1503</f>
        <v>NO</v>
      </c>
      <c r="AL552" s="22" t="str">
        <f t="shared" si="123"/>
        <v>NO</v>
      </c>
      <c r="AM552" s="22" t="str">
        <f t="shared" si="123"/>
        <v>NO</v>
      </c>
      <c r="AN552" s="22" t="str">
        <f t="shared" si="123"/>
        <v>NO</v>
      </c>
      <c r="AO552" s="22" t="str">
        <f t="shared" si="123"/>
        <v>NO</v>
      </c>
      <c r="AP552" s="22" t="str">
        <f t="shared" si="123"/>
        <v>NO</v>
      </c>
      <c r="AQ552" s="22" t="str">
        <f t="shared" si="123"/>
        <v>NO</v>
      </c>
      <c r="AR552" s="22" t="str">
        <f t="shared" si="123"/>
        <v>NO</v>
      </c>
      <c r="AS552" s="22" t="str">
        <f t="shared" si="123"/>
        <v>NO</v>
      </c>
      <c r="AT552" s="22" t="str">
        <f t="shared" si="123"/>
        <v>NO</v>
      </c>
      <c r="AU552" s="22" t="str">
        <f t="shared" si="123"/>
        <v>NO</v>
      </c>
      <c r="AV552" s="22" t="str">
        <f t="shared" si="123"/>
        <v>NO</v>
      </c>
      <c r="AW552" s="22" t="str">
        <f t="shared" si="123"/>
        <v>NO</v>
      </c>
      <c r="AY552" s="79"/>
    </row>
    <row r="553" spans="1:51" x14ac:dyDescent="0.3">
      <c r="A553" s="95" t="str">
        <f t="shared" si="108"/>
        <v>PQ FSOM</v>
      </c>
      <c r="B553" s="95" t="s">
        <v>968</v>
      </c>
      <c r="C553" s="95" t="s">
        <v>60</v>
      </c>
      <c r="D553" t="s">
        <v>369</v>
      </c>
      <c r="E553" t="s">
        <v>55</v>
      </c>
      <c r="F553" t="s">
        <v>60</v>
      </c>
      <c r="G553" t="s">
        <v>1278</v>
      </c>
      <c r="H553" t="s">
        <v>1279</v>
      </c>
      <c r="J553" t="s">
        <v>287</v>
      </c>
      <c r="K553" s="22" t="str">
        <f t="shared" si="117"/>
        <v>NO</v>
      </c>
      <c r="L553" s="22" t="str">
        <f t="shared" si="123"/>
        <v>NO</v>
      </c>
      <c r="M553" s="22" t="str">
        <f t="shared" si="123"/>
        <v>NO</v>
      </c>
      <c r="N553" s="22" t="str">
        <f t="shared" si="123"/>
        <v>NO</v>
      </c>
      <c r="O553" s="22" t="str">
        <f t="shared" si="123"/>
        <v>NO</v>
      </c>
      <c r="P553" s="22" t="str">
        <f t="shared" si="123"/>
        <v>NO</v>
      </c>
      <c r="Q553" s="22" t="str">
        <f t="shared" si="123"/>
        <v>NO</v>
      </c>
      <c r="R553" s="22" t="str">
        <f t="shared" si="123"/>
        <v>NO</v>
      </c>
      <c r="S553" s="22" t="str">
        <f t="shared" si="123"/>
        <v>NO</v>
      </c>
      <c r="T553" s="22" t="str">
        <f t="shared" si="123"/>
        <v>NO</v>
      </c>
      <c r="U553" s="22" t="str">
        <f t="shared" si="123"/>
        <v>NO</v>
      </c>
      <c r="V553" s="22" t="str">
        <f t="shared" si="123"/>
        <v>NO</v>
      </c>
      <c r="W553" s="22" t="str">
        <f t="shared" si="123"/>
        <v>NO</v>
      </c>
      <c r="X553" s="22" t="str">
        <f t="shared" si="123"/>
        <v>NO</v>
      </c>
      <c r="Y553" s="22" t="str">
        <f t="shared" si="123"/>
        <v>NO</v>
      </c>
      <c r="Z553" s="22" t="str">
        <f t="shared" si="123"/>
        <v>NO</v>
      </c>
      <c r="AA553" s="22" t="str">
        <f t="shared" si="123"/>
        <v>NO</v>
      </c>
      <c r="AB553" s="22" t="str">
        <f t="shared" si="123"/>
        <v>NO</v>
      </c>
      <c r="AC553" s="22" t="str">
        <f t="shared" si="123"/>
        <v>NO</v>
      </c>
      <c r="AD553" s="22" t="str">
        <f t="shared" si="123"/>
        <v>NO</v>
      </c>
      <c r="AE553" s="22" t="str">
        <f t="shared" si="123"/>
        <v>NO</v>
      </c>
      <c r="AF553" s="22" t="str">
        <f t="shared" si="123"/>
        <v>NO</v>
      </c>
      <c r="AG553" s="22" t="str">
        <f t="shared" si="123"/>
        <v>NO</v>
      </c>
      <c r="AH553" s="22" t="str">
        <f t="shared" si="123"/>
        <v>NO</v>
      </c>
      <c r="AI553" s="22" t="str">
        <f t="shared" si="123"/>
        <v>NO</v>
      </c>
      <c r="AJ553" s="22" t="str">
        <f t="shared" si="123"/>
        <v>NO</v>
      </c>
      <c r="AK553" s="22" t="str">
        <f t="shared" si="123"/>
        <v>NO</v>
      </c>
      <c r="AL553" s="22" t="str">
        <f t="shared" si="123"/>
        <v>NO</v>
      </c>
      <c r="AM553" s="22" t="str">
        <f t="shared" si="123"/>
        <v>NO</v>
      </c>
      <c r="AN553" s="22" t="str">
        <f t="shared" si="123"/>
        <v>NO</v>
      </c>
      <c r="AO553" s="22" t="str">
        <f t="shared" si="123"/>
        <v>NO</v>
      </c>
      <c r="AP553" s="22" t="str">
        <f t="shared" si="123"/>
        <v>NO</v>
      </c>
      <c r="AQ553" s="22" t="str">
        <f t="shared" si="123"/>
        <v>NO</v>
      </c>
      <c r="AR553" s="22" t="str">
        <f t="shared" si="123"/>
        <v>NO</v>
      </c>
      <c r="AS553" s="22" t="str">
        <f t="shared" si="123"/>
        <v>NO</v>
      </c>
      <c r="AT553" s="22" t="str">
        <f t="shared" si="123"/>
        <v>NO</v>
      </c>
      <c r="AU553" s="22" t="str">
        <f t="shared" si="123"/>
        <v>NO</v>
      </c>
      <c r="AV553" s="22" t="str">
        <f t="shared" si="123"/>
        <v>NO</v>
      </c>
      <c r="AW553" s="22" t="str">
        <f t="shared" si="123"/>
        <v>NO</v>
      </c>
      <c r="AY553" s="79"/>
    </row>
    <row r="554" spans="1:51" x14ac:dyDescent="0.3">
      <c r="A554" s="95" t="str">
        <f t="shared" si="108"/>
        <v>PQ FSOM</v>
      </c>
      <c r="B554" s="95" t="s">
        <v>968</v>
      </c>
      <c r="C554" s="95" t="s">
        <v>60</v>
      </c>
      <c r="D554" t="s">
        <v>369</v>
      </c>
      <c r="E554" t="s">
        <v>55</v>
      </c>
      <c r="F554" t="s">
        <v>60</v>
      </c>
      <c r="G554" t="s">
        <v>1280</v>
      </c>
      <c r="H554" t="s">
        <v>1281</v>
      </c>
      <c r="J554" t="s">
        <v>287</v>
      </c>
      <c r="K554" s="22" t="str">
        <f t="shared" si="117"/>
        <v>NO</v>
      </c>
      <c r="L554" s="22" t="str">
        <f t="shared" si="123"/>
        <v>NO</v>
      </c>
      <c r="M554" s="22" t="str">
        <f t="shared" si="123"/>
        <v>NO</v>
      </c>
      <c r="N554" s="22" t="str">
        <f t="shared" si="123"/>
        <v>NO</v>
      </c>
      <c r="O554" s="22" t="str">
        <f t="shared" si="123"/>
        <v>NO</v>
      </c>
      <c r="P554" s="22" t="str">
        <f t="shared" si="123"/>
        <v>NO</v>
      </c>
      <c r="Q554" s="22" t="str">
        <f t="shared" si="123"/>
        <v>NO</v>
      </c>
      <c r="R554" s="22" t="str">
        <f t="shared" si="123"/>
        <v>NO</v>
      </c>
      <c r="S554" s="22" t="str">
        <f t="shared" si="123"/>
        <v>NO</v>
      </c>
      <c r="T554" s="22" t="str">
        <f t="shared" si="123"/>
        <v>NO</v>
      </c>
      <c r="U554" s="22" t="str">
        <f t="shared" si="123"/>
        <v>NO</v>
      </c>
      <c r="V554" s="22" t="str">
        <f t="shared" si="123"/>
        <v>NO</v>
      </c>
      <c r="W554" s="22" t="str">
        <f t="shared" si="123"/>
        <v>NO</v>
      </c>
      <c r="X554" s="22" t="str">
        <f t="shared" si="123"/>
        <v>NO</v>
      </c>
      <c r="Y554" s="22" t="str">
        <f t="shared" si="123"/>
        <v>NO</v>
      </c>
      <c r="Z554" s="22" t="str">
        <f t="shared" si="123"/>
        <v>NO</v>
      </c>
      <c r="AA554" s="22" t="str">
        <f t="shared" si="123"/>
        <v>NO</v>
      </c>
      <c r="AB554" s="22" t="str">
        <f t="shared" si="123"/>
        <v>NO</v>
      </c>
      <c r="AC554" s="22" t="str">
        <f t="shared" si="123"/>
        <v>NO</v>
      </c>
      <c r="AD554" s="22" t="str">
        <f t="shared" si="123"/>
        <v>NO</v>
      </c>
      <c r="AE554" s="22" t="str">
        <f t="shared" si="123"/>
        <v>NO</v>
      </c>
      <c r="AF554" s="22" t="str">
        <f t="shared" si="123"/>
        <v>NO</v>
      </c>
      <c r="AG554" s="22" t="str">
        <f t="shared" si="123"/>
        <v>NO</v>
      </c>
      <c r="AH554" s="22" t="str">
        <f t="shared" si="123"/>
        <v>NO</v>
      </c>
      <c r="AI554" s="22" t="str">
        <f t="shared" si="123"/>
        <v>NO</v>
      </c>
      <c r="AJ554" s="22" t="str">
        <f t="shared" si="123"/>
        <v>NO</v>
      </c>
      <c r="AK554" s="22" t="str">
        <f t="shared" si="123"/>
        <v>NO</v>
      </c>
      <c r="AL554" s="22" t="str">
        <f t="shared" si="123"/>
        <v>NO</v>
      </c>
      <c r="AM554" s="22" t="str">
        <f t="shared" si="123"/>
        <v>NO</v>
      </c>
      <c r="AN554" s="22" t="str">
        <f t="shared" si="123"/>
        <v>NO</v>
      </c>
      <c r="AO554" s="22" t="str">
        <f t="shared" si="123"/>
        <v>NO</v>
      </c>
      <c r="AP554" s="22" t="str">
        <f t="shared" si="123"/>
        <v>NO</v>
      </c>
      <c r="AQ554" s="22" t="str">
        <f t="shared" si="123"/>
        <v>NO</v>
      </c>
      <c r="AR554" s="22" t="str">
        <f t="shared" si="123"/>
        <v>NO</v>
      </c>
      <c r="AS554" s="22" t="str">
        <f t="shared" si="123"/>
        <v>NO</v>
      </c>
      <c r="AT554" s="22" t="str">
        <f t="shared" si="123"/>
        <v>NO</v>
      </c>
      <c r="AU554" s="22" t="str">
        <f t="shared" si="123"/>
        <v>NO</v>
      </c>
      <c r="AV554" s="22" t="str">
        <f t="shared" si="123"/>
        <v>NO</v>
      </c>
      <c r="AW554" s="22" t="str">
        <f t="shared" si="123"/>
        <v>NO</v>
      </c>
      <c r="AY554" s="79"/>
    </row>
    <row r="555" spans="1:51" x14ac:dyDescent="0.3">
      <c r="A555" s="95" t="str">
        <f t="shared" si="108"/>
        <v>PQ FSOM</v>
      </c>
      <c r="B555" s="95" t="s">
        <v>968</v>
      </c>
      <c r="C555" s="95" t="s">
        <v>60</v>
      </c>
      <c r="D555" t="s">
        <v>369</v>
      </c>
      <c r="E555" t="s">
        <v>55</v>
      </c>
      <c r="F555" t="s">
        <v>60</v>
      </c>
      <c r="G555" t="s">
        <v>1282</v>
      </c>
      <c r="H555" t="s">
        <v>1283</v>
      </c>
      <c r="J555" t="s">
        <v>287</v>
      </c>
      <c r="K555" s="22">
        <f t="shared" si="117"/>
        <v>5.604018730639919E-5</v>
      </c>
      <c r="L555" s="22">
        <f t="shared" si="123"/>
        <v>5.604018730639919E-5</v>
      </c>
      <c r="M555" s="22">
        <f t="shared" si="123"/>
        <v>5.604018730639919E-5</v>
      </c>
      <c r="N555" s="22">
        <f t="shared" si="123"/>
        <v>5.604018730639919E-5</v>
      </c>
      <c r="O555" s="22">
        <f t="shared" si="123"/>
        <v>5.604018730639919E-5</v>
      </c>
      <c r="P555" s="22">
        <f t="shared" si="123"/>
        <v>5.604018730639919E-5</v>
      </c>
      <c r="Q555" s="22">
        <f t="shared" si="123"/>
        <v>5.604018730639919E-5</v>
      </c>
      <c r="R555" s="22">
        <f t="shared" si="123"/>
        <v>5.604018730639919E-5</v>
      </c>
      <c r="S555" s="22">
        <f t="shared" si="123"/>
        <v>5.604018730639919E-5</v>
      </c>
      <c r="T555" s="22">
        <f t="shared" si="123"/>
        <v>5.604018730639919E-5</v>
      </c>
      <c r="U555" s="22">
        <f t="shared" si="123"/>
        <v>5.604018730639919E-5</v>
      </c>
      <c r="V555" s="22">
        <f t="shared" si="123"/>
        <v>5.604018730639919E-5</v>
      </c>
      <c r="W555" s="22">
        <f t="shared" si="123"/>
        <v>5.604018730639919E-5</v>
      </c>
      <c r="X555" s="22">
        <f t="shared" si="123"/>
        <v>5.604018730639919E-5</v>
      </c>
      <c r="Y555" s="22">
        <f t="shared" si="123"/>
        <v>5.604018730639919E-5</v>
      </c>
      <c r="Z555" s="22">
        <f t="shared" si="123"/>
        <v>5.604018730639919E-5</v>
      </c>
      <c r="AA555" s="22">
        <f t="shared" si="123"/>
        <v>5.604018730639919E-5</v>
      </c>
      <c r="AB555" s="22">
        <f t="shared" si="123"/>
        <v>5.604018730639919E-5</v>
      </c>
      <c r="AC555" s="22">
        <f t="shared" si="123"/>
        <v>5.604018730639919E-5</v>
      </c>
      <c r="AD555" s="22">
        <f t="shared" si="123"/>
        <v>5.604018730639919E-5</v>
      </c>
      <c r="AE555" s="22">
        <f t="shared" si="123"/>
        <v>5.604018730639919E-5</v>
      </c>
      <c r="AF555" s="22">
        <f t="shared" si="123"/>
        <v>5.604018730639919E-5</v>
      </c>
      <c r="AG555" s="22">
        <f t="shared" si="123"/>
        <v>5.604018730639919E-5</v>
      </c>
      <c r="AH555" s="22">
        <f t="shared" si="123"/>
        <v>5.604018730639919E-5</v>
      </c>
      <c r="AI555" s="22">
        <f t="shared" si="123"/>
        <v>5.604018730639919E-5</v>
      </c>
      <c r="AJ555" s="22">
        <f t="shared" si="123"/>
        <v>5.604018730639919E-5</v>
      </c>
      <c r="AK555" s="22">
        <f t="shared" si="123"/>
        <v>5.604018730639919E-5</v>
      </c>
      <c r="AL555" s="22">
        <f t="shared" si="123"/>
        <v>5.604018730639919E-5</v>
      </c>
      <c r="AM555" s="22">
        <f t="shared" si="123"/>
        <v>5.604018730639919E-5</v>
      </c>
      <c r="AN555" s="22">
        <f t="shared" si="123"/>
        <v>5.604018730639919E-5</v>
      </c>
      <c r="AO555" s="22">
        <f t="shared" si="123"/>
        <v>5.604018730639919E-5</v>
      </c>
      <c r="AP555" s="22">
        <f t="shared" si="123"/>
        <v>5.604018730639919E-5</v>
      </c>
      <c r="AQ555" s="22">
        <f t="shared" si="123"/>
        <v>5.604018730639919E-5</v>
      </c>
      <c r="AR555" s="22">
        <f t="shared" si="123"/>
        <v>5.604018730639919E-5</v>
      </c>
      <c r="AS555" s="22">
        <f t="shared" si="123"/>
        <v>5.604018730639919E-5</v>
      </c>
      <c r="AT555" s="22">
        <f t="shared" si="123"/>
        <v>5.604018730639919E-5</v>
      </c>
      <c r="AU555" s="22">
        <f t="shared" si="123"/>
        <v>5.604018730639919E-5</v>
      </c>
      <c r="AV555" s="22">
        <f t="shared" si="123"/>
        <v>5.604018730639919E-5</v>
      </c>
      <c r="AW555" s="22">
        <f t="shared" si="123"/>
        <v>5.604018730639919E-5</v>
      </c>
      <c r="AY555" s="79"/>
    </row>
    <row r="556" spans="1:51" x14ac:dyDescent="0.3">
      <c r="A556" s="95" t="str">
        <f t="shared" si="108"/>
        <v>PQ FSOM</v>
      </c>
      <c r="B556" s="95" t="s">
        <v>968</v>
      </c>
      <c r="C556" s="95" t="s">
        <v>60</v>
      </c>
      <c r="D556" t="s">
        <v>369</v>
      </c>
      <c r="E556" t="s">
        <v>55</v>
      </c>
      <c r="F556" t="s">
        <v>60</v>
      </c>
      <c r="G556" t="s">
        <v>1284</v>
      </c>
      <c r="H556" t="s">
        <v>1285</v>
      </c>
      <c r="J556" t="s">
        <v>287</v>
      </c>
      <c r="K556" s="22">
        <f t="shared" si="117"/>
        <v>6.110857899094551E-2</v>
      </c>
      <c r="L556" s="22">
        <f t="shared" si="123"/>
        <v>6.110857899094551E-2</v>
      </c>
      <c r="M556" s="22">
        <f t="shared" si="123"/>
        <v>6.110857899094551E-2</v>
      </c>
      <c r="N556" s="22">
        <f t="shared" si="123"/>
        <v>6.110857899094551E-2</v>
      </c>
      <c r="O556" s="22">
        <f t="shared" si="123"/>
        <v>6.110857899094551E-2</v>
      </c>
      <c r="P556" s="22">
        <f t="shared" si="123"/>
        <v>6.110857899094551E-2</v>
      </c>
      <c r="Q556" s="22">
        <f t="shared" si="123"/>
        <v>6.110857899094551E-2</v>
      </c>
      <c r="R556" s="22">
        <f t="shared" si="123"/>
        <v>6.110857899094551E-2</v>
      </c>
      <c r="S556" s="22">
        <f t="shared" si="123"/>
        <v>6.110857899094551E-2</v>
      </c>
      <c r="T556" s="22">
        <f t="shared" si="123"/>
        <v>6.110857899094551E-2</v>
      </c>
      <c r="U556" s="22">
        <f t="shared" si="123"/>
        <v>6.110857899094551E-2</v>
      </c>
      <c r="V556" s="22">
        <f t="shared" si="123"/>
        <v>6.110857899094551E-2</v>
      </c>
      <c r="W556" s="22">
        <f t="shared" si="123"/>
        <v>6.110857899094551E-2</v>
      </c>
      <c r="X556" s="22">
        <f t="shared" si="123"/>
        <v>6.110857899094551E-2</v>
      </c>
      <c r="Y556" s="22">
        <f t="shared" si="123"/>
        <v>6.110857899094551E-2</v>
      </c>
      <c r="Z556" s="22">
        <f t="shared" si="123"/>
        <v>6.110857899094551E-2</v>
      </c>
      <c r="AA556" s="22">
        <f t="shared" si="123"/>
        <v>6.110857899094551E-2</v>
      </c>
      <c r="AB556" s="22">
        <f t="shared" si="123"/>
        <v>6.110857899094551E-2</v>
      </c>
      <c r="AC556" s="22">
        <f t="shared" si="123"/>
        <v>6.110857899094551E-2</v>
      </c>
      <c r="AD556" s="22">
        <f t="shared" si="123"/>
        <v>6.110857899094551E-2</v>
      </c>
      <c r="AE556" s="22">
        <f t="shared" si="123"/>
        <v>6.110857899094551E-2</v>
      </c>
      <c r="AF556" s="22">
        <f t="shared" si="123"/>
        <v>6.110857899094551E-2</v>
      </c>
      <c r="AG556" s="22">
        <f t="shared" si="123"/>
        <v>6.110857899094551E-2</v>
      </c>
      <c r="AH556" s="22">
        <f t="shared" si="123"/>
        <v>6.110857899094551E-2</v>
      </c>
      <c r="AI556" s="22">
        <f t="shared" si="123"/>
        <v>6.110857899094551E-2</v>
      </c>
      <c r="AJ556" s="22">
        <f t="shared" si="123"/>
        <v>6.110857899094551E-2</v>
      </c>
      <c r="AK556" s="22">
        <f t="shared" si="123"/>
        <v>6.110857899094551E-2</v>
      </c>
      <c r="AL556" s="22">
        <f t="shared" si="123"/>
        <v>6.110857899094551E-2</v>
      </c>
      <c r="AM556" s="22">
        <f t="shared" si="123"/>
        <v>6.110857899094551E-2</v>
      </c>
      <c r="AN556" s="22">
        <f t="shared" si="123"/>
        <v>6.110857899094551E-2</v>
      </c>
      <c r="AO556" s="22">
        <f t="shared" si="123"/>
        <v>6.110857899094551E-2</v>
      </c>
      <c r="AP556" s="22">
        <f t="shared" si="123"/>
        <v>6.110857899094551E-2</v>
      </c>
      <c r="AQ556" s="22">
        <f t="shared" si="123"/>
        <v>6.110857899094551E-2</v>
      </c>
      <c r="AR556" s="22">
        <f t="shared" si="123"/>
        <v>6.110857899094551E-2</v>
      </c>
      <c r="AS556" s="22">
        <f t="shared" si="123"/>
        <v>6.110857899094551E-2</v>
      </c>
      <c r="AT556" s="22">
        <f t="shared" si="123"/>
        <v>6.110857899094551E-2</v>
      </c>
      <c r="AU556" s="22">
        <f t="shared" si="123"/>
        <v>6.110857899094551E-2</v>
      </c>
      <c r="AV556" s="22">
        <f t="shared" si="123"/>
        <v>6.110857899094551E-2</v>
      </c>
      <c r="AW556" s="22">
        <f t="shared" si="123"/>
        <v>6.110857899094551E-2</v>
      </c>
      <c r="AY556" s="79"/>
    </row>
    <row r="557" spans="1:51" x14ac:dyDescent="0.3">
      <c r="A557" s="95" t="str">
        <f t="shared" si="108"/>
        <v>PQ FSOM</v>
      </c>
      <c r="B557" s="95" t="s">
        <v>968</v>
      </c>
      <c r="C557" s="95" t="s">
        <v>60</v>
      </c>
      <c r="D557" t="s">
        <v>369</v>
      </c>
      <c r="E557" t="s">
        <v>55</v>
      </c>
      <c r="F557" t="s">
        <v>60</v>
      </c>
      <c r="G557" t="s">
        <v>1286</v>
      </c>
      <c r="H557" t="s">
        <v>1287</v>
      </c>
      <c r="J557" t="s">
        <v>287</v>
      </c>
      <c r="K557" s="22" t="str">
        <f t="shared" si="117"/>
        <v>NO</v>
      </c>
      <c r="L557" s="22" t="str">
        <f t="shared" si="123"/>
        <v>NO</v>
      </c>
      <c r="M557" s="22" t="str">
        <f t="shared" si="123"/>
        <v>NO</v>
      </c>
      <c r="N557" s="22" t="str">
        <f t="shared" si="123"/>
        <v>NO</v>
      </c>
      <c r="O557" s="22" t="str">
        <f t="shared" si="123"/>
        <v>NO</v>
      </c>
      <c r="P557" s="22" t="str">
        <f t="shared" si="123"/>
        <v>NO</v>
      </c>
      <c r="Q557" s="22" t="str">
        <f t="shared" si="123"/>
        <v>NO</v>
      </c>
      <c r="R557" s="22" t="str">
        <f t="shared" si="123"/>
        <v>NO</v>
      </c>
      <c r="S557" s="22" t="str">
        <f t="shared" si="123"/>
        <v>NO</v>
      </c>
      <c r="T557" s="22" t="str">
        <f t="shared" si="123"/>
        <v>NO</v>
      </c>
      <c r="U557" s="22" t="str">
        <f t="shared" si="123"/>
        <v>NO</v>
      </c>
      <c r="V557" s="22" t="str">
        <f t="shared" si="123"/>
        <v>NO</v>
      </c>
      <c r="W557" s="22" t="str">
        <f t="shared" si="123"/>
        <v>NO</v>
      </c>
      <c r="X557" s="22" t="str">
        <f t="shared" si="123"/>
        <v>NO</v>
      </c>
      <c r="Y557" s="22" t="str">
        <f t="shared" si="123"/>
        <v>NO</v>
      </c>
      <c r="Z557" s="22" t="str">
        <f t="shared" si="123"/>
        <v>NO</v>
      </c>
      <c r="AA557" s="22" t="str">
        <f t="shared" si="123"/>
        <v>NO</v>
      </c>
      <c r="AB557" s="22" t="str">
        <f t="shared" si="123"/>
        <v>NO</v>
      </c>
      <c r="AC557" s="22" t="str">
        <f t="shared" si="123"/>
        <v>NO</v>
      </c>
      <c r="AD557" s="22" t="str">
        <f t="shared" si="123"/>
        <v>NO</v>
      </c>
      <c r="AE557" s="22" t="str">
        <f t="shared" si="123"/>
        <v>NO</v>
      </c>
      <c r="AF557" s="22" t="str">
        <f t="shared" si="123"/>
        <v>NO</v>
      </c>
      <c r="AG557" s="22" t="str">
        <f t="shared" si="123"/>
        <v>NO</v>
      </c>
      <c r="AH557" s="22" t="str">
        <f t="shared" si="123"/>
        <v>NO</v>
      </c>
      <c r="AI557" s="22" t="str">
        <f t="shared" si="123"/>
        <v>NO</v>
      </c>
      <c r="AJ557" s="22" t="str">
        <f t="shared" si="123"/>
        <v>NO</v>
      </c>
      <c r="AK557" s="22" t="str">
        <f t="shared" si="123"/>
        <v>NO</v>
      </c>
      <c r="AL557" s="22" t="str">
        <f t="shared" si="123"/>
        <v>NO</v>
      </c>
      <c r="AM557" s="22" t="str">
        <f t="shared" si="123"/>
        <v>NO</v>
      </c>
      <c r="AN557" s="22" t="str">
        <f t="shared" si="123"/>
        <v>NO</v>
      </c>
      <c r="AO557" s="22" t="str">
        <f t="shared" si="123"/>
        <v>NO</v>
      </c>
      <c r="AP557" s="22" t="str">
        <f t="shared" si="123"/>
        <v>NO</v>
      </c>
      <c r="AQ557" s="22" t="str">
        <f t="shared" si="123"/>
        <v>NO</v>
      </c>
      <c r="AR557" s="22" t="str">
        <f t="shared" si="123"/>
        <v>NO</v>
      </c>
      <c r="AS557" s="22" t="str">
        <f t="shared" si="123"/>
        <v>NO</v>
      </c>
      <c r="AT557" s="22" t="str">
        <f t="shared" si="123"/>
        <v>NO</v>
      </c>
      <c r="AU557" s="22" t="str">
        <f t="shared" si="123"/>
        <v>NO</v>
      </c>
      <c r="AV557" s="22" t="str">
        <f t="shared" si="123"/>
        <v>NO</v>
      </c>
      <c r="AW557" s="22" t="str">
        <f t="shared" si="123"/>
        <v>NO</v>
      </c>
      <c r="AY557" s="79"/>
    </row>
    <row r="558" spans="1:51" x14ac:dyDescent="0.3">
      <c r="A558" s="95" t="str">
        <f t="shared" si="108"/>
        <v>PQ FSOM</v>
      </c>
      <c r="B558" s="95" t="s">
        <v>968</v>
      </c>
      <c r="C558" s="95" t="s">
        <v>60</v>
      </c>
      <c r="D558" t="s">
        <v>369</v>
      </c>
      <c r="E558" t="s">
        <v>55</v>
      </c>
      <c r="F558" t="s">
        <v>60</v>
      </c>
      <c r="G558" t="s">
        <v>1288</v>
      </c>
      <c r="H558" t="s">
        <v>1289</v>
      </c>
      <c r="J558" t="s">
        <v>287</v>
      </c>
      <c r="K558" s="22">
        <f t="shared" si="117"/>
        <v>3.1961717215001131</v>
      </c>
      <c r="L558" s="22">
        <f t="shared" si="123"/>
        <v>3.1961717215001131</v>
      </c>
      <c r="M558" s="22">
        <f t="shared" si="123"/>
        <v>3.1961717215001131</v>
      </c>
      <c r="N558" s="22">
        <f t="shared" si="123"/>
        <v>3.1961717215001131</v>
      </c>
      <c r="O558" s="22">
        <f t="shared" si="123"/>
        <v>3.1961717215001131</v>
      </c>
      <c r="P558" s="22">
        <f t="shared" si="123"/>
        <v>3.1961717215001131</v>
      </c>
      <c r="Q558" s="22">
        <f t="shared" si="123"/>
        <v>3.1961717215001131</v>
      </c>
      <c r="R558" s="22">
        <f t="shared" si="123"/>
        <v>3.1961717215001131</v>
      </c>
      <c r="S558" s="22">
        <f t="shared" si="123"/>
        <v>3.1961717215001131</v>
      </c>
      <c r="T558" s="22">
        <f t="shared" si="123"/>
        <v>3.1961717215001131</v>
      </c>
      <c r="U558" s="22">
        <f t="shared" si="123"/>
        <v>3.1961717215001131</v>
      </c>
      <c r="V558" s="22">
        <f t="shared" si="123"/>
        <v>3.1961717215001131</v>
      </c>
      <c r="W558" s="22">
        <f t="shared" si="123"/>
        <v>3.1961717215001131</v>
      </c>
      <c r="X558" s="22">
        <f t="shared" si="123"/>
        <v>3.1961717215001131</v>
      </c>
      <c r="Y558" s="22">
        <f t="shared" si="123"/>
        <v>3.1961717215001131</v>
      </c>
      <c r="Z558" s="22">
        <f t="shared" si="123"/>
        <v>3.1961717215001131</v>
      </c>
      <c r="AA558" s="22">
        <f t="shared" si="123"/>
        <v>3.1961717215001131</v>
      </c>
      <c r="AB558" s="22">
        <f t="shared" si="123"/>
        <v>3.1961717215001131</v>
      </c>
      <c r="AC558" s="22">
        <f t="shared" si="123"/>
        <v>3.1961717215001131</v>
      </c>
      <c r="AD558" s="22">
        <f t="shared" si="123"/>
        <v>3.1961717215001131</v>
      </c>
      <c r="AE558" s="22">
        <f t="shared" si="123"/>
        <v>3.1961717215001131</v>
      </c>
      <c r="AF558" s="22">
        <f t="shared" si="123"/>
        <v>3.1961717215001131</v>
      </c>
      <c r="AG558" s="22">
        <f t="shared" si="123"/>
        <v>3.1961717215001131</v>
      </c>
      <c r="AH558" s="22">
        <f t="shared" si="123"/>
        <v>3.1961717215001131</v>
      </c>
      <c r="AI558" s="22">
        <f t="shared" si="123"/>
        <v>3.1961717215001131</v>
      </c>
      <c r="AJ558" s="22">
        <f t="shared" si="123"/>
        <v>3.1961717215001131</v>
      </c>
      <c r="AK558" s="22">
        <f t="shared" si="123"/>
        <v>3.1961717215001131</v>
      </c>
      <c r="AL558" s="22">
        <f t="shared" si="123"/>
        <v>3.1961717215001131</v>
      </c>
      <c r="AM558" s="22">
        <f t="shared" si="123"/>
        <v>3.1961717215001131</v>
      </c>
      <c r="AN558" s="22">
        <f t="shared" si="123"/>
        <v>3.1961717215001131</v>
      </c>
      <c r="AO558" s="22">
        <f t="shared" si="123"/>
        <v>3.1961717215001131</v>
      </c>
      <c r="AP558" s="22">
        <f t="shared" si="123"/>
        <v>3.1961717215001131</v>
      </c>
      <c r="AQ558" s="22">
        <f t="shared" si="123"/>
        <v>3.1961717215001131</v>
      </c>
      <c r="AR558" s="22">
        <f t="shared" si="123"/>
        <v>3.1961717215001131</v>
      </c>
      <c r="AS558" s="22">
        <f t="shared" si="123"/>
        <v>3.1961717215001131</v>
      </c>
      <c r="AT558" s="22">
        <f t="shared" si="123"/>
        <v>3.1961717215001131</v>
      </c>
      <c r="AU558" s="22">
        <f t="shared" si="123"/>
        <v>3.1961717215001131</v>
      </c>
      <c r="AV558" s="22">
        <f t="shared" si="123"/>
        <v>3.1961717215001131</v>
      </c>
      <c r="AW558" s="22">
        <f t="shared" si="123"/>
        <v>3.1961717215001131</v>
      </c>
      <c r="AY558" s="79"/>
    </row>
    <row r="559" spans="1:51" x14ac:dyDescent="0.3">
      <c r="A559" s="95" t="str">
        <f t="shared" si="108"/>
        <v>PQ Volatilisation</v>
      </c>
      <c r="B559" s="95" t="s">
        <v>968</v>
      </c>
      <c r="C559" s="95" t="s">
        <v>62</v>
      </c>
      <c r="D559" t="s">
        <v>369</v>
      </c>
      <c r="E559" t="s">
        <v>61</v>
      </c>
      <c r="F559" t="s">
        <v>62</v>
      </c>
      <c r="G559" t="s">
        <v>435</v>
      </c>
      <c r="H559" t="s">
        <v>1184</v>
      </c>
      <c r="I559" t="s">
        <v>139</v>
      </c>
      <c r="J559" t="s">
        <v>287</v>
      </c>
      <c r="K559" s="22">
        <f t="shared" si="117"/>
        <v>0.66064812063358536</v>
      </c>
      <c r="L559" s="22">
        <f t="shared" si="123"/>
        <v>0.66058242184852956</v>
      </c>
      <c r="M559" s="22">
        <f t="shared" si="123"/>
        <v>0.66046196765835474</v>
      </c>
      <c r="N559" s="22">
        <f t="shared" si="123"/>
        <v>0.66031799495417198</v>
      </c>
      <c r="O559" s="22">
        <f t="shared" si="123"/>
        <v>0.66022073532502734</v>
      </c>
      <c r="P559" s="22">
        <f t="shared" si="123"/>
        <v>0.66015380384919209</v>
      </c>
      <c r="Q559" s="22">
        <f t="shared" si="123"/>
        <v>0.66011715236312984</v>
      </c>
      <c r="R559" s="22">
        <f t="shared" si="123"/>
        <v>0.66005785698707231</v>
      </c>
      <c r="S559" s="22">
        <f t="shared" si="123"/>
        <v>0.65999557160724309</v>
      </c>
      <c r="T559" s="22">
        <f t="shared" si="123"/>
        <v>0.66042852126323504</v>
      </c>
      <c r="U559" s="22">
        <f t="shared" si="123"/>
        <v>0.660256842080582</v>
      </c>
      <c r="V559" s="22">
        <f t="shared" si="123"/>
        <v>0.66002252909433212</v>
      </c>
      <c r="W559" s="22">
        <f t="shared" si="123"/>
        <v>0.65989661681898848</v>
      </c>
      <c r="X559" s="22">
        <f t="shared" si="123"/>
        <v>0.6597589047711292</v>
      </c>
      <c r="Y559" s="22">
        <f t="shared" si="123"/>
        <v>0.659605796092819</v>
      </c>
      <c r="Z559" s="22">
        <f t="shared" ref="L559:AW566" si="124">Z1510</f>
        <v>0.65944507555305243</v>
      </c>
      <c r="AA559" s="22">
        <f t="shared" si="124"/>
        <v>0.65927354812209926</v>
      </c>
      <c r="AB559" s="22">
        <f t="shared" si="124"/>
        <v>0.65910165055066838</v>
      </c>
      <c r="AC559" s="22">
        <f t="shared" si="124"/>
        <v>0.65892060560614785</v>
      </c>
      <c r="AD559" s="22">
        <f t="shared" si="124"/>
        <v>0.6587403682229962</v>
      </c>
      <c r="AE559" s="22">
        <f t="shared" si="124"/>
        <v>0.6585449608557925</v>
      </c>
      <c r="AF559" s="22">
        <f t="shared" si="124"/>
        <v>0.65835675614397215</v>
      </c>
      <c r="AG559" s="22">
        <f t="shared" si="124"/>
        <v>0.65816378763594341</v>
      </c>
      <c r="AH559" s="22">
        <f t="shared" si="124"/>
        <v>0.6579528278100244</v>
      </c>
      <c r="AI559" s="22">
        <f t="shared" si="124"/>
        <v>0.65775665224366497</v>
      </c>
      <c r="AJ559" s="22">
        <f t="shared" si="124"/>
        <v>0.65755521924304883</v>
      </c>
      <c r="AK559" s="22">
        <f t="shared" si="124"/>
        <v>0.65734627926543143</v>
      </c>
      <c r="AL559" s="22">
        <f t="shared" si="124"/>
        <v>0.65715425101563263</v>
      </c>
      <c r="AM559" s="22">
        <f t="shared" si="124"/>
        <v>0.65696756052718408</v>
      </c>
      <c r="AN559" s="22">
        <f t="shared" si="124"/>
        <v>0.65678548596880248</v>
      </c>
      <c r="AO559" s="22">
        <f t="shared" si="124"/>
        <v>0.65659337062591927</v>
      </c>
      <c r="AP559" s="22">
        <f t="shared" si="124"/>
        <v>0.65641235920406316</v>
      </c>
      <c r="AQ559" s="22">
        <f t="shared" si="124"/>
        <v>0.65622903638449304</v>
      </c>
      <c r="AR559" s="22">
        <f t="shared" si="124"/>
        <v>0.65604286486377728</v>
      </c>
      <c r="AS559" s="22">
        <f t="shared" si="124"/>
        <v>0.65585292511260118</v>
      </c>
      <c r="AT559" s="22">
        <f t="shared" si="124"/>
        <v>0.65566000956326953</v>
      </c>
      <c r="AU559" s="22">
        <f t="shared" si="124"/>
        <v>0.65560073347552816</v>
      </c>
      <c r="AV559" s="22">
        <f t="shared" si="124"/>
        <v>0.65555391486602432</v>
      </c>
      <c r="AW559" s="22">
        <f t="shared" si="124"/>
        <v>0.65552474687649953</v>
      </c>
      <c r="AY559" s="79"/>
    </row>
    <row r="560" spans="1:51" x14ac:dyDescent="0.3">
      <c r="A560" s="95" t="str">
        <f t="shared" si="108"/>
        <v>PQ Volatilisation</v>
      </c>
      <c r="B560" s="95" t="s">
        <v>968</v>
      </c>
      <c r="C560" s="95" t="s">
        <v>62</v>
      </c>
      <c r="D560" t="s">
        <v>369</v>
      </c>
      <c r="E560" t="s">
        <v>61</v>
      </c>
      <c r="F560" t="s">
        <v>62</v>
      </c>
      <c r="G560" t="s">
        <v>436</v>
      </c>
      <c r="H560" t="s">
        <v>1185</v>
      </c>
      <c r="I560" t="s">
        <v>139</v>
      </c>
      <c r="J560" t="s">
        <v>287</v>
      </c>
      <c r="K560" s="22">
        <f t="shared" si="117"/>
        <v>8.720555192363328E-3</v>
      </c>
      <c r="L560" s="22">
        <f t="shared" si="124"/>
        <v>8.7196879684005926E-3</v>
      </c>
      <c r="M560" s="22">
        <f t="shared" si="124"/>
        <v>8.7180979730902847E-3</v>
      </c>
      <c r="N560" s="22">
        <f t="shared" si="124"/>
        <v>8.7161975333950713E-3</v>
      </c>
      <c r="O560" s="22">
        <f t="shared" si="124"/>
        <v>8.7149137062903607E-3</v>
      </c>
      <c r="P560" s="22">
        <f t="shared" si="124"/>
        <v>8.7140302108093363E-3</v>
      </c>
      <c r="Q560" s="22">
        <f t="shared" si="124"/>
        <v>8.7135464111933163E-3</v>
      </c>
      <c r="R560" s="22">
        <f t="shared" si="124"/>
        <v>8.7127637122293555E-3</v>
      </c>
      <c r="S560" s="22">
        <f t="shared" si="124"/>
        <v>8.7119415452156113E-3</v>
      </c>
      <c r="T560" s="22">
        <f t="shared" si="124"/>
        <v>8.7176564806747021E-3</v>
      </c>
      <c r="U560" s="22">
        <f t="shared" si="124"/>
        <v>8.7153903154636864E-3</v>
      </c>
      <c r="V560" s="22">
        <f t="shared" si="124"/>
        <v>8.7122973840451836E-3</v>
      </c>
      <c r="W560" s="22">
        <f t="shared" si="124"/>
        <v>8.7106353420106468E-3</v>
      </c>
      <c r="X560" s="22">
        <f t="shared" si="124"/>
        <v>8.7088175429789073E-3</v>
      </c>
      <c r="Y560" s="22">
        <f t="shared" si="124"/>
        <v>8.7067965084252144E-3</v>
      </c>
      <c r="Z560" s="22">
        <f t="shared" si="124"/>
        <v>8.7046749973002935E-3</v>
      </c>
      <c r="AA560" s="22">
        <f t="shared" si="124"/>
        <v>8.702410835211713E-3</v>
      </c>
      <c r="AB560" s="22">
        <f t="shared" si="124"/>
        <v>8.7001417872688246E-3</v>
      </c>
      <c r="AC560" s="22">
        <f t="shared" si="124"/>
        <v>8.6977519940011523E-3</v>
      </c>
      <c r="AD560" s="22">
        <f t="shared" si="124"/>
        <v>8.6953728605435512E-3</v>
      </c>
      <c r="AE560" s="22">
        <f t="shared" si="124"/>
        <v>8.6927934832964609E-3</v>
      </c>
      <c r="AF560" s="22">
        <f t="shared" si="124"/>
        <v>8.6903091811004352E-3</v>
      </c>
      <c r="AG560" s="22">
        <f t="shared" si="124"/>
        <v>8.6877619967944547E-3</v>
      </c>
      <c r="AH560" s="22">
        <f t="shared" si="124"/>
        <v>8.6849773270923237E-3</v>
      </c>
      <c r="AI560" s="22">
        <f t="shared" si="124"/>
        <v>8.6823878096163789E-3</v>
      </c>
      <c r="AJ560" s="22">
        <f t="shared" si="124"/>
        <v>8.6797288940082453E-3</v>
      </c>
      <c r="AK560" s="22">
        <f t="shared" si="124"/>
        <v>8.6769708863036962E-3</v>
      </c>
      <c r="AL560" s="22">
        <f t="shared" si="124"/>
        <v>8.6744361134063527E-3</v>
      </c>
      <c r="AM560" s="22">
        <f t="shared" si="124"/>
        <v>8.6719717989588319E-3</v>
      </c>
      <c r="AN560" s="22">
        <f t="shared" si="124"/>
        <v>8.6695684147881907E-3</v>
      </c>
      <c r="AO560" s="22">
        <f t="shared" si="124"/>
        <v>8.6670324922621354E-3</v>
      </c>
      <c r="AP560" s="22">
        <f t="shared" si="124"/>
        <v>8.6646431414936359E-3</v>
      </c>
      <c r="AQ560" s="22">
        <f t="shared" si="124"/>
        <v>8.6622232802753101E-3</v>
      </c>
      <c r="AR560" s="22">
        <f t="shared" si="124"/>
        <v>8.6597658162018594E-3</v>
      </c>
      <c r="AS560" s="22">
        <f t="shared" si="124"/>
        <v>8.6572586114863365E-3</v>
      </c>
      <c r="AT560" s="22">
        <f t="shared" si="124"/>
        <v>8.6547121262351596E-3</v>
      </c>
      <c r="AU560" s="22">
        <f t="shared" si="124"/>
        <v>8.6539296818769745E-3</v>
      </c>
      <c r="AV560" s="22">
        <f t="shared" si="124"/>
        <v>8.6533116762315225E-3</v>
      </c>
      <c r="AW560" s="22">
        <f t="shared" si="124"/>
        <v>8.6529266587697939E-3</v>
      </c>
      <c r="AY560" s="79"/>
    </row>
    <row r="561" spans="1:51" x14ac:dyDescent="0.3">
      <c r="A561" s="95" t="str">
        <f t="shared" si="108"/>
        <v>PQ Volatilisation</v>
      </c>
      <c r="B561" s="95" t="s">
        <v>968</v>
      </c>
      <c r="C561" s="95" t="s">
        <v>62</v>
      </c>
      <c r="D561" t="s">
        <v>369</v>
      </c>
      <c r="E561" t="s">
        <v>61</v>
      </c>
      <c r="F561" t="s">
        <v>62</v>
      </c>
      <c r="G561" t="s">
        <v>437</v>
      </c>
      <c r="H561" t="s">
        <v>1186</v>
      </c>
      <c r="I561" t="s">
        <v>139</v>
      </c>
      <c r="J561" t="s">
        <v>287</v>
      </c>
      <c r="K561" s="22">
        <f t="shared" si="117"/>
        <v>1.2008407282256135</v>
      </c>
      <c r="L561" s="22">
        <f t="shared" si="124"/>
        <v>1.201903510760759</v>
      </c>
      <c r="M561" s="22">
        <f t="shared" si="124"/>
        <v>1.2088775122881088</v>
      </c>
      <c r="N561" s="22">
        <f t="shared" si="124"/>
        <v>1.2055442230548155</v>
      </c>
      <c r="O561" s="22">
        <f t="shared" si="124"/>
        <v>1.195843583832628</v>
      </c>
      <c r="P561" s="22">
        <f t="shared" si="124"/>
        <v>1.1799964998501222</v>
      </c>
      <c r="Q561" s="22">
        <f t="shared" si="124"/>
        <v>1.169776622170569</v>
      </c>
      <c r="R561" s="22">
        <f t="shared" si="124"/>
        <v>1.1606871439933113</v>
      </c>
      <c r="S561" s="22">
        <f t="shared" si="124"/>
        <v>1.0501974396641209</v>
      </c>
      <c r="T561" s="22">
        <f t="shared" si="124"/>
        <v>1.0703473698117068</v>
      </c>
      <c r="U561" s="22">
        <f t="shared" si="124"/>
        <v>1.1035346153332457</v>
      </c>
      <c r="V561" s="22">
        <f t="shared" si="124"/>
        <v>1.1150489977959306</v>
      </c>
      <c r="W561" s="22">
        <f t="shared" si="124"/>
        <v>1.1291994422976275</v>
      </c>
      <c r="X561" s="22">
        <f t="shared" si="124"/>
        <v>1.1467521172180308</v>
      </c>
      <c r="Y561" s="22">
        <f t="shared" si="124"/>
        <v>1.1661924411251976</v>
      </c>
      <c r="Z561" s="22">
        <f t="shared" si="124"/>
        <v>1.1881766019612736</v>
      </c>
      <c r="AA561" s="22">
        <f t="shared" si="124"/>
        <v>1.2105548738562886</v>
      </c>
      <c r="AB561" s="22">
        <f t="shared" si="124"/>
        <v>1.2352132344527478</v>
      </c>
      <c r="AC561" s="22">
        <f t="shared" si="124"/>
        <v>1.2600610700998878</v>
      </c>
      <c r="AD561" s="22">
        <f t="shared" si="124"/>
        <v>1.2841695325772586</v>
      </c>
      <c r="AE561" s="22">
        <f t="shared" si="124"/>
        <v>1.3069035937836597</v>
      </c>
      <c r="AF561" s="22">
        <f t="shared" si="124"/>
        <v>1.3308885489727156</v>
      </c>
      <c r="AG561" s="22">
        <f t="shared" si="124"/>
        <v>1.3591357613410466</v>
      </c>
      <c r="AH561" s="22">
        <f t="shared" si="124"/>
        <v>1.3843151170507964</v>
      </c>
      <c r="AI561" s="22">
        <f t="shared" si="124"/>
        <v>1.4109607447095132</v>
      </c>
      <c r="AJ561" s="22">
        <f t="shared" si="124"/>
        <v>1.439613035796105</v>
      </c>
      <c r="AK561" s="22">
        <f t="shared" si="124"/>
        <v>1.4645872559628428</v>
      </c>
      <c r="AL561" s="22">
        <f t="shared" si="124"/>
        <v>1.4885153057402958</v>
      </c>
      <c r="AM561" s="22">
        <f t="shared" si="124"/>
        <v>1.5115373270459393</v>
      </c>
      <c r="AN561" s="22">
        <f t="shared" si="124"/>
        <v>1.5400585132402391</v>
      </c>
      <c r="AO561" s="22">
        <f t="shared" si="124"/>
        <v>1.5662225533166572</v>
      </c>
      <c r="AP561" s="22">
        <f t="shared" si="124"/>
        <v>1.593267491108957</v>
      </c>
      <c r="AQ561" s="22">
        <f t="shared" si="124"/>
        <v>1.6213524132646824</v>
      </c>
      <c r="AR561" s="22">
        <f t="shared" si="124"/>
        <v>1.6507413943805305</v>
      </c>
      <c r="AS561" s="22">
        <f t="shared" si="124"/>
        <v>1.6812851986409043</v>
      </c>
      <c r="AT561" s="22">
        <f t="shared" si="124"/>
        <v>1.6777302811702246</v>
      </c>
      <c r="AU561" s="22">
        <f t="shared" si="124"/>
        <v>1.6711130643184777</v>
      </c>
      <c r="AV561" s="22">
        <f t="shared" si="124"/>
        <v>1.6601731404367381</v>
      </c>
      <c r="AW561" s="22">
        <f t="shared" si="124"/>
        <v>1.6481045233312475</v>
      </c>
      <c r="AY561" s="79"/>
    </row>
    <row r="562" spans="1:51" x14ac:dyDescent="0.3">
      <c r="A562" s="95" t="str">
        <f t="shared" si="108"/>
        <v>PQ Volatilisation</v>
      </c>
      <c r="B562" s="95" t="s">
        <v>968</v>
      </c>
      <c r="C562" s="95" t="s">
        <v>62</v>
      </c>
      <c r="D562" t="s">
        <v>369</v>
      </c>
      <c r="E562" t="s">
        <v>61</v>
      </c>
      <c r="F562" t="s">
        <v>62</v>
      </c>
      <c r="G562" t="s">
        <v>438</v>
      </c>
      <c r="H562" t="s">
        <v>1265</v>
      </c>
      <c r="I562" t="s">
        <v>139</v>
      </c>
      <c r="J562" t="s">
        <v>287</v>
      </c>
      <c r="K562" s="22">
        <f t="shared" si="117"/>
        <v>4.3975799639737048</v>
      </c>
      <c r="L562" s="22">
        <f t="shared" si="124"/>
        <v>4.3787767883653972</v>
      </c>
      <c r="M562" s="22">
        <f t="shared" si="124"/>
        <v>4.3752716537638934</v>
      </c>
      <c r="N562" s="22">
        <f t="shared" si="124"/>
        <v>4.3473821211305594</v>
      </c>
      <c r="O562" s="22">
        <f t="shared" si="124"/>
        <v>4.3052096453824609</v>
      </c>
      <c r="P562" s="22">
        <f t="shared" si="124"/>
        <v>4.2496956169043703</v>
      </c>
      <c r="Q562" s="22">
        <f t="shared" si="124"/>
        <v>4.2083609134426787</v>
      </c>
      <c r="R562" s="22">
        <f t="shared" si="124"/>
        <v>4.1703852155628214</v>
      </c>
      <c r="S562" s="22">
        <f t="shared" si="124"/>
        <v>3.900775371515369</v>
      </c>
      <c r="T562" s="22">
        <f t="shared" si="124"/>
        <v>3.9381596254461564</v>
      </c>
      <c r="U562" s="22">
        <f t="shared" si="124"/>
        <v>4.0049157346570068</v>
      </c>
      <c r="V562" s="22">
        <f t="shared" si="124"/>
        <v>4.0223863253045398</v>
      </c>
      <c r="W562" s="22">
        <f t="shared" si="124"/>
        <v>4.045795803072969</v>
      </c>
      <c r="X562" s="22">
        <f t="shared" si="124"/>
        <v>4.0767188563085508</v>
      </c>
      <c r="Y562" s="22">
        <f t="shared" si="124"/>
        <v>4.1095287399075264</v>
      </c>
      <c r="Z562" s="22">
        <f t="shared" si="124"/>
        <v>4.1476787731521458</v>
      </c>
      <c r="AA562" s="22">
        <f t="shared" si="124"/>
        <v>4.1863566801857406</v>
      </c>
      <c r="AB562" s="22">
        <f t="shared" si="124"/>
        <v>4.2296218376851549</v>
      </c>
      <c r="AC562" s="22">
        <f t="shared" si="124"/>
        <v>4.2728604404281354</v>
      </c>
      <c r="AD562" s="22">
        <f t="shared" si="124"/>
        <v>4.3024697400350007</v>
      </c>
      <c r="AE562" s="22">
        <f t="shared" si="124"/>
        <v>4.3280485976783627</v>
      </c>
      <c r="AF562" s="22">
        <f t="shared" si="124"/>
        <v>4.3551413116429245</v>
      </c>
      <c r="AG562" s="22">
        <f t="shared" si="124"/>
        <v>4.3898514432989648</v>
      </c>
      <c r="AH562" s="22">
        <f t="shared" si="124"/>
        <v>4.4168796997123483</v>
      </c>
      <c r="AI562" s="22">
        <f t="shared" si="124"/>
        <v>4.4439671933106792</v>
      </c>
      <c r="AJ562" s="22">
        <f t="shared" si="124"/>
        <v>4.4736413932482595</v>
      </c>
      <c r="AK562" s="22">
        <f t="shared" si="124"/>
        <v>4.4945161300843504</v>
      </c>
      <c r="AL562" s="22">
        <f t="shared" si="124"/>
        <v>4.5119473605235276</v>
      </c>
      <c r="AM562" s="22">
        <f t="shared" si="124"/>
        <v>4.5262479592108207</v>
      </c>
      <c r="AN562" s="22">
        <f t="shared" si="124"/>
        <v>4.5552825489057529</v>
      </c>
      <c r="AO562" s="22">
        <f t="shared" si="124"/>
        <v>4.5786902056870105</v>
      </c>
      <c r="AP562" s="22">
        <f t="shared" si="124"/>
        <v>4.6026259938264094</v>
      </c>
      <c r="AQ562" s="22">
        <f t="shared" si="124"/>
        <v>4.6273110032913349</v>
      </c>
      <c r="AR562" s="22">
        <f t="shared" si="124"/>
        <v>4.6531442501292055</v>
      </c>
      <c r="AS562" s="22">
        <f t="shared" si="124"/>
        <v>4.6782746913590252</v>
      </c>
      <c r="AT562" s="22">
        <f t="shared" si="124"/>
        <v>4.6412320099960542</v>
      </c>
      <c r="AU562" s="22">
        <f t="shared" si="124"/>
        <v>4.5987998522947482</v>
      </c>
      <c r="AV562" s="22">
        <f t="shared" si="124"/>
        <v>4.5489683571490982</v>
      </c>
      <c r="AW562" s="22">
        <f t="shared" si="124"/>
        <v>4.4975013733577454</v>
      </c>
      <c r="AY562" s="79"/>
    </row>
    <row r="563" spans="1:51" x14ac:dyDescent="0.3">
      <c r="A563" s="95" t="str">
        <f t="shared" si="108"/>
        <v>PQ Leaching</v>
      </c>
      <c r="B563" s="95" t="s">
        <v>968</v>
      </c>
      <c r="C563" s="95" t="s">
        <v>1190</v>
      </c>
      <c r="D563" t="s">
        <v>369</v>
      </c>
      <c r="E563" t="s">
        <v>61</v>
      </c>
      <c r="F563" t="s">
        <v>63</v>
      </c>
      <c r="G563" t="s">
        <v>435</v>
      </c>
      <c r="H563" t="s">
        <v>1187</v>
      </c>
      <c r="I563" t="s">
        <v>139</v>
      </c>
      <c r="J563" t="s">
        <v>287</v>
      </c>
      <c r="K563" s="22">
        <f t="shared" si="117"/>
        <v>2.2792360161858692E-4</v>
      </c>
      <c r="L563" s="22">
        <f t="shared" si="124"/>
        <v>2.2790093553774266E-4</v>
      </c>
      <c r="M563" s="22">
        <f t="shared" si="124"/>
        <v>2.278593788421324E-4</v>
      </c>
      <c r="N563" s="22">
        <f t="shared" si="124"/>
        <v>2.2780970825918929E-4</v>
      </c>
      <c r="O563" s="22">
        <f t="shared" si="124"/>
        <v>2.277761536871344E-4</v>
      </c>
      <c r="P563" s="22">
        <f t="shared" si="124"/>
        <v>2.2775306232797126E-4</v>
      </c>
      <c r="Q563" s="22">
        <f t="shared" si="124"/>
        <v>2.2774041756527976E-4</v>
      </c>
      <c r="R563" s="22">
        <f t="shared" si="124"/>
        <v>2.2771996066053992E-4</v>
      </c>
      <c r="S563" s="22">
        <f t="shared" si="124"/>
        <v>2.2769847220449889E-4</v>
      </c>
      <c r="T563" s="22">
        <f t="shared" si="124"/>
        <v>2.2784783983581601E-4</v>
      </c>
      <c r="U563" s="22">
        <f t="shared" si="124"/>
        <v>2.2778861051780079E-4</v>
      </c>
      <c r="V563" s="22">
        <f t="shared" si="124"/>
        <v>2.2770777253754449E-4</v>
      </c>
      <c r="W563" s="22">
        <f t="shared" si="124"/>
        <v>2.2766433280255099E-4</v>
      </c>
      <c r="X563" s="22">
        <f t="shared" si="124"/>
        <v>2.2761682214603963E-4</v>
      </c>
      <c r="Y563" s="22">
        <f t="shared" si="124"/>
        <v>2.2756399965202255E-4</v>
      </c>
      <c r="Z563" s="22">
        <f t="shared" si="124"/>
        <v>2.2750855106580306E-4</v>
      </c>
      <c r="AA563" s="22">
        <f t="shared" si="124"/>
        <v>2.2744937410212421E-4</v>
      </c>
      <c r="AB563" s="22">
        <f t="shared" si="124"/>
        <v>2.273900694399806E-4</v>
      </c>
      <c r="AC563" s="22">
        <f t="shared" si="124"/>
        <v>2.27327608934121E-4</v>
      </c>
      <c r="AD563" s="22">
        <f t="shared" si="124"/>
        <v>2.2726542703693366E-4</v>
      </c>
      <c r="AE563" s="22">
        <f t="shared" si="124"/>
        <v>2.2719801149524835E-4</v>
      </c>
      <c r="AF563" s="22">
        <f t="shared" si="124"/>
        <v>2.2713308086967036E-4</v>
      </c>
      <c r="AG563" s="22">
        <f t="shared" si="124"/>
        <v>2.2706650673440042E-4</v>
      </c>
      <c r="AH563" s="22">
        <f t="shared" si="124"/>
        <v>2.2699372559445836E-4</v>
      </c>
      <c r="AI563" s="22">
        <f t="shared" si="124"/>
        <v>2.2692604502406438E-4</v>
      </c>
      <c r="AJ563" s="22">
        <f t="shared" si="124"/>
        <v>2.2685655063885179E-4</v>
      </c>
      <c r="AK563" s="22">
        <f t="shared" si="124"/>
        <v>2.2678446634657377E-4</v>
      </c>
      <c r="AL563" s="22">
        <f t="shared" si="124"/>
        <v>2.2671821660039324E-4</v>
      </c>
      <c r="AM563" s="22">
        <f t="shared" si="124"/>
        <v>2.2665380838187847E-4</v>
      </c>
      <c r="AN563" s="22">
        <f t="shared" si="124"/>
        <v>2.2659099265923683E-4</v>
      </c>
      <c r="AO563" s="22">
        <f t="shared" si="124"/>
        <v>2.2652471286594214E-4</v>
      </c>
      <c r="AP563" s="22">
        <f t="shared" si="124"/>
        <v>2.2646226392540174E-4</v>
      </c>
      <c r="AQ563" s="22">
        <f t="shared" si="124"/>
        <v>2.2639901755265007E-4</v>
      </c>
      <c r="AR563" s="22">
        <f t="shared" si="124"/>
        <v>2.2633478837800309E-4</v>
      </c>
      <c r="AS563" s="22">
        <f t="shared" si="124"/>
        <v>2.2626925916384739E-4</v>
      </c>
      <c r="AT563" s="22">
        <f t="shared" si="124"/>
        <v>2.2620270329932796E-4</v>
      </c>
      <c r="AU563" s="22">
        <f t="shared" si="124"/>
        <v>2.261822530490572E-4</v>
      </c>
      <c r="AV563" s="22">
        <f t="shared" si="124"/>
        <v>2.2616610062877842E-4</v>
      </c>
      <c r="AW563" s="22">
        <f t="shared" si="124"/>
        <v>2.2615603767239231E-4</v>
      </c>
      <c r="AY563" s="79"/>
    </row>
    <row r="564" spans="1:51" x14ac:dyDescent="0.3">
      <c r="A564" s="95" t="str">
        <f t="shared" si="108"/>
        <v>PQ Leaching</v>
      </c>
      <c r="B564" s="95" t="s">
        <v>968</v>
      </c>
      <c r="C564" s="95" t="s">
        <v>1190</v>
      </c>
      <c r="D564" t="s">
        <v>369</v>
      </c>
      <c r="E564" t="s">
        <v>61</v>
      </c>
      <c r="F564" t="s">
        <v>63</v>
      </c>
      <c r="G564" t="s">
        <v>436</v>
      </c>
      <c r="H564" t="s">
        <v>1188</v>
      </c>
      <c r="I564" t="s">
        <v>139</v>
      </c>
      <c r="J564" t="s">
        <v>287</v>
      </c>
      <c r="K564" s="22">
        <f t="shared" si="117"/>
        <v>1.5042957706826741E-6</v>
      </c>
      <c r="L564" s="22">
        <f t="shared" si="124"/>
        <v>1.5041461745491019E-6</v>
      </c>
      <c r="M564" s="22">
        <f t="shared" si="124"/>
        <v>1.5038719003580737E-6</v>
      </c>
      <c r="N564" s="22">
        <f t="shared" si="124"/>
        <v>1.5035440745106496E-6</v>
      </c>
      <c r="O564" s="22">
        <f t="shared" si="124"/>
        <v>1.5033226143350872E-6</v>
      </c>
      <c r="P564" s="22">
        <f t="shared" si="124"/>
        <v>1.5031702113646103E-6</v>
      </c>
      <c r="Q564" s="22">
        <f t="shared" si="124"/>
        <v>1.5030867559308466E-6</v>
      </c>
      <c r="R564" s="22">
        <f t="shared" si="124"/>
        <v>1.5029517403595637E-6</v>
      </c>
      <c r="S564" s="22">
        <f t="shared" si="124"/>
        <v>1.5028099165496928E-6</v>
      </c>
      <c r="T564" s="22">
        <f t="shared" si="124"/>
        <v>1.503795742916386E-6</v>
      </c>
      <c r="U564" s="22">
        <f t="shared" si="124"/>
        <v>1.5034048294174857E-6</v>
      </c>
      <c r="V564" s="22">
        <f t="shared" si="124"/>
        <v>1.502871298747794E-6</v>
      </c>
      <c r="W564" s="22">
        <f t="shared" si="124"/>
        <v>1.5025845964968368E-6</v>
      </c>
      <c r="X564" s="22">
        <f t="shared" si="124"/>
        <v>1.5022710261638614E-6</v>
      </c>
      <c r="Y564" s="22">
        <f t="shared" si="124"/>
        <v>1.5019223977033493E-6</v>
      </c>
      <c r="Z564" s="22">
        <f t="shared" si="124"/>
        <v>1.5015564370343004E-6</v>
      </c>
      <c r="AA564" s="22">
        <f t="shared" si="124"/>
        <v>1.5011658690740202E-6</v>
      </c>
      <c r="AB564" s="22">
        <f t="shared" si="124"/>
        <v>1.500774458303872E-6</v>
      </c>
      <c r="AC564" s="22">
        <f t="shared" si="124"/>
        <v>1.5003622189651987E-6</v>
      </c>
      <c r="AD564" s="22">
        <f t="shared" si="124"/>
        <v>1.4999518184437622E-6</v>
      </c>
      <c r="AE564" s="22">
        <f t="shared" si="124"/>
        <v>1.4995068758686393E-6</v>
      </c>
      <c r="AF564" s="22">
        <f t="shared" si="124"/>
        <v>1.4990783337398247E-6</v>
      </c>
      <c r="AG564" s="22">
        <f t="shared" si="124"/>
        <v>1.498638944447043E-6</v>
      </c>
      <c r="AH564" s="22">
        <f t="shared" si="124"/>
        <v>1.4981585889234254E-6</v>
      </c>
      <c r="AI564" s="22">
        <f t="shared" si="124"/>
        <v>1.497711897158825E-6</v>
      </c>
      <c r="AJ564" s="22">
        <f t="shared" si="124"/>
        <v>1.4972532342164218E-6</v>
      </c>
      <c r="AK564" s="22">
        <f t="shared" si="124"/>
        <v>1.4967774778873874E-6</v>
      </c>
      <c r="AL564" s="22">
        <f t="shared" si="124"/>
        <v>1.4963402295625958E-6</v>
      </c>
      <c r="AM564" s="22">
        <f t="shared" si="124"/>
        <v>1.4959151353203979E-6</v>
      </c>
      <c r="AN564" s="22">
        <f t="shared" si="124"/>
        <v>1.4955005515509629E-6</v>
      </c>
      <c r="AO564" s="22">
        <f t="shared" si="124"/>
        <v>1.4950631049152183E-6</v>
      </c>
      <c r="AP564" s="22">
        <f t="shared" si="124"/>
        <v>1.4946509419076516E-6</v>
      </c>
      <c r="AQ564" s="22">
        <f t="shared" si="124"/>
        <v>1.4942335158474905E-6</v>
      </c>
      <c r="AR564" s="22">
        <f t="shared" si="124"/>
        <v>1.4938096032948206E-6</v>
      </c>
      <c r="AS564" s="22">
        <f t="shared" si="124"/>
        <v>1.4933771104813929E-6</v>
      </c>
      <c r="AT564" s="22">
        <f t="shared" si="124"/>
        <v>1.4929378417755646E-6</v>
      </c>
      <c r="AU564" s="22">
        <f t="shared" si="124"/>
        <v>1.4928028701237777E-6</v>
      </c>
      <c r="AV564" s="22">
        <f t="shared" si="124"/>
        <v>1.4926962641499375E-6</v>
      </c>
      <c r="AW564" s="22">
        <f t="shared" si="124"/>
        <v>1.4926298486377895E-6</v>
      </c>
      <c r="AY564" s="79"/>
    </row>
    <row r="565" spans="1:51" x14ac:dyDescent="0.3">
      <c r="A565" s="95" t="str">
        <f t="shared" si="108"/>
        <v>PQ Leaching</v>
      </c>
      <c r="B565" s="95" t="s">
        <v>968</v>
      </c>
      <c r="C565" s="95" t="s">
        <v>1190</v>
      </c>
      <c r="D565" t="s">
        <v>369</v>
      </c>
      <c r="E565" t="s">
        <v>61</v>
      </c>
      <c r="F565" t="s">
        <v>63</v>
      </c>
      <c r="G565" t="s">
        <v>437</v>
      </c>
      <c r="H565" t="s">
        <v>1189</v>
      </c>
      <c r="I565" t="s">
        <v>139</v>
      </c>
      <c r="J565" t="s">
        <v>287</v>
      </c>
      <c r="K565" s="22">
        <f t="shared" si="117"/>
        <v>0.20714502561891829</v>
      </c>
      <c r="L565" s="22">
        <f t="shared" si="124"/>
        <v>0.20732835560623092</v>
      </c>
      <c r="M565" s="22">
        <f t="shared" si="124"/>
        <v>0.20853137086969875</v>
      </c>
      <c r="N565" s="22">
        <f t="shared" si="124"/>
        <v>0.20795637847695567</v>
      </c>
      <c r="O565" s="22">
        <f t="shared" si="124"/>
        <v>0.20628301821112832</v>
      </c>
      <c r="P565" s="22">
        <f t="shared" si="124"/>
        <v>0.20354939622414608</v>
      </c>
      <c r="Q565" s="22">
        <f t="shared" si="124"/>
        <v>0.20178646732442315</v>
      </c>
      <c r="R565" s="22">
        <f t="shared" si="124"/>
        <v>0.20021853233884618</v>
      </c>
      <c r="S565" s="22">
        <f t="shared" si="124"/>
        <v>0.18115905834206086</v>
      </c>
      <c r="T565" s="22">
        <f t="shared" si="124"/>
        <v>0.1846349212925194</v>
      </c>
      <c r="U565" s="22">
        <f t="shared" si="124"/>
        <v>0.19035972114498487</v>
      </c>
      <c r="V565" s="22">
        <f t="shared" si="124"/>
        <v>0.19234595211979802</v>
      </c>
      <c r="W565" s="22">
        <f t="shared" si="124"/>
        <v>0.1947869037963407</v>
      </c>
      <c r="X565" s="22">
        <f t="shared" si="124"/>
        <v>0.19781474022011031</v>
      </c>
      <c r="Y565" s="22">
        <f t="shared" si="124"/>
        <v>0.20116819609409653</v>
      </c>
      <c r="Z565" s="22">
        <f t="shared" si="124"/>
        <v>0.20496046383831973</v>
      </c>
      <c r="AA565" s="22">
        <f t="shared" si="124"/>
        <v>0.20882071574020974</v>
      </c>
      <c r="AB565" s="22">
        <f t="shared" si="124"/>
        <v>0.21307428294309891</v>
      </c>
      <c r="AC565" s="22">
        <f t="shared" si="124"/>
        <v>0.21736053459223065</v>
      </c>
      <c r="AD565" s="22">
        <f t="shared" si="124"/>
        <v>0.2215192443695771</v>
      </c>
      <c r="AE565" s="22">
        <f t="shared" si="124"/>
        <v>0.22544086992768131</v>
      </c>
      <c r="AF565" s="22">
        <f t="shared" si="124"/>
        <v>0.22957827469779338</v>
      </c>
      <c r="AG565" s="22">
        <f t="shared" si="124"/>
        <v>0.23445091883133051</v>
      </c>
      <c r="AH565" s="22">
        <f t="shared" si="124"/>
        <v>0.23879435769126237</v>
      </c>
      <c r="AI565" s="22">
        <f t="shared" si="124"/>
        <v>0.24339072846239099</v>
      </c>
      <c r="AJ565" s="22">
        <f t="shared" si="124"/>
        <v>0.24833324867482812</v>
      </c>
      <c r="AK565" s="22">
        <f t="shared" si="124"/>
        <v>0.25264130165359039</v>
      </c>
      <c r="AL565" s="22">
        <f t="shared" si="124"/>
        <v>0.256768890240201</v>
      </c>
      <c r="AM565" s="22">
        <f t="shared" si="124"/>
        <v>0.26074018891542444</v>
      </c>
      <c r="AN565" s="22">
        <f t="shared" si="124"/>
        <v>0.26566009353394121</v>
      </c>
      <c r="AO565" s="22">
        <f t="shared" si="124"/>
        <v>0.2701733904471233</v>
      </c>
      <c r="AP565" s="22">
        <f t="shared" si="124"/>
        <v>0.27483864221629506</v>
      </c>
      <c r="AQ565" s="22">
        <f t="shared" si="124"/>
        <v>0.27968329128815766</v>
      </c>
      <c r="AR565" s="22">
        <f t="shared" si="124"/>
        <v>0.28475289053064146</v>
      </c>
      <c r="AS565" s="22">
        <f t="shared" si="124"/>
        <v>0.29002169676555595</v>
      </c>
      <c r="AT565" s="22">
        <f t="shared" si="124"/>
        <v>0.28940847350186372</v>
      </c>
      <c r="AU565" s="22">
        <f t="shared" si="124"/>
        <v>0.2882670035949374</v>
      </c>
      <c r="AV565" s="22">
        <f t="shared" si="124"/>
        <v>0.28637986672533733</v>
      </c>
      <c r="AW565" s="22">
        <f t="shared" si="124"/>
        <v>0.28429803027464012</v>
      </c>
      <c r="AY565" s="79"/>
    </row>
    <row r="566" spans="1:51" x14ac:dyDescent="0.3">
      <c r="A566" s="95" t="str">
        <f t="shared" si="108"/>
        <v>PQ Leaching</v>
      </c>
      <c r="B566" s="95" t="s">
        <v>968</v>
      </c>
      <c r="C566" s="95" t="s">
        <v>1190</v>
      </c>
      <c r="D566" t="s">
        <v>369</v>
      </c>
      <c r="E566" t="s">
        <v>61</v>
      </c>
      <c r="F566" t="s">
        <v>63</v>
      </c>
      <c r="G566" t="s">
        <v>438</v>
      </c>
      <c r="H566" t="s">
        <v>1191</v>
      </c>
      <c r="I566" t="s">
        <v>139</v>
      </c>
      <c r="J566" t="s">
        <v>287</v>
      </c>
      <c r="K566" s="22">
        <f t="shared" si="117"/>
        <v>0</v>
      </c>
      <c r="L566" s="22">
        <f t="shared" si="124"/>
        <v>0</v>
      </c>
      <c r="M566" s="22">
        <f t="shared" si="124"/>
        <v>0</v>
      </c>
      <c r="N566" s="22">
        <f t="shared" si="124"/>
        <v>0</v>
      </c>
      <c r="O566" s="22">
        <f t="shared" ref="L566:AW572" si="125">O1517</f>
        <v>0</v>
      </c>
      <c r="P566" s="22">
        <f t="shared" si="125"/>
        <v>0</v>
      </c>
      <c r="Q566" s="22">
        <f t="shared" si="125"/>
        <v>0</v>
      </c>
      <c r="R566" s="22">
        <f t="shared" si="125"/>
        <v>0</v>
      </c>
      <c r="S566" s="22">
        <f t="shared" si="125"/>
        <v>0</v>
      </c>
      <c r="T566" s="22">
        <f t="shared" si="125"/>
        <v>0</v>
      </c>
      <c r="U566" s="22">
        <f t="shared" si="125"/>
        <v>0</v>
      </c>
      <c r="V566" s="22">
        <f t="shared" si="125"/>
        <v>0</v>
      </c>
      <c r="W566" s="22">
        <f t="shared" si="125"/>
        <v>0</v>
      </c>
      <c r="X566" s="22">
        <f t="shared" si="125"/>
        <v>0</v>
      </c>
      <c r="Y566" s="22">
        <f t="shared" si="125"/>
        <v>0</v>
      </c>
      <c r="Z566" s="22">
        <f t="shared" si="125"/>
        <v>0</v>
      </c>
      <c r="AA566" s="22">
        <f t="shared" si="125"/>
        <v>0</v>
      </c>
      <c r="AB566" s="22">
        <f t="shared" si="125"/>
        <v>0</v>
      </c>
      <c r="AC566" s="22">
        <f t="shared" si="125"/>
        <v>0</v>
      </c>
      <c r="AD566" s="22">
        <f t="shared" si="125"/>
        <v>0</v>
      </c>
      <c r="AE566" s="22">
        <f t="shared" si="125"/>
        <v>0</v>
      </c>
      <c r="AF566" s="22">
        <f t="shared" si="125"/>
        <v>0</v>
      </c>
      <c r="AG566" s="22">
        <f t="shared" si="125"/>
        <v>0</v>
      </c>
      <c r="AH566" s="22">
        <f t="shared" si="125"/>
        <v>0</v>
      </c>
      <c r="AI566" s="22">
        <f t="shared" si="125"/>
        <v>0</v>
      </c>
      <c r="AJ566" s="22">
        <f t="shared" si="125"/>
        <v>0</v>
      </c>
      <c r="AK566" s="22">
        <f t="shared" si="125"/>
        <v>0</v>
      </c>
      <c r="AL566" s="22">
        <f t="shared" si="125"/>
        <v>0</v>
      </c>
      <c r="AM566" s="22">
        <f t="shared" si="125"/>
        <v>0</v>
      </c>
      <c r="AN566" s="22">
        <f t="shared" si="125"/>
        <v>0</v>
      </c>
      <c r="AO566" s="22">
        <f t="shared" si="125"/>
        <v>0</v>
      </c>
      <c r="AP566" s="22">
        <f t="shared" si="125"/>
        <v>0</v>
      </c>
      <c r="AQ566" s="22">
        <f t="shared" si="125"/>
        <v>0</v>
      </c>
      <c r="AR566" s="22">
        <f t="shared" si="125"/>
        <v>0</v>
      </c>
      <c r="AS566" s="22">
        <f t="shared" si="125"/>
        <v>0</v>
      </c>
      <c r="AT566" s="22">
        <f t="shared" si="125"/>
        <v>0</v>
      </c>
      <c r="AU566" s="22">
        <f t="shared" si="125"/>
        <v>0</v>
      </c>
      <c r="AV566" s="22">
        <f t="shared" si="125"/>
        <v>0</v>
      </c>
      <c r="AW566" s="22">
        <f t="shared" si="125"/>
        <v>0</v>
      </c>
      <c r="AY566" s="79"/>
    </row>
    <row r="567" spans="1:51" x14ac:dyDescent="0.3">
      <c r="A567" s="95" t="str">
        <f t="shared" si="108"/>
        <v>PQ Leaching</v>
      </c>
      <c r="B567" s="95" t="s">
        <v>968</v>
      </c>
      <c r="C567" s="95" t="s">
        <v>1190</v>
      </c>
      <c r="D567" t="s">
        <v>369</v>
      </c>
      <c r="E567" t="s">
        <v>61</v>
      </c>
      <c r="F567" t="s">
        <v>63</v>
      </c>
      <c r="G567" t="s">
        <v>439</v>
      </c>
      <c r="H567" t="s">
        <v>1192</v>
      </c>
      <c r="I567" t="s">
        <v>139</v>
      </c>
      <c r="J567" t="s">
        <v>287</v>
      </c>
      <c r="K567" s="22">
        <f t="shared" si="117"/>
        <v>0.10175116378121943</v>
      </c>
      <c r="L567" s="22">
        <f t="shared" si="125"/>
        <v>0.10192037938520998</v>
      </c>
      <c r="M567" s="22">
        <f t="shared" si="125"/>
        <v>0.102230624521803</v>
      </c>
      <c r="N567" s="22">
        <f t="shared" si="125"/>
        <v>0.10260144459215571</v>
      </c>
      <c r="O567" s="22">
        <f t="shared" si="125"/>
        <v>0.10285194917721978</v>
      </c>
      <c r="P567" s="22">
        <f t="shared" si="125"/>
        <v>0.10302433973360284</v>
      </c>
      <c r="Q567" s="22">
        <f t="shared" si="125"/>
        <v>0.10311874031263807</v>
      </c>
      <c r="R567" s="22">
        <f t="shared" si="125"/>
        <v>0.10327146311968674</v>
      </c>
      <c r="S567" s="22">
        <f t="shared" si="125"/>
        <v>0.10343188706296993</v>
      </c>
      <c r="T567" s="22">
        <f t="shared" si="125"/>
        <v>0.10231676998015095</v>
      </c>
      <c r="U567" s="22">
        <f t="shared" si="125"/>
        <v>0.10275895162111336</v>
      </c>
      <c r="V567" s="22">
        <f t="shared" si="125"/>
        <v>0.10336245461523248</v>
      </c>
      <c r="W567" s="22">
        <f t="shared" si="125"/>
        <v>0.10368675774662221</v>
      </c>
      <c r="X567" s="22">
        <f t="shared" si="125"/>
        <v>0.10404145269776151</v>
      </c>
      <c r="Y567" s="22">
        <f t="shared" si="125"/>
        <v>0.10443580363521765</v>
      </c>
      <c r="Z567" s="22">
        <f t="shared" si="125"/>
        <v>0.1048497598931184</v>
      </c>
      <c r="AA567" s="22">
        <f t="shared" si="125"/>
        <v>0.10529155067821512</v>
      </c>
      <c r="AB567" s="22">
        <f t="shared" si="125"/>
        <v>0.10573429480734184</v>
      </c>
      <c r="AC567" s="22">
        <f t="shared" si="125"/>
        <v>0.10620059916305352</v>
      </c>
      <c r="AD567" s="22">
        <f t="shared" si="125"/>
        <v>0.10666482354141628</v>
      </c>
      <c r="AE567" s="22">
        <f t="shared" si="125"/>
        <v>0.10716812014937527</v>
      </c>
      <c r="AF567" s="22">
        <f t="shared" si="125"/>
        <v>0.10765286539934465</v>
      </c>
      <c r="AG567" s="22">
        <f t="shared" si="125"/>
        <v>0.10814988041430322</v>
      </c>
      <c r="AH567" s="22">
        <f t="shared" si="125"/>
        <v>0.1086932343641567</v>
      </c>
      <c r="AI567" s="22">
        <f t="shared" si="125"/>
        <v>0.1091985095670623</v>
      </c>
      <c r="AJ567" s="22">
        <f t="shared" si="125"/>
        <v>0.10971732596273812</v>
      </c>
      <c r="AK567" s="22">
        <f t="shared" si="125"/>
        <v>0.11025547753556091</v>
      </c>
      <c r="AL567" s="22">
        <f t="shared" si="125"/>
        <v>0.11075007079547201</v>
      </c>
      <c r="AM567" s="22">
        <f t="shared" si="125"/>
        <v>0.11123091596993474</v>
      </c>
      <c r="AN567" s="22">
        <f t="shared" si="125"/>
        <v>0.11169987222752331</v>
      </c>
      <c r="AO567" s="22">
        <f t="shared" si="125"/>
        <v>0.11219468980678651</v>
      </c>
      <c r="AP567" s="22">
        <f t="shared" si="125"/>
        <v>0.11266090782059876</v>
      </c>
      <c r="AQ567" s="22">
        <f t="shared" si="125"/>
        <v>0.11313307913415467</v>
      </c>
      <c r="AR567" s="22">
        <f t="shared" si="125"/>
        <v>0.11361258764100189</v>
      </c>
      <c r="AS567" s="22">
        <f t="shared" si="125"/>
        <v>0.11410180170622075</v>
      </c>
      <c r="AT567" s="22">
        <f t="shared" si="125"/>
        <v>0.1145986803192975</v>
      </c>
      <c r="AU567" s="22">
        <f t="shared" si="125"/>
        <v>0.11475135344682705</v>
      </c>
      <c r="AV567" s="22">
        <f t="shared" si="125"/>
        <v>0.11487194074959778</v>
      </c>
      <c r="AW567" s="22">
        <f t="shared" si="125"/>
        <v>0.11494706662841653</v>
      </c>
      <c r="AY567" s="79"/>
    </row>
    <row r="568" spans="1:51" x14ac:dyDescent="0.3">
      <c r="A568" s="95" t="str">
        <f t="shared" si="108"/>
        <v>PQ Leaching</v>
      </c>
      <c r="B568" s="95" t="s">
        <v>968</v>
      </c>
      <c r="C568" s="95" t="s">
        <v>1190</v>
      </c>
      <c r="D568" t="s">
        <v>369</v>
      </c>
      <c r="E568" t="s">
        <v>61</v>
      </c>
      <c r="F568" t="s">
        <v>63</v>
      </c>
      <c r="G568" t="s">
        <v>1193</v>
      </c>
      <c r="H568" t="s">
        <v>1194</v>
      </c>
      <c r="I568" t="s">
        <v>139</v>
      </c>
      <c r="J568" t="s">
        <v>287</v>
      </c>
      <c r="K568" s="22" t="str">
        <f t="shared" si="117"/>
        <v>NO</v>
      </c>
      <c r="L568" s="22" t="str">
        <f t="shared" si="125"/>
        <v>NO</v>
      </c>
      <c r="M568" s="22" t="str">
        <f t="shared" si="125"/>
        <v>NO</v>
      </c>
      <c r="N568" s="22" t="str">
        <f t="shared" si="125"/>
        <v>NO</v>
      </c>
      <c r="O568" s="22" t="str">
        <f t="shared" si="125"/>
        <v>NO</v>
      </c>
      <c r="P568" s="22" t="str">
        <f t="shared" si="125"/>
        <v>NO</v>
      </c>
      <c r="Q568" s="22" t="str">
        <f t="shared" si="125"/>
        <v>NO</v>
      </c>
      <c r="R568" s="22" t="str">
        <f t="shared" si="125"/>
        <v>NO</v>
      </c>
      <c r="S568" s="22" t="str">
        <f t="shared" si="125"/>
        <v>NO</v>
      </c>
      <c r="T568" s="22" t="str">
        <f t="shared" si="125"/>
        <v>NO</v>
      </c>
      <c r="U568" s="22" t="str">
        <f t="shared" si="125"/>
        <v>NO</v>
      </c>
      <c r="V568" s="22" t="str">
        <f t="shared" si="125"/>
        <v>NO</v>
      </c>
      <c r="W568" s="22" t="str">
        <f t="shared" si="125"/>
        <v>NO</v>
      </c>
      <c r="X568" s="22" t="str">
        <f t="shared" si="125"/>
        <v>NO</v>
      </c>
      <c r="Y568" s="22" t="str">
        <f t="shared" si="125"/>
        <v>NO</v>
      </c>
      <c r="Z568" s="22" t="str">
        <f t="shared" si="125"/>
        <v>NO</v>
      </c>
      <c r="AA568" s="22" t="str">
        <f t="shared" si="125"/>
        <v>NO</v>
      </c>
      <c r="AB568" s="22" t="str">
        <f t="shared" si="125"/>
        <v>NO</v>
      </c>
      <c r="AC568" s="22" t="str">
        <f t="shared" si="125"/>
        <v>NO</v>
      </c>
      <c r="AD568" s="22" t="str">
        <f t="shared" si="125"/>
        <v>NO</v>
      </c>
      <c r="AE568" s="22" t="str">
        <f t="shared" si="125"/>
        <v>NO</v>
      </c>
      <c r="AF568" s="22" t="str">
        <f t="shared" si="125"/>
        <v>NO</v>
      </c>
      <c r="AG568" s="22" t="str">
        <f t="shared" si="125"/>
        <v>NO</v>
      </c>
      <c r="AH568" s="22" t="str">
        <f t="shared" si="125"/>
        <v>NO</v>
      </c>
      <c r="AI568" s="22" t="str">
        <f t="shared" si="125"/>
        <v>NO</v>
      </c>
      <c r="AJ568" s="22" t="str">
        <f t="shared" si="125"/>
        <v>NO</v>
      </c>
      <c r="AK568" s="22" t="str">
        <f t="shared" si="125"/>
        <v>NO</v>
      </c>
      <c r="AL568" s="22" t="str">
        <f t="shared" si="125"/>
        <v>NO</v>
      </c>
      <c r="AM568" s="22" t="str">
        <f t="shared" si="125"/>
        <v>NO</v>
      </c>
      <c r="AN568" s="22" t="str">
        <f t="shared" si="125"/>
        <v>NO</v>
      </c>
      <c r="AO568" s="22" t="str">
        <f t="shared" si="125"/>
        <v>NO</v>
      </c>
      <c r="AP568" s="22" t="str">
        <f t="shared" si="125"/>
        <v>NO</v>
      </c>
      <c r="AQ568" s="22" t="str">
        <f t="shared" si="125"/>
        <v>NO</v>
      </c>
      <c r="AR568" s="22" t="str">
        <f t="shared" si="125"/>
        <v>NO</v>
      </c>
      <c r="AS568" s="22" t="str">
        <f t="shared" si="125"/>
        <v>NO</v>
      </c>
      <c r="AT568" s="22" t="str">
        <f t="shared" si="125"/>
        <v>NO</v>
      </c>
      <c r="AU568" s="22" t="str">
        <f t="shared" si="125"/>
        <v>NO</v>
      </c>
      <c r="AV568" s="22" t="str">
        <f t="shared" si="125"/>
        <v>NO</v>
      </c>
      <c r="AW568" s="22" t="str">
        <f t="shared" si="125"/>
        <v>NO</v>
      </c>
      <c r="AY568" s="79"/>
    </row>
    <row r="569" spans="1:51" x14ac:dyDescent="0.3">
      <c r="A569" s="95" t="str">
        <f t="shared" si="108"/>
        <v>PQ Leaching</v>
      </c>
      <c r="B569" s="95" t="s">
        <v>968</v>
      </c>
      <c r="C569" s="95" t="s">
        <v>1190</v>
      </c>
      <c r="D569" t="s">
        <v>369</v>
      </c>
      <c r="E569" t="s">
        <v>61</v>
      </c>
      <c r="F569" t="s">
        <v>63</v>
      </c>
      <c r="G569" t="s">
        <v>1195</v>
      </c>
      <c r="H569" t="s">
        <v>1196</v>
      </c>
      <c r="I569" t="s">
        <v>139</v>
      </c>
      <c r="J569" t="s">
        <v>287</v>
      </c>
      <c r="K569" s="22" t="str">
        <f t="shared" si="117"/>
        <v>NO</v>
      </c>
      <c r="L569" s="22" t="str">
        <f t="shared" si="125"/>
        <v>NO</v>
      </c>
      <c r="M569" s="22" t="str">
        <f t="shared" si="125"/>
        <v>NO</v>
      </c>
      <c r="N569" s="22" t="str">
        <f t="shared" si="125"/>
        <v>NO</v>
      </c>
      <c r="O569" s="22" t="str">
        <f t="shared" si="125"/>
        <v>NO</v>
      </c>
      <c r="P569" s="22" t="str">
        <f t="shared" si="125"/>
        <v>NO</v>
      </c>
      <c r="Q569" s="22" t="str">
        <f t="shared" si="125"/>
        <v>NO</v>
      </c>
      <c r="R569" s="22" t="str">
        <f t="shared" si="125"/>
        <v>NO</v>
      </c>
      <c r="S569" s="22" t="str">
        <f t="shared" si="125"/>
        <v>NO</v>
      </c>
      <c r="T569" s="22" t="str">
        <f t="shared" si="125"/>
        <v>NO</v>
      </c>
      <c r="U569" s="22" t="str">
        <f t="shared" si="125"/>
        <v>NO</v>
      </c>
      <c r="V569" s="22" t="str">
        <f t="shared" si="125"/>
        <v>NO</v>
      </c>
      <c r="W569" s="22" t="str">
        <f t="shared" si="125"/>
        <v>NO</v>
      </c>
      <c r="X569" s="22" t="str">
        <f t="shared" si="125"/>
        <v>NO</v>
      </c>
      <c r="Y569" s="22" t="str">
        <f t="shared" si="125"/>
        <v>NO</v>
      </c>
      <c r="Z569" s="22" t="str">
        <f t="shared" si="125"/>
        <v>NO</v>
      </c>
      <c r="AA569" s="22" t="str">
        <f t="shared" si="125"/>
        <v>NO</v>
      </c>
      <c r="AB569" s="22" t="str">
        <f t="shared" si="125"/>
        <v>NO</v>
      </c>
      <c r="AC569" s="22" t="str">
        <f t="shared" si="125"/>
        <v>NO</v>
      </c>
      <c r="AD569" s="22" t="str">
        <f t="shared" si="125"/>
        <v>NO</v>
      </c>
      <c r="AE569" s="22" t="str">
        <f t="shared" si="125"/>
        <v>NO</v>
      </c>
      <c r="AF569" s="22" t="str">
        <f t="shared" si="125"/>
        <v>NO</v>
      </c>
      <c r="AG569" s="22" t="str">
        <f t="shared" si="125"/>
        <v>NO</v>
      </c>
      <c r="AH569" s="22" t="str">
        <f t="shared" si="125"/>
        <v>NO</v>
      </c>
      <c r="AI569" s="22" t="str">
        <f t="shared" si="125"/>
        <v>NO</v>
      </c>
      <c r="AJ569" s="22" t="str">
        <f t="shared" si="125"/>
        <v>NO</v>
      </c>
      <c r="AK569" s="22" t="str">
        <f t="shared" si="125"/>
        <v>NO</v>
      </c>
      <c r="AL569" s="22" t="str">
        <f t="shared" si="125"/>
        <v>NO</v>
      </c>
      <c r="AM569" s="22" t="str">
        <f t="shared" si="125"/>
        <v>NO</v>
      </c>
      <c r="AN569" s="22" t="str">
        <f t="shared" si="125"/>
        <v>NO</v>
      </c>
      <c r="AO569" s="22" t="str">
        <f t="shared" si="125"/>
        <v>NO</v>
      </c>
      <c r="AP569" s="22" t="str">
        <f t="shared" si="125"/>
        <v>NO</v>
      </c>
      <c r="AQ569" s="22" t="str">
        <f t="shared" si="125"/>
        <v>NO</v>
      </c>
      <c r="AR569" s="22" t="str">
        <f t="shared" si="125"/>
        <v>NO</v>
      </c>
      <c r="AS569" s="22" t="str">
        <f t="shared" si="125"/>
        <v>NO</v>
      </c>
      <c r="AT569" s="22" t="str">
        <f t="shared" si="125"/>
        <v>NO</v>
      </c>
      <c r="AU569" s="22" t="str">
        <f t="shared" si="125"/>
        <v>NO</v>
      </c>
      <c r="AV569" s="22" t="str">
        <f t="shared" si="125"/>
        <v>NO</v>
      </c>
      <c r="AW569" s="22" t="str">
        <f t="shared" si="125"/>
        <v>NO</v>
      </c>
      <c r="AY569" s="79"/>
    </row>
    <row r="570" spans="1:51" x14ac:dyDescent="0.3">
      <c r="A570" s="95" t="str">
        <f t="shared" si="108"/>
        <v>PQ Leaching</v>
      </c>
      <c r="B570" s="95" t="s">
        <v>968</v>
      </c>
      <c r="C570" s="95" t="s">
        <v>1190</v>
      </c>
      <c r="D570" t="s">
        <v>369</v>
      </c>
      <c r="E570" t="s">
        <v>61</v>
      </c>
      <c r="F570" t="s">
        <v>63</v>
      </c>
      <c r="G570" t="s">
        <v>1197</v>
      </c>
      <c r="H570" t="s">
        <v>1198</v>
      </c>
      <c r="I570" t="s">
        <v>139</v>
      </c>
      <c r="J570" t="s">
        <v>287</v>
      </c>
      <c r="K570" s="22">
        <f t="shared" si="117"/>
        <v>1.1867590793806392E-4</v>
      </c>
      <c r="L570" s="22">
        <f t="shared" si="125"/>
        <v>1.1853617037070301E-4</v>
      </c>
      <c r="M570" s="22">
        <f t="shared" si="125"/>
        <v>1.1839643280334203E-4</v>
      </c>
      <c r="N570" s="22">
        <f t="shared" si="125"/>
        <v>1.1825669523598106E-4</v>
      </c>
      <c r="O570" s="22">
        <f t="shared" si="125"/>
        <v>1.1811695766862012E-4</v>
      </c>
      <c r="P570" s="22">
        <f t="shared" si="125"/>
        <v>1.1797722010125916E-4</v>
      </c>
      <c r="Q570" s="22">
        <f t="shared" si="125"/>
        <v>1.178374825338982E-4</v>
      </c>
      <c r="R570" s="22">
        <f t="shared" si="125"/>
        <v>1.1769774496653728E-4</v>
      </c>
      <c r="S570" s="22">
        <f t="shared" si="125"/>
        <v>1.1755800739917633E-4</v>
      </c>
      <c r="T570" s="22">
        <f t="shared" si="125"/>
        <v>1.174182698318154E-4</v>
      </c>
      <c r="U570" s="22">
        <f t="shared" si="125"/>
        <v>1.1727853226445441E-4</v>
      </c>
      <c r="V570" s="22">
        <f t="shared" si="125"/>
        <v>1.1713879469709348E-4</v>
      </c>
      <c r="W570" s="22">
        <f t="shared" si="125"/>
        <v>1.1699905712973254E-4</v>
      </c>
      <c r="X570" s="22">
        <f t="shared" si="125"/>
        <v>1.168593195623716E-4</v>
      </c>
      <c r="Y570" s="22">
        <f t="shared" si="125"/>
        <v>1.1671958199501069E-4</v>
      </c>
      <c r="Z570" s="22">
        <f t="shared" si="125"/>
        <v>1.1657984442764968E-4</v>
      </c>
      <c r="AA570" s="22">
        <f t="shared" si="125"/>
        <v>1.1644010686028878E-4</v>
      </c>
      <c r="AB570" s="22">
        <f t="shared" si="125"/>
        <v>1.1630036929292779E-4</v>
      </c>
      <c r="AC570" s="22">
        <f t="shared" si="125"/>
        <v>1.1616063172556689E-4</v>
      </c>
      <c r="AD570" s="22">
        <f t="shared" si="125"/>
        <v>1.1602089415820588E-4</v>
      </c>
      <c r="AE570" s="22">
        <f t="shared" si="125"/>
        <v>1.1588115659084502E-4</v>
      </c>
      <c r="AF570" s="22">
        <f t="shared" si="125"/>
        <v>1.1574141902348403E-4</v>
      </c>
      <c r="AG570" s="22">
        <f t="shared" si="125"/>
        <v>1.1560168145612309E-4</v>
      </c>
      <c r="AH570" s="22">
        <f t="shared" si="125"/>
        <v>1.154619438887621E-4</v>
      </c>
      <c r="AI570" s="22">
        <f t="shared" si="125"/>
        <v>1.1532220632140118E-4</v>
      </c>
      <c r="AJ570" s="22">
        <f t="shared" si="125"/>
        <v>1.1518246875404022E-4</v>
      </c>
      <c r="AK570" s="22">
        <f t="shared" si="125"/>
        <v>1.1504273118667928E-4</v>
      </c>
      <c r="AL570" s="22">
        <f t="shared" si="125"/>
        <v>1.1490299361931835E-4</v>
      </c>
      <c r="AM570" s="22">
        <f t="shared" si="125"/>
        <v>1.1476325605195744E-4</v>
      </c>
      <c r="AN570" s="22">
        <f t="shared" si="125"/>
        <v>1.1462351848459642E-4</v>
      </c>
      <c r="AO570" s="22">
        <f t="shared" si="125"/>
        <v>1.1448378091723552E-4</v>
      </c>
      <c r="AP570" s="22">
        <f t="shared" si="125"/>
        <v>1.1434404334987458E-4</v>
      </c>
      <c r="AQ570" s="22">
        <f t="shared" si="125"/>
        <v>1.1420430578251366E-4</v>
      </c>
      <c r="AR570" s="22">
        <f t="shared" si="125"/>
        <v>1.1406456821515268E-4</v>
      </c>
      <c r="AS570" s="22">
        <f t="shared" si="125"/>
        <v>1.1392483064779174E-4</v>
      </c>
      <c r="AT570" s="22">
        <f t="shared" si="125"/>
        <v>1.1378509308043078E-4</v>
      </c>
      <c r="AU570" s="22">
        <f t="shared" si="125"/>
        <v>1.136453555130698E-4</v>
      </c>
      <c r="AV570" s="22">
        <f t="shared" si="125"/>
        <v>1.1350561794570888E-4</v>
      </c>
      <c r="AW570" s="22">
        <f t="shared" si="125"/>
        <v>1.1336588037834792E-4</v>
      </c>
      <c r="AY570" s="79"/>
    </row>
    <row r="571" spans="1:51" x14ac:dyDescent="0.3">
      <c r="A571" s="95" t="str">
        <f t="shared" si="108"/>
        <v>PQ Leaching</v>
      </c>
      <c r="B571" s="95" t="s">
        <v>968</v>
      </c>
      <c r="C571" s="95" t="s">
        <v>1190</v>
      </c>
      <c r="D571" t="s">
        <v>369</v>
      </c>
      <c r="E571" t="s">
        <v>61</v>
      </c>
      <c r="F571" t="s">
        <v>63</v>
      </c>
      <c r="G571" t="s">
        <v>1199</v>
      </c>
      <c r="H571" t="s">
        <v>1200</v>
      </c>
      <c r="I571" t="s">
        <v>139</v>
      </c>
      <c r="J571" t="s">
        <v>287</v>
      </c>
      <c r="K571" s="22">
        <f t="shared" si="117"/>
        <v>1.6912231388729011E-2</v>
      </c>
      <c r="L571" s="22">
        <f t="shared" si="125"/>
        <v>1.6951420148247919E-2</v>
      </c>
      <c r="M571" s="22">
        <f t="shared" si="125"/>
        <v>1.6990608907766828E-2</v>
      </c>
      <c r="N571" s="22">
        <f t="shared" si="125"/>
        <v>1.702979766728574E-2</v>
      </c>
      <c r="O571" s="22">
        <f t="shared" si="125"/>
        <v>1.7068986426804648E-2</v>
      </c>
      <c r="P571" s="22">
        <f t="shared" si="125"/>
        <v>1.7108175186323554E-2</v>
      </c>
      <c r="Q571" s="22">
        <f t="shared" si="125"/>
        <v>1.7147363945842466E-2</v>
      </c>
      <c r="R571" s="22">
        <f t="shared" si="125"/>
        <v>1.7186552705361371E-2</v>
      </c>
      <c r="S571" s="22">
        <f t="shared" si="125"/>
        <v>1.7225741464880276E-2</v>
      </c>
      <c r="T571" s="22">
        <f t="shared" si="125"/>
        <v>1.7264930224399191E-2</v>
      </c>
      <c r="U571" s="22">
        <f t="shared" si="125"/>
        <v>1.7304118983918097E-2</v>
      </c>
      <c r="V571" s="22">
        <f t="shared" si="125"/>
        <v>1.7343307743437009E-2</v>
      </c>
      <c r="W571" s="22">
        <f t="shared" si="125"/>
        <v>1.7382496502955917E-2</v>
      </c>
      <c r="X571" s="22">
        <f t="shared" si="125"/>
        <v>1.7421685262474829E-2</v>
      </c>
      <c r="Y571" s="22">
        <f t="shared" si="125"/>
        <v>1.7460874021993734E-2</v>
      </c>
      <c r="Z571" s="22">
        <f t="shared" si="125"/>
        <v>1.750006278151265E-2</v>
      </c>
      <c r="AA571" s="22">
        <f t="shared" si="125"/>
        <v>1.7539251541031548E-2</v>
      </c>
      <c r="AB571" s="22">
        <f t="shared" si="125"/>
        <v>1.7578440300550464E-2</v>
      </c>
      <c r="AC571" s="22">
        <f t="shared" si="125"/>
        <v>1.7617629060069376E-2</v>
      </c>
      <c r="AD571" s="22">
        <f t="shared" si="125"/>
        <v>1.7656817819588281E-2</v>
      </c>
      <c r="AE571" s="22">
        <f t="shared" si="125"/>
        <v>1.769600657910719E-2</v>
      </c>
      <c r="AF571" s="22">
        <f t="shared" si="125"/>
        <v>1.7735195338626102E-2</v>
      </c>
      <c r="AG571" s="22">
        <f t="shared" si="125"/>
        <v>1.777438409814501E-2</v>
      </c>
      <c r="AH571" s="22">
        <f t="shared" si="125"/>
        <v>1.7813572857663919E-2</v>
      </c>
      <c r="AI571" s="22">
        <f t="shared" si="125"/>
        <v>1.7852761617182831E-2</v>
      </c>
      <c r="AJ571" s="22">
        <f t="shared" si="125"/>
        <v>1.7891950376701736E-2</v>
      </c>
      <c r="AK571" s="22">
        <f t="shared" si="125"/>
        <v>1.7931139136220645E-2</v>
      </c>
      <c r="AL571" s="22">
        <f t="shared" si="125"/>
        <v>1.7970327895739557E-2</v>
      </c>
      <c r="AM571" s="22">
        <f t="shared" si="125"/>
        <v>1.8009516655258465E-2</v>
      </c>
      <c r="AN571" s="22">
        <f t="shared" si="125"/>
        <v>1.8048705414777374E-2</v>
      </c>
      <c r="AO571" s="22">
        <f t="shared" si="125"/>
        <v>1.8087894174296286E-2</v>
      </c>
      <c r="AP571" s="22">
        <f t="shared" si="125"/>
        <v>1.8127082933815188E-2</v>
      </c>
      <c r="AQ571" s="22">
        <f t="shared" si="125"/>
        <v>1.8166271693334096E-2</v>
      </c>
      <c r="AR571" s="22">
        <f t="shared" si="125"/>
        <v>1.8205460452853015E-2</v>
      </c>
      <c r="AS571" s="22">
        <f t="shared" si="125"/>
        <v>1.8244649212371917E-2</v>
      </c>
      <c r="AT571" s="22">
        <f t="shared" si="125"/>
        <v>1.8283837971890825E-2</v>
      </c>
      <c r="AU571" s="22">
        <f t="shared" si="125"/>
        <v>1.8323026731409734E-2</v>
      </c>
      <c r="AV571" s="22">
        <f t="shared" si="125"/>
        <v>1.8362215490928643E-2</v>
      </c>
      <c r="AW571" s="22">
        <f t="shared" si="125"/>
        <v>1.8401404250447555E-2</v>
      </c>
      <c r="AY571" s="79"/>
    </row>
    <row r="572" spans="1:51" x14ac:dyDescent="0.3">
      <c r="A572" s="95" t="str">
        <f t="shared" si="108"/>
        <v>PQ Leaching</v>
      </c>
      <c r="B572" s="95" t="s">
        <v>968</v>
      </c>
      <c r="C572" s="95" t="s">
        <v>1190</v>
      </c>
      <c r="D572" t="s">
        <v>369</v>
      </c>
      <c r="E572" t="s">
        <v>61</v>
      </c>
      <c r="F572" t="s">
        <v>63</v>
      </c>
      <c r="G572" t="s">
        <v>1201</v>
      </c>
      <c r="H572" t="s">
        <v>1202</v>
      </c>
      <c r="I572" t="s">
        <v>139</v>
      </c>
      <c r="J572" t="s">
        <v>287</v>
      </c>
      <c r="K572" s="22">
        <f t="shared" si="117"/>
        <v>1.9871041213735664E-2</v>
      </c>
      <c r="L572" s="22">
        <f t="shared" si="125"/>
        <v>1.9871041213735664E-2</v>
      </c>
      <c r="M572" s="22">
        <f t="shared" si="125"/>
        <v>1.9871041213735664E-2</v>
      </c>
      <c r="N572" s="22">
        <f t="shared" si="125"/>
        <v>1.9871041213735664E-2</v>
      </c>
      <c r="O572" s="22">
        <f t="shared" si="125"/>
        <v>1.9871041213735664E-2</v>
      </c>
      <c r="P572" s="22">
        <f t="shared" si="125"/>
        <v>1.9871041213735664E-2</v>
      </c>
      <c r="Q572" s="22">
        <f t="shared" si="125"/>
        <v>1.9871041213735664E-2</v>
      </c>
      <c r="R572" s="22">
        <f t="shared" si="125"/>
        <v>1.9871041213735664E-2</v>
      </c>
      <c r="S572" s="22">
        <f t="shared" si="125"/>
        <v>1.9871041213735664E-2</v>
      </c>
      <c r="T572" s="22">
        <f t="shared" si="125"/>
        <v>1.9871041213735664E-2</v>
      </c>
      <c r="U572" s="22">
        <f t="shared" si="125"/>
        <v>1.9871041213735664E-2</v>
      </c>
      <c r="V572" s="22">
        <f t="shared" si="125"/>
        <v>1.9871041213735664E-2</v>
      </c>
      <c r="W572" s="22">
        <f t="shared" si="125"/>
        <v>1.9871041213735664E-2</v>
      </c>
      <c r="X572" s="22">
        <f t="shared" si="125"/>
        <v>1.9871041213735664E-2</v>
      </c>
      <c r="Y572" s="22">
        <f t="shared" si="125"/>
        <v>1.9871041213735664E-2</v>
      </c>
      <c r="Z572" s="22">
        <f t="shared" si="125"/>
        <v>1.9871041213735664E-2</v>
      </c>
      <c r="AA572" s="22">
        <f t="shared" si="125"/>
        <v>1.9871041213735664E-2</v>
      </c>
      <c r="AB572" s="22">
        <f t="shared" si="125"/>
        <v>1.9871041213735664E-2</v>
      </c>
      <c r="AC572" s="22">
        <f t="shared" si="125"/>
        <v>1.9871041213735664E-2</v>
      </c>
      <c r="AD572" s="22">
        <f t="shared" si="125"/>
        <v>1.9871041213735664E-2</v>
      </c>
      <c r="AE572" s="22">
        <f t="shared" si="125"/>
        <v>1.9871041213735664E-2</v>
      </c>
      <c r="AF572" s="22">
        <f t="shared" si="125"/>
        <v>1.9871041213735664E-2</v>
      </c>
      <c r="AG572" s="22">
        <f t="shared" si="125"/>
        <v>1.9871041213735664E-2</v>
      </c>
      <c r="AH572" s="22">
        <f t="shared" si="125"/>
        <v>1.9871041213735664E-2</v>
      </c>
      <c r="AI572" s="22">
        <f t="shared" si="125"/>
        <v>1.9871041213735664E-2</v>
      </c>
      <c r="AJ572" s="22">
        <f t="shared" si="125"/>
        <v>1.9871041213735664E-2</v>
      </c>
      <c r="AK572" s="22">
        <f t="shared" si="125"/>
        <v>1.9871041213735664E-2</v>
      </c>
      <c r="AL572" s="22">
        <f t="shared" si="125"/>
        <v>1.9871041213735664E-2</v>
      </c>
      <c r="AM572" s="22">
        <f t="shared" si="125"/>
        <v>1.9871041213735664E-2</v>
      </c>
      <c r="AN572" s="22">
        <f t="shared" si="125"/>
        <v>1.9871041213735664E-2</v>
      </c>
      <c r="AO572" s="22">
        <f t="shared" si="125"/>
        <v>1.9871041213735664E-2</v>
      </c>
      <c r="AP572" s="22">
        <f t="shared" ref="L572:AW579" si="126">AP1523</f>
        <v>1.9871041213735664E-2</v>
      </c>
      <c r="AQ572" s="22">
        <f t="shared" si="126"/>
        <v>1.9871041213735664E-2</v>
      </c>
      <c r="AR572" s="22">
        <f t="shared" si="126"/>
        <v>1.9871041213735664E-2</v>
      </c>
      <c r="AS572" s="22">
        <f t="shared" si="126"/>
        <v>1.9871041213735664E-2</v>
      </c>
      <c r="AT572" s="22">
        <f t="shared" si="126"/>
        <v>1.9871041213735664E-2</v>
      </c>
      <c r="AU572" s="22">
        <f t="shared" si="126"/>
        <v>1.9871041213735664E-2</v>
      </c>
      <c r="AV572" s="22">
        <f t="shared" si="126"/>
        <v>1.9871041213735664E-2</v>
      </c>
      <c r="AW572" s="22">
        <f t="shared" si="126"/>
        <v>1.9871041213735664E-2</v>
      </c>
      <c r="AY572" s="79"/>
    </row>
    <row r="573" spans="1:51" x14ac:dyDescent="0.3">
      <c r="A573" s="95" t="str">
        <f t="shared" si="108"/>
        <v>PQ Leaching</v>
      </c>
      <c r="B573" s="95" t="s">
        <v>968</v>
      </c>
      <c r="C573" s="95" t="s">
        <v>1190</v>
      </c>
      <c r="D573" t="s">
        <v>369</v>
      </c>
      <c r="E573" t="s">
        <v>61</v>
      </c>
      <c r="F573" t="s">
        <v>63</v>
      </c>
      <c r="G573" t="s">
        <v>1203</v>
      </c>
      <c r="H573" t="s">
        <v>1204</v>
      </c>
      <c r="I573" t="s">
        <v>139</v>
      </c>
      <c r="J573" t="s">
        <v>287</v>
      </c>
      <c r="K573" s="22" t="str">
        <f t="shared" si="117"/>
        <v>NO</v>
      </c>
      <c r="L573" s="22" t="str">
        <f t="shared" si="126"/>
        <v>NO</v>
      </c>
      <c r="M573" s="22" t="str">
        <f t="shared" si="126"/>
        <v>NO</v>
      </c>
      <c r="N573" s="22" t="str">
        <f t="shared" si="126"/>
        <v>NO</v>
      </c>
      <c r="O573" s="22" t="str">
        <f t="shared" si="126"/>
        <v>NO</v>
      </c>
      <c r="P573" s="22" t="str">
        <f t="shared" si="126"/>
        <v>NO</v>
      </c>
      <c r="Q573" s="22" t="str">
        <f t="shared" si="126"/>
        <v>NO</v>
      </c>
      <c r="R573" s="22" t="str">
        <f t="shared" si="126"/>
        <v>NO</v>
      </c>
      <c r="S573" s="22" t="str">
        <f t="shared" si="126"/>
        <v>NO</v>
      </c>
      <c r="T573" s="22" t="str">
        <f t="shared" si="126"/>
        <v>NO</v>
      </c>
      <c r="U573" s="22" t="str">
        <f t="shared" si="126"/>
        <v>NO</v>
      </c>
      <c r="V573" s="22" t="str">
        <f t="shared" si="126"/>
        <v>NO</v>
      </c>
      <c r="W573" s="22" t="str">
        <f t="shared" si="126"/>
        <v>NO</v>
      </c>
      <c r="X573" s="22" t="str">
        <f t="shared" si="126"/>
        <v>NO</v>
      </c>
      <c r="Y573" s="22" t="str">
        <f t="shared" si="126"/>
        <v>NO</v>
      </c>
      <c r="Z573" s="22" t="str">
        <f t="shared" si="126"/>
        <v>NO</v>
      </c>
      <c r="AA573" s="22" t="str">
        <f t="shared" si="126"/>
        <v>NO</v>
      </c>
      <c r="AB573" s="22" t="str">
        <f t="shared" si="126"/>
        <v>NO</v>
      </c>
      <c r="AC573" s="22" t="str">
        <f t="shared" si="126"/>
        <v>NO</v>
      </c>
      <c r="AD573" s="22" t="str">
        <f t="shared" si="126"/>
        <v>NO</v>
      </c>
      <c r="AE573" s="22" t="str">
        <f t="shared" si="126"/>
        <v>NO</v>
      </c>
      <c r="AF573" s="22" t="str">
        <f t="shared" si="126"/>
        <v>NO</v>
      </c>
      <c r="AG573" s="22" t="str">
        <f t="shared" si="126"/>
        <v>NO</v>
      </c>
      <c r="AH573" s="22" t="str">
        <f t="shared" si="126"/>
        <v>NO</v>
      </c>
      <c r="AI573" s="22" t="str">
        <f t="shared" si="126"/>
        <v>NO</v>
      </c>
      <c r="AJ573" s="22" t="str">
        <f t="shared" si="126"/>
        <v>NO</v>
      </c>
      <c r="AK573" s="22" t="str">
        <f t="shared" si="126"/>
        <v>NO</v>
      </c>
      <c r="AL573" s="22" t="str">
        <f t="shared" si="126"/>
        <v>NO</v>
      </c>
      <c r="AM573" s="22" t="str">
        <f t="shared" si="126"/>
        <v>NO</v>
      </c>
      <c r="AN573" s="22" t="str">
        <f t="shared" si="126"/>
        <v>NO</v>
      </c>
      <c r="AO573" s="22" t="str">
        <f t="shared" si="126"/>
        <v>NO</v>
      </c>
      <c r="AP573" s="22" t="str">
        <f t="shared" si="126"/>
        <v>NO</v>
      </c>
      <c r="AQ573" s="22" t="str">
        <f t="shared" si="126"/>
        <v>NO</v>
      </c>
      <c r="AR573" s="22" t="str">
        <f t="shared" si="126"/>
        <v>NO</v>
      </c>
      <c r="AS573" s="22" t="str">
        <f t="shared" si="126"/>
        <v>NO</v>
      </c>
      <c r="AT573" s="22" t="str">
        <f t="shared" si="126"/>
        <v>NO</v>
      </c>
      <c r="AU573" s="22" t="str">
        <f t="shared" si="126"/>
        <v>NO</v>
      </c>
      <c r="AV573" s="22" t="str">
        <f t="shared" si="126"/>
        <v>NO</v>
      </c>
      <c r="AW573" s="22" t="str">
        <f t="shared" si="126"/>
        <v>NO</v>
      </c>
      <c r="AY573" s="79"/>
    </row>
    <row r="574" spans="1:51" x14ac:dyDescent="0.3">
      <c r="A574" s="95" t="str">
        <f t="shared" si="108"/>
        <v>PQ Leaching</v>
      </c>
      <c r="B574" s="95" t="s">
        <v>968</v>
      </c>
      <c r="C574" s="95" t="s">
        <v>1190</v>
      </c>
      <c r="D574" t="s">
        <v>369</v>
      </c>
      <c r="E574" t="s">
        <v>61</v>
      </c>
      <c r="F574" t="s">
        <v>63</v>
      </c>
      <c r="G574" t="s">
        <v>1205</v>
      </c>
      <c r="H574" t="s">
        <v>1206</v>
      </c>
      <c r="I574" t="s">
        <v>139</v>
      </c>
      <c r="J574" t="s">
        <v>287</v>
      </c>
      <c r="K574" s="22" t="str">
        <f t="shared" si="117"/>
        <v>NO</v>
      </c>
      <c r="L574" s="22" t="str">
        <f t="shared" si="126"/>
        <v>NO</v>
      </c>
      <c r="M574" s="22" t="str">
        <f t="shared" si="126"/>
        <v>NO</v>
      </c>
      <c r="N574" s="22" t="str">
        <f t="shared" si="126"/>
        <v>NO</v>
      </c>
      <c r="O574" s="22" t="str">
        <f t="shared" si="126"/>
        <v>NO</v>
      </c>
      <c r="P574" s="22" t="str">
        <f t="shared" si="126"/>
        <v>NO</v>
      </c>
      <c r="Q574" s="22" t="str">
        <f t="shared" si="126"/>
        <v>NO</v>
      </c>
      <c r="R574" s="22" t="str">
        <f t="shared" si="126"/>
        <v>NO</v>
      </c>
      <c r="S574" s="22" t="str">
        <f t="shared" si="126"/>
        <v>NO</v>
      </c>
      <c r="T574" s="22" t="str">
        <f t="shared" si="126"/>
        <v>NO</v>
      </c>
      <c r="U574" s="22" t="str">
        <f t="shared" si="126"/>
        <v>NO</v>
      </c>
      <c r="V574" s="22" t="str">
        <f t="shared" si="126"/>
        <v>NO</v>
      </c>
      <c r="W574" s="22" t="str">
        <f t="shared" si="126"/>
        <v>NO</v>
      </c>
      <c r="X574" s="22" t="str">
        <f t="shared" si="126"/>
        <v>NO</v>
      </c>
      <c r="Y574" s="22" t="str">
        <f t="shared" si="126"/>
        <v>NO</v>
      </c>
      <c r="Z574" s="22" t="str">
        <f t="shared" si="126"/>
        <v>NO</v>
      </c>
      <c r="AA574" s="22" t="str">
        <f t="shared" si="126"/>
        <v>NO</v>
      </c>
      <c r="AB574" s="22" t="str">
        <f t="shared" si="126"/>
        <v>NO</v>
      </c>
      <c r="AC574" s="22" t="str">
        <f t="shared" si="126"/>
        <v>NO</v>
      </c>
      <c r="AD574" s="22" t="str">
        <f t="shared" si="126"/>
        <v>NO</v>
      </c>
      <c r="AE574" s="22" t="str">
        <f t="shared" si="126"/>
        <v>NO</v>
      </c>
      <c r="AF574" s="22" t="str">
        <f t="shared" si="126"/>
        <v>NO</v>
      </c>
      <c r="AG574" s="22" t="str">
        <f t="shared" si="126"/>
        <v>NO</v>
      </c>
      <c r="AH574" s="22" t="str">
        <f t="shared" si="126"/>
        <v>NO</v>
      </c>
      <c r="AI574" s="22" t="str">
        <f t="shared" si="126"/>
        <v>NO</v>
      </c>
      <c r="AJ574" s="22" t="str">
        <f t="shared" si="126"/>
        <v>NO</v>
      </c>
      <c r="AK574" s="22" t="str">
        <f t="shared" si="126"/>
        <v>NO</v>
      </c>
      <c r="AL574" s="22" t="str">
        <f t="shared" si="126"/>
        <v>NO</v>
      </c>
      <c r="AM574" s="22" t="str">
        <f t="shared" si="126"/>
        <v>NO</v>
      </c>
      <c r="AN574" s="22" t="str">
        <f t="shared" si="126"/>
        <v>NO</v>
      </c>
      <c r="AO574" s="22" t="str">
        <f t="shared" si="126"/>
        <v>NO</v>
      </c>
      <c r="AP574" s="22" t="str">
        <f t="shared" si="126"/>
        <v>NO</v>
      </c>
      <c r="AQ574" s="22" t="str">
        <f t="shared" si="126"/>
        <v>NO</v>
      </c>
      <c r="AR574" s="22" t="str">
        <f t="shared" si="126"/>
        <v>NO</v>
      </c>
      <c r="AS574" s="22" t="str">
        <f t="shared" si="126"/>
        <v>NO</v>
      </c>
      <c r="AT574" s="22" t="str">
        <f t="shared" si="126"/>
        <v>NO</v>
      </c>
      <c r="AU574" s="22" t="str">
        <f t="shared" si="126"/>
        <v>NO</v>
      </c>
      <c r="AV574" s="22" t="str">
        <f t="shared" si="126"/>
        <v>NO</v>
      </c>
      <c r="AW574" s="22" t="str">
        <f t="shared" si="126"/>
        <v>NO</v>
      </c>
      <c r="AY574" s="79"/>
    </row>
    <row r="575" spans="1:51" x14ac:dyDescent="0.3">
      <c r="A575" s="95" t="str">
        <f t="shared" si="108"/>
        <v>PQ Leaching</v>
      </c>
      <c r="B575" s="95" t="s">
        <v>968</v>
      </c>
      <c r="C575" s="95" t="s">
        <v>1190</v>
      </c>
      <c r="D575" t="s">
        <v>369</v>
      </c>
      <c r="E575" t="s">
        <v>61</v>
      </c>
      <c r="F575" t="s">
        <v>63</v>
      </c>
      <c r="G575" t="s">
        <v>1207</v>
      </c>
      <c r="H575" t="s">
        <v>1208</v>
      </c>
      <c r="I575" t="s">
        <v>139</v>
      </c>
      <c r="J575" t="s">
        <v>287</v>
      </c>
      <c r="K575" s="22" t="str">
        <f t="shared" si="117"/>
        <v>NO</v>
      </c>
      <c r="L575" s="22" t="str">
        <f t="shared" si="126"/>
        <v>NO</v>
      </c>
      <c r="M575" s="22" t="str">
        <f t="shared" si="126"/>
        <v>NO</v>
      </c>
      <c r="N575" s="22" t="str">
        <f t="shared" si="126"/>
        <v>NO</v>
      </c>
      <c r="O575" s="22" t="str">
        <f t="shared" si="126"/>
        <v>NO</v>
      </c>
      <c r="P575" s="22" t="str">
        <f t="shared" si="126"/>
        <v>NO</v>
      </c>
      <c r="Q575" s="22" t="str">
        <f t="shared" si="126"/>
        <v>NO</v>
      </c>
      <c r="R575" s="22" t="str">
        <f t="shared" si="126"/>
        <v>NO</v>
      </c>
      <c r="S575" s="22" t="str">
        <f t="shared" si="126"/>
        <v>NO</v>
      </c>
      <c r="T575" s="22" t="str">
        <f t="shared" si="126"/>
        <v>NO</v>
      </c>
      <c r="U575" s="22" t="str">
        <f t="shared" si="126"/>
        <v>NO</v>
      </c>
      <c r="V575" s="22" t="str">
        <f t="shared" si="126"/>
        <v>NO</v>
      </c>
      <c r="W575" s="22" t="str">
        <f t="shared" si="126"/>
        <v>NO</v>
      </c>
      <c r="X575" s="22" t="str">
        <f t="shared" si="126"/>
        <v>NO</v>
      </c>
      <c r="Y575" s="22" t="str">
        <f t="shared" si="126"/>
        <v>NO</v>
      </c>
      <c r="Z575" s="22" t="str">
        <f t="shared" si="126"/>
        <v>NO</v>
      </c>
      <c r="AA575" s="22" t="str">
        <f t="shared" si="126"/>
        <v>NO</v>
      </c>
      <c r="AB575" s="22" t="str">
        <f t="shared" si="126"/>
        <v>NO</v>
      </c>
      <c r="AC575" s="22" t="str">
        <f t="shared" si="126"/>
        <v>NO</v>
      </c>
      <c r="AD575" s="22" t="str">
        <f t="shared" si="126"/>
        <v>NO</v>
      </c>
      <c r="AE575" s="22" t="str">
        <f t="shared" si="126"/>
        <v>NO</v>
      </c>
      <c r="AF575" s="22" t="str">
        <f t="shared" si="126"/>
        <v>NO</v>
      </c>
      <c r="AG575" s="22" t="str">
        <f t="shared" si="126"/>
        <v>NO</v>
      </c>
      <c r="AH575" s="22" t="str">
        <f t="shared" si="126"/>
        <v>NO</v>
      </c>
      <c r="AI575" s="22" t="str">
        <f t="shared" si="126"/>
        <v>NO</v>
      </c>
      <c r="AJ575" s="22" t="str">
        <f t="shared" si="126"/>
        <v>NO</v>
      </c>
      <c r="AK575" s="22" t="str">
        <f t="shared" si="126"/>
        <v>NO</v>
      </c>
      <c r="AL575" s="22" t="str">
        <f t="shared" si="126"/>
        <v>NO</v>
      </c>
      <c r="AM575" s="22" t="str">
        <f t="shared" si="126"/>
        <v>NO</v>
      </c>
      <c r="AN575" s="22" t="str">
        <f t="shared" si="126"/>
        <v>NO</v>
      </c>
      <c r="AO575" s="22" t="str">
        <f t="shared" si="126"/>
        <v>NO</v>
      </c>
      <c r="AP575" s="22" t="str">
        <f t="shared" si="126"/>
        <v>NO</v>
      </c>
      <c r="AQ575" s="22" t="str">
        <f t="shared" si="126"/>
        <v>NO</v>
      </c>
      <c r="AR575" s="22" t="str">
        <f t="shared" si="126"/>
        <v>NO</v>
      </c>
      <c r="AS575" s="22" t="str">
        <f t="shared" si="126"/>
        <v>NO</v>
      </c>
      <c r="AT575" s="22" t="str">
        <f t="shared" si="126"/>
        <v>NO</v>
      </c>
      <c r="AU575" s="22" t="str">
        <f t="shared" si="126"/>
        <v>NO</v>
      </c>
      <c r="AV575" s="22" t="str">
        <f t="shared" si="126"/>
        <v>NO</v>
      </c>
      <c r="AW575" s="22" t="str">
        <f t="shared" si="126"/>
        <v>NO</v>
      </c>
      <c r="AY575" s="79"/>
    </row>
    <row r="576" spans="1:51" x14ac:dyDescent="0.3">
      <c r="A576" s="95" t="str">
        <f t="shared" si="108"/>
        <v>PQ Leaching</v>
      </c>
      <c r="B576" s="95" t="s">
        <v>968</v>
      </c>
      <c r="C576" s="95" t="s">
        <v>1190</v>
      </c>
      <c r="D576" t="s">
        <v>369</v>
      </c>
      <c r="E576" t="s">
        <v>61</v>
      </c>
      <c r="F576" t="s">
        <v>63</v>
      </c>
      <c r="G576" t="s">
        <v>1209</v>
      </c>
      <c r="H576" t="s">
        <v>1210</v>
      </c>
      <c r="I576" t="s">
        <v>139</v>
      </c>
      <c r="J576" t="s">
        <v>287</v>
      </c>
      <c r="K576" s="22">
        <f t="shared" si="117"/>
        <v>1.9333864620707719E-6</v>
      </c>
      <c r="L576" s="22">
        <f t="shared" si="126"/>
        <v>1.9333864620707719E-6</v>
      </c>
      <c r="M576" s="22">
        <f t="shared" si="126"/>
        <v>1.9333864620707719E-6</v>
      </c>
      <c r="N576" s="22">
        <f t="shared" si="126"/>
        <v>1.9333864620707719E-6</v>
      </c>
      <c r="O576" s="22">
        <f t="shared" si="126"/>
        <v>1.9333864620707719E-6</v>
      </c>
      <c r="P576" s="22">
        <f t="shared" si="126"/>
        <v>1.9333864620707719E-6</v>
      </c>
      <c r="Q576" s="22">
        <f t="shared" si="126"/>
        <v>1.9333864620707719E-6</v>
      </c>
      <c r="R576" s="22">
        <f t="shared" si="126"/>
        <v>1.9333864620707719E-6</v>
      </c>
      <c r="S576" s="22">
        <f t="shared" si="126"/>
        <v>1.9333864620707719E-6</v>
      </c>
      <c r="T576" s="22">
        <f t="shared" si="126"/>
        <v>1.9333864620707719E-6</v>
      </c>
      <c r="U576" s="22">
        <f t="shared" si="126"/>
        <v>1.9333864620707719E-6</v>
      </c>
      <c r="V576" s="22">
        <f t="shared" si="126"/>
        <v>1.9333864620707719E-6</v>
      </c>
      <c r="W576" s="22">
        <f t="shared" si="126"/>
        <v>1.9333864620707719E-6</v>
      </c>
      <c r="X576" s="22">
        <f t="shared" si="126"/>
        <v>1.9333864620707719E-6</v>
      </c>
      <c r="Y576" s="22">
        <f t="shared" si="126"/>
        <v>1.9333864620707719E-6</v>
      </c>
      <c r="Z576" s="22">
        <f t="shared" si="126"/>
        <v>1.9333864620707719E-6</v>
      </c>
      <c r="AA576" s="22">
        <f t="shared" si="126"/>
        <v>1.9333864620707719E-6</v>
      </c>
      <c r="AB576" s="22">
        <f t="shared" si="126"/>
        <v>1.9333864620707719E-6</v>
      </c>
      <c r="AC576" s="22">
        <f t="shared" si="126"/>
        <v>1.9333864620707719E-6</v>
      </c>
      <c r="AD576" s="22">
        <f t="shared" si="126"/>
        <v>1.9333864620707719E-6</v>
      </c>
      <c r="AE576" s="22">
        <f t="shared" si="126"/>
        <v>1.9333864620707719E-6</v>
      </c>
      <c r="AF576" s="22">
        <f t="shared" si="126"/>
        <v>1.9333864620707719E-6</v>
      </c>
      <c r="AG576" s="22">
        <f t="shared" si="126"/>
        <v>1.9333864620707719E-6</v>
      </c>
      <c r="AH576" s="22">
        <f t="shared" si="126"/>
        <v>1.9333864620707719E-6</v>
      </c>
      <c r="AI576" s="22">
        <f t="shared" si="126"/>
        <v>1.9333864620707719E-6</v>
      </c>
      <c r="AJ576" s="22">
        <f t="shared" si="126"/>
        <v>1.9333864620707719E-6</v>
      </c>
      <c r="AK576" s="22">
        <f t="shared" si="126"/>
        <v>1.9333864620707719E-6</v>
      </c>
      <c r="AL576" s="22">
        <f t="shared" si="126"/>
        <v>1.9333864620707719E-6</v>
      </c>
      <c r="AM576" s="22">
        <f t="shared" si="126"/>
        <v>1.9333864620707719E-6</v>
      </c>
      <c r="AN576" s="22">
        <f t="shared" si="126"/>
        <v>1.9333864620707719E-6</v>
      </c>
      <c r="AO576" s="22">
        <f t="shared" si="126"/>
        <v>1.9333864620707719E-6</v>
      </c>
      <c r="AP576" s="22">
        <f t="shared" si="126"/>
        <v>1.9333864620707719E-6</v>
      </c>
      <c r="AQ576" s="22">
        <f t="shared" si="126"/>
        <v>1.9333864620707719E-6</v>
      </c>
      <c r="AR576" s="22">
        <f t="shared" si="126"/>
        <v>1.9333864620707719E-6</v>
      </c>
      <c r="AS576" s="22">
        <f t="shared" si="126"/>
        <v>1.9333864620707719E-6</v>
      </c>
      <c r="AT576" s="22">
        <f t="shared" si="126"/>
        <v>1.9333864620707719E-6</v>
      </c>
      <c r="AU576" s="22">
        <f t="shared" si="126"/>
        <v>1.9333864620707719E-6</v>
      </c>
      <c r="AV576" s="22">
        <f t="shared" si="126"/>
        <v>1.9333864620707719E-6</v>
      </c>
      <c r="AW576" s="22">
        <f t="shared" si="126"/>
        <v>1.9333864620707719E-6</v>
      </c>
      <c r="AY576" s="79"/>
    </row>
    <row r="577" spans="1:51" x14ac:dyDescent="0.3">
      <c r="A577" s="95" t="str">
        <f t="shared" si="108"/>
        <v>PQ Leaching</v>
      </c>
      <c r="B577" s="95" t="s">
        <v>968</v>
      </c>
      <c r="C577" s="95" t="s">
        <v>1190</v>
      </c>
      <c r="D577" t="s">
        <v>369</v>
      </c>
      <c r="E577" t="s">
        <v>61</v>
      </c>
      <c r="F577" t="s">
        <v>63</v>
      </c>
      <c r="G577" t="s">
        <v>1211</v>
      </c>
      <c r="H577" t="s">
        <v>1212</v>
      </c>
      <c r="I577" t="s">
        <v>139</v>
      </c>
      <c r="J577" t="s">
        <v>287</v>
      </c>
      <c r="K577" s="22">
        <f t="shared" ref="K577:Z611" si="127">K1528</f>
        <v>2.1082459751876198E-3</v>
      </c>
      <c r="L577" s="22">
        <f t="shared" si="127"/>
        <v>2.1082459751876198E-3</v>
      </c>
      <c r="M577" s="22">
        <f t="shared" si="127"/>
        <v>2.1082459751876198E-3</v>
      </c>
      <c r="N577" s="22">
        <f t="shared" si="127"/>
        <v>2.1082459751876198E-3</v>
      </c>
      <c r="O577" s="22">
        <f t="shared" si="127"/>
        <v>2.1082459751876198E-3</v>
      </c>
      <c r="P577" s="22">
        <f t="shared" si="127"/>
        <v>2.1082459751876198E-3</v>
      </c>
      <c r="Q577" s="22">
        <f t="shared" si="127"/>
        <v>2.1082459751876198E-3</v>
      </c>
      <c r="R577" s="22">
        <f t="shared" si="127"/>
        <v>2.1082459751876198E-3</v>
      </c>
      <c r="S577" s="22">
        <f t="shared" si="127"/>
        <v>2.1082459751876198E-3</v>
      </c>
      <c r="T577" s="22">
        <f t="shared" si="127"/>
        <v>2.1082459751876198E-3</v>
      </c>
      <c r="U577" s="22">
        <f t="shared" si="127"/>
        <v>2.1082459751876198E-3</v>
      </c>
      <c r="V577" s="22">
        <f t="shared" si="127"/>
        <v>2.1082459751876198E-3</v>
      </c>
      <c r="W577" s="22">
        <f t="shared" si="127"/>
        <v>2.1082459751876198E-3</v>
      </c>
      <c r="X577" s="22">
        <f t="shared" si="127"/>
        <v>2.1082459751876198E-3</v>
      </c>
      <c r="Y577" s="22">
        <f t="shared" si="127"/>
        <v>2.1082459751876198E-3</v>
      </c>
      <c r="Z577" s="22">
        <f t="shared" si="127"/>
        <v>2.1082459751876198E-3</v>
      </c>
      <c r="AA577" s="22">
        <f t="shared" si="126"/>
        <v>2.1082459751876198E-3</v>
      </c>
      <c r="AB577" s="22">
        <f t="shared" si="126"/>
        <v>2.1082459751876198E-3</v>
      </c>
      <c r="AC577" s="22">
        <f t="shared" si="126"/>
        <v>2.1082459751876198E-3</v>
      </c>
      <c r="AD577" s="22">
        <f t="shared" si="126"/>
        <v>2.1082459751876198E-3</v>
      </c>
      <c r="AE577" s="22">
        <f t="shared" si="126"/>
        <v>2.1082459751876198E-3</v>
      </c>
      <c r="AF577" s="22">
        <f t="shared" si="126"/>
        <v>2.1082459751876198E-3</v>
      </c>
      <c r="AG577" s="22">
        <f t="shared" si="126"/>
        <v>2.1082459751876198E-3</v>
      </c>
      <c r="AH577" s="22">
        <f t="shared" si="126"/>
        <v>2.1082459751876198E-3</v>
      </c>
      <c r="AI577" s="22">
        <f t="shared" si="126"/>
        <v>2.1082459751876198E-3</v>
      </c>
      <c r="AJ577" s="22">
        <f t="shared" si="126"/>
        <v>2.1082459751876198E-3</v>
      </c>
      <c r="AK577" s="22">
        <f t="shared" si="126"/>
        <v>2.1082459751876198E-3</v>
      </c>
      <c r="AL577" s="22">
        <f t="shared" si="126"/>
        <v>2.1082459751876198E-3</v>
      </c>
      <c r="AM577" s="22">
        <f t="shared" si="126"/>
        <v>2.1082459751876198E-3</v>
      </c>
      <c r="AN577" s="22">
        <f t="shared" si="126"/>
        <v>2.1082459751876198E-3</v>
      </c>
      <c r="AO577" s="22">
        <f t="shared" si="126"/>
        <v>2.1082459751876198E-3</v>
      </c>
      <c r="AP577" s="22">
        <f t="shared" si="126"/>
        <v>2.1082459751876198E-3</v>
      </c>
      <c r="AQ577" s="22">
        <f t="shared" si="126"/>
        <v>2.1082459751876198E-3</v>
      </c>
      <c r="AR577" s="22">
        <f t="shared" si="126"/>
        <v>2.1082459751876198E-3</v>
      </c>
      <c r="AS577" s="22">
        <f t="shared" si="126"/>
        <v>2.1082459751876198E-3</v>
      </c>
      <c r="AT577" s="22">
        <f t="shared" si="126"/>
        <v>2.1082459751876198E-3</v>
      </c>
      <c r="AU577" s="22">
        <f t="shared" si="126"/>
        <v>2.1082459751876198E-3</v>
      </c>
      <c r="AV577" s="22">
        <f t="shared" si="126"/>
        <v>2.1082459751876198E-3</v>
      </c>
      <c r="AW577" s="22">
        <f t="shared" si="126"/>
        <v>2.1082459751876198E-3</v>
      </c>
      <c r="AY577" s="79"/>
    </row>
    <row r="578" spans="1:51" x14ac:dyDescent="0.3">
      <c r="A578" s="95" t="str">
        <f t="shared" si="108"/>
        <v>PQ Leaching</v>
      </c>
      <c r="B578" s="95" t="s">
        <v>968</v>
      </c>
      <c r="C578" s="95" t="s">
        <v>1190</v>
      </c>
      <c r="D578" t="s">
        <v>369</v>
      </c>
      <c r="E578" t="s">
        <v>61</v>
      </c>
      <c r="F578" t="s">
        <v>63</v>
      </c>
      <c r="G578" t="s">
        <v>1213</v>
      </c>
      <c r="H578" t="s">
        <v>1214</v>
      </c>
      <c r="I578" t="s">
        <v>139</v>
      </c>
      <c r="J578" t="s">
        <v>287</v>
      </c>
      <c r="K578" s="22" t="str">
        <f t="shared" si="127"/>
        <v>NO</v>
      </c>
      <c r="L578" s="22" t="str">
        <f t="shared" si="126"/>
        <v>NO</v>
      </c>
      <c r="M578" s="22" t="str">
        <f t="shared" si="126"/>
        <v>NO</v>
      </c>
      <c r="N578" s="22" t="str">
        <f t="shared" si="126"/>
        <v>NO</v>
      </c>
      <c r="O578" s="22" t="str">
        <f t="shared" si="126"/>
        <v>NO</v>
      </c>
      <c r="P578" s="22" t="str">
        <f t="shared" si="126"/>
        <v>NO</v>
      </c>
      <c r="Q578" s="22" t="str">
        <f t="shared" si="126"/>
        <v>NO</v>
      </c>
      <c r="R578" s="22" t="str">
        <f t="shared" si="126"/>
        <v>NO</v>
      </c>
      <c r="S578" s="22" t="str">
        <f t="shared" si="126"/>
        <v>NO</v>
      </c>
      <c r="T578" s="22" t="str">
        <f t="shared" si="126"/>
        <v>NO</v>
      </c>
      <c r="U578" s="22" t="str">
        <f t="shared" si="126"/>
        <v>NO</v>
      </c>
      <c r="V578" s="22" t="str">
        <f t="shared" si="126"/>
        <v>NO</v>
      </c>
      <c r="W578" s="22" t="str">
        <f t="shared" si="126"/>
        <v>NO</v>
      </c>
      <c r="X578" s="22" t="str">
        <f t="shared" si="126"/>
        <v>NO</v>
      </c>
      <c r="Y578" s="22" t="str">
        <f t="shared" si="126"/>
        <v>NO</v>
      </c>
      <c r="Z578" s="22" t="str">
        <f t="shared" si="126"/>
        <v>NO</v>
      </c>
      <c r="AA578" s="22" t="str">
        <f t="shared" si="126"/>
        <v>NO</v>
      </c>
      <c r="AB578" s="22" t="str">
        <f t="shared" si="126"/>
        <v>NO</v>
      </c>
      <c r="AC578" s="22" t="str">
        <f t="shared" si="126"/>
        <v>NO</v>
      </c>
      <c r="AD578" s="22" t="str">
        <f t="shared" si="126"/>
        <v>NO</v>
      </c>
      <c r="AE578" s="22" t="str">
        <f t="shared" si="126"/>
        <v>NO</v>
      </c>
      <c r="AF578" s="22" t="str">
        <f t="shared" si="126"/>
        <v>NO</v>
      </c>
      <c r="AG578" s="22" t="str">
        <f t="shared" si="126"/>
        <v>NO</v>
      </c>
      <c r="AH578" s="22" t="str">
        <f t="shared" si="126"/>
        <v>NO</v>
      </c>
      <c r="AI578" s="22" t="str">
        <f t="shared" si="126"/>
        <v>NO</v>
      </c>
      <c r="AJ578" s="22" t="str">
        <f t="shared" si="126"/>
        <v>NO</v>
      </c>
      <c r="AK578" s="22" t="str">
        <f t="shared" si="126"/>
        <v>NO</v>
      </c>
      <c r="AL578" s="22" t="str">
        <f t="shared" si="126"/>
        <v>NO</v>
      </c>
      <c r="AM578" s="22" t="str">
        <f t="shared" si="126"/>
        <v>NO</v>
      </c>
      <c r="AN578" s="22" t="str">
        <f t="shared" si="126"/>
        <v>NO</v>
      </c>
      <c r="AO578" s="22" t="str">
        <f t="shared" si="126"/>
        <v>NO</v>
      </c>
      <c r="AP578" s="22" t="str">
        <f t="shared" si="126"/>
        <v>NO</v>
      </c>
      <c r="AQ578" s="22" t="str">
        <f t="shared" si="126"/>
        <v>NO</v>
      </c>
      <c r="AR578" s="22" t="str">
        <f t="shared" si="126"/>
        <v>NO</v>
      </c>
      <c r="AS578" s="22" t="str">
        <f t="shared" si="126"/>
        <v>NO</v>
      </c>
      <c r="AT578" s="22" t="str">
        <f t="shared" si="126"/>
        <v>NO</v>
      </c>
      <c r="AU578" s="22" t="str">
        <f t="shared" si="126"/>
        <v>NO</v>
      </c>
      <c r="AV578" s="22" t="str">
        <f t="shared" si="126"/>
        <v>NO</v>
      </c>
      <c r="AW578" s="22" t="str">
        <f t="shared" si="126"/>
        <v>NO</v>
      </c>
      <c r="AY578" s="79"/>
    </row>
    <row r="579" spans="1:51" x14ac:dyDescent="0.3">
      <c r="A579" s="95" t="str">
        <f t="shared" si="108"/>
        <v xml:space="preserve">PQ </v>
      </c>
      <c r="B579" s="95" t="s">
        <v>968</v>
      </c>
      <c r="C579" s="95"/>
      <c r="D579" t="s">
        <v>369</v>
      </c>
      <c r="E579" t="s">
        <v>61</v>
      </c>
      <c r="F579" t="s">
        <v>63</v>
      </c>
      <c r="G579" t="s">
        <v>1215</v>
      </c>
      <c r="H579" t="s">
        <v>1216</v>
      </c>
      <c r="I579" t="s">
        <v>139</v>
      </c>
      <c r="J579" t="s">
        <v>287</v>
      </c>
      <c r="K579" s="22">
        <f t="shared" si="127"/>
        <v>0.11026792439175388</v>
      </c>
      <c r="L579" s="22">
        <f t="shared" si="126"/>
        <v>0.11026792439175388</v>
      </c>
      <c r="M579" s="22">
        <f t="shared" si="126"/>
        <v>0.11026792439175388</v>
      </c>
      <c r="N579" s="22">
        <f t="shared" si="126"/>
        <v>0.11026792439175388</v>
      </c>
      <c r="O579" s="22">
        <f t="shared" si="126"/>
        <v>0.11026792439175388</v>
      </c>
      <c r="P579" s="22">
        <f t="shared" si="126"/>
        <v>0.11026792439175388</v>
      </c>
      <c r="Q579" s="22">
        <f t="shared" si="126"/>
        <v>0.11026792439175388</v>
      </c>
      <c r="R579" s="22">
        <f t="shared" si="126"/>
        <v>0.11026792439175388</v>
      </c>
      <c r="S579" s="22">
        <f t="shared" si="126"/>
        <v>0.11026792439175388</v>
      </c>
      <c r="T579" s="22">
        <f t="shared" si="126"/>
        <v>0.11026792439175388</v>
      </c>
      <c r="U579" s="22">
        <f t="shared" si="126"/>
        <v>0.11026792439175388</v>
      </c>
      <c r="V579" s="22">
        <f t="shared" si="126"/>
        <v>0.11026792439175388</v>
      </c>
      <c r="W579" s="22">
        <f t="shared" si="126"/>
        <v>0.11026792439175388</v>
      </c>
      <c r="X579" s="22">
        <f t="shared" si="126"/>
        <v>0.11026792439175388</v>
      </c>
      <c r="Y579" s="22">
        <f t="shared" si="126"/>
        <v>0.11026792439175388</v>
      </c>
      <c r="Z579" s="22">
        <f t="shared" si="126"/>
        <v>0.11026792439175388</v>
      </c>
      <c r="AA579" s="22">
        <f t="shared" si="126"/>
        <v>0.11026792439175388</v>
      </c>
      <c r="AB579" s="22">
        <f t="shared" si="126"/>
        <v>0.11026792439175388</v>
      </c>
      <c r="AC579" s="22">
        <f t="shared" si="126"/>
        <v>0.11026792439175388</v>
      </c>
      <c r="AD579" s="22">
        <f t="shared" si="126"/>
        <v>0.11026792439175388</v>
      </c>
      <c r="AE579" s="22">
        <f t="shared" si="126"/>
        <v>0.11026792439175388</v>
      </c>
      <c r="AF579" s="22">
        <f t="shared" si="126"/>
        <v>0.11026792439175388</v>
      </c>
      <c r="AG579" s="22">
        <f t="shared" si="126"/>
        <v>0.11026792439175388</v>
      </c>
      <c r="AH579" s="22">
        <f t="shared" si="126"/>
        <v>0.11026792439175388</v>
      </c>
      <c r="AI579" s="22">
        <f t="shared" si="126"/>
        <v>0.11026792439175388</v>
      </c>
      <c r="AJ579" s="22">
        <f t="shared" si="126"/>
        <v>0.11026792439175388</v>
      </c>
      <c r="AK579" s="22">
        <f t="shared" si="126"/>
        <v>0.11026792439175388</v>
      </c>
      <c r="AL579" s="22">
        <f t="shared" si="126"/>
        <v>0.11026792439175388</v>
      </c>
      <c r="AM579" s="22">
        <f t="shared" si="126"/>
        <v>0.11026792439175388</v>
      </c>
      <c r="AN579" s="22">
        <f t="shared" si="126"/>
        <v>0.11026792439175388</v>
      </c>
      <c r="AO579" s="22">
        <f t="shared" si="126"/>
        <v>0.11026792439175388</v>
      </c>
      <c r="AP579" s="22">
        <f t="shared" si="126"/>
        <v>0.11026792439175388</v>
      </c>
      <c r="AQ579" s="22">
        <f t="shared" si="126"/>
        <v>0.11026792439175388</v>
      </c>
      <c r="AR579" s="22">
        <f t="shared" si="126"/>
        <v>0.11026792439175388</v>
      </c>
      <c r="AS579" s="22">
        <f t="shared" si="126"/>
        <v>0.11026792439175388</v>
      </c>
      <c r="AT579" s="22">
        <f t="shared" ref="L579:AW586" si="128">AT1530</f>
        <v>0.11026792439175388</v>
      </c>
      <c r="AU579" s="22">
        <f t="shared" si="128"/>
        <v>0.11026792439175388</v>
      </c>
      <c r="AV579" s="22">
        <f t="shared" si="128"/>
        <v>0.11026792439175388</v>
      </c>
      <c r="AW579" s="22">
        <f t="shared" si="128"/>
        <v>0.11026792439175388</v>
      </c>
      <c r="AY579" s="79"/>
    </row>
    <row r="580" spans="1:51" x14ac:dyDescent="0.3">
      <c r="A580" s="95" t="str">
        <f t="shared" si="108"/>
        <v>PQ MM Volatilisation</v>
      </c>
      <c r="B580" s="95" t="s">
        <v>968</v>
      </c>
      <c r="C580" s="95" t="s">
        <v>1332</v>
      </c>
      <c r="D580" t="s">
        <v>369</v>
      </c>
      <c r="E580" t="s">
        <v>64</v>
      </c>
      <c r="F580" t="s">
        <v>62</v>
      </c>
      <c r="G580" t="s">
        <v>1152</v>
      </c>
      <c r="H580" t="s">
        <v>1290</v>
      </c>
      <c r="I580" t="s">
        <v>139</v>
      </c>
      <c r="J580" t="s">
        <v>287</v>
      </c>
      <c r="K580" s="22">
        <f t="shared" si="127"/>
        <v>0.39609736661915962</v>
      </c>
      <c r="L580" s="22">
        <f t="shared" si="128"/>
        <v>0.39831175345583031</v>
      </c>
      <c r="M580" s="22">
        <f t="shared" si="128"/>
        <v>0.40145358914715529</v>
      </c>
      <c r="N580" s="22">
        <f t="shared" si="128"/>
        <v>0.40347255325329029</v>
      </c>
      <c r="O580" s="22">
        <f t="shared" si="128"/>
        <v>0.40481416413578264</v>
      </c>
      <c r="P580" s="22">
        <f t="shared" si="128"/>
        <v>0.40546521734783814</v>
      </c>
      <c r="Q580" s="22">
        <f t="shared" si="128"/>
        <v>0.40690363619044922</v>
      </c>
      <c r="R580" s="22">
        <f t="shared" si="128"/>
        <v>0.40855374420631185</v>
      </c>
      <c r="S580" s="22">
        <f t="shared" si="128"/>
        <v>0.39627278224994505</v>
      </c>
      <c r="T580" s="22">
        <f t="shared" si="128"/>
        <v>0.40043963770604657</v>
      </c>
      <c r="U580" s="22">
        <f t="shared" si="128"/>
        <v>0.40653881152865828</v>
      </c>
      <c r="V580" s="22">
        <f t="shared" si="128"/>
        <v>0.4097001600416656</v>
      </c>
      <c r="W580" s="22">
        <f t="shared" si="128"/>
        <v>0.41331316056610856</v>
      </c>
      <c r="X580" s="22">
        <f t="shared" si="128"/>
        <v>0.41749483013247579</v>
      </c>
      <c r="Y580" s="22">
        <f t="shared" si="128"/>
        <v>0.42176510375665716</v>
      </c>
      <c r="Z580" s="22">
        <f t="shared" si="128"/>
        <v>0.42649174593727851</v>
      </c>
      <c r="AA580" s="22">
        <f t="shared" si="128"/>
        <v>0.43136480656999721</v>
      </c>
      <c r="AB580" s="22">
        <f t="shared" si="128"/>
        <v>0.43666405575288475</v>
      </c>
      <c r="AC580" s="22">
        <f t="shared" si="128"/>
        <v>0.44208284608865023</v>
      </c>
      <c r="AD580" s="22">
        <f t="shared" si="128"/>
        <v>0.44793692741043817</v>
      </c>
      <c r="AE580" s="22">
        <f t="shared" si="128"/>
        <v>0.45371177751541658</v>
      </c>
      <c r="AF580" s="22">
        <f t="shared" si="128"/>
        <v>0.45980708874384696</v>
      </c>
      <c r="AG580" s="22">
        <f t="shared" si="128"/>
        <v>0.4667018933762529</v>
      </c>
      <c r="AH580" s="22">
        <f t="shared" si="128"/>
        <v>0.47325726684756153</v>
      </c>
      <c r="AI580" s="22">
        <f t="shared" si="128"/>
        <v>0.47997976762000966</v>
      </c>
      <c r="AJ580" s="22">
        <f t="shared" si="128"/>
        <v>0.48716917791574549</v>
      </c>
      <c r="AK580" s="22">
        <f t="shared" si="128"/>
        <v>0.49390478893176154</v>
      </c>
      <c r="AL580" s="22">
        <f t="shared" si="128"/>
        <v>0.50060384763887944</v>
      </c>
      <c r="AM580" s="22">
        <f t="shared" si="128"/>
        <v>0.50728498742813199</v>
      </c>
      <c r="AN580" s="22">
        <f t="shared" si="128"/>
        <v>0.51435343301423675</v>
      </c>
      <c r="AO580" s="22">
        <f t="shared" si="128"/>
        <v>0.52113757148367401</v>
      </c>
      <c r="AP580" s="22">
        <f t="shared" si="128"/>
        <v>0.52818514749495915</v>
      </c>
      <c r="AQ580" s="22">
        <f t="shared" si="128"/>
        <v>0.5355283037572397</v>
      </c>
      <c r="AR580" s="22">
        <f t="shared" si="128"/>
        <v>0.5432187291547913</v>
      </c>
      <c r="AS580" s="22">
        <f t="shared" si="128"/>
        <v>0.55104518804876201</v>
      </c>
      <c r="AT580" s="22">
        <f t="shared" si="128"/>
        <v>0.55290077890622136</v>
      </c>
      <c r="AU580" s="22">
        <f t="shared" si="128"/>
        <v>0.55422139724319897</v>
      </c>
      <c r="AV580" s="22">
        <f t="shared" si="128"/>
        <v>0.55476247870419659</v>
      </c>
      <c r="AW580" s="22">
        <f t="shared" si="128"/>
        <v>0.55508919829714432</v>
      </c>
      <c r="AY580" s="79"/>
    </row>
    <row r="581" spans="1:51" x14ac:dyDescent="0.3">
      <c r="A581" s="95" t="str">
        <f t="shared" si="108"/>
        <v>PQ MM Volatilisation</v>
      </c>
      <c r="B581" s="95" t="s">
        <v>968</v>
      </c>
      <c r="C581" s="95" t="s">
        <v>1332</v>
      </c>
      <c r="D581" t="s">
        <v>369</v>
      </c>
      <c r="E581" t="s">
        <v>64</v>
      </c>
      <c r="F581" t="s">
        <v>62</v>
      </c>
      <c r="G581" t="s">
        <v>1154</v>
      </c>
      <c r="H581" t="s">
        <v>1291</v>
      </c>
      <c r="I581" t="s">
        <v>139</v>
      </c>
      <c r="J581" t="s">
        <v>287</v>
      </c>
      <c r="K581" s="22">
        <f t="shared" si="127"/>
        <v>3.1249813656142676E-2</v>
      </c>
      <c r="L581" s="22">
        <f t="shared" si="128"/>
        <v>3.1424516095088978E-2</v>
      </c>
      <c r="M581" s="22">
        <f t="shared" si="128"/>
        <v>3.1672388936885787E-2</v>
      </c>
      <c r="N581" s="22">
        <f t="shared" si="128"/>
        <v>3.1831673641638247E-2</v>
      </c>
      <c r="O581" s="22">
        <f t="shared" si="128"/>
        <v>3.1937519056453256E-2</v>
      </c>
      <c r="P581" s="22">
        <f t="shared" si="128"/>
        <v>3.198888342610464E-2</v>
      </c>
      <c r="Q581" s="22">
        <f t="shared" si="128"/>
        <v>3.2102366434524382E-2</v>
      </c>
      <c r="R581" s="22">
        <f t="shared" si="128"/>
        <v>3.2232550506305392E-2</v>
      </c>
      <c r="S581" s="22">
        <f t="shared" si="128"/>
        <v>3.1263652944752973E-2</v>
      </c>
      <c r="T581" s="22">
        <f t="shared" si="128"/>
        <v>3.1592393975390647E-2</v>
      </c>
      <c r="U581" s="22">
        <f t="shared" si="128"/>
        <v>3.2073583858170898E-2</v>
      </c>
      <c r="V581" s="22">
        <f t="shared" si="128"/>
        <v>3.2322996149842582E-2</v>
      </c>
      <c r="W581" s="22">
        <f t="shared" si="128"/>
        <v>3.2608041198468073E-2</v>
      </c>
      <c r="X581" s="22">
        <f t="shared" si="128"/>
        <v>3.2937950977560811E-2</v>
      </c>
      <c r="Y581" s="22">
        <f t="shared" si="128"/>
        <v>3.3274851109352674E-2</v>
      </c>
      <c r="Z581" s="22">
        <f t="shared" si="128"/>
        <v>3.3647756106486112E-2</v>
      </c>
      <c r="AA581" s="22">
        <f t="shared" si="128"/>
        <v>3.4032212680907031E-2</v>
      </c>
      <c r="AB581" s="22">
        <f t="shared" si="128"/>
        <v>3.4450293091024778E-2</v>
      </c>
      <c r="AC581" s="22">
        <f t="shared" si="128"/>
        <v>3.4877804613456062E-2</v>
      </c>
      <c r="AD581" s="22">
        <f t="shared" si="128"/>
        <v>3.5339658101640622E-2</v>
      </c>
      <c r="AE581" s="22">
        <f t="shared" si="128"/>
        <v>3.5795260700600191E-2</v>
      </c>
      <c r="AF581" s="22">
        <f t="shared" si="128"/>
        <v>3.6276145846821803E-2</v>
      </c>
      <c r="AG581" s="22">
        <f t="shared" si="128"/>
        <v>3.682010644367513E-2</v>
      </c>
      <c r="AH581" s="22">
        <f t="shared" si="128"/>
        <v>3.7337287865943425E-2</v>
      </c>
      <c r="AI581" s="22">
        <f t="shared" si="128"/>
        <v>3.7867654675082699E-2</v>
      </c>
      <c r="AJ581" s="22">
        <f t="shared" si="128"/>
        <v>3.843485797147652E-2</v>
      </c>
      <c r="AK581" s="22">
        <f t="shared" si="128"/>
        <v>3.8966259103746965E-2</v>
      </c>
      <c r="AL581" s="22">
        <f t="shared" si="128"/>
        <v>3.9494776468191543E-2</v>
      </c>
      <c r="AM581" s="22">
        <f t="shared" si="128"/>
        <v>4.0021880132643621E-2</v>
      </c>
      <c r="AN581" s="22">
        <f t="shared" si="128"/>
        <v>4.0579540006249255E-2</v>
      </c>
      <c r="AO581" s="22">
        <f t="shared" si="128"/>
        <v>4.1114769676663131E-2</v>
      </c>
      <c r="AP581" s="22">
        <f t="shared" si="128"/>
        <v>4.167078306034188E-2</v>
      </c>
      <c r="AQ581" s="22">
        <f t="shared" si="128"/>
        <v>4.2250116032946157E-2</v>
      </c>
      <c r="AR581" s="22">
        <f t="shared" si="128"/>
        <v>4.2856846551407354E-2</v>
      </c>
      <c r="AS581" s="22">
        <f t="shared" si="128"/>
        <v>4.3474309333630792E-2</v>
      </c>
      <c r="AT581" s="22">
        <f t="shared" si="128"/>
        <v>4.3620704824751035E-2</v>
      </c>
      <c r="AU581" s="22">
        <f t="shared" si="128"/>
        <v>4.3724894047955633E-2</v>
      </c>
      <c r="AV581" s="22">
        <f t="shared" si="128"/>
        <v>4.376758227629024E-2</v>
      </c>
      <c r="AW581" s="22">
        <f t="shared" si="128"/>
        <v>4.3793358580951298E-2</v>
      </c>
      <c r="AY581" s="79"/>
    </row>
    <row r="582" spans="1:51" x14ac:dyDescent="0.3">
      <c r="A582" s="95" t="str">
        <f t="shared" si="108"/>
        <v>PQ MM Volatilisation</v>
      </c>
      <c r="B582" s="95" t="s">
        <v>968</v>
      </c>
      <c r="C582" s="95" t="s">
        <v>1332</v>
      </c>
      <c r="D582" t="s">
        <v>369</v>
      </c>
      <c r="E582" t="s">
        <v>64</v>
      </c>
      <c r="F582" t="s">
        <v>62</v>
      </c>
      <c r="G582" t="s">
        <v>1156</v>
      </c>
      <c r="H582" t="s">
        <v>1292</v>
      </c>
      <c r="I582" t="s">
        <v>139</v>
      </c>
      <c r="J582" t="s">
        <v>287</v>
      </c>
      <c r="K582" s="22">
        <f t="shared" si="127"/>
        <v>2.8967336997006343E-4</v>
      </c>
      <c r="L582" s="22">
        <f t="shared" si="128"/>
        <v>2.9129279224209415E-4</v>
      </c>
      <c r="M582" s="22">
        <f t="shared" si="128"/>
        <v>2.9359047510821973E-4</v>
      </c>
      <c r="N582" s="22">
        <f t="shared" si="128"/>
        <v>2.9506698110336069E-4</v>
      </c>
      <c r="O582" s="22">
        <f t="shared" si="128"/>
        <v>2.9604812609010248E-4</v>
      </c>
      <c r="P582" s="22">
        <f t="shared" si="128"/>
        <v>2.9652425341095714E-4</v>
      </c>
      <c r="Q582" s="22">
        <f t="shared" si="128"/>
        <v>2.9757619585915883E-4</v>
      </c>
      <c r="R582" s="22">
        <f t="shared" si="128"/>
        <v>2.9878295053629647E-4</v>
      </c>
      <c r="S582" s="22">
        <f t="shared" si="128"/>
        <v>2.8980165468285715E-4</v>
      </c>
      <c r="T582" s="22">
        <f t="shared" si="128"/>
        <v>2.9284895356406268E-4</v>
      </c>
      <c r="U582" s="22">
        <f t="shared" si="128"/>
        <v>2.9730939279977176E-4</v>
      </c>
      <c r="V582" s="22">
        <f t="shared" si="128"/>
        <v>2.996213457552509E-4</v>
      </c>
      <c r="W582" s="22">
        <f t="shared" si="128"/>
        <v>3.0226360022553945E-4</v>
      </c>
      <c r="X582" s="22">
        <f t="shared" si="128"/>
        <v>3.0532173294106326E-4</v>
      </c>
      <c r="Y582" s="22">
        <f t="shared" si="128"/>
        <v>3.084446634517329E-4</v>
      </c>
      <c r="Z582" s="22">
        <f t="shared" si="128"/>
        <v>3.1190134477428172E-4</v>
      </c>
      <c r="AA582" s="22">
        <f t="shared" si="128"/>
        <v>3.1546510463362291E-4</v>
      </c>
      <c r="AB582" s="22">
        <f t="shared" si="128"/>
        <v>3.1934054410503462E-4</v>
      </c>
      <c r="AC582" s="22">
        <f t="shared" si="128"/>
        <v>3.2330340624451355E-4</v>
      </c>
      <c r="AD582" s="22">
        <f t="shared" si="128"/>
        <v>3.2758460477667038E-4</v>
      </c>
      <c r="AE582" s="22">
        <f t="shared" si="128"/>
        <v>3.3180786004660364E-4</v>
      </c>
      <c r="AF582" s="22">
        <f t="shared" si="128"/>
        <v>3.3626547449535976E-4</v>
      </c>
      <c r="AG582" s="22">
        <f t="shared" si="128"/>
        <v>3.4130777333769093E-4</v>
      </c>
      <c r="AH582" s="22">
        <f t="shared" si="128"/>
        <v>3.4610183985990577E-4</v>
      </c>
      <c r="AI582" s="22">
        <f t="shared" si="128"/>
        <v>3.5101812968531553E-4</v>
      </c>
      <c r="AJ582" s="22">
        <f t="shared" si="128"/>
        <v>3.5627587912767834E-4</v>
      </c>
      <c r="AK582" s="22">
        <f t="shared" si="128"/>
        <v>3.6120175671800533E-4</v>
      </c>
      <c r="AL582" s="22">
        <f t="shared" si="128"/>
        <v>3.661009029251144E-4</v>
      </c>
      <c r="AM582" s="22">
        <f t="shared" si="128"/>
        <v>3.7098694469437114E-4</v>
      </c>
      <c r="AN582" s="22">
        <f t="shared" si="128"/>
        <v>3.7615623039514106E-4</v>
      </c>
      <c r="AO582" s="22">
        <f t="shared" si="128"/>
        <v>3.8111759701456354E-4</v>
      </c>
      <c r="AP582" s="22">
        <f t="shared" si="128"/>
        <v>3.8627162040718048E-4</v>
      </c>
      <c r="AQ582" s="22">
        <f t="shared" si="128"/>
        <v>3.916418071339122E-4</v>
      </c>
      <c r="AR582" s="22">
        <f t="shared" si="128"/>
        <v>3.9726595823702738E-4</v>
      </c>
      <c r="AS582" s="22">
        <f t="shared" si="128"/>
        <v>4.0298959316573016E-4</v>
      </c>
      <c r="AT582" s="22">
        <f t="shared" si="128"/>
        <v>4.0434662126605264E-4</v>
      </c>
      <c r="AU582" s="22">
        <f t="shared" si="128"/>
        <v>4.0531241401388569E-4</v>
      </c>
      <c r="AV582" s="22">
        <f t="shared" si="128"/>
        <v>4.0570811694817522E-4</v>
      </c>
      <c r="AW582" s="22">
        <f t="shared" si="128"/>
        <v>4.0594705306212152E-4</v>
      </c>
      <c r="AY582" s="79"/>
    </row>
    <row r="583" spans="1:51" x14ac:dyDescent="0.3">
      <c r="A583" s="95" t="str">
        <f t="shared" si="108"/>
        <v>PQ MM Volatilisation</v>
      </c>
      <c r="B583" s="95" t="s">
        <v>968</v>
      </c>
      <c r="C583" s="95" t="s">
        <v>1332</v>
      </c>
      <c r="D583" t="s">
        <v>369</v>
      </c>
      <c r="E583" t="s">
        <v>64</v>
      </c>
      <c r="F583" t="s">
        <v>62</v>
      </c>
      <c r="G583" t="s">
        <v>1158</v>
      </c>
      <c r="H583" t="s">
        <v>1293</v>
      </c>
      <c r="I583" t="s">
        <v>139</v>
      </c>
      <c r="J583" t="s">
        <v>287</v>
      </c>
      <c r="K583" s="22">
        <f t="shared" si="127"/>
        <v>3.2323215352203891E-3</v>
      </c>
      <c r="L583" s="22">
        <f t="shared" si="128"/>
        <v>3.2042886428129448E-3</v>
      </c>
      <c r="M583" s="22">
        <f t="shared" si="128"/>
        <v>3.193617369300608E-3</v>
      </c>
      <c r="N583" s="22">
        <f t="shared" si="128"/>
        <v>3.150970789688672E-3</v>
      </c>
      <c r="O583" s="22">
        <f t="shared" si="128"/>
        <v>3.0890682378804119E-3</v>
      </c>
      <c r="P583" s="22">
        <f t="shared" si="128"/>
        <v>3.0091897617382942E-3</v>
      </c>
      <c r="Q583" s="22">
        <f t="shared" si="128"/>
        <v>2.9461872714039495E-3</v>
      </c>
      <c r="R583" s="22">
        <f t="shared" si="128"/>
        <v>2.8865797531671877E-3</v>
      </c>
      <c r="S583" s="22">
        <f t="shared" si="128"/>
        <v>2.5393486840215836E-3</v>
      </c>
      <c r="T583" s="22">
        <f t="shared" si="128"/>
        <v>2.580595358897255E-3</v>
      </c>
      <c r="U583" s="22">
        <f t="shared" si="128"/>
        <v>2.657542332078646E-3</v>
      </c>
      <c r="V583" s="22">
        <f t="shared" si="128"/>
        <v>2.672909531392759E-3</v>
      </c>
      <c r="W583" s="22">
        <f t="shared" si="128"/>
        <v>2.69507345244463E-3</v>
      </c>
      <c r="X583" s="22">
        <f t="shared" si="128"/>
        <v>2.7259926112042248E-3</v>
      </c>
      <c r="Y583" s="22">
        <f t="shared" si="128"/>
        <v>2.7614582970453471E-3</v>
      </c>
      <c r="Z583" s="22">
        <f t="shared" si="128"/>
        <v>2.8030399515039583E-3</v>
      </c>
      <c r="AA583" s="22">
        <f t="shared" si="128"/>
        <v>2.8448133898556971E-3</v>
      </c>
      <c r="AB583" s="22">
        <f t="shared" si="128"/>
        <v>2.8917956180905236E-3</v>
      </c>
      <c r="AC583" s="22">
        <f t="shared" si="128"/>
        <v>2.9383115991341744E-3</v>
      </c>
      <c r="AD583" s="22">
        <f t="shared" si="128"/>
        <v>2.9686122408824826E-3</v>
      </c>
      <c r="AE583" s="22">
        <f t="shared" si="128"/>
        <v>2.9934911793624186E-3</v>
      </c>
      <c r="AF583" s="22">
        <f t="shared" si="128"/>
        <v>3.0197743682154753E-3</v>
      </c>
      <c r="AG583" s="22">
        <f t="shared" si="128"/>
        <v>3.0549409795984986E-3</v>
      </c>
      <c r="AH583" s="22">
        <f t="shared" si="128"/>
        <v>3.0802316239663852E-3</v>
      </c>
      <c r="AI583" s="22">
        <f t="shared" si="128"/>
        <v>3.1071852189437066E-3</v>
      </c>
      <c r="AJ583" s="22">
        <f t="shared" si="128"/>
        <v>3.1368555493036434E-3</v>
      </c>
      <c r="AK583" s="22">
        <f t="shared" si="128"/>
        <v>3.1553441150186925E-3</v>
      </c>
      <c r="AL583" s="22">
        <f t="shared" si="128"/>
        <v>3.1692145745473945E-3</v>
      </c>
      <c r="AM583" s="22">
        <f t="shared" si="128"/>
        <v>3.1788623674795236E-3</v>
      </c>
      <c r="AN583" s="22">
        <f t="shared" si="128"/>
        <v>3.2088548057950931E-3</v>
      </c>
      <c r="AO583" s="22">
        <f t="shared" si="128"/>
        <v>3.2316528557922693E-3</v>
      </c>
      <c r="AP583" s="22">
        <f t="shared" si="128"/>
        <v>3.2547386832550949E-3</v>
      </c>
      <c r="AQ583" s="22">
        <f t="shared" si="128"/>
        <v>3.2783763796135966E-3</v>
      </c>
      <c r="AR583" s="22">
        <f t="shared" si="128"/>
        <v>3.3030426066013221E-3</v>
      </c>
      <c r="AS583" s="22">
        <f t="shared" si="128"/>
        <v>3.3283682698185247E-3</v>
      </c>
      <c r="AT583" s="22">
        <f t="shared" si="128"/>
        <v>3.2784104491001818E-3</v>
      </c>
      <c r="AU583" s="22">
        <f t="shared" si="128"/>
        <v>3.2218166400979921E-3</v>
      </c>
      <c r="AV583" s="22">
        <f t="shared" si="128"/>
        <v>3.1562062621096833E-3</v>
      </c>
      <c r="AW583" s="22">
        <f t="shared" si="128"/>
        <v>3.0885397025865453E-3</v>
      </c>
      <c r="AY583" s="79"/>
    </row>
    <row r="584" spans="1:51" x14ac:dyDescent="0.3">
      <c r="A584" s="95" t="str">
        <f t="shared" si="108"/>
        <v>PQ MM Volatilisation</v>
      </c>
      <c r="B584" s="95" t="s">
        <v>968</v>
      </c>
      <c r="C584" s="95" t="s">
        <v>1332</v>
      </c>
      <c r="D584" t="s">
        <v>369</v>
      </c>
      <c r="E584" t="s">
        <v>64</v>
      </c>
      <c r="F584" t="s">
        <v>62</v>
      </c>
      <c r="G584" t="s">
        <v>1160</v>
      </c>
      <c r="H584" t="s">
        <v>1294</v>
      </c>
      <c r="I584" t="s">
        <v>139</v>
      </c>
      <c r="J584" t="s">
        <v>287</v>
      </c>
      <c r="K584" s="22">
        <f t="shared" si="127"/>
        <v>1.6090517274103575E-2</v>
      </c>
      <c r="L584" s="22">
        <f t="shared" si="128"/>
        <v>1.5950969356419605E-2</v>
      </c>
      <c r="M584" s="22">
        <f t="shared" si="128"/>
        <v>1.5897847688628834E-2</v>
      </c>
      <c r="N584" s="22">
        <f t="shared" si="128"/>
        <v>1.5685552742581484E-2</v>
      </c>
      <c r="O584" s="22">
        <f t="shared" si="128"/>
        <v>1.5377401443792458E-2</v>
      </c>
      <c r="P584" s="22">
        <f t="shared" si="128"/>
        <v>1.4979765878707444E-2</v>
      </c>
      <c r="Q584" s="22">
        <f t="shared" si="128"/>
        <v>1.4666139078901097E-2</v>
      </c>
      <c r="R584" s="22">
        <f t="shared" si="128"/>
        <v>1.4369412471908495E-2</v>
      </c>
      <c r="S584" s="22">
        <f t="shared" si="128"/>
        <v>1.2640893989042949E-2</v>
      </c>
      <c r="T584" s="22">
        <f t="shared" si="128"/>
        <v>1.284622020036031E-2</v>
      </c>
      <c r="U584" s="22">
        <f t="shared" si="128"/>
        <v>1.322926272495888E-2</v>
      </c>
      <c r="V584" s="22">
        <f t="shared" si="128"/>
        <v>1.3305760741422912E-2</v>
      </c>
      <c r="W584" s="22">
        <f t="shared" si="128"/>
        <v>1.3416092882164809E-2</v>
      </c>
      <c r="X584" s="22">
        <f t="shared" si="128"/>
        <v>1.3570008652208428E-2</v>
      </c>
      <c r="Y584" s="22">
        <f t="shared" si="128"/>
        <v>1.3746557063140447E-2</v>
      </c>
      <c r="Z584" s="22">
        <f t="shared" si="128"/>
        <v>1.3953550804963992E-2</v>
      </c>
      <c r="AA584" s="22">
        <f t="shared" si="128"/>
        <v>1.4161499248234047E-2</v>
      </c>
      <c r="AB584" s="22">
        <f t="shared" si="128"/>
        <v>1.439537708085406E-2</v>
      </c>
      <c r="AC584" s="22">
        <f t="shared" si="128"/>
        <v>1.4626933931974607E-2</v>
      </c>
      <c r="AD584" s="22">
        <f t="shared" si="128"/>
        <v>1.4777770720380409E-2</v>
      </c>
      <c r="AE584" s="22">
        <f t="shared" si="128"/>
        <v>1.4901618235242655E-2</v>
      </c>
      <c r="AF584" s="22">
        <f t="shared" si="128"/>
        <v>1.5032456117442953E-2</v>
      </c>
      <c r="AG584" s="22">
        <f t="shared" si="128"/>
        <v>1.5207515733809875E-2</v>
      </c>
      <c r="AH584" s="22">
        <f t="shared" si="128"/>
        <v>1.5333412723215338E-2</v>
      </c>
      <c r="AI584" s="22">
        <f t="shared" si="128"/>
        <v>1.5467587891389686E-2</v>
      </c>
      <c r="AJ584" s="22">
        <f t="shared" si="128"/>
        <v>1.5615286985673127E-2</v>
      </c>
      <c r="AK584" s="22">
        <f t="shared" si="128"/>
        <v>1.5707323184043206E-2</v>
      </c>
      <c r="AL584" s="22">
        <f t="shared" si="128"/>
        <v>1.5776370420283306E-2</v>
      </c>
      <c r="AM584" s="22">
        <f t="shared" si="128"/>
        <v>1.5824397195200308E-2</v>
      </c>
      <c r="AN584" s="22">
        <f t="shared" si="128"/>
        <v>1.5973699744946876E-2</v>
      </c>
      <c r="AO584" s="22">
        <f t="shared" si="128"/>
        <v>1.608718858363397E-2</v>
      </c>
      <c r="AP584" s="22">
        <f t="shared" si="128"/>
        <v>1.6202109980385494E-2</v>
      </c>
      <c r="AQ584" s="22">
        <f t="shared" si="128"/>
        <v>1.6319778584029082E-2</v>
      </c>
      <c r="AR584" s="22">
        <f t="shared" si="128"/>
        <v>1.6442567219722745E-2</v>
      </c>
      <c r="AS584" s="22">
        <f t="shared" si="128"/>
        <v>1.6568638533184063E-2</v>
      </c>
      <c r="AT584" s="22">
        <f t="shared" si="128"/>
        <v>1.6319948182151194E-2</v>
      </c>
      <c r="AU584" s="22">
        <f t="shared" si="128"/>
        <v>1.603822383900198E-2</v>
      </c>
      <c r="AV584" s="22">
        <f t="shared" si="128"/>
        <v>1.5711614957775871E-2</v>
      </c>
      <c r="AW584" s="22">
        <f t="shared" si="128"/>
        <v>1.5374770391719434E-2</v>
      </c>
      <c r="AY584" s="79"/>
    </row>
    <row r="585" spans="1:51" x14ac:dyDescent="0.3">
      <c r="A585" s="95" t="str">
        <f t="shared" si="108"/>
        <v>PQ MM Volatilisation</v>
      </c>
      <c r="B585" s="95" t="s">
        <v>968</v>
      </c>
      <c r="C585" s="95" t="s">
        <v>1332</v>
      </c>
      <c r="D585" t="s">
        <v>369</v>
      </c>
      <c r="E585" t="s">
        <v>64</v>
      </c>
      <c r="F585" t="s">
        <v>62</v>
      </c>
      <c r="G585" t="s">
        <v>1162</v>
      </c>
      <c r="H585" t="s">
        <v>1295</v>
      </c>
      <c r="I585" t="s">
        <v>139</v>
      </c>
      <c r="J585" t="s">
        <v>287</v>
      </c>
      <c r="K585" s="22">
        <f t="shared" si="127"/>
        <v>0.15836052531214873</v>
      </c>
      <c r="L585" s="22">
        <f t="shared" si="128"/>
        <v>0.16370016056893641</v>
      </c>
      <c r="M585" s="22">
        <f t="shared" si="128"/>
        <v>0.17003774892948584</v>
      </c>
      <c r="N585" s="22">
        <f t="shared" si="128"/>
        <v>0.17476418316081974</v>
      </c>
      <c r="O585" s="22">
        <f t="shared" si="128"/>
        <v>0.1784091501709566</v>
      </c>
      <c r="P585" s="22">
        <f t="shared" si="128"/>
        <v>0.18092055691117107</v>
      </c>
      <c r="Q585" s="22">
        <f t="shared" si="128"/>
        <v>0.18434967364231716</v>
      </c>
      <c r="R585" s="22">
        <f t="shared" si="128"/>
        <v>0.18794438918293385</v>
      </c>
      <c r="S585" s="22">
        <f t="shared" si="128"/>
        <v>0.17201843471628311</v>
      </c>
      <c r="T585" s="22">
        <f t="shared" si="128"/>
        <v>0.17902423727078304</v>
      </c>
      <c r="U585" s="22">
        <f t="shared" si="128"/>
        <v>0.18874308750279975</v>
      </c>
      <c r="V585" s="22">
        <f t="shared" si="128"/>
        <v>0.19428798010301845</v>
      </c>
      <c r="W585" s="22">
        <f t="shared" si="128"/>
        <v>0.20044069379465723</v>
      </c>
      <c r="X585" s="22">
        <f t="shared" si="128"/>
        <v>0.20738925990441343</v>
      </c>
      <c r="Y585" s="22">
        <f t="shared" si="128"/>
        <v>0.21485625224208699</v>
      </c>
      <c r="Z585" s="22">
        <f t="shared" si="128"/>
        <v>0.22299569523633012</v>
      </c>
      <c r="AA585" s="22">
        <f t="shared" si="128"/>
        <v>0.23136404347242787</v>
      </c>
      <c r="AB585" s="22">
        <f t="shared" si="128"/>
        <v>0.24038568507894228</v>
      </c>
      <c r="AC585" s="22">
        <f t="shared" si="128"/>
        <v>0.24961351882279642</v>
      </c>
      <c r="AD585" s="22">
        <f t="shared" si="128"/>
        <v>0.26055082309019489</v>
      </c>
      <c r="AE585" s="22">
        <f t="shared" si="128"/>
        <v>0.27146409989499087</v>
      </c>
      <c r="AF585" s="22">
        <f t="shared" si="128"/>
        <v>0.28296976129835516</v>
      </c>
      <c r="AG585" s="22">
        <f t="shared" si="128"/>
        <v>0.29583119296374027</v>
      </c>
      <c r="AH585" s="22">
        <f t="shared" si="128"/>
        <v>0.30828569818364093</v>
      </c>
      <c r="AI585" s="22">
        <f t="shared" si="128"/>
        <v>0.32146078881891821</v>
      </c>
      <c r="AJ585" s="22">
        <f t="shared" si="128"/>
        <v>0.33551892419975027</v>
      </c>
      <c r="AK585" s="22">
        <f t="shared" si="128"/>
        <v>0.34898799967344624</v>
      </c>
      <c r="AL585" s="22">
        <f t="shared" si="128"/>
        <v>0.36253110288155638</v>
      </c>
      <c r="AM585" s="22">
        <f t="shared" si="128"/>
        <v>0.3761776209722954</v>
      </c>
      <c r="AN585" s="22">
        <f t="shared" si="128"/>
        <v>0.39044092384449941</v>
      </c>
      <c r="AO585" s="22">
        <f t="shared" si="128"/>
        <v>0.40434790587507169</v>
      </c>
      <c r="AP585" s="22">
        <f t="shared" si="128"/>
        <v>0.41881133165575385</v>
      </c>
      <c r="AQ585" s="22">
        <f t="shared" si="128"/>
        <v>0.43389523168298461</v>
      </c>
      <c r="AR585" s="22">
        <f t="shared" si="128"/>
        <v>0.44969846219520337</v>
      </c>
      <c r="AS585" s="22">
        <f t="shared" si="128"/>
        <v>0.46621113351536414</v>
      </c>
      <c r="AT585" s="22">
        <f t="shared" si="128"/>
        <v>0.47252748572368597</v>
      </c>
      <c r="AU585" s="22">
        <f t="shared" si="128"/>
        <v>0.47791554113176593</v>
      </c>
      <c r="AV585" s="22">
        <f t="shared" si="128"/>
        <v>0.48192801076931108</v>
      </c>
      <c r="AW585" s="22">
        <f t="shared" si="128"/>
        <v>0.48553688587906652</v>
      </c>
      <c r="AY585" s="79"/>
    </row>
    <row r="586" spans="1:51" x14ac:dyDescent="0.3">
      <c r="A586" s="95" t="str">
        <f t="shared" si="108"/>
        <v>PQ MM Volatilisation</v>
      </c>
      <c r="B586" s="95" t="s">
        <v>968</v>
      </c>
      <c r="C586" s="95" t="s">
        <v>1332</v>
      </c>
      <c r="D586" t="s">
        <v>369</v>
      </c>
      <c r="E586" t="s">
        <v>64</v>
      </c>
      <c r="F586" t="s">
        <v>62</v>
      </c>
      <c r="G586" t="s">
        <v>1164</v>
      </c>
      <c r="H586" t="s">
        <v>1296</v>
      </c>
      <c r="I586" t="s">
        <v>139</v>
      </c>
      <c r="J586" t="s">
        <v>287</v>
      </c>
      <c r="K586" s="22">
        <f t="shared" si="127"/>
        <v>1.1718831875652189E-4</v>
      </c>
      <c r="L586" s="22">
        <f t="shared" si="128"/>
        <v>1.1725168210757805E-4</v>
      </c>
      <c r="M586" s="22">
        <f t="shared" si="128"/>
        <v>1.1740318150277543E-4</v>
      </c>
      <c r="N586" s="22">
        <f t="shared" si="128"/>
        <v>1.1762656857541023E-4</v>
      </c>
      <c r="O586" s="22">
        <f t="shared" si="128"/>
        <v>1.179204237689029E-4</v>
      </c>
      <c r="P586" s="22">
        <f t="shared" si="128"/>
        <v>1.1828164409401504E-4</v>
      </c>
      <c r="Q586" s="22">
        <f t="shared" si="128"/>
        <v>1.1868734382429133E-4</v>
      </c>
      <c r="R586" s="22">
        <f t="shared" si="128"/>
        <v>1.1913496163447935E-4</v>
      </c>
      <c r="S586" s="22">
        <f t="shared" si="128"/>
        <v>1.1954428347803586E-4</v>
      </c>
      <c r="T586" s="22">
        <f t="shared" si="128"/>
        <v>1.1972414940561896E-4</v>
      </c>
      <c r="U586" s="22">
        <f t="shared" si="128"/>
        <v>1.1994380434419684E-4</v>
      </c>
      <c r="V586" s="22">
        <f t="shared" si="128"/>
        <v>1.201746788301286E-4</v>
      </c>
      <c r="W586" s="22">
        <f t="shared" si="128"/>
        <v>1.2043388472990403E-4</v>
      </c>
      <c r="X586" s="22">
        <f t="shared" si="128"/>
        <v>1.207206967802894E-4</v>
      </c>
      <c r="Y586" s="22">
        <f t="shared" si="128"/>
        <v>1.2089981812671622E-4</v>
      </c>
      <c r="Z586" s="22">
        <f t="shared" si="128"/>
        <v>1.2110217984152869E-4</v>
      </c>
      <c r="AA586" s="22">
        <f t="shared" si="128"/>
        <v>1.2132504756910802E-4</v>
      </c>
      <c r="AB586" s="22">
        <f t="shared" si="128"/>
        <v>1.2156903411725496E-4</v>
      </c>
      <c r="AC586" s="22">
        <f t="shared" si="128"/>
        <v>1.2183162117803533E-4</v>
      </c>
      <c r="AD586" s="22">
        <f t="shared" si="128"/>
        <v>1.2200776858907327E-4</v>
      </c>
      <c r="AE586" s="22">
        <f t="shared" si="128"/>
        <v>1.2219899661673858E-4</v>
      </c>
      <c r="AF586" s="22">
        <f t="shared" si="128"/>
        <v>1.2240684242118336E-4</v>
      </c>
      <c r="AG586" s="22">
        <f t="shared" si="128"/>
        <v>1.2263333491271974E-4</v>
      </c>
      <c r="AH586" s="22">
        <f t="shared" si="128"/>
        <v>1.2287167298468532E-4</v>
      </c>
      <c r="AI586" s="22">
        <f t="shared" ref="L586:AW593" si="129">AI1537</f>
        <v>1.2302401792252464E-4</v>
      </c>
      <c r="AJ586" s="22">
        <f t="shared" si="129"/>
        <v>1.2319088645114677E-4</v>
      </c>
      <c r="AK586" s="22">
        <f t="shared" si="129"/>
        <v>1.2336677489796816E-4</v>
      </c>
      <c r="AL586" s="22">
        <f t="shared" si="129"/>
        <v>1.2355355577482136E-4</v>
      </c>
      <c r="AM586" s="22">
        <f t="shared" si="129"/>
        <v>1.2375094588099321E-4</v>
      </c>
      <c r="AN586" s="22">
        <f t="shared" si="129"/>
        <v>1.2386757855810271E-4</v>
      </c>
      <c r="AO586" s="22">
        <f t="shared" si="129"/>
        <v>1.2399208535623994E-4</v>
      </c>
      <c r="AP586" s="22">
        <f t="shared" si="129"/>
        <v>1.2412714040619619E-4</v>
      </c>
      <c r="AQ586" s="22">
        <f t="shared" si="129"/>
        <v>1.242726131383893E-4</v>
      </c>
      <c r="AR586" s="22">
        <f t="shared" si="129"/>
        <v>1.2442850053815514E-4</v>
      </c>
      <c r="AS586" s="22">
        <f t="shared" si="129"/>
        <v>1.2449922291454818E-4</v>
      </c>
      <c r="AT586" s="22">
        <f t="shared" si="129"/>
        <v>1.2454479881058539E-4</v>
      </c>
      <c r="AU586" s="22">
        <f t="shared" si="129"/>
        <v>1.2459475860623469E-4</v>
      </c>
      <c r="AV586" s="22">
        <f t="shared" si="129"/>
        <v>1.2464752954530566E-4</v>
      </c>
      <c r="AW586" s="22">
        <f t="shared" si="129"/>
        <v>1.2470598620434531E-4</v>
      </c>
      <c r="AY586" s="79"/>
    </row>
    <row r="587" spans="1:51" x14ac:dyDescent="0.3">
      <c r="A587" s="95" t="str">
        <f t="shared" si="108"/>
        <v>PQ MM Volatilisation</v>
      </c>
      <c r="B587" s="95" t="s">
        <v>968</v>
      </c>
      <c r="C587" s="95" t="s">
        <v>1332</v>
      </c>
      <c r="D587" t="s">
        <v>369</v>
      </c>
      <c r="E587" t="s">
        <v>64</v>
      </c>
      <c r="F587" t="s">
        <v>62</v>
      </c>
      <c r="G587" t="s">
        <v>1166</v>
      </c>
      <c r="H587" t="s">
        <v>1297</v>
      </c>
      <c r="I587" t="s">
        <v>139</v>
      </c>
      <c r="J587" t="s">
        <v>287</v>
      </c>
      <c r="K587" s="22">
        <f t="shared" si="127"/>
        <v>8.042066176599371E-4</v>
      </c>
      <c r="L587" s="22">
        <f t="shared" si="129"/>
        <v>8.046414496191049E-4</v>
      </c>
      <c r="M587" s="22">
        <f t="shared" si="129"/>
        <v>8.0568111652005547E-4</v>
      </c>
      <c r="N587" s="22">
        <f t="shared" si="129"/>
        <v>8.0721411369945729E-4</v>
      </c>
      <c r="O587" s="22">
        <f t="shared" si="129"/>
        <v>8.0923069942871869E-4</v>
      </c>
      <c r="P587" s="22">
        <f t="shared" si="129"/>
        <v>8.117095793970544E-4</v>
      </c>
      <c r="Q587" s="22">
        <f t="shared" si="129"/>
        <v>8.1449369995900982E-4</v>
      </c>
      <c r="R587" s="22">
        <f t="shared" si="129"/>
        <v>8.1756548398113221E-4</v>
      </c>
      <c r="S587" s="22">
        <f t="shared" si="129"/>
        <v>8.2037446135049667E-4</v>
      </c>
      <c r="T587" s="22">
        <f t="shared" si="129"/>
        <v>8.2160879401085645E-4</v>
      </c>
      <c r="U587" s="22">
        <f t="shared" si="129"/>
        <v>8.2311617936359845E-4</v>
      </c>
      <c r="V587" s="22">
        <f t="shared" si="129"/>
        <v>8.2470055903049121E-4</v>
      </c>
      <c r="W587" s="22">
        <f t="shared" si="129"/>
        <v>8.2647936345526477E-4</v>
      </c>
      <c r="X587" s="22">
        <f t="shared" si="129"/>
        <v>8.2844761550796096E-4</v>
      </c>
      <c r="Y587" s="22">
        <f t="shared" si="129"/>
        <v>8.2967683846882541E-4</v>
      </c>
      <c r="Z587" s="22">
        <f t="shared" si="129"/>
        <v>8.3106554881077761E-4</v>
      </c>
      <c r="AA587" s="22">
        <f t="shared" si="129"/>
        <v>8.3259498197684714E-4</v>
      </c>
      <c r="AB587" s="22">
        <f t="shared" si="129"/>
        <v>8.3426934336987486E-4</v>
      </c>
      <c r="AC587" s="22">
        <f t="shared" si="129"/>
        <v>8.3607135106340792E-4</v>
      </c>
      <c r="AD587" s="22">
        <f t="shared" si="129"/>
        <v>8.3728016534748921E-4</v>
      </c>
      <c r="AE587" s="22">
        <f t="shared" si="129"/>
        <v>8.3859247059226414E-4</v>
      </c>
      <c r="AF587" s="22">
        <f t="shared" si="129"/>
        <v>8.4001881558262628E-4</v>
      </c>
      <c r="AG587" s="22">
        <f t="shared" si="129"/>
        <v>8.4157312374641413E-4</v>
      </c>
      <c r="AH587" s="22">
        <f t="shared" si="129"/>
        <v>8.4320872238584225E-4</v>
      </c>
      <c r="AI587" s="22">
        <f t="shared" si="129"/>
        <v>8.4425419183601768E-4</v>
      </c>
      <c r="AJ587" s="22">
        <f t="shared" si="129"/>
        <v>8.4539932964856662E-4</v>
      </c>
      <c r="AK587" s="22">
        <f t="shared" si="129"/>
        <v>8.4660636678677789E-4</v>
      </c>
      <c r="AL587" s="22">
        <f t="shared" si="129"/>
        <v>8.4788815339154825E-4</v>
      </c>
      <c r="AM587" s="22">
        <f t="shared" si="129"/>
        <v>8.4924274599368159E-4</v>
      </c>
      <c r="AN587" s="22">
        <f t="shared" si="129"/>
        <v>8.5004313951209814E-4</v>
      </c>
      <c r="AO587" s="22">
        <f t="shared" si="129"/>
        <v>8.5089756930568201E-4</v>
      </c>
      <c r="AP587" s="22">
        <f t="shared" si="129"/>
        <v>8.5182438663761119E-4</v>
      </c>
      <c r="AQ587" s="22">
        <f t="shared" si="129"/>
        <v>8.5282269547214476E-4</v>
      </c>
      <c r="AR587" s="22">
        <f t="shared" si="129"/>
        <v>8.5389247512110444E-4</v>
      </c>
      <c r="AS587" s="22">
        <f t="shared" si="129"/>
        <v>8.5437780850343642E-4</v>
      </c>
      <c r="AT587" s="22">
        <f t="shared" si="129"/>
        <v>8.5469057378232966E-4</v>
      </c>
      <c r="AU587" s="22">
        <f t="shared" si="129"/>
        <v>8.5503342363890623E-4</v>
      </c>
      <c r="AV587" s="22">
        <f t="shared" si="129"/>
        <v>8.5539556500991744E-4</v>
      </c>
      <c r="AW587" s="22">
        <f t="shared" si="129"/>
        <v>8.5579672472058501E-4</v>
      </c>
      <c r="AY587" s="79"/>
    </row>
    <row r="588" spans="1:51" x14ac:dyDescent="0.3">
      <c r="A588" s="95" t="str">
        <f t="shared" si="108"/>
        <v>PQ MM Volatilisation</v>
      </c>
      <c r="B588" s="95" t="s">
        <v>968</v>
      </c>
      <c r="C588" s="95" t="s">
        <v>1332</v>
      </c>
      <c r="D588" t="s">
        <v>369</v>
      </c>
      <c r="E588" t="s">
        <v>64</v>
      </c>
      <c r="F588" t="s">
        <v>62</v>
      </c>
      <c r="G588" t="s">
        <v>1168</v>
      </c>
      <c r="H588" t="s">
        <v>1298</v>
      </c>
      <c r="I588" t="s">
        <v>139</v>
      </c>
      <c r="J588" t="s">
        <v>287</v>
      </c>
      <c r="K588" s="22">
        <f t="shared" si="127"/>
        <v>1.4486129996083085E-5</v>
      </c>
      <c r="L588" s="22">
        <f t="shared" si="129"/>
        <v>1.4523786941695515E-5</v>
      </c>
      <c r="M588" s="22">
        <f t="shared" si="129"/>
        <v>1.4575733367418309E-5</v>
      </c>
      <c r="N588" s="22">
        <f t="shared" si="129"/>
        <v>1.4639017833045655E-5</v>
      </c>
      <c r="O588" s="22">
        <f t="shared" si="129"/>
        <v>1.471355007817218E-5</v>
      </c>
      <c r="P588" s="22">
        <f t="shared" si="129"/>
        <v>1.4798876460462532E-5</v>
      </c>
      <c r="Q588" s="22">
        <f t="shared" si="129"/>
        <v>1.489070601115726E-5</v>
      </c>
      <c r="R588" s="22">
        <f t="shared" si="129"/>
        <v>1.4988675221399694E-5</v>
      </c>
      <c r="S588" s="22">
        <f t="shared" si="129"/>
        <v>1.5077522200056562E-5</v>
      </c>
      <c r="T588" s="22">
        <f t="shared" si="129"/>
        <v>1.5120920467659651E-5</v>
      </c>
      <c r="U588" s="22">
        <f t="shared" si="129"/>
        <v>1.5170664566545744E-5</v>
      </c>
      <c r="V588" s="22">
        <f t="shared" si="129"/>
        <v>1.5221371307810579E-5</v>
      </c>
      <c r="W588" s="22">
        <f t="shared" si="129"/>
        <v>1.5276366577947841E-5</v>
      </c>
      <c r="X588" s="22">
        <f t="shared" si="129"/>
        <v>1.5335559486365855E-5</v>
      </c>
      <c r="Y588" s="22">
        <f t="shared" si="129"/>
        <v>1.5373440359637545E-5</v>
      </c>
      <c r="Z588" s="22">
        <f t="shared" si="129"/>
        <v>1.5414884136013281E-5</v>
      </c>
      <c r="AA588" s="22">
        <f t="shared" si="129"/>
        <v>1.5459406079654033E-5</v>
      </c>
      <c r="AB588" s="22">
        <f t="shared" si="129"/>
        <v>1.5507149153927191E-5</v>
      </c>
      <c r="AC588" s="22">
        <f t="shared" si="129"/>
        <v>1.5557665060375898E-5</v>
      </c>
      <c r="AD588" s="22">
        <f t="shared" si="129"/>
        <v>1.5591353436562986E-5</v>
      </c>
      <c r="AE588" s="22">
        <f t="shared" si="129"/>
        <v>1.5627280085252664E-5</v>
      </c>
      <c r="AF588" s="22">
        <f t="shared" si="129"/>
        <v>1.5665749106164008E-5</v>
      </c>
      <c r="AG588" s="22">
        <f t="shared" si="129"/>
        <v>1.5707151218007595E-5</v>
      </c>
      <c r="AH588" s="22">
        <f t="shared" si="129"/>
        <v>1.5750235619215941E-5</v>
      </c>
      <c r="AI588" s="22">
        <f t="shared" si="129"/>
        <v>1.5776918897393027E-5</v>
      </c>
      <c r="AJ588" s="22">
        <f t="shared" si="129"/>
        <v>1.5805875112600263E-5</v>
      </c>
      <c r="AK588" s="22">
        <f t="shared" si="129"/>
        <v>1.5836097205917668E-5</v>
      </c>
      <c r="AL588" s="22">
        <f t="shared" si="129"/>
        <v>1.5867941184595161E-5</v>
      </c>
      <c r="AM588" s="22">
        <f t="shared" si="129"/>
        <v>1.5901363449816974E-5</v>
      </c>
      <c r="AN588" s="22">
        <f t="shared" si="129"/>
        <v>1.5919623331121566E-5</v>
      </c>
      <c r="AO588" s="22">
        <f t="shared" si="129"/>
        <v>1.5939033537312695E-5</v>
      </c>
      <c r="AP588" s="22">
        <f t="shared" si="129"/>
        <v>1.5960089556991586E-5</v>
      </c>
      <c r="AQ588" s="22">
        <f t="shared" si="129"/>
        <v>1.5982771280705936E-5</v>
      </c>
      <c r="AR588" s="22">
        <f t="shared" si="129"/>
        <v>1.6007081325051207E-5</v>
      </c>
      <c r="AS588" s="22">
        <f t="shared" si="129"/>
        <v>1.6015649873683189E-5</v>
      </c>
      <c r="AT588" s="22">
        <f t="shared" si="129"/>
        <v>1.6019455168078908E-5</v>
      </c>
      <c r="AU588" s="22">
        <f t="shared" si="129"/>
        <v>1.6023878849097448E-5</v>
      </c>
      <c r="AV588" s="22">
        <f t="shared" si="129"/>
        <v>1.6028641289399774E-5</v>
      </c>
      <c r="AW588" s="22">
        <f t="shared" si="129"/>
        <v>1.6034267352361545E-5</v>
      </c>
      <c r="AY588" s="79"/>
    </row>
    <row r="589" spans="1:51" x14ac:dyDescent="0.3">
      <c r="A589" s="95" t="str">
        <f t="shared" si="108"/>
        <v>PQ MM Volatilisation</v>
      </c>
      <c r="B589" s="95" t="s">
        <v>968</v>
      </c>
      <c r="C589" s="95" t="s">
        <v>1332</v>
      </c>
      <c r="D589" t="s">
        <v>369</v>
      </c>
      <c r="E589" t="s">
        <v>64</v>
      </c>
      <c r="F589" t="s">
        <v>62</v>
      </c>
      <c r="G589" t="s">
        <v>1170</v>
      </c>
      <c r="H589" t="s">
        <v>1299</v>
      </c>
      <c r="I589" t="s">
        <v>139</v>
      </c>
      <c r="J589" t="s">
        <v>287</v>
      </c>
      <c r="K589" s="22">
        <f t="shared" si="127"/>
        <v>1.4738364076719787E-3</v>
      </c>
      <c r="L589" s="22">
        <f t="shared" si="129"/>
        <v>1.4776676709189833E-3</v>
      </c>
      <c r="M589" s="22">
        <f t="shared" si="129"/>
        <v>1.4829527631761549E-3</v>
      </c>
      <c r="N589" s="22">
        <f t="shared" si="129"/>
        <v>1.4893914013429305E-3</v>
      </c>
      <c r="O589" s="22">
        <f t="shared" si="129"/>
        <v>1.4969744022163664E-3</v>
      </c>
      <c r="P589" s="22">
        <f t="shared" si="129"/>
        <v>1.5056556116759296E-3</v>
      </c>
      <c r="Q589" s="22">
        <f t="shared" si="129"/>
        <v>1.5149984613639169E-3</v>
      </c>
      <c r="R589" s="22">
        <f t="shared" si="129"/>
        <v>1.5249659674490626E-3</v>
      </c>
      <c r="S589" s="22">
        <f t="shared" si="129"/>
        <v>1.5340053666461951E-3</v>
      </c>
      <c r="T589" s="22">
        <f t="shared" si="129"/>
        <v>1.5384207589449399E-3</v>
      </c>
      <c r="U589" s="22">
        <f t="shared" si="129"/>
        <v>1.5434817838028542E-3</v>
      </c>
      <c r="V589" s="22">
        <f t="shared" si="129"/>
        <v>1.5486407490620871E-3</v>
      </c>
      <c r="W589" s="22">
        <f t="shared" si="129"/>
        <v>1.5542360344419619E-3</v>
      </c>
      <c r="X589" s="22">
        <f t="shared" si="129"/>
        <v>1.5602583926236193E-3</v>
      </c>
      <c r="Y589" s="22">
        <f t="shared" si="129"/>
        <v>1.5641124385418405E-3</v>
      </c>
      <c r="Z589" s="22">
        <f t="shared" si="129"/>
        <v>1.5683289785363378E-3</v>
      </c>
      <c r="AA589" s="22">
        <f t="shared" si="129"/>
        <v>1.5728586949958615E-3</v>
      </c>
      <c r="AB589" s="22">
        <f t="shared" si="129"/>
        <v>1.5777161331865307E-3</v>
      </c>
      <c r="AC589" s="22">
        <f t="shared" si="129"/>
        <v>1.5828556826804803E-3</v>
      </c>
      <c r="AD589" s="22">
        <f t="shared" si="129"/>
        <v>1.5862831788684411E-3</v>
      </c>
      <c r="AE589" s="22">
        <f t="shared" si="129"/>
        <v>1.5899383996112353E-3</v>
      </c>
      <c r="AF589" s="22">
        <f t="shared" si="129"/>
        <v>1.5938522843825273E-3</v>
      </c>
      <c r="AG589" s="22">
        <f t="shared" si="129"/>
        <v>1.5980645853770706E-3</v>
      </c>
      <c r="AH589" s="22">
        <f t="shared" si="129"/>
        <v>1.6024480445287401E-3</v>
      </c>
      <c r="AI589" s="22">
        <f t="shared" si="129"/>
        <v>1.6051628335623928E-3</v>
      </c>
      <c r="AJ589" s="22">
        <f t="shared" si="129"/>
        <v>1.6081088739618883E-3</v>
      </c>
      <c r="AK589" s="22">
        <f t="shared" si="129"/>
        <v>1.611183706333218E-3</v>
      </c>
      <c r="AL589" s="22">
        <f t="shared" si="129"/>
        <v>1.6144235512850938E-3</v>
      </c>
      <c r="AM589" s="22">
        <f t="shared" si="129"/>
        <v>1.6178239730212022E-3</v>
      </c>
      <c r="AN589" s="22">
        <f t="shared" si="129"/>
        <v>1.6196817554567978E-3</v>
      </c>
      <c r="AO589" s="22">
        <f t="shared" si="129"/>
        <v>1.6216565733393274E-3</v>
      </c>
      <c r="AP589" s="22">
        <f t="shared" si="129"/>
        <v>1.623798838279086E-3</v>
      </c>
      <c r="AQ589" s="22">
        <f t="shared" si="129"/>
        <v>1.6261065043160481E-3</v>
      </c>
      <c r="AR589" s="22">
        <f t="shared" si="129"/>
        <v>1.6285798376658015E-3</v>
      </c>
      <c r="AS589" s="22">
        <f t="shared" si="129"/>
        <v>1.6294516121796393E-3</v>
      </c>
      <c r="AT589" s="22">
        <f t="shared" si="129"/>
        <v>1.6298387674394525E-3</v>
      </c>
      <c r="AU589" s="22">
        <f t="shared" si="129"/>
        <v>1.630288838103102E-3</v>
      </c>
      <c r="AV589" s="22">
        <f t="shared" si="129"/>
        <v>1.6307733745465026E-3</v>
      </c>
      <c r="AW589" s="22">
        <f t="shared" si="129"/>
        <v>1.6313457770050716E-3</v>
      </c>
      <c r="AY589" s="79"/>
    </row>
    <row r="590" spans="1:51" x14ac:dyDescent="0.3">
      <c r="A590" s="95" t="str">
        <f t="shared" si="108"/>
        <v>PQ MM Volatilisation</v>
      </c>
      <c r="B590" s="95" t="s">
        <v>968</v>
      </c>
      <c r="C590" s="95" t="s">
        <v>1332</v>
      </c>
      <c r="D590" t="s">
        <v>369</v>
      </c>
      <c r="E590" t="s">
        <v>64</v>
      </c>
      <c r="F590" t="s">
        <v>62</v>
      </c>
      <c r="G590" t="s">
        <v>1172</v>
      </c>
      <c r="H590" t="s">
        <v>1300</v>
      </c>
      <c r="I590" t="s">
        <v>139</v>
      </c>
      <c r="J590" t="s">
        <v>287</v>
      </c>
      <c r="K590" s="22">
        <f t="shared" si="127"/>
        <v>0</v>
      </c>
      <c r="L590" s="22">
        <f t="shared" si="129"/>
        <v>0</v>
      </c>
      <c r="M590" s="22">
        <f t="shared" si="129"/>
        <v>0</v>
      </c>
      <c r="N590" s="22">
        <f t="shared" si="129"/>
        <v>0</v>
      </c>
      <c r="O590" s="22">
        <f t="shared" si="129"/>
        <v>0</v>
      </c>
      <c r="P590" s="22">
        <f t="shared" si="129"/>
        <v>0</v>
      </c>
      <c r="Q590" s="22">
        <f t="shared" si="129"/>
        <v>0</v>
      </c>
      <c r="R590" s="22">
        <f t="shared" si="129"/>
        <v>0</v>
      </c>
      <c r="S590" s="22">
        <f t="shared" si="129"/>
        <v>0</v>
      </c>
      <c r="T590" s="22">
        <f t="shared" si="129"/>
        <v>0</v>
      </c>
      <c r="U590" s="22">
        <f t="shared" si="129"/>
        <v>0</v>
      </c>
      <c r="V590" s="22">
        <f t="shared" si="129"/>
        <v>0</v>
      </c>
      <c r="W590" s="22">
        <f t="shared" si="129"/>
        <v>0</v>
      </c>
      <c r="X590" s="22">
        <f t="shared" si="129"/>
        <v>0</v>
      </c>
      <c r="Y590" s="22">
        <f t="shared" si="129"/>
        <v>0</v>
      </c>
      <c r="Z590" s="22">
        <f t="shared" si="129"/>
        <v>0</v>
      </c>
      <c r="AA590" s="22">
        <f t="shared" si="129"/>
        <v>0</v>
      </c>
      <c r="AB590" s="22">
        <f t="shared" si="129"/>
        <v>0</v>
      </c>
      <c r="AC590" s="22">
        <f t="shared" si="129"/>
        <v>0</v>
      </c>
      <c r="AD590" s="22">
        <f t="shared" si="129"/>
        <v>0</v>
      </c>
      <c r="AE590" s="22">
        <f t="shared" si="129"/>
        <v>0</v>
      </c>
      <c r="AF590" s="22">
        <f t="shared" si="129"/>
        <v>0</v>
      </c>
      <c r="AG590" s="22">
        <f t="shared" si="129"/>
        <v>0</v>
      </c>
      <c r="AH590" s="22">
        <f t="shared" si="129"/>
        <v>0</v>
      </c>
      <c r="AI590" s="22">
        <f t="shared" si="129"/>
        <v>0</v>
      </c>
      <c r="AJ590" s="22">
        <f t="shared" si="129"/>
        <v>0</v>
      </c>
      <c r="AK590" s="22">
        <f t="shared" si="129"/>
        <v>0</v>
      </c>
      <c r="AL590" s="22">
        <f t="shared" si="129"/>
        <v>0</v>
      </c>
      <c r="AM590" s="22">
        <f t="shared" si="129"/>
        <v>0</v>
      </c>
      <c r="AN590" s="22">
        <f t="shared" si="129"/>
        <v>0</v>
      </c>
      <c r="AO590" s="22">
        <f t="shared" si="129"/>
        <v>0</v>
      </c>
      <c r="AP590" s="22">
        <f t="shared" si="129"/>
        <v>0</v>
      </c>
      <c r="AQ590" s="22">
        <f t="shared" si="129"/>
        <v>0</v>
      </c>
      <c r="AR590" s="22">
        <f t="shared" si="129"/>
        <v>0</v>
      </c>
      <c r="AS590" s="22">
        <f t="shared" si="129"/>
        <v>0</v>
      </c>
      <c r="AT590" s="22">
        <f t="shared" si="129"/>
        <v>0</v>
      </c>
      <c r="AU590" s="22">
        <f t="shared" si="129"/>
        <v>0</v>
      </c>
      <c r="AV590" s="22">
        <f t="shared" si="129"/>
        <v>0</v>
      </c>
      <c r="AW590" s="22">
        <f t="shared" si="129"/>
        <v>0</v>
      </c>
      <c r="AY590" s="79"/>
    </row>
    <row r="591" spans="1:51" x14ac:dyDescent="0.3">
      <c r="A591" s="95" t="str">
        <f t="shared" si="108"/>
        <v>PQ MM Volatilisation</v>
      </c>
      <c r="B591" s="95" t="s">
        <v>968</v>
      </c>
      <c r="C591" s="95" t="s">
        <v>1332</v>
      </c>
      <c r="D591" t="s">
        <v>369</v>
      </c>
      <c r="E591" t="s">
        <v>64</v>
      </c>
      <c r="F591" t="s">
        <v>62</v>
      </c>
      <c r="G591" t="s">
        <v>1174</v>
      </c>
      <c r="H591" t="s">
        <v>1301</v>
      </c>
      <c r="I591" t="s">
        <v>139</v>
      </c>
      <c r="J591" t="s">
        <v>287</v>
      </c>
      <c r="K591" s="22">
        <f t="shared" si="127"/>
        <v>0</v>
      </c>
      <c r="L591" s="22">
        <f t="shared" si="129"/>
        <v>0</v>
      </c>
      <c r="M591" s="22">
        <f t="shared" si="129"/>
        <v>0</v>
      </c>
      <c r="N591" s="22">
        <f t="shared" si="129"/>
        <v>0</v>
      </c>
      <c r="O591" s="22">
        <f t="shared" si="129"/>
        <v>0</v>
      </c>
      <c r="P591" s="22">
        <f t="shared" si="129"/>
        <v>0</v>
      </c>
      <c r="Q591" s="22">
        <f t="shared" si="129"/>
        <v>0</v>
      </c>
      <c r="R591" s="22">
        <f t="shared" si="129"/>
        <v>0</v>
      </c>
      <c r="S591" s="22">
        <f t="shared" si="129"/>
        <v>0</v>
      </c>
      <c r="T591" s="22">
        <f t="shared" si="129"/>
        <v>0</v>
      </c>
      <c r="U591" s="22">
        <f t="shared" si="129"/>
        <v>0</v>
      </c>
      <c r="V591" s="22">
        <f t="shared" si="129"/>
        <v>0</v>
      </c>
      <c r="W591" s="22">
        <f t="shared" si="129"/>
        <v>0</v>
      </c>
      <c r="X591" s="22">
        <f t="shared" si="129"/>
        <v>0</v>
      </c>
      <c r="Y591" s="22">
        <f t="shared" si="129"/>
        <v>0</v>
      </c>
      <c r="Z591" s="22">
        <f t="shared" si="129"/>
        <v>0</v>
      </c>
      <c r="AA591" s="22">
        <f t="shared" si="129"/>
        <v>0</v>
      </c>
      <c r="AB591" s="22">
        <f t="shared" si="129"/>
        <v>0</v>
      </c>
      <c r="AC591" s="22">
        <f t="shared" si="129"/>
        <v>0</v>
      </c>
      <c r="AD591" s="22">
        <f t="shared" si="129"/>
        <v>0</v>
      </c>
      <c r="AE591" s="22">
        <f t="shared" si="129"/>
        <v>0</v>
      </c>
      <c r="AF591" s="22">
        <f t="shared" si="129"/>
        <v>0</v>
      </c>
      <c r="AG591" s="22">
        <f t="shared" si="129"/>
        <v>0</v>
      </c>
      <c r="AH591" s="22">
        <f t="shared" si="129"/>
        <v>0</v>
      </c>
      <c r="AI591" s="22">
        <f t="shared" si="129"/>
        <v>0</v>
      </c>
      <c r="AJ591" s="22">
        <f t="shared" si="129"/>
        <v>0</v>
      </c>
      <c r="AK591" s="22">
        <f t="shared" si="129"/>
        <v>0</v>
      </c>
      <c r="AL591" s="22">
        <f t="shared" si="129"/>
        <v>0</v>
      </c>
      <c r="AM591" s="22">
        <f t="shared" si="129"/>
        <v>0</v>
      </c>
      <c r="AN591" s="22">
        <f t="shared" si="129"/>
        <v>0</v>
      </c>
      <c r="AO591" s="22">
        <f t="shared" si="129"/>
        <v>0</v>
      </c>
      <c r="AP591" s="22">
        <f t="shared" si="129"/>
        <v>0</v>
      </c>
      <c r="AQ591" s="22">
        <f t="shared" si="129"/>
        <v>0</v>
      </c>
      <c r="AR591" s="22">
        <f t="shared" si="129"/>
        <v>0</v>
      </c>
      <c r="AS591" s="22">
        <f t="shared" si="129"/>
        <v>0</v>
      </c>
      <c r="AT591" s="22">
        <f t="shared" si="129"/>
        <v>0</v>
      </c>
      <c r="AU591" s="22">
        <f t="shared" si="129"/>
        <v>0</v>
      </c>
      <c r="AV591" s="22">
        <f t="shared" si="129"/>
        <v>0</v>
      </c>
      <c r="AW591" s="22">
        <f t="shared" si="129"/>
        <v>0</v>
      </c>
      <c r="AY591" s="79"/>
    </row>
    <row r="592" spans="1:51" x14ac:dyDescent="0.3">
      <c r="A592" s="95" t="str">
        <f t="shared" si="108"/>
        <v>PQ MM Volatilisation</v>
      </c>
      <c r="B592" s="95" t="s">
        <v>968</v>
      </c>
      <c r="C592" s="95" t="s">
        <v>1332</v>
      </c>
      <c r="D592" t="s">
        <v>369</v>
      </c>
      <c r="E592" t="s">
        <v>64</v>
      </c>
      <c r="F592" t="s">
        <v>62</v>
      </c>
      <c r="G592" t="s">
        <v>1176</v>
      </c>
      <c r="H592" t="s">
        <v>1302</v>
      </c>
      <c r="I592" t="s">
        <v>139</v>
      </c>
      <c r="J592" t="s">
        <v>287</v>
      </c>
      <c r="K592" s="22">
        <f t="shared" si="127"/>
        <v>0.13075625264316332</v>
      </c>
      <c r="L592" s="22">
        <f t="shared" si="129"/>
        <v>0.13004550543955862</v>
      </c>
      <c r="M592" s="22">
        <f t="shared" si="129"/>
        <v>0.13010384136507711</v>
      </c>
      <c r="N592" s="22">
        <f t="shared" si="129"/>
        <v>0.1289093884029483</v>
      </c>
      <c r="O592" s="22">
        <f t="shared" si="129"/>
        <v>0.12695857121838472</v>
      </c>
      <c r="P592" s="22">
        <f t="shared" si="129"/>
        <v>0.12428257569245393</v>
      </c>
      <c r="Q592" s="22">
        <f t="shared" si="129"/>
        <v>0.12233950618032063</v>
      </c>
      <c r="R592" s="22">
        <f t="shared" si="129"/>
        <v>0.1205683722616282</v>
      </c>
      <c r="S592" s="22">
        <f t="shared" si="129"/>
        <v>0.1064558326136491</v>
      </c>
      <c r="T592" s="22">
        <f t="shared" si="129"/>
        <v>0.10780203870685764</v>
      </c>
      <c r="U592" s="22">
        <f t="shared" si="129"/>
        <v>0.11069073271596624</v>
      </c>
      <c r="V592" s="22">
        <f t="shared" si="129"/>
        <v>0.11095301112483856</v>
      </c>
      <c r="W592" s="22">
        <f t="shared" si="129"/>
        <v>0.11152098959254672</v>
      </c>
      <c r="X592" s="22">
        <f t="shared" si="129"/>
        <v>0.11247596118460781</v>
      </c>
      <c r="Y592" s="22">
        <f t="shared" si="129"/>
        <v>0.11367425965304444</v>
      </c>
      <c r="Z592" s="22">
        <f t="shared" si="129"/>
        <v>0.11514267283955164</v>
      </c>
      <c r="AA592" s="22">
        <f t="shared" si="129"/>
        <v>0.11662825764737823</v>
      </c>
      <c r="AB592" s="22">
        <f t="shared" si="129"/>
        <v>0.11834343516699931</v>
      </c>
      <c r="AC592" s="22">
        <f t="shared" si="129"/>
        <v>0.12004677457127924</v>
      </c>
      <c r="AD592" s="22">
        <f t="shared" si="129"/>
        <v>0.12216447018435615</v>
      </c>
      <c r="AE592" s="22">
        <f t="shared" si="129"/>
        <v>0.12411396366852792</v>
      </c>
      <c r="AF592" s="22">
        <f t="shared" si="129"/>
        <v>0.12618838059713719</v>
      </c>
      <c r="AG592" s="22">
        <f t="shared" si="129"/>
        <v>0.12871889862830188</v>
      </c>
      <c r="AH592" s="22">
        <f t="shared" si="129"/>
        <v>0.13089178183294797</v>
      </c>
      <c r="AI592" s="22">
        <f t="shared" si="129"/>
        <v>0.13323707488889489</v>
      </c>
      <c r="AJ592" s="22">
        <f t="shared" si="129"/>
        <v>0.13578249309813545</v>
      </c>
      <c r="AK592" s="22">
        <f t="shared" si="129"/>
        <v>0.13790594882017243</v>
      </c>
      <c r="AL592" s="22">
        <f t="shared" si="129"/>
        <v>0.13989729447599811</v>
      </c>
      <c r="AM592" s="22">
        <f t="shared" si="129"/>
        <v>0.14177259067901168</v>
      </c>
      <c r="AN592" s="22">
        <f t="shared" si="129"/>
        <v>0.14393792175478221</v>
      </c>
      <c r="AO592" s="22">
        <f t="shared" si="129"/>
        <v>0.14581606733158803</v>
      </c>
      <c r="AP592" s="22">
        <f t="shared" si="129"/>
        <v>0.14775479067393846</v>
      </c>
      <c r="AQ592" s="22">
        <f t="shared" si="129"/>
        <v>0.14976871512687839</v>
      </c>
      <c r="AR592" s="22">
        <f t="shared" si="129"/>
        <v>0.15188303991230881</v>
      </c>
      <c r="AS592" s="22">
        <f t="shared" si="129"/>
        <v>0.15410322114057187</v>
      </c>
      <c r="AT592" s="22">
        <f t="shared" si="129"/>
        <v>0.15275221037305547</v>
      </c>
      <c r="AU592" s="22">
        <f t="shared" si="129"/>
        <v>0.15108898692169739</v>
      </c>
      <c r="AV592" s="22">
        <f t="shared" si="129"/>
        <v>0.14899028797623304</v>
      </c>
      <c r="AW592" s="22">
        <f t="shared" si="129"/>
        <v>0.14678866203706492</v>
      </c>
      <c r="AY592" s="79"/>
    </row>
    <row r="593" spans="1:51" x14ac:dyDescent="0.3">
      <c r="A593" s="95" t="str">
        <f t="shared" si="108"/>
        <v>PQ MM Volatilisation</v>
      </c>
      <c r="B593" s="95" t="s">
        <v>968</v>
      </c>
      <c r="C593" s="95" t="s">
        <v>1332</v>
      </c>
      <c r="D593" t="s">
        <v>369</v>
      </c>
      <c r="E593" t="s">
        <v>64</v>
      </c>
      <c r="F593" t="s">
        <v>62</v>
      </c>
      <c r="G593" t="s">
        <v>1178</v>
      </c>
      <c r="H593" t="s">
        <v>1303</v>
      </c>
      <c r="I593" t="s">
        <v>139</v>
      </c>
      <c r="J593" t="s">
        <v>287</v>
      </c>
      <c r="K593" s="22">
        <f t="shared" si="127"/>
        <v>1.2724633182830876E-2</v>
      </c>
      <c r="L593" s="22">
        <f t="shared" si="129"/>
        <v>1.2655466337890209E-2</v>
      </c>
      <c r="M593" s="22">
        <f t="shared" si="129"/>
        <v>1.2661143337946407E-2</v>
      </c>
      <c r="N593" s="22">
        <f t="shared" si="129"/>
        <v>1.2544904339887072E-2</v>
      </c>
      <c r="O593" s="22">
        <f t="shared" si="129"/>
        <v>1.2355059245839611E-2</v>
      </c>
      <c r="P593" s="22">
        <f t="shared" si="129"/>
        <v>1.2094642930917434E-2</v>
      </c>
      <c r="Q593" s="22">
        <f t="shared" si="129"/>
        <v>1.1905551806853844E-2</v>
      </c>
      <c r="R593" s="22">
        <f t="shared" si="129"/>
        <v>1.1733192711380723E-2</v>
      </c>
      <c r="S593" s="22">
        <f t="shared" si="129"/>
        <v>1.0359821368376874E-2</v>
      </c>
      <c r="T593" s="22">
        <f t="shared" si="129"/>
        <v>1.049082832504853E-2</v>
      </c>
      <c r="U593" s="22">
        <f t="shared" si="129"/>
        <v>1.0771943536752097E-2</v>
      </c>
      <c r="V593" s="22">
        <f t="shared" si="129"/>
        <v>1.0797467337543365E-2</v>
      </c>
      <c r="W593" s="22">
        <f t="shared" si="129"/>
        <v>1.0852740546366932E-2</v>
      </c>
      <c r="X593" s="22">
        <f t="shared" ref="L593:AW600" si="130">X1544</f>
        <v>1.0945674252888513E-2</v>
      </c>
      <c r="Y593" s="22">
        <f t="shared" si="130"/>
        <v>1.1062287478995693E-2</v>
      </c>
      <c r="Z593" s="22">
        <f t="shared" si="130"/>
        <v>1.1205187101625038E-2</v>
      </c>
      <c r="AA593" s="22">
        <f t="shared" si="130"/>
        <v>1.1349757792199721E-2</v>
      </c>
      <c r="AB593" s="22">
        <f t="shared" si="130"/>
        <v>1.1516671452842603E-2</v>
      </c>
      <c r="AC593" s="22">
        <f t="shared" si="130"/>
        <v>1.1682433079282552E-2</v>
      </c>
      <c r="AD593" s="22">
        <f t="shared" si="130"/>
        <v>1.1888518060494371E-2</v>
      </c>
      <c r="AE593" s="22">
        <f t="shared" si="130"/>
        <v>1.2078234337742711E-2</v>
      </c>
      <c r="AF593" s="22">
        <f t="shared" si="130"/>
        <v>1.2280107624497444E-2</v>
      </c>
      <c r="AG593" s="22">
        <f t="shared" si="130"/>
        <v>1.2526366698600652E-2</v>
      </c>
      <c r="AH593" s="22">
        <f t="shared" si="130"/>
        <v>1.2737822297620535E-2</v>
      </c>
      <c r="AI593" s="22">
        <f t="shared" si="130"/>
        <v>1.2966056077955363E-2</v>
      </c>
      <c r="AJ593" s="22">
        <f t="shared" si="130"/>
        <v>1.3213765172968019E-2</v>
      </c>
      <c r="AK593" s="22">
        <f t="shared" si="130"/>
        <v>1.3420410703080012E-2</v>
      </c>
      <c r="AL593" s="22">
        <f t="shared" si="130"/>
        <v>1.3614199852725929E-2</v>
      </c>
      <c r="AM593" s="22">
        <f t="shared" si="130"/>
        <v>1.3796695571363754E-2</v>
      </c>
      <c r="AN593" s="22">
        <f t="shared" si="130"/>
        <v>1.4007416229853083E-2</v>
      </c>
      <c r="AO593" s="22">
        <f t="shared" si="130"/>
        <v>1.419018923722911E-2</v>
      </c>
      <c r="AP593" s="22">
        <f t="shared" si="130"/>
        <v>1.4378857410840086E-2</v>
      </c>
      <c r="AQ593" s="22">
        <f t="shared" si="130"/>
        <v>1.4574843831401781E-2</v>
      </c>
      <c r="AR593" s="22">
        <f t="shared" si="130"/>
        <v>1.4780600778240808E-2</v>
      </c>
      <c r="AS593" s="22">
        <f t="shared" si="130"/>
        <v>1.4996659216426185E-2</v>
      </c>
      <c r="AT593" s="22">
        <f t="shared" si="130"/>
        <v>1.4865184689623886E-2</v>
      </c>
      <c r="AU593" s="22">
        <f t="shared" si="130"/>
        <v>1.4703326974281053E-2</v>
      </c>
      <c r="AV593" s="22">
        <f t="shared" si="130"/>
        <v>1.4499090666629237E-2</v>
      </c>
      <c r="AW593" s="22">
        <f t="shared" si="130"/>
        <v>1.4284837948954819E-2</v>
      </c>
      <c r="AY593" s="79"/>
    </row>
    <row r="594" spans="1:51" x14ac:dyDescent="0.3">
      <c r="A594" s="95" t="str">
        <f t="shared" si="108"/>
        <v>PQ MM Volatilisation</v>
      </c>
      <c r="B594" s="95" t="s">
        <v>968</v>
      </c>
      <c r="C594" s="95" t="s">
        <v>1332</v>
      </c>
      <c r="D594" t="s">
        <v>369</v>
      </c>
      <c r="E594" t="s">
        <v>64</v>
      </c>
      <c r="F594" t="s">
        <v>62</v>
      </c>
      <c r="G594" t="s">
        <v>1180</v>
      </c>
      <c r="H594" t="s">
        <v>1304</v>
      </c>
      <c r="I594" t="s">
        <v>139</v>
      </c>
      <c r="J594" t="s">
        <v>287</v>
      </c>
      <c r="K594" s="22">
        <f t="shared" si="127"/>
        <v>6.4453339767617107E-2</v>
      </c>
      <c r="L594" s="22">
        <f t="shared" si="130"/>
        <v>6.5763803942104543E-2</v>
      </c>
      <c r="M594" s="22">
        <f t="shared" si="130"/>
        <v>6.7295612361813625E-2</v>
      </c>
      <c r="N594" s="22">
        <f t="shared" si="130"/>
        <v>6.8471619369899747E-2</v>
      </c>
      <c r="O594" s="22">
        <f t="shared" si="130"/>
        <v>6.94156577655035E-2</v>
      </c>
      <c r="P594" s="22">
        <f t="shared" si="130"/>
        <v>7.0122113289878316E-2</v>
      </c>
      <c r="Q594" s="22">
        <f t="shared" si="130"/>
        <v>7.1027984276732931E-2</v>
      </c>
      <c r="R594" s="22">
        <f t="shared" si="130"/>
        <v>7.1969839340941838E-2</v>
      </c>
      <c r="S594" s="22">
        <f t="shared" si="130"/>
        <v>6.8766563459968802E-2</v>
      </c>
      <c r="T594" s="22">
        <f t="shared" si="130"/>
        <v>7.0478152358708523E-2</v>
      </c>
      <c r="U594" s="22">
        <f t="shared" si="130"/>
        <v>7.2759128000714796E-2</v>
      </c>
      <c r="V594" s="22">
        <f t="shared" si="130"/>
        <v>7.4154122533566028E-2</v>
      </c>
      <c r="W594" s="22">
        <f t="shared" si="130"/>
        <v>7.5674972830257564E-2</v>
      </c>
      <c r="X594" s="22">
        <f t="shared" si="130"/>
        <v>7.7360161163039912E-2</v>
      </c>
      <c r="Y594" s="22">
        <f t="shared" si="130"/>
        <v>7.9100740420260676E-2</v>
      </c>
      <c r="Z594" s="22">
        <f t="shared" si="130"/>
        <v>8.0976740364442315E-2</v>
      </c>
      <c r="AA594" s="22">
        <f t="shared" si="130"/>
        <v>8.2894928844752261E-2</v>
      </c>
      <c r="AB594" s="22">
        <f t="shared" si="130"/>
        <v>8.4943030682698137E-2</v>
      </c>
      <c r="AC594" s="22">
        <f t="shared" si="130"/>
        <v>8.7027608507248444E-2</v>
      </c>
      <c r="AD594" s="22">
        <f t="shared" si="130"/>
        <v>8.9276729497460336E-2</v>
      </c>
      <c r="AE594" s="22">
        <f t="shared" si="130"/>
        <v>9.1502625848092475E-2</v>
      </c>
      <c r="AF594" s="22">
        <f t="shared" si="130"/>
        <v>9.3831227517320093E-2</v>
      </c>
      <c r="AG594" s="22">
        <f t="shared" si="130"/>
        <v>9.6415651387216014E-2</v>
      </c>
      <c r="AH594" s="22">
        <f t="shared" si="130"/>
        <v>9.8896773571356525E-2</v>
      </c>
      <c r="AI594" s="22">
        <f t="shared" si="130"/>
        <v>0.10146265551465955</v>
      </c>
      <c r="AJ594" s="22">
        <f t="shared" si="130"/>
        <v>0.10418290059990712</v>
      </c>
      <c r="AK594" s="22">
        <f t="shared" si="130"/>
        <v>0.10676300622740972</v>
      </c>
      <c r="AL594" s="22">
        <f t="shared" si="130"/>
        <v>0.1093360798195923</v>
      </c>
      <c r="AM594" s="22">
        <f t="shared" si="130"/>
        <v>0.11190804099965344</v>
      </c>
      <c r="AN594" s="22">
        <f t="shared" si="130"/>
        <v>0.11463676938939842</v>
      </c>
      <c r="AO594" s="22">
        <f t="shared" si="130"/>
        <v>0.11727861184981632</v>
      </c>
      <c r="AP594" s="22">
        <f t="shared" si="130"/>
        <v>0.12001194210770205</v>
      </c>
      <c r="AQ594" s="22">
        <f t="shared" si="130"/>
        <v>0.12284817048623448</v>
      </c>
      <c r="AR594" s="22">
        <f t="shared" si="130"/>
        <v>0.12580525852431573</v>
      </c>
      <c r="AS594" s="22">
        <f t="shared" si="130"/>
        <v>0.12884131843333302</v>
      </c>
      <c r="AT594" s="22">
        <f t="shared" si="130"/>
        <v>0.12990474262387622</v>
      </c>
      <c r="AU594" s="22">
        <f t="shared" si="130"/>
        <v>0.13078551683241871</v>
      </c>
      <c r="AV594" s="22">
        <f t="shared" si="130"/>
        <v>0.13140059443899127</v>
      </c>
      <c r="AW594" s="22">
        <f t="shared" si="130"/>
        <v>0.13193699884155385</v>
      </c>
      <c r="AY594" s="79"/>
    </row>
    <row r="595" spans="1:51" x14ac:dyDescent="0.3">
      <c r="A595" s="95" t="str">
        <f t="shared" si="108"/>
        <v>PQ MM Volatilisation</v>
      </c>
      <c r="B595" s="95" t="s">
        <v>968</v>
      </c>
      <c r="C595" s="95" t="s">
        <v>1332</v>
      </c>
      <c r="D595" t="s">
        <v>369</v>
      </c>
      <c r="E595" t="s">
        <v>64</v>
      </c>
      <c r="F595" t="s">
        <v>62</v>
      </c>
      <c r="G595" t="s">
        <v>1182</v>
      </c>
      <c r="H595" t="s">
        <v>1305</v>
      </c>
      <c r="I595" t="s">
        <v>139</v>
      </c>
      <c r="J595" t="s">
        <v>287</v>
      </c>
      <c r="K595" s="22">
        <f t="shared" si="127"/>
        <v>0.31034319165291718</v>
      </c>
      <c r="L595" s="22">
        <f t="shared" si="130"/>
        <v>0.31442985679016972</v>
      </c>
      <c r="M595" s="22">
        <f t="shared" si="130"/>
        <v>0.32099421325528477</v>
      </c>
      <c r="N595" s="22">
        <f t="shared" si="130"/>
        <v>0.3228790317815291</v>
      </c>
      <c r="O595" s="22">
        <f t="shared" si="130"/>
        <v>0.32172327535887091</v>
      </c>
      <c r="P595" s="22">
        <f t="shared" si="130"/>
        <v>0.31753924052538912</v>
      </c>
      <c r="Q595" s="22">
        <f t="shared" si="130"/>
        <v>0.31577785743754239</v>
      </c>
      <c r="R595" s="22">
        <f t="shared" si="130"/>
        <v>0.31441607582114939</v>
      </c>
      <c r="S595" s="22">
        <f t="shared" si="130"/>
        <v>0.2650364312253965</v>
      </c>
      <c r="T595" s="22">
        <f t="shared" si="130"/>
        <v>0.27553316275566697</v>
      </c>
      <c r="U595" s="22">
        <f t="shared" si="130"/>
        <v>0.29228527136368948</v>
      </c>
      <c r="V595" s="22">
        <f t="shared" si="130"/>
        <v>0.29874340186404968</v>
      </c>
      <c r="W595" s="22">
        <f t="shared" si="130"/>
        <v>0.30647179876243097</v>
      </c>
      <c r="X595" s="22">
        <f t="shared" si="130"/>
        <v>0.3158631034162086</v>
      </c>
      <c r="Y595" s="22">
        <f t="shared" si="130"/>
        <v>0.32664711376847955</v>
      </c>
      <c r="Z595" s="22">
        <f t="shared" si="130"/>
        <v>0.3387235871621958</v>
      </c>
      <c r="AA595" s="22">
        <f t="shared" si="130"/>
        <v>0.35105651101096136</v>
      </c>
      <c r="AB595" s="22">
        <f t="shared" si="130"/>
        <v>0.36458195379680847</v>
      </c>
      <c r="AC595" s="22">
        <f t="shared" si="130"/>
        <v>0.37828081857860674</v>
      </c>
      <c r="AD595" s="22">
        <f t="shared" si="130"/>
        <v>0.39427261879187497</v>
      </c>
      <c r="AE595" s="22">
        <f t="shared" si="130"/>
        <v>0.40979186242957388</v>
      </c>
      <c r="AF595" s="22">
        <f t="shared" si="130"/>
        <v>0.42616228566496256</v>
      </c>
      <c r="AG595" s="22">
        <f t="shared" si="130"/>
        <v>0.44495226630702778</v>
      </c>
      <c r="AH595" s="22">
        <f t="shared" si="130"/>
        <v>0.46242618458210583</v>
      </c>
      <c r="AI595" s="22">
        <f t="shared" si="130"/>
        <v>0.48124875752773738</v>
      </c>
      <c r="AJ595" s="22">
        <f t="shared" si="130"/>
        <v>0.50140117317613597</v>
      </c>
      <c r="AK595" s="22">
        <f t="shared" si="130"/>
        <v>0.51989325002843578</v>
      </c>
      <c r="AL595" s="22">
        <f t="shared" si="130"/>
        <v>0.53809144777835283</v>
      </c>
      <c r="AM595" s="22">
        <f t="shared" si="130"/>
        <v>0.55606219814879432</v>
      </c>
      <c r="AN595" s="22">
        <f t="shared" si="130"/>
        <v>0.57603307954485361</v>
      </c>
      <c r="AO595" s="22">
        <f t="shared" si="130"/>
        <v>0.59492740362722618</v>
      </c>
      <c r="AP595" s="22">
        <f t="shared" si="130"/>
        <v>0.61451021406332851</v>
      </c>
      <c r="AQ595" s="22">
        <f t="shared" si="130"/>
        <v>0.6348825242649947</v>
      </c>
      <c r="AR595" s="22">
        <f t="shared" si="130"/>
        <v>0.65620656209687755</v>
      </c>
      <c r="AS595" s="22">
        <f t="shared" si="130"/>
        <v>0.67872441504873171</v>
      </c>
      <c r="AT595" s="22">
        <f t="shared" si="130"/>
        <v>0.6821526428447654</v>
      </c>
      <c r="AU595" s="22">
        <f t="shared" si="130"/>
        <v>0.68382516110267277</v>
      </c>
      <c r="AV595" s="22">
        <f t="shared" si="130"/>
        <v>0.68298338603927977</v>
      </c>
      <c r="AW595" s="22">
        <f t="shared" si="130"/>
        <v>0.68142585829620028</v>
      </c>
      <c r="AY595" s="79"/>
    </row>
    <row r="596" spans="1:51" x14ac:dyDescent="0.3">
      <c r="A596" s="95" t="str">
        <f t="shared" si="108"/>
        <v>PQ MM Leaching</v>
      </c>
      <c r="B596" s="95" t="s">
        <v>968</v>
      </c>
      <c r="C596" s="95" t="s">
        <v>1333</v>
      </c>
      <c r="D596" t="s">
        <v>369</v>
      </c>
      <c r="E596" t="s">
        <v>64</v>
      </c>
      <c r="F596" t="s">
        <v>63</v>
      </c>
      <c r="G596" t="s">
        <v>1152</v>
      </c>
      <c r="H596" t="s">
        <v>1306</v>
      </c>
      <c r="I596" t="s">
        <v>139</v>
      </c>
      <c r="J596" t="s">
        <v>287</v>
      </c>
      <c r="K596" s="22">
        <f t="shared" si="127"/>
        <v>8.9211118607918846E-2</v>
      </c>
      <c r="L596" s="22">
        <f t="shared" si="130"/>
        <v>8.9709854381943774E-2</v>
      </c>
      <c r="M596" s="22">
        <f t="shared" si="130"/>
        <v>9.0417475033143083E-2</v>
      </c>
      <c r="N596" s="22">
        <f t="shared" si="130"/>
        <v>9.0872196678668984E-2</v>
      </c>
      <c r="O596" s="22">
        <f t="shared" si="130"/>
        <v>9.1174361291842934E-2</v>
      </c>
      <c r="P596" s="22">
        <f t="shared" si="130"/>
        <v>9.1320994898161728E-2</v>
      </c>
      <c r="Q596" s="22">
        <f t="shared" si="130"/>
        <v>9.1644963105957017E-2</v>
      </c>
      <c r="R596" s="22">
        <f t="shared" si="130"/>
        <v>9.2016609055475651E-2</v>
      </c>
      <c r="S596" s="22">
        <f t="shared" si="130"/>
        <v>8.9250626632870506E-2</v>
      </c>
      <c r="T596" s="22">
        <f t="shared" si="130"/>
        <v>9.018910759145192E-2</v>
      </c>
      <c r="U596" s="22">
        <f t="shared" si="130"/>
        <v>9.1562795389337467E-2</v>
      </c>
      <c r="V596" s="22">
        <f t="shared" si="130"/>
        <v>9.2274810820194952E-2</v>
      </c>
      <c r="W596" s="22">
        <f t="shared" si="130"/>
        <v>9.3088549677051477E-2</v>
      </c>
      <c r="X596" s="22">
        <f t="shared" si="130"/>
        <v>9.4030367146954022E-2</v>
      </c>
      <c r="Y596" s="22">
        <f t="shared" si="130"/>
        <v>9.4992140485733595E-2</v>
      </c>
      <c r="Z596" s="22">
        <f t="shared" si="130"/>
        <v>9.605669953542309E-2</v>
      </c>
      <c r="AA596" s="22">
        <f t="shared" si="130"/>
        <v>9.7154235713963338E-2</v>
      </c>
      <c r="AB596" s="22">
        <f t="shared" si="130"/>
        <v>9.8347760304703769E-2</v>
      </c>
      <c r="AC596" s="22">
        <f t="shared" si="130"/>
        <v>9.9568208578524817E-2</v>
      </c>
      <c r="AD596" s="22">
        <f t="shared" si="130"/>
        <v>0.10088669536271129</v>
      </c>
      <c r="AE596" s="22">
        <f t="shared" si="130"/>
        <v>0.10218733727824697</v>
      </c>
      <c r="AF596" s="22">
        <f t="shared" si="130"/>
        <v>0.10356015512248805</v>
      </c>
      <c r="AG596" s="22">
        <f t="shared" si="130"/>
        <v>0.1051130390487056</v>
      </c>
      <c r="AH596" s="22">
        <f t="shared" si="130"/>
        <v>0.10658947451521658</v>
      </c>
      <c r="AI596" s="22">
        <f t="shared" si="130"/>
        <v>0.10810355126576793</v>
      </c>
      <c r="AJ596" s="22">
        <f t="shared" si="130"/>
        <v>0.10972278781886159</v>
      </c>
      <c r="AK596" s="22">
        <f t="shared" si="130"/>
        <v>0.1112398173269733</v>
      </c>
      <c r="AL596" s="22">
        <f t="shared" si="130"/>
        <v>0.11274861433308095</v>
      </c>
      <c r="AM596" s="22">
        <f t="shared" si="130"/>
        <v>0.11425337554687653</v>
      </c>
      <c r="AN596" s="22">
        <f t="shared" si="130"/>
        <v>0.11584536779599926</v>
      </c>
      <c r="AO596" s="22">
        <f t="shared" si="130"/>
        <v>0.11737332691073739</v>
      </c>
      <c r="AP596" s="22">
        <f t="shared" si="130"/>
        <v>0.11896061880517098</v>
      </c>
      <c r="AQ596" s="22">
        <f t="shared" si="130"/>
        <v>0.12061448282820714</v>
      </c>
      <c r="AR596" s="22">
        <f t="shared" si="130"/>
        <v>0.12234656062044848</v>
      </c>
      <c r="AS596" s="22">
        <f t="shared" si="130"/>
        <v>0.12410927658755902</v>
      </c>
      <c r="AT596" s="22">
        <f t="shared" si="130"/>
        <v>0.12452720245635615</v>
      </c>
      <c r="AU596" s="22">
        <f t="shared" si="130"/>
        <v>0.12482463901873847</v>
      </c>
      <c r="AV596" s="22">
        <f t="shared" si="130"/>
        <v>0.12494650421265691</v>
      </c>
      <c r="AW596" s="22">
        <f t="shared" si="130"/>
        <v>0.12502008970656403</v>
      </c>
      <c r="AY596" s="79"/>
    </row>
    <row r="597" spans="1:51" x14ac:dyDescent="0.3">
      <c r="A597" s="95" t="str">
        <f t="shared" si="108"/>
        <v>PQ MM Leaching</v>
      </c>
      <c r="B597" s="95" t="s">
        <v>968</v>
      </c>
      <c r="C597" s="95" t="s">
        <v>1333</v>
      </c>
      <c r="D597" t="s">
        <v>369</v>
      </c>
      <c r="E597" t="s">
        <v>64</v>
      </c>
      <c r="F597" t="s">
        <v>63</v>
      </c>
      <c r="G597" t="s">
        <v>1154</v>
      </c>
      <c r="H597" t="s">
        <v>1307</v>
      </c>
      <c r="I597" t="s">
        <v>139</v>
      </c>
      <c r="J597" t="s">
        <v>287</v>
      </c>
      <c r="K597" s="22">
        <f t="shared" si="127"/>
        <v>2.6939494531157477E-2</v>
      </c>
      <c r="L597" s="22">
        <f t="shared" si="130"/>
        <v>2.709010008197326E-2</v>
      </c>
      <c r="M597" s="22">
        <f t="shared" si="130"/>
        <v>2.730378356628085E-2</v>
      </c>
      <c r="N597" s="22">
        <f t="shared" si="130"/>
        <v>2.7441097966929517E-2</v>
      </c>
      <c r="O597" s="22">
        <f t="shared" si="130"/>
        <v>2.7532344014183842E-2</v>
      </c>
      <c r="P597" s="22">
        <f t="shared" si="130"/>
        <v>2.757662364319366E-2</v>
      </c>
      <c r="Q597" s="22">
        <f t="shared" si="130"/>
        <v>2.7674453822865853E-2</v>
      </c>
      <c r="R597" s="22">
        <f t="shared" si="130"/>
        <v>2.7786681470952927E-2</v>
      </c>
      <c r="S597" s="22">
        <f t="shared" si="130"/>
        <v>2.6951424952373251E-2</v>
      </c>
      <c r="T597" s="22">
        <f t="shared" si="130"/>
        <v>2.7234822392578142E-2</v>
      </c>
      <c r="U597" s="22">
        <f t="shared" si="130"/>
        <v>2.7649641257043878E-2</v>
      </c>
      <c r="V597" s="22">
        <f t="shared" si="130"/>
        <v>2.7864651853312578E-2</v>
      </c>
      <c r="W597" s="22">
        <f t="shared" si="130"/>
        <v>2.8110380343506967E-2</v>
      </c>
      <c r="X597" s="22">
        <f t="shared" si="130"/>
        <v>2.8394785325483455E-2</v>
      </c>
      <c r="Y597" s="22">
        <f t="shared" si="130"/>
        <v>2.8685216473579894E-2</v>
      </c>
      <c r="Z597" s="22">
        <f t="shared" si="130"/>
        <v>2.9006686298694923E-2</v>
      </c>
      <c r="AA597" s="22">
        <f t="shared" si="130"/>
        <v>2.9338114380092265E-2</v>
      </c>
      <c r="AB597" s="22">
        <f t="shared" si="130"/>
        <v>2.9698528526745503E-2</v>
      </c>
      <c r="AC597" s="22">
        <f t="shared" si="130"/>
        <v>3.006707294263454E-2</v>
      </c>
      <c r="AD597" s="22">
        <f t="shared" si="130"/>
        <v>3.046522250141433E-2</v>
      </c>
      <c r="AE597" s="22">
        <f t="shared" si="130"/>
        <v>3.0857983362586373E-2</v>
      </c>
      <c r="AF597" s="22">
        <f t="shared" si="130"/>
        <v>3.1272539523122242E-2</v>
      </c>
      <c r="AG597" s="22">
        <f t="shared" si="130"/>
        <v>3.1741471072133737E-2</v>
      </c>
      <c r="AH597" s="22">
        <f t="shared" si="130"/>
        <v>3.2187317125813304E-2</v>
      </c>
      <c r="AI597" s="22">
        <f t="shared" si="130"/>
        <v>3.2644529892312681E-2</v>
      </c>
      <c r="AJ597" s="22">
        <f t="shared" si="130"/>
        <v>3.3133498251272868E-2</v>
      </c>
      <c r="AK597" s="22">
        <f t="shared" si="130"/>
        <v>3.3591602675643942E-2</v>
      </c>
      <c r="AL597" s="22">
        <f t="shared" si="130"/>
        <v>3.4047221093268576E-2</v>
      </c>
      <c r="AM597" s="22">
        <f t="shared" si="130"/>
        <v>3.4501620804003125E-2</v>
      </c>
      <c r="AN597" s="22">
        <f t="shared" si="130"/>
        <v>3.4982362074352798E-2</v>
      </c>
      <c r="AO597" s="22">
        <f t="shared" si="130"/>
        <v>3.5443766962640642E-2</v>
      </c>
      <c r="AP597" s="22">
        <f t="shared" si="130"/>
        <v>3.5923088845122318E-2</v>
      </c>
      <c r="AQ597" s="22">
        <f t="shared" si="130"/>
        <v>3.6422513821505312E-2</v>
      </c>
      <c r="AR597" s="22">
        <f t="shared" si="130"/>
        <v>3.6945557371902887E-2</v>
      </c>
      <c r="AS597" s="22">
        <f t="shared" si="130"/>
        <v>3.7477852873819655E-2</v>
      </c>
      <c r="AT597" s="22">
        <f t="shared" si="130"/>
        <v>3.7604055883406068E-2</v>
      </c>
      <c r="AU597" s="22">
        <f t="shared" si="130"/>
        <v>3.7693874179272106E-2</v>
      </c>
      <c r="AV597" s="22">
        <f t="shared" si="130"/>
        <v>3.7730674376112279E-2</v>
      </c>
      <c r="AW597" s="22">
        <f t="shared" si="130"/>
        <v>3.7752895328406304E-2</v>
      </c>
      <c r="AY597" s="79"/>
    </row>
    <row r="598" spans="1:51" x14ac:dyDescent="0.3">
      <c r="A598" s="95" t="str">
        <f t="shared" si="108"/>
        <v>PQ MM Leaching</v>
      </c>
      <c r="B598" s="95" t="s">
        <v>968</v>
      </c>
      <c r="C598" s="95" t="s">
        <v>1333</v>
      </c>
      <c r="D598" t="s">
        <v>369</v>
      </c>
      <c r="E598" t="s">
        <v>64</v>
      </c>
      <c r="F598" t="s">
        <v>63</v>
      </c>
      <c r="G598" t="s">
        <v>1156</v>
      </c>
      <c r="H598" t="s">
        <v>1308</v>
      </c>
      <c r="I598" t="s">
        <v>139</v>
      </c>
      <c r="J598" t="s">
        <v>287</v>
      </c>
      <c r="K598" s="22">
        <f t="shared" si="127"/>
        <v>1.4483668498503175E-3</v>
      </c>
      <c r="L598" s="22">
        <f t="shared" si="130"/>
        <v>1.4564639612104709E-3</v>
      </c>
      <c r="M598" s="22">
        <f t="shared" si="130"/>
        <v>1.4679523755410987E-3</v>
      </c>
      <c r="N598" s="22">
        <f t="shared" si="130"/>
        <v>1.4753349055168039E-3</v>
      </c>
      <c r="O598" s="22">
        <f t="shared" si="130"/>
        <v>1.4802406304505124E-3</v>
      </c>
      <c r="P598" s="22">
        <f t="shared" si="130"/>
        <v>1.4826212670547858E-3</v>
      </c>
      <c r="Q598" s="22">
        <f t="shared" si="130"/>
        <v>1.4878809792957942E-3</v>
      </c>
      <c r="R598" s="22">
        <f t="shared" si="130"/>
        <v>1.4939147526814823E-3</v>
      </c>
      <c r="S598" s="22">
        <f t="shared" si="130"/>
        <v>1.4490082734142855E-3</v>
      </c>
      <c r="T598" s="22">
        <f t="shared" si="130"/>
        <v>1.4642447678203134E-3</v>
      </c>
      <c r="U598" s="22">
        <f t="shared" si="130"/>
        <v>1.4865469639988589E-3</v>
      </c>
      <c r="V598" s="22">
        <f t="shared" si="130"/>
        <v>1.4981067287762548E-3</v>
      </c>
      <c r="W598" s="22">
        <f t="shared" si="130"/>
        <v>1.5113180011276973E-3</v>
      </c>
      <c r="X598" s="22">
        <f t="shared" si="130"/>
        <v>1.5266086647053162E-3</v>
      </c>
      <c r="Y598" s="22">
        <f t="shared" si="130"/>
        <v>1.5422233172586648E-3</v>
      </c>
      <c r="Z598" s="22">
        <f t="shared" si="130"/>
        <v>1.5595067238714088E-3</v>
      </c>
      <c r="AA598" s="22">
        <f t="shared" si="130"/>
        <v>1.5773255231681144E-3</v>
      </c>
      <c r="AB598" s="22">
        <f t="shared" si="130"/>
        <v>1.5967027205251731E-3</v>
      </c>
      <c r="AC598" s="22">
        <f t="shared" si="130"/>
        <v>1.6165170312225675E-3</v>
      </c>
      <c r="AD598" s="22">
        <f t="shared" si="130"/>
        <v>1.6379230238833516E-3</v>
      </c>
      <c r="AE598" s="22">
        <f t="shared" si="130"/>
        <v>1.6590393002330185E-3</v>
      </c>
      <c r="AF598" s="22">
        <f t="shared" si="130"/>
        <v>1.6813273724767988E-3</v>
      </c>
      <c r="AG598" s="22">
        <f t="shared" si="130"/>
        <v>1.7065388666884546E-3</v>
      </c>
      <c r="AH598" s="22">
        <f t="shared" si="130"/>
        <v>1.7305091992995292E-3</v>
      </c>
      <c r="AI598" s="22">
        <f t="shared" si="130"/>
        <v>1.7550906484265776E-3</v>
      </c>
      <c r="AJ598" s="22">
        <f t="shared" si="130"/>
        <v>1.7813793956383919E-3</v>
      </c>
      <c r="AK598" s="22">
        <f t="shared" si="130"/>
        <v>1.8060087835900271E-3</v>
      </c>
      <c r="AL598" s="22">
        <f t="shared" si="130"/>
        <v>1.8305045146255719E-3</v>
      </c>
      <c r="AM598" s="22">
        <f t="shared" si="130"/>
        <v>1.8549347234718561E-3</v>
      </c>
      <c r="AN598" s="22">
        <f t="shared" si="130"/>
        <v>1.8807811519757052E-3</v>
      </c>
      <c r="AO598" s="22">
        <f t="shared" si="130"/>
        <v>1.9055879850728176E-3</v>
      </c>
      <c r="AP598" s="22">
        <f t="shared" si="130"/>
        <v>1.9313581020359023E-3</v>
      </c>
      <c r="AQ598" s="22">
        <f t="shared" si="130"/>
        <v>1.9582090356695609E-3</v>
      </c>
      <c r="AR598" s="22">
        <f t="shared" si="130"/>
        <v>1.9863297911851367E-3</v>
      </c>
      <c r="AS598" s="22">
        <f t="shared" si="130"/>
        <v>2.014947965828651E-3</v>
      </c>
      <c r="AT598" s="22">
        <f t="shared" si="130"/>
        <v>2.0217331063302627E-3</v>
      </c>
      <c r="AU598" s="22">
        <f t="shared" si="130"/>
        <v>2.0265620700694281E-3</v>
      </c>
      <c r="AV598" s="22">
        <f t="shared" si="130"/>
        <v>2.0285405847408761E-3</v>
      </c>
      <c r="AW598" s="22">
        <f t="shared" si="130"/>
        <v>2.0297352653106076E-3</v>
      </c>
      <c r="AY598" s="79"/>
    </row>
    <row r="599" spans="1:51" x14ac:dyDescent="0.3">
      <c r="A599" s="95" t="str">
        <f t="shared" si="108"/>
        <v>PQ MM Leaching</v>
      </c>
      <c r="B599" s="95" t="s">
        <v>968</v>
      </c>
      <c r="C599" s="95" t="s">
        <v>1333</v>
      </c>
      <c r="D599" t="s">
        <v>369</v>
      </c>
      <c r="E599" t="s">
        <v>64</v>
      </c>
      <c r="F599" t="s">
        <v>63</v>
      </c>
      <c r="G599" t="s">
        <v>1158</v>
      </c>
      <c r="H599" t="s">
        <v>1309</v>
      </c>
      <c r="I599" t="s">
        <v>139</v>
      </c>
      <c r="J599" t="s">
        <v>287</v>
      </c>
      <c r="K599" s="22">
        <f t="shared" si="127"/>
        <v>3.030301439269115E-2</v>
      </c>
      <c r="L599" s="22">
        <f t="shared" si="130"/>
        <v>3.0040206026371356E-2</v>
      </c>
      <c r="M599" s="22">
        <f t="shared" si="130"/>
        <v>2.99401628371932E-2</v>
      </c>
      <c r="N599" s="22">
        <f t="shared" si="130"/>
        <v>2.9540351153331298E-2</v>
      </c>
      <c r="O599" s="22">
        <f t="shared" si="130"/>
        <v>2.8960014730128859E-2</v>
      </c>
      <c r="P599" s="22">
        <f t="shared" si="130"/>
        <v>2.8211154016296501E-2</v>
      </c>
      <c r="Q599" s="22">
        <f t="shared" si="130"/>
        <v>2.7620505669412022E-2</v>
      </c>
      <c r="R599" s="22">
        <f t="shared" si="130"/>
        <v>2.7061685185942385E-2</v>
      </c>
      <c r="S599" s="22">
        <f t="shared" si="130"/>
        <v>2.3806393912702346E-2</v>
      </c>
      <c r="T599" s="22">
        <f t="shared" si="130"/>
        <v>2.4193081489661764E-2</v>
      </c>
      <c r="U599" s="22">
        <f t="shared" si="130"/>
        <v>2.4914459363237305E-2</v>
      </c>
      <c r="V599" s="22">
        <f t="shared" si="130"/>
        <v>2.5058526856807112E-2</v>
      </c>
      <c r="W599" s="22">
        <f t="shared" si="130"/>
        <v>2.5266313616668409E-2</v>
      </c>
      <c r="X599" s="22">
        <f t="shared" si="130"/>
        <v>2.5556180730039606E-2</v>
      </c>
      <c r="Y599" s="22">
        <f t="shared" si="130"/>
        <v>2.588867153480013E-2</v>
      </c>
      <c r="Z599" s="22">
        <f t="shared" si="130"/>
        <v>2.627849954534961E-2</v>
      </c>
      <c r="AA599" s="22">
        <f t="shared" si="130"/>
        <v>2.6670125529897157E-2</v>
      </c>
      <c r="AB599" s="22">
        <f t="shared" si="130"/>
        <v>2.7110583919598655E-2</v>
      </c>
      <c r="AC599" s="22">
        <f t="shared" si="130"/>
        <v>2.7546671241882887E-2</v>
      </c>
      <c r="AD599" s="22">
        <f t="shared" si="130"/>
        <v>2.7830739758273274E-2</v>
      </c>
      <c r="AE599" s="22">
        <f t="shared" si="130"/>
        <v>2.8063979806522674E-2</v>
      </c>
      <c r="AF599" s="22">
        <f t="shared" si="130"/>
        <v>2.8310384702020075E-2</v>
      </c>
      <c r="AG599" s="22">
        <f t="shared" si="130"/>
        <v>2.8640071683735925E-2</v>
      </c>
      <c r="AH599" s="22">
        <f t="shared" si="130"/>
        <v>2.8877171474684857E-2</v>
      </c>
      <c r="AI599" s="22">
        <f t="shared" si="130"/>
        <v>2.9129861427597242E-2</v>
      </c>
      <c r="AJ599" s="22">
        <f t="shared" si="130"/>
        <v>2.9408020774721655E-2</v>
      </c>
      <c r="AK599" s="22">
        <f t="shared" si="130"/>
        <v>2.958135107830024E-2</v>
      </c>
      <c r="AL599" s="22">
        <f t="shared" si="130"/>
        <v>2.9711386636381822E-2</v>
      </c>
      <c r="AM599" s="22">
        <f t="shared" si="130"/>
        <v>2.9801834695120533E-2</v>
      </c>
      <c r="AN599" s="22">
        <f t="shared" si="130"/>
        <v>3.0083013804328998E-2</v>
      </c>
      <c r="AO599" s="22">
        <f t="shared" si="130"/>
        <v>3.0296745523052525E-2</v>
      </c>
      <c r="AP599" s="22">
        <f t="shared" si="130"/>
        <v>3.0513175155516516E-2</v>
      </c>
      <c r="AQ599" s="22">
        <f t="shared" si="130"/>
        <v>3.0734778558877459E-2</v>
      </c>
      <c r="AR599" s="22">
        <f t="shared" si="130"/>
        <v>3.0966024436887393E-2</v>
      </c>
      <c r="AS599" s="22">
        <f t="shared" si="130"/>
        <v>3.1203452529548665E-2</v>
      </c>
      <c r="AT599" s="22">
        <f t="shared" si="130"/>
        <v>3.0735097960314203E-2</v>
      </c>
      <c r="AU599" s="22">
        <f t="shared" si="130"/>
        <v>3.0204531000918678E-2</v>
      </c>
      <c r="AV599" s="22">
        <f t="shared" si="130"/>
        <v>2.9589433707278279E-2</v>
      </c>
      <c r="AW599" s="22">
        <f t="shared" si="130"/>
        <v>2.8955059711748863E-2</v>
      </c>
      <c r="AY599" s="79"/>
    </row>
    <row r="600" spans="1:51" x14ac:dyDescent="0.3">
      <c r="A600" s="95" t="str">
        <f t="shared" si="108"/>
        <v>PQ MM Leaching</v>
      </c>
      <c r="B600" s="95" t="s">
        <v>968</v>
      </c>
      <c r="C600" s="95" t="s">
        <v>1333</v>
      </c>
      <c r="D600" t="s">
        <v>369</v>
      </c>
      <c r="E600" t="s">
        <v>64</v>
      </c>
      <c r="F600" t="s">
        <v>63</v>
      </c>
      <c r="G600" t="s">
        <v>1160</v>
      </c>
      <c r="H600" t="s">
        <v>1310</v>
      </c>
      <c r="I600" t="s">
        <v>139</v>
      </c>
      <c r="J600" t="s">
        <v>287</v>
      </c>
      <c r="K600" s="22">
        <f t="shared" si="127"/>
        <v>4.0226293185258936E-2</v>
      </c>
      <c r="L600" s="22">
        <f t="shared" si="130"/>
        <v>3.9877423391049015E-2</v>
      </c>
      <c r="M600" s="22">
        <f t="shared" ref="L600:AW606" si="131">M1551</f>
        <v>3.9744619221572089E-2</v>
      </c>
      <c r="N600" s="22">
        <f t="shared" si="131"/>
        <v>3.9213881856453713E-2</v>
      </c>
      <c r="O600" s="22">
        <f t="shared" si="131"/>
        <v>3.8443503609481157E-2</v>
      </c>
      <c r="P600" s="22">
        <f t="shared" si="131"/>
        <v>3.7449414696768608E-2</v>
      </c>
      <c r="Q600" s="22">
        <f t="shared" si="131"/>
        <v>3.666534769725275E-2</v>
      </c>
      <c r="R600" s="22">
        <f t="shared" si="131"/>
        <v>3.5923531179771241E-2</v>
      </c>
      <c r="S600" s="22">
        <f t="shared" si="131"/>
        <v>3.160223497260737E-2</v>
      </c>
      <c r="T600" s="22">
        <f t="shared" si="131"/>
        <v>3.2115550500900779E-2</v>
      </c>
      <c r="U600" s="22">
        <f t="shared" si="131"/>
        <v>3.3073156812397204E-2</v>
      </c>
      <c r="V600" s="22">
        <f t="shared" si="131"/>
        <v>3.3264401853557279E-2</v>
      </c>
      <c r="W600" s="22">
        <f t="shared" si="131"/>
        <v>3.3540232205412031E-2</v>
      </c>
      <c r="X600" s="22">
        <f t="shared" si="131"/>
        <v>3.3925021630521073E-2</v>
      </c>
      <c r="Y600" s="22">
        <f t="shared" si="131"/>
        <v>3.4366392657851123E-2</v>
      </c>
      <c r="Z600" s="22">
        <f t="shared" si="131"/>
        <v>3.4883877012409983E-2</v>
      </c>
      <c r="AA600" s="22">
        <f t="shared" si="131"/>
        <v>3.5403748120585117E-2</v>
      </c>
      <c r="AB600" s="22">
        <f t="shared" si="131"/>
        <v>3.5988442702135158E-2</v>
      </c>
      <c r="AC600" s="22">
        <f t="shared" si="131"/>
        <v>3.6567334829936515E-2</v>
      </c>
      <c r="AD600" s="22">
        <f t="shared" si="131"/>
        <v>3.6944426800951023E-2</v>
      </c>
      <c r="AE600" s="22">
        <f t="shared" si="131"/>
        <v>3.7254045588106646E-2</v>
      </c>
      <c r="AF600" s="22">
        <f t="shared" si="131"/>
        <v>3.7581140293607394E-2</v>
      </c>
      <c r="AG600" s="22">
        <f t="shared" si="131"/>
        <v>3.801878933452469E-2</v>
      </c>
      <c r="AH600" s="22">
        <f t="shared" si="131"/>
        <v>3.8333531808038356E-2</v>
      </c>
      <c r="AI600" s="22">
        <f t="shared" si="131"/>
        <v>3.8668969728474223E-2</v>
      </c>
      <c r="AJ600" s="22">
        <f t="shared" si="131"/>
        <v>3.9038217464182824E-2</v>
      </c>
      <c r="AK600" s="22">
        <f t="shared" si="131"/>
        <v>3.9268307960108023E-2</v>
      </c>
      <c r="AL600" s="22">
        <f t="shared" si="131"/>
        <v>3.9440926050708265E-2</v>
      </c>
      <c r="AM600" s="22">
        <f t="shared" si="131"/>
        <v>3.9560992988000768E-2</v>
      </c>
      <c r="AN600" s="22">
        <f t="shared" si="131"/>
        <v>3.9934249362367197E-2</v>
      </c>
      <c r="AO600" s="22">
        <f t="shared" si="131"/>
        <v>4.0217971459084928E-2</v>
      </c>
      <c r="AP600" s="22">
        <f t="shared" si="131"/>
        <v>4.0505274950963739E-2</v>
      </c>
      <c r="AQ600" s="22">
        <f t="shared" si="131"/>
        <v>4.0799446460072705E-2</v>
      </c>
      <c r="AR600" s="22">
        <f t="shared" si="131"/>
        <v>4.1106418049306863E-2</v>
      </c>
      <c r="AS600" s="22">
        <f t="shared" si="131"/>
        <v>4.1421596332960157E-2</v>
      </c>
      <c r="AT600" s="22">
        <f t="shared" si="131"/>
        <v>4.0799870455377994E-2</v>
      </c>
      <c r="AU600" s="22">
        <f t="shared" si="131"/>
        <v>4.0095559597504944E-2</v>
      </c>
      <c r="AV600" s="22">
        <f t="shared" si="131"/>
        <v>3.9279037394439685E-2</v>
      </c>
      <c r="AW600" s="22">
        <f t="shared" si="131"/>
        <v>3.843692597929859E-2</v>
      </c>
      <c r="AY600" s="79"/>
    </row>
    <row r="601" spans="1:51" x14ac:dyDescent="0.3">
      <c r="A601" s="95" t="str">
        <f t="shared" si="108"/>
        <v>PQ MM Leaching</v>
      </c>
      <c r="B601" s="95" t="s">
        <v>968</v>
      </c>
      <c r="C601" s="95" t="s">
        <v>1333</v>
      </c>
      <c r="D601" t="s">
        <v>369</v>
      </c>
      <c r="E601" t="s">
        <v>64</v>
      </c>
      <c r="F601" t="s">
        <v>63</v>
      </c>
      <c r="G601" t="s">
        <v>1162</v>
      </c>
      <c r="H601" t="s">
        <v>1311</v>
      </c>
      <c r="I601" t="s">
        <v>139</v>
      </c>
      <c r="J601" t="s">
        <v>287</v>
      </c>
      <c r="K601" s="22">
        <f t="shared" si="127"/>
        <v>4.1968337096859203E-2</v>
      </c>
      <c r="L601" s="22">
        <f t="shared" si="131"/>
        <v>4.3383434779753462E-2</v>
      </c>
      <c r="M601" s="22">
        <f t="shared" si="131"/>
        <v>4.5063007666824861E-2</v>
      </c>
      <c r="N601" s="22">
        <f t="shared" si="131"/>
        <v>4.6315596244033502E-2</v>
      </c>
      <c r="O601" s="22">
        <f t="shared" si="131"/>
        <v>4.7281576900430194E-2</v>
      </c>
      <c r="P601" s="22">
        <f t="shared" si="131"/>
        <v>4.7947144057730852E-2</v>
      </c>
      <c r="Q601" s="22">
        <f t="shared" si="131"/>
        <v>4.8855920576585825E-2</v>
      </c>
      <c r="R601" s="22">
        <f t="shared" si="131"/>
        <v>4.9808583705724517E-2</v>
      </c>
      <c r="S601" s="22">
        <f t="shared" si="131"/>
        <v>4.558792439477468E-2</v>
      </c>
      <c r="T601" s="22">
        <f t="shared" si="131"/>
        <v>4.7444585849147458E-2</v>
      </c>
      <c r="U601" s="22">
        <f t="shared" si="131"/>
        <v>5.0020252871766716E-2</v>
      </c>
      <c r="V601" s="22">
        <f t="shared" si="131"/>
        <v>5.1489747377125035E-2</v>
      </c>
      <c r="W601" s="22">
        <f t="shared" si="131"/>
        <v>5.3120325210598208E-2</v>
      </c>
      <c r="X601" s="22">
        <f t="shared" si="131"/>
        <v>5.4961817995869279E-2</v>
      </c>
      <c r="Y601" s="22">
        <f t="shared" si="131"/>
        <v>5.6940702891012454E-2</v>
      </c>
      <c r="Z601" s="22">
        <f t="shared" si="131"/>
        <v>5.909779909090021E-2</v>
      </c>
      <c r="AA601" s="22">
        <f t="shared" si="131"/>
        <v>6.1315559224141662E-2</v>
      </c>
      <c r="AB601" s="22">
        <f t="shared" si="131"/>
        <v>6.3706453642829244E-2</v>
      </c>
      <c r="AC601" s="22">
        <f t="shared" si="131"/>
        <v>6.6151992620882463E-2</v>
      </c>
      <c r="AD601" s="22">
        <f t="shared" si="131"/>
        <v>6.9050571490334375E-2</v>
      </c>
      <c r="AE601" s="22">
        <f t="shared" si="131"/>
        <v>7.1942782657683113E-2</v>
      </c>
      <c r="AF601" s="22">
        <f t="shared" si="131"/>
        <v>7.499198620981147E-2</v>
      </c>
      <c r="AG601" s="22">
        <f t="shared" si="131"/>
        <v>7.8400492834913502E-2</v>
      </c>
      <c r="AH601" s="22">
        <f t="shared" si="131"/>
        <v>8.1701156762449018E-2</v>
      </c>
      <c r="AI601" s="22">
        <f t="shared" si="131"/>
        <v>8.5192788556250426E-2</v>
      </c>
      <c r="AJ601" s="22">
        <f t="shared" si="131"/>
        <v>8.8918442809121118E-2</v>
      </c>
      <c r="AK601" s="22">
        <f t="shared" si="131"/>
        <v>9.248798577918188E-2</v>
      </c>
      <c r="AL601" s="22">
        <f t="shared" si="131"/>
        <v>9.6077147406772881E-2</v>
      </c>
      <c r="AM601" s="22">
        <f t="shared" si="131"/>
        <v>9.9693715805378641E-2</v>
      </c>
      <c r="AN601" s="22">
        <f t="shared" si="131"/>
        <v>0.10347374306833025</v>
      </c>
      <c r="AO601" s="22">
        <f t="shared" si="131"/>
        <v>0.1071593390128282</v>
      </c>
      <c r="AP601" s="22">
        <f t="shared" si="131"/>
        <v>0.11099240238226693</v>
      </c>
      <c r="AQ601" s="22">
        <f t="shared" si="131"/>
        <v>0.11498990238948355</v>
      </c>
      <c r="AR601" s="22">
        <f t="shared" si="131"/>
        <v>0.11917803768424121</v>
      </c>
      <c r="AS601" s="22">
        <f t="shared" si="131"/>
        <v>0.12355418732739334</v>
      </c>
      <c r="AT601" s="22">
        <f t="shared" si="131"/>
        <v>0.1252281322589274</v>
      </c>
      <c r="AU601" s="22">
        <f t="shared" si="131"/>
        <v>0.1266560621373938</v>
      </c>
      <c r="AV601" s="22">
        <f t="shared" si="131"/>
        <v>0.12771943748303299</v>
      </c>
      <c r="AW601" s="22">
        <f t="shared" si="131"/>
        <v>0.12867585314816252</v>
      </c>
      <c r="AY601" s="79"/>
    </row>
    <row r="602" spans="1:51" x14ac:dyDescent="0.3">
      <c r="A602" s="95" t="str">
        <f t="shared" si="108"/>
        <v>PQ MM Leaching</v>
      </c>
      <c r="B602" s="95" t="s">
        <v>968</v>
      </c>
      <c r="C602" s="95" t="s">
        <v>1333</v>
      </c>
      <c r="D602" t="s">
        <v>369</v>
      </c>
      <c r="E602" t="s">
        <v>64</v>
      </c>
      <c r="F602" t="s">
        <v>63</v>
      </c>
      <c r="G602" t="s">
        <v>1164</v>
      </c>
      <c r="H602" t="s">
        <v>1312</v>
      </c>
      <c r="I602" t="s">
        <v>139</v>
      </c>
      <c r="J602" t="s">
        <v>287</v>
      </c>
      <c r="K602" s="22">
        <f t="shared" si="127"/>
        <v>4.3945619533695716E-3</v>
      </c>
      <c r="L602" s="22">
        <f t="shared" si="131"/>
        <v>4.3969380790341763E-3</v>
      </c>
      <c r="M602" s="22">
        <f t="shared" si="131"/>
        <v>4.4026193063540784E-3</v>
      </c>
      <c r="N602" s="22">
        <f t="shared" si="131"/>
        <v>4.4109963215778836E-3</v>
      </c>
      <c r="O602" s="22">
        <f t="shared" si="131"/>
        <v>4.4220158913338588E-3</v>
      </c>
      <c r="P602" s="22">
        <f t="shared" si="131"/>
        <v>4.4355616535255637E-3</v>
      </c>
      <c r="Q602" s="22">
        <f t="shared" si="131"/>
        <v>4.4507753934109251E-3</v>
      </c>
      <c r="R602" s="22">
        <f t="shared" si="131"/>
        <v>4.467561061292976E-3</v>
      </c>
      <c r="S602" s="22">
        <f t="shared" si="131"/>
        <v>4.4829106304263445E-3</v>
      </c>
      <c r="T602" s="22">
        <f t="shared" si="131"/>
        <v>4.4896556027107107E-3</v>
      </c>
      <c r="U602" s="22">
        <f t="shared" si="131"/>
        <v>4.4978926629073816E-3</v>
      </c>
      <c r="V602" s="22">
        <f t="shared" si="131"/>
        <v>4.5065504561298229E-3</v>
      </c>
      <c r="W602" s="22">
        <f t="shared" si="131"/>
        <v>4.5162706773714013E-3</v>
      </c>
      <c r="X602" s="22">
        <f t="shared" si="131"/>
        <v>4.527026129260852E-3</v>
      </c>
      <c r="Y602" s="22">
        <f t="shared" si="131"/>
        <v>4.5337431797518573E-3</v>
      </c>
      <c r="Z602" s="22">
        <f t="shared" si="131"/>
        <v>4.5413317440573253E-3</v>
      </c>
      <c r="AA602" s="22">
        <f t="shared" si="131"/>
        <v>4.5496892838415501E-3</v>
      </c>
      <c r="AB602" s="22">
        <f t="shared" si="131"/>
        <v>4.5588387793970616E-3</v>
      </c>
      <c r="AC602" s="22">
        <f t="shared" si="131"/>
        <v>4.5686857941763257E-3</v>
      </c>
      <c r="AD602" s="22">
        <f t="shared" si="131"/>
        <v>4.5752913220902473E-3</v>
      </c>
      <c r="AE602" s="22">
        <f t="shared" si="131"/>
        <v>4.582462373127697E-3</v>
      </c>
      <c r="AF602" s="22">
        <f t="shared" si="131"/>
        <v>4.5902565907943761E-3</v>
      </c>
      <c r="AG602" s="22">
        <f t="shared" si="131"/>
        <v>4.59875005922699E-3</v>
      </c>
      <c r="AH602" s="22">
        <f t="shared" si="131"/>
        <v>4.6076877369256993E-3</v>
      </c>
      <c r="AI602" s="22">
        <f t="shared" si="131"/>
        <v>4.6134006720946743E-3</v>
      </c>
      <c r="AJ602" s="22">
        <f t="shared" si="131"/>
        <v>4.6196582419180043E-3</v>
      </c>
      <c r="AK602" s="22">
        <f t="shared" si="131"/>
        <v>4.626254058673806E-3</v>
      </c>
      <c r="AL602" s="22">
        <f t="shared" si="131"/>
        <v>4.6332583415557996E-3</v>
      </c>
      <c r="AM602" s="22">
        <f t="shared" si="131"/>
        <v>4.6406604705372459E-3</v>
      </c>
      <c r="AN602" s="22">
        <f t="shared" si="131"/>
        <v>4.6450341959288514E-3</v>
      </c>
      <c r="AO602" s="22">
        <f t="shared" si="131"/>
        <v>4.6497032008589968E-3</v>
      </c>
      <c r="AP602" s="22">
        <f t="shared" si="131"/>
        <v>4.6547677652323564E-3</v>
      </c>
      <c r="AQ602" s="22">
        <f t="shared" si="131"/>
        <v>4.6602229926895984E-3</v>
      </c>
      <c r="AR602" s="22">
        <f t="shared" si="131"/>
        <v>4.6660687701808173E-3</v>
      </c>
      <c r="AS602" s="22">
        <f t="shared" si="131"/>
        <v>4.6687208592955552E-3</v>
      </c>
      <c r="AT602" s="22">
        <f t="shared" si="131"/>
        <v>4.6704299553969519E-3</v>
      </c>
      <c r="AU602" s="22">
        <f t="shared" si="131"/>
        <v>4.6723034477338006E-3</v>
      </c>
      <c r="AV602" s="22">
        <f t="shared" si="131"/>
        <v>4.6742823579489622E-3</v>
      </c>
      <c r="AW602" s="22">
        <f t="shared" si="131"/>
        <v>4.6764744826629494E-3</v>
      </c>
      <c r="AY602" s="79"/>
    </row>
    <row r="603" spans="1:51" x14ac:dyDescent="0.3">
      <c r="A603" s="95" t="str">
        <f t="shared" si="108"/>
        <v>PQ MM Leaching</v>
      </c>
      <c r="B603" s="95" t="s">
        <v>968</v>
      </c>
      <c r="C603" s="95" t="s">
        <v>1333</v>
      </c>
      <c r="D603" t="s">
        <v>369</v>
      </c>
      <c r="E603" t="s">
        <v>64</v>
      </c>
      <c r="F603" t="s">
        <v>63</v>
      </c>
      <c r="G603" t="s">
        <v>1166</v>
      </c>
      <c r="H603" t="s">
        <v>1313</v>
      </c>
      <c r="I603" t="s">
        <v>139</v>
      </c>
      <c r="J603" t="s">
        <v>287</v>
      </c>
      <c r="K603" s="22">
        <f t="shared" si="127"/>
        <v>3.6554846257269864E-3</v>
      </c>
      <c r="L603" s="22">
        <f t="shared" si="131"/>
        <v>3.6574611346322943E-3</v>
      </c>
      <c r="M603" s="22">
        <f t="shared" si="131"/>
        <v>3.662186893272979E-3</v>
      </c>
      <c r="N603" s="22">
        <f t="shared" si="131"/>
        <v>3.6691550622702605E-3</v>
      </c>
      <c r="O603" s="22">
        <f t="shared" si="131"/>
        <v>3.6783213610396305E-3</v>
      </c>
      <c r="P603" s="22">
        <f t="shared" si="131"/>
        <v>3.6895889972593382E-3</v>
      </c>
      <c r="Q603" s="22">
        <f t="shared" si="131"/>
        <v>3.7022440907227717E-3</v>
      </c>
      <c r="R603" s="22">
        <f t="shared" si="131"/>
        <v>3.7162067453687837E-3</v>
      </c>
      <c r="S603" s="22">
        <f t="shared" si="131"/>
        <v>3.7289748243204386E-3</v>
      </c>
      <c r="T603" s="22">
        <f t="shared" si="131"/>
        <v>3.7345854273220752E-3</v>
      </c>
      <c r="U603" s="22">
        <f t="shared" si="131"/>
        <v>3.7414371789254476E-3</v>
      </c>
      <c r="V603" s="22">
        <f t="shared" si="131"/>
        <v>3.7486389046840498E-3</v>
      </c>
      <c r="W603" s="22">
        <f t="shared" si="131"/>
        <v>3.7567243793421119E-3</v>
      </c>
      <c r="X603" s="22">
        <f t="shared" si="131"/>
        <v>3.7656709795816407E-3</v>
      </c>
      <c r="Y603" s="22">
        <f t="shared" si="131"/>
        <v>3.7712583566764787E-3</v>
      </c>
      <c r="Z603" s="22">
        <f t="shared" si="131"/>
        <v>3.7775706764126256E-3</v>
      </c>
      <c r="AA603" s="22">
        <f t="shared" si="131"/>
        <v>3.784522645349305E-3</v>
      </c>
      <c r="AB603" s="22">
        <f t="shared" si="131"/>
        <v>3.7921333789539768E-3</v>
      </c>
      <c r="AC603" s="22">
        <f t="shared" si="131"/>
        <v>3.8003243230154901E-3</v>
      </c>
      <c r="AD603" s="22">
        <f t="shared" si="131"/>
        <v>3.805818933397678E-3</v>
      </c>
      <c r="AE603" s="22">
        <f t="shared" si="131"/>
        <v>3.8117839572375635E-3</v>
      </c>
      <c r="AF603" s="22">
        <f t="shared" si="131"/>
        <v>3.8182673435573919E-3</v>
      </c>
      <c r="AG603" s="22">
        <f t="shared" si="131"/>
        <v>3.8253323806655189E-3</v>
      </c>
      <c r="AH603" s="22">
        <f t="shared" si="131"/>
        <v>3.8327669199356464E-3</v>
      </c>
      <c r="AI603" s="22">
        <f t="shared" si="131"/>
        <v>3.8375190538000809E-3</v>
      </c>
      <c r="AJ603" s="22">
        <f t="shared" si="131"/>
        <v>3.8427242256753023E-3</v>
      </c>
      <c r="AK603" s="22">
        <f t="shared" si="131"/>
        <v>3.8482107581217181E-3</v>
      </c>
      <c r="AL603" s="22">
        <f t="shared" si="131"/>
        <v>3.8540370608706733E-3</v>
      </c>
      <c r="AM603" s="22">
        <f t="shared" si="131"/>
        <v>3.8601942999712795E-3</v>
      </c>
      <c r="AN603" s="22">
        <f t="shared" si="131"/>
        <v>3.8638324523277176E-3</v>
      </c>
      <c r="AO603" s="22">
        <f t="shared" si="131"/>
        <v>3.8677162241167358E-3</v>
      </c>
      <c r="AP603" s="22">
        <f t="shared" si="131"/>
        <v>3.87192903017096E-3</v>
      </c>
      <c r="AQ603" s="22">
        <f t="shared" si="131"/>
        <v>3.8764667976006581E-3</v>
      </c>
      <c r="AR603" s="22">
        <f t="shared" si="131"/>
        <v>3.8813294323686563E-3</v>
      </c>
      <c r="AS603" s="22">
        <f t="shared" si="131"/>
        <v>3.8835354931974382E-3</v>
      </c>
      <c r="AT603" s="22">
        <f t="shared" si="131"/>
        <v>3.8849571535560438E-3</v>
      </c>
      <c r="AU603" s="22">
        <f t="shared" si="131"/>
        <v>3.8865155619950283E-3</v>
      </c>
      <c r="AV603" s="22">
        <f t="shared" si="131"/>
        <v>3.8881616591359886E-3</v>
      </c>
      <c r="AW603" s="22">
        <f t="shared" si="131"/>
        <v>3.8899851123662963E-3</v>
      </c>
      <c r="AY603" s="79"/>
    </row>
    <row r="604" spans="1:51" x14ac:dyDescent="0.3">
      <c r="A604" s="95" t="str">
        <f t="shared" si="108"/>
        <v>PQ MM Leaching</v>
      </c>
      <c r="B604" s="95" t="s">
        <v>968</v>
      </c>
      <c r="C604" s="95" t="s">
        <v>1333</v>
      </c>
      <c r="D604" t="s">
        <v>369</v>
      </c>
      <c r="E604" t="s">
        <v>64</v>
      </c>
      <c r="F604" t="s">
        <v>63</v>
      </c>
      <c r="G604" t="s">
        <v>1168</v>
      </c>
      <c r="H604" t="s">
        <v>1314</v>
      </c>
      <c r="I604" t="s">
        <v>139</v>
      </c>
      <c r="J604" t="s">
        <v>287</v>
      </c>
      <c r="K604" s="22">
        <f t="shared" si="127"/>
        <v>5.4322987485311562E-4</v>
      </c>
      <c r="L604" s="22">
        <f t="shared" si="131"/>
        <v>5.4464201031358182E-4</v>
      </c>
      <c r="M604" s="22">
        <f t="shared" si="131"/>
        <v>5.4659000127818655E-4</v>
      </c>
      <c r="N604" s="22">
        <f t="shared" si="131"/>
        <v>5.4896316873921213E-4</v>
      </c>
      <c r="O604" s="22">
        <f t="shared" si="131"/>
        <v>5.5175812793145673E-4</v>
      </c>
      <c r="P604" s="22">
        <f t="shared" si="131"/>
        <v>5.5495786726734487E-4</v>
      </c>
      <c r="Q604" s="22">
        <f t="shared" si="131"/>
        <v>5.5840147541839718E-4</v>
      </c>
      <c r="R604" s="22">
        <f t="shared" si="131"/>
        <v>5.620753208024884E-4</v>
      </c>
      <c r="S604" s="22">
        <f t="shared" si="131"/>
        <v>5.65407082502121E-4</v>
      </c>
      <c r="T604" s="22">
        <f t="shared" si="131"/>
        <v>5.6703451753723681E-4</v>
      </c>
      <c r="U604" s="22">
        <f t="shared" si="131"/>
        <v>5.6889992124546543E-4</v>
      </c>
      <c r="V604" s="22">
        <f t="shared" si="131"/>
        <v>5.7080142404289684E-4</v>
      </c>
      <c r="W604" s="22">
        <f t="shared" si="131"/>
        <v>5.7286374667304399E-4</v>
      </c>
      <c r="X604" s="22">
        <f t="shared" si="131"/>
        <v>5.7508348073871955E-4</v>
      </c>
      <c r="Y604" s="22">
        <f t="shared" si="131"/>
        <v>5.765040134864081E-4</v>
      </c>
      <c r="Z604" s="22">
        <f t="shared" si="131"/>
        <v>5.7805815510049798E-4</v>
      </c>
      <c r="AA604" s="22">
        <f t="shared" si="131"/>
        <v>5.7972772798702628E-4</v>
      </c>
      <c r="AB604" s="22">
        <f t="shared" si="131"/>
        <v>5.8151809327226973E-4</v>
      </c>
      <c r="AC604" s="22">
        <f t="shared" si="131"/>
        <v>5.8341243976409618E-4</v>
      </c>
      <c r="AD604" s="22">
        <f t="shared" si="131"/>
        <v>5.8467575387111191E-4</v>
      </c>
      <c r="AE604" s="22">
        <f t="shared" si="131"/>
        <v>5.8602300319697499E-4</v>
      </c>
      <c r="AF604" s="22">
        <f t="shared" si="131"/>
        <v>5.8746559148115021E-4</v>
      </c>
      <c r="AG604" s="22">
        <f t="shared" si="131"/>
        <v>5.8901817067528485E-4</v>
      </c>
      <c r="AH604" s="22">
        <f t="shared" si="131"/>
        <v>5.9063383572059778E-4</v>
      </c>
      <c r="AI604" s="22">
        <f t="shared" si="131"/>
        <v>5.9163445865223843E-4</v>
      </c>
      <c r="AJ604" s="22">
        <f t="shared" si="131"/>
        <v>5.927203167225099E-4</v>
      </c>
      <c r="AK604" s="22">
        <f t="shared" si="131"/>
        <v>5.9385364522191255E-4</v>
      </c>
      <c r="AL604" s="22">
        <f t="shared" si="131"/>
        <v>5.9504779442231843E-4</v>
      </c>
      <c r="AM604" s="22">
        <f t="shared" si="131"/>
        <v>5.9630112936813668E-4</v>
      </c>
      <c r="AN604" s="22">
        <f t="shared" si="131"/>
        <v>5.9698587491705869E-4</v>
      </c>
      <c r="AO604" s="22">
        <f t="shared" si="131"/>
        <v>5.9771375764922606E-4</v>
      </c>
      <c r="AP604" s="22">
        <f t="shared" si="131"/>
        <v>5.9850335838718442E-4</v>
      </c>
      <c r="AQ604" s="22">
        <f t="shared" si="131"/>
        <v>5.993539230264727E-4</v>
      </c>
      <c r="AR604" s="22">
        <f t="shared" si="131"/>
        <v>6.0026554968942018E-4</v>
      </c>
      <c r="AS604" s="22">
        <f t="shared" si="131"/>
        <v>6.0058687026311956E-4</v>
      </c>
      <c r="AT604" s="22">
        <f t="shared" si="131"/>
        <v>6.0072956880295909E-4</v>
      </c>
      <c r="AU604" s="22">
        <f t="shared" si="131"/>
        <v>6.0089545684115426E-4</v>
      </c>
      <c r="AV604" s="22">
        <f t="shared" si="131"/>
        <v>6.0107404835249166E-4</v>
      </c>
      <c r="AW604" s="22">
        <f t="shared" si="131"/>
        <v>6.0128502571355803E-4</v>
      </c>
      <c r="AY604" s="79"/>
    </row>
    <row r="605" spans="1:51" x14ac:dyDescent="0.3">
      <c r="A605" s="95" t="str">
        <f t="shared" si="108"/>
        <v>PQ MM Leaching</v>
      </c>
      <c r="B605" s="95" t="s">
        <v>968</v>
      </c>
      <c r="C605" s="95" t="s">
        <v>1333</v>
      </c>
      <c r="D605" t="s">
        <v>369</v>
      </c>
      <c r="E605" t="s">
        <v>64</v>
      </c>
      <c r="F605" t="s">
        <v>63</v>
      </c>
      <c r="G605" t="s">
        <v>1170</v>
      </c>
      <c r="H605" t="s">
        <v>1315</v>
      </c>
      <c r="I605" t="s">
        <v>139</v>
      </c>
      <c r="J605" t="s">
        <v>287</v>
      </c>
      <c r="K605" s="22">
        <f t="shared" si="127"/>
        <v>6.6992563985089947E-3</v>
      </c>
      <c r="L605" s="22">
        <f t="shared" si="131"/>
        <v>6.716671231449923E-3</v>
      </c>
      <c r="M605" s="22">
        <f t="shared" si="131"/>
        <v>6.7406943780734313E-3</v>
      </c>
      <c r="N605" s="22">
        <f t="shared" si="131"/>
        <v>6.7699609151951386E-3</v>
      </c>
      <c r="O605" s="22">
        <f t="shared" si="131"/>
        <v>6.8044291009834836E-3</v>
      </c>
      <c r="P605" s="22">
        <f t="shared" si="131"/>
        <v>6.8438891439814974E-3</v>
      </c>
      <c r="Q605" s="22">
        <f t="shared" si="131"/>
        <v>6.8863566425632575E-3</v>
      </c>
      <c r="R605" s="22">
        <f t="shared" si="131"/>
        <v>6.9316634884048298E-3</v>
      </c>
      <c r="S605" s="22">
        <f t="shared" si="131"/>
        <v>6.9727516665736141E-3</v>
      </c>
      <c r="T605" s="22">
        <f t="shared" si="131"/>
        <v>6.9928216315679071E-3</v>
      </c>
      <c r="U605" s="22">
        <f t="shared" si="131"/>
        <v>7.0158262900129739E-3</v>
      </c>
      <c r="V605" s="22">
        <f t="shared" si="131"/>
        <v>7.0392761321003963E-3</v>
      </c>
      <c r="W605" s="22">
        <f t="shared" si="131"/>
        <v>7.0647092474634627E-3</v>
      </c>
      <c r="X605" s="22">
        <f t="shared" si="131"/>
        <v>7.0920836028346328E-3</v>
      </c>
      <c r="Y605" s="22">
        <f t="shared" si="131"/>
        <v>7.1096019933720011E-3</v>
      </c>
      <c r="Z605" s="22">
        <f t="shared" si="131"/>
        <v>7.1287680842560801E-3</v>
      </c>
      <c r="AA605" s="22">
        <f t="shared" si="131"/>
        <v>7.1493577045266439E-3</v>
      </c>
      <c r="AB605" s="22">
        <f t="shared" si="131"/>
        <v>7.1714369690296844E-3</v>
      </c>
      <c r="AC605" s="22">
        <f t="shared" si="131"/>
        <v>7.1947985576385452E-3</v>
      </c>
      <c r="AD605" s="22">
        <f t="shared" si="131"/>
        <v>7.2103780857656428E-3</v>
      </c>
      <c r="AE605" s="22">
        <f t="shared" si="131"/>
        <v>7.2269927255056137E-3</v>
      </c>
      <c r="AF605" s="22">
        <f t="shared" si="131"/>
        <v>7.2447831108296695E-3</v>
      </c>
      <c r="AG605" s="22">
        <f t="shared" si="131"/>
        <v>7.2639299335321393E-3</v>
      </c>
      <c r="AH605" s="22">
        <f t="shared" si="131"/>
        <v>7.2838547478579095E-3</v>
      </c>
      <c r="AI605" s="22">
        <f t="shared" si="131"/>
        <v>7.2961946980108746E-3</v>
      </c>
      <c r="AJ605" s="22">
        <f t="shared" si="131"/>
        <v>7.3095857907358557E-3</v>
      </c>
      <c r="AK605" s="22">
        <f t="shared" si="131"/>
        <v>7.3235623015146271E-3</v>
      </c>
      <c r="AL605" s="22">
        <f t="shared" si="131"/>
        <v>7.3382888694777E-3</v>
      </c>
      <c r="AM605" s="22">
        <f t="shared" si="131"/>
        <v>7.3537453319145558E-3</v>
      </c>
      <c r="AN605" s="22">
        <f t="shared" si="131"/>
        <v>7.3621897975308988E-3</v>
      </c>
      <c r="AO605" s="22">
        <f t="shared" si="131"/>
        <v>7.3711662424514879E-3</v>
      </c>
      <c r="AP605" s="22">
        <f t="shared" si="131"/>
        <v>7.3809038103594829E-3</v>
      </c>
      <c r="AQ605" s="22">
        <f t="shared" si="131"/>
        <v>7.3913932014365797E-3</v>
      </c>
      <c r="AR605" s="22">
        <f t="shared" si="131"/>
        <v>7.4026356257536402E-3</v>
      </c>
      <c r="AS605" s="22">
        <f t="shared" si="131"/>
        <v>7.4065982371801786E-3</v>
      </c>
      <c r="AT605" s="22">
        <f t="shared" si="131"/>
        <v>7.408358033815691E-3</v>
      </c>
      <c r="AU605" s="22">
        <f t="shared" si="131"/>
        <v>7.4104038095595542E-3</v>
      </c>
      <c r="AV605" s="22">
        <f t="shared" si="131"/>
        <v>7.4126062479386483E-3</v>
      </c>
      <c r="AW605" s="22">
        <f t="shared" si="131"/>
        <v>7.4152080772957795E-3</v>
      </c>
      <c r="AY605" s="79"/>
    </row>
    <row r="606" spans="1:51" x14ac:dyDescent="0.3">
      <c r="A606" s="95" t="str">
        <f t="shared" si="108"/>
        <v>PQ MM Leaching</v>
      </c>
      <c r="B606" s="95" t="s">
        <v>968</v>
      </c>
      <c r="C606" s="95" t="s">
        <v>1333</v>
      </c>
      <c r="D606" t="s">
        <v>369</v>
      </c>
      <c r="E606" t="s">
        <v>64</v>
      </c>
      <c r="F606" t="s">
        <v>63</v>
      </c>
      <c r="G606" t="s">
        <v>1172</v>
      </c>
      <c r="H606" t="s">
        <v>1316</v>
      </c>
      <c r="I606" t="s">
        <v>139</v>
      </c>
      <c r="J606" t="s">
        <v>287</v>
      </c>
      <c r="K606" s="22">
        <f t="shared" si="127"/>
        <v>0</v>
      </c>
      <c r="L606" s="22">
        <f t="shared" si="131"/>
        <v>0</v>
      </c>
      <c r="M606" s="22">
        <f t="shared" si="131"/>
        <v>0</v>
      </c>
      <c r="N606" s="22">
        <f t="shared" si="131"/>
        <v>0</v>
      </c>
      <c r="O606" s="22">
        <f t="shared" si="131"/>
        <v>0</v>
      </c>
      <c r="P606" s="22">
        <f t="shared" si="131"/>
        <v>0</v>
      </c>
      <c r="Q606" s="22">
        <f t="shared" si="131"/>
        <v>0</v>
      </c>
      <c r="R606" s="22">
        <f t="shared" si="131"/>
        <v>0</v>
      </c>
      <c r="S606" s="22">
        <f t="shared" si="131"/>
        <v>0</v>
      </c>
      <c r="T606" s="22">
        <f t="shared" si="131"/>
        <v>0</v>
      </c>
      <c r="U606" s="22">
        <f t="shared" si="131"/>
        <v>0</v>
      </c>
      <c r="V606" s="22">
        <f t="shared" si="131"/>
        <v>0</v>
      </c>
      <c r="W606" s="22">
        <f t="shared" si="131"/>
        <v>0</v>
      </c>
      <c r="X606" s="22">
        <f t="shared" si="131"/>
        <v>0</v>
      </c>
      <c r="Y606" s="22">
        <f t="shared" si="131"/>
        <v>0</v>
      </c>
      <c r="Z606" s="22">
        <f t="shared" si="131"/>
        <v>0</v>
      </c>
      <c r="AA606" s="22">
        <f t="shared" si="131"/>
        <v>0</v>
      </c>
      <c r="AB606" s="22">
        <f t="shared" si="131"/>
        <v>0</v>
      </c>
      <c r="AC606" s="22">
        <f t="shared" si="131"/>
        <v>0</v>
      </c>
      <c r="AD606" s="22">
        <f t="shared" si="131"/>
        <v>0</v>
      </c>
      <c r="AE606" s="22">
        <f t="shared" si="131"/>
        <v>0</v>
      </c>
      <c r="AF606" s="22">
        <f t="shared" si="131"/>
        <v>0</v>
      </c>
      <c r="AG606" s="22">
        <f t="shared" si="131"/>
        <v>0</v>
      </c>
      <c r="AH606" s="22">
        <f t="shared" si="131"/>
        <v>0</v>
      </c>
      <c r="AI606" s="22">
        <f t="shared" si="131"/>
        <v>0</v>
      </c>
      <c r="AJ606" s="22">
        <f t="shared" si="131"/>
        <v>0</v>
      </c>
      <c r="AK606" s="22">
        <f t="shared" si="131"/>
        <v>0</v>
      </c>
      <c r="AL606" s="22">
        <f t="shared" si="131"/>
        <v>0</v>
      </c>
      <c r="AM606" s="22">
        <f t="shared" si="131"/>
        <v>0</v>
      </c>
      <c r="AN606" s="22">
        <f t="shared" ref="L606:AW611" si="132">AN1557</f>
        <v>0</v>
      </c>
      <c r="AO606" s="22">
        <f t="shared" si="132"/>
        <v>0</v>
      </c>
      <c r="AP606" s="22">
        <f t="shared" si="132"/>
        <v>0</v>
      </c>
      <c r="AQ606" s="22">
        <f t="shared" si="132"/>
        <v>0</v>
      </c>
      <c r="AR606" s="22">
        <f t="shared" si="132"/>
        <v>0</v>
      </c>
      <c r="AS606" s="22">
        <f t="shared" si="132"/>
        <v>0</v>
      </c>
      <c r="AT606" s="22">
        <f t="shared" si="132"/>
        <v>0</v>
      </c>
      <c r="AU606" s="22">
        <f t="shared" si="132"/>
        <v>0</v>
      </c>
      <c r="AV606" s="22">
        <f t="shared" si="132"/>
        <v>0</v>
      </c>
      <c r="AW606" s="22">
        <f t="shared" si="132"/>
        <v>0</v>
      </c>
      <c r="AY606" s="79"/>
    </row>
    <row r="607" spans="1:51" x14ac:dyDescent="0.3">
      <c r="A607" s="95" t="str">
        <f t="shared" si="108"/>
        <v>PQ MM Leaching</v>
      </c>
      <c r="B607" s="95" t="s">
        <v>968</v>
      </c>
      <c r="C607" s="95" t="s">
        <v>1333</v>
      </c>
      <c r="D607" t="s">
        <v>369</v>
      </c>
      <c r="E607" t="s">
        <v>64</v>
      </c>
      <c r="F607" t="s">
        <v>63</v>
      </c>
      <c r="G607" t="s">
        <v>1174</v>
      </c>
      <c r="H607" t="s">
        <v>1317</v>
      </c>
      <c r="I607" t="s">
        <v>139</v>
      </c>
      <c r="J607" t="s">
        <v>287</v>
      </c>
      <c r="K607" s="22">
        <f t="shared" si="127"/>
        <v>0</v>
      </c>
      <c r="L607" s="22">
        <f t="shared" si="132"/>
        <v>0</v>
      </c>
      <c r="M607" s="22">
        <f t="shared" si="132"/>
        <v>0</v>
      </c>
      <c r="N607" s="22">
        <f t="shared" si="132"/>
        <v>0</v>
      </c>
      <c r="O607" s="22">
        <f t="shared" si="132"/>
        <v>0</v>
      </c>
      <c r="P607" s="22">
        <f t="shared" si="132"/>
        <v>0</v>
      </c>
      <c r="Q607" s="22">
        <f t="shared" si="132"/>
        <v>0</v>
      </c>
      <c r="R607" s="22">
        <f t="shared" si="132"/>
        <v>0</v>
      </c>
      <c r="S607" s="22">
        <f t="shared" si="132"/>
        <v>0</v>
      </c>
      <c r="T607" s="22">
        <f t="shared" si="132"/>
        <v>0</v>
      </c>
      <c r="U607" s="22">
        <f t="shared" si="132"/>
        <v>0</v>
      </c>
      <c r="V607" s="22">
        <f t="shared" si="132"/>
        <v>0</v>
      </c>
      <c r="W607" s="22">
        <f t="shared" si="132"/>
        <v>0</v>
      </c>
      <c r="X607" s="22">
        <f t="shared" si="132"/>
        <v>0</v>
      </c>
      <c r="Y607" s="22">
        <f t="shared" si="132"/>
        <v>0</v>
      </c>
      <c r="Z607" s="22">
        <f t="shared" si="132"/>
        <v>0</v>
      </c>
      <c r="AA607" s="22">
        <f t="shared" si="132"/>
        <v>0</v>
      </c>
      <c r="AB607" s="22">
        <f t="shared" si="132"/>
        <v>0</v>
      </c>
      <c r="AC607" s="22">
        <f t="shared" si="132"/>
        <v>0</v>
      </c>
      <c r="AD607" s="22">
        <f t="shared" si="132"/>
        <v>0</v>
      </c>
      <c r="AE607" s="22">
        <f t="shared" si="132"/>
        <v>0</v>
      </c>
      <c r="AF607" s="22">
        <f t="shared" si="132"/>
        <v>0</v>
      </c>
      <c r="AG607" s="22">
        <f t="shared" si="132"/>
        <v>0</v>
      </c>
      <c r="AH607" s="22">
        <f t="shared" si="132"/>
        <v>0</v>
      </c>
      <c r="AI607" s="22">
        <f t="shared" si="132"/>
        <v>0</v>
      </c>
      <c r="AJ607" s="22">
        <f t="shared" si="132"/>
        <v>0</v>
      </c>
      <c r="AK607" s="22">
        <f t="shared" si="132"/>
        <v>0</v>
      </c>
      <c r="AL607" s="22">
        <f t="shared" si="132"/>
        <v>0</v>
      </c>
      <c r="AM607" s="22">
        <f t="shared" si="132"/>
        <v>0</v>
      </c>
      <c r="AN607" s="22">
        <f t="shared" si="132"/>
        <v>0</v>
      </c>
      <c r="AO607" s="22">
        <f t="shared" si="132"/>
        <v>0</v>
      </c>
      <c r="AP607" s="22">
        <f t="shared" si="132"/>
        <v>0</v>
      </c>
      <c r="AQ607" s="22">
        <f t="shared" si="132"/>
        <v>0</v>
      </c>
      <c r="AR607" s="22">
        <f t="shared" si="132"/>
        <v>0</v>
      </c>
      <c r="AS607" s="22">
        <f t="shared" si="132"/>
        <v>0</v>
      </c>
      <c r="AT607" s="22">
        <f t="shared" si="132"/>
        <v>0</v>
      </c>
      <c r="AU607" s="22">
        <f t="shared" si="132"/>
        <v>0</v>
      </c>
      <c r="AV607" s="22">
        <f t="shared" si="132"/>
        <v>0</v>
      </c>
      <c r="AW607" s="22">
        <f t="shared" si="132"/>
        <v>0</v>
      </c>
      <c r="AY607" s="79"/>
    </row>
    <row r="608" spans="1:51" x14ac:dyDescent="0.3">
      <c r="A608" s="95" t="str">
        <f t="shared" si="108"/>
        <v>PQ MM Leaching</v>
      </c>
      <c r="B608" s="95" t="s">
        <v>968</v>
      </c>
      <c r="C608" s="95" t="s">
        <v>1333</v>
      </c>
      <c r="D608" t="s">
        <v>369</v>
      </c>
      <c r="E608" t="s">
        <v>64</v>
      </c>
      <c r="F608" t="s">
        <v>63</v>
      </c>
      <c r="G608" t="s">
        <v>1176</v>
      </c>
      <c r="H608" t="s">
        <v>1318</v>
      </c>
      <c r="I608" t="s">
        <v>139</v>
      </c>
      <c r="J608" t="s">
        <v>287</v>
      </c>
      <c r="K608" s="22">
        <f t="shared" si="127"/>
        <v>2.6875086183165937E-2</v>
      </c>
      <c r="L608" s="22">
        <f t="shared" si="132"/>
        <v>2.6729002214214568E-2</v>
      </c>
      <c r="M608" s="22">
        <f t="shared" si="132"/>
        <v>2.6740992333189318E-2</v>
      </c>
      <c r="N608" s="22">
        <f t="shared" si="132"/>
        <v>2.6495489531984443E-2</v>
      </c>
      <c r="O608" s="22">
        <f t="shared" si="132"/>
        <v>2.609452683304701E-2</v>
      </c>
      <c r="P608" s="22">
        <f t="shared" si="132"/>
        <v>2.5544514050244025E-2</v>
      </c>
      <c r="Q608" s="22">
        <f t="shared" si="132"/>
        <v>2.5145143775072754E-2</v>
      </c>
      <c r="R608" s="22">
        <f t="shared" si="132"/>
        <v>2.4781112413324514E-2</v>
      </c>
      <c r="S608" s="22">
        <f t="shared" si="132"/>
        <v>2.1880480805765091E-2</v>
      </c>
      <c r="T608" s="22">
        <f t="shared" si="132"/>
        <v>2.2157174302587897E-2</v>
      </c>
      <c r="U608" s="22">
        <f t="shared" si="132"/>
        <v>2.2750904230467162E-2</v>
      </c>
      <c r="V608" s="22">
        <f t="shared" si="132"/>
        <v>2.2804811823411601E-2</v>
      </c>
      <c r="W608" s="22">
        <f t="shared" si="132"/>
        <v>2.292155171126611E-2</v>
      </c>
      <c r="X608" s="22">
        <f t="shared" si="132"/>
        <v>2.3117832526296487E-2</v>
      </c>
      <c r="Y608" s="22">
        <f t="shared" si="132"/>
        <v>2.3364125716575319E-2</v>
      </c>
      <c r="Z608" s="22">
        <f t="shared" si="132"/>
        <v>2.3665937141590494E-2</v>
      </c>
      <c r="AA608" s="22">
        <f t="shared" si="132"/>
        <v>2.3971277948899337E-2</v>
      </c>
      <c r="AB608" s="22">
        <f t="shared" si="132"/>
        <v>2.4323808269457244E-2</v>
      </c>
      <c r="AC608" s="22">
        <f t="shared" si="132"/>
        <v>2.4673905433943388E-2</v>
      </c>
      <c r="AD608" s="22">
        <f t="shared" si="132"/>
        <v>2.5109167618050737E-2</v>
      </c>
      <c r="AE608" s="22">
        <f t="shared" si="132"/>
        <v>2.5509858249217851E-2</v>
      </c>
      <c r="AF608" s="22">
        <f t="shared" si="132"/>
        <v>2.5936225115881856E-2</v>
      </c>
      <c r="AG608" s="22">
        <f t="shared" si="132"/>
        <v>2.6456337070766354E-2</v>
      </c>
      <c r="AH608" s="22">
        <f t="shared" si="132"/>
        <v>2.6902942278627297E-2</v>
      </c>
      <c r="AI608" s="22">
        <f t="shared" si="132"/>
        <v>2.7384983876862477E-2</v>
      </c>
      <c r="AJ608" s="22">
        <f t="shared" si="132"/>
        <v>2.7908158351219941E-2</v>
      </c>
      <c r="AK608" s="22">
        <f t="shared" si="132"/>
        <v>2.8344604443718637E-2</v>
      </c>
      <c r="AL608" s="22">
        <f t="shared" si="132"/>
        <v>2.8753897192929187E-2</v>
      </c>
      <c r="AM608" s="22">
        <f t="shared" si="132"/>
        <v>2.9139337629284397E-2</v>
      </c>
      <c r="AN608" s="22">
        <f t="shared" si="132"/>
        <v>2.9584390604572932E-2</v>
      </c>
      <c r="AO608" s="22">
        <f t="shared" si="132"/>
        <v>2.9970416689145254E-2</v>
      </c>
      <c r="AP608" s="22">
        <f t="shared" si="132"/>
        <v>3.0368893670993099E-2</v>
      </c>
      <c r="AQ608" s="22">
        <f t="shared" si="132"/>
        <v>3.0782827170501174E-2</v>
      </c>
      <c r="AR608" s="22">
        <f t="shared" si="132"/>
        <v>3.1217396528975507E-2</v>
      </c>
      <c r="AS608" s="22">
        <f t="shared" si="132"/>
        <v>3.1673723172219483E-2</v>
      </c>
      <c r="AT608" s="22">
        <f t="shared" si="132"/>
        <v>3.1396042142995774E-2</v>
      </c>
      <c r="AU608" s="22">
        <f t="shared" si="132"/>
        <v>3.1054190241510845E-2</v>
      </c>
      <c r="AV608" s="22">
        <f t="shared" si="132"/>
        <v>3.0622832551979947E-2</v>
      </c>
      <c r="AW608" s="22">
        <f t="shared" si="132"/>
        <v>3.01703196842419E-2</v>
      </c>
      <c r="AY608" s="79"/>
    </row>
    <row r="609" spans="1:52" x14ac:dyDescent="0.3">
      <c r="A609" s="95" t="str">
        <f t="shared" si="108"/>
        <v>PQ MM Leaching</v>
      </c>
      <c r="B609" s="95" t="s">
        <v>968</v>
      </c>
      <c r="C609" s="95" t="s">
        <v>1333</v>
      </c>
      <c r="D609" t="s">
        <v>369</v>
      </c>
      <c r="E609" t="s">
        <v>64</v>
      </c>
      <c r="F609" t="s">
        <v>63</v>
      </c>
      <c r="G609" t="s">
        <v>1178</v>
      </c>
      <c r="H609" t="s">
        <v>1319</v>
      </c>
      <c r="I609" t="s">
        <v>139</v>
      </c>
      <c r="J609" t="s">
        <v>287</v>
      </c>
      <c r="K609" s="22">
        <f t="shared" si="127"/>
        <v>4.0166140097319695E-3</v>
      </c>
      <c r="L609" s="22">
        <f t="shared" si="132"/>
        <v>3.994781041000697E-3</v>
      </c>
      <c r="M609" s="22">
        <f t="shared" si="132"/>
        <v>3.9965730233416695E-3</v>
      </c>
      <c r="N609" s="22">
        <f t="shared" si="132"/>
        <v>3.9598814204188995E-3</v>
      </c>
      <c r="O609" s="22">
        <f t="shared" si="132"/>
        <v>3.8999555700251301E-3</v>
      </c>
      <c r="P609" s="22">
        <f t="shared" si="132"/>
        <v>3.8177534504158571E-3</v>
      </c>
      <c r="Q609" s="22">
        <f t="shared" si="132"/>
        <v>3.7580655955978047E-3</v>
      </c>
      <c r="R609" s="22">
        <f t="shared" si="132"/>
        <v>3.7036593154610871E-3</v>
      </c>
      <c r="S609" s="22">
        <f t="shared" si="132"/>
        <v>3.2701456339573466E-3</v>
      </c>
      <c r="T609" s="22">
        <f t="shared" si="132"/>
        <v>3.31149883997744E-3</v>
      </c>
      <c r="U609" s="22">
        <f t="shared" si="132"/>
        <v>3.4002347022576052E-3</v>
      </c>
      <c r="V609" s="22">
        <f t="shared" si="132"/>
        <v>3.40829145755788E-3</v>
      </c>
      <c r="W609" s="22">
        <f t="shared" si="132"/>
        <v>3.4257388088279458E-3</v>
      </c>
      <c r="X609" s="22">
        <f t="shared" si="132"/>
        <v>3.4550739434622826E-3</v>
      </c>
      <c r="Y609" s="22">
        <f t="shared" si="132"/>
        <v>3.491883673925408E-3</v>
      </c>
      <c r="Z609" s="22">
        <f t="shared" si="132"/>
        <v>3.5369908780382062E-3</v>
      </c>
      <c r="AA609" s="22">
        <f t="shared" si="132"/>
        <v>3.5826255657196082E-3</v>
      </c>
      <c r="AB609" s="22">
        <f t="shared" si="132"/>
        <v>3.6353129585993062E-3</v>
      </c>
      <c r="AC609" s="22">
        <f t="shared" si="132"/>
        <v>3.6876367043189875E-3</v>
      </c>
      <c r="AD609" s="22">
        <f t="shared" si="132"/>
        <v>3.7526887817217083E-3</v>
      </c>
      <c r="AE609" s="22">
        <f t="shared" si="132"/>
        <v>3.8125739702470681E-3</v>
      </c>
      <c r="AF609" s="22">
        <f t="shared" si="132"/>
        <v>3.87629659864187E-3</v>
      </c>
      <c r="AG609" s="22">
        <f t="shared" si="132"/>
        <v>3.9540298922350536E-3</v>
      </c>
      <c r="AH609" s="22">
        <f t="shared" si="132"/>
        <v>4.0207772404105219E-3</v>
      </c>
      <c r="AI609" s="22">
        <f t="shared" si="132"/>
        <v>4.0928207316778291E-3</v>
      </c>
      <c r="AJ609" s="22">
        <f t="shared" si="132"/>
        <v>4.1710117338914204E-3</v>
      </c>
      <c r="AK609" s="22">
        <f t="shared" si="132"/>
        <v>4.2362407522348522E-3</v>
      </c>
      <c r="AL609" s="22">
        <f t="shared" si="132"/>
        <v>4.2974115696735888E-3</v>
      </c>
      <c r="AM609" s="22">
        <f t="shared" si="132"/>
        <v>4.3550175414658315E-3</v>
      </c>
      <c r="AN609" s="22">
        <f t="shared" si="132"/>
        <v>4.4215329008374625E-3</v>
      </c>
      <c r="AO609" s="22">
        <f t="shared" si="132"/>
        <v>4.479226400640501E-3</v>
      </c>
      <c r="AP609" s="22">
        <f t="shared" si="132"/>
        <v>4.5387807483712392E-3</v>
      </c>
      <c r="AQ609" s="22">
        <f t="shared" si="132"/>
        <v>4.6006451488010665E-3</v>
      </c>
      <c r="AR609" s="22">
        <f t="shared" si="132"/>
        <v>4.665593680000254E-3</v>
      </c>
      <c r="AS609" s="22">
        <f t="shared" si="132"/>
        <v>4.7337939445789724E-3</v>
      </c>
      <c r="AT609" s="22">
        <f t="shared" si="132"/>
        <v>4.6922931469772361E-3</v>
      </c>
      <c r="AU609" s="22">
        <f t="shared" si="132"/>
        <v>4.6412016964271002E-3</v>
      </c>
      <c r="AV609" s="22">
        <f t="shared" si="132"/>
        <v>4.5767331649713494E-3</v>
      </c>
      <c r="AW609" s="22">
        <f t="shared" si="132"/>
        <v>4.5091028879276577E-3</v>
      </c>
      <c r="AY609" s="79"/>
    </row>
    <row r="610" spans="1:52" x14ac:dyDescent="0.3">
      <c r="A610" s="95" t="str">
        <f t="shared" si="108"/>
        <v>PQ MM Leaching</v>
      </c>
      <c r="B610" s="95" t="s">
        <v>968</v>
      </c>
      <c r="C610" s="95" t="s">
        <v>1333</v>
      </c>
      <c r="D610" t="s">
        <v>369</v>
      </c>
      <c r="E610" t="s">
        <v>64</v>
      </c>
      <c r="F610" t="s">
        <v>63</v>
      </c>
      <c r="G610" t="s">
        <v>1180</v>
      </c>
      <c r="H610" t="s">
        <v>1320</v>
      </c>
      <c r="I610" t="s">
        <v>139</v>
      </c>
      <c r="J610" t="s">
        <v>287</v>
      </c>
      <c r="K610" s="22">
        <f t="shared" si="127"/>
        <v>1.6726645268412742E-2</v>
      </c>
      <c r="L610" s="22">
        <f t="shared" si="132"/>
        <v>1.7066731126843739E-2</v>
      </c>
      <c r="M610" s="22">
        <f t="shared" si="132"/>
        <v>1.7464259263446445E-2</v>
      </c>
      <c r="N610" s="22">
        <f t="shared" si="132"/>
        <v>1.77694513935726E-2</v>
      </c>
      <c r="O610" s="22">
        <f t="shared" si="132"/>
        <v>1.8014444056791569E-2</v>
      </c>
      <c r="P610" s="22">
        <f t="shared" si="132"/>
        <v>1.8197780265539362E-2</v>
      </c>
      <c r="Q610" s="22">
        <f t="shared" si="132"/>
        <v>1.8432867891885713E-2</v>
      </c>
      <c r="R610" s="22">
        <f t="shared" si="132"/>
        <v>1.8677293946611207E-2</v>
      </c>
      <c r="S610" s="22">
        <f t="shared" si="132"/>
        <v>1.7845993977500554E-2</v>
      </c>
      <c r="T610" s="22">
        <f t="shared" si="132"/>
        <v>1.8290177947761724E-2</v>
      </c>
      <c r="U610" s="22">
        <f t="shared" si="132"/>
        <v>1.8882126643784119E-2</v>
      </c>
      <c r="V610" s="22">
        <f t="shared" si="132"/>
        <v>1.9244149446427172E-2</v>
      </c>
      <c r="W610" s="22">
        <f t="shared" si="132"/>
        <v>1.9638833779478608E-2</v>
      </c>
      <c r="X610" s="22">
        <f t="shared" si="132"/>
        <v>2.0076166391792365E-2</v>
      </c>
      <c r="Y610" s="22">
        <f t="shared" si="132"/>
        <v>2.0527873811486335E-2</v>
      </c>
      <c r="Z610" s="22">
        <f t="shared" si="132"/>
        <v>2.1014725008073262E-2</v>
      </c>
      <c r="AA610" s="22">
        <f t="shared" si="132"/>
        <v>2.1512524786700418E-2</v>
      </c>
      <c r="AB610" s="22">
        <f t="shared" si="132"/>
        <v>2.204403910450644E-2</v>
      </c>
      <c r="AC610" s="22">
        <f t="shared" si="132"/>
        <v>2.2585019508801499E-2</v>
      </c>
      <c r="AD610" s="22">
        <f t="shared" si="132"/>
        <v>2.3168701426676565E-2</v>
      </c>
      <c r="AE610" s="22">
        <f t="shared" si="132"/>
        <v>2.3746356188951337E-2</v>
      </c>
      <c r="AF610" s="22">
        <f t="shared" si="132"/>
        <v>2.4350664580619397E-2</v>
      </c>
      <c r="AG610" s="22">
        <f t="shared" si="132"/>
        <v>2.5021362816751564E-2</v>
      </c>
      <c r="AH610" s="22">
        <f t="shared" si="132"/>
        <v>2.5665252656926436E-2</v>
      </c>
      <c r="AI610" s="22">
        <f t="shared" si="132"/>
        <v>2.6331138974392616E-2</v>
      </c>
      <c r="AJ610" s="22">
        <f t="shared" si="132"/>
        <v>2.7037084930771747E-2</v>
      </c>
      <c r="AK610" s="22">
        <f t="shared" si="132"/>
        <v>2.7706662515763772E-2</v>
      </c>
      <c r="AL610" s="22">
        <f t="shared" si="132"/>
        <v>2.8374415178094886E-2</v>
      </c>
      <c r="AM610" s="22">
        <f t="shared" si="132"/>
        <v>2.9041879152159198E-2</v>
      </c>
      <c r="AN610" s="22">
        <f t="shared" si="132"/>
        <v>2.9750026658148378E-2</v>
      </c>
      <c r="AO610" s="22">
        <f t="shared" si="132"/>
        <v>3.0435625912582094E-2</v>
      </c>
      <c r="AP610" s="22">
        <f t="shared" si="132"/>
        <v>3.1144967675009176E-2</v>
      </c>
      <c r="AQ610" s="22">
        <f t="shared" si="132"/>
        <v>3.1881013101963972E-2</v>
      </c>
      <c r="AR610" s="22">
        <f t="shared" si="132"/>
        <v>3.2648423492469485E-2</v>
      </c>
      <c r="AS610" s="22">
        <f t="shared" si="132"/>
        <v>3.3436328313148703E-2</v>
      </c>
      <c r="AT610" s="22">
        <f t="shared" si="132"/>
        <v>3.371230344910283E-2</v>
      </c>
      <c r="AU610" s="22">
        <f t="shared" si="132"/>
        <v>3.39408780706969E-2</v>
      </c>
      <c r="AV610" s="22">
        <f t="shared" si="132"/>
        <v>3.4100500286935446E-2</v>
      </c>
      <c r="AW610" s="22">
        <f t="shared" si="132"/>
        <v>3.4239705581718134E-2</v>
      </c>
      <c r="AY610" s="79"/>
    </row>
    <row r="611" spans="1:52" x14ac:dyDescent="0.3">
      <c r="A611" s="95" t="str">
        <f t="shared" si="108"/>
        <v>PQ MM Leaching</v>
      </c>
      <c r="B611" s="95" t="s">
        <v>968</v>
      </c>
      <c r="C611" s="95" t="s">
        <v>1333</v>
      </c>
      <c r="D611" t="s">
        <v>369</v>
      </c>
      <c r="E611" t="s">
        <v>64</v>
      </c>
      <c r="F611" t="s">
        <v>63</v>
      </c>
      <c r="G611" t="s">
        <v>1182</v>
      </c>
      <c r="H611" t="s">
        <v>1321</v>
      </c>
      <c r="I611" t="s">
        <v>139</v>
      </c>
      <c r="J611" t="s">
        <v>287</v>
      </c>
      <c r="K611" s="22">
        <f t="shared" si="127"/>
        <v>7.758579791322931E-2</v>
      </c>
      <c r="L611" s="22">
        <f t="shared" si="132"/>
        <v>7.8607464197542429E-2</v>
      </c>
      <c r="M611" s="22">
        <f t="shared" si="132"/>
        <v>8.0248553313821205E-2</v>
      </c>
      <c r="N611" s="22">
        <f t="shared" si="132"/>
        <v>8.0719757945382262E-2</v>
      </c>
      <c r="O611" s="22">
        <f t="shared" si="132"/>
        <v>8.0430818839717741E-2</v>
      </c>
      <c r="P611" s="22">
        <f t="shared" si="132"/>
        <v>7.938481013134728E-2</v>
      </c>
      <c r="Q611" s="22">
        <f t="shared" si="132"/>
        <v>7.8944464359385597E-2</v>
      </c>
      <c r="R611" s="22">
        <f t="shared" si="132"/>
        <v>7.8604018955287347E-2</v>
      </c>
      <c r="S611" s="22">
        <f t="shared" si="132"/>
        <v>6.6259107806349124E-2</v>
      </c>
      <c r="T611" s="22">
        <f t="shared" si="132"/>
        <v>6.8883290688916743E-2</v>
      </c>
      <c r="U611" s="22">
        <f t="shared" si="132"/>
        <v>7.307131784092237E-2</v>
      </c>
      <c r="V611" s="22">
        <f t="shared" si="132"/>
        <v>7.4685850466012449E-2</v>
      </c>
      <c r="W611" s="22">
        <f t="shared" si="132"/>
        <v>7.6617949690607756E-2</v>
      </c>
      <c r="X611" s="22">
        <f t="shared" si="132"/>
        <v>7.8965775854052137E-2</v>
      </c>
      <c r="Y611" s="22">
        <f t="shared" si="132"/>
        <v>8.1661778442119887E-2</v>
      </c>
      <c r="Z611" s="22">
        <f t="shared" si="132"/>
        <v>8.4680896790548951E-2</v>
      </c>
      <c r="AA611" s="22">
        <f t="shared" si="132"/>
        <v>8.776412775274034E-2</v>
      </c>
      <c r="AB611" s="22">
        <f t="shared" si="132"/>
        <v>9.1145488449202117E-2</v>
      </c>
      <c r="AC611" s="22">
        <f t="shared" si="132"/>
        <v>9.4570204644651698E-2</v>
      </c>
      <c r="AD611" s="22">
        <f t="shared" si="132"/>
        <v>9.8568154697968743E-2</v>
      </c>
      <c r="AE611" s="22">
        <f t="shared" si="132"/>
        <v>0.10244796560739347</v>
      </c>
      <c r="AF611" s="22">
        <f t="shared" si="132"/>
        <v>0.10654057141624064</v>
      </c>
      <c r="AG611" s="22">
        <f t="shared" si="132"/>
        <v>0.11123806657675694</v>
      </c>
      <c r="AH611" s="22">
        <f t="shared" si="132"/>
        <v>0.11560654614552646</v>
      </c>
      <c r="AI611" s="22">
        <f t="shared" si="132"/>
        <v>0.12031218938193437</v>
      </c>
      <c r="AJ611" s="22">
        <f t="shared" si="132"/>
        <v>0.12535029329403399</v>
      </c>
      <c r="AK611" s="22">
        <f t="shared" si="132"/>
        <v>0.12997331250710895</v>
      </c>
      <c r="AL611" s="22">
        <f t="shared" si="132"/>
        <v>0.13452286194458821</v>
      </c>
      <c r="AM611" s="22">
        <f t="shared" si="132"/>
        <v>0.13901554953719861</v>
      </c>
      <c r="AN611" s="22">
        <f t="shared" si="132"/>
        <v>0.1440082698862134</v>
      </c>
      <c r="AO611" s="22">
        <f t="shared" si="132"/>
        <v>0.14873185090680655</v>
      </c>
      <c r="AP611" s="22">
        <f t="shared" si="132"/>
        <v>0.15362755351583215</v>
      </c>
      <c r="AQ611" s="22">
        <f t="shared" si="132"/>
        <v>0.15872063106624867</v>
      </c>
      <c r="AR611" s="22">
        <f t="shared" si="132"/>
        <v>0.16405164052421939</v>
      </c>
      <c r="AS611" s="22">
        <f t="shared" si="132"/>
        <v>0.16968110376218293</v>
      </c>
      <c r="AT611" s="22">
        <f t="shared" si="132"/>
        <v>0.17053816071119138</v>
      </c>
      <c r="AU611" s="22">
        <f t="shared" si="132"/>
        <v>0.17095629027566819</v>
      </c>
      <c r="AV611" s="22">
        <f t="shared" si="132"/>
        <v>0.17074584650981994</v>
      </c>
      <c r="AW611" s="22">
        <f t="shared" si="132"/>
        <v>0.17035646457405007</v>
      </c>
      <c r="AY611" s="79"/>
    </row>
    <row r="614" spans="1:52" x14ac:dyDescent="0.3">
      <c r="A614" s="95" t="str">
        <f t="shared" ref="A614:A677" si="133">B614&amp;" "&amp;C614</f>
        <v>NI Cattle</v>
      </c>
      <c r="B614" s="95" t="s">
        <v>969</v>
      </c>
      <c r="C614" s="95" t="s">
        <v>1108</v>
      </c>
      <c r="D614" t="s">
        <v>15</v>
      </c>
      <c r="E614" t="s">
        <v>16</v>
      </c>
      <c r="F614" t="s">
        <v>6</v>
      </c>
      <c r="G614" t="s">
        <v>136</v>
      </c>
      <c r="H614" t="s">
        <v>1020</v>
      </c>
      <c r="I614" t="s">
        <v>121</v>
      </c>
      <c r="J614" t="s">
        <v>286</v>
      </c>
      <c r="K614" s="27">
        <f>K1379</f>
        <v>72.246065125367707</v>
      </c>
      <c r="L614" s="27">
        <f t="shared" ref="L614:AW621" si="134">L1379</f>
        <v>72.649957574793376</v>
      </c>
      <c r="M614" s="27">
        <f t="shared" si="134"/>
        <v>73.223011790998029</v>
      </c>
      <c r="N614" s="27">
        <f t="shared" si="134"/>
        <v>73.591260167761035</v>
      </c>
      <c r="O614" s="27">
        <f t="shared" si="134"/>
        <v>73.835962898346551</v>
      </c>
      <c r="P614" s="27">
        <f t="shared" si="134"/>
        <v>73.954711561483904</v>
      </c>
      <c r="Q614" s="27">
        <f t="shared" si="134"/>
        <v>74.217071552078707</v>
      </c>
      <c r="R614" s="27">
        <f t="shared" si="134"/>
        <v>74.518042528471312</v>
      </c>
      <c r="S614" s="27">
        <f t="shared" si="134"/>
        <v>72.278060008832611</v>
      </c>
      <c r="T614" s="27">
        <f t="shared" si="134"/>
        <v>73.038072409871731</v>
      </c>
      <c r="U614" s="27">
        <f t="shared" si="134"/>
        <v>74.1505294629453</v>
      </c>
      <c r="V614" s="27">
        <f t="shared" si="134"/>
        <v>74.727142714641815</v>
      </c>
      <c r="W614" s="27">
        <f t="shared" si="134"/>
        <v>75.386134904907664</v>
      </c>
      <c r="X614" s="27">
        <f t="shared" si="134"/>
        <v>76.148849321322899</v>
      </c>
      <c r="Y614" s="27">
        <f t="shared" si="134"/>
        <v>76.927724649348932</v>
      </c>
      <c r="Z614" s="27">
        <f t="shared" si="134"/>
        <v>77.789839188812167</v>
      </c>
      <c r="AA614" s="27">
        <f t="shared" si="134"/>
        <v>78.678659679683463</v>
      </c>
      <c r="AB614" s="27">
        <f t="shared" si="134"/>
        <v>79.645214708438644</v>
      </c>
      <c r="AC614" s="27">
        <f t="shared" si="134"/>
        <v>80.63357341135027</v>
      </c>
      <c r="AD614" s="27">
        <f t="shared" si="134"/>
        <v>81.701326888312266</v>
      </c>
      <c r="AE614" s="27">
        <f t="shared" si="134"/>
        <v>82.754629010299467</v>
      </c>
      <c r="AF614" s="27">
        <f t="shared" si="134"/>
        <v>83.866381546619579</v>
      </c>
      <c r="AG614" s="27">
        <f t="shared" si="134"/>
        <v>85.123957452137844</v>
      </c>
      <c r="AH614" s="27">
        <f t="shared" si="134"/>
        <v>86.31962290876946</v>
      </c>
      <c r="AI614" s="27">
        <f t="shared" si="134"/>
        <v>87.545771501366829</v>
      </c>
      <c r="AJ614" s="27">
        <f t="shared" si="134"/>
        <v>88.857081922014302</v>
      </c>
      <c r="AK614" s="27">
        <f t="shared" si="134"/>
        <v>90.085621753712104</v>
      </c>
      <c r="AL614" s="27">
        <f t="shared" si="134"/>
        <v>91.307494637553916</v>
      </c>
      <c r="AM614" s="27">
        <f t="shared" si="134"/>
        <v>92.526099205531537</v>
      </c>
      <c r="AN614" s="27">
        <f t="shared" si="134"/>
        <v>93.815346302798517</v>
      </c>
      <c r="AO614" s="27">
        <f t="shared" si="134"/>
        <v>95.052737285389242</v>
      </c>
      <c r="AP614" s="27">
        <f t="shared" si="134"/>
        <v>96.338177882566526</v>
      </c>
      <c r="AQ614" s="27">
        <f t="shared" si="134"/>
        <v>97.677530754509618</v>
      </c>
      <c r="AR614" s="27">
        <f t="shared" si="134"/>
        <v>99.08022368038182</v>
      </c>
      <c r="AS614" s="27">
        <f t="shared" si="134"/>
        <v>100.50772839666152</v>
      </c>
      <c r="AT614" s="27">
        <f t="shared" si="134"/>
        <v>100.84617835677685</v>
      </c>
      <c r="AU614" s="27">
        <f t="shared" si="134"/>
        <v>101.08705215806816</v>
      </c>
      <c r="AV614" s="27">
        <f t="shared" si="134"/>
        <v>101.18574255533849</v>
      </c>
      <c r="AW614" s="27">
        <f t="shared" si="134"/>
        <v>101.24533448141288</v>
      </c>
      <c r="AY614" s="79"/>
      <c r="AZ614" s="79"/>
    </row>
    <row r="615" spans="1:52" x14ac:dyDescent="0.3">
      <c r="A615" s="95" t="str">
        <f t="shared" si="133"/>
        <v>NI Cattle</v>
      </c>
      <c r="B615" s="95" t="s">
        <v>969</v>
      </c>
      <c r="C615" s="95" t="s">
        <v>1108</v>
      </c>
      <c r="D615" t="s">
        <v>15</v>
      </c>
      <c r="E615" t="s">
        <v>16</v>
      </c>
      <c r="F615" t="s">
        <v>6</v>
      </c>
      <c r="G615" t="s">
        <v>137</v>
      </c>
      <c r="H615" t="s">
        <v>1020</v>
      </c>
      <c r="I615" t="s">
        <v>121</v>
      </c>
      <c r="J615" t="s">
        <v>286</v>
      </c>
      <c r="K615" s="27">
        <f t="shared" ref="K615:Z663" si="135">K1380</f>
        <v>57.783598896292567</v>
      </c>
      <c r="L615" s="27">
        <f t="shared" si="135"/>
        <v>58.106638763645272</v>
      </c>
      <c r="M615" s="27">
        <f t="shared" si="135"/>
        <v>58.564977012483297</v>
      </c>
      <c r="N615" s="27">
        <f t="shared" si="135"/>
        <v>58.859508160444918</v>
      </c>
      <c r="O615" s="27">
        <f t="shared" si="135"/>
        <v>59.055225455337649</v>
      </c>
      <c r="P615" s="27">
        <f t="shared" si="135"/>
        <v>59.150202601958597</v>
      </c>
      <c r="Q615" s="27">
        <f t="shared" si="135"/>
        <v>59.360042465716688</v>
      </c>
      <c r="R615" s="27">
        <f t="shared" si="135"/>
        <v>59.600764035107602</v>
      </c>
      <c r="S615" s="27">
        <f t="shared" si="135"/>
        <v>57.809188933752196</v>
      </c>
      <c r="T615" s="27">
        <f t="shared" si="135"/>
        <v>58.417059433849957</v>
      </c>
      <c r="U615" s="27">
        <f t="shared" si="135"/>
        <v>59.306821001246142</v>
      </c>
      <c r="V615" s="27">
        <f t="shared" si="135"/>
        <v>59.768005825589199</v>
      </c>
      <c r="W615" s="27">
        <f t="shared" si="135"/>
        <v>60.295078688755297</v>
      </c>
      <c r="X615" s="27">
        <f t="shared" si="135"/>
        <v>60.905110305481806</v>
      </c>
      <c r="Y615" s="27">
        <f t="shared" si="135"/>
        <v>61.528067686853028</v>
      </c>
      <c r="Z615" s="27">
        <f t="shared" si="135"/>
        <v>62.217601167528549</v>
      </c>
      <c r="AA615" s="27">
        <f t="shared" si="134"/>
        <v>62.928494510248186</v>
      </c>
      <c r="AB615" s="27">
        <f t="shared" si="134"/>
        <v>63.701561223236183</v>
      </c>
      <c r="AC615" s="27">
        <f t="shared" si="134"/>
        <v>64.492066875766909</v>
      </c>
      <c r="AD615" s="27">
        <f t="shared" si="134"/>
        <v>65.346073782936557</v>
      </c>
      <c r="AE615" s="27">
        <f t="shared" si="134"/>
        <v>66.18852225716013</v>
      </c>
      <c r="AF615" s="27">
        <f t="shared" si="134"/>
        <v>67.077720340393881</v>
      </c>
      <c r="AG615" s="27">
        <f t="shared" si="134"/>
        <v>68.083550368368549</v>
      </c>
      <c r="AH615" s="27">
        <f t="shared" si="134"/>
        <v>69.039863394417281</v>
      </c>
      <c r="AI615" s="27">
        <f t="shared" si="134"/>
        <v>70.020557337249372</v>
      </c>
      <c r="AJ615" s="27">
        <f t="shared" si="134"/>
        <v>71.069365119981001</v>
      </c>
      <c r="AK615" s="27">
        <f t="shared" si="134"/>
        <v>72.051971615431754</v>
      </c>
      <c r="AL615" s="27">
        <f t="shared" si="134"/>
        <v>73.029245775618222</v>
      </c>
      <c r="AM615" s="27">
        <f t="shared" si="134"/>
        <v>74.003905882670679</v>
      </c>
      <c r="AN615" s="27">
        <f t="shared" si="134"/>
        <v>75.035067054111778</v>
      </c>
      <c r="AO615" s="27">
        <f t="shared" si="134"/>
        <v>76.024752846574486</v>
      </c>
      <c r="AP615" s="27">
        <f t="shared" si="134"/>
        <v>77.05286951622854</v>
      </c>
      <c r="AQ615" s="27">
        <f t="shared" si="134"/>
        <v>78.12410611573965</v>
      </c>
      <c r="AR615" s="27">
        <f t="shared" si="134"/>
        <v>79.246003138956311</v>
      </c>
      <c r="AS615" s="27">
        <f t="shared" si="134"/>
        <v>80.387745042891623</v>
      </c>
      <c r="AT615" s="27">
        <f t="shared" si="134"/>
        <v>80.658442923915771</v>
      </c>
      <c r="AU615" s="27">
        <f t="shared" si="134"/>
        <v>80.851097777772381</v>
      </c>
      <c r="AV615" s="27">
        <f t="shared" si="134"/>
        <v>80.930031991295138</v>
      </c>
      <c r="AW615" s="27">
        <f t="shared" si="134"/>
        <v>80.977694600293489</v>
      </c>
      <c r="AY615" s="79"/>
      <c r="AZ615" s="79"/>
    </row>
    <row r="616" spans="1:52" x14ac:dyDescent="0.3">
      <c r="A616" s="95" t="str">
        <f t="shared" si="133"/>
        <v>NI Cattle</v>
      </c>
      <c r="B616" s="95" t="s">
        <v>969</v>
      </c>
      <c r="C616" s="95" t="s">
        <v>1108</v>
      </c>
      <c r="D616" t="s">
        <v>15</v>
      </c>
      <c r="E616" t="s">
        <v>16</v>
      </c>
      <c r="F616" t="s">
        <v>67</v>
      </c>
      <c r="G616" t="s">
        <v>307</v>
      </c>
      <c r="H616" t="s">
        <v>1020</v>
      </c>
      <c r="I616" t="s">
        <v>121</v>
      </c>
      <c r="J616" t="s">
        <v>286</v>
      </c>
      <c r="K616" s="27">
        <f t="shared" si="135"/>
        <v>26.126191807126649</v>
      </c>
      <c r="L616" s="27">
        <f t="shared" si="134"/>
        <v>26.272250579806297</v>
      </c>
      <c r="M616" s="27">
        <f t="shared" si="134"/>
        <v>26.479482964607669</v>
      </c>
      <c r="N616" s="27">
        <f t="shared" si="134"/>
        <v>26.61265184663991</v>
      </c>
      <c r="O616" s="27">
        <f t="shared" si="134"/>
        <v>26.701143177813595</v>
      </c>
      <c r="P616" s="27">
        <f t="shared" si="134"/>
        <v>26.744086005835889</v>
      </c>
      <c r="Q616" s="27">
        <f t="shared" si="134"/>
        <v>26.838962694620271</v>
      </c>
      <c r="R616" s="27">
        <f t="shared" si="134"/>
        <v>26.947802192577246</v>
      </c>
      <c r="S616" s="27">
        <f t="shared" si="134"/>
        <v>26.137762049198656</v>
      </c>
      <c r="T616" s="27">
        <f t="shared" si="134"/>
        <v>26.412603727162519</v>
      </c>
      <c r="U616" s="27">
        <f t="shared" si="134"/>
        <v>26.814899219593229</v>
      </c>
      <c r="V616" s="27">
        <f t="shared" si="134"/>
        <v>27.023418650875932</v>
      </c>
      <c r="W616" s="27">
        <f t="shared" si="134"/>
        <v>27.261728603568962</v>
      </c>
      <c r="X616" s="27">
        <f t="shared" si="134"/>
        <v>27.53754740564138</v>
      </c>
      <c r="Y616" s="27">
        <f t="shared" si="134"/>
        <v>27.819210444016349</v>
      </c>
      <c r="Z616" s="27">
        <f t="shared" si="134"/>
        <v>28.13097510246029</v>
      </c>
      <c r="AA616" s="27">
        <f t="shared" si="134"/>
        <v>28.452397377657032</v>
      </c>
      <c r="AB616" s="27">
        <f t="shared" si="134"/>
        <v>28.801930629462248</v>
      </c>
      <c r="AC616" s="27">
        <f t="shared" si="134"/>
        <v>29.159348697860899</v>
      </c>
      <c r="AD616" s="27">
        <f t="shared" si="134"/>
        <v>29.545478130563247</v>
      </c>
      <c r="AE616" s="27">
        <f t="shared" si="134"/>
        <v>29.92638155031543</v>
      </c>
      <c r="AF616" s="27">
        <f t="shared" si="134"/>
        <v>30.328422269841898</v>
      </c>
      <c r="AG616" s="27">
        <f t="shared" si="134"/>
        <v>30.783196786108999</v>
      </c>
      <c r="AH616" s="27">
        <f t="shared" si="134"/>
        <v>31.215582757620478</v>
      </c>
      <c r="AI616" s="27">
        <f t="shared" si="134"/>
        <v>31.658992281151598</v>
      </c>
      <c r="AJ616" s="27">
        <f t="shared" si="134"/>
        <v>32.133198696533107</v>
      </c>
      <c r="AK616" s="27">
        <f t="shared" si="134"/>
        <v>32.57747295880516</v>
      </c>
      <c r="AL616" s="27">
        <f t="shared" si="134"/>
        <v>33.019336266817611</v>
      </c>
      <c r="AM616" s="27">
        <f t="shared" si="134"/>
        <v>33.460017660673138</v>
      </c>
      <c r="AN616" s="27">
        <f t="shared" si="134"/>
        <v>33.926245363061206</v>
      </c>
      <c r="AO616" s="27">
        <f t="shared" si="134"/>
        <v>34.37372044831983</v>
      </c>
      <c r="AP616" s="27">
        <f t="shared" si="134"/>
        <v>34.838571614127183</v>
      </c>
      <c r="AQ616" s="27">
        <f t="shared" si="134"/>
        <v>35.322918961890544</v>
      </c>
      <c r="AR616" s="27">
        <f t="shared" si="134"/>
        <v>35.830171839458941</v>
      </c>
      <c r="AS616" s="27">
        <f t="shared" si="134"/>
        <v>36.346397352341668</v>
      </c>
      <c r="AT616" s="27">
        <f t="shared" si="134"/>
        <v>36.468790295953795</v>
      </c>
      <c r="AU616" s="27">
        <f t="shared" si="134"/>
        <v>36.555896979520966</v>
      </c>
      <c r="AV616" s="27">
        <f t="shared" si="134"/>
        <v>36.591586179259828</v>
      </c>
      <c r="AW616" s="27">
        <f t="shared" si="134"/>
        <v>36.613136281512098</v>
      </c>
      <c r="AY616" s="79"/>
      <c r="AZ616" s="79"/>
    </row>
    <row r="617" spans="1:52" x14ac:dyDescent="0.3">
      <c r="A617" s="95" t="str">
        <f t="shared" si="133"/>
        <v>NI Cattle</v>
      </c>
      <c r="B617" s="95" t="s">
        <v>969</v>
      </c>
      <c r="C617" s="95" t="s">
        <v>1108</v>
      </c>
      <c r="D617" t="s">
        <v>15</v>
      </c>
      <c r="E617" t="s">
        <v>16</v>
      </c>
      <c r="F617" t="s">
        <v>67</v>
      </c>
      <c r="G617" t="s">
        <v>122</v>
      </c>
      <c r="H617" t="s">
        <v>1020</v>
      </c>
      <c r="I617" t="s">
        <v>121</v>
      </c>
      <c r="J617" t="s">
        <v>286</v>
      </c>
      <c r="K617" s="27">
        <f t="shared" si="135"/>
        <v>463.23498593143194</v>
      </c>
      <c r="L617" s="27">
        <f t="shared" si="134"/>
        <v>459.2174968362159</v>
      </c>
      <c r="M617" s="27">
        <f t="shared" si="134"/>
        <v>457.68816035731248</v>
      </c>
      <c r="N617" s="27">
        <f t="shared" si="134"/>
        <v>451.57633407663525</v>
      </c>
      <c r="O617" s="27">
        <f t="shared" si="134"/>
        <v>442.70486896910717</v>
      </c>
      <c r="P617" s="27">
        <f t="shared" si="134"/>
        <v>431.25721304480408</v>
      </c>
      <c r="Q617" s="27">
        <f t="shared" si="134"/>
        <v>422.22811200839215</v>
      </c>
      <c r="R617" s="27">
        <f t="shared" si="134"/>
        <v>413.68555596285586</v>
      </c>
      <c r="S617" s="27">
        <f t="shared" si="134"/>
        <v>363.92269119895411</v>
      </c>
      <c r="T617" s="27">
        <f t="shared" si="134"/>
        <v>369.83389237357579</v>
      </c>
      <c r="U617" s="27">
        <f t="shared" si="134"/>
        <v>380.86142464434585</v>
      </c>
      <c r="V617" s="27">
        <f t="shared" si="134"/>
        <v>383.06375021143805</v>
      </c>
      <c r="W617" s="27">
        <f t="shared" si="134"/>
        <v>386.24013707294779</v>
      </c>
      <c r="X617" s="27">
        <f t="shared" si="134"/>
        <v>390.6712668095617</v>
      </c>
      <c r="Y617" s="27">
        <f t="shared" si="134"/>
        <v>395.75397479595648</v>
      </c>
      <c r="Z617" s="27">
        <f t="shared" si="134"/>
        <v>401.71318303321101</v>
      </c>
      <c r="AA617" s="27">
        <f t="shared" si="134"/>
        <v>407.69987647206653</v>
      </c>
      <c r="AB617" s="27">
        <f t="shared" si="134"/>
        <v>414.43305929383774</v>
      </c>
      <c r="AC617" s="27">
        <f t="shared" si="134"/>
        <v>421.09942264585908</v>
      </c>
      <c r="AD617" s="27">
        <f t="shared" si="134"/>
        <v>425.44191060723506</v>
      </c>
      <c r="AE617" s="27">
        <f t="shared" si="134"/>
        <v>429.00739584475377</v>
      </c>
      <c r="AF617" s="27">
        <f t="shared" si="134"/>
        <v>432.77412897631666</v>
      </c>
      <c r="AG617" s="27">
        <f t="shared" si="134"/>
        <v>437.81397558556199</v>
      </c>
      <c r="AH617" s="27">
        <f t="shared" si="134"/>
        <v>441.43846379327863</v>
      </c>
      <c r="AI617" s="27">
        <f t="shared" si="134"/>
        <v>445.30127510523226</v>
      </c>
      <c r="AJ617" s="27">
        <f t="shared" si="134"/>
        <v>449.5534309991009</v>
      </c>
      <c r="AK617" s="27">
        <f t="shared" si="134"/>
        <v>452.20309019469192</v>
      </c>
      <c r="AL617" s="27">
        <f t="shared" si="134"/>
        <v>454.19091289569144</v>
      </c>
      <c r="AM617" s="27">
        <f t="shared" si="134"/>
        <v>455.5735708938164</v>
      </c>
      <c r="AN617" s="27">
        <f t="shared" si="134"/>
        <v>459.87188917365768</v>
      </c>
      <c r="AO617" s="27">
        <f t="shared" si="134"/>
        <v>463.13915520973467</v>
      </c>
      <c r="AP617" s="27">
        <f t="shared" si="134"/>
        <v>466.44766361257473</v>
      </c>
      <c r="AQ617" s="27">
        <f t="shared" si="134"/>
        <v>469.83526222266636</v>
      </c>
      <c r="AR617" s="27">
        <f t="shared" si="134"/>
        <v>473.37026305322627</v>
      </c>
      <c r="AS617" s="27">
        <f t="shared" si="134"/>
        <v>476.99976993126808</v>
      </c>
      <c r="AT617" s="27">
        <f t="shared" si="134"/>
        <v>469.84014483659178</v>
      </c>
      <c r="AU617" s="27">
        <f t="shared" si="134"/>
        <v>461.72949370511395</v>
      </c>
      <c r="AV617" s="27">
        <f t="shared" si="134"/>
        <v>452.32664742475527</v>
      </c>
      <c r="AW617" s="27">
        <f t="shared" si="134"/>
        <v>442.62912277964222</v>
      </c>
      <c r="AY617" s="79"/>
      <c r="AZ617" s="79"/>
    </row>
    <row r="618" spans="1:52" x14ac:dyDescent="0.3">
      <c r="A618" s="95" t="str">
        <f t="shared" si="133"/>
        <v>NI Cattle</v>
      </c>
      <c r="B618" s="95" t="s">
        <v>969</v>
      </c>
      <c r="C618" s="95" t="s">
        <v>1108</v>
      </c>
      <c r="D618" t="s">
        <v>15</v>
      </c>
      <c r="E618" t="s">
        <v>16</v>
      </c>
      <c r="F618" t="s">
        <v>67</v>
      </c>
      <c r="G618" t="s">
        <v>123</v>
      </c>
      <c r="H618" t="s">
        <v>1020</v>
      </c>
      <c r="I618" t="s">
        <v>121</v>
      </c>
      <c r="J618" t="s">
        <v>286</v>
      </c>
      <c r="K618" s="27">
        <f t="shared" si="135"/>
        <v>326.20040935577742</v>
      </c>
      <c r="L618" s="27">
        <f t="shared" si="134"/>
        <v>323.37137738012308</v>
      </c>
      <c r="M618" s="27">
        <f t="shared" si="134"/>
        <v>322.29445054900748</v>
      </c>
      <c r="N618" s="27">
        <f t="shared" si="134"/>
        <v>317.99063003627219</v>
      </c>
      <c r="O618" s="27">
        <f t="shared" si="134"/>
        <v>311.74352945546792</v>
      </c>
      <c r="P618" s="27">
        <f t="shared" si="134"/>
        <v>303.68232906672063</v>
      </c>
      <c r="Q618" s="27">
        <f t="shared" si="134"/>
        <v>297.32422455466599</v>
      </c>
      <c r="R618" s="27">
        <f t="shared" si="134"/>
        <v>291.30873487096773</v>
      </c>
      <c r="S618" s="27">
        <f t="shared" si="134"/>
        <v>256.26676405768438</v>
      </c>
      <c r="T618" s="27">
        <f t="shared" si="134"/>
        <v>260.42930855779127</v>
      </c>
      <c r="U618" s="27">
        <f t="shared" si="134"/>
        <v>268.19466663772192</v>
      </c>
      <c r="V618" s="27">
        <f t="shared" si="134"/>
        <v>269.7454983394245</v>
      </c>
      <c r="W618" s="27">
        <f t="shared" si="134"/>
        <v>271.98224367594827</v>
      </c>
      <c r="X618" s="27">
        <f t="shared" si="134"/>
        <v>275.10255275857435</v>
      </c>
      <c r="Y618" s="27">
        <f t="shared" si="134"/>
        <v>278.68168964622578</v>
      </c>
      <c r="Z618" s="27">
        <f t="shared" si="134"/>
        <v>282.87803971792886</v>
      </c>
      <c r="AA618" s="27">
        <f t="shared" si="134"/>
        <v>287.09374429498189</v>
      </c>
      <c r="AB618" s="27">
        <f t="shared" si="134"/>
        <v>291.83511111621357</v>
      </c>
      <c r="AC618" s="27">
        <f t="shared" si="134"/>
        <v>296.52942506137316</v>
      </c>
      <c r="AD618" s="27">
        <f t="shared" si="134"/>
        <v>299.58731445583493</v>
      </c>
      <c r="AE618" s="27">
        <f t="shared" si="134"/>
        <v>302.09805474824185</v>
      </c>
      <c r="AF618" s="27">
        <f t="shared" si="134"/>
        <v>304.75050960758114</v>
      </c>
      <c r="AG618" s="27">
        <f t="shared" si="134"/>
        <v>308.29946440796289</v>
      </c>
      <c r="AH618" s="27">
        <f t="shared" si="134"/>
        <v>310.85175336058825</v>
      </c>
      <c r="AI618" s="27">
        <f t="shared" si="134"/>
        <v>313.57186446940221</v>
      </c>
      <c r="AJ618" s="27">
        <f t="shared" si="134"/>
        <v>316.5661439071601</v>
      </c>
      <c r="AK618" s="27">
        <f t="shared" si="134"/>
        <v>318.43197861417656</v>
      </c>
      <c r="AL618" s="27">
        <f t="shared" si="134"/>
        <v>319.83176187426193</v>
      </c>
      <c r="AM618" s="27">
        <f t="shared" si="134"/>
        <v>320.80540078040053</v>
      </c>
      <c r="AN618" s="27">
        <f t="shared" si="134"/>
        <v>323.83218680694904</v>
      </c>
      <c r="AO618" s="27">
        <f t="shared" si="134"/>
        <v>326.13292736155017</v>
      </c>
      <c r="AP618" s="27">
        <f t="shared" si="134"/>
        <v>328.46270993009568</v>
      </c>
      <c r="AQ618" s="27">
        <f t="shared" si="134"/>
        <v>330.84818617197112</v>
      </c>
      <c r="AR618" s="27">
        <f t="shared" si="134"/>
        <v>333.33745998120867</v>
      </c>
      <c r="AS618" s="27">
        <f t="shared" si="134"/>
        <v>335.89328297673717</v>
      </c>
      <c r="AT618" s="27">
        <f t="shared" si="134"/>
        <v>330.85162440679704</v>
      </c>
      <c r="AU618" s="27">
        <f t="shared" si="134"/>
        <v>325.14027314970184</v>
      </c>
      <c r="AV618" s="27">
        <f t="shared" si="134"/>
        <v>318.5189850369415</v>
      </c>
      <c r="AW618" s="27">
        <f t="shared" si="134"/>
        <v>311.6901905696734</v>
      </c>
      <c r="AY618" s="79"/>
      <c r="AZ618" s="79"/>
    </row>
    <row r="619" spans="1:52" x14ac:dyDescent="0.3">
      <c r="A619" s="95" t="str">
        <f t="shared" si="133"/>
        <v>NI Cattle</v>
      </c>
      <c r="B619" s="95" t="s">
        <v>969</v>
      </c>
      <c r="C619" s="95" t="s">
        <v>1108</v>
      </c>
      <c r="D619" t="s">
        <v>15</v>
      </c>
      <c r="E619" t="s">
        <v>16</v>
      </c>
      <c r="F619" t="s">
        <v>67</v>
      </c>
      <c r="G619" t="s">
        <v>135</v>
      </c>
      <c r="H619" t="s">
        <v>1020</v>
      </c>
      <c r="I619" t="s">
        <v>121</v>
      </c>
      <c r="J619" t="s">
        <v>286</v>
      </c>
      <c r="K619" s="27">
        <f t="shared" si="135"/>
        <v>31.891995988947272</v>
      </c>
      <c r="L619" s="27">
        <f t="shared" si="134"/>
        <v>32.967337371253535</v>
      </c>
      <c r="M619" s="27">
        <f t="shared" si="134"/>
        <v>34.243655078433662</v>
      </c>
      <c r="N619" s="27">
        <f t="shared" si="134"/>
        <v>35.19550479761466</v>
      </c>
      <c r="O619" s="27">
        <f t="shared" si="134"/>
        <v>35.929559405213332</v>
      </c>
      <c r="P619" s="27">
        <f t="shared" si="134"/>
        <v>36.435327957872907</v>
      </c>
      <c r="Q619" s="27">
        <f t="shared" si="134"/>
        <v>37.125912791560339</v>
      </c>
      <c r="R619" s="27">
        <f t="shared" si="134"/>
        <v>37.849847328761314</v>
      </c>
      <c r="S619" s="27">
        <f t="shared" si="134"/>
        <v>34.642542509776739</v>
      </c>
      <c r="T619" s="27">
        <f t="shared" si="134"/>
        <v>36.053430902114805</v>
      </c>
      <c r="U619" s="27">
        <f t="shared" si="134"/>
        <v>38.010696022356719</v>
      </c>
      <c r="V619" s="27">
        <f t="shared" si="134"/>
        <v>39.127373882680487</v>
      </c>
      <c r="W619" s="27">
        <f t="shared" si="134"/>
        <v>40.366459949035139</v>
      </c>
      <c r="X619" s="27">
        <f t="shared" si="134"/>
        <v>41.765821576969046</v>
      </c>
      <c r="Y619" s="27">
        <f t="shared" si="134"/>
        <v>43.269588309323517</v>
      </c>
      <c r="Z619" s="27">
        <f t="shared" si="134"/>
        <v>44.908778901884347</v>
      </c>
      <c r="AA619" s="27">
        <f t="shared" si="134"/>
        <v>46.594068388350003</v>
      </c>
      <c r="AB619" s="27">
        <f t="shared" si="134"/>
        <v>48.410923677012072</v>
      </c>
      <c r="AC619" s="27">
        <f t="shared" si="134"/>
        <v>50.269303700477998</v>
      </c>
      <c r="AD619" s="27">
        <f t="shared" si="134"/>
        <v>52.471951507677524</v>
      </c>
      <c r="AE619" s="27">
        <f t="shared" si="134"/>
        <v>54.669760459111487</v>
      </c>
      <c r="AF619" s="27">
        <f t="shared" si="134"/>
        <v>56.986868883720433</v>
      </c>
      <c r="AG619" s="27">
        <f t="shared" si="134"/>
        <v>59.577013910557568</v>
      </c>
      <c r="AH619" s="27">
        <f t="shared" si="134"/>
        <v>62.085208612074666</v>
      </c>
      <c r="AI619" s="27">
        <f t="shared" si="134"/>
        <v>64.738520962902328</v>
      </c>
      <c r="AJ619" s="27">
        <f t="shared" si="134"/>
        <v>67.569668411383148</v>
      </c>
      <c r="AK619" s="27">
        <f t="shared" si="134"/>
        <v>70.282185941463524</v>
      </c>
      <c r="AL619" s="27">
        <f t="shared" si="134"/>
        <v>73.009611809365794</v>
      </c>
      <c r="AM619" s="27">
        <f t="shared" si="134"/>
        <v>75.757864250149765</v>
      </c>
      <c r="AN619" s="27">
        <f t="shared" si="134"/>
        <v>78.63033008147255</v>
      </c>
      <c r="AO619" s="27">
        <f t="shared" si="134"/>
        <v>81.431036976471376</v>
      </c>
      <c r="AP619" s="27">
        <f t="shared" si="134"/>
        <v>84.343805269420216</v>
      </c>
      <c r="AQ619" s="27">
        <f t="shared" si="134"/>
        <v>87.381529968917789</v>
      </c>
      <c r="AR619" s="27">
        <f t="shared" si="134"/>
        <v>90.56411958911923</v>
      </c>
      <c r="AS619" s="27">
        <f t="shared" si="134"/>
        <v>93.889582462340528</v>
      </c>
      <c r="AT619" s="27">
        <f t="shared" si="134"/>
        <v>95.161623451693828</v>
      </c>
      <c r="AU619" s="27">
        <f t="shared" si="134"/>
        <v>96.246716097882043</v>
      </c>
      <c r="AV619" s="27">
        <f t="shared" si="134"/>
        <v>97.054781525387583</v>
      </c>
      <c r="AW619" s="27">
        <f t="shared" si="134"/>
        <v>97.781567637634097</v>
      </c>
      <c r="AY619" s="79"/>
      <c r="AZ619" s="79"/>
    </row>
    <row r="620" spans="1:52" x14ac:dyDescent="0.3">
      <c r="A620" s="95" t="str">
        <f t="shared" si="133"/>
        <v>NI Sheep</v>
      </c>
      <c r="B620" s="95" t="s">
        <v>969</v>
      </c>
      <c r="C620" s="95" t="s">
        <v>152</v>
      </c>
      <c r="D620" t="s">
        <v>15</v>
      </c>
      <c r="E620" t="s">
        <v>16</v>
      </c>
      <c r="F620" t="s">
        <v>18</v>
      </c>
      <c r="G620" t="s">
        <v>122</v>
      </c>
      <c r="H620" t="s">
        <v>1020</v>
      </c>
      <c r="I620" t="s">
        <v>121</v>
      </c>
      <c r="J620" t="s">
        <v>286</v>
      </c>
      <c r="K620" s="27">
        <f t="shared" si="135"/>
        <v>132.59034293279757</v>
      </c>
      <c r="L620" s="27">
        <f t="shared" si="134"/>
        <v>132.66203410931632</v>
      </c>
      <c r="M620" s="27">
        <f t="shared" si="134"/>
        <v>132.83344502276296</v>
      </c>
      <c r="N620" s="27">
        <f t="shared" si="134"/>
        <v>133.08619178866664</v>
      </c>
      <c r="O620" s="27">
        <f t="shared" si="134"/>
        <v>133.41866827856941</v>
      </c>
      <c r="P620" s="27">
        <f t="shared" si="134"/>
        <v>133.8273636783253</v>
      </c>
      <c r="Q620" s="27">
        <f t="shared" si="134"/>
        <v>134.2863843975903</v>
      </c>
      <c r="R620" s="27">
        <f t="shared" si="134"/>
        <v>134.79283247693314</v>
      </c>
      <c r="S620" s="27">
        <f t="shared" si="134"/>
        <v>135.25595136269689</v>
      </c>
      <c r="T620" s="27">
        <f t="shared" si="134"/>
        <v>135.45945701303151</v>
      </c>
      <c r="U620" s="27">
        <f t="shared" si="134"/>
        <v>135.70798113166347</v>
      </c>
      <c r="V620" s="27">
        <f t="shared" si="134"/>
        <v>135.96919937925796</v>
      </c>
      <c r="W620" s="27">
        <f t="shared" si="134"/>
        <v>136.26247262957938</v>
      </c>
      <c r="X620" s="27">
        <f t="shared" si="134"/>
        <v>136.58698029827343</v>
      </c>
      <c r="Y620" s="27">
        <f t="shared" si="134"/>
        <v>136.78964350738272</v>
      </c>
      <c r="Z620" s="27">
        <f t="shared" si="134"/>
        <v>137.0186015592445</v>
      </c>
      <c r="AA620" s="27">
        <f t="shared" si="134"/>
        <v>137.27076072273411</v>
      </c>
      <c r="AB620" s="27">
        <f t="shared" si="134"/>
        <v>137.54681434679034</v>
      </c>
      <c r="AC620" s="27">
        <f t="shared" si="134"/>
        <v>137.84391314305282</v>
      </c>
      <c r="AD620" s="27">
        <f t="shared" si="134"/>
        <v>138.04321155337277</v>
      </c>
      <c r="AE620" s="27">
        <f t="shared" si="134"/>
        <v>138.25957262105894</v>
      </c>
      <c r="AF620" s="27">
        <f t="shared" si="134"/>
        <v>138.49473553474263</v>
      </c>
      <c r="AG620" s="27">
        <f t="shared" si="134"/>
        <v>138.75099586378536</v>
      </c>
      <c r="AH620" s="27">
        <f t="shared" si="134"/>
        <v>139.02065863419776</v>
      </c>
      <c r="AI620" s="27">
        <f t="shared" si="134"/>
        <v>139.193026219692</v>
      </c>
      <c r="AJ620" s="27">
        <f t="shared" si="134"/>
        <v>139.38182622697491</v>
      </c>
      <c r="AK620" s="27">
        <f t="shared" si="134"/>
        <v>139.58083163749211</v>
      </c>
      <c r="AL620" s="27">
        <f t="shared" si="134"/>
        <v>139.79216106672223</v>
      </c>
      <c r="AM620" s="27">
        <f t="shared" si="134"/>
        <v>140.01549409297075</v>
      </c>
      <c r="AN620" s="27">
        <f t="shared" si="134"/>
        <v>140.14745576644822</v>
      </c>
      <c r="AO620" s="27">
        <f t="shared" si="134"/>
        <v>140.28832645422361</v>
      </c>
      <c r="AP620" s="27">
        <f t="shared" si="134"/>
        <v>140.44113174726405</v>
      </c>
      <c r="AQ620" s="27">
        <f t="shared" si="134"/>
        <v>140.60572391526784</v>
      </c>
      <c r="AR620" s="27">
        <f t="shared" si="134"/>
        <v>140.78209954735451</v>
      </c>
      <c r="AS620" s="27">
        <f t="shared" si="134"/>
        <v>140.86211694361444</v>
      </c>
      <c r="AT620" s="27">
        <f t="shared" si="134"/>
        <v>140.91368286545006</v>
      </c>
      <c r="AU620" s="27">
        <f t="shared" si="134"/>
        <v>140.97020886145611</v>
      </c>
      <c r="AV620" s="27">
        <f t="shared" si="134"/>
        <v>141.02991546858686</v>
      </c>
      <c r="AW620" s="27">
        <f t="shared" si="134"/>
        <v>141.09605506808808</v>
      </c>
      <c r="AY620" s="79"/>
      <c r="AZ620" s="79"/>
    </row>
    <row r="621" spans="1:52" x14ac:dyDescent="0.3">
      <c r="A621" s="95" t="str">
        <f t="shared" si="133"/>
        <v>NI Sheep</v>
      </c>
      <c r="B621" s="95" t="s">
        <v>969</v>
      </c>
      <c r="C621" s="95" t="s">
        <v>152</v>
      </c>
      <c r="D621" t="s">
        <v>15</v>
      </c>
      <c r="E621" t="s">
        <v>16</v>
      </c>
      <c r="F621" t="s">
        <v>18</v>
      </c>
      <c r="G621" t="s">
        <v>123</v>
      </c>
      <c r="H621" t="s">
        <v>1020</v>
      </c>
      <c r="I621" t="s">
        <v>121</v>
      </c>
      <c r="J621" t="s">
        <v>286</v>
      </c>
      <c r="K621" s="27">
        <f t="shared" si="135"/>
        <v>14.369321450610597</v>
      </c>
      <c r="L621" s="27">
        <f t="shared" si="134"/>
        <v>14.377090896995487</v>
      </c>
      <c r="M621" s="27">
        <f t="shared" si="134"/>
        <v>14.395667351818489</v>
      </c>
      <c r="N621" s="27">
        <f t="shared" si="134"/>
        <v>14.423058483363512</v>
      </c>
      <c r="O621" s="27">
        <f t="shared" si="134"/>
        <v>14.459090229360317</v>
      </c>
      <c r="P621" s="27">
        <f t="shared" ref="L621:AW627" si="136">P1386</f>
        <v>14.503382109482045</v>
      </c>
      <c r="Q621" s="27">
        <f t="shared" si="136"/>
        <v>14.553127936528831</v>
      </c>
      <c r="R621" s="27">
        <f t="shared" si="136"/>
        <v>14.608013647578019</v>
      </c>
      <c r="S621" s="27">
        <f t="shared" si="136"/>
        <v>14.658203608567563</v>
      </c>
      <c r="T621" s="27">
        <f t="shared" si="136"/>
        <v>14.680258292506014</v>
      </c>
      <c r="U621" s="27">
        <f t="shared" si="136"/>
        <v>14.707191799651872</v>
      </c>
      <c r="V621" s="27">
        <f t="shared" si="136"/>
        <v>14.735501017996329</v>
      </c>
      <c r="W621" s="27">
        <f t="shared" si="136"/>
        <v>14.767284159313563</v>
      </c>
      <c r="X621" s="27">
        <f t="shared" si="136"/>
        <v>14.802452293745619</v>
      </c>
      <c r="Y621" s="27">
        <f t="shared" si="136"/>
        <v>14.824415679113581</v>
      </c>
      <c r="Z621" s="27">
        <f t="shared" si="136"/>
        <v>14.849228736936167</v>
      </c>
      <c r="AA621" s="27">
        <f t="shared" si="136"/>
        <v>14.876556187765189</v>
      </c>
      <c r="AB621" s="27">
        <f t="shared" si="136"/>
        <v>14.906473172471083</v>
      </c>
      <c r="AC621" s="27">
        <f t="shared" si="136"/>
        <v>14.938670902800874</v>
      </c>
      <c r="AD621" s="27">
        <f t="shared" si="136"/>
        <v>14.960269632083405</v>
      </c>
      <c r="AE621" s="27">
        <f t="shared" si="136"/>
        <v>14.983717506658669</v>
      </c>
      <c r="AF621" s="27">
        <f t="shared" si="136"/>
        <v>15.009203009035685</v>
      </c>
      <c r="AG621" s="27">
        <f t="shared" si="136"/>
        <v>15.036974918826434</v>
      </c>
      <c r="AH621" s="27">
        <f t="shared" si="136"/>
        <v>15.066199302334384</v>
      </c>
      <c r="AI621" s="27">
        <f t="shared" si="136"/>
        <v>15.084879435358006</v>
      </c>
      <c r="AJ621" s="27">
        <f t="shared" si="136"/>
        <v>15.105340412639743</v>
      </c>
      <c r="AK621" s="27">
        <f t="shared" si="136"/>
        <v>15.126907388415511</v>
      </c>
      <c r="AL621" s="27">
        <f t="shared" si="136"/>
        <v>15.14980996512972</v>
      </c>
      <c r="AM621" s="27">
        <f t="shared" si="136"/>
        <v>15.174013417460552</v>
      </c>
      <c r="AN621" s="27">
        <f t="shared" si="136"/>
        <v>15.188314607603177</v>
      </c>
      <c r="AO621" s="27">
        <f t="shared" si="136"/>
        <v>15.203581301623565</v>
      </c>
      <c r="AP621" s="27">
        <f t="shared" si="136"/>
        <v>15.220141394360979</v>
      </c>
      <c r="AQ621" s="27">
        <f t="shared" si="136"/>
        <v>15.237978875718865</v>
      </c>
      <c r="AR621" s="27">
        <f t="shared" si="136"/>
        <v>15.25709337604709</v>
      </c>
      <c r="AS621" s="27">
        <f t="shared" si="136"/>
        <v>15.265765166639579</v>
      </c>
      <c r="AT621" s="27">
        <f t="shared" si="136"/>
        <v>15.271353562373108</v>
      </c>
      <c r="AU621" s="27">
        <f t="shared" si="136"/>
        <v>15.277479500272968</v>
      </c>
      <c r="AV621" s="27">
        <f t="shared" si="136"/>
        <v>15.283950133138154</v>
      </c>
      <c r="AW621" s="27">
        <f t="shared" si="136"/>
        <v>15.291117933935899</v>
      </c>
      <c r="AY621" s="79"/>
      <c r="AZ621" s="79"/>
    </row>
    <row r="622" spans="1:52" x14ac:dyDescent="0.3">
      <c r="A622" s="95" t="str">
        <f t="shared" si="133"/>
        <v>NI Goats</v>
      </c>
      <c r="B622" s="95" t="s">
        <v>969</v>
      </c>
      <c r="C622" s="95" t="s">
        <v>153</v>
      </c>
      <c r="D622" t="s">
        <v>15</v>
      </c>
      <c r="E622" t="s">
        <v>16</v>
      </c>
      <c r="F622" t="s">
        <v>19</v>
      </c>
      <c r="G622" t="s">
        <v>122</v>
      </c>
      <c r="H622" t="s">
        <v>1020</v>
      </c>
      <c r="I622" t="s">
        <v>121</v>
      </c>
      <c r="J622" t="s">
        <v>286</v>
      </c>
      <c r="K622" s="27">
        <f t="shared" si="135"/>
        <v>15.123414197798359</v>
      </c>
      <c r="L622" s="27">
        <f t="shared" si="136"/>
        <v>15.162727774721576</v>
      </c>
      <c r="M622" s="27">
        <f t="shared" si="136"/>
        <v>15.216959464794312</v>
      </c>
      <c r="N622" s="27">
        <f t="shared" si="136"/>
        <v>15.283027985940228</v>
      </c>
      <c r="O622" s="27">
        <f t="shared" si="136"/>
        <v>15.360839106953575</v>
      </c>
      <c r="P622" s="27">
        <f t="shared" si="136"/>
        <v>15.449919228540612</v>
      </c>
      <c r="Q622" s="27">
        <f t="shared" si="136"/>
        <v>15.545788610572222</v>
      </c>
      <c r="R622" s="27">
        <f t="shared" si="136"/>
        <v>15.648067752449878</v>
      </c>
      <c r="S622" s="27">
        <f t="shared" si="136"/>
        <v>15.740823350999253</v>
      </c>
      <c r="T622" s="27">
        <f t="shared" si="136"/>
        <v>15.786130826260475</v>
      </c>
      <c r="U622" s="27">
        <f t="shared" si="136"/>
        <v>15.838063303157622</v>
      </c>
      <c r="V622" s="27">
        <f t="shared" si="136"/>
        <v>15.891000771686212</v>
      </c>
      <c r="W622" s="27">
        <f t="shared" si="136"/>
        <v>15.94841543311963</v>
      </c>
      <c r="X622" s="27">
        <f t="shared" si="136"/>
        <v>16.010212398342233</v>
      </c>
      <c r="Y622" s="27">
        <f t="shared" si="136"/>
        <v>16.04975975411061</v>
      </c>
      <c r="Z622" s="27">
        <f t="shared" si="136"/>
        <v>16.093026754767141</v>
      </c>
      <c r="AA622" s="27">
        <f t="shared" si="136"/>
        <v>16.139507339626743</v>
      </c>
      <c r="AB622" s="27">
        <f t="shared" si="136"/>
        <v>16.189350761403606</v>
      </c>
      <c r="AC622" s="27">
        <f t="shared" si="136"/>
        <v>16.242088999774211</v>
      </c>
      <c r="AD622" s="27">
        <f t="shared" si="136"/>
        <v>16.277259419124743</v>
      </c>
      <c r="AE622" s="27">
        <f t="shared" si="136"/>
        <v>16.31476657866423</v>
      </c>
      <c r="AF622" s="27">
        <f t="shared" si="136"/>
        <v>16.354927956284293</v>
      </c>
      <c r="AG622" s="27">
        <f t="shared" si="136"/>
        <v>16.39815145947275</v>
      </c>
      <c r="AH622" s="27">
        <f t="shared" si="136"/>
        <v>16.443131260504089</v>
      </c>
      <c r="AI622" s="27">
        <f t="shared" si="136"/>
        <v>16.470988408557865</v>
      </c>
      <c r="AJ622" s="27">
        <f t="shared" si="136"/>
        <v>16.501218486314869</v>
      </c>
      <c r="AK622" s="27">
        <f t="shared" si="136"/>
        <v>16.532770131598127</v>
      </c>
      <c r="AL622" s="27">
        <f t="shared" si="136"/>
        <v>16.566015013383382</v>
      </c>
      <c r="AM622" s="27">
        <f t="shared" si="136"/>
        <v>16.600907614824543</v>
      </c>
      <c r="AN622" s="27">
        <f t="shared" si="136"/>
        <v>16.619970797900123</v>
      </c>
      <c r="AO622" s="27">
        <f t="shared" si="136"/>
        <v>16.64023491177819</v>
      </c>
      <c r="AP622" s="27">
        <f t="shared" si="136"/>
        <v>16.662217242949243</v>
      </c>
      <c r="AQ622" s="27">
        <f t="shared" si="136"/>
        <v>16.685896797291566</v>
      </c>
      <c r="AR622" s="27">
        <f t="shared" si="136"/>
        <v>16.711276306511749</v>
      </c>
      <c r="AS622" s="27">
        <f t="shared" si="136"/>
        <v>16.720221808869553</v>
      </c>
      <c r="AT622" s="27">
        <f t="shared" si="136"/>
        <v>16.72419450850062</v>
      </c>
      <c r="AU622" s="27">
        <f t="shared" si="136"/>
        <v>16.728812799261537</v>
      </c>
      <c r="AV622" s="27">
        <f t="shared" si="136"/>
        <v>16.733784752247175</v>
      </c>
      <c r="AW622" s="27">
        <f t="shared" si="136"/>
        <v>16.739658320998576</v>
      </c>
      <c r="AY622" s="79"/>
      <c r="AZ622" s="79"/>
    </row>
    <row r="623" spans="1:52" x14ac:dyDescent="0.3">
      <c r="A623" s="95" t="str">
        <f t="shared" si="133"/>
        <v>NI Goats</v>
      </c>
      <c r="B623" s="95" t="s">
        <v>969</v>
      </c>
      <c r="C623" s="95" t="s">
        <v>153</v>
      </c>
      <c r="D623" t="s">
        <v>15</v>
      </c>
      <c r="E623" t="s">
        <v>16</v>
      </c>
      <c r="F623" t="s">
        <v>19</v>
      </c>
      <c r="G623" t="s">
        <v>123</v>
      </c>
      <c r="H623" t="s">
        <v>1020</v>
      </c>
      <c r="I623" t="s">
        <v>121</v>
      </c>
      <c r="J623" t="s">
        <v>286</v>
      </c>
      <c r="K623" s="27">
        <f t="shared" si="135"/>
        <v>22.381101687842744</v>
      </c>
      <c r="L623" s="27">
        <f t="shared" si="136"/>
        <v>22.439281748993185</v>
      </c>
      <c r="M623" s="27">
        <f t="shared" si="136"/>
        <v>22.519539087339325</v>
      </c>
      <c r="N623" s="27">
        <f t="shared" si="136"/>
        <v>22.617313721478975</v>
      </c>
      <c r="O623" s="27">
        <f t="shared" si="136"/>
        <v>22.73246619889365</v>
      </c>
      <c r="P623" s="27">
        <f t="shared" si="136"/>
        <v>22.864295641209328</v>
      </c>
      <c r="Q623" s="27">
        <f t="shared" si="136"/>
        <v>23.006172492556328</v>
      </c>
      <c r="R623" s="27">
        <f t="shared" si="136"/>
        <v>23.157535130977113</v>
      </c>
      <c r="S623" s="27">
        <f t="shared" si="136"/>
        <v>23.294803902175122</v>
      </c>
      <c r="T623" s="27">
        <f t="shared" si="136"/>
        <v>23.361854318025564</v>
      </c>
      <c r="U623" s="27">
        <f t="shared" si="136"/>
        <v>23.438709056719805</v>
      </c>
      <c r="V623" s="27">
        <f t="shared" si="136"/>
        <v>23.517051079938867</v>
      </c>
      <c r="W623" s="27">
        <f t="shared" si="136"/>
        <v>23.602018889396962</v>
      </c>
      <c r="X623" s="27">
        <f t="shared" si="136"/>
        <v>23.693472058936443</v>
      </c>
      <c r="Y623" s="27">
        <f t="shared" si="136"/>
        <v>23.75199808879723</v>
      </c>
      <c r="Z623" s="27">
        <f t="shared" si="136"/>
        <v>23.816028811539901</v>
      </c>
      <c r="AA623" s="27">
        <f t="shared" si="136"/>
        <v>23.884815309261068</v>
      </c>
      <c r="AB623" s="27">
        <f t="shared" si="136"/>
        <v>23.958578460667738</v>
      </c>
      <c r="AC623" s="27">
        <f t="shared" si="136"/>
        <v>24.036625643689554</v>
      </c>
      <c r="AD623" s="27">
        <f t="shared" si="136"/>
        <v>24.088674256627954</v>
      </c>
      <c r="AE623" s="27">
        <f t="shared" si="136"/>
        <v>24.144181005348596</v>
      </c>
      <c r="AF623" s="27">
        <f t="shared" si="136"/>
        <v>24.20361572456493</v>
      </c>
      <c r="AG623" s="27">
        <f t="shared" si="136"/>
        <v>24.267582075516717</v>
      </c>
      <c r="AH623" s="27">
        <f t="shared" si="136"/>
        <v>24.334147567119</v>
      </c>
      <c r="AI623" s="27">
        <f t="shared" si="136"/>
        <v>24.375373288716684</v>
      </c>
      <c r="AJ623" s="27">
        <f t="shared" si="136"/>
        <v>24.420110702865486</v>
      </c>
      <c r="AK623" s="27">
        <f t="shared" si="136"/>
        <v>24.466803901389813</v>
      </c>
      <c r="AL623" s="27">
        <f t="shared" si="136"/>
        <v>24.516002916248802</v>
      </c>
      <c r="AM623" s="27">
        <f t="shared" si="136"/>
        <v>24.567640387179249</v>
      </c>
      <c r="AN623" s="27">
        <f t="shared" si="136"/>
        <v>24.595851942673818</v>
      </c>
      <c r="AO623" s="27">
        <f t="shared" si="136"/>
        <v>24.625840752567356</v>
      </c>
      <c r="AP623" s="27">
        <f t="shared" si="136"/>
        <v>24.658372347803756</v>
      </c>
      <c r="AQ623" s="27">
        <f t="shared" si="136"/>
        <v>24.693415659236397</v>
      </c>
      <c r="AR623" s="27">
        <f t="shared" si="136"/>
        <v>24.730974729510827</v>
      </c>
      <c r="AS623" s="27">
        <f t="shared" si="136"/>
        <v>24.744213155391417</v>
      </c>
      <c r="AT623" s="27">
        <f t="shared" si="136"/>
        <v>24.750092343335041</v>
      </c>
      <c r="AU623" s="27">
        <f t="shared" si="136"/>
        <v>24.756926939927592</v>
      </c>
      <c r="AV623" s="27">
        <f t="shared" si="136"/>
        <v>24.764284920334894</v>
      </c>
      <c r="AW623" s="27">
        <f t="shared" si="136"/>
        <v>24.772977199589842</v>
      </c>
      <c r="AY623" s="79"/>
      <c r="AZ623" s="79"/>
    </row>
    <row r="624" spans="1:52" x14ac:dyDescent="0.3">
      <c r="A624" s="95" t="str">
        <f t="shared" si="133"/>
        <v>NI Horses</v>
      </c>
      <c r="B624" s="95" t="s">
        <v>969</v>
      </c>
      <c r="C624" s="95" t="s">
        <v>3</v>
      </c>
      <c r="D624" t="s">
        <v>15</v>
      </c>
      <c r="E624" t="s">
        <v>16</v>
      </c>
      <c r="F624" t="s">
        <v>20</v>
      </c>
      <c r="G624" t="s">
        <v>3</v>
      </c>
      <c r="H624" t="s">
        <v>1020</v>
      </c>
      <c r="I624" t="s">
        <v>121</v>
      </c>
      <c r="J624" t="s">
        <v>286</v>
      </c>
      <c r="K624" s="27">
        <f t="shared" si="135"/>
        <v>5.5526214800767901</v>
      </c>
      <c r="L624" s="27">
        <f t="shared" si="136"/>
        <v>5.5795235710196511</v>
      </c>
      <c r="M624" s="27">
        <f t="shared" si="136"/>
        <v>5.6203482259438022</v>
      </c>
      <c r="N624" s="27">
        <f t="shared" si="136"/>
        <v>5.629075655008374</v>
      </c>
      <c r="O624" s="27">
        <f t="shared" si="136"/>
        <v>5.6165815405282276</v>
      </c>
      <c r="P624" s="27">
        <f t="shared" si="136"/>
        <v>5.5833231296706103</v>
      </c>
      <c r="Q624" s="27">
        <f t="shared" si="136"/>
        <v>5.5648827699457346</v>
      </c>
      <c r="R624" s="27">
        <f t="shared" si="136"/>
        <v>5.5483103177944013</v>
      </c>
      <c r="S624" s="27">
        <f t="shared" si="136"/>
        <v>5.2311192904529218</v>
      </c>
      <c r="T624" s="27">
        <f t="shared" si="136"/>
        <v>5.2959023096135693</v>
      </c>
      <c r="U624" s="27">
        <f t="shared" si="136"/>
        <v>5.3988006154965325</v>
      </c>
      <c r="V624" s="27">
        <f t="shared" si="136"/>
        <v>5.4367829372956962</v>
      </c>
      <c r="W624" s="27">
        <f t="shared" si="136"/>
        <v>5.4819188324690939</v>
      </c>
      <c r="X624" s="27">
        <f t="shared" si="136"/>
        <v>5.5365687700280883</v>
      </c>
      <c r="Y624" s="27">
        <f t="shared" si="136"/>
        <v>5.601958980764981</v>
      </c>
      <c r="Z624" s="27">
        <f t="shared" si="136"/>
        <v>5.6746319691397513</v>
      </c>
      <c r="AA624" s="27">
        <f t="shared" si="136"/>
        <v>5.7481685306176677</v>
      </c>
      <c r="AB624" s="27">
        <f t="shared" si="136"/>
        <v>5.8282774259733703</v>
      </c>
      <c r="AC624" s="27">
        <f t="shared" si="136"/>
        <v>5.9086647601730373</v>
      </c>
      <c r="AD624" s="27">
        <f t="shared" si="136"/>
        <v>6.0051030471917946</v>
      </c>
      <c r="AE624" s="27">
        <f t="shared" si="136"/>
        <v>6.0980124130473197</v>
      </c>
      <c r="AF624" s="27">
        <f t="shared" si="136"/>
        <v>6.195439489414623</v>
      </c>
      <c r="AG624" s="27">
        <f t="shared" si="136"/>
        <v>6.3068676222722697</v>
      </c>
      <c r="AH624" s="27">
        <f t="shared" si="136"/>
        <v>6.4095401663804648</v>
      </c>
      <c r="AI624" s="27">
        <f t="shared" si="136"/>
        <v>6.5228948238532292</v>
      </c>
      <c r="AJ624" s="27">
        <f t="shared" si="136"/>
        <v>6.6437484965413081</v>
      </c>
      <c r="AK624" s="27">
        <f t="shared" si="136"/>
        <v>6.7539654911689828</v>
      </c>
      <c r="AL624" s="27">
        <f t="shared" si="136"/>
        <v>6.8618111039503944</v>
      </c>
      <c r="AM624" s="27">
        <f t="shared" si="136"/>
        <v>6.9676727679478478</v>
      </c>
      <c r="AN624" s="27">
        <f t="shared" si="136"/>
        <v>7.0885986695240639</v>
      </c>
      <c r="AO624" s="27">
        <f t="shared" si="136"/>
        <v>7.202615789032512</v>
      </c>
      <c r="AP624" s="27">
        <f t="shared" si="136"/>
        <v>7.3203542233012309</v>
      </c>
      <c r="AQ624" s="27">
        <f t="shared" si="136"/>
        <v>7.4423988374450394</v>
      </c>
      <c r="AR624" s="27">
        <f t="shared" si="136"/>
        <v>7.5697005662835739</v>
      </c>
      <c r="AS624" s="27">
        <f t="shared" si="136"/>
        <v>7.7079925213190776</v>
      </c>
      <c r="AT624" s="27">
        <f t="shared" si="136"/>
        <v>7.7309775584942866</v>
      </c>
      <c r="AU624" s="27">
        <f t="shared" si="136"/>
        <v>7.7430605044202654</v>
      </c>
      <c r="AV624" s="27">
        <f t="shared" si="136"/>
        <v>7.7396666487885506</v>
      </c>
      <c r="AW624" s="27">
        <f t="shared" si="136"/>
        <v>7.7316472006042485</v>
      </c>
      <c r="AY624" s="79"/>
      <c r="AZ624" s="79"/>
    </row>
    <row r="625" spans="1:52" x14ac:dyDescent="0.3">
      <c r="A625" s="95" t="str">
        <f t="shared" si="133"/>
        <v>NI Mules&amp;Asses</v>
      </c>
      <c r="B625" s="95" t="s">
        <v>969</v>
      </c>
      <c r="C625" s="95" t="s">
        <v>1323</v>
      </c>
      <c r="D625" t="s">
        <v>15</v>
      </c>
      <c r="E625" t="s">
        <v>16</v>
      </c>
      <c r="F625" t="s">
        <v>140</v>
      </c>
      <c r="G625" t="s">
        <v>124</v>
      </c>
      <c r="H625" t="s">
        <v>1020</v>
      </c>
      <c r="I625" t="s">
        <v>121</v>
      </c>
      <c r="J625" t="s">
        <v>286</v>
      </c>
      <c r="K625" s="27">
        <f t="shared" si="135"/>
        <v>1.67</v>
      </c>
      <c r="L625" s="27">
        <f t="shared" si="136"/>
        <v>1.67</v>
      </c>
      <c r="M625" s="27">
        <f t="shared" si="136"/>
        <v>1.67</v>
      </c>
      <c r="N625" s="27">
        <f t="shared" si="136"/>
        <v>1.67</v>
      </c>
      <c r="O625" s="27">
        <f t="shared" si="136"/>
        <v>1.67</v>
      </c>
      <c r="P625" s="27">
        <f t="shared" si="136"/>
        <v>1.67</v>
      </c>
      <c r="Q625" s="27">
        <f t="shared" si="136"/>
        <v>1.67</v>
      </c>
      <c r="R625" s="27">
        <f t="shared" si="136"/>
        <v>1.67</v>
      </c>
      <c r="S625" s="27">
        <f t="shared" si="136"/>
        <v>1.67</v>
      </c>
      <c r="T625" s="27">
        <f t="shared" si="136"/>
        <v>1.67</v>
      </c>
      <c r="U625" s="27">
        <f t="shared" si="136"/>
        <v>1.67</v>
      </c>
      <c r="V625" s="27">
        <f t="shared" si="136"/>
        <v>1.67</v>
      </c>
      <c r="W625" s="27">
        <f t="shared" si="136"/>
        <v>1.67</v>
      </c>
      <c r="X625" s="27">
        <f t="shared" si="136"/>
        <v>1.67</v>
      </c>
      <c r="Y625" s="27">
        <f t="shared" si="136"/>
        <v>1.67</v>
      </c>
      <c r="Z625" s="27">
        <f t="shared" si="136"/>
        <v>1.67</v>
      </c>
      <c r="AA625" s="27">
        <f t="shared" si="136"/>
        <v>1.67</v>
      </c>
      <c r="AB625" s="27">
        <f t="shared" si="136"/>
        <v>1.67</v>
      </c>
      <c r="AC625" s="27">
        <f t="shared" si="136"/>
        <v>1.67</v>
      </c>
      <c r="AD625" s="27">
        <f t="shared" si="136"/>
        <v>1.67</v>
      </c>
      <c r="AE625" s="27">
        <f t="shared" si="136"/>
        <v>1.67</v>
      </c>
      <c r="AF625" s="27">
        <f t="shared" si="136"/>
        <v>1.67</v>
      </c>
      <c r="AG625" s="27">
        <f t="shared" si="136"/>
        <v>1.67</v>
      </c>
      <c r="AH625" s="27">
        <f t="shared" si="136"/>
        <v>1.67</v>
      </c>
      <c r="AI625" s="27">
        <f t="shared" si="136"/>
        <v>1.67</v>
      </c>
      <c r="AJ625" s="27">
        <f t="shared" si="136"/>
        <v>1.67</v>
      </c>
      <c r="AK625" s="27">
        <f t="shared" si="136"/>
        <v>1.67</v>
      </c>
      <c r="AL625" s="27">
        <f t="shared" si="136"/>
        <v>1.67</v>
      </c>
      <c r="AM625" s="27">
        <f t="shared" si="136"/>
        <v>1.67</v>
      </c>
      <c r="AN625" s="27">
        <f t="shared" si="136"/>
        <v>1.67</v>
      </c>
      <c r="AO625" s="27">
        <f t="shared" si="136"/>
        <v>1.67</v>
      </c>
      <c r="AP625" s="27">
        <f t="shared" si="136"/>
        <v>1.67</v>
      </c>
      <c r="AQ625" s="27">
        <f t="shared" si="136"/>
        <v>1.67</v>
      </c>
      <c r="AR625" s="27">
        <f t="shared" si="136"/>
        <v>1.67</v>
      </c>
      <c r="AS625" s="27">
        <f t="shared" si="136"/>
        <v>1.67</v>
      </c>
      <c r="AT625" s="27">
        <f t="shared" si="136"/>
        <v>1.67</v>
      </c>
      <c r="AU625" s="27">
        <f t="shared" si="136"/>
        <v>1.67</v>
      </c>
      <c r="AV625" s="27">
        <f t="shared" si="136"/>
        <v>1.67</v>
      </c>
      <c r="AW625" s="27">
        <f t="shared" si="136"/>
        <v>1.67</v>
      </c>
      <c r="AY625" s="79"/>
      <c r="AZ625" s="79"/>
    </row>
    <row r="626" spans="1:52" x14ac:dyDescent="0.3">
      <c r="A626" s="95" t="str">
        <f t="shared" si="133"/>
        <v>NI Swine</v>
      </c>
      <c r="B626" s="95" t="s">
        <v>969</v>
      </c>
      <c r="C626" s="95" t="s">
        <v>155</v>
      </c>
      <c r="D626" t="s">
        <v>15</v>
      </c>
      <c r="E626" t="s">
        <v>16</v>
      </c>
      <c r="F626" t="s">
        <v>21</v>
      </c>
      <c r="G626" t="s">
        <v>122</v>
      </c>
      <c r="H626" t="s">
        <v>1020</v>
      </c>
      <c r="I626" t="s">
        <v>121</v>
      </c>
      <c r="J626" t="s">
        <v>286</v>
      </c>
      <c r="K626" s="27">
        <f t="shared" si="135"/>
        <v>1.8400999552016302</v>
      </c>
      <c r="L626" s="27">
        <f t="shared" si="136"/>
        <v>1.8300977880312246</v>
      </c>
      <c r="M626" s="27">
        <f t="shared" si="136"/>
        <v>1.8309187348828151</v>
      </c>
      <c r="N626" s="27">
        <f t="shared" si="136"/>
        <v>1.8141094978660448</v>
      </c>
      <c r="O626" s="27">
        <f t="shared" si="136"/>
        <v>1.7866561368117295</v>
      </c>
      <c r="P626" s="27">
        <f t="shared" si="136"/>
        <v>1.7489975228040078</v>
      </c>
      <c r="Q626" s="27">
        <f t="shared" si="136"/>
        <v>1.721653192801009</v>
      </c>
      <c r="R626" s="27">
        <f t="shared" si="136"/>
        <v>1.6967284692901872</v>
      </c>
      <c r="S626" s="27">
        <f t="shared" si="136"/>
        <v>1.4981262376638635</v>
      </c>
      <c r="T626" s="27">
        <f t="shared" si="136"/>
        <v>1.5170710584409277</v>
      </c>
      <c r="U626" s="27">
        <f t="shared" si="136"/>
        <v>1.5577229248664515</v>
      </c>
      <c r="V626" s="27">
        <f t="shared" si="136"/>
        <v>1.561413903145964</v>
      </c>
      <c r="W626" s="27">
        <f t="shared" si="136"/>
        <v>1.5694069216965754</v>
      </c>
      <c r="X626" s="27">
        <f t="shared" si="136"/>
        <v>1.5828459974443794</v>
      </c>
      <c r="Y626" s="27">
        <f t="shared" si="136"/>
        <v>1.5997093513071265</v>
      </c>
      <c r="Z626" s="27">
        <f t="shared" si="136"/>
        <v>1.6203739618637112</v>
      </c>
      <c r="AA626" s="27">
        <f t="shared" si="136"/>
        <v>1.6412802243411935</v>
      </c>
      <c r="AB626" s="27">
        <f t="shared" si="136"/>
        <v>1.6654174874794287</v>
      </c>
      <c r="AC626" s="27">
        <f t="shared" si="136"/>
        <v>1.6893881557889758</v>
      </c>
      <c r="AD626" s="27">
        <f t="shared" si="136"/>
        <v>1.7191899551215701</v>
      </c>
      <c r="AE626" s="27">
        <f t="shared" si="136"/>
        <v>1.7466246880722003</v>
      </c>
      <c r="AF626" s="27">
        <f t="shared" si="136"/>
        <v>1.7758174373307805</v>
      </c>
      <c r="AG626" s="27">
        <f t="shared" si="136"/>
        <v>1.8114287830343814</v>
      </c>
      <c r="AH626" s="27">
        <f t="shared" si="136"/>
        <v>1.8420072235043694</v>
      </c>
      <c r="AI626" s="27">
        <f t="shared" si="136"/>
        <v>1.8750119445784728</v>
      </c>
      <c r="AJ626" s="27">
        <f t="shared" si="136"/>
        <v>1.9108329767517882</v>
      </c>
      <c r="AK626" s="27">
        <f t="shared" si="136"/>
        <v>1.940715836653381</v>
      </c>
      <c r="AL626" s="27">
        <f t="shared" si="136"/>
        <v>1.9687395447209077</v>
      </c>
      <c r="AM626" s="27">
        <f t="shared" si="136"/>
        <v>1.9951301179393999</v>
      </c>
      <c r="AN626" s="27">
        <f t="shared" si="136"/>
        <v>2.0256022791934827</v>
      </c>
      <c r="AO626" s="27">
        <f t="shared" si="136"/>
        <v>2.0520329509348483</v>
      </c>
      <c r="AP626" s="27">
        <f t="shared" si="136"/>
        <v>2.0793161183803317</v>
      </c>
      <c r="AQ626" s="27">
        <f t="shared" si="136"/>
        <v>2.1076575721978217</v>
      </c>
      <c r="AR626" s="27">
        <f t="shared" si="136"/>
        <v>2.1374119347182106</v>
      </c>
      <c r="AS626" s="27">
        <f t="shared" si="136"/>
        <v>2.1686559884141765</v>
      </c>
      <c r="AT626" s="27">
        <f t="shared" si="136"/>
        <v>2.149643552660391</v>
      </c>
      <c r="AU626" s="27">
        <f t="shared" si="136"/>
        <v>2.1262374260968961</v>
      </c>
      <c r="AV626" s="27">
        <f t="shared" si="136"/>
        <v>2.0967029621040374</v>
      </c>
      <c r="AW626" s="27">
        <f t="shared" si="136"/>
        <v>2.0657200323386067</v>
      </c>
      <c r="AY626" s="79"/>
      <c r="AZ626" s="79"/>
    </row>
    <row r="627" spans="1:52" x14ac:dyDescent="0.3">
      <c r="A627" s="95" t="str">
        <f t="shared" si="133"/>
        <v>NI Swine</v>
      </c>
      <c r="B627" s="95" t="s">
        <v>969</v>
      </c>
      <c r="C627" s="95" t="s">
        <v>155</v>
      </c>
      <c r="D627" t="s">
        <v>15</v>
      </c>
      <c r="E627" t="s">
        <v>16</v>
      </c>
      <c r="F627" t="s">
        <v>21</v>
      </c>
      <c r="G627" t="s">
        <v>123</v>
      </c>
      <c r="H627" t="s">
        <v>1020</v>
      </c>
      <c r="I627" t="s">
        <v>121</v>
      </c>
      <c r="J627" t="s">
        <v>286</v>
      </c>
      <c r="K627" s="27">
        <f t="shared" si="135"/>
        <v>0.25496723934882604</v>
      </c>
      <c r="L627" s="27">
        <f t="shared" si="136"/>
        <v>0.25358132281546886</v>
      </c>
      <c r="M627" s="27">
        <f t="shared" si="136"/>
        <v>0.25369507454499335</v>
      </c>
      <c r="N627" s="27">
        <f t="shared" si="136"/>
        <v>0.25136595935447842</v>
      </c>
      <c r="O627" s="27">
        <f t="shared" si="136"/>
        <v>0.247561977044127</v>
      </c>
      <c r="P627" s="27">
        <f t="shared" si="136"/>
        <v>0.24234393830437836</v>
      </c>
      <c r="Q627" s="27">
        <f t="shared" si="136"/>
        <v>0.23855506351363695</v>
      </c>
      <c r="R627" s="27">
        <f t="shared" si="136"/>
        <v>0.23510145332951485</v>
      </c>
      <c r="S627" s="27">
        <f t="shared" si="136"/>
        <v>0.2075828054521873</v>
      </c>
      <c r="T627" s="27">
        <f t="shared" si="136"/>
        <v>0.21020783059814849</v>
      </c>
      <c r="U627" s="27">
        <f t="shared" si="136"/>
        <v>0.21584061925595663</v>
      </c>
      <c r="V627" s="27">
        <f t="shared" si="136"/>
        <v>0.21635204720298934</v>
      </c>
      <c r="W627" s="27">
        <f t="shared" si="136"/>
        <v>0.21745957283938341</v>
      </c>
      <c r="X627" s="27">
        <f t="shared" si="136"/>
        <v>0.21932171300906883</v>
      </c>
      <c r="Y627" s="27">
        <f t="shared" si="136"/>
        <v>0.22165832671768446</v>
      </c>
      <c r="Z627" s="27">
        <f t="shared" si="136"/>
        <v>0.22452164872958766</v>
      </c>
      <c r="AA627" s="27">
        <f t="shared" si="136"/>
        <v>0.22741845442425518</v>
      </c>
      <c r="AB627" s="27">
        <f t="shared" si="136"/>
        <v>0.23076295281978809</v>
      </c>
      <c r="AC627" s="27">
        <f t="shared" si="136"/>
        <v>0.23408436756519632</v>
      </c>
      <c r="AD627" s="27">
        <f t="shared" si="136"/>
        <v>0.23821375329882435</v>
      </c>
      <c r="AE627" s="27">
        <f t="shared" si="136"/>
        <v>0.24201515446886457</v>
      </c>
      <c r="AF627" s="27">
        <f t="shared" si="136"/>
        <v>0.24606014923473155</v>
      </c>
      <c r="AG627" s="27">
        <f t="shared" si="136"/>
        <v>0.2509945151521249</v>
      </c>
      <c r="AH627" s="27">
        <f t="shared" si="136"/>
        <v>0.25523151354353607</v>
      </c>
      <c r="AI627" s="27">
        <f t="shared" si="136"/>
        <v>0.25980470131736011</v>
      </c>
      <c r="AJ627" s="27">
        <f t="shared" si="136"/>
        <v>0.26476812173266839</v>
      </c>
      <c r="AK627" s="27">
        <f t="shared" si="136"/>
        <v>0.26890873935043363</v>
      </c>
      <c r="AL627" s="27">
        <f t="shared" si="136"/>
        <v>0.27279174986956156</v>
      </c>
      <c r="AM627" s="27">
        <f t="shared" si="136"/>
        <v>0.27644847057070121</v>
      </c>
      <c r="AN627" s="27">
        <f t="shared" si="136"/>
        <v>0.28067074274128789</v>
      </c>
      <c r="AO627" s="27">
        <f t="shared" si="136"/>
        <v>0.28433301955890389</v>
      </c>
      <c r="AP627" s="27">
        <f t="shared" si="136"/>
        <v>0.28811341956630698</v>
      </c>
      <c r="AQ627" s="27">
        <f t="shared" ref="L627:AW634" si="137">AQ1392</f>
        <v>0.29204045745278195</v>
      </c>
      <c r="AR627" s="27">
        <f t="shared" si="137"/>
        <v>0.29616327026464162</v>
      </c>
      <c r="AS627" s="27">
        <f t="shared" si="137"/>
        <v>0.30049249710604664</v>
      </c>
      <c r="AT627" s="27">
        <f t="shared" si="137"/>
        <v>0.2978581031190588</v>
      </c>
      <c r="AU627" s="27">
        <f t="shared" si="137"/>
        <v>0.29461491219517799</v>
      </c>
      <c r="AV627" s="27">
        <f t="shared" si="137"/>
        <v>0.2905225688805555</v>
      </c>
      <c r="AW627" s="27">
        <f t="shared" si="137"/>
        <v>0.28622952379520583</v>
      </c>
      <c r="AY627" s="79"/>
      <c r="AZ627" s="79"/>
    </row>
    <row r="628" spans="1:52" x14ac:dyDescent="0.3">
      <c r="A628" s="95" t="str">
        <f t="shared" si="133"/>
        <v>NI Cattle MMCH4</v>
      </c>
      <c r="B628" s="95" t="s">
        <v>969</v>
      </c>
      <c r="C628" s="95" t="s">
        <v>1229</v>
      </c>
      <c r="D628" t="s">
        <v>15</v>
      </c>
      <c r="E628" t="s">
        <v>22</v>
      </c>
      <c r="F628" t="s">
        <v>6</v>
      </c>
      <c r="G628" t="s">
        <v>136</v>
      </c>
      <c r="H628" t="s">
        <v>1227</v>
      </c>
      <c r="I628" t="s">
        <v>121</v>
      </c>
      <c r="J628" t="s">
        <v>286</v>
      </c>
      <c r="K628" s="27">
        <f t="shared" si="135"/>
        <v>7.351330651107908</v>
      </c>
      <c r="L628" s="27">
        <f t="shared" si="137"/>
        <v>7.392428348789597</v>
      </c>
      <c r="M628" s="27">
        <f t="shared" si="137"/>
        <v>7.4507389435191715</v>
      </c>
      <c r="N628" s="27">
        <f t="shared" si="137"/>
        <v>7.4882097119910753</v>
      </c>
      <c r="O628" s="27">
        <f t="shared" si="137"/>
        <v>7.5131092090175429</v>
      </c>
      <c r="P628" s="27">
        <f t="shared" si="137"/>
        <v>7.5251923679492405</v>
      </c>
      <c r="Q628" s="27">
        <f t="shared" si="137"/>
        <v>7.5518885629203734</v>
      </c>
      <c r="R628" s="27">
        <f t="shared" si="137"/>
        <v>7.5825135825669046</v>
      </c>
      <c r="S628" s="27">
        <f t="shared" si="137"/>
        <v>7.3545862604907306</v>
      </c>
      <c r="T628" s="27">
        <f t="shared" si="137"/>
        <v>7.4319206101094348</v>
      </c>
      <c r="U628" s="27">
        <f t="shared" si="137"/>
        <v>7.5451176350008202</v>
      </c>
      <c r="V628" s="27">
        <f t="shared" si="137"/>
        <v>7.6037903760515064</v>
      </c>
      <c r="W628" s="27">
        <f t="shared" si="137"/>
        <v>7.6708455087945229</v>
      </c>
      <c r="X628" s="27">
        <f t="shared" si="137"/>
        <v>7.748454799455617</v>
      </c>
      <c r="Y628" s="27">
        <f t="shared" si="137"/>
        <v>7.8277085285324004</v>
      </c>
      <c r="Z628" s="27">
        <f t="shared" si="137"/>
        <v>7.9154321855609755</v>
      </c>
      <c r="AA628" s="27">
        <f t="shared" si="137"/>
        <v>8.0058732816474745</v>
      </c>
      <c r="AB628" s="27">
        <f t="shared" si="137"/>
        <v>8.10422418278708</v>
      </c>
      <c r="AC628" s="27">
        <f t="shared" si="137"/>
        <v>8.2047936963570631</v>
      </c>
      <c r="AD628" s="27">
        <f t="shared" si="137"/>
        <v>8.3134419507553705</v>
      </c>
      <c r="AE628" s="27">
        <f t="shared" si="137"/>
        <v>8.4206197210713736</v>
      </c>
      <c r="AF628" s="27">
        <f t="shared" si="137"/>
        <v>8.5337450585207524</v>
      </c>
      <c r="AG628" s="27">
        <f t="shared" si="137"/>
        <v>8.6617085162438627</v>
      </c>
      <c r="AH628" s="27">
        <f t="shared" si="137"/>
        <v>8.7833723342601697</v>
      </c>
      <c r="AI628" s="27">
        <f t="shared" si="137"/>
        <v>8.9081379352092647</v>
      </c>
      <c r="AJ628" s="27">
        <f t="shared" si="137"/>
        <v>9.0415690981618067</v>
      </c>
      <c r="AK628" s="27">
        <f t="shared" si="137"/>
        <v>9.1665780174046034</v>
      </c>
      <c r="AL628" s="27">
        <f t="shared" si="137"/>
        <v>9.290908547616274</v>
      </c>
      <c r="AM628" s="27">
        <f t="shared" si="137"/>
        <v>9.414906513410104</v>
      </c>
      <c r="AN628" s="27">
        <f t="shared" si="137"/>
        <v>9.5460926435688069</v>
      </c>
      <c r="AO628" s="27">
        <f t="shared" si="137"/>
        <v>9.6720022033758184</v>
      </c>
      <c r="AP628" s="27">
        <f t="shared" si="137"/>
        <v>9.8028010066851721</v>
      </c>
      <c r="AQ628" s="27">
        <f t="shared" si="137"/>
        <v>9.939085602989195</v>
      </c>
      <c r="AR628" s="27">
        <f t="shared" si="137"/>
        <v>10.081815307121353</v>
      </c>
      <c r="AS628" s="27">
        <f t="shared" si="137"/>
        <v>10.227069711733948</v>
      </c>
      <c r="AT628" s="27">
        <f t="shared" si="137"/>
        <v>10.261508370245586</v>
      </c>
      <c r="AU628" s="27">
        <f t="shared" si="137"/>
        <v>10.28601825816002</v>
      </c>
      <c r="AV628" s="27">
        <f t="shared" si="137"/>
        <v>10.296060407046117</v>
      </c>
      <c r="AW628" s="27">
        <f t="shared" si="137"/>
        <v>10.302124127636974</v>
      </c>
      <c r="AY628" s="79"/>
      <c r="AZ628" s="79"/>
    </row>
    <row r="629" spans="1:52" x14ac:dyDescent="0.3">
      <c r="A629" s="95" t="str">
        <f t="shared" si="133"/>
        <v>NI Cattle MMCH4</v>
      </c>
      <c r="B629" s="95" t="s">
        <v>969</v>
      </c>
      <c r="C629" s="95" t="s">
        <v>1229</v>
      </c>
      <c r="D629" t="s">
        <v>15</v>
      </c>
      <c r="E629" t="s">
        <v>22</v>
      </c>
      <c r="F629" t="s">
        <v>6</v>
      </c>
      <c r="G629" t="s">
        <v>137</v>
      </c>
      <c r="H629" t="s">
        <v>1227</v>
      </c>
      <c r="I629" t="s">
        <v>121</v>
      </c>
      <c r="J629" t="s">
        <v>286</v>
      </c>
      <c r="K629" s="27">
        <f t="shared" si="135"/>
        <v>2.0944490884992821</v>
      </c>
      <c r="L629" s="27">
        <f t="shared" si="137"/>
        <v>2.1061581299686467</v>
      </c>
      <c r="M629" s="27">
        <f t="shared" si="137"/>
        <v>2.1227712545548472</v>
      </c>
      <c r="N629" s="27">
        <f t="shared" si="137"/>
        <v>2.1334469567638776</v>
      </c>
      <c r="O629" s="27">
        <f t="shared" si="137"/>
        <v>2.1405410097083357</v>
      </c>
      <c r="P629" s="27">
        <f t="shared" si="137"/>
        <v>2.143983592066792</v>
      </c>
      <c r="Q629" s="27">
        <f t="shared" si="137"/>
        <v>2.151589537694508</v>
      </c>
      <c r="R629" s="27">
        <f t="shared" si="137"/>
        <v>2.1603148348588084</v>
      </c>
      <c r="S629" s="27">
        <f t="shared" si="137"/>
        <v>2.0953766359635408</v>
      </c>
      <c r="T629" s="27">
        <f t="shared" si="137"/>
        <v>2.117409770610283</v>
      </c>
      <c r="U629" s="27">
        <f t="shared" si="137"/>
        <v>2.149660449685487</v>
      </c>
      <c r="V629" s="27">
        <f t="shared" si="137"/>
        <v>2.1663767524673299</v>
      </c>
      <c r="W629" s="27">
        <f t="shared" si="137"/>
        <v>2.1854812613403793</v>
      </c>
      <c r="X629" s="27">
        <f t="shared" si="137"/>
        <v>2.207592728746584</v>
      </c>
      <c r="Y629" s="27">
        <f t="shared" si="137"/>
        <v>2.23017270895738</v>
      </c>
      <c r="Z629" s="27">
        <f t="shared" si="137"/>
        <v>2.2551658349944512</v>
      </c>
      <c r="AA629" s="27">
        <f t="shared" si="137"/>
        <v>2.2809331797448467</v>
      </c>
      <c r="AB629" s="27">
        <f t="shared" si="137"/>
        <v>2.3089540871181105</v>
      </c>
      <c r="AC629" s="27">
        <f t="shared" si="137"/>
        <v>2.3376070937674198</v>
      </c>
      <c r="AD629" s="27">
        <f t="shared" si="137"/>
        <v>2.3685617941055517</v>
      </c>
      <c r="AE629" s="27">
        <f t="shared" si="137"/>
        <v>2.3990975425298058</v>
      </c>
      <c r="AF629" s="27">
        <f t="shared" si="137"/>
        <v>2.4313277973165794</v>
      </c>
      <c r="AG629" s="27">
        <f t="shared" si="137"/>
        <v>2.4677855435545331</v>
      </c>
      <c r="AH629" s="27">
        <f t="shared" si="137"/>
        <v>2.5024484753203891</v>
      </c>
      <c r="AI629" s="27">
        <f t="shared" si="137"/>
        <v>2.5379951282443072</v>
      </c>
      <c r="AJ629" s="27">
        <f t="shared" si="137"/>
        <v>2.5760106645991079</v>
      </c>
      <c r="AK629" s="27">
        <f t="shared" si="137"/>
        <v>2.6116266407248583</v>
      </c>
      <c r="AL629" s="27">
        <f t="shared" si="137"/>
        <v>2.6470493387414713</v>
      </c>
      <c r="AM629" s="27">
        <f t="shared" si="137"/>
        <v>2.6823772866679478</v>
      </c>
      <c r="AN629" s="27">
        <f t="shared" si="137"/>
        <v>2.719753196387535</v>
      </c>
      <c r="AO629" s="27">
        <f t="shared" si="137"/>
        <v>2.755625771746582</v>
      </c>
      <c r="AP629" s="27">
        <f t="shared" si="137"/>
        <v>2.792891329149688</v>
      </c>
      <c r="AQ629" s="27">
        <f t="shared" si="137"/>
        <v>2.8317198300092477</v>
      </c>
      <c r="AR629" s="27">
        <f t="shared" si="137"/>
        <v>2.8723845902967362</v>
      </c>
      <c r="AS629" s="27">
        <f t="shared" si="137"/>
        <v>2.9137686566351899</v>
      </c>
      <c r="AT629" s="27">
        <f t="shared" si="137"/>
        <v>2.9235804880371647</v>
      </c>
      <c r="AU629" s="27">
        <f t="shared" si="137"/>
        <v>2.9305635384314317</v>
      </c>
      <c r="AV629" s="27">
        <f t="shared" si="137"/>
        <v>2.9334246217616835</v>
      </c>
      <c r="AW629" s="27">
        <f t="shared" si="137"/>
        <v>2.9351522211130368</v>
      </c>
      <c r="AY629" s="79"/>
      <c r="AZ629" s="79"/>
    </row>
    <row r="630" spans="1:52" x14ac:dyDescent="0.3">
      <c r="A630" s="95" t="str">
        <f t="shared" si="133"/>
        <v>NI Cattle MMCH4</v>
      </c>
      <c r="B630" s="95" t="s">
        <v>969</v>
      </c>
      <c r="C630" s="95" t="s">
        <v>1229</v>
      </c>
      <c r="D630" t="s">
        <v>15</v>
      </c>
      <c r="E630" t="s">
        <v>22</v>
      </c>
      <c r="F630" t="s">
        <v>67</v>
      </c>
      <c r="G630" t="s">
        <v>307</v>
      </c>
      <c r="H630" t="s">
        <v>1227</v>
      </c>
      <c r="I630" t="s">
        <v>121</v>
      </c>
      <c r="J630" t="s">
        <v>286</v>
      </c>
      <c r="K630" s="27">
        <f t="shared" si="135"/>
        <v>0.43258377187145641</v>
      </c>
      <c r="L630" s="27">
        <f t="shared" si="137"/>
        <v>0.43500213637199736</v>
      </c>
      <c r="M630" s="27">
        <f t="shared" si="137"/>
        <v>0.43843338143569016</v>
      </c>
      <c r="N630" s="27">
        <f t="shared" si="137"/>
        <v>0.44063832189202168</v>
      </c>
      <c r="O630" s="27">
        <f t="shared" si="137"/>
        <v>0.44210351490980387</v>
      </c>
      <c r="P630" s="27">
        <f t="shared" si="137"/>
        <v>0.44281453971808232</v>
      </c>
      <c r="Q630" s="27">
        <f t="shared" si="137"/>
        <v>0.44438545813589125</v>
      </c>
      <c r="R630" s="27">
        <f t="shared" si="137"/>
        <v>0.44618756541973886</v>
      </c>
      <c r="S630" s="27">
        <f t="shared" si="137"/>
        <v>0.43277534586715866</v>
      </c>
      <c r="T630" s="27">
        <f t="shared" si="137"/>
        <v>0.4373260301229735</v>
      </c>
      <c r="U630" s="27">
        <f t="shared" si="137"/>
        <v>0.44398702774586812</v>
      </c>
      <c r="V630" s="27">
        <f t="shared" si="137"/>
        <v>0.44743958304970527</v>
      </c>
      <c r="W630" s="27">
        <f t="shared" si="137"/>
        <v>0.45138539417179691</v>
      </c>
      <c r="X630" s="27">
        <f t="shared" si="137"/>
        <v>0.45595225713576731</v>
      </c>
      <c r="Y630" s="27">
        <f t="shared" si="137"/>
        <v>0.46061588589714619</v>
      </c>
      <c r="Z630" s="27">
        <f t="shared" si="137"/>
        <v>0.46577792148509239</v>
      </c>
      <c r="AA630" s="27">
        <f t="shared" si="137"/>
        <v>0.47109986282252775</v>
      </c>
      <c r="AB630" s="27">
        <f t="shared" si="137"/>
        <v>0.47688725095688084</v>
      </c>
      <c r="AC630" s="27">
        <f t="shared" si="137"/>
        <v>0.48280519174612069</v>
      </c>
      <c r="AD630" s="27">
        <f t="shared" si="137"/>
        <v>0.48919852023662819</v>
      </c>
      <c r="AE630" s="27">
        <f t="shared" si="137"/>
        <v>0.4955053191475276</v>
      </c>
      <c r="AF630" s="27">
        <f t="shared" si="137"/>
        <v>0.50216209837438885</v>
      </c>
      <c r="AG630" s="27">
        <f t="shared" si="137"/>
        <v>0.50969201613087478</v>
      </c>
      <c r="AH630" s="27">
        <f t="shared" si="137"/>
        <v>0.51685123611370132</v>
      </c>
      <c r="AI630" s="27">
        <f t="shared" si="137"/>
        <v>0.52419297828526779</v>
      </c>
      <c r="AJ630" s="27">
        <f t="shared" si="137"/>
        <v>0.53204463922865186</v>
      </c>
      <c r="AK630" s="27">
        <f t="shared" si="137"/>
        <v>0.53940069929044132</v>
      </c>
      <c r="AL630" s="27">
        <f t="shared" si="137"/>
        <v>0.54671684003696541</v>
      </c>
      <c r="AM630" s="27">
        <f t="shared" si="137"/>
        <v>0.55401341126919512</v>
      </c>
      <c r="AN630" s="27">
        <f t="shared" si="137"/>
        <v>0.56173296487038149</v>
      </c>
      <c r="AO630" s="27">
        <f t="shared" si="137"/>
        <v>0.56914202247926249</v>
      </c>
      <c r="AP630" s="27">
        <f t="shared" si="137"/>
        <v>0.57683878411020695</v>
      </c>
      <c r="AQ630" s="27">
        <f t="shared" si="137"/>
        <v>0.58485835328960278</v>
      </c>
      <c r="AR630" s="27">
        <f t="shared" si="137"/>
        <v>0.59325718020977147</v>
      </c>
      <c r="AS630" s="27">
        <f t="shared" si="137"/>
        <v>0.60180457131627674</v>
      </c>
      <c r="AT630" s="27">
        <f t="shared" si="137"/>
        <v>0.60383108943989172</v>
      </c>
      <c r="AU630" s="27">
        <f t="shared" si="137"/>
        <v>0.60527335618932376</v>
      </c>
      <c r="AV630" s="27">
        <f t="shared" si="137"/>
        <v>0.60586427922747954</v>
      </c>
      <c r="AW630" s="27">
        <f t="shared" si="137"/>
        <v>0.60622109451021655</v>
      </c>
      <c r="AY630" s="79"/>
      <c r="AZ630" s="79"/>
    </row>
    <row r="631" spans="1:52" x14ac:dyDescent="0.3">
      <c r="A631" s="95" t="str">
        <f t="shared" si="133"/>
        <v>NI Cattle MMCH4</v>
      </c>
      <c r="B631" s="95" t="s">
        <v>969</v>
      </c>
      <c r="C631" s="95" t="s">
        <v>1229</v>
      </c>
      <c r="D631" t="s">
        <v>15</v>
      </c>
      <c r="E631" t="s">
        <v>22</v>
      </c>
      <c r="F631" t="s">
        <v>67</v>
      </c>
      <c r="G631" t="s">
        <v>122</v>
      </c>
      <c r="H631" t="s">
        <v>1227</v>
      </c>
      <c r="I631" t="s">
        <v>121</v>
      </c>
      <c r="J631" t="s">
        <v>286</v>
      </c>
      <c r="K631" s="27">
        <f t="shared" si="135"/>
        <v>9.4871637196006553E-2</v>
      </c>
      <c r="L631" s="27">
        <f t="shared" si="137"/>
        <v>9.404884578461549E-2</v>
      </c>
      <c r="M631" s="27">
        <f t="shared" si="137"/>
        <v>9.3735634002294246E-2</v>
      </c>
      <c r="N631" s="27">
        <f t="shared" si="137"/>
        <v>9.2483917307495084E-2</v>
      </c>
      <c r="O631" s="27">
        <f t="shared" si="137"/>
        <v>9.0667019955957343E-2</v>
      </c>
      <c r="P631" s="27">
        <f t="shared" si="137"/>
        <v>8.8322512540543865E-2</v>
      </c>
      <c r="Q631" s="27">
        <f t="shared" si="137"/>
        <v>8.6473330972337892E-2</v>
      </c>
      <c r="R631" s="27">
        <f t="shared" si="137"/>
        <v>8.4723794986300283E-2</v>
      </c>
      <c r="S631" s="27">
        <f t="shared" si="137"/>
        <v>7.4532240818123416E-2</v>
      </c>
      <c r="T631" s="27">
        <f t="shared" si="137"/>
        <v>7.5742869009566477E-2</v>
      </c>
      <c r="U631" s="27">
        <f t="shared" si="137"/>
        <v>7.8001334092155483E-2</v>
      </c>
      <c r="V631" s="27">
        <f t="shared" si="137"/>
        <v>7.8452375655366738E-2</v>
      </c>
      <c r="W631" s="27">
        <f t="shared" si="137"/>
        <v>7.9102907310080586E-2</v>
      </c>
      <c r="X631" s="27">
        <f t="shared" si="137"/>
        <v>8.0010413317847237E-2</v>
      </c>
      <c r="Y631" s="27">
        <f t="shared" si="137"/>
        <v>8.1051364115397456E-2</v>
      </c>
      <c r="Z631" s="27">
        <f t="shared" si="137"/>
        <v>8.2271824268517132E-2</v>
      </c>
      <c r="AA631" s="27">
        <f t="shared" si="137"/>
        <v>8.3497913456907769E-2</v>
      </c>
      <c r="AB631" s="27">
        <f t="shared" si="137"/>
        <v>8.4876885462998888E-2</v>
      </c>
      <c r="AC631" s="27">
        <f t="shared" si="137"/>
        <v>8.6242172681273321E-2</v>
      </c>
      <c r="AD631" s="27">
        <f t="shared" si="137"/>
        <v>8.7131524640671032E-2</v>
      </c>
      <c r="AE631" s="27">
        <f t="shared" si="137"/>
        <v>8.7861744576890749E-2</v>
      </c>
      <c r="AF631" s="27">
        <f t="shared" si="137"/>
        <v>8.863318056494178E-2</v>
      </c>
      <c r="AG631" s="27">
        <f t="shared" si="137"/>
        <v>8.9665353249555477E-2</v>
      </c>
      <c r="AH631" s="27">
        <f t="shared" si="137"/>
        <v>9.0407657135718758E-2</v>
      </c>
      <c r="AI631" s="27">
        <f t="shared" si="137"/>
        <v>9.1198770165766427E-2</v>
      </c>
      <c r="AJ631" s="27">
        <f t="shared" si="137"/>
        <v>9.2069621900880569E-2</v>
      </c>
      <c r="AK631" s="27">
        <f t="shared" si="137"/>
        <v>9.2612278465111636E-2</v>
      </c>
      <c r="AL631" s="27">
        <f t="shared" si="137"/>
        <v>9.3019389326395155E-2</v>
      </c>
      <c r="AM631" s="27">
        <f t="shared" si="137"/>
        <v>9.3302561003725443E-2</v>
      </c>
      <c r="AN631" s="27">
        <f t="shared" si="137"/>
        <v>9.4182866906307741E-2</v>
      </c>
      <c r="AO631" s="27">
        <f t="shared" si="137"/>
        <v>9.4852010834144421E-2</v>
      </c>
      <c r="AP631" s="27">
        <f t="shared" si="137"/>
        <v>9.5529601297703756E-2</v>
      </c>
      <c r="AQ631" s="27">
        <f t="shared" si="137"/>
        <v>9.6223389625578193E-2</v>
      </c>
      <c r="AR631" s="27">
        <f t="shared" si="137"/>
        <v>9.6947366282069555E-2</v>
      </c>
      <c r="AS631" s="27">
        <f t="shared" si="137"/>
        <v>9.7690698003963641E-2</v>
      </c>
      <c r="AT631" s="27">
        <f t="shared" si="137"/>
        <v>9.6224389596631696E-2</v>
      </c>
      <c r="AU631" s="27">
        <f t="shared" si="137"/>
        <v>9.4563308773857144E-2</v>
      </c>
      <c r="AV631" s="27">
        <f t="shared" si="137"/>
        <v>9.2637583282449518E-2</v>
      </c>
      <c r="AW631" s="27">
        <f t="shared" si="137"/>
        <v>9.065150695451285E-2</v>
      </c>
      <c r="AY631" s="79"/>
      <c r="AZ631" s="79"/>
    </row>
    <row r="632" spans="1:52" x14ac:dyDescent="0.3">
      <c r="A632" s="95" t="str">
        <f t="shared" si="133"/>
        <v>NI Cattle MMCH4</v>
      </c>
      <c r="B632" s="95" t="s">
        <v>969</v>
      </c>
      <c r="C632" s="95" t="s">
        <v>1229</v>
      </c>
      <c r="D632" t="s">
        <v>15</v>
      </c>
      <c r="E632" t="s">
        <v>22</v>
      </c>
      <c r="F632" t="s">
        <v>67</v>
      </c>
      <c r="G632" t="s">
        <v>123</v>
      </c>
      <c r="H632" t="s">
        <v>1227</v>
      </c>
      <c r="I632" t="s">
        <v>121</v>
      </c>
      <c r="J632" t="s">
        <v>286</v>
      </c>
      <c r="K632" s="27">
        <f t="shared" si="135"/>
        <v>6.9689449734106304E-2</v>
      </c>
      <c r="L632" s="27">
        <f t="shared" si="137"/>
        <v>6.9085055392440989E-2</v>
      </c>
      <c r="M632" s="27">
        <f t="shared" si="137"/>
        <v>6.8854980763127793E-2</v>
      </c>
      <c r="N632" s="27">
        <f t="shared" si="137"/>
        <v>6.7935512624264269E-2</v>
      </c>
      <c r="O632" s="27">
        <f t="shared" si="137"/>
        <v>6.660088216573827E-2</v>
      </c>
      <c r="P632" s="27">
        <f t="shared" si="137"/>
        <v>6.4878687456057696E-2</v>
      </c>
      <c r="Q632" s="27">
        <f t="shared" si="137"/>
        <v>6.3520342119606069E-2</v>
      </c>
      <c r="R632" s="27">
        <f t="shared" si="137"/>
        <v>6.2235193009075998E-2</v>
      </c>
      <c r="S632" s="27">
        <f t="shared" si="137"/>
        <v>5.4748826979066356E-2</v>
      </c>
      <c r="T632" s="27">
        <f t="shared" si="137"/>
        <v>5.5638112913069561E-2</v>
      </c>
      <c r="U632" s="27">
        <f t="shared" si="137"/>
        <v>5.7297103877082825E-2</v>
      </c>
      <c r="V632" s="27">
        <f t="shared" si="137"/>
        <v>5.7628423534637221E-2</v>
      </c>
      <c r="W632" s="27">
        <f t="shared" si="137"/>
        <v>5.8106281769105768E-2</v>
      </c>
      <c r="X632" s="27">
        <f t="shared" si="137"/>
        <v>5.8772904546796331E-2</v>
      </c>
      <c r="Y632" s="27">
        <f t="shared" si="137"/>
        <v>5.9537551288705921E-2</v>
      </c>
      <c r="Z632" s="27">
        <f t="shared" si="137"/>
        <v>6.0434059444432087E-2</v>
      </c>
      <c r="AA632" s="27">
        <f t="shared" si="137"/>
        <v>6.1334702496341778E-2</v>
      </c>
      <c r="AB632" s="27">
        <f t="shared" si="137"/>
        <v>6.2347648020879123E-2</v>
      </c>
      <c r="AC632" s="27">
        <f t="shared" si="137"/>
        <v>6.3350541169797603E-2</v>
      </c>
      <c r="AD632" s="27">
        <f t="shared" si="137"/>
        <v>6.4003828606403412E-2</v>
      </c>
      <c r="AE632" s="27">
        <f t="shared" si="137"/>
        <v>6.4540223118441709E-2</v>
      </c>
      <c r="AF632" s="27">
        <f t="shared" si="137"/>
        <v>6.5106893528074167E-2</v>
      </c>
      <c r="AG632" s="27">
        <f t="shared" si="137"/>
        <v>6.5865092169388781E-2</v>
      </c>
      <c r="AH632" s="27">
        <f t="shared" si="137"/>
        <v>6.641036313646749E-2</v>
      </c>
      <c r="AI632" s="27">
        <f t="shared" si="137"/>
        <v>6.6991487626051227E-2</v>
      </c>
      <c r="AJ632" s="27">
        <f t="shared" si="137"/>
        <v>6.7631185432622337E-2</v>
      </c>
      <c r="AK632" s="27">
        <f t="shared" si="137"/>
        <v>6.8029802326707703E-2</v>
      </c>
      <c r="AL632" s="27">
        <f t="shared" si="137"/>
        <v>6.832885199784397E-2</v>
      </c>
      <c r="AM632" s="27">
        <f t="shared" si="137"/>
        <v>6.8536860196676486E-2</v>
      </c>
      <c r="AN632" s="27">
        <f t="shared" si="137"/>
        <v>6.9183502710306752E-2</v>
      </c>
      <c r="AO632" s="27">
        <f t="shared" si="137"/>
        <v>6.9675032882043061E-2</v>
      </c>
      <c r="AP632" s="27">
        <f t="shared" si="137"/>
        <v>7.0172767589129104E-2</v>
      </c>
      <c r="AQ632" s="27">
        <f t="shared" si="137"/>
        <v>7.0682400691608652E-2</v>
      </c>
      <c r="AR632" s="27">
        <f t="shared" si="137"/>
        <v>7.1214209104559126E-2</v>
      </c>
      <c r="AS632" s="27">
        <f t="shared" si="137"/>
        <v>7.1760235084501689E-2</v>
      </c>
      <c r="AT632" s="27">
        <f t="shared" si="137"/>
        <v>7.0683135236036573E-2</v>
      </c>
      <c r="AU632" s="27">
        <f t="shared" si="137"/>
        <v>6.9462962253632216E-2</v>
      </c>
      <c r="AV632" s="27">
        <f t="shared" si="137"/>
        <v>6.8048390377341353E-2</v>
      </c>
      <c r="AW632" s="27">
        <f t="shared" si="137"/>
        <v>6.658948684711255E-2</v>
      </c>
      <c r="AY632" s="79"/>
      <c r="AZ632" s="79"/>
    </row>
    <row r="633" spans="1:52" x14ac:dyDescent="0.3">
      <c r="A633" s="95" t="str">
        <f t="shared" si="133"/>
        <v>NI Cattle MMCH4</v>
      </c>
      <c r="B633" s="95" t="s">
        <v>969</v>
      </c>
      <c r="C633" s="95" t="s">
        <v>1229</v>
      </c>
      <c r="D633" t="s">
        <v>15</v>
      </c>
      <c r="E633" t="s">
        <v>22</v>
      </c>
      <c r="F633" t="s">
        <v>67</v>
      </c>
      <c r="G633" t="s">
        <v>135</v>
      </c>
      <c r="H633" t="s">
        <v>1227</v>
      </c>
      <c r="I633" t="s">
        <v>121</v>
      </c>
      <c r="J633" t="s">
        <v>286</v>
      </c>
      <c r="K633" s="27">
        <f t="shared" si="135"/>
        <v>0.47107022937833831</v>
      </c>
      <c r="L633" s="27">
        <f t="shared" si="137"/>
        <v>0.48695387967725939</v>
      </c>
      <c r="M633" s="27">
        <f t="shared" si="137"/>
        <v>0.50580611066616787</v>
      </c>
      <c r="N633" s="27">
        <f t="shared" si="137"/>
        <v>0.51986569055899412</v>
      </c>
      <c r="O633" s="27">
        <f t="shared" si="137"/>
        <v>0.5307082628613855</v>
      </c>
      <c r="P633" s="27">
        <f t="shared" si="137"/>
        <v>0.53817886796858128</v>
      </c>
      <c r="Q633" s="27">
        <f t="shared" si="137"/>
        <v>0.54837935702304741</v>
      </c>
      <c r="R633" s="27">
        <f t="shared" si="137"/>
        <v>0.55907244781022658</v>
      </c>
      <c r="S633" s="27">
        <f t="shared" si="137"/>
        <v>0.5116979963243764</v>
      </c>
      <c r="T633" s="27">
        <f t="shared" si="137"/>
        <v>0.53253794371544794</v>
      </c>
      <c r="U633" s="27">
        <f t="shared" si="137"/>
        <v>0.56144831136588025</v>
      </c>
      <c r="V633" s="27">
        <f t="shared" si="137"/>
        <v>0.57794253443008525</v>
      </c>
      <c r="W633" s="27">
        <f t="shared" si="137"/>
        <v>0.59624482437454274</v>
      </c>
      <c r="X633" s="27">
        <f t="shared" si="137"/>
        <v>0.61691451225743765</v>
      </c>
      <c r="Y633" s="27">
        <f t="shared" si="137"/>
        <v>0.63912634684399761</v>
      </c>
      <c r="Z633" s="27">
        <f t="shared" si="137"/>
        <v>0.66333849990898774</v>
      </c>
      <c r="AA633" s="27">
        <f t="shared" si="137"/>
        <v>0.68823157042214766</v>
      </c>
      <c r="AB633" s="27">
        <f t="shared" si="137"/>
        <v>0.71506797281834467</v>
      </c>
      <c r="AC633" s="27">
        <f t="shared" si="137"/>
        <v>0.74251772868278199</v>
      </c>
      <c r="AD633" s="27">
        <f t="shared" si="137"/>
        <v>0.7750525944257971</v>
      </c>
      <c r="AE633" s="27">
        <f t="shared" si="137"/>
        <v>0.80751598640792854</v>
      </c>
      <c r="AF633" s="27">
        <f t="shared" si="137"/>
        <v>0.84174152680537817</v>
      </c>
      <c r="AG633" s="27">
        <f t="shared" si="137"/>
        <v>0.88000003569074847</v>
      </c>
      <c r="AH633" s="27">
        <f t="shared" si="137"/>
        <v>0.91704807287784318</v>
      </c>
      <c r="AI633" s="27">
        <f t="shared" si="137"/>
        <v>0.95623961354371867</v>
      </c>
      <c r="AJ633" s="27">
        <f t="shared" si="137"/>
        <v>0.99805792050769693</v>
      </c>
      <c r="AK633" s="27">
        <f t="shared" si="137"/>
        <v>1.0381239689146564</v>
      </c>
      <c r="AL633" s="27">
        <f t="shared" si="137"/>
        <v>1.0784102253675423</v>
      </c>
      <c r="AM633" s="27">
        <f t="shared" si="137"/>
        <v>1.1190041069207182</v>
      </c>
      <c r="AN633" s="27">
        <f t="shared" si="137"/>
        <v>1.1614327193697984</v>
      </c>
      <c r="AO633" s="27">
        <f t="shared" si="137"/>
        <v>1.2028013950684227</v>
      </c>
      <c r="AP633" s="27">
        <f t="shared" si="137"/>
        <v>1.2458253070355789</v>
      </c>
      <c r="AQ633" s="27">
        <f t="shared" si="137"/>
        <v>1.2906949248380046</v>
      </c>
      <c r="AR633" s="27">
        <f t="shared" si="137"/>
        <v>1.3377043131160224</v>
      </c>
      <c r="AS633" s="27">
        <f t="shared" si="137"/>
        <v>1.3868240533486631</v>
      </c>
      <c r="AT633" s="27">
        <f t="shared" si="137"/>
        <v>1.4056131138026084</v>
      </c>
      <c r="AU633" s="27">
        <f t="shared" si="137"/>
        <v>1.4216407980502102</v>
      </c>
      <c r="AV633" s="27">
        <f t="shared" si="137"/>
        <v>1.4335765692204958</v>
      </c>
      <c r="AW633" s="27">
        <f t="shared" si="137"/>
        <v>1.4443117800465477</v>
      </c>
      <c r="AY633" s="79"/>
      <c r="AZ633" s="79"/>
    </row>
    <row r="634" spans="1:52" x14ac:dyDescent="0.3">
      <c r="A634" s="95" t="str">
        <f t="shared" si="133"/>
        <v>NI Sheep MMCH4</v>
      </c>
      <c r="B634" s="95" t="s">
        <v>969</v>
      </c>
      <c r="C634" s="95" t="s">
        <v>1324</v>
      </c>
      <c r="D634" t="s">
        <v>15</v>
      </c>
      <c r="E634" t="s">
        <v>22</v>
      </c>
      <c r="F634" t="s">
        <v>18</v>
      </c>
      <c r="G634" t="s">
        <v>122</v>
      </c>
      <c r="H634" t="s">
        <v>1227</v>
      </c>
      <c r="I634" t="s">
        <v>121</v>
      </c>
      <c r="J634" t="s">
        <v>286</v>
      </c>
      <c r="K634" s="27">
        <f t="shared" si="135"/>
        <v>3.6054675351507588E-2</v>
      </c>
      <c r="L634" s="27">
        <f t="shared" si="137"/>
        <v>3.6074169999743479E-2</v>
      </c>
      <c r="M634" s="27">
        <f t="shared" si="137"/>
        <v>3.6120780972302438E-2</v>
      </c>
      <c r="N634" s="27">
        <f t="shared" si="137"/>
        <v>3.6189509224973292E-2</v>
      </c>
      <c r="O634" s="27">
        <f t="shared" si="137"/>
        <v>3.6279918010713667E-2</v>
      </c>
      <c r="P634" s="27">
        <f t="shared" si="137"/>
        <v>3.6391052650159628E-2</v>
      </c>
      <c r="Q634" s="27">
        <f t="shared" si="137"/>
        <v>3.6515872019705298E-2</v>
      </c>
      <c r="R634" s="27">
        <f t="shared" si="137"/>
        <v>3.6653588090719266E-2</v>
      </c>
      <c r="S634" s="27">
        <f t="shared" si="137"/>
        <v>3.6779521855622693E-2</v>
      </c>
      <c r="T634" s="27">
        <f t="shared" si="137"/>
        <v>3.6834860200729257E-2</v>
      </c>
      <c r="U634" s="27">
        <f t="shared" si="137"/>
        <v>3.6902440208564632E-2</v>
      </c>
      <c r="V634" s="27">
        <f t="shared" si="137"/>
        <v>3.697347207185564E-2</v>
      </c>
      <c r="W634" s="27">
        <f t="shared" si="137"/>
        <v>3.7053220502968609E-2</v>
      </c>
      <c r="X634" s="27">
        <f t="shared" si="137"/>
        <v>3.714146236421613E-2</v>
      </c>
      <c r="Y634" s="27">
        <f t="shared" si="137"/>
        <v>3.7196571628197998E-2</v>
      </c>
      <c r="Z634" s="27">
        <f t="shared" si="137"/>
        <v>3.7258831126487216E-2</v>
      </c>
      <c r="AA634" s="27">
        <f t="shared" si="137"/>
        <v>3.7327399595166219E-2</v>
      </c>
      <c r="AB634" s="27">
        <f t="shared" si="137"/>
        <v>3.7402465573387562E-2</v>
      </c>
      <c r="AC634" s="27">
        <f t="shared" si="137"/>
        <v>3.7483254267417832E-2</v>
      </c>
      <c r="AD634" s="27">
        <f t="shared" si="137"/>
        <v>3.7537448557312683E-2</v>
      </c>
      <c r="AE634" s="27">
        <f t="shared" si="137"/>
        <v>3.759628261627642E-2</v>
      </c>
      <c r="AF634" s="27">
        <f t="shared" ref="L634:AW641" si="138">AF1399</f>
        <v>3.7660229373785575E-2</v>
      </c>
      <c r="AG634" s="27">
        <f t="shared" si="138"/>
        <v>3.7729913053341259E-2</v>
      </c>
      <c r="AH634" s="27">
        <f t="shared" si="138"/>
        <v>3.7803241196451468E-2</v>
      </c>
      <c r="AI634" s="27">
        <f t="shared" si="138"/>
        <v>3.7850112312391396E-2</v>
      </c>
      <c r="AJ634" s="27">
        <f t="shared" si="138"/>
        <v>3.7901451820370476E-2</v>
      </c>
      <c r="AK634" s="27">
        <f t="shared" si="138"/>
        <v>3.7955566436191537E-2</v>
      </c>
      <c r="AL634" s="27">
        <f t="shared" si="138"/>
        <v>3.8013032265109208E-2</v>
      </c>
      <c r="AM634" s="27">
        <f t="shared" si="138"/>
        <v>3.8073762176342195E-2</v>
      </c>
      <c r="AN634" s="27">
        <f t="shared" si="138"/>
        <v>3.8109645900532299E-2</v>
      </c>
      <c r="AO634" s="27">
        <f t="shared" si="138"/>
        <v>3.8147952211549679E-2</v>
      </c>
      <c r="AP634" s="27">
        <f t="shared" si="138"/>
        <v>3.8189503844275732E-2</v>
      </c>
      <c r="AQ634" s="27">
        <f t="shared" si="138"/>
        <v>3.8234260627096527E-2</v>
      </c>
      <c r="AR634" s="27">
        <f t="shared" si="138"/>
        <v>3.8282221632507191E-2</v>
      </c>
      <c r="AS634" s="27">
        <f t="shared" si="138"/>
        <v>3.8303980390956796E-2</v>
      </c>
      <c r="AT634" s="27">
        <f t="shared" si="138"/>
        <v>3.8318002472277804E-2</v>
      </c>
      <c r="AU634" s="27">
        <f t="shared" si="138"/>
        <v>3.8333373323501507E-2</v>
      </c>
      <c r="AV634" s="27">
        <f t="shared" si="138"/>
        <v>3.8349609063517129E-2</v>
      </c>
      <c r="AW634" s="27">
        <f t="shared" si="138"/>
        <v>3.8367594097231859E-2</v>
      </c>
      <c r="AY634" s="79"/>
      <c r="AZ634" s="79"/>
    </row>
    <row r="635" spans="1:52" x14ac:dyDescent="0.3">
      <c r="A635" s="95" t="str">
        <f t="shared" si="133"/>
        <v>NI Sheep MMCH4</v>
      </c>
      <c r="B635" s="95" t="s">
        <v>969</v>
      </c>
      <c r="C635" s="95" t="s">
        <v>1324</v>
      </c>
      <c r="D635" t="s">
        <v>15</v>
      </c>
      <c r="E635" t="s">
        <v>22</v>
      </c>
      <c r="F635" t="s">
        <v>18</v>
      </c>
      <c r="G635" t="s">
        <v>123</v>
      </c>
      <c r="H635" t="s">
        <v>1227</v>
      </c>
      <c r="I635" t="s">
        <v>121</v>
      </c>
      <c r="J635" t="s">
        <v>286</v>
      </c>
      <c r="K635" s="27">
        <f t="shared" si="135"/>
        <v>4.1176157807460215E-3</v>
      </c>
      <c r="L635" s="27">
        <f t="shared" si="138"/>
        <v>4.1198421624963379E-3</v>
      </c>
      <c r="M635" s="27">
        <f t="shared" si="138"/>
        <v>4.1251653577350569E-3</v>
      </c>
      <c r="N635" s="27">
        <f t="shared" si="138"/>
        <v>4.1330144517851795E-3</v>
      </c>
      <c r="O635" s="27">
        <f t="shared" si="138"/>
        <v>4.1433395660526989E-3</v>
      </c>
      <c r="P635" s="27">
        <f t="shared" si="138"/>
        <v>4.1560316716037502E-3</v>
      </c>
      <c r="Q635" s="27">
        <f t="shared" si="138"/>
        <v>4.1702866385608306E-3</v>
      </c>
      <c r="R635" s="27">
        <f t="shared" si="138"/>
        <v>4.1860144702980757E-3</v>
      </c>
      <c r="S635" s="27">
        <f t="shared" si="138"/>
        <v>4.2003967065168081E-3</v>
      </c>
      <c r="T635" s="27">
        <f t="shared" si="138"/>
        <v>4.2067166092997236E-3</v>
      </c>
      <c r="U635" s="27">
        <f t="shared" si="138"/>
        <v>4.2144345683164958E-3</v>
      </c>
      <c r="V635" s="27">
        <f t="shared" si="138"/>
        <v>4.2225467456796619E-3</v>
      </c>
      <c r="W635" s="27">
        <f t="shared" si="138"/>
        <v>4.2316543966358575E-3</v>
      </c>
      <c r="X635" s="27">
        <f t="shared" si="138"/>
        <v>4.2417320377975895E-3</v>
      </c>
      <c r="Y635" s="27">
        <f t="shared" si="138"/>
        <v>4.2480257784241436E-3</v>
      </c>
      <c r="Z635" s="27">
        <f t="shared" si="138"/>
        <v>4.2551361098903872E-3</v>
      </c>
      <c r="AA635" s="27">
        <f t="shared" si="138"/>
        <v>4.2629669558470248E-3</v>
      </c>
      <c r="AB635" s="27">
        <f t="shared" si="138"/>
        <v>4.2715398483639559E-3</v>
      </c>
      <c r="AC635" s="27">
        <f t="shared" si="138"/>
        <v>4.2807663023037507E-3</v>
      </c>
      <c r="AD635" s="27">
        <f t="shared" si="138"/>
        <v>4.2869555485283185E-3</v>
      </c>
      <c r="AE635" s="27">
        <f t="shared" si="138"/>
        <v>4.2936746784961411E-3</v>
      </c>
      <c r="AF635" s="27">
        <f t="shared" si="138"/>
        <v>4.3009777030076704E-3</v>
      </c>
      <c r="AG635" s="27">
        <f t="shared" si="138"/>
        <v>4.3089359113621063E-3</v>
      </c>
      <c r="AH635" s="27">
        <f t="shared" si="138"/>
        <v>4.3173103348259087E-3</v>
      </c>
      <c r="AI635" s="27">
        <f t="shared" si="138"/>
        <v>4.3226632396787153E-3</v>
      </c>
      <c r="AJ635" s="27">
        <f t="shared" si="138"/>
        <v>4.3285264562011056E-3</v>
      </c>
      <c r="AK635" s="27">
        <f t="shared" si="138"/>
        <v>4.3347066032666795E-3</v>
      </c>
      <c r="AL635" s="27">
        <f t="shared" si="138"/>
        <v>4.3412694748415342E-3</v>
      </c>
      <c r="AM635" s="27">
        <f t="shared" si="138"/>
        <v>4.3482051201751372E-3</v>
      </c>
      <c r="AN635" s="27">
        <f t="shared" si="138"/>
        <v>4.3523032125184075E-3</v>
      </c>
      <c r="AO635" s="27">
        <f t="shared" si="138"/>
        <v>4.3566779758246795E-3</v>
      </c>
      <c r="AP635" s="27">
        <f t="shared" si="138"/>
        <v>4.361423370338997E-3</v>
      </c>
      <c r="AQ635" s="27">
        <f t="shared" si="138"/>
        <v>4.3665348082715704E-3</v>
      </c>
      <c r="AR635" s="27">
        <f t="shared" si="138"/>
        <v>4.3720121836969238E-3</v>
      </c>
      <c r="AS635" s="27">
        <f t="shared" si="138"/>
        <v>4.3744971376255895E-3</v>
      </c>
      <c r="AT635" s="27">
        <f t="shared" si="138"/>
        <v>4.3760985261490854E-3</v>
      </c>
      <c r="AU635" s="27">
        <f t="shared" si="138"/>
        <v>4.3778539506244196E-3</v>
      </c>
      <c r="AV635" s="27">
        <f t="shared" si="138"/>
        <v>4.3797081495223055E-3</v>
      </c>
      <c r="AW635" s="27">
        <f t="shared" si="138"/>
        <v>4.381762126098687E-3</v>
      </c>
      <c r="AY635" s="79"/>
      <c r="AZ635" s="79"/>
    </row>
    <row r="636" spans="1:52" x14ac:dyDescent="0.3">
      <c r="A636" s="95" t="str">
        <f t="shared" si="133"/>
        <v>NI Goats MMCH4</v>
      </c>
      <c r="B636" s="95" t="s">
        <v>969</v>
      </c>
      <c r="C636" s="95" t="s">
        <v>1325</v>
      </c>
      <c r="D636" t="s">
        <v>15</v>
      </c>
      <c r="E636" t="s">
        <v>22</v>
      </c>
      <c r="F636" t="s">
        <v>19</v>
      </c>
      <c r="G636" t="s">
        <v>122</v>
      </c>
      <c r="H636" t="s">
        <v>1227</v>
      </c>
      <c r="I636" t="s">
        <v>121</v>
      </c>
      <c r="J636" t="s">
        <v>286</v>
      </c>
      <c r="K636" s="27">
        <f t="shared" si="135"/>
        <v>1.5789672763163301E-2</v>
      </c>
      <c r="L636" s="27">
        <f t="shared" si="138"/>
        <v>1.5830718290757027E-2</v>
      </c>
      <c r="M636" s="27">
        <f t="shared" si="138"/>
        <v>1.588733914557475E-2</v>
      </c>
      <c r="N636" s="27">
        <f t="shared" si="138"/>
        <v>1.5956318300360577E-2</v>
      </c>
      <c r="O636" s="27">
        <f t="shared" si="138"/>
        <v>1.6037557372574476E-2</v>
      </c>
      <c r="P636" s="27">
        <f t="shared" si="138"/>
        <v>1.6130561898613765E-2</v>
      </c>
      <c r="Q636" s="27">
        <f t="shared" si="138"/>
        <v>1.6230654784419023E-2</v>
      </c>
      <c r="R636" s="27">
        <f t="shared" si="138"/>
        <v>1.6337439810579345E-2</v>
      </c>
      <c r="S636" s="27">
        <f t="shared" si="138"/>
        <v>1.6434281735880792E-2</v>
      </c>
      <c r="T636" s="27">
        <f t="shared" si="138"/>
        <v>1.6481585221637597E-2</v>
      </c>
      <c r="U636" s="27">
        <f t="shared" si="138"/>
        <v>1.6535805571967339E-2</v>
      </c>
      <c r="V636" s="27">
        <f t="shared" si="138"/>
        <v>1.6591075188605784E-2</v>
      </c>
      <c r="W636" s="27">
        <f t="shared" si="138"/>
        <v>1.6651019239861981E-2</v>
      </c>
      <c r="X636" s="27">
        <f t="shared" si="138"/>
        <v>1.6715538656301921E-2</v>
      </c>
      <c r="Y636" s="27">
        <f t="shared" si="138"/>
        <v>1.675682826181454E-2</v>
      </c>
      <c r="Z636" s="27">
        <f t="shared" si="138"/>
        <v>1.6802001380323034E-2</v>
      </c>
      <c r="AA636" s="27">
        <f t="shared" si="138"/>
        <v>1.6850529656754189E-2</v>
      </c>
      <c r="AB636" s="27">
        <f t="shared" si="138"/>
        <v>1.6902568919116488E-2</v>
      </c>
      <c r="AC636" s="27">
        <f t="shared" si="138"/>
        <v>1.6957630528557751E-2</v>
      </c>
      <c r="AD636" s="27">
        <f t="shared" si="138"/>
        <v>1.6994350372716287E-2</v>
      </c>
      <c r="AE636" s="27">
        <f t="shared" si="138"/>
        <v>1.7033509901620177E-2</v>
      </c>
      <c r="AF636" s="27">
        <f t="shared" si="138"/>
        <v>1.7075440579577206E-2</v>
      </c>
      <c r="AG636" s="27">
        <f t="shared" si="138"/>
        <v>1.7120568284346587E-2</v>
      </c>
      <c r="AH636" s="27">
        <f t="shared" si="138"/>
        <v>1.7167529660259997E-2</v>
      </c>
      <c r="AI636" s="27">
        <f t="shared" si="138"/>
        <v>1.7196614048621731E-2</v>
      </c>
      <c r="AJ636" s="27">
        <f t="shared" si="138"/>
        <v>1.7228175905563897E-2</v>
      </c>
      <c r="AK636" s="27">
        <f t="shared" si="138"/>
        <v>1.7261117551388462E-2</v>
      </c>
      <c r="AL636" s="27">
        <f t="shared" si="138"/>
        <v>1.7295827028863175E-2</v>
      </c>
      <c r="AM636" s="27">
        <f t="shared" si="138"/>
        <v>1.7332256815907665E-2</v>
      </c>
      <c r="AN636" s="27">
        <f t="shared" si="138"/>
        <v>1.7352159823168515E-2</v>
      </c>
      <c r="AO636" s="27">
        <f t="shared" si="138"/>
        <v>1.7373316667964631E-2</v>
      </c>
      <c r="AP636" s="27">
        <f t="shared" si="138"/>
        <v>1.7396267425724934E-2</v>
      </c>
      <c r="AQ636" s="27">
        <f t="shared" si="138"/>
        <v>1.7420990177436466E-2</v>
      </c>
      <c r="AR636" s="27">
        <f t="shared" si="138"/>
        <v>1.7447487775150525E-2</v>
      </c>
      <c r="AS636" s="27">
        <f t="shared" si="138"/>
        <v>1.7456827369575736E-2</v>
      </c>
      <c r="AT636" s="27">
        <f t="shared" si="138"/>
        <v>1.746097508558354E-2</v>
      </c>
      <c r="AU636" s="27">
        <f t="shared" si="138"/>
        <v>1.746579683409127E-2</v>
      </c>
      <c r="AV636" s="27">
        <f t="shared" si="138"/>
        <v>1.7470987825332424E-2</v>
      </c>
      <c r="AW636" s="27">
        <f t="shared" si="138"/>
        <v>1.7477120152816387E-2</v>
      </c>
      <c r="AY636" s="79"/>
      <c r="AZ636" s="79"/>
    </row>
    <row r="637" spans="1:52" x14ac:dyDescent="0.3">
      <c r="A637" s="95" t="str">
        <f t="shared" si="133"/>
        <v>NI Goats MMCH4</v>
      </c>
      <c r="B637" s="95" t="s">
        <v>969</v>
      </c>
      <c r="C637" s="95" t="s">
        <v>1325</v>
      </c>
      <c r="D637" t="s">
        <v>15</v>
      </c>
      <c r="E637" t="s">
        <v>22</v>
      </c>
      <c r="F637" t="s">
        <v>19</v>
      </c>
      <c r="G637" t="s">
        <v>123</v>
      </c>
      <c r="H637" t="s">
        <v>1227</v>
      </c>
      <c r="I637" t="s">
        <v>121</v>
      </c>
      <c r="J637" t="s">
        <v>286</v>
      </c>
      <c r="K637" s="27">
        <f t="shared" si="135"/>
        <v>2.6592218800664803E-2</v>
      </c>
      <c r="L637" s="27">
        <f t="shared" si="138"/>
        <v>2.6661345733624896E-2</v>
      </c>
      <c r="M637" s="27">
        <f t="shared" si="138"/>
        <v>2.6756703894783639E-2</v>
      </c>
      <c r="N637" s="27">
        <f t="shared" si="138"/>
        <v>2.6872875319249704E-2</v>
      </c>
      <c r="O637" s="27">
        <f t="shared" si="138"/>
        <v>2.7009694315810229E-2</v>
      </c>
      <c r="P637" s="27">
        <f t="shared" si="138"/>
        <v>2.7166328132291764E-2</v>
      </c>
      <c r="Q637" s="27">
        <f t="shared" si="138"/>
        <v>2.7334899828466052E-2</v>
      </c>
      <c r="R637" s="27">
        <f t="shared" si="138"/>
        <v>2.7514742110372921E-2</v>
      </c>
      <c r="S637" s="27">
        <f t="shared" si="138"/>
        <v>2.7677838692887386E-2</v>
      </c>
      <c r="T637" s="27">
        <f t="shared" si="138"/>
        <v>2.7757504982502564E-2</v>
      </c>
      <c r="U637" s="27">
        <f t="shared" si="138"/>
        <v>2.7848820327731318E-2</v>
      </c>
      <c r="V637" s="27">
        <f t="shared" si="138"/>
        <v>2.7941902797566111E-2</v>
      </c>
      <c r="W637" s="27">
        <f t="shared" si="138"/>
        <v>2.804285772872351E-2</v>
      </c>
      <c r="X637" s="27">
        <f t="shared" si="138"/>
        <v>2.8151518273156369E-2</v>
      </c>
      <c r="Y637" s="27">
        <f t="shared" si="138"/>
        <v>2.82210562705838E-2</v>
      </c>
      <c r="Z637" s="27">
        <f t="shared" si="138"/>
        <v>2.8297134696609751E-2</v>
      </c>
      <c r="AA637" s="27">
        <f t="shared" si="138"/>
        <v>2.8378863720651775E-2</v>
      </c>
      <c r="AB637" s="27">
        <f t="shared" si="138"/>
        <v>2.8466505780859123E-2</v>
      </c>
      <c r="AC637" s="27">
        <f t="shared" si="138"/>
        <v>2.8559237934827175E-2</v>
      </c>
      <c r="AD637" s="27">
        <f t="shared" si="138"/>
        <v>2.8621079756683557E-2</v>
      </c>
      <c r="AE637" s="27">
        <f t="shared" si="138"/>
        <v>2.8687030380003167E-2</v>
      </c>
      <c r="AF637" s="27">
        <f t="shared" si="138"/>
        <v>2.8757648041269384E-2</v>
      </c>
      <c r="AG637" s="27">
        <f t="shared" si="138"/>
        <v>2.8833649983627477E-2</v>
      </c>
      <c r="AH637" s="27">
        <f t="shared" si="138"/>
        <v>2.8912740108052549E-2</v>
      </c>
      <c r="AI637" s="27">
        <f t="shared" si="138"/>
        <v>2.8961722657000817E-2</v>
      </c>
      <c r="AJ637" s="27">
        <f t="shared" si="138"/>
        <v>2.9014877641157257E-2</v>
      </c>
      <c r="AK637" s="27">
        <f t="shared" si="138"/>
        <v>2.9070356400379201E-2</v>
      </c>
      <c r="AL637" s="27">
        <f t="shared" si="138"/>
        <v>2.9128812457911796E-2</v>
      </c>
      <c r="AM637" s="27">
        <f t="shared" si="138"/>
        <v>2.9190165779318728E-2</v>
      </c>
      <c r="AN637" s="27">
        <f t="shared" si="138"/>
        <v>2.9223685481203028E-2</v>
      </c>
      <c r="AO637" s="27">
        <f t="shared" si="138"/>
        <v>2.9259316836861168E-2</v>
      </c>
      <c r="AP637" s="27">
        <f t="shared" si="138"/>
        <v>2.9297969415743415E-2</v>
      </c>
      <c r="AQ637" s="27">
        <f t="shared" si="138"/>
        <v>2.9339606302886588E-2</v>
      </c>
      <c r="AR637" s="27">
        <f t="shared" si="138"/>
        <v>2.9384232301580378E-2</v>
      </c>
      <c r="AS637" s="27">
        <f t="shared" si="138"/>
        <v>2.939996160402952E-2</v>
      </c>
      <c r="AT637" s="27">
        <f t="shared" si="138"/>
        <v>2.9406946990823593E-2</v>
      </c>
      <c r="AU637" s="27">
        <f t="shared" si="138"/>
        <v>2.9415067551220409E-2</v>
      </c>
      <c r="AV637" s="27">
        <f t="shared" si="138"/>
        <v>2.9423809972735263E-2</v>
      </c>
      <c r="AW637" s="27">
        <f t="shared" si="138"/>
        <v>2.9434137748152581E-2</v>
      </c>
      <c r="AY637" s="79"/>
      <c r="AZ637" s="79"/>
    </row>
    <row r="638" spans="1:52" x14ac:dyDescent="0.3">
      <c r="A638" s="95" t="str">
        <f t="shared" si="133"/>
        <v>NI Horses MMCH4</v>
      </c>
      <c r="B638" s="95" t="s">
        <v>969</v>
      </c>
      <c r="C638" s="95" t="s">
        <v>1326</v>
      </c>
      <c r="D638" t="s">
        <v>15</v>
      </c>
      <c r="E638" t="s">
        <v>22</v>
      </c>
      <c r="F638" t="s">
        <v>20</v>
      </c>
      <c r="G638" t="s">
        <v>3</v>
      </c>
      <c r="H638" t="s">
        <v>1227</v>
      </c>
      <c r="I638" t="s">
        <v>121</v>
      </c>
      <c r="J638" t="s">
        <v>286</v>
      </c>
      <c r="K638" s="27">
        <f t="shared" si="135"/>
        <v>4.1336182129460552E-3</v>
      </c>
      <c r="L638" s="27">
        <f t="shared" si="138"/>
        <v>4.1536453250924071E-3</v>
      </c>
      <c r="M638" s="27">
        <f t="shared" si="138"/>
        <v>4.1840370126470534E-3</v>
      </c>
      <c r="N638" s="27">
        <f t="shared" si="138"/>
        <v>4.1905340987284569E-3</v>
      </c>
      <c r="O638" s="27">
        <f t="shared" si="138"/>
        <v>4.1812329246154589E-3</v>
      </c>
      <c r="P638" s="27">
        <f t="shared" si="138"/>
        <v>4.1564738854214548E-3</v>
      </c>
      <c r="Q638" s="27">
        <f t="shared" si="138"/>
        <v>4.1427460620707141E-3</v>
      </c>
      <c r="R638" s="27">
        <f t="shared" si="138"/>
        <v>4.1304087921358321E-3</v>
      </c>
      <c r="S638" s="27">
        <f t="shared" si="138"/>
        <v>3.8942776940038416E-3</v>
      </c>
      <c r="T638" s="27">
        <f t="shared" si="138"/>
        <v>3.9425050527123239E-3</v>
      </c>
      <c r="U638" s="27">
        <f t="shared" si="138"/>
        <v>4.0191071248696416E-3</v>
      </c>
      <c r="V638" s="27">
        <f t="shared" si="138"/>
        <v>4.0473828533201294E-3</v>
      </c>
      <c r="W638" s="27">
        <f t="shared" si="138"/>
        <v>4.0809840197269919E-3</v>
      </c>
      <c r="X638" s="27">
        <f t="shared" si="138"/>
        <v>4.1216678621320202E-3</v>
      </c>
      <c r="Y638" s="27">
        <f t="shared" si="138"/>
        <v>4.1703472412361522E-3</v>
      </c>
      <c r="Z638" s="27">
        <f t="shared" si="138"/>
        <v>4.2244482436929265E-3</v>
      </c>
      <c r="AA638" s="27">
        <f t="shared" si="138"/>
        <v>4.2791921283487086E-3</v>
      </c>
      <c r="AB638" s="27">
        <f t="shared" si="138"/>
        <v>4.3388287504468421E-3</v>
      </c>
      <c r="AC638" s="27">
        <f t="shared" si="138"/>
        <v>4.3986726547954836E-3</v>
      </c>
      <c r="AD638" s="27">
        <f t="shared" si="138"/>
        <v>4.4704656017983358E-3</v>
      </c>
      <c r="AE638" s="27">
        <f t="shared" si="138"/>
        <v>4.539631463046338E-3</v>
      </c>
      <c r="AF638" s="27">
        <f t="shared" si="138"/>
        <v>4.6121605087864415E-3</v>
      </c>
      <c r="AG638" s="27">
        <f t="shared" si="138"/>
        <v>4.6951125632471334E-3</v>
      </c>
      <c r="AH638" s="27">
        <f t="shared" si="138"/>
        <v>4.7715465683054572E-3</v>
      </c>
      <c r="AI638" s="27">
        <f t="shared" si="138"/>
        <v>4.855932813312959E-3</v>
      </c>
      <c r="AJ638" s="27">
        <f t="shared" si="138"/>
        <v>4.945901658536307E-3</v>
      </c>
      <c r="AK638" s="27">
        <f t="shared" si="138"/>
        <v>5.0279520878702428E-3</v>
      </c>
      <c r="AL638" s="27">
        <f t="shared" si="138"/>
        <v>5.1082371551630715E-3</v>
      </c>
      <c r="AM638" s="27">
        <f t="shared" si="138"/>
        <v>5.1870452828056204E-3</v>
      </c>
      <c r="AN638" s="27">
        <f t="shared" si="138"/>
        <v>5.27706789842347E-3</v>
      </c>
      <c r="AO638" s="27">
        <f t="shared" si="138"/>
        <v>5.3619473096130918E-3</v>
      </c>
      <c r="AP638" s="27">
        <f t="shared" si="138"/>
        <v>5.4495970329020271E-3</v>
      </c>
      <c r="AQ638" s="27">
        <f t="shared" si="138"/>
        <v>5.5404524678757516E-3</v>
      </c>
      <c r="AR638" s="27">
        <f t="shared" si="138"/>
        <v>5.6352215326777718E-3</v>
      </c>
      <c r="AS638" s="27">
        <f t="shared" si="138"/>
        <v>5.7381722103153144E-3</v>
      </c>
      <c r="AT638" s="27">
        <f t="shared" si="138"/>
        <v>5.7552832935457467E-3</v>
      </c>
      <c r="AU638" s="27">
        <f t="shared" si="138"/>
        <v>5.7642783755128633E-3</v>
      </c>
      <c r="AV638" s="27">
        <f t="shared" si="138"/>
        <v>5.7617518385425876E-3</v>
      </c>
      <c r="AW638" s="27">
        <f t="shared" si="138"/>
        <v>5.7557818048942742E-3</v>
      </c>
      <c r="AY638" s="79"/>
      <c r="AZ638" s="79"/>
    </row>
    <row r="639" spans="1:52" x14ac:dyDescent="0.3">
      <c r="A639" s="95" t="str">
        <f t="shared" si="133"/>
        <v>NI Mules MMCH4</v>
      </c>
      <c r="B639" s="95" t="s">
        <v>969</v>
      </c>
      <c r="C639" s="95" t="s">
        <v>1327</v>
      </c>
      <c r="D639" t="s">
        <v>15</v>
      </c>
      <c r="E639" t="s">
        <v>22</v>
      </c>
      <c r="F639" t="s">
        <v>140</v>
      </c>
      <c r="G639" t="s">
        <v>124</v>
      </c>
      <c r="H639" t="s">
        <v>1227</v>
      </c>
      <c r="I639" t="s">
        <v>121</v>
      </c>
      <c r="J639" t="s">
        <v>286</v>
      </c>
      <c r="K639" s="27">
        <f t="shared" si="135"/>
        <v>7.515E-4</v>
      </c>
      <c r="L639" s="27">
        <f t="shared" si="138"/>
        <v>7.515E-4</v>
      </c>
      <c r="M639" s="27">
        <f t="shared" si="138"/>
        <v>7.515E-4</v>
      </c>
      <c r="N639" s="27">
        <f t="shared" si="138"/>
        <v>7.515E-4</v>
      </c>
      <c r="O639" s="27">
        <f t="shared" si="138"/>
        <v>7.515E-4</v>
      </c>
      <c r="P639" s="27">
        <f t="shared" si="138"/>
        <v>7.515E-4</v>
      </c>
      <c r="Q639" s="27">
        <f t="shared" si="138"/>
        <v>7.515E-4</v>
      </c>
      <c r="R639" s="27">
        <f t="shared" si="138"/>
        <v>7.515E-4</v>
      </c>
      <c r="S639" s="27">
        <f t="shared" si="138"/>
        <v>7.515E-4</v>
      </c>
      <c r="T639" s="27">
        <f t="shared" si="138"/>
        <v>7.515E-4</v>
      </c>
      <c r="U639" s="27">
        <f t="shared" si="138"/>
        <v>7.515E-4</v>
      </c>
      <c r="V639" s="27">
        <f t="shared" si="138"/>
        <v>7.515E-4</v>
      </c>
      <c r="W639" s="27">
        <f t="shared" si="138"/>
        <v>7.515E-4</v>
      </c>
      <c r="X639" s="27">
        <f t="shared" si="138"/>
        <v>7.515E-4</v>
      </c>
      <c r="Y639" s="27">
        <f t="shared" si="138"/>
        <v>7.515E-4</v>
      </c>
      <c r="Z639" s="27">
        <f t="shared" si="138"/>
        <v>7.515E-4</v>
      </c>
      <c r="AA639" s="27">
        <f t="shared" si="138"/>
        <v>7.515E-4</v>
      </c>
      <c r="AB639" s="27">
        <f t="shared" si="138"/>
        <v>7.515E-4</v>
      </c>
      <c r="AC639" s="27">
        <f t="shared" si="138"/>
        <v>7.515E-4</v>
      </c>
      <c r="AD639" s="27">
        <f t="shared" si="138"/>
        <v>7.515E-4</v>
      </c>
      <c r="AE639" s="27">
        <f t="shared" si="138"/>
        <v>7.515E-4</v>
      </c>
      <c r="AF639" s="27">
        <f t="shared" si="138"/>
        <v>7.515E-4</v>
      </c>
      <c r="AG639" s="27">
        <f t="shared" si="138"/>
        <v>7.515E-4</v>
      </c>
      <c r="AH639" s="27">
        <f t="shared" si="138"/>
        <v>7.515E-4</v>
      </c>
      <c r="AI639" s="27">
        <f t="shared" si="138"/>
        <v>7.515E-4</v>
      </c>
      <c r="AJ639" s="27">
        <f t="shared" si="138"/>
        <v>7.515E-4</v>
      </c>
      <c r="AK639" s="27">
        <f t="shared" si="138"/>
        <v>7.515E-4</v>
      </c>
      <c r="AL639" s="27">
        <f t="shared" si="138"/>
        <v>7.515E-4</v>
      </c>
      <c r="AM639" s="27">
        <f t="shared" si="138"/>
        <v>7.515E-4</v>
      </c>
      <c r="AN639" s="27">
        <f t="shared" si="138"/>
        <v>7.515E-4</v>
      </c>
      <c r="AO639" s="27">
        <f t="shared" si="138"/>
        <v>7.515E-4</v>
      </c>
      <c r="AP639" s="27">
        <f t="shared" si="138"/>
        <v>7.515E-4</v>
      </c>
      <c r="AQ639" s="27">
        <f t="shared" si="138"/>
        <v>7.515E-4</v>
      </c>
      <c r="AR639" s="27">
        <f t="shared" si="138"/>
        <v>7.515E-4</v>
      </c>
      <c r="AS639" s="27">
        <f t="shared" si="138"/>
        <v>7.515E-4</v>
      </c>
      <c r="AT639" s="27">
        <f t="shared" si="138"/>
        <v>7.515E-4</v>
      </c>
      <c r="AU639" s="27">
        <f t="shared" si="138"/>
        <v>7.515E-4</v>
      </c>
      <c r="AV639" s="27">
        <f t="shared" si="138"/>
        <v>7.515E-4</v>
      </c>
      <c r="AW639" s="27">
        <f t="shared" si="138"/>
        <v>7.515E-4</v>
      </c>
      <c r="AY639" s="79"/>
      <c r="AZ639" s="79"/>
    </row>
    <row r="640" spans="1:52" x14ac:dyDescent="0.3">
      <c r="A640" s="95" t="str">
        <f t="shared" si="133"/>
        <v>NI Swine MMCH4</v>
      </c>
      <c r="B640" s="95" t="s">
        <v>969</v>
      </c>
      <c r="C640" s="95" t="s">
        <v>1230</v>
      </c>
      <c r="D640" t="s">
        <v>15</v>
      </c>
      <c r="E640" t="s">
        <v>22</v>
      </c>
      <c r="F640" t="s">
        <v>21</v>
      </c>
      <c r="G640" t="s">
        <v>122</v>
      </c>
      <c r="H640" t="s">
        <v>1227</v>
      </c>
      <c r="I640" t="s">
        <v>121</v>
      </c>
      <c r="J640" t="s">
        <v>286</v>
      </c>
      <c r="K640" s="27">
        <f t="shared" si="135"/>
        <v>23.279067868377393</v>
      </c>
      <c r="L640" s="27">
        <f t="shared" si="138"/>
        <v>23.152530650802596</v>
      </c>
      <c r="M640" s="27">
        <f t="shared" si="138"/>
        <v>23.162916433064304</v>
      </c>
      <c r="N640" s="27">
        <f t="shared" si="138"/>
        <v>22.950263110497293</v>
      </c>
      <c r="O640" s="27">
        <f t="shared" si="138"/>
        <v>22.602951186820601</v>
      </c>
      <c r="P640" s="27">
        <f t="shared" si="138"/>
        <v>22.126532811374943</v>
      </c>
      <c r="Q640" s="27">
        <f t="shared" si="138"/>
        <v>21.780600237355962</v>
      </c>
      <c r="R640" s="27">
        <f t="shared" si="138"/>
        <v>21.465278056857681</v>
      </c>
      <c r="S640" s="27">
        <f t="shared" si="138"/>
        <v>18.952765181798245</v>
      </c>
      <c r="T640" s="27">
        <f t="shared" si="138"/>
        <v>19.192435731964196</v>
      </c>
      <c r="U640" s="27">
        <f t="shared" si="138"/>
        <v>19.706721684105471</v>
      </c>
      <c r="V640" s="27">
        <f t="shared" si="138"/>
        <v>19.753416176775058</v>
      </c>
      <c r="W640" s="27">
        <f t="shared" si="138"/>
        <v>19.854535695194098</v>
      </c>
      <c r="X640" s="27">
        <f t="shared" si="138"/>
        <v>20.024553174699502</v>
      </c>
      <c r="Y640" s="27">
        <f t="shared" si="138"/>
        <v>20.23789112840667</v>
      </c>
      <c r="Z640" s="27">
        <f t="shared" si="138"/>
        <v>20.499318704805695</v>
      </c>
      <c r="AA640" s="27">
        <f t="shared" si="138"/>
        <v>20.763803414840964</v>
      </c>
      <c r="AB640" s="27">
        <f t="shared" si="138"/>
        <v>21.06916344985618</v>
      </c>
      <c r="AC640" s="27">
        <f t="shared" si="138"/>
        <v>21.372415897013145</v>
      </c>
      <c r="AD640" s="27">
        <f t="shared" si="138"/>
        <v>21.74943786655458</v>
      </c>
      <c r="AE640" s="27">
        <f t="shared" si="138"/>
        <v>22.096514126462726</v>
      </c>
      <c r="AF640" s="27">
        <f t="shared" si="138"/>
        <v>22.465831015653421</v>
      </c>
      <c r="AG640" s="27">
        <f t="shared" si="138"/>
        <v>22.916349440576454</v>
      </c>
      <c r="AH640" s="27">
        <f t="shared" si="138"/>
        <v>23.303196681672105</v>
      </c>
      <c r="AI640" s="27">
        <f t="shared" si="138"/>
        <v>23.720738750345618</v>
      </c>
      <c r="AJ640" s="27">
        <f t="shared" si="138"/>
        <v>24.1739099146189</v>
      </c>
      <c r="AK640" s="27">
        <f t="shared" si="138"/>
        <v>24.551957379803568</v>
      </c>
      <c r="AL640" s="27">
        <f t="shared" si="138"/>
        <v>24.90648475217996</v>
      </c>
      <c r="AM640" s="27">
        <f t="shared" si="138"/>
        <v>25.240351368122212</v>
      </c>
      <c r="AN640" s="27">
        <f t="shared" si="138"/>
        <v>25.625854072975109</v>
      </c>
      <c r="AO640" s="27">
        <f t="shared" si="138"/>
        <v>25.960227974531257</v>
      </c>
      <c r="AP640" s="27">
        <f t="shared" si="138"/>
        <v>26.305386782253809</v>
      </c>
      <c r="AQ640" s="27">
        <f t="shared" si="138"/>
        <v>26.663933949781747</v>
      </c>
      <c r="AR640" s="27">
        <f t="shared" si="138"/>
        <v>27.040355797157176</v>
      </c>
      <c r="AS640" s="27">
        <f t="shared" si="138"/>
        <v>27.435623697912018</v>
      </c>
      <c r="AT640" s="27">
        <f t="shared" si="138"/>
        <v>27.195097752022821</v>
      </c>
      <c r="AU640" s="27">
        <f t="shared" si="138"/>
        <v>26.898987311246398</v>
      </c>
      <c r="AV640" s="27">
        <f t="shared" si="138"/>
        <v>26.52534739576117</v>
      </c>
      <c r="AW640" s="27">
        <f t="shared" si="138"/>
        <v>26.133382968648512</v>
      </c>
      <c r="AY640" s="79"/>
      <c r="AZ640" s="79"/>
    </row>
    <row r="641" spans="1:52" x14ac:dyDescent="0.3">
      <c r="A641" s="95" t="str">
        <f t="shared" si="133"/>
        <v>NI Swine MMCH4</v>
      </c>
      <c r="B641" s="95" t="s">
        <v>969</v>
      </c>
      <c r="C641" s="95" t="s">
        <v>1230</v>
      </c>
      <c r="D641" t="s">
        <v>15</v>
      </c>
      <c r="E641" t="s">
        <v>22</v>
      </c>
      <c r="F641" t="s">
        <v>21</v>
      </c>
      <c r="G641" t="s">
        <v>123</v>
      </c>
      <c r="H641" t="s">
        <v>1227</v>
      </c>
      <c r="I641" t="s">
        <v>121</v>
      </c>
      <c r="J641" t="s">
        <v>286</v>
      </c>
      <c r="K641" s="27">
        <f t="shared" si="135"/>
        <v>7.7932061732677776E-2</v>
      </c>
      <c r="L641" s="27">
        <f t="shared" si="138"/>
        <v>7.7508449141861113E-2</v>
      </c>
      <c r="M641" s="27">
        <f t="shared" si="138"/>
        <v>7.7543217949140597E-2</v>
      </c>
      <c r="N641" s="27">
        <f t="shared" si="138"/>
        <v>7.6831311787104617E-2</v>
      </c>
      <c r="O641" s="27">
        <f t="shared" si="138"/>
        <v>7.5668604825232008E-2</v>
      </c>
      <c r="P641" s="27">
        <f t="shared" si="138"/>
        <v>7.4073684167079379E-2</v>
      </c>
      <c r="Q641" s="27">
        <f t="shared" si="138"/>
        <v>7.2915594897087016E-2</v>
      </c>
      <c r="R641" s="27">
        <f t="shared" si="138"/>
        <v>7.1859980996426681E-2</v>
      </c>
      <c r="S641" s="27">
        <f t="shared" si="138"/>
        <v>6.344876326252144E-2</v>
      </c>
      <c r="T641" s="27">
        <f t="shared" si="138"/>
        <v>6.4251115840238279E-2</v>
      </c>
      <c r="U641" s="27">
        <f t="shared" ref="L641:AW647" si="139">U1406</f>
        <v>6.5972806966237654E-2</v>
      </c>
      <c r="V641" s="27">
        <f t="shared" si="139"/>
        <v>6.6129127576060945E-2</v>
      </c>
      <c r="W641" s="27">
        <f t="shared" si="139"/>
        <v>6.6467648542465979E-2</v>
      </c>
      <c r="X641" s="27">
        <f t="shared" si="139"/>
        <v>6.7036821362587692E-2</v>
      </c>
      <c r="Y641" s="27">
        <f t="shared" si="139"/>
        <v>6.775101948564978E-2</v>
      </c>
      <c r="Z641" s="27">
        <f t="shared" si="139"/>
        <v>6.8626208738834141E-2</v>
      </c>
      <c r="AA641" s="27">
        <f t="shared" si="139"/>
        <v>6.951163245366497E-2</v>
      </c>
      <c r="AB641" s="27">
        <f t="shared" si="139"/>
        <v>7.0533895769105751E-2</v>
      </c>
      <c r="AC641" s="27">
        <f t="shared" si="139"/>
        <v>7.1549103446923737E-2</v>
      </c>
      <c r="AD641" s="27">
        <f t="shared" si="139"/>
        <v>7.2811271656192611E-2</v>
      </c>
      <c r="AE641" s="27">
        <f t="shared" si="139"/>
        <v>7.3973189679115328E-2</v>
      </c>
      <c r="AF641" s="27">
        <f t="shared" si="139"/>
        <v>7.5209563350521091E-2</v>
      </c>
      <c r="AG641" s="27">
        <f t="shared" si="139"/>
        <v>7.6717777936316622E-2</v>
      </c>
      <c r="AH641" s="27">
        <f t="shared" si="139"/>
        <v>7.801283851368343E-2</v>
      </c>
      <c r="AI641" s="27">
        <f t="shared" si="139"/>
        <v>7.9410657122909484E-2</v>
      </c>
      <c r="AJ641" s="27">
        <f t="shared" si="139"/>
        <v>8.0927752366984504E-2</v>
      </c>
      <c r="AK641" s="27">
        <f t="shared" si="139"/>
        <v>8.2193353660010307E-2</v>
      </c>
      <c r="AL641" s="27">
        <f t="shared" si="139"/>
        <v>8.3380216004592958E-2</v>
      </c>
      <c r="AM641" s="27">
        <f t="shared" si="139"/>
        <v>8.4497911690313968E-2</v>
      </c>
      <c r="AN641" s="27">
        <f t="shared" si="139"/>
        <v>8.5788471121755847E-2</v>
      </c>
      <c r="AO641" s="27">
        <f t="shared" si="139"/>
        <v>8.6907865063352116E-2</v>
      </c>
      <c r="AP641" s="27">
        <f t="shared" si="139"/>
        <v>8.8063363971774958E-2</v>
      </c>
      <c r="AQ641" s="27">
        <f t="shared" si="139"/>
        <v>8.9263683509990727E-2</v>
      </c>
      <c r="AR641" s="27">
        <f t="shared" si="139"/>
        <v>9.0523842671562632E-2</v>
      </c>
      <c r="AS641" s="27">
        <f t="shared" si="139"/>
        <v>9.1847093353967207E-2</v>
      </c>
      <c r="AT641" s="27">
        <f t="shared" si="139"/>
        <v>9.1041877141302144E-2</v>
      </c>
      <c r="AU641" s="27">
        <f t="shared" si="139"/>
        <v>9.0050578981051232E-2</v>
      </c>
      <c r="AV641" s="27">
        <f t="shared" si="139"/>
        <v>8.8799732979655169E-2</v>
      </c>
      <c r="AW641" s="27">
        <f t="shared" si="139"/>
        <v>8.7487541439019989E-2</v>
      </c>
      <c r="AY641" s="79"/>
      <c r="AZ641" s="79"/>
    </row>
    <row r="642" spans="1:52" x14ac:dyDescent="0.3">
      <c r="A642" s="95" t="str">
        <f t="shared" si="133"/>
        <v>NI Poultry MMCH4</v>
      </c>
      <c r="B642" s="95" t="s">
        <v>969</v>
      </c>
      <c r="C642" s="95" t="s">
        <v>1231</v>
      </c>
      <c r="D642" t="s">
        <v>15</v>
      </c>
      <c r="E642" t="s">
        <v>22</v>
      </c>
      <c r="F642" t="s">
        <v>28</v>
      </c>
      <c r="G642" t="s">
        <v>131</v>
      </c>
      <c r="H642" t="s">
        <v>1227</v>
      </c>
      <c r="I642" t="s">
        <v>121</v>
      </c>
      <c r="J642" t="s">
        <v>286</v>
      </c>
      <c r="K642" s="27">
        <f t="shared" si="135"/>
        <v>0.55586528215230246</v>
      </c>
      <c r="L642" s="27">
        <f t="shared" si="139"/>
        <v>0.56716712532642333</v>
      </c>
      <c r="M642" s="27">
        <f t="shared" si="139"/>
        <v>0.58037790885594753</v>
      </c>
      <c r="N642" s="27">
        <f t="shared" si="139"/>
        <v>0.5905201523722613</v>
      </c>
      <c r="O642" s="27">
        <f t="shared" si="139"/>
        <v>0.5986618277459016</v>
      </c>
      <c r="P642" s="27">
        <f t="shared" si="139"/>
        <v>0.60475451589519691</v>
      </c>
      <c r="Q642" s="27">
        <f t="shared" si="139"/>
        <v>0.61256702388185857</v>
      </c>
      <c r="R642" s="27">
        <f t="shared" si="139"/>
        <v>0.6206898695388976</v>
      </c>
      <c r="S642" s="27">
        <f t="shared" si="139"/>
        <v>0.59306384026239212</v>
      </c>
      <c r="T642" s="27">
        <f t="shared" si="139"/>
        <v>0.60782510553672808</v>
      </c>
      <c r="U642" s="27">
        <f t="shared" si="139"/>
        <v>0.62749693593989653</v>
      </c>
      <c r="V642" s="27">
        <f t="shared" si="139"/>
        <v>0.63952779473480192</v>
      </c>
      <c r="W642" s="27">
        <f t="shared" si="139"/>
        <v>0.65264407206550135</v>
      </c>
      <c r="X642" s="27">
        <f t="shared" si="139"/>
        <v>0.66717765079794833</v>
      </c>
      <c r="Y642" s="27">
        <f t="shared" si="139"/>
        <v>0.68218893777565714</v>
      </c>
      <c r="Z642" s="27">
        <f t="shared" si="139"/>
        <v>0.6983681341066772</v>
      </c>
      <c r="AA642" s="27">
        <f t="shared" si="139"/>
        <v>0.71491117725499365</v>
      </c>
      <c r="AB642" s="27">
        <f t="shared" si="139"/>
        <v>0.73257463286693114</v>
      </c>
      <c r="AC642" s="27">
        <f t="shared" si="139"/>
        <v>0.7505526685248175</v>
      </c>
      <c r="AD642" s="27">
        <f t="shared" si="139"/>
        <v>0.76994977468450398</v>
      </c>
      <c r="AE642" s="27">
        <f t="shared" si="139"/>
        <v>0.78914658446111008</v>
      </c>
      <c r="AF642" s="27">
        <f t="shared" si="139"/>
        <v>0.80922915626502845</v>
      </c>
      <c r="AG642" s="27">
        <f t="shared" si="139"/>
        <v>0.83151801683952153</v>
      </c>
      <c r="AH642" s="27">
        <f t="shared" si="139"/>
        <v>0.85291597213422199</v>
      </c>
      <c r="AI642" s="27">
        <f t="shared" si="139"/>
        <v>0.87504492147223956</v>
      </c>
      <c r="AJ642" s="27">
        <f t="shared" si="139"/>
        <v>0.89850514567918238</v>
      </c>
      <c r="AK642" s="27">
        <f t="shared" si="139"/>
        <v>0.92075676441275556</v>
      </c>
      <c r="AL642" s="27">
        <f t="shared" si="139"/>
        <v>0.94294773672658772</v>
      </c>
      <c r="AM642" s="27">
        <f t="shared" si="139"/>
        <v>0.96512911525862388</v>
      </c>
      <c r="AN642" s="27">
        <f t="shared" si="139"/>
        <v>0.98866250207381989</v>
      </c>
      <c r="AO642" s="27">
        <f t="shared" si="139"/>
        <v>1.0114465581050009</v>
      </c>
      <c r="AP642" s="27">
        <f t="shared" si="139"/>
        <v>1.0350196328361636</v>
      </c>
      <c r="AQ642" s="27">
        <f t="shared" si="139"/>
        <v>1.0594801323783987</v>
      </c>
      <c r="AR642" s="27">
        <f t="shared" si="139"/>
        <v>1.0849829625275211</v>
      </c>
      <c r="AS642" s="27">
        <f t="shared" si="139"/>
        <v>1.1111668702046387</v>
      </c>
      <c r="AT642" s="27">
        <f t="shared" si="139"/>
        <v>1.1203381651267506</v>
      </c>
      <c r="AU642" s="27">
        <f t="shared" si="139"/>
        <v>1.1279342308342708</v>
      </c>
      <c r="AV642" s="27">
        <f t="shared" si="139"/>
        <v>1.13323884791937</v>
      </c>
      <c r="AW642" s="27">
        <f t="shared" si="139"/>
        <v>1.137864963271239</v>
      </c>
      <c r="AY642" s="79"/>
      <c r="AZ642" s="79"/>
    </row>
    <row r="643" spans="1:52" x14ac:dyDescent="0.3">
      <c r="A643" s="95" t="str">
        <f t="shared" si="133"/>
        <v>NI Poultry MMCH4</v>
      </c>
      <c r="B643" s="95" t="s">
        <v>969</v>
      </c>
      <c r="C643" s="95" t="s">
        <v>1231</v>
      </c>
      <c r="D643" t="s">
        <v>15</v>
      </c>
      <c r="E643" t="s">
        <v>22</v>
      </c>
      <c r="F643" t="s">
        <v>28</v>
      </c>
      <c r="G643" t="s">
        <v>132</v>
      </c>
      <c r="H643" t="s">
        <v>1227</v>
      </c>
      <c r="I643" t="s">
        <v>121</v>
      </c>
      <c r="J643" t="s">
        <v>286</v>
      </c>
      <c r="K643" s="27">
        <f t="shared" si="135"/>
        <v>2.2100196981344111</v>
      </c>
      <c r="L643" s="27">
        <f t="shared" si="139"/>
        <v>2.2391217074451477</v>
      </c>
      <c r="M643" s="27">
        <f t="shared" si="139"/>
        <v>2.2858678822724823</v>
      </c>
      <c r="N643" s="27">
        <f t="shared" si="139"/>
        <v>2.2992900748078591</v>
      </c>
      <c r="O643" s="27">
        <f t="shared" si="139"/>
        <v>2.2910596881616572</v>
      </c>
      <c r="P643" s="27">
        <f t="shared" si="139"/>
        <v>2.2612642885898917</v>
      </c>
      <c r="Q643" s="27">
        <f t="shared" si="139"/>
        <v>2.2487211059946204</v>
      </c>
      <c r="R643" s="27">
        <f t="shared" si="139"/>
        <v>2.2390235702415184</v>
      </c>
      <c r="S643" s="27">
        <f t="shared" si="139"/>
        <v>1.8873806466050964</v>
      </c>
      <c r="T643" s="27">
        <f t="shared" si="139"/>
        <v>1.9621300984115682</v>
      </c>
      <c r="U643" s="27">
        <f t="shared" si="139"/>
        <v>2.0814254172868796</v>
      </c>
      <c r="V643" s="27">
        <f t="shared" si="139"/>
        <v>2.1274151344864149</v>
      </c>
      <c r="W643" s="27">
        <f t="shared" si="139"/>
        <v>2.1824506881567056</v>
      </c>
      <c r="X643" s="27">
        <f t="shared" si="139"/>
        <v>2.2493281606911828</v>
      </c>
      <c r="Y643" s="27">
        <f t="shared" si="139"/>
        <v>2.3261233859270511</v>
      </c>
      <c r="Z643" s="27">
        <f t="shared" si="139"/>
        <v>2.4121225146398793</v>
      </c>
      <c r="AA643" s="27">
        <f t="shared" si="139"/>
        <v>2.4999478814416944</v>
      </c>
      <c r="AB643" s="27">
        <f t="shared" si="139"/>
        <v>2.5962654285530302</v>
      </c>
      <c r="AC643" s="27">
        <f t="shared" si="139"/>
        <v>2.6938179504840183</v>
      </c>
      <c r="AD643" s="27">
        <f t="shared" si="139"/>
        <v>2.8076989520027458</v>
      </c>
      <c r="AE643" s="27">
        <f t="shared" si="139"/>
        <v>2.9182147779075716</v>
      </c>
      <c r="AF643" s="27">
        <f t="shared" si="139"/>
        <v>3.0347920342807941</v>
      </c>
      <c r="AG643" s="27">
        <f t="shared" si="139"/>
        <v>3.1685994721864104</v>
      </c>
      <c r="AH643" s="27">
        <f t="shared" si="139"/>
        <v>3.2930349508119656</v>
      </c>
      <c r="AI643" s="27">
        <f t="shared" si="139"/>
        <v>3.427074485424797</v>
      </c>
      <c r="AJ643" s="27">
        <f t="shared" si="139"/>
        <v>3.5705841120118782</v>
      </c>
      <c r="AK643" s="27">
        <f t="shared" si="139"/>
        <v>3.702270113838861</v>
      </c>
      <c r="AL643" s="27">
        <f t="shared" si="139"/>
        <v>3.8318633402397859</v>
      </c>
      <c r="AM643" s="27">
        <f t="shared" si="139"/>
        <v>3.9598368656050509</v>
      </c>
      <c r="AN643" s="27">
        <f t="shared" si="139"/>
        <v>4.1020537482739581</v>
      </c>
      <c r="AO643" s="27">
        <f t="shared" si="139"/>
        <v>4.2366042379514601</v>
      </c>
      <c r="AP643" s="27">
        <f t="shared" si="139"/>
        <v>4.376057584996432</v>
      </c>
      <c r="AQ643" s="27">
        <f t="shared" si="139"/>
        <v>4.5211331273416295</v>
      </c>
      <c r="AR643" s="27">
        <f t="shared" si="139"/>
        <v>4.67298612402322</v>
      </c>
      <c r="AS643" s="27">
        <f t="shared" si="139"/>
        <v>4.8333405314076359</v>
      </c>
      <c r="AT643" s="27">
        <f t="shared" si="139"/>
        <v>4.8577536687430269</v>
      </c>
      <c r="AU643" s="27">
        <f t="shared" si="139"/>
        <v>4.8696640260341857</v>
      </c>
      <c r="AV643" s="27">
        <f t="shared" si="139"/>
        <v>4.8636695672494161</v>
      </c>
      <c r="AW643" s="27">
        <f t="shared" si="139"/>
        <v>4.8525780818062749</v>
      </c>
      <c r="AY643" s="79"/>
      <c r="AZ643" s="79"/>
    </row>
    <row r="644" spans="1:52" x14ac:dyDescent="0.3">
      <c r="A644" s="95" t="str">
        <f t="shared" si="133"/>
        <v>NI Poultry MMCH4</v>
      </c>
      <c r="B644" s="95" t="s">
        <v>969</v>
      </c>
      <c r="C644" s="95" t="s">
        <v>1231</v>
      </c>
      <c r="D644" t="s">
        <v>15</v>
      </c>
      <c r="E644" t="s">
        <v>22</v>
      </c>
      <c r="F644" t="s">
        <v>28</v>
      </c>
      <c r="G644" t="s">
        <v>134</v>
      </c>
      <c r="H644" t="s">
        <v>1227</v>
      </c>
      <c r="I644" t="s">
        <v>121</v>
      </c>
      <c r="J644" t="s">
        <v>286</v>
      </c>
      <c r="K644" s="27">
        <f t="shared" si="135"/>
        <v>2.3161053423012622E-2</v>
      </c>
      <c r="L644" s="27">
        <f t="shared" si="139"/>
        <v>2.3631963555267657E-2</v>
      </c>
      <c r="M644" s="27">
        <f t="shared" si="139"/>
        <v>2.4182412868997839E-2</v>
      </c>
      <c r="N644" s="27">
        <f t="shared" si="139"/>
        <v>2.460500634884424E-2</v>
      </c>
      <c r="O644" s="27">
        <f t="shared" si="139"/>
        <v>2.4944242822745925E-2</v>
      </c>
      <c r="P644" s="27">
        <f t="shared" si="139"/>
        <v>2.5198104828966561E-2</v>
      </c>
      <c r="Q644" s="27">
        <f t="shared" si="139"/>
        <v>2.5523625995077459E-2</v>
      </c>
      <c r="R644" s="27">
        <f t="shared" si="139"/>
        <v>2.5862077897454098E-2</v>
      </c>
      <c r="S644" s="27">
        <f t="shared" si="139"/>
        <v>2.4710993344266366E-2</v>
      </c>
      <c r="T644" s="27">
        <f t="shared" si="139"/>
        <v>2.5326046064030362E-2</v>
      </c>
      <c r="U644" s="27">
        <f t="shared" si="139"/>
        <v>2.6145705664162376E-2</v>
      </c>
      <c r="V644" s="27">
        <f t="shared" si="139"/>
        <v>2.6646991447283438E-2</v>
      </c>
      <c r="W644" s="27">
        <f t="shared" si="139"/>
        <v>2.7193503002729248E-2</v>
      </c>
      <c r="X644" s="27">
        <f t="shared" si="139"/>
        <v>2.7799068783247873E-2</v>
      </c>
      <c r="Y644" s="27">
        <f t="shared" si="139"/>
        <v>2.842453907398574E-2</v>
      </c>
      <c r="Z644" s="27">
        <f t="shared" si="139"/>
        <v>2.9098672254444909E-2</v>
      </c>
      <c r="AA644" s="27">
        <f t="shared" si="139"/>
        <v>2.9787965718958094E-2</v>
      </c>
      <c r="AB644" s="27">
        <f t="shared" si="139"/>
        <v>3.0523943036122159E-2</v>
      </c>
      <c r="AC644" s="27">
        <f t="shared" si="139"/>
        <v>3.1273027855200759E-2</v>
      </c>
      <c r="AD644" s="27">
        <f t="shared" si="139"/>
        <v>3.2081240611854363E-2</v>
      </c>
      <c r="AE644" s="27">
        <f t="shared" si="139"/>
        <v>3.2881107685879617E-2</v>
      </c>
      <c r="AF644" s="27">
        <f t="shared" si="139"/>
        <v>3.3717881511042887E-2</v>
      </c>
      <c r="AG644" s="27">
        <f t="shared" si="139"/>
        <v>3.4646584034980096E-2</v>
      </c>
      <c r="AH644" s="27">
        <f t="shared" si="139"/>
        <v>3.5538165505592613E-2</v>
      </c>
      <c r="AI644" s="27">
        <f t="shared" si="139"/>
        <v>3.6460205061343343E-2</v>
      </c>
      <c r="AJ644" s="27">
        <f t="shared" si="139"/>
        <v>3.7437714403299294E-2</v>
      </c>
      <c r="AK644" s="27">
        <f t="shared" si="139"/>
        <v>3.8364865183864859E-2</v>
      </c>
      <c r="AL644" s="27">
        <f t="shared" si="139"/>
        <v>3.9289489030274523E-2</v>
      </c>
      <c r="AM644" s="27">
        <f t="shared" si="139"/>
        <v>4.0213713135776041E-2</v>
      </c>
      <c r="AN644" s="27">
        <f t="shared" si="139"/>
        <v>4.1194270919742537E-2</v>
      </c>
      <c r="AO644" s="27">
        <f t="shared" si="139"/>
        <v>4.2143606587708417E-2</v>
      </c>
      <c r="AP644" s="27">
        <f t="shared" si="139"/>
        <v>4.312581803484019E-2</v>
      </c>
      <c r="AQ644" s="27">
        <f t="shared" si="139"/>
        <v>4.4145005515766646E-2</v>
      </c>
      <c r="AR644" s="27">
        <f t="shared" si="139"/>
        <v>4.5207623438646753E-2</v>
      </c>
      <c r="AS644" s="27">
        <f t="shared" si="139"/>
        <v>4.6298619591859998E-2</v>
      </c>
      <c r="AT644" s="27">
        <f t="shared" si="139"/>
        <v>4.6680756880281324E-2</v>
      </c>
      <c r="AU644" s="27">
        <f t="shared" si="139"/>
        <v>4.6997259618094658E-2</v>
      </c>
      <c r="AV644" s="27">
        <f t="shared" si="139"/>
        <v>4.721828532997379E-2</v>
      </c>
      <c r="AW644" s="27">
        <f t="shared" si="139"/>
        <v>4.7411040136301673E-2</v>
      </c>
      <c r="AY644" s="79"/>
      <c r="AZ644" s="79"/>
    </row>
    <row r="645" spans="1:52" x14ac:dyDescent="0.3">
      <c r="A645" s="95" t="str">
        <f t="shared" si="133"/>
        <v>NI Poultry MMCH4</v>
      </c>
      <c r="B645" s="95" t="s">
        <v>969</v>
      </c>
      <c r="C645" s="95" t="s">
        <v>1231</v>
      </c>
      <c r="D645" t="s">
        <v>15</v>
      </c>
      <c r="E645" t="s">
        <v>22</v>
      </c>
      <c r="F645" t="s">
        <v>28</v>
      </c>
      <c r="G645" t="s">
        <v>133</v>
      </c>
      <c r="H645" t="s">
        <v>1227</v>
      </c>
      <c r="I645" t="s">
        <v>121</v>
      </c>
      <c r="J645" t="s">
        <v>286</v>
      </c>
      <c r="K645" s="27">
        <f t="shared" si="135"/>
        <v>9.2084154088933862E-2</v>
      </c>
      <c r="L645" s="27">
        <f t="shared" si="139"/>
        <v>9.3296737810214581E-2</v>
      </c>
      <c r="M645" s="27">
        <f t="shared" si="139"/>
        <v>9.5244495094686854E-2</v>
      </c>
      <c r="N645" s="27">
        <f t="shared" si="139"/>
        <v>9.5803753116994225E-2</v>
      </c>
      <c r="O645" s="27">
        <f t="shared" si="139"/>
        <v>9.5460820340069155E-2</v>
      </c>
      <c r="P645" s="27">
        <f t="shared" si="139"/>
        <v>9.4219345357912251E-2</v>
      </c>
      <c r="Q645" s="27">
        <f t="shared" si="139"/>
        <v>9.3696712749775937E-2</v>
      </c>
      <c r="R645" s="27">
        <f t="shared" si="139"/>
        <v>9.3292648760063338E-2</v>
      </c>
      <c r="S645" s="27">
        <f t="shared" si="139"/>
        <v>7.8640860275212429E-2</v>
      </c>
      <c r="T645" s="27">
        <f t="shared" si="139"/>
        <v>8.1755420767148743E-2</v>
      </c>
      <c r="U645" s="27">
        <f t="shared" si="139"/>
        <v>8.6726059053620061E-2</v>
      </c>
      <c r="V645" s="27">
        <f t="shared" si="139"/>
        <v>8.8642297270267373E-2</v>
      </c>
      <c r="W645" s="27">
        <f t="shared" si="139"/>
        <v>9.0935445339862836E-2</v>
      </c>
      <c r="X645" s="27">
        <f t="shared" si="139"/>
        <v>9.3722006695466042E-2</v>
      </c>
      <c r="Y645" s="27">
        <f t="shared" si="139"/>
        <v>9.6921807746960562E-2</v>
      </c>
      <c r="Z645" s="27">
        <f t="shared" si="139"/>
        <v>0.10050510477666173</v>
      </c>
      <c r="AA645" s="27">
        <f t="shared" si="139"/>
        <v>0.10416449506007071</v>
      </c>
      <c r="AB645" s="27">
        <f t="shared" si="139"/>
        <v>0.10817772618970968</v>
      </c>
      <c r="AC645" s="27">
        <f t="shared" si="139"/>
        <v>0.11224241460350089</v>
      </c>
      <c r="AD645" s="27">
        <f t="shared" si="139"/>
        <v>0.11698745633344786</v>
      </c>
      <c r="AE645" s="27">
        <f t="shared" si="139"/>
        <v>0.12159228241281558</v>
      </c>
      <c r="AF645" s="27">
        <f t="shared" si="139"/>
        <v>0.12644966809503322</v>
      </c>
      <c r="AG645" s="27">
        <f t="shared" si="139"/>
        <v>0.13202497800776722</v>
      </c>
      <c r="AH645" s="27">
        <f t="shared" si="139"/>
        <v>0.13720978961716535</v>
      </c>
      <c r="AI645" s="27">
        <f t="shared" si="139"/>
        <v>0.14279477022603335</v>
      </c>
      <c r="AJ645" s="27">
        <f t="shared" si="139"/>
        <v>0.14877433800049503</v>
      </c>
      <c r="AK645" s="27">
        <f t="shared" si="139"/>
        <v>0.15426125474328603</v>
      </c>
      <c r="AL645" s="27">
        <f t="shared" si="139"/>
        <v>0.15966097250999123</v>
      </c>
      <c r="AM645" s="27">
        <f t="shared" si="139"/>
        <v>0.16499320273354395</v>
      </c>
      <c r="AN645" s="27">
        <f t="shared" si="139"/>
        <v>0.17091890617808173</v>
      </c>
      <c r="AO645" s="27">
        <f t="shared" si="139"/>
        <v>0.17652517658131101</v>
      </c>
      <c r="AP645" s="27">
        <f t="shared" si="139"/>
        <v>0.18233573270818484</v>
      </c>
      <c r="AQ645" s="27">
        <f t="shared" si="139"/>
        <v>0.18838054697256806</v>
      </c>
      <c r="AR645" s="27">
        <f t="shared" si="139"/>
        <v>0.19470775516763436</v>
      </c>
      <c r="AS645" s="27">
        <f t="shared" si="139"/>
        <v>0.2013891888086517</v>
      </c>
      <c r="AT645" s="27">
        <f t="shared" si="139"/>
        <v>0.20240640286429301</v>
      </c>
      <c r="AU645" s="27">
        <f t="shared" si="139"/>
        <v>0.20290266775142457</v>
      </c>
      <c r="AV645" s="27">
        <f t="shared" si="139"/>
        <v>0.20265289863539254</v>
      </c>
      <c r="AW645" s="27">
        <f t="shared" si="139"/>
        <v>0.20219075340859499</v>
      </c>
      <c r="AY645" s="79"/>
      <c r="AZ645" s="79"/>
    </row>
    <row r="646" spans="1:52" x14ac:dyDescent="0.3">
      <c r="A646" s="95" t="str">
        <f t="shared" si="133"/>
        <v>NI Cattle MMN2O</v>
      </c>
      <c r="B646" s="95" t="s">
        <v>969</v>
      </c>
      <c r="C646" s="95" t="s">
        <v>1232</v>
      </c>
      <c r="D646" t="s">
        <v>15</v>
      </c>
      <c r="E646" t="s">
        <v>657</v>
      </c>
      <c r="F646" t="s">
        <v>6</v>
      </c>
      <c r="G646" t="s">
        <v>136</v>
      </c>
      <c r="H646" t="s">
        <v>1227</v>
      </c>
      <c r="I646" t="s">
        <v>139</v>
      </c>
      <c r="J646" t="s">
        <v>287</v>
      </c>
      <c r="K646" s="27">
        <f t="shared" si="135"/>
        <v>5.9474079071945893E-2</v>
      </c>
      <c r="L646" s="27">
        <f t="shared" si="139"/>
        <v>5.9806569587962516E-2</v>
      </c>
      <c r="M646" s="27">
        <f t="shared" si="139"/>
        <v>6.0278316688762053E-2</v>
      </c>
      <c r="N646" s="27">
        <f t="shared" si="139"/>
        <v>6.0581464452445992E-2</v>
      </c>
      <c r="O646" s="27">
        <f t="shared" si="139"/>
        <v>6.078290752789528E-2</v>
      </c>
      <c r="P646" s="27">
        <f t="shared" si="139"/>
        <v>6.0880663265441157E-2</v>
      </c>
      <c r="Q646" s="27">
        <f t="shared" si="139"/>
        <v>6.1096642070638009E-2</v>
      </c>
      <c r="R646" s="27">
        <f t="shared" si="139"/>
        <v>6.1344406036983767E-2</v>
      </c>
      <c r="S646" s="27">
        <f t="shared" si="139"/>
        <v>5.9500417755247011E-2</v>
      </c>
      <c r="T646" s="27">
        <f t="shared" si="139"/>
        <v>6.0126071727634615E-2</v>
      </c>
      <c r="U646" s="27">
        <f t="shared" si="139"/>
        <v>6.104186359289164E-2</v>
      </c>
      <c r="V646" s="27">
        <f t="shared" si="139"/>
        <v>6.1516540546796637E-2</v>
      </c>
      <c r="W646" s="27">
        <f t="shared" si="139"/>
        <v>6.2059033118034318E-2</v>
      </c>
      <c r="X646" s="27">
        <f t="shared" si="139"/>
        <v>6.2686911431302672E-2</v>
      </c>
      <c r="Y646" s="27">
        <f t="shared" si="139"/>
        <v>6.3328093657155735E-2</v>
      </c>
      <c r="Z646" s="27">
        <f t="shared" si="139"/>
        <v>6.403779969028206E-2</v>
      </c>
      <c r="AA646" s="27">
        <f t="shared" si="139"/>
        <v>6.476949047597555E-2</v>
      </c>
      <c r="AB646" s="27">
        <f t="shared" si="139"/>
        <v>6.5565173536469165E-2</v>
      </c>
      <c r="AC646" s="27">
        <f t="shared" si="139"/>
        <v>6.637880571901654E-2</v>
      </c>
      <c r="AD646" s="27">
        <f t="shared" si="139"/>
        <v>6.7257796908474193E-2</v>
      </c>
      <c r="AE646" s="27">
        <f t="shared" si="139"/>
        <v>6.8124891518831304E-2</v>
      </c>
      <c r="AF646" s="27">
        <f t="shared" si="139"/>
        <v>6.9040103414992046E-2</v>
      </c>
      <c r="AG646" s="27">
        <f t="shared" si="139"/>
        <v>7.0075359365803738E-2</v>
      </c>
      <c r="AH646" s="27">
        <f t="shared" si="139"/>
        <v>7.1059649676811054E-2</v>
      </c>
      <c r="AI646" s="27">
        <f t="shared" si="139"/>
        <v>7.2069034177178609E-2</v>
      </c>
      <c r="AJ646" s="27">
        <f t="shared" si="139"/>
        <v>7.3148525212574408E-2</v>
      </c>
      <c r="AK646" s="27">
        <f t="shared" si="139"/>
        <v>7.4159878217982214E-2</v>
      </c>
      <c r="AL646" s="27">
        <f t="shared" si="139"/>
        <v>7.5165742888720646E-2</v>
      </c>
      <c r="AM646" s="27">
        <f t="shared" si="139"/>
        <v>7.6168917031251032E-2</v>
      </c>
      <c r="AN646" s="27">
        <f t="shared" si="139"/>
        <v>7.7230245197332834E-2</v>
      </c>
      <c r="AO646" s="27">
        <f t="shared" si="139"/>
        <v>7.8248884607158259E-2</v>
      </c>
      <c r="AP646" s="27">
        <f t="shared" si="139"/>
        <v>7.9307079203447303E-2</v>
      </c>
      <c r="AQ646" s="27">
        <f t="shared" si="139"/>
        <v>8.0409655218804749E-2</v>
      </c>
      <c r="AR646" s="27">
        <f t="shared" si="139"/>
        <v>8.1564373746965665E-2</v>
      </c>
      <c r="AS646" s="27">
        <f t="shared" si="139"/>
        <v>8.2739517725039347E-2</v>
      </c>
      <c r="AT646" s="27">
        <f t="shared" si="139"/>
        <v>8.3018134970904087E-2</v>
      </c>
      <c r="AU646" s="27">
        <f t="shared" si="139"/>
        <v>8.3216426012492323E-2</v>
      </c>
      <c r="AV646" s="27">
        <f t="shared" si="139"/>
        <v>8.3297669475104599E-2</v>
      </c>
      <c r="AW646" s="27">
        <f t="shared" si="139"/>
        <v>8.3346726471042673E-2</v>
      </c>
      <c r="AY646" s="79"/>
      <c r="AZ646" s="79"/>
    </row>
    <row r="647" spans="1:52" x14ac:dyDescent="0.3">
      <c r="A647" s="95" t="str">
        <f t="shared" si="133"/>
        <v>NI Cattle MMN2O</v>
      </c>
      <c r="B647" s="95" t="s">
        <v>969</v>
      </c>
      <c r="C647" s="95" t="s">
        <v>1232</v>
      </c>
      <c r="D647" t="s">
        <v>15</v>
      </c>
      <c r="E647" t="s">
        <v>657</v>
      </c>
      <c r="F647" t="s">
        <v>6</v>
      </c>
      <c r="G647" t="s">
        <v>137</v>
      </c>
      <c r="H647" t="s">
        <v>1227</v>
      </c>
      <c r="I647" t="s">
        <v>139</v>
      </c>
      <c r="J647" t="s">
        <v>287</v>
      </c>
      <c r="K647" s="27">
        <f t="shared" si="135"/>
        <v>0.26041511380118898</v>
      </c>
      <c r="L647" s="27">
        <f t="shared" si="139"/>
        <v>0.26187096745907484</v>
      </c>
      <c r="M647" s="27">
        <f t="shared" si="139"/>
        <v>0.26393657447404822</v>
      </c>
      <c r="N647" s="27">
        <f t="shared" si="139"/>
        <v>0.26526394701365208</v>
      </c>
      <c r="O647" s="27">
        <f t="shared" si="139"/>
        <v>0.26614599213711043</v>
      </c>
      <c r="P647" s="27">
        <f t="shared" si="139"/>
        <v>0.26657402855087203</v>
      </c>
      <c r="Q647" s="27">
        <f t="shared" si="139"/>
        <v>0.26751972028770321</v>
      </c>
      <c r="R647" s="27">
        <f t="shared" si="139"/>
        <v>0.26860458755254496</v>
      </c>
      <c r="S647" s="27">
        <f t="shared" si="139"/>
        <v>0.26053044120627478</v>
      </c>
      <c r="T647" s="27">
        <f t="shared" si="139"/>
        <v>0.26326994979492208</v>
      </c>
      <c r="U647" s="27">
        <f t="shared" si="139"/>
        <v>0.26727986548475752</v>
      </c>
      <c r="V647" s="27">
        <f t="shared" si="139"/>
        <v>0.2693583012486882</v>
      </c>
      <c r="W647" s="27">
        <f t="shared" si="139"/>
        <v>0.27173367665390064</v>
      </c>
      <c r="X647" s="27">
        <f t="shared" si="139"/>
        <v>0.27448292481300673</v>
      </c>
      <c r="Y647" s="27">
        <f t="shared" si="139"/>
        <v>0.27729042591127234</v>
      </c>
      <c r="Z647" s="27">
        <f t="shared" si="139"/>
        <v>0.28039796755405094</v>
      </c>
      <c r="AA647" s="27">
        <f t="shared" si="139"/>
        <v>0.28360177234089196</v>
      </c>
      <c r="AB647" s="27">
        <f t="shared" si="139"/>
        <v>0.28708577575853983</v>
      </c>
      <c r="AC647" s="27">
        <f t="shared" si="139"/>
        <v>0.29064837177880054</v>
      </c>
      <c r="AD647" s="27">
        <f t="shared" si="139"/>
        <v>0.29449715084700523</v>
      </c>
      <c r="AE647" s="27">
        <f t="shared" si="139"/>
        <v>0.29829383917166835</v>
      </c>
      <c r="AF647" s="27">
        <f t="shared" si="139"/>
        <v>0.30230121539018168</v>
      </c>
      <c r="AG647" s="27">
        <f t="shared" si="139"/>
        <v>0.30683422036395941</v>
      </c>
      <c r="AH647" s="27">
        <f t="shared" si="139"/>
        <v>0.31114406554952856</v>
      </c>
      <c r="AI647" s="27">
        <f t="shared" si="139"/>
        <v>0.31556378895902254</v>
      </c>
      <c r="AJ647" s="27">
        <f t="shared" si="139"/>
        <v>0.32029048309563773</v>
      </c>
      <c r="AK647" s="27">
        <f t="shared" si="139"/>
        <v>0.32471882586455802</v>
      </c>
      <c r="AL647" s="27">
        <f t="shared" si="139"/>
        <v>0.32912313723492953</v>
      </c>
      <c r="AM647" s="27">
        <f t="shared" si="139"/>
        <v>0.33351566777203023</v>
      </c>
      <c r="AN647" s="27">
        <f t="shared" si="139"/>
        <v>0.33816283338541037</v>
      </c>
      <c r="AO647" s="27">
        <f t="shared" si="139"/>
        <v>0.34262308063885955</v>
      </c>
      <c r="AP647" s="27">
        <f t="shared" si="139"/>
        <v>0.34725652550284908</v>
      </c>
      <c r="AQ647" s="27">
        <f t="shared" si="139"/>
        <v>0.35208430027455134</v>
      </c>
      <c r="AR647" s="27">
        <f t="shared" si="139"/>
        <v>0.3571403879283947</v>
      </c>
      <c r="AS647" s="27">
        <f t="shared" si="139"/>
        <v>0.36228591111358999</v>
      </c>
      <c r="AT647" s="27">
        <f t="shared" si="139"/>
        <v>0.36350587353959202</v>
      </c>
      <c r="AU647" s="27">
        <f t="shared" si="139"/>
        <v>0.36437411706629697</v>
      </c>
      <c r="AV647" s="27">
        <f t="shared" ref="L647:AW654" si="140">AV1412</f>
        <v>0.36472985230241872</v>
      </c>
      <c r="AW647" s="27">
        <f t="shared" si="140"/>
        <v>0.36494465484126087</v>
      </c>
      <c r="AY647" s="79"/>
      <c r="AZ647" s="79"/>
    </row>
    <row r="648" spans="1:52" x14ac:dyDescent="0.3">
      <c r="A648" s="95" t="str">
        <f t="shared" si="133"/>
        <v>NI Cattle MMN2O</v>
      </c>
      <c r="B648" s="95" t="s">
        <v>969</v>
      </c>
      <c r="C648" s="95" t="s">
        <v>1232</v>
      </c>
      <c r="D648" t="s">
        <v>15</v>
      </c>
      <c r="E648" t="s">
        <v>657</v>
      </c>
      <c r="F648" t="s">
        <v>67</v>
      </c>
      <c r="G648" t="s">
        <v>307</v>
      </c>
      <c r="H648" t="s">
        <v>1227</v>
      </c>
      <c r="I648" t="s">
        <v>139</v>
      </c>
      <c r="J648" t="s">
        <v>287</v>
      </c>
      <c r="K648" s="27">
        <f t="shared" si="135"/>
        <v>1.1586934798802538E-2</v>
      </c>
      <c r="L648" s="27">
        <f t="shared" si="140"/>
        <v>1.1651711689683764E-2</v>
      </c>
      <c r="M648" s="27">
        <f t="shared" si="140"/>
        <v>1.1743619004328788E-2</v>
      </c>
      <c r="N648" s="27">
        <f t="shared" si="140"/>
        <v>1.1802679244134426E-2</v>
      </c>
      <c r="O648" s="27">
        <f t="shared" si="140"/>
        <v>1.1841925043604099E-2</v>
      </c>
      <c r="P648" s="27">
        <f t="shared" si="140"/>
        <v>1.1860970136438286E-2</v>
      </c>
      <c r="Q648" s="27">
        <f t="shared" si="140"/>
        <v>1.1903047834366352E-2</v>
      </c>
      <c r="R648" s="27">
        <f t="shared" si="140"/>
        <v>1.1951318021451857E-2</v>
      </c>
      <c r="S648" s="27">
        <f t="shared" si="140"/>
        <v>1.1592066187314282E-2</v>
      </c>
      <c r="T648" s="27">
        <f t="shared" si="140"/>
        <v>1.1713958142562505E-2</v>
      </c>
      <c r="U648" s="27">
        <f t="shared" si="140"/>
        <v>1.1892375711990867E-2</v>
      </c>
      <c r="V648" s="27">
        <f t="shared" si="140"/>
        <v>1.1984853830210035E-2</v>
      </c>
      <c r="W648" s="27">
        <f t="shared" si="140"/>
        <v>1.2090544009021577E-2</v>
      </c>
      <c r="X648" s="27">
        <f t="shared" si="140"/>
        <v>1.221286931764253E-2</v>
      </c>
      <c r="Y648" s="27">
        <f t="shared" si="140"/>
        <v>1.2337786538069315E-2</v>
      </c>
      <c r="Z648" s="27">
        <f t="shared" si="140"/>
        <v>1.2476053790971267E-2</v>
      </c>
      <c r="AA648" s="27">
        <f t="shared" si="140"/>
        <v>1.2618604185344915E-2</v>
      </c>
      <c r="AB648" s="27">
        <f t="shared" si="140"/>
        <v>1.2773621764201382E-2</v>
      </c>
      <c r="AC648" s="27">
        <f t="shared" si="140"/>
        <v>1.293213624978054E-2</v>
      </c>
      <c r="AD648" s="27">
        <f t="shared" si="140"/>
        <v>1.3103384191066813E-2</v>
      </c>
      <c r="AE648" s="27">
        <f t="shared" si="140"/>
        <v>1.3272314401864145E-2</v>
      </c>
      <c r="AF648" s="27">
        <f t="shared" si="140"/>
        <v>1.345061897981439E-2</v>
      </c>
      <c r="AG648" s="27">
        <f t="shared" si="140"/>
        <v>1.3652310933507637E-2</v>
      </c>
      <c r="AH648" s="27">
        <f t="shared" si="140"/>
        <v>1.3844073594396234E-2</v>
      </c>
      <c r="AI648" s="27">
        <f t="shared" si="140"/>
        <v>1.4040725187412617E-2</v>
      </c>
      <c r="AJ648" s="27">
        <f t="shared" si="140"/>
        <v>1.4251035165107133E-2</v>
      </c>
      <c r="AK648" s="27">
        <f t="shared" si="140"/>
        <v>1.4448070268720213E-2</v>
      </c>
      <c r="AL648" s="27">
        <f t="shared" si="140"/>
        <v>1.4644036117004574E-2</v>
      </c>
      <c r="AM648" s="27">
        <f t="shared" si="140"/>
        <v>1.4839477787774847E-2</v>
      </c>
      <c r="AN648" s="27">
        <f t="shared" si="140"/>
        <v>1.5046249215805637E-2</v>
      </c>
      <c r="AO648" s="27">
        <f t="shared" si="140"/>
        <v>1.5244703880582538E-2</v>
      </c>
      <c r="AP648" s="27">
        <f t="shared" si="140"/>
        <v>1.5450864816287217E-2</v>
      </c>
      <c r="AQ648" s="27">
        <f t="shared" si="140"/>
        <v>1.5665672285356487E-2</v>
      </c>
      <c r="AR648" s="27">
        <f t="shared" si="140"/>
        <v>1.589063832948109E-2</v>
      </c>
      <c r="AS648" s="27">
        <f t="shared" si="140"/>
        <v>1.6119583726629205E-2</v>
      </c>
      <c r="AT648" s="27">
        <f t="shared" si="140"/>
        <v>1.6173864850642101E-2</v>
      </c>
      <c r="AU648" s="27">
        <f t="shared" si="140"/>
        <v>1.6212496560555425E-2</v>
      </c>
      <c r="AV648" s="27">
        <f t="shared" si="140"/>
        <v>1.6228324677927005E-2</v>
      </c>
      <c r="AW648" s="27">
        <f t="shared" si="140"/>
        <v>1.6237882122484858E-2</v>
      </c>
      <c r="AY648" s="79"/>
      <c r="AZ648" s="79"/>
    </row>
    <row r="649" spans="1:52" x14ac:dyDescent="0.3">
      <c r="A649" s="95" t="str">
        <f t="shared" si="133"/>
        <v>NI Cattle MMN2O</v>
      </c>
      <c r="B649" s="95" t="s">
        <v>969</v>
      </c>
      <c r="C649" s="95" t="s">
        <v>1232</v>
      </c>
      <c r="D649" t="s">
        <v>15</v>
      </c>
      <c r="E649" t="s">
        <v>657</v>
      </c>
      <c r="F649" t="s">
        <v>67</v>
      </c>
      <c r="G649" t="s">
        <v>122</v>
      </c>
      <c r="H649" t="s">
        <v>1227</v>
      </c>
      <c r="I649" t="s">
        <v>139</v>
      </c>
      <c r="J649" t="s">
        <v>287</v>
      </c>
      <c r="K649" s="27">
        <f t="shared" si="135"/>
        <v>0.52525224947331306</v>
      </c>
      <c r="L649" s="27">
        <f t="shared" si="140"/>
        <v>0.52069690445710348</v>
      </c>
      <c r="M649" s="27">
        <f t="shared" si="140"/>
        <v>0.51896282251134873</v>
      </c>
      <c r="N649" s="27">
        <f t="shared" si="140"/>
        <v>0.51203275332440912</v>
      </c>
      <c r="O649" s="27">
        <f t="shared" si="140"/>
        <v>0.50197358865556674</v>
      </c>
      <c r="P649" s="27">
        <f t="shared" si="140"/>
        <v>0.48899333628247271</v>
      </c>
      <c r="Q649" s="27">
        <f t="shared" si="140"/>
        <v>0.47875543160314177</v>
      </c>
      <c r="R649" s="27">
        <f t="shared" si="140"/>
        <v>0.46906920988966794</v>
      </c>
      <c r="S649" s="27">
        <f t="shared" si="140"/>
        <v>0.41264416115350733</v>
      </c>
      <c r="T649" s="27">
        <f t="shared" si="140"/>
        <v>0.41934674582080395</v>
      </c>
      <c r="U649" s="27">
        <f t="shared" si="140"/>
        <v>0.43185062896277993</v>
      </c>
      <c r="V649" s="27">
        <f t="shared" si="140"/>
        <v>0.43434779885132324</v>
      </c>
      <c r="W649" s="27">
        <f t="shared" si="140"/>
        <v>0.43794943602225234</v>
      </c>
      <c r="X649" s="27">
        <f t="shared" si="140"/>
        <v>0.44297379932068648</v>
      </c>
      <c r="Y649" s="27">
        <f t="shared" si="140"/>
        <v>0.44873697326986872</v>
      </c>
      <c r="Z649" s="27">
        <f t="shared" si="140"/>
        <v>0.45549399211939318</v>
      </c>
      <c r="AA649" s="27">
        <f t="shared" si="140"/>
        <v>0.46228217585155068</v>
      </c>
      <c r="AB649" s="27">
        <f t="shared" si="140"/>
        <v>0.46991678793970998</v>
      </c>
      <c r="AC649" s="27">
        <f t="shared" si="140"/>
        <v>0.47747563485930333</v>
      </c>
      <c r="AD649" s="27">
        <f t="shared" si="140"/>
        <v>0.48239948914340336</v>
      </c>
      <c r="AE649" s="27">
        <f t="shared" si="140"/>
        <v>0.48644231664639292</v>
      </c>
      <c r="AF649" s="27">
        <f t="shared" si="140"/>
        <v>0.49071333483501467</v>
      </c>
      <c r="AG649" s="27">
        <f t="shared" si="140"/>
        <v>0.49642790918475599</v>
      </c>
      <c r="AH649" s="27">
        <f t="shared" si="140"/>
        <v>0.50053763889453751</v>
      </c>
      <c r="AI649" s="27">
        <f t="shared" si="140"/>
        <v>0.50491759807835224</v>
      </c>
      <c r="AJ649" s="27">
        <f t="shared" si="140"/>
        <v>0.50973902676184191</v>
      </c>
      <c r="AK649" s="27">
        <f t="shared" si="140"/>
        <v>0.51274341869053752</v>
      </c>
      <c r="AL649" s="27">
        <f t="shared" si="140"/>
        <v>0.51499736836395149</v>
      </c>
      <c r="AM649" s="27">
        <f t="shared" si="140"/>
        <v>0.51656513471542254</v>
      </c>
      <c r="AN649" s="27">
        <f t="shared" si="140"/>
        <v>0.52143890594170261</v>
      </c>
      <c r="AO649" s="27">
        <f t="shared" si="140"/>
        <v>0.52514358906624359</v>
      </c>
      <c r="AP649" s="27">
        <f t="shared" si="140"/>
        <v>0.52889503602895283</v>
      </c>
      <c r="AQ649" s="27">
        <f t="shared" si="140"/>
        <v>0.53273616168720928</v>
      </c>
      <c r="AR649" s="27">
        <f t="shared" si="140"/>
        <v>0.53674442357271479</v>
      </c>
      <c r="AS649" s="27">
        <f t="shared" si="140"/>
        <v>0.54085984384551011</v>
      </c>
      <c r="AT649" s="27">
        <f t="shared" si="140"/>
        <v>0.53274169797877946</v>
      </c>
      <c r="AU649" s="27">
        <f t="shared" si="140"/>
        <v>0.52354520401592364</v>
      </c>
      <c r="AV649" s="27">
        <f t="shared" si="140"/>
        <v>0.51288351759282347</v>
      </c>
      <c r="AW649" s="27">
        <f t="shared" si="140"/>
        <v>0.50188770167031349</v>
      </c>
      <c r="AY649" s="79"/>
      <c r="AZ649" s="79"/>
    </row>
    <row r="650" spans="1:52" x14ac:dyDescent="0.3">
      <c r="A650" s="95" t="str">
        <f t="shared" si="133"/>
        <v>NI Cattle MMN2O</v>
      </c>
      <c r="B650" s="95" t="s">
        <v>969</v>
      </c>
      <c r="C650" s="95" t="s">
        <v>1232</v>
      </c>
      <c r="D650" t="s">
        <v>15</v>
      </c>
      <c r="E650" t="s">
        <v>657</v>
      </c>
      <c r="F650" t="s">
        <v>67</v>
      </c>
      <c r="G650" t="s">
        <v>123</v>
      </c>
      <c r="H650" t="s">
        <v>1227</v>
      </c>
      <c r="I650" t="s">
        <v>139</v>
      </c>
      <c r="J650" t="s">
        <v>287</v>
      </c>
      <c r="K650" s="27">
        <f t="shared" si="135"/>
        <v>0.80452586370517887</v>
      </c>
      <c r="L650" s="27">
        <f t="shared" si="140"/>
        <v>0.79754846782098032</v>
      </c>
      <c r="M650" s="27">
        <f t="shared" si="140"/>
        <v>0.79489238443144172</v>
      </c>
      <c r="N650" s="27">
        <f t="shared" si="140"/>
        <v>0.78427763712907439</v>
      </c>
      <c r="O650" s="27">
        <f t="shared" si="140"/>
        <v>0.76887007218962322</v>
      </c>
      <c r="P650" s="27">
        <f t="shared" si="140"/>
        <v>0.74898829393537225</v>
      </c>
      <c r="Q650" s="27">
        <f t="shared" si="140"/>
        <v>0.73330695394505496</v>
      </c>
      <c r="R650" s="27">
        <f t="shared" si="140"/>
        <v>0.71847062359542491</v>
      </c>
      <c r="S650" s="27">
        <f t="shared" si="140"/>
        <v>0.63204469945214758</v>
      </c>
      <c r="T650" s="27">
        <f t="shared" si="140"/>
        <v>0.6423110100180156</v>
      </c>
      <c r="U650" s="27">
        <f t="shared" si="140"/>
        <v>0.66146313624794417</v>
      </c>
      <c r="V650" s="27">
        <f t="shared" si="140"/>
        <v>0.6652880370711457</v>
      </c>
      <c r="W650" s="27">
        <f t="shared" si="140"/>
        <v>0.6708046441082407</v>
      </c>
      <c r="X650" s="27">
        <f t="shared" si="140"/>
        <v>0.67850043261042148</v>
      </c>
      <c r="Y650" s="27">
        <f t="shared" si="140"/>
        <v>0.68732785315702249</v>
      </c>
      <c r="Z650" s="27">
        <f t="shared" si="140"/>
        <v>0.69767754024819972</v>
      </c>
      <c r="AA650" s="27">
        <f t="shared" si="140"/>
        <v>0.70807496241170254</v>
      </c>
      <c r="AB650" s="27">
        <f t="shared" si="140"/>
        <v>0.71976885404270319</v>
      </c>
      <c r="AC650" s="27">
        <f t="shared" si="140"/>
        <v>0.73134669659873019</v>
      </c>
      <c r="AD650" s="27">
        <f t="shared" si="140"/>
        <v>0.73888853601902071</v>
      </c>
      <c r="AE650" s="27">
        <f t="shared" si="140"/>
        <v>0.74508091176213287</v>
      </c>
      <c r="AF650" s="27">
        <f t="shared" si="140"/>
        <v>0.7516228058721478</v>
      </c>
      <c r="AG650" s="27">
        <f t="shared" si="140"/>
        <v>0.76037578669049388</v>
      </c>
      <c r="AH650" s="27">
        <f t="shared" si="140"/>
        <v>0.76667063616076714</v>
      </c>
      <c r="AI650" s="27">
        <f t="shared" si="140"/>
        <v>0.77337939456948435</v>
      </c>
      <c r="AJ650" s="27">
        <f t="shared" si="140"/>
        <v>0.78076434928365657</v>
      </c>
      <c r="AK650" s="27">
        <f t="shared" si="140"/>
        <v>0.78536615920216046</v>
      </c>
      <c r="AL650" s="27">
        <f t="shared" si="140"/>
        <v>0.78881852101416539</v>
      </c>
      <c r="AM650" s="27">
        <f t="shared" si="140"/>
        <v>0.79121985976001552</v>
      </c>
      <c r="AN650" s="27">
        <f t="shared" si="140"/>
        <v>0.79868498724734416</v>
      </c>
      <c r="AO650" s="27">
        <f t="shared" si="140"/>
        <v>0.80435942918169867</v>
      </c>
      <c r="AP650" s="27">
        <f t="shared" si="140"/>
        <v>0.81010549901927509</v>
      </c>
      <c r="AQ650" s="27">
        <f t="shared" si="140"/>
        <v>0.81598892920145427</v>
      </c>
      <c r="AR650" s="27">
        <f t="shared" si="140"/>
        <v>0.82212836098613751</v>
      </c>
      <c r="AS650" s="27">
        <f t="shared" si="140"/>
        <v>0.82843192665920329</v>
      </c>
      <c r="AT650" s="27">
        <f t="shared" si="140"/>
        <v>0.81599740910755991</v>
      </c>
      <c r="AU650" s="27">
        <f t="shared" si="140"/>
        <v>0.80191119195009897</v>
      </c>
      <c r="AV650" s="27">
        <f t="shared" si="140"/>
        <v>0.78558074788879373</v>
      </c>
      <c r="AW650" s="27">
        <f t="shared" si="140"/>
        <v>0.76873851958597172</v>
      </c>
      <c r="AY650" s="79"/>
      <c r="AZ650" s="79"/>
    </row>
    <row r="651" spans="1:52" x14ac:dyDescent="0.3">
      <c r="A651" s="95" t="str">
        <f t="shared" si="133"/>
        <v>NI Cattle MMN2O</v>
      </c>
      <c r="B651" s="95" t="s">
        <v>969</v>
      </c>
      <c r="C651" s="95" t="s">
        <v>1232</v>
      </c>
      <c r="D651" t="s">
        <v>15</v>
      </c>
      <c r="E651" t="s">
        <v>657</v>
      </c>
      <c r="F651" t="s">
        <v>67</v>
      </c>
      <c r="G651" t="s">
        <v>135</v>
      </c>
      <c r="H651" t="s">
        <v>1227</v>
      </c>
      <c r="I651" t="s">
        <v>139</v>
      </c>
      <c r="J651" t="s">
        <v>287</v>
      </c>
      <c r="K651" s="27">
        <f t="shared" si="135"/>
        <v>0.97926119892671493</v>
      </c>
      <c r="L651" s="27">
        <f t="shared" si="140"/>
        <v>1.0122801448609142</v>
      </c>
      <c r="M651" s="27">
        <f t="shared" si="140"/>
        <v>1.0514701788925804</v>
      </c>
      <c r="N651" s="27">
        <f t="shared" si="140"/>
        <v>1.0806972456941153</v>
      </c>
      <c r="O651" s="27">
        <f t="shared" si="140"/>
        <v>1.1032367943433714</v>
      </c>
      <c r="P651" s="27">
        <f t="shared" si="140"/>
        <v>1.1187666946803865</v>
      </c>
      <c r="Q651" s="27">
        <f t="shared" si="140"/>
        <v>1.1399714801203362</v>
      </c>
      <c r="R651" s="27">
        <f t="shared" si="140"/>
        <v>1.1622002864669057</v>
      </c>
      <c r="S651" s="27">
        <f t="shared" si="140"/>
        <v>1.0637182358780759</v>
      </c>
      <c r="T651" s="27">
        <f t="shared" si="140"/>
        <v>1.1070403364801074</v>
      </c>
      <c r="U651" s="27">
        <f t="shared" si="140"/>
        <v>1.167139233674557</v>
      </c>
      <c r="V651" s="27">
        <f t="shared" si="140"/>
        <v>1.2014274387995842</v>
      </c>
      <c r="W651" s="27">
        <f t="shared" si="140"/>
        <v>1.2394742549139584</v>
      </c>
      <c r="X651" s="27">
        <f t="shared" si="140"/>
        <v>1.2824424199036168</v>
      </c>
      <c r="Y651" s="27">
        <f t="shared" si="140"/>
        <v>1.3286164007902908</v>
      </c>
      <c r="Z651" s="27">
        <f t="shared" si="140"/>
        <v>1.3789486454543383</v>
      </c>
      <c r="AA651" s="27">
        <f t="shared" si="140"/>
        <v>1.4306963818966387</v>
      </c>
      <c r="AB651" s="27">
        <f t="shared" si="140"/>
        <v>1.4864839183326823</v>
      </c>
      <c r="AC651" s="27">
        <f t="shared" si="140"/>
        <v>1.5435464944872577</v>
      </c>
      <c r="AD651" s="27">
        <f t="shared" si="140"/>
        <v>1.6111800014411353</v>
      </c>
      <c r="AE651" s="27">
        <f t="shared" si="140"/>
        <v>1.6786649286792732</v>
      </c>
      <c r="AF651" s="27">
        <f t="shared" si="140"/>
        <v>1.7498130115622672</v>
      </c>
      <c r="AG651" s="27">
        <f t="shared" si="140"/>
        <v>1.8293448328146484</v>
      </c>
      <c r="AH651" s="27">
        <f t="shared" si="140"/>
        <v>1.9063603244571439</v>
      </c>
      <c r="AI651" s="27">
        <f t="shared" si="140"/>
        <v>1.9878317329791768</v>
      </c>
      <c r="AJ651" s="27">
        <f t="shared" si="140"/>
        <v>2.0747636655461594</v>
      </c>
      <c r="AK651" s="27">
        <f t="shared" si="140"/>
        <v>2.1580530015142441</v>
      </c>
      <c r="AL651" s="27">
        <f t="shared" si="140"/>
        <v>2.2418001061580344</v>
      </c>
      <c r="AM651" s="27">
        <f t="shared" si="140"/>
        <v>2.326186702125502</v>
      </c>
      <c r="AN651" s="27">
        <f t="shared" si="140"/>
        <v>2.4143873382610392</v>
      </c>
      <c r="AO651" s="27">
        <f t="shared" si="140"/>
        <v>2.5003845769659914</v>
      </c>
      <c r="AP651" s="27">
        <f t="shared" si="140"/>
        <v>2.5898227222528956</v>
      </c>
      <c r="AQ651" s="27">
        <f t="shared" si="140"/>
        <v>2.6830977224212833</v>
      </c>
      <c r="AR651" s="27">
        <f t="shared" si="140"/>
        <v>2.7808208792989615</v>
      </c>
      <c r="AS651" s="27">
        <f t="shared" si="140"/>
        <v>2.8829310376391781</v>
      </c>
      <c r="AT651" s="27">
        <f t="shared" si="140"/>
        <v>2.9219897527083054</v>
      </c>
      <c r="AU651" s="27">
        <f t="shared" si="140"/>
        <v>2.955308116539189</v>
      </c>
      <c r="AV651" s="27">
        <f t="shared" si="140"/>
        <v>2.9801202079374365</v>
      </c>
      <c r="AW651" s="27">
        <f t="shared" si="140"/>
        <v>3.0024365734571252</v>
      </c>
      <c r="AY651" s="79"/>
      <c r="AZ651" s="79"/>
    </row>
    <row r="652" spans="1:52" x14ac:dyDescent="0.3">
      <c r="A652" s="95" t="str">
        <f t="shared" si="133"/>
        <v>NI Sheep MMN2O</v>
      </c>
      <c r="B652" s="95" t="s">
        <v>969</v>
      </c>
      <c r="C652" s="95" t="s">
        <v>1328</v>
      </c>
      <c r="D652" t="s">
        <v>15</v>
      </c>
      <c r="E652" t="s">
        <v>657</v>
      </c>
      <c r="F652" t="s">
        <v>18</v>
      </c>
      <c r="G652" t="s">
        <v>122</v>
      </c>
      <c r="H652" t="s">
        <v>1227</v>
      </c>
      <c r="I652" t="s">
        <v>139</v>
      </c>
      <c r="J652" t="s">
        <v>287</v>
      </c>
      <c r="K652" s="27">
        <f t="shared" si="135"/>
        <v>0.1171883187565219</v>
      </c>
      <c r="L652" s="27">
        <f t="shared" si="140"/>
        <v>0.11725168210757804</v>
      </c>
      <c r="M652" s="27">
        <f t="shared" si="140"/>
        <v>0.11740318150277541</v>
      </c>
      <c r="N652" s="27">
        <f t="shared" si="140"/>
        <v>0.11762656857541021</v>
      </c>
      <c r="O652" s="27">
        <f t="shared" si="140"/>
        <v>0.1179204237689029</v>
      </c>
      <c r="P652" s="27">
        <f t="shared" si="140"/>
        <v>0.11828164409401502</v>
      </c>
      <c r="Q652" s="27">
        <f t="shared" si="140"/>
        <v>0.1186873438242913</v>
      </c>
      <c r="R652" s="27">
        <f t="shared" si="140"/>
        <v>0.11913496163447934</v>
      </c>
      <c r="S652" s="27">
        <f t="shared" si="140"/>
        <v>0.11954428347803586</v>
      </c>
      <c r="T652" s="27">
        <f t="shared" si="140"/>
        <v>0.11972414940561894</v>
      </c>
      <c r="U652" s="27">
        <f t="shared" si="140"/>
        <v>0.11994380434419684</v>
      </c>
      <c r="V652" s="27">
        <f t="shared" si="140"/>
        <v>0.12017467883012861</v>
      </c>
      <c r="W652" s="27">
        <f t="shared" si="140"/>
        <v>0.12043388472990403</v>
      </c>
      <c r="X652" s="27">
        <f t="shared" si="140"/>
        <v>0.12072069678028939</v>
      </c>
      <c r="Y652" s="27">
        <f t="shared" si="140"/>
        <v>0.12089981812671623</v>
      </c>
      <c r="Z652" s="27">
        <f t="shared" si="140"/>
        <v>0.12110217984152867</v>
      </c>
      <c r="AA652" s="27">
        <f t="shared" si="140"/>
        <v>0.12132504756910802</v>
      </c>
      <c r="AB652" s="27">
        <f t="shared" si="140"/>
        <v>0.12156903411725499</v>
      </c>
      <c r="AC652" s="27">
        <f t="shared" si="140"/>
        <v>0.12183162117803532</v>
      </c>
      <c r="AD652" s="27">
        <f t="shared" si="140"/>
        <v>0.12200776858907328</v>
      </c>
      <c r="AE652" s="27">
        <f t="shared" si="140"/>
        <v>0.12219899661673859</v>
      </c>
      <c r="AF652" s="27">
        <f t="shared" si="140"/>
        <v>0.12240684242118335</v>
      </c>
      <c r="AG652" s="27">
        <f t="shared" si="140"/>
        <v>0.12263333491271973</v>
      </c>
      <c r="AH652" s="27">
        <f t="shared" si="140"/>
        <v>0.12287167298468532</v>
      </c>
      <c r="AI652" s="27">
        <f t="shared" si="140"/>
        <v>0.12302401792252464</v>
      </c>
      <c r="AJ652" s="27">
        <f t="shared" si="140"/>
        <v>0.12319088645114676</v>
      </c>
      <c r="AK652" s="27">
        <f t="shared" si="140"/>
        <v>0.12336677489796816</v>
      </c>
      <c r="AL652" s="27">
        <f t="shared" si="140"/>
        <v>0.12355355577482134</v>
      </c>
      <c r="AM652" s="27">
        <f t="shared" si="140"/>
        <v>0.12375094588099321</v>
      </c>
      <c r="AN652" s="27">
        <f t="shared" si="140"/>
        <v>0.12386757855810271</v>
      </c>
      <c r="AO652" s="27">
        <f t="shared" si="140"/>
        <v>0.12399208535623993</v>
      </c>
      <c r="AP652" s="27">
        <f t="shared" si="140"/>
        <v>0.12412714040619617</v>
      </c>
      <c r="AQ652" s="27">
        <f t="shared" si="140"/>
        <v>0.1242726131383893</v>
      </c>
      <c r="AR652" s="27">
        <f t="shared" si="140"/>
        <v>0.12442850053815514</v>
      </c>
      <c r="AS652" s="27">
        <f t="shared" si="140"/>
        <v>0.12449922291454818</v>
      </c>
      <c r="AT652" s="27">
        <f t="shared" si="140"/>
        <v>0.12454479881058539</v>
      </c>
      <c r="AU652" s="27">
        <f t="shared" si="140"/>
        <v>0.12459475860623467</v>
      </c>
      <c r="AV652" s="27">
        <f t="shared" si="140"/>
        <v>0.12464752954530567</v>
      </c>
      <c r="AW652" s="27">
        <f t="shared" si="140"/>
        <v>0.12470598620434532</v>
      </c>
      <c r="AY652" s="79"/>
      <c r="AZ652" s="79"/>
    </row>
    <row r="653" spans="1:52" x14ac:dyDescent="0.3">
      <c r="A653" s="95" t="str">
        <f t="shared" si="133"/>
        <v>NI Sheep MMN2O</v>
      </c>
      <c r="B653" s="95" t="s">
        <v>969</v>
      </c>
      <c r="C653" s="95" t="s">
        <v>1328</v>
      </c>
      <c r="D653" t="s">
        <v>15</v>
      </c>
      <c r="E653" t="s">
        <v>657</v>
      </c>
      <c r="F653" t="s">
        <v>18</v>
      </c>
      <c r="G653" t="s">
        <v>123</v>
      </c>
      <c r="H653" t="s">
        <v>1227</v>
      </c>
      <c r="I653" t="s">
        <v>139</v>
      </c>
      <c r="J653" t="s">
        <v>287</v>
      </c>
      <c r="K653" s="27">
        <f t="shared" si="135"/>
        <v>6.266545072674834E-2</v>
      </c>
      <c r="L653" s="27">
        <f t="shared" si="140"/>
        <v>6.269933373655362E-2</v>
      </c>
      <c r="M653" s="27">
        <f t="shared" si="140"/>
        <v>6.2780346741822493E-2</v>
      </c>
      <c r="N653" s="27">
        <f t="shared" si="140"/>
        <v>6.2899801067490158E-2</v>
      </c>
      <c r="O653" s="27">
        <f t="shared" si="140"/>
        <v>6.3056937617822231E-2</v>
      </c>
      <c r="P653" s="27">
        <f t="shared" si="140"/>
        <v>6.3250097095874355E-2</v>
      </c>
      <c r="Q653" s="27">
        <f t="shared" si="140"/>
        <v>6.3467041555247503E-2</v>
      </c>
      <c r="R653" s="27">
        <f t="shared" si="140"/>
        <v>6.3706401349179126E-2</v>
      </c>
      <c r="S653" s="27">
        <f t="shared" si="140"/>
        <v>6.3925282702636074E-2</v>
      </c>
      <c r="T653" s="27">
        <f t="shared" si="140"/>
        <v>6.402146446837842E-2</v>
      </c>
      <c r="U653" s="27">
        <f t="shared" si="140"/>
        <v>6.4138923067293366E-2</v>
      </c>
      <c r="V653" s="27">
        <f t="shared" si="140"/>
        <v>6.4262381223155141E-2</v>
      </c>
      <c r="W653" s="27">
        <f t="shared" si="140"/>
        <v>6.4400989360150498E-2</v>
      </c>
      <c r="X653" s="27">
        <f t="shared" si="140"/>
        <v>6.4554359649970958E-2</v>
      </c>
      <c r="Y653" s="27">
        <f t="shared" si="140"/>
        <v>6.4650143257311041E-2</v>
      </c>
      <c r="Z653" s="27">
        <f t="shared" si="140"/>
        <v>6.4758354452787853E-2</v>
      </c>
      <c r="AA653" s="27">
        <f t="shared" si="140"/>
        <v>6.4877531063130933E-2</v>
      </c>
      <c r="AB653" s="27">
        <f t="shared" si="140"/>
        <v>6.500800078206817E-2</v>
      </c>
      <c r="AC653" s="27">
        <f t="shared" si="140"/>
        <v>6.5148416965979825E-2</v>
      </c>
      <c r="AD653" s="27">
        <f t="shared" si="140"/>
        <v>6.5242610286817326E-2</v>
      </c>
      <c r="AE653" s="27">
        <f t="shared" si="140"/>
        <v>6.5344867838358231E-2</v>
      </c>
      <c r="AF653" s="27">
        <f t="shared" si="140"/>
        <v>6.5456011603840999E-2</v>
      </c>
      <c r="AG653" s="27">
        <f t="shared" si="140"/>
        <v>6.5577126525694585E-2</v>
      </c>
      <c r="AH653" s="27">
        <f t="shared" si="140"/>
        <v>6.570457577032536E-2</v>
      </c>
      <c r="AI653" s="27">
        <f t="shared" si="140"/>
        <v>6.5786040922287098E-2</v>
      </c>
      <c r="AJ653" s="27">
        <f t="shared" si="140"/>
        <v>6.5875272440148028E-2</v>
      </c>
      <c r="AK653" s="27">
        <f t="shared" si="140"/>
        <v>6.5969327282086584E-2</v>
      </c>
      <c r="AL653" s="27">
        <f t="shared" si="140"/>
        <v>6.6069206757782967E-2</v>
      </c>
      <c r="AM653" s="27">
        <f t="shared" si="140"/>
        <v>6.6174759428079058E-2</v>
      </c>
      <c r="AN653" s="27">
        <f t="shared" si="140"/>
        <v>6.623712775418944E-2</v>
      </c>
      <c r="AO653" s="27">
        <f t="shared" si="140"/>
        <v>6.6303706699144024E-2</v>
      </c>
      <c r="AP653" s="27">
        <f t="shared" si="140"/>
        <v>6.6375926231502153E-2</v>
      </c>
      <c r="AQ653" s="27">
        <f t="shared" si="140"/>
        <v>6.6453716530296997E-2</v>
      </c>
      <c r="AR653" s="27">
        <f t="shared" si="140"/>
        <v>6.653707598346266E-2</v>
      </c>
      <c r="AS653" s="27">
        <f t="shared" si="140"/>
        <v>6.6574894169098925E-2</v>
      </c>
      <c r="AT653" s="27">
        <f t="shared" si="140"/>
        <v>6.659926548953217E-2</v>
      </c>
      <c r="AU653" s="27">
        <f t="shared" si="140"/>
        <v>6.66259810627719E-2</v>
      </c>
      <c r="AV653" s="27">
        <f t="shared" si="140"/>
        <v>6.6654199870902653E-2</v>
      </c>
      <c r="AW653" s="27">
        <f t="shared" si="140"/>
        <v>6.6685459069136477E-2</v>
      </c>
      <c r="AY653" s="79"/>
      <c r="AZ653" s="79"/>
    </row>
    <row r="654" spans="1:52" x14ac:dyDescent="0.3">
      <c r="A654" s="95" t="str">
        <f t="shared" si="133"/>
        <v>NI Goats MMN2O</v>
      </c>
      <c r="B654" s="95" t="s">
        <v>969</v>
      </c>
      <c r="C654" s="95" t="s">
        <v>1329</v>
      </c>
      <c r="D654" t="s">
        <v>15</v>
      </c>
      <c r="E654" t="s">
        <v>657</v>
      </c>
      <c r="F654" t="s">
        <v>19</v>
      </c>
      <c r="G654" t="s">
        <v>122</v>
      </c>
      <c r="H654" t="s">
        <v>1227</v>
      </c>
      <c r="I654" t="s">
        <v>139</v>
      </c>
      <c r="J654" t="s">
        <v>287</v>
      </c>
      <c r="K654" s="27">
        <f t="shared" si="135"/>
        <v>1.4486129996083084E-2</v>
      </c>
      <c r="L654" s="27">
        <f t="shared" si="140"/>
        <v>1.4523786941695514E-2</v>
      </c>
      <c r="M654" s="27">
        <f t="shared" si="140"/>
        <v>1.457573336741831E-2</v>
      </c>
      <c r="N654" s="27">
        <f t="shared" si="140"/>
        <v>1.4639017833045654E-2</v>
      </c>
      <c r="O654" s="27">
        <f t="shared" si="140"/>
        <v>1.4713550078172181E-2</v>
      </c>
      <c r="P654" s="27">
        <f t="shared" si="140"/>
        <v>1.4798876460462532E-2</v>
      </c>
      <c r="Q654" s="27">
        <f t="shared" si="140"/>
        <v>1.4890706011157261E-2</v>
      </c>
      <c r="R654" s="27">
        <f t="shared" si="140"/>
        <v>1.4988675221399694E-2</v>
      </c>
      <c r="S654" s="27">
        <f t="shared" si="140"/>
        <v>1.5077522200056563E-2</v>
      </c>
      <c r="T654" s="27">
        <f t="shared" si="140"/>
        <v>1.5120920467659648E-2</v>
      </c>
      <c r="U654" s="27">
        <f t="shared" si="140"/>
        <v>1.5170664566545743E-2</v>
      </c>
      <c r="V654" s="27">
        <f t="shared" si="140"/>
        <v>1.522137130781058E-2</v>
      </c>
      <c r="W654" s="27">
        <f t="shared" si="140"/>
        <v>1.527636657794784E-2</v>
      </c>
      <c r="X654" s="27">
        <f t="shared" si="140"/>
        <v>1.5335559486365858E-2</v>
      </c>
      <c r="Y654" s="27">
        <f t="shared" si="140"/>
        <v>1.5373440359637548E-2</v>
      </c>
      <c r="Z654" s="27">
        <f t="shared" si="140"/>
        <v>1.5414884136013281E-2</v>
      </c>
      <c r="AA654" s="27">
        <f t="shared" si="140"/>
        <v>1.5459406079654034E-2</v>
      </c>
      <c r="AB654" s="27">
        <f t="shared" si="140"/>
        <v>1.5507149153927192E-2</v>
      </c>
      <c r="AC654" s="27">
        <f t="shared" si="140"/>
        <v>1.55576650603759E-2</v>
      </c>
      <c r="AD654" s="27">
        <f t="shared" si="140"/>
        <v>1.5591353436562988E-2</v>
      </c>
      <c r="AE654" s="27">
        <f t="shared" si="140"/>
        <v>1.5627280085252663E-2</v>
      </c>
      <c r="AF654" s="27">
        <f t="shared" si="140"/>
        <v>1.5665749106164011E-2</v>
      </c>
      <c r="AG654" s="27">
        <f t="shared" si="140"/>
        <v>1.5707151218007597E-2</v>
      </c>
      <c r="AH654" s="27">
        <f t="shared" si="140"/>
        <v>1.575023561921594E-2</v>
      </c>
      <c r="AI654" s="27">
        <f t="shared" si="140"/>
        <v>1.5776918897393025E-2</v>
      </c>
      <c r="AJ654" s="27">
        <f t="shared" si="140"/>
        <v>1.5805875112600263E-2</v>
      </c>
      <c r="AK654" s="27">
        <f t="shared" ref="L654:AW661" si="141">AK1419</f>
        <v>1.5836097205917665E-2</v>
      </c>
      <c r="AL654" s="27">
        <f t="shared" si="141"/>
        <v>1.5867941184595159E-2</v>
      </c>
      <c r="AM654" s="27">
        <f t="shared" si="141"/>
        <v>1.5901363449816974E-2</v>
      </c>
      <c r="AN654" s="27">
        <f t="shared" si="141"/>
        <v>1.5919623331121565E-2</v>
      </c>
      <c r="AO654" s="27">
        <f t="shared" si="141"/>
        <v>1.5939033537312693E-2</v>
      </c>
      <c r="AP654" s="27">
        <f t="shared" si="141"/>
        <v>1.5960089556991585E-2</v>
      </c>
      <c r="AQ654" s="27">
        <f t="shared" si="141"/>
        <v>1.5982771280705937E-2</v>
      </c>
      <c r="AR654" s="27">
        <f t="shared" si="141"/>
        <v>1.6007081325051208E-2</v>
      </c>
      <c r="AS654" s="27">
        <f t="shared" si="141"/>
        <v>1.6015649873683192E-2</v>
      </c>
      <c r="AT654" s="27">
        <f t="shared" si="141"/>
        <v>1.601945516807891E-2</v>
      </c>
      <c r="AU654" s="27">
        <f t="shared" si="141"/>
        <v>1.602387884909745E-2</v>
      </c>
      <c r="AV654" s="27">
        <f t="shared" si="141"/>
        <v>1.6028641289399778E-2</v>
      </c>
      <c r="AW654" s="27">
        <f t="shared" si="141"/>
        <v>1.6034267352361548E-2</v>
      </c>
      <c r="AY654" s="79"/>
      <c r="AZ654" s="79"/>
    </row>
    <row r="655" spans="1:52" x14ac:dyDescent="0.3">
      <c r="A655" s="95" t="str">
        <f t="shared" si="133"/>
        <v>NI Goats MMN2O</v>
      </c>
      <c r="B655" s="95" t="s">
        <v>969</v>
      </c>
      <c r="C655" s="95" t="s">
        <v>1329</v>
      </c>
      <c r="D655" t="s">
        <v>15</v>
      </c>
      <c r="E655" t="s">
        <v>657</v>
      </c>
      <c r="F655" t="s">
        <v>19</v>
      </c>
      <c r="G655" t="s">
        <v>123</v>
      </c>
      <c r="H655" t="s">
        <v>1227</v>
      </c>
      <c r="I655" t="s">
        <v>139</v>
      </c>
      <c r="J655" t="s">
        <v>287</v>
      </c>
      <c r="K655" s="27">
        <f t="shared" si="135"/>
        <v>0.11484439540301131</v>
      </c>
      <c r="L655" s="27">
        <f t="shared" si="141"/>
        <v>0.11514293539628438</v>
      </c>
      <c r="M655" s="27">
        <f t="shared" si="141"/>
        <v>0.1155547607669731</v>
      </c>
      <c r="N655" s="27">
        <f t="shared" si="141"/>
        <v>0.11605647283191664</v>
      </c>
      <c r="O655" s="27">
        <f t="shared" si="141"/>
        <v>0.11664735601685972</v>
      </c>
      <c r="P655" s="27">
        <f t="shared" si="141"/>
        <v>0.11732381389682567</v>
      </c>
      <c r="Q655" s="27">
        <f t="shared" si="141"/>
        <v>0.11805182815822728</v>
      </c>
      <c r="R655" s="27">
        <f t="shared" si="141"/>
        <v>0.11882851694408277</v>
      </c>
      <c r="S655" s="27">
        <f t="shared" si="141"/>
        <v>0.11953288571269048</v>
      </c>
      <c r="T655" s="27">
        <f t="shared" si="141"/>
        <v>0.11987694225544984</v>
      </c>
      <c r="U655" s="27">
        <f t="shared" si="141"/>
        <v>0.12027130782879383</v>
      </c>
      <c r="V655" s="27">
        <f t="shared" si="141"/>
        <v>0.12067330512172106</v>
      </c>
      <c r="W655" s="27">
        <f t="shared" si="141"/>
        <v>0.12110930138508789</v>
      </c>
      <c r="X655" s="27">
        <f t="shared" si="141"/>
        <v>0.12157857604859369</v>
      </c>
      <c r="Y655" s="27">
        <f t="shared" si="141"/>
        <v>0.12187889131494858</v>
      </c>
      <c r="Z655" s="27">
        <f t="shared" si="141"/>
        <v>0.12220745287296136</v>
      </c>
      <c r="AA655" s="27">
        <f t="shared" si="141"/>
        <v>0.1225604177918853</v>
      </c>
      <c r="AB655" s="27">
        <f t="shared" si="141"/>
        <v>0.12293891946908028</v>
      </c>
      <c r="AC655" s="27">
        <f t="shared" si="141"/>
        <v>0.1233394038452322</v>
      </c>
      <c r="AD655" s="27">
        <f t="shared" si="141"/>
        <v>0.12360648147026812</v>
      </c>
      <c r="AE655" s="27">
        <f t="shared" si="141"/>
        <v>0.12389130386581051</v>
      </c>
      <c r="AF655" s="27">
        <f t="shared" si="141"/>
        <v>0.12419628189993717</v>
      </c>
      <c r="AG655" s="27">
        <f t="shared" si="141"/>
        <v>0.12452451314626521</v>
      </c>
      <c r="AH655" s="27">
        <f t="shared" si="141"/>
        <v>0.12486608139184988</v>
      </c>
      <c r="AI655" s="27">
        <f t="shared" si="141"/>
        <v>0.12507762339447212</v>
      </c>
      <c r="AJ655" s="27">
        <f t="shared" si="141"/>
        <v>0.12530718498404322</v>
      </c>
      <c r="AK655" s="27">
        <f t="shared" si="141"/>
        <v>0.12554678231167932</v>
      </c>
      <c r="AL655" s="27">
        <f t="shared" si="141"/>
        <v>0.12579923776247484</v>
      </c>
      <c r="AM655" s="27">
        <f t="shared" si="141"/>
        <v>0.12606420568996382</v>
      </c>
      <c r="AN655" s="27">
        <f t="shared" si="141"/>
        <v>0.12620896795767253</v>
      </c>
      <c r="AO655" s="27">
        <f t="shared" si="141"/>
        <v>0.1263628498705969</v>
      </c>
      <c r="AP655" s="27">
        <f t="shared" si="141"/>
        <v>0.12652977960616255</v>
      </c>
      <c r="AQ655" s="27">
        <f t="shared" si="141"/>
        <v>0.1267095977389128</v>
      </c>
      <c r="AR655" s="27">
        <f t="shared" si="141"/>
        <v>0.12690232501291954</v>
      </c>
      <c r="AS655" s="27">
        <f t="shared" si="141"/>
        <v>0.12697025549451732</v>
      </c>
      <c r="AT655" s="27">
        <f t="shared" si="141"/>
        <v>0.1270004234368404</v>
      </c>
      <c r="AU655" s="27">
        <f t="shared" si="141"/>
        <v>0.12703549387816376</v>
      </c>
      <c r="AV655" s="27">
        <f t="shared" si="141"/>
        <v>0.12707324996466249</v>
      </c>
      <c r="AW655" s="27">
        <f t="shared" si="141"/>
        <v>0.1271178527536419</v>
      </c>
      <c r="AY655" s="79"/>
      <c r="AZ655" s="79"/>
    </row>
    <row r="656" spans="1:52" x14ac:dyDescent="0.3">
      <c r="A656" s="95" t="str">
        <f t="shared" si="133"/>
        <v>NI Horses MMN2O</v>
      </c>
      <c r="B656" s="95" t="s">
        <v>969</v>
      </c>
      <c r="C656" s="95" t="s">
        <v>1330</v>
      </c>
      <c r="D656" t="s">
        <v>15</v>
      </c>
      <c r="E656" t="s">
        <v>657</v>
      </c>
      <c r="F656" t="s">
        <v>20</v>
      </c>
      <c r="G656" t="s">
        <v>3</v>
      </c>
      <c r="H656" t="s">
        <v>1227</v>
      </c>
      <c r="I656" t="s">
        <v>139</v>
      </c>
      <c r="J656" t="s">
        <v>287</v>
      </c>
      <c r="K656" s="27" t="str">
        <f t="shared" si="135"/>
        <v>NO</v>
      </c>
      <c r="L656" s="27" t="str">
        <f t="shared" si="141"/>
        <v>NO</v>
      </c>
      <c r="M656" s="27" t="str">
        <f t="shared" si="141"/>
        <v>NO</v>
      </c>
      <c r="N656" s="27" t="str">
        <f t="shared" si="141"/>
        <v>NO</v>
      </c>
      <c r="O656" s="27" t="str">
        <f t="shared" si="141"/>
        <v>NO</v>
      </c>
      <c r="P656" s="27" t="str">
        <f t="shared" si="141"/>
        <v>NO</v>
      </c>
      <c r="Q656" s="27" t="str">
        <f t="shared" si="141"/>
        <v>NO</v>
      </c>
      <c r="R656" s="27" t="str">
        <f t="shared" si="141"/>
        <v>NO</v>
      </c>
      <c r="S656" s="27" t="str">
        <f t="shared" si="141"/>
        <v>NO</v>
      </c>
      <c r="T656" s="27" t="str">
        <f t="shared" si="141"/>
        <v>NO</v>
      </c>
      <c r="U656" s="27" t="str">
        <f t="shared" si="141"/>
        <v>NO</v>
      </c>
      <c r="V656" s="27" t="str">
        <f t="shared" si="141"/>
        <v>NO</v>
      </c>
      <c r="W656" s="27" t="str">
        <f t="shared" si="141"/>
        <v>NO</v>
      </c>
      <c r="X656" s="27" t="str">
        <f t="shared" si="141"/>
        <v>NO</v>
      </c>
      <c r="Y656" s="27" t="str">
        <f t="shared" si="141"/>
        <v>NO</v>
      </c>
      <c r="Z656" s="27" t="str">
        <f t="shared" si="141"/>
        <v>NO</v>
      </c>
      <c r="AA656" s="27" t="str">
        <f t="shared" si="141"/>
        <v>NO</v>
      </c>
      <c r="AB656" s="27" t="str">
        <f t="shared" si="141"/>
        <v>NO</v>
      </c>
      <c r="AC656" s="27" t="str">
        <f t="shared" si="141"/>
        <v>NO</v>
      </c>
      <c r="AD656" s="27" t="str">
        <f t="shared" si="141"/>
        <v>NO</v>
      </c>
      <c r="AE656" s="27" t="str">
        <f t="shared" si="141"/>
        <v>NO</v>
      </c>
      <c r="AF656" s="27" t="str">
        <f t="shared" si="141"/>
        <v>NO</v>
      </c>
      <c r="AG656" s="27" t="str">
        <f t="shared" si="141"/>
        <v>NO</v>
      </c>
      <c r="AH656" s="27" t="str">
        <f t="shared" si="141"/>
        <v>NO</v>
      </c>
      <c r="AI656" s="27" t="str">
        <f t="shared" si="141"/>
        <v>NO</v>
      </c>
      <c r="AJ656" s="27" t="str">
        <f t="shared" si="141"/>
        <v>NO</v>
      </c>
      <c r="AK656" s="27" t="str">
        <f t="shared" si="141"/>
        <v>NO</v>
      </c>
      <c r="AL656" s="27" t="str">
        <f t="shared" si="141"/>
        <v>NO</v>
      </c>
      <c r="AM656" s="27" t="str">
        <f t="shared" si="141"/>
        <v>NO</v>
      </c>
      <c r="AN656" s="27" t="str">
        <f t="shared" si="141"/>
        <v>NO</v>
      </c>
      <c r="AO656" s="27" t="str">
        <f t="shared" si="141"/>
        <v>NO</v>
      </c>
      <c r="AP656" s="27" t="str">
        <f t="shared" si="141"/>
        <v>NO</v>
      </c>
      <c r="AQ656" s="27" t="str">
        <f t="shared" si="141"/>
        <v>NO</v>
      </c>
      <c r="AR656" s="27" t="str">
        <f t="shared" si="141"/>
        <v>NO</v>
      </c>
      <c r="AS656" s="27" t="str">
        <f t="shared" si="141"/>
        <v>NO</v>
      </c>
      <c r="AT656" s="27" t="str">
        <f t="shared" si="141"/>
        <v>NO</v>
      </c>
      <c r="AU656" s="27" t="str">
        <f t="shared" si="141"/>
        <v>NO</v>
      </c>
      <c r="AV656" s="27" t="str">
        <f t="shared" si="141"/>
        <v>NO</v>
      </c>
      <c r="AW656" s="27" t="str">
        <f t="shared" si="141"/>
        <v>NO</v>
      </c>
      <c r="AY656" s="79"/>
      <c r="AZ656" s="79"/>
    </row>
    <row r="657" spans="1:52" x14ac:dyDescent="0.3">
      <c r="A657" s="95" t="str">
        <f t="shared" si="133"/>
        <v>NI Mules MMN2O</v>
      </c>
      <c r="B657" s="95" t="s">
        <v>969</v>
      </c>
      <c r="C657" s="95" t="s">
        <v>1331</v>
      </c>
      <c r="D657" t="s">
        <v>15</v>
      </c>
      <c r="E657" t="s">
        <v>657</v>
      </c>
      <c r="F657" t="s">
        <v>140</v>
      </c>
      <c r="G657" t="s">
        <v>124</v>
      </c>
      <c r="H657" t="s">
        <v>1227</v>
      </c>
      <c r="I657" t="s">
        <v>139</v>
      </c>
      <c r="J657" t="s">
        <v>287</v>
      </c>
      <c r="K657" s="27" t="str">
        <f t="shared" si="135"/>
        <v>NO</v>
      </c>
      <c r="L657" s="27" t="str">
        <f t="shared" si="141"/>
        <v>NO</v>
      </c>
      <c r="M657" s="27" t="str">
        <f t="shared" si="141"/>
        <v>NO</v>
      </c>
      <c r="N657" s="27" t="str">
        <f t="shared" si="141"/>
        <v>NO</v>
      </c>
      <c r="O657" s="27" t="str">
        <f t="shared" si="141"/>
        <v>NO</v>
      </c>
      <c r="P657" s="27" t="str">
        <f t="shared" si="141"/>
        <v>NO</v>
      </c>
      <c r="Q657" s="27" t="str">
        <f t="shared" si="141"/>
        <v>NO</v>
      </c>
      <c r="R657" s="27" t="str">
        <f t="shared" si="141"/>
        <v>NO</v>
      </c>
      <c r="S657" s="27" t="str">
        <f t="shared" si="141"/>
        <v>NO</v>
      </c>
      <c r="T657" s="27" t="str">
        <f t="shared" si="141"/>
        <v>NO</v>
      </c>
      <c r="U657" s="27" t="str">
        <f t="shared" si="141"/>
        <v>NO</v>
      </c>
      <c r="V657" s="27" t="str">
        <f t="shared" si="141"/>
        <v>NO</v>
      </c>
      <c r="W657" s="27" t="str">
        <f t="shared" si="141"/>
        <v>NO</v>
      </c>
      <c r="X657" s="27" t="str">
        <f t="shared" si="141"/>
        <v>NO</v>
      </c>
      <c r="Y657" s="27" t="str">
        <f t="shared" si="141"/>
        <v>NO</v>
      </c>
      <c r="Z657" s="27" t="str">
        <f t="shared" si="141"/>
        <v>NO</v>
      </c>
      <c r="AA657" s="27" t="str">
        <f t="shared" si="141"/>
        <v>NO</v>
      </c>
      <c r="AB657" s="27" t="str">
        <f t="shared" si="141"/>
        <v>NO</v>
      </c>
      <c r="AC657" s="27" t="str">
        <f t="shared" si="141"/>
        <v>NO</v>
      </c>
      <c r="AD657" s="27" t="str">
        <f t="shared" si="141"/>
        <v>NO</v>
      </c>
      <c r="AE657" s="27" t="str">
        <f t="shared" si="141"/>
        <v>NO</v>
      </c>
      <c r="AF657" s="27" t="str">
        <f t="shared" si="141"/>
        <v>NO</v>
      </c>
      <c r="AG657" s="27" t="str">
        <f t="shared" si="141"/>
        <v>NO</v>
      </c>
      <c r="AH657" s="27" t="str">
        <f t="shared" si="141"/>
        <v>NO</v>
      </c>
      <c r="AI657" s="27" t="str">
        <f t="shared" si="141"/>
        <v>NO</v>
      </c>
      <c r="AJ657" s="27" t="str">
        <f t="shared" si="141"/>
        <v>NO</v>
      </c>
      <c r="AK657" s="27" t="str">
        <f t="shared" si="141"/>
        <v>NO</v>
      </c>
      <c r="AL657" s="27" t="str">
        <f t="shared" si="141"/>
        <v>NO</v>
      </c>
      <c r="AM657" s="27" t="str">
        <f t="shared" si="141"/>
        <v>NO</v>
      </c>
      <c r="AN657" s="27" t="str">
        <f t="shared" si="141"/>
        <v>NO</v>
      </c>
      <c r="AO657" s="27" t="str">
        <f t="shared" si="141"/>
        <v>NO</v>
      </c>
      <c r="AP657" s="27" t="str">
        <f t="shared" si="141"/>
        <v>NO</v>
      </c>
      <c r="AQ657" s="27" t="str">
        <f t="shared" si="141"/>
        <v>NO</v>
      </c>
      <c r="AR657" s="27" t="str">
        <f t="shared" si="141"/>
        <v>NO</v>
      </c>
      <c r="AS657" s="27" t="str">
        <f t="shared" si="141"/>
        <v>NO</v>
      </c>
      <c r="AT657" s="27" t="str">
        <f t="shared" si="141"/>
        <v>NO</v>
      </c>
      <c r="AU657" s="27" t="str">
        <f t="shared" si="141"/>
        <v>NO</v>
      </c>
      <c r="AV657" s="27" t="str">
        <f t="shared" si="141"/>
        <v>NO</v>
      </c>
      <c r="AW657" s="27" t="str">
        <f t="shared" si="141"/>
        <v>NO</v>
      </c>
      <c r="AY657" s="79"/>
      <c r="AZ657" s="79"/>
    </row>
    <row r="658" spans="1:52" x14ac:dyDescent="0.3">
      <c r="A658" s="95" t="str">
        <f t="shared" si="133"/>
        <v>NI Swine MMN2O</v>
      </c>
      <c r="B658" s="95" t="s">
        <v>969</v>
      </c>
      <c r="C658" s="95" t="s">
        <v>1233</v>
      </c>
      <c r="D658" t="s">
        <v>15</v>
      </c>
      <c r="E658" t="s">
        <v>657</v>
      </c>
      <c r="F658" t="s">
        <v>21</v>
      </c>
      <c r="G658" t="s">
        <v>122</v>
      </c>
      <c r="H658" t="s">
        <v>1227</v>
      </c>
      <c r="I658" t="s">
        <v>139</v>
      </c>
      <c r="J658" t="s">
        <v>287</v>
      </c>
      <c r="K658" s="27">
        <f t="shared" si="135"/>
        <v>9.7466979224281824E-2</v>
      </c>
      <c r="L658" s="27">
        <f t="shared" si="141"/>
        <v>9.6937181363551506E-2</v>
      </c>
      <c r="M658" s="27">
        <f t="shared" si="141"/>
        <v>9.6980665528366608E-2</v>
      </c>
      <c r="N658" s="27">
        <f t="shared" si="141"/>
        <v>9.6090308702663593E-2</v>
      </c>
      <c r="O658" s="27">
        <f t="shared" si="141"/>
        <v>9.4636150647850484E-2</v>
      </c>
      <c r="P658" s="27">
        <f t="shared" si="141"/>
        <v>9.2641437622218326E-2</v>
      </c>
      <c r="Q658" s="27">
        <f t="shared" si="141"/>
        <v>9.1193054757597189E-2</v>
      </c>
      <c r="R658" s="27">
        <f t="shared" si="141"/>
        <v>8.9872834352323558E-2</v>
      </c>
      <c r="S658" s="27">
        <f t="shared" si="141"/>
        <v>7.9353210388908066E-2</v>
      </c>
      <c r="T658" s="27">
        <f t="shared" si="141"/>
        <v>8.0356685470718767E-2</v>
      </c>
      <c r="U658" s="27">
        <f t="shared" si="141"/>
        <v>8.2509946009160923E-2</v>
      </c>
      <c r="V658" s="27">
        <f t="shared" si="141"/>
        <v>8.2705450879572748E-2</v>
      </c>
      <c r="W658" s="27">
        <f t="shared" si="141"/>
        <v>8.3128827539525094E-2</v>
      </c>
      <c r="X658" s="27">
        <f t="shared" si="141"/>
        <v>8.3840672628701915E-2</v>
      </c>
      <c r="Y658" s="27">
        <f t="shared" si="141"/>
        <v>8.4733895932113168E-2</v>
      </c>
      <c r="Z658" s="27">
        <f t="shared" si="141"/>
        <v>8.5828465366834875E-2</v>
      </c>
      <c r="AA658" s="27">
        <f t="shared" si="141"/>
        <v>8.6935834694674932E-2</v>
      </c>
      <c r="AB658" s="27">
        <f t="shared" si="141"/>
        <v>8.8214344657231616E-2</v>
      </c>
      <c r="AC658" s="27">
        <f t="shared" si="141"/>
        <v>8.9484030373768036E-2</v>
      </c>
      <c r="AD658" s="27">
        <f t="shared" si="141"/>
        <v>9.1062581228130657E-2</v>
      </c>
      <c r="AE658" s="27">
        <f t="shared" si="141"/>
        <v>9.2515752583830088E-2</v>
      </c>
      <c r="AF658" s="27">
        <f t="shared" si="141"/>
        <v>9.4062043086931529E-2</v>
      </c>
      <c r="AG658" s="27">
        <f t="shared" si="141"/>
        <v>9.5948315776645976E-2</v>
      </c>
      <c r="AH658" s="27">
        <f t="shared" si="141"/>
        <v>9.7568003997154984E-2</v>
      </c>
      <c r="AI658" s="27">
        <f t="shared" si="141"/>
        <v>9.931620819342124E-2</v>
      </c>
      <c r="AJ658" s="27">
        <f t="shared" si="141"/>
        <v>0.10121358762042433</v>
      </c>
      <c r="AK658" s="27">
        <f t="shared" si="141"/>
        <v>0.10279643211588628</v>
      </c>
      <c r="AL658" s="27">
        <f t="shared" si="141"/>
        <v>0.10428080048635653</v>
      </c>
      <c r="AM658" s="27">
        <f t="shared" si="141"/>
        <v>0.10567866446887142</v>
      </c>
      <c r="AN658" s="27">
        <f t="shared" si="141"/>
        <v>0.10729272325925118</v>
      </c>
      <c r="AO658" s="27">
        <f t="shared" si="141"/>
        <v>0.10869271119263345</v>
      </c>
      <c r="AP658" s="27">
        <f t="shared" si="141"/>
        <v>0.110137854380135</v>
      </c>
      <c r="AQ658" s="27">
        <f t="shared" si="141"/>
        <v>0.1116390532050176</v>
      </c>
      <c r="AR658" s="27">
        <f t="shared" si="141"/>
        <v>0.11321509141175116</v>
      </c>
      <c r="AS658" s="27">
        <f t="shared" si="141"/>
        <v>0.114870036037916</v>
      </c>
      <c r="AT658" s="27">
        <f t="shared" si="141"/>
        <v>0.11386297950526468</v>
      </c>
      <c r="AU658" s="27">
        <f t="shared" si="141"/>
        <v>0.11262319660921266</v>
      </c>
      <c r="AV658" s="27">
        <f t="shared" si="141"/>
        <v>0.11105880605518059</v>
      </c>
      <c r="AW658" s="27">
        <f t="shared" si="141"/>
        <v>0.1094176927215173</v>
      </c>
      <c r="AY658" s="79"/>
      <c r="AZ658" s="79"/>
    </row>
    <row r="659" spans="1:52" x14ac:dyDescent="0.3">
      <c r="A659" s="95" t="str">
        <f t="shared" si="133"/>
        <v>NI Swine MMN2O</v>
      </c>
      <c r="B659" s="95" t="s">
        <v>969</v>
      </c>
      <c r="C659" s="95" t="s">
        <v>1233</v>
      </c>
      <c r="D659" t="s">
        <v>15</v>
      </c>
      <c r="E659" t="s">
        <v>657</v>
      </c>
      <c r="F659" t="s">
        <v>21</v>
      </c>
      <c r="G659" t="s">
        <v>123</v>
      </c>
      <c r="H659" t="s">
        <v>1227</v>
      </c>
      <c r="I659" t="s">
        <v>139</v>
      </c>
      <c r="J659" t="s">
        <v>287</v>
      </c>
      <c r="K659" s="27">
        <f t="shared" si="135"/>
        <v>3.8131055665722169E-2</v>
      </c>
      <c r="L659" s="27">
        <f t="shared" si="141"/>
        <v>3.7923788015899962E-2</v>
      </c>
      <c r="M659" s="27">
        <f t="shared" si="141"/>
        <v>3.7940799901590251E-2</v>
      </c>
      <c r="N659" s="27">
        <f t="shared" si="141"/>
        <v>3.759247428451009E-2</v>
      </c>
      <c r="O659" s="27">
        <f t="shared" si="141"/>
        <v>3.7023578211438569E-2</v>
      </c>
      <c r="P659" s="27">
        <f t="shared" si="141"/>
        <v>3.6243206089281201E-2</v>
      </c>
      <c r="Q659" s="27">
        <f t="shared" si="141"/>
        <v>3.567656938754183E-2</v>
      </c>
      <c r="R659" s="27">
        <f t="shared" si="141"/>
        <v>3.5160072434777256E-2</v>
      </c>
      <c r="S659" s="27">
        <f t="shared" si="141"/>
        <v>3.1044582551701744E-2</v>
      </c>
      <c r="T659" s="27">
        <f t="shared" si="141"/>
        <v>3.1437162320852502E-2</v>
      </c>
      <c r="U659" s="27">
        <f t="shared" si="141"/>
        <v>3.2279561440098872E-2</v>
      </c>
      <c r="V659" s="27">
        <f t="shared" si="141"/>
        <v>3.2356046903749484E-2</v>
      </c>
      <c r="W659" s="27">
        <f t="shared" si="141"/>
        <v>3.2521680425139969E-2</v>
      </c>
      <c r="X659" s="27">
        <f t="shared" si="141"/>
        <v>3.2800168636601942E-2</v>
      </c>
      <c r="Y659" s="27">
        <f t="shared" si="141"/>
        <v>3.314961567779854E-2</v>
      </c>
      <c r="Z659" s="27">
        <f t="shared" si="141"/>
        <v>3.3577833402176044E-2</v>
      </c>
      <c r="AA659" s="27">
        <f t="shared" si="141"/>
        <v>3.4011058703898145E-2</v>
      </c>
      <c r="AB659" s="27">
        <f t="shared" si="141"/>
        <v>3.4511237686969419E-2</v>
      </c>
      <c r="AC659" s="27">
        <f t="shared" si="141"/>
        <v>3.5007964446334923E-2</v>
      </c>
      <c r="AD659" s="27">
        <f t="shared" si="141"/>
        <v>3.5625525501144749E-2</v>
      </c>
      <c r="AE659" s="27">
        <f t="shared" si="141"/>
        <v>3.6194035557545495E-2</v>
      </c>
      <c r="AF659" s="27">
        <f t="shared" si="141"/>
        <v>3.6798975709773488E-2</v>
      </c>
      <c r="AG659" s="27">
        <f t="shared" si="141"/>
        <v>3.7536923776951441E-2</v>
      </c>
      <c r="AH659" s="27">
        <f t="shared" si="141"/>
        <v>3.817057860229723E-2</v>
      </c>
      <c r="AI659" s="27">
        <f t="shared" si="141"/>
        <v>3.8854511479394858E-2</v>
      </c>
      <c r="AJ659" s="27">
        <f t="shared" si="141"/>
        <v>3.9596804727075885E-2</v>
      </c>
      <c r="AK659" s="27">
        <f t="shared" si="141"/>
        <v>4.0216045541216196E-2</v>
      </c>
      <c r="AL659" s="27">
        <f t="shared" si="141"/>
        <v>4.0796760501434604E-2</v>
      </c>
      <c r="AM659" s="27">
        <f t="shared" si="141"/>
        <v>4.1343633193648956E-2</v>
      </c>
      <c r="AN659" s="27">
        <f t="shared" si="141"/>
        <v>4.1975085671950317E-2</v>
      </c>
      <c r="AO659" s="27">
        <f t="shared" si="141"/>
        <v>4.252278929674716E-2</v>
      </c>
      <c r="AP659" s="27">
        <f t="shared" si="141"/>
        <v>4.3088158571204301E-2</v>
      </c>
      <c r="AQ659" s="27">
        <f t="shared" si="141"/>
        <v>4.3675457945951471E-2</v>
      </c>
      <c r="AR659" s="27">
        <f t="shared" si="141"/>
        <v>4.4292036002135757E-2</v>
      </c>
      <c r="AS659" s="27">
        <f t="shared" si="141"/>
        <v>4.4939483847203046E-2</v>
      </c>
      <c r="AT659" s="27">
        <f t="shared" si="141"/>
        <v>4.4545502941970565E-2</v>
      </c>
      <c r="AU659" s="27">
        <f t="shared" si="141"/>
        <v>4.4060474771414608E-2</v>
      </c>
      <c r="AV659" s="27">
        <f t="shared" si="141"/>
        <v>4.3448453512794687E-2</v>
      </c>
      <c r="AW659" s="27">
        <f t="shared" si="141"/>
        <v>4.2806416749393235E-2</v>
      </c>
      <c r="AY659" s="79"/>
      <c r="AZ659" s="79"/>
    </row>
    <row r="660" spans="1:52" x14ac:dyDescent="0.3">
      <c r="A660" s="95" t="str">
        <f t="shared" si="133"/>
        <v>NI Poultry MMN2O</v>
      </c>
      <c r="B660" s="95" t="s">
        <v>969</v>
      </c>
      <c r="C660" s="95" t="s">
        <v>1234</v>
      </c>
      <c r="D660" t="s">
        <v>15</v>
      </c>
      <c r="E660" t="s">
        <v>657</v>
      </c>
      <c r="F660" t="s">
        <v>28</v>
      </c>
      <c r="G660" t="s">
        <v>131</v>
      </c>
      <c r="H660" t="s">
        <v>1227</v>
      </c>
      <c r="I660" t="s">
        <v>139</v>
      </c>
      <c r="J660" t="s">
        <v>287</v>
      </c>
      <c r="K660" s="27">
        <f t="shared" si="135"/>
        <v>0.32784224726088984</v>
      </c>
      <c r="L660" s="27">
        <f t="shared" si="141"/>
        <v>0.33450793008613733</v>
      </c>
      <c r="M660" s="27">
        <f t="shared" si="141"/>
        <v>0.34229948156355033</v>
      </c>
      <c r="N660" s="27">
        <f t="shared" si="141"/>
        <v>0.34828124731402299</v>
      </c>
      <c r="O660" s="27">
        <f t="shared" si="141"/>
        <v>0.35308310351311478</v>
      </c>
      <c r="P660" s="27">
        <f t="shared" si="141"/>
        <v>0.3566764932045714</v>
      </c>
      <c r="Q660" s="27">
        <f t="shared" si="141"/>
        <v>0.36128421068096001</v>
      </c>
      <c r="R660" s="27">
        <f t="shared" si="141"/>
        <v>0.36607496135357964</v>
      </c>
      <c r="S660" s="27">
        <f t="shared" si="141"/>
        <v>0.34978148195901088</v>
      </c>
      <c r="T660" s="27">
        <f t="shared" si="141"/>
        <v>0.35848748777612982</v>
      </c>
      <c r="U660" s="27">
        <f t="shared" si="141"/>
        <v>0.37008968221816879</v>
      </c>
      <c r="V660" s="27">
        <f t="shared" si="141"/>
        <v>0.37718532914997255</v>
      </c>
      <c r="W660" s="27">
        <f t="shared" si="141"/>
        <v>0.38492114207778078</v>
      </c>
      <c r="X660" s="27">
        <f t="shared" si="141"/>
        <v>0.39349286127913036</v>
      </c>
      <c r="Y660" s="27">
        <f t="shared" si="141"/>
        <v>0.40234632670513226</v>
      </c>
      <c r="Z660" s="27">
        <f t="shared" si="141"/>
        <v>0.41188861015823597</v>
      </c>
      <c r="AA660" s="27">
        <f t="shared" si="141"/>
        <v>0.42164548581932815</v>
      </c>
      <c r="AB660" s="27">
        <f t="shared" si="141"/>
        <v>0.43206316644832626</v>
      </c>
      <c r="AC660" s="27">
        <f t="shared" si="141"/>
        <v>0.44266638237250944</v>
      </c>
      <c r="AD660" s="27">
        <f t="shared" si="141"/>
        <v>0.45410654796286065</v>
      </c>
      <c r="AE660" s="27">
        <f t="shared" si="141"/>
        <v>0.46542858130344616</v>
      </c>
      <c r="AF660" s="27">
        <f t="shared" si="141"/>
        <v>0.4772730257801403</v>
      </c>
      <c r="AG660" s="27">
        <f t="shared" si="141"/>
        <v>0.49041871120833058</v>
      </c>
      <c r="AH660" s="27">
        <f t="shared" si="141"/>
        <v>0.50303895207575822</v>
      </c>
      <c r="AI660" s="27">
        <f t="shared" si="141"/>
        <v>0.51609032389809528</v>
      </c>
      <c r="AJ660" s="27">
        <f t="shared" si="141"/>
        <v>0.52992686464312622</v>
      </c>
      <c r="AK660" s="27">
        <f t="shared" si="141"/>
        <v>0.54305058530896999</v>
      </c>
      <c r="AL660" s="27">
        <f t="shared" si="141"/>
        <v>0.55613853749065978</v>
      </c>
      <c r="AM660" s="27">
        <f t="shared" si="141"/>
        <v>0.56922083138232038</v>
      </c>
      <c r="AN660" s="27">
        <f t="shared" si="141"/>
        <v>0.58310052249970834</v>
      </c>
      <c r="AO660" s="27">
        <f t="shared" si="141"/>
        <v>0.59653826788660902</v>
      </c>
      <c r="AP660" s="27">
        <f t="shared" si="141"/>
        <v>0.61044136643017999</v>
      </c>
      <c r="AQ660" s="27">
        <f t="shared" si="141"/>
        <v>0.62486785679849377</v>
      </c>
      <c r="AR660" s="27">
        <f t="shared" si="141"/>
        <v>0.6399091004524019</v>
      </c>
      <c r="AS660" s="27">
        <f t="shared" si="141"/>
        <v>0.65535203493771454</v>
      </c>
      <c r="AT660" s="27">
        <f t="shared" si="141"/>
        <v>0.66076114760241544</v>
      </c>
      <c r="AU660" s="27">
        <f t="shared" si="141"/>
        <v>0.6652412101856594</v>
      </c>
      <c r="AV660" s="27">
        <f t="shared" si="141"/>
        <v>0.66836980562393489</v>
      </c>
      <c r="AW660" s="27">
        <f t="shared" si="141"/>
        <v>0.67109822940167552</v>
      </c>
      <c r="AY660" s="79"/>
      <c r="AZ660" s="79"/>
    </row>
    <row r="661" spans="1:52" x14ac:dyDescent="0.3">
      <c r="A661" s="95" t="str">
        <f t="shared" si="133"/>
        <v>NI Poultry MMN2O</v>
      </c>
      <c r="B661" s="95" t="s">
        <v>969</v>
      </c>
      <c r="C661" s="95" t="s">
        <v>1234</v>
      </c>
      <c r="D661" t="s">
        <v>15</v>
      </c>
      <c r="E661" t="s">
        <v>657</v>
      </c>
      <c r="F661" t="s">
        <v>28</v>
      </c>
      <c r="G661" t="s">
        <v>132</v>
      </c>
      <c r="H661" t="s">
        <v>1227</v>
      </c>
      <c r="I661" t="s">
        <v>139</v>
      </c>
      <c r="J661" t="s">
        <v>287</v>
      </c>
      <c r="K661" s="27">
        <f t="shared" si="135"/>
        <v>1.7017151675634961</v>
      </c>
      <c r="L661" s="27">
        <f t="shared" si="141"/>
        <v>1.7241237147327637</v>
      </c>
      <c r="M661" s="27">
        <f t="shared" si="141"/>
        <v>1.7601182693498112</v>
      </c>
      <c r="N661" s="27">
        <f t="shared" si="141"/>
        <v>1.7704533576020511</v>
      </c>
      <c r="O661" s="27">
        <f t="shared" si="141"/>
        <v>1.7641159598844758</v>
      </c>
      <c r="P661" s="27">
        <f t="shared" si="141"/>
        <v>1.7411735022142167</v>
      </c>
      <c r="Q661" s="27">
        <f t="shared" si="141"/>
        <v>1.7315152516158574</v>
      </c>
      <c r="R661" s="27">
        <f t="shared" si="141"/>
        <v>1.7240481490859689</v>
      </c>
      <c r="S661" s="27">
        <f t="shared" si="141"/>
        <v>1.4532830978859241</v>
      </c>
      <c r="T661" s="27">
        <f t="shared" si="141"/>
        <v>1.5108401757769072</v>
      </c>
      <c r="U661" s="27">
        <f t="shared" si="141"/>
        <v>1.6026975713108973</v>
      </c>
      <c r="V661" s="27">
        <f t="shared" si="141"/>
        <v>1.6381096535545392</v>
      </c>
      <c r="W661" s="27">
        <f t="shared" si="141"/>
        <v>1.6804870298806631</v>
      </c>
      <c r="X661" s="27">
        <f t="shared" si="141"/>
        <v>1.7319826837322108</v>
      </c>
      <c r="Y661" s="27">
        <f t="shared" si="141"/>
        <v>1.7911150071638293</v>
      </c>
      <c r="Z661" s="27">
        <f t="shared" ref="L661:AW663" si="142">Z1426</f>
        <v>1.8573343362727066</v>
      </c>
      <c r="AA661" s="27">
        <f t="shared" si="142"/>
        <v>1.9249598687101048</v>
      </c>
      <c r="AB661" s="27">
        <f t="shared" si="142"/>
        <v>1.9991243799858327</v>
      </c>
      <c r="AC661" s="27">
        <f t="shared" si="142"/>
        <v>2.0742398218726938</v>
      </c>
      <c r="AD661" s="27">
        <f t="shared" si="142"/>
        <v>2.1619281930421144</v>
      </c>
      <c r="AE661" s="27">
        <f t="shared" si="142"/>
        <v>2.2470253789888299</v>
      </c>
      <c r="AF661" s="27">
        <f t="shared" si="142"/>
        <v>2.3367898663962117</v>
      </c>
      <c r="AG661" s="27">
        <f t="shared" si="142"/>
        <v>2.4398215935835355</v>
      </c>
      <c r="AH661" s="27">
        <f t="shared" si="142"/>
        <v>2.5356369121252129</v>
      </c>
      <c r="AI661" s="27">
        <f t="shared" si="142"/>
        <v>2.6388473537770931</v>
      </c>
      <c r="AJ661" s="27">
        <f t="shared" si="142"/>
        <v>2.7493497662491455</v>
      </c>
      <c r="AK661" s="27">
        <f t="shared" si="142"/>
        <v>2.8507479876559225</v>
      </c>
      <c r="AL661" s="27">
        <f t="shared" si="142"/>
        <v>2.9505347719846347</v>
      </c>
      <c r="AM661" s="27">
        <f t="shared" si="142"/>
        <v>3.0490743865158891</v>
      </c>
      <c r="AN661" s="27">
        <f t="shared" si="142"/>
        <v>3.1585813861709466</v>
      </c>
      <c r="AO661" s="27">
        <f t="shared" si="142"/>
        <v>3.2621852632226234</v>
      </c>
      <c r="AP661" s="27">
        <f t="shared" si="142"/>
        <v>3.3695643404472522</v>
      </c>
      <c r="AQ661" s="27">
        <f t="shared" si="142"/>
        <v>3.4812725080530544</v>
      </c>
      <c r="AR661" s="27">
        <f t="shared" si="142"/>
        <v>3.5981993154978791</v>
      </c>
      <c r="AS661" s="27">
        <f t="shared" si="142"/>
        <v>3.7216722091838785</v>
      </c>
      <c r="AT661" s="27">
        <f t="shared" si="142"/>
        <v>3.7404703249321303</v>
      </c>
      <c r="AU661" s="27">
        <f t="shared" si="142"/>
        <v>3.749641300046322</v>
      </c>
      <c r="AV661" s="27">
        <f t="shared" si="142"/>
        <v>3.7450255667820502</v>
      </c>
      <c r="AW661" s="27">
        <f t="shared" si="142"/>
        <v>3.7364851229908305</v>
      </c>
      <c r="AY661" s="79"/>
      <c r="AZ661" s="79"/>
    </row>
    <row r="662" spans="1:52" x14ac:dyDescent="0.3">
      <c r="A662" s="95" t="str">
        <f t="shared" si="133"/>
        <v>NI Poultry MMN2O</v>
      </c>
      <c r="B662" s="95" t="s">
        <v>969</v>
      </c>
      <c r="C662" s="95" t="s">
        <v>1234</v>
      </c>
      <c r="D662" t="s">
        <v>15</v>
      </c>
      <c r="E662" t="s">
        <v>657</v>
      </c>
      <c r="F662" t="s">
        <v>28</v>
      </c>
      <c r="G662" t="s">
        <v>134</v>
      </c>
      <c r="H662" t="s">
        <v>1227</v>
      </c>
      <c r="I662" t="s">
        <v>139</v>
      </c>
      <c r="J662" t="s">
        <v>287</v>
      </c>
      <c r="K662" s="27">
        <f t="shared" si="135"/>
        <v>1.3660093635870424E-2</v>
      </c>
      <c r="L662" s="27">
        <f t="shared" si="142"/>
        <v>1.3937830420255735E-2</v>
      </c>
      <c r="M662" s="27">
        <f t="shared" si="142"/>
        <v>1.4262478398481276E-2</v>
      </c>
      <c r="N662" s="27">
        <f t="shared" si="142"/>
        <v>1.4511718638084306E-2</v>
      </c>
      <c r="O662" s="27">
        <f t="shared" si="142"/>
        <v>1.4711795979713132E-2</v>
      </c>
      <c r="P662" s="27">
        <f t="shared" si="142"/>
        <v>1.4861520550190493E-2</v>
      </c>
      <c r="Q662" s="27">
        <f t="shared" si="142"/>
        <v>1.5053508778373347E-2</v>
      </c>
      <c r="R662" s="27">
        <f t="shared" si="142"/>
        <v>1.5253123389732504E-2</v>
      </c>
      <c r="S662" s="27">
        <f t="shared" si="142"/>
        <v>1.45742284149588E-2</v>
      </c>
      <c r="T662" s="27">
        <f t="shared" si="142"/>
        <v>1.4936978657338758E-2</v>
      </c>
      <c r="U662" s="27">
        <f t="shared" si="142"/>
        <v>1.5420403425757045E-2</v>
      </c>
      <c r="V662" s="27">
        <f t="shared" si="142"/>
        <v>1.5716055381248869E-2</v>
      </c>
      <c r="W662" s="27">
        <f t="shared" si="142"/>
        <v>1.6038380919907547E-2</v>
      </c>
      <c r="X662" s="27">
        <f t="shared" si="142"/>
        <v>1.6395535886630449E-2</v>
      </c>
      <c r="Y662" s="27">
        <f t="shared" si="142"/>
        <v>1.6764430279380526E-2</v>
      </c>
      <c r="Z662" s="27">
        <f t="shared" si="142"/>
        <v>1.7162025423259852E-2</v>
      </c>
      <c r="AA662" s="27">
        <f t="shared" si="142"/>
        <v>1.7568561909138691E-2</v>
      </c>
      <c r="AB662" s="27">
        <f t="shared" si="142"/>
        <v>1.8002631935346944E-2</v>
      </c>
      <c r="AC662" s="27">
        <f t="shared" si="142"/>
        <v>1.8444432598854574E-2</v>
      </c>
      <c r="AD662" s="27">
        <f t="shared" si="142"/>
        <v>1.8921106165119213E-2</v>
      </c>
      <c r="AE662" s="27">
        <f t="shared" si="142"/>
        <v>1.9392857554310274E-2</v>
      </c>
      <c r="AF662" s="27">
        <f t="shared" si="142"/>
        <v>1.988637607417253E-2</v>
      </c>
      <c r="AG662" s="27">
        <f t="shared" si="142"/>
        <v>2.0434112967013793E-2</v>
      </c>
      <c r="AH662" s="27">
        <f t="shared" si="142"/>
        <v>2.0959956336489938E-2</v>
      </c>
      <c r="AI662" s="27">
        <f t="shared" si="142"/>
        <v>2.1503763495753996E-2</v>
      </c>
      <c r="AJ662" s="27">
        <f t="shared" si="142"/>
        <v>2.2080286026796948E-2</v>
      </c>
      <c r="AK662" s="27">
        <f t="shared" si="142"/>
        <v>2.2627107721207101E-2</v>
      </c>
      <c r="AL662" s="27">
        <f t="shared" si="142"/>
        <v>2.3172439062110847E-2</v>
      </c>
      <c r="AM662" s="27">
        <f t="shared" si="142"/>
        <v>2.371753464093004E-2</v>
      </c>
      <c r="AN662" s="27">
        <f t="shared" si="142"/>
        <v>2.4295855104154534E-2</v>
      </c>
      <c r="AO662" s="27">
        <f t="shared" si="142"/>
        <v>2.4855761161942075E-2</v>
      </c>
      <c r="AP662" s="27">
        <f t="shared" si="142"/>
        <v>2.5435056934590854E-2</v>
      </c>
      <c r="AQ662" s="27">
        <f t="shared" si="142"/>
        <v>2.6036160699937267E-2</v>
      </c>
      <c r="AR662" s="27">
        <f t="shared" si="142"/>
        <v>2.6662879185516769E-2</v>
      </c>
      <c r="AS662" s="27">
        <f t="shared" si="142"/>
        <v>2.7306334789071466E-2</v>
      </c>
      <c r="AT662" s="27">
        <f t="shared" si="142"/>
        <v>2.7531714483434007E-2</v>
      </c>
      <c r="AU662" s="27">
        <f t="shared" si="142"/>
        <v>2.7718383757735835E-2</v>
      </c>
      <c r="AV662" s="27">
        <f t="shared" si="142"/>
        <v>2.7848741900997311E-2</v>
      </c>
      <c r="AW662" s="27">
        <f t="shared" si="142"/>
        <v>2.7962426225069836E-2</v>
      </c>
      <c r="AY662" s="79"/>
      <c r="AZ662" s="79"/>
    </row>
    <row r="663" spans="1:52" x14ac:dyDescent="0.3">
      <c r="A663" s="95" t="str">
        <f t="shared" si="133"/>
        <v>NI Poultry MMN2O</v>
      </c>
      <c r="B663" s="95" t="s">
        <v>969</v>
      </c>
      <c r="C663" s="95" t="s">
        <v>1234</v>
      </c>
      <c r="D663" t="s">
        <v>15</v>
      </c>
      <c r="E663" t="s">
        <v>657</v>
      </c>
      <c r="F663" t="s">
        <v>28</v>
      </c>
      <c r="G663" t="s">
        <v>133</v>
      </c>
      <c r="H663" t="s">
        <v>1227</v>
      </c>
      <c r="I663" t="s">
        <v>139</v>
      </c>
      <c r="J663" t="s">
        <v>287</v>
      </c>
      <c r="K663" s="27">
        <f t="shared" si="135"/>
        <v>7.0904798648479067E-2</v>
      </c>
      <c r="L663" s="27">
        <f t="shared" si="142"/>
        <v>7.1838488113865229E-2</v>
      </c>
      <c r="M663" s="27">
        <f t="shared" si="142"/>
        <v>7.333826122290886E-2</v>
      </c>
      <c r="N663" s="27">
        <f t="shared" si="142"/>
        <v>7.3768889900085552E-2</v>
      </c>
      <c r="O663" s="27">
        <f t="shared" si="142"/>
        <v>7.3504831661853232E-2</v>
      </c>
      <c r="P663" s="27">
        <f t="shared" si="142"/>
        <v>7.2548895925592424E-2</v>
      </c>
      <c r="Q663" s="27">
        <f t="shared" si="142"/>
        <v>7.2146468817327461E-2</v>
      </c>
      <c r="R663" s="27">
        <f t="shared" si="142"/>
        <v>7.1835339545248775E-2</v>
      </c>
      <c r="S663" s="27">
        <f t="shared" si="142"/>
        <v>6.0553462411913554E-2</v>
      </c>
      <c r="T663" s="27">
        <f t="shared" si="142"/>
        <v>6.2951673990704532E-2</v>
      </c>
      <c r="U663" s="27">
        <f t="shared" si="142"/>
        <v>6.6779065471287438E-2</v>
      </c>
      <c r="V663" s="27">
        <f t="shared" si="142"/>
        <v>6.8254568898105869E-2</v>
      </c>
      <c r="W663" s="27">
        <f t="shared" si="142"/>
        <v>7.0020292911694371E-2</v>
      </c>
      <c r="X663" s="27">
        <f t="shared" si="142"/>
        <v>7.2165945155508851E-2</v>
      </c>
      <c r="Y663" s="27">
        <f t="shared" si="142"/>
        <v>7.4629791965159634E-2</v>
      </c>
      <c r="Z663" s="27">
        <f t="shared" si="142"/>
        <v>7.738893067802953E-2</v>
      </c>
      <c r="AA663" s="27">
        <f t="shared" si="142"/>
        <v>8.0206661196254428E-2</v>
      </c>
      <c r="AB663" s="27">
        <f t="shared" si="142"/>
        <v>8.3296849166076437E-2</v>
      </c>
      <c r="AC663" s="27">
        <f t="shared" si="142"/>
        <v>8.6426659244695656E-2</v>
      </c>
      <c r="AD663" s="27">
        <f t="shared" si="142"/>
        <v>9.0080341376754844E-2</v>
      </c>
      <c r="AE663" s="27">
        <f t="shared" si="142"/>
        <v>9.3626057457867992E-2</v>
      </c>
      <c r="AF663" s="27">
        <f t="shared" si="142"/>
        <v>9.7366244433175556E-2</v>
      </c>
      <c r="AG663" s="27">
        <f t="shared" si="142"/>
        <v>0.10165923306598072</v>
      </c>
      <c r="AH663" s="27">
        <f t="shared" si="142"/>
        <v>0.10565153800521729</v>
      </c>
      <c r="AI663" s="27">
        <f t="shared" si="142"/>
        <v>0.10995197307404567</v>
      </c>
      <c r="AJ663" s="27">
        <f t="shared" si="142"/>
        <v>0.11455624026038116</v>
      </c>
      <c r="AK663" s="27">
        <f t="shared" si="142"/>
        <v>0.11878116615233021</v>
      </c>
      <c r="AL663" s="27">
        <f t="shared" si="142"/>
        <v>0.12293894883269324</v>
      </c>
      <c r="AM663" s="27">
        <f t="shared" si="142"/>
        <v>0.12704476610482884</v>
      </c>
      <c r="AN663" s="27">
        <f t="shared" si="142"/>
        <v>0.13160755775712291</v>
      </c>
      <c r="AO663" s="27">
        <f t="shared" si="142"/>
        <v>0.13592438596760945</v>
      </c>
      <c r="AP663" s="27">
        <f t="shared" si="142"/>
        <v>0.14039851418530233</v>
      </c>
      <c r="AQ663" s="27">
        <f t="shared" si="142"/>
        <v>0.14505302116887739</v>
      </c>
      <c r="AR663" s="27">
        <f t="shared" si="142"/>
        <v>0.14992497147907843</v>
      </c>
      <c r="AS663" s="27">
        <f t="shared" si="142"/>
        <v>0.15506967538266181</v>
      </c>
      <c r="AT663" s="27">
        <f t="shared" si="142"/>
        <v>0.15585293020550561</v>
      </c>
      <c r="AU663" s="27">
        <f t="shared" si="142"/>
        <v>0.1562350541685969</v>
      </c>
      <c r="AV663" s="27">
        <f t="shared" si="142"/>
        <v>0.15604273194925225</v>
      </c>
      <c r="AW663" s="27">
        <f t="shared" si="142"/>
        <v>0.15568688012461812</v>
      </c>
      <c r="AY663" s="79"/>
      <c r="AZ663" s="79"/>
    </row>
    <row r="664" spans="1:52" x14ac:dyDescent="0.3">
      <c r="A664" s="95" t="str">
        <f t="shared" si="133"/>
        <v>NI Synthetic</v>
      </c>
      <c r="B664" s="95" t="s">
        <v>969</v>
      </c>
      <c r="C664" s="95" t="s">
        <v>1126</v>
      </c>
      <c r="D664" t="s">
        <v>369</v>
      </c>
      <c r="E664" t="s">
        <v>55</v>
      </c>
      <c r="H664" t="s">
        <v>419</v>
      </c>
      <c r="I664" t="s">
        <v>139</v>
      </c>
      <c r="J664" t="s">
        <v>287</v>
      </c>
      <c r="K664" s="94">
        <f>IF('Net zero activities &amp; levers'!$C$9="Off",'Activity data'!AD47*ttokg*SNEF*NtoN2O*kgtoGg,IF('Net zero activities &amp; levers'!$C$9="On",(('Net zero supporting data'!B157*ttokg*'Net zero supporting data'!B181)+('Net zero supporting data'!B169*ttokg*SNEF))*NtoN2O*kgtoGg,"ERROR"))</f>
        <v>6.6064812063358538</v>
      </c>
      <c r="L664" s="94">
        <f>IF('Net zero activities &amp; levers'!$C$9="Off",'Activity data'!AE47*ttokg*SNEF*NtoN2O*kgtoGg,IF('Net zero activities &amp; levers'!$C$9="On",(('Net zero supporting data'!C157*ttokg*'Net zero supporting data'!C181)+('Net zero supporting data'!C169*ttokg*SNEF))*NtoN2O*kgtoGg,"ERROR"))</f>
        <v>6.6058242184852958</v>
      </c>
      <c r="M664" s="94">
        <f>IF('Net zero activities &amp; levers'!$C$9="Off",'Activity data'!AF47*ttokg*SNEF*NtoN2O*kgtoGg,IF('Net zero activities &amp; levers'!$C$9="On",(('Net zero supporting data'!D157*ttokg*'Net zero supporting data'!D181)+('Net zero supporting data'!D169*ttokg*SNEF))*NtoN2O*kgtoGg,"ERROR"))</f>
        <v>6.6046196765835479</v>
      </c>
      <c r="N664" s="94">
        <f>IF('Net zero activities &amp; levers'!$C$9="Off",'Activity data'!AG47*ttokg*SNEF*NtoN2O*kgtoGg,IF('Net zero activities &amp; levers'!$C$9="On",(('Net zero supporting data'!E157*ttokg*'Net zero supporting data'!E181)+('Net zero supporting data'!E169*ttokg*SNEF))*NtoN2O*kgtoGg,"ERROR"))</f>
        <v>6.6031799495417181</v>
      </c>
      <c r="O664" s="94">
        <f>IF('Net zero activities &amp; levers'!$C$9="Off",'Activity data'!AH47*ttokg*SNEF*NtoN2O*kgtoGg,IF('Net zero activities &amp; levers'!$C$9="On",(('Net zero supporting data'!F157*ttokg*'Net zero supporting data'!F181)+('Net zero supporting data'!F169*ttokg*SNEF))*NtoN2O*kgtoGg,"ERROR"))</f>
        <v>6.6022073532502725</v>
      </c>
      <c r="P664" s="94">
        <f>IF('Net zero activities &amp; levers'!$C$9="Off",'Activity data'!AI47*ttokg*SNEF*NtoN2O*kgtoGg,IF('Net zero activities &amp; levers'!$C$9="On",(('Net zero supporting data'!G157*ttokg*'Net zero supporting data'!G181)+('Net zero supporting data'!G169*ttokg*SNEF))*NtoN2O*kgtoGg,"ERROR"))</f>
        <v>6.6015380384919204</v>
      </c>
      <c r="Q664" s="94">
        <f>IF('Net zero activities &amp; levers'!$C$9="Off",'Activity data'!AJ47*ttokg*SNEF*NtoN2O*kgtoGg,IF('Net zero activities &amp; levers'!$C$9="On",(('Net zero supporting data'!H157*ttokg*'Net zero supporting data'!H181)+('Net zero supporting data'!H169*ttokg*SNEF))*NtoN2O*kgtoGg,"ERROR"))</f>
        <v>6.6011715236312982</v>
      </c>
      <c r="R664" s="94">
        <f>IF('Net zero activities &amp; levers'!$C$9="Off",'Activity data'!AK47*ttokg*SNEF*NtoN2O*kgtoGg,IF('Net zero activities &amp; levers'!$C$9="On",(('Net zero supporting data'!I157*ttokg*'Net zero supporting data'!I181)+('Net zero supporting data'!I169*ttokg*SNEF))*NtoN2O*kgtoGg,"ERROR"))</f>
        <v>6.6005785698707236</v>
      </c>
      <c r="S664" s="94">
        <f>IF('Net zero activities &amp; levers'!$C$9="Off",'Activity data'!AL47*ttokg*SNEF*NtoN2O*kgtoGg,IF('Net zero activities &amp; levers'!$C$9="On",(('Net zero supporting data'!J157*ttokg*'Net zero supporting data'!J181)+('Net zero supporting data'!J169*ttokg*SNEF))*NtoN2O*kgtoGg,"ERROR"))</f>
        <v>6.599955716072432</v>
      </c>
      <c r="T664" s="94">
        <f>IF('Net zero activities &amp; levers'!$C$9="Off",'Activity data'!AM47*ttokg*SNEF*NtoN2O*kgtoGg,IF('Net zero activities &amp; levers'!$C$9="On",(('Net zero supporting data'!K157*ttokg*'Net zero supporting data'!K181)+('Net zero supporting data'!K169*ttokg*SNEF))*NtoN2O*kgtoGg,"ERROR"))</f>
        <v>6.6042852126323481</v>
      </c>
      <c r="U664" s="94">
        <f>IF('Net zero activities &amp; levers'!$C$9="Off",'Activity data'!AN47*ttokg*SNEF*NtoN2O*kgtoGg,IF('Net zero activities &amp; levers'!$C$9="On",(('Net zero supporting data'!L157*ttokg*'Net zero supporting data'!L181)+('Net zero supporting data'!L169*ttokg*SNEF))*NtoN2O*kgtoGg,"ERROR"))</f>
        <v>6.6025684208058211</v>
      </c>
      <c r="V664" s="94">
        <f>IF('Net zero activities &amp; levers'!$C$9="Off",'Activity data'!AO47*ttokg*SNEF*NtoN2O*kgtoGg,IF('Net zero activities &amp; levers'!$C$9="On",(('Net zero supporting data'!M157*ttokg*'Net zero supporting data'!M181)+('Net zero supporting data'!M169*ttokg*SNEF))*NtoN2O*kgtoGg,"ERROR"))</f>
        <v>6.6002252909433183</v>
      </c>
      <c r="W664" s="94">
        <f>IF('Net zero activities &amp; levers'!$C$9="Off",'Activity data'!AP47*ttokg*SNEF*NtoN2O*kgtoGg,IF('Net zero activities &amp; levers'!$C$9="On",(('Net zero supporting data'!N157*ttokg*'Net zero supporting data'!N181)+('Net zero supporting data'!N169*ttokg*SNEF))*NtoN2O*kgtoGg,"ERROR"))</f>
        <v>6.598966168189885</v>
      </c>
      <c r="X664" s="94">
        <f>IF('Net zero activities &amp; levers'!$C$9="Off",'Activity data'!AQ47*ttokg*SNEF*NtoN2O*kgtoGg,IF('Net zero activities &amp; levers'!$C$9="On",(('Net zero supporting data'!O157*ttokg*'Net zero supporting data'!O181)+('Net zero supporting data'!O169*ttokg*SNEF))*NtoN2O*kgtoGg,"ERROR"))</f>
        <v>6.597589047711292</v>
      </c>
      <c r="Y664" s="94">
        <f>IF('Net zero activities &amp; levers'!$C$9="Off",'Activity data'!AR47*ttokg*SNEF*NtoN2O*kgtoGg,IF('Net zero activities &amp; levers'!$C$9="On",(('Net zero supporting data'!P157*ttokg*'Net zero supporting data'!P181)+('Net zero supporting data'!P169*ttokg*SNEF))*NtoN2O*kgtoGg,"ERROR"))</f>
        <v>6.5960579609281904</v>
      </c>
      <c r="Z664" s="94">
        <f>IF('Net zero activities &amp; levers'!$C$9="Off",'Activity data'!AS47*ttokg*SNEF*NtoN2O*kgtoGg,IF('Net zero activities &amp; levers'!$C$9="On",(('Net zero supporting data'!Q157*ttokg*'Net zero supporting data'!Q181)+('Net zero supporting data'!Q169*ttokg*SNEF))*NtoN2O*kgtoGg,"ERROR"))</f>
        <v>6.5944507555305236</v>
      </c>
      <c r="AA664" s="94">
        <f>IF('Net zero activities &amp; levers'!$C$9="Off",'Activity data'!AT47*ttokg*SNEF*NtoN2O*kgtoGg,IF('Net zero activities &amp; levers'!$C$9="On",(('Net zero supporting data'!R157*ttokg*'Net zero supporting data'!R181)+('Net zero supporting data'!R169*ttokg*SNEF))*NtoN2O*kgtoGg,"ERROR"))</f>
        <v>6.5927354812209922</v>
      </c>
      <c r="AB664" s="94">
        <f>IF('Net zero activities &amp; levers'!$C$9="Off",'Activity data'!AU47*ttokg*SNEF*NtoN2O*kgtoGg,IF('Net zero activities &amp; levers'!$C$9="On",(('Net zero supporting data'!S157*ttokg*'Net zero supporting data'!S181)+('Net zero supporting data'!S169*ttokg*SNEF))*NtoN2O*kgtoGg,"ERROR"))</f>
        <v>6.5910165055066825</v>
      </c>
      <c r="AC664" s="94">
        <f>IF('Net zero activities &amp; levers'!$C$9="Off",'Activity data'!AV47*ttokg*SNEF*NtoN2O*kgtoGg,IF('Net zero activities &amp; levers'!$C$9="On",(('Net zero supporting data'!T157*ttokg*'Net zero supporting data'!T181)+('Net zero supporting data'!T169*ttokg*SNEF))*NtoN2O*kgtoGg,"ERROR"))</f>
        <v>6.589206056061478</v>
      </c>
      <c r="AD664" s="94">
        <f>IF('Net zero activities &amp; levers'!$C$9="Off",'Activity data'!AW47*ttokg*SNEF*NtoN2O*kgtoGg,IF('Net zero activities &amp; levers'!$C$9="On",(('Net zero supporting data'!U157*ttokg*'Net zero supporting data'!U181)+('Net zero supporting data'!U169*ttokg*SNEF))*NtoN2O*kgtoGg,"ERROR"))</f>
        <v>6.5874036822299606</v>
      </c>
      <c r="AE664" s="94">
        <f>IF('Net zero activities &amp; levers'!$C$9="Off",'Activity data'!AX47*ttokg*SNEF*NtoN2O*kgtoGg,IF('Net zero activities &amp; levers'!$C$9="On",(('Net zero supporting data'!V157*ttokg*'Net zero supporting data'!V181)+('Net zero supporting data'!V169*ttokg*SNEF))*NtoN2O*kgtoGg,"ERROR"))</f>
        <v>6.5854496085579246</v>
      </c>
      <c r="AF664" s="94">
        <f>IF('Net zero activities &amp; levers'!$C$9="Off",'Activity data'!AY47*ttokg*SNEF*NtoN2O*kgtoGg,IF('Net zero activities &amp; levers'!$C$9="On",(('Net zero supporting data'!W157*ttokg*'Net zero supporting data'!W181)+('Net zero supporting data'!W169*ttokg*SNEF))*NtoN2O*kgtoGg,"ERROR"))</f>
        <v>6.5835675614397218</v>
      </c>
      <c r="AG664" s="94">
        <f>IF('Net zero activities &amp; levers'!$C$9="Off",'Activity data'!AZ47*ttokg*SNEF*NtoN2O*kgtoGg,IF('Net zero activities &amp; levers'!$C$9="On",(('Net zero supporting data'!X157*ttokg*'Net zero supporting data'!X181)+('Net zero supporting data'!X169*ttokg*SNEF))*NtoN2O*kgtoGg,"ERROR"))</f>
        <v>6.5816378763594336</v>
      </c>
      <c r="AH664" s="94">
        <f>IF('Net zero activities &amp; levers'!$C$9="Off",'Activity data'!BA47*ttokg*SNEF*NtoN2O*kgtoGg,IF('Net zero activities &amp; levers'!$C$9="On",(('Net zero supporting data'!Y157*ttokg*'Net zero supporting data'!Y181)+('Net zero supporting data'!Y169*ttokg*SNEF))*NtoN2O*kgtoGg,"ERROR"))</f>
        <v>6.5795282781002431</v>
      </c>
      <c r="AI664" s="94">
        <f>IF('Net zero activities &amp; levers'!$C$9="Off",'Activity data'!BB47*ttokg*SNEF*NtoN2O*kgtoGg,IF('Net zero activities &amp; levers'!$C$9="On",(('Net zero supporting data'!Z157*ttokg*'Net zero supporting data'!Z181)+('Net zero supporting data'!Z169*ttokg*SNEF))*NtoN2O*kgtoGg,"ERROR"))</f>
        <v>6.5775665224366495</v>
      </c>
      <c r="AJ664" s="94">
        <f>IF('Net zero activities &amp; levers'!$C$9="Off",'Activity data'!BC47*ttokg*SNEF*NtoN2O*kgtoGg,IF('Net zero activities &amp; levers'!$C$9="On",(('Net zero supporting data'!AA157*ttokg*'Net zero supporting data'!AA181)+('Net zero supporting data'!AA169*ttokg*SNEF))*NtoN2O*kgtoGg,"ERROR"))</f>
        <v>6.5755521924304867</v>
      </c>
      <c r="AK664" s="94">
        <f>IF('Net zero activities &amp; levers'!$C$9="Off",'Activity data'!BD47*ttokg*SNEF*NtoN2O*kgtoGg,IF('Net zero activities &amp; levers'!$C$9="On",(('Net zero supporting data'!AB157*ttokg*'Net zero supporting data'!AB181)+('Net zero supporting data'!AB169*ttokg*SNEF))*NtoN2O*kgtoGg,"ERROR"))</f>
        <v>6.573462792654313</v>
      </c>
      <c r="AL664" s="94">
        <f>IF('Net zero activities &amp; levers'!$C$9="Off",'Activity data'!BE47*ttokg*SNEF*NtoN2O*kgtoGg,IF('Net zero activities &amp; levers'!$C$9="On",(('Net zero supporting data'!AC157*ttokg*'Net zero supporting data'!AC181)+('Net zero supporting data'!AC169*ttokg*SNEF))*NtoN2O*kgtoGg,"ERROR"))</f>
        <v>6.5715425101563261</v>
      </c>
      <c r="AM664" s="94">
        <f>IF('Net zero activities &amp; levers'!$C$9="Off",'Activity data'!BF47*ttokg*SNEF*NtoN2O*kgtoGg,IF('Net zero activities &amp; levers'!$C$9="On",(('Net zero supporting data'!AD157*ttokg*'Net zero supporting data'!AD181)+('Net zero supporting data'!AD169*ttokg*SNEF))*NtoN2O*kgtoGg,"ERROR"))</f>
        <v>6.5696756052718408</v>
      </c>
      <c r="AN664" s="94">
        <f>IF('Net zero activities &amp; levers'!$C$9="Off",'Activity data'!BG47*ttokg*SNEF*NtoN2O*kgtoGg,IF('Net zero activities &amp; levers'!$C$9="On",(('Net zero supporting data'!AE157*ttokg*'Net zero supporting data'!AE181)+('Net zero supporting data'!AE169*ttokg*SNEF))*NtoN2O*kgtoGg,"ERROR"))</f>
        <v>6.5678548596880235</v>
      </c>
      <c r="AO664" s="94">
        <f>IF('Net zero activities &amp; levers'!$C$9="Off",'Activity data'!BH47*ttokg*SNEF*NtoN2O*kgtoGg,IF('Net zero activities &amp; levers'!$C$9="On",(('Net zero supporting data'!AF157*ttokg*'Net zero supporting data'!AF181)+('Net zero supporting data'!AF169*ttokg*SNEF))*NtoN2O*kgtoGg,"ERROR"))</f>
        <v>6.5659337062591927</v>
      </c>
      <c r="AP664" s="94">
        <f>IF('Net zero activities &amp; levers'!$C$9="Off",'Activity data'!BI47*ttokg*SNEF*NtoN2O*kgtoGg,IF('Net zero activities &amp; levers'!$C$9="On",(('Net zero supporting data'!AG157*ttokg*'Net zero supporting data'!AG181)+('Net zero supporting data'!AG169*ttokg*SNEF))*NtoN2O*kgtoGg,"ERROR"))</f>
        <v>6.564123592040632</v>
      </c>
      <c r="AQ664" s="94">
        <f>IF('Net zero activities &amp; levers'!$C$9="Off",'Activity data'!BJ47*ttokg*SNEF*NtoN2O*kgtoGg,IF('Net zero activities &amp; levers'!$C$9="On",(('Net zero supporting data'!AH157*ttokg*'Net zero supporting data'!AH181)+('Net zero supporting data'!AH169*ttokg*SNEF))*NtoN2O*kgtoGg,"ERROR"))</f>
        <v>6.5622903638449301</v>
      </c>
      <c r="AR664" s="94">
        <f>IF('Net zero activities &amp; levers'!$C$9="Off",'Activity data'!BK47*ttokg*SNEF*NtoN2O*kgtoGg,IF('Net zero activities &amp; levers'!$C$9="On",(('Net zero supporting data'!AI157*ttokg*'Net zero supporting data'!AI181)+('Net zero supporting data'!AI169*ttokg*SNEF))*NtoN2O*kgtoGg,"ERROR"))</f>
        <v>6.5604286486377719</v>
      </c>
      <c r="AS664" s="94">
        <f>IF('Net zero activities &amp; levers'!$C$9="Off",'Activity data'!BL47*ttokg*SNEF*NtoN2O*kgtoGg,IF('Net zero activities &amp; levers'!$C$9="On",(('Net zero supporting data'!AJ157*ttokg*'Net zero supporting data'!AJ181)+('Net zero supporting data'!AJ169*ttokg*SNEF))*NtoN2O*kgtoGg,"ERROR"))</f>
        <v>6.5585292511260116</v>
      </c>
      <c r="AT664" s="94">
        <f>IF('Net zero activities &amp; levers'!$C$9="Off",'Activity data'!BM47*ttokg*SNEF*NtoN2O*kgtoGg,IF('Net zero activities &amp; levers'!$C$9="On",(('Net zero supporting data'!AK157*ttokg*'Net zero supporting data'!AK181)+('Net zero supporting data'!AK169*ttokg*SNEF))*NtoN2O*kgtoGg,"ERROR"))</f>
        <v>6.5566000956326942</v>
      </c>
      <c r="AU664" s="94">
        <f>IF('Net zero activities &amp; levers'!$C$9="Off",'Activity data'!BN47*ttokg*SNEF*NtoN2O*kgtoGg,IF('Net zero activities &amp; levers'!$C$9="On",(('Net zero supporting data'!AL157*ttokg*'Net zero supporting data'!AL181)+('Net zero supporting data'!AL169*ttokg*SNEF))*NtoN2O*kgtoGg,"ERROR"))</f>
        <v>6.5560073347552805</v>
      </c>
      <c r="AV664" s="94">
        <f>IF('Net zero activities &amp; levers'!$C$9="Off",'Activity data'!BO47*ttokg*SNEF*NtoN2O*kgtoGg,IF('Net zero activities &amp; levers'!$C$9="On",(('Net zero supporting data'!AM157*ttokg*'Net zero supporting data'!AM181)+('Net zero supporting data'!AM169*ttokg*SNEF))*NtoN2O*kgtoGg,"ERROR"))</f>
        <v>6.5555391486602428</v>
      </c>
      <c r="AW664" s="94">
        <f>IF('Net zero activities &amp; levers'!$C$9="Off",'Activity data'!BP47*ttokg*SNEF*NtoN2O*kgtoGg,IF('Net zero activities &amp; levers'!$C$9="On",(('Net zero supporting data'!AN157*ttokg*'Net zero supporting data'!AN181)+('Net zero supporting data'!AN169*ttokg*SNEF))*NtoN2O*kgtoGg,"ERROR"))</f>
        <v>6.5552474687649953</v>
      </c>
      <c r="AY664" s="79"/>
      <c r="AZ664" s="79"/>
    </row>
    <row r="665" spans="1:52" x14ac:dyDescent="0.3">
      <c r="A665" s="95" t="str">
        <f t="shared" si="133"/>
        <v>NI Organic</v>
      </c>
      <c r="B665" s="95" t="s">
        <v>969</v>
      </c>
      <c r="C665" s="95" t="s">
        <v>1127</v>
      </c>
      <c r="D665" t="s">
        <v>369</v>
      </c>
      <c r="E665" t="s">
        <v>55</v>
      </c>
      <c r="H665" t="s">
        <v>420</v>
      </c>
      <c r="I665" t="s">
        <v>139</v>
      </c>
      <c r="J665" t="s">
        <v>287</v>
      </c>
      <c r="K665" s="94">
        <f>IF('Net zero activities &amp; levers'!$C$9="Off",'Activity data'!AD48*ttokg*SNEF*NtoN2O*kgtoGg,IF('Net zero activities &amp; levers'!$C$9="On",(('Net zero supporting data'!B158*ttokg*'Net zero supporting data'!B182)+('Net zero supporting data'!B170*ttokg*ONEF))*NtoN2O*kgtoGg,"ERROR"))</f>
        <v>4.3602775961816637E-2</v>
      </c>
      <c r="L665" s="94">
        <f>IF('Net zero activities &amp; levers'!$C$9="Off",'Activity data'!AE48*ttokg*SNEF*NtoN2O*kgtoGg,IF('Net zero activities &amp; levers'!$C$9="On",(('Net zero supporting data'!C158*ttokg*'Net zero supporting data'!C182)+('Net zero supporting data'!C170*ttokg*ONEF))*NtoN2O*kgtoGg,"ERROR"))</f>
        <v>4.3598439842002956E-2</v>
      </c>
      <c r="M665" s="94">
        <f>IF('Net zero activities &amp; levers'!$C$9="Off",'Activity data'!AF48*ttokg*SNEF*NtoN2O*kgtoGg,IF('Net zero activities &amp; levers'!$C$9="On",(('Net zero supporting data'!D158*ttokg*'Net zero supporting data'!D182)+('Net zero supporting data'!D170*ttokg*ONEF))*NtoN2O*kgtoGg,"ERROR"))</f>
        <v>4.3590489865451415E-2</v>
      </c>
      <c r="N665" s="94">
        <f>IF('Net zero activities &amp; levers'!$C$9="Off",'Activity data'!AG48*ttokg*SNEF*NtoN2O*kgtoGg,IF('Net zero activities &amp; levers'!$C$9="On",(('Net zero supporting data'!E158*ttokg*'Net zero supporting data'!E182)+('Net zero supporting data'!E170*ttokg*ONEF))*NtoN2O*kgtoGg,"ERROR"))</f>
        <v>4.3580987666975365E-2</v>
      </c>
      <c r="O665" s="94">
        <f>IF('Net zero activities &amp; levers'!$C$9="Off",'Activity data'!AH48*ttokg*SNEF*NtoN2O*kgtoGg,IF('Net zero activities &amp; levers'!$C$9="On",(('Net zero supporting data'!F158*ttokg*'Net zero supporting data'!F182)+('Net zero supporting data'!F170*ttokg*ONEF))*NtoN2O*kgtoGg,"ERROR"))</f>
        <v>4.3574568531451807E-2</v>
      </c>
      <c r="P665" s="94">
        <f>IF('Net zero activities &amp; levers'!$C$9="Off",'Activity data'!AI48*ttokg*SNEF*NtoN2O*kgtoGg,IF('Net zero activities &amp; levers'!$C$9="On",(('Net zero supporting data'!G158*ttokg*'Net zero supporting data'!G182)+('Net zero supporting data'!G170*ttokg*ONEF))*NtoN2O*kgtoGg,"ERROR"))</f>
        <v>4.3570151054046678E-2</v>
      </c>
      <c r="Q665" s="94">
        <f>IF('Net zero activities &amp; levers'!$C$9="Off",'Activity data'!AJ48*ttokg*SNEF*NtoN2O*kgtoGg,IF('Net zero activities &amp; levers'!$C$9="On",(('Net zero supporting data'!H158*ttokg*'Net zero supporting data'!H182)+('Net zero supporting data'!H170*ttokg*ONEF))*NtoN2O*kgtoGg,"ERROR"))</f>
        <v>4.356773205596657E-2</v>
      </c>
      <c r="R665" s="94">
        <f>IF('Net zero activities &amp; levers'!$C$9="Off",'Activity data'!AK48*ttokg*SNEF*NtoN2O*kgtoGg,IF('Net zero activities &amp; levers'!$C$9="On",(('Net zero supporting data'!I158*ttokg*'Net zero supporting data'!I182)+('Net zero supporting data'!I170*ttokg*ONEF))*NtoN2O*kgtoGg,"ERROR"))</f>
        <v>4.3563818561146786E-2</v>
      </c>
      <c r="S665" s="94">
        <f>IF('Net zero activities &amp; levers'!$C$9="Off",'Activity data'!AL48*ttokg*SNEF*NtoN2O*kgtoGg,IF('Net zero activities &amp; levers'!$C$9="On",(('Net zero supporting data'!J158*ttokg*'Net zero supporting data'!J182)+('Net zero supporting data'!J170*ttokg*ONEF))*NtoN2O*kgtoGg,"ERROR"))</f>
        <v>4.3559707726078062E-2</v>
      </c>
      <c r="T665" s="94">
        <f>IF('Net zero activities &amp; levers'!$C$9="Off",'Activity data'!AM48*ttokg*SNEF*NtoN2O*kgtoGg,IF('Net zero activities &amp; levers'!$C$9="On",(('Net zero supporting data'!K158*ttokg*'Net zero supporting data'!K182)+('Net zero supporting data'!K170*ttokg*ONEF))*NtoN2O*kgtoGg,"ERROR"))</f>
        <v>4.3588282403373507E-2</v>
      </c>
      <c r="U665" s="94">
        <f>IF('Net zero activities &amp; levers'!$C$9="Off",'Activity data'!AN48*ttokg*SNEF*NtoN2O*kgtoGg,IF('Net zero activities &amp; levers'!$C$9="On",(('Net zero supporting data'!L158*ttokg*'Net zero supporting data'!L182)+('Net zero supporting data'!L170*ttokg*ONEF))*NtoN2O*kgtoGg,"ERROR"))</f>
        <v>4.3576951577318432E-2</v>
      </c>
      <c r="V665" s="94">
        <f>IF('Net zero activities &amp; levers'!$C$9="Off",'Activity data'!AO48*ttokg*SNEF*NtoN2O*kgtoGg,IF('Net zero activities &amp; levers'!$C$9="On",(('Net zero supporting data'!M158*ttokg*'Net zero supporting data'!M182)+('Net zero supporting data'!M170*ttokg*ONEF))*NtoN2O*kgtoGg,"ERROR"))</f>
        <v>4.356148692022592E-2</v>
      </c>
      <c r="W665" s="94">
        <f>IF('Net zero activities &amp; levers'!$C$9="Off",'Activity data'!AP48*ttokg*SNEF*NtoN2O*kgtoGg,IF('Net zero activities &amp; levers'!$C$9="On",(('Net zero supporting data'!N158*ttokg*'Net zero supporting data'!N182)+('Net zero supporting data'!N170*ttokg*ONEF))*NtoN2O*kgtoGg,"ERROR"))</f>
        <v>4.3553176710053244E-2</v>
      </c>
      <c r="X665" s="94">
        <f>IF('Net zero activities &amp; levers'!$C$9="Off",'Activity data'!AQ48*ttokg*SNEF*NtoN2O*kgtoGg,IF('Net zero activities &amp; levers'!$C$9="On",(('Net zero supporting data'!O158*ttokg*'Net zero supporting data'!O182)+('Net zero supporting data'!O170*ttokg*ONEF))*NtoN2O*kgtoGg,"ERROR"))</f>
        <v>4.3544087714894535E-2</v>
      </c>
      <c r="Y665" s="94">
        <f>IF('Net zero activities &amp; levers'!$C$9="Off",'Activity data'!AR48*ttokg*SNEF*NtoN2O*kgtoGg,IF('Net zero activities &amp; levers'!$C$9="On",(('Net zero supporting data'!P158*ttokg*'Net zero supporting data'!P182)+('Net zero supporting data'!P170*ttokg*ONEF))*NtoN2O*kgtoGg,"ERROR"))</f>
        <v>4.3533982542126072E-2</v>
      </c>
      <c r="Z665" s="94">
        <f>IF('Net zero activities &amp; levers'!$C$9="Off",'Activity data'!AS48*ttokg*SNEF*NtoN2O*kgtoGg,IF('Net zero activities &amp; levers'!$C$9="On",(('Net zero supporting data'!Q158*ttokg*'Net zero supporting data'!Q182)+('Net zero supporting data'!Q170*ttokg*ONEF))*NtoN2O*kgtoGg,"ERROR"))</f>
        <v>4.3523374986501467E-2</v>
      </c>
      <c r="AA665" s="94">
        <f>IF('Net zero activities &amp; levers'!$C$9="Off",'Activity data'!AT48*ttokg*SNEF*NtoN2O*kgtoGg,IF('Net zero activities &amp; levers'!$C$9="On",(('Net zero supporting data'!R158*ttokg*'Net zero supporting data'!R182)+('Net zero supporting data'!R170*ttokg*ONEF))*NtoN2O*kgtoGg,"ERROR"))</f>
        <v>4.3512054176058558E-2</v>
      </c>
      <c r="AB665" s="94">
        <f>IF('Net zero activities &amp; levers'!$C$9="Off",'Activity data'!AU48*ttokg*SNEF*NtoN2O*kgtoGg,IF('Net zero activities &amp; levers'!$C$9="On",(('Net zero supporting data'!S158*ttokg*'Net zero supporting data'!S182)+('Net zero supporting data'!S170*ttokg*ONEF))*NtoN2O*kgtoGg,"ERROR"))</f>
        <v>4.3500708936344119E-2</v>
      </c>
      <c r="AC665" s="94">
        <f>IF('Net zero activities &amp; levers'!$C$9="Off",'Activity data'!AV48*ttokg*SNEF*NtoN2O*kgtoGg,IF('Net zero activities &amp; levers'!$C$9="On",(('Net zero supporting data'!T158*ttokg*'Net zero supporting data'!T182)+('Net zero supporting data'!T170*ttokg*ONEF))*NtoN2O*kgtoGg,"ERROR"))</f>
        <v>4.3488759970005758E-2</v>
      </c>
      <c r="AD665" s="94">
        <f>IF('Net zero activities &amp; levers'!$C$9="Off",'Activity data'!AW48*ttokg*SNEF*NtoN2O*kgtoGg,IF('Net zero activities &amp; levers'!$C$9="On",(('Net zero supporting data'!U158*ttokg*'Net zero supporting data'!U182)+('Net zero supporting data'!U170*ttokg*ONEF))*NtoN2O*kgtoGg,"ERROR"))</f>
        <v>4.3476864302717751E-2</v>
      </c>
      <c r="AE665" s="94">
        <f>IF('Net zero activities &amp; levers'!$C$9="Off",'Activity data'!AX48*ttokg*SNEF*NtoN2O*kgtoGg,IF('Net zero activities &amp; levers'!$C$9="On",(('Net zero supporting data'!V158*ttokg*'Net zero supporting data'!V182)+('Net zero supporting data'!V170*ttokg*ONEF))*NtoN2O*kgtoGg,"ERROR"))</f>
        <v>4.3463967416482306E-2</v>
      </c>
      <c r="AF665" s="94">
        <f>IF('Net zero activities &amp; levers'!$C$9="Off",'Activity data'!AY48*ttokg*SNEF*NtoN2O*kgtoGg,IF('Net zero activities &amp; levers'!$C$9="On",(('Net zero supporting data'!W158*ttokg*'Net zero supporting data'!W182)+('Net zero supporting data'!W170*ttokg*ONEF))*NtoN2O*kgtoGg,"ERROR"))</f>
        <v>4.3451545905502167E-2</v>
      </c>
      <c r="AG665" s="94">
        <f>IF('Net zero activities &amp; levers'!$C$9="Off",'Activity data'!AZ48*ttokg*SNEF*NtoN2O*kgtoGg,IF('Net zero activities &amp; levers'!$C$9="On",(('Net zero supporting data'!X158*ttokg*'Net zero supporting data'!X182)+('Net zero supporting data'!X170*ttokg*ONEF))*NtoN2O*kgtoGg,"ERROR"))</f>
        <v>4.3438809983972274E-2</v>
      </c>
      <c r="AH665" s="94">
        <f>IF('Net zero activities &amp; levers'!$C$9="Off",'Activity data'!BA48*ttokg*SNEF*NtoN2O*kgtoGg,IF('Net zero activities &amp; levers'!$C$9="On",(('Net zero supporting data'!Y158*ttokg*'Net zero supporting data'!Y182)+('Net zero supporting data'!Y170*ttokg*ONEF))*NtoN2O*kgtoGg,"ERROR"))</f>
        <v>4.342488663546161E-2</v>
      </c>
      <c r="AI665" s="94">
        <f>IF('Net zero activities &amp; levers'!$C$9="Off",'Activity data'!BB48*ttokg*SNEF*NtoN2O*kgtoGg,IF('Net zero activities &amp; levers'!$C$9="On",(('Net zero supporting data'!Z158*ttokg*'Net zero supporting data'!Z182)+('Net zero supporting data'!Z170*ttokg*ONEF))*NtoN2O*kgtoGg,"ERROR"))</f>
        <v>4.3411939048081889E-2</v>
      </c>
      <c r="AJ665" s="94">
        <f>IF('Net zero activities &amp; levers'!$C$9="Off",'Activity data'!BC48*ttokg*SNEF*NtoN2O*kgtoGg,IF('Net zero activities &amp; levers'!$C$9="On",(('Net zero supporting data'!AA158*ttokg*'Net zero supporting data'!AA182)+('Net zero supporting data'!AA170*ttokg*ONEF))*NtoN2O*kgtoGg,"ERROR"))</f>
        <v>4.3398644470041221E-2</v>
      </c>
      <c r="AK665" s="94">
        <f>IF('Net zero activities &amp; levers'!$C$9="Off",'Activity data'!BD48*ttokg*SNEF*NtoN2O*kgtoGg,IF('Net zero activities &amp; levers'!$C$9="On",(('Net zero supporting data'!AB158*ttokg*'Net zero supporting data'!AB182)+('Net zero supporting data'!AB170*ttokg*ONEF))*NtoN2O*kgtoGg,"ERROR"))</f>
        <v>4.3384854431518481E-2</v>
      </c>
      <c r="AL665" s="94">
        <f>IF('Net zero activities &amp; levers'!$C$9="Off",'Activity data'!BE48*ttokg*SNEF*NtoN2O*kgtoGg,IF('Net zero activities &amp; levers'!$C$9="On",(('Net zero supporting data'!AC158*ttokg*'Net zero supporting data'!AC182)+('Net zero supporting data'!AC170*ttokg*ONEF))*NtoN2O*kgtoGg,"ERROR"))</f>
        <v>4.3372180567031765E-2</v>
      </c>
      <c r="AM665" s="94">
        <f>IF('Net zero activities &amp; levers'!$C$9="Off",'Activity data'!BF48*ttokg*SNEF*NtoN2O*kgtoGg,IF('Net zero activities &amp; levers'!$C$9="On",(('Net zero supporting data'!AD158*ttokg*'Net zero supporting data'!AD182)+('Net zero supporting data'!AD170*ttokg*ONEF))*NtoN2O*kgtoGg,"ERROR"))</f>
        <v>4.3359858994794151E-2</v>
      </c>
      <c r="AN665" s="94">
        <f>IF('Net zero activities &amp; levers'!$C$9="Off",'Activity data'!BG48*ttokg*SNEF*NtoN2O*kgtoGg,IF('Net zero activities &amp; levers'!$C$9="On",(('Net zero supporting data'!AE158*ttokg*'Net zero supporting data'!AE182)+('Net zero supporting data'!AE170*ttokg*ONEF))*NtoN2O*kgtoGg,"ERROR"))</f>
        <v>4.3347842073940955E-2</v>
      </c>
      <c r="AO665" s="94">
        <f>IF('Net zero activities &amp; levers'!$C$9="Off",'Activity data'!BH48*ttokg*SNEF*NtoN2O*kgtoGg,IF('Net zero activities &amp; levers'!$C$9="On",(('Net zero supporting data'!AF158*ttokg*'Net zero supporting data'!AF182)+('Net zero supporting data'!AF170*ttokg*ONEF))*NtoN2O*kgtoGg,"ERROR"))</f>
        <v>4.3335162461310681E-2</v>
      </c>
      <c r="AP665" s="94">
        <f>IF('Net zero activities &amp; levers'!$C$9="Off",'Activity data'!BI48*ttokg*SNEF*NtoN2O*kgtoGg,IF('Net zero activities &amp; levers'!$C$9="On",(('Net zero supporting data'!AG158*ttokg*'Net zero supporting data'!AG182)+('Net zero supporting data'!AG170*ttokg*ONEF))*NtoN2O*kgtoGg,"ERROR"))</f>
        <v>4.3323215707468173E-2</v>
      </c>
      <c r="AQ665" s="94">
        <f>IF('Net zero activities &amp; levers'!$C$9="Off",'Activity data'!BJ48*ttokg*SNEF*NtoN2O*kgtoGg,IF('Net zero activities &amp; levers'!$C$9="On",(('Net zero supporting data'!AH158*ttokg*'Net zero supporting data'!AH182)+('Net zero supporting data'!AH170*ttokg*ONEF))*NtoN2O*kgtoGg,"ERROR"))</f>
        <v>4.3311116401376547E-2</v>
      </c>
      <c r="AR665" s="94">
        <f>IF('Net zero activities &amp; levers'!$C$9="Off",'Activity data'!BK48*ttokg*SNEF*NtoN2O*kgtoGg,IF('Net zero activities &amp; levers'!$C$9="On",(('Net zero supporting data'!AI158*ttokg*'Net zero supporting data'!AI182)+('Net zero supporting data'!AI170*ttokg*ONEF))*NtoN2O*kgtoGg,"ERROR"))</f>
        <v>4.32988290810093E-2</v>
      </c>
      <c r="AS665" s="94">
        <f>IF('Net zero activities &amp; levers'!$C$9="Off",'Activity data'!BL48*ttokg*SNEF*NtoN2O*kgtoGg,IF('Net zero activities &amp; levers'!$C$9="On",(('Net zero supporting data'!AJ158*ttokg*'Net zero supporting data'!AJ182)+('Net zero supporting data'!AJ170*ttokg*ONEF))*NtoN2O*kgtoGg,"ERROR"))</f>
        <v>4.3286293057431681E-2</v>
      </c>
      <c r="AT665" s="94">
        <f>IF('Net zero activities &amp; levers'!$C$9="Off",'Activity data'!BM48*ttokg*SNEF*NtoN2O*kgtoGg,IF('Net zero activities &amp; levers'!$C$9="On",(('Net zero supporting data'!AK158*ttokg*'Net zero supporting data'!AK182)+('Net zero supporting data'!AK170*ttokg*ONEF))*NtoN2O*kgtoGg,"ERROR"))</f>
        <v>4.3273560631175802E-2</v>
      </c>
      <c r="AU665" s="94">
        <f>IF('Net zero activities &amp; levers'!$C$9="Off",'Activity data'!BN48*ttokg*SNEF*NtoN2O*kgtoGg,IF('Net zero activities &amp; levers'!$C$9="On",(('Net zero supporting data'!AL158*ttokg*'Net zero supporting data'!AL182)+('Net zero supporting data'!AL170*ttokg*ONEF))*NtoN2O*kgtoGg,"ERROR"))</f>
        <v>4.326964840938486E-2</v>
      </c>
      <c r="AV665" s="94">
        <f>IF('Net zero activities &amp; levers'!$C$9="Off",'Activity data'!BO48*ttokg*SNEF*NtoN2O*kgtoGg,IF('Net zero activities &amp; levers'!$C$9="On",(('Net zero supporting data'!AM158*ttokg*'Net zero supporting data'!AM182)+('Net zero supporting data'!AM170*ttokg*ONEF))*NtoN2O*kgtoGg,"ERROR"))</f>
        <v>4.3266558381157602E-2</v>
      </c>
      <c r="AW665" s="94">
        <f>IF('Net zero activities &amp; levers'!$C$9="Off",'Activity data'!BP48*ttokg*SNEF*NtoN2O*kgtoGg,IF('Net zero activities &amp; levers'!$C$9="On",(('Net zero supporting data'!AN158*ttokg*'Net zero supporting data'!AN182)+('Net zero supporting data'!AN170*ttokg*ONEF))*NtoN2O*kgtoGg,"ERROR"))</f>
        <v>4.326463329384897E-2</v>
      </c>
      <c r="AY665" s="79"/>
      <c r="AZ665" s="79"/>
    </row>
    <row r="666" spans="1:52" x14ac:dyDescent="0.3">
      <c r="A666" s="95" t="str">
        <f t="shared" si="133"/>
        <v>NI Crop residues</v>
      </c>
      <c r="B666" s="95" t="s">
        <v>969</v>
      </c>
      <c r="C666" s="95" t="s">
        <v>58</v>
      </c>
      <c r="D666" t="str">
        <f t="shared" ref="D666" si="143">D665</f>
        <v>3C Aggregated and non-CO2 emissions on land</v>
      </c>
      <c r="E666" t="str">
        <f>E665</f>
        <v>3C4 Direct N2O from managed soils (N2O)</v>
      </c>
      <c r="H666" t="s">
        <v>58</v>
      </c>
      <c r="I666" t="str">
        <f>I665</f>
        <v>N2O</v>
      </c>
      <c r="J666" t="str">
        <f>J665</f>
        <v>Gg N2O</v>
      </c>
      <c r="K666" s="27">
        <f>K1465</f>
        <v>2.94930909510781</v>
      </c>
      <c r="L666" s="27">
        <f t="shared" ref="L666:AW666" si="144">L1465</f>
        <v>2.9542138952234782</v>
      </c>
      <c r="M666" s="27">
        <f t="shared" si="144"/>
        <v>2.9632065078783478</v>
      </c>
      <c r="N666" s="27">
        <f t="shared" si="144"/>
        <v>2.9739549157146588</v>
      </c>
      <c r="O666" s="27">
        <f t="shared" si="144"/>
        <v>2.9812159181802835</v>
      </c>
      <c r="P666" s="27">
        <f t="shared" si="144"/>
        <v>2.9862127459015309</v>
      </c>
      <c r="Q666" s="27">
        <f t="shared" si="144"/>
        <v>2.9889489945692191</v>
      </c>
      <c r="R666" s="27">
        <f t="shared" si="144"/>
        <v>2.993375742599615</v>
      </c>
      <c r="S666" s="27">
        <f t="shared" si="144"/>
        <v>2.9980257119701434</v>
      </c>
      <c r="T666" s="27">
        <f t="shared" si="144"/>
        <v>2.9657034776855355</v>
      </c>
      <c r="U666" s="27">
        <f t="shared" si="144"/>
        <v>2.9785203368438653</v>
      </c>
      <c r="V666" s="27">
        <f t="shared" si="144"/>
        <v>2.9960131772531153</v>
      </c>
      <c r="W666" s="27">
        <f t="shared" si="144"/>
        <v>3.0054132680180357</v>
      </c>
      <c r="X666" s="27">
        <f t="shared" si="144"/>
        <v>3.0156942810945373</v>
      </c>
      <c r="Y666" s="27">
        <f t="shared" si="144"/>
        <v>3.0271247430497872</v>
      </c>
      <c r="Z666" s="27">
        <f t="shared" si="144"/>
        <v>3.0391234751628531</v>
      </c>
      <c r="AA666" s="27">
        <f t="shared" si="144"/>
        <v>3.0519290051656554</v>
      </c>
      <c r="AB666" s="27">
        <f t="shared" si="144"/>
        <v>3.0647621683287483</v>
      </c>
      <c r="AC666" s="27">
        <f t="shared" si="144"/>
        <v>3.078278236610247</v>
      </c>
      <c r="AD666" s="27">
        <f t="shared" si="144"/>
        <v>3.0917340156932256</v>
      </c>
      <c r="AE666" s="27">
        <f t="shared" si="144"/>
        <v>3.1063223231702981</v>
      </c>
      <c r="AF666" s="27">
        <f t="shared" si="144"/>
        <v>3.1203729101259317</v>
      </c>
      <c r="AG666" s="27">
        <f t="shared" si="144"/>
        <v>3.1347791424435716</v>
      </c>
      <c r="AH666" s="27">
        <f t="shared" si="144"/>
        <v>3.1505285322943979</v>
      </c>
      <c r="AI666" s="27">
        <f t="shared" si="144"/>
        <v>3.165174190349632</v>
      </c>
      <c r="AJ666" s="27">
        <f t="shared" si="144"/>
        <v>3.1802123467460328</v>
      </c>
      <c r="AK666" s="27">
        <f t="shared" si="144"/>
        <v>3.1958109430597368</v>
      </c>
      <c r="AL666" s="27">
        <f t="shared" si="144"/>
        <v>3.2101469795788988</v>
      </c>
      <c r="AM666" s="27">
        <f t="shared" si="144"/>
        <v>3.2240845208676738</v>
      </c>
      <c r="AN666" s="27">
        <f t="shared" si="144"/>
        <v>3.2376774558702412</v>
      </c>
      <c r="AO666" s="27">
        <f t="shared" si="144"/>
        <v>3.2520199943996095</v>
      </c>
      <c r="AP666" s="27">
        <f t="shared" si="144"/>
        <v>3.2655335600173556</v>
      </c>
      <c r="AQ666" s="27">
        <f t="shared" si="144"/>
        <v>3.2792196850479614</v>
      </c>
      <c r="AR666" s="27">
        <f t="shared" si="144"/>
        <v>3.2931184823478818</v>
      </c>
      <c r="AS666" s="27">
        <f t="shared" si="144"/>
        <v>3.3072986001803124</v>
      </c>
      <c r="AT666" s="27">
        <f t="shared" si="144"/>
        <v>3.3217008788202178</v>
      </c>
      <c r="AU666" s="27">
        <f t="shared" si="144"/>
        <v>3.3261261868645517</v>
      </c>
      <c r="AV666" s="27">
        <f t="shared" si="144"/>
        <v>3.3296214710028345</v>
      </c>
      <c r="AW666" s="27">
        <f t="shared" si="144"/>
        <v>3.3317990327077256</v>
      </c>
      <c r="AY666" s="79"/>
      <c r="AZ666" s="79"/>
    </row>
    <row r="667" spans="1:52" x14ac:dyDescent="0.3">
      <c r="A667" s="95" t="str">
        <f t="shared" si="133"/>
        <v>NI Organic</v>
      </c>
      <c r="B667" s="95" t="s">
        <v>969</v>
      </c>
      <c r="C667" s="95" t="s">
        <v>1127</v>
      </c>
      <c r="D667" t="s">
        <v>369</v>
      </c>
      <c r="E667" t="s">
        <v>55</v>
      </c>
      <c r="F667" t="s">
        <v>421</v>
      </c>
      <c r="G667" t="s">
        <v>1152</v>
      </c>
      <c r="H667" t="s">
        <v>1153</v>
      </c>
      <c r="I667" t="s">
        <v>139</v>
      </c>
      <c r="J667" t="s">
        <v>287</v>
      </c>
      <c r="K667" s="94">
        <f>IF('Net zero activities &amp; levers'!$C$9="Off",'Activity data'!AD50*ManureNEF*NtoN2O*kgtoGg,IF('Net zero activities &amp; levers'!$C$9="On",(('Net zero supporting data'!B159*'Net zero supporting data'!B183)+('Net zero supporting data'!B171*ManureNEF))*NtoN2O*kgtoGg,"ERROR"))</f>
        <v>0.31878106382562998</v>
      </c>
      <c r="L667" s="94">
        <f>IF('Net zero activities &amp; levers'!$C$9="Off",'Activity data'!AE50*ManureNEF*NtoN2O*kgtoGg,IF('Net zero activities &amp; levers'!$C$9="On",(('Net zero supporting data'!C159*'Net zero supporting data'!C183)+('Net zero supporting data'!C171*ManureNEF))*NtoN2O*kgtoGg,"ERROR"))</f>
        <v>0.32056321299147905</v>
      </c>
      <c r="M667" s="94">
        <f>IF('Net zero activities &amp; levers'!$C$9="Off",'Activity data'!AF50*ManureNEF*NtoN2O*kgtoGg,IF('Net zero activities &amp; levers'!$C$9="On",(('Net zero supporting data'!D159*'Net zero supporting data'!D183)+('Net zero supporting data'!D171*ManureNEF))*NtoN2O*kgtoGg,"ERROR"))</f>
        <v>0.32309177745176459</v>
      </c>
      <c r="N667" s="94">
        <f>IF('Net zero activities &amp; levers'!$C$9="Off",'Activity data'!AG50*ManureNEF*NtoN2O*kgtoGg,IF('Net zero activities &amp; levers'!$C$9="On",(('Net zero supporting data'!E159*'Net zero supporting data'!E183)+('Net zero supporting data'!E171*ManureNEF))*NtoN2O*kgtoGg,"ERROR"))</f>
        <v>0.32471664946511047</v>
      </c>
      <c r="O667" s="94">
        <f>IF('Net zero activities &amp; levers'!$C$9="Off",'Activity data'!AH50*ManureNEF*NtoN2O*kgtoGg,IF('Net zero activities &amp; levers'!$C$9="On",(('Net zero supporting data'!F159*'Net zero supporting data'!F183)+('Net zero supporting data'!F171*ManureNEF))*NtoN2O*kgtoGg,"ERROR"))</f>
        <v>0.32579638434951874</v>
      </c>
      <c r="P667" s="94">
        <f>IF('Net zero activities &amp; levers'!$C$9="Off",'Activity data'!AI50*ManureNEF*NtoN2O*kgtoGg,IF('Net zero activities &amp; levers'!$C$9="On",(('Net zero supporting data'!G159*'Net zero supporting data'!G183)+('Net zero supporting data'!G171*ManureNEF))*NtoN2O*kgtoGg,"ERROR"))</f>
        <v>0.32632035510276458</v>
      </c>
      <c r="Q667" s="94">
        <f>IF('Net zero activities &amp; levers'!$C$9="Off",'Activity data'!AJ50*ManureNEF*NtoN2O*kgtoGg,IF('Net zero activities &amp; levers'!$C$9="On",(('Net zero supporting data'!H159*'Net zero supporting data'!H183)+('Net zero supporting data'!H171*ManureNEF))*NtoN2O*kgtoGg,"ERROR"))</f>
        <v>0.32747800149861978</v>
      </c>
      <c r="R667" s="94">
        <f>IF('Net zero activities &amp; levers'!$C$9="Off",'Activity data'!AK50*ManureNEF*NtoN2O*kgtoGg,IF('Net zero activities &amp; levers'!$C$9="On",(('Net zero supporting data'!I159*'Net zero supporting data'!I183)+('Net zero supporting data'!I171*ManureNEF))*NtoN2O*kgtoGg,"ERROR"))</f>
        <v>0.32880601635823298</v>
      </c>
      <c r="S667" s="94">
        <f>IF('Net zero activities &amp; levers'!$C$9="Off",'Activity data'!AL50*ManureNEF*NtoN2O*kgtoGg,IF('Net zero activities &amp; levers'!$C$9="On",(('Net zero supporting data'!J159*'Net zero supporting data'!J183)+('Net zero supporting data'!J171*ManureNEF))*NtoN2O*kgtoGg,"ERROR"))</f>
        <v>0.31892223916812396</v>
      </c>
      <c r="T667" s="94">
        <f>IF('Net zero activities &amp; levers'!$C$9="Off",'Activity data'!AM50*ManureNEF*NtoN2O*kgtoGg,IF('Net zero activities &amp; levers'!$C$9="On",(('Net zero supporting data'!K159*'Net zero supporting data'!K183)+('Net zero supporting data'!K171*ManureNEF))*NtoN2O*kgtoGg,"ERROR"))</f>
        <v>0.32227574446012153</v>
      </c>
      <c r="U667" s="94">
        <f>IF('Net zero activities &amp; levers'!$C$9="Off",'Activity data'!AN50*ManureNEF*NtoN2O*kgtoGg,IF('Net zero activities &amp; levers'!$C$9="On",(('Net zero supporting data'!L159*'Net zero supporting data'!L183)+('Net zero supporting data'!L171*ManureNEF))*NtoN2O*kgtoGg,"ERROR"))</f>
        <v>0.32718438885789924</v>
      </c>
      <c r="V667" s="94">
        <f>IF('Net zero activities &amp; levers'!$C$9="Off",'Activity data'!AO50*ManureNEF*NtoN2O*kgtoGg,IF('Net zero activities &amp; levers'!$C$9="On",(('Net zero supporting data'!M159*'Net zero supporting data'!M183)+('Net zero supporting data'!M171*ManureNEF))*NtoN2O*kgtoGg,"ERROR"))</f>
        <v>0.3297286573308299</v>
      </c>
      <c r="W667" s="94">
        <f>IF('Net zero activities &amp; levers'!$C$9="Off",'Activity data'!AP50*ManureNEF*NtoN2O*kgtoGg,IF('Net zero activities &amp; levers'!$C$9="On",(('Net zero supporting data'!N159*'Net zero supporting data'!N183)+('Net zero supporting data'!N171*ManureNEF))*NtoN2O*kgtoGg,"ERROR"))</f>
        <v>0.33263641751266398</v>
      </c>
      <c r="X667" s="94">
        <f>IF('Net zero activities &amp; levers'!$C$9="Off",'Activity data'!AQ50*ManureNEF*NtoN2O*kgtoGg,IF('Net zero activities &amp; levers'!$C$9="On",(('Net zero supporting data'!O159*'Net zero supporting data'!O183)+('Net zero supporting data'!O171*ManureNEF))*NtoN2O*kgtoGg,"ERROR"))</f>
        <v>0.3360018452717824</v>
      </c>
      <c r="Y667" s="94">
        <f>IF('Net zero activities &amp; levers'!$C$9="Off",'Activity data'!AR50*ManureNEF*NtoN2O*kgtoGg,IF('Net zero activities &amp; levers'!$C$9="On",(('Net zero supporting data'!P159*'Net zero supporting data'!P183)+('Net zero supporting data'!P171*ManureNEF))*NtoN2O*kgtoGg,"ERROR"))</f>
        <v>0.33943858200235472</v>
      </c>
      <c r="Z667" s="94">
        <f>IF('Net zero activities &amp; levers'!$C$9="Off",'Activity data'!AS50*ManureNEF*NtoN2O*kgtoGg,IF('Net zero activities &amp; levers'!$C$9="On",(('Net zero supporting data'!Q159*'Net zero supporting data'!Q183)+('Net zero supporting data'!Q171*ManureNEF))*NtoN2O*kgtoGg,"ERROR"))</f>
        <v>0.34324260633991188</v>
      </c>
      <c r="AA667" s="94">
        <f>IF('Net zero activities &amp; levers'!$C$9="Off",'Activity data'!AT50*ManureNEF*NtoN2O*kgtoGg,IF('Net zero activities &amp; levers'!$C$9="On",(('Net zero supporting data'!R159*'Net zero supporting data'!R183)+('Net zero supporting data'!R171*ManureNEF))*NtoN2O*kgtoGg,"ERROR"))</f>
        <v>0.34716446895122904</v>
      </c>
      <c r="AB667" s="94">
        <f>IF('Net zero activities &amp; levers'!$C$9="Off",'Activity data'!AU50*ManureNEF*NtoN2O*kgtoGg,IF('Net zero activities &amp; levers'!$C$9="On",(('Net zero supporting data'!S159*'Net zero supporting data'!S183)+('Net zero supporting data'!S171*ManureNEF))*NtoN2O*kgtoGg,"ERROR"))</f>
        <v>0.35142933015547478</v>
      </c>
      <c r="AC667" s="94">
        <f>IF('Net zero activities &amp; levers'!$C$9="Off",'Activity data'!AV50*ManureNEF*NtoN2O*kgtoGg,IF('Net zero activities &amp; levers'!$C$9="On",(('Net zero supporting data'!T159*'Net zero supporting data'!T183)+('Net zero supporting data'!T171*ManureNEF))*NtoN2O*kgtoGg,"ERROR"))</f>
        <v>0.3557903986539287</v>
      </c>
      <c r="AD667" s="94">
        <f>IF('Net zero activities &amp; levers'!$C$9="Off",'Activity data'!AW50*ManureNEF*NtoN2O*kgtoGg,IF('Net zero activities &amp; levers'!$C$9="On",(('Net zero supporting data'!U159*'Net zero supporting data'!U183)+('Net zero supporting data'!U171*ManureNEF))*NtoN2O*kgtoGg,"ERROR"))</f>
        <v>0.36050179142942168</v>
      </c>
      <c r="AE667" s="94">
        <f>IF('Net zero activities &amp; levers'!$C$9="Off",'Activity data'!AX50*ManureNEF*NtoN2O*kgtoGg,IF('Net zero activities &amp; levers'!$C$9="On",(('Net zero supporting data'!V159*'Net zero supporting data'!V183)+('Net zero supporting data'!V171*ManureNEF))*NtoN2O*kgtoGg,"ERROR"))</f>
        <v>0.36514941854093586</v>
      </c>
      <c r="AF667" s="94">
        <f>IF('Net zero activities &amp; levers'!$C$9="Off",'Activity data'!AY50*ManureNEF*NtoN2O*kgtoGg,IF('Net zero activities &amp; levers'!$C$9="On",(('Net zero supporting data'!W159*'Net zero supporting data'!W183)+('Net zero supporting data'!W171*ManureNEF))*NtoN2O*kgtoGg,"ERROR"))</f>
        <v>0.37005495430435736</v>
      </c>
      <c r="AG667" s="94">
        <f>IF('Net zero activities &amp; levers'!$C$9="Off",'Activity data'!AZ50*ManureNEF*NtoN2O*kgtoGg,IF('Net zero activities &amp; levers'!$C$9="On",(('Net zero supporting data'!X159*'Net zero supporting data'!X183)+('Net zero supporting data'!X171*ManureNEF))*NtoN2O*kgtoGg,"ERROR"))</f>
        <v>0.37560392620070809</v>
      </c>
      <c r="AH667" s="94">
        <f>IF('Net zero activities &amp; levers'!$C$9="Off",'Activity data'!BA50*ManureNEF*NtoN2O*kgtoGg,IF('Net zero activities &amp; levers'!$C$9="On",(('Net zero supporting data'!Y159*'Net zero supporting data'!Y183)+('Net zero supporting data'!Y171*ManureNEF))*NtoN2O*kgtoGg,"ERROR"))</f>
        <v>0.38087972226770728</v>
      </c>
      <c r="AI667" s="94">
        <f>IF('Net zero activities &amp; levers'!$C$9="Off",'Activity data'!BB50*ManureNEF*NtoN2O*kgtoGg,IF('Net zero activities &amp; levers'!$C$9="On",(('Net zero supporting data'!Z159*'Net zero supporting data'!Z183)+('Net zero supporting data'!Z171*ManureNEF))*NtoN2O*kgtoGg,"ERROR"))</f>
        <v>0.38629002318967742</v>
      </c>
      <c r="AJ667" s="94">
        <f>IF('Net zero activities &amp; levers'!$C$9="Off",'Activity data'!BC50*ManureNEF*NtoN2O*kgtoGg,IF('Net zero activities &amp; levers'!$C$9="On",(('Net zero supporting data'!AA159*'Net zero supporting data'!AA183)+('Net zero supporting data'!AA171*ManureNEF))*NtoN2O*kgtoGg,"ERROR"))</f>
        <v>0.39207609513939878</v>
      </c>
      <c r="AK667" s="94">
        <f>IF('Net zero activities &amp; levers'!$C$9="Off",'Activity data'!BD50*ManureNEF*NtoN2O*kgtoGg,IF('Net zero activities &amp; levers'!$C$9="On",(('Net zero supporting data'!AB159*'Net zero supporting data'!AB183)+('Net zero supporting data'!AB171*ManureNEF))*NtoN2O*kgtoGg,"ERROR"))</f>
        <v>0.39749694724838469</v>
      </c>
      <c r="AL667" s="94">
        <f>IF('Net zero activities &amp; levers'!$C$9="Off",'Activity data'!BE50*ManureNEF*NtoN2O*kgtoGg,IF('Net zero activities &amp; levers'!$C$9="On",(('Net zero supporting data'!AC159*'Net zero supporting data'!AC183)+('Net zero supporting data'!AC171*ManureNEF))*NtoN2O*kgtoGg,"ERROR"))</f>
        <v>0.4028883818835427</v>
      </c>
      <c r="AM667" s="94">
        <f>IF('Net zero activities &amp; levers'!$C$9="Off",'Activity data'!BF50*ManureNEF*NtoN2O*kgtoGg,IF('Net zero activities &amp; levers'!$C$9="On",(('Net zero supporting data'!AD159*'Net zero supporting data'!AD183)+('Net zero supporting data'!AD171*ManureNEF))*NtoN2O*kgtoGg,"ERROR"))</f>
        <v>0.40826539528750555</v>
      </c>
      <c r="AN667" s="94">
        <f>IF('Net zero activities &amp; levers'!$C$9="Off",'Activity data'!BG50*ManureNEF*NtoN2O*kgtoGg,IF('Net zero activities &amp; levers'!$C$9="On",(('Net zero supporting data'!AE159*'Net zero supporting data'!AE183)+('Net zero supporting data'!AE171*ManureNEF))*NtoN2O*kgtoGg,"ERROR"))</f>
        <v>0.41395411425770406</v>
      </c>
      <c r="AO667" s="94">
        <f>IF('Net zero activities &amp; levers'!$C$9="Off",'Activity data'!BH50*ManureNEF*NtoN2O*kgtoGg,IF('Net zero activities &amp; levers'!$C$9="On",(('Net zero supporting data'!AF159*'Net zero supporting data'!AF183)+('Net zero supporting data'!AF171*ManureNEF))*NtoN2O*kgtoGg,"ERROR"))</f>
        <v>0.41941402149436835</v>
      </c>
      <c r="AP667" s="94">
        <f>IF('Net zero activities &amp; levers'!$C$9="Off",'Activity data'!BI50*ManureNEF*NtoN2O*kgtoGg,IF('Net zero activities &amp; levers'!$C$9="On",(('Net zero supporting data'!AG159*'Net zero supporting data'!AG183)+('Net zero supporting data'!AG171*ManureNEF))*NtoN2O*kgtoGg,"ERROR"))</f>
        <v>0.4250859445304776</v>
      </c>
      <c r="AQ667" s="94">
        <f>IF('Net zero activities &amp; levers'!$C$9="Off",'Activity data'!BJ50*ManureNEF*NtoN2O*kgtoGg,IF('Net zero activities &amp; levers'!$C$9="On",(('Net zero supporting data'!AH159*'Net zero supporting data'!AH183)+('Net zero supporting data'!AH171*ManureNEF))*NtoN2O*kgtoGg,"ERROR"))</f>
        <v>0.43099575197279355</v>
      </c>
      <c r="AR667" s="94">
        <f>IF('Net zero activities &amp; levers'!$C$9="Off",'Activity data'!BK50*ManureNEF*NtoN2O*kgtoGg,IF('Net zero activities &amp; levers'!$C$9="On",(('Net zero supporting data'!AI159*'Net zero supporting data'!AI183)+('Net zero supporting data'!AI171*ManureNEF))*NtoN2O*kgtoGg,"ERROR"))</f>
        <v>0.43718504328373597</v>
      </c>
      <c r="AS667" s="94">
        <f>IF('Net zero activities &amp; levers'!$C$9="Off",'Activity data'!BL50*ManureNEF*NtoN2O*kgtoGg,IF('Net zero activities &amp; levers'!$C$9="On",(('Net zero supporting data'!AJ159*'Net zero supporting data'!AJ183)+('Net zero supporting data'!AJ171*ManureNEF))*NtoN2O*kgtoGg,"ERROR"))</f>
        <v>0.44348381500621098</v>
      </c>
      <c r="AT667" s="94">
        <f>IF('Net zero activities &amp; levers'!$C$9="Off",'Activity data'!BM50*ManureNEF*NtoN2O*kgtoGg,IF('Net zero activities &amp; levers'!$C$9="On",(('Net zero supporting data'!AK159*'Net zero supporting data'!AK183)+('Net zero supporting data'!AK171*ManureNEF))*NtoN2O*kgtoGg,"ERROR"))</f>
        <v>0.44497720344404595</v>
      </c>
      <c r="AU667" s="94">
        <f>IF('Net zero activities &amp; levers'!$C$9="Off",'Activity data'!BN50*ManureNEF*NtoN2O*kgtoGg,IF('Net zero activities &amp; levers'!$C$9="On",(('Net zero supporting data'!AL159*'Net zero supporting data'!AL183)+('Net zero supporting data'!AL171*ManureNEF))*NtoN2O*kgtoGg,"ERROR"))</f>
        <v>0.44604004342695891</v>
      </c>
      <c r="AV667" s="94">
        <f>IF('Net zero activities &amp; levers'!$C$9="Off",'Activity data'!BO50*ManureNEF*NtoN2O*kgtoGg,IF('Net zero activities &amp; levers'!$C$9="On",(('Net zero supporting data'!AM159*'Net zero supporting data'!AM183)+('Net zero supporting data'!AM171*ManureNEF))*NtoN2O*kgtoGg,"ERROR"))</f>
        <v>0.44647550838656064</v>
      </c>
      <c r="AW667" s="94">
        <f>IF('Net zero activities &amp; levers'!$C$9="Off",'Activity data'!BP50*ManureNEF*NtoN2O*kgtoGg,IF('Net zero activities &amp; levers'!$C$9="On",(('Net zero supporting data'!AN159*'Net zero supporting data'!AN183)+('Net zero supporting data'!AN171*ManureNEF))*NtoN2O*kgtoGg,"ERROR"))</f>
        <v>0.44673845388478889</v>
      </c>
      <c r="AY667" s="79"/>
      <c r="AZ667" s="79"/>
    </row>
    <row r="668" spans="1:52" x14ac:dyDescent="0.3">
      <c r="A668" s="95" t="str">
        <f t="shared" si="133"/>
        <v>NI Organic</v>
      </c>
      <c r="B668" s="95" t="s">
        <v>969</v>
      </c>
      <c r="C668" s="95" t="s">
        <v>1127</v>
      </c>
      <c r="D668" t="s">
        <v>369</v>
      </c>
      <c r="E668" t="s">
        <v>55</v>
      </c>
      <c r="F668" t="s">
        <v>421</v>
      </c>
      <c r="G668" t="s">
        <v>1154</v>
      </c>
      <c r="H668" t="s">
        <v>1155</v>
      </c>
      <c r="I668" t="s">
        <v>139</v>
      </c>
      <c r="J668" t="s">
        <v>287</v>
      </c>
      <c r="K668" s="94">
        <f>IF('Net zero activities &amp; levers'!$C$9="Off",'Activity data'!AD51*ManureNEF*NtoN2O*kgtoGg,IF('Net zero activities &amp; levers'!$C$9="On",(('Net zero supporting data'!B160*'Net zero supporting data'!B183)+('Net zero supporting data'!B172*ManureNEF))*NtoN2O*kgtoGg,"ERROR"))</f>
        <v>0.93210651077804862</v>
      </c>
      <c r="L668" s="94">
        <f>IF('Net zero activities &amp; levers'!$C$9="Off",'Activity data'!AE51*ManureNEF*NtoN2O*kgtoGg,IF('Net zero activities &amp; levers'!$C$9="On",(('Net zero supporting data'!C160*'Net zero supporting data'!C183)+('Net zero supporting data'!C172*ManureNEF))*NtoN2O*kgtoGg,"ERROR"))</f>
        <v>0.93731746283627471</v>
      </c>
      <c r="M668" s="94">
        <f>IF('Net zero activities &amp; levers'!$C$9="Off",'Activity data'!AF51*ManureNEF*NtoN2O*kgtoGg,IF('Net zero activities &amp; levers'!$C$9="On",(('Net zero supporting data'!D160*'Net zero supporting data'!D183)+('Net zero supporting data'!D172*ManureNEF))*NtoN2O*kgtoGg,"ERROR"))</f>
        <v>0.94471091139331731</v>
      </c>
      <c r="N668" s="94">
        <f>IF('Net zero activities &amp; levers'!$C$9="Off",'Activity data'!AG51*ManureNEF*NtoN2O*kgtoGg,IF('Net zero activities &amp; levers'!$C$9="On",(('Net zero supporting data'!E160*'Net zero supporting data'!E183)+('Net zero supporting data'!E172*ManureNEF))*NtoN2O*kgtoGg,"ERROR"))</f>
        <v>0.94946198965576145</v>
      </c>
      <c r="O668" s="94">
        <f>IF('Net zero activities &amp; levers'!$C$9="Off",'Activity data'!AH51*ManureNEF*NtoN2O*kgtoGg,IF('Net zero activities &amp; levers'!$C$9="On",(('Net zero supporting data'!F160*'Net zero supporting data'!F183)+('Net zero supporting data'!F172*ManureNEF))*NtoN2O*kgtoGg,"ERROR"))</f>
        <v>0.95261910289076079</v>
      </c>
      <c r="P668" s="94">
        <f>IF('Net zero activities &amp; levers'!$C$9="Off",'Activity data'!AI51*ManureNEF*NtoN2O*kgtoGg,IF('Net zero activities &amp; levers'!$C$9="On",(('Net zero supporting data'!G160*'Net zero supporting data'!G183)+('Net zero supporting data'!G172*ManureNEF))*NtoN2O*kgtoGg,"ERROR"))</f>
        <v>0.95415117805450056</v>
      </c>
      <c r="Q668" s="94">
        <f>IF('Net zero activities &amp; levers'!$C$9="Off",'Activity data'!AJ51*ManureNEF*NtoN2O*kgtoGg,IF('Net zero activities &amp; levers'!$C$9="On",(('Net zero supporting data'!H160*'Net zero supporting data'!H183)+('Net zero supporting data'!H172*ManureNEF))*NtoN2O*kgtoGg,"ERROR"))</f>
        <v>0.95753610227115837</v>
      </c>
      <c r="R668" s="94">
        <f>IF('Net zero activities &amp; levers'!$C$9="Off",'Activity data'!AK51*ManureNEF*NtoN2O*kgtoGg,IF('Net zero activities &amp; levers'!$C$9="On",(('Net zero supporting data'!I160*'Net zero supporting data'!I183)+('Net zero supporting data'!I172*ManureNEF))*NtoN2O*kgtoGg,"ERROR"))</f>
        <v>0.96141917889497119</v>
      </c>
      <c r="S668" s="94">
        <f>IF('Net zero activities &amp; levers'!$C$9="Off",'Activity data'!AL51*ManureNEF*NtoN2O*kgtoGg,IF('Net zero activities &amp; levers'!$C$9="On",(('Net zero supporting data'!J160*'Net zero supporting data'!J183)+('Net zero supporting data'!J172*ManureNEF))*NtoN2O*kgtoGg,"ERROR"))</f>
        <v>0.93251930335211441</v>
      </c>
      <c r="T668" s="94">
        <f>IF('Net zero activities &amp; levers'!$C$9="Off",'Activity data'!AM51*ManureNEF*NtoN2O*kgtoGg,IF('Net zero activities &amp; levers'!$C$9="On",(('Net zero supporting data'!K160*'Net zero supporting data'!K183)+('Net zero supporting data'!K172*ManureNEF))*NtoN2O*kgtoGg,"ERROR"))</f>
        <v>0.94232485478320349</v>
      </c>
      <c r="U668" s="94">
        <f>IF('Net zero activities &amp; levers'!$C$9="Off",'Activity data'!AN51*ManureNEF*NtoN2O*kgtoGg,IF('Net zero activities &amp; levers'!$C$9="On",(('Net zero supporting data'!L160*'Net zero supporting data'!L183)+('Net zero supporting data'!L172*ManureNEF))*NtoN2O*kgtoGg,"ERROR"))</f>
        <v>0.95667758749371812</v>
      </c>
      <c r="V668" s="94">
        <f>IF('Net zero activities &amp; levers'!$C$9="Off",'Activity data'!AO51*ManureNEF*NtoN2O*kgtoGg,IF('Net zero activities &amp; levers'!$C$9="On",(('Net zero supporting data'!M160*'Net zero supporting data'!M183)+('Net zero supporting data'!M172*ManureNEF))*NtoN2O*kgtoGg,"ERROR"))</f>
        <v>0.96411695412461496</v>
      </c>
      <c r="W668" s="94">
        <f>IF('Net zero activities &amp; levers'!$C$9="Off",'Activity data'!AP51*ManureNEF*NtoN2O*kgtoGg,IF('Net zero activities &amp; levers'!$C$9="On",(('Net zero supporting data'!N160*'Net zero supporting data'!N183)+('Net zero supporting data'!N172*ManureNEF))*NtoN2O*kgtoGg,"ERROR"))</f>
        <v>0.97261915988534076</v>
      </c>
      <c r="X668" s="94">
        <f>IF('Net zero activities &amp; levers'!$C$9="Off",'Activity data'!AQ51*ManureNEF*NtoN2O*kgtoGg,IF('Net zero activities &amp; levers'!$C$9="On",(('Net zero supporting data'!O160*'Net zero supporting data'!O183)+('Net zero supporting data'!O172*ManureNEF))*NtoN2O*kgtoGg,"ERROR"))</f>
        <v>0.98245957226172753</v>
      </c>
      <c r="Y668" s="94">
        <f>IF('Net zero activities &amp; levers'!$C$9="Off",'Activity data'!AR51*ManureNEF*NtoN2O*kgtoGg,IF('Net zero activities &amp; levers'!$C$9="On",(('Net zero supporting data'!P160*'Net zero supporting data'!P183)+('Net zero supporting data'!P172*ManureNEF))*NtoN2O*kgtoGg,"ERROR"))</f>
        <v>0.99250848998586416</v>
      </c>
      <c r="Z668" s="94">
        <f>IF('Net zero activities &amp; levers'!$C$9="Off",'Activity data'!AS51*ManureNEF*NtoN2O*kgtoGg,IF('Net zero activities &amp; levers'!$C$9="On",(('Net zero supporting data'!Q160*'Net zero supporting data'!Q183)+('Net zero supporting data'!Q172*ManureNEF))*NtoN2O*kgtoGg,"ERROR"))</f>
        <v>1.0036313459348443</v>
      </c>
      <c r="AA668" s="94">
        <f>IF('Net zero activities &amp; levers'!$C$9="Off",'Activity data'!AT51*ManureNEF*NtoN2O*kgtoGg,IF('Net zero activities &amp; levers'!$C$9="On",(('Net zero supporting data'!R160*'Net zero supporting data'!R183)+('Net zero supporting data'!R172*ManureNEF))*NtoN2O*kgtoGg,"ERROR"))</f>
        <v>1.0150987575511923</v>
      </c>
      <c r="AB668" s="94">
        <f>IF('Net zero activities &amp; levers'!$C$9="Off",'Activity data'!AU51*ManureNEF*NtoN2O*kgtoGg,IF('Net zero activities &amp; levers'!$C$9="On",(('Net zero supporting data'!S160*'Net zero supporting data'!S183)+('Net zero supporting data'!S172*ManureNEF))*NtoN2O*kgtoGg,"ERROR"))</f>
        <v>1.0275690870253942</v>
      </c>
      <c r="AC668" s="94">
        <f>IF('Net zero activities &amp; levers'!$C$9="Off",'Activity data'!AV51*ManureNEF*NtoN2O*kgtoGg,IF('Net zero activities &amp; levers'!$C$9="On",(('Net zero supporting data'!T160*'Net zero supporting data'!T183)+('Net zero supporting data'!T172*ManureNEF))*NtoN2O*kgtoGg,"ERROR"))</f>
        <v>1.0403207238151548</v>
      </c>
      <c r="AD668" s="94">
        <f>IF('Net zero activities &amp; levers'!$C$9="Off",'Activity data'!AW51*ManureNEF*NtoN2O*kgtoGg,IF('Net zero activities &amp; levers'!$C$9="On",(('Net zero supporting data'!U160*'Net zero supporting data'!U183)+('Net zero supporting data'!U172*ManureNEF))*NtoN2O*kgtoGg,"ERROR"))</f>
        <v>1.054096698548936</v>
      </c>
      <c r="AE668" s="94">
        <f>IF('Net zero activities &amp; levers'!$C$9="Off",'Activity data'!AX51*ManureNEF*NtoN2O*kgtoGg,IF('Net zero activities &amp; levers'!$C$9="On",(('Net zero supporting data'!V160*'Net zero supporting data'!V183)+('Net zero supporting data'!V172*ManureNEF))*NtoN2O*kgtoGg,"ERROR"))</f>
        <v>1.0676862243454883</v>
      </c>
      <c r="AF668" s="94">
        <f>IF('Net zero activities &amp; levers'!$C$9="Off",'Activity data'!AY51*ManureNEF*NtoN2O*kgtoGg,IF('Net zero activities &amp; levers'!$C$9="On",(('Net zero supporting data'!W160*'Net zero supporting data'!W183)+('Net zero supporting data'!W172*ManureNEF))*NtoN2O*kgtoGg,"ERROR"))</f>
        <v>1.0820298675000297</v>
      </c>
      <c r="AG668" s="94">
        <f>IF('Net zero activities &amp; levers'!$C$9="Off",'Activity data'!AZ51*ManureNEF*NtoN2O*kgtoGg,IF('Net zero activities &amp; levers'!$C$9="On",(('Net zero supporting data'!X160*'Net zero supporting data'!X183)+('Net zero supporting data'!X172*ManureNEF))*NtoN2O*kgtoGg,"ERROR"))</f>
        <v>1.0982548990958272</v>
      </c>
      <c r="AH668" s="94">
        <f>IF('Net zero activities &amp; levers'!$C$9="Off",'Activity data'!BA51*ManureNEF*NtoN2O*kgtoGg,IF('Net zero activities &amp; levers'!$C$9="On",(('Net zero supporting data'!Y160*'Net zero supporting data'!Y183)+('Net zero supporting data'!Y172*ManureNEF))*NtoN2O*kgtoGg,"ERROR"))</f>
        <v>1.1136811725531401</v>
      </c>
      <c r="AI668" s="94">
        <f>IF('Net zero activities &amp; levers'!$C$9="Off",'Activity data'!BB51*ManureNEF*NtoN2O*kgtoGg,IF('Net zero activities &amp; levers'!$C$9="On",(('Net zero supporting data'!Z160*'Net zero supporting data'!Z183)+('Net zero supporting data'!Z172*ManureNEF))*NtoN2O*kgtoGg,"ERROR"))</f>
        <v>1.1295007342740186</v>
      </c>
      <c r="AJ668" s="94">
        <f>IF('Net zero activities &amp; levers'!$C$9="Off",'Activity data'!BC51*ManureNEF*NtoN2O*kgtoGg,IF('Net zero activities &amp; levers'!$C$9="On",(('Net zero supporting data'!AA160*'Net zero supporting data'!AA183)+('Net zero supporting data'!AA172*ManureNEF))*NtoN2O*kgtoGg,"ERROR"))</f>
        <v>1.146419039494041</v>
      </c>
      <c r="AK668" s="94">
        <f>IF('Net zero activities &amp; levers'!$C$9="Off",'Activity data'!BD51*ManureNEF*NtoN2O*kgtoGg,IF('Net zero activities &amp; levers'!$C$9="On",(('Net zero supporting data'!AB160*'Net zero supporting data'!AB183)+('Net zero supporting data'!AB172*ManureNEF))*NtoN2O*kgtoGg,"ERROR"))</f>
        <v>1.1622694525772803</v>
      </c>
      <c r="AL668" s="94">
        <f>IF('Net zero activities &amp; levers'!$C$9="Off",'Activity data'!BE51*ManureNEF*NtoN2O*kgtoGg,IF('Net zero activities &amp; levers'!$C$9="On",(('Net zero supporting data'!AC160*'Net zero supporting data'!AC183)+('Net zero supporting data'!AC172*ManureNEF))*NtoN2O*kgtoGg,"ERROR"))</f>
        <v>1.1780338498270926</v>
      </c>
      <c r="AM668" s="94">
        <f>IF('Net zero activities &amp; levers'!$C$9="Off",'Activity data'!BF51*ManureNEF*NtoN2O*kgtoGg,IF('Net zero activities &amp; levers'!$C$9="On",(('Net zero supporting data'!AD160*'Net zero supporting data'!AD183)+('Net zero supporting data'!AD172*ManureNEF))*NtoN2O*kgtoGg,"ERROR"))</f>
        <v>1.1937560798185081</v>
      </c>
      <c r="AN668" s="94">
        <f>IF('Net zero activities &amp; levers'!$C$9="Off",'Activity data'!BG51*ManureNEF*NtoN2O*kgtoGg,IF('Net zero activities &amp; levers'!$C$9="On",(('Net zero supporting data'!AE160*'Net zero supporting data'!AE183)+('Net zero supporting data'!AE172*ManureNEF))*NtoN2O*kgtoGg,"ERROR"))</f>
        <v>1.2103897277726068</v>
      </c>
      <c r="AO668" s="94">
        <f>IF('Net zero activities &amp; levers'!$C$9="Off",'Activity data'!BH51*ManureNEF*NtoN2O*kgtoGg,IF('Net zero activities &amp; levers'!$C$9="On",(('Net zero supporting data'!AF160*'Net zero supporting data'!AF183)+('Net zero supporting data'!AF172*ManureNEF))*NtoN2O*kgtoGg,"ERROR"))</f>
        <v>1.2263543369073659</v>
      </c>
      <c r="AP668" s="94">
        <f>IF('Net zero activities &amp; levers'!$C$9="Off",'Activity data'!BI51*ManureNEF*NtoN2O*kgtoGg,IF('Net zero activities &amp; levers'!$C$9="On",(('Net zero supporting data'!AG160*'Net zero supporting data'!AG183)+('Net zero supporting data'!AG172*ManureNEF))*NtoN2O*kgtoGg,"ERROR"))</f>
        <v>1.2429388740412319</v>
      </c>
      <c r="AQ668" s="94">
        <f>IF('Net zero activities &amp; levers'!$C$9="Off",'Activity data'!BJ51*ManureNEF*NtoN2O*kgtoGg,IF('Net zero activities &amp; levers'!$C$9="On",(('Net zero supporting data'!AH160*'Net zero supporting data'!AH183)+('Net zero supporting data'!AH172*ManureNEF))*NtoN2O*kgtoGg,"ERROR"))</f>
        <v>1.260218978224084</v>
      </c>
      <c r="AR668" s="94">
        <f>IF('Net zero activities &amp; levers'!$C$9="Off",'Activity data'!BK51*ManureNEF*NtoN2O*kgtoGg,IF('Net zero activities &amp; levers'!$C$9="On",(('Net zero supporting data'!AI160*'Net zero supporting data'!AI183)+('Net zero supporting data'!AI172*ManureNEF))*NtoN2O*kgtoGg,"ERROR"))</f>
        <v>1.2783162850678402</v>
      </c>
      <c r="AS668" s="94">
        <f>IF('Net zero activities &amp; levers'!$C$9="Off",'Activity data'!BL51*ManureNEF*NtoN2O*kgtoGg,IF('Net zero activities &amp; levers'!$C$9="On",(('Net zero supporting data'!AJ160*'Net zero supporting data'!AJ183)+('Net zero supporting data'!AJ172*ManureNEF))*NtoN2O*kgtoGg,"ERROR"))</f>
        <v>1.2967337094341598</v>
      </c>
      <c r="AT668" s="94">
        <f>IF('Net zero activities &amp; levers'!$C$9="Off",'Activity data'!BM51*ManureNEF*NtoN2O*kgtoGg,IF('Net zero activities &amp; levers'!$C$9="On",(('Net zero supporting data'!AK160*'Net zero supporting data'!AK183)+('Net zero supporting data'!AK172*ManureNEF))*NtoN2O*kgtoGg,"ERROR"))</f>
        <v>1.3011003335658498</v>
      </c>
      <c r="AU668" s="94">
        <f>IF('Net zero activities &amp; levers'!$C$9="Off",'Activity data'!BN51*ManureNEF*NtoN2O*kgtoGg,IF('Net zero activities &amp; levers'!$C$9="On",(('Net zero supporting data'!AL160*'Net zero supporting data'!AL183)+('Net zero supporting data'!AL172*ManureNEF))*NtoN2O*kgtoGg,"ERROR"))</f>
        <v>1.3042080466028143</v>
      </c>
      <c r="AV668" s="94">
        <f>IF('Net zero activities &amp; levers'!$C$9="Off",'Activity data'!BO51*ManureNEF*NtoN2O*kgtoGg,IF('Net zero activities &amp; levers'!$C$9="On",(('Net zero supporting data'!AM160*'Net zero supporting data'!AM183)+('Net zero supporting data'!AM172*ManureNEF))*NtoN2O*kgtoGg,"ERROR"))</f>
        <v>1.3054813334134847</v>
      </c>
      <c r="AW668" s="94">
        <f>IF('Net zero activities &amp; levers'!$C$9="Off",'Activity data'!BP51*ManureNEF*NtoN2O*kgtoGg,IF('Net zero activities &amp; levers'!$C$9="On",(('Net zero supporting data'!AN160*'Net zero supporting data'!AN183)+('Net zero supporting data'!AN172*ManureNEF))*NtoN2O*kgtoGg,"ERROR"))</f>
        <v>1.3062501783628579</v>
      </c>
      <c r="AY668" s="79"/>
      <c r="AZ668" s="79"/>
    </row>
    <row r="669" spans="1:52" x14ac:dyDescent="0.3">
      <c r="A669" s="95" t="str">
        <f t="shared" si="133"/>
        <v>NI Organic</v>
      </c>
      <c r="B669" s="95" t="s">
        <v>969</v>
      </c>
      <c r="C669" s="95" t="s">
        <v>1127</v>
      </c>
      <c r="D669" t="s">
        <v>369</v>
      </c>
      <c r="E669" t="s">
        <v>55</v>
      </c>
      <c r="F669" t="s">
        <v>421</v>
      </c>
      <c r="G669" t="s">
        <v>1156</v>
      </c>
      <c r="H669" t="s">
        <v>1157</v>
      </c>
      <c r="I669" t="s">
        <v>139</v>
      </c>
      <c r="J669" t="s">
        <v>287</v>
      </c>
      <c r="K669" s="94">
        <f>IF('Net zero activities &amp; levers'!$C$9="Off",'Activity data'!AD52*ManureNEF*NtoN2O*kgtoGg,IF('Net zero activities &amp; levers'!$C$9="On",(('Net zero supporting data'!B161*'Net zero supporting data'!B183)+('Net zero supporting data'!B173*ManureNEF))*NtoN2O*kgtoGg,"ERROR"))</f>
        <v>4.9862442750846919E-2</v>
      </c>
      <c r="L669" s="94">
        <f>IF('Net zero activities &amp; levers'!$C$9="Off",'Activity data'!AE52*ManureNEF*NtoN2O*kgtoGg,IF('Net zero activities &amp; levers'!$C$9="On",(('Net zero supporting data'!C161*'Net zero supporting data'!C183)+('Net zero supporting data'!C173*ManureNEF))*NtoN2O*kgtoGg,"ERROR"))</f>
        <v>5.0141199304605803E-2</v>
      </c>
      <c r="M669" s="94">
        <f>IF('Net zero activities &amp; levers'!$C$9="Off",'Activity data'!AF52*ManureNEF*NtoN2O*kgtoGg,IF('Net zero activities &amp; levers'!$C$9="On",(('Net zero supporting data'!D161*'Net zero supporting data'!D183)+('Net zero supporting data'!D173*ManureNEF))*NtoN2O*kgtoGg,"ERROR"))</f>
        <v>5.0536707115294892E-2</v>
      </c>
      <c r="N669" s="94">
        <f>IF('Net zero activities &amp; levers'!$C$9="Off",'Activity data'!AG52*ManureNEF*NtoN2O*kgtoGg,IF('Net zero activities &amp; levers'!$C$9="On",(('Net zero supporting data'!E161*'Net zero supporting data'!E183)+('Net zero supporting data'!E173*ManureNEF))*NtoN2O*kgtoGg,"ERROR"))</f>
        <v>5.0790863013925151E-2</v>
      </c>
      <c r="O669" s="94">
        <f>IF('Net zero activities &amp; levers'!$C$9="Off",'Activity data'!AH52*ManureNEF*NtoN2O*kgtoGg,IF('Net zero activities &amp; levers'!$C$9="On",(('Net zero supporting data'!F161*'Net zero supporting data'!F183)+('Net zero supporting data'!F173*ManureNEF))*NtoN2O*kgtoGg,"ERROR"))</f>
        <v>5.0959750770976316E-2</v>
      </c>
      <c r="P669" s="94">
        <f>IF('Net zero activities &amp; levers'!$C$9="Off",'Activity data'!AI52*ManureNEF*NtoN2O*kgtoGg,IF('Net zero activities &amp; levers'!$C$9="On",(('Net zero supporting data'!G161*'Net zero supporting data'!G183)+('Net zero supporting data'!G173*ManureNEF))*NtoN2O*kgtoGg,"ERROR"))</f>
        <v>5.1041708153806091E-2</v>
      </c>
      <c r="Q669" s="94">
        <f>IF('Net zero activities &amp; levers'!$C$9="Off",'Activity data'!AJ52*ManureNEF*NtoN2O*kgtoGg,IF('Net zero activities &amp; levers'!$C$9="On",(('Net zero supporting data'!H161*'Net zero supporting data'!H183)+('Net zero supporting data'!H173*ManureNEF))*NtoN2O*kgtoGg,"ERROR"))</f>
        <v>5.122278251388987E-2</v>
      </c>
      <c r="R669" s="94">
        <f>IF('Net zero activities &amp; levers'!$C$9="Off",'Activity data'!AK52*ManureNEF*NtoN2O*kgtoGg,IF('Net zero activities &amp; levers'!$C$9="On",(('Net zero supporting data'!I161*'Net zero supporting data'!I183)+('Net zero supporting data'!I173*ManureNEF))*NtoN2O*kgtoGg,"ERROR"))</f>
        <v>5.1430505218981168E-2</v>
      </c>
      <c r="S669" s="94">
        <f>IF('Net zero activities &amp; levers'!$C$9="Off",'Activity data'!AL52*ManureNEF*NtoN2O*kgtoGg,IF('Net zero activities &amp; levers'!$C$9="On",(('Net zero supporting data'!J161*'Net zero supporting data'!J183)+('Net zero supporting data'!J173*ManureNEF))*NtoN2O*kgtoGg,"ERROR"))</f>
        <v>4.9884524826075798E-2</v>
      </c>
      <c r="T669" s="94">
        <f>IF('Net zero activities &amp; levers'!$C$9="Off",'Activity data'!AM52*ManureNEF*NtoN2O*kgtoGg,IF('Net zero activities &amp; levers'!$C$9="On",(('Net zero supporting data'!K161*'Net zero supporting data'!K183)+('Net zero supporting data'!K173*ManureNEF))*NtoN2O*kgtoGg,"ERROR"))</f>
        <v>5.0409066540160655E-2</v>
      </c>
      <c r="U669" s="94">
        <f>IF('Net zero activities &amp; levers'!$C$9="Off",'Activity data'!AN52*ManureNEF*NtoN2O*kgtoGg,IF('Net zero activities &amp; levers'!$C$9="On",(('Net zero supporting data'!L161*'Net zero supporting data'!L183)+('Net zero supporting data'!L173*ManureNEF))*NtoN2O*kgtoGg,"ERROR"))</f>
        <v>5.1176856813934052E-2</v>
      </c>
      <c r="V669" s="94">
        <f>IF('Net zero activities &amp; levers'!$C$9="Off",'Activity data'!AO52*ManureNEF*NtoN2O*kgtoGg,IF('Net zero activities &amp; levers'!$C$9="On",(('Net zero supporting data'!M161*'Net zero supporting data'!M183)+('Net zero supporting data'!M173*ManureNEF))*NtoN2O*kgtoGg,"ERROR"))</f>
        <v>5.1574820982670536E-2</v>
      </c>
      <c r="W669" s="94">
        <f>IF('Net zero activities &amp; levers'!$C$9="Off",'Activity data'!AP52*ManureNEF*NtoN2O*kgtoGg,IF('Net zero activities &amp; levers'!$C$9="On",(('Net zero supporting data'!N161*'Net zero supporting data'!N183)+('Net zero supporting data'!N173*ManureNEF))*NtoN2O*kgtoGg,"ERROR"))</f>
        <v>5.2029641052156198E-2</v>
      </c>
      <c r="X669" s="94">
        <f>IF('Net zero activities &amp; levers'!$C$9="Off",'Activity data'!AQ52*ManureNEF*NtoN2O*kgtoGg,IF('Net zero activities &amp; levers'!$C$9="On",(('Net zero supporting data'!O161*'Net zero supporting data'!O183)+('Net zero supporting data'!O173*ManureNEF))*NtoN2O*kgtoGg,"ERROR"))</f>
        <v>5.255604763025503E-2</v>
      </c>
      <c r="Y669" s="94">
        <f>IF('Net zero activities &amp; levers'!$C$9="Off",'Activity data'!AR52*ManureNEF*NtoN2O*kgtoGg,IF('Net zero activities &amp; levers'!$C$9="On",(('Net zero supporting data'!P161*'Net zero supporting data'!P183)+('Net zero supporting data'!P173*ManureNEF))*NtoN2O*kgtoGg,"ERROR"))</f>
        <v>5.3093608068824946E-2</v>
      </c>
      <c r="Z669" s="94">
        <f>IF('Net zero activities &amp; levers'!$C$9="Off",'Activity data'!AS52*ManureNEF*NtoN2O*kgtoGg,IF('Net zero activities &amp; levers'!$C$9="On",(('Net zero supporting data'!Q161*'Net zero supporting data'!Q183)+('Net zero supporting data'!Q173*ManureNEF))*NtoN2O*kgtoGg,"ERROR"))</f>
        <v>5.3688618147146365E-2</v>
      </c>
      <c r="AA669" s="94">
        <f>IF('Net zero activities &amp; levers'!$C$9="Off",'Activity data'!AT52*ManureNEF*NtoN2O*kgtoGg,IF('Net zero activities &amp; levers'!$C$9="On",(('Net zero supporting data'!R161*'Net zero supporting data'!R183)+('Net zero supporting data'!R173*ManureNEF))*NtoN2O*kgtoGg,"ERROR"))</f>
        <v>5.4302060010934287E-2</v>
      </c>
      <c r="AB669" s="94">
        <f>IF('Net zero activities &amp; levers'!$C$9="Off",'Activity data'!AU52*ManureNEF*NtoN2O*kgtoGg,IF('Net zero activities &amp; levers'!$C$9="On",(('Net zero supporting data'!S161*'Net zero supporting data'!S183)+('Net zero supporting data'!S173*ManureNEF))*NtoN2O*kgtoGg,"ERROR"))</f>
        <v>5.4969152325279956E-2</v>
      </c>
      <c r="AC669" s="94">
        <f>IF('Net zero activities &amp; levers'!$C$9="Off",'Activity data'!AV52*ManureNEF*NtoN2O*kgtoGg,IF('Net zero activities &amp; levers'!$C$9="On",(('Net zero supporting data'!T161*'Net zero supporting data'!T183)+('Net zero supporting data'!T173*ManureNEF))*NtoN2O*kgtoGg,"ERROR"))</f>
        <v>5.5651292994888926E-2</v>
      </c>
      <c r="AD669" s="94">
        <f>IF('Net zero activities &amp; levers'!$C$9="Off",'Activity data'!AW52*ManureNEF*NtoN2O*kgtoGg,IF('Net zero activities &amp; levers'!$C$9="On",(('Net zero supporting data'!U161*'Net zero supporting data'!U183)+('Net zero supporting data'!U173*ManureNEF))*NtoN2O*kgtoGg,"ERROR"))</f>
        <v>5.6388229968890861E-2</v>
      </c>
      <c r="AE669" s="94">
        <f>IF('Net zero activities &amp; levers'!$C$9="Off",'Activity data'!AX52*ManureNEF*NtoN2O*kgtoGg,IF('Net zero activities &amp; levers'!$C$9="On",(('Net zero supporting data'!V161*'Net zero supporting data'!V183)+('Net zero supporting data'!V173*ManureNEF))*NtoN2O*kgtoGg,"ERROR"))</f>
        <v>5.711519297602205E-2</v>
      </c>
      <c r="AF669" s="94">
        <f>IF('Net zero activities &amp; levers'!$C$9="Off",'Activity data'!AY52*ManureNEF*NtoN2O*kgtoGg,IF('Net zero activities &amp; levers'!$C$9="On",(('Net zero supporting data'!W161*'Net zero supporting data'!W183)+('Net zero supporting data'!W173*ManureNEF))*NtoN2O*kgtoGg,"ERROR"))</f>
        <v>5.7882497009801276E-2</v>
      </c>
      <c r="AG669" s="94">
        <f>IF('Net zero activities &amp; levers'!$C$9="Off",'Activity data'!AZ52*ManureNEF*NtoN2O*kgtoGg,IF('Net zero activities &amp; levers'!$C$9="On",(('Net zero supporting data'!X161*'Net zero supporting data'!X183)+('Net zero supporting data'!X173*ManureNEF))*NtoN2O*kgtoGg,"ERROR"))</f>
        <v>5.8750444717194539E-2</v>
      </c>
      <c r="AH669" s="94">
        <f>IF('Net zero activities &amp; levers'!$C$9="Off",'Activity data'!BA52*ManureNEF*NtoN2O*kgtoGg,IF('Net zero activities &amp; levers'!$C$9="On",(('Net zero supporting data'!Y161*'Net zero supporting data'!Y183)+('Net zero supporting data'!Y173*ManureNEF))*NtoN2O*kgtoGg,"ERROR"))</f>
        <v>5.9575663367885126E-2</v>
      </c>
      <c r="AI669" s="94">
        <f>IF('Net zero activities &amp; levers'!$C$9="Off",'Activity data'!BB52*ManureNEF*NtoN2O*kgtoGg,IF('Net zero activities &amp; levers'!$C$9="On",(('Net zero supporting data'!Z161*'Net zero supporting data'!Z183)+('Net zero supporting data'!Z173*ManureNEF))*NtoN2O*kgtoGg,"ERROR"))</f>
        <v>6.0421920723165649E-2</v>
      </c>
      <c r="AJ669" s="94">
        <f>IF('Net zero activities &amp; levers'!$C$9="Off",'Activity data'!BC52*ManureNEF*NtoN2O*kgtoGg,IF('Net zero activities &amp; levers'!$C$9="On",(('Net zero supporting data'!AA161*'Net zero supporting data'!AA183)+('Net zero supporting data'!AA173*ManureNEF))*NtoN2O*kgtoGg,"ERROR"))</f>
        <v>6.1326954660511038E-2</v>
      </c>
      <c r="AK669" s="94">
        <f>IF('Net zero activities &amp; levers'!$C$9="Off",'Activity data'!BD52*ManureNEF*NtoN2O*kgtoGg,IF('Net zero activities &amp; levers'!$C$9="On",(('Net zero supporting data'!AB161*'Net zero supporting data'!AB183)+('Net zero supporting data'!AB173*ManureNEF))*NtoN2O*kgtoGg,"ERROR"))</f>
        <v>6.2174862389725999E-2</v>
      </c>
      <c r="AL669" s="94">
        <f>IF('Net zero activities &amp; levers'!$C$9="Off",'Activity data'!BE52*ManureNEF*NtoN2O*kgtoGg,IF('Net zero activities &amp; levers'!$C$9="On",(('Net zero supporting data'!AC161*'Net zero supporting data'!AC183)+('Net zero supporting data'!AC173*ManureNEF))*NtoN2O*kgtoGg,"ERROR"))</f>
        <v>6.3018168756843018E-2</v>
      </c>
      <c r="AM669" s="94">
        <f>IF('Net zero activities &amp; levers'!$C$9="Off",'Activity data'!BF52*ManureNEF*NtoN2O*kgtoGg,IF('Net zero activities &amp; levers'!$C$9="On",(('Net zero supporting data'!AD161*'Net zero supporting data'!AD183)+('Net zero supporting data'!AD173*ManureNEF))*NtoN2O*kgtoGg,"ERROR"))</f>
        <v>6.3859219413391094E-2</v>
      </c>
      <c r="AN669" s="94">
        <f>IF('Net zero activities &amp; levers'!$C$9="Off",'Activity data'!BG52*ManureNEF*NtoN2O*kgtoGg,IF('Net zero activities &amp; levers'!$C$9="On",(('Net zero supporting data'!AE161*'Net zero supporting data'!AE183)+('Net zero supporting data'!AE173*ManureNEF))*NtoN2O*kgtoGg,"ERROR"))</f>
        <v>6.4749025792016954E-2</v>
      </c>
      <c r="AO669" s="94">
        <f>IF('Net zero activities &amp; levers'!$C$9="Off",'Activity data'!BH52*ManureNEF*NtoN2O*kgtoGg,IF('Net zero activities &amp; levers'!$C$9="On",(('Net zero supporting data'!AF161*'Net zero supporting data'!AF183)+('Net zero supporting data'!AF173*ManureNEF))*NtoN2O*kgtoGg,"ERROR"))</f>
        <v>6.5603042366106867E-2</v>
      </c>
      <c r="AP669" s="94">
        <f>IF('Net zero activities &amp; levers'!$C$9="Off",'Activity data'!BI52*ManureNEF*NtoN2O*kgtoGg,IF('Net zero activities &amp; levers'!$C$9="On",(('Net zero supporting data'!AG161*'Net zero supporting data'!AG183)+('Net zero supporting data'!AG173*ManureNEF))*NtoN2O*kgtoGg,"ERROR"))</f>
        <v>6.6490221592755999E-2</v>
      </c>
      <c r="AQ669" s="94">
        <f>IF('Net zero activities &amp; levers'!$C$9="Off",'Activity data'!BJ52*ManureNEF*NtoN2O*kgtoGg,IF('Net zero activities &amp; levers'!$C$9="On",(('Net zero supporting data'!AH161*'Net zero supporting data'!AH183)+('Net zero supporting data'!AH173*ManureNEF))*NtoN2O*kgtoGg,"ERROR"))</f>
        <v>6.7414609734650743E-2</v>
      </c>
      <c r="AR669" s="94">
        <f>IF('Net zero activities &amp; levers'!$C$9="Off",'Activity data'!BK52*ManureNEF*NtoN2O*kgtoGg,IF('Net zero activities &amp; levers'!$C$9="On",(('Net zero supporting data'!AI161*'Net zero supporting data'!AI183)+('Net zero supporting data'!AI173*ManureNEF))*NtoN2O*kgtoGg,"ERROR"))</f>
        <v>6.8382713611200324E-2</v>
      </c>
      <c r="AS669" s="94">
        <f>IF('Net zero activities &amp; levers'!$C$9="Off",'Activity data'!BL52*ManureNEF*NtoN2O*kgtoGg,IF('Net zero activities &amp; levers'!$C$9="On",(('Net zero supporting data'!AJ161*'Net zero supporting data'!AJ183)+('Net zero supporting data'!AJ173*ManureNEF))*NtoN2O*kgtoGg,"ERROR"))</f>
        <v>6.9367941970261027E-2</v>
      </c>
      <c r="AT669" s="94">
        <f>IF('Net zero activities &amp; levers'!$C$9="Off",'Activity data'!BM52*ManureNEF*NtoN2O*kgtoGg,IF('Net zero activities &amp; levers'!$C$9="On",(('Net zero supporting data'!AK161*'Net zero supporting data'!AK183)+('Net zero supporting data'!AK173*ManureNEF))*NtoN2O*kgtoGg,"ERROR"))</f>
        <v>6.9601531740596523E-2</v>
      </c>
      <c r="AU669" s="94">
        <f>IF('Net zero activities &amp; levers'!$C$9="Off",'Activity data'!BN52*ManureNEF*NtoN2O*kgtoGg,IF('Net zero activities &amp; levers'!$C$9="On",(('Net zero supporting data'!AL161*'Net zero supporting data'!AL183)+('Net zero supporting data'!AL173*ManureNEF))*NtoN2O*kgtoGg,"ERROR"))</f>
        <v>6.9767776865590186E-2</v>
      </c>
      <c r="AV669" s="94">
        <f>IF('Net zero activities &amp; levers'!$C$9="Off",'Activity data'!BO52*ManureNEF*NtoN2O*kgtoGg,IF('Net zero activities &amp; levers'!$C$9="On",(('Net zero supporting data'!AM161*'Net zero supporting data'!AM183)+('Net zero supporting data'!AM173*ManureNEF))*NtoN2O*kgtoGg,"ERROR"))</f>
        <v>6.983589053067922E-2</v>
      </c>
      <c r="AW669" s="94">
        <f>IF('Net zero activities &amp; levers'!$C$9="Off",'Activity data'!BP52*ManureNEF*NtoN2O*kgtoGg,IF('Net zero activities &amp; levers'!$C$9="On",(('Net zero supporting data'!AN161*'Net zero supporting data'!AN183)+('Net zero supporting data'!AN173*ManureNEF))*NtoN2O*kgtoGg,"ERROR"))</f>
        <v>6.9877019400426524E-2</v>
      </c>
      <c r="AY669" s="79"/>
      <c r="AZ669" s="79"/>
    </row>
    <row r="670" spans="1:52" x14ac:dyDescent="0.3">
      <c r="A670" s="95" t="str">
        <f t="shared" si="133"/>
        <v>NI Organic</v>
      </c>
      <c r="B670" s="95" t="s">
        <v>969</v>
      </c>
      <c r="C670" s="95" t="s">
        <v>1127</v>
      </c>
      <c r="D670" t="s">
        <v>369</v>
      </c>
      <c r="E670" t="s">
        <v>55</v>
      </c>
      <c r="F670" t="s">
        <v>421</v>
      </c>
      <c r="G670" t="s">
        <v>1158</v>
      </c>
      <c r="H670" t="s">
        <v>1159</v>
      </c>
      <c r="I670" t="s">
        <v>139</v>
      </c>
      <c r="J670" t="s">
        <v>287</v>
      </c>
      <c r="K670" s="94">
        <f>IF('Net zero activities &amp; levers'!$C$9="Off",'Activity data'!AD53*ManureNEF*NtoN2O*kgtoGg,IF('Net zero activities &amp; levers'!$C$9="On",(('Net zero supporting data'!B162*'Net zero supporting data'!B183)+('Net zero supporting data'!B174*ManureNEF))*NtoN2O*kgtoGg,"ERROR"))</f>
        <v>0.3999997899835232</v>
      </c>
      <c r="L670" s="94">
        <f>IF('Net zero activities &amp; levers'!$C$9="Off",'Activity data'!AE53*ManureNEF*NtoN2O*kgtoGg,IF('Net zero activities &amp; levers'!$C$9="On",(('Net zero supporting data'!C162*'Net zero supporting data'!C183)+('Net zero supporting data'!C174*ManureNEF))*NtoN2O*kgtoGg,"ERROR"))</f>
        <v>0.39653071954810187</v>
      </c>
      <c r="M670" s="94">
        <f>IF('Net zero activities &amp; levers'!$C$9="Off",'Activity data'!AF53*ManureNEF*NtoN2O*kgtoGg,IF('Net zero activities &amp; levers'!$C$9="On",(('Net zero supporting data'!D162*'Net zero supporting data'!D183)+('Net zero supporting data'!D174*ManureNEF))*NtoN2O*kgtoGg,"ERROR"))</f>
        <v>0.39521014945095023</v>
      </c>
      <c r="N670" s="94">
        <f>IF('Net zero activities &amp; levers'!$C$9="Off",'Activity data'!AG53*ManureNEF*NtoN2O*kgtoGg,IF('Net zero activities &amp; levers'!$C$9="On",(('Net zero supporting data'!E162*'Net zero supporting data'!E183)+('Net zero supporting data'!E174*ManureNEF))*NtoN2O*kgtoGg,"ERROR"))</f>
        <v>0.38993263522397309</v>
      </c>
      <c r="O670" s="94">
        <f>IF('Net zero activities &amp; levers'!$C$9="Off",'Activity data'!AH53*ManureNEF*NtoN2O*kgtoGg,IF('Net zero activities &amp; levers'!$C$9="On",(('Net zero supporting data'!F162*'Net zero supporting data'!F183)+('Net zero supporting data'!F174*ManureNEF))*NtoN2O*kgtoGg,"ERROR"))</f>
        <v>0.382272194437701</v>
      </c>
      <c r="P670" s="94">
        <f>IF('Net zero activities &amp; levers'!$C$9="Off",'Activity data'!AI53*ManureNEF*NtoN2O*kgtoGg,IF('Net zero activities &amp; levers'!$C$9="On",(('Net zero supporting data'!G162*'Net zero supporting data'!G183)+('Net zero supporting data'!G174*ManureNEF))*NtoN2O*kgtoGg,"ERROR"))</f>
        <v>0.37238723301511378</v>
      </c>
      <c r="Q670" s="94">
        <f>IF('Net zero activities &amp; levers'!$C$9="Off",'Activity data'!AJ53*ManureNEF*NtoN2O*kgtoGg,IF('Net zero activities &amp; levers'!$C$9="On",(('Net zero supporting data'!H162*'Net zero supporting data'!H183)+('Net zero supporting data'!H174*ManureNEF))*NtoN2O*kgtoGg,"ERROR"))</f>
        <v>0.36459067483623875</v>
      </c>
      <c r="R670" s="94">
        <f>IF('Net zero activities &amp; levers'!$C$9="Off",'Activity data'!AK53*ManureNEF*NtoN2O*kgtoGg,IF('Net zero activities &amp; levers'!$C$9="On",(('Net zero supporting data'!I162*'Net zero supporting data'!I183)+('Net zero supporting data'!I174*ManureNEF))*NtoN2O*kgtoGg,"ERROR"))</f>
        <v>0.3572142444544395</v>
      </c>
      <c r="S670" s="94">
        <f>IF('Net zero activities &amp; levers'!$C$9="Off",'Activity data'!AL53*ManureNEF*NtoN2O*kgtoGg,IF('Net zero activities &amp; levers'!$C$9="On",(('Net zero supporting data'!J162*'Net zero supporting data'!J183)+('Net zero supporting data'!J174*ManureNEF))*NtoN2O*kgtoGg,"ERROR"))</f>
        <v>0.31424439964767104</v>
      </c>
      <c r="T670" s="94">
        <f>IF('Net zero activities &amp; levers'!$C$9="Off",'Activity data'!AM53*ManureNEF*NtoN2O*kgtoGg,IF('Net zero activities &amp; levers'!$C$9="On",(('Net zero supporting data'!K162*'Net zero supporting data'!K183)+('Net zero supporting data'!K174*ManureNEF))*NtoN2O*kgtoGg,"ERROR"))</f>
        <v>0.31934867566353531</v>
      </c>
      <c r="U670" s="94">
        <f>IF('Net zero activities &amp; levers'!$C$9="Off",'Activity data'!AN53*ManureNEF*NtoN2O*kgtoGg,IF('Net zero activities &amp; levers'!$C$9="On",(('Net zero supporting data'!L162*'Net zero supporting data'!L183)+('Net zero supporting data'!L174*ManureNEF))*NtoN2O*kgtoGg,"ERROR"))</f>
        <v>0.32887086359473244</v>
      </c>
      <c r="V670" s="94">
        <f>IF('Net zero activities &amp; levers'!$C$9="Off",'Activity data'!AO53*ManureNEF*NtoN2O*kgtoGg,IF('Net zero activities &amp; levers'!$C$9="On",(('Net zero supporting data'!M162*'Net zero supporting data'!M183)+('Net zero supporting data'!M174*ManureNEF))*NtoN2O*kgtoGg,"ERROR"))</f>
        <v>0.33077255450985388</v>
      </c>
      <c r="W670" s="94">
        <f>IF('Net zero activities &amp; levers'!$C$9="Off",'Activity data'!AP53*ManureNEF*NtoN2O*kgtoGg,IF('Net zero activities &amp; levers'!$C$9="On",(('Net zero supporting data'!N162*'Net zero supporting data'!N183)+('Net zero supporting data'!N174*ManureNEF))*NtoN2O*kgtoGg,"ERROR"))</f>
        <v>0.33351533974002295</v>
      </c>
      <c r="X670" s="94">
        <f>IF('Net zero activities &amp; levers'!$C$9="Off",'Activity data'!AQ53*ManureNEF*NtoN2O*kgtoGg,IF('Net zero activities &amp; levers'!$C$9="On",(('Net zero supporting data'!O162*'Net zero supporting data'!O183)+('Net zero supporting data'!O174*ManureNEF))*NtoN2O*kgtoGg,"ERROR"))</f>
        <v>0.33734158563652278</v>
      </c>
      <c r="Y670" s="94">
        <f>IF('Net zero activities &amp; levers'!$C$9="Off",'Activity data'!AR53*ManureNEF*NtoN2O*kgtoGg,IF('Net zero activities &amp; levers'!$C$9="On",(('Net zero supporting data'!P162*'Net zero supporting data'!P183)+('Net zero supporting data'!P174*ManureNEF))*NtoN2O*kgtoGg,"ERROR"))</f>
        <v>0.34173046425936165</v>
      </c>
      <c r="Z670" s="94">
        <f>IF('Net zero activities &amp; levers'!$C$9="Off",'Activity data'!AS53*ManureNEF*NtoN2O*kgtoGg,IF('Net zero activities &amp; levers'!$C$9="On",(('Net zero supporting data'!Q162*'Net zero supporting data'!Q183)+('Net zero supporting data'!Q174*ManureNEF))*NtoN2O*kgtoGg,"ERROR"))</f>
        <v>0.34687619399861491</v>
      </c>
      <c r="AA670" s="94">
        <f>IF('Net zero activities &amp; levers'!$C$9="Off",'Activity data'!AT53*ManureNEF*NtoN2O*kgtoGg,IF('Net zero activities &amp; levers'!$C$9="On",(('Net zero supporting data'!R162*'Net zero supporting data'!R183)+('Net zero supporting data'!R174*ManureNEF))*NtoN2O*kgtoGg,"ERROR"))</f>
        <v>0.35204565699464252</v>
      </c>
      <c r="AB670" s="94">
        <f>IF('Net zero activities &amp; levers'!$C$9="Off",'Activity data'!AU53*ManureNEF*NtoN2O*kgtoGg,IF('Net zero activities &amp; levers'!$C$9="On",(('Net zero supporting data'!S162*'Net zero supporting data'!S183)+('Net zero supporting data'!S174*ManureNEF))*NtoN2O*kgtoGg,"ERROR"))</f>
        <v>0.35785970773870229</v>
      </c>
      <c r="AC670" s="94">
        <f>IF('Net zero activities &amp; levers'!$C$9="Off",'Activity data'!AV53*ManureNEF*NtoN2O*kgtoGg,IF('Net zero activities &amp; levers'!$C$9="On",(('Net zero supporting data'!T162*'Net zero supporting data'!T183)+('Net zero supporting data'!T174*ManureNEF))*NtoN2O*kgtoGg,"ERROR"))</f>
        <v>0.36361606039285416</v>
      </c>
      <c r="AD670" s="94">
        <f>IF('Net zero activities &amp; levers'!$C$9="Off",'Activity data'!AW53*ManureNEF*NtoN2O*kgtoGg,IF('Net zero activities &amp; levers'!$C$9="On",(('Net zero supporting data'!U162*'Net zero supporting data'!U183)+('Net zero supporting data'!U174*ManureNEF))*NtoN2O*kgtoGg,"ERROR"))</f>
        <v>0.36736576480920718</v>
      </c>
      <c r="AE670" s="94">
        <f>IF('Net zero activities &amp; levers'!$C$9="Off",'Activity data'!AX53*ManureNEF*NtoN2O*kgtoGg,IF('Net zero activities &amp; levers'!$C$9="On",(('Net zero supporting data'!V162*'Net zero supporting data'!V183)+('Net zero supporting data'!V174*ManureNEF))*NtoN2O*kgtoGg,"ERROR"))</f>
        <v>0.37044453344609923</v>
      </c>
      <c r="AF670" s="94">
        <f>IF('Net zero activities &amp; levers'!$C$9="Off",'Activity data'!AY53*ManureNEF*NtoN2O*kgtoGg,IF('Net zero activities &amp; levers'!$C$9="On",(('Net zero supporting data'!W162*'Net zero supporting data'!W183)+('Net zero supporting data'!W174*ManureNEF))*NtoN2O*kgtoGg,"ERROR"))</f>
        <v>0.37369707806666508</v>
      </c>
      <c r="AG670" s="94">
        <f>IF('Net zero activities &amp; levers'!$C$9="Off",'Activity data'!AZ53*ManureNEF*NtoN2O*kgtoGg,IF('Net zero activities &amp; levers'!$C$9="On",(('Net zero supporting data'!X162*'Net zero supporting data'!X183)+('Net zero supporting data'!X174*ManureNEF))*NtoN2O*kgtoGg,"ERROR"))</f>
        <v>0.37804894622531426</v>
      </c>
      <c r="AH670" s="94">
        <f>IF('Net zero activities &amp; levers'!$C$9="Off",'Activity data'!BA53*ManureNEF*NtoN2O*kgtoGg,IF('Net zero activities &amp; levers'!$C$9="On",(('Net zero supporting data'!Y162*'Net zero supporting data'!Y183)+('Net zero supporting data'!Y174*ManureNEF))*NtoN2O*kgtoGg,"ERROR"))</f>
        <v>0.38117866346584023</v>
      </c>
      <c r="AI670" s="94">
        <f>IF('Net zero activities &amp; levers'!$C$9="Off",'Activity data'!BB53*ManureNEF*NtoN2O*kgtoGg,IF('Net zero activities &amp; levers'!$C$9="On",(('Net zero supporting data'!Z162*'Net zero supporting data'!Z183)+('Net zero supporting data'!Z174*ManureNEF))*NtoN2O*kgtoGg,"ERROR"))</f>
        <v>0.38451417084428363</v>
      </c>
      <c r="AJ670" s="94">
        <f>IF('Net zero activities &amp; levers'!$C$9="Off",'Activity data'!BC53*ManureNEF*NtoN2O*kgtoGg,IF('Net zero activities &amp; levers'!$C$9="On",(('Net zero supporting data'!AA162*'Net zero supporting data'!AA183)+('Net zero supporting data'!AA174*ManureNEF))*NtoN2O*kgtoGg,"ERROR"))</f>
        <v>0.38818587422632583</v>
      </c>
      <c r="AK670" s="94">
        <f>IF('Net zero activities &amp; levers'!$C$9="Off",'Activity data'!BD53*ManureNEF*NtoN2O*kgtoGg,IF('Net zero activities &amp; levers'!$C$9="On",(('Net zero supporting data'!AB162*'Net zero supporting data'!AB183)+('Net zero supporting data'!AB174*ManureNEF))*NtoN2O*kgtoGg,"ERROR"))</f>
        <v>0.39047383423356319</v>
      </c>
      <c r="AL670" s="94">
        <f>IF('Net zero activities &amp; levers'!$C$9="Off",'Activity data'!BE53*ManureNEF*NtoN2O*kgtoGg,IF('Net zero activities &amp; levers'!$C$9="On",(('Net zero supporting data'!AC162*'Net zero supporting data'!AC183)+('Net zero supporting data'!AC174*ManureNEF))*NtoN2O*kgtoGg,"ERROR"))</f>
        <v>0.39219030360024004</v>
      </c>
      <c r="AM670" s="94">
        <f>IF('Net zero activities &amp; levers'!$C$9="Off",'Activity data'!BF53*ManureNEF*NtoN2O*kgtoGg,IF('Net zero activities &amp; levers'!$C$9="On",(('Net zero supporting data'!AD162*'Net zero supporting data'!AD183)+('Net zero supporting data'!AD174*ManureNEF))*NtoN2O*kgtoGg,"ERROR"))</f>
        <v>0.39338421797559098</v>
      </c>
      <c r="AN670" s="94">
        <f>IF('Net zero activities &amp; levers'!$C$9="Off",'Activity data'!BG53*ManureNEF*NtoN2O*kgtoGg,IF('Net zero activities &amp; levers'!$C$9="On",(('Net zero supporting data'!AE162*'Net zero supporting data'!AE183)+('Net zero supporting data'!AE174*ManureNEF))*NtoN2O*kgtoGg,"ERROR"))</f>
        <v>0.39709578221714281</v>
      </c>
      <c r="AO670" s="94">
        <f>IF('Net zero activities &amp; levers'!$C$9="Off",'Activity data'!BH53*ManureNEF*NtoN2O*kgtoGg,IF('Net zero activities &amp; levers'!$C$9="On",(('Net zero supporting data'!AF162*'Net zero supporting data'!AF183)+('Net zero supporting data'!AF174*ManureNEF))*NtoN2O*kgtoGg,"ERROR"))</f>
        <v>0.39991704090429331</v>
      </c>
      <c r="AP670" s="94">
        <f>IF('Net zero activities &amp; levers'!$C$9="Off",'Activity data'!BI53*ManureNEF*NtoN2O*kgtoGg,IF('Net zero activities &amp; levers'!$C$9="On",(('Net zero supporting data'!AG162*'Net zero supporting data'!AG183)+('Net zero supporting data'!AG174*ManureNEF))*NtoN2O*kgtoGg,"ERROR"))</f>
        <v>0.40277391205281804</v>
      </c>
      <c r="AQ670" s="94">
        <f>IF('Net zero activities &amp; levers'!$C$9="Off",'Activity data'!BJ53*ManureNEF*NtoN2O*kgtoGg,IF('Net zero activities &amp; levers'!$C$9="On",(('Net zero supporting data'!AH162*'Net zero supporting data'!AH183)+('Net zero supporting data'!AH174*ManureNEF))*NtoN2O*kgtoGg,"ERROR"))</f>
        <v>0.40569907697718249</v>
      </c>
      <c r="AR670" s="94">
        <f>IF('Net zero activities &amp; levers'!$C$9="Off",'Activity data'!BK53*ManureNEF*NtoN2O*kgtoGg,IF('Net zero activities &amp; levers'!$C$9="On",(('Net zero supporting data'!AI162*'Net zero supporting data'!AI183)+('Net zero supporting data'!AI174*ManureNEF))*NtoN2O*kgtoGg,"ERROR"))</f>
        <v>0.40875152256691355</v>
      </c>
      <c r="AS670" s="94">
        <f>IF('Net zero activities &amp; levers'!$C$9="Off",'Activity data'!BL53*ManureNEF*NtoN2O*kgtoGg,IF('Net zero activities &amp; levers'!$C$9="On",(('Net zero supporting data'!AJ162*'Net zero supporting data'!AJ183)+('Net zero supporting data'!AJ174*ManureNEF))*NtoN2O*kgtoGg,"ERROR"))</f>
        <v>0.41188557339004239</v>
      </c>
      <c r="AT670" s="94">
        <f>IF('Net zero activities &amp; levers'!$C$9="Off",'Activity data'!BM53*ManureNEF*NtoN2O*kgtoGg,IF('Net zero activities &amp; levers'!$C$9="On",(('Net zero supporting data'!AK162*'Net zero supporting data'!AK183)+('Net zero supporting data'!AK174*ManureNEF))*NtoN2O*kgtoGg,"ERROR"))</f>
        <v>0.4057032930761475</v>
      </c>
      <c r="AU670" s="94">
        <f>IF('Net zero activities &amp; levers'!$C$9="Off",'Activity data'!BN53*ManureNEF*NtoN2O*kgtoGg,IF('Net zero activities &amp; levers'!$C$9="On",(('Net zero supporting data'!AL162*'Net zero supporting data'!AL183)+('Net zero supporting data'!AL174*ManureNEF))*NtoN2O*kgtoGg,"ERROR"))</f>
        <v>0.3986998092121265</v>
      </c>
      <c r="AV670" s="94">
        <f>IF('Net zero activities &amp; levers'!$C$9="Off",'Activity data'!BO53*ManureNEF*NtoN2O*kgtoGg,IF('Net zero activities &amp; levers'!$C$9="On",(('Net zero supporting data'!AM162*'Net zero supporting data'!AM183)+('Net zero supporting data'!AM174*ManureNEF))*NtoN2O*kgtoGg,"ERROR"))</f>
        <v>0.39058052493607326</v>
      </c>
      <c r="AW670" s="94">
        <f>IF('Net zero activities &amp; levers'!$C$9="Off",'Activity data'!BP53*ManureNEF*NtoN2O*kgtoGg,IF('Net zero activities &amp; levers'!$C$9="On",(('Net zero supporting data'!AN162*'Net zero supporting data'!AN183)+('Net zero supporting data'!AN174*ManureNEF))*NtoN2O*kgtoGg,"ERROR"))</f>
        <v>0.38220678819508502</v>
      </c>
      <c r="AY670" s="79"/>
      <c r="AZ670" s="79"/>
    </row>
    <row r="671" spans="1:52" x14ac:dyDescent="0.3">
      <c r="A671" s="95" t="str">
        <f t="shared" si="133"/>
        <v>NI Organic</v>
      </c>
      <c r="B671" s="95" t="s">
        <v>969</v>
      </c>
      <c r="C671" s="95" t="s">
        <v>1127</v>
      </c>
      <c r="D671" t="s">
        <v>369</v>
      </c>
      <c r="E671" t="s">
        <v>55</v>
      </c>
      <c r="F671" t="s">
        <v>421</v>
      </c>
      <c r="G671" t="s">
        <v>1160</v>
      </c>
      <c r="H671" t="s">
        <v>1161</v>
      </c>
      <c r="I671" t="s">
        <v>139</v>
      </c>
      <c r="J671" t="s">
        <v>287</v>
      </c>
      <c r="K671" s="22">
        <f>K1470</f>
        <v>2.6602988559851246</v>
      </c>
      <c r="L671" s="22">
        <f t="shared" ref="L671:AW671" si="145">L1470</f>
        <v>2.6372269335947083</v>
      </c>
      <c r="M671" s="22">
        <f t="shared" si="145"/>
        <v>2.6284441511866339</v>
      </c>
      <c r="N671" s="22">
        <f t="shared" si="145"/>
        <v>2.5933447201068058</v>
      </c>
      <c r="O671" s="22">
        <f t="shared" si="145"/>
        <v>2.5423970387070201</v>
      </c>
      <c r="P671" s="22">
        <f t="shared" si="145"/>
        <v>2.4766546252796311</v>
      </c>
      <c r="Q671" s="22">
        <f t="shared" si="145"/>
        <v>2.4248016610449818</v>
      </c>
      <c r="R671" s="22">
        <f t="shared" si="145"/>
        <v>2.3757428620222045</v>
      </c>
      <c r="S671" s="22">
        <f t="shared" si="145"/>
        <v>2.0899611395217677</v>
      </c>
      <c r="T671" s="22">
        <f t="shared" si="145"/>
        <v>2.123908406459571</v>
      </c>
      <c r="U671" s="22">
        <f t="shared" si="145"/>
        <v>2.1872381038598681</v>
      </c>
      <c r="V671" s="22">
        <f t="shared" si="145"/>
        <v>2.1998857759152552</v>
      </c>
      <c r="W671" s="22">
        <f t="shared" si="145"/>
        <v>2.2181273565179156</v>
      </c>
      <c r="X671" s="22">
        <f t="shared" si="145"/>
        <v>2.2435747638317936</v>
      </c>
      <c r="Y671" s="22">
        <f t="shared" si="145"/>
        <v>2.2727641011058872</v>
      </c>
      <c r="Z671" s="22">
        <f t="shared" si="145"/>
        <v>2.3069870664207133</v>
      </c>
      <c r="AA671" s="22">
        <f t="shared" si="145"/>
        <v>2.3413678757080296</v>
      </c>
      <c r="AB671" s="22">
        <f t="shared" si="145"/>
        <v>2.380035677367871</v>
      </c>
      <c r="AC671" s="22">
        <f t="shared" si="145"/>
        <v>2.4183197434198012</v>
      </c>
      <c r="AD671" s="22">
        <f t="shared" si="145"/>
        <v>2.4432580924362282</v>
      </c>
      <c r="AE671" s="22">
        <f t="shared" si="145"/>
        <v>2.4637342148934525</v>
      </c>
      <c r="AF671" s="22">
        <f t="shared" si="145"/>
        <v>2.4853660780839015</v>
      </c>
      <c r="AG671" s="22">
        <f t="shared" si="145"/>
        <v>2.5143092679899</v>
      </c>
      <c r="AH671" s="22">
        <f t="shared" si="145"/>
        <v>2.5351242369049363</v>
      </c>
      <c r="AI671" s="22">
        <f t="shared" si="145"/>
        <v>2.5573078647097613</v>
      </c>
      <c r="AJ671" s="22">
        <f t="shared" si="145"/>
        <v>2.5817274482979573</v>
      </c>
      <c r="AK671" s="22">
        <f t="shared" si="145"/>
        <v>2.5969440997618101</v>
      </c>
      <c r="AL671" s="22">
        <f t="shared" si="145"/>
        <v>2.6083599094868397</v>
      </c>
      <c r="AM671" s="22">
        <f t="shared" si="145"/>
        <v>2.6163003362731181</v>
      </c>
      <c r="AN671" s="22">
        <f t="shared" si="145"/>
        <v>2.6409850244978843</v>
      </c>
      <c r="AO671" s="22">
        <f t="shared" si="145"/>
        <v>2.6597485124941493</v>
      </c>
      <c r="AP671" s="22">
        <f t="shared" si="145"/>
        <v>2.6787488500904026</v>
      </c>
      <c r="AQ671" s="22">
        <f t="shared" si="145"/>
        <v>2.6982033925594746</v>
      </c>
      <c r="AR671" s="22">
        <f t="shared" si="145"/>
        <v>2.7185044469941606</v>
      </c>
      <c r="AS671" s="22">
        <f t="shared" si="145"/>
        <v>2.739348237486432</v>
      </c>
      <c r="AT671" s="22">
        <f t="shared" si="145"/>
        <v>2.6982314327823316</v>
      </c>
      <c r="AU671" s="22">
        <f t="shared" si="145"/>
        <v>2.6516530080483269</v>
      </c>
      <c r="AV671" s="22">
        <f t="shared" si="145"/>
        <v>2.5976536730189443</v>
      </c>
      <c r="AW671" s="22">
        <f t="shared" si="145"/>
        <v>2.5419620380976129</v>
      </c>
      <c r="AY671" s="79"/>
      <c r="AZ671" s="79"/>
    </row>
    <row r="672" spans="1:52" x14ac:dyDescent="0.3">
      <c r="A672" s="95" t="str">
        <f t="shared" si="133"/>
        <v>NI Organic</v>
      </c>
      <c r="B672" s="95" t="s">
        <v>969</v>
      </c>
      <c r="C672" s="95" t="s">
        <v>1127</v>
      </c>
      <c r="D672" t="s">
        <v>369</v>
      </c>
      <c r="E672" t="s">
        <v>55</v>
      </c>
      <c r="F672" t="s">
        <v>421</v>
      </c>
      <c r="G672" t="s">
        <v>1162</v>
      </c>
      <c r="H672" t="s">
        <v>1163</v>
      </c>
      <c r="I672" t="s">
        <v>139</v>
      </c>
      <c r="J672" t="s">
        <v>287</v>
      </c>
      <c r="K672" s="94">
        <f>IF('Net zero activities &amp; levers'!$C$9="Off",'Activity data'!AD55*ManureNEF*NtoN2O*kgtoGg,IF('Net zero activities &amp; levers'!$C$9="On",(('Net zero supporting data'!B163*'Net zero supporting data'!B183)+('Net zero supporting data'!B175*ManureNEF))*NtoN2O*kgtoGg,"ERROR"))</f>
        <v>0.34358078636628736</v>
      </c>
      <c r="L672" s="94">
        <f>IF('Net zero activities &amp; levers'!$C$9="Off",'Activity data'!AE55*ManureNEF*NtoN2O*kgtoGg,IF('Net zero activities &amp; levers'!$C$9="On",(('Net zero supporting data'!C163*'Net zero supporting data'!C183)+('Net zero supporting data'!C175*ManureNEF))*NtoN2O*kgtoGg,"ERROR"))</f>
        <v>0.35516571939691499</v>
      </c>
      <c r="M672" s="94">
        <f>IF('Net zero activities &amp; levers'!$C$9="Off",'Activity data'!AF55*ManureNEF*NtoN2O*kgtoGg,IF('Net zero activities &amp; levers'!$C$9="On",(('Net zero supporting data'!D163*'Net zero supporting data'!D183)+('Net zero supporting data'!D175*ManureNEF))*NtoN2O*kgtoGg,"ERROR"))</f>
        <v>0.36891582276573964</v>
      </c>
      <c r="N672" s="94">
        <f>IF('Net zero activities &amp; levers'!$C$9="Off",'Activity data'!AG55*ManureNEF*NtoN2O*kgtoGg,IF('Net zero activities &amp; levers'!$C$9="On",(('Net zero supporting data'!E163*'Net zero supporting data'!E183)+('Net zero supporting data'!E175*ManureNEF))*NtoN2O*kgtoGg,"ERROR"))</f>
        <v>0.37917034791782095</v>
      </c>
      <c r="O672" s="94">
        <f>IF('Net zero activities &amp; levers'!$C$9="Off",'Activity data'!AH55*ManureNEF*NtoN2O*kgtoGg,IF('Net zero activities &amp; levers'!$C$9="On",(('Net zero supporting data'!F163*'Net zero supporting data'!F183)+('Net zero supporting data'!F175*ManureNEF))*NtoN2O*kgtoGg,"ERROR"))</f>
        <v>0.38707850955818851</v>
      </c>
      <c r="P672" s="94">
        <f>IF('Net zero activities &amp; levers'!$C$9="Off",'Activity data'!AI55*ManureNEF*NtoN2O*kgtoGg,IF('Net zero activities &amp; levers'!$C$9="On",(('Net zero supporting data'!G163*'Net zero supporting data'!G183)+('Net zero supporting data'!G175*ManureNEF))*NtoN2O*kgtoGg,"ERROR"))</f>
        <v>0.39252728601928993</v>
      </c>
      <c r="Q672" s="94">
        <f>IF('Net zero activities &amp; levers'!$C$9="Off",'Activity data'!AJ55*ManureNEF*NtoN2O*kgtoGg,IF('Net zero activities &amp; levers'!$C$9="On",(('Net zero supporting data'!H163*'Net zero supporting data'!H183)+('Net zero supporting data'!H175*ManureNEF))*NtoN2O*kgtoGg,"ERROR"))</f>
        <v>0.39996713645364929</v>
      </c>
      <c r="R672" s="94">
        <f>IF('Net zero activities &amp; levers'!$C$9="Off",'Activity data'!AK55*ManureNEF*NtoN2O*kgtoGg,IF('Net zero activities &amp; levers'!$C$9="On",(('Net zero supporting data'!I163*'Net zero supporting data'!I183)+('Net zero supporting data'!I175*ManureNEF))*NtoN2O*kgtoGg,"ERROR"))</f>
        <v>0.40776627193753145</v>
      </c>
      <c r="S672" s="94">
        <f>IF('Net zero activities &amp; levers'!$C$9="Off",'Activity data'!AL55*ManureNEF*NtoN2O*kgtoGg,IF('Net zero activities &amp; levers'!$C$9="On",(('Net zero supporting data'!J163*'Net zero supporting data'!J183)+('Net zero supporting data'!J175*ManureNEF))*NtoN2O*kgtoGg,"ERROR"))</f>
        <v>0.37321314104522196</v>
      </c>
      <c r="T672" s="94">
        <f>IF('Net zero activities &amp; levers'!$C$9="Off",'Activity data'!AM55*ManureNEF*NtoN2O*kgtoGg,IF('Net zero activities &amp; levers'!$C$9="On",(('Net zero supporting data'!K163*'Net zero supporting data'!K183)+('Net zero supporting data'!K175*ManureNEF))*NtoN2O*kgtoGg,"ERROR"))</f>
        <v>0.3884130094850205</v>
      </c>
      <c r="U672" s="94">
        <f>IF('Net zero activities &amp; levers'!$C$9="Off",'Activity data'!AN55*ManureNEF*NtoN2O*kgtoGg,IF('Net zero activities &amp; levers'!$C$9="On",(('Net zero supporting data'!L163*'Net zero supporting data'!L183)+('Net zero supporting data'!L175*ManureNEF))*NtoN2O*kgtoGg,"ERROR"))</f>
        <v>0.40949913684353023</v>
      </c>
      <c r="V672" s="94">
        <f>IF('Net zero activities &amp; levers'!$C$9="Off",'Activity data'!AO55*ManureNEF*NtoN2O*kgtoGg,IF('Net zero activities &amp; levers'!$C$9="On",(('Net zero supporting data'!M163*'Net zero supporting data'!M183)+('Net zero supporting data'!M175*ManureNEF))*NtoN2O*kgtoGg,"ERROR"))</f>
        <v>0.4215293985273969</v>
      </c>
      <c r="W672" s="94">
        <f>IF('Net zero activities &amp; levers'!$C$9="Off",'Activity data'!AP55*ManureNEF*NtoN2O*kgtoGg,IF('Net zero activities &amp; levers'!$C$9="On",(('Net zero supporting data'!N163*'Net zero supporting data'!N183)+('Net zero supporting data'!N175*ManureNEF))*NtoN2O*kgtoGg,"ERROR"))</f>
        <v>0.43487839572409737</v>
      </c>
      <c r="X672" s="94">
        <f>IF('Net zero activities &amp; levers'!$C$9="Off",'Activity data'!AQ55*ManureNEF*NtoN2O*kgtoGg,IF('Net zero activities &amp; levers'!$C$9="On",(('Net zero supporting data'!O163*'Net zero supporting data'!O183)+('Net zero supporting data'!O175*ManureNEF))*NtoN2O*kgtoGg,"ERROR"))</f>
        <v>0.4499540833261832</v>
      </c>
      <c r="Y672" s="94">
        <f>IF('Net zero activities &amp; levers'!$C$9="Off",'Activity data'!AR55*ManureNEF*NtoN2O*kgtoGg,IF('Net zero activities &amp; levers'!$C$9="On",(('Net zero supporting data'!P163*'Net zero supporting data'!P183)+('Net zero supporting data'!P175*ManureNEF))*NtoN2O*kgtoGg,"ERROR"))</f>
        <v>0.46615455433442204</v>
      </c>
      <c r="Z672" s="94">
        <f>IF('Net zero activities &amp; levers'!$C$9="Off",'Activity data'!AS55*ManureNEF*NtoN2O*kgtoGg,IF('Net zero activities &amp; levers'!$C$9="On",(('Net zero supporting data'!Q163*'Net zero supporting data'!Q183)+('Net zero supporting data'!Q175*ManureNEF))*NtoN2O*kgtoGg,"ERROR"))</f>
        <v>0.48381398189083635</v>
      </c>
      <c r="AA672" s="94">
        <f>IF('Net zero activities &amp; levers'!$C$9="Off",'Activity data'!AT55*ManureNEF*NtoN2O*kgtoGg,IF('Net zero activities &amp; levers'!$C$9="On",(('Net zero supporting data'!R163*'Net zero supporting data'!R183)+('Net zero supporting data'!R175*ManureNEF))*NtoN2O*kgtoGg,"ERROR"))</f>
        <v>0.50197004484830632</v>
      </c>
      <c r="AB672" s="94">
        <f>IF('Net zero activities &amp; levers'!$C$9="Off",'Activity data'!AU55*ManureNEF*NtoN2O*kgtoGg,IF('Net zero activities &amp; levers'!$C$9="On",(('Net zero supporting data'!S163*'Net zero supporting data'!S183)+('Net zero supporting data'!S175*ManureNEF))*NtoN2O*kgtoGg,"ERROR"))</f>
        <v>0.52154350048929543</v>
      </c>
      <c r="AC672" s="94">
        <f>IF('Net zero activities &amp; levers'!$C$9="Off",'Activity data'!AV55*ManureNEF*NtoN2O*kgtoGg,IF('Net zero activities &amp; levers'!$C$9="On",(('Net zero supporting data'!T163*'Net zero supporting data'!T183)+('Net zero supporting data'!T175*ManureNEF))*NtoN2O*kgtoGg,"ERROR"))</f>
        <v>0.5415643129229577</v>
      </c>
      <c r="AD672" s="94">
        <f>IF('Net zero activities &amp; levers'!$C$9="Off",'Activity data'!AW55*ManureNEF*NtoN2O*kgtoGg,IF('Net zero activities &amp; levers'!$C$9="On",(('Net zero supporting data'!U163*'Net zero supporting data'!U183)+('Net zero supporting data'!U175*ManureNEF))*NtoN2O*kgtoGg,"ERROR"))</f>
        <v>0.56529401193420392</v>
      </c>
      <c r="AE672" s="94">
        <f>IF('Net zero activities &amp; levers'!$C$9="Off",'Activity data'!AX55*ManureNEF*NtoN2O*kgtoGg,IF('Net zero activities &amp; levers'!$C$9="On",(('Net zero supporting data'!V163*'Net zero supporting data'!V183)+('Net zero supporting data'!V175*ManureNEF))*NtoN2O*kgtoGg,"ERROR"))</f>
        <v>0.58897158069089917</v>
      </c>
      <c r="AF672" s="94">
        <f>IF('Net zero activities &amp; levers'!$C$9="Off",'Activity data'!AY55*ManureNEF*NtoN2O*kgtoGg,IF('Net zero activities &amp; levers'!$C$9="On",(('Net zero supporting data'!W163*'Net zero supporting data'!W183)+('Net zero supporting data'!W175*ManureNEF))*NtoN2O*kgtoGg,"ERROR"))</f>
        <v>0.61393439377098979</v>
      </c>
      <c r="AG672" s="94">
        <f>IF('Net zero activities &amp; levers'!$C$9="Off",'Activity data'!AZ55*ManureNEF*NtoN2O*kgtoGg,IF('Net zero activities &amp; levers'!$C$9="On",(('Net zero supporting data'!X163*'Net zero supporting data'!X183)+('Net zero supporting data'!X175*ManureNEF))*NtoN2O*kgtoGg,"ERROR"))</f>
        <v>0.64183870134182519</v>
      </c>
      <c r="AH672" s="94">
        <f>IF('Net zero activities &amp; levers'!$C$9="Off",'Activity data'!BA55*ManureNEF*NtoN2O*kgtoGg,IF('Net zero activities &amp; levers'!$C$9="On",(('Net zero supporting data'!Y163*'Net zero supporting data'!Y183)+('Net zero supporting data'!Y175*ManureNEF))*NtoN2O*kgtoGg,"ERROR"))</f>
        <v>0.66886013669524935</v>
      </c>
      <c r="AI672" s="94">
        <f>IF('Net zero activities &amp; levers'!$C$9="Off",'Activity data'!BB55*ManureNEF*NtoN2O*kgtoGg,IF('Net zero activities &amp; levers'!$C$9="On",(('Net zero supporting data'!Z163*'Net zero supporting data'!Z183)+('Net zero supporting data'!Z175*ManureNEF))*NtoN2O*kgtoGg,"ERROR"))</f>
        <v>0.6974449623138369</v>
      </c>
      <c r="AJ672" s="94">
        <f>IF('Net zero activities &amp; levers'!$C$9="Off",'Activity data'!BC55*ManureNEF*NtoN2O*kgtoGg,IF('Net zero activities &amp; levers'!$C$9="On",(('Net zero supporting data'!AA163*'Net zero supporting data'!AA183)+('Net zero supporting data'!AA175*ManureNEF))*NtoN2O*kgtoGg,"ERROR"))</f>
        <v>0.72794565179733817</v>
      </c>
      <c r="AK672" s="94">
        <f>IF('Net zero activities &amp; levers'!$C$9="Off",'Activity data'!BD55*ManureNEF*NtoN2O*kgtoGg,IF('Net zero activities &amp; levers'!$C$9="On",(('Net zero supporting data'!AB163*'Net zero supporting data'!AB183)+('Net zero supporting data'!AB175*ManureNEF))*NtoN2O*kgtoGg,"ERROR"))</f>
        <v>0.75716831024556897</v>
      </c>
      <c r="AL672" s="94">
        <f>IF('Net zero activities &amp; levers'!$C$9="Off",'Activity data'!BE55*ManureNEF*NtoN2O*kgtoGg,IF('Net zero activities &amp; levers'!$C$9="On",(('Net zero supporting data'!AC163*'Net zero supporting data'!AC183)+('Net zero supporting data'!AC175*ManureNEF))*NtoN2O*kgtoGg,"ERROR"))</f>
        <v>0.78655158010344739</v>
      </c>
      <c r="AM672" s="94">
        <f>IF('Net zero activities &amp; levers'!$C$9="Off",'Activity data'!BF55*ManureNEF*NtoN2O*kgtoGg,IF('Net zero activities &amp; levers'!$C$9="On",(('Net zero supporting data'!AD163*'Net zero supporting data'!AD183)+('Net zero supporting data'!AD175*ManureNEF))*NtoN2O*kgtoGg,"ERROR"))</f>
        <v>0.81615922006003327</v>
      </c>
      <c r="AN672" s="94">
        <f>IF('Net zero activities &amp; levers'!$C$9="Off",'Activity data'!BG55*ManureNEF*NtoN2O*kgtoGg,IF('Net zero activities &amp; levers'!$C$9="On",(('Net zero supporting data'!AE163*'Net zero supporting data'!AE183)+('Net zero supporting data'!AE175*ManureNEF))*NtoN2O*kgtoGg,"ERROR"))</f>
        <v>0.84710504325273028</v>
      </c>
      <c r="AO672" s="94">
        <f>IF('Net zero activities &amp; levers'!$C$9="Off",'Activity data'!BH55*ManureNEF*NtoN2O*kgtoGg,IF('Net zero activities &amp; levers'!$C$9="On",(('Net zero supporting data'!AF163*'Net zero supporting data'!AF183)+('Net zero supporting data'!AF175*ManureNEF))*NtoN2O*kgtoGg,"ERROR"))</f>
        <v>0.8772777887183536</v>
      </c>
      <c r="AP672" s="94">
        <f>IF('Net zero activities &amp; levers'!$C$9="Off",'Activity data'!BI55*ManureNEF*NtoN2O*kgtoGg,IF('Net zero activities &amp; levers'!$C$9="On",(('Net zero supporting data'!AG163*'Net zero supporting data'!AG183)+('Net zero supporting data'!AG175*ManureNEF))*NtoN2O*kgtoGg,"ERROR"))</f>
        <v>0.90865780083615855</v>
      </c>
      <c r="AQ672" s="94">
        <f>IF('Net zero activities &amp; levers'!$C$9="Off",'Activity data'!BJ55*ManureNEF*NtoN2O*kgtoGg,IF('Net zero activities &amp; levers'!$C$9="On",(('Net zero supporting data'!AH163*'Net zero supporting data'!AH183)+('Net zero supporting data'!AH175*ManureNEF))*NtoN2O*kgtoGg,"ERROR"))</f>
        <v>0.94138400089523855</v>
      </c>
      <c r="AR672" s="94">
        <f>IF('Net zero activities &amp; levers'!$C$9="Off",'Activity data'!BK55*ManureNEF*NtoN2O*kgtoGg,IF('Net zero activities &amp; levers'!$C$9="On",(('Net zero supporting data'!AI163*'Net zero supporting data'!AI183)+('Net zero supporting data'!AI175*ManureNEF))*NtoN2O*kgtoGg,"ERROR"))</f>
        <v>0.9756708685083213</v>
      </c>
      <c r="AS672" s="94">
        <f>IF('Net zero activities &amp; levers'!$C$9="Off",'Activity data'!BL55*ManureNEF*NtoN2O*kgtoGg,IF('Net zero activities &amp; levers'!$C$9="On",(('Net zero supporting data'!AJ163*'Net zero supporting data'!AJ183)+('Net zero supporting data'!AJ175*ManureNEF))*NtoN2O*kgtoGg,"ERROR"))</f>
        <v>1.0114969469202602</v>
      </c>
      <c r="AT672" s="94">
        <f>IF('Net zero activities &amp; levers'!$C$9="Off",'Activity data'!BM55*ManureNEF*NtoN2O*kgtoGg,IF('Net zero activities &amp; levers'!$C$9="On",(('Net zero supporting data'!AK163*'Net zero supporting data'!AK183)+('Net zero supporting data'!AK175*ManureNEF))*NtoN2O*kgtoGg,"ERROR"))</f>
        <v>1.0252009760930854</v>
      </c>
      <c r="AU672" s="94">
        <f>IF('Net zero activities &amp; levers'!$C$9="Off",'Activity data'!BN55*ManureNEF*NtoN2O*kgtoGg,IF('Net zero activities &amp; levers'!$C$9="On",(('Net zero supporting data'!AL163*'Net zero supporting data'!AL183)+('Net zero supporting data'!AL175*ManureNEF))*NtoN2O*kgtoGg,"ERROR"))</f>
        <v>1.0368909620314641</v>
      </c>
      <c r="AV672" s="94">
        <f>IF('Net zero activities &amp; levers'!$C$9="Off",'Activity data'!BO55*ManureNEF*NtoN2O*kgtoGg,IF('Net zero activities &amp; levers'!$C$9="On",(('Net zero supporting data'!AM163*'Net zero supporting data'!AM183)+('Net zero supporting data'!AM175*ManureNEF))*NtoN2O*kgtoGg,"ERROR"))</f>
        <v>1.0455964615277633</v>
      </c>
      <c r="AW672" s="94">
        <f>IF('Net zero activities &amp; levers'!$C$9="Off",'Activity data'!BP55*ManureNEF*NtoN2O*kgtoGg,IF('Net zero activities &amp; levers'!$C$9="On",(('Net zero supporting data'!AN163*'Net zero supporting data'!AN183)+('Net zero supporting data'!AN175*ManureNEF))*NtoN2O*kgtoGg,"ERROR"))</f>
        <v>1.0534263177729573</v>
      </c>
      <c r="AY672" s="79"/>
      <c r="AZ672" s="79"/>
    </row>
    <row r="673" spans="1:52" x14ac:dyDescent="0.3">
      <c r="A673" s="95" t="str">
        <f t="shared" si="133"/>
        <v>NI Organic</v>
      </c>
      <c r="B673" s="95" t="s">
        <v>969</v>
      </c>
      <c r="C673" s="95" t="s">
        <v>1127</v>
      </c>
      <c r="D673" t="s">
        <v>369</v>
      </c>
      <c r="E673" t="s">
        <v>55</v>
      </c>
      <c r="F673" t="s">
        <v>421</v>
      </c>
      <c r="G673" t="s">
        <v>1164</v>
      </c>
      <c r="H673" t="s">
        <v>1165</v>
      </c>
      <c r="I673" t="s">
        <v>139</v>
      </c>
      <c r="J673" t="s">
        <v>287</v>
      </c>
      <c r="K673" s="94">
        <f>IF('Net zero activities &amp; levers'!$C$9="Off",'Activity data'!AD56*ManureNEF*NtoN2O*kgtoGg,IF('Net zero activities &amp; levers'!$C$9="On",(('Net zero supporting data'!B164*'Net zero supporting data'!B183)+('Net zero supporting data'!B176*ManureNEF))*NtoN2O*kgtoGg,"ERROR"))</f>
        <v>5.8359782740747899E-2</v>
      </c>
      <c r="L673" s="94">
        <f>IF('Net zero activities &amp; levers'!$C$9="Off",'Activity data'!AE56*ManureNEF*NtoN2O*kgtoGg,IF('Net zero activities &amp; levers'!$C$9="On",(('Net zero supporting data'!C164*'Net zero supporting data'!C183)+('Net zero supporting data'!C176*ManureNEF))*NtoN2O*kgtoGg,"ERROR"))</f>
        <v>5.8391337689573865E-2</v>
      </c>
      <c r="M673" s="94">
        <f>IF('Net zero activities &amp; levers'!$C$9="Off",'Activity data'!AF56*ManureNEF*NtoN2O*kgtoGg,IF('Net zero activities &amp; levers'!$C$9="On",(('Net zero supporting data'!D164*'Net zero supporting data'!D183)+('Net zero supporting data'!D176*ManureNEF))*NtoN2O*kgtoGg,"ERROR"))</f>
        <v>5.8466784388382168E-2</v>
      </c>
      <c r="N673" s="94">
        <f>IF('Net zero activities &amp; levers'!$C$9="Off",'Activity data'!AG56*ManureNEF*NtoN2O*kgtoGg,IF('Net zero activities &amp; levers'!$C$9="On",(('Net zero supporting data'!E164*'Net zero supporting data'!E183)+('Net zero supporting data'!E176*ManureNEF))*NtoN2O*kgtoGg,"ERROR"))</f>
        <v>5.857803115055428E-2</v>
      </c>
      <c r="O673" s="94">
        <f>IF('Net zero activities &amp; levers'!$C$9="Off",'Activity data'!AH56*ManureNEF*NtoN2O*kgtoGg,IF('Net zero activities &amp; levers'!$C$9="On",(('Net zero supporting data'!F164*'Net zero supporting data'!F183)+('Net zero supporting data'!F176*ManureNEF))*NtoN2O*kgtoGg,"ERROR"))</f>
        <v>5.872437103691365E-2</v>
      </c>
      <c r="P673" s="94">
        <f>IF('Net zero activities &amp; levers'!$C$9="Off",'Activity data'!AI56*ManureNEF*NtoN2O*kgtoGg,IF('Net zero activities &amp; levers'!$C$9="On",(('Net zero supporting data'!G164*'Net zero supporting data'!G183)+('Net zero supporting data'!G176*ManureNEF))*NtoN2O*kgtoGg,"ERROR"))</f>
        <v>5.890425875881948E-2</v>
      </c>
      <c r="Q673" s="94">
        <f>IF('Net zero activities &amp; levers'!$C$9="Off",'Activity data'!AJ56*ManureNEF*NtoN2O*kgtoGg,IF('Net zero activities &amp; levers'!$C$9="On",(('Net zero supporting data'!H164*'Net zero supporting data'!H183)+('Net zero supporting data'!H176*ManureNEF))*NtoN2O*kgtoGg,"ERROR"))</f>
        <v>5.9106297224497076E-2</v>
      </c>
      <c r="R673" s="94">
        <f>IF('Net zero activities &amp; levers'!$C$9="Off",'Activity data'!AK56*ManureNEF*NtoN2O*kgtoGg,IF('Net zero activities &amp; levers'!$C$9="On",(('Net zero supporting data'!I164*'Net zero supporting data'!I183)+('Net zero supporting data'!I176*ManureNEF))*NtoN2O*kgtoGg,"ERROR"))</f>
        <v>5.932921089397071E-2</v>
      </c>
      <c r="S673" s="94">
        <f>IF('Net zero activities &amp; levers'!$C$9="Off",'Activity data'!AL56*ManureNEF*NtoN2O*kgtoGg,IF('Net zero activities &amp; levers'!$C$9="On",(('Net zero supporting data'!J164*'Net zero supporting data'!J183)+('Net zero supporting data'!J176*ManureNEF))*NtoN2O*kgtoGg,"ERROR"))</f>
        <v>5.9533053172061867E-2</v>
      </c>
      <c r="T673" s="94">
        <f>IF('Net zero activities &amp; levers'!$C$9="Off",'Activity data'!AM56*ManureNEF*NtoN2O*kgtoGg,IF('Net zero activities &amp; levers'!$C$9="On",(('Net zero supporting data'!K164*'Net zero supporting data'!K183)+('Net zero supporting data'!K176*ManureNEF))*NtoN2O*kgtoGg,"ERROR"))</f>
        <v>5.9622626403998236E-2</v>
      </c>
      <c r="U673" s="94">
        <f>IF('Net zero activities &amp; levers'!$C$9="Off",'Activity data'!AN56*ManureNEF*NtoN2O*kgtoGg,IF('Net zero activities &amp; levers'!$C$9="On",(('Net zero supporting data'!L164*'Net zero supporting data'!L183)+('Net zero supporting data'!L176*ManureNEF))*NtoN2O*kgtoGg,"ERROR"))</f>
        <v>5.9732014563410027E-2</v>
      </c>
      <c r="V673" s="94">
        <f>IF('Net zero activities &amp; levers'!$C$9="Off",'Activity data'!AO56*ManureNEF*NtoN2O*kgtoGg,IF('Net zero activities &amp; levers'!$C$9="On",(('Net zero supporting data'!M164*'Net zero supporting data'!M183)+('Net zero supporting data'!M176*ManureNEF))*NtoN2O*kgtoGg,"ERROR"))</f>
        <v>5.9846990057404043E-2</v>
      </c>
      <c r="W673" s="94">
        <f>IF('Net zero activities &amp; levers'!$C$9="Off",'Activity data'!AP56*ManureNEF*NtoN2O*kgtoGg,IF('Net zero activities &amp; levers'!$C$9="On",(('Net zero supporting data'!N164*'Net zero supporting data'!N183)+('Net zero supporting data'!N176*ManureNEF))*NtoN2O*kgtoGg,"ERROR"))</f>
        <v>5.9976074595492208E-2</v>
      </c>
      <c r="X673" s="94">
        <f>IF('Net zero activities &amp; levers'!$C$9="Off",'Activity data'!AQ56*ManureNEF*NtoN2O*kgtoGg,IF('Net zero activities &amp; levers'!$C$9="On",(('Net zero supporting data'!O164*'Net zero supporting data'!O183)+('Net zero supporting data'!O176*ManureNEF))*NtoN2O*kgtoGg,"ERROR"))</f>
        <v>6.0118906996584121E-2</v>
      </c>
      <c r="Y673" s="94">
        <f>IF('Net zero activities &amp; levers'!$C$9="Off",'Activity data'!AR56*ManureNEF*NtoN2O*kgtoGg,IF('Net zero activities &amp; levers'!$C$9="On",(('Net zero supporting data'!P164*'Net zero supporting data'!P183)+('Net zero supporting data'!P176*ManureNEF))*NtoN2O*kgtoGg,"ERROR"))</f>
        <v>6.0208109427104674E-2</v>
      </c>
      <c r="Z673" s="94">
        <f>IF('Net zero activities &amp; levers'!$C$9="Off",'Activity data'!AS56*ManureNEF*NtoN2O*kgtoGg,IF('Net zero activities &amp; levers'!$C$9="On",(('Net zero supporting data'!Q164*'Net zero supporting data'!Q183)+('Net zero supporting data'!Q176*ManureNEF))*NtoN2O*kgtoGg,"ERROR"))</f>
        <v>6.0308885561081285E-2</v>
      </c>
      <c r="AA673" s="94">
        <f>IF('Net zero activities &amp; levers'!$C$9="Off",'Activity data'!AT56*ManureNEF*NtoN2O*kgtoGg,IF('Net zero activities &amp; levers'!$C$9="On",(('Net zero supporting data'!R164*'Net zero supporting data'!R183)+('Net zero supporting data'!R176*ManureNEF))*NtoN2O*kgtoGg,"ERROR"))</f>
        <v>6.0419873689415794E-2</v>
      </c>
      <c r="AB673" s="94">
        <f>IF('Net zero activities &amp; levers'!$C$9="Off",'Activity data'!AU56*ManureNEF*NtoN2O*kgtoGg,IF('Net zero activities &amp; levers'!$C$9="On",(('Net zero supporting data'!S164*'Net zero supporting data'!S183)+('Net zero supporting data'!S176*ManureNEF))*NtoN2O*kgtoGg,"ERROR"))</f>
        <v>6.0541378990392976E-2</v>
      </c>
      <c r="AC673" s="94">
        <f>IF('Net zero activities &amp; levers'!$C$9="Off",'Activity data'!AV56*ManureNEF*NtoN2O*kgtoGg,IF('Net zero activities &amp; levers'!$C$9="On",(('Net zero supporting data'!T164*'Net zero supporting data'!T183)+('Net zero supporting data'!T176*ManureNEF))*NtoN2O*kgtoGg,"ERROR"))</f>
        <v>6.0672147346661598E-2</v>
      </c>
      <c r="AD673" s="94">
        <f>IF('Net zero activities &amp; levers'!$C$9="Off",'Activity data'!AW56*ManureNEF*NtoN2O*kgtoGg,IF('Net zero activities &amp; levers'!$C$9="On",(('Net zero supporting data'!U164*'Net zero supporting data'!U183)+('Net zero supporting data'!U176*ManureNEF))*NtoN2O*kgtoGg,"ERROR"))</f>
        <v>6.075986875735849E-2</v>
      </c>
      <c r="AE673" s="94">
        <f>IF('Net zero activities &amp; levers'!$C$9="Off",'Activity data'!AX56*ManureNEF*NtoN2O*kgtoGg,IF('Net zero activities &amp; levers'!$C$9="On",(('Net zero supporting data'!V164*'Net zero supporting data'!V183)+('Net zero supporting data'!V176*ManureNEF))*NtoN2O*kgtoGg,"ERROR"))</f>
        <v>6.0855100315135816E-2</v>
      </c>
      <c r="AF673" s="94">
        <f>IF('Net zero activities &amp; levers'!$C$9="Off",'Activity data'!AY56*ManureNEF*NtoN2O*kgtoGg,IF('Net zero activities &amp; levers'!$C$9="On",(('Net zero supporting data'!W164*'Net zero supporting data'!W183)+('Net zero supporting data'!W176*ManureNEF))*NtoN2O*kgtoGg,"ERROR"))</f>
        <v>6.095860752574931E-2</v>
      </c>
      <c r="AG673" s="94">
        <f>IF('Net zero activities &amp; levers'!$C$9="Off",'Activity data'!AZ56*ManureNEF*NtoN2O*kgtoGg,IF('Net zero activities &amp; levers'!$C$9="On",(('Net zero supporting data'!X164*'Net zero supporting data'!X183)+('Net zero supporting data'!X176*ManureNEF))*NtoN2O*kgtoGg,"ERROR"))</f>
        <v>6.1071400786534412E-2</v>
      </c>
      <c r="AH673" s="94">
        <f>IF('Net zero activities &amp; levers'!$C$9="Off",'Activity data'!BA56*ManureNEF*NtoN2O*kgtoGg,IF('Net zero activities &amp; levers'!$C$9="On",(('Net zero supporting data'!Y164*'Net zero supporting data'!Y183)+('Net zero supporting data'!Y176*ManureNEF))*NtoN2O*kgtoGg,"ERROR"))</f>
        <v>6.1190093146373289E-2</v>
      </c>
      <c r="AI673" s="94">
        <f>IF('Net zero activities &amp; levers'!$C$9="Off",'Activity data'!BB56*ManureNEF*NtoN2O*kgtoGg,IF('Net zero activities &amp; levers'!$C$9="On",(('Net zero supporting data'!Z164*'Net zero supporting data'!Z183)+('Net zero supporting data'!Z176*ManureNEF))*NtoN2O*kgtoGg,"ERROR"))</f>
        <v>6.1265960925417272E-2</v>
      </c>
      <c r="AJ673" s="94">
        <f>IF('Net zero activities &amp; levers'!$C$9="Off",'Activity data'!BC56*ManureNEF*NtoN2O*kgtoGg,IF('Net zero activities &amp; levers'!$C$9="On",(('Net zero supporting data'!AA164*'Net zero supporting data'!AA183)+('Net zero supporting data'!AA176*ManureNEF))*NtoN2O*kgtoGg,"ERROR"))</f>
        <v>6.1349061452671098E-2</v>
      </c>
      <c r="AK673" s="94">
        <f>IF('Net zero activities &amp; levers'!$C$9="Off",'Activity data'!BD56*ManureNEF*NtoN2O*kgtoGg,IF('Net zero activities &amp; levers'!$C$9="On",(('Net zero supporting data'!AB164*'Net zero supporting data'!AB183)+('Net zero supporting data'!AB176*ManureNEF))*NtoN2O*kgtoGg,"ERROR"))</f>
        <v>6.1436653899188148E-2</v>
      </c>
      <c r="AL673" s="94">
        <f>IF('Net zero activities &amp; levers'!$C$9="Off",'Activity data'!BE56*ManureNEF*NtoN2O*kgtoGg,IF('Net zero activities &amp; levers'!$C$9="On",(('Net zero supporting data'!AC164*'Net zero supporting data'!AC183)+('Net zero supporting data'!AC176*ManureNEF))*NtoN2O*kgtoGg,"ERROR"))</f>
        <v>6.152967077586103E-2</v>
      </c>
      <c r="AM673" s="94">
        <f>IF('Net zero activities &amp; levers'!$C$9="Off",'Activity data'!BF56*ManureNEF*NtoN2O*kgtoGg,IF('Net zero activities &amp; levers'!$C$9="On",(('Net zero supporting data'!AD164*'Net zero supporting data'!AD183)+('Net zero supporting data'!AD176*ManureNEF))*NtoN2O*kgtoGg,"ERROR"))</f>
        <v>6.1627971048734624E-2</v>
      </c>
      <c r="AN673" s="94">
        <f>IF('Net zero activities &amp; levers'!$C$9="Off",'Activity data'!BG56*ManureNEF*NtoN2O*kgtoGg,IF('Net zero activities &amp; levers'!$C$9="On",(('Net zero supporting data'!AE164*'Net zero supporting data'!AE183)+('Net zero supporting data'!AE176*ManureNEF))*NtoN2O*kgtoGg,"ERROR"))</f>
        <v>6.1686054121935154E-2</v>
      </c>
      <c r="AO673" s="94">
        <f>IF('Net zero activities &amp; levers'!$C$9="Off",'Activity data'!BH56*ManureNEF*NtoN2O*kgtoGg,IF('Net zero activities &amp; levers'!$C$9="On",(('Net zero supporting data'!AF164*'Net zero supporting data'!AF183)+('Net zero supporting data'!AF176*ManureNEF))*NtoN2O*kgtoGg,"ERROR"))</f>
        <v>6.1748058507407479E-2</v>
      </c>
      <c r="AP673" s="94">
        <f>IF('Net zero activities &amp; levers'!$C$9="Off",'Activity data'!BI56*ManureNEF*NtoN2O*kgtoGg,IF('Net zero activities &amp; levers'!$C$9="On",(('Net zero supporting data'!AG164*'Net zero supporting data'!AG183)+('Net zero supporting data'!AG176*ManureNEF))*NtoN2O*kgtoGg,"ERROR"))</f>
        <v>6.1815315922285695E-2</v>
      </c>
      <c r="AQ673" s="94">
        <f>IF('Net zero activities &amp; levers'!$C$9="Off",'Activity data'!BJ56*ManureNEF*NtoN2O*kgtoGg,IF('Net zero activities &amp; levers'!$C$9="On",(('Net zero supporting data'!AH164*'Net zero supporting data'!AH183)+('Net zero supporting data'!AH176*ManureNEF))*NtoN2O*kgtoGg,"ERROR"))</f>
        <v>6.1887761342917867E-2</v>
      </c>
      <c r="AR673" s="94">
        <f>IF('Net zero activities &amp; levers'!$C$9="Off",'Activity data'!BK56*ManureNEF*NtoN2O*kgtoGg,IF('Net zero activities &amp; levers'!$C$9="On",(('Net zero supporting data'!AI164*'Net zero supporting data'!AI183)+('Net zero supporting data'!AI176*ManureNEF))*NtoN2O*kgtoGg,"ERROR"))</f>
        <v>6.1965393268001254E-2</v>
      </c>
      <c r="AS673" s="94">
        <f>IF('Net zero activities &amp; levers'!$C$9="Off",'Activity data'!BL56*ManureNEF*NtoN2O*kgtoGg,IF('Net zero activities &amp; levers'!$C$9="On",(('Net zero supporting data'!AJ164*'Net zero supporting data'!AJ183)+('Net zero supporting data'!AJ176*ManureNEF))*NtoN2O*kgtoGg,"ERROR"))</f>
        <v>6.2000613011444994E-2</v>
      </c>
      <c r="AT673" s="94">
        <f>IF('Net zero activities &amp; levers'!$C$9="Off",'Activity data'!BM56*ManureNEF*NtoN2O*kgtoGg,IF('Net zero activities &amp; levers'!$C$9="On",(('Net zero supporting data'!AK164*'Net zero supporting data'!AK183)+('Net zero supporting data'!AK176*ManureNEF))*NtoN2O*kgtoGg,"ERROR"))</f>
        <v>6.2023309807671526E-2</v>
      </c>
      <c r="AU673" s="94">
        <f>IF('Net zero activities &amp; levers'!$C$9="Off",'Activity data'!BN56*ManureNEF*NtoN2O*kgtoGg,IF('Net zero activities &amp; levers'!$C$9="On",(('Net zero supporting data'!AL164*'Net zero supporting data'!AL183)+('Net zero supporting data'!AL176*ManureNEF))*NtoN2O*kgtoGg,"ERROR"))</f>
        <v>6.2048189785904866E-2</v>
      </c>
      <c r="AV673" s="94">
        <f>IF('Net zero activities &amp; levers'!$C$9="Off",'Activity data'!BO56*ManureNEF*NtoN2O*kgtoGg,IF('Net zero activities &amp; levers'!$C$9="On",(('Net zero supporting data'!AM164*'Net zero supporting data'!AM183)+('Net zero supporting data'!AM176*ManureNEF))*NtoN2O*kgtoGg,"ERROR"))</f>
        <v>6.2074469713562223E-2</v>
      </c>
      <c r="AW673" s="94">
        <f>IF('Net zero activities &amp; levers'!$C$9="Off",'Activity data'!BP56*ManureNEF*NtoN2O*kgtoGg,IF('Net zero activities &amp; levers'!$C$9="On",(('Net zero supporting data'!AN164*'Net zero supporting data'!AN183)+('Net zero supporting data'!AN176*ManureNEF))*NtoN2O*kgtoGg,"ERROR"))</f>
        <v>6.2103581129763968E-2</v>
      </c>
      <c r="AY673" s="79"/>
      <c r="AZ673" s="79"/>
    </row>
    <row r="674" spans="1:52" x14ac:dyDescent="0.3">
      <c r="A674" s="95" t="str">
        <f t="shared" si="133"/>
        <v>NI Organic</v>
      </c>
      <c r="B674" s="95" t="s">
        <v>969</v>
      </c>
      <c r="C674" s="95" t="s">
        <v>1127</v>
      </c>
      <c r="D674" t="s">
        <v>369</v>
      </c>
      <c r="E674" t="s">
        <v>55</v>
      </c>
      <c r="F674" t="s">
        <v>421</v>
      </c>
      <c r="G674" t="s">
        <v>1166</v>
      </c>
      <c r="H674" t="s">
        <v>1167</v>
      </c>
      <c r="I674" t="s">
        <v>139</v>
      </c>
      <c r="J674" t="s">
        <v>287</v>
      </c>
      <c r="K674" s="22">
        <f>K1473</f>
        <v>4.7496930236945983E-2</v>
      </c>
      <c r="L674" s="22">
        <f t="shared" ref="L674:AW674" si="146">L1473</f>
        <v>4.7522611675988952E-2</v>
      </c>
      <c r="M674" s="22">
        <f t="shared" si="146"/>
        <v>4.7584015033260249E-2</v>
      </c>
      <c r="N674" s="22">
        <f t="shared" si="146"/>
        <v>4.7674554775764919E-2</v>
      </c>
      <c r="O674" s="22">
        <f t="shared" si="146"/>
        <v>4.7793655551108268E-2</v>
      </c>
      <c r="P674" s="22">
        <f t="shared" si="146"/>
        <v>4.7940059704389672E-2</v>
      </c>
      <c r="Q674" s="22">
        <f t="shared" si="146"/>
        <v>4.8104491552124547E-2</v>
      </c>
      <c r="R674" s="22">
        <f t="shared" si="146"/>
        <v>4.8285912978158388E-2</v>
      </c>
      <c r="S674" s="22">
        <f t="shared" si="146"/>
        <v>4.8451812884003569E-2</v>
      </c>
      <c r="T674" s="22">
        <f t="shared" si="146"/>
        <v>4.8524713319004827E-2</v>
      </c>
      <c r="U674" s="22">
        <f t="shared" si="146"/>
        <v>4.8613740411504645E-2</v>
      </c>
      <c r="V674" s="22">
        <f t="shared" si="146"/>
        <v>4.8707314834861425E-2</v>
      </c>
      <c r="W674" s="22">
        <f t="shared" si="146"/>
        <v>4.8812372102251839E-2</v>
      </c>
      <c r="X674" s="22">
        <f t="shared" si="146"/>
        <v>4.8928618261364118E-2</v>
      </c>
      <c r="Y674" s="22">
        <f t="shared" si="146"/>
        <v>4.9001216914416376E-2</v>
      </c>
      <c r="Z674" s="22">
        <f t="shared" si="146"/>
        <v>4.908323498885471E-2</v>
      </c>
      <c r="AA674" s="22">
        <f t="shared" si="146"/>
        <v>4.9173564238571964E-2</v>
      </c>
      <c r="AB674" s="22">
        <f t="shared" si="146"/>
        <v>4.9272453037208674E-2</v>
      </c>
      <c r="AC674" s="22">
        <f t="shared" si="146"/>
        <v>4.9378880703714607E-2</v>
      </c>
      <c r="AD674" s="22">
        <f t="shared" si="146"/>
        <v>4.9450274007947166E-2</v>
      </c>
      <c r="AE674" s="22">
        <f t="shared" si="146"/>
        <v>4.9527779551040076E-2</v>
      </c>
      <c r="AF674" s="22">
        <f t="shared" si="146"/>
        <v>4.9612020350622385E-2</v>
      </c>
      <c r="AG674" s="22">
        <f t="shared" si="146"/>
        <v>4.9703818732780645E-2</v>
      </c>
      <c r="AH674" s="22">
        <f t="shared" si="146"/>
        <v>4.9800418179697173E-2</v>
      </c>
      <c r="AI674" s="22">
        <f t="shared" si="146"/>
        <v>4.9862164239042377E-2</v>
      </c>
      <c r="AJ674" s="22">
        <f t="shared" si="146"/>
        <v>4.992979677227443E-2</v>
      </c>
      <c r="AK674" s="22">
        <f t="shared" si="146"/>
        <v>5.0001085117194859E-2</v>
      </c>
      <c r="AL674" s="22">
        <f t="shared" si="146"/>
        <v>5.0076788210912958E-2</v>
      </c>
      <c r="AM674" s="22">
        <f t="shared" si="146"/>
        <v>5.0156791270960163E-2</v>
      </c>
      <c r="AN674" s="22">
        <f t="shared" si="146"/>
        <v>5.0204062997244822E-2</v>
      </c>
      <c r="AO674" s="22">
        <f t="shared" si="146"/>
        <v>5.0254526138690123E-2</v>
      </c>
      <c r="AP674" s="22">
        <f t="shared" si="146"/>
        <v>5.0309264532021343E-2</v>
      </c>
      <c r="AQ674" s="22">
        <f t="shared" si="146"/>
        <v>5.036822525682455E-2</v>
      </c>
      <c r="AR674" s="22">
        <f t="shared" si="146"/>
        <v>5.0431407091243406E-2</v>
      </c>
      <c r="AS674" s="22">
        <f t="shared" si="146"/>
        <v>5.0460071174945387E-2</v>
      </c>
      <c r="AT674" s="22">
        <f t="shared" si="146"/>
        <v>5.0478543281871534E-2</v>
      </c>
      <c r="AU674" s="22">
        <f t="shared" si="146"/>
        <v>5.0498792202188725E-2</v>
      </c>
      <c r="AV674" s="22">
        <f t="shared" si="146"/>
        <v>5.0520180491040283E-2</v>
      </c>
      <c r="AW674" s="22">
        <f t="shared" si="146"/>
        <v>5.0543873226679401E-2</v>
      </c>
      <c r="AY674" s="79"/>
      <c r="AZ674" s="79"/>
    </row>
    <row r="675" spans="1:52" x14ac:dyDescent="0.3">
      <c r="A675" s="95" t="str">
        <f t="shared" si="133"/>
        <v>NI Organic</v>
      </c>
      <c r="B675" s="95" t="s">
        <v>969</v>
      </c>
      <c r="C675" s="95" t="s">
        <v>1127</v>
      </c>
      <c r="D675" t="s">
        <v>369</v>
      </c>
      <c r="E675" t="s">
        <v>55</v>
      </c>
      <c r="F675" t="s">
        <v>421</v>
      </c>
      <c r="G675" t="s">
        <v>1168</v>
      </c>
      <c r="H675" t="s">
        <v>1169</v>
      </c>
      <c r="I675" t="s">
        <v>139</v>
      </c>
      <c r="J675" t="s">
        <v>287</v>
      </c>
      <c r="K675" s="94">
        <f>IF('Net zero activities &amp; levers'!$C$9="Off",'Activity data'!AD58*ManureNEF*NtoN2O*kgtoGg,IF('Net zero activities &amp; levers'!$C$9="On",(('Net zero supporting data'!B165*'Net zero supporting data'!B183)+('Net zero supporting data'!B177*ManureNEF))*NtoN2O*kgtoGg,"ERROR"))</f>
        <v>7.214092738049376E-3</v>
      </c>
      <c r="L675" s="94">
        <f>IF('Net zero activities &amp; levers'!$C$9="Off",'Activity data'!AE58*ManureNEF*NtoN2O*kgtoGg,IF('Net zero activities &amp; levers'!$C$9="On",(('Net zero supporting data'!C165*'Net zero supporting data'!C183)+('Net zero supporting data'!C177*ManureNEF))*NtoN2O*kgtoGg,"ERROR"))</f>
        <v>7.2328458969643655E-3</v>
      </c>
      <c r="M675" s="94">
        <f>IF('Net zero activities &amp; levers'!$C$9="Off",'Activity data'!AF58*ManureNEF*NtoN2O*kgtoGg,IF('Net zero activities &amp; levers'!$C$9="On",(('Net zero supporting data'!D165*'Net zero supporting data'!D183)+('Net zero supporting data'!D177*ManureNEF))*NtoN2O*kgtoGg,"ERROR"))</f>
        <v>7.2587152169743185E-3</v>
      </c>
      <c r="N675" s="94">
        <f>IF('Net zero activities &amp; levers'!$C$9="Off",'Activity data'!AG58*ManureNEF*NtoN2O*kgtoGg,IF('Net zero activities &amp; levers'!$C$9="On",(('Net zero supporting data'!E165*'Net zero supporting data'!E183)+('Net zero supporting data'!E177*ManureNEF))*NtoN2O*kgtoGg,"ERROR"))</f>
        <v>7.2902308808567374E-3</v>
      </c>
      <c r="O675" s="94">
        <f>IF('Net zero activities &amp; levers'!$C$9="Off",'Activity data'!AH58*ManureNEF*NtoN2O*kgtoGg,IF('Net zero activities &amp; levers'!$C$9="On",(('Net zero supporting data'!F165*'Net zero supporting data'!F183)+('Net zero supporting data'!F177*ManureNEF))*NtoN2O*kgtoGg,"ERROR"))</f>
        <v>7.3273479389297461E-3</v>
      </c>
      <c r="P675" s="94">
        <f>IF('Net zero activities &amp; levers'!$C$9="Off",'Activity data'!AI58*ManureNEF*NtoN2O*kgtoGg,IF('Net zero activities &amp; levers'!$C$9="On",(('Net zero supporting data'!G165*'Net zero supporting data'!G183)+('Net zero supporting data'!G177*ManureNEF))*NtoN2O*kgtoGg,"ERROR"))</f>
        <v>7.3698404773103405E-3</v>
      </c>
      <c r="Q675" s="94">
        <f>IF('Net zero activities &amp; levers'!$C$9="Off",'Activity data'!AJ58*ManureNEF*NtoN2O*kgtoGg,IF('Net zero activities &amp; levers'!$C$9="On",(('Net zero supporting data'!H165*'Net zero supporting data'!H183)+('Net zero supporting data'!H177*ManureNEF))*NtoN2O*kgtoGg,"ERROR"))</f>
        <v>7.4155715935563154E-3</v>
      </c>
      <c r="R675" s="94">
        <f>IF('Net zero activities &amp; levers'!$C$9="Off",'Activity data'!AK58*ManureNEF*NtoN2O*kgtoGg,IF('Net zero activities &amp; levers'!$C$9="On",(('Net zero supporting data'!I165*'Net zero supporting data'!I183)+('Net zero supporting data'!I177*ManureNEF))*NtoN2O*kgtoGg,"ERROR"))</f>
        <v>7.4643602602570466E-3</v>
      </c>
      <c r="S675" s="94">
        <f>IF('Net zero activities &amp; levers'!$C$9="Off",'Activity data'!AL58*ManureNEF*NtoN2O*kgtoGg,IF('Net zero activities &amp; levers'!$C$9="On",(('Net zero supporting data'!J165*'Net zero supporting data'!J183)+('Net zero supporting data'!J177*ManureNEF))*NtoN2O*kgtoGg,"ERROR"))</f>
        <v>7.508606055628168E-3</v>
      </c>
      <c r="T675" s="94">
        <f>IF('Net zero activities &amp; levers'!$C$9="Off",'Activity data'!AM58*ManureNEF*NtoN2O*kgtoGg,IF('Net zero activities &amp; levers'!$C$9="On",(('Net zero supporting data'!K165*'Net zero supporting data'!K183)+('Net zero supporting data'!K177*ManureNEF))*NtoN2O*kgtoGg,"ERROR"))</f>
        <v>7.530218392894506E-3</v>
      </c>
      <c r="U675" s="94">
        <f>IF('Net zero activities &amp; levers'!$C$9="Off",'Activity data'!AN58*ManureNEF*NtoN2O*kgtoGg,IF('Net zero activities &amp; levers'!$C$9="On",(('Net zero supporting data'!L165*'Net zero supporting data'!L183)+('Net zero supporting data'!L177*ManureNEF))*NtoN2O*kgtoGg,"ERROR"))</f>
        <v>7.5549909541397786E-3</v>
      </c>
      <c r="V675" s="94">
        <f>IF('Net zero activities &amp; levers'!$C$9="Off",'Activity data'!AO58*ManureNEF*NtoN2O*kgtoGg,IF('Net zero activities &amp; levers'!$C$9="On",(('Net zero supporting data'!M165*'Net zero supporting data'!M183)+('Net zero supporting data'!M177*ManureNEF))*NtoN2O*kgtoGg,"ERROR"))</f>
        <v>7.5802429112896688E-3</v>
      </c>
      <c r="W675" s="94">
        <f>IF('Net zero activities &amp; levers'!$C$9="Off",'Activity data'!AP58*ManureNEF*NtoN2O*kgtoGg,IF('Net zero activities &amp; levers'!$C$9="On",(('Net zero supporting data'!N165*'Net zero supporting data'!N183)+('Net zero supporting data'!N177*ManureNEF))*NtoN2O*kgtoGg,"ERROR"))</f>
        <v>7.6076305558180233E-3</v>
      </c>
      <c r="X675" s="94">
        <f>IF('Net zero activities &amp; levers'!$C$9="Off",'Activity data'!AQ58*ManureNEF*NtoN2O*kgtoGg,IF('Net zero activities &amp; levers'!$C$9="On",(('Net zero supporting data'!O165*'Net zero supporting data'!O183)+('Net zero supporting data'!O177*ManureNEF))*NtoN2O*kgtoGg,"ERROR"))</f>
        <v>7.6371086242101958E-3</v>
      </c>
      <c r="Y675" s="94">
        <f>IF('Net zero activities &amp; levers'!$C$9="Off",'Activity data'!AR58*ManureNEF*NtoN2O*kgtoGg,IF('Net zero activities &amp; levers'!$C$9="On",(('Net zero supporting data'!P165*'Net zero supporting data'!P183)+('Net zero supporting data'!P177*ManureNEF))*NtoN2O*kgtoGg,"ERROR"))</f>
        <v>7.6559732990994986E-3</v>
      </c>
      <c r="Z675" s="94">
        <f>IF('Net zero activities &amp; levers'!$C$9="Off",'Activity data'!AS58*ManureNEF*NtoN2O*kgtoGg,IF('Net zero activities &amp; levers'!$C$9="On",(('Net zero supporting data'!Q165*'Net zero supporting data'!Q183)+('Net zero supporting data'!Q177*ManureNEF))*NtoN2O*kgtoGg,"ERROR"))</f>
        <v>7.6766122997346123E-3</v>
      </c>
      <c r="AA675" s="94">
        <f>IF('Net zero activities &amp; levers'!$C$9="Off",'Activity data'!AT58*ManureNEF*NtoN2O*kgtoGg,IF('Net zero activities &amp; levers'!$C$9="On",(('Net zero supporting data'!R165*'Net zero supporting data'!R183)+('Net zero supporting data'!R177*ManureNEF))*NtoN2O*kgtoGg,"ERROR"))</f>
        <v>7.6987842276677087E-3</v>
      </c>
      <c r="AB675" s="94">
        <f>IF('Net zero activities &amp; levers'!$C$9="Off",'Activity data'!AU58*ManureNEF*NtoN2O*kgtoGg,IF('Net zero activities &amp; levers'!$C$9="On",(('Net zero supporting data'!S165*'Net zero supporting data'!S183)+('Net zero supporting data'!S177*ManureNEF))*NtoN2O*kgtoGg,"ERROR"))</f>
        <v>7.7225602786557407E-3</v>
      </c>
      <c r="AC675" s="94">
        <f>IF('Net zero activities &amp; levers'!$C$9="Off",'Activity data'!AV58*ManureNEF*NtoN2O*kgtoGg,IF('Net zero activities &amp; levers'!$C$9="On",(('Net zero supporting data'!T165*'Net zero supporting data'!T183)+('Net zero supporting data'!T177*ManureNEF))*NtoN2O*kgtoGg,"ERROR"))</f>
        <v>7.7477172000671966E-3</v>
      </c>
      <c r="AD675" s="94">
        <f>IF('Net zero activities &amp; levers'!$C$9="Off",'Activity data'!AW58*ManureNEF*NtoN2O*kgtoGg,IF('Net zero activities &amp; levers'!$C$9="On",(('Net zero supporting data'!U165*'Net zero supporting data'!U183)+('Net zero supporting data'!U177*ManureNEF))*NtoN2O*kgtoGg,"ERROR"))</f>
        <v>7.7644940114083667E-3</v>
      </c>
      <c r="AE675" s="94">
        <f>IF('Net zero activities &amp; levers'!$C$9="Off",'Activity data'!AX58*ManureNEF*NtoN2O*kgtoGg,IF('Net zero activities &amp; levers'!$C$9="On",(('Net zero supporting data'!V165*'Net zero supporting data'!V183)+('Net zero supporting data'!V177*ManureNEF))*NtoN2O*kgtoGg,"ERROR"))</f>
        <v>7.7823854824558272E-3</v>
      </c>
      <c r="AF675" s="94">
        <f>IF('Net zero activities &amp; levers'!$C$9="Off",'Activity data'!AY58*ManureNEF*NtoN2O*kgtoGg,IF('Net zero activities &amp; levers'!$C$9="On",(('Net zero supporting data'!W165*'Net zero supporting data'!W183)+('Net zero supporting data'!W177*ManureNEF))*NtoN2O*kgtoGg,"ERROR"))</f>
        <v>7.8015430548696758E-3</v>
      </c>
      <c r="AG675" s="94">
        <f>IF('Net zero activities &amp; levers'!$C$9="Off",'Activity data'!AZ58*ManureNEF*NtoN2O*kgtoGg,IF('Net zero activities &amp; levers'!$C$9="On",(('Net zero supporting data'!X165*'Net zero supporting data'!X183)+('Net zero supporting data'!X177*ManureNEF))*NtoN2O*kgtoGg,"ERROR"))</f>
        <v>7.8221613065677827E-3</v>
      </c>
      <c r="AH675" s="94">
        <f>IF('Net zero activities &amp; levers'!$C$9="Off",'Activity data'!BA58*ManureNEF*NtoN2O*kgtoGg,IF('Net zero activities &amp; levers'!$C$9="On",(('Net zero supporting data'!Y165*'Net zero supporting data'!Y183)+('Net zero supporting data'!Y177*ManureNEF))*NtoN2O*kgtoGg,"ERROR"))</f>
        <v>7.8436173383695379E-3</v>
      </c>
      <c r="AI675" s="94">
        <f>IF('Net zero activities &amp; levers'!$C$9="Off",'Activity data'!BB58*ManureNEF*NtoN2O*kgtoGg,IF('Net zero activities &amp; levers'!$C$9="On",(('Net zero supporting data'!Z165*'Net zero supporting data'!Z183)+('Net zero supporting data'!Z177*ManureNEF))*NtoN2O*kgtoGg,"ERROR"))</f>
        <v>7.8569056109017259E-3</v>
      </c>
      <c r="AJ675" s="94">
        <f>IF('Net zero activities &amp; levers'!$C$9="Off",'Activity data'!BC58*ManureNEF*NtoN2O*kgtoGg,IF('Net zero activities &amp; levers'!$C$9="On",(('Net zero supporting data'!AA165*'Net zero supporting data'!AA183)+('Net zero supporting data'!AA177*ManureNEF))*NtoN2O*kgtoGg,"ERROR"))</f>
        <v>7.8713258060749292E-3</v>
      </c>
      <c r="AK675" s="94">
        <f>IF('Net zero activities &amp; levers'!$C$9="Off",'Activity data'!BD58*ManureNEF*NtoN2O*kgtoGg,IF('Net zero activities &amp; levers'!$C$9="On",(('Net zero supporting data'!AB165*'Net zero supporting data'!AB183)+('Net zero supporting data'!AB177*ManureNEF))*NtoN2O*kgtoGg,"ERROR"))</f>
        <v>7.8863764085469988E-3</v>
      </c>
      <c r="AL675" s="94">
        <f>IF('Net zero activities &amp; levers'!$C$9="Off",'Activity data'!BE58*ManureNEF*NtoN2O*kgtoGg,IF('Net zero activities &amp; levers'!$C$9="On",(('Net zero supporting data'!AC165*'Net zero supporting data'!AC183)+('Net zero supporting data'!AC177*ManureNEF))*NtoN2O*kgtoGg,"ERROR"))</f>
        <v>7.9022347099283879E-3</v>
      </c>
      <c r="AM675" s="94">
        <f>IF('Net zero activities &amp; levers'!$C$9="Off",'Activity data'!BF58*ManureNEF*NtoN2O*kgtoGg,IF('Net zero activities &amp; levers'!$C$9="On",(('Net zero supporting data'!AD165*'Net zero supporting data'!AD183)+('Net zero supporting data'!AD177*ManureNEF))*NtoN2O*kgtoGg,"ERROR"))</f>
        <v>7.9188789980088534E-3</v>
      </c>
      <c r="AN675" s="94">
        <f>IF('Net zero activities &amp; levers'!$C$9="Off",'Activity data'!BG58*ManureNEF*NtoN2O*kgtoGg,IF('Net zero activities &amp; levers'!$C$9="On",(('Net zero supporting data'!AE165*'Net zero supporting data'!AE183)+('Net zero supporting data'!AE177*ManureNEF))*NtoN2O*kgtoGg,"ERROR"))</f>
        <v>7.927972418898541E-3</v>
      </c>
      <c r="AO675" s="94">
        <f>IF('Net zero activities &amp; levers'!$C$9="Off",'Activity data'!BH58*ManureNEF*NtoN2O*kgtoGg,IF('Net zero activities &amp; levers'!$C$9="On",(('Net zero supporting data'!AF165*'Net zero supporting data'!AF183)+('Net zero supporting data'!AF177*ManureNEF))*NtoN2O*kgtoGg,"ERROR"))</f>
        <v>7.9376387015817219E-3</v>
      </c>
      <c r="AP675" s="94">
        <f>IF('Net zero activities &amp; levers'!$C$9="Off",'Activity data'!BI58*ManureNEF*NtoN2O*kgtoGg,IF('Net zero activities &amp; levers'!$C$9="On",(('Net zero supporting data'!AG165*'Net zero supporting data'!AG183)+('Net zero supporting data'!AG177*ManureNEF))*NtoN2O*kgtoGg,"ERROR"))</f>
        <v>7.9481245993818089E-3</v>
      </c>
      <c r="AQ675" s="94">
        <f>IF('Net zero activities &amp; levers'!$C$9="Off",'Activity data'!BJ58*ManureNEF*NtoN2O*kgtoGg,IF('Net zero activities &amp; levers'!$C$9="On",(('Net zero supporting data'!AH165*'Net zero supporting data'!AH183)+('Net zero supporting data'!AH177*ManureNEF))*NtoN2O*kgtoGg,"ERROR"))</f>
        <v>7.9594200977915561E-3</v>
      </c>
      <c r="AR675" s="94">
        <f>IF('Net zero activities &amp; levers'!$C$9="Off",'Activity data'!BK58*ManureNEF*NtoN2O*kgtoGg,IF('Net zero activities &amp; levers'!$C$9="On",(('Net zero supporting data'!AI165*'Net zero supporting data'!AI183)+('Net zero supporting data'!AI177*ManureNEF))*NtoN2O*kgtoGg,"ERROR"))</f>
        <v>7.9715264998755E-3</v>
      </c>
      <c r="AS675" s="94">
        <f>IF('Net zero activities &amp; levers'!$C$9="Off",'Activity data'!BL58*ManureNEF*NtoN2O*kgtoGg,IF('Net zero activities &amp; levers'!$C$9="On",(('Net zero supporting data'!AJ165*'Net zero supporting data'!AJ183)+('Net zero supporting data'!AJ177*ManureNEF))*NtoN2O*kgtoGg,"ERROR"))</f>
        <v>7.9757936370942299E-3</v>
      </c>
      <c r="AT675" s="94">
        <f>IF('Net zero activities &amp; levers'!$C$9="Off",'Activity data'!BM58*ManureNEF*NtoN2O*kgtoGg,IF('Net zero activities &amp; levers'!$C$9="On",(('Net zero supporting data'!AK165*'Net zero supporting data'!AK183)+('Net zero supporting data'!AK177*ManureNEF))*NtoN2O*kgtoGg,"ERROR"))</f>
        <v>7.9776886737032964E-3</v>
      </c>
      <c r="AU675" s="94">
        <f>IF('Net zero activities &amp; levers'!$C$9="Off",'Activity data'!BN58*ManureNEF*NtoN2O*kgtoGg,IF('Net zero activities &amp; levers'!$C$9="On",(('Net zero supporting data'!AL165*'Net zero supporting data'!AL183)+('Net zero supporting data'!AL177*ManureNEF))*NtoN2O*kgtoGg,"ERROR"))</f>
        <v>7.979891666850529E-3</v>
      </c>
      <c r="AV675" s="94">
        <f>IF('Net zero activities &amp; levers'!$C$9="Off",'Activity data'!BO58*ManureNEF*NtoN2O*kgtoGg,IF('Net zero activities &amp; levers'!$C$9="On",(('Net zero supporting data'!AM165*'Net zero supporting data'!AM183)+('Net zero supporting data'!AM177*ManureNEF))*NtoN2O*kgtoGg,"ERROR"))</f>
        <v>7.9822633621210899E-3</v>
      </c>
      <c r="AW675" s="94">
        <f>IF('Net zero activities &amp; levers'!$C$9="Off",'Activity data'!BP58*ManureNEF*NtoN2O*kgtoGg,IF('Net zero activities &amp; levers'!$C$9="On",(('Net zero supporting data'!AN165*'Net zero supporting data'!AN183)+('Net zero supporting data'!AN177*ManureNEF))*NtoN2O*kgtoGg,"ERROR"))</f>
        <v>7.9850651414760491E-3</v>
      </c>
      <c r="AY675" s="79"/>
      <c r="AZ675" s="79"/>
    </row>
    <row r="676" spans="1:52" x14ac:dyDescent="0.3">
      <c r="A676" s="95" t="str">
        <f t="shared" si="133"/>
        <v>NI Organic</v>
      </c>
      <c r="B676" s="95" t="s">
        <v>969</v>
      </c>
      <c r="C676" s="95" t="s">
        <v>1127</v>
      </c>
      <c r="D676" t="s">
        <v>369</v>
      </c>
      <c r="E676" t="s">
        <v>55</v>
      </c>
      <c r="F676" t="s">
        <v>421</v>
      </c>
      <c r="G676" t="s">
        <v>1170</v>
      </c>
      <c r="H676" t="s">
        <v>1171</v>
      </c>
      <c r="I676" t="s">
        <v>139</v>
      </c>
      <c r="J676" t="s">
        <v>287</v>
      </c>
      <c r="K676" s="22">
        <f>K1475</f>
        <v>8.7045671471293537E-2</v>
      </c>
      <c r="L676" s="22">
        <f t="shared" ref="L676:AW678" si="147">L1475</f>
        <v>8.7271948200639354E-2</v>
      </c>
      <c r="M676" s="22">
        <f t="shared" si="147"/>
        <v>8.7584088952434122E-2</v>
      </c>
      <c r="N676" s="22">
        <f t="shared" si="147"/>
        <v>8.7964358824768829E-2</v>
      </c>
      <c r="O676" s="22">
        <f t="shared" si="147"/>
        <v>8.8412215452112072E-2</v>
      </c>
      <c r="P676" s="22">
        <f t="shared" si="147"/>
        <v>8.8924932944132923E-2</v>
      </c>
      <c r="Q676" s="22">
        <f t="shared" si="147"/>
        <v>8.9476727309038592E-2</v>
      </c>
      <c r="R676" s="22">
        <f t="shared" si="147"/>
        <v>9.0065414259340087E-2</v>
      </c>
      <c r="S676" s="22">
        <f t="shared" si="147"/>
        <v>9.0599286654346481E-2</v>
      </c>
      <c r="T676" s="22">
        <f t="shared" si="147"/>
        <v>9.0860062399505684E-2</v>
      </c>
      <c r="U676" s="22">
        <f t="shared" si="147"/>
        <v>9.1158969594901898E-2</v>
      </c>
      <c r="V676" s="22">
        <f t="shared" si="147"/>
        <v>9.146366120975781E-2</v>
      </c>
      <c r="W676" s="22">
        <f t="shared" si="147"/>
        <v>9.1794122155375246E-2</v>
      </c>
      <c r="X676" s="22">
        <f t="shared" si="147"/>
        <v>9.2149806279498009E-2</v>
      </c>
      <c r="Y676" s="22">
        <f t="shared" si="147"/>
        <v>9.2377428567213551E-2</v>
      </c>
      <c r="Z676" s="22">
        <f t="shared" si="147"/>
        <v>9.2626459974767344E-2</v>
      </c>
      <c r="AA676" s="22">
        <f t="shared" si="147"/>
        <v>9.289398777414952E-2</v>
      </c>
      <c r="AB676" s="22">
        <f t="shared" si="147"/>
        <v>9.3180871017592357E-2</v>
      </c>
      <c r="AC676" s="22">
        <f t="shared" si="147"/>
        <v>9.34844159255835E-2</v>
      </c>
      <c r="AD676" s="22">
        <f t="shared" si="147"/>
        <v>9.368684592771491E-2</v>
      </c>
      <c r="AE676" s="22">
        <f t="shared" si="147"/>
        <v>9.3902725480069615E-2</v>
      </c>
      <c r="AF676" s="22">
        <f t="shared" si="147"/>
        <v>9.4133881886713511E-2</v>
      </c>
      <c r="AG676" s="22">
        <f t="shared" si="147"/>
        <v>9.4382662936360925E-2</v>
      </c>
      <c r="AH676" s="22">
        <f t="shared" si="147"/>
        <v>9.4641552690500438E-2</v>
      </c>
      <c r="AI676" s="22">
        <f t="shared" si="147"/>
        <v>9.4801889776154655E-2</v>
      </c>
      <c r="AJ676" s="22">
        <f t="shared" si="147"/>
        <v>9.4975884707627883E-2</v>
      </c>
      <c r="AK676" s="22">
        <f t="shared" si="147"/>
        <v>9.5157486171013425E-2</v>
      </c>
      <c r="AL676" s="22">
        <f t="shared" si="147"/>
        <v>9.534883337741358E-2</v>
      </c>
      <c r="AM676" s="22">
        <f t="shared" si="147"/>
        <v>9.5549664346009811E-2</v>
      </c>
      <c r="AN676" s="22">
        <f t="shared" si="147"/>
        <v>9.5659386102584815E-2</v>
      </c>
      <c r="AO676" s="22">
        <f t="shared" si="147"/>
        <v>9.5776020043586318E-2</v>
      </c>
      <c r="AP676" s="22">
        <f t="shared" si="147"/>
        <v>9.5902543509270868E-2</v>
      </c>
      <c r="AQ676" s="22">
        <f t="shared" si="147"/>
        <v>9.6038835663999289E-2</v>
      </c>
      <c r="AR676" s="22">
        <f t="shared" si="147"/>
        <v>9.6184912230625655E-2</v>
      </c>
      <c r="AS676" s="22">
        <f t="shared" si="147"/>
        <v>9.6236399761761113E-2</v>
      </c>
      <c r="AT676" s="22">
        <f t="shared" si="147"/>
        <v>9.625926538604522E-2</v>
      </c>
      <c r="AU676" s="22">
        <f t="shared" si="147"/>
        <v>9.6285846832210489E-2</v>
      </c>
      <c r="AV676" s="22">
        <f t="shared" si="147"/>
        <v>9.6314463848216167E-2</v>
      </c>
      <c r="AW676" s="22">
        <f t="shared" si="147"/>
        <v>9.6348270284329823E-2</v>
      </c>
      <c r="AY676" s="79"/>
      <c r="AZ676" s="79"/>
    </row>
    <row r="677" spans="1:52" x14ac:dyDescent="0.3">
      <c r="A677" s="95" t="str">
        <f t="shared" si="133"/>
        <v>NI Organic</v>
      </c>
      <c r="B677" s="95" t="s">
        <v>969</v>
      </c>
      <c r="C677" s="95" t="s">
        <v>1127</v>
      </c>
      <c r="D677" t="s">
        <v>369</v>
      </c>
      <c r="E677" t="s">
        <v>55</v>
      </c>
      <c r="F677" t="s">
        <v>421</v>
      </c>
      <c r="G677" t="s">
        <v>1172</v>
      </c>
      <c r="H677" t="s">
        <v>1173</v>
      </c>
      <c r="I677" t="s">
        <v>139</v>
      </c>
      <c r="J677" t="s">
        <v>287</v>
      </c>
      <c r="K677" s="22">
        <f t="shared" ref="K677:Z678" si="148">K1476</f>
        <v>0</v>
      </c>
      <c r="L677" s="22">
        <f t="shared" si="148"/>
        <v>0</v>
      </c>
      <c r="M677" s="22">
        <f t="shared" si="148"/>
        <v>0</v>
      </c>
      <c r="N677" s="22">
        <f t="shared" si="148"/>
        <v>0</v>
      </c>
      <c r="O677" s="22">
        <f t="shared" si="148"/>
        <v>0</v>
      </c>
      <c r="P677" s="22">
        <f t="shared" si="148"/>
        <v>0</v>
      </c>
      <c r="Q677" s="22">
        <f t="shared" si="148"/>
        <v>0</v>
      </c>
      <c r="R677" s="22">
        <f t="shared" si="148"/>
        <v>0</v>
      </c>
      <c r="S677" s="22">
        <f t="shared" si="148"/>
        <v>0</v>
      </c>
      <c r="T677" s="22">
        <f t="shared" si="148"/>
        <v>0</v>
      </c>
      <c r="U677" s="22">
        <f t="shared" si="148"/>
        <v>0</v>
      </c>
      <c r="V677" s="22">
        <f t="shared" si="148"/>
        <v>0</v>
      </c>
      <c r="W677" s="22">
        <f t="shared" si="148"/>
        <v>0</v>
      </c>
      <c r="X677" s="22">
        <f t="shared" si="148"/>
        <v>0</v>
      </c>
      <c r="Y677" s="22">
        <f t="shared" si="148"/>
        <v>0</v>
      </c>
      <c r="Z677" s="22">
        <f t="shared" si="148"/>
        <v>0</v>
      </c>
      <c r="AA677" s="22">
        <f t="shared" si="147"/>
        <v>0</v>
      </c>
      <c r="AB677" s="22">
        <f t="shared" si="147"/>
        <v>0</v>
      </c>
      <c r="AC677" s="22">
        <f t="shared" si="147"/>
        <v>0</v>
      </c>
      <c r="AD677" s="22">
        <f t="shared" si="147"/>
        <v>0</v>
      </c>
      <c r="AE677" s="22">
        <f t="shared" si="147"/>
        <v>0</v>
      </c>
      <c r="AF677" s="22">
        <f t="shared" si="147"/>
        <v>0</v>
      </c>
      <c r="AG677" s="22">
        <f t="shared" si="147"/>
        <v>0</v>
      </c>
      <c r="AH677" s="22">
        <f t="shared" si="147"/>
        <v>0</v>
      </c>
      <c r="AI677" s="22">
        <f t="shared" si="147"/>
        <v>0</v>
      </c>
      <c r="AJ677" s="22">
        <f t="shared" si="147"/>
        <v>0</v>
      </c>
      <c r="AK677" s="22">
        <f t="shared" si="147"/>
        <v>0</v>
      </c>
      <c r="AL677" s="22">
        <f t="shared" si="147"/>
        <v>0</v>
      </c>
      <c r="AM677" s="22">
        <f t="shared" si="147"/>
        <v>0</v>
      </c>
      <c r="AN677" s="22">
        <f t="shared" si="147"/>
        <v>0</v>
      </c>
      <c r="AO677" s="22">
        <f t="shared" si="147"/>
        <v>0</v>
      </c>
      <c r="AP677" s="22">
        <f t="shared" si="147"/>
        <v>0</v>
      </c>
      <c r="AQ677" s="22">
        <f t="shared" si="147"/>
        <v>0</v>
      </c>
      <c r="AR677" s="22">
        <f t="shared" si="147"/>
        <v>0</v>
      </c>
      <c r="AS677" s="22">
        <f t="shared" si="147"/>
        <v>0</v>
      </c>
      <c r="AT677" s="22">
        <f t="shared" si="147"/>
        <v>0</v>
      </c>
      <c r="AU677" s="22">
        <f t="shared" si="147"/>
        <v>0</v>
      </c>
      <c r="AV677" s="22">
        <f t="shared" si="147"/>
        <v>0</v>
      </c>
      <c r="AW677" s="22">
        <f t="shared" si="147"/>
        <v>0</v>
      </c>
      <c r="AY677" s="79"/>
      <c r="AZ677" s="79"/>
    </row>
    <row r="678" spans="1:52" x14ac:dyDescent="0.3">
      <c r="A678" s="95" t="str">
        <f t="shared" ref="A678:A730" si="149">B678&amp;" "&amp;C678</f>
        <v>NI Organic</v>
      </c>
      <c r="B678" s="95" t="s">
        <v>969</v>
      </c>
      <c r="C678" s="95" t="s">
        <v>1127</v>
      </c>
      <c r="D678" t="s">
        <v>369</v>
      </c>
      <c r="E678" t="s">
        <v>55</v>
      </c>
      <c r="F678" t="s">
        <v>421</v>
      </c>
      <c r="G678" t="s">
        <v>1174</v>
      </c>
      <c r="H678" t="s">
        <v>1175</v>
      </c>
      <c r="I678" t="s">
        <v>139</v>
      </c>
      <c r="J678" t="s">
        <v>287</v>
      </c>
      <c r="K678" s="22">
        <f t="shared" si="148"/>
        <v>0</v>
      </c>
      <c r="L678" s="22">
        <f t="shared" si="147"/>
        <v>0</v>
      </c>
      <c r="M678" s="22">
        <f t="shared" si="147"/>
        <v>0</v>
      </c>
      <c r="N678" s="22">
        <f t="shared" si="147"/>
        <v>0</v>
      </c>
      <c r="O678" s="22">
        <f t="shared" si="147"/>
        <v>0</v>
      </c>
      <c r="P678" s="22">
        <f t="shared" si="147"/>
        <v>0</v>
      </c>
      <c r="Q678" s="22">
        <f t="shared" si="147"/>
        <v>0</v>
      </c>
      <c r="R678" s="22">
        <f t="shared" si="147"/>
        <v>0</v>
      </c>
      <c r="S678" s="22">
        <f t="shared" si="147"/>
        <v>0</v>
      </c>
      <c r="T678" s="22">
        <f t="shared" si="147"/>
        <v>0</v>
      </c>
      <c r="U678" s="22">
        <f t="shared" si="147"/>
        <v>0</v>
      </c>
      <c r="V678" s="22">
        <f t="shared" si="147"/>
        <v>0</v>
      </c>
      <c r="W678" s="22">
        <f t="shared" si="147"/>
        <v>0</v>
      </c>
      <c r="X678" s="22">
        <f t="shared" si="147"/>
        <v>0</v>
      </c>
      <c r="Y678" s="22">
        <f t="shared" si="147"/>
        <v>0</v>
      </c>
      <c r="Z678" s="22">
        <f t="shared" si="147"/>
        <v>0</v>
      </c>
      <c r="AA678" s="22">
        <f t="shared" si="147"/>
        <v>0</v>
      </c>
      <c r="AB678" s="22">
        <f t="shared" si="147"/>
        <v>0</v>
      </c>
      <c r="AC678" s="22">
        <f t="shared" si="147"/>
        <v>0</v>
      </c>
      <c r="AD678" s="22">
        <f t="shared" si="147"/>
        <v>0</v>
      </c>
      <c r="AE678" s="22">
        <f t="shared" si="147"/>
        <v>0</v>
      </c>
      <c r="AF678" s="22">
        <f t="shared" si="147"/>
        <v>0</v>
      </c>
      <c r="AG678" s="22">
        <f t="shared" si="147"/>
        <v>0</v>
      </c>
      <c r="AH678" s="22">
        <f t="shared" si="147"/>
        <v>0</v>
      </c>
      <c r="AI678" s="22">
        <f t="shared" si="147"/>
        <v>0</v>
      </c>
      <c r="AJ678" s="22">
        <f t="shared" si="147"/>
        <v>0</v>
      </c>
      <c r="AK678" s="22">
        <f t="shared" si="147"/>
        <v>0</v>
      </c>
      <c r="AL678" s="22">
        <f t="shared" si="147"/>
        <v>0</v>
      </c>
      <c r="AM678" s="22">
        <f t="shared" si="147"/>
        <v>0</v>
      </c>
      <c r="AN678" s="22">
        <f t="shared" si="147"/>
        <v>0</v>
      </c>
      <c r="AO678" s="22">
        <f t="shared" si="147"/>
        <v>0</v>
      </c>
      <c r="AP678" s="22">
        <f t="shared" si="147"/>
        <v>0</v>
      </c>
      <c r="AQ678" s="22">
        <f t="shared" si="147"/>
        <v>0</v>
      </c>
      <c r="AR678" s="22">
        <f t="shared" si="147"/>
        <v>0</v>
      </c>
      <c r="AS678" s="22">
        <f t="shared" si="147"/>
        <v>0</v>
      </c>
      <c r="AT678" s="22">
        <f t="shared" si="147"/>
        <v>0</v>
      </c>
      <c r="AU678" s="22">
        <f t="shared" si="147"/>
        <v>0</v>
      </c>
      <c r="AV678" s="22">
        <f t="shared" si="147"/>
        <v>0</v>
      </c>
      <c r="AW678" s="22">
        <f t="shared" si="147"/>
        <v>0</v>
      </c>
      <c r="AY678" s="79"/>
      <c r="AZ678" s="79"/>
    </row>
    <row r="679" spans="1:52" x14ac:dyDescent="0.3">
      <c r="A679" s="95" t="str">
        <f t="shared" si="149"/>
        <v>NI Organic</v>
      </c>
      <c r="B679" s="95" t="s">
        <v>969</v>
      </c>
      <c r="C679" s="95" t="s">
        <v>1127</v>
      </c>
      <c r="D679" t="s">
        <v>369</v>
      </c>
      <c r="E679" t="s">
        <v>55</v>
      </c>
      <c r="F679" t="s">
        <v>421</v>
      </c>
      <c r="G679" t="s">
        <v>1176</v>
      </c>
      <c r="H679" t="s">
        <v>1177</v>
      </c>
      <c r="I679" t="s">
        <v>139</v>
      </c>
      <c r="J679" t="s">
        <v>287</v>
      </c>
      <c r="K679" s="94">
        <f>IF('Net zero activities &amp; levers'!$C$9="Off",'Activity data'!AD62*ManureNEF*NtoN2O*kgtoGg,IF('Net zero activities &amp; levers'!$C$9="On",(('Net zero supporting data'!B166*'Net zero supporting data'!B183)+('Net zero supporting data'!B178*ManureNEF))*NtoN2O*kgtoGg,"ERROR"))</f>
        <v>0.12462873299340151</v>
      </c>
      <c r="L679" s="94">
        <f>IF('Net zero activities &amp; levers'!$C$9="Off",'Activity data'!AE62*ManureNEF*NtoN2O*kgtoGg,IF('Net zero activities &amp; levers'!$C$9="On",(('Net zero supporting data'!C166*'Net zero supporting data'!C183)+('Net zero supporting data'!C178*ManureNEF))*NtoN2O*kgtoGg,"ERROR"))</f>
        <v>0.1239512929347177</v>
      </c>
      <c r="M679" s="94">
        <f>IF('Net zero activities &amp; levers'!$C$9="Off",'Activity data'!AF62*ManureNEF*NtoN2O*kgtoGg,IF('Net zero activities &amp; levers'!$C$9="On",(('Net zero supporting data'!D166*'Net zero supporting data'!D183)+('Net zero supporting data'!D178*ManureNEF))*NtoN2O*kgtoGg,"ERROR"))</f>
        <v>0.12400689511310994</v>
      </c>
      <c r="N679" s="94">
        <f>IF('Net zero activities &amp; levers'!$C$9="Off",'Activity data'!AG62*ManureNEF*NtoN2O*kgtoGg,IF('Net zero activities &amp; levers'!$C$9="On",(('Net zero supporting data'!E166*'Net zero supporting data'!E183)+('Net zero supporting data'!E178*ManureNEF))*NtoN2O*kgtoGg,"ERROR"))</f>
        <v>0.12286841678965586</v>
      </c>
      <c r="O679" s="94">
        <f>IF('Net zero activities &amp; levers'!$C$9="Off",'Activity data'!AH62*ManureNEF*NtoN2O*kgtoGg,IF('Net zero activities &amp; levers'!$C$9="On",(('Net zero supporting data'!F166*'Net zero supporting data'!F183)+('Net zero supporting data'!F178*ManureNEF))*NtoN2O*kgtoGg,"ERROR"))</f>
        <v>0.12100901910044999</v>
      </c>
      <c r="P679" s="94">
        <f>IF('Net zero activities &amp; levers'!$C$9="Off",'Activity data'!AI62*ManureNEF*NtoN2O*kgtoGg,IF('Net zero activities &amp; levers'!$C$9="On",(('Net zero supporting data'!G166*'Net zero supporting data'!G183)+('Net zero supporting data'!G178*ManureNEF))*NtoN2O*kgtoGg,"ERROR"))</f>
        <v>0.11845842648899828</v>
      </c>
      <c r="Q679" s="94">
        <f>IF('Net zero activities &amp; levers'!$C$9="Off",'Activity data'!AJ62*ManureNEF*NtoN2O*kgtoGg,IF('Net zero activities &amp; levers'!$C$9="On",(('Net zero supporting data'!H166*'Net zero supporting data'!H183)+('Net zero supporting data'!H178*ManureNEF))*NtoN2O*kgtoGg,"ERROR"))</f>
        <v>0.11660641339960404</v>
      </c>
      <c r="R679" s="94">
        <f>IF('Net zero activities &amp; levers'!$C$9="Off",'Activity data'!AK62*ManureNEF*NtoN2O*kgtoGg,IF('Net zero activities &amp; levers'!$C$9="On",(('Net zero supporting data'!I166*'Net zero supporting data'!I183)+('Net zero supporting data'!I178*ManureNEF))*NtoN2O*kgtoGg,"ERROR"))</f>
        <v>0.1149182786313902</v>
      </c>
      <c r="S679" s="94">
        <f>IF('Net zero activities &amp; levers'!$C$9="Off",'Activity data'!AL62*ManureNEF*NtoN2O*kgtoGg,IF('Net zero activities &amp; levers'!$C$9="On",(('Net zero supporting data'!J166*'Net zero supporting data'!J183)+('Net zero supporting data'!J178*ManureNEF))*NtoN2O*kgtoGg,"ERROR"))</f>
        <v>0.10146708298993465</v>
      </c>
      <c r="T679" s="94">
        <f>IF('Net zero activities &amp; levers'!$C$9="Off",'Activity data'!AM62*ManureNEF*NtoN2O*kgtoGg,IF('Net zero activities &amp; levers'!$C$9="On",(('Net zero supporting data'!K166*'Net zero supporting data'!K183)+('Net zero supporting data'!K178*ManureNEF))*NtoN2O*kgtoGg,"ERROR"))</f>
        <v>0.10275020296586759</v>
      </c>
      <c r="U679" s="94">
        <f>IF('Net zero activities &amp; levers'!$C$9="Off",'Activity data'!AN62*ManureNEF*NtoN2O*kgtoGg,IF('Net zero activities &amp; levers'!$C$9="On",(('Net zero supporting data'!L166*'Net zero supporting data'!L183)+('Net zero supporting data'!L178*ManureNEF))*NtoN2O*kgtoGg,"ERROR"))</f>
        <v>0.10550352655141972</v>
      </c>
      <c r="V679" s="94">
        <f>IF('Net zero activities &amp; levers'!$C$9="Off",'Activity data'!AO62*ManureNEF*NtoN2O*kgtoGg,IF('Net zero activities &amp; levers'!$C$9="On",(('Net zero supporting data'!M166*'Net zero supporting data'!M183)+('Net zero supporting data'!M178*ManureNEF))*NtoN2O*kgtoGg,"ERROR"))</f>
        <v>0.10575351402910073</v>
      </c>
      <c r="W679" s="94">
        <f>IF('Net zero activities &amp; levers'!$C$9="Off",'Activity data'!AP62*ManureNEF*NtoN2O*kgtoGg,IF('Net zero activities &amp; levers'!$C$9="On",(('Net zero supporting data'!N166*'Net zero supporting data'!N183)+('Net zero supporting data'!N178*ManureNEF))*NtoN2O*kgtoGg,"ERROR"))</f>
        <v>0.10629487580237802</v>
      </c>
      <c r="X679" s="94">
        <f>IF('Net zero activities &amp; levers'!$C$9="Off",'Activity data'!AQ62*ManureNEF*NtoN2O*kgtoGg,IF('Net zero activities &amp; levers'!$C$9="On",(('Net zero supporting data'!O166*'Net zero supporting data'!O183)+('Net zero supporting data'!O178*ManureNEF))*NtoN2O*kgtoGg,"ERROR"))</f>
        <v>0.10720509536861222</v>
      </c>
      <c r="Y679" s="94">
        <f>IF('Net zero activities &amp; levers'!$C$9="Off",'Activity data'!AR62*ManureNEF*NtoN2O*kgtoGg,IF('Net zero activities &amp; levers'!$C$9="On",(('Net zero supporting data'!P166*'Net zero supporting data'!P183)+('Net zero supporting data'!P178*ManureNEF))*NtoN2O*kgtoGg,"ERROR"))</f>
        <v>0.10834723898966528</v>
      </c>
      <c r="Z679" s="94">
        <f>IF('Net zero activities &amp; levers'!$C$9="Off",'Activity data'!AS62*ManureNEF*NtoN2O*kgtoGg,IF('Net zero activities &amp; levers'!$C$9="On",(('Net zero supporting data'!Q166*'Net zero supporting data'!Q183)+('Net zero supporting data'!Q178*ManureNEF))*NtoN2O*kgtoGg,"ERROR"))</f>
        <v>0.10974683917126901</v>
      </c>
      <c r="AA679" s="94">
        <f>IF('Net zero activities &amp; levers'!$C$9="Off",'Activity data'!AT62*ManureNEF*NtoN2O*kgtoGg,IF('Net zero activities &amp; levers'!$C$9="On",(('Net zero supporting data'!R166*'Net zero supporting data'!R183)+('Net zero supporting data'!R178*ManureNEF))*NtoN2O*kgtoGg,"ERROR"))</f>
        <v>0.1111628062750292</v>
      </c>
      <c r="AB679" s="94">
        <f>IF('Net zero activities &amp; levers'!$C$9="Off",'Activity data'!AU62*ManureNEF*NtoN2O*kgtoGg,IF('Net zero activities &amp; levers'!$C$9="On",(('Net zero supporting data'!S166*'Net zero supporting data'!S183)+('Net zero supporting data'!S178*ManureNEF))*NtoN2O*kgtoGg,"ERROR"))</f>
        <v>0.11279760688156307</v>
      </c>
      <c r="AC679" s="94">
        <f>IF('Net zero activities &amp; levers'!$C$9="Off",'Activity data'!AV62*ManureNEF*NtoN2O*kgtoGg,IF('Net zero activities &amp; levers'!$C$9="On",(('Net zero supporting data'!T166*'Net zero supporting data'!T183)+('Net zero supporting data'!T178*ManureNEF))*NtoN2O*kgtoGg,"ERROR"))</f>
        <v>0.11442112413234014</v>
      </c>
      <c r="AD679" s="94">
        <f>IF('Net zero activities &amp; levers'!$C$9="Off",'Activity data'!AW62*ManureNEF*NtoN2O*kgtoGg,IF('Net zero activities &amp; levers'!$C$9="On",(('Net zero supporting data'!U166*'Net zero supporting data'!U183)+('Net zero supporting data'!U178*ManureNEF))*NtoN2O*kgtoGg,"ERROR"))</f>
        <v>0.11643957996744059</v>
      </c>
      <c r="AE679" s="94">
        <f>IF('Net zero activities &amp; levers'!$C$9="Off",'Activity data'!AX62*ManureNEF*NtoN2O*kgtoGg,IF('Net zero activities &amp; levers'!$C$9="On",(('Net zero supporting data'!V166*'Net zero supporting data'!V183)+('Net zero supporting data'!V178*ManureNEF))*NtoN2O*kgtoGg,"ERROR"))</f>
        <v>0.11829771598770626</v>
      </c>
      <c r="AF679" s="94">
        <f>IF('Net zero activities &amp; levers'!$C$9="Off",'Activity data'!AY62*ManureNEF*NtoN2O*kgtoGg,IF('Net zero activities &amp; levers'!$C$9="On",(('Net zero supporting data'!W166*'Net zero supporting data'!W183)+('Net zero supporting data'!W178*ManureNEF))*NtoN2O*kgtoGg,"ERROR"))</f>
        <v>0.12027492127071612</v>
      </c>
      <c r="AG679" s="94">
        <f>IF('Net zero activities &amp; levers'!$C$9="Off",'Activity data'!AZ62*ManureNEF*NtoN2O*kgtoGg,IF('Net zero activities &amp; levers'!$C$9="On",(('Net zero supporting data'!X166*'Net zero supporting data'!X183)+('Net zero supporting data'!X178*ManureNEF))*NtoN2O*kgtoGg,"ERROR"))</f>
        <v>0.12268685377616716</v>
      </c>
      <c r="AH679" s="94">
        <f>IF('Net zero activities &amp; levers'!$C$9="Off",'Activity data'!BA62*ManureNEF*NtoN2O*kgtoGg,IF('Net zero activities &amp; levers'!$C$9="On",(('Net zero supporting data'!Y166*'Net zero supporting data'!Y183)+('Net zero supporting data'!Y178*ManureNEF))*NtoN2O*kgtoGg,"ERROR"))</f>
        <v>0.12475791099342097</v>
      </c>
      <c r="AI679" s="94">
        <f>IF('Net zero activities &amp; levers'!$C$9="Off",'Activity data'!BB62*ManureNEF*NtoN2O*kgtoGg,IF('Net zero activities &amp; levers'!$C$9="On",(('Net zero supporting data'!Z166*'Net zero supporting data'!Z183)+('Net zero supporting data'!Z178*ManureNEF))*NtoN2O*kgtoGg,"ERROR"))</f>
        <v>0.12699329856497024</v>
      </c>
      <c r="AJ679" s="94">
        <f>IF('Net zero activities &amp; levers'!$C$9="Off",'Activity data'!BC62*ManureNEF*NtoN2O*kgtoGg,IF('Net zero activities &amp; levers'!$C$9="On",(('Net zero supporting data'!AA166*'Net zero supporting data'!AA183)+('Net zero supporting data'!AA178*ManureNEF))*NtoN2O*kgtoGg,"ERROR"))</f>
        <v>0.12941943299405728</v>
      </c>
      <c r="AK679" s="94">
        <f>IF('Net zero activities &amp; levers'!$C$9="Off",'Activity data'!BD62*ManureNEF*NtoN2O*kgtoGg,IF('Net zero activities &amp; levers'!$C$9="On",(('Net zero supporting data'!AB166*'Net zero supporting data'!AB183)+('Net zero supporting data'!AB178*ManureNEF))*NtoN2O*kgtoGg,"ERROR"))</f>
        <v>0.13144337900700456</v>
      </c>
      <c r="AL679" s="94">
        <f>IF('Net zero activities &amp; levers'!$C$9="Off",'Activity data'!BE62*ManureNEF*NtoN2O*kgtoGg,IF('Net zero activities &amp; levers'!$C$9="On",(('Net zero supporting data'!AC166*'Net zero supporting data'!AC183)+('Net zero supporting data'!AC178*ManureNEF))*NtoN2O*kgtoGg,"ERROR"))</f>
        <v>0.13334140591601026</v>
      </c>
      <c r="AM679" s="94">
        <f>IF('Net zero activities &amp; levers'!$C$9="Off",'Activity data'!BF62*ManureNEF*NtoN2O*kgtoGg,IF('Net zero activities &amp; levers'!$C$9="On",(('Net zero supporting data'!AD166*'Net zero supporting data'!AD183)+('Net zero supporting data'!AD178*ManureNEF))*NtoN2O*kgtoGg,"ERROR"))</f>
        <v>0.13512882169953486</v>
      </c>
      <c r="AN679" s="94">
        <f>IF('Net zero activities &amp; levers'!$C$9="Off",'Activity data'!BG62*ManureNEF*NtoN2O*kgtoGg,IF('Net zero activities &amp; levers'!$C$9="On",(('Net zero supporting data'!AE166*'Net zero supporting data'!AE183)+('Net zero supporting data'!AE178*ManureNEF))*NtoN2O*kgtoGg,"ERROR"))</f>
        <v>0.13719268069693955</v>
      </c>
      <c r="AO679" s="94">
        <f>IF('Net zero activities &amp; levers'!$C$9="Off",'Activity data'!BH62*ManureNEF*NtoN2O*kgtoGg,IF('Net zero activities &amp; levers'!$C$9="On",(('Net zero supporting data'!AF166*'Net zero supporting data'!AF183)+('Net zero supporting data'!AF178*ManureNEF))*NtoN2O*kgtoGg,"ERROR"))</f>
        <v>0.13898281232646292</v>
      </c>
      <c r="AP679" s="94">
        <f>IF('Net zero activities &amp; levers'!$C$9="Off",'Activity data'!BI62*ManureNEF*NtoN2O*kgtoGg,IF('Net zero activities &amp; levers'!$C$9="On",(('Net zero supporting data'!AG166*'Net zero supporting data'!AG183)+('Net zero supporting data'!AG178*ManureNEF))*NtoN2O*kgtoGg,"ERROR"))</f>
        <v>0.140830682916952</v>
      </c>
      <c r="AQ679" s="94">
        <f>IF('Net zero activities &amp; levers'!$C$9="Off",'Activity data'!BJ62*ManureNEF*NtoN2O*kgtoGg,IF('Net zero activities &amp; levers'!$C$9="On",(('Net zero supporting data'!AH166*'Net zero supporting data'!AH183)+('Net zero supporting data'!AH178*ManureNEF))*NtoN2O*kgtoGg,"ERROR"))</f>
        <v>0.14275023053200411</v>
      </c>
      <c r="AR679" s="94">
        <f>IF('Net zero activities &amp; levers'!$C$9="Off",'Activity data'!BK62*ManureNEF*NtoN2O*kgtoGg,IF('Net zero activities &amp; levers'!$C$9="On",(('Net zero supporting data'!AI166*'Net zero supporting data'!AI183)+('Net zero supporting data'!AI178*ManureNEF))*NtoN2O*kgtoGg,"ERROR"))</f>
        <v>0.14476547350370239</v>
      </c>
      <c r="AS679" s="94">
        <f>IF('Net zero activities &amp; levers'!$C$9="Off",'Activity data'!BL62*ManureNEF*NtoN2O*kgtoGg,IF('Net zero activities &amp; levers'!$C$9="On",(('Net zero supporting data'!AJ166*'Net zero supporting data'!AJ183)+('Net zero supporting data'!AJ178*ManureNEF))*NtoN2O*kgtoGg,"ERROR"))</f>
        <v>0.14688161225730581</v>
      </c>
      <c r="AT679" s="94">
        <f>IF('Net zero activities &amp; levers'!$C$9="Off",'Activity data'!BM62*ManureNEF*NtoN2O*kgtoGg,IF('Net zero activities &amp; levers'!$C$9="On",(('Net zero supporting data'!AK166*'Net zero supporting data'!AK183)+('Net zero supporting data'!AK178*ManureNEF))*NtoN2O*kgtoGg,"ERROR"))</f>
        <v>0.14559391276445241</v>
      </c>
      <c r="AU679" s="94">
        <f>IF('Net zero activities &amp; levers'!$C$9="Off",'Activity data'!BN62*ManureNEF*NtoN2O*kgtoGg,IF('Net zero activities &amp; levers'!$C$9="On",(('Net zero supporting data'!AL166*'Net zero supporting data'!AL183)+('Net zero supporting data'!AL178*ManureNEF))*NtoN2O*kgtoGg,"ERROR"))</f>
        <v>0.14400863154663293</v>
      </c>
      <c r="AV679" s="94">
        <f>IF('Net zero activities &amp; levers'!$C$9="Off",'Activity data'!BO62*ManureNEF*NtoN2O*kgtoGg,IF('Net zero activities &amp; levers'!$C$9="On",(('Net zero supporting data'!AM166*'Net zero supporting data'!AM183)+('Net zero supporting data'!AM178*ManureNEF))*NtoN2O*kgtoGg,"ERROR"))</f>
        <v>0.1420082821543816</v>
      </c>
      <c r="AW679" s="94">
        <f>IF('Net zero activities &amp; levers'!$C$9="Off",'Activity data'!BP62*ManureNEF*NtoN2O*kgtoGg,IF('Net zero activities &amp; levers'!$C$9="On",(('Net zero supporting data'!AN166*'Net zero supporting data'!AN183)+('Net zero supporting data'!AN178*ManureNEF))*NtoN2O*kgtoGg,"ERROR"))</f>
        <v>0.13990982914905775</v>
      </c>
      <c r="AY679" s="79"/>
      <c r="AZ679" s="79"/>
    </row>
    <row r="680" spans="1:52" x14ac:dyDescent="0.3">
      <c r="A680" s="95" t="str">
        <f t="shared" si="149"/>
        <v>NI Organic</v>
      </c>
      <c r="B680" s="95" t="s">
        <v>969</v>
      </c>
      <c r="C680" s="95" t="s">
        <v>1127</v>
      </c>
      <c r="D680" t="s">
        <v>369</v>
      </c>
      <c r="E680" t="s">
        <v>55</v>
      </c>
      <c r="F680" t="s">
        <v>421</v>
      </c>
      <c r="G680" t="s">
        <v>1178</v>
      </c>
      <c r="H680" t="s">
        <v>1179</v>
      </c>
      <c r="I680" t="s">
        <v>139</v>
      </c>
      <c r="J680" t="s">
        <v>287</v>
      </c>
      <c r="K680" s="22">
        <f>K1479</f>
        <v>3.1618785484610064E-2</v>
      </c>
      <c r="L680" s="22">
        <f t="shared" ref="L680:AW680" si="150">L1479</f>
        <v>3.1446916354757486E-2</v>
      </c>
      <c r="M680" s="22">
        <f t="shared" si="150"/>
        <v>3.1461022839745618E-2</v>
      </c>
      <c r="N680" s="22">
        <f t="shared" si="150"/>
        <v>3.1172186541537576E-2</v>
      </c>
      <c r="O680" s="22">
        <f t="shared" si="150"/>
        <v>3.0700450247237825E-2</v>
      </c>
      <c r="P680" s="22">
        <f t="shared" si="150"/>
        <v>3.0053355161673623E-2</v>
      </c>
      <c r="Q680" s="22">
        <f t="shared" si="150"/>
        <v>2.9583492368545915E-2</v>
      </c>
      <c r="R680" s="22">
        <f t="shared" si="150"/>
        <v>2.9155206131309674E-2</v>
      </c>
      <c r="S680" s="22">
        <f t="shared" si="150"/>
        <v>2.5742586430512242E-2</v>
      </c>
      <c r="T680" s="22">
        <f t="shared" si="150"/>
        <v>2.6068118868302407E-2</v>
      </c>
      <c r="U680" s="22">
        <f t="shared" si="150"/>
        <v>2.6766647576171875E-2</v>
      </c>
      <c r="V680" s="22">
        <f t="shared" si="150"/>
        <v>2.6830070353895639E-2</v>
      </c>
      <c r="W680" s="22">
        <f t="shared" si="150"/>
        <v>2.6967415903093594E-2</v>
      </c>
      <c r="X680" s="22">
        <f t="shared" si="150"/>
        <v>2.7198342082935097E-2</v>
      </c>
      <c r="Y680" s="22">
        <f t="shared" si="150"/>
        <v>2.7488108281140813E-2</v>
      </c>
      <c r="Z680" s="22">
        <f t="shared" si="150"/>
        <v>2.7843192191916763E-2</v>
      </c>
      <c r="AA680" s="22">
        <f t="shared" si="150"/>
        <v>2.8202428453344759E-2</v>
      </c>
      <c r="AB680" s="22">
        <f t="shared" si="150"/>
        <v>2.8617183610093744E-2</v>
      </c>
      <c r="AC680" s="22">
        <f t="shared" si="150"/>
        <v>2.902907613639907E-2</v>
      </c>
      <c r="AD680" s="22">
        <f t="shared" si="150"/>
        <v>2.9541166089713286E-2</v>
      </c>
      <c r="AE680" s="22">
        <f t="shared" si="150"/>
        <v>3.0012582293784919E-2</v>
      </c>
      <c r="AF680" s="22">
        <f t="shared" si="150"/>
        <v>3.05142068245088E-2</v>
      </c>
      <c r="AG680" s="22">
        <f t="shared" si="150"/>
        <v>3.1126123311674345E-2</v>
      </c>
      <c r="AH680" s="22">
        <f t="shared" si="150"/>
        <v>3.1651558436511636E-2</v>
      </c>
      <c r="AI680" s="22">
        <f t="shared" si="150"/>
        <v>3.2218684799767874E-2</v>
      </c>
      <c r="AJ680" s="22">
        <f t="shared" si="150"/>
        <v>3.2834204369193265E-2</v>
      </c>
      <c r="AK680" s="22">
        <f t="shared" si="150"/>
        <v>3.334768720159275E-2</v>
      </c>
      <c r="AL680" s="22">
        <f t="shared" si="150"/>
        <v>3.3829223876470492E-2</v>
      </c>
      <c r="AM680" s="22">
        <f t="shared" si="150"/>
        <v>3.4282698086419032E-2</v>
      </c>
      <c r="AN680" s="22">
        <f t="shared" si="150"/>
        <v>3.4806306995392507E-2</v>
      </c>
      <c r="AO680" s="22">
        <f t="shared" si="150"/>
        <v>3.5260470225842028E-2</v>
      </c>
      <c r="AP680" s="22">
        <f t="shared" si="150"/>
        <v>3.5729282051178403E-2</v>
      </c>
      <c r="AQ680" s="22">
        <f t="shared" si="150"/>
        <v>3.6216278611362E-2</v>
      </c>
      <c r="AR680" s="22">
        <f t="shared" si="150"/>
        <v>3.672755344896201E-2</v>
      </c>
      <c r="AS680" s="22">
        <f t="shared" si="150"/>
        <v>3.7264425931725673E-2</v>
      </c>
      <c r="AT680" s="22">
        <f t="shared" si="150"/>
        <v>3.6937731653004804E-2</v>
      </c>
      <c r="AU680" s="22">
        <f t="shared" si="150"/>
        <v>3.6535539754274135E-2</v>
      </c>
      <c r="AV680" s="22">
        <f t="shared" si="150"/>
        <v>3.6028043474654464E-2</v>
      </c>
      <c r="AW680" s="22">
        <f t="shared" si="150"/>
        <v>3.5495657933766529E-2</v>
      </c>
      <c r="AY680" s="79"/>
      <c r="AZ680" s="79"/>
    </row>
    <row r="681" spans="1:52" x14ac:dyDescent="0.3">
      <c r="A681" s="95" t="str">
        <f t="shared" si="149"/>
        <v>NI Organic</v>
      </c>
      <c r="B681" s="95" t="s">
        <v>969</v>
      </c>
      <c r="C681" s="95" t="s">
        <v>1127</v>
      </c>
      <c r="D681" t="s">
        <v>369</v>
      </c>
      <c r="E681" t="s">
        <v>55</v>
      </c>
      <c r="F681" t="s">
        <v>421</v>
      </c>
      <c r="G681" t="s">
        <v>1180</v>
      </c>
      <c r="H681" t="s">
        <v>1181</v>
      </c>
      <c r="I681" t="s">
        <v>139</v>
      </c>
      <c r="J681" t="s">
        <v>287</v>
      </c>
      <c r="K681" s="94">
        <f>IF('Net zero activities &amp; levers'!$C$9="Off",'Activity data'!AD64*ManureNEF*NtoN2O*kgtoGg,IF('Net zero activities &amp; levers'!$C$9="On",(('Net zero supporting data'!B167*'Net zero supporting data'!B183)+('Net zero supporting data'!B179*ManureNEF))*NtoN2O*kgtoGg,"ERROR"))</f>
        <v>0.15700744358616764</v>
      </c>
      <c r="L681" s="94">
        <f>IF('Net zero activities &amp; levers'!$C$9="Off",'Activity data'!AE64*ManureNEF*NtoN2O*kgtoGg,IF('Net zero activities &amp; levers'!$C$9="On",(('Net zero supporting data'!C167*'Net zero supporting data'!C183)+('Net zero supporting data'!C179*ManureNEF))*NtoN2O*kgtoGg,"ERROR"))</f>
        <v>0.16019971617730658</v>
      </c>
      <c r="M681" s="94">
        <f>IF('Net zero activities &amp; levers'!$C$9="Off",'Activity data'!AF64*ManureNEF*NtoN2O*kgtoGg,IF('Net zero activities &amp; levers'!$C$9="On",(('Net zero supporting data'!D167*'Net zero supporting data'!D183)+('Net zero supporting data'!D179*ManureNEF))*NtoN2O*kgtoGg,"ERROR"))</f>
        <v>0.16393118028621728</v>
      </c>
      <c r="N681" s="94">
        <f>IF('Net zero activities &amp; levers'!$C$9="Off",'Activity data'!AG64*ManureNEF*NtoN2O*kgtoGg,IF('Net zero activities &amp; levers'!$C$9="On",(('Net zero supporting data'!E167*'Net zero supporting data'!E183)+('Net zero supporting data'!E179*ManureNEF))*NtoN2O*kgtoGg,"ERROR"))</f>
        <v>0.1667959170810015</v>
      </c>
      <c r="O681" s="94">
        <f>IF('Net zero activities &amp; levers'!$C$9="Off",'Activity data'!AH64*ManureNEF*NtoN2O*kgtoGg,IF('Net zero activities &amp; levers'!$C$9="On",(('Net zero supporting data'!F167*'Net zero supporting data'!F183)+('Net zero supporting data'!F179*ManureNEF))*NtoN2O*kgtoGg,"ERROR"))</f>
        <v>0.16909558154641685</v>
      </c>
      <c r="P681" s="94">
        <f>IF('Net zero activities &amp; levers'!$C$9="Off",'Activity data'!AI64*ManureNEF*NtoN2O*kgtoGg,IF('Net zero activities &amp; levers'!$C$9="On",(('Net zero supporting data'!G167*'Net zero supporting data'!G183)+('Net zero supporting data'!G179*ManureNEF))*NtoN2O*kgtoGg,"ERROR"))</f>
        <v>0.17081649742586277</v>
      </c>
      <c r="Q681" s="94">
        <f>IF('Net zero activities &amp; levers'!$C$9="Off",'Activity data'!AJ64*ManureNEF*NtoN2O*kgtoGg,IF('Net zero activities &amp; levers'!$C$9="On",(('Net zero supporting data'!H167*'Net zero supporting data'!H183)+('Net zero supporting data'!H179*ManureNEF))*NtoN2O*kgtoGg,"ERROR"))</f>
        <v>0.17302318661183388</v>
      </c>
      <c r="R681" s="94">
        <f>IF('Net zero activities &amp; levers'!$C$9="Off",'Activity data'!AK64*ManureNEF*NtoN2O*kgtoGg,IF('Net zero activities &amp; levers'!$C$9="On",(('Net zero supporting data'!I167*'Net zero supporting data'!I183)+('Net zero supporting data'!I179*ManureNEF))*NtoN2O*kgtoGg,"ERROR"))</f>
        <v>0.17531753251219051</v>
      </c>
      <c r="S681" s="94">
        <f>IF('Net zero activities &amp; levers'!$C$9="Off",'Activity data'!AL64*ManureNEF*NtoN2O*kgtoGg,IF('Net zero activities &amp; levers'!$C$9="On",(('Net zero supporting data'!J167*'Net zero supporting data'!J183)+('Net zero supporting data'!J179*ManureNEF))*NtoN2O*kgtoGg,"ERROR"))</f>
        <v>0.16751439680213853</v>
      </c>
      <c r="T681" s="94">
        <f>IF('Net zero activities &amp; levers'!$C$9="Off",'Activity data'!AM64*ManureNEF*NtoN2O*kgtoGg,IF('Net zero activities &amp; levers'!$C$9="On",(('Net zero supporting data'!K167*'Net zero supporting data'!K183)+('Net zero supporting data'!K179*ManureNEF))*NtoN2O*kgtoGg,"ERROR"))</f>
        <v>0.17168380366965671</v>
      </c>
      <c r="U681" s="94">
        <f>IF('Net zero activities &amp; levers'!$C$9="Off",'Activity data'!AN64*ManureNEF*NtoN2O*kgtoGg,IF('Net zero activities &amp; levers'!$C$9="On",(('Net zero supporting data'!L167*'Net zero supporting data'!L183)+('Net zero supporting data'!L179*ManureNEF))*NtoN2O*kgtoGg,"ERROR"))</f>
        <v>0.17724022876298692</v>
      </c>
      <c r="V681" s="94">
        <f>IF('Net zero activities &amp; levers'!$C$9="Off",'Activity data'!AO64*ManureNEF*NtoN2O*kgtoGg,IF('Net zero activities &amp; levers'!$C$9="On",(('Net zero supporting data'!M167*'Net zero supporting data'!M183)+('Net zero supporting data'!M179*ManureNEF))*NtoN2O*kgtoGg,"ERROR"))</f>
        <v>0.18063841613712966</v>
      </c>
      <c r="W681" s="94">
        <f>IF('Net zero activities &amp; levers'!$C$9="Off",'Activity data'!AP64*ManureNEF*NtoN2O*kgtoGg,IF('Net zero activities &amp; levers'!$C$9="On",(('Net zero supporting data'!N167*'Net zero supporting data'!N183)+('Net zero supporting data'!N179*ManureNEF))*NtoN2O*kgtoGg,"ERROR"))</f>
        <v>0.18434318641003919</v>
      </c>
      <c r="X681" s="94">
        <f>IF('Net zero activities &amp; levers'!$C$9="Off",'Activity data'!AQ64*ManureNEF*NtoN2O*kgtoGg,IF('Net zero activities &amp; levers'!$C$9="On",(('Net zero supporting data'!O167*'Net zero supporting data'!O183)+('Net zero supporting data'!O179*ManureNEF))*NtoN2O*kgtoGg,"ERROR"))</f>
        <v>0.188448281864291</v>
      </c>
      <c r="Y681" s="94">
        <f>IF('Net zero activities &amp; levers'!$C$9="Off",'Activity data'!AR64*ManureNEF*NtoN2O*kgtoGg,IF('Net zero activities &amp; levers'!$C$9="On",(('Net zero supporting data'!P167*'Net zero supporting data'!P183)+('Net zero supporting data'!P179*ManureNEF))*NtoN2O*kgtoGg,"ERROR"))</f>
        <v>0.19268830884381843</v>
      </c>
      <c r="Z681" s="94">
        <f>IF('Net zero activities &amp; levers'!$C$9="Off",'Activity data'!AS64*ManureNEF*NtoN2O*kgtoGg,IF('Net zero activities &amp; levers'!$C$9="On",(('Net zero supporting data'!Q167*'Net zero supporting data'!Q183)+('Net zero supporting data'!Q179*ManureNEF))*NtoN2O*kgtoGg,"ERROR"))</f>
        <v>0.19725821874244767</v>
      </c>
      <c r="AA681" s="94">
        <f>IF('Net zero activities &amp; levers'!$C$9="Off",'Activity data'!AT64*ManureNEF*NtoN2O*kgtoGg,IF('Net zero activities &amp; levers'!$C$9="On",(('Net zero supporting data'!R167*'Net zero supporting data'!R183)+('Net zero supporting data'!R179*ManureNEF))*NtoN2O*kgtoGg,"ERROR"))</f>
        <v>0.20193089933116126</v>
      </c>
      <c r="AB681" s="94">
        <f>IF('Net zero activities &amp; levers'!$C$9="Off",'Activity data'!AU64*ManureNEF*NtoN2O*kgtoGg,IF('Net zero activities &amp; levers'!$C$9="On",(('Net zero supporting data'!S167*'Net zero supporting data'!S183)+('Net zero supporting data'!S179*ManureNEF))*NtoN2O*kgtoGg,"ERROR"))</f>
        <v>0.20692004706096712</v>
      </c>
      <c r="AC681" s="94">
        <f>IF('Net zero activities &amp; levers'!$C$9="Off",'Activity data'!AV64*ManureNEF*NtoN2O*kgtoGg,IF('Net zero activities &amp; levers'!$C$9="On",(('Net zero supporting data'!T167*'Net zero supporting data'!T183)+('Net zero supporting data'!T179*ManureNEF))*NtoN2O*kgtoGg,"ERROR"))</f>
        <v>0.21199804978928341</v>
      </c>
      <c r="AD681" s="94">
        <f>IF('Net zero activities &amp; levers'!$C$9="Off",'Activity data'!AW64*ManureNEF*NtoN2O*kgtoGg,IF('Net zero activities &amp; levers'!$C$9="On",(('Net zero supporting data'!U167*'Net zero supporting data'!U183)+('Net zero supporting data'!U179*ManureNEF))*NtoN2O*kgtoGg,"ERROR"))</f>
        <v>0.21747687739173732</v>
      </c>
      <c r="AE681" s="94">
        <f>IF('Net zero activities &amp; levers'!$C$9="Off",'Activity data'!AX64*ManureNEF*NtoN2O*kgtoGg,IF('Net zero activities &amp; levers'!$C$9="On",(('Net zero supporting data'!V167*'Net zero supporting data'!V183)+('Net zero supporting data'!V179*ManureNEF))*NtoN2O*kgtoGg,"ERROR"))</f>
        <v>0.22289913009362322</v>
      </c>
      <c r="AF681" s="94">
        <f>IF('Net zero activities &amp; levers'!$C$9="Off",'Activity data'!AY64*ManureNEF*NtoN2O*kgtoGg,IF('Net zero activities &amp; levers'!$C$9="On",(('Net zero supporting data'!W167*'Net zero supporting data'!W183)+('Net zero supporting data'!W179*ManureNEF))*NtoN2O*kgtoGg,"ERROR"))</f>
        <v>0.22857157153008073</v>
      </c>
      <c r="AG681" s="94">
        <f>IF('Net zero activities &amp; levers'!$C$9="Off",'Activity data'!AZ64*ManureNEF*NtoN2O*kgtoGg,IF('Net zero activities &amp; levers'!$C$9="On",(('Net zero supporting data'!X167*'Net zero supporting data'!X183)+('Net zero supporting data'!X179*ManureNEF))*NtoN2O*kgtoGg,"ERROR"))</f>
        <v>0.23486719230657463</v>
      </c>
      <c r="AH681" s="94">
        <f>IF('Net zero activities &amp; levers'!$C$9="Off",'Activity data'!BA64*ManureNEF*NtoN2O*kgtoGg,IF('Net zero activities &amp; levers'!$C$9="On",(('Net zero supporting data'!Y167*'Net zero supporting data'!Y183)+('Net zero supporting data'!Y179*ManureNEF))*NtoN2O*kgtoGg,"ERROR"))</f>
        <v>0.24091117160634945</v>
      </c>
      <c r="AI681" s="94">
        <f>IF('Net zero activities &amp; levers'!$C$9="Off",'Activity data'!BB64*ManureNEF*NtoN2O*kgtoGg,IF('Net zero activities &amp; levers'!$C$9="On",(('Net zero supporting data'!Z167*'Net zero supporting data'!Z183)+('Net zero supporting data'!Z179*ManureNEF))*NtoN2O*kgtoGg,"ERROR"))</f>
        <v>0.24716162450629867</v>
      </c>
      <c r="AJ681" s="94">
        <f>IF('Net zero activities &amp; levers'!$C$9="Off",'Activity data'!BC64*ManureNEF*NtoN2O*kgtoGg,IF('Net zero activities &amp; levers'!$C$9="On",(('Net zero supporting data'!AA167*'Net zero supporting data'!AA183)+('Net zero supporting data'!AA179*ManureNEF))*NtoN2O*kgtoGg,"ERROR"))</f>
        <v>0.25378810388351081</v>
      </c>
      <c r="AK681" s="94">
        <f>IF('Net zero activities &amp; levers'!$C$9="Off",'Activity data'!BD64*ManureNEF*NtoN2O*kgtoGg,IF('Net zero activities &amp; levers'!$C$9="On",(('Net zero supporting data'!AB167*'Net zero supporting data'!AB183)+('Net zero supporting data'!AB179*ManureNEF))*NtoN2O*kgtoGg,"ERROR"))</f>
        <v>0.26007320548130258</v>
      </c>
      <c r="AL681" s="94">
        <f>IF('Net zero activities &amp; levers'!$C$9="Off",'Activity data'!BE64*ManureNEF*NtoN2O*kgtoGg,IF('Net zero activities &amp; levers'!$C$9="On",(('Net zero supporting data'!AC167*'Net zero supporting data'!AC183)+('Net zero supporting data'!AC179*ManureNEF))*NtoN2O*kgtoGg,"ERROR"))</f>
        <v>0.26634117713838401</v>
      </c>
      <c r="AM681" s="94">
        <f>IF('Net zero activities &amp; levers'!$C$9="Off",'Activity data'!BF64*ManureNEF*NtoN2O*kgtoGg,IF('Net zero activities &amp; levers'!$C$9="On",(('Net zero supporting data'!AD167*'Net zero supporting data'!AD183)+('Net zero supporting data'!AD179*ManureNEF))*NtoN2O*kgtoGg,"ERROR"))</f>
        <v>0.27260643897493425</v>
      </c>
      <c r="AN681" s="94">
        <f>IF('Net zero activities &amp; levers'!$C$9="Off",'Activity data'!BG64*ManureNEF*NtoN2O*kgtoGg,IF('Net zero activities &amp; levers'!$C$9="On",(('Net zero supporting data'!AE167*'Net zero supporting data'!AE183)+('Net zero supporting data'!AE179*ManureNEF))*NtoN2O*kgtoGg,"ERROR"))</f>
        <v>0.2792535835644861</v>
      </c>
      <c r="AO681" s="94">
        <f>IF('Net zero activities &amp; levers'!$C$9="Off",'Activity data'!BH64*ManureNEF*NtoN2O*kgtoGg,IF('Net zero activities &amp; levers'!$C$9="On",(('Net zero supporting data'!AF167*'Net zero supporting data'!AF183)+('Net zero supporting data'!AF179*ManureNEF))*NtoN2O*kgtoGg,"ERROR"))</f>
        <v>0.2856890752327706</v>
      </c>
      <c r="AP681" s="94">
        <f>IF('Net zero activities &amp; levers'!$C$9="Off",'Activity data'!BI64*ManureNEF*NtoN2O*kgtoGg,IF('Net zero activities &amp; levers'!$C$9="On",(('Net zero supporting data'!AG167*'Net zero supporting data'!AG183)+('Net zero supporting data'!AG179*ManureNEF))*NtoN2O*kgtoGg,"ERROR"))</f>
        <v>0.29234742990941948</v>
      </c>
      <c r="AQ681" s="94">
        <f>IF('Net zero activities &amp; levers'!$C$9="Off",'Activity data'!BJ64*ManureNEF*NtoN2O*kgtoGg,IF('Net zero activities &amp; levers'!$C$9="On",(('Net zero supporting data'!AH167*'Net zero supporting data'!AH183)+('Net zero supporting data'!AH179*ManureNEF))*NtoN2O*kgtoGg,"ERROR"))</f>
        <v>0.29925644298376841</v>
      </c>
      <c r="AR681" s="94">
        <f>IF('Net zero activities &amp; levers'!$C$9="Off",'Activity data'!BK64*ManureNEF*NtoN2O*kgtoGg,IF('Net zero activities &amp; levers'!$C$9="On",(('Net zero supporting data'!AI167*'Net zero supporting data'!AI183)+('Net zero supporting data'!AI179*ManureNEF))*NtoN2O*kgtoGg,"ERROR"))</f>
        <v>0.30645986851598017</v>
      </c>
      <c r="AS681" s="94">
        <f>IF('Net zero activities &amp; levers'!$C$9="Off",'Activity data'!BL64*ManureNEF*NtoN2O*kgtoGg,IF('Net zero activities &amp; levers'!$C$9="On",(('Net zero supporting data'!AJ167*'Net zero supporting data'!AJ183)+('Net zero supporting data'!AJ179*ManureNEF))*NtoN2O*kgtoGg,"ERROR"))</f>
        <v>0.31385566843275581</v>
      </c>
      <c r="AT681" s="94">
        <f>IF('Net zero activities &amp; levers'!$C$9="Off",'Activity data'!BM64*ManureNEF*NtoN2O*kgtoGg,IF('Net zero activities &amp; levers'!$C$9="On",(('Net zero supporting data'!AK167*'Net zero supporting data'!AK183)+('Net zero supporting data'!AK179*ManureNEF))*NtoN2O*kgtoGg,"ERROR"))</f>
        <v>0.31644615504224521</v>
      </c>
      <c r="AU681" s="94">
        <f>IF('Net zero activities &amp; levers'!$C$9="Off",'Activity data'!BN64*ManureNEF*NtoN2O*kgtoGg,IF('Net zero activities &amp; levers'!$C$9="On",(('Net zero supporting data'!AL167*'Net zero supporting data'!AL183)+('Net zero supporting data'!AL179*ManureNEF))*NtoN2O*kgtoGg,"ERROR"))</f>
        <v>0.31859170882360827</v>
      </c>
      <c r="AV681" s="94">
        <f>IF('Net zero activities &amp; levers'!$C$9="Off",'Activity data'!BO64*ManureNEF*NtoN2O*kgtoGg,IF('Net zero activities &amp; levers'!$C$9="On",(('Net zero supporting data'!AM167*'Net zero supporting data'!AM183)+('Net zero supporting data'!AM179*ManureNEF))*NtoN2O*kgtoGg,"ERROR"))</f>
        <v>0.32009002936003406</v>
      </c>
      <c r="AW681" s="94">
        <f>IF('Net zero activities &amp; levers'!$C$9="Off",'Activity data'!BP64*ManureNEF*NtoN2O*kgtoGg,IF('Net zero activities &amp; levers'!$C$9="On",(('Net zero supporting data'!AN167*'Net zero supporting data'!AN183)+('Net zero supporting data'!AN179*ManureNEF))*NtoN2O*kgtoGg,"ERROR"))</f>
        <v>0.3213967030603942</v>
      </c>
      <c r="AY681" s="79"/>
      <c r="AZ681" s="79"/>
    </row>
    <row r="682" spans="1:52" x14ac:dyDescent="0.3">
      <c r="A682" s="95" t="str">
        <f t="shared" si="149"/>
        <v>NI Organic</v>
      </c>
      <c r="B682" s="95" t="s">
        <v>969</v>
      </c>
      <c r="C682" s="95" t="s">
        <v>1127</v>
      </c>
      <c r="D682" t="s">
        <v>369</v>
      </c>
      <c r="E682" t="s">
        <v>55</v>
      </c>
      <c r="F682" t="s">
        <v>421</v>
      </c>
      <c r="G682" t="s">
        <v>1182</v>
      </c>
      <c r="H682" t="s">
        <v>1183</v>
      </c>
      <c r="I682" t="s">
        <v>139</v>
      </c>
      <c r="J682" t="s">
        <v>287</v>
      </c>
      <c r="K682" s="94">
        <f>IF('Net zero activities &amp; levers'!$C$9="Off",'Activity data'!AD65*ManureNEF*NtoN2O*kgtoGg,IF('Net zero activities &amp; levers'!$C$9="On",(('Net zero supporting data'!B168*'Net zero supporting data'!B183)+('Net zero supporting data'!B180*ManureNEF))*NtoN2O*kgtoGg,"ERROR"))</f>
        <v>0.78620275218739033</v>
      </c>
      <c r="L682" s="94">
        <f>IF('Net zero activities &amp; levers'!$C$9="Off",'Activity data'!AE65*ManureNEF*NtoN2O*kgtoGg,IF('Net zero activities &amp; levers'!$C$9="On",(('Net zero supporting data'!C168*'Net zero supporting data'!C183)+('Net zero supporting data'!C180*ManureNEF))*NtoN2O*kgtoGg,"ERROR"))</f>
        <v>0.79655563720176326</v>
      </c>
      <c r="M682" s="94">
        <f>IF('Net zero activities &amp; levers'!$C$9="Off",'Activity data'!AF65*ManureNEF*NtoN2O*kgtoGg,IF('Net zero activities &amp; levers'!$C$9="On",(('Net zero supporting data'!D168*'Net zero supporting data'!D183)+('Net zero supporting data'!D180*ManureNEF))*NtoN2O*kgtoGg,"ERROR"))</f>
        <v>0.8131853402467214</v>
      </c>
      <c r="N682" s="94">
        <f>IF('Net zero activities &amp; levers'!$C$9="Off",'Activity data'!AG65*ManureNEF*NtoN2O*kgtoGg,IF('Net zero activities &amp; levers'!$C$9="On",(('Net zero supporting data'!E168*'Net zero supporting data'!E183)+('Net zero supporting data'!E180*ManureNEF))*NtoN2O*kgtoGg,"ERROR"))</f>
        <v>0.81796021384654038</v>
      </c>
      <c r="O682" s="94">
        <f>IF('Net zero activities &amp; levers'!$C$9="Off",'Activity data'!AH65*ManureNEF*NtoN2O*kgtoGg,IF('Net zero activities &amp; levers'!$C$9="On",(('Net zero supporting data'!F168*'Net zero supporting data'!F183)+('Net zero supporting data'!F180*ManureNEF))*NtoN2O*kgtoGg,"ERROR"))</f>
        <v>0.81503229757580642</v>
      </c>
      <c r="P682" s="94">
        <f>IF('Net zero activities &amp; levers'!$C$9="Off",'Activity data'!AI65*ManureNEF*NtoN2O*kgtoGg,IF('Net zero activities &amp; levers'!$C$9="On",(('Net zero supporting data'!G168*'Net zero supporting data'!G183)+('Net zero supporting data'!G180*ManureNEF))*NtoN2O*kgtoGg,"ERROR"))</f>
        <v>0.80443274266431908</v>
      </c>
      <c r="Q682" s="94">
        <f>IF('Net zero activities &amp; levers'!$C$9="Off",'Activity data'!AJ65*ManureNEF*NtoN2O*kgtoGg,IF('Net zero activities &amp; levers'!$C$9="On",(('Net zero supporting data'!H168*'Net zero supporting data'!H183)+('Net zero supporting data'!H180*ManureNEF))*NtoN2O*kgtoGg,"ERROR"))</f>
        <v>0.79997057217510736</v>
      </c>
      <c r="R682" s="94">
        <f>IF('Net zero activities &amp; levers'!$C$9="Off",'Activity data'!AK65*ManureNEF*NtoN2O*kgtoGg,IF('Net zero activities &amp; levers'!$C$9="On",(('Net zero supporting data'!I168*'Net zero supporting data'!I183)+('Net zero supporting data'!I180*ManureNEF))*NtoN2O*kgtoGg,"ERROR"))</f>
        <v>0.79652072541357855</v>
      </c>
      <c r="S682" s="94">
        <f>IF('Net zero activities &amp; levers'!$C$9="Off",'Activity data'!AL65*ManureNEF*NtoN2O*kgtoGg,IF('Net zero activities &amp; levers'!$C$9="On",(('Net zero supporting data'!J168*'Net zero supporting data'!J183)+('Net zero supporting data'!J180*ManureNEF))*NtoN2O*kgtoGg,"ERROR"))</f>
        <v>0.6714256257710044</v>
      </c>
      <c r="T682" s="94">
        <f>IF('Net zero activities &amp; levers'!$C$9="Off",'Activity data'!AM65*ManureNEF*NtoN2O*kgtoGg,IF('Net zero activities &amp; levers'!$C$9="On",(('Net zero supporting data'!K168*'Net zero supporting data'!K183)+('Net zero supporting data'!K180*ManureNEF))*NtoN2O*kgtoGg,"ERROR"))</f>
        <v>0.69801734564768969</v>
      </c>
      <c r="U682" s="94">
        <f>IF('Net zero activities &amp; levers'!$C$9="Off",'Activity data'!AN65*ManureNEF*NtoN2O*kgtoGg,IF('Net zero activities &amp; levers'!$C$9="On",(('Net zero supporting data'!L168*'Net zero supporting data'!L183)+('Net zero supporting data'!L180*ManureNEF))*NtoN2O*kgtoGg,"ERROR"))</f>
        <v>0.74045602078801331</v>
      </c>
      <c r="V682" s="94">
        <f>IF('Net zero activities &amp; levers'!$C$9="Off",'Activity data'!AO65*ManureNEF*NtoN2O*kgtoGg,IF('Net zero activities &amp; levers'!$C$9="On",(('Net zero supporting data'!M168*'Net zero supporting data'!M183)+('Net zero supporting data'!M180*ManureNEF))*NtoN2O*kgtoGg,"ERROR"))</f>
        <v>0.75681661805559275</v>
      </c>
      <c r="W682" s="94">
        <f>IF('Net zero activities &amp; levers'!$C$9="Off",'Activity data'!AP65*ManureNEF*NtoN2O*kgtoGg,IF('Net zero activities &amp; levers'!$C$9="On",(('Net zero supporting data'!N168*'Net zero supporting data'!N183)+('Net zero supporting data'!N180*ManureNEF))*NtoN2O*kgtoGg,"ERROR"))</f>
        <v>0.77639522353149193</v>
      </c>
      <c r="X682" s="94">
        <f>IF('Net zero activities &amp; levers'!$C$9="Off",'Activity data'!AQ65*ManureNEF*NtoN2O*kgtoGg,IF('Net zero activities &amp; levers'!$C$9="On",(('Net zero supporting data'!O168*'Net zero supporting data'!O183)+('Net zero supporting data'!O180*ManureNEF))*NtoN2O*kgtoGg,"ERROR"))</f>
        <v>0.8001865286543951</v>
      </c>
      <c r="Y682" s="94">
        <f>IF('Net zero activities &amp; levers'!$C$9="Off",'Activity data'!AR65*ManureNEF*NtoN2O*kgtoGg,IF('Net zero activities &amp; levers'!$C$9="On",(('Net zero supporting data'!P168*'Net zero supporting data'!P183)+('Net zero supporting data'!P180*ManureNEF))*NtoN2O*kgtoGg,"ERROR"))</f>
        <v>0.82750602154681474</v>
      </c>
      <c r="Z682" s="94">
        <f>IF('Net zero activities &amp; levers'!$C$9="Off",'Activity data'!AS65*ManureNEF*NtoN2O*kgtoGg,IF('Net zero activities &amp; levers'!$C$9="On",(('Net zero supporting data'!Q168*'Net zero supporting data'!Q183)+('Net zero supporting data'!Q180*ManureNEF))*NtoN2O*kgtoGg,"ERROR"))</f>
        <v>0.85809975414422934</v>
      </c>
      <c r="AA682" s="94">
        <f>IF('Net zero activities &amp; levers'!$C$9="Off",'Activity data'!AT65*ManureNEF*NtoN2O*kgtoGg,IF('Net zero activities &amp; levers'!$C$9="On",(('Net zero supporting data'!R168*'Net zero supporting data'!R183)+('Net zero supporting data'!R180*ManureNEF))*NtoN2O*kgtoGg,"ERROR"))</f>
        <v>0.88934316122776869</v>
      </c>
      <c r="AB682" s="94">
        <f>IF('Net zero activities &amp; levers'!$C$9="Off",'Activity data'!AU65*ManureNEF*NtoN2O*kgtoGg,IF('Net zero activities &amp; levers'!$C$9="On",(('Net zero supporting data'!S168*'Net zero supporting data'!S183)+('Net zero supporting data'!S180*ManureNEF))*NtoN2O*kgtoGg,"ERROR"))</f>
        <v>0.92360761628524812</v>
      </c>
      <c r="AC682" s="94">
        <f>IF('Net zero activities &amp; levers'!$C$9="Off",'Activity data'!AV65*ManureNEF*NtoN2O*kgtoGg,IF('Net zero activities &amp; levers'!$C$9="On",(('Net zero supporting data'!T168*'Net zero supporting data'!T183)+('Net zero supporting data'!T180*ManureNEF))*NtoN2O*kgtoGg,"ERROR"))</f>
        <v>0.95831140706580387</v>
      </c>
      <c r="AD682" s="94">
        <f>IF('Net zero activities &amp; levers'!$C$9="Off",'Activity data'!AW65*ManureNEF*NtoN2O*kgtoGg,IF('Net zero activities &amp; levers'!$C$9="On",(('Net zero supporting data'!U168*'Net zero supporting data'!U183)+('Net zero supporting data'!U180*ManureNEF))*NtoN2O*kgtoGg,"ERROR"))</f>
        <v>0.99882396760608316</v>
      </c>
      <c r="AE682" s="94">
        <f>IF('Net zero activities &amp; levers'!$C$9="Off",'Activity data'!AX65*ManureNEF*NtoN2O*kgtoGg,IF('Net zero activities &amp; levers'!$C$9="On",(('Net zero supporting data'!V168*'Net zero supporting data'!V183)+('Net zero supporting data'!V180*ManureNEF))*NtoN2O*kgtoGg,"ERROR"))</f>
        <v>1.0381393848215872</v>
      </c>
      <c r="AF682" s="94">
        <f>IF('Net zero activities &amp; levers'!$C$9="Off",'Activity data'!AY65*ManureNEF*NtoN2O*kgtoGg,IF('Net zero activities &amp; levers'!$C$9="On",(('Net zero supporting data'!W168*'Net zero supporting data'!W183)+('Net zero supporting data'!W180*ManureNEF))*NtoN2O*kgtoGg,"ERROR"))</f>
        <v>1.079611123684572</v>
      </c>
      <c r="AG682" s="94">
        <f>IF('Net zero activities &amp; levers'!$C$9="Off",'Activity data'!AZ65*ManureNEF*NtoN2O*kgtoGg,IF('Net zero activities &amp; levers'!$C$9="On",(('Net zero supporting data'!X168*'Net zero supporting data'!X183)+('Net zero supporting data'!X180*ManureNEF))*NtoN2O*kgtoGg,"ERROR"))</f>
        <v>1.1272124079778039</v>
      </c>
      <c r="AH682" s="94">
        <f>IF('Net zero activities &amp; levers'!$C$9="Off",'Activity data'!BA65*ManureNEF*NtoN2O*kgtoGg,IF('Net zero activities &amp; levers'!$C$9="On",(('Net zero supporting data'!Y168*'Net zero supporting data'!Y183)+('Net zero supporting data'!Y180*ManureNEF))*NtoN2O*kgtoGg,"ERROR"))</f>
        <v>1.1714796676080013</v>
      </c>
      <c r="AI682" s="94">
        <f>IF('Net zero activities &amp; levers'!$C$9="Off",'Activity data'!BB65*ManureNEF*NtoN2O*kgtoGg,IF('Net zero activities &amp; levers'!$C$9="On",(('Net zero supporting data'!Z168*'Net zero supporting data'!Z183)+('Net zero supporting data'!Z180*ManureNEF))*NtoN2O*kgtoGg,"ERROR"))</f>
        <v>1.2191635190702683</v>
      </c>
      <c r="AJ682" s="94">
        <f>IF('Net zero activities &amp; levers'!$C$9="Off",'Activity data'!BC65*ManureNEF*NtoN2O*kgtoGg,IF('Net zero activities &amp; levers'!$C$9="On",(('Net zero supporting data'!AA168*'Net zero supporting data'!AA183)+('Net zero supporting data'!AA180*ManureNEF))*NtoN2O*kgtoGg,"ERROR"))</f>
        <v>1.2702163053795446</v>
      </c>
      <c r="AK682" s="94">
        <f>IF('Net zero activities &amp; levers'!$C$9="Off",'Activity data'!BD65*ManureNEF*NtoN2O*kgtoGg,IF('Net zero activities &amp; levers'!$C$9="On",(('Net zero supporting data'!AB168*'Net zero supporting data'!AB183)+('Net zero supporting data'!AB180*ManureNEF))*NtoN2O*kgtoGg,"ERROR"))</f>
        <v>1.3170629000720371</v>
      </c>
      <c r="AL682" s="94">
        <f>IF('Net zero activities &amp; levers'!$C$9="Off",'Activity data'!BE65*ManureNEF*NtoN2O*kgtoGg,IF('Net zero activities &amp; levers'!$C$9="On",(('Net zero supporting data'!AC168*'Net zero supporting data'!AC183)+('Net zero supporting data'!AC180*ManureNEF))*NtoN2O*kgtoGg,"ERROR"))</f>
        <v>1.3631650010384939</v>
      </c>
      <c r="AM682" s="94">
        <f>IF('Net zero activities &amp; levers'!$C$9="Off",'Activity data'!BF65*ManureNEF*NtoN2O*kgtoGg,IF('Net zero activities &amp; levers'!$C$9="On",(('Net zero supporting data'!AD168*'Net zero supporting data'!AD183)+('Net zero supporting data'!AD180*ManureNEF))*NtoN2O*kgtoGg,"ERROR"))</f>
        <v>1.4086909019769458</v>
      </c>
      <c r="AN682" s="94">
        <f>IF('Net zero activities &amp; levers'!$C$9="Off",'Activity data'!BG65*ManureNEF*NtoN2O*kgtoGg,IF('Net zero activities &amp; levers'!$C$9="On",(('Net zero supporting data'!AE168*'Net zero supporting data'!AE183)+('Net zero supporting data'!AE180*ManureNEF))*NtoN2O*kgtoGg,"ERROR"))</f>
        <v>1.4592838015136291</v>
      </c>
      <c r="AO682" s="94">
        <f>IF('Net zero activities &amp; levers'!$C$9="Off",'Activity data'!BH65*ManureNEF*NtoN2O*kgtoGg,IF('Net zero activities &amp; levers'!$C$9="On",(('Net zero supporting data'!AF168*'Net zero supporting data'!AF183)+('Net zero supporting data'!AF180*ManureNEF))*NtoN2O*kgtoGg,"ERROR"))</f>
        <v>1.5071494225223063</v>
      </c>
      <c r="AP682" s="94">
        <f>IF('Net zero activities &amp; levers'!$C$9="Off",'Activity data'!BI65*ManureNEF*NtoN2O*kgtoGg,IF('Net zero activities &amp; levers'!$C$9="On",(('Net zero supporting data'!AG168*'Net zero supporting data'!AG183)+('Net zero supporting data'!AG180*ManureNEF))*NtoN2O*kgtoGg,"ERROR"))</f>
        <v>1.5567592089604327</v>
      </c>
      <c r="AQ682" s="94">
        <f>IF('Net zero activities &amp; levers'!$C$9="Off",'Activity data'!BJ65*ManureNEF*NtoN2O*kgtoGg,IF('Net zero activities &amp; levers'!$C$9="On",(('Net zero supporting data'!AH168*'Net zero supporting data'!AH183)+('Net zero supporting data'!AH180*ManureNEF))*NtoN2O*kgtoGg,"ERROR"))</f>
        <v>1.6083690614713202</v>
      </c>
      <c r="AR682" s="94">
        <f>IF('Net zero activities &amp; levers'!$C$9="Off",'Activity data'!BK65*ManureNEF*NtoN2O*kgtoGg,IF('Net zero activities &amp; levers'!$C$9="On",(('Net zero supporting data'!AI168*'Net zero supporting data'!AI183)+('Net zero supporting data'!AI180*ManureNEF))*NtoN2O*kgtoGg,"ERROR"))</f>
        <v>1.6623899573120902</v>
      </c>
      <c r="AS682" s="94">
        <f>IF('Net zero activities &amp; levers'!$C$9="Off",'Activity data'!BL65*ManureNEF*NtoN2O*kgtoGg,IF('Net zero activities &amp; levers'!$C$9="On",(('Net zero supporting data'!AJ168*'Net zero supporting data'!AJ183)+('Net zero supporting data'!AJ180*ManureNEF))*NtoN2O*kgtoGg,"ERROR"))</f>
        <v>1.7194351847901206</v>
      </c>
      <c r="AT682" s="94">
        <f>IF('Net zero activities &amp; levers'!$C$9="Off",'Activity data'!BM65*ManureNEF*NtoN2O*kgtoGg,IF('Net zero activities &amp; levers'!$C$9="On",(('Net zero supporting data'!AK168*'Net zero supporting data'!AK183)+('Net zero supporting data'!AK180*ManureNEF))*NtoN2O*kgtoGg,"ERROR"))</f>
        <v>1.7281200285400726</v>
      </c>
      <c r="AU682" s="94">
        <f>IF('Net zero activities &amp; levers'!$C$9="Off",'Activity data'!BN65*ManureNEF*NtoN2O*kgtoGg,IF('Net zero activities &amp; levers'!$C$9="On",(('Net zero supporting data'!AL168*'Net zero supporting data'!AL183)+('Net zero supporting data'!AL180*ManureNEF))*NtoN2O*kgtoGg,"ERROR"))</f>
        <v>1.7323570747934378</v>
      </c>
      <c r="AV682" s="94">
        <f>IF('Net zero activities &amp; levers'!$C$9="Off",'Activity data'!BO65*ManureNEF*NtoN2O*kgtoGg,IF('Net zero activities &amp; levers'!$C$9="On",(('Net zero supporting data'!AM168*'Net zero supporting data'!AM183)+('Net zero supporting data'!AM180*ManureNEF))*NtoN2O*kgtoGg,"ERROR"))</f>
        <v>1.7302245779661751</v>
      </c>
      <c r="AW682" s="94">
        <f>IF('Net zero activities &amp; levers'!$C$9="Off",'Activity data'!BP65*ManureNEF*NtoN2O*kgtoGg,IF('Net zero activities &amp; levers'!$C$9="On",(('Net zero supporting data'!AN168*'Net zero supporting data'!AN183)+('Net zero supporting data'!AN180*ManureNEF))*NtoN2O*kgtoGg,"ERROR"))</f>
        <v>1.7262788410170404</v>
      </c>
      <c r="AY682" s="79"/>
      <c r="AZ682" s="79"/>
    </row>
    <row r="683" spans="1:52" x14ac:dyDescent="0.3">
      <c r="A683" s="95" t="str">
        <f t="shared" si="149"/>
        <v>NI U&amp;D</v>
      </c>
      <c r="B683" s="95" t="s">
        <v>969</v>
      </c>
      <c r="C683" s="95" t="s">
        <v>1336</v>
      </c>
      <c r="D683" t="s">
        <v>369</v>
      </c>
      <c r="E683" t="s">
        <v>55</v>
      </c>
      <c r="F683" t="s">
        <v>422</v>
      </c>
      <c r="G683" t="s">
        <v>1152</v>
      </c>
      <c r="H683" t="s">
        <v>1240</v>
      </c>
      <c r="I683" t="s">
        <v>139</v>
      </c>
      <c r="J683" t="s">
        <v>287</v>
      </c>
      <c r="K683" s="22">
        <f>K1482</f>
        <v>0</v>
      </c>
      <c r="L683" s="22">
        <f t="shared" ref="L683:AW690" si="151">L1482</f>
        <v>0</v>
      </c>
      <c r="M683" s="22">
        <f t="shared" si="151"/>
        <v>0</v>
      </c>
      <c r="N683" s="22">
        <f t="shared" si="151"/>
        <v>0</v>
      </c>
      <c r="O683" s="22">
        <f t="shared" si="151"/>
        <v>0</v>
      </c>
      <c r="P683" s="22">
        <f t="shared" si="151"/>
        <v>0</v>
      </c>
      <c r="Q683" s="22">
        <f t="shared" si="151"/>
        <v>0</v>
      </c>
      <c r="R683" s="22">
        <f t="shared" si="151"/>
        <v>0</v>
      </c>
      <c r="S683" s="22">
        <f t="shared" si="151"/>
        <v>0</v>
      </c>
      <c r="T683" s="22">
        <f t="shared" si="151"/>
        <v>0</v>
      </c>
      <c r="U683" s="22">
        <f t="shared" si="151"/>
        <v>0</v>
      </c>
      <c r="V683" s="22">
        <f t="shared" si="151"/>
        <v>0</v>
      </c>
      <c r="W683" s="22">
        <f t="shared" si="151"/>
        <v>0</v>
      </c>
      <c r="X683" s="22">
        <f t="shared" si="151"/>
        <v>0</v>
      </c>
      <c r="Y683" s="22">
        <f t="shared" si="151"/>
        <v>0</v>
      </c>
      <c r="Z683" s="22">
        <f t="shared" si="151"/>
        <v>0</v>
      </c>
      <c r="AA683" s="22">
        <f t="shared" si="151"/>
        <v>0</v>
      </c>
      <c r="AB683" s="22">
        <f t="shared" si="151"/>
        <v>0</v>
      </c>
      <c r="AC683" s="22">
        <f t="shared" si="151"/>
        <v>0</v>
      </c>
      <c r="AD683" s="22">
        <f t="shared" si="151"/>
        <v>0</v>
      </c>
      <c r="AE683" s="22">
        <f t="shared" si="151"/>
        <v>0</v>
      </c>
      <c r="AF683" s="22">
        <f t="shared" si="151"/>
        <v>0</v>
      </c>
      <c r="AG683" s="22">
        <f t="shared" si="151"/>
        <v>0</v>
      </c>
      <c r="AH683" s="22">
        <f t="shared" si="151"/>
        <v>0</v>
      </c>
      <c r="AI683" s="22">
        <f t="shared" si="151"/>
        <v>0</v>
      </c>
      <c r="AJ683" s="22">
        <f t="shared" si="151"/>
        <v>0</v>
      </c>
      <c r="AK683" s="22">
        <f t="shared" si="151"/>
        <v>0</v>
      </c>
      <c r="AL683" s="22">
        <f t="shared" si="151"/>
        <v>0</v>
      </c>
      <c r="AM683" s="22">
        <f t="shared" si="151"/>
        <v>0</v>
      </c>
      <c r="AN683" s="22">
        <f t="shared" si="151"/>
        <v>0</v>
      </c>
      <c r="AO683" s="22">
        <f t="shared" si="151"/>
        <v>0</v>
      </c>
      <c r="AP683" s="22">
        <f t="shared" si="151"/>
        <v>0</v>
      </c>
      <c r="AQ683" s="22">
        <f t="shared" si="151"/>
        <v>0</v>
      </c>
      <c r="AR683" s="22">
        <f t="shared" si="151"/>
        <v>0</v>
      </c>
      <c r="AS683" s="22">
        <f t="shared" si="151"/>
        <v>0</v>
      </c>
      <c r="AT683" s="22">
        <f t="shared" si="151"/>
        <v>0</v>
      </c>
      <c r="AU683" s="22">
        <f t="shared" si="151"/>
        <v>0</v>
      </c>
      <c r="AV683" s="22">
        <f t="shared" si="151"/>
        <v>0</v>
      </c>
      <c r="AW683" s="22">
        <f t="shared" si="151"/>
        <v>0</v>
      </c>
      <c r="AY683" s="79"/>
      <c r="AZ683" s="79"/>
    </row>
    <row r="684" spans="1:52" x14ac:dyDescent="0.3">
      <c r="A684" s="95" t="str">
        <f t="shared" si="149"/>
        <v>NI U&amp;D</v>
      </c>
      <c r="B684" s="95" t="s">
        <v>969</v>
      </c>
      <c r="C684" s="95" t="s">
        <v>1336</v>
      </c>
      <c r="D684" t="s">
        <v>369</v>
      </c>
      <c r="E684" t="s">
        <v>55</v>
      </c>
      <c r="F684" t="s">
        <v>422</v>
      </c>
      <c r="G684" t="s">
        <v>1154</v>
      </c>
      <c r="H684" t="s">
        <v>1241</v>
      </c>
      <c r="I684" t="s">
        <v>139</v>
      </c>
      <c r="J684" t="s">
        <v>287</v>
      </c>
      <c r="K684" s="22">
        <f t="shared" ref="K684:Z710" si="152">K1483</f>
        <v>1.0775797812462991</v>
      </c>
      <c r="L684" s="22">
        <f t="shared" si="152"/>
        <v>1.0836040032789305</v>
      </c>
      <c r="M684" s="22">
        <f t="shared" si="152"/>
        <v>1.0921513426512339</v>
      </c>
      <c r="N684" s="22">
        <f t="shared" si="152"/>
        <v>1.0976439186771809</v>
      </c>
      <c r="O684" s="22">
        <f t="shared" si="152"/>
        <v>1.1012937605673538</v>
      </c>
      <c r="P684" s="22">
        <f t="shared" si="152"/>
        <v>1.1030649457277464</v>
      </c>
      <c r="Q684" s="22">
        <f t="shared" si="152"/>
        <v>1.1069781529146336</v>
      </c>
      <c r="R684" s="22">
        <f t="shared" si="152"/>
        <v>1.1114672588381171</v>
      </c>
      <c r="S684" s="22">
        <f t="shared" si="152"/>
        <v>1.0780569980949297</v>
      </c>
      <c r="T684" s="22">
        <f t="shared" si="152"/>
        <v>1.0893928957031254</v>
      </c>
      <c r="U684" s="22">
        <f t="shared" si="152"/>
        <v>1.1059856502817549</v>
      </c>
      <c r="V684" s="22">
        <f t="shared" si="152"/>
        <v>1.1145860741325027</v>
      </c>
      <c r="W684" s="22">
        <f t="shared" si="152"/>
        <v>1.1244152137402783</v>
      </c>
      <c r="X684" s="22">
        <f t="shared" si="152"/>
        <v>1.1357914130193381</v>
      </c>
      <c r="Y684" s="22">
        <f t="shared" si="152"/>
        <v>1.1474086589431955</v>
      </c>
      <c r="Z684" s="22">
        <f t="shared" si="152"/>
        <v>1.1602674519477969</v>
      </c>
      <c r="AA684" s="22">
        <f t="shared" si="151"/>
        <v>1.1735245752036907</v>
      </c>
      <c r="AB684" s="22">
        <f t="shared" si="151"/>
        <v>1.18794114106982</v>
      </c>
      <c r="AC684" s="22">
        <f t="shared" si="151"/>
        <v>1.2026829177053815</v>
      </c>
      <c r="AD684" s="22">
        <f t="shared" si="151"/>
        <v>1.218608900056573</v>
      </c>
      <c r="AE684" s="22">
        <f t="shared" si="151"/>
        <v>1.2343193345034551</v>
      </c>
      <c r="AF684" s="22">
        <f t="shared" si="151"/>
        <v>1.2509015809248898</v>
      </c>
      <c r="AG684" s="22">
        <f t="shared" si="151"/>
        <v>1.2696588428853492</v>
      </c>
      <c r="AH684" s="22">
        <f t="shared" si="151"/>
        <v>1.2874926850325319</v>
      </c>
      <c r="AI684" s="22">
        <f t="shared" si="151"/>
        <v>1.3057811956925069</v>
      </c>
      <c r="AJ684" s="22">
        <f t="shared" si="151"/>
        <v>1.3253399300509145</v>
      </c>
      <c r="AK684" s="22">
        <f t="shared" si="151"/>
        <v>1.3436641070257576</v>
      </c>
      <c r="AL684" s="22">
        <f t="shared" si="151"/>
        <v>1.361888843730743</v>
      </c>
      <c r="AM684" s="22">
        <f t="shared" si="151"/>
        <v>1.380064832160125</v>
      </c>
      <c r="AN684" s="22">
        <f t="shared" si="151"/>
        <v>1.3992944829741121</v>
      </c>
      <c r="AO684" s="22">
        <f t="shared" si="151"/>
        <v>1.4177506785056255</v>
      </c>
      <c r="AP684" s="22">
        <f t="shared" si="151"/>
        <v>1.4369235538048923</v>
      </c>
      <c r="AQ684" s="22">
        <f t="shared" si="151"/>
        <v>1.4569005528602124</v>
      </c>
      <c r="AR684" s="22">
        <f t="shared" si="151"/>
        <v>1.4778222948761157</v>
      </c>
      <c r="AS684" s="22">
        <f t="shared" si="151"/>
        <v>1.499114114952786</v>
      </c>
      <c r="AT684" s="22">
        <f t="shared" si="151"/>
        <v>1.5041622353362427</v>
      </c>
      <c r="AU684" s="22">
        <f t="shared" si="151"/>
        <v>1.5077549671708836</v>
      </c>
      <c r="AV684" s="22">
        <f t="shared" si="151"/>
        <v>1.5092269750444909</v>
      </c>
      <c r="AW684" s="22">
        <f t="shared" si="151"/>
        <v>1.5101158131362518</v>
      </c>
      <c r="AY684" s="79"/>
      <c r="AZ684" s="79"/>
    </row>
    <row r="685" spans="1:52" x14ac:dyDescent="0.3">
      <c r="A685" s="95" t="str">
        <f t="shared" si="149"/>
        <v>NI U&amp;D</v>
      </c>
      <c r="B685" s="95" t="s">
        <v>969</v>
      </c>
      <c r="C685" s="95" t="s">
        <v>1336</v>
      </c>
      <c r="D685" t="s">
        <v>369</v>
      </c>
      <c r="E685" t="s">
        <v>55</v>
      </c>
      <c r="F685" t="s">
        <v>422</v>
      </c>
      <c r="G685" t="s">
        <v>1156</v>
      </c>
      <c r="H685" t="s">
        <v>1242</v>
      </c>
      <c r="I685" t="s">
        <v>139</v>
      </c>
      <c r="J685" t="s">
        <v>287</v>
      </c>
      <c r="K685" s="22">
        <f t="shared" si="152"/>
        <v>0.73383920392416069</v>
      </c>
      <c r="L685" s="22">
        <f t="shared" si="151"/>
        <v>0.7379417403466384</v>
      </c>
      <c r="M685" s="22">
        <f t="shared" si="151"/>
        <v>0.74376253694082328</v>
      </c>
      <c r="N685" s="22">
        <f t="shared" si="151"/>
        <v>0.74750301879518044</v>
      </c>
      <c r="O685" s="22">
        <f t="shared" si="151"/>
        <v>0.74998858609492636</v>
      </c>
      <c r="P685" s="22">
        <f t="shared" si="151"/>
        <v>0.75119477530775824</v>
      </c>
      <c r="Q685" s="22">
        <f t="shared" si="151"/>
        <v>0.7538596961765357</v>
      </c>
      <c r="R685" s="22">
        <f t="shared" si="151"/>
        <v>0.75691680802528427</v>
      </c>
      <c r="S685" s="22">
        <f t="shared" si="151"/>
        <v>0.73416419186323789</v>
      </c>
      <c r="T685" s="22">
        <f t="shared" si="151"/>
        <v>0.74188401569562545</v>
      </c>
      <c r="U685" s="22">
        <f t="shared" si="151"/>
        <v>0.75318379509275502</v>
      </c>
      <c r="V685" s="22">
        <f t="shared" si="151"/>
        <v>0.75904074257996901</v>
      </c>
      <c r="W685" s="22">
        <f t="shared" si="151"/>
        <v>0.76573445390469996</v>
      </c>
      <c r="X685" s="22">
        <f t="shared" si="151"/>
        <v>0.77348172345069344</v>
      </c>
      <c r="Y685" s="22">
        <f t="shared" si="151"/>
        <v>0.78139314741105659</v>
      </c>
      <c r="Z685" s="22">
        <f t="shared" si="151"/>
        <v>0.79015007342818022</v>
      </c>
      <c r="AA685" s="22">
        <f t="shared" si="151"/>
        <v>0.79917826507184453</v>
      </c>
      <c r="AB685" s="22">
        <f t="shared" si="151"/>
        <v>0.80899604506608758</v>
      </c>
      <c r="AC685" s="22">
        <f t="shared" si="151"/>
        <v>0.81903529581943424</v>
      </c>
      <c r="AD685" s="22">
        <f t="shared" si="151"/>
        <v>0.82988099876756494</v>
      </c>
      <c r="AE685" s="22">
        <f t="shared" si="151"/>
        <v>0.84057991211806271</v>
      </c>
      <c r="AF685" s="22">
        <f t="shared" si="151"/>
        <v>0.8518725353882447</v>
      </c>
      <c r="AG685" s="22">
        <f t="shared" si="151"/>
        <v>0.86464635912215038</v>
      </c>
      <c r="AH685" s="22">
        <f t="shared" si="151"/>
        <v>0.87679132764509471</v>
      </c>
      <c r="AI685" s="22">
        <f t="shared" si="151"/>
        <v>0.88924592853613249</v>
      </c>
      <c r="AJ685" s="22">
        <f t="shared" si="151"/>
        <v>0.90256556045678527</v>
      </c>
      <c r="AK685" s="22">
        <f t="shared" si="151"/>
        <v>0.91504445035228033</v>
      </c>
      <c r="AL685" s="22">
        <f t="shared" si="151"/>
        <v>0.92745562074362309</v>
      </c>
      <c r="AM685" s="22">
        <f t="shared" si="151"/>
        <v>0.93983359322574034</v>
      </c>
      <c r="AN685" s="22">
        <f t="shared" si="151"/>
        <v>0.95292911700102378</v>
      </c>
      <c r="AO685" s="22">
        <f t="shared" si="151"/>
        <v>0.9654979124368942</v>
      </c>
      <c r="AP685" s="22">
        <f t="shared" si="151"/>
        <v>0.97855477169819061</v>
      </c>
      <c r="AQ685" s="22">
        <f t="shared" si="151"/>
        <v>0.99215924473924411</v>
      </c>
      <c r="AR685" s="22">
        <f t="shared" si="151"/>
        <v>1.0064070942004693</v>
      </c>
      <c r="AS685" s="22">
        <f t="shared" si="151"/>
        <v>1.0209069693531829</v>
      </c>
      <c r="AT685" s="22">
        <f t="shared" si="151"/>
        <v>1.0243447738739997</v>
      </c>
      <c r="AU685" s="22">
        <f t="shared" si="151"/>
        <v>1.0267914488351768</v>
      </c>
      <c r="AV685" s="22">
        <f t="shared" si="151"/>
        <v>1.0277938962687103</v>
      </c>
      <c r="AW685" s="22">
        <f t="shared" si="151"/>
        <v>1.0283992010907079</v>
      </c>
      <c r="AY685" s="79"/>
      <c r="AZ685" s="79"/>
    </row>
    <row r="686" spans="1:52" x14ac:dyDescent="0.3">
      <c r="A686" s="95" t="str">
        <f t="shared" si="149"/>
        <v>NI U&amp;D</v>
      </c>
      <c r="B686" s="95" t="s">
        <v>969</v>
      </c>
      <c r="C686" s="95" t="s">
        <v>1336</v>
      </c>
      <c r="D686" t="s">
        <v>369</v>
      </c>
      <c r="E686" t="s">
        <v>55</v>
      </c>
      <c r="F686" t="s">
        <v>422</v>
      </c>
      <c r="G686" t="s">
        <v>1158</v>
      </c>
      <c r="H686" t="s">
        <v>1243</v>
      </c>
      <c r="I686" t="s">
        <v>139</v>
      </c>
      <c r="J686" t="s">
        <v>287</v>
      </c>
      <c r="K686" s="22">
        <f t="shared" si="152"/>
        <v>15.353527292296844</v>
      </c>
      <c r="L686" s="22">
        <f t="shared" si="151"/>
        <v>15.220371053361486</v>
      </c>
      <c r="M686" s="22">
        <f t="shared" si="151"/>
        <v>15.169682504177887</v>
      </c>
      <c r="N686" s="22">
        <f t="shared" si="151"/>
        <v>14.967111251021189</v>
      </c>
      <c r="O686" s="22">
        <f t="shared" si="151"/>
        <v>14.673074129931953</v>
      </c>
      <c r="P686" s="22">
        <f t="shared" si="151"/>
        <v>14.293651368256896</v>
      </c>
      <c r="Q686" s="22">
        <f t="shared" si="151"/>
        <v>13.994389539168758</v>
      </c>
      <c r="R686" s="22">
        <f t="shared" si="151"/>
        <v>13.711253827544139</v>
      </c>
      <c r="S686" s="22">
        <f t="shared" si="151"/>
        <v>12.061906249102522</v>
      </c>
      <c r="T686" s="22">
        <f t="shared" si="151"/>
        <v>12.257827954761961</v>
      </c>
      <c r="U686" s="22">
        <f t="shared" si="151"/>
        <v>12.623326077373568</v>
      </c>
      <c r="V686" s="22">
        <f t="shared" si="151"/>
        <v>12.696320274115601</v>
      </c>
      <c r="W686" s="22">
        <f t="shared" si="151"/>
        <v>12.80159889911199</v>
      </c>
      <c r="X686" s="22">
        <f t="shared" si="151"/>
        <v>12.948464903220069</v>
      </c>
      <c r="Y686" s="22">
        <f t="shared" si="151"/>
        <v>13.116926910965395</v>
      </c>
      <c r="Z686" s="22">
        <f t="shared" si="151"/>
        <v>13.314439769643803</v>
      </c>
      <c r="AA686" s="22">
        <f t="shared" si="151"/>
        <v>13.51286360181456</v>
      </c>
      <c r="AB686" s="22">
        <f t="shared" si="151"/>
        <v>13.736029185929986</v>
      </c>
      <c r="AC686" s="22">
        <f t="shared" si="151"/>
        <v>13.956980095887328</v>
      </c>
      <c r="AD686" s="22">
        <f t="shared" si="151"/>
        <v>14.10090814419179</v>
      </c>
      <c r="AE686" s="22">
        <f t="shared" si="151"/>
        <v>14.219083101971489</v>
      </c>
      <c r="AF686" s="22">
        <f t="shared" si="151"/>
        <v>14.343928249023508</v>
      </c>
      <c r="AG686" s="22">
        <f t="shared" si="151"/>
        <v>14.51096965309287</v>
      </c>
      <c r="AH686" s="22">
        <f t="shared" si="151"/>
        <v>14.631100213840327</v>
      </c>
      <c r="AI686" s="22">
        <f t="shared" si="151"/>
        <v>14.759129789982603</v>
      </c>
      <c r="AJ686" s="22">
        <f t="shared" si="151"/>
        <v>14.900063859192302</v>
      </c>
      <c r="AK686" s="22">
        <f t="shared" si="151"/>
        <v>14.987884546338787</v>
      </c>
      <c r="AL686" s="22">
        <f t="shared" si="151"/>
        <v>15.053769229100121</v>
      </c>
      <c r="AM686" s="22">
        <f t="shared" si="151"/>
        <v>15.099596245527735</v>
      </c>
      <c r="AN686" s="22">
        <f t="shared" si="151"/>
        <v>15.242060327526691</v>
      </c>
      <c r="AO686" s="22">
        <f t="shared" si="151"/>
        <v>15.350351065013276</v>
      </c>
      <c r="AP686" s="22">
        <f t="shared" si="151"/>
        <v>15.4600087454617</v>
      </c>
      <c r="AQ686" s="22">
        <f t="shared" si="151"/>
        <v>15.572287803164578</v>
      </c>
      <c r="AR686" s="22">
        <f t="shared" si="151"/>
        <v>15.689452381356277</v>
      </c>
      <c r="AS686" s="22">
        <f t="shared" si="151"/>
        <v>15.809749281637989</v>
      </c>
      <c r="AT686" s="22">
        <f t="shared" si="151"/>
        <v>15.572449633225865</v>
      </c>
      <c r="AU686" s="22">
        <f t="shared" si="151"/>
        <v>15.303629040465463</v>
      </c>
      <c r="AV686" s="22">
        <f t="shared" si="151"/>
        <v>14.991979745020995</v>
      </c>
      <c r="AW686" s="22">
        <f t="shared" si="151"/>
        <v>14.670563587286086</v>
      </c>
      <c r="AY686" s="79"/>
      <c r="AZ686" s="79"/>
    </row>
    <row r="687" spans="1:52" x14ac:dyDescent="0.3">
      <c r="A687" s="95" t="str">
        <f t="shared" si="149"/>
        <v>NI U&amp;D</v>
      </c>
      <c r="B687" s="95" t="s">
        <v>969</v>
      </c>
      <c r="C687" s="95" t="s">
        <v>1336</v>
      </c>
      <c r="D687" t="s">
        <v>369</v>
      </c>
      <c r="E687" t="s">
        <v>55</v>
      </c>
      <c r="F687" t="s">
        <v>422</v>
      </c>
      <c r="G687" t="s">
        <v>1160</v>
      </c>
      <c r="H687" t="s">
        <v>1244</v>
      </c>
      <c r="I687" t="s">
        <v>139</v>
      </c>
      <c r="J687" t="s">
        <v>287</v>
      </c>
      <c r="K687" s="22">
        <f t="shared" si="152"/>
        <v>9.6543103644621464</v>
      </c>
      <c r="L687" s="22">
        <f t="shared" si="151"/>
        <v>9.570581613851763</v>
      </c>
      <c r="M687" s="22">
        <f t="shared" si="151"/>
        <v>9.5387086131773007</v>
      </c>
      <c r="N687" s="22">
        <f t="shared" si="151"/>
        <v>9.4113316455488931</v>
      </c>
      <c r="O687" s="22">
        <f t="shared" si="151"/>
        <v>9.2264408662754782</v>
      </c>
      <c r="P687" s="22">
        <f t="shared" si="151"/>
        <v>8.9878595272244652</v>
      </c>
      <c r="Q687" s="22">
        <f t="shared" si="151"/>
        <v>8.7996834473406587</v>
      </c>
      <c r="R687" s="22">
        <f t="shared" si="151"/>
        <v>8.6216474831450967</v>
      </c>
      <c r="S687" s="22">
        <f t="shared" si="151"/>
        <v>7.5845363934257692</v>
      </c>
      <c r="T687" s="22">
        <f t="shared" si="151"/>
        <v>7.7077321202161873</v>
      </c>
      <c r="U687" s="22">
        <f t="shared" si="151"/>
        <v>7.9375576349753283</v>
      </c>
      <c r="V687" s="22">
        <f t="shared" si="151"/>
        <v>7.9834564448537479</v>
      </c>
      <c r="W687" s="22">
        <f t="shared" si="151"/>
        <v>8.0496557292988875</v>
      </c>
      <c r="X687" s="22">
        <f t="shared" si="151"/>
        <v>8.1420051913250582</v>
      </c>
      <c r="Y687" s="22">
        <f t="shared" si="151"/>
        <v>8.2479342378842677</v>
      </c>
      <c r="Z687" s="22">
        <f t="shared" si="151"/>
        <v>8.3721304829783953</v>
      </c>
      <c r="AA687" s="22">
        <f t="shared" si="151"/>
        <v>8.4968995489404282</v>
      </c>
      <c r="AB687" s="22">
        <f t="shared" si="151"/>
        <v>8.6372262485124356</v>
      </c>
      <c r="AC687" s="22">
        <f t="shared" si="151"/>
        <v>8.7761603591847646</v>
      </c>
      <c r="AD687" s="22">
        <f t="shared" si="151"/>
        <v>8.8666624322282459</v>
      </c>
      <c r="AE687" s="22">
        <f t="shared" si="151"/>
        <v>8.9409709411455953</v>
      </c>
      <c r="AF687" s="22">
        <f t="shared" si="151"/>
        <v>9.0194736704657732</v>
      </c>
      <c r="AG687" s="22">
        <f t="shared" si="151"/>
        <v>9.1245094402859266</v>
      </c>
      <c r="AH687" s="22">
        <f t="shared" si="151"/>
        <v>9.2000476339292057</v>
      </c>
      <c r="AI687" s="22">
        <f t="shared" si="151"/>
        <v>9.2805527348338117</v>
      </c>
      <c r="AJ687" s="22">
        <f t="shared" si="151"/>
        <v>9.3691721914038766</v>
      </c>
      <c r="AK687" s="22">
        <f t="shared" si="151"/>
        <v>9.4243939104259251</v>
      </c>
      <c r="AL687" s="22">
        <f t="shared" si="151"/>
        <v>9.4658222521699837</v>
      </c>
      <c r="AM687" s="22">
        <f t="shared" si="151"/>
        <v>9.4946383171201845</v>
      </c>
      <c r="AN687" s="22">
        <f t="shared" si="151"/>
        <v>9.5842198469681268</v>
      </c>
      <c r="AO687" s="22">
        <f t="shared" si="151"/>
        <v>9.6523131501803814</v>
      </c>
      <c r="AP687" s="22">
        <f t="shared" si="151"/>
        <v>9.7212659882312984</v>
      </c>
      <c r="AQ687" s="22">
        <f t="shared" si="151"/>
        <v>9.7918671504174508</v>
      </c>
      <c r="AR687" s="22">
        <f t="shared" si="151"/>
        <v>9.8655403318336496</v>
      </c>
      <c r="AS687" s="22">
        <f t="shared" si="151"/>
        <v>9.9411831199104377</v>
      </c>
      <c r="AT687" s="22">
        <f t="shared" si="151"/>
        <v>9.7919689092907181</v>
      </c>
      <c r="AU687" s="22">
        <f t="shared" si="151"/>
        <v>9.6229343034011841</v>
      </c>
      <c r="AV687" s="22">
        <f t="shared" si="151"/>
        <v>9.4269689746655256</v>
      </c>
      <c r="AW687" s="22">
        <f t="shared" si="151"/>
        <v>9.2248622350316598</v>
      </c>
      <c r="AY687" s="79"/>
      <c r="AZ687" s="79"/>
    </row>
    <row r="688" spans="1:52" x14ac:dyDescent="0.3">
      <c r="A688" s="95" t="str">
        <f t="shared" si="149"/>
        <v>NI U&amp;D</v>
      </c>
      <c r="B688" s="95" t="s">
        <v>969</v>
      </c>
      <c r="C688" s="95" t="s">
        <v>1336</v>
      </c>
      <c r="D688" t="s">
        <v>369</v>
      </c>
      <c r="E688" t="s">
        <v>55</v>
      </c>
      <c r="F688" t="s">
        <v>422</v>
      </c>
      <c r="G688" t="s">
        <v>1162</v>
      </c>
      <c r="H688" t="s">
        <v>1245</v>
      </c>
      <c r="I688" t="s">
        <v>139</v>
      </c>
      <c r="J688" t="s">
        <v>287</v>
      </c>
      <c r="K688" s="22">
        <f t="shared" si="152"/>
        <v>0</v>
      </c>
      <c r="L688" s="22">
        <f t="shared" si="151"/>
        <v>0</v>
      </c>
      <c r="M688" s="22">
        <f t="shared" si="151"/>
        <v>0</v>
      </c>
      <c r="N688" s="22">
        <f t="shared" si="151"/>
        <v>0</v>
      </c>
      <c r="O688" s="22">
        <f t="shared" si="151"/>
        <v>0</v>
      </c>
      <c r="P688" s="22">
        <f t="shared" si="151"/>
        <v>0</v>
      </c>
      <c r="Q688" s="22">
        <f t="shared" si="151"/>
        <v>0</v>
      </c>
      <c r="R688" s="22">
        <f t="shared" si="151"/>
        <v>0</v>
      </c>
      <c r="S688" s="22">
        <f t="shared" si="151"/>
        <v>0</v>
      </c>
      <c r="T688" s="22">
        <f t="shared" si="151"/>
        <v>0</v>
      </c>
      <c r="U688" s="22">
        <f t="shared" si="151"/>
        <v>0</v>
      </c>
      <c r="V688" s="22">
        <f t="shared" si="151"/>
        <v>0</v>
      </c>
      <c r="W688" s="22">
        <f t="shared" si="151"/>
        <v>0</v>
      </c>
      <c r="X688" s="22">
        <f t="shared" si="151"/>
        <v>0</v>
      </c>
      <c r="Y688" s="22">
        <f t="shared" si="151"/>
        <v>0</v>
      </c>
      <c r="Z688" s="22">
        <f t="shared" si="151"/>
        <v>0</v>
      </c>
      <c r="AA688" s="22">
        <f t="shared" si="151"/>
        <v>0</v>
      </c>
      <c r="AB688" s="22">
        <f t="shared" si="151"/>
        <v>0</v>
      </c>
      <c r="AC688" s="22">
        <f t="shared" si="151"/>
        <v>0</v>
      </c>
      <c r="AD688" s="22">
        <f t="shared" si="151"/>
        <v>0</v>
      </c>
      <c r="AE688" s="22">
        <f t="shared" si="151"/>
        <v>0</v>
      </c>
      <c r="AF688" s="22">
        <f t="shared" si="151"/>
        <v>0</v>
      </c>
      <c r="AG688" s="22">
        <f t="shared" si="151"/>
        <v>0</v>
      </c>
      <c r="AH688" s="22">
        <f t="shared" si="151"/>
        <v>0</v>
      </c>
      <c r="AI688" s="22">
        <f t="shared" si="151"/>
        <v>0</v>
      </c>
      <c r="AJ688" s="22">
        <f t="shared" si="151"/>
        <v>0</v>
      </c>
      <c r="AK688" s="22">
        <f t="shared" si="151"/>
        <v>0</v>
      </c>
      <c r="AL688" s="22">
        <f t="shared" si="151"/>
        <v>0</v>
      </c>
      <c r="AM688" s="22">
        <f t="shared" si="151"/>
        <v>0</v>
      </c>
      <c r="AN688" s="22">
        <f t="shared" si="151"/>
        <v>0</v>
      </c>
      <c r="AO688" s="22">
        <f t="shared" si="151"/>
        <v>0</v>
      </c>
      <c r="AP688" s="22">
        <f t="shared" si="151"/>
        <v>0</v>
      </c>
      <c r="AQ688" s="22">
        <f t="shared" si="151"/>
        <v>0</v>
      </c>
      <c r="AR688" s="22">
        <f t="shared" si="151"/>
        <v>0</v>
      </c>
      <c r="AS688" s="22">
        <f t="shared" si="151"/>
        <v>0</v>
      </c>
      <c r="AT688" s="22">
        <f t="shared" si="151"/>
        <v>0</v>
      </c>
      <c r="AU688" s="22">
        <f t="shared" si="151"/>
        <v>0</v>
      </c>
      <c r="AV688" s="22">
        <f t="shared" si="151"/>
        <v>0</v>
      </c>
      <c r="AW688" s="22">
        <f t="shared" si="151"/>
        <v>0</v>
      </c>
      <c r="AY688" s="79"/>
      <c r="AZ688" s="79"/>
    </row>
    <row r="689" spans="1:52" x14ac:dyDescent="0.3">
      <c r="A689" s="95" t="str">
        <f t="shared" si="149"/>
        <v>NI U&amp;D</v>
      </c>
      <c r="B689" s="95" t="s">
        <v>969</v>
      </c>
      <c r="C689" s="95" t="s">
        <v>1336</v>
      </c>
      <c r="D689" t="s">
        <v>369</v>
      </c>
      <c r="E689" t="s">
        <v>55</v>
      </c>
      <c r="F689" t="s">
        <v>422</v>
      </c>
      <c r="G689" t="s">
        <v>1164</v>
      </c>
      <c r="H689" t="s">
        <v>1246</v>
      </c>
      <c r="I689" t="s">
        <v>139</v>
      </c>
      <c r="J689" t="s">
        <v>287</v>
      </c>
      <c r="K689" s="22">
        <f t="shared" si="152"/>
        <v>5.8008217784478333</v>
      </c>
      <c r="L689" s="22">
        <f t="shared" si="151"/>
        <v>5.8039582643251126</v>
      </c>
      <c r="M689" s="22">
        <f t="shared" si="151"/>
        <v>5.8114574843873825</v>
      </c>
      <c r="N689" s="22">
        <f t="shared" si="151"/>
        <v>5.8225151444828054</v>
      </c>
      <c r="O689" s="22">
        <f t="shared" si="151"/>
        <v>5.8370609765606929</v>
      </c>
      <c r="P689" s="22">
        <f t="shared" si="151"/>
        <v>5.8549413826537444</v>
      </c>
      <c r="Q689" s="22">
        <f t="shared" si="151"/>
        <v>5.8750235193024203</v>
      </c>
      <c r="R689" s="22">
        <f t="shared" si="151"/>
        <v>5.8971806009067276</v>
      </c>
      <c r="S689" s="22">
        <f t="shared" si="151"/>
        <v>5.917442032162775</v>
      </c>
      <c r="T689" s="22">
        <f t="shared" si="151"/>
        <v>5.9263453955781369</v>
      </c>
      <c r="U689" s="22">
        <f t="shared" si="151"/>
        <v>5.9372183150377431</v>
      </c>
      <c r="V689" s="22">
        <f t="shared" si="151"/>
        <v>5.9486466020913653</v>
      </c>
      <c r="W689" s="22">
        <f t="shared" si="151"/>
        <v>5.9614772941302494</v>
      </c>
      <c r="X689" s="22">
        <f t="shared" si="151"/>
        <v>5.975674490624324</v>
      </c>
      <c r="Y689" s="22">
        <f t="shared" si="151"/>
        <v>5.984540997272453</v>
      </c>
      <c r="Z689" s="22">
        <f t="shared" si="151"/>
        <v>5.9945579021556687</v>
      </c>
      <c r="AA689" s="22">
        <f t="shared" si="151"/>
        <v>6.0055898546708475</v>
      </c>
      <c r="AB689" s="22">
        <f t="shared" si="151"/>
        <v>6.0176671888041211</v>
      </c>
      <c r="AC689" s="22">
        <f t="shared" si="151"/>
        <v>6.030665248312749</v>
      </c>
      <c r="AD689" s="22">
        <f t="shared" si="151"/>
        <v>6.0393845451591259</v>
      </c>
      <c r="AE689" s="22">
        <f t="shared" si="151"/>
        <v>6.0488503325285592</v>
      </c>
      <c r="AF689" s="22">
        <f t="shared" si="151"/>
        <v>6.0591386998485763</v>
      </c>
      <c r="AG689" s="22">
        <f t="shared" si="151"/>
        <v>6.0703500781796258</v>
      </c>
      <c r="AH689" s="22">
        <f t="shared" si="151"/>
        <v>6.0821478127419235</v>
      </c>
      <c r="AI689" s="22">
        <f t="shared" si="151"/>
        <v>6.0896888871649706</v>
      </c>
      <c r="AJ689" s="22">
        <f t="shared" si="151"/>
        <v>6.0979488793317644</v>
      </c>
      <c r="AK689" s="22">
        <f t="shared" si="151"/>
        <v>6.1066553574494229</v>
      </c>
      <c r="AL689" s="22">
        <f t="shared" si="151"/>
        <v>6.1159010108536567</v>
      </c>
      <c r="AM689" s="22">
        <f t="shared" si="151"/>
        <v>6.1256718211091643</v>
      </c>
      <c r="AN689" s="22">
        <f t="shared" si="151"/>
        <v>6.1314451386260842</v>
      </c>
      <c r="AO689" s="22">
        <f t="shared" si="151"/>
        <v>6.1376082251338753</v>
      </c>
      <c r="AP689" s="22">
        <f t="shared" si="151"/>
        <v>6.1442934501067121</v>
      </c>
      <c r="AQ689" s="22">
        <f t="shared" si="151"/>
        <v>6.1514943503502693</v>
      </c>
      <c r="AR689" s="22">
        <f t="shared" si="151"/>
        <v>6.1592107766386786</v>
      </c>
      <c r="AS689" s="22">
        <f t="shared" si="151"/>
        <v>6.1627115342701337</v>
      </c>
      <c r="AT689" s="22">
        <f t="shared" si="151"/>
        <v>6.1649675411239766</v>
      </c>
      <c r="AU689" s="22">
        <f t="shared" si="151"/>
        <v>6.1674405510086165</v>
      </c>
      <c r="AV689" s="22">
        <f t="shared" si="151"/>
        <v>6.1700527124926303</v>
      </c>
      <c r="AW689" s="22">
        <f t="shared" si="151"/>
        <v>6.1729463171150929</v>
      </c>
      <c r="AY689" s="79"/>
      <c r="AZ689" s="79"/>
    </row>
    <row r="690" spans="1:52" x14ac:dyDescent="0.3">
      <c r="A690" s="95" t="str">
        <f t="shared" si="149"/>
        <v>NI U&amp;D</v>
      </c>
      <c r="B690" s="95" t="s">
        <v>969</v>
      </c>
      <c r="C690" s="95" t="s">
        <v>1336</v>
      </c>
      <c r="D690" t="s">
        <v>369</v>
      </c>
      <c r="E690" t="s">
        <v>55</v>
      </c>
      <c r="F690" t="s">
        <v>422</v>
      </c>
      <c r="G690" t="s">
        <v>1166</v>
      </c>
      <c r="H690" t="s">
        <v>1247</v>
      </c>
      <c r="I690" t="s">
        <v>139</v>
      </c>
      <c r="J690" t="s">
        <v>287</v>
      </c>
      <c r="K690" s="22">
        <f t="shared" si="152"/>
        <v>0.6475429908430661</v>
      </c>
      <c r="L690" s="22">
        <f t="shared" si="151"/>
        <v>0.64789311527772075</v>
      </c>
      <c r="M690" s="22">
        <f t="shared" si="151"/>
        <v>0.64873024966549919</v>
      </c>
      <c r="N690" s="22">
        <f t="shared" si="151"/>
        <v>0.64996461103073178</v>
      </c>
      <c r="O690" s="22">
        <f t="shared" si="151"/>
        <v>0.65158835538416293</v>
      </c>
      <c r="P690" s="22">
        <f t="shared" ref="L690:AW696" si="153">P1489</f>
        <v>0.65358433665736837</v>
      </c>
      <c r="Q690" s="22">
        <f t="shared" si="153"/>
        <v>0.65582609607089082</v>
      </c>
      <c r="R690" s="22">
        <f t="shared" si="153"/>
        <v>0.65829948060818433</v>
      </c>
      <c r="S690" s="22">
        <f t="shared" si="153"/>
        <v>0.66056125459390613</v>
      </c>
      <c r="T690" s="22">
        <f t="shared" si="153"/>
        <v>0.6615551328399103</v>
      </c>
      <c r="U690" s="22">
        <f t="shared" si="153"/>
        <v>0.6627688716953648</v>
      </c>
      <c r="V690" s="22">
        <f t="shared" si="153"/>
        <v>0.66404460597260306</v>
      </c>
      <c r="W690" s="22">
        <f t="shared" si="153"/>
        <v>0.6654768900548883</v>
      </c>
      <c r="X690" s="22">
        <f t="shared" si="153"/>
        <v>0.66706171638303324</v>
      </c>
      <c r="Y690" s="22">
        <f t="shared" si="153"/>
        <v>0.66805148032554751</v>
      </c>
      <c r="Z690" s="22">
        <f t="shared" si="153"/>
        <v>0.66916966267880784</v>
      </c>
      <c r="AA690" s="22">
        <f t="shared" si="153"/>
        <v>0.67040115431901948</v>
      </c>
      <c r="AB690" s="22">
        <f t="shared" si="153"/>
        <v>0.67174934141470444</v>
      </c>
      <c r="AC690" s="22">
        <f t="shared" si="153"/>
        <v>0.67320030864845803</v>
      </c>
      <c r="AD690" s="22">
        <f t="shared" si="153"/>
        <v>0.67417363963044585</v>
      </c>
      <c r="AE690" s="22">
        <f t="shared" si="153"/>
        <v>0.67523030099636827</v>
      </c>
      <c r="AF690" s="22">
        <f t="shared" si="153"/>
        <v>0.67637878657302375</v>
      </c>
      <c r="AG690" s="22">
        <f t="shared" si="153"/>
        <v>0.67763030743217745</v>
      </c>
      <c r="AH690" s="22">
        <f t="shared" si="153"/>
        <v>0.67894728296002871</v>
      </c>
      <c r="AI690" s="22">
        <f t="shared" si="153"/>
        <v>0.67978908953029982</v>
      </c>
      <c r="AJ690" s="22">
        <f t="shared" si="153"/>
        <v>0.68071114854819625</v>
      </c>
      <c r="AK690" s="22">
        <f t="shared" si="153"/>
        <v>0.68168304858156126</v>
      </c>
      <c r="AL690" s="22">
        <f t="shared" si="153"/>
        <v>0.68271513649709059</v>
      </c>
      <c r="AM690" s="22">
        <f t="shared" si="153"/>
        <v>0.68380584742348371</v>
      </c>
      <c r="AN690" s="22">
        <f t="shared" si="153"/>
        <v>0.68445032012662432</v>
      </c>
      <c r="AO690" s="22">
        <f t="shared" si="153"/>
        <v>0.68513830255782171</v>
      </c>
      <c r="AP690" s="22">
        <f t="shared" si="153"/>
        <v>0.6858845710588557</v>
      </c>
      <c r="AQ690" s="22">
        <f t="shared" si="153"/>
        <v>0.6866884041464022</v>
      </c>
      <c r="AR690" s="22">
        <f t="shared" si="153"/>
        <v>0.68754978516244758</v>
      </c>
      <c r="AS690" s="22">
        <f t="shared" si="153"/>
        <v>0.6879405730806889</v>
      </c>
      <c r="AT690" s="22">
        <f t="shared" si="153"/>
        <v>0.68819241005849918</v>
      </c>
      <c r="AU690" s="22">
        <f t="shared" si="153"/>
        <v>0.68846847098197617</v>
      </c>
      <c r="AV690" s="22">
        <f t="shared" si="153"/>
        <v>0.68876006533266065</v>
      </c>
      <c r="AW690" s="22">
        <f t="shared" si="153"/>
        <v>0.68908307704774374</v>
      </c>
      <c r="AY690" s="79"/>
      <c r="AZ690" s="79"/>
    </row>
    <row r="691" spans="1:52" x14ac:dyDescent="0.3">
      <c r="A691" s="95" t="str">
        <f t="shared" si="149"/>
        <v>NI U&amp;D</v>
      </c>
      <c r="B691" s="95" t="s">
        <v>969</v>
      </c>
      <c r="C691" s="95" t="s">
        <v>1336</v>
      </c>
      <c r="D691" t="s">
        <v>369</v>
      </c>
      <c r="E691" t="s">
        <v>55</v>
      </c>
      <c r="F691" t="s">
        <v>422</v>
      </c>
      <c r="G691" t="s">
        <v>1168</v>
      </c>
      <c r="H691" t="s">
        <v>1248</v>
      </c>
      <c r="I691" t="s">
        <v>139</v>
      </c>
      <c r="J691" t="s">
        <v>287</v>
      </c>
      <c r="K691" s="22">
        <f t="shared" si="152"/>
        <v>0.71706343480611268</v>
      </c>
      <c r="L691" s="22">
        <f t="shared" si="153"/>
        <v>0.71892745361392807</v>
      </c>
      <c r="M691" s="22">
        <f t="shared" si="153"/>
        <v>0.72149880168720626</v>
      </c>
      <c r="N691" s="22">
        <f t="shared" si="153"/>
        <v>0.72463138273575978</v>
      </c>
      <c r="O691" s="22">
        <f t="shared" si="153"/>
        <v>0.72832072886952293</v>
      </c>
      <c r="P691" s="22">
        <f t="shared" si="153"/>
        <v>0.7325443847928953</v>
      </c>
      <c r="Q691" s="22">
        <f t="shared" si="153"/>
        <v>0.73708994755228441</v>
      </c>
      <c r="R691" s="22">
        <f t="shared" si="153"/>
        <v>0.74193942345928476</v>
      </c>
      <c r="S691" s="22">
        <f t="shared" si="153"/>
        <v>0.74633734890279979</v>
      </c>
      <c r="T691" s="22">
        <f t="shared" si="153"/>
        <v>0.7484855631491526</v>
      </c>
      <c r="U691" s="22">
        <f t="shared" si="153"/>
        <v>0.75094789604401424</v>
      </c>
      <c r="V691" s="22">
        <f t="shared" si="153"/>
        <v>0.7534578797366237</v>
      </c>
      <c r="W691" s="22">
        <f t="shared" si="153"/>
        <v>0.75618014560841795</v>
      </c>
      <c r="X691" s="22">
        <f t="shared" si="153"/>
        <v>0.75911019457510998</v>
      </c>
      <c r="Y691" s="22">
        <f t="shared" si="153"/>
        <v>0.76098529780205848</v>
      </c>
      <c r="Z691" s="22">
        <f t="shared" si="153"/>
        <v>0.76303676473265736</v>
      </c>
      <c r="AA691" s="22">
        <f t="shared" si="153"/>
        <v>0.7652406009428746</v>
      </c>
      <c r="AB691" s="22">
        <f t="shared" si="153"/>
        <v>0.76760388311939587</v>
      </c>
      <c r="AC691" s="22">
        <f t="shared" si="153"/>
        <v>0.77010442048860683</v>
      </c>
      <c r="AD691" s="22">
        <f t="shared" si="153"/>
        <v>0.77177199510986771</v>
      </c>
      <c r="AE691" s="22">
        <f t="shared" si="153"/>
        <v>0.773550364220007</v>
      </c>
      <c r="AF691" s="22">
        <f t="shared" si="153"/>
        <v>0.77545458075511842</v>
      </c>
      <c r="AG691" s="22">
        <f t="shared" si="153"/>
        <v>0.77750398529137599</v>
      </c>
      <c r="AH691" s="22">
        <f t="shared" si="153"/>
        <v>0.77963666315118907</v>
      </c>
      <c r="AI691" s="22">
        <f t="shared" si="153"/>
        <v>0.78095748542095478</v>
      </c>
      <c r="AJ691" s="22">
        <f t="shared" si="153"/>
        <v>0.78239081807371291</v>
      </c>
      <c r="AK691" s="22">
        <f t="shared" si="153"/>
        <v>0.78388681169292429</v>
      </c>
      <c r="AL691" s="22">
        <f t="shared" si="153"/>
        <v>0.78546308863746028</v>
      </c>
      <c r="AM691" s="22">
        <f t="shared" si="153"/>
        <v>0.78711749076594029</v>
      </c>
      <c r="AN691" s="22">
        <f t="shared" si="153"/>
        <v>0.7880213548905175</v>
      </c>
      <c r="AO691" s="22">
        <f t="shared" si="153"/>
        <v>0.7889821600969783</v>
      </c>
      <c r="AP691" s="22">
        <f t="shared" si="153"/>
        <v>0.7900244330710835</v>
      </c>
      <c r="AQ691" s="22">
        <f t="shared" si="153"/>
        <v>0.79114717839494386</v>
      </c>
      <c r="AR691" s="22">
        <f t="shared" si="153"/>
        <v>0.79235052559003472</v>
      </c>
      <c r="AS691" s="22">
        <f t="shared" si="153"/>
        <v>0.79277466874731783</v>
      </c>
      <c r="AT691" s="22">
        <f t="shared" si="153"/>
        <v>0.79296303081990593</v>
      </c>
      <c r="AU691" s="22">
        <f t="shared" si="153"/>
        <v>0.79318200303032371</v>
      </c>
      <c r="AV691" s="22">
        <f t="shared" si="153"/>
        <v>0.79341774382528896</v>
      </c>
      <c r="AW691" s="22">
        <f t="shared" si="153"/>
        <v>0.79369623394189648</v>
      </c>
      <c r="AY691" s="79"/>
      <c r="AZ691" s="79"/>
    </row>
    <row r="692" spans="1:52" x14ac:dyDescent="0.3">
      <c r="A692" s="95" t="str">
        <f t="shared" si="149"/>
        <v>NI U&amp;D</v>
      </c>
      <c r="B692" s="95" t="s">
        <v>969</v>
      </c>
      <c r="C692" s="95" t="s">
        <v>1336</v>
      </c>
      <c r="D692" t="s">
        <v>369</v>
      </c>
      <c r="E692" t="s">
        <v>55</v>
      </c>
      <c r="F692" t="s">
        <v>422</v>
      </c>
      <c r="G692" t="s">
        <v>1170</v>
      </c>
      <c r="H692" t="s">
        <v>1249</v>
      </c>
      <c r="I692" t="s">
        <v>139</v>
      </c>
      <c r="J692" t="s">
        <v>287</v>
      </c>
      <c r="K692" s="22">
        <f t="shared" si="152"/>
        <v>1.1867254191644503</v>
      </c>
      <c r="L692" s="22">
        <f t="shared" si="153"/>
        <v>1.1898103324282718</v>
      </c>
      <c r="M692" s="22">
        <f t="shared" si="153"/>
        <v>1.194065861258722</v>
      </c>
      <c r="N692" s="22">
        <f t="shared" si="153"/>
        <v>1.1992502192631385</v>
      </c>
      <c r="O692" s="22">
        <f t="shared" si="153"/>
        <v>1.2053560121742171</v>
      </c>
      <c r="P692" s="22">
        <f t="shared" si="153"/>
        <v>1.212346076933865</v>
      </c>
      <c r="Q692" s="22">
        <f t="shared" si="153"/>
        <v>1.2198688909683484</v>
      </c>
      <c r="R692" s="22">
        <f t="shared" si="153"/>
        <v>1.2278946750888551</v>
      </c>
      <c r="S692" s="22">
        <f t="shared" si="153"/>
        <v>1.2351731523644685</v>
      </c>
      <c r="T692" s="22">
        <f t="shared" si="153"/>
        <v>1.2387284033063148</v>
      </c>
      <c r="U692" s="22">
        <f t="shared" si="153"/>
        <v>1.2428035142308693</v>
      </c>
      <c r="V692" s="22">
        <f t="shared" si="153"/>
        <v>1.2469574862577844</v>
      </c>
      <c r="W692" s="22">
        <f t="shared" si="153"/>
        <v>1.2514627809792418</v>
      </c>
      <c r="X692" s="22">
        <f t="shared" si="153"/>
        <v>1.2563119525021347</v>
      </c>
      <c r="Y692" s="22">
        <f t="shared" si="153"/>
        <v>1.2594152102544689</v>
      </c>
      <c r="Z692" s="22">
        <f t="shared" si="153"/>
        <v>1.2628103463539342</v>
      </c>
      <c r="AA692" s="22">
        <f t="shared" si="153"/>
        <v>1.2664576505161484</v>
      </c>
      <c r="AB692" s="22">
        <f t="shared" si="153"/>
        <v>1.2703688345138295</v>
      </c>
      <c r="AC692" s="22">
        <f t="shared" si="153"/>
        <v>1.2745071730673998</v>
      </c>
      <c r="AD692" s="22">
        <f t="shared" si="153"/>
        <v>1.2772669751927705</v>
      </c>
      <c r="AE692" s="22">
        <f t="shared" si="153"/>
        <v>1.2802101399467087</v>
      </c>
      <c r="AF692" s="22">
        <f t="shared" si="153"/>
        <v>1.2833615796326843</v>
      </c>
      <c r="AG692" s="22">
        <f t="shared" si="153"/>
        <v>1.2867533025114073</v>
      </c>
      <c r="AH692" s="22">
        <f t="shared" si="153"/>
        <v>1.2902828410491152</v>
      </c>
      <c r="AI692" s="22">
        <f t="shared" si="153"/>
        <v>1.2924687750762118</v>
      </c>
      <c r="AJ692" s="22">
        <f t="shared" si="153"/>
        <v>1.2948409115017798</v>
      </c>
      <c r="AK692" s="22">
        <f t="shared" si="153"/>
        <v>1.2973167505540197</v>
      </c>
      <c r="AL692" s="22">
        <f t="shared" si="153"/>
        <v>1.2999254568789065</v>
      </c>
      <c r="AM692" s="22">
        <f t="shared" si="153"/>
        <v>1.3026634587962926</v>
      </c>
      <c r="AN692" s="22">
        <f t="shared" si="153"/>
        <v>1.3041593355626162</v>
      </c>
      <c r="AO692" s="22">
        <f t="shared" si="153"/>
        <v>1.3057494486628347</v>
      </c>
      <c r="AP692" s="22">
        <f t="shared" si="153"/>
        <v>1.3074743892636795</v>
      </c>
      <c r="AQ692" s="22">
        <f t="shared" si="153"/>
        <v>1.3093325099687654</v>
      </c>
      <c r="AR692" s="22">
        <f t="shared" si="153"/>
        <v>1.3113240251335019</v>
      </c>
      <c r="AS692" s="22">
        <f t="shared" si="153"/>
        <v>1.3120259734433455</v>
      </c>
      <c r="AT692" s="22">
        <f t="shared" si="153"/>
        <v>1.3123377088473509</v>
      </c>
      <c r="AU692" s="22">
        <f t="shared" si="153"/>
        <v>1.3127001034076922</v>
      </c>
      <c r="AV692" s="22">
        <f t="shared" si="153"/>
        <v>1.313090249634846</v>
      </c>
      <c r="AW692" s="22">
        <f t="shared" si="153"/>
        <v>1.3135511451209665</v>
      </c>
      <c r="AY692" s="79"/>
      <c r="AZ692" s="79"/>
    </row>
    <row r="693" spans="1:52" x14ac:dyDescent="0.3">
      <c r="A693" s="95" t="str">
        <f t="shared" si="149"/>
        <v>NI U&amp;D</v>
      </c>
      <c r="B693" s="95" t="s">
        <v>969</v>
      </c>
      <c r="C693" s="95" t="s">
        <v>1336</v>
      </c>
      <c r="D693" t="s">
        <v>369</v>
      </c>
      <c r="E693" t="s">
        <v>55</v>
      </c>
      <c r="F693" t="s">
        <v>422</v>
      </c>
      <c r="G693" t="s">
        <v>1172</v>
      </c>
      <c r="H693" t="s">
        <v>1250</v>
      </c>
      <c r="I693" t="s">
        <v>139</v>
      </c>
      <c r="J693" t="s">
        <v>287</v>
      </c>
      <c r="K693" s="22">
        <f t="shared" si="152"/>
        <v>0.19147730421375916</v>
      </c>
      <c r="L693" s="22">
        <f t="shared" si="153"/>
        <v>0.19240499933397132</v>
      </c>
      <c r="M693" s="22">
        <f t="shared" si="153"/>
        <v>0.19381280191845887</v>
      </c>
      <c r="N693" s="22">
        <f t="shared" si="153"/>
        <v>0.19411375969056655</v>
      </c>
      <c r="O693" s="22">
        <f t="shared" si="153"/>
        <v>0.19368291106027893</v>
      </c>
      <c r="P693" s="22">
        <f t="shared" si="153"/>
        <v>0.19253602379697463</v>
      </c>
      <c r="Q693" s="22">
        <f t="shared" si="153"/>
        <v>0.19190012409058904</v>
      </c>
      <c r="R693" s="22">
        <f t="shared" si="153"/>
        <v>0.19132863754616405</v>
      </c>
      <c r="S693" s="22">
        <f t="shared" si="153"/>
        <v>0.1803905818810948</v>
      </c>
      <c r="T693" s="22">
        <f t="shared" si="153"/>
        <v>0.18262456774024571</v>
      </c>
      <c r="U693" s="22">
        <f t="shared" si="153"/>
        <v>0.18617292598676535</v>
      </c>
      <c r="V693" s="22">
        <f t="shared" si="153"/>
        <v>0.1874827131948397</v>
      </c>
      <c r="W693" s="22">
        <f t="shared" si="153"/>
        <v>0.18903918513554135</v>
      </c>
      <c r="X693" s="22">
        <f t="shared" si="153"/>
        <v>0.19092374052200031</v>
      </c>
      <c r="Y693" s="22">
        <f t="shared" si="153"/>
        <v>0.19317866485257018</v>
      </c>
      <c r="Z693" s="22">
        <f t="shared" si="153"/>
        <v>0.19568472941200174</v>
      </c>
      <c r="AA693" s="22">
        <f t="shared" si="153"/>
        <v>0.19822057353598227</v>
      </c>
      <c r="AB693" s="22">
        <f t="shared" si="153"/>
        <v>0.20098305885598644</v>
      </c>
      <c r="AC693" s="22">
        <f t="shared" si="153"/>
        <v>0.20375514589644325</v>
      </c>
      <c r="AD693" s="22">
        <f t="shared" si="153"/>
        <v>0.20708073603212976</v>
      </c>
      <c r="AE693" s="22">
        <f t="shared" si="153"/>
        <v>0.21028463440230635</v>
      </c>
      <c r="AF693" s="22">
        <f t="shared" si="153"/>
        <v>0.2136443220754487</v>
      </c>
      <c r="AG693" s="22">
        <f t="shared" si="153"/>
        <v>0.21748682395851593</v>
      </c>
      <c r="AH693" s="22">
        <f t="shared" si="153"/>
        <v>0.22102739700732632</v>
      </c>
      <c r="AI693" s="22">
        <f t="shared" si="153"/>
        <v>0.22493633340985938</v>
      </c>
      <c r="AJ693" s="22">
        <f t="shared" si="153"/>
        <v>0.22910386680533321</v>
      </c>
      <c r="AK693" s="22">
        <f t="shared" si="153"/>
        <v>0.2329046036438828</v>
      </c>
      <c r="AL693" s="22">
        <f t="shared" si="153"/>
        <v>0.23662356544971794</v>
      </c>
      <c r="AM693" s="22">
        <f t="shared" si="153"/>
        <v>0.24027411251375713</v>
      </c>
      <c r="AN693" s="22">
        <f t="shared" si="153"/>
        <v>0.24444413665938144</v>
      </c>
      <c r="AO693" s="22">
        <f t="shared" si="153"/>
        <v>0.2483759174868751</v>
      </c>
      <c r="AP693" s="22">
        <f t="shared" si="153"/>
        <v>0.25243602460510989</v>
      </c>
      <c r="AQ693" s="22">
        <f t="shared" si="153"/>
        <v>0.25664462657697379</v>
      </c>
      <c r="AR693" s="22">
        <f t="shared" si="153"/>
        <v>0.26103451555954071</v>
      </c>
      <c r="AS693" s="22">
        <f t="shared" si="153"/>
        <v>0.26580339289786814</v>
      </c>
      <c r="AT693" s="22">
        <f t="shared" si="153"/>
        <v>0.26659601183855292</v>
      </c>
      <c r="AU693" s="22">
        <f t="shared" si="153"/>
        <v>0.26701268168020675</v>
      </c>
      <c r="AV693" s="22">
        <f t="shared" si="153"/>
        <v>0.26689564753163691</v>
      </c>
      <c r="AW693" s="22">
        <f t="shared" si="153"/>
        <v>0.2666191038621068</v>
      </c>
      <c r="AY693" s="79"/>
      <c r="AZ693" s="79"/>
    </row>
    <row r="694" spans="1:52" x14ac:dyDescent="0.3">
      <c r="A694" s="95" t="str">
        <f t="shared" si="149"/>
        <v>NI U&amp;D</v>
      </c>
      <c r="B694" s="95" t="s">
        <v>969</v>
      </c>
      <c r="C694" s="95" t="s">
        <v>1336</v>
      </c>
      <c r="D694" t="s">
        <v>369</v>
      </c>
      <c r="E694" t="s">
        <v>55</v>
      </c>
      <c r="F694" t="s">
        <v>422</v>
      </c>
      <c r="G694" t="s">
        <v>1174</v>
      </c>
      <c r="H694" t="s">
        <v>1251</v>
      </c>
      <c r="I694" t="s">
        <v>139</v>
      </c>
      <c r="J694" t="s">
        <v>287</v>
      </c>
      <c r="K694" s="22">
        <f t="shared" si="152"/>
        <v>3.4640571428571423E-2</v>
      </c>
      <c r="L694" s="22">
        <f t="shared" si="153"/>
        <v>3.4640571428571423E-2</v>
      </c>
      <c r="M694" s="22">
        <f t="shared" si="153"/>
        <v>3.4640571428571423E-2</v>
      </c>
      <c r="N694" s="22">
        <f t="shared" si="153"/>
        <v>3.4640571428571423E-2</v>
      </c>
      <c r="O694" s="22">
        <f t="shared" si="153"/>
        <v>3.4640571428571423E-2</v>
      </c>
      <c r="P694" s="22">
        <f t="shared" si="153"/>
        <v>3.4640571428571423E-2</v>
      </c>
      <c r="Q694" s="22">
        <f t="shared" si="153"/>
        <v>3.4640571428571423E-2</v>
      </c>
      <c r="R694" s="22">
        <f t="shared" si="153"/>
        <v>3.4640571428571423E-2</v>
      </c>
      <c r="S694" s="22">
        <f t="shared" si="153"/>
        <v>3.4640571428571423E-2</v>
      </c>
      <c r="T694" s="22">
        <f t="shared" si="153"/>
        <v>3.4640571428571423E-2</v>
      </c>
      <c r="U694" s="22">
        <f t="shared" si="153"/>
        <v>3.4640571428571423E-2</v>
      </c>
      <c r="V694" s="22">
        <f t="shared" si="153"/>
        <v>3.4640571428571423E-2</v>
      </c>
      <c r="W694" s="22">
        <f t="shared" si="153"/>
        <v>3.4640571428571423E-2</v>
      </c>
      <c r="X694" s="22">
        <f t="shared" si="153"/>
        <v>3.4640571428571423E-2</v>
      </c>
      <c r="Y694" s="22">
        <f t="shared" si="153"/>
        <v>3.4640571428571423E-2</v>
      </c>
      <c r="Z694" s="22">
        <f t="shared" si="153"/>
        <v>3.4640571428571423E-2</v>
      </c>
      <c r="AA694" s="22">
        <f t="shared" si="153"/>
        <v>3.4640571428571423E-2</v>
      </c>
      <c r="AB694" s="22">
        <f t="shared" si="153"/>
        <v>3.4640571428571423E-2</v>
      </c>
      <c r="AC694" s="22">
        <f t="shared" si="153"/>
        <v>3.4640571428571423E-2</v>
      </c>
      <c r="AD694" s="22">
        <f t="shared" si="153"/>
        <v>3.4640571428571423E-2</v>
      </c>
      <c r="AE694" s="22">
        <f t="shared" si="153"/>
        <v>3.4640571428571423E-2</v>
      </c>
      <c r="AF694" s="22">
        <f t="shared" si="153"/>
        <v>3.4640571428571423E-2</v>
      </c>
      <c r="AG694" s="22">
        <f t="shared" si="153"/>
        <v>3.4640571428571423E-2</v>
      </c>
      <c r="AH694" s="22">
        <f t="shared" si="153"/>
        <v>3.4640571428571423E-2</v>
      </c>
      <c r="AI694" s="22">
        <f t="shared" si="153"/>
        <v>3.4640571428571423E-2</v>
      </c>
      <c r="AJ694" s="22">
        <f t="shared" si="153"/>
        <v>3.4640571428571423E-2</v>
      </c>
      <c r="AK694" s="22">
        <f t="shared" si="153"/>
        <v>3.4640571428571423E-2</v>
      </c>
      <c r="AL694" s="22">
        <f t="shared" si="153"/>
        <v>3.4640571428571423E-2</v>
      </c>
      <c r="AM694" s="22">
        <f t="shared" si="153"/>
        <v>3.4640571428571423E-2</v>
      </c>
      <c r="AN694" s="22">
        <f t="shared" si="153"/>
        <v>3.4640571428571423E-2</v>
      </c>
      <c r="AO694" s="22">
        <f t="shared" si="153"/>
        <v>3.4640571428571423E-2</v>
      </c>
      <c r="AP694" s="22">
        <f t="shared" si="153"/>
        <v>3.4640571428571423E-2</v>
      </c>
      <c r="AQ694" s="22">
        <f t="shared" si="153"/>
        <v>3.4640571428571423E-2</v>
      </c>
      <c r="AR694" s="22">
        <f t="shared" si="153"/>
        <v>3.4640571428571423E-2</v>
      </c>
      <c r="AS694" s="22">
        <f t="shared" si="153"/>
        <v>3.4640571428571423E-2</v>
      </c>
      <c r="AT694" s="22">
        <f t="shared" si="153"/>
        <v>3.4640571428571423E-2</v>
      </c>
      <c r="AU694" s="22">
        <f t="shared" si="153"/>
        <v>3.4640571428571423E-2</v>
      </c>
      <c r="AV694" s="22">
        <f t="shared" si="153"/>
        <v>3.4640571428571423E-2</v>
      </c>
      <c r="AW694" s="22">
        <f t="shared" si="153"/>
        <v>3.4640571428571423E-2</v>
      </c>
      <c r="AY694" s="79"/>
      <c r="AZ694" s="79"/>
    </row>
    <row r="695" spans="1:52" x14ac:dyDescent="0.3">
      <c r="A695" s="95" t="str">
        <f t="shared" si="149"/>
        <v>NI U&amp;D</v>
      </c>
      <c r="B695" s="95" t="s">
        <v>969</v>
      </c>
      <c r="C695" s="95" t="s">
        <v>1336</v>
      </c>
      <c r="D695" t="s">
        <v>369</v>
      </c>
      <c r="E695" t="s">
        <v>55</v>
      </c>
      <c r="F695" t="s">
        <v>422</v>
      </c>
      <c r="G695" t="s">
        <v>1176</v>
      </c>
      <c r="H695" t="s">
        <v>1252</v>
      </c>
      <c r="I695" t="s">
        <v>139</v>
      </c>
      <c r="J695" t="s">
        <v>287</v>
      </c>
      <c r="K695" s="22">
        <f t="shared" si="152"/>
        <v>0</v>
      </c>
      <c r="L695" s="22">
        <f t="shared" si="153"/>
        <v>0</v>
      </c>
      <c r="M695" s="22">
        <f t="shared" si="153"/>
        <v>0</v>
      </c>
      <c r="N695" s="22">
        <f t="shared" si="153"/>
        <v>0</v>
      </c>
      <c r="O695" s="22">
        <f t="shared" si="153"/>
        <v>0</v>
      </c>
      <c r="P695" s="22">
        <f t="shared" si="153"/>
        <v>0</v>
      </c>
      <c r="Q695" s="22">
        <f t="shared" si="153"/>
        <v>0</v>
      </c>
      <c r="R695" s="22">
        <f t="shared" si="153"/>
        <v>0</v>
      </c>
      <c r="S695" s="22">
        <f t="shared" si="153"/>
        <v>0</v>
      </c>
      <c r="T695" s="22">
        <f t="shared" si="153"/>
        <v>0</v>
      </c>
      <c r="U695" s="22">
        <f t="shared" si="153"/>
        <v>0</v>
      </c>
      <c r="V695" s="22">
        <f t="shared" si="153"/>
        <v>0</v>
      </c>
      <c r="W695" s="22">
        <f t="shared" si="153"/>
        <v>0</v>
      </c>
      <c r="X695" s="22">
        <f t="shared" si="153"/>
        <v>0</v>
      </c>
      <c r="Y695" s="22">
        <f t="shared" si="153"/>
        <v>0</v>
      </c>
      <c r="Z695" s="22">
        <f t="shared" si="153"/>
        <v>0</v>
      </c>
      <c r="AA695" s="22">
        <f t="shared" si="153"/>
        <v>0</v>
      </c>
      <c r="AB695" s="22">
        <f t="shared" si="153"/>
        <v>0</v>
      </c>
      <c r="AC695" s="22">
        <f t="shared" si="153"/>
        <v>0</v>
      </c>
      <c r="AD695" s="22">
        <f t="shared" si="153"/>
        <v>0</v>
      </c>
      <c r="AE695" s="22">
        <f t="shared" si="153"/>
        <v>0</v>
      </c>
      <c r="AF695" s="22">
        <f t="shared" si="153"/>
        <v>0</v>
      </c>
      <c r="AG695" s="22">
        <f t="shared" si="153"/>
        <v>0</v>
      </c>
      <c r="AH695" s="22">
        <f t="shared" si="153"/>
        <v>0</v>
      </c>
      <c r="AI695" s="22">
        <f t="shared" si="153"/>
        <v>0</v>
      </c>
      <c r="AJ695" s="22">
        <f t="shared" si="153"/>
        <v>0</v>
      </c>
      <c r="AK695" s="22">
        <f t="shared" si="153"/>
        <v>0</v>
      </c>
      <c r="AL695" s="22">
        <f t="shared" si="153"/>
        <v>0</v>
      </c>
      <c r="AM695" s="22">
        <f t="shared" si="153"/>
        <v>0</v>
      </c>
      <c r="AN695" s="22">
        <f t="shared" si="153"/>
        <v>0</v>
      </c>
      <c r="AO695" s="22">
        <f t="shared" si="153"/>
        <v>0</v>
      </c>
      <c r="AP695" s="22">
        <f t="shared" si="153"/>
        <v>0</v>
      </c>
      <c r="AQ695" s="22">
        <f t="shared" si="153"/>
        <v>0</v>
      </c>
      <c r="AR695" s="22">
        <f t="shared" si="153"/>
        <v>0</v>
      </c>
      <c r="AS695" s="22">
        <f t="shared" si="153"/>
        <v>0</v>
      </c>
      <c r="AT695" s="22">
        <f t="shared" si="153"/>
        <v>0</v>
      </c>
      <c r="AU695" s="22">
        <f t="shared" si="153"/>
        <v>0</v>
      </c>
      <c r="AV695" s="22">
        <f t="shared" si="153"/>
        <v>0</v>
      </c>
      <c r="AW695" s="22">
        <f t="shared" si="153"/>
        <v>0</v>
      </c>
      <c r="AY695" s="79"/>
      <c r="AZ695" s="79"/>
    </row>
    <row r="696" spans="1:52" x14ac:dyDescent="0.3">
      <c r="A696" s="95" t="str">
        <f t="shared" si="149"/>
        <v>NI U&amp;D</v>
      </c>
      <c r="B696" s="95" t="s">
        <v>969</v>
      </c>
      <c r="C696" s="95" t="s">
        <v>1336</v>
      </c>
      <c r="D696" t="s">
        <v>369</v>
      </c>
      <c r="E696" t="s">
        <v>55</v>
      </c>
      <c r="F696" t="s">
        <v>422</v>
      </c>
      <c r="G696" t="s">
        <v>1178</v>
      </c>
      <c r="H696" t="s">
        <v>1253</v>
      </c>
      <c r="I696" t="s">
        <v>139</v>
      </c>
      <c r="J696" t="s">
        <v>287</v>
      </c>
      <c r="K696" s="22">
        <f t="shared" si="152"/>
        <v>0</v>
      </c>
      <c r="L696" s="22">
        <f t="shared" si="153"/>
        <v>0</v>
      </c>
      <c r="M696" s="22">
        <f t="shared" si="153"/>
        <v>0</v>
      </c>
      <c r="N696" s="22">
        <f t="shared" si="153"/>
        <v>0</v>
      </c>
      <c r="O696" s="22">
        <f t="shared" si="153"/>
        <v>0</v>
      </c>
      <c r="P696" s="22">
        <f t="shared" si="153"/>
        <v>0</v>
      </c>
      <c r="Q696" s="22">
        <f t="shared" si="153"/>
        <v>0</v>
      </c>
      <c r="R696" s="22">
        <f t="shared" si="153"/>
        <v>0</v>
      </c>
      <c r="S696" s="22">
        <f t="shared" si="153"/>
        <v>0</v>
      </c>
      <c r="T696" s="22">
        <f t="shared" si="153"/>
        <v>0</v>
      </c>
      <c r="U696" s="22">
        <f t="shared" si="153"/>
        <v>0</v>
      </c>
      <c r="V696" s="22">
        <f t="shared" si="153"/>
        <v>0</v>
      </c>
      <c r="W696" s="22">
        <f t="shared" si="153"/>
        <v>0</v>
      </c>
      <c r="X696" s="22">
        <f t="shared" si="153"/>
        <v>0</v>
      </c>
      <c r="Y696" s="22">
        <f t="shared" si="153"/>
        <v>0</v>
      </c>
      <c r="Z696" s="22">
        <f t="shared" si="153"/>
        <v>0</v>
      </c>
      <c r="AA696" s="22">
        <f t="shared" si="153"/>
        <v>0</v>
      </c>
      <c r="AB696" s="22">
        <f t="shared" si="153"/>
        <v>0</v>
      </c>
      <c r="AC696" s="22">
        <f t="shared" si="153"/>
        <v>0</v>
      </c>
      <c r="AD696" s="22">
        <f t="shared" si="153"/>
        <v>0</v>
      </c>
      <c r="AE696" s="22">
        <f t="shared" si="153"/>
        <v>0</v>
      </c>
      <c r="AF696" s="22">
        <f t="shared" si="153"/>
        <v>0</v>
      </c>
      <c r="AG696" s="22">
        <f t="shared" si="153"/>
        <v>0</v>
      </c>
      <c r="AH696" s="22">
        <f t="shared" si="153"/>
        <v>0</v>
      </c>
      <c r="AI696" s="22">
        <f t="shared" si="153"/>
        <v>0</v>
      </c>
      <c r="AJ696" s="22">
        <f t="shared" si="153"/>
        <v>0</v>
      </c>
      <c r="AK696" s="22">
        <f t="shared" si="153"/>
        <v>0</v>
      </c>
      <c r="AL696" s="22">
        <f t="shared" si="153"/>
        <v>0</v>
      </c>
      <c r="AM696" s="22">
        <f t="shared" si="153"/>
        <v>0</v>
      </c>
      <c r="AN696" s="22">
        <f t="shared" si="153"/>
        <v>0</v>
      </c>
      <c r="AO696" s="22">
        <f t="shared" si="153"/>
        <v>0</v>
      </c>
      <c r="AP696" s="22">
        <f t="shared" si="153"/>
        <v>0</v>
      </c>
      <c r="AQ696" s="22">
        <f t="shared" ref="L696:AW703" si="154">AQ1495</f>
        <v>0</v>
      </c>
      <c r="AR696" s="22">
        <f t="shared" si="154"/>
        <v>0</v>
      </c>
      <c r="AS696" s="22">
        <f t="shared" si="154"/>
        <v>0</v>
      </c>
      <c r="AT696" s="22">
        <f t="shared" si="154"/>
        <v>0</v>
      </c>
      <c r="AU696" s="22">
        <f t="shared" si="154"/>
        <v>0</v>
      </c>
      <c r="AV696" s="22">
        <f t="shared" si="154"/>
        <v>0</v>
      </c>
      <c r="AW696" s="22">
        <f t="shared" si="154"/>
        <v>0</v>
      </c>
      <c r="AY696" s="79"/>
      <c r="AZ696" s="79"/>
    </row>
    <row r="697" spans="1:52" x14ac:dyDescent="0.3">
      <c r="A697" s="95" t="str">
        <f t="shared" si="149"/>
        <v>NI U&amp;D</v>
      </c>
      <c r="B697" s="95" t="s">
        <v>969</v>
      </c>
      <c r="C697" s="95" t="s">
        <v>1336</v>
      </c>
      <c r="D697" t="s">
        <v>369</v>
      </c>
      <c r="E697" t="s">
        <v>55</v>
      </c>
      <c r="F697" t="s">
        <v>422</v>
      </c>
      <c r="G697" t="s">
        <v>1180</v>
      </c>
      <c r="H697" t="s">
        <v>1254</v>
      </c>
      <c r="I697" t="s">
        <v>139</v>
      </c>
      <c r="J697" t="s">
        <v>287</v>
      </c>
      <c r="K697" s="22">
        <f t="shared" si="152"/>
        <v>0</v>
      </c>
      <c r="L697" s="22">
        <f t="shared" si="154"/>
        <v>0</v>
      </c>
      <c r="M697" s="22">
        <f t="shared" si="154"/>
        <v>0</v>
      </c>
      <c r="N697" s="22">
        <f t="shared" si="154"/>
        <v>0</v>
      </c>
      <c r="O697" s="22">
        <f t="shared" si="154"/>
        <v>0</v>
      </c>
      <c r="P697" s="22">
        <f t="shared" si="154"/>
        <v>0</v>
      </c>
      <c r="Q697" s="22">
        <f t="shared" si="154"/>
        <v>0</v>
      </c>
      <c r="R697" s="22">
        <f t="shared" si="154"/>
        <v>0</v>
      </c>
      <c r="S697" s="22">
        <f t="shared" si="154"/>
        <v>0</v>
      </c>
      <c r="T697" s="22">
        <f t="shared" si="154"/>
        <v>0</v>
      </c>
      <c r="U697" s="22">
        <f t="shared" si="154"/>
        <v>0</v>
      </c>
      <c r="V697" s="22">
        <f t="shared" si="154"/>
        <v>0</v>
      </c>
      <c r="W697" s="22">
        <f t="shared" si="154"/>
        <v>0</v>
      </c>
      <c r="X697" s="22">
        <f t="shared" si="154"/>
        <v>0</v>
      </c>
      <c r="Y697" s="22">
        <f t="shared" si="154"/>
        <v>0</v>
      </c>
      <c r="Z697" s="22">
        <f t="shared" si="154"/>
        <v>0</v>
      </c>
      <c r="AA697" s="22">
        <f t="shared" si="154"/>
        <v>0</v>
      </c>
      <c r="AB697" s="22">
        <f t="shared" si="154"/>
        <v>0</v>
      </c>
      <c r="AC697" s="22">
        <f t="shared" si="154"/>
        <v>0</v>
      </c>
      <c r="AD697" s="22">
        <f t="shared" si="154"/>
        <v>0</v>
      </c>
      <c r="AE697" s="22">
        <f t="shared" si="154"/>
        <v>0</v>
      </c>
      <c r="AF697" s="22">
        <f t="shared" si="154"/>
        <v>0</v>
      </c>
      <c r="AG697" s="22">
        <f t="shared" si="154"/>
        <v>0</v>
      </c>
      <c r="AH697" s="22">
        <f t="shared" si="154"/>
        <v>0</v>
      </c>
      <c r="AI697" s="22">
        <f t="shared" si="154"/>
        <v>0</v>
      </c>
      <c r="AJ697" s="22">
        <f t="shared" si="154"/>
        <v>0</v>
      </c>
      <c r="AK697" s="22">
        <f t="shared" si="154"/>
        <v>0</v>
      </c>
      <c r="AL697" s="22">
        <f t="shared" si="154"/>
        <v>0</v>
      </c>
      <c r="AM697" s="22">
        <f t="shared" si="154"/>
        <v>0</v>
      </c>
      <c r="AN697" s="22">
        <f t="shared" si="154"/>
        <v>0</v>
      </c>
      <c r="AO697" s="22">
        <f t="shared" si="154"/>
        <v>0</v>
      </c>
      <c r="AP697" s="22">
        <f t="shared" si="154"/>
        <v>0</v>
      </c>
      <c r="AQ697" s="22">
        <f t="shared" si="154"/>
        <v>0</v>
      </c>
      <c r="AR697" s="22">
        <f t="shared" si="154"/>
        <v>0</v>
      </c>
      <c r="AS697" s="22">
        <f t="shared" si="154"/>
        <v>0</v>
      </c>
      <c r="AT697" s="22">
        <f t="shared" si="154"/>
        <v>0</v>
      </c>
      <c r="AU697" s="22">
        <f t="shared" si="154"/>
        <v>0</v>
      </c>
      <c r="AV697" s="22">
        <f t="shared" si="154"/>
        <v>0</v>
      </c>
      <c r="AW697" s="22">
        <f t="shared" si="154"/>
        <v>0</v>
      </c>
      <c r="AY697" s="79"/>
      <c r="AZ697" s="79"/>
    </row>
    <row r="698" spans="1:52" x14ac:dyDescent="0.3">
      <c r="A698" s="95" t="str">
        <f t="shared" si="149"/>
        <v>NI U&amp;D</v>
      </c>
      <c r="B698" s="95" t="s">
        <v>969</v>
      </c>
      <c r="C698" s="95" t="s">
        <v>1336</v>
      </c>
      <c r="D698" t="s">
        <v>369</v>
      </c>
      <c r="E698" t="s">
        <v>55</v>
      </c>
      <c r="F698" t="s">
        <v>422</v>
      </c>
      <c r="G698" t="s">
        <v>1182</v>
      </c>
      <c r="H698" t="s">
        <v>1255</v>
      </c>
      <c r="I698" t="s">
        <v>139</v>
      </c>
      <c r="J698" t="s">
        <v>287</v>
      </c>
      <c r="K698" s="22">
        <f t="shared" si="152"/>
        <v>0</v>
      </c>
      <c r="L698" s="22">
        <f t="shared" si="154"/>
        <v>0</v>
      </c>
      <c r="M698" s="22">
        <f t="shared" si="154"/>
        <v>0</v>
      </c>
      <c r="N698" s="22">
        <f t="shared" si="154"/>
        <v>0</v>
      </c>
      <c r="O698" s="22">
        <f t="shared" si="154"/>
        <v>0</v>
      </c>
      <c r="P698" s="22">
        <f t="shared" si="154"/>
        <v>0</v>
      </c>
      <c r="Q698" s="22">
        <f t="shared" si="154"/>
        <v>0</v>
      </c>
      <c r="R698" s="22">
        <f t="shared" si="154"/>
        <v>0</v>
      </c>
      <c r="S698" s="22">
        <f t="shared" si="154"/>
        <v>0</v>
      </c>
      <c r="T698" s="22">
        <f t="shared" si="154"/>
        <v>0</v>
      </c>
      <c r="U698" s="22">
        <f t="shared" si="154"/>
        <v>0</v>
      </c>
      <c r="V698" s="22">
        <f t="shared" si="154"/>
        <v>0</v>
      </c>
      <c r="W698" s="22">
        <f t="shared" si="154"/>
        <v>0</v>
      </c>
      <c r="X698" s="22">
        <f t="shared" si="154"/>
        <v>0</v>
      </c>
      <c r="Y698" s="22">
        <f t="shared" si="154"/>
        <v>0</v>
      </c>
      <c r="Z698" s="22">
        <f t="shared" si="154"/>
        <v>0</v>
      </c>
      <c r="AA698" s="22">
        <f t="shared" si="154"/>
        <v>0</v>
      </c>
      <c r="AB698" s="22">
        <f t="shared" si="154"/>
        <v>0</v>
      </c>
      <c r="AC698" s="22">
        <f t="shared" si="154"/>
        <v>0</v>
      </c>
      <c r="AD698" s="22">
        <f t="shared" si="154"/>
        <v>0</v>
      </c>
      <c r="AE698" s="22">
        <f t="shared" si="154"/>
        <v>0</v>
      </c>
      <c r="AF698" s="22">
        <f t="shared" si="154"/>
        <v>0</v>
      </c>
      <c r="AG698" s="22">
        <f t="shared" si="154"/>
        <v>0</v>
      </c>
      <c r="AH698" s="22">
        <f t="shared" si="154"/>
        <v>0</v>
      </c>
      <c r="AI698" s="22">
        <f t="shared" si="154"/>
        <v>0</v>
      </c>
      <c r="AJ698" s="22">
        <f t="shared" si="154"/>
        <v>0</v>
      </c>
      <c r="AK698" s="22">
        <f t="shared" si="154"/>
        <v>0</v>
      </c>
      <c r="AL698" s="22">
        <f t="shared" si="154"/>
        <v>0</v>
      </c>
      <c r="AM698" s="22">
        <f t="shared" si="154"/>
        <v>0</v>
      </c>
      <c r="AN698" s="22">
        <f t="shared" si="154"/>
        <v>0</v>
      </c>
      <c r="AO698" s="22">
        <f t="shared" si="154"/>
        <v>0</v>
      </c>
      <c r="AP698" s="22">
        <f t="shared" si="154"/>
        <v>0</v>
      </c>
      <c r="AQ698" s="22">
        <f t="shared" si="154"/>
        <v>0</v>
      </c>
      <c r="AR698" s="22">
        <f t="shared" si="154"/>
        <v>0</v>
      </c>
      <c r="AS698" s="22">
        <f t="shared" si="154"/>
        <v>0</v>
      </c>
      <c r="AT698" s="22">
        <f t="shared" si="154"/>
        <v>0</v>
      </c>
      <c r="AU698" s="22">
        <f t="shared" si="154"/>
        <v>0</v>
      </c>
      <c r="AV698" s="22">
        <f t="shared" si="154"/>
        <v>0</v>
      </c>
      <c r="AW698" s="22">
        <f t="shared" si="154"/>
        <v>0</v>
      </c>
      <c r="AY698" s="79"/>
      <c r="AZ698" s="79"/>
    </row>
    <row r="699" spans="1:52" x14ac:dyDescent="0.3">
      <c r="A699" s="95" t="str">
        <f t="shared" si="149"/>
        <v>NI FSOM</v>
      </c>
      <c r="B699" s="95" t="s">
        <v>969</v>
      </c>
      <c r="C699" s="95" t="s">
        <v>60</v>
      </c>
      <c r="D699" t="s">
        <v>369</v>
      </c>
      <c r="E699" t="s">
        <v>55</v>
      </c>
      <c r="F699" t="s">
        <v>60</v>
      </c>
      <c r="G699" t="s">
        <v>1266</v>
      </c>
      <c r="H699" t="s">
        <v>1267</v>
      </c>
      <c r="J699" t="s">
        <v>287</v>
      </c>
      <c r="K699" s="22" t="str">
        <f t="shared" si="152"/>
        <v>NO</v>
      </c>
      <c r="L699" s="22" t="str">
        <f t="shared" si="154"/>
        <v>NO</v>
      </c>
      <c r="M699" s="22" t="str">
        <f t="shared" si="154"/>
        <v>NO</v>
      </c>
      <c r="N699" s="22" t="str">
        <f t="shared" si="154"/>
        <v>NO</v>
      </c>
      <c r="O699" s="22" t="str">
        <f t="shared" si="154"/>
        <v>NO</v>
      </c>
      <c r="P699" s="22" t="str">
        <f t="shared" si="154"/>
        <v>NO</v>
      </c>
      <c r="Q699" s="22" t="str">
        <f t="shared" si="154"/>
        <v>NO</v>
      </c>
      <c r="R699" s="22" t="str">
        <f t="shared" si="154"/>
        <v>NO</v>
      </c>
      <c r="S699" s="22" t="str">
        <f t="shared" si="154"/>
        <v>NO</v>
      </c>
      <c r="T699" s="22" t="str">
        <f t="shared" si="154"/>
        <v>NO</v>
      </c>
      <c r="U699" s="22" t="str">
        <f t="shared" si="154"/>
        <v>NO</v>
      </c>
      <c r="V699" s="22" t="str">
        <f t="shared" si="154"/>
        <v>NO</v>
      </c>
      <c r="W699" s="22" t="str">
        <f t="shared" si="154"/>
        <v>NO</v>
      </c>
      <c r="X699" s="22" t="str">
        <f t="shared" si="154"/>
        <v>NO</v>
      </c>
      <c r="Y699" s="22" t="str">
        <f t="shared" si="154"/>
        <v>NO</v>
      </c>
      <c r="Z699" s="22" t="str">
        <f t="shared" si="154"/>
        <v>NO</v>
      </c>
      <c r="AA699" s="22" t="str">
        <f t="shared" si="154"/>
        <v>NO</v>
      </c>
      <c r="AB699" s="22" t="str">
        <f t="shared" si="154"/>
        <v>NO</v>
      </c>
      <c r="AC699" s="22" t="str">
        <f t="shared" si="154"/>
        <v>NO</v>
      </c>
      <c r="AD699" s="22" t="str">
        <f t="shared" si="154"/>
        <v>NO</v>
      </c>
      <c r="AE699" s="22" t="str">
        <f t="shared" si="154"/>
        <v>NO</v>
      </c>
      <c r="AF699" s="22" t="str">
        <f t="shared" si="154"/>
        <v>NO</v>
      </c>
      <c r="AG699" s="22" t="str">
        <f t="shared" si="154"/>
        <v>NO</v>
      </c>
      <c r="AH699" s="22" t="str">
        <f t="shared" si="154"/>
        <v>NO</v>
      </c>
      <c r="AI699" s="22" t="str">
        <f t="shared" si="154"/>
        <v>NO</v>
      </c>
      <c r="AJ699" s="22" t="str">
        <f t="shared" si="154"/>
        <v>NO</v>
      </c>
      <c r="AK699" s="22" t="str">
        <f t="shared" si="154"/>
        <v>NO</v>
      </c>
      <c r="AL699" s="22" t="str">
        <f t="shared" si="154"/>
        <v>NO</v>
      </c>
      <c r="AM699" s="22" t="str">
        <f t="shared" si="154"/>
        <v>NO</v>
      </c>
      <c r="AN699" s="22" t="str">
        <f t="shared" si="154"/>
        <v>NO</v>
      </c>
      <c r="AO699" s="22" t="str">
        <f t="shared" si="154"/>
        <v>NO</v>
      </c>
      <c r="AP699" s="22" t="str">
        <f t="shared" si="154"/>
        <v>NO</v>
      </c>
      <c r="AQ699" s="22" t="str">
        <f t="shared" si="154"/>
        <v>NO</v>
      </c>
      <c r="AR699" s="22" t="str">
        <f t="shared" si="154"/>
        <v>NO</v>
      </c>
      <c r="AS699" s="22" t="str">
        <f t="shared" si="154"/>
        <v>NO</v>
      </c>
      <c r="AT699" s="22" t="str">
        <f t="shared" si="154"/>
        <v>NO</v>
      </c>
      <c r="AU699" s="22" t="str">
        <f t="shared" si="154"/>
        <v>NO</v>
      </c>
      <c r="AV699" s="22" t="str">
        <f t="shared" si="154"/>
        <v>NO</v>
      </c>
      <c r="AW699" s="22" t="str">
        <f t="shared" si="154"/>
        <v>NO</v>
      </c>
      <c r="AY699" s="79"/>
      <c r="AZ699" s="79"/>
    </row>
    <row r="700" spans="1:52" x14ac:dyDescent="0.3">
      <c r="A700" s="95" t="str">
        <f t="shared" si="149"/>
        <v>NI FSOM</v>
      </c>
      <c r="B700" s="95" t="s">
        <v>969</v>
      </c>
      <c r="C700" s="95" t="s">
        <v>60</v>
      </c>
      <c r="D700" t="s">
        <v>369</v>
      </c>
      <c r="E700" t="s">
        <v>55</v>
      </c>
      <c r="F700" t="s">
        <v>60</v>
      </c>
      <c r="G700" t="s">
        <v>1268</v>
      </c>
      <c r="H700" t="s">
        <v>1269</v>
      </c>
      <c r="J700" t="s">
        <v>287</v>
      </c>
      <c r="K700" s="22" t="str">
        <f t="shared" si="152"/>
        <v>NO</v>
      </c>
      <c r="L700" s="22" t="str">
        <f t="shared" si="154"/>
        <v>NO</v>
      </c>
      <c r="M700" s="22" t="str">
        <f t="shared" si="154"/>
        <v>NO</v>
      </c>
      <c r="N700" s="22" t="str">
        <f t="shared" si="154"/>
        <v>NO</v>
      </c>
      <c r="O700" s="22" t="str">
        <f t="shared" si="154"/>
        <v>NO</v>
      </c>
      <c r="P700" s="22" t="str">
        <f t="shared" si="154"/>
        <v>NO</v>
      </c>
      <c r="Q700" s="22" t="str">
        <f t="shared" si="154"/>
        <v>NO</v>
      </c>
      <c r="R700" s="22" t="str">
        <f t="shared" si="154"/>
        <v>NO</v>
      </c>
      <c r="S700" s="22" t="str">
        <f t="shared" si="154"/>
        <v>NO</v>
      </c>
      <c r="T700" s="22" t="str">
        <f t="shared" si="154"/>
        <v>NO</v>
      </c>
      <c r="U700" s="22" t="str">
        <f t="shared" si="154"/>
        <v>NO</v>
      </c>
      <c r="V700" s="22" t="str">
        <f t="shared" si="154"/>
        <v>NO</v>
      </c>
      <c r="W700" s="22" t="str">
        <f t="shared" si="154"/>
        <v>NO</v>
      </c>
      <c r="X700" s="22" t="str">
        <f t="shared" si="154"/>
        <v>NO</v>
      </c>
      <c r="Y700" s="22" t="str">
        <f t="shared" si="154"/>
        <v>NO</v>
      </c>
      <c r="Z700" s="22" t="str">
        <f t="shared" si="154"/>
        <v>NO</v>
      </c>
      <c r="AA700" s="22" t="str">
        <f t="shared" si="154"/>
        <v>NO</v>
      </c>
      <c r="AB700" s="22" t="str">
        <f t="shared" si="154"/>
        <v>NO</v>
      </c>
      <c r="AC700" s="22" t="str">
        <f t="shared" si="154"/>
        <v>NO</v>
      </c>
      <c r="AD700" s="22" t="str">
        <f t="shared" si="154"/>
        <v>NO</v>
      </c>
      <c r="AE700" s="22" t="str">
        <f t="shared" si="154"/>
        <v>NO</v>
      </c>
      <c r="AF700" s="22" t="str">
        <f t="shared" si="154"/>
        <v>NO</v>
      </c>
      <c r="AG700" s="22" t="str">
        <f t="shared" si="154"/>
        <v>NO</v>
      </c>
      <c r="AH700" s="22" t="str">
        <f t="shared" si="154"/>
        <v>NO</v>
      </c>
      <c r="AI700" s="22" t="str">
        <f t="shared" si="154"/>
        <v>NO</v>
      </c>
      <c r="AJ700" s="22" t="str">
        <f t="shared" si="154"/>
        <v>NO</v>
      </c>
      <c r="AK700" s="22" t="str">
        <f t="shared" si="154"/>
        <v>NO</v>
      </c>
      <c r="AL700" s="22" t="str">
        <f t="shared" si="154"/>
        <v>NO</v>
      </c>
      <c r="AM700" s="22" t="str">
        <f t="shared" si="154"/>
        <v>NO</v>
      </c>
      <c r="AN700" s="22" t="str">
        <f t="shared" si="154"/>
        <v>NO</v>
      </c>
      <c r="AO700" s="22" t="str">
        <f t="shared" si="154"/>
        <v>NO</v>
      </c>
      <c r="AP700" s="22" t="str">
        <f t="shared" si="154"/>
        <v>NO</v>
      </c>
      <c r="AQ700" s="22" t="str">
        <f t="shared" si="154"/>
        <v>NO</v>
      </c>
      <c r="AR700" s="22" t="str">
        <f t="shared" si="154"/>
        <v>NO</v>
      </c>
      <c r="AS700" s="22" t="str">
        <f t="shared" si="154"/>
        <v>NO</v>
      </c>
      <c r="AT700" s="22" t="str">
        <f t="shared" si="154"/>
        <v>NO</v>
      </c>
      <c r="AU700" s="22" t="str">
        <f t="shared" si="154"/>
        <v>NO</v>
      </c>
      <c r="AV700" s="22" t="str">
        <f t="shared" si="154"/>
        <v>NO</v>
      </c>
      <c r="AW700" s="22" t="str">
        <f t="shared" si="154"/>
        <v>NO</v>
      </c>
      <c r="AY700" s="79"/>
      <c r="AZ700" s="79"/>
    </row>
    <row r="701" spans="1:52" x14ac:dyDescent="0.3">
      <c r="A701" s="95" t="str">
        <f t="shared" si="149"/>
        <v>NI FSOM</v>
      </c>
      <c r="B701" s="95" t="s">
        <v>969</v>
      </c>
      <c r="C701" s="95" t="s">
        <v>60</v>
      </c>
      <c r="D701" t="s">
        <v>369</v>
      </c>
      <c r="E701" t="s">
        <v>55</v>
      </c>
      <c r="F701" t="s">
        <v>60</v>
      </c>
      <c r="G701" t="s">
        <v>1270</v>
      </c>
      <c r="H701" t="s">
        <v>1271</v>
      </c>
      <c r="J701" t="s">
        <v>287</v>
      </c>
      <c r="K701" s="22">
        <f t="shared" si="152"/>
        <v>3.4398813895090996E-3</v>
      </c>
      <c r="L701" s="22">
        <f t="shared" si="154"/>
        <v>3.4358310252377683E-3</v>
      </c>
      <c r="M701" s="22">
        <f t="shared" si="154"/>
        <v>3.4317806609664363E-3</v>
      </c>
      <c r="N701" s="22">
        <f t="shared" si="154"/>
        <v>3.4277302966951037E-3</v>
      </c>
      <c r="O701" s="22">
        <f t="shared" si="154"/>
        <v>3.4236799324237725E-3</v>
      </c>
      <c r="P701" s="22">
        <f t="shared" si="154"/>
        <v>3.4196295681524396E-3</v>
      </c>
      <c r="Q701" s="22">
        <f t="shared" si="154"/>
        <v>3.4155792038811079E-3</v>
      </c>
      <c r="R701" s="22">
        <f t="shared" si="154"/>
        <v>3.4115288396097763E-3</v>
      </c>
      <c r="S701" s="22">
        <f t="shared" si="154"/>
        <v>3.4074784753384451E-3</v>
      </c>
      <c r="T701" s="22">
        <f t="shared" si="154"/>
        <v>3.4034281110671134E-3</v>
      </c>
      <c r="U701" s="22">
        <f t="shared" si="154"/>
        <v>3.39937774679578E-3</v>
      </c>
      <c r="V701" s="22">
        <f t="shared" si="154"/>
        <v>3.3953273825244488E-3</v>
      </c>
      <c r="W701" s="22">
        <f t="shared" si="154"/>
        <v>3.3912770182531172E-3</v>
      </c>
      <c r="X701" s="22">
        <f t="shared" si="154"/>
        <v>3.387226653981786E-3</v>
      </c>
      <c r="Y701" s="22">
        <f t="shared" si="154"/>
        <v>3.3831762897104547E-3</v>
      </c>
      <c r="Z701" s="22">
        <f t="shared" si="154"/>
        <v>3.3791259254391218E-3</v>
      </c>
      <c r="AA701" s="22">
        <f t="shared" si="154"/>
        <v>3.375075561167791E-3</v>
      </c>
      <c r="AB701" s="22">
        <f t="shared" si="154"/>
        <v>3.3710251968964585E-3</v>
      </c>
      <c r="AC701" s="22">
        <f t="shared" si="154"/>
        <v>3.3669748326251273E-3</v>
      </c>
      <c r="AD701" s="22">
        <f t="shared" si="154"/>
        <v>3.3629244683537943E-3</v>
      </c>
      <c r="AE701" s="22">
        <f t="shared" si="154"/>
        <v>3.358874104082464E-3</v>
      </c>
      <c r="AF701" s="22">
        <f t="shared" si="154"/>
        <v>3.3548237398111319E-3</v>
      </c>
      <c r="AG701" s="22">
        <f t="shared" si="154"/>
        <v>3.3507733755397998E-3</v>
      </c>
      <c r="AH701" s="22">
        <f t="shared" si="154"/>
        <v>3.3467230112684673E-3</v>
      </c>
      <c r="AI701" s="22">
        <f t="shared" si="154"/>
        <v>3.3426726469971361E-3</v>
      </c>
      <c r="AJ701" s="22">
        <f t="shared" si="154"/>
        <v>3.3386222827258044E-3</v>
      </c>
      <c r="AK701" s="22">
        <f t="shared" si="154"/>
        <v>3.3345719184544728E-3</v>
      </c>
      <c r="AL701" s="22">
        <f t="shared" si="154"/>
        <v>3.3305215541831416E-3</v>
      </c>
      <c r="AM701" s="22">
        <f t="shared" si="154"/>
        <v>3.3264711899118095E-3</v>
      </c>
      <c r="AN701" s="22">
        <f t="shared" si="154"/>
        <v>3.3224208256404765E-3</v>
      </c>
      <c r="AO701" s="22">
        <f t="shared" si="154"/>
        <v>3.3183704613691458E-3</v>
      </c>
      <c r="AP701" s="22">
        <f t="shared" si="154"/>
        <v>3.3143200970978137E-3</v>
      </c>
      <c r="AQ701" s="22">
        <f t="shared" si="154"/>
        <v>3.3102697328264833E-3</v>
      </c>
      <c r="AR701" s="22">
        <f t="shared" si="154"/>
        <v>3.3062193685551499E-3</v>
      </c>
      <c r="AS701" s="22">
        <f t="shared" si="154"/>
        <v>3.3021690042838187E-3</v>
      </c>
      <c r="AT701" s="22">
        <f t="shared" si="154"/>
        <v>3.2981186400124866E-3</v>
      </c>
      <c r="AU701" s="22">
        <f t="shared" si="154"/>
        <v>3.2940682757411541E-3</v>
      </c>
      <c r="AV701" s="22">
        <f t="shared" si="154"/>
        <v>3.2900179114698229E-3</v>
      </c>
      <c r="AW701" s="22">
        <f t="shared" si="154"/>
        <v>3.2859675471984908E-3</v>
      </c>
      <c r="AY701" s="79"/>
      <c r="AZ701" s="79"/>
    </row>
    <row r="702" spans="1:52" x14ac:dyDescent="0.3">
      <c r="A702" s="95" t="str">
        <f t="shared" si="149"/>
        <v>NI FSOM</v>
      </c>
      <c r="B702" s="95" t="s">
        <v>969</v>
      </c>
      <c r="C702" s="95" t="s">
        <v>60</v>
      </c>
      <c r="D702" t="s">
        <v>369</v>
      </c>
      <c r="E702" t="s">
        <v>55</v>
      </c>
      <c r="F702" t="s">
        <v>60</v>
      </c>
      <c r="G702" t="s">
        <v>1272</v>
      </c>
      <c r="H702" t="s">
        <v>1273</v>
      </c>
      <c r="J702" t="s">
        <v>287</v>
      </c>
      <c r="K702" s="22">
        <f t="shared" si="152"/>
        <v>0.49020960547040615</v>
      </c>
      <c r="L702" s="22">
        <f t="shared" si="154"/>
        <v>0.49134551154341793</v>
      </c>
      <c r="M702" s="22">
        <f t="shared" si="154"/>
        <v>0.49248141761642988</v>
      </c>
      <c r="N702" s="22">
        <f t="shared" si="154"/>
        <v>0.49361732368944172</v>
      </c>
      <c r="O702" s="22">
        <f t="shared" si="154"/>
        <v>0.49475322976245356</v>
      </c>
      <c r="P702" s="22">
        <f t="shared" si="154"/>
        <v>0.49588913583546534</v>
      </c>
      <c r="Q702" s="22">
        <f t="shared" si="154"/>
        <v>0.49702504190847724</v>
      </c>
      <c r="R702" s="22">
        <f t="shared" si="154"/>
        <v>0.49816094798148913</v>
      </c>
      <c r="S702" s="22">
        <f t="shared" si="154"/>
        <v>0.49929685405450086</v>
      </c>
      <c r="T702" s="22">
        <f t="shared" si="154"/>
        <v>0.50043276012751292</v>
      </c>
      <c r="U702" s="22">
        <f t="shared" si="154"/>
        <v>0.50156866620052454</v>
      </c>
      <c r="V702" s="22">
        <f t="shared" si="154"/>
        <v>0.50270457227353649</v>
      </c>
      <c r="W702" s="22">
        <f t="shared" si="154"/>
        <v>0.50384047834654833</v>
      </c>
      <c r="X702" s="22">
        <f t="shared" si="154"/>
        <v>0.50497638441956039</v>
      </c>
      <c r="Y702" s="22">
        <f t="shared" si="154"/>
        <v>0.506112290492572</v>
      </c>
      <c r="Z702" s="22">
        <f t="shared" si="154"/>
        <v>0.50724819656558406</v>
      </c>
      <c r="AA702" s="22">
        <f t="shared" si="154"/>
        <v>0.50838410263859568</v>
      </c>
      <c r="AB702" s="22">
        <f t="shared" si="154"/>
        <v>0.50952000871160763</v>
      </c>
      <c r="AC702" s="22">
        <f t="shared" si="154"/>
        <v>0.51065591478461958</v>
      </c>
      <c r="AD702" s="22">
        <f t="shared" si="154"/>
        <v>0.51179182085763142</v>
      </c>
      <c r="AE702" s="22">
        <f t="shared" si="154"/>
        <v>0.51292772693064326</v>
      </c>
      <c r="AF702" s="22">
        <f t="shared" si="154"/>
        <v>0.5140636330036551</v>
      </c>
      <c r="AG702" s="22">
        <f t="shared" si="154"/>
        <v>0.51519953907666705</v>
      </c>
      <c r="AH702" s="22">
        <f t="shared" si="154"/>
        <v>0.51633544514967877</v>
      </c>
      <c r="AI702" s="22">
        <f t="shared" si="154"/>
        <v>0.51747135122269072</v>
      </c>
      <c r="AJ702" s="22">
        <f t="shared" si="154"/>
        <v>0.51860725729570256</v>
      </c>
      <c r="AK702" s="22">
        <f t="shared" si="154"/>
        <v>0.5197431633687144</v>
      </c>
      <c r="AL702" s="22">
        <f t="shared" si="154"/>
        <v>0.52087906944172624</v>
      </c>
      <c r="AM702" s="22">
        <f t="shared" si="154"/>
        <v>0.52201497551473808</v>
      </c>
      <c r="AN702" s="22">
        <f t="shared" si="154"/>
        <v>0.52315088158774992</v>
      </c>
      <c r="AO702" s="22">
        <f t="shared" si="154"/>
        <v>0.52428678766076187</v>
      </c>
      <c r="AP702" s="22">
        <f t="shared" si="154"/>
        <v>0.52542269373377359</v>
      </c>
      <c r="AQ702" s="22">
        <f t="shared" si="154"/>
        <v>0.52655859980678543</v>
      </c>
      <c r="AR702" s="22">
        <f t="shared" si="154"/>
        <v>0.52769450587979749</v>
      </c>
      <c r="AS702" s="22">
        <f t="shared" si="154"/>
        <v>0.52883041195280922</v>
      </c>
      <c r="AT702" s="22">
        <f t="shared" si="154"/>
        <v>0.52996631802582106</v>
      </c>
      <c r="AU702" s="22">
        <f t="shared" si="154"/>
        <v>0.53110222409883301</v>
      </c>
      <c r="AV702" s="22">
        <f t="shared" si="154"/>
        <v>0.53223813017184474</v>
      </c>
      <c r="AW702" s="22">
        <f t="shared" si="154"/>
        <v>0.5333740362448568</v>
      </c>
      <c r="AY702" s="79"/>
      <c r="AZ702" s="79"/>
    </row>
    <row r="703" spans="1:52" x14ac:dyDescent="0.3">
      <c r="A703" s="95" t="str">
        <f t="shared" si="149"/>
        <v>NI FSOM</v>
      </c>
      <c r="B703" s="95" t="s">
        <v>969</v>
      </c>
      <c r="C703" s="95" t="s">
        <v>60</v>
      </c>
      <c r="D703" t="s">
        <v>369</v>
      </c>
      <c r="E703" t="s">
        <v>55</v>
      </c>
      <c r="F703" t="s">
        <v>60</v>
      </c>
      <c r="G703" t="s">
        <v>1274</v>
      </c>
      <c r="H703" t="s">
        <v>1275</v>
      </c>
      <c r="J703" t="s">
        <v>287</v>
      </c>
      <c r="K703" s="22">
        <f t="shared" si="152"/>
        <v>0.57597220909378744</v>
      </c>
      <c r="L703" s="22">
        <f t="shared" si="154"/>
        <v>0.57597220909378744</v>
      </c>
      <c r="M703" s="22">
        <f t="shared" si="154"/>
        <v>0.57597220909378744</v>
      </c>
      <c r="N703" s="22">
        <f t="shared" si="154"/>
        <v>0.57597220909378744</v>
      </c>
      <c r="O703" s="22">
        <f t="shared" si="154"/>
        <v>0.57597220909378744</v>
      </c>
      <c r="P703" s="22">
        <f t="shared" si="154"/>
        <v>0.57597220909378744</v>
      </c>
      <c r="Q703" s="22">
        <f t="shared" si="154"/>
        <v>0.57597220909378744</v>
      </c>
      <c r="R703" s="22">
        <f t="shared" si="154"/>
        <v>0.57597220909378744</v>
      </c>
      <c r="S703" s="22">
        <f t="shared" si="154"/>
        <v>0.57597220909378744</v>
      </c>
      <c r="T703" s="22">
        <f t="shared" si="154"/>
        <v>0.57597220909378744</v>
      </c>
      <c r="U703" s="22">
        <f t="shared" si="154"/>
        <v>0.57597220909378744</v>
      </c>
      <c r="V703" s="22">
        <f t="shared" si="154"/>
        <v>0.57597220909378744</v>
      </c>
      <c r="W703" s="22">
        <f t="shared" si="154"/>
        <v>0.57597220909378744</v>
      </c>
      <c r="X703" s="22">
        <f t="shared" si="154"/>
        <v>0.57597220909378744</v>
      </c>
      <c r="Y703" s="22">
        <f t="shared" si="154"/>
        <v>0.57597220909378744</v>
      </c>
      <c r="Z703" s="22">
        <f t="shared" si="154"/>
        <v>0.57597220909378744</v>
      </c>
      <c r="AA703" s="22">
        <f t="shared" si="154"/>
        <v>0.57597220909378744</v>
      </c>
      <c r="AB703" s="22">
        <f t="shared" si="154"/>
        <v>0.57597220909378744</v>
      </c>
      <c r="AC703" s="22">
        <f t="shared" si="154"/>
        <v>0.57597220909378744</v>
      </c>
      <c r="AD703" s="22">
        <f t="shared" si="154"/>
        <v>0.57597220909378744</v>
      </c>
      <c r="AE703" s="22">
        <f t="shared" si="154"/>
        <v>0.57597220909378744</v>
      </c>
      <c r="AF703" s="22">
        <f t="shared" ref="L703:AW710" si="155">AF1502</f>
        <v>0.57597220909378744</v>
      </c>
      <c r="AG703" s="22">
        <f t="shared" si="155"/>
        <v>0.57597220909378744</v>
      </c>
      <c r="AH703" s="22">
        <f t="shared" si="155"/>
        <v>0.57597220909378744</v>
      </c>
      <c r="AI703" s="22">
        <f t="shared" si="155"/>
        <v>0.57597220909378744</v>
      </c>
      <c r="AJ703" s="22">
        <f t="shared" si="155"/>
        <v>0.57597220909378744</v>
      </c>
      <c r="AK703" s="22">
        <f t="shared" si="155"/>
        <v>0.57597220909378744</v>
      </c>
      <c r="AL703" s="22">
        <f t="shared" si="155"/>
        <v>0.57597220909378744</v>
      </c>
      <c r="AM703" s="22">
        <f t="shared" si="155"/>
        <v>0.57597220909378744</v>
      </c>
      <c r="AN703" s="22">
        <f t="shared" si="155"/>
        <v>0.57597220909378744</v>
      </c>
      <c r="AO703" s="22">
        <f t="shared" si="155"/>
        <v>0.57597220909378744</v>
      </c>
      <c r="AP703" s="22">
        <f t="shared" si="155"/>
        <v>0.57597220909378744</v>
      </c>
      <c r="AQ703" s="22">
        <f t="shared" si="155"/>
        <v>0.57597220909378744</v>
      </c>
      <c r="AR703" s="22">
        <f t="shared" si="155"/>
        <v>0.57597220909378744</v>
      </c>
      <c r="AS703" s="22">
        <f t="shared" si="155"/>
        <v>0.57597220909378744</v>
      </c>
      <c r="AT703" s="22">
        <f t="shared" si="155"/>
        <v>0.57597220909378744</v>
      </c>
      <c r="AU703" s="22">
        <f t="shared" si="155"/>
        <v>0.57597220909378744</v>
      </c>
      <c r="AV703" s="22">
        <f t="shared" si="155"/>
        <v>0.57597220909378744</v>
      </c>
      <c r="AW703" s="22">
        <f t="shared" si="155"/>
        <v>0.57597220909378744</v>
      </c>
      <c r="AY703" s="79"/>
      <c r="AZ703" s="79"/>
    </row>
    <row r="704" spans="1:52" x14ac:dyDescent="0.3">
      <c r="A704" s="95" t="str">
        <f t="shared" si="149"/>
        <v>NI FSOM</v>
      </c>
      <c r="B704" s="95" t="s">
        <v>969</v>
      </c>
      <c r="C704" s="95" t="s">
        <v>60</v>
      </c>
      <c r="D704" t="s">
        <v>369</v>
      </c>
      <c r="E704" t="s">
        <v>55</v>
      </c>
      <c r="F704" t="s">
        <v>60</v>
      </c>
      <c r="G704" t="s">
        <v>1276</v>
      </c>
      <c r="H704" t="s">
        <v>1277</v>
      </c>
      <c r="J704" t="s">
        <v>287</v>
      </c>
      <c r="K704" s="22" t="str">
        <f t="shared" si="152"/>
        <v>NO</v>
      </c>
      <c r="L704" s="22" t="str">
        <f t="shared" si="155"/>
        <v>NO</v>
      </c>
      <c r="M704" s="22" t="str">
        <f t="shared" si="155"/>
        <v>NO</v>
      </c>
      <c r="N704" s="22" t="str">
        <f t="shared" si="155"/>
        <v>NO</v>
      </c>
      <c r="O704" s="22" t="str">
        <f t="shared" si="155"/>
        <v>NO</v>
      </c>
      <c r="P704" s="22" t="str">
        <f t="shared" si="155"/>
        <v>NO</v>
      </c>
      <c r="Q704" s="22" t="str">
        <f t="shared" si="155"/>
        <v>NO</v>
      </c>
      <c r="R704" s="22" t="str">
        <f t="shared" si="155"/>
        <v>NO</v>
      </c>
      <c r="S704" s="22" t="str">
        <f t="shared" si="155"/>
        <v>NO</v>
      </c>
      <c r="T704" s="22" t="str">
        <f t="shared" si="155"/>
        <v>NO</v>
      </c>
      <c r="U704" s="22" t="str">
        <f t="shared" si="155"/>
        <v>NO</v>
      </c>
      <c r="V704" s="22" t="str">
        <f t="shared" si="155"/>
        <v>NO</v>
      </c>
      <c r="W704" s="22" t="str">
        <f t="shared" si="155"/>
        <v>NO</v>
      </c>
      <c r="X704" s="22" t="str">
        <f t="shared" si="155"/>
        <v>NO</v>
      </c>
      <c r="Y704" s="22" t="str">
        <f t="shared" si="155"/>
        <v>NO</v>
      </c>
      <c r="Z704" s="22" t="str">
        <f t="shared" si="155"/>
        <v>NO</v>
      </c>
      <c r="AA704" s="22" t="str">
        <f t="shared" si="155"/>
        <v>NO</v>
      </c>
      <c r="AB704" s="22" t="str">
        <f t="shared" si="155"/>
        <v>NO</v>
      </c>
      <c r="AC704" s="22" t="str">
        <f t="shared" si="155"/>
        <v>NO</v>
      </c>
      <c r="AD704" s="22" t="str">
        <f t="shared" si="155"/>
        <v>NO</v>
      </c>
      <c r="AE704" s="22" t="str">
        <f t="shared" si="155"/>
        <v>NO</v>
      </c>
      <c r="AF704" s="22" t="str">
        <f t="shared" si="155"/>
        <v>NO</v>
      </c>
      <c r="AG704" s="22" t="str">
        <f t="shared" si="155"/>
        <v>NO</v>
      </c>
      <c r="AH704" s="22" t="str">
        <f t="shared" si="155"/>
        <v>NO</v>
      </c>
      <c r="AI704" s="22" t="str">
        <f t="shared" si="155"/>
        <v>NO</v>
      </c>
      <c r="AJ704" s="22" t="str">
        <f t="shared" si="155"/>
        <v>NO</v>
      </c>
      <c r="AK704" s="22" t="str">
        <f t="shared" si="155"/>
        <v>NO</v>
      </c>
      <c r="AL704" s="22" t="str">
        <f t="shared" si="155"/>
        <v>NO</v>
      </c>
      <c r="AM704" s="22" t="str">
        <f t="shared" si="155"/>
        <v>NO</v>
      </c>
      <c r="AN704" s="22" t="str">
        <f t="shared" si="155"/>
        <v>NO</v>
      </c>
      <c r="AO704" s="22" t="str">
        <f t="shared" si="155"/>
        <v>NO</v>
      </c>
      <c r="AP704" s="22" t="str">
        <f t="shared" si="155"/>
        <v>NO</v>
      </c>
      <c r="AQ704" s="22" t="str">
        <f t="shared" si="155"/>
        <v>NO</v>
      </c>
      <c r="AR704" s="22" t="str">
        <f t="shared" si="155"/>
        <v>NO</v>
      </c>
      <c r="AS704" s="22" t="str">
        <f t="shared" si="155"/>
        <v>NO</v>
      </c>
      <c r="AT704" s="22" t="str">
        <f t="shared" si="155"/>
        <v>NO</v>
      </c>
      <c r="AU704" s="22" t="str">
        <f t="shared" si="155"/>
        <v>NO</v>
      </c>
      <c r="AV704" s="22" t="str">
        <f t="shared" si="155"/>
        <v>NO</v>
      </c>
      <c r="AW704" s="22" t="str">
        <f t="shared" si="155"/>
        <v>NO</v>
      </c>
      <c r="AY704" s="79"/>
      <c r="AZ704" s="79"/>
    </row>
    <row r="705" spans="1:52" x14ac:dyDescent="0.3">
      <c r="A705" s="95" t="str">
        <f t="shared" si="149"/>
        <v>NI FSOM</v>
      </c>
      <c r="B705" s="95" t="s">
        <v>969</v>
      </c>
      <c r="C705" s="95" t="s">
        <v>60</v>
      </c>
      <c r="D705" t="s">
        <v>369</v>
      </c>
      <c r="E705" t="s">
        <v>55</v>
      </c>
      <c r="F705" t="s">
        <v>60</v>
      </c>
      <c r="G705" t="s">
        <v>1278</v>
      </c>
      <c r="H705" t="s">
        <v>1279</v>
      </c>
      <c r="J705" t="s">
        <v>287</v>
      </c>
      <c r="K705" s="22" t="str">
        <f t="shared" si="152"/>
        <v>NO</v>
      </c>
      <c r="L705" s="22" t="str">
        <f t="shared" si="155"/>
        <v>NO</v>
      </c>
      <c r="M705" s="22" t="str">
        <f t="shared" si="155"/>
        <v>NO</v>
      </c>
      <c r="N705" s="22" t="str">
        <f t="shared" si="155"/>
        <v>NO</v>
      </c>
      <c r="O705" s="22" t="str">
        <f t="shared" si="155"/>
        <v>NO</v>
      </c>
      <c r="P705" s="22" t="str">
        <f t="shared" si="155"/>
        <v>NO</v>
      </c>
      <c r="Q705" s="22" t="str">
        <f t="shared" si="155"/>
        <v>NO</v>
      </c>
      <c r="R705" s="22" t="str">
        <f t="shared" si="155"/>
        <v>NO</v>
      </c>
      <c r="S705" s="22" t="str">
        <f t="shared" si="155"/>
        <v>NO</v>
      </c>
      <c r="T705" s="22" t="str">
        <f t="shared" si="155"/>
        <v>NO</v>
      </c>
      <c r="U705" s="22" t="str">
        <f t="shared" si="155"/>
        <v>NO</v>
      </c>
      <c r="V705" s="22" t="str">
        <f t="shared" si="155"/>
        <v>NO</v>
      </c>
      <c r="W705" s="22" t="str">
        <f t="shared" si="155"/>
        <v>NO</v>
      </c>
      <c r="X705" s="22" t="str">
        <f t="shared" si="155"/>
        <v>NO</v>
      </c>
      <c r="Y705" s="22" t="str">
        <f t="shared" si="155"/>
        <v>NO</v>
      </c>
      <c r="Z705" s="22" t="str">
        <f t="shared" si="155"/>
        <v>NO</v>
      </c>
      <c r="AA705" s="22" t="str">
        <f t="shared" si="155"/>
        <v>NO</v>
      </c>
      <c r="AB705" s="22" t="str">
        <f t="shared" si="155"/>
        <v>NO</v>
      </c>
      <c r="AC705" s="22" t="str">
        <f t="shared" si="155"/>
        <v>NO</v>
      </c>
      <c r="AD705" s="22" t="str">
        <f t="shared" si="155"/>
        <v>NO</v>
      </c>
      <c r="AE705" s="22" t="str">
        <f t="shared" si="155"/>
        <v>NO</v>
      </c>
      <c r="AF705" s="22" t="str">
        <f t="shared" si="155"/>
        <v>NO</v>
      </c>
      <c r="AG705" s="22" t="str">
        <f t="shared" si="155"/>
        <v>NO</v>
      </c>
      <c r="AH705" s="22" t="str">
        <f t="shared" si="155"/>
        <v>NO</v>
      </c>
      <c r="AI705" s="22" t="str">
        <f t="shared" si="155"/>
        <v>NO</v>
      </c>
      <c r="AJ705" s="22" t="str">
        <f t="shared" si="155"/>
        <v>NO</v>
      </c>
      <c r="AK705" s="22" t="str">
        <f t="shared" si="155"/>
        <v>NO</v>
      </c>
      <c r="AL705" s="22" t="str">
        <f t="shared" si="155"/>
        <v>NO</v>
      </c>
      <c r="AM705" s="22" t="str">
        <f t="shared" si="155"/>
        <v>NO</v>
      </c>
      <c r="AN705" s="22" t="str">
        <f t="shared" si="155"/>
        <v>NO</v>
      </c>
      <c r="AO705" s="22" t="str">
        <f t="shared" si="155"/>
        <v>NO</v>
      </c>
      <c r="AP705" s="22" t="str">
        <f t="shared" si="155"/>
        <v>NO</v>
      </c>
      <c r="AQ705" s="22" t="str">
        <f t="shared" si="155"/>
        <v>NO</v>
      </c>
      <c r="AR705" s="22" t="str">
        <f t="shared" si="155"/>
        <v>NO</v>
      </c>
      <c r="AS705" s="22" t="str">
        <f t="shared" si="155"/>
        <v>NO</v>
      </c>
      <c r="AT705" s="22" t="str">
        <f t="shared" si="155"/>
        <v>NO</v>
      </c>
      <c r="AU705" s="22" t="str">
        <f t="shared" si="155"/>
        <v>NO</v>
      </c>
      <c r="AV705" s="22" t="str">
        <f t="shared" si="155"/>
        <v>NO</v>
      </c>
      <c r="AW705" s="22" t="str">
        <f t="shared" si="155"/>
        <v>NO</v>
      </c>
      <c r="AY705" s="79"/>
      <c r="AZ705" s="79"/>
    </row>
    <row r="706" spans="1:52" x14ac:dyDescent="0.3">
      <c r="A706" s="95" t="str">
        <f t="shared" si="149"/>
        <v>NI FSOM</v>
      </c>
      <c r="B706" s="95" t="s">
        <v>969</v>
      </c>
      <c r="C706" s="95" t="s">
        <v>60</v>
      </c>
      <c r="D706" t="s">
        <v>369</v>
      </c>
      <c r="E706" t="s">
        <v>55</v>
      </c>
      <c r="F706" t="s">
        <v>60</v>
      </c>
      <c r="G706" t="s">
        <v>1280</v>
      </c>
      <c r="H706" t="s">
        <v>1281</v>
      </c>
      <c r="J706" t="s">
        <v>287</v>
      </c>
      <c r="K706" s="22" t="str">
        <f t="shared" si="152"/>
        <v>NO</v>
      </c>
      <c r="L706" s="22" t="str">
        <f t="shared" si="155"/>
        <v>NO</v>
      </c>
      <c r="M706" s="22" t="str">
        <f t="shared" si="155"/>
        <v>NO</v>
      </c>
      <c r="N706" s="22" t="str">
        <f t="shared" si="155"/>
        <v>NO</v>
      </c>
      <c r="O706" s="22" t="str">
        <f t="shared" si="155"/>
        <v>NO</v>
      </c>
      <c r="P706" s="22" t="str">
        <f t="shared" si="155"/>
        <v>NO</v>
      </c>
      <c r="Q706" s="22" t="str">
        <f t="shared" si="155"/>
        <v>NO</v>
      </c>
      <c r="R706" s="22" t="str">
        <f t="shared" si="155"/>
        <v>NO</v>
      </c>
      <c r="S706" s="22" t="str">
        <f t="shared" si="155"/>
        <v>NO</v>
      </c>
      <c r="T706" s="22" t="str">
        <f t="shared" si="155"/>
        <v>NO</v>
      </c>
      <c r="U706" s="22" t="str">
        <f t="shared" si="155"/>
        <v>NO</v>
      </c>
      <c r="V706" s="22" t="str">
        <f t="shared" si="155"/>
        <v>NO</v>
      </c>
      <c r="W706" s="22" t="str">
        <f t="shared" si="155"/>
        <v>NO</v>
      </c>
      <c r="X706" s="22" t="str">
        <f t="shared" si="155"/>
        <v>NO</v>
      </c>
      <c r="Y706" s="22" t="str">
        <f t="shared" si="155"/>
        <v>NO</v>
      </c>
      <c r="Z706" s="22" t="str">
        <f t="shared" si="155"/>
        <v>NO</v>
      </c>
      <c r="AA706" s="22" t="str">
        <f t="shared" si="155"/>
        <v>NO</v>
      </c>
      <c r="AB706" s="22" t="str">
        <f t="shared" si="155"/>
        <v>NO</v>
      </c>
      <c r="AC706" s="22" t="str">
        <f t="shared" si="155"/>
        <v>NO</v>
      </c>
      <c r="AD706" s="22" t="str">
        <f t="shared" si="155"/>
        <v>NO</v>
      </c>
      <c r="AE706" s="22" t="str">
        <f t="shared" si="155"/>
        <v>NO</v>
      </c>
      <c r="AF706" s="22" t="str">
        <f t="shared" si="155"/>
        <v>NO</v>
      </c>
      <c r="AG706" s="22" t="str">
        <f t="shared" si="155"/>
        <v>NO</v>
      </c>
      <c r="AH706" s="22" t="str">
        <f t="shared" si="155"/>
        <v>NO</v>
      </c>
      <c r="AI706" s="22" t="str">
        <f t="shared" si="155"/>
        <v>NO</v>
      </c>
      <c r="AJ706" s="22" t="str">
        <f t="shared" si="155"/>
        <v>NO</v>
      </c>
      <c r="AK706" s="22" t="str">
        <f t="shared" si="155"/>
        <v>NO</v>
      </c>
      <c r="AL706" s="22" t="str">
        <f t="shared" si="155"/>
        <v>NO</v>
      </c>
      <c r="AM706" s="22" t="str">
        <f t="shared" si="155"/>
        <v>NO</v>
      </c>
      <c r="AN706" s="22" t="str">
        <f t="shared" si="155"/>
        <v>NO</v>
      </c>
      <c r="AO706" s="22" t="str">
        <f t="shared" si="155"/>
        <v>NO</v>
      </c>
      <c r="AP706" s="22" t="str">
        <f t="shared" si="155"/>
        <v>NO</v>
      </c>
      <c r="AQ706" s="22" t="str">
        <f t="shared" si="155"/>
        <v>NO</v>
      </c>
      <c r="AR706" s="22" t="str">
        <f t="shared" si="155"/>
        <v>NO</v>
      </c>
      <c r="AS706" s="22" t="str">
        <f t="shared" si="155"/>
        <v>NO</v>
      </c>
      <c r="AT706" s="22" t="str">
        <f t="shared" si="155"/>
        <v>NO</v>
      </c>
      <c r="AU706" s="22" t="str">
        <f t="shared" si="155"/>
        <v>NO</v>
      </c>
      <c r="AV706" s="22" t="str">
        <f t="shared" si="155"/>
        <v>NO</v>
      </c>
      <c r="AW706" s="22" t="str">
        <f t="shared" si="155"/>
        <v>NO</v>
      </c>
      <c r="AY706" s="79"/>
      <c r="AZ706" s="79"/>
    </row>
    <row r="707" spans="1:52" x14ac:dyDescent="0.3">
      <c r="A707" s="95" t="str">
        <f t="shared" si="149"/>
        <v>NI FSOM</v>
      </c>
      <c r="B707" s="95" t="s">
        <v>969</v>
      </c>
      <c r="C707" s="95" t="s">
        <v>60</v>
      </c>
      <c r="D707" t="s">
        <v>369</v>
      </c>
      <c r="E707" t="s">
        <v>55</v>
      </c>
      <c r="F707" t="s">
        <v>60</v>
      </c>
      <c r="G707" t="s">
        <v>1282</v>
      </c>
      <c r="H707" t="s">
        <v>1283</v>
      </c>
      <c r="J707" t="s">
        <v>287</v>
      </c>
      <c r="K707" s="22">
        <f t="shared" si="152"/>
        <v>5.604018730639919E-5</v>
      </c>
      <c r="L707" s="22">
        <f t="shared" si="155"/>
        <v>5.604018730639919E-5</v>
      </c>
      <c r="M707" s="22">
        <f t="shared" si="155"/>
        <v>5.604018730639919E-5</v>
      </c>
      <c r="N707" s="22">
        <f t="shared" si="155"/>
        <v>5.604018730639919E-5</v>
      </c>
      <c r="O707" s="22">
        <f t="shared" si="155"/>
        <v>5.604018730639919E-5</v>
      </c>
      <c r="P707" s="22">
        <f t="shared" si="155"/>
        <v>5.604018730639919E-5</v>
      </c>
      <c r="Q707" s="22">
        <f t="shared" si="155"/>
        <v>5.604018730639919E-5</v>
      </c>
      <c r="R707" s="22">
        <f t="shared" si="155"/>
        <v>5.604018730639919E-5</v>
      </c>
      <c r="S707" s="22">
        <f t="shared" si="155"/>
        <v>5.604018730639919E-5</v>
      </c>
      <c r="T707" s="22">
        <f t="shared" si="155"/>
        <v>5.604018730639919E-5</v>
      </c>
      <c r="U707" s="22">
        <f t="shared" si="155"/>
        <v>5.604018730639919E-5</v>
      </c>
      <c r="V707" s="22">
        <f t="shared" si="155"/>
        <v>5.604018730639919E-5</v>
      </c>
      <c r="W707" s="22">
        <f t="shared" si="155"/>
        <v>5.604018730639919E-5</v>
      </c>
      <c r="X707" s="22">
        <f t="shared" si="155"/>
        <v>5.604018730639919E-5</v>
      </c>
      <c r="Y707" s="22">
        <f t="shared" si="155"/>
        <v>5.604018730639919E-5</v>
      </c>
      <c r="Z707" s="22">
        <f t="shared" si="155"/>
        <v>5.604018730639919E-5</v>
      </c>
      <c r="AA707" s="22">
        <f t="shared" si="155"/>
        <v>5.604018730639919E-5</v>
      </c>
      <c r="AB707" s="22">
        <f t="shared" si="155"/>
        <v>5.604018730639919E-5</v>
      </c>
      <c r="AC707" s="22">
        <f t="shared" si="155"/>
        <v>5.604018730639919E-5</v>
      </c>
      <c r="AD707" s="22">
        <f t="shared" si="155"/>
        <v>5.604018730639919E-5</v>
      </c>
      <c r="AE707" s="22">
        <f t="shared" si="155"/>
        <v>5.604018730639919E-5</v>
      </c>
      <c r="AF707" s="22">
        <f t="shared" si="155"/>
        <v>5.604018730639919E-5</v>
      </c>
      <c r="AG707" s="22">
        <f t="shared" si="155"/>
        <v>5.604018730639919E-5</v>
      </c>
      <c r="AH707" s="22">
        <f t="shared" si="155"/>
        <v>5.604018730639919E-5</v>
      </c>
      <c r="AI707" s="22">
        <f t="shared" si="155"/>
        <v>5.604018730639919E-5</v>
      </c>
      <c r="AJ707" s="22">
        <f t="shared" si="155"/>
        <v>5.604018730639919E-5</v>
      </c>
      <c r="AK707" s="22">
        <f t="shared" si="155"/>
        <v>5.604018730639919E-5</v>
      </c>
      <c r="AL707" s="22">
        <f t="shared" si="155"/>
        <v>5.604018730639919E-5</v>
      </c>
      <c r="AM707" s="22">
        <f t="shared" si="155"/>
        <v>5.604018730639919E-5</v>
      </c>
      <c r="AN707" s="22">
        <f t="shared" si="155"/>
        <v>5.604018730639919E-5</v>
      </c>
      <c r="AO707" s="22">
        <f t="shared" si="155"/>
        <v>5.604018730639919E-5</v>
      </c>
      <c r="AP707" s="22">
        <f t="shared" si="155"/>
        <v>5.604018730639919E-5</v>
      </c>
      <c r="AQ707" s="22">
        <f t="shared" si="155"/>
        <v>5.604018730639919E-5</v>
      </c>
      <c r="AR707" s="22">
        <f t="shared" si="155"/>
        <v>5.604018730639919E-5</v>
      </c>
      <c r="AS707" s="22">
        <f t="shared" si="155"/>
        <v>5.604018730639919E-5</v>
      </c>
      <c r="AT707" s="22">
        <f t="shared" si="155"/>
        <v>5.604018730639919E-5</v>
      </c>
      <c r="AU707" s="22">
        <f t="shared" si="155"/>
        <v>5.604018730639919E-5</v>
      </c>
      <c r="AV707" s="22">
        <f t="shared" si="155"/>
        <v>5.604018730639919E-5</v>
      </c>
      <c r="AW707" s="22">
        <f t="shared" si="155"/>
        <v>5.604018730639919E-5</v>
      </c>
      <c r="AY707" s="79"/>
      <c r="AZ707" s="79"/>
    </row>
    <row r="708" spans="1:52" x14ac:dyDescent="0.3">
      <c r="A708" s="95" t="str">
        <f t="shared" si="149"/>
        <v>NI FSOM</v>
      </c>
      <c r="B708" s="95" t="s">
        <v>969</v>
      </c>
      <c r="C708" s="95" t="s">
        <v>60</v>
      </c>
      <c r="D708" t="s">
        <v>369</v>
      </c>
      <c r="E708" t="s">
        <v>55</v>
      </c>
      <c r="F708" t="s">
        <v>60</v>
      </c>
      <c r="G708" t="s">
        <v>1284</v>
      </c>
      <c r="H708" t="s">
        <v>1285</v>
      </c>
      <c r="J708" t="s">
        <v>287</v>
      </c>
      <c r="K708" s="22">
        <f t="shared" si="152"/>
        <v>6.110857899094551E-2</v>
      </c>
      <c r="L708" s="22">
        <f t="shared" si="155"/>
        <v>6.110857899094551E-2</v>
      </c>
      <c r="M708" s="22">
        <f t="shared" si="155"/>
        <v>6.110857899094551E-2</v>
      </c>
      <c r="N708" s="22">
        <f t="shared" si="155"/>
        <v>6.110857899094551E-2</v>
      </c>
      <c r="O708" s="22">
        <f t="shared" si="155"/>
        <v>6.110857899094551E-2</v>
      </c>
      <c r="P708" s="22">
        <f t="shared" si="155"/>
        <v>6.110857899094551E-2</v>
      </c>
      <c r="Q708" s="22">
        <f t="shared" si="155"/>
        <v>6.110857899094551E-2</v>
      </c>
      <c r="R708" s="22">
        <f t="shared" si="155"/>
        <v>6.110857899094551E-2</v>
      </c>
      <c r="S708" s="22">
        <f t="shared" si="155"/>
        <v>6.110857899094551E-2</v>
      </c>
      <c r="T708" s="22">
        <f t="shared" si="155"/>
        <v>6.110857899094551E-2</v>
      </c>
      <c r="U708" s="22">
        <f t="shared" si="155"/>
        <v>6.110857899094551E-2</v>
      </c>
      <c r="V708" s="22">
        <f t="shared" si="155"/>
        <v>6.110857899094551E-2</v>
      </c>
      <c r="W708" s="22">
        <f t="shared" si="155"/>
        <v>6.110857899094551E-2</v>
      </c>
      <c r="X708" s="22">
        <f t="shared" si="155"/>
        <v>6.110857899094551E-2</v>
      </c>
      <c r="Y708" s="22">
        <f t="shared" si="155"/>
        <v>6.110857899094551E-2</v>
      </c>
      <c r="Z708" s="22">
        <f t="shared" si="155"/>
        <v>6.110857899094551E-2</v>
      </c>
      <c r="AA708" s="22">
        <f t="shared" si="155"/>
        <v>6.110857899094551E-2</v>
      </c>
      <c r="AB708" s="22">
        <f t="shared" si="155"/>
        <v>6.110857899094551E-2</v>
      </c>
      <c r="AC708" s="22">
        <f t="shared" si="155"/>
        <v>6.110857899094551E-2</v>
      </c>
      <c r="AD708" s="22">
        <f t="shared" si="155"/>
        <v>6.110857899094551E-2</v>
      </c>
      <c r="AE708" s="22">
        <f t="shared" si="155"/>
        <v>6.110857899094551E-2</v>
      </c>
      <c r="AF708" s="22">
        <f t="shared" si="155"/>
        <v>6.110857899094551E-2</v>
      </c>
      <c r="AG708" s="22">
        <f t="shared" si="155"/>
        <v>6.110857899094551E-2</v>
      </c>
      <c r="AH708" s="22">
        <f t="shared" si="155"/>
        <v>6.110857899094551E-2</v>
      </c>
      <c r="AI708" s="22">
        <f t="shared" si="155"/>
        <v>6.110857899094551E-2</v>
      </c>
      <c r="AJ708" s="22">
        <f t="shared" si="155"/>
        <v>6.110857899094551E-2</v>
      </c>
      <c r="AK708" s="22">
        <f t="shared" si="155"/>
        <v>6.110857899094551E-2</v>
      </c>
      <c r="AL708" s="22">
        <f t="shared" si="155"/>
        <v>6.110857899094551E-2</v>
      </c>
      <c r="AM708" s="22">
        <f t="shared" si="155"/>
        <v>6.110857899094551E-2</v>
      </c>
      <c r="AN708" s="22">
        <f t="shared" si="155"/>
        <v>6.110857899094551E-2</v>
      </c>
      <c r="AO708" s="22">
        <f t="shared" si="155"/>
        <v>6.110857899094551E-2</v>
      </c>
      <c r="AP708" s="22">
        <f t="shared" si="155"/>
        <v>6.110857899094551E-2</v>
      </c>
      <c r="AQ708" s="22">
        <f t="shared" si="155"/>
        <v>6.110857899094551E-2</v>
      </c>
      <c r="AR708" s="22">
        <f t="shared" si="155"/>
        <v>6.110857899094551E-2</v>
      </c>
      <c r="AS708" s="22">
        <f t="shared" si="155"/>
        <v>6.110857899094551E-2</v>
      </c>
      <c r="AT708" s="22">
        <f t="shared" si="155"/>
        <v>6.110857899094551E-2</v>
      </c>
      <c r="AU708" s="22">
        <f t="shared" si="155"/>
        <v>6.110857899094551E-2</v>
      </c>
      <c r="AV708" s="22">
        <f t="shared" si="155"/>
        <v>6.110857899094551E-2</v>
      </c>
      <c r="AW708" s="22">
        <f t="shared" si="155"/>
        <v>6.110857899094551E-2</v>
      </c>
      <c r="AY708" s="79"/>
      <c r="AZ708" s="79"/>
    </row>
    <row r="709" spans="1:52" x14ac:dyDescent="0.3">
      <c r="A709" s="95" t="str">
        <f t="shared" si="149"/>
        <v>NI FSOM</v>
      </c>
      <c r="B709" s="95" t="s">
        <v>969</v>
      </c>
      <c r="C709" s="95" t="s">
        <v>60</v>
      </c>
      <c r="D709" t="s">
        <v>369</v>
      </c>
      <c r="E709" t="s">
        <v>55</v>
      </c>
      <c r="F709" t="s">
        <v>60</v>
      </c>
      <c r="G709" t="s">
        <v>1286</v>
      </c>
      <c r="H709" t="s">
        <v>1287</v>
      </c>
      <c r="J709" t="s">
        <v>287</v>
      </c>
      <c r="K709" s="22" t="str">
        <f t="shared" si="152"/>
        <v>NO</v>
      </c>
      <c r="L709" s="22" t="str">
        <f t="shared" si="155"/>
        <v>NO</v>
      </c>
      <c r="M709" s="22" t="str">
        <f t="shared" si="155"/>
        <v>NO</v>
      </c>
      <c r="N709" s="22" t="str">
        <f t="shared" si="155"/>
        <v>NO</v>
      </c>
      <c r="O709" s="22" t="str">
        <f t="shared" si="155"/>
        <v>NO</v>
      </c>
      <c r="P709" s="22" t="str">
        <f t="shared" si="155"/>
        <v>NO</v>
      </c>
      <c r="Q709" s="22" t="str">
        <f t="shared" si="155"/>
        <v>NO</v>
      </c>
      <c r="R709" s="22" t="str">
        <f t="shared" si="155"/>
        <v>NO</v>
      </c>
      <c r="S709" s="22" t="str">
        <f t="shared" si="155"/>
        <v>NO</v>
      </c>
      <c r="T709" s="22" t="str">
        <f t="shared" si="155"/>
        <v>NO</v>
      </c>
      <c r="U709" s="22" t="str">
        <f t="shared" si="155"/>
        <v>NO</v>
      </c>
      <c r="V709" s="22" t="str">
        <f t="shared" si="155"/>
        <v>NO</v>
      </c>
      <c r="W709" s="22" t="str">
        <f t="shared" si="155"/>
        <v>NO</v>
      </c>
      <c r="X709" s="22" t="str">
        <f t="shared" si="155"/>
        <v>NO</v>
      </c>
      <c r="Y709" s="22" t="str">
        <f t="shared" si="155"/>
        <v>NO</v>
      </c>
      <c r="Z709" s="22" t="str">
        <f t="shared" si="155"/>
        <v>NO</v>
      </c>
      <c r="AA709" s="22" t="str">
        <f t="shared" si="155"/>
        <v>NO</v>
      </c>
      <c r="AB709" s="22" t="str">
        <f t="shared" si="155"/>
        <v>NO</v>
      </c>
      <c r="AC709" s="22" t="str">
        <f t="shared" si="155"/>
        <v>NO</v>
      </c>
      <c r="AD709" s="22" t="str">
        <f t="shared" si="155"/>
        <v>NO</v>
      </c>
      <c r="AE709" s="22" t="str">
        <f t="shared" si="155"/>
        <v>NO</v>
      </c>
      <c r="AF709" s="22" t="str">
        <f t="shared" si="155"/>
        <v>NO</v>
      </c>
      <c r="AG709" s="22" t="str">
        <f t="shared" si="155"/>
        <v>NO</v>
      </c>
      <c r="AH709" s="22" t="str">
        <f t="shared" si="155"/>
        <v>NO</v>
      </c>
      <c r="AI709" s="22" t="str">
        <f t="shared" si="155"/>
        <v>NO</v>
      </c>
      <c r="AJ709" s="22" t="str">
        <f t="shared" si="155"/>
        <v>NO</v>
      </c>
      <c r="AK709" s="22" t="str">
        <f t="shared" si="155"/>
        <v>NO</v>
      </c>
      <c r="AL709" s="22" t="str">
        <f t="shared" si="155"/>
        <v>NO</v>
      </c>
      <c r="AM709" s="22" t="str">
        <f t="shared" si="155"/>
        <v>NO</v>
      </c>
      <c r="AN709" s="22" t="str">
        <f t="shared" si="155"/>
        <v>NO</v>
      </c>
      <c r="AO709" s="22" t="str">
        <f t="shared" si="155"/>
        <v>NO</v>
      </c>
      <c r="AP709" s="22" t="str">
        <f t="shared" si="155"/>
        <v>NO</v>
      </c>
      <c r="AQ709" s="22" t="str">
        <f t="shared" si="155"/>
        <v>NO</v>
      </c>
      <c r="AR709" s="22" t="str">
        <f t="shared" si="155"/>
        <v>NO</v>
      </c>
      <c r="AS709" s="22" t="str">
        <f t="shared" si="155"/>
        <v>NO</v>
      </c>
      <c r="AT709" s="22" t="str">
        <f t="shared" si="155"/>
        <v>NO</v>
      </c>
      <c r="AU709" s="22" t="str">
        <f t="shared" si="155"/>
        <v>NO</v>
      </c>
      <c r="AV709" s="22" t="str">
        <f t="shared" si="155"/>
        <v>NO</v>
      </c>
      <c r="AW709" s="22" t="str">
        <f t="shared" si="155"/>
        <v>NO</v>
      </c>
      <c r="AY709" s="79"/>
      <c r="AZ709" s="79"/>
    </row>
    <row r="710" spans="1:52" x14ac:dyDescent="0.3">
      <c r="A710" s="95" t="str">
        <f t="shared" si="149"/>
        <v>NI FSOM</v>
      </c>
      <c r="B710" s="95" t="s">
        <v>969</v>
      </c>
      <c r="C710" s="95" t="s">
        <v>60</v>
      </c>
      <c r="D710" t="s">
        <v>369</v>
      </c>
      <c r="E710" t="s">
        <v>55</v>
      </c>
      <c r="F710" t="s">
        <v>60</v>
      </c>
      <c r="G710" t="s">
        <v>1288</v>
      </c>
      <c r="H710" t="s">
        <v>1289</v>
      </c>
      <c r="J710" t="s">
        <v>287</v>
      </c>
      <c r="K710" s="22">
        <f t="shared" si="152"/>
        <v>3.1961717215001131</v>
      </c>
      <c r="L710" s="22">
        <f t="shared" si="155"/>
        <v>3.1961717215001131</v>
      </c>
      <c r="M710" s="22">
        <f t="shared" si="155"/>
        <v>3.1961717215001131</v>
      </c>
      <c r="N710" s="22">
        <f t="shared" si="155"/>
        <v>3.1961717215001131</v>
      </c>
      <c r="O710" s="22">
        <f t="shared" si="155"/>
        <v>3.1961717215001131</v>
      </c>
      <c r="P710" s="22">
        <f t="shared" si="155"/>
        <v>3.1961717215001131</v>
      </c>
      <c r="Q710" s="22">
        <f t="shared" si="155"/>
        <v>3.1961717215001131</v>
      </c>
      <c r="R710" s="22">
        <f t="shared" si="155"/>
        <v>3.1961717215001131</v>
      </c>
      <c r="S710" s="22">
        <f t="shared" si="155"/>
        <v>3.1961717215001131</v>
      </c>
      <c r="T710" s="22">
        <f t="shared" si="155"/>
        <v>3.1961717215001131</v>
      </c>
      <c r="U710" s="22">
        <f t="shared" ref="U710:AW710" si="156">U1509</f>
        <v>3.1961717215001131</v>
      </c>
      <c r="V710" s="22">
        <f t="shared" si="156"/>
        <v>3.1961717215001131</v>
      </c>
      <c r="W710" s="22">
        <f t="shared" si="156"/>
        <v>3.1961717215001131</v>
      </c>
      <c r="X710" s="22">
        <f t="shared" si="156"/>
        <v>3.1961717215001131</v>
      </c>
      <c r="Y710" s="22">
        <f t="shared" si="156"/>
        <v>3.1961717215001131</v>
      </c>
      <c r="Z710" s="22">
        <f t="shared" si="156"/>
        <v>3.1961717215001131</v>
      </c>
      <c r="AA710" s="22">
        <f t="shared" si="156"/>
        <v>3.1961717215001131</v>
      </c>
      <c r="AB710" s="22">
        <f t="shared" si="156"/>
        <v>3.1961717215001131</v>
      </c>
      <c r="AC710" s="22">
        <f t="shared" si="156"/>
        <v>3.1961717215001131</v>
      </c>
      <c r="AD710" s="22">
        <f t="shared" si="156"/>
        <v>3.1961717215001131</v>
      </c>
      <c r="AE710" s="22">
        <f t="shared" si="156"/>
        <v>3.1961717215001131</v>
      </c>
      <c r="AF710" s="22">
        <f t="shared" si="156"/>
        <v>3.1961717215001131</v>
      </c>
      <c r="AG710" s="22">
        <f t="shared" si="156"/>
        <v>3.1961717215001131</v>
      </c>
      <c r="AH710" s="22">
        <f t="shared" si="156"/>
        <v>3.1961717215001131</v>
      </c>
      <c r="AI710" s="22">
        <f t="shared" si="156"/>
        <v>3.1961717215001131</v>
      </c>
      <c r="AJ710" s="22">
        <f t="shared" si="156"/>
        <v>3.1961717215001131</v>
      </c>
      <c r="AK710" s="22">
        <f t="shared" si="156"/>
        <v>3.1961717215001131</v>
      </c>
      <c r="AL710" s="22">
        <f t="shared" si="156"/>
        <v>3.1961717215001131</v>
      </c>
      <c r="AM710" s="22">
        <f t="shared" si="156"/>
        <v>3.1961717215001131</v>
      </c>
      <c r="AN710" s="22">
        <f t="shared" si="156"/>
        <v>3.1961717215001131</v>
      </c>
      <c r="AO710" s="22">
        <f t="shared" si="156"/>
        <v>3.1961717215001131</v>
      </c>
      <c r="AP710" s="22">
        <f t="shared" si="156"/>
        <v>3.1961717215001131</v>
      </c>
      <c r="AQ710" s="22">
        <f t="shared" si="156"/>
        <v>3.1961717215001131</v>
      </c>
      <c r="AR710" s="22">
        <f t="shared" si="156"/>
        <v>3.1961717215001131</v>
      </c>
      <c r="AS710" s="22">
        <f t="shared" si="156"/>
        <v>3.1961717215001131</v>
      </c>
      <c r="AT710" s="22">
        <f t="shared" si="156"/>
        <v>3.1961717215001131</v>
      </c>
      <c r="AU710" s="22">
        <f t="shared" si="156"/>
        <v>3.1961717215001131</v>
      </c>
      <c r="AV710" s="22">
        <f t="shared" si="156"/>
        <v>3.1961717215001131</v>
      </c>
      <c r="AW710" s="22">
        <f t="shared" si="156"/>
        <v>3.1961717215001131</v>
      </c>
      <c r="AY710" s="79"/>
      <c r="AZ710" s="79"/>
    </row>
    <row r="711" spans="1:52" x14ac:dyDescent="0.3">
      <c r="A711" s="95" t="str">
        <f t="shared" si="149"/>
        <v>NI Volatilisation</v>
      </c>
      <c r="B711" s="95" t="s">
        <v>969</v>
      </c>
      <c r="C711" s="95" t="s">
        <v>62</v>
      </c>
      <c r="D711" t="s">
        <v>369</v>
      </c>
      <c r="E711" t="s">
        <v>61</v>
      </c>
      <c r="F711" t="s">
        <v>62</v>
      </c>
      <c r="G711" t="s">
        <v>435</v>
      </c>
      <c r="H711" t="s">
        <v>1184</v>
      </c>
      <c r="I711" t="s">
        <v>139</v>
      </c>
      <c r="J711" t="s">
        <v>287</v>
      </c>
      <c r="K711" s="94">
        <f>IF('Net zero activities &amp; levers'!$C$9="Off",'Activity data'!AD47*ttokg*FracGASF*MSVolatEF*NtoN2O*kgtoGg,IF('Net zero activities &amp; levers'!$C$9="On",(('Net zero supporting data'!B157*ttokg*FracGASF*'Net zero supporting data'!B184)+('Net zero supporting data'!B169*ttokg*FracGASF*MMVolatEF))*NtoN2O*kgtoGg,"ERROR"))</f>
        <v>0.66064812063358536</v>
      </c>
      <c r="L711" s="94">
        <f>IF('Net zero activities &amp; levers'!$C$9="Off",'Activity data'!AE47*ttokg*FracGASF*MSVolatEF*NtoN2O*kgtoGg,IF('Net zero activities &amp; levers'!$C$9="On",(('Net zero supporting data'!C157*ttokg*FracGASF*'Net zero supporting data'!C184)+('Net zero supporting data'!C169*ttokg*FracGASF*MMVolatEF))*NtoN2O*kgtoGg,"ERROR"))</f>
        <v>0.66058242184852956</v>
      </c>
      <c r="M711" s="94">
        <f>IF('Net zero activities &amp; levers'!$C$9="Off",'Activity data'!AF47*ttokg*FracGASF*MSVolatEF*NtoN2O*kgtoGg,IF('Net zero activities &amp; levers'!$C$9="On",(('Net zero supporting data'!D157*ttokg*FracGASF*'Net zero supporting data'!D184)+('Net zero supporting data'!D169*ttokg*FracGASF*MMVolatEF))*NtoN2O*kgtoGg,"ERROR"))</f>
        <v>0.66046196765835474</v>
      </c>
      <c r="N711" s="94">
        <f>IF('Net zero activities &amp; levers'!$C$9="Off",'Activity data'!AG47*ttokg*FracGASF*MSVolatEF*NtoN2O*kgtoGg,IF('Net zero activities &amp; levers'!$C$9="On",(('Net zero supporting data'!E157*ttokg*FracGASF*'Net zero supporting data'!E184)+('Net zero supporting data'!E169*ttokg*FracGASF*MMVolatEF))*NtoN2O*kgtoGg,"ERROR"))</f>
        <v>0.66031799495417198</v>
      </c>
      <c r="O711" s="94">
        <f>IF('Net zero activities &amp; levers'!$C$9="Off",'Activity data'!AH47*ttokg*FracGASF*MSVolatEF*NtoN2O*kgtoGg,IF('Net zero activities &amp; levers'!$C$9="On",(('Net zero supporting data'!F157*ttokg*FracGASF*'Net zero supporting data'!F184)+('Net zero supporting data'!F169*ttokg*FracGASF*MMVolatEF))*NtoN2O*kgtoGg,"ERROR"))</f>
        <v>0.66022073532502734</v>
      </c>
      <c r="P711" s="94">
        <f>IF('Net zero activities &amp; levers'!$C$9="Off",'Activity data'!AI47*ttokg*FracGASF*MSVolatEF*NtoN2O*kgtoGg,IF('Net zero activities &amp; levers'!$C$9="On",(('Net zero supporting data'!G157*ttokg*FracGASF*'Net zero supporting data'!G184)+('Net zero supporting data'!G169*ttokg*FracGASF*MMVolatEF))*NtoN2O*kgtoGg,"ERROR"))</f>
        <v>0.66015380384919209</v>
      </c>
      <c r="Q711" s="94">
        <f>IF('Net zero activities &amp; levers'!$C$9="Off",'Activity data'!AJ47*ttokg*FracGASF*MSVolatEF*NtoN2O*kgtoGg,IF('Net zero activities &amp; levers'!$C$9="On",(('Net zero supporting data'!H157*ttokg*FracGASF*'Net zero supporting data'!H184)+('Net zero supporting data'!H169*ttokg*FracGASF*MMVolatEF))*NtoN2O*kgtoGg,"ERROR"))</f>
        <v>0.66011715236312984</v>
      </c>
      <c r="R711" s="94">
        <f>IF('Net zero activities &amp; levers'!$C$9="Off",'Activity data'!AK47*ttokg*FracGASF*MSVolatEF*NtoN2O*kgtoGg,IF('Net zero activities &amp; levers'!$C$9="On",(('Net zero supporting data'!I157*ttokg*FracGASF*'Net zero supporting data'!I184)+('Net zero supporting data'!I169*ttokg*FracGASF*MMVolatEF))*NtoN2O*kgtoGg,"ERROR"))</f>
        <v>0.66005785698707231</v>
      </c>
      <c r="S711" s="94">
        <f>IF('Net zero activities &amp; levers'!$C$9="Off",'Activity data'!AL47*ttokg*FracGASF*MSVolatEF*NtoN2O*kgtoGg,IF('Net zero activities &amp; levers'!$C$9="On",(('Net zero supporting data'!J157*ttokg*FracGASF*'Net zero supporting data'!J184)+('Net zero supporting data'!J169*ttokg*FracGASF*MMVolatEF))*NtoN2O*kgtoGg,"ERROR"))</f>
        <v>0.65999557160724309</v>
      </c>
      <c r="T711" s="94">
        <f>IF('Net zero activities &amp; levers'!$C$9="Off",'Activity data'!AM47*ttokg*FracGASF*MSVolatEF*NtoN2O*kgtoGg,IF('Net zero activities &amp; levers'!$C$9="On",(('Net zero supporting data'!K157*ttokg*FracGASF*'Net zero supporting data'!K184)+('Net zero supporting data'!K169*ttokg*FracGASF*MMVolatEF))*NtoN2O*kgtoGg,"ERROR"))</f>
        <v>0.66042852126323504</v>
      </c>
      <c r="U711" s="94">
        <f>IF('Net zero activities &amp; levers'!$C$9="Off",'Activity data'!AN47*ttokg*FracGASF*MSVolatEF*NtoN2O*kgtoGg,IF('Net zero activities &amp; levers'!$C$9="On",(('Net zero supporting data'!L157*ttokg*FracGASF*'Net zero supporting data'!L184)+('Net zero supporting data'!L169*ttokg*FracGASF*MMVolatEF))*NtoN2O*kgtoGg,"ERROR"))</f>
        <v>0.660256842080582</v>
      </c>
      <c r="V711" s="94">
        <f>IF('Net zero activities &amp; levers'!$C$9="Off",'Activity data'!AO47*ttokg*FracGASF*MSVolatEF*NtoN2O*kgtoGg,IF('Net zero activities &amp; levers'!$C$9="On",(('Net zero supporting data'!M157*ttokg*FracGASF*'Net zero supporting data'!M184)+('Net zero supporting data'!M169*ttokg*FracGASF*MMVolatEF))*NtoN2O*kgtoGg,"ERROR"))</f>
        <v>0.66002252909433212</v>
      </c>
      <c r="W711" s="94">
        <f>IF('Net zero activities &amp; levers'!$C$9="Off",'Activity data'!AP47*ttokg*FracGASF*MSVolatEF*NtoN2O*kgtoGg,IF('Net zero activities &amp; levers'!$C$9="On",(('Net zero supporting data'!N157*ttokg*FracGASF*'Net zero supporting data'!N184)+('Net zero supporting data'!N169*ttokg*FracGASF*MMVolatEF))*NtoN2O*kgtoGg,"ERROR"))</f>
        <v>0.65989661681898848</v>
      </c>
      <c r="X711" s="94">
        <f>IF('Net zero activities &amp; levers'!$C$9="Off",'Activity data'!AQ47*ttokg*FracGASF*MSVolatEF*NtoN2O*kgtoGg,IF('Net zero activities &amp; levers'!$C$9="On",(('Net zero supporting data'!O157*ttokg*FracGASF*'Net zero supporting data'!O184)+('Net zero supporting data'!O169*ttokg*FracGASF*MMVolatEF))*NtoN2O*kgtoGg,"ERROR"))</f>
        <v>0.6597589047711292</v>
      </c>
      <c r="Y711" s="94">
        <f>IF('Net zero activities &amp; levers'!$C$9="Off",'Activity data'!AR47*ttokg*FracGASF*MSVolatEF*NtoN2O*kgtoGg,IF('Net zero activities &amp; levers'!$C$9="On",(('Net zero supporting data'!P157*ttokg*FracGASF*'Net zero supporting data'!P184)+('Net zero supporting data'!P169*ttokg*FracGASF*MMVolatEF))*NtoN2O*kgtoGg,"ERROR"))</f>
        <v>0.659605796092819</v>
      </c>
      <c r="Z711" s="94">
        <f>IF('Net zero activities &amp; levers'!$C$9="Off",'Activity data'!AS47*ttokg*FracGASF*MSVolatEF*NtoN2O*kgtoGg,IF('Net zero activities &amp; levers'!$C$9="On",(('Net zero supporting data'!Q157*ttokg*FracGASF*'Net zero supporting data'!Q184)+('Net zero supporting data'!Q169*ttokg*FracGASF*MMVolatEF))*NtoN2O*kgtoGg,"ERROR"))</f>
        <v>0.65944507555305243</v>
      </c>
      <c r="AA711" s="94">
        <f>IF('Net zero activities &amp; levers'!$C$9="Off",'Activity data'!AT47*ttokg*FracGASF*MSVolatEF*NtoN2O*kgtoGg,IF('Net zero activities &amp; levers'!$C$9="On",(('Net zero supporting data'!R157*ttokg*FracGASF*'Net zero supporting data'!R184)+('Net zero supporting data'!R169*ttokg*FracGASF*MMVolatEF))*NtoN2O*kgtoGg,"ERROR"))</f>
        <v>0.65927354812209926</v>
      </c>
      <c r="AB711" s="94">
        <f>IF('Net zero activities &amp; levers'!$C$9="Off",'Activity data'!AU47*ttokg*FracGASF*MSVolatEF*NtoN2O*kgtoGg,IF('Net zero activities &amp; levers'!$C$9="On",(('Net zero supporting data'!S157*ttokg*FracGASF*'Net zero supporting data'!S184)+('Net zero supporting data'!S169*ttokg*FracGASF*MMVolatEF))*NtoN2O*kgtoGg,"ERROR"))</f>
        <v>0.65910165055066838</v>
      </c>
      <c r="AC711" s="94">
        <f>IF('Net zero activities &amp; levers'!$C$9="Off",'Activity data'!AV47*ttokg*FracGASF*MSVolatEF*NtoN2O*kgtoGg,IF('Net zero activities &amp; levers'!$C$9="On",(('Net zero supporting data'!T157*ttokg*FracGASF*'Net zero supporting data'!T184)+('Net zero supporting data'!T169*ttokg*FracGASF*MMVolatEF))*NtoN2O*kgtoGg,"ERROR"))</f>
        <v>0.65892060560614785</v>
      </c>
      <c r="AD711" s="94">
        <f>IF('Net zero activities &amp; levers'!$C$9="Off",'Activity data'!AW47*ttokg*FracGASF*MSVolatEF*NtoN2O*kgtoGg,IF('Net zero activities &amp; levers'!$C$9="On",(('Net zero supporting data'!U157*ttokg*FracGASF*'Net zero supporting data'!U184)+('Net zero supporting data'!U169*ttokg*FracGASF*MMVolatEF))*NtoN2O*kgtoGg,"ERROR"))</f>
        <v>0.6587403682229962</v>
      </c>
      <c r="AE711" s="94">
        <f>IF('Net zero activities &amp; levers'!$C$9="Off",'Activity data'!AX47*ttokg*FracGASF*MSVolatEF*NtoN2O*kgtoGg,IF('Net zero activities &amp; levers'!$C$9="On",(('Net zero supporting data'!V157*ttokg*FracGASF*'Net zero supporting data'!V184)+('Net zero supporting data'!V169*ttokg*FracGASF*MMVolatEF))*NtoN2O*kgtoGg,"ERROR"))</f>
        <v>0.6585449608557925</v>
      </c>
      <c r="AF711" s="94">
        <f>IF('Net zero activities &amp; levers'!$C$9="Off",'Activity data'!AY47*ttokg*FracGASF*MSVolatEF*NtoN2O*kgtoGg,IF('Net zero activities &amp; levers'!$C$9="On",(('Net zero supporting data'!W157*ttokg*FracGASF*'Net zero supporting data'!W184)+('Net zero supporting data'!W169*ttokg*FracGASF*MMVolatEF))*NtoN2O*kgtoGg,"ERROR"))</f>
        <v>0.65835675614397215</v>
      </c>
      <c r="AG711" s="94">
        <f>IF('Net zero activities &amp; levers'!$C$9="Off",'Activity data'!AZ47*ttokg*FracGASF*MSVolatEF*NtoN2O*kgtoGg,IF('Net zero activities &amp; levers'!$C$9="On",(('Net zero supporting data'!X157*ttokg*FracGASF*'Net zero supporting data'!X184)+('Net zero supporting data'!X169*ttokg*FracGASF*MMVolatEF))*NtoN2O*kgtoGg,"ERROR"))</f>
        <v>0.65816378763594341</v>
      </c>
      <c r="AH711" s="94">
        <f>IF('Net zero activities &amp; levers'!$C$9="Off",'Activity data'!BA47*ttokg*FracGASF*MSVolatEF*NtoN2O*kgtoGg,IF('Net zero activities &amp; levers'!$C$9="On",(('Net zero supporting data'!Y157*ttokg*FracGASF*'Net zero supporting data'!Y184)+('Net zero supporting data'!Y169*ttokg*FracGASF*MMVolatEF))*NtoN2O*kgtoGg,"ERROR"))</f>
        <v>0.6579528278100244</v>
      </c>
      <c r="AI711" s="94">
        <f>IF('Net zero activities &amp; levers'!$C$9="Off",'Activity data'!BB47*ttokg*FracGASF*MSVolatEF*NtoN2O*kgtoGg,IF('Net zero activities &amp; levers'!$C$9="On",(('Net zero supporting data'!Z157*ttokg*FracGASF*'Net zero supporting data'!Z184)+('Net zero supporting data'!Z169*ttokg*FracGASF*MMVolatEF))*NtoN2O*kgtoGg,"ERROR"))</f>
        <v>0.65775665224366497</v>
      </c>
      <c r="AJ711" s="94">
        <f>IF('Net zero activities &amp; levers'!$C$9="Off",'Activity data'!BC47*ttokg*FracGASF*MSVolatEF*NtoN2O*kgtoGg,IF('Net zero activities &amp; levers'!$C$9="On",(('Net zero supporting data'!AA157*ttokg*FracGASF*'Net zero supporting data'!AA184)+('Net zero supporting data'!AA169*ttokg*FracGASF*MMVolatEF))*NtoN2O*kgtoGg,"ERROR"))</f>
        <v>0.65755521924304883</v>
      </c>
      <c r="AK711" s="94">
        <f>IF('Net zero activities &amp; levers'!$C$9="Off",'Activity data'!BD47*ttokg*FracGASF*MSVolatEF*NtoN2O*kgtoGg,IF('Net zero activities &amp; levers'!$C$9="On",(('Net zero supporting data'!AB157*ttokg*FracGASF*'Net zero supporting data'!AB184)+('Net zero supporting data'!AB169*ttokg*FracGASF*MMVolatEF))*NtoN2O*kgtoGg,"ERROR"))</f>
        <v>0.65734627926543143</v>
      </c>
      <c r="AL711" s="94">
        <f>IF('Net zero activities &amp; levers'!$C$9="Off",'Activity data'!BE47*ttokg*FracGASF*MSVolatEF*NtoN2O*kgtoGg,IF('Net zero activities &amp; levers'!$C$9="On",(('Net zero supporting data'!AC157*ttokg*FracGASF*'Net zero supporting data'!AC184)+('Net zero supporting data'!AC169*ttokg*FracGASF*MMVolatEF))*NtoN2O*kgtoGg,"ERROR"))</f>
        <v>0.65715425101563263</v>
      </c>
      <c r="AM711" s="94">
        <f>IF('Net zero activities &amp; levers'!$C$9="Off",'Activity data'!BF47*ttokg*FracGASF*MSVolatEF*NtoN2O*kgtoGg,IF('Net zero activities &amp; levers'!$C$9="On",(('Net zero supporting data'!AD157*ttokg*FracGASF*'Net zero supporting data'!AD184)+('Net zero supporting data'!AD169*ttokg*FracGASF*MMVolatEF))*NtoN2O*kgtoGg,"ERROR"))</f>
        <v>0.65696756052718408</v>
      </c>
      <c r="AN711" s="94">
        <f>IF('Net zero activities &amp; levers'!$C$9="Off",'Activity data'!BG47*ttokg*FracGASF*MSVolatEF*NtoN2O*kgtoGg,IF('Net zero activities &amp; levers'!$C$9="On",(('Net zero supporting data'!AE157*ttokg*FracGASF*'Net zero supporting data'!AE184)+('Net zero supporting data'!AE169*ttokg*FracGASF*MMVolatEF))*NtoN2O*kgtoGg,"ERROR"))</f>
        <v>0.65678548596880248</v>
      </c>
      <c r="AO711" s="94">
        <f>IF('Net zero activities &amp; levers'!$C$9="Off",'Activity data'!BH47*ttokg*FracGASF*MSVolatEF*NtoN2O*kgtoGg,IF('Net zero activities &amp; levers'!$C$9="On",(('Net zero supporting data'!AF157*ttokg*FracGASF*'Net zero supporting data'!AF184)+('Net zero supporting data'!AF169*ttokg*FracGASF*MMVolatEF))*NtoN2O*kgtoGg,"ERROR"))</f>
        <v>0.65659337062591927</v>
      </c>
      <c r="AP711" s="94">
        <f>IF('Net zero activities &amp; levers'!$C$9="Off",'Activity data'!BI47*ttokg*FracGASF*MSVolatEF*NtoN2O*kgtoGg,IF('Net zero activities &amp; levers'!$C$9="On",(('Net zero supporting data'!AG157*ttokg*FracGASF*'Net zero supporting data'!AG184)+('Net zero supporting data'!AG169*ttokg*FracGASF*MMVolatEF))*NtoN2O*kgtoGg,"ERROR"))</f>
        <v>0.65641235920406316</v>
      </c>
      <c r="AQ711" s="94">
        <f>IF('Net zero activities &amp; levers'!$C$9="Off",'Activity data'!BJ47*ttokg*FracGASF*MSVolatEF*NtoN2O*kgtoGg,IF('Net zero activities &amp; levers'!$C$9="On",(('Net zero supporting data'!AH157*ttokg*FracGASF*'Net zero supporting data'!AH184)+('Net zero supporting data'!AH169*ttokg*FracGASF*MMVolatEF))*NtoN2O*kgtoGg,"ERROR"))</f>
        <v>0.65622903638449304</v>
      </c>
      <c r="AR711" s="94">
        <f>IF('Net zero activities &amp; levers'!$C$9="Off",'Activity data'!BK47*ttokg*FracGASF*MSVolatEF*NtoN2O*kgtoGg,IF('Net zero activities &amp; levers'!$C$9="On",(('Net zero supporting data'!AI157*ttokg*FracGASF*'Net zero supporting data'!AI184)+('Net zero supporting data'!AI169*ttokg*FracGASF*MMVolatEF))*NtoN2O*kgtoGg,"ERROR"))</f>
        <v>0.65604286486377728</v>
      </c>
      <c r="AS711" s="94">
        <f>IF('Net zero activities &amp; levers'!$C$9="Off",'Activity data'!BL47*ttokg*FracGASF*MSVolatEF*NtoN2O*kgtoGg,IF('Net zero activities &amp; levers'!$C$9="On",(('Net zero supporting data'!AJ157*ttokg*FracGASF*'Net zero supporting data'!AJ184)+('Net zero supporting data'!AJ169*ttokg*FracGASF*MMVolatEF))*NtoN2O*kgtoGg,"ERROR"))</f>
        <v>0.65585292511260118</v>
      </c>
      <c r="AT711" s="94">
        <f>IF('Net zero activities &amp; levers'!$C$9="Off",'Activity data'!BM47*ttokg*FracGASF*MSVolatEF*NtoN2O*kgtoGg,IF('Net zero activities &amp; levers'!$C$9="On",(('Net zero supporting data'!AK157*ttokg*FracGASF*'Net zero supporting data'!AK184)+('Net zero supporting data'!AK169*ttokg*FracGASF*MMVolatEF))*NtoN2O*kgtoGg,"ERROR"))</f>
        <v>0.65566000956326953</v>
      </c>
      <c r="AU711" s="94">
        <f>IF('Net zero activities &amp; levers'!$C$9="Off",'Activity data'!BN47*ttokg*FracGASF*MSVolatEF*NtoN2O*kgtoGg,IF('Net zero activities &amp; levers'!$C$9="On",(('Net zero supporting data'!AL157*ttokg*FracGASF*'Net zero supporting data'!AL184)+('Net zero supporting data'!AL169*ttokg*FracGASF*MMVolatEF))*NtoN2O*kgtoGg,"ERROR"))</f>
        <v>0.65560073347552816</v>
      </c>
      <c r="AV711" s="94">
        <f>IF('Net zero activities &amp; levers'!$C$9="Off",'Activity data'!BO47*ttokg*FracGASF*MSVolatEF*NtoN2O*kgtoGg,IF('Net zero activities &amp; levers'!$C$9="On",(('Net zero supporting data'!AM157*ttokg*FracGASF*'Net zero supporting data'!AM184)+('Net zero supporting data'!AM169*ttokg*FracGASF*MMVolatEF))*NtoN2O*kgtoGg,"ERROR"))</f>
        <v>0.65555391486602432</v>
      </c>
      <c r="AW711" s="94">
        <f>IF('Net zero activities &amp; levers'!$C$9="Off",'Activity data'!BP47*ttokg*FracGASF*MSVolatEF*NtoN2O*kgtoGg,IF('Net zero activities &amp; levers'!$C$9="On",(('Net zero supporting data'!AN157*ttokg*FracGASF*'Net zero supporting data'!AN184)+('Net zero supporting data'!AN169*ttokg*FracGASF*MMVolatEF))*NtoN2O*kgtoGg,"ERROR"))</f>
        <v>0.65552474687649953</v>
      </c>
      <c r="AY711" s="79"/>
      <c r="AZ711" s="79"/>
    </row>
    <row r="712" spans="1:52" x14ac:dyDescent="0.3">
      <c r="A712" s="95" t="str">
        <f t="shared" si="149"/>
        <v>NI Volatilisation</v>
      </c>
      <c r="B712" s="95" t="s">
        <v>969</v>
      </c>
      <c r="C712" s="95" t="s">
        <v>62</v>
      </c>
      <c r="D712" t="s">
        <v>369</v>
      </c>
      <c r="E712" t="s">
        <v>61</v>
      </c>
      <c r="F712" t="s">
        <v>62</v>
      </c>
      <c r="G712" t="s">
        <v>436</v>
      </c>
      <c r="H712" t="s">
        <v>1185</v>
      </c>
      <c r="I712" t="s">
        <v>139</v>
      </c>
      <c r="J712" t="s">
        <v>287</v>
      </c>
      <c r="K712" s="94">
        <f>IF('Net zero activities &amp; levers'!$C$9="Off",'Activity data'!AD48*ttokg*FracGASM*MSVolatEF*NtoN2O*kgtoGg,IF('Net zero activities &amp; levers'!$C$9="On",(('Net zero supporting data'!B158*ttokg*FracGASM*'Net zero supporting data'!B184)+('Net zero supporting data'!B170*ttokg*FracGASM*MSVolatEF))*NtoN2O*kgtoGg,"ERROR"))</f>
        <v>8.720555192363328E-3</v>
      </c>
      <c r="L712" s="94">
        <f>IF('Net zero activities &amp; levers'!$C$9="Off",'Activity data'!AE48*ttokg*FracGASM*MSVolatEF*NtoN2O*kgtoGg,IF('Net zero activities &amp; levers'!$C$9="On",(('Net zero supporting data'!C158*ttokg*FracGASM*'Net zero supporting data'!C184)+('Net zero supporting data'!C170*ttokg*FracGASM*MSVolatEF))*NtoN2O*kgtoGg,"ERROR"))</f>
        <v>8.7196879684005926E-3</v>
      </c>
      <c r="M712" s="94">
        <f>IF('Net zero activities &amp; levers'!$C$9="Off",'Activity data'!AF48*ttokg*FracGASM*MSVolatEF*NtoN2O*kgtoGg,IF('Net zero activities &amp; levers'!$C$9="On",(('Net zero supporting data'!D158*ttokg*FracGASM*'Net zero supporting data'!D184)+('Net zero supporting data'!D170*ttokg*FracGASM*MSVolatEF))*NtoN2O*kgtoGg,"ERROR"))</f>
        <v>8.7180979730902847E-3</v>
      </c>
      <c r="N712" s="94">
        <f>IF('Net zero activities &amp; levers'!$C$9="Off",'Activity data'!AG48*ttokg*FracGASM*MSVolatEF*NtoN2O*kgtoGg,IF('Net zero activities &amp; levers'!$C$9="On",(('Net zero supporting data'!E158*ttokg*FracGASM*'Net zero supporting data'!E184)+('Net zero supporting data'!E170*ttokg*FracGASM*MSVolatEF))*NtoN2O*kgtoGg,"ERROR"))</f>
        <v>8.7161975333950713E-3</v>
      </c>
      <c r="O712" s="94">
        <f>IF('Net zero activities &amp; levers'!$C$9="Off",'Activity data'!AH48*ttokg*FracGASM*MSVolatEF*NtoN2O*kgtoGg,IF('Net zero activities &amp; levers'!$C$9="On",(('Net zero supporting data'!F158*ttokg*FracGASM*'Net zero supporting data'!F184)+('Net zero supporting data'!F170*ttokg*FracGASM*MSVolatEF))*NtoN2O*kgtoGg,"ERROR"))</f>
        <v>8.7149137062903607E-3</v>
      </c>
      <c r="P712" s="94">
        <f>IF('Net zero activities &amp; levers'!$C$9="Off",'Activity data'!AI48*ttokg*FracGASM*MSVolatEF*NtoN2O*kgtoGg,IF('Net zero activities &amp; levers'!$C$9="On",(('Net zero supporting data'!G158*ttokg*FracGASM*'Net zero supporting data'!G184)+('Net zero supporting data'!G170*ttokg*FracGASM*MSVolatEF))*NtoN2O*kgtoGg,"ERROR"))</f>
        <v>8.7140302108093363E-3</v>
      </c>
      <c r="Q712" s="94">
        <f>IF('Net zero activities &amp; levers'!$C$9="Off",'Activity data'!AJ48*ttokg*FracGASM*MSVolatEF*NtoN2O*kgtoGg,IF('Net zero activities &amp; levers'!$C$9="On",(('Net zero supporting data'!H158*ttokg*FracGASM*'Net zero supporting data'!H184)+('Net zero supporting data'!H170*ttokg*FracGASM*MSVolatEF))*NtoN2O*kgtoGg,"ERROR"))</f>
        <v>8.7135464111933163E-3</v>
      </c>
      <c r="R712" s="94">
        <f>IF('Net zero activities &amp; levers'!$C$9="Off",'Activity data'!AK48*ttokg*FracGASM*MSVolatEF*NtoN2O*kgtoGg,IF('Net zero activities &amp; levers'!$C$9="On",(('Net zero supporting data'!I158*ttokg*FracGASM*'Net zero supporting data'!I184)+('Net zero supporting data'!I170*ttokg*FracGASM*MSVolatEF))*NtoN2O*kgtoGg,"ERROR"))</f>
        <v>8.7127637122293555E-3</v>
      </c>
      <c r="S712" s="94">
        <f>IF('Net zero activities &amp; levers'!$C$9="Off",'Activity data'!AL48*ttokg*FracGASM*MSVolatEF*NtoN2O*kgtoGg,IF('Net zero activities &amp; levers'!$C$9="On",(('Net zero supporting data'!J158*ttokg*FracGASM*'Net zero supporting data'!J184)+('Net zero supporting data'!J170*ttokg*FracGASM*MSVolatEF))*NtoN2O*kgtoGg,"ERROR"))</f>
        <v>8.7119415452156113E-3</v>
      </c>
      <c r="T712" s="94">
        <f>IF('Net zero activities &amp; levers'!$C$9="Off",'Activity data'!AM48*ttokg*FracGASM*MSVolatEF*NtoN2O*kgtoGg,IF('Net zero activities &amp; levers'!$C$9="On",(('Net zero supporting data'!K158*ttokg*FracGASM*'Net zero supporting data'!K184)+('Net zero supporting data'!K170*ttokg*FracGASM*MSVolatEF))*NtoN2O*kgtoGg,"ERROR"))</f>
        <v>8.7176564806747021E-3</v>
      </c>
      <c r="U712" s="94">
        <f>IF('Net zero activities &amp; levers'!$C$9="Off",'Activity data'!AN48*ttokg*FracGASM*MSVolatEF*NtoN2O*kgtoGg,IF('Net zero activities &amp; levers'!$C$9="On",(('Net zero supporting data'!L158*ttokg*FracGASM*'Net zero supporting data'!L184)+('Net zero supporting data'!L170*ttokg*FracGASM*MSVolatEF))*NtoN2O*kgtoGg,"ERROR"))</f>
        <v>8.7153903154636864E-3</v>
      </c>
      <c r="V712" s="94">
        <f>IF('Net zero activities &amp; levers'!$C$9="Off",'Activity data'!AO48*ttokg*FracGASM*MSVolatEF*NtoN2O*kgtoGg,IF('Net zero activities &amp; levers'!$C$9="On",(('Net zero supporting data'!M158*ttokg*FracGASM*'Net zero supporting data'!M184)+('Net zero supporting data'!M170*ttokg*FracGASM*MSVolatEF))*NtoN2O*kgtoGg,"ERROR"))</f>
        <v>8.7122973840451836E-3</v>
      </c>
      <c r="W712" s="94">
        <f>IF('Net zero activities &amp; levers'!$C$9="Off",'Activity data'!AP48*ttokg*FracGASM*MSVolatEF*NtoN2O*kgtoGg,IF('Net zero activities &amp; levers'!$C$9="On",(('Net zero supporting data'!N158*ttokg*FracGASM*'Net zero supporting data'!N184)+('Net zero supporting data'!N170*ttokg*FracGASM*MSVolatEF))*NtoN2O*kgtoGg,"ERROR"))</f>
        <v>8.7106353420106468E-3</v>
      </c>
      <c r="X712" s="94">
        <f>IF('Net zero activities &amp; levers'!$C$9="Off",'Activity data'!AQ48*ttokg*FracGASM*MSVolatEF*NtoN2O*kgtoGg,IF('Net zero activities &amp; levers'!$C$9="On",(('Net zero supporting data'!O158*ttokg*FracGASM*'Net zero supporting data'!O184)+('Net zero supporting data'!O170*ttokg*FracGASM*MSVolatEF))*NtoN2O*kgtoGg,"ERROR"))</f>
        <v>8.7088175429789073E-3</v>
      </c>
      <c r="Y712" s="94">
        <f>IF('Net zero activities &amp; levers'!$C$9="Off",'Activity data'!AR48*ttokg*FracGASM*MSVolatEF*NtoN2O*kgtoGg,IF('Net zero activities &amp; levers'!$C$9="On",(('Net zero supporting data'!P158*ttokg*FracGASM*'Net zero supporting data'!P184)+('Net zero supporting data'!P170*ttokg*FracGASM*MSVolatEF))*NtoN2O*kgtoGg,"ERROR"))</f>
        <v>8.7067965084252144E-3</v>
      </c>
      <c r="Z712" s="94">
        <f>IF('Net zero activities &amp; levers'!$C$9="Off",'Activity data'!AS48*ttokg*FracGASM*MSVolatEF*NtoN2O*kgtoGg,IF('Net zero activities &amp; levers'!$C$9="On",(('Net zero supporting data'!Q158*ttokg*FracGASM*'Net zero supporting data'!Q184)+('Net zero supporting data'!Q170*ttokg*FracGASM*MSVolatEF))*NtoN2O*kgtoGg,"ERROR"))</f>
        <v>8.7046749973002935E-3</v>
      </c>
      <c r="AA712" s="94">
        <f>IF('Net zero activities &amp; levers'!$C$9="Off",'Activity data'!AT48*ttokg*FracGASM*MSVolatEF*NtoN2O*kgtoGg,IF('Net zero activities &amp; levers'!$C$9="On",(('Net zero supporting data'!R158*ttokg*FracGASM*'Net zero supporting data'!R184)+('Net zero supporting data'!R170*ttokg*FracGASM*MSVolatEF))*NtoN2O*kgtoGg,"ERROR"))</f>
        <v>8.702410835211713E-3</v>
      </c>
      <c r="AB712" s="94">
        <f>IF('Net zero activities &amp; levers'!$C$9="Off",'Activity data'!AU48*ttokg*FracGASM*MSVolatEF*NtoN2O*kgtoGg,IF('Net zero activities &amp; levers'!$C$9="On",(('Net zero supporting data'!S158*ttokg*FracGASM*'Net zero supporting data'!S184)+('Net zero supporting data'!S170*ttokg*FracGASM*MSVolatEF))*NtoN2O*kgtoGg,"ERROR"))</f>
        <v>8.7001417872688246E-3</v>
      </c>
      <c r="AC712" s="94">
        <f>IF('Net zero activities &amp; levers'!$C$9="Off",'Activity data'!AV48*ttokg*FracGASM*MSVolatEF*NtoN2O*kgtoGg,IF('Net zero activities &amp; levers'!$C$9="On",(('Net zero supporting data'!T158*ttokg*FracGASM*'Net zero supporting data'!T184)+('Net zero supporting data'!T170*ttokg*FracGASM*MSVolatEF))*NtoN2O*kgtoGg,"ERROR"))</f>
        <v>8.6977519940011523E-3</v>
      </c>
      <c r="AD712" s="94">
        <f>IF('Net zero activities &amp; levers'!$C$9="Off",'Activity data'!AW48*ttokg*FracGASM*MSVolatEF*NtoN2O*kgtoGg,IF('Net zero activities &amp; levers'!$C$9="On",(('Net zero supporting data'!U158*ttokg*FracGASM*'Net zero supporting data'!U184)+('Net zero supporting data'!U170*ttokg*FracGASM*MSVolatEF))*NtoN2O*kgtoGg,"ERROR"))</f>
        <v>8.6953728605435512E-3</v>
      </c>
      <c r="AE712" s="94">
        <f>IF('Net zero activities &amp; levers'!$C$9="Off",'Activity data'!AX48*ttokg*FracGASM*MSVolatEF*NtoN2O*kgtoGg,IF('Net zero activities &amp; levers'!$C$9="On",(('Net zero supporting data'!V158*ttokg*FracGASM*'Net zero supporting data'!V184)+('Net zero supporting data'!V170*ttokg*FracGASM*MSVolatEF))*NtoN2O*kgtoGg,"ERROR"))</f>
        <v>8.6927934832964609E-3</v>
      </c>
      <c r="AF712" s="94">
        <f>IF('Net zero activities &amp; levers'!$C$9="Off",'Activity data'!AY48*ttokg*FracGASM*MSVolatEF*NtoN2O*kgtoGg,IF('Net zero activities &amp; levers'!$C$9="On",(('Net zero supporting data'!W158*ttokg*FracGASM*'Net zero supporting data'!W184)+('Net zero supporting data'!W170*ttokg*FracGASM*MSVolatEF))*NtoN2O*kgtoGg,"ERROR"))</f>
        <v>8.6903091811004352E-3</v>
      </c>
      <c r="AG712" s="94">
        <f>IF('Net zero activities &amp; levers'!$C$9="Off",'Activity data'!AZ48*ttokg*FracGASM*MSVolatEF*NtoN2O*kgtoGg,IF('Net zero activities &amp; levers'!$C$9="On",(('Net zero supporting data'!X158*ttokg*FracGASM*'Net zero supporting data'!X184)+('Net zero supporting data'!X170*ttokg*FracGASM*MSVolatEF))*NtoN2O*kgtoGg,"ERROR"))</f>
        <v>8.6877619967944547E-3</v>
      </c>
      <c r="AH712" s="94">
        <f>IF('Net zero activities &amp; levers'!$C$9="Off",'Activity data'!BA48*ttokg*FracGASM*MSVolatEF*NtoN2O*kgtoGg,IF('Net zero activities &amp; levers'!$C$9="On",(('Net zero supporting data'!Y158*ttokg*FracGASM*'Net zero supporting data'!Y184)+('Net zero supporting data'!Y170*ttokg*FracGASM*MSVolatEF))*NtoN2O*kgtoGg,"ERROR"))</f>
        <v>8.6849773270923237E-3</v>
      </c>
      <c r="AI712" s="94">
        <f>IF('Net zero activities &amp; levers'!$C$9="Off",'Activity data'!BB48*ttokg*FracGASM*MSVolatEF*NtoN2O*kgtoGg,IF('Net zero activities &amp; levers'!$C$9="On",(('Net zero supporting data'!Z158*ttokg*FracGASM*'Net zero supporting data'!Z184)+('Net zero supporting data'!Z170*ttokg*FracGASM*MSVolatEF))*NtoN2O*kgtoGg,"ERROR"))</f>
        <v>8.6823878096163789E-3</v>
      </c>
      <c r="AJ712" s="94">
        <f>IF('Net zero activities &amp; levers'!$C$9="Off",'Activity data'!BC48*ttokg*FracGASM*MSVolatEF*NtoN2O*kgtoGg,IF('Net zero activities &amp; levers'!$C$9="On",(('Net zero supporting data'!AA158*ttokg*FracGASM*'Net zero supporting data'!AA184)+('Net zero supporting data'!AA170*ttokg*FracGASM*MSVolatEF))*NtoN2O*kgtoGg,"ERROR"))</f>
        <v>8.6797288940082453E-3</v>
      </c>
      <c r="AK712" s="94">
        <f>IF('Net zero activities &amp; levers'!$C$9="Off",'Activity data'!BD48*ttokg*FracGASM*MSVolatEF*NtoN2O*kgtoGg,IF('Net zero activities &amp; levers'!$C$9="On",(('Net zero supporting data'!AB158*ttokg*FracGASM*'Net zero supporting data'!AB184)+('Net zero supporting data'!AB170*ttokg*FracGASM*MSVolatEF))*NtoN2O*kgtoGg,"ERROR"))</f>
        <v>8.6769708863036962E-3</v>
      </c>
      <c r="AL712" s="94">
        <f>IF('Net zero activities &amp; levers'!$C$9="Off",'Activity data'!BE48*ttokg*FracGASM*MSVolatEF*NtoN2O*kgtoGg,IF('Net zero activities &amp; levers'!$C$9="On",(('Net zero supporting data'!AC158*ttokg*FracGASM*'Net zero supporting data'!AC184)+('Net zero supporting data'!AC170*ttokg*FracGASM*MSVolatEF))*NtoN2O*kgtoGg,"ERROR"))</f>
        <v>8.6744361134063527E-3</v>
      </c>
      <c r="AM712" s="94">
        <f>IF('Net zero activities &amp; levers'!$C$9="Off",'Activity data'!BF48*ttokg*FracGASM*MSVolatEF*NtoN2O*kgtoGg,IF('Net zero activities &amp; levers'!$C$9="On",(('Net zero supporting data'!AD158*ttokg*FracGASM*'Net zero supporting data'!AD184)+('Net zero supporting data'!AD170*ttokg*FracGASM*MSVolatEF))*NtoN2O*kgtoGg,"ERROR"))</f>
        <v>8.6719717989588319E-3</v>
      </c>
      <c r="AN712" s="94">
        <f>IF('Net zero activities &amp; levers'!$C$9="Off",'Activity data'!BG48*ttokg*FracGASM*MSVolatEF*NtoN2O*kgtoGg,IF('Net zero activities &amp; levers'!$C$9="On",(('Net zero supporting data'!AE158*ttokg*FracGASM*'Net zero supporting data'!AE184)+('Net zero supporting data'!AE170*ttokg*FracGASM*MSVolatEF))*NtoN2O*kgtoGg,"ERROR"))</f>
        <v>8.6695684147881907E-3</v>
      </c>
      <c r="AO712" s="94">
        <f>IF('Net zero activities &amp; levers'!$C$9="Off",'Activity data'!BH48*ttokg*FracGASM*MSVolatEF*NtoN2O*kgtoGg,IF('Net zero activities &amp; levers'!$C$9="On",(('Net zero supporting data'!AF158*ttokg*FracGASM*'Net zero supporting data'!AF184)+('Net zero supporting data'!AF170*ttokg*FracGASM*MSVolatEF))*NtoN2O*kgtoGg,"ERROR"))</f>
        <v>8.6670324922621354E-3</v>
      </c>
      <c r="AP712" s="94">
        <f>IF('Net zero activities &amp; levers'!$C$9="Off",'Activity data'!BI48*ttokg*FracGASM*MSVolatEF*NtoN2O*kgtoGg,IF('Net zero activities &amp; levers'!$C$9="On",(('Net zero supporting data'!AG158*ttokg*FracGASM*'Net zero supporting data'!AG184)+('Net zero supporting data'!AG170*ttokg*FracGASM*MSVolatEF))*NtoN2O*kgtoGg,"ERROR"))</f>
        <v>8.6646431414936359E-3</v>
      </c>
      <c r="AQ712" s="94">
        <f>IF('Net zero activities &amp; levers'!$C$9="Off",'Activity data'!BJ48*ttokg*FracGASM*MSVolatEF*NtoN2O*kgtoGg,IF('Net zero activities &amp; levers'!$C$9="On",(('Net zero supporting data'!AH158*ttokg*FracGASM*'Net zero supporting data'!AH184)+('Net zero supporting data'!AH170*ttokg*FracGASM*MSVolatEF))*NtoN2O*kgtoGg,"ERROR"))</f>
        <v>8.6622232802753101E-3</v>
      </c>
      <c r="AR712" s="94">
        <f>IF('Net zero activities &amp; levers'!$C$9="Off",'Activity data'!BK48*ttokg*FracGASM*MSVolatEF*NtoN2O*kgtoGg,IF('Net zero activities &amp; levers'!$C$9="On",(('Net zero supporting data'!AI158*ttokg*FracGASM*'Net zero supporting data'!AI184)+('Net zero supporting data'!AI170*ttokg*FracGASM*MSVolatEF))*NtoN2O*kgtoGg,"ERROR"))</f>
        <v>8.6597658162018594E-3</v>
      </c>
      <c r="AS712" s="94">
        <f>IF('Net zero activities &amp; levers'!$C$9="Off",'Activity data'!BL48*ttokg*FracGASM*MSVolatEF*NtoN2O*kgtoGg,IF('Net zero activities &amp; levers'!$C$9="On",(('Net zero supporting data'!AJ158*ttokg*FracGASM*'Net zero supporting data'!AJ184)+('Net zero supporting data'!AJ170*ttokg*FracGASM*MSVolatEF))*NtoN2O*kgtoGg,"ERROR"))</f>
        <v>8.6572586114863365E-3</v>
      </c>
      <c r="AT712" s="94">
        <f>IF('Net zero activities &amp; levers'!$C$9="Off",'Activity data'!BM48*ttokg*FracGASM*MSVolatEF*NtoN2O*kgtoGg,IF('Net zero activities &amp; levers'!$C$9="On",(('Net zero supporting data'!AK158*ttokg*FracGASM*'Net zero supporting data'!AK184)+('Net zero supporting data'!AK170*ttokg*FracGASM*MSVolatEF))*NtoN2O*kgtoGg,"ERROR"))</f>
        <v>8.6547121262351596E-3</v>
      </c>
      <c r="AU712" s="94">
        <f>IF('Net zero activities &amp; levers'!$C$9="Off",'Activity data'!BN48*ttokg*FracGASM*MSVolatEF*NtoN2O*kgtoGg,IF('Net zero activities &amp; levers'!$C$9="On",(('Net zero supporting data'!AL158*ttokg*FracGASM*'Net zero supporting data'!AL184)+('Net zero supporting data'!AL170*ttokg*FracGASM*MSVolatEF))*NtoN2O*kgtoGg,"ERROR"))</f>
        <v>8.6539296818769745E-3</v>
      </c>
      <c r="AV712" s="94">
        <f>IF('Net zero activities &amp; levers'!$C$9="Off",'Activity data'!BO48*ttokg*FracGASM*MSVolatEF*NtoN2O*kgtoGg,IF('Net zero activities &amp; levers'!$C$9="On",(('Net zero supporting data'!AM158*ttokg*FracGASM*'Net zero supporting data'!AM184)+('Net zero supporting data'!AM170*ttokg*FracGASM*MSVolatEF))*NtoN2O*kgtoGg,"ERROR"))</f>
        <v>8.6533116762315225E-3</v>
      </c>
      <c r="AW712" s="94">
        <f>IF('Net zero activities &amp; levers'!$C$9="Off",'Activity data'!BP48*ttokg*FracGASM*MSVolatEF*NtoN2O*kgtoGg,IF('Net zero activities &amp; levers'!$C$9="On",(('Net zero supporting data'!AN158*ttokg*FracGASM*'Net zero supporting data'!AN184)+('Net zero supporting data'!AN170*ttokg*FracGASM*MSVolatEF))*NtoN2O*kgtoGg,"ERROR"))</f>
        <v>8.6529266587697939E-3</v>
      </c>
      <c r="AY712" s="79"/>
      <c r="AZ712" s="79"/>
    </row>
    <row r="713" spans="1:52" x14ac:dyDescent="0.3">
      <c r="A713" s="95" t="str">
        <f t="shared" si="149"/>
        <v>NI Volatilisation</v>
      </c>
      <c r="B713" s="95" t="s">
        <v>969</v>
      </c>
      <c r="C713" s="95" t="s">
        <v>62</v>
      </c>
      <c r="D713" t="s">
        <v>369</v>
      </c>
      <c r="E713" t="s">
        <v>61</v>
      </c>
      <c r="F713" t="s">
        <v>62</v>
      </c>
      <c r="G713" t="s">
        <v>437</v>
      </c>
      <c r="H713" t="s">
        <v>1186</v>
      </c>
      <c r="I713" t="s">
        <v>139</v>
      </c>
      <c r="J713" t="s">
        <v>287</v>
      </c>
      <c r="K713" s="94">
        <f>IF('Net zero activities &amp; levers'!$C$9="Off",SUM('Activity data'!AD50:AD65)*FracGASM*MSVolatEF*NtoN2O*kgtoGg,IF('Net zero activities &amp; levers'!$C$9="On",((SUM('Net zero supporting data'!B159:B168)*FracGASM*'Net zero supporting data'!B184)+(SUM('Net zero supporting data'!B171:B180,'Net zero Activity data'!AD54,'Net zero Activity data'!AD57,'Net zero Activity data'!AD59:AD61,'Net zero Activity data'!AD63)*FracGASM*MSVolatEF))*NtoN2O*kgtoGg,"ERROR"))</f>
        <v>1.2008407282256135</v>
      </c>
      <c r="L713" s="94">
        <f>IF('Net zero activities &amp; levers'!$C$9="Off",SUM('Activity data'!AE50:AE65)*FracGASM*MSVolatEF*NtoN2O*kgtoGg,IF('Net zero activities &amp; levers'!$C$9="On",((SUM('Net zero supporting data'!C159:C168)*FracGASM*'Net zero supporting data'!C184)+(SUM('Net zero supporting data'!C171:C180,'Net zero Activity data'!AE54,'Net zero Activity data'!AE57,'Net zero Activity data'!AE59:AE61,'Net zero Activity data'!AE63)*FracGASM*MSVolatEF))*NtoN2O*kgtoGg,"ERROR"))</f>
        <v>1.201903510760759</v>
      </c>
      <c r="M713" s="94">
        <f>IF('Net zero activities &amp; levers'!$C$9="Off",SUM('Activity data'!AF50:AF65)*FracGASM*MSVolatEF*NtoN2O*kgtoGg,IF('Net zero activities &amp; levers'!$C$9="On",((SUM('Net zero supporting data'!D159:D168)*FracGASM*'Net zero supporting data'!D184)+(SUM('Net zero supporting data'!D171:D180,'Net zero Activity data'!AF54,'Net zero Activity data'!AF57,'Net zero Activity data'!AF59:AF61,'Net zero Activity data'!AF63)*FracGASM*MSVolatEF))*NtoN2O*kgtoGg,"ERROR"))</f>
        <v>1.2088775122881088</v>
      </c>
      <c r="N713" s="94">
        <f>IF('Net zero activities &amp; levers'!$C$9="Off",SUM('Activity data'!AG50:AG65)*FracGASM*MSVolatEF*NtoN2O*kgtoGg,IF('Net zero activities &amp; levers'!$C$9="On",((SUM('Net zero supporting data'!E159:E168)*FracGASM*'Net zero supporting data'!E184)+(SUM('Net zero supporting data'!E171:E180,'Net zero Activity data'!AG54,'Net zero Activity data'!AG57,'Net zero Activity data'!AG59:AG61,'Net zero Activity data'!AG63)*FracGASM*MSVolatEF))*NtoN2O*kgtoGg,"ERROR"))</f>
        <v>1.2055442230548155</v>
      </c>
      <c r="O713" s="94">
        <f>IF('Net zero activities &amp; levers'!$C$9="Off",SUM('Activity data'!AH50:AH65)*FracGASM*MSVolatEF*NtoN2O*kgtoGg,IF('Net zero activities &amp; levers'!$C$9="On",((SUM('Net zero supporting data'!F159:F168)*FracGASM*'Net zero supporting data'!F184)+(SUM('Net zero supporting data'!F171:F180,'Net zero Activity data'!AH54,'Net zero Activity data'!AH57,'Net zero Activity data'!AH59:AH61,'Net zero Activity data'!AH63)*FracGASM*MSVolatEF))*NtoN2O*kgtoGg,"ERROR"))</f>
        <v>1.195843583832628</v>
      </c>
      <c r="P713" s="94">
        <f>IF('Net zero activities &amp; levers'!$C$9="Off",SUM('Activity data'!AI50:AI65)*FracGASM*MSVolatEF*NtoN2O*kgtoGg,IF('Net zero activities &amp; levers'!$C$9="On",((SUM('Net zero supporting data'!G159:G168)*FracGASM*'Net zero supporting data'!G184)+(SUM('Net zero supporting data'!G171:G180,'Net zero Activity data'!AI54,'Net zero Activity data'!AI57,'Net zero Activity data'!AI59:AI61,'Net zero Activity data'!AI63)*FracGASM*MSVolatEF))*NtoN2O*kgtoGg,"ERROR"))</f>
        <v>1.1799964998501222</v>
      </c>
      <c r="Q713" s="94">
        <f>IF('Net zero activities &amp; levers'!$C$9="Off",SUM('Activity data'!AJ50:AJ65)*FracGASM*MSVolatEF*NtoN2O*kgtoGg,IF('Net zero activities &amp; levers'!$C$9="On",((SUM('Net zero supporting data'!H159:H168)*FracGASM*'Net zero supporting data'!H184)+(SUM('Net zero supporting data'!H171:H180,'Net zero Activity data'!AJ54,'Net zero Activity data'!AJ57,'Net zero Activity data'!AJ59:AJ61,'Net zero Activity data'!AJ63)*FracGASM*MSVolatEF))*NtoN2O*kgtoGg,"ERROR"))</f>
        <v>1.169776622170569</v>
      </c>
      <c r="R713" s="94">
        <f>IF('Net zero activities &amp; levers'!$C$9="Off",SUM('Activity data'!AK50:AK65)*FracGASM*MSVolatEF*NtoN2O*kgtoGg,IF('Net zero activities &amp; levers'!$C$9="On",((SUM('Net zero supporting data'!I159:I168)*FracGASM*'Net zero supporting data'!I184)+(SUM('Net zero supporting data'!I171:I180,'Net zero Activity data'!AK54,'Net zero Activity data'!AK57,'Net zero Activity data'!AK59:AK61,'Net zero Activity data'!AK63)*FracGASM*MSVolatEF))*NtoN2O*kgtoGg,"ERROR"))</f>
        <v>1.1606871439933113</v>
      </c>
      <c r="S713" s="94">
        <f>IF('Net zero activities &amp; levers'!$C$9="Off",SUM('Activity data'!AL50:AL65)*FracGASM*MSVolatEF*NtoN2O*kgtoGg,IF('Net zero activities &amp; levers'!$C$9="On",((SUM('Net zero supporting data'!J159:J168)*FracGASM*'Net zero supporting data'!J184)+(SUM('Net zero supporting data'!J171:J180,'Net zero Activity data'!AL54,'Net zero Activity data'!AL57,'Net zero Activity data'!AL59:AL61,'Net zero Activity data'!AL63)*FracGASM*MSVolatEF))*NtoN2O*kgtoGg,"ERROR"))</f>
        <v>1.0501974396641209</v>
      </c>
      <c r="T713" s="94">
        <f>IF('Net zero activities &amp; levers'!$C$9="Off",SUM('Activity data'!AM50:AM65)*FracGASM*MSVolatEF*NtoN2O*kgtoGg,IF('Net zero activities &amp; levers'!$C$9="On",((SUM('Net zero supporting data'!K159:K168)*FracGASM*'Net zero supporting data'!K184)+(SUM('Net zero supporting data'!K171:K180,'Net zero Activity data'!AM54,'Net zero Activity data'!AM57,'Net zero Activity data'!AM59:AM61,'Net zero Activity data'!AM63)*FracGASM*MSVolatEF))*NtoN2O*kgtoGg,"ERROR"))</f>
        <v>1.0703473698117068</v>
      </c>
      <c r="U713" s="94">
        <f>IF('Net zero activities &amp; levers'!$C$9="Off",SUM('Activity data'!AN50:AN65)*FracGASM*MSVolatEF*NtoN2O*kgtoGg,IF('Net zero activities &amp; levers'!$C$9="On",((SUM('Net zero supporting data'!L159:L168)*FracGASM*'Net zero supporting data'!L184)+(SUM('Net zero supporting data'!L171:L180,'Net zero Activity data'!AN54,'Net zero Activity data'!AN57,'Net zero Activity data'!AN59:AN61,'Net zero Activity data'!AN63)*FracGASM*MSVolatEF))*NtoN2O*kgtoGg,"ERROR"))</f>
        <v>1.1035346153332457</v>
      </c>
      <c r="V713" s="94">
        <f>IF('Net zero activities &amp; levers'!$C$9="Off",SUM('Activity data'!AO50:AO65)*FracGASM*MSVolatEF*NtoN2O*kgtoGg,IF('Net zero activities &amp; levers'!$C$9="On",((SUM('Net zero supporting data'!M159:M168)*FracGASM*'Net zero supporting data'!M184)+(SUM('Net zero supporting data'!M171:M180,'Net zero Activity data'!AO54,'Net zero Activity data'!AO57,'Net zero Activity data'!AO59:AO61,'Net zero Activity data'!AO63)*FracGASM*MSVolatEF))*NtoN2O*kgtoGg,"ERROR"))</f>
        <v>1.1150489977959306</v>
      </c>
      <c r="W713" s="94">
        <f>IF('Net zero activities &amp; levers'!$C$9="Off",SUM('Activity data'!AP50:AP65)*FracGASM*MSVolatEF*NtoN2O*kgtoGg,IF('Net zero activities &amp; levers'!$C$9="On",((SUM('Net zero supporting data'!N159:N168)*FracGASM*'Net zero supporting data'!N184)+(SUM('Net zero supporting data'!N171:N180,'Net zero Activity data'!AP54,'Net zero Activity data'!AP57,'Net zero Activity data'!AP59:AP61,'Net zero Activity data'!AP63)*FracGASM*MSVolatEF))*NtoN2O*kgtoGg,"ERROR"))</f>
        <v>1.1291994422976275</v>
      </c>
      <c r="X713" s="94">
        <f>IF('Net zero activities &amp; levers'!$C$9="Off",SUM('Activity data'!AQ50:AQ65)*FracGASM*MSVolatEF*NtoN2O*kgtoGg,IF('Net zero activities &amp; levers'!$C$9="On",((SUM('Net zero supporting data'!O159:O168)*FracGASM*'Net zero supporting data'!O184)+(SUM('Net zero supporting data'!O171:O180,'Net zero Activity data'!AQ54,'Net zero Activity data'!AQ57,'Net zero Activity data'!AQ59:AQ61,'Net zero Activity data'!AQ63)*FracGASM*MSVolatEF))*NtoN2O*kgtoGg,"ERROR"))</f>
        <v>1.1467521172180308</v>
      </c>
      <c r="Y713" s="94">
        <f>IF('Net zero activities &amp; levers'!$C$9="Off",SUM('Activity data'!AR50:AR65)*FracGASM*MSVolatEF*NtoN2O*kgtoGg,IF('Net zero activities &amp; levers'!$C$9="On",((SUM('Net zero supporting data'!P159:P168)*FracGASM*'Net zero supporting data'!P184)+(SUM('Net zero supporting data'!P171:P180,'Net zero Activity data'!AR54,'Net zero Activity data'!AR57,'Net zero Activity data'!AR59:AR61,'Net zero Activity data'!AR63)*FracGASM*MSVolatEF))*NtoN2O*kgtoGg,"ERROR"))</f>
        <v>1.1661924411251976</v>
      </c>
      <c r="Z713" s="94">
        <f>IF('Net zero activities &amp; levers'!$C$9="Off",SUM('Activity data'!AS50:AS65)*FracGASM*MSVolatEF*NtoN2O*kgtoGg,IF('Net zero activities &amp; levers'!$C$9="On",((SUM('Net zero supporting data'!Q159:Q168)*FracGASM*'Net zero supporting data'!Q184)+(SUM('Net zero supporting data'!Q171:Q180,'Net zero Activity data'!AS54,'Net zero Activity data'!AS57,'Net zero Activity data'!AS59:AS61,'Net zero Activity data'!AS63)*FracGASM*MSVolatEF))*NtoN2O*kgtoGg,"ERROR"))</f>
        <v>1.1881766019612736</v>
      </c>
      <c r="AA713" s="94">
        <f>IF('Net zero activities &amp; levers'!$C$9="Off",SUM('Activity data'!AT50:AT65)*FracGASM*MSVolatEF*NtoN2O*kgtoGg,IF('Net zero activities &amp; levers'!$C$9="On",((SUM('Net zero supporting data'!R159:R168)*FracGASM*'Net zero supporting data'!R184)+(SUM('Net zero supporting data'!R171:R180,'Net zero Activity data'!AT54,'Net zero Activity data'!AT57,'Net zero Activity data'!AT59:AT61,'Net zero Activity data'!AT63)*FracGASM*MSVolatEF))*NtoN2O*kgtoGg,"ERROR"))</f>
        <v>1.2105548738562886</v>
      </c>
      <c r="AB713" s="94">
        <f>IF('Net zero activities &amp; levers'!$C$9="Off",SUM('Activity data'!AU50:AU65)*FracGASM*MSVolatEF*NtoN2O*kgtoGg,IF('Net zero activities &amp; levers'!$C$9="On",((SUM('Net zero supporting data'!S159:S168)*FracGASM*'Net zero supporting data'!S184)+(SUM('Net zero supporting data'!S171:S180,'Net zero Activity data'!AU54,'Net zero Activity data'!AU57,'Net zero Activity data'!AU59:AU61,'Net zero Activity data'!AU63)*FracGASM*MSVolatEF))*NtoN2O*kgtoGg,"ERROR"))</f>
        <v>1.2352132344527478</v>
      </c>
      <c r="AC713" s="94">
        <f>IF('Net zero activities &amp; levers'!$C$9="Off",SUM('Activity data'!AV50:AV65)*FracGASM*MSVolatEF*NtoN2O*kgtoGg,IF('Net zero activities &amp; levers'!$C$9="On",((SUM('Net zero supporting data'!T159:T168)*FracGASM*'Net zero supporting data'!T184)+(SUM('Net zero supporting data'!T171:T180,'Net zero Activity data'!AV54,'Net zero Activity data'!AV57,'Net zero Activity data'!AV59:AV61,'Net zero Activity data'!AV63)*FracGASM*MSVolatEF))*NtoN2O*kgtoGg,"ERROR"))</f>
        <v>1.2600610700998878</v>
      </c>
      <c r="AD713" s="94">
        <f>IF('Net zero activities &amp; levers'!$C$9="Off",SUM('Activity data'!AW50:AW65)*FracGASM*MSVolatEF*NtoN2O*kgtoGg,IF('Net zero activities &amp; levers'!$C$9="On",((SUM('Net zero supporting data'!U159:U168)*FracGASM*'Net zero supporting data'!U184)+(SUM('Net zero supporting data'!U171:U180,'Net zero Activity data'!AW54,'Net zero Activity data'!AW57,'Net zero Activity data'!AW59:AW61,'Net zero Activity data'!AW63)*FracGASM*MSVolatEF))*NtoN2O*kgtoGg,"ERROR"))</f>
        <v>1.2841695325772586</v>
      </c>
      <c r="AE713" s="94">
        <f>IF('Net zero activities &amp; levers'!$C$9="Off",SUM('Activity data'!AX50:AX65)*FracGASM*MSVolatEF*NtoN2O*kgtoGg,IF('Net zero activities &amp; levers'!$C$9="On",((SUM('Net zero supporting data'!V159:V168)*FracGASM*'Net zero supporting data'!V184)+(SUM('Net zero supporting data'!V171:V180,'Net zero Activity data'!AX54,'Net zero Activity data'!AX57,'Net zero Activity data'!AX59:AX61,'Net zero Activity data'!AX63)*FracGASM*MSVolatEF))*NtoN2O*kgtoGg,"ERROR"))</f>
        <v>1.3069035937836597</v>
      </c>
      <c r="AF713" s="94">
        <f>IF('Net zero activities &amp; levers'!$C$9="Off",SUM('Activity data'!AY50:AY65)*FracGASM*MSVolatEF*NtoN2O*kgtoGg,IF('Net zero activities &amp; levers'!$C$9="On",((SUM('Net zero supporting data'!W159:W168)*FracGASM*'Net zero supporting data'!W184)+(SUM('Net zero supporting data'!W171:W180,'Net zero Activity data'!AY54,'Net zero Activity data'!AY57,'Net zero Activity data'!AY59:AY61,'Net zero Activity data'!AY63)*FracGASM*MSVolatEF))*NtoN2O*kgtoGg,"ERROR"))</f>
        <v>1.3308885489727156</v>
      </c>
      <c r="AG713" s="94">
        <f>IF('Net zero activities &amp; levers'!$C$9="Off",SUM('Activity data'!AZ50:AZ65)*FracGASM*MSVolatEF*NtoN2O*kgtoGg,IF('Net zero activities &amp; levers'!$C$9="On",((SUM('Net zero supporting data'!X159:X168)*FracGASM*'Net zero supporting data'!X184)+(SUM('Net zero supporting data'!X171:X180,'Net zero Activity data'!AZ54,'Net zero Activity data'!AZ57,'Net zero Activity data'!AZ59:AZ61,'Net zero Activity data'!AZ63)*FracGASM*MSVolatEF))*NtoN2O*kgtoGg,"ERROR"))</f>
        <v>1.3591357613410466</v>
      </c>
      <c r="AH713" s="94">
        <f>IF('Net zero activities &amp; levers'!$C$9="Off",SUM('Activity data'!BA50:BA65)*FracGASM*MSVolatEF*NtoN2O*kgtoGg,IF('Net zero activities &amp; levers'!$C$9="On",((SUM('Net zero supporting data'!Y159:Y168)*FracGASM*'Net zero supporting data'!Y184)+(SUM('Net zero supporting data'!Y171:Y180,'Net zero Activity data'!BA54,'Net zero Activity data'!BA57,'Net zero Activity data'!BA59:BA61,'Net zero Activity data'!BA63)*FracGASM*MSVolatEF))*NtoN2O*kgtoGg,"ERROR"))</f>
        <v>1.3843151170507964</v>
      </c>
      <c r="AI713" s="94">
        <f>IF('Net zero activities &amp; levers'!$C$9="Off",SUM('Activity data'!BB50:BB65)*FracGASM*MSVolatEF*NtoN2O*kgtoGg,IF('Net zero activities &amp; levers'!$C$9="On",((SUM('Net zero supporting data'!Z159:Z168)*FracGASM*'Net zero supporting data'!Z184)+(SUM('Net zero supporting data'!Z171:Z180,'Net zero Activity data'!BB54,'Net zero Activity data'!BB57,'Net zero Activity data'!BB59:BB61,'Net zero Activity data'!BB63)*FracGASM*MSVolatEF))*NtoN2O*kgtoGg,"ERROR"))</f>
        <v>1.4109607447095132</v>
      </c>
      <c r="AJ713" s="94">
        <f>IF('Net zero activities &amp; levers'!$C$9="Off",SUM('Activity data'!BC50:BC65)*FracGASM*MSVolatEF*NtoN2O*kgtoGg,IF('Net zero activities &amp; levers'!$C$9="On",((SUM('Net zero supporting data'!AA159:AA168)*FracGASM*'Net zero supporting data'!AA184)+(SUM('Net zero supporting data'!AA171:AA180,'Net zero Activity data'!BC54,'Net zero Activity data'!BC57,'Net zero Activity data'!BC59:BC61,'Net zero Activity data'!BC63)*FracGASM*MSVolatEF))*NtoN2O*kgtoGg,"ERROR"))</f>
        <v>1.439613035796105</v>
      </c>
      <c r="AK713" s="94">
        <f>IF('Net zero activities &amp; levers'!$C$9="Off",SUM('Activity data'!BD50:BD65)*FracGASM*MSVolatEF*NtoN2O*kgtoGg,IF('Net zero activities &amp; levers'!$C$9="On",((SUM('Net zero supporting data'!AB159:AB168)*FracGASM*'Net zero supporting data'!AB184)+(SUM('Net zero supporting data'!AB171:AB180,'Net zero Activity data'!BD54,'Net zero Activity data'!BD57,'Net zero Activity data'!BD59:BD61,'Net zero Activity data'!BD63)*FracGASM*MSVolatEF))*NtoN2O*kgtoGg,"ERROR"))</f>
        <v>1.4645872559628428</v>
      </c>
      <c r="AL713" s="94">
        <f>IF('Net zero activities &amp; levers'!$C$9="Off",SUM('Activity data'!BE50:BE65)*FracGASM*MSVolatEF*NtoN2O*kgtoGg,IF('Net zero activities &amp; levers'!$C$9="On",((SUM('Net zero supporting data'!AC159:AC168)*FracGASM*'Net zero supporting data'!AC184)+(SUM('Net zero supporting data'!AC171:AC180,'Net zero Activity data'!BE54,'Net zero Activity data'!BE57,'Net zero Activity data'!BE59:BE61,'Net zero Activity data'!BE63)*FracGASM*MSVolatEF))*NtoN2O*kgtoGg,"ERROR"))</f>
        <v>1.4885153057402958</v>
      </c>
      <c r="AM713" s="94">
        <f>IF('Net zero activities &amp; levers'!$C$9="Off",SUM('Activity data'!BF50:BF65)*FracGASM*MSVolatEF*NtoN2O*kgtoGg,IF('Net zero activities &amp; levers'!$C$9="On",((SUM('Net zero supporting data'!AD159:AD168)*FracGASM*'Net zero supporting data'!AD184)+(SUM('Net zero supporting data'!AD171:AD180,'Net zero Activity data'!BF54,'Net zero Activity data'!BF57,'Net zero Activity data'!BF59:BF61,'Net zero Activity data'!BF63)*FracGASM*MSVolatEF))*NtoN2O*kgtoGg,"ERROR"))</f>
        <v>1.5115373270459393</v>
      </c>
      <c r="AN713" s="94">
        <f>IF('Net zero activities &amp; levers'!$C$9="Off",SUM('Activity data'!BG50:BG65)*FracGASM*MSVolatEF*NtoN2O*kgtoGg,IF('Net zero activities &amp; levers'!$C$9="On",((SUM('Net zero supporting data'!AE159:AE168)*FracGASM*'Net zero supporting data'!AE184)+(SUM('Net zero supporting data'!AE171:AE180,'Net zero Activity data'!BG54,'Net zero Activity data'!BG57,'Net zero Activity data'!BG59:BG61,'Net zero Activity data'!BG63)*FracGASM*MSVolatEF))*NtoN2O*kgtoGg,"ERROR"))</f>
        <v>1.5400585132402391</v>
      </c>
      <c r="AO713" s="94">
        <f>IF('Net zero activities &amp; levers'!$C$9="Off",SUM('Activity data'!BH50:BH65)*FracGASM*MSVolatEF*NtoN2O*kgtoGg,IF('Net zero activities &amp; levers'!$C$9="On",((SUM('Net zero supporting data'!AF159:AF168)*FracGASM*'Net zero supporting data'!AF184)+(SUM('Net zero supporting data'!AF171:AF180,'Net zero Activity data'!BH54,'Net zero Activity data'!BH57,'Net zero Activity data'!BH59:BH61,'Net zero Activity data'!BH63)*FracGASM*MSVolatEF))*NtoN2O*kgtoGg,"ERROR"))</f>
        <v>1.5662225533166572</v>
      </c>
      <c r="AP713" s="94">
        <f>IF('Net zero activities &amp; levers'!$C$9="Off",SUM('Activity data'!BI50:BI65)*FracGASM*MSVolatEF*NtoN2O*kgtoGg,IF('Net zero activities &amp; levers'!$C$9="On",((SUM('Net zero supporting data'!AG159:AG168)*FracGASM*'Net zero supporting data'!AG184)+(SUM('Net zero supporting data'!AG171:AG180,'Net zero Activity data'!BI54,'Net zero Activity data'!BI57,'Net zero Activity data'!BI59:BI61,'Net zero Activity data'!BI63)*FracGASM*MSVolatEF))*NtoN2O*kgtoGg,"ERROR"))</f>
        <v>1.593267491108957</v>
      </c>
      <c r="AQ713" s="94">
        <f>IF('Net zero activities &amp; levers'!$C$9="Off",SUM('Activity data'!BJ50:BJ65)*FracGASM*MSVolatEF*NtoN2O*kgtoGg,IF('Net zero activities &amp; levers'!$C$9="On",((SUM('Net zero supporting data'!AH159:AH168)*FracGASM*'Net zero supporting data'!AH184)+(SUM('Net zero supporting data'!AH171:AH180,'Net zero Activity data'!BJ54,'Net zero Activity data'!BJ57,'Net zero Activity data'!BJ59:BJ61,'Net zero Activity data'!BJ63)*FracGASM*MSVolatEF))*NtoN2O*kgtoGg,"ERROR"))</f>
        <v>1.6213524132646824</v>
      </c>
      <c r="AR713" s="94">
        <f>IF('Net zero activities &amp; levers'!$C$9="Off",SUM('Activity data'!BK50:BK65)*FracGASM*MSVolatEF*NtoN2O*kgtoGg,IF('Net zero activities &amp; levers'!$C$9="On",((SUM('Net zero supporting data'!AI159:AI168)*FracGASM*'Net zero supporting data'!AI184)+(SUM('Net zero supporting data'!AI171:AI180,'Net zero Activity data'!BK54,'Net zero Activity data'!BK57,'Net zero Activity data'!BK59:BK61,'Net zero Activity data'!BK63)*FracGASM*MSVolatEF))*NtoN2O*kgtoGg,"ERROR"))</f>
        <v>1.6507413943805305</v>
      </c>
      <c r="AS713" s="94">
        <f>IF('Net zero activities &amp; levers'!$C$9="Off",SUM('Activity data'!BL50:BL65)*FracGASM*MSVolatEF*NtoN2O*kgtoGg,IF('Net zero activities &amp; levers'!$C$9="On",((SUM('Net zero supporting data'!AJ159:AJ168)*FracGASM*'Net zero supporting data'!AJ184)+(SUM('Net zero supporting data'!AJ171:AJ180,'Net zero Activity data'!BL54,'Net zero Activity data'!BL57,'Net zero Activity data'!BL59:BL61,'Net zero Activity data'!BL63)*FracGASM*MSVolatEF))*NtoN2O*kgtoGg,"ERROR"))</f>
        <v>1.6812851986409043</v>
      </c>
      <c r="AT713" s="94">
        <f>IF('Net zero activities &amp; levers'!$C$9="Off",SUM('Activity data'!BM50:BM65)*FracGASM*MSVolatEF*NtoN2O*kgtoGg,IF('Net zero activities &amp; levers'!$C$9="On",((SUM('Net zero supporting data'!AK159:AK168)*FracGASM*'Net zero supporting data'!AK184)+(SUM('Net zero supporting data'!AK171:AK180,'Net zero Activity data'!BM54,'Net zero Activity data'!BM57,'Net zero Activity data'!BM59:BM61,'Net zero Activity data'!BM63)*FracGASM*MSVolatEF))*NtoN2O*kgtoGg,"ERROR"))</f>
        <v>1.6777302811702246</v>
      </c>
      <c r="AU713" s="94">
        <f>IF('Net zero activities &amp; levers'!$C$9="Off",SUM('Activity data'!BN50:BN65)*FracGASM*MSVolatEF*NtoN2O*kgtoGg,IF('Net zero activities &amp; levers'!$C$9="On",((SUM('Net zero supporting data'!AL159:AL168)*FracGASM*'Net zero supporting data'!AL184)+(SUM('Net zero supporting data'!AL171:AL180,'Net zero Activity data'!BN54,'Net zero Activity data'!BN57,'Net zero Activity data'!BN59:BN61,'Net zero Activity data'!BN63)*FracGASM*MSVolatEF))*NtoN2O*kgtoGg,"ERROR"))</f>
        <v>1.6711130643184777</v>
      </c>
      <c r="AV713" s="94">
        <f>IF('Net zero activities &amp; levers'!$C$9="Off",SUM('Activity data'!BO50:BO65)*FracGASM*MSVolatEF*NtoN2O*kgtoGg,IF('Net zero activities &amp; levers'!$C$9="On",((SUM('Net zero supporting data'!AM159:AM168)*FracGASM*'Net zero supporting data'!AM184)+(SUM('Net zero supporting data'!AM171:AM180,'Net zero Activity data'!BO54,'Net zero Activity data'!BO57,'Net zero Activity data'!BO59:BO61,'Net zero Activity data'!BO63)*FracGASM*MSVolatEF))*NtoN2O*kgtoGg,"ERROR"))</f>
        <v>1.6601731404367381</v>
      </c>
      <c r="AW713" s="94">
        <f>IF('Net zero activities &amp; levers'!$C$9="Off",SUM('Activity data'!BP50:BP65)*FracGASM*MSVolatEF*NtoN2O*kgtoGg,IF('Net zero activities &amp; levers'!$C$9="On",((SUM('Net zero supporting data'!AN159:AN168)*FracGASM*'Net zero supporting data'!AN184)+(SUM('Net zero supporting data'!AN171:AN180,'Net zero Activity data'!BP54,'Net zero Activity data'!BP57,'Net zero Activity data'!BP59:BP61,'Net zero Activity data'!BP63)*FracGASM*MSVolatEF))*NtoN2O*kgtoGg,"ERROR"))</f>
        <v>1.6481045233312475</v>
      </c>
      <c r="AY713" s="79"/>
      <c r="AZ713" s="79"/>
    </row>
    <row r="714" spans="1:52" x14ac:dyDescent="0.3">
      <c r="A714" s="95" t="str">
        <f t="shared" si="149"/>
        <v>NI Volatilisation</v>
      </c>
      <c r="B714" s="95" t="s">
        <v>969</v>
      </c>
      <c r="C714" s="95" t="s">
        <v>62</v>
      </c>
      <c r="D714" t="str">
        <f t="shared" ref="D714:F714" si="157">D713</f>
        <v>3C Aggregated and non-CO2 emissions on land</v>
      </c>
      <c r="E714" t="str">
        <f t="shared" si="157"/>
        <v>3C5 Indirect N2O from managed soils (N2O)</v>
      </c>
      <c r="F714" t="str">
        <f t="shared" si="157"/>
        <v>Volatilisation</v>
      </c>
      <c r="G714" t="s">
        <v>438</v>
      </c>
      <c r="H714" t="str">
        <f t="shared" ref="H714" si="158">F714&amp;G714</f>
        <v>Volatilisation - Urine &amp; dung</v>
      </c>
      <c r="I714" t="str">
        <f t="shared" ref="I714:J714" si="159">I713</f>
        <v>N2O</v>
      </c>
      <c r="J714" t="str">
        <f t="shared" si="159"/>
        <v>Gg N2O</v>
      </c>
      <c r="K714" s="22">
        <f>K1513</f>
        <v>4.3975799639737048</v>
      </c>
      <c r="L714" s="22">
        <f t="shared" ref="L714:AW714" si="160">L1513</f>
        <v>4.3787767883653972</v>
      </c>
      <c r="M714" s="22">
        <f t="shared" si="160"/>
        <v>4.3752716537638934</v>
      </c>
      <c r="N714" s="22">
        <f t="shared" si="160"/>
        <v>4.3473821211305594</v>
      </c>
      <c r="O714" s="22">
        <f t="shared" si="160"/>
        <v>4.3052096453824609</v>
      </c>
      <c r="P714" s="22">
        <f t="shared" si="160"/>
        <v>4.2496956169043703</v>
      </c>
      <c r="Q714" s="22">
        <f t="shared" si="160"/>
        <v>4.2083609134426787</v>
      </c>
      <c r="R714" s="22">
        <f t="shared" si="160"/>
        <v>4.1703852155628214</v>
      </c>
      <c r="S714" s="22">
        <f t="shared" si="160"/>
        <v>3.900775371515369</v>
      </c>
      <c r="T714" s="22">
        <f t="shared" si="160"/>
        <v>3.9381596254461564</v>
      </c>
      <c r="U714" s="22">
        <f t="shared" si="160"/>
        <v>4.0049157346570068</v>
      </c>
      <c r="V714" s="22">
        <f t="shared" si="160"/>
        <v>4.0223863253045398</v>
      </c>
      <c r="W714" s="22">
        <f t="shared" si="160"/>
        <v>4.045795803072969</v>
      </c>
      <c r="X714" s="22">
        <f t="shared" si="160"/>
        <v>4.0767188563085508</v>
      </c>
      <c r="Y714" s="22">
        <f t="shared" si="160"/>
        <v>4.1095287399075264</v>
      </c>
      <c r="Z714" s="22">
        <f t="shared" si="160"/>
        <v>4.1476787731521458</v>
      </c>
      <c r="AA714" s="22">
        <f t="shared" si="160"/>
        <v>4.1863566801857406</v>
      </c>
      <c r="AB714" s="22">
        <f t="shared" si="160"/>
        <v>4.2296218376851549</v>
      </c>
      <c r="AC714" s="22">
        <f t="shared" si="160"/>
        <v>4.2728604404281354</v>
      </c>
      <c r="AD714" s="22">
        <f t="shared" si="160"/>
        <v>4.3024697400350007</v>
      </c>
      <c r="AE714" s="22">
        <f t="shared" si="160"/>
        <v>4.3280485976783627</v>
      </c>
      <c r="AF714" s="22">
        <f t="shared" si="160"/>
        <v>4.3551413116429245</v>
      </c>
      <c r="AG714" s="22">
        <f t="shared" si="160"/>
        <v>4.3898514432989648</v>
      </c>
      <c r="AH714" s="22">
        <f t="shared" si="160"/>
        <v>4.4168796997123483</v>
      </c>
      <c r="AI714" s="22">
        <f t="shared" si="160"/>
        <v>4.4439671933106792</v>
      </c>
      <c r="AJ714" s="22">
        <f t="shared" si="160"/>
        <v>4.4736413932482595</v>
      </c>
      <c r="AK714" s="22">
        <f t="shared" si="160"/>
        <v>4.4945161300843504</v>
      </c>
      <c r="AL714" s="22">
        <f t="shared" si="160"/>
        <v>4.5119473605235276</v>
      </c>
      <c r="AM714" s="22">
        <f t="shared" si="160"/>
        <v>4.5262479592108207</v>
      </c>
      <c r="AN714" s="22">
        <f t="shared" si="160"/>
        <v>4.5552825489057529</v>
      </c>
      <c r="AO714" s="22">
        <f t="shared" si="160"/>
        <v>4.5786902056870105</v>
      </c>
      <c r="AP714" s="22">
        <f t="shared" si="160"/>
        <v>4.6026259938264094</v>
      </c>
      <c r="AQ714" s="22">
        <f t="shared" si="160"/>
        <v>4.6273110032913349</v>
      </c>
      <c r="AR714" s="22">
        <f t="shared" si="160"/>
        <v>4.6531442501292055</v>
      </c>
      <c r="AS714" s="22">
        <f t="shared" si="160"/>
        <v>4.6782746913590252</v>
      </c>
      <c r="AT714" s="22">
        <f t="shared" si="160"/>
        <v>4.6412320099960542</v>
      </c>
      <c r="AU714" s="22">
        <f t="shared" si="160"/>
        <v>4.5987998522947482</v>
      </c>
      <c r="AV714" s="22">
        <f t="shared" si="160"/>
        <v>4.5489683571490982</v>
      </c>
      <c r="AW714" s="22">
        <f t="shared" si="160"/>
        <v>4.4975013733577454</v>
      </c>
      <c r="AY714" s="79"/>
      <c r="AZ714" s="79"/>
    </row>
    <row r="715" spans="1:52" x14ac:dyDescent="0.3">
      <c r="A715" s="95" t="str">
        <f t="shared" si="149"/>
        <v>NI Leaching</v>
      </c>
      <c r="B715" s="95" t="s">
        <v>969</v>
      </c>
      <c r="C715" s="95" t="s">
        <v>1190</v>
      </c>
      <c r="D715" t="s">
        <v>369</v>
      </c>
      <c r="E715" t="s">
        <v>61</v>
      </c>
      <c r="F715" t="s">
        <v>63</v>
      </c>
      <c r="G715" t="s">
        <v>435</v>
      </c>
      <c r="H715" t="s">
        <v>1187</v>
      </c>
      <c r="I715" t="s">
        <v>139</v>
      </c>
      <c r="J715" t="s">
        <v>287</v>
      </c>
      <c r="K715" s="94">
        <f>IF('Net zero activities &amp; levers'!$C$9="Off",'Activity data'!AD47*FracLEACH*MSLeachEF*NtoN2O*kgtoGg,IF('Net zero activities &amp; levers'!$C$9="On",(('Net zero supporting data'!B157*FracLEACH*'Net zero supporting data'!B185)+('Net zero supporting data'!B169*FracLEACH*MSLeachEF))*NtoN2O*kgtoGg,"ERROR"))</f>
        <v>2.2792360161858692E-4</v>
      </c>
      <c r="L715" s="94">
        <f>IF('Net zero activities &amp; levers'!$C$9="Off",'Activity data'!AE47*FracLEACH*MSLeachEF*NtoN2O*kgtoGg,IF('Net zero activities &amp; levers'!$C$9="On",(('Net zero supporting data'!C157*FracLEACH*'Net zero supporting data'!C185)+('Net zero supporting data'!C169*FracLEACH*MSLeachEF))*NtoN2O*kgtoGg,"ERROR"))</f>
        <v>2.2790093553774266E-4</v>
      </c>
      <c r="M715" s="94">
        <f>IF('Net zero activities &amp; levers'!$C$9="Off",'Activity data'!AF47*FracLEACH*MSLeachEF*NtoN2O*kgtoGg,IF('Net zero activities &amp; levers'!$C$9="On",(('Net zero supporting data'!D157*FracLEACH*'Net zero supporting data'!D185)+('Net zero supporting data'!D169*FracLEACH*MSLeachEF))*NtoN2O*kgtoGg,"ERROR"))</f>
        <v>2.278593788421324E-4</v>
      </c>
      <c r="N715" s="94">
        <f>IF('Net zero activities &amp; levers'!$C$9="Off",'Activity data'!AG47*FracLEACH*MSLeachEF*NtoN2O*kgtoGg,IF('Net zero activities &amp; levers'!$C$9="On",(('Net zero supporting data'!E157*FracLEACH*'Net zero supporting data'!E185)+('Net zero supporting data'!E169*FracLEACH*MSLeachEF))*NtoN2O*kgtoGg,"ERROR"))</f>
        <v>2.2780970825918929E-4</v>
      </c>
      <c r="O715" s="94">
        <f>IF('Net zero activities &amp; levers'!$C$9="Off",'Activity data'!AH47*FracLEACH*MSLeachEF*NtoN2O*kgtoGg,IF('Net zero activities &amp; levers'!$C$9="On",(('Net zero supporting data'!F157*FracLEACH*'Net zero supporting data'!F185)+('Net zero supporting data'!F169*FracLEACH*MSLeachEF))*NtoN2O*kgtoGg,"ERROR"))</f>
        <v>2.277761536871344E-4</v>
      </c>
      <c r="P715" s="94">
        <f>IF('Net zero activities &amp; levers'!$C$9="Off",'Activity data'!AI47*FracLEACH*MSLeachEF*NtoN2O*kgtoGg,IF('Net zero activities &amp; levers'!$C$9="On",(('Net zero supporting data'!G157*FracLEACH*'Net zero supporting data'!G185)+('Net zero supporting data'!G169*FracLEACH*MSLeachEF))*NtoN2O*kgtoGg,"ERROR"))</f>
        <v>2.2775306232797126E-4</v>
      </c>
      <c r="Q715" s="94">
        <f>IF('Net zero activities &amp; levers'!$C$9="Off",'Activity data'!AJ47*FracLEACH*MSLeachEF*NtoN2O*kgtoGg,IF('Net zero activities &amp; levers'!$C$9="On",(('Net zero supporting data'!H157*FracLEACH*'Net zero supporting data'!H185)+('Net zero supporting data'!H169*FracLEACH*MSLeachEF))*NtoN2O*kgtoGg,"ERROR"))</f>
        <v>2.2774041756527976E-4</v>
      </c>
      <c r="R715" s="94">
        <f>IF('Net zero activities &amp; levers'!$C$9="Off",'Activity data'!AK47*FracLEACH*MSLeachEF*NtoN2O*kgtoGg,IF('Net zero activities &amp; levers'!$C$9="On",(('Net zero supporting data'!I157*FracLEACH*'Net zero supporting data'!I185)+('Net zero supporting data'!I169*FracLEACH*MSLeachEF))*NtoN2O*kgtoGg,"ERROR"))</f>
        <v>2.2771996066053992E-4</v>
      </c>
      <c r="S715" s="94">
        <f>IF('Net zero activities &amp; levers'!$C$9="Off",'Activity data'!AL47*FracLEACH*MSLeachEF*NtoN2O*kgtoGg,IF('Net zero activities &amp; levers'!$C$9="On",(('Net zero supporting data'!J157*FracLEACH*'Net zero supporting data'!J185)+('Net zero supporting data'!J169*FracLEACH*MSLeachEF))*NtoN2O*kgtoGg,"ERROR"))</f>
        <v>2.2769847220449889E-4</v>
      </c>
      <c r="T715" s="94">
        <f>IF('Net zero activities &amp; levers'!$C$9="Off",'Activity data'!AM47*FracLEACH*MSLeachEF*NtoN2O*kgtoGg,IF('Net zero activities &amp; levers'!$C$9="On",(('Net zero supporting data'!K157*FracLEACH*'Net zero supporting data'!K185)+('Net zero supporting data'!K169*FracLEACH*MSLeachEF))*NtoN2O*kgtoGg,"ERROR"))</f>
        <v>2.2784783983581601E-4</v>
      </c>
      <c r="U715" s="94">
        <f>IF('Net zero activities &amp; levers'!$C$9="Off",'Activity data'!AN47*FracLEACH*MSLeachEF*NtoN2O*kgtoGg,IF('Net zero activities &amp; levers'!$C$9="On",(('Net zero supporting data'!L157*FracLEACH*'Net zero supporting data'!L185)+('Net zero supporting data'!L169*FracLEACH*MSLeachEF))*NtoN2O*kgtoGg,"ERROR"))</f>
        <v>2.2778861051780079E-4</v>
      </c>
      <c r="V715" s="94">
        <f>IF('Net zero activities &amp; levers'!$C$9="Off",'Activity data'!AO47*FracLEACH*MSLeachEF*NtoN2O*kgtoGg,IF('Net zero activities &amp; levers'!$C$9="On",(('Net zero supporting data'!M157*FracLEACH*'Net zero supporting data'!M185)+('Net zero supporting data'!M169*FracLEACH*MSLeachEF))*NtoN2O*kgtoGg,"ERROR"))</f>
        <v>2.2770777253754449E-4</v>
      </c>
      <c r="W715" s="94">
        <f>IF('Net zero activities &amp; levers'!$C$9="Off",'Activity data'!AP47*FracLEACH*MSLeachEF*NtoN2O*kgtoGg,IF('Net zero activities &amp; levers'!$C$9="On",(('Net zero supporting data'!N157*FracLEACH*'Net zero supporting data'!N185)+('Net zero supporting data'!N169*FracLEACH*MSLeachEF))*NtoN2O*kgtoGg,"ERROR"))</f>
        <v>2.2766433280255099E-4</v>
      </c>
      <c r="X715" s="94">
        <f>IF('Net zero activities &amp; levers'!$C$9="Off",'Activity data'!AQ47*FracLEACH*MSLeachEF*NtoN2O*kgtoGg,IF('Net zero activities &amp; levers'!$C$9="On",(('Net zero supporting data'!O157*FracLEACH*'Net zero supporting data'!O185)+('Net zero supporting data'!O169*FracLEACH*MSLeachEF))*NtoN2O*kgtoGg,"ERROR"))</f>
        <v>2.2761682214603963E-4</v>
      </c>
      <c r="Y715" s="94">
        <f>IF('Net zero activities &amp; levers'!$C$9="Off",'Activity data'!AR47*FracLEACH*MSLeachEF*NtoN2O*kgtoGg,IF('Net zero activities &amp; levers'!$C$9="On",(('Net zero supporting data'!P157*FracLEACH*'Net zero supporting data'!P185)+('Net zero supporting data'!P169*FracLEACH*MSLeachEF))*NtoN2O*kgtoGg,"ERROR"))</f>
        <v>2.2756399965202255E-4</v>
      </c>
      <c r="Z715" s="94">
        <f>IF('Net zero activities &amp; levers'!$C$9="Off",'Activity data'!AS47*FracLEACH*MSLeachEF*NtoN2O*kgtoGg,IF('Net zero activities &amp; levers'!$C$9="On",(('Net zero supporting data'!Q157*FracLEACH*'Net zero supporting data'!Q185)+('Net zero supporting data'!Q169*FracLEACH*MSLeachEF))*NtoN2O*kgtoGg,"ERROR"))</f>
        <v>2.2750855106580306E-4</v>
      </c>
      <c r="AA715" s="94">
        <f>IF('Net zero activities &amp; levers'!$C$9="Off",'Activity data'!AT47*FracLEACH*MSLeachEF*NtoN2O*kgtoGg,IF('Net zero activities &amp; levers'!$C$9="On",(('Net zero supporting data'!R157*FracLEACH*'Net zero supporting data'!R185)+('Net zero supporting data'!R169*FracLEACH*MSLeachEF))*NtoN2O*kgtoGg,"ERROR"))</f>
        <v>2.2744937410212421E-4</v>
      </c>
      <c r="AB715" s="94">
        <f>IF('Net zero activities &amp; levers'!$C$9="Off",'Activity data'!AU47*FracLEACH*MSLeachEF*NtoN2O*kgtoGg,IF('Net zero activities &amp; levers'!$C$9="On",(('Net zero supporting data'!S157*FracLEACH*'Net zero supporting data'!S185)+('Net zero supporting data'!S169*FracLEACH*MSLeachEF))*NtoN2O*kgtoGg,"ERROR"))</f>
        <v>2.273900694399806E-4</v>
      </c>
      <c r="AC715" s="94">
        <f>IF('Net zero activities &amp; levers'!$C$9="Off",'Activity data'!AV47*FracLEACH*MSLeachEF*NtoN2O*kgtoGg,IF('Net zero activities &amp; levers'!$C$9="On",(('Net zero supporting data'!T157*FracLEACH*'Net zero supporting data'!T185)+('Net zero supporting data'!T169*FracLEACH*MSLeachEF))*NtoN2O*kgtoGg,"ERROR"))</f>
        <v>2.27327608934121E-4</v>
      </c>
      <c r="AD715" s="94">
        <f>IF('Net zero activities &amp; levers'!$C$9="Off",'Activity data'!AW47*FracLEACH*MSLeachEF*NtoN2O*kgtoGg,IF('Net zero activities &amp; levers'!$C$9="On",(('Net zero supporting data'!U157*FracLEACH*'Net zero supporting data'!U185)+('Net zero supporting data'!U169*FracLEACH*MSLeachEF))*NtoN2O*kgtoGg,"ERROR"))</f>
        <v>2.2726542703693366E-4</v>
      </c>
      <c r="AE715" s="94">
        <f>IF('Net zero activities &amp; levers'!$C$9="Off",'Activity data'!AX47*FracLEACH*MSLeachEF*NtoN2O*kgtoGg,IF('Net zero activities &amp; levers'!$C$9="On",(('Net zero supporting data'!V157*FracLEACH*'Net zero supporting data'!V185)+('Net zero supporting data'!V169*FracLEACH*MSLeachEF))*NtoN2O*kgtoGg,"ERROR"))</f>
        <v>2.2719801149524835E-4</v>
      </c>
      <c r="AF715" s="94">
        <f>IF('Net zero activities &amp; levers'!$C$9="Off",'Activity data'!AY47*FracLEACH*MSLeachEF*NtoN2O*kgtoGg,IF('Net zero activities &amp; levers'!$C$9="On",(('Net zero supporting data'!W157*FracLEACH*'Net zero supporting data'!W185)+('Net zero supporting data'!W169*FracLEACH*MSLeachEF))*NtoN2O*kgtoGg,"ERROR"))</f>
        <v>2.2713308086967036E-4</v>
      </c>
      <c r="AG715" s="94">
        <f>IF('Net zero activities &amp; levers'!$C$9="Off",'Activity data'!AZ47*FracLEACH*MSLeachEF*NtoN2O*kgtoGg,IF('Net zero activities &amp; levers'!$C$9="On",(('Net zero supporting data'!X157*FracLEACH*'Net zero supporting data'!X185)+('Net zero supporting data'!X169*FracLEACH*MSLeachEF))*NtoN2O*kgtoGg,"ERROR"))</f>
        <v>2.2706650673440042E-4</v>
      </c>
      <c r="AH715" s="94">
        <f>IF('Net zero activities &amp; levers'!$C$9="Off",'Activity data'!BA47*FracLEACH*MSLeachEF*NtoN2O*kgtoGg,IF('Net zero activities &amp; levers'!$C$9="On",(('Net zero supporting data'!Y157*FracLEACH*'Net zero supporting data'!Y185)+('Net zero supporting data'!Y169*FracLEACH*MSLeachEF))*NtoN2O*kgtoGg,"ERROR"))</f>
        <v>2.2699372559445836E-4</v>
      </c>
      <c r="AI715" s="94">
        <f>IF('Net zero activities &amp; levers'!$C$9="Off",'Activity data'!BB47*FracLEACH*MSLeachEF*NtoN2O*kgtoGg,IF('Net zero activities &amp; levers'!$C$9="On",(('Net zero supporting data'!Z157*FracLEACH*'Net zero supporting data'!Z185)+('Net zero supporting data'!Z169*FracLEACH*MSLeachEF))*NtoN2O*kgtoGg,"ERROR"))</f>
        <v>2.2692604502406438E-4</v>
      </c>
      <c r="AJ715" s="94">
        <f>IF('Net zero activities &amp; levers'!$C$9="Off",'Activity data'!BC47*FracLEACH*MSLeachEF*NtoN2O*kgtoGg,IF('Net zero activities &amp; levers'!$C$9="On",(('Net zero supporting data'!AA157*FracLEACH*'Net zero supporting data'!AA185)+('Net zero supporting data'!AA169*FracLEACH*MSLeachEF))*NtoN2O*kgtoGg,"ERROR"))</f>
        <v>2.2685655063885179E-4</v>
      </c>
      <c r="AK715" s="94">
        <f>IF('Net zero activities &amp; levers'!$C$9="Off",'Activity data'!BD47*FracLEACH*MSLeachEF*NtoN2O*kgtoGg,IF('Net zero activities &amp; levers'!$C$9="On",(('Net zero supporting data'!AB157*FracLEACH*'Net zero supporting data'!AB185)+('Net zero supporting data'!AB169*FracLEACH*MSLeachEF))*NtoN2O*kgtoGg,"ERROR"))</f>
        <v>2.2678446634657377E-4</v>
      </c>
      <c r="AL715" s="94">
        <f>IF('Net zero activities &amp; levers'!$C$9="Off",'Activity data'!BE47*FracLEACH*MSLeachEF*NtoN2O*kgtoGg,IF('Net zero activities &amp; levers'!$C$9="On",(('Net zero supporting data'!AC157*FracLEACH*'Net zero supporting data'!AC185)+('Net zero supporting data'!AC169*FracLEACH*MSLeachEF))*NtoN2O*kgtoGg,"ERROR"))</f>
        <v>2.2671821660039324E-4</v>
      </c>
      <c r="AM715" s="94">
        <f>IF('Net zero activities &amp; levers'!$C$9="Off",'Activity data'!BF47*FracLEACH*MSLeachEF*NtoN2O*kgtoGg,IF('Net zero activities &amp; levers'!$C$9="On",(('Net zero supporting data'!AD157*FracLEACH*'Net zero supporting data'!AD185)+('Net zero supporting data'!AD169*FracLEACH*MSLeachEF))*NtoN2O*kgtoGg,"ERROR"))</f>
        <v>2.2665380838187847E-4</v>
      </c>
      <c r="AN715" s="94">
        <f>IF('Net zero activities &amp; levers'!$C$9="Off",'Activity data'!BG47*FracLEACH*MSLeachEF*NtoN2O*kgtoGg,IF('Net zero activities &amp; levers'!$C$9="On",(('Net zero supporting data'!AE157*FracLEACH*'Net zero supporting data'!AE185)+('Net zero supporting data'!AE169*FracLEACH*MSLeachEF))*NtoN2O*kgtoGg,"ERROR"))</f>
        <v>2.2659099265923683E-4</v>
      </c>
      <c r="AO715" s="94">
        <f>IF('Net zero activities &amp; levers'!$C$9="Off",'Activity data'!BH47*FracLEACH*MSLeachEF*NtoN2O*kgtoGg,IF('Net zero activities &amp; levers'!$C$9="On",(('Net zero supporting data'!AF157*FracLEACH*'Net zero supporting data'!AF185)+('Net zero supporting data'!AF169*FracLEACH*MSLeachEF))*NtoN2O*kgtoGg,"ERROR"))</f>
        <v>2.2652471286594214E-4</v>
      </c>
      <c r="AP715" s="94">
        <f>IF('Net zero activities &amp; levers'!$C$9="Off",'Activity data'!BI47*FracLEACH*MSLeachEF*NtoN2O*kgtoGg,IF('Net zero activities &amp; levers'!$C$9="On",(('Net zero supporting data'!AG157*FracLEACH*'Net zero supporting data'!AG185)+('Net zero supporting data'!AG169*FracLEACH*MSLeachEF))*NtoN2O*kgtoGg,"ERROR"))</f>
        <v>2.2646226392540174E-4</v>
      </c>
      <c r="AQ715" s="94">
        <f>IF('Net zero activities &amp; levers'!$C$9="Off",'Activity data'!BJ47*FracLEACH*MSLeachEF*NtoN2O*kgtoGg,IF('Net zero activities &amp; levers'!$C$9="On",(('Net zero supporting data'!AH157*FracLEACH*'Net zero supporting data'!AH185)+('Net zero supporting data'!AH169*FracLEACH*MSLeachEF))*NtoN2O*kgtoGg,"ERROR"))</f>
        <v>2.2639901755265007E-4</v>
      </c>
      <c r="AR715" s="94">
        <f>IF('Net zero activities &amp; levers'!$C$9="Off",'Activity data'!BK47*FracLEACH*MSLeachEF*NtoN2O*kgtoGg,IF('Net zero activities &amp; levers'!$C$9="On",(('Net zero supporting data'!AI157*FracLEACH*'Net zero supporting data'!AI185)+('Net zero supporting data'!AI169*FracLEACH*MSLeachEF))*NtoN2O*kgtoGg,"ERROR"))</f>
        <v>2.2633478837800309E-4</v>
      </c>
      <c r="AS715" s="94">
        <f>IF('Net zero activities &amp; levers'!$C$9="Off",'Activity data'!BL47*FracLEACH*MSLeachEF*NtoN2O*kgtoGg,IF('Net zero activities &amp; levers'!$C$9="On",(('Net zero supporting data'!AJ157*FracLEACH*'Net zero supporting data'!AJ185)+('Net zero supporting data'!AJ169*FracLEACH*MSLeachEF))*NtoN2O*kgtoGg,"ERROR"))</f>
        <v>2.2626925916384739E-4</v>
      </c>
      <c r="AT715" s="94">
        <f>IF('Net zero activities &amp; levers'!$C$9="Off",'Activity data'!BM47*FracLEACH*MSLeachEF*NtoN2O*kgtoGg,IF('Net zero activities &amp; levers'!$C$9="On",(('Net zero supporting data'!AK157*FracLEACH*'Net zero supporting data'!AK185)+('Net zero supporting data'!AK169*FracLEACH*MSLeachEF))*NtoN2O*kgtoGg,"ERROR"))</f>
        <v>2.2620270329932796E-4</v>
      </c>
      <c r="AU715" s="94">
        <f>IF('Net zero activities &amp; levers'!$C$9="Off",'Activity data'!BN47*FracLEACH*MSLeachEF*NtoN2O*kgtoGg,IF('Net zero activities &amp; levers'!$C$9="On",(('Net zero supporting data'!AL157*FracLEACH*'Net zero supporting data'!AL185)+('Net zero supporting data'!AL169*FracLEACH*MSLeachEF))*NtoN2O*kgtoGg,"ERROR"))</f>
        <v>2.261822530490572E-4</v>
      </c>
      <c r="AV715" s="94">
        <f>IF('Net zero activities &amp; levers'!$C$9="Off",'Activity data'!BO47*FracLEACH*MSLeachEF*NtoN2O*kgtoGg,IF('Net zero activities &amp; levers'!$C$9="On",(('Net zero supporting data'!AM157*FracLEACH*'Net zero supporting data'!AM185)+('Net zero supporting data'!AM169*FracLEACH*MSLeachEF))*NtoN2O*kgtoGg,"ERROR"))</f>
        <v>2.2616610062877842E-4</v>
      </c>
      <c r="AW715" s="94">
        <f>IF('Net zero activities &amp; levers'!$C$9="Off",'Activity data'!BP47*FracLEACH*MSLeachEF*NtoN2O*kgtoGg,IF('Net zero activities &amp; levers'!$C$9="On",(('Net zero supporting data'!AN157*FracLEACH*'Net zero supporting data'!AN185)+('Net zero supporting data'!AN169*FracLEACH*MSLeachEF))*NtoN2O*kgtoGg,"ERROR"))</f>
        <v>2.2615603767239231E-4</v>
      </c>
      <c r="AY715" s="79"/>
      <c r="AZ715" s="79"/>
    </row>
    <row r="716" spans="1:52" x14ac:dyDescent="0.3">
      <c r="A716" s="95" t="str">
        <f t="shared" si="149"/>
        <v>NI Leaching</v>
      </c>
      <c r="B716" s="95" t="s">
        <v>969</v>
      </c>
      <c r="C716" s="95" t="s">
        <v>1190</v>
      </c>
      <c r="D716" t="s">
        <v>369</v>
      </c>
      <c r="E716" t="s">
        <v>61</v>
      </c>
      <c r="F716" t="s">
        <v>63</v>
      </c>
      <c r="G716" t="s">
        <v>436</v>
      </c>
      <c r="H716" t="s">
        <v>1188</v>
      </c>
      <c r="I716" t="s">
        <v>139</v>
      </c>
      <c r="J716" t="s">
        <v>287</v>
      </c>
      <c r="K716" s="94">
        <f>IF('Net zero activities &amp; levers'!$C$9="Off",'Activity data'!AD48*FracLEACH*MSLeachEF*NtoN2O*kgtoGg,IF('Net zero activities &amp; levers'!$C$9="On",(('Net zero supporting data'!B158*FracLEACH*'Net zero supporting data'!B185)+('Net zero supporting data'!B170*FracLEACH*MSLeachEF))*NtoN2O*kgtoGg,"ERROR"))</f>
        <v>1.5042957706826741E-6</v>
      </c>
      <c r="L716" s="94">
        <f>IF('Net zero activities &amp; levers'!$C$9="Off",'Activity data'!AE48*FracLEACH*MSLeachEF*NtoN2O*kgtoGg,IF('Net zero activities &amp; levers'!$C$9="On",(('Net zero supporting data'!C158*FracLEACH*'Net zero supporting data'!C185)+('Net zero supporting data'!C170*FracLEACH*MSLeachEF))*NtoN2O*kgtoGg,"ERROR"))</f>
        <v>1.5041461745491019E-6</v>
      </c>
      <c r="M716" s="94">
        <f>IF('Net zero activities &amp; levers'!$C$9="Off",'Activity data'!AF48*FracLEACH*MSLeachEF*NtoN2O*kgtoGg,IF('Net zero activities &amp; levers'!$C$9="On",(('Net zero supporting data'!D158*FracLEACH*'Net zero supporting data'!D185)+('Net zero supporting data'!D170*FracLEACH*MSLeachEF))*NtoN2O*kgtoGg,"ERROR"))</f>
        <v>1.5038719003580737E-6</v>
      </c>
      <c r="N716" s="94">
        <f>IF('Net zero activities &amp; levers'!$C$9="Off",'Activity data'!AG48*FracLEACH*MSLeachEF*NtoN2O*kgtoGg,IF('Net zero activities &amp; levers'!$C$9="On",(('Net zero supporting data'!E158*FracLEACH*'Net zero supporting data'!E185)+('Net zero supporting data'!E170*FracLEACH*MSLeachEF))*NtoN2O*kgtoGg,"ERROR"))</f>
        <v>1.5035440745106496E-6</v>
      </c>
      <c r="O716" s="94">
        <f>IF('Net zero activities &amp; levers'!$C$9="Off",'Activity data'!AH48*FracLEACH*MSLeachEF*NtoN2O*kgtoGg,IF('Net zero activities &amp; levers'!$C$9="On",(('Net zero supporting data'!F158*FracLEACH*'Net zero supporting data'!F185)+('Net zero supporting data'!F170*FracLEACH*MSLeachEF))*NtoN2O*kgtoGg,"ERROR"))</f>
        <v>1.5033226143350872E-6</v>
      </c>
      <c r="P716" s="94">
        <f>IF('Net zero activities &amp; levers'!$C$9="Off",'Activity data'!AI48*FracLEACH*MSLeachEF*NtoN2O*kgtoGg,IF('Net zero activities &amp; levers'!$C$9="On",(('Net zero supporting data'!G158*FracLEACH*'Net zero supporting data'!G185)+('Net zero supporting data'!G170*FracLEACH*MSLeachEF))*NtoN2O*kgtoGg,"ERROR"))</f>
        <v>1.5031702113646103E-6</v>
      </c>
      <c r="Q716" s="94">
        <f>IF('Net zero activities &amp; levers'!$C$9="Off",'Activity data'!AJ48*FracLEACH*MSLeachEF*NtoN2O*kgtoGg,IF('Net zero activities &amp; levers'!$C$9="On",(('Net zero supporting data'!H158*FracLEACH*'Net zero supporting data'!H185)+('Net zero supporting data'!H170*FracLEACH*MSLeachEF))*NtoN2O*kgtoGg,"ERROR"))</f>
        <v>1.5030867559308466E-6</v>
      </c>
      <c r="R716" s="94">
        <f>IF('Net zero activities &amp; levers'!$C$9="Off",'Activity data'!AK48*FracLEACH*MSLeachEF*NtoN2O*kgtoGg,IF('Net zero activities &amp; levers'!$C$9="On",(('Net zero supporting data'!I158*FracLEACH*'Net zero supporting data'!I185)+('Net zero supporting data'!I170*FracLEACH*MSLeachEF))*NtoN2O*kgtoGg,"ERROR"))</f>
        <v>1.5029517403595637E-6</v>
      </c>
      <c r="S716" s="94">
        <f>IF('Net zero activities &amp; levers'!$C$9="Off",'Activity data'!AL48*FracLEACH*MSLeachEF*NtoN2O*kgtoGg,IF('Net zero activities &amp; levers'!$C$9="On",(('Net zero supporting data'!J158*FracLEACH*'Net zero supporting data'!J185)+('Net zero supporting data'!J170*FracLEACH*MSLeachEF))*NtoN2O*kgtoGg,"ERROR"))</f>
        <v>1.5028099165496928E-6</v>
      </c>
      <c r="T716" s="94">
        <f>IF('Net zero activities &amp; levers'!$C$9="Off",'Activity data'!AM48*FracLEACH*MSLeachEF*NtoN2O*kgtoGg,IF('Net zero activities &amp; levers'!$C$9="On",(('Net zero supporting data'!K158*FracLEACH*'Net zero supporting data'!K185)+('Net zero supporting data'!K170*FracLEACH*MSLeachEF))*NtoN2O*kgtoGg,"ERROR"))</f>
        <v>1.503795742916386E-6</v>
      </c>
      <c r="U716" s="94">
        <f>IF('Net zero activities &amp; levers'!$C$9="Off",'Activity data'!AN48*FracLEACH*MSLeachEF*NtoN2O*kgtoGg,IF('Net zero activities &amp; levers'!$C$9="On",(('Net zero supporting data'!L158*FracLEACH*'Net zero supporting data'!L185)+('Net zero supporting data'!L170*FracLEACH*MSLeachEF))*NtoN2O*kgtoGg,"ERROR"))</f>
        <v>1.5034048294174857E-6</v>
      </c>
      <c r="V716" s="94">
        <f>IF('Net zero activities &amp; levers'!$C$9="Off",'Activity data'!AO48*FracLEACH*MSLeachEF*NtoN2O*kgtoGg,IF('Net zero activities &amp; levers'!$C$9="On",(('Net zero supporting data'!M158*FracLEACH*'Net zero supporting data'!M185)+('Net zero supporting data'!M170*FracLEACH*MSLeachEF))*NtoN2O*kgtoGg,"ERROR"))</f>
        <v>1.502871298747794E-6</v>
      </c>
      <c r="W716" s="94">
        <f>IF('Net zero activities &amp; levers'!$C$9="Off",'Activity data'!AP48*FracLEACH*MSLeachEF*NtoN2O*kgtoGg,IF('Net zero activities &amp; levers'!$C$9="On",(('Net zero supporting data'!N158*FracLEACH*'Net zero supporting data'!N185)+('Net zero supporting data'!N170*FracLEACH*MSLeachEF))*NtoN2O*kgtoGg,"ERROR"))</f>
        <v>1.5025845964968368E-6</v>
      </c>
      <c r="X716" s="94">
        <f>IF('Net zero activities &amp; levers'!$C$9="Off",'Activity data'!AQ48*FracLEACH*MSLeachEF*NtoN2O*kgtoGg,IF('Net zero activities &amp; levers'!$C$9="On",(('Net zero supporting data'!O158*FracLEACH*'Net zero supporting data'!O185)+('Net zero supporting data'!O170*FracLEACH*MSLeachEF))*NtoN2O*kgtoGg,"ERROR"))</f>
        <v>1.5022710261638614E-6</v>
      </c>
      <c r="Y716" s="94">
        <f>IF('Net zero activities &amp; levers'!$C$9="Off",'Activity data'!AR48*FracLEACH*MSLeachEF*NtoN2O*kgtoGg,IF('Net zero activities &amp; levers'!$C$9="On",(('Net zero supporting data'!P158*FracLEACH*'Net zero supporting data'!P185)+('Net zero supporting data'!P170*FracLEACH*MSLeachEF))*NtoN2O*kgtoGg,"ERROR"))</f>
        <v>1.5019223977033493E-6</v>
      </c>
      <c r="Z716" s="94">
        <f>IF('Net zero activities &amp; levers'!$C$9="Off",'Activity data'!AS48*FracLEACH*MSLeachEF*NtoN2O*kgtoGg,IF('Net zero activities &amp; levers'!$C$9="On",(('Net zero supporting data'!Q158*FracLEACH*'Net zero supporting data'!Q185)+('Net zero supporting data'!Q170*FracLEACH*MSLeachEF))*NtoN2O*kgtoGg,"ERROR"))</f>
        <v>1.5015564370343004E-6</v>
      </c>
      <c r="AA716" s="94">
        <f>IF('Net zero activities &amp; levers'!$C$9="Off",'Activity data'!AT48*FracLEACH*MSLeachEF*NtoN2O*kgtoGg,IF('Net zero activities &amp; levers'!$C$9="On",(('Net zero supporting data'!R158*FracLEACH*'Net zero supporting data'!R185)+('Net zero supporting data'!R170*FracLEACH*MSLeachEF))*NtoN2O*kgtoGg,"ERROR"))</f>
        <v>1.5011658690740202E-6</v>
      </c>
      <c r="AB716" s="94">
        <f>IF('Net zero activities &amp; levers'!$C$9="Off",'Activity data'!AU48*FracLEACH*MSLeachEF*NtoN2O*kgtoGg,IF('Net zero activities &amp; levers'!$C$9="On",(('Net zero supporting data'!S158*FracLEACH*'Net zero supporting data'!S185)+('Net zero supporting data'!S170*FracLEACH*MSLeachEF))*NtoN2O*kgtoGg,"ERROR"))</f>
        <v>1.500774458303872E-6</v>
      </c>
      <c r="AC716" s="94">
        <f>IF('Net zero activities &amp; levers'!$C$9="Off",'Activity data'!AV48*FracLEACH*MSLeachEF*NtoN2O*kgtoGg,IF('Net zero activities &amp; levers'!$C$9="On",(('Net zero supporting data'!T158*FracLEACH*'Net zero supporting data'!T185)+('Net zero supporting data'!T170*FracLEACH*MSLeachEF))*NtoN2O*kgtoGg,"ERROR"))</f>
        <v>1.5003622189651987E-6</v>
      </c>
      <c r="AD716" s="94">
        <f>IF('Net zero activities &amp; levers'!$C$9="Off",'Activity data'!AW48*FracLEACH*MSLeachEF*NtoN2O*kgtoGg,IF('Net zero activities &amp; levers'!$C$9="On",(('Net zero supporting data'!U158*FracLEACH*'Net zero supporting data'!U185)+('Net zero supporting data'!U170*FracLEACH*MSLeachEF))*NtoN2O*kgtoGg,"ERROR"))</f>
        <v>1.4999518184437622E-6</v>
      </c>
      <c r="AE716" s="94">
        <f>IF('Net zero activities &amp; levers'!$C$9="Off",'Activity data'!AX48*FracLEACH*MSLeachEF*NtoN2O*kgtoGg,IF('Net zero activities &amp; levers'!$C$9="On",(('Net zero supporting data'!V158*FracLEACH*'Net zero supporting data'!V185)+('Net zero supporting data'!V170*FracLEACH*MSLeachEF))*NtoN2O*kgtoGg,"ERROR"))</f>
        <v>1.4995068758686393E-6</v>
      </c>
      <c r="AF716" s="94">
        <f>IF('Net zero activities &amp; levers'!$C$9="Off",'Activity data'!AY48*FracLEACH*MSLeachEF*NtoN2O*kgtoGg,IF('Net zero activities &amp; levers'!$C$9="On",(('Net zero supporting data'!W158*FracLEACH*'Net zero supporting data'!W185)+('Net zero supporting data'!W170*FracLEACH*MSLeachEF))*NtoN2O*kgtoGg,"ERROR"))</f>
        <v>1.4990783337398247E-6</v>
      </c>
      <c r="AG716" s="94">
        <f>IF('Net zero activities &amp; levers'!$C$9="Off",'Activity data'!AZ48*FracLEACH*MSLeachEF*NtoN2O*kgtoGg,IF('Net zero activities &amp; levers'!$C$9="On",(('Net zero supporting data'!X158*FracLEACH*'Net zero supporting data'!X185)+('Net zero supporting data'!X170*FracLEACH*MSLeachEF))*NtoN2O*kgtoGg,"ERROR"))</f>
        <v>1.498638944447043E-6</v>
      </c>
      <c r="AH716" s="94">
        <f>IF('Net zero activities &amp; levers'!$C$9="Off",'Activity data'!BA48*FracLEACH*MSLeachEF*NtoN2O*kgtoGg,IF('Net zero activities &amp; levers'!$C$9="On",(('Net zero supporting data'!Y158*FracLEACH*'Net zero supporting data'!Y185)+('Net zero supporting data'!Y170*FracLEACH*MSLeachEF))*NtoN2O*kgtoGg,"ERROR"))</f>
        <v>1.4981585889234254E-6</v>
      </c>
      <c r="AI716" s="94">
        <f>IF('Net zero activities &amp; levers'!$C$9="Off",'Activity data'!BB48*FracLEACH*MSLeachEF*NtoN2O*kgtoGg,IF('Net zero activities &amp; levers'!$C$9="On",(('Net zero supporting data'!Z158*FracLEACH*'Net zero supporting data'!Z185)+('Net zero supporting data'!Z170*FracLEACH*MSLeachEF))*NtoN2O*kgtoGg,"ERROR"))</f>
        <v>1.497711897158825E-6</v>
      </c>
      <c r="AJ716" s="94">
        <f>IF('Net zero activities &amp; levers'!$C$9="Off",'Activity data'!BC48*FracLEACH*MSLeachEF*NtoN2O*kgtoGg,IF('Net zero activities &amp; levers'!$C$9="On",(('Net zero supporting data'!AA158*FracLEACH*'Net zero supporting data'!AA185)+('Net zero supporting data'!AA170*FracLEACH*MSLeachEF))*NtoN2O*kgtoGg,"ERROR"))</f>
        <v>1.4972532342164218E-6</v>
      </c>
      <c r="AK716" s="94">
        <f>IF('Net zero activities &amp; levers'!$C$9="Off",'Activity data'!BD48*FracLEACH*MSLeachEF*NtoN2O*kgtoGg,IF('Net zero activities &amp; levers'!$C$9="On",(('Net zero supporting data'!AB158*FracLEACH*'Net zero supporting data'!AB185)+('Net zero supporting data'!AB170*FracLEACH*MSLeachEF))*NtoN2O*kgtoGg,"ERROR"))</f>
        <v>1.4967774778873874E-6</v>
      </c>
      <c r="AL716" s="94">
        <f>IF('Net zero activities &amp; levers'!$C$9="Off",'Activity data'!BE48*FracLEACH*MSLeachEF*NtoN2O*kgtoGg,IF('Net zero activities &amp; levers'!$C$9="On",(('Net zero supporting data'!AC158*FracLEACH*'Net zero supporting data'!AC185)+('Net zero supporting data'!AC170*FracLEACH*MSLeachEF))*NtoN2O*kgtoGg,"ERROR"))</f>
        <v>1.4963402295625958E-6</v>
      </c>
      <c r="AM716" s="94">
        <f>IF('Net zero activities &amp; levers'!$C$9="Off",'Activity data'!BF48*FracLEACH*MSLeachEF*NtoN2O*kgtoGg,IF('Net zero activities &amp; levers'!$C$9="On",(('Net zero supporting data'!AD158*FracLEACH*'Net zero supporting data'!AD185)+('Net zero supporting data'!AD170*FracLEACH*MSLeachEF))*NtoN2O*kgtoGg,"ERROR"))</f>
        <v>1.4959151353203979E-6</v>
      </c>
      <c r="AN716" s="94">
        <f>IF('Net zero activities &amp; levers'!$C$9="Off",'Activity data'!BG48*FracLEACH*MSLeachEF*NtoN2O*kgtoGg,IF('Net zero activities &amp; levers'!$C$9="On",(('Net zero supporting data'!AE158*FracLEACH*'Net zero supporting data'!AE185)+('Net zero supporting data'!AE170*FracLEACH*MSLeachEF))*NtoN2O*kgtoGg,"ERROR"))</f>
        <v>1.4955005515509629E-6</v>
      </c>
      <c r="AO716" s="94">
        <f>IF('Net zero activities &amp; levers'!$C$9="Off",'Activity data'!BH48*FracLEACH*MSLeachEF*NtoN2O*kgtoGg,IF('Net zero activities &amp; levers'!$C$9="On",(('Net zero supporting data'!AF158*FracLEACH*'Net zero supporting data'!AF185)+('Net zero supporting data'!AF170*FracLEACH*MSLeachEF))*NtoN2O*kgtoGg,"ERROR"))</f>
        <v>1.4950631049152183E-6</v>
      </c>
      <c r="AP716" s="94">
        <f>IF('Net zero activities &amp; levers'!$C$9="Off",'Activity data'!BI48*FracLEACH*MSLeachEF*NtoN2O*kgtoGg,IF('Net zero activities &amp; levers'!$C$9="On",(('Net zero supporting data'!AG158*FracLEACH*'Net zero supporting data'!AG185)+('Net zero supporting data'!AG170*FracLEACH*MSLeachEF))*NtoN2O*kgtoGg,"ERROR"))</f>
        <v>1.4946509419076516E-6</v>
      </c>
      <c r="AQ716" s="94">
        <f>IF('Net zero activities &amp; levers'!$C$9="Off",'Activity data'!BJ48*FracLEACH*MSLeachEF*NtoN2O*kgtoGg,IF('Net zero activities &amp; levers'!$C$9="On",(('Net zero supporting data'!AH158*FracLEACH*'Net zero supporting data'!AH185)+('Net zero supporting data'!AH170*FracLEACH*MSLeachEF))*NtoN2O*kgtoGg,"ERROR"))</f>
        <v>1.4942335158474905E-6</v>
      </c>
      <c r="AR716" s="94">
        <f>IF('Net zero activities &amp; levers'!$C$9="Off",'Activity data'!BK48*FracLEACH*MSLeachEF*NtoN2O*kgtoGg,IF('Net zero activities &amp; levers'!$C$9="On",(('Net zero supporting data'!AI158*FracLEACH*'Net zero supporting data'!AI185)+('Net zero supporting data'!AI170*FracLEACH*MSLeachEF))*NtoN2O*kgtoGg,"ERROR"))</f>
        <v>1.4938096032948206E-6</v>
      </c>
      <c r="AS716" s="94">
        <f>IF('Net zero activities &amp; levers'!$C$9="Off",'Activity data'!BL48*FracLEACH*MSLeachEF*NtoN2O*kgtoGg,IF('Net zero activities &amp; levers'!$C$9="On",(('Net zero supporting data'!AJ158*FracLEACH*'Net zero supporting data'!AJ185)+('Net zero supporting data'!AJ170*FracLEACH*MSLeachEF))*NtoN2O*kgtoGg,"ERROR"))</f>
        <v>1.4933771104813929E-6</v>
      </c>
      <c r="AT716" s="94">
        <f>IF('Net zero activities &amp; levers'!$C$9="Off",'Activity data'!BM48*FracLEACH*MSLeachEF*NtoN2O*kgtoGg,IF('Net zero activities &amp; levers'!$C$9="On",(('Net zero supporting data'!AK158*FracLEACH*'Net zero supporting data'!AK185)+('Net zero supporting data'!AK170*FracLEACH*MSLeachEF))*NtoN2O*kgtoGg,"ERROR"))</f>
        <v>1.4929378417755646E-6</v>
      </c>
      <c r="AU716" s="94">
        <f>IF('Net zero activities &amp; levers'!$C$9="Off",'Activity data'!BN48*FracLEACH*MSLeachEF*NtoN2O*kgtoGg,IF('Net zero activities &amp; levers'!$C$9="On",(('Net zero supporting data'!AL158*FracLEACH*'Net zero supporting data'!AL185)+('Net zero supporting data'!AL170*FracLEACH*MSLeachEF))*NtoN2O*kgtoGg,"ERROR"))</f>
        <v>1.4928028701237777E-6</v>
      </c>
      <c r="AV716" s="94">
        <f>IF('Net zero activities &amp; levers'!$C$9="Off",'Activity data'!BO48*FracLEACH*MSLeachEF*NtoN2O*kgtoGg,IF('Net zero activities &amp; levers'!$C$9="On",(('Net zero supporting data'!AM158*FracLEACH*'Net zero supporting data'!AM185)+('Net zero supporting data'!AM170*FracLEACH*MSLeachEF))*NtoN2O*kgtoGg,"ERROR"))</f>
        <v>1.4926962641499375E-6</v>
      </c>
      <c r="AW716" s="94">
        <f>IF('Net zero activities &amp; levers'!$C$9="Off",'Activity data'!BP48*FracLEACH*MSLeachEF*NtoN2O*kgtoGg,IF('Net zero activities &amp; levers'!$C$9="On",(('Net zero supporting data'!AN158*FracLEACH*'Net zero supporting data'!AN185)+('Net zero supporting data'!AN170*FracLEACH*MSLeachEF))*NtoN2O*kgtoGg,"ERROR"))</f>
        <v>1.4926298486377895E-6</v>
      </c>
      <c r="AY716" s="79"/>
      <c r="AZ716" s="79"/>
    </row>
    <row r="717" spans="1:52" x14ac:dyDescent="0.3">
      <c r="A717" s="95" t="str">
        <f t="shared" si="149"/>
        <v>NI Leaching</v>
      </c>
      <c r="B717" s="95" t="s">
        <v>969</v>
      </c>
      <c r="C717" s="95" t="s">
        <v>1190</v>
      </c>
      <c r="D717" t="s">
        <v>369</v>
      </c>
      <c r="E717" t="s">
        <v>61</v>
      </c>
      <c r="F717" t="s">
        <v>63</v>
      </c>
      <c r="G717" t="s">
        <v>437</v>
      </c>
      <c r="H717" t="s">
        <v>1189</v>
      </c>
      <c r="I717" t="s">
        <v>139</v>
      </c>
      <c r="J717" t="s">
        <v>287</v>
      </c>
      <c r="K717" s="94">
        <f>IF('Net zero activities &amp; levers'!$C$9="Off",SUM('Activity data'!AD50:AD65)*FracLEACH*MSLeachEF*NtoN2O*kgtoGg,IF('Net zero activities &amp; levers'!$C$9="On",((SUM('Net zero supporting data'!B159:B168)*FracLEACH*'Net zero supporting data'!B185)+(SUM('Net zero supporting data'!B171:B180,'Net zero Activity data'!AD54,'Net zero Activity data'!AD57,'Net zero Activity data'!AD59:AD61,'Net zero Activity data'!AD63)*FracLEACH*MSLeachEF))*NtoN2O*kgtoGg,"ERROR"))</f>
        <v>0.20714502561891829</v>
      </c>
      <c r="L717" s="94">
        <f>IF('Net zero activities &amp; levers'!$C$9="Off",SUM('Activity data'!AE50:AE65)*FracLEACH*MSLeachEF*NtoN2O*kgtoGg,IF('Net zero activities &amp; levers'!$C$9="On",((SUM('Net zero supporting data'!C159:C168)*FracLEACH*'Net zero supporting data'!C185)+(SUM('Net zero supporting data'!C171:C180,'Net zero Activity data'!AE54,'Net zero Activity data'!AE57,'Net zero Activity data'!AE59:AE61,'Net zero Activity data'!AE63)*FracLEACH*MSLeachEF))*NtoN2O*kgtoGg,"ERROR"))</f>
        <v>0.20732835560623092</v>
      </c>
      <c r="M717" s="94">
        <f>IF('Net zero activities &amp; levers'!$C$9="Off",SUM('Activity data'!AF50:AF65)*FracLEACH*MSLeachEF*NtoN2O*kgtoGg,IF('Net zero activities &amp; levers'!$C$9="On",((SUM('Net zero supporting data'!D159:D168)*FracLEACH*'Net zero supporting data'!D185)+(SUM('Net zero supporting data'!D171:D180,'Net zero Activity data'!AF54,'Net zero Activity data'!AF57,'Net zero Activity data'!AF59:AF61,'Net zero Activity data'!AF63)*FracLEACH*MSLeachEF))*NtoN2O*kgtoGg,"ERROR"))</f>
        <v>0.20853137086969875</v>
      </c>
      <c r="N717" s="94">
        <f>IF('Net zero activities &amp; levers'!$C$9="Off",SUM('Activity data'!AG50:AG65)*FracLEACH*MSLeachEF*NtoN2O*kgtoGg,IF('Net zero activities &amp; levers'!$C$9="On",((SUM('Net zero supporting data'!E159:E168)*FracLEACH*'Net zero supporting data'!E185)+(SUM('Net zero supporting data'!E171:E180,'Net zero Activity data'!AG54,'Net zero Activity data'!AG57,'Net zero Activity data'!AG59:AG61,'Net zero Activity data'!AG63)*FracLEACH*MSLeachEF))*NtoN2O*kgtoGg,"ERROR"))</f>
        <v>0.20795637847695567</v>
      </c>
      <c r="O717" s="94">
        <f>IF('Net zero activities &amp; levers'!$C$9="Off",SUM('Activity data'!AH50:AH65)*FracLEACH*MSLeachEF*NtoN2O*kgtoGg,IF('Net zero activities &amp; levers'!$C$9="On",((SUM('Net zero supporting data'!F159:F168)*FracLEACH*'Net zero supporting data'!F185)+(SUM('Net zero supporting data'!F171:F180,'Net zero Activity data'!AH54,'Net zero Activity data'!AH57,'Net zero Activity data'!AH59:AH61,'Net zero Activity data'!AH63)*FracLEACH*MSLeachEF))*NtoN2O*kgtoGg,"ERROR"))</f>
        <v>0.20628301821112832</v>
      </c>
      <c r="P717" s="94">
        <f>IF('Net zero activities &amp; levers'!$C$9="Off",SUM('Activity data'!AI50:AI65)*FracLEACH*MSLeachEF*NtoN2O*kgtoGg,IF('Net zero activities &amp; levers'!$C$9="On",((SUM('Net zero supporting data'!G159:G168)*FracLEACH*'Net zero supporting data'!G185)+(SUM('Net zero supporting data'!G171:G180,'Net zero Activity data'!AI54,'Net zero Activity data'!AI57,'Net zero Activity data'!AI59:AI61,'Net zero Activity data'!AI63)*FracLEACH*MSLeachEF))*NtoN2O*kgtoGg,"ERROR"))</f>
        <v>0.20354939622414608</v>
      </c>
      <c r="Q717" s="94">
        <f>IF('Net zero activities &amp; levers'!$C$9="Off",SUM('Activity data'!AJ50:AJ65)*FracLEACH*MSLeachEF*NtoN2O*kgtoGg,IF('Net zero activities &amp; levers'!$C$9="On",((SUM('Net zero supporting data'!H159:H168)*FracLEACH*'Net zero supporting data'!H185)+(SUM('Net zero supporting data'!H171:H180,'Net zero Activity data'!AJ54,'Net zero Activity data'!AJ57,'Net zero Activity data'!AJ59:AJ61,'Net zero Activity data'!AJ63)*FracLEACH*MSLeachEF))*NtoN2O*kgtoGg,"ERROR"))</f>
        <v>0.20178646732442315</v>
      </c>
      <c r="R717" s="94">
        <f>IF('Net zero activities &amp; levers'!$C$9="Off",SUM('Activity data'!AK50:AK65)*FracLEACH*MSLeachEF*NtoN2O*kgtoGg,IF('Net zero activities &amp; levers'!$C$9="On",((SUM('Net zero supporting data'!I159:I168)*FracLEACH*'Net zero supporting data'!I185)+(SUM('Net zero supporting data'!I171:I180,'Net zero Activity data'!AK54,'Net zero Activity data'!AK57,'Net zero Activity data'!AK59:AK61,'Net zero Activity data'!AK63)*FracLEACH*MSLeachEF))*NtoN2O*kgtoGg,"ERROR"))</f>
        <v>0.20021853233884618</v>
      </c>
      <c r="S717" s="94">
        <f>IF('Net zero activities &amp; levers'!$C$9="Off",SUM('Activity data'!AL50:AL65)*FracLEACH*MSLeachEF*NtoN2O*kgtoGg,IF('Net zero activities &amp; levers'!$C$9="On",((SUM('Net zero supporting data'!J159:J168)*FracLEACH*'Net zero supporting data'!J185)+(SUM('Net zero supporting data'!J171:J180,'Net zero Activity data'!AL54,'Net zero Activity data'!AL57,'Net zero Activity data'!AL59:AL61,'Net zero Activity data'!AL63)*FracLEACH*MSLeachEF))*NtoN2O*kgtoGg,"ERROR"))</f>
        <v>0.18115905834206086</v>
      </c>
      <c r="T717" s="94">
        <f>IF('Net zero activities &amp; levers'!$C$9="Off",SUM('Activity data'!AM50:AM65)*FracLEACH*MSLeachEF*NtoN2O*kgtoGg,IF('Net zero activities &amp; levers'!$C$9="On",((SUM('Net zero supporting data'!K159:K168)*FracLEACH*'Net zero supporting data'!K185)+(SUM('Net zero supporting data'!K171:K180,'Net zero Activity data'!AM54,'Net zero Activity data'!AM57,'Net zero Activity data'!AM59:AM61,'Net zero Activity data'!AM63)*FracLEACH*MSLeachEF))*NtoN2O*kgtoGg,"ERROR"))</f>
        <v>0.1846349212925194</v>
      </c>
      <c r="U717" s="94">
        <f>IF('Net zero activities &amp; levers'!$C$9="Off",SUM('Activity data'!AN50:AN65)*FracLEACH*MSLeachEF*NtoN2O*kgtoGg,IF('Net zero activities &amp; levers'!$C$9="On",((SUM('Net zero supporting data'!L159:L168)*FracLEACH*'Net zero supporting data'!L185)+(SUM('Net zero supporting data'!L171:L180,'Net zero Activity data'!AN54,'Net zero Activity data'!AN57,'Net zero Activity data'!AN59:AN61,'Net zero Activity data'!AN63)*FracLEACH*MSLeachEF))*NtoN2O*kgtoGg,"ERROR"))</f>
        <v>0.19035972114498487</v>
      </c>
      <c r="V717" s="94">
        <f>IF('Net zero activities &amp; levers'!$C$9="Off",SUM('Activity data'!AO50:AO65)*FracLEACH*MSLeachEF*NtoN2O*kgtoGg,IF('Net zero activities &amp; levers'!$C$9="On",((SUM('Net zero supporting data'!M159:M168)*FracLEACH*'Net zero supporting data'!M185)+(SUM('Net zero supporting data'!M171:M180,'Net zero Activity data'!AO54,'Net zero Activity data'!AO57,'Net zero Activity data'!AO59:AO61,'Net zero Activity data'!AO63)*FracLEACH*MSLeachEF))*NtoN2O*kgtoGg,"ERROR"))</f>
        <v>0.19234595211979802</v>
      </c>
      <c r="W717" s="94">
        <f>IF('Net zero activities &amp; levers'!$C$9="Off",SUM('Activity data'!AP50:AP65)*FracLEACH*MSLeachEF*NtoN2O*kgtoGg,IF('Net zero activities &amp; levers'!$C$9="On",((SUM('Net zero supporting data'!N159:N168)*FracLEACH*'Net zero supporting data'!N185)+(SUM('Net zero supporting data'!N171:N180,'Net zero Activity data'!AP54,'Net zero Activity data'!AP57,'Net zero Activity data'!AP59:AP61,'Net zero Activity data'!AP63)*FracLEACH*MSLeachEF))*NtoN2O*kgtoGg,"ERROR"))</f>
        <v>0.1947869037963407</v>
      </c>
      <c r="X717" s="94">
        <f>IF('Net zero activities &amp; levers'!$C$9="Off",SUM('Activity data'!AQ50:AQ65)*FracLEACH*MSLeachEF*NtoN2O*kgtoGg,IF('Net zero activities &amp; levers'!$C$9="On",((SUM('Net zero supporting data'!O159:O168)*FracLEACH*'Net zero supporting data'!O185)+(SUM('Net zero supporting data'!O171:O180,'Net zero Activity data'!AQ54,'Net zero Activity data'!AQ57,'Net zero Activity data'!AQ59:AQ61,'Net zero Activity data'!AQ63)*FracLEACH*MSLeachEF))*NtoN2O*kgtoGg,"ERROR"))</f>
        <v>0.19781474022011031</v>
      </c>
      <c r="Y717" s="94">
        <f>IF('Net zero activities &amp; levers'!$C$9="Off",SUM('Activity data'!AR50:AR65)*FracLEACH*MSLeachEF*NtoN2O*kgtoGg,IF('Net zero activities &amp; levers'!$C$9="On",((SUM('Net zero supporting data'!P159:P168)*FracLEACH*'Net zero supporting data'!P185)+(SUM('Net zero supporting data'!P171:P180,'Net zero Activity data'!AR54,'Net zero Activity data'!AR57,'Net zero Activity data'!AR59:AR61,'Net zero Activity data'!AR63)*FracLEACH*MSLeachEF))*NtoN2O*kgtoGg,"ERROR"))</f>
        <v>0.20116819609409653</v>
      </c>
      <c r="Z717" s="94">
        <f>IF('Net zero activities &amp; levers'!$C$9="Off",SUM('Activity data'!AS50:AS65)*FracLEACH*MSLeachEF*NtoN2O*kgtoGg,IF('Net zero activities &amp; levers'!$C$9="On",((SUM('Net zero supporting data'!Q159:Q168)*FracLEACH*'Net zero supporting data'!Q185)+(SUM('Net zero supporting data'!Q171:Q180,'Net zero Activity data'!AS54,'Net zero Activity data'!AS57,'Net zero Activity data'!AS59:AS61,'Net zero Activity data'!AS63)*FracLEACH*MSLeachEF))*NtoN2O*kgtoGg,"ERROR"))</f>
        <v>0.20496046383831973</v>
      </c>
      <c r="AA717" s="94">
        <f>IF('Net zero activities &amp; levers'!$C$9="Off",SUM('Activity data'!AT50:AT65)*FracLEACH*MSLeachEF*NtoN2O*kgtoGg,IF('Net zero activities &amp; levers'!$C$9="On",((SUM('Net zero supporting data'!R159:R168)*FracLEACH*'Net zero supporting data'!R185)+(SUM('Net zero supporting data'!R171:R180,'Net zero Activity data'!AT54,'Net zero Activity data'!AT57,'Net zero Activity data'!AT59:AT61,'Net zero Activity data'!AT63)*FracLEACH*MSLeachEF))*NtoN2O*kgtoGg,"ERROR"))</f>
        <v>0.20882071574020974</v>
      </c>
      <c r="AB717" s="94">
        <f>IF('Net zero activities &amp; levers'!$C$9="Off",SUM('Activity data'!AU50:AU65)*FracLEACH*MSLeachEF*NtoN2O*kgtoGg,IF('Net zero activities &amp; levers'!$C$9="On",((SUM('Net zero supporting data'!S159:S168)*FracLEACH*'Net zero supporting data'!S185)+(SUM('Net zero supporting data'!S171:S180,'Net zero Activity data'!AU54,'Net zero Activity data'!AU57,'Net zero Activity data'!AU59:AU61,'Net zero Activity data'!AU63)*FracLEACH*MSLeachEF))*NtoN2O*kgtoGg,"ERROR"))</f>
        <v>0.21307428294309891</v>
      </c>
      <c r="AC717" s="94">
        <f>IF('Net zero activities &amp; levers'!$C$9="Off",SUM('Activity data'!AV50:AV65)*FracLEACH*MSLeachEF*NtoN2O*kgtoGg,IF('Net zero activities &amp; levers'!$C$9="On",((SUM('Net zero supporting data'!T159:T168)*FracLEACH*'Net zero supporting data'!T185)+(SUM('Net zero supporting data'!T171:T180,'Net zero Activity data'!AV54,'Net zero Activity data'!AV57,'Net zero Activity data'!AV59:AV61,'Net zero Activity data'!AV63)*FracLEACH*MSLeachEF))*NtoN2O*kgtoGg,"ERROR"))</f>
        <v>0.21736053459223065</v>
      </c>
      <c r="AD717" s="94">
        <f>IF('Net zero activities &amp; levers'!$C$9="Off",SUM('Activity data'!AW50:AW65)*FracLEACH*MSLeachEF*NtoN2O*kgtoGg,IF('Net zero activities &amp; levers'!$C$9="On",((SUM('Net zero supporting data'!U159:U168)*FracLEACH*'Net zero supporting data'!U185)+(SUM('Net zero supporting data'!U171:U180,'Net zero Activity data'!AW54,'Net zero Activity data'!AW57,'Net zero Activity data'!AW59:AW61,'Net zero Activity data'!AW63)*FracLEACH*MSLeachEF))*NtoN2O*kgtoGg,"ERROR"))</f>
        <v>0.2215192443695771</v>
      </c>
      <c r="AE717" s="94">
        <f>IF('Net zero activities &amp; levers'!$C$9="Off",SUM('Activity data'!AX50:AX65)*FracLEACH*MSLeachEF*NtoN2O*kgtoGg,IF('Net zero activities &amp; levers'!$C$9="On",((SUM('Net zero supporting data'!V159:V168)*FracLEACH*'Net zero supporting data'!V185)+(SUM('Net zero supporting data'!V171:V180,'Net zero Activity data'!AX54,'Net zero Activity data'!AX57,'Net zero Activity data'!AX59:AX61,'Net zero Activity data'!AX63)*FracLEACH*MSLeachEF))*NtoN2O*kgtoGg,"ERROR"))</f>
        <v>0.22544086992768131</v>
      </c>
      <c r="AF717" s="94">
        <f>IF('Net zero activities &amp; levers'!$C$9="Off",SUM('Activity data'!AY50:AY65)*FracLEACH*MSLeachEF*NtoN2O*kgtoGg,IF('Net zero activities &amp; levers'!$C$9="On",((SUM('Net zero supporting data'!W159:W168)*FracLEACH*'Net zero supporting data'!W185)+(SUM('Net zero supporting data'!W171:W180,'Net zero Activity data'!AY54,'Net zero Activity data'!AY57,'Net zero Activity data'!AY59:AY61,'Net zero Activity data'!AY63)*FracLEACH*MSLeachEF))*NtoN2O*kgtoGg,"ERROR"))</f>
        <v>0.22957827469779338</v>
      </c>
      <c r="AG717" s="94">
        <f>IF('Net zero activities &amp; levers'!$C$9="Off",SUM('Activity data'!AZ50:AZ65)*FracLEACH*MSLeachEF*NtoN2O*kgtoGg,IF('Net zero activities &amp; levers'!$C$9="On",((SUM('Net zero supporting data'!X159:X168)*FracLEACH*'Net zero supporting data'!X185)+(SUM('Net zero supporting data'!X171:X180,'Net zero Activity data'!AZ54,'Net zero Activity data'!AZ57,'Net zero Activity data'!AZ59:AZ61,'Net zero Activity data'!AZ63)*FracLEACH*MSLeachEF))*NtoN2O*kgtoGg,"ERROR"))</f>
        <v>0.23445091883133051</v>
      </c>
      <c r="AH717" s="94">
        <f>IF('Net zero activities &amp; levers'!$C$9="Off",SUM('Activity data'!BA50:BA65)*FracLEACH*MSLeachEF*NtoN2O*kgtoGg,IF('Net zero activities &amp; levers'!$C$9="On",((SUM('Net zero supporting data'!Y159:Y168)*FracLEACH*'Net zero supporting data'!Y185)+(SUM('Net zero supporting data'!Y171:Y180,'Net zero Activity data'!BA54,'Net zero Activity data'!BA57,'Net zero Activity data'!BA59:BA61,'Net zero Activity data'!BA63)*FracLEACH*MSLeachEF))*NtoN2O*kgtoGg,"ERROR"))</f>
        <v>0.23879435769126237</v>
      </c>
      <c r="AI717" s="94">
        <f>IF('Net zero activities &amp; levers'!$C$9="Off",SUM('Activity data'!BB50:BB65)*FracLEACH*MSLeachEF*NtoN2O*kgtoGg,IF('Net zero activities &amp; levers'!$C$9="On",((SUM('Net zero supporting data'!Z159:Z168)*FracLEACH*'Net zero supporting data'!Z185)+(SUM('Net zero supporting data'!Z171:Z180,'Net zero Activity data'!BB54,'Net zero Activity data'!BB57,'Net zero Activity data'!BB59:BB61,'Net zero Activity data'!BB63)*FracLEACH*MSLeachEF))*NtoN2O*kgtoGg,"ERROR"))</f>
        <v>0.24339072846239099</v>
      </c>
      <c r="AJ717" s="94">
        <f>IF('Net zero activities &amp; levers'!$C$9="Off",SUM('Activity data'!BC50:BC65)*FracLEACH*MSLeachEF*NtoN2O*kgtoGg,IF('Net zero activities &amp; levers'!$C$9="On",((SUM('Net zero supporting data'!AA159:AA168)*FracLEACH*'Net zero supporting data'!AA185)+(SUM('Net zero supporting data'!AA171:AA180,'Net zero Activity data'!BC54,'Net zero Activity data'!BC57,'Net zero Activity data'!BC59:BC61,'Net zero Activity data'!BC63)*FracLEACH*MSLeachEF))*NtoN2O*kgtoGg,"ERROR"))</f>
        <v>0.24833324867482812</v>
      </c>
      <c r="AK717" s="94">
        <f>IF('Net zero activities &amp; levers'!$C$9="Off",SUM('Activity data'!BD50:BD65)*FracLEACH*MSLeachEF*NtoN2O*kgtoGg,IF('Net zero activities &amp; levers'!$C$9="On",((SUM('Net zero supporting data'!AB159:AB168)*FracLEACH*'Net zero supporting data'!AB185)+(SUM('Net zero supporting data'!AB171:AB180,'Net zero Activity data'!BD54,'Net zero Activity data'!BD57,'Net zero Activity data'!BD59:BD61,'Net zero Activity data'!BD63)*FracLEACH*MSLeachEF))*NtoN2O*kgtoGg,"ERROR"))</f>
        <v>0.25264130165359039</v>
      </c>
      <c r="AL717" s="94">
        <f>IF('Net zero activities &amp; levers'!$C$9="Off",SUM('Activity data'!BE50:BE65)*FracLEACH*MSLeachEF*NtoN2O*kgtoGg,IF('Net zero activities &amp; levers'!$C$9="On",((SUM('Net zero supporting data'!AC159:AC168)*FracLEACH*'Net zero supporting data'!AC185)+(SUM('Net zero supporting data'!AC171:AC180,'Net zero Activity data'!BE54,'Net zero Activity data'!BE57,'Net zero Activity data'!BE59:BE61,'Net zero Activity data'!BE63)*FracLEACH*MSLeachEF))*NtoN2O*kgtoGg,"ERROR"))</f>
        <v>0.256768890240201</v>
      </c>
      <c r="AM717" s="94">
        <f>IF('Net zero activities &amp; levers'!$C$9="Off",SUM('Activity data'!BF50:BF65)*FracLEACH*MSLeachEF*NtoN2O*kgtoGg,IF('Net zero activities &amp; levers'!$C$9="On",((SUM('Net zero supporting data'!AD159:AD168)*FracLEACH*'Net zero supporting data'!AD185)+(SUM('Net zero supporting data'!AD171:AD180,'Net zero Activity data'!BF54,'Net zero Activity data'!BF57,'Net zero Activity data'!BF59:BF61,'Net zero Activity data'!BF63)*FracLEACH*MSLeachEF))*NtoN2O*kgtoGg,"ERROR"))</f>
        <v>0.26074018891542444</v>
      </c>
      <c r="AN717" s="94">
        <f>IF('Net zero activities &amp; levers'!$C$9="Off",SUM('Activity data'!BG50:BG65)*FracLEACH*MSLeachEF*NtoN2O*kgtoGg,IF('Net zero activities &amp; levers'!$C$9="On",((SUM('Net zero supporting data'!AE159:AE168)*FracLEACH*'Net zero supporting data'!AE185)+(SUM('Net zero supporting data'!AE171:AE180,'Net zero Activity data'!BG54,'Net zero Activity data'!BG57,'Net zero Activity data'!BG59:BG61,'Net zero Activity data'!BG63)*FracLEACH*MSLeachEF))*NtoN2O*kgtoGg,"ERROR"))</f>
        <v>0.26566009353394121</v>
      </c>
      <c r="AO717" s="94">
        <f>IF('Net zero activities &amp; levers'!$C$9="Off",SUM('Activity data'!BH50:BH65)*FracLEACH*MSLeachEF*NtoN2O*kgtoGg,IF('Net zero activities &amp; levers'!$C$9="On",((SUM('Net zero supporting data'!AF159:AF168)*FracLEACH*'Net zero supporting data'!AF185)+(SUM('Net zero supporting data'!AF171:AF180,'Net zero Activity data'!BH54,'Net zero Activity data'!BH57,'Net zero Activity data'!BH59:BH61,'Net zero Activity data'!BH63)*FracLEACH*MSLeachEF))*NtoN2O*kgtoGg,"ERROR"))</f>
        <v>0.2701733904471233</v>
      </c>
      <c r="AP717" s="94">
        <f>IF('Net zero activities &amp; levers'!$C$9="Off",SUM('Activity data'!BI50:BI65)*FracLEACH*MSLeachEF*NtoN2O*kgtoGg,IF('Net zero activities &amp; levers'!$C$9="On",((SUM('Net zero supporting data'!AG159:AG168)*FracLEACH*'Net zero supporting data'!AG185)+(SUM('Net zero supporting data'!AG171:AG180,'Net zero Activity data'!BI54,'Net zero Activity data'!BI57,'Net zero Activity data'!BI59:BI61,'Net zero Activity data'!BI63)*FracLEACH*MSLeachEF))*NtoN2O*kgtoGg,"ERROR"))</f>
        <v>0.27483864221629506</v>
      </c>
      <c r="AQ717" s="94">
        <f>IF('Net zero activities &amp; levers'!$C$9="Off",SUM('Activity data'!BJ50:BJ65)*FracLEACH*MSLeachEF*NtoN2O*kgtoGg,IF('Net zero activities &amp; levers'!$C$9="On",((SUM('Net zero supporting data'!AH159:AH168)*FracLEACH*'Net zero supporting data'!AH185)+(SUM('Net zero supporting data'!AH171:AH180,'Net zero Activity data'!BJ54,'Net zero Activity data'!BJ57,'Net zero Activity data'!BJ59:BJ61,'Net zero Activity data'!BJ63)*FracLEACH*MSLeachEF))*NtoN2O*kgtoGg,"ERROR"))</f>
        <v>0.27968329128815766</v>
      </c>
      <c r="AR717" s="94">
        <f>IF('Net zero activities &amp; levers'!$C$9="Off",SUM('Activity data'!BK50:BK65)*FracLEACH*MSLeachEF*NtoN2O*kgtoGg,IF('Net zero activities &amp; levers'!$C$9="On",((SUM('Net zero supporting data'!AI159:AI168)*FracLEACH*'Net zero supporting data'!AI185)+(SUM('Net zero supporting data'!AI171:AI180,'Net zero Activity data'!BK54,'Net zero Activity data'!BK57,'Net zero Activity data'!BK59:BK61,'Net zero Activity data'!BK63)*FracLEACH*MSLeachEF))*NtoN2O*kgtoGg,"ERROR"))</f>
        <v>0.28475289053064146</v>
      </c>
      <c r="AS717" s="94">
        <f>IF('Net zero activities &amp; levers'!$C$9="Off",SUM('Activity data'!BL50:BL65)*FracLEACH*MSLeachEF*NtoN2O*kgtoGg,IF('Net zero activities &amp; levers'!$C$9="On",((SUM('Net zero supporting data'!AJ159:AJ168)*FracLEACH*'Net zero supporting data'!AJ185)+(SUM('Net zero supporting data'!AJ171:AJ180,'Net zero Activity data'!BL54,'Net zero Activity data'!BL57,'Net zero Activity data'!BL59:BL61,'Net zero Activity data'!BL63)*FracLEACH*MSLeachEF))*NtoN2O*kgtoGg,"ERROR"))</f>
        <v>0.29002169676555595</v>
      </c>
      <c r="AT717" s="94">
        <f>IF('Net zero activities &amp; levers'!$C$9="Off",SUM('Activity data'!BM50:BM65)*FracLEACH*MSLeachEF*NtoN2O*kgtoGg,IF('Net zero activities &amp; levers'!$C$9="On",((SUM('Net zero supporting data'!AK159:AK168)*FracLEACH*'Net zero supporting data'!AK185)+(SUM('Net zero supporting data'!AK171:AK180,'Net zero Activity data'!BM54,'Net zero Activity data'!BM57,'Net zero Activity data'!BM59:BM61,'Net zero Activity data'!BM63)*FracLEACH*MSLeachEF))*NtoN2O*kgtoGg,"ERROR"))</f>
        <v>0.28940847350186372</v>
      </c>
      <c r="AU717" s="94">
        <f>IF('Net zero activities &amp; levers'!$C$9="Off",SUM('Activity data'!BN50:BN65)*FracLEACH*MSLeachEF*NtoN2O*kgtoGg,IF('Net zero activities &amp; levers'!$C$9="On",((SUM('Net zero supporting data'!AL159:AL168)*FracLEACH*'Net zero supporting data'!AL185)+(SUM('Net zero supporting data'!AL171:AL180,'Net zero Activity data'!BN54,'Net zero Activity data'!BN57,'Net zero Activity data'!BN59:BN61,'Net zero Activity data'!BN63)*FracLEACH*MSLeachEF))*NtoN2O*kgtoGg,"ERROR"))</f>
        <v>0.2882670035949374</v>
      </c>
      <c r="AV717" s="94">
        <f>IF('Net zero activities &amp; levers'!$C$9="Off",SUM('Activity data'!BO50:BO65)*FracLEACH*MSLeachEF*NtoN2O*kgtoGg,IF('Net zero activities &amp; levers'!$C$9="On",((SUM('Net zero supporting data'!AM159:AM168)*FracLEACH*'Net zero supporting data'!AM185)+(SUM('Net zero supporting data'!AM171:AM180,'Net zero Activity data'!BO54,'Net zero Activity data'!BO57,'Net zero Activity data'!BO59:BO61,'Net zero Activity data'!BO63)*FracLEACH*MSLeachEF))*NtoN2O*kgtoGg,"ERROR"))</f>
        <v>0.28637986672533733</v>
      </c>
      <c r="AW717" s="94">
        <f>IF('Net zero activities &amp; levers'!$C$9="Off",SUM('Activity data'!BP50:BP65)*FracLEACH*MSLeachEF*NtoN2O*kgtoGg,IF('Net zero activities &amp; levers'!$C$9="On",((SUM('Net zero supporting data'!AN159:AN168)*FracLEACH*'Net zero supporting data'!AN185)+(SUM('Net zero supporting data'!AN171:AN180,'Net zero Activity data'!BP54,'Net zero Activity data'!BP57,'Net zero Activity data'!BP59:BP61,'Net zero Activity data'!BP63)*FracLEACH*MSLeachEF))*NtoN2O*kgtoGg,"ERROR"))</f>
        <v>0.28429803027464012</v>
      </c>
      <c r="AY717" s="79"/>
      <c r="AZ717" s="79"/>
    </row>
    <row r="718" spans="1:52" x14ac:dyDescent="0.3">
      <c r="A718" s="95" t="str">
        <f t="shared" si="149"/>
        <v>NI Leaching</v>
      </c>
      <c r="B718" s="95" t="s">
        <v>969</v>
      </c>
      <c r="C718" s="95" t="s">
        <v>1190</v>
      </c>
      <c r="D718" t="str">
        <f t="shared" ref="D718:F718" si="161">D717</f>
        <v>3C Aggregated and non-CO2 emissions on land</v>
      </c>
      <c r="E718" t="str">
        <f t="shared" si="161"/>
        <v>3C5 Indirect N2O from managed soils (N2O)</v>
      </c>
      <c r="F718" t="str">
        <f t="shared" si="161"/>
        <v>Leaching/runoff</v>
      </c>
      <c r="G718" t="str">
        <f t="shared" ref="G718" si="162">G714</f>
        <v xml:space="preserve"> - Urine &amp; dung</v>
      </c>
      <c r="H718" t="str">
        <f t="shared" ref="H718:H719" si="163">F718&amp;G718</f>
        <v>Leaching/runoff - Urine &amp; dung</v>
      </c>
      <c r="I718" t="str">
        <f t="shared" ref="I718:J719" si="164">I717</f>
        <v>N2O</v>
      </c>
      <c r="J718" t="str">
        <f t="shared" si="164"/>
        <v>Gg N2O</v>
      </c>
      <c r="K718" s="22">
        <f>K1517</f>
        <v>0</v>
      </c>
      <c r="L718" s="22">
        <f t="shared" ref="L718:AW725" si="165">L1517</f>
        <v>0</v>
      </c>
      <c r="M718" s="22">
        <f t="shared" si="165"/>
        <v>0</v>
      </c>
      <c r="N718" s="22">
        <f t="shared" si="165"/>
        <v>0</v>
      </c>
      <c r="O718" s="22">
        <f t="shared" si="165"/>
        <v>0</v>
      </c>
      <c r="P718" s="22">
        <f t="shared" si="165"/>
        <v>0</v>
      </c>
      <c r="Q718" s="22">
        <f t="shared" si="165"/>
        <v>0</v>
      </c>
      <c r="R718" s="22">
        <f t="shared" si="165"/>
        <v>0</v>
      </c>
      <c r="S718" s="22">
        <f t="shared" si="165"/>
        <v>0</v>
      </c>
      <c r="T718" s="22">
        <f t="shared" si="165"/>
        <v>0</v>
      </c>
      <c r="U718" s="22">
        <f t="shared" si="165"/>
        <v>0</v>
      </c>
      <c r="V718" s="22">
        <f t="shared" si="165"/>
        <v>0</v>
      </c>
      <c r="W718" s="22">
        <f t="shared" si="165"/>
        <v>0</v>
      </c>
      <c r="X718" s="22">
        <f t="shared" si="165"/>
        <v>0</v>
      </c>
      <c r="Y718" s="22">
        <f t="shared" si="165"/>
        <v>0</v>
      </c>
      <c r="Z718" s="22">
        <f t="shared" si="165"/>
        <v>0</v>
      </c>
      <c r="AA718" s="22">
        <f t="shared" si="165"/>
        <v>0</v>
      </c>
      <c r="AB718" s="22">
        <f t="shared" si="165"/>
        <v>0</v>
      </c>
      <c r="AC718" s="22">
        <f t="shared" si="165"/>
        <v>0</v>
      </c>
      <c r="AD718" s="22">
        <f t="shared" si="165"/>
        <v>0</v>
      </c>
      <c r="AE718" s="22">
        <f t="shared" si="165"/>
        <v>0</v>
      </c>
      <c r="AF718" s="22">
        <f t="shared" si="165"/>
        <v>0</v>
      </c>
      <c r="AG718" s="22">
        <f t="shared" si="165"/>
        <v>0</v>
      </c>
      <c r="AH718" s="22">
        <f t="shared" si="165"/>
        <v>0</v>
      </c>
      <c r="AI718" s="22">
        <f t="shared" si="165"/>
        <v>0</v>
      </c>
      <c r="AJ718" s="22">
        <f t="shared" si="165"/>
        <v>0</v>
      </c>
      <c r="AK718" s="22">
        <f t="shared" si="165"/>
        <v>0</v>
      </c>
      <c r="AL718" s="22">
        <f t="shared" si="165"/>
        <v>0</v>
      </c>
      <c r="AM718" s="22">
        <f t="shared" si="165"/>
        <v>0</v>
      </c>
      <c r="AN718" s="22">
        <f t="shared" si="165"/>
        <v>0</v>
      </c>
      <c r="AO718" s="22">
        <f t="shared" si="165"/>
        <v>0</v>
      </c>
      <c r="AP718" s="22">
        <f t="shared" si="165"/>
        <v>0</v>
      </c>
      <c r="AQ718" s="22">
        <f t="shared" si="165"/>
        <v>0</v>
      </c>
      <c r="AR718" s="22">
        <f t="shared" si="165"/>
        <v>0</v>
      </c>
      <c r="AS718" s="22">
        <f t="shared" si="165"/>
        <v>0</v>
      </c>
      <c r="AT718" s="22">
        <f t="shared" si="165"/>
        <v>0</v>
      </c>
      <c r="AU718" s="22">
        <f t="shared" si="165"/>
        <v>0</v>
      </c>
      <c r="AV718" s="22">
        <f t="shared" si="165"/>
        <v>0</v>
      </c>
      <c r="AW718" s="22">
        <f t="shared" si="165"/>
        <v>0</v>
      </c>
      <c r="AY718" s="79"/>
      <c r="AZ718" s="79"/>
    </row>
    <row r="719" spans="1:52" x14ac:dyDescent="0.3">
      <c r="A719" s="95" t="str">
        <f t="shared" si="149"/>
        <v>NI Leaching</v>
      </c>
      <c r="B719" s="95" t="s">
        <v>969</v>
      </c>
      <c r="C719" s="95" t="s">
        <v>1190</v>
      </c>
      <c r="D719" t="str">
        <f t="shared" ref="D719:F719" si="166">D718</f>
        <v>3C Aggregated and non-CO2 emissions on land</v>
      </c>
      <c r="E719" t="str">
        <f t="shared" si="166"/>
        <v>3C5 Indirect N2O from managed soils (N2O)</v>
      </c>
      <c r="F719" t="str">
        <f t="shared" si="166"/>
        <v>Leaching/runoff</v>
      </c>
      <c r="G719" t="s">
        <v>439</v>
      </c>
      <c r="H719" t="str">
        <f t="shared" si="163"/>
        <v>Leaching/runoff - crop residues</v>
      </c>
      <c r="I719" t="str">
        <f t="shared" si="164"/>
        <v>N2O</v>
      </c>
      <c r="J719" t="str">
        <f t="shared" si="164"/>
        <v>Gg N2O</v>
      </c>
      <c r="K719" s="22">
        <f t="shared" ref="K719:Z731" si="167">K1518</f>
        <v>0.10175116378121943</v>
      </c>
      <c r="L719" s="22">
        <f t="shared" si="167"/>
        <v>0.10192037938520998</v>
      </c>
      <c r="M719" s="22">
        <f t="shared" si="167"/>
        <v>0.102230624521803</v>
      </c>
      <c r="N719" s="22">
        <f t="shared" si="167"/>
        <v>0.10260144459215571</v>
      </c>
      <c r="O719" s="22">
        <f t="shared" si="167"/>
        <v>0.10285194917721978</v>
      </c>
      <c r="P719" s="22">
        <f t="shared" si="167"/>
        <v>0.10302433973360284</v>
      </c>
      <c r="Q719" s="22">
        <f t="shared" si="167"/>
        <v>0.10311874031263807</v>
      </c>
      <c r="R719" s="22">
        <f t="shared" si="167"/>
        <v>0.10327146311968674</v>
      </c>
      <c r="S719" s="22">
        <f t="shared" si="167"/>
        <v>0.10343188706296993</v>
      </c>
      <c r="T719" s="22">
        <f t="shared" si="167"/>
        <v>0.10231676998015095</v>
      </c>
      <c r="U719" s="22">
        <f t="shared" si="167"/>
        <v>0.10275895162111336</v>
      </c>
      <c r="V719" s="22">
        <f t="shared" si="167"/>
        <v>0.10336245461523248</v>
      </c>
      <c r="W719" s="22">
        <f t="shared" si="167"/>
        <v>0.10368675774662221</v>
      </c>
      <c r="X719" s="22">
        <f t="shared" si="167"/>
        <v>0.10404145269776151</v>
      </c>
      <c r="Y719" s="22">
        <f t="shared" si="167"/>
        <v>0.10443580363521765</v>
      </c>
      <c r="Z719" s="22">
        <f t="shared" si="167"/>
        <v>0.1048497598931184</v>
      </c>
      <c r="AA719" s="22">
        <f t="shared" si="165"/>
        <v>0.10529155067821512</v>
      </c>
      <c r="AB719" s="22">
        <f t="shared" si="165"/>
        <v>0.10573429480734184</v>
      </c>
      <c r="AC719" s="22">
        <f t="shared" si="165"/>
        <v>0.10620059916305352</v>
      </c>
      <c r="AD719" s="22">
        <f t="shared" si="165"/>
        <v>0.10666482354141628</v>
      </c>
      <c r="AE719" s="22">
        <f t="shared" si="165"/>
        <v>0.10716812014937527</v>
      </c>
      <c r="AF719" s="22">
        <f t="shared" si="165"/>
        <v>0.10765286539934465</v>
      </c>
      <c r="AG719" s="22">
        <f t="shared" si="165"/>
        <v>0.10814988041430322</v>
      </c>
      <c r="AH719" s="22">
        <f t="shared" si="165"/>
        <v>0.1086932343641567</v>
      </c>
      <c r="AI719" s="22">
        <f t="shared" si="165"/>
        <v>0.1091985095670623</v>
      </c>
      <c r="AJ719" s="22">
        <f t="shared" si="165"/>
        <v>0.10971732596273812</v>
      </c>
      <c r="AK719" s="22">
        <f t="shared" si="165"/>
        <v>0.11025547753556091</v>
      </c>
      <c r="AL719" s="22">
        <f t="shared" si="165"/>
        <v>0.11075007079547201</v>
      </c>
      <c r="AM719" s="22">
        <f t="shared" si="165"/>
        <v>0.11123091596993474</v>
      </c>
      <c r="AN719" s="22">
        <f t="shared" si="165"/>
        <v>0.11169987222752331</v>
      </c>
      <c r="AO719" s="22">
        <f t="shared" si="165"/>
        <v>0.11219468980678651</v>
      </c>
      <c r="AP719" s="22">
        <f t="shared" si="165"/>
        <v>0.11266090782059876</v>
      </c>
      <c r="AQ719" s="22">
        <f t="shared" si="165"/>
        <v>0.11313307913415467</v>
      </c>
      <c r="AR719" s="22">
        <f t="shared" si="165"/>
        <v>0.11361258764100189</v>
      </c>
      <c r="AS719" s="22">
        <f t="shared" si="165"/>
        <v>0.11410180170622075</v>
      </c>
      <c r="AT719" s="22">
        <f t="shared" si="165"/>
        <v>0.1145986803192975</v>
      </c>
      <c r="AU719" s="22">
        <f t="shared" si="165"/>
        <v>0.11475135344682705</v>
      </c>
      <c r="AV719" s="22">
        <f t="shared" si="165"/>
        <v>0.11487194074959778</v>
      </c>
      <c r="AW719" s="22">
        <f t="shared" si="165"/>
        <v>0.11494706662841653</v>
      </c>
      <c r="AY719" s="79"/>
      <c r="AZ719" s="79"/>
    </row>
    <row r="720" spans="1:52" x14ac:dyDescent="0.3">
      <c r="A720" s="95" t="str">
        <f t="shared" si="149"/>
        <v>NI Leaching</v>
      </c>
      <c r="B720" s="95" t="s">
        <v>969</v>
      </c>
      <c r="C720" s="95" t="s">
        <v>1190</v>
      </c>
      <c r="D720" t="s">
        <v>369</v>
      </c>
      <c r="E720" t="s">
        <v>61</v>
      </c>
      <c r="F720" t="s">
        <v>63</v>
      </c>
      <c r="G720" t="s">
        <v>1193</v>
      </c>
      <c r="H720" t="s">
        <v>1194</v>
      </c>
      <c r="I720" t="s">
        <v>139</v>
      </c>
      <c r="J720" t="s">
        <v>287</v>
      </c>
      <c r="K720" s="22" t="str">
        <f t="shared" si="167"/>
        <v>NO</v>
      </c>
      <c r="L720" s="22" t="str">
        <f t="shared" si="165"/>
        <v>NO</v>
      </c>
      <c r="M720" s="22" t="str">
        <f t="shared" si="165"/>
        <v>NO</v>
      </c>
      <c r="N720" s="22" t="str">
        <f t="shared" si="165"/>
        <v>NO</v>
      </c>
      <c r="O720" s="22" t="str">
        <f t="shared" si="165"/>
        <v>NO</v>
      </c>
      <c r="P720" s="22" t="str">
        <f t="shared" si="165"/>
        <v>NO</v>
      </c>
      <c r="Q720" s="22" t="str">
        <f t="shared" si="165"/>
        <v>NO</v>
      </c>
      <c r="R720" s="22" t="str">
        <f t="shared" si="165"/>
        <v>NO</v>
      </c>
      <c r="S720" s="22" t="str">
        <f t="shared" si="165"/>
        <v>NO</v>
      </c>
      <c r="T720" s="22" t="str">
        <f t="shared" si="165"/>
        <v>NO</v>
      </c>
      <c r="U720" s="22" t="str">
        <f t="shared" si="165"/>
        <v>NO</v>
      </c>
      <c r="V720" s="22" t="str">
        <f t="shared" si="165"/>
        <v>NO</v>
      </c>
      <c r="W720" s="22" t="str">
        <f t="shared" si="165"/>
        <v>NO</v>
      </c>
      <c r="X720" s="22" t="str">
        <f t="shared" si="165"/>
        <v>NO</v>
      </c>
      <c r="Y720" s="22" t="str">
        <f t="shared" si="165"/>
        <v>NO</v>
      </c>
      <c r="Z720" s="22" t="str">
        <f t="shared" si="165"/>
        <v>NO</v>
      </c>
      <c r="AA720" s="22" t="str">
        <f t="shared" si="165"/>
        <v>NO</v>
      </c>
      <c r="AB720" s="22" t="str">
        <f t="shared" si="165"/>
        <v>NO</v>
      </c>
      <c r="AC720" s="22" t="str">
        <f t="shared" si="165"/>
        <v>NO</v>
      </c>
      <c r="AD720" s="22" t="str">
        <f t="shared" si="165"/>
        <v>NO</v>
      </c>
      <c r="AE720" s="22" t="str">
        <f t="shared" si="165"/>
        <v>NO</v>
      </c>
      <c r="AF720" s="22" t="str">
        <f t="shared" si="165"/>
        <v>NO</v>
      </c>
      <c r="AG720" s="22" t="str">
        <f t="shared" si="165"/>
        <v>NO</v>
      </c>
      <c r="AH720" s="22" t="str">
        <f t="shared" si="165"/>
        <v>NO</v>
      </c>
      <c r="AI720" s="22" t="str">
        <f t="shared" si="165"/>
        <v>NO</v>
      </c>
      <c r="AJ720" s="22" t="str">
        <f t="shared" si="165"/>
        <v>NO</v>
      </c>
      <c r="AK720" s="22" t="str">
        <f t="shared" si="165"/>
        <v>NO</v>
      </c>
      <c r="AL720" s="22" t="str">
        <f t="shared" si="165"/>
        <v>NO</v>
      </c>
      <c r="AM720" s="22" t="str">
        <f t="shared" si="165"/>
        <v>NO</v>
      </c>
      <c r="AN720" s="22" t="str">
        <f t="shared" si="165"/>
        <v>NO</v>
      </c>
      <c r="AO720" s="22" t="str">
        <f t="shared" si="165"/>
        <v>NO</v>
      </c>
      <c r="AP720" s="22" t="str">
        <f t="shared" si="165"/>
        <v>NO</v>
      </c>
      <c r="AQ720" s="22" t="str">
        <f t="shared" si="165"/>
        <v>NO</v>
      </c>
      <c r="AR720" s="22" t="str">
        <f t="shared" si="165"/>
        <v>NO</v>
      </c>
      <c r="AS720" s="22" t="str">
        <f t="shared" si="165"/>
        <v>NO</v>
      </c>
      <c r="AT720" s="22" t="str">
        <f t="shared" si="165"/>
        <v>NO</v>
      </c>
      <c r="AU720" s="22" t="str">
        <f t="shared" si="165"/>
        <v>NO</v>
      </c>
      <c r="AV720" s="22" t="str">
        <f t="shared" si="165"/>
        <v>NO</v>
      </c>
      <c r="AW720" s="22" t="str">
        <f t="shared" si="165"/>
        <v>NO</v>
      </c>
      <c r="AY720" s="79"/>
      <c r="AZ720" s="79"/>
    </row>
    <row r="721" spans="1:52" x14ac:dyDescent="0.3">
      <c r="A721" s="95" t="str">
        <f t="shared" si="149"/>
        <v>NI Leaching</v>
      </c>
      <c r="B721" s="95" t="s">
        <v>969</v>
      </c>
      <c r="C721" s="95" t="s">
        <v>1190</v>
      </c>
      <c r="D721" t="s">
        <v>369</v>
      </c>
      <c r="E721" t="s">
        <v>61</v>
      </c>
      <c r="F721" t="s">
        <v>63</v>
      </c>
      <c r="G721" t="s">
        <v>1195</v>
      </c>
      <c r="H721" t="s">
        <v>1196</v>
      </c>
      <c r="I721" t="s">
        <v>139</v>
      </c>
      <c r="J721" t="s">
        <v>287</v>
      </c>
      <c r="K721" s="22" t="str">
        <f t="shared" si="167"/>
        <v>NO</v>
      </c>
      <c r="L721" s="22" t="str">
        <f t="shared" si="165"/>
        <v>NO</v>
      </c>
      <c r="M721" s="22" t="str">
        <f t="shared" si="165"/>
        <v>NO</v>
      </c>
      <c r="N721" s="22" t="str">
        <f t="shared" si="165"/>
        <v>NO</v>
      </c>
      <c r="O721" s="22" t="str">
        <f t="shared" si="165"/>
        <v>NO</v>
      </c>
      <c r="P721" s="22" t="str">
        <f t="shared" si="165"/>
        <v>NO</v>
      </c>
      <c r="Q721" s="22" t="str">
        <f t="shared" si="165"/>
        <v>NO</v>
      </c>
      <c r="R721" s="22" t="str">
        <f t="shared" si="165"/>
        <v>NO</v>
      </c>
      <c r="S721" s="22" t="str">
        <f t="shared" si="165"/>
        <v>NO</v>
      </c>
      <c r="T721" s="22" t="str">
        <f t="shared" si="165"/>
        <v>NO</v>
      </c>
      <c r="U721" s="22" t="str">
        <f t="shared" si="165"/>
        <v>NO</v>
      </c>
      <c r="V721" s="22" t="str">
        <f t="shared" si="165"/>
        <v>NO</v>
      </c>
      <c r="W721" s="22" t="str">
        <f t="shared" si="165"/>
        <v>NO</v>
      </c>
      <c r="X721" s="22" t="str">
        <f t="shared" si="165"/>
        <v>NO</v>
      </c>
      <c r="Y721" s="22" t="str">
        <f t="shared" si="165"/>
        <v>NO</v>
      </c>
      <c r="Z721" s="22" t="str">
        <f t="shared" si="165"/>
        <v>NO</v>
      </c>
      <c r="AA721" s="22" t="str">
        <f t="shared" si="165"/>
        <v>NO</v>
      </c>
      <c r="AB721" s="22" t="str">
        <f t="shared" si="165"/>
        <v>NO</v>
      </c>
      <c r="AC721" s="22" t="str">
        <f t="shared" si="165"/>
        <v>NO</v>
      </c>
      <c r="AD721" s="22" t="str">
        <f t="shared" si="165"/>
        <v>NO</v>
      </c>
      <c r="AE721" s="22" t="str">
        <f t="shared" si="165"/>
        <v>NO</v>
      </c>
      <c r="AF721" s="22" t="str">
        <f t="shared" si="165"/>
        <v>NO</v>
      </c>
      <c r="AG721" s="22" t="str">
        <f t="shared" si="165"/>
        <v>NO</v>
      </c>
      <c r="AH721" s="22" t="str">
        <f t="shared" si="165"/>
        <v>NO</v>
      </c>
      <c r="AI721" s="22" t="str">
        <f t="shared" si="165"/>
        <v>NO</v>
      </c>
      <c r="AJ721" s="22" t="str">
        <f t="shared" si="165"/>
        <v>NO</v>
      </c>
      <c r="AK721" s="22" t="str">
        <f t="shared" si="165"/>
        <v>NO</v>
      </c>
      <c r="AL721" s="22" t="str">
        <f t="shared" si="165"/>
        <v>NO</v>
      </c>
      <c r="AM721" s="22" t="str">
        <f t="shared" si="165"/>
        <v>NO</v>
      </c>
      <c r="AN721" s="22" t="str">
        <f t="shared" si="165"/>
        <v>NO</v>
      </c>
      <c r="AO721" s="22" t="str">
        <f t="shared" si="165"/>
        <v>NO</v>
      </c>
      <c r="AP721" s="22" t="str">
        <f t="shared" si="165"/>
        <v>NO</v>
      </c>
      <c r="AQ721" s="22" t="str">
        <f t="shared" si="165"/>
        <v>NO</v>
      </c>
      <c r="AR721" s="22" t="str">
        <f t="shared" si="165"/>
        <v>NO</v>
      </c>
      <c r="AS721" s="22" t="str">
        <f t="shared" si="165"/>
        <v>NO</v>
      </c>
      <c r="AT721" s="22" t="str">
        <f t="shared" si="165"/>
        <v>NO</v>
      </c>
      <c r="AU721" s="22" t="str">
        <f t="shared" si="165"/>
        <v>NO</v>
      </c>
      <c r="AV721" s="22" t="str">
        <f t="shared" si="165"/>
        <v>NO</v>
      </c>
      <c r="AW721" s="22" t="str">
        <f t="shared" si="165"/>
        <v>NO</v>
      </c>
      <c r="AY721" s="79"/>
      <c r="AZ721" s="79"/>
    </row>
    <row r="722" spans="1:52" x14ac:dyDescent="0.3">
      <c r="A722" s="95" t="str">
        <f t="shared" si="149"/>
        <v>NI Leaching</v>
      </c>
      <c r="B722" s="95" t="s">
        <v>969</v>
      </c>
      <c r="C722" s="95" t="s">
        <v>1190</v>
      </c>
      <c r="D722" t="s">
        <v>369</v>
      </c>
      <c r="E722" t="s">
        <v>61</v>
      </c>
      <c r="F722" t="s">
        <v>63</v>
      </c>
      <c r="G722" t="s">
        <v>1197</v>
      </c>
      <c r="H722" t="s">
        <v>1198</v>
      </c>
      <c r="I722" t="s">
        <v>139</v>
      </c>
      <c r="J722" t="s">
        <v>287</v>
      </c>
      <c r="K722" s="22">
        <f t="shared" si="167"/>
        <v>1.1867590793806392E-4</v>
      </c>
      <c r="L722" s="22">
        <f t="shared" si="165"/>
        <v>1.1853617037070301E-4</v>
      </c>
      <c r="M722" s="22">
        <f t="shared" si="165"/>
        <v>1.1839643280334203E-4</v>
      </c>
      <c r="N722" s="22">
        <f t="shared" si="165"/>
        <v>1.1825669523598106E-4</v>
      </c>
      <c r="O722" s="22">
        <f t="shared" si="165"/>
        <v>1.1811695766862012E-4</v>
      </c>
      <c r="P722" s="22">
        <f t="shared" si="165"/>
        <v>1.1797722010125916E-4</v>
      </c>
      <c r="Q722" s="22">
        <f t="shared" si="165"/>
        <v>1.178374825338982E-4</v>
      </c>
      <c r="R722" s="22">
        <f t="shared" si="165"/>
        <v>1.1769774496653728E-4</v>
      </c>
      <c r="S722" s="22">
        <f t="shared" si="165"/>
        <v>1.1755800739917633E-4</v>
      </c>
      <c r="T722" s="22">
        <f t="shared" si="165"/>
        <v>1.174182698318154E-4</v>
      </c>
      <c r="U722" s="22">
        <f t="shared" si="165"/>
        <v>1.1727853226445441E-4</v>
      </c>
      <c r="V722" s="22">
        <f t="shared" si="165"/>
        <v>1.1713879469709348E-4</v>
      </c>
      <c r="W722" s="22">
        <f t="shared" si="165"/>
        <v>1.1699905712973254E-4</v>
      </c>
      <c r="X722" s="22">
        <f t="shared" si="165"/>
        <v>1.168593195623716E-4</v>
      </c>
      <c r="Y722" s="22">
        <f t="shared" si="165"/>
        <v>1.1671958199501069E-4</v>
      </c>
      <c r="Z722" s="22">
        <f t="shared" si="165"/>
        <v>1.1657984442764968E-4</v>
      </c>
      <c r="AA722" s="22">
        <f t="shared" si="165"/>
        <v>1.1644010686028878E-4</v>
      </c>
      <c r="AB722" s="22">
        <f t="shared" si="165"/>
        <v>1.1630036929292779E-4</v>
      </c>
      <c r="AC722" s="22">
        <f t="shared" si="165"/>
        <v>1.1616063172556689E-4</v>
      </c>
      <c r="AD722" s="22">
        <f t="shared" si="165"/>
        <v>1.1602089415820588E-4</v>
      </c>
      <c r="AE722" s="22">
        <f t="shared" si="165"/>
        <v>1.1588115659084502E-4</v>
      </c>
      <c r="AF722" s="22">
        <f t="shared" si="165"/>
        <v>1.1574141902348403E-4</v>
      </c>
      <c r="AG722" s="22">
        <f t="shared" si="165"/>
        <v>1.1560168145612309E-4</v>
      </c>
      <c r="AH722" s="22">
        <f t="shared" si="165"/>
        <v>1.154619438887621E-4</v>
      </c>
      <c r="AI722" s="22">
        <f t="shared" si="165"/>
        <v>1.1532220632140118E-4</v>
      </c>
      <c r="AJ722" s="22">
        <f t="shared" si="165"/>
        <v>1.1518246875404022E-4</v>
      </c>
      <c r="AK722" s="22">
        <f t="shared" si="165"/>
        <v>1.1504273118667928E-4</v>
      </c>
      <c r="AL722" s="22">
        <f t="shared" si="165"/>
        <v>1.1490299361931835E-4</v>
      </c>
      <c r="AM722" s="22">
        <f t="shared" si="165"/>
        <v>1.1476325605195744E-4</v>
      </c>
      <c r="AN722" s="22">
        <f t="shared" si="165"/>
        <v>1.1462351848459642E-4</v>
      </c>
      <c r="AO722" s="22">
        <f t="shared" si="165"/>
        <v>1.1448378091723552E-4</v>
      </c>
      <c r="AP722" s="22">
        <f t="shared" si="165"/>
        <v>1.1434404334987458E-4</v>
      </c>
      <c r="AQ722" s="22">
        <f t="shared" si="165"/>
        <v>1.1420430578251366E-4</v>
      </c>
      <c r="AR722" s="22">
        <f t="shared" si="165"/>
        <v>1.1406456821515268E-4</v>
      </c>
      <c r="AS722" s="22">
        <f t="shared" si="165"/>
        <v>1.1392483064779174E-4</v>
      </c>
      <c r="AT722" s="22">
        <f t="shared" si="165"/>
        <v>1.1378509308043078E-4</v>
      </c>
      <c r="AU722" s="22">
        <f t="shared" si="165"/>
        <v>1.136453555130698E-4</v>
      </c>
      <c r="AV722" s="22">
        <f t="shared" si="165"/>
        <v>1.1350561794570888E-4</v>
      </c>
      <c r="AW722" s="22">
        <f t="shared" si="165"/>
        <v>1.1336588037834792E-4</v>
      </c>
      <c r="AY722" s="79"/>
      <c r="AZ722" s="79"/>
    </row>
    <row r="723" spans="1:52" x14ac:dyDescent="0.3">
      <c r="A723" s="95" t="str">
        <f t="shared" si="149"/>
        <v>NI Leaching</v>
      </c>
      <c r="B723" s="95" t="s">
        <v>969</v>
      </c>
      <c r="C723" s="95" t="s">
        <v>1190</v>
      </c>
      <c r="D723" t="s">
        <v>369</v>
      </c>
      <c r="E723" t="s">
        <v>61</v>
      </c>
      <c r="F723" t="s">
        <v>63</v>
      </c>
      <c r="G723" t="s">
        <v>1199</v>
      </c>
      <c r="H723" t="s">
        <v>1200</v>
      </c>
      <c r="I723" t="s">
        <v>139</v>
      </c>
      <c r="J723" t="s">
        <v>287</v>
      </c>
      <c r="K723" s="22">
        <f t="shared" si="167"/>
        <v>1.6912231388729011E-2</v>
      </c>
      <c r="L723" s="22">
        <f t="shared" si="165"/>
        <v>1.6951420148247919E-2</v>
      </c>
      <c r="M723" s="22">
        <f t="shared" si="165"/>
        <v>1.6990608907766828E-2</v>
      </c>
      <c r="N723" s="22">
        <f t="shared" si="165"/>
        <v>1.702979766728574E-2</v>
      </c>
      <c r="O723" s="22">
        <f t="shared" si="165"/>
        <v>1.7068986426804648E-2</v>
      </c>
      <c r="P723" s="22">
        <f t="shared" si="165"/>
        <v>1.7108175186323554E-2</v>
      </c>
      <c r="Q723" s="22">
        <f t="shared" si="165"/>
        <v>1.7147363945842466E-2</v>
      </c>
      <c r="R723" s="22">
        <f t="shared" si="165"/>
        <v>1.7186552705361371E-2</v>
      </c>
      <c r="S723" s="22">
        <f t="shared" si="165"/>
        <v>1.7225741464880276E-2</v>
      </c>
      <c r="T723" s="22">
        <f t="shared" si="165"/>
        <v>1.7264930224399191E-2</v>
      </c>
      <c r="U723" s="22">
        <f t="shared" si="165"/>
        <v>1.7304118983918097E-2</v>
      </c>
      <c r="V723" s="22">
        <f t="shared" si="165"/>
        <v>1.7343307743437009E-2</v>
      </c>
      <c r="W723" s="22">
        <f t="shared" si="165"/>
        <v>1.7382496502955917E-2</v>
      </c>
      <c r="X723" s="22">
        <f t="shared" si="165"/>
        <v>1.7421685262474829E-2</v>
      </c>
      <c r="Y723" s="22">
        <f t="shared" si="165"/>
        <v>1.7460874021993734E-2</v>
      </c>
      <c r="Z723" s="22">
        <f t="shared" si="165"/>
        <v>1.750006278151265E-2</v>
      </c>
      <c r="AA723" s="22">
        <f t="shared" si="165"/>
        <v>1.7539251541031548E-2</v>
      </c>
      <c r="AB723" s="22">
        <f t="shared" si="165"/>
        <v>1.7578440300550464E-2</v>
      </c>
      <c r="AC723" s="22">
        <f t="shared" si="165"/>
        <v>1.7617629060069376E-2</v>
      </c>
      <c r="AD723" s="22">
        <f t="shared" si="165"/>
        <v>1.7656817819588281E-2</v>
      </c>
      <c r="AE723" s="22">
        <f t="shared" si="165"/>
        <v>1.769600657910719E-2</v>
      </c>
      <c r="AF723" s="22">
        <f t="shared" si="165"/>
        <v>1.7735195338626102E-2</v>
      </c>
      <c r="AG723" s="22">
        <f t="shared" si="165"/>
        <v>1.777438409814501E-2</v>
      </c>
      <c r="AH723" s="22">
        <f t="shared" si="165"/>
        <v>1.7813572857663919E-2</v>
      </c>
      <c r="AI723" s="22">
        <f t="shared" si="165"/>
        <v>1.7852761617182831E-2</v>
      </c>
      <c r="AJ723" s="22">
        <f t="shared" si="165"/>
        <v>1.7891950376701736E-2</v>
      </c>
      <c r="AK723" s="22">
        <f t="shared" si="165"/>
        <v>1.7931139136220645E-2</v>
      </c>
      <c r="AL723" s="22">
        <f t="shared" si="165"/>
        <v>1.7970327895739557E-2</v>
      </c>
      <c r="AM723" s="22">
        <f t="shared" si="165"/>
        <v>1.8009516655258465E-2</v>
      </c>
      <c r="AN723" s="22">
        <f t="shared" si="165"/>
        <v>1.8048705414777374E-2</v>
      </c>
      <c r="AO723" s="22">
        <f t="shared" si="165"/>
        <v>1.8087894174296286E-2</v>
      </c>
      <c r="AP723" s="22">
        <f t="shared" si="165"/>
        <v>1.8127082933815188E-2</v>
      </c>
      <c r="AQ723" s="22">
        <f t="shared" si="165"/>
        <v>1.8166271693334096E-2</v>
      </c>
      <c r="AR723" s="22">
        <f t="shared" si="165"/>
        <v>1.8205460452853015E-2</v>
      </c>
      <c r="AS723" s="22">
        <f t="shared" si="165"/>
        <v>1.8244649212371917E-2</v>
      </c>
      <c r="AT723" s="22">
        <f t="shared" si="165"/>
        <v>1.8283837971890825E-2</v>
      </c>
      <c r="AU723" s="22">
        <f t="shared" si="165"/>
        <v>1.8323026731409734E-2</v>
      </c>
      <c r="AV723" s="22">
        <f t="shared" si="165"/>
        <v>1.8362215490928643E-2</v>
      </c>
      <c r="AW723" s="22">
        <f t="shared" si="165"/>
        <v>1.8401404250447555E-2</v>
      </c>
      <c r="AY723" s="79"/>
      <c r="AZ723" s="79"/>
    </row>
    <row r="724" spans="1:52" x14ac:dyDescent="0.3">
      <c r="A724" s="95" t="str">
        <f t="shared" si="149"/>
        <v>NI Leaching</v>
      </c>
      <c r="B724" s="95" t="s">
        <v>969</v>
      </c>
      <c r="C724" s="95" t="s">
        <v>1190</v>
      </c>
      <c r="D724" t="s">
        <v>369</v>
      </c>
      <c r="E724" t="s">
        <v>61</v>
      </c>
      <c r="F724" t="s">
        <v>63</v>
      </c>
      <c r="G724" t="s">
        <v>1201</v>
      </c>
      <c r="H724" t="s">
        <v>1202</v>
      </c>
      <c r="I724" t="s">
        <v>139</v>
      </c>
      <c r="J724" t="s">
        <v>287</v>
      </c>
      <c r="K724" s="22">
        <f t="shared" si="167"/>
        <v>1.9871041213735664E-2</v>
      </c>
      <c r="L724" s="22">
        <f t="shared" si="165"/>
        <v>1.9871041213735664E-2</v>
      </c>
      <c r="M724" s="22">
        <f t="shared" si="165"/>
        <v>1.9871041213735664E-2</v>
      </c>
      <c r="N724" s="22">
        <f t="shared" si="165"/>
        <v>1.9871041213735664E-2</v>
      </c>
      <c r="O724" s="22">
        <f t="shared" si="165"/>
        <v>1.9871041213735664E-2</v>
      </c>
      <c r="P724" s="22">
        <f t="shared" si="165"/>
        <v>1.9871041213735664E-2</v>
      </c>
      <c r="Q724" s="22">
        <f t="shared" si="165"/>
        <v>1.9871041213735664E-2</v>
      </c>
      <c r="R724" s="22">
        <f t="shared" si="165"/>
        <v>1.9871041213735664E-2</v>
      </c>
      <c r="S724" s="22">
        <f t="shared" si="165"/>
        <v>1.9871041213735664E-2</v>
      </c>
      <c r="T724" s="22">
        <f t="shared" si="165"/>
        <v>1.9871041213735664E-2</v>
      </c>
      <c r="U724" s="22">
        <f t="shared" si="165"/>
        <v>1.9871041213735664E-2</v>
      </c>
      <c r="V724" s="22">
        <f t="shared" si="165"/>
        <v>1.9871041213735664E-2</v>
      </c>
      <c r="W724" s="22">
        <f t="shared" si="165"/>
        <v>1.9871041213735664E-2</v>
      </c>
      <c r="X724" s="22">
        <f t="shared" si="165"/>
        <v>1.9871041213735664E-2</v>
      </c>
      <c r="Y724" s="22">
        <f t="shared" si="165"/>
        <v>1.9871041213735664E-2</v>
      </c>
      <c r="Z724" s="22">
        <f t="shared" si="165"/>
        <v>1.9871041213735664E-2</v>
      </c>
      <c r="AA724" s="22">
        <f t="shared" si="165"/>
        <v>1.9871041213735664E-2</v>
      </c>
      <c r="AB724" s="22">
        <f t="shared" si="165"/>
        <v>1.9871041213735664E-2</v>
      </c>
      <c r="AC724" s="22">
        <f t="shared" si="165"/>
        <v>1.9871041213735664E-2</v>
      </c>
      <c r="AD724" s="22">
        <f t="shared" si="165"/>
        <v>1.9871041213735664E-2</v>
      </c>
      <c r="AE724" s="22">
        <f t="shared" si="165"/>
        <v>1.9871041213735664E-2</v>
      </c>
      <c r="AF724" s="22">
        <f t="shared" si="165"/>
        <v>1.9871041213735664E-2</v>
      </c>
      <c r="AG724" s="22">
        <f t="shared" si="165"/>
        <v>1.9871041213735664E-2</v>
      </c>
      <c r="AH724" s="22">
        <f t="shared" si="165"/>
        <v>1.9871041213735664E-2</v>
      </c>
      <c r="AI724" s="22">
        <f t="shared" si="165"/>
        <v>1.9871041213735664E-2</v>
      </c>
      <c r="AJ724" s="22">
        <f t="shared" si="165"/>
        <v>1.9871041213735664E-2</v>
      </c>
      <c r="AK724" s="22">
        <f t="shared" si="165"/>
        <v>1.9871041213735664E-2</v>
      </c>
      <c r="AL724" s="22">
        <f t="shared" si="165"/>
        <v>1.9871041213735664E-2</v>
      </c>
      <c r="AM724" s="22">
        <f t="shared" si="165"/>
        <v>1.9871041213735664E-2</v>
      </c>
      <c r="AN724" s="22">
        <f t="shared" si="165"/>
        <v>1.9871041213735664E-2</v>
      </c>
      <c r="AO724" s="22">
        <f t="shared" si="165"/>
        <v>1.9871041213735664E-2</v>
      </c>
      <c r="AP724" s="22">
        <f t="shared" si="165"/>
        <v>1.9871041213735664E-2</v>
      </c>
      <c r="AQ724" s="22">
        <f t="shared" si="165"/>
        <v>1.9871041213735664E-2</v>
      </c>
      <c r="AR724" s="22">
        <f t="shared" si="165"/>
        <v>1.9871041213735664E-2</v>
      </c>
      <c r="AS724" s="22">
        <f t="shared" si="165"/>
        <v>1.9871041213735664E-2</v>
      </c>
      <c r="AT724" s="22">
        <f t="shared" si="165"/>
        <v>1.9871041213735664E-2</v>
      </c>
      <c r="AU724" s="22">
        <f t="shared" si="165"/>
        <v>1.9871041213735664E-2</v>
      </c>
      <c r="AV724" s="22">
        <f t="shared" si="165"/>
        <v>1.9871041213735664E-2</v>
      </c>
      <c r="AW724" s="22">
        <f t="shared" si="165"/>
        <v>1.9871041213735664E-2</v>
      </c>
      <c r="AY724" s="79"/>
      <c r="AZ724" s="79"/>
    </row>
    <row r="725" spans="1:52" x14ac:dyDescent="0.3">
      <c r="A725" s="95" t="str">
        <f t="shared" si="149"/>
        <v>NI Leaching</v>
      </c>
      <c r="B725" s="95" t="s">
        <v>969</v>
      </c>
      <c r="C725" s="95" t="s">
        <v>1190</v>
      </c>
      <c r="D725" t="s">
        <v>369</v>
      </c>
      <c r="E725" t="s">
        <v>61</v>
      </c>
      <c r="F725" t="s">
        <v>63</v>
      </c>
      <c r="G725" t="s">
        <v>1203</v>
      </c>
      <c r="H725" t="s">
        <v>1204</v>
      </c>
      <c r="I725" t="s">
        <v>139</v>
      </c>
      <c r="J725" t="s">
        <v>287</v>
      </c>
      <c r="K725" s="22" t="str">
        <f t="shared" si="167"/>
        <v>NO</v>
      </c>
      <c r="L725" s="22" t="str">
        <f t="shared" si="165"/>
        <v>NO</v>
      </c>
      <c r="M725" s="22" t="str">
        <f t="shared" si="165"/>
        <v>NO</v>
      </c>
      <c r="N725" s="22" t="str">
        <f t="shared" si="165"/>
        <v>NO</v>
      </c>
      <c r="O725" s="22" t="str">
        <f t="shared" si="165"/>
        <v>NO</v>
      </c>
      <c r="P725" s="22" t="str">
        <f t="shared" ref="P725:AW725" si="168">P1524</f>
        <v>NO</v>
      </c>
      <c r="Q725" s="22" t="str">
        <f t="shared" si="168"/>
        <v>NO</v>
      </c>
      <c r="R725" s="22" t="str">
        <f t="shared" si="168"/>
        <v>NO</v>
      </c>
      <c r="S725" s="22" t="str">
        <f t="shared" si="168"/>
        <v>NO</v>
      </c>
      <c r="T725" s="22" t="str">
        <f t="shared" si="168"/>
        <v>NO</v>
      </c>
      <c r="U725" s="22" t="str">
        <f t="shared" si="168"/>
        <v>NO</v>
      </c>
      <c r="V725" s="22" t="str">
        <f t="shared" si="168"/>
        <v>NO</v>
      </c>
      <c r="W725" s="22" t="str">
        <f t="shared" si="168"/>
        <v>NO</v>
      </c>
      <c r="X725" s="22" t="str">
        <f t="shared" si="168"/>
        <v>NO</v>
      </c>
      <c r="Y725" s="22" t="str">
        <f t="shared" si="168"/>
        <v>NO</v>
      </c>
      <c r="Z725" s="22" t="str">
        <f t="shared" si="168"/>
        <v>NO</v>
      </c>
      <c r="AA725" s="22" t="str">
        <f t="shared" si="168"/>
        <v>NO</v>
      </c>
      <c r="AB725" s="22" t="str">
        <f t="shared" si="168"/>
        <v>NO</v>
      </c>
      <c r="AC725" s="22" t="str">
        <f t="shared" si="168"/>
        <v>NO</v>
      </c>
      <c r="AD725" s="22" t="str">
        <f t="shared" si="168"/>
        <v>NO</v>
      </c>
      <c r="AE725" s="22" t="str">
        <f t="shared" si="168"/>
        <v>NO</v>
      </c>
      <c r="AF725" s="22" t="str">
        <f t="shared" si="168"/>
        <v>NO</v>
      </c>
      <c r="AG725" s="22" t="str">
        <f t="shared" si="168"/>
        <v>NO</v>
      </c>
      <c r="AH725" s="22" t="str">
        <f t="shared" si="168"/>
        <v>NO</v>
      </c>
      <c r="AI725" s="22" t="str">
        <f t="shared" si="168"/>
        <v>NO</v>
      </c>
      <c r="AJ725" s="22" t="str">
        <f t="shared" si="168"/>
        <v>NO</v>
      </c>
      <c r="AK725" s="22" t="str">
        <f t="shared" si="168"/>
        <v>NO</v>
      </c>
      <c r="AL725" s="22" t="str">
        <f t="shared" si="168"/>
        <v>NO</v>
      </c>
      <c r="AM725" s="22" t="str">
        <f t="shared" si="168"/>
        <v>NO</v>
      </c>
      <c r="AN725" s="22" t="str">
        <f t="shared" si="168"/>
        <v>NO</v>
      </c>
      <c r="AO725" s="22" t="str">
        <f t="shared" si="168"/>
        <v>NO</v>
      </c>
      <c r="AP725" s="22" t="str">
        <f t="shared" si="168"/>
        <v>NO</v>
      </c>
      <c r="AQ725" s="22" t="str">
        <f t="shared" si="168"/>
        <v>NO</v>
      </c>
      <c r="AR725" s="22" t="str">
        <f t="shared" si="168"/>
        <v>NO</v>
      </c>
      <c r="AS725" s="22" t="str">
        <f t="shared" si="168"/>
        <v>NO</v>
      </c>
      <c r="AT725" s="22" t="str">
        <f t="shared" si="168"/>
        <v>NO</v>
      </c>
      <c r="AU725" s="22" t="str">
        <f t="shared" si="168"/>
        <v>NO</v>
      </c>
      <c r="AV725" s="22" t="str">
        <f t="shared" si="168"/>
        <v>NO</v>
      </c>
      <c r="AW725" s="22" t="str">
        <f t="shared" si="168"/>
        <v>NO</v>
      </c>
      <c r="AY725" s="79"/>
      <c r="AZ725" s="79"/>
    </row>
    <row r="726" spans="1:52" x14ac:dyDescent="0.3">
      <c r="A726" s="95" t="str">
        <f t="shared" si="149"/>
        <v>NI Leaching</v>
      </c>
      <c r="B726" s="95" t="s">
        <v>969</v>
      </c>
      <c r="C726" s="95" t="s">
        <v>1190</v>
      </c>
      <c r="D726" t="s">
        <v>369</v>
      </c>
      <c r="E726" t="s">
        <v>61</v>
      </c>
      <c r="F726" t="s">
        <v>63</v>
      </c>
      <c r="G726" t="s">
        <v>1205</v>
      </c>
      <c r="H726" t="s">
        <v>1206</v>
      </c>
      <c r="I726" t="s">
        <v>139</v>
      </c>
      <c r="J726" t="s">
        <v>287</v>
      </c>
      <c r="K726" s="22" t="str">
        <f t="shared" si="167"/>
        <v>NO</v>
      </c>
      <c r="L726" s="22" t="str">
        <f t="shared" ref="L726:O730" si="169">L1525</f>
        <v>NO</v>
      </c>
      <c r="M726" s="22" t="str">
        <f t="shared" si="169"/>
        <v>NO</v>
      </c>
      <c r="N726" s="22" t="str">
        <f t="shared" si="169"/>
        <v>NO</v>
      </c>
      <c r="O726" s="22" t="str">
        <f t="shared" si="169"/>
        <v>NO</v>
      </c>
      <c r="P726" s="22" t="str">
        <f t="shared" ref="P726:AW726" si="170">P1525</f>
        <v>NO</v>
      </c>
      <c r="Q726" s="22" t="str">
        <f t="shared" si="170"/>
        <v>NO</v>
      </c>
      <c r="R726" s="22" t="str">
        <f t="shared" si="170"/>
        <v>NO</v>
      </c>
      <c r="S726" s="22" t="str">
        <f t="shared" si="170"/>
        <v>NO</v>
      </c>
      <c r="T726" s="22" t="str">
        <f t="shared" si="170"/>
        <v>NO</v>
      </c>
      <c r="U726" s="22" t="str">
        <f t="shared" si="170"/>
        <v>NO</v>
      </c>
      <c r="V726" s="22" t="str">
        <f t="shared" si="170"/>
        <v>NO</v>
      </c>
      <c r="W726" s="22" t="str">
        <f t="shared" si="170"/>
        <v>NO</v>
      </c>
      <c r="X726" s="22" t="str">
        <f t="shared" si="170"/>
        <v>NO</v>
      </c>
      <c r="Y726" s="22" t="str">
        <f t="shared" si="170"/>
        <v>NO</v>
      </c>
      <c r="Z726" s="22" t="str">
        <f t="shared" si="170"/>
        <v>NO</v>
      </c>
      <c r="AA726" s="22" t="str">
        <f t="shared" si="170"/>
        <v>NO</v>
      </c>
      <c r="AB726" s="22" t="str">
        <f t="shared" si="170"/>
        <v>NO</v>
      </c>
      <c r="AC726" s="22" t="str">
        <f t="shared" si="170"/>
        <v>NO</v>
      </c>
      <c r="AD726" s="22" t="str">
        <f t="shared" si="170"/>
        <v>NO</v>
      </c>
      <c r="AE726" s="22" t="str">
        <f t="shared" si="170"/>
        <v>NO</v>
      </c>
      <c r="AF726" s="22" t="str">
        <f t="shared" si="170"/>
        <v>NO</v>
      </c>
      <c r="AG726" s="22" t="str">
        <f t="shared" si="170"/>
        <v>NO</v>
      </c>
      <c r="AH726" s="22" t="str">
        <f t="shared" si="170"/>
        <v>NO</v>
      </c>
      <c r="AI726" s="22" t="str">
        <f t="shared" si="170"/>
        <v>NO</v>
      </c>
      <c r="AJ726" s="22" t="str">
        <f t="shared" si="170"/>
        <v>NO</v>
      </c>
      <c r="AK726" s="22" t="str">
        <f t="shared" si="170"/>
        <v>NO</v>
      </c>
      <c r="AL726" s="22" t="str">
        <f t="shared" si="170"/>
        <v>NO</v>
      </c>
      <c r="AM726" s="22" t="str">
        <f t="shared" si="170"/>
        <v>NO</v>
      </c>
      <c r="AN726" s="22" t="str">
        <f t="shared" si="170"/>
        <v>NO</v>
      </c>
      <c r="AO726" s="22" t="str">
        <f t="shared" si="170"/>
        <v>NO</v>
      </c>
      <c r="AP726" s="22" t="str">
        <f t="shared" si="170"/>
        <v>NO</v>
      </c>
      <c r="AQ726" s="22" t="str">
        <f t="shared" si="170"/>
        <v>NO</v>
      </c>
      <c r="AR726" s="22" t="str">
        <f t="shared" si="170"/>
        <v>NO</v>
      </c>
      <c r="AS726" s="22" t="str">
        <f t="shared" si="170"/>
        <v>NO</v>
      </c>
      <c r="AT726" s="22" t="str">
        <f t="shared" si="170"/>
        <v>NO</v>
      </c>
      <c r="AU726" s="22" t="str">
        <f t="shared" si="170"/>
        <v>NO</v>
      </c>
      <c r="AV726" s="22" t="str">
        <f t="shared" si="170"/>
        <v>NO</v>
      </c>
      <c r="AW726" s="22" t="str">
        <f t="shared" si="170"/>
        <v>NO</v>
      </c>
      <c r="AY726" s="79"/>
      <c r="AZ726" s="79"/>
    </row>
    <row r="727" spans="1:52" x14ac:dyDescent="0.3">
      <c r="A727" s="95" t="str">
        <f t="shared" si="149"/>
        <v>NI Leaching</v>
      </c>
      <c r="B727" s="95" t="s">
        <v>969</v>
      </c>
      <c r="C727" s="95" t="s">
        <v>1190</v>
      </c>
      <c r="D727" t="s">
        <v>369</v>
      </c>
      <c r="E727" t="s">
        <v>61</v>
      </c>
      <c r="F727" t="s">
        <v>63</v>
      </c>
      <c r="G727" t="s">
        <v>1207</v>
      </c>
      <c r="H727" t="s">
        <v>1208</v>
      </c>
      <c r="I727" t="s">
        <v>139</v>
      </c>
      <c r="J727" t="s">
        <v>287</v>
      </c>
      <c r="K727" s="22" t="str">
        <f t="shared" si="167"/>
        <v>NO</v>
      </c>
      <c r="L727" s="22" t="str">
        <f t="shared" si="169"/>
        <v>NO</v>
      </c>
      <c r="M727" s="22" t="str">
        <f t="shared" si="169"/>
        <v>NO</v>
      </c>
      <c r="N727" s="22" t="str">
        <f t="shared" si="169"/>
        <v>NO</v>
      </c>
      <c r="O727" s="22" t="str">
        <f t="shared" si="169"/>
        <v>NO</v>
      </c>
      <c r="P727" s="22" t="str">
        <f t="shared" ref="P727:AW727" si="171">P1526</f>
        <v>NO</v>
      </c>
      <c r="Q727" s="22" t="str">
        <f t="shared" si="171"/>
        <v>NO</v>
      </c>
      <c r="R727" s="22" t="str">
        <f t="shared" si="171"/>
        <v>NO</v>
      </c>
      <c r="S727" s="22" t="str">
        <f t="shared" si="171"/>
        <v>NO</v>
      </c>
      <c r="T727" s="22" t="str">
        <f t="shared" si="171"/>
        <v>NO</v>
      </c>
      <c r="U727" s="22" t="str">
        <f t="shared" si="171"/>
        <v>NO</v>
      </c>
      <c r="V727" s="22" t="str">
        <f t="shared" si="171"/>
        <v>NO</v>
      </c>
      <c r="W727" s="22" t="str">
        <f t="shared" si="171"/>
        <v>NO</v>
      </c>
      <c r="X727" s="22" t="str">
        <f t="shared" si="171"/>
        <v>NO</v>
      </c>
      <c r="Y727" s="22" t="str">
        <f t="shared" si="171"/>
        <v>NO</v>
      </c>
      <c r="Z727" s="22" t="str">
        <f t="shared" si="171"/>
        <v>NO</v>
      </c>
      <c r="AA727" s="22" t="str">
        <f t="shared" si="171"/>
        <v>NO</v>
      </c>
      <c r="AB727" s="22" t="str">
        <f t="shared" si="171"/>
        <v>NO</v>
      </c>
      <c r="AC727" s="22" t="str">
        <f t="shared" si="171"/>
        <v>NO</v>
      </c>
      <c r="AD727" s="22" t="str">
        <f t="shared" si="171"/>
        <v>NO</v>
      </c>
      <c r="AE727" s="22" t="str">
        <f t="shared" si="171"/>
        <v>NO</v>
      </c>
      <c r="AF727" s="22" t="str">
        <f t="shared" si="171"/>
        <v>NO</v>
      </c>
      <c r="AG727" s="22" t="str">
        <f t="shared" si="171"/>
        <v>NO</v>
      </c>
      <c r="AH727" s="22" t="str">
        <f t="shared" si="171"/>
        <v>NO</v>
      </c>
      <c r="AI727" s="22" t="str">
        <f t="shared" si="171"/>
        <v>NO</v>
      </c>
      <c r="AJ727" s="22" t="str">
        <f t="shared" si="171"/>
        <v>NO</v>
      </c>
      <c r="AK727" s="22" t="str">
        <f t="shared" si="171"/>
        <v>NO</v>
      </c>
      <c r="AL727" s="22" t="str">
        <f t="shared" si="171"/>
        <v>NO</v>
      </c>
      <c r="AM727" s="22" t="str">
        <f t="shared" si="171"/>
        <v>NO</v>
      </c>
      <c r="AN727" s="22" t="str">
        <f t="shared" si="171"/>
        <v>NO</v>
      </c>
      <c r="AO727" s="22" t="str">
        <f t="shared" si="171"/>
        <v>NO</v>
      </c>
      <c r="AP727" s="22" t="str">
        <f t="shared" si="171"/>
        <v>NO</v>
      </c>
      <c r="AQ727" s="22" t="str">
        <f t="shared" si="171"/>
        <v>NO</v>
      </c>
      <c r="AR727" s="22" t="str">
        <f t="shared" si="171"/>
        <v>NO</v>
      </c>
      <c r="AS727" s="22" t="str">
        <f t="shared" si="171"/>
        <v>NO</v>
      </c>
      <c r="AT727" s="22" t="str">
        <f t="shared" si="171"/>
        <v>NO</v>
      </c>
      <c r="AU727" s="22" t="str">
        <f t="shared" si="171"/>
        <v>NO</v>
      </c>
      <c r="AV727" s="22" t="str">
        <f t="shared" si="171"/>
        <v>NO</v>
      </c>
      <c r="AW727" s="22" t="str">
        <f t="shared" si="171"/>
        <v>NO</v>
      </c>
      <c r="AY727" s="79"/>
      <c r="AZ727" s="79"/>
    </row>
    <row r="728" spans="1:52" x14ac:dyDescent="0.3">
      <c r="A728" s="95" t="str">
        <f t="shared" si="149"/>
        <v>NI Leaching</v>
      </c>
      <c r="B728" s="95" t="s">
        <v>969</v>
      </c>
      <c r="C728" s="95" t="s">
        <v>1190</v>
      </c>
      <c r="D728" t="s">
        <v>369</v>
      </c>
      <c r="E728" t="s">
        <v>61</v>
      </c>
      <c r="F728" t="s">
        <v>63</v>
      </c>
      <c r="G728" t="s">
        <v>1209</v>
      </c>
      <c r="H728" t="s">
        <v>1210</v>
      </c>
      <c r="I728" t="s">
        <v>139</v>
      </c>
      <c r="J728" t="s">
        <v>287</v>
      </c>
      <c r="K728" s="22">
        <f t="shared" si="167"/>
        <v>1.9333864620707719E-6</v>
      </c>
      <c r="L728" s="22">
        <f t="shared" si="169"/>
        <v>1.9333864620707719E-6</v>
      </c>
      <c r="M728" s="22">
        <f t="shared" si="169"/>
        <v>1.9333864620707719E-6</v>
      </c>
      <c r="N728" s="22">
        <f t="shared" si="169"/>
        <v>1.9333864620707719E-6</v>
      </c>
      <c r="O728" s="22">
        <f t="shared" si="169"/>
        <v>1.9333864620707719E-6</v>
      </c>
      <c r="P728" s="22">
        <f t="shared" ref="P728:AW728" si="172">P1527</f>
        <v>1.9333864620707719E-6</v>
      </c>
      <c r="Q728" s="22">
        <f t="shared" si="172"/>
        <v>1.9333864620707719E-6</v>
      </c>
      <c r="R728" s="22">
        <f t="shared" si="172"/>
        <v>1.9333864620707719E-6</v>
      </c>
      <c r="S728" s="22">
        <f t="shared" si="172"/>
        <v>1.9333864620707719E-6</v>
      </c>
      <c r="T728" s="22">
        <f t="shared" si="172"/>
        <v>1.9333864620707719E-6</v>
      </c>
      <c r="U728" s="22">
        <f t="shared" si="172"/>
        <v>1.9333864620707719E-6</v>
      </c>
      <c r="V728" s="22">
        <f t="shared" si="172"/>
        <v>1.9333864620707719E-6</v>
      </c>
      <c r="W728" s="22">
        <f t="shared" si="172"/>
        <v>1.9333864620707719E-6</v>
      </c>
      <c r="X728" s="22">
        <f t="shared" si="172"/>
        <v>1.9333864620707719E-6</v>
      </c>
      <c r="Y728" s="22">
        <f t="shared" si="172"/>
        <v>1.9333864620707719E-6</v>
      </c>
      <c r="Z728" s="22">
        <f t="shared" si="172"/>
        <v>1.9333864620707719E-6</v>
      </c>
      <c r="AA728" s="22">
        <f t="shared" si="172"/>
        <v>1.9333864620707719E-6</v>
      </c>
      <c r="AB728" s="22">
        <f t="shared" si="172"/>
        <v>1.9333864620707719E-6</v>
      </c>
      <c r="AC728" s="22">
        <f t="shared" si="172"/>
        <v>1.9333864620707719E-6</v>
      </c>
      <c r="AD728" s="22">
        <f t="shared" si="172"/>
        <v>1.9333864620707719E-6</v>
      </c>
      <c r="AE728" s="22">
        <f t="shared" si="172"/>
        <v>1.9333864620707719E-6</v>
      </c>
      <c r="AF728" s="22">
        <f t="shared" si="172"/>
        <v>1.9333864620707719E-6</v>
      </c>
      <c r="AG728" s="22">
        <f t="shared" si="172"/>
        <v>1.9333864620707719E-6</v>
      </c>
      <c r="AH728" s="22">
        <f t="shared" si="172"/>
        <v>1.9333864620707719E-6</v>
      </c>
      <c r="AI728" s="22">
        <f t="shared" si="172"/>
        <v>1.9333864620707719E-6</v>
      </c>
      <c r="AJ728" s="22">
        <f t="shared" si="172"/>
        <v>1.9333864620707719E-6</v>
      </c>
      <c r="AK728" s="22">
        <f t="shared" si="172"/>
        <v>1.9333864620707719E-6</v>
      </c>
      <c r="AL728" s="22">
        <f t="shared" si="172"/>
        <v>1.9333864620707719E-6</v>
      </c>
      <c r="AM728" s="22">
        <f t="shared" si="172"/>
        <v>1.9333864620707719E-6</v>
      </c>
      <c r="AN728" s="22">
        <f t="shared" si="172"/>
        <v>1.9333864620707719E-6</v>
      </c>
      <c r="AO728" s="22">
        <f t="shared" si="172"/>
        <v>1.9333864620707719E-6</v>
      </c>
      <c r="AP728" s="22">
        <f t="shared" si="172"/>
        <v>1.9333864620707719E-6</v>
      </c>
      <c r="AQ728" s="22">
        <f t="shared" si="172"/>
        <v>1.9333864620707719E-6</v>
      </c>
      <c r="AR728" s="22">
        <f t="shared" si="172"/>
        <v>1.9333864620707719E-6</v>
      </c>
      <c r="AS728" s="22">
        <f t="shared" si="172"/>
        <v>1.9333864620707719E-6</v>
      </c>
      <c r="AT728" s="22">
        <f t="shared" si="172"/>
        <v>1.9333864620707719E-6</v>
      </c>
      <c r="AU728" s="22">
        <f t="shared" si="172"/>
        <v>1.9333864620707719E-6</v>
      </c>
      <c r="AV728" s="22">
        <f t="shared" si="172"/>
        <v>1.9333864620707719E-6</v>
      </c>
      <c r="AW728" s="22">
        <f t="shared" si="172"/>
        <v>1.9333864620707719E-6</v>
      </c>
      <c r="AY728" s="79"/>
      <c r="AZ728" s="79"/>
    </row>
    <row r="729" spans="1:52" x14ac:dyDescent="0.3">
      <c r="A729" s="95" t="str">
        <f t="shared" si="149"/>
        <v>NI Leaching</v>
      </c>
      <c r="B729" s="95" t="s">
        <v>969</v>
      </c>
      <c r="C729" s="95" t="s">
        <v>1190</v>
      </c>
      <c r="D729" t="s">
        <v>369</v>
      </c>
      <c r="E729" t="s">
        <v>61</v>
      </c>
      <c r="F729" t="s">
        <v>63</v>
      </c>
      <c r="G729" t="s">
        <v>1211</v>
      </c>
      <c r="H729" t="s">
        <v>1212</v>
      </c>
      <c r="I729" t="s">
        <v>139</v>
      </c>
      <c r="J729" t="s">
        <v>287</v>
      </c>
      <c r="K729" s="22">
        <f t="shared" si="167"/>
        <v>2.1082459751876198E-3</v>
      </c>
      <c r="L729" s="22">
        <f t="shared" si="169"/>
        <v>2.1082459751876198E-3</v>
      </c>
      <c r="M729" s="22">
        <f t="shared" si="169"/>
        <v>2.1082459751876198E-3</v>
      </c>
      <c r="N729" s="22">
        <f t="shared" si="169"/>
        <v>2.1082459751876198E-3</v>
      </c>
      <c r="O729" s="22">
        <f t="shared" si="169"/>
        <v>2.1082459751876198E-3</v>
      </c>
      <c r="P729" s="22">
        <f t="shared" ref="P729:AW729" si="173">P1528</f>
        <v>2.1082459751876198E-3</v>
      </c>
      <c r="Q729" s="22">
        <f t="shared" si="173"/>
        <v>2.1082459751876198E-3</v>
      </c>
      <c r="R729" s="22">
        <f t="shared" si="173"/>
        <v>2.1082459751876198E-3</v>
      </c>
      <c r="S729" s="22">
        <f t="shared" si="173"/>
        <v>2.1082459751876198E-3</v>
      </c>
      <c r="T729" s="22">
        <f t="shared" si="173"/>
        <v>2.1082459751876198E-3</v>
      </c>
      <c r="U729" s="22">
        <f t="shared" si="173"/>
        <v>2.1082459751876198E-3</v>
      </c>
      <c r="V729" s="22">
        <f t="shared" si="173"/>
        <v>2.1082459751876198E-3</v>
      </c>
      <c r="W729" s="22">
        <f t="shared" si="173"/>
        <v>2.1082459751876198E-3</v>
      </c>
      <c r="X729" s="22">
        <f t="shared" si="173"/>
        <v>2.1082459751876198E-3</v>
      </c>
      <c r="Y729" s="22">
        <f t="shared" si="173"/>
        <v>2.1082459751876198E-3</v>
      </c>
      <c r="Z729" s="22">
        <f t="shared" si="173"/>
        <v>2.1082459751876198E-3</v>
      </c>
      <c r="AA729" s="22">
        <f t="shared" si="173"/>
        <v>2.1082459751876198E-3</v>
      </c>
      <c r="AB729" s="22">
        <f t="shared" si="173"/>
        <v>2.1082459751876198E-3</v>
      </c>
      <c r="AC729" s="22">
        <f t="shared" si="173"/>
        <v>2.1082459751876198E-3</v>
      </c>
      <c r="AD729" s="22">
        <f t="shared" si="173"/>
        <v>2.1082459751876198E-3</v>
      </c>
      <c r="AE729" s="22">
        <f t="shared" si="173"/>
        <v>2.1082459751876198E-3</v>
      </c>
      <c r="AF729" s="22">
        <f t="shared" si="173"/>
        <v>2.1082459751876198E-3</v>
      </c>
      <c r="AG729" s="22">
        <f t="shared" si="173"/>
        <v>2.1082459751876198E-3</v>
      </c>
      <c r="AH729" s="22">
        <f t="shared" si="173"/>
        <v>2.1082459751876198E-3</v>
      </c>
      <c r="AI729" s="22">
        <f t="shared" si="173"/>
        <v>2.1082459751876198E-3</v>
      </c>
      <c r="AJ729" s="22">
        <f t="shared" si="173"/>
        <v>2.1082459751876198E-3</v>
      </c>
      <c r="AK729" s="22">
        <f t="shared" si="173"/>
        <v>2.1082459751876198E-3</v>
      </c>
      <c r="AL729" s="22">
        <f t="shared" si="173"/>
        <v>2.1082459751876198E-3</v>
      </c>
      <c r="AM729" s="22">
        <f t="shared" si="173"/>
        <v>2.1082459751876198E-3</v>
      </c>
      <c r="AN729" s="22">
        <f t="shared" si="173"/>
        <v>2.1082459751876198E-3</v>
      </c>
      <c r="AO729" s="22">
        <f t="shared" si="173"/>
        <v>2.1082459751876198E-3</v>
      </c>
      <c r="AP729" s="22">
        <f t="shared" si="173"/>
        <v>2.1082459751876198E-3</v>
      </c>
      <c r="AQ729" s="22">
        <f t="shared" si="173"/>
        <v>2.1082459751876198E-3</v>
      </c>
      <c r="AR729" s="22">
        <f t="shared" si="173"/>
        <v>2.1082459751876198E-3</v>
      </c>
      <c r="AS729" s="22">
        <f t="shared" si="173"/>
        <v>2.1082459751876198E-3</v>
      </c>
      <c r="AT729" s="22">
        <f t="shared" si="173"/>
        <v>2.1082459751876198E-3</v>
      </c>
      <c r="AU729" s="22">
        <f t="shared" si="173"/>
        <v>2.1082459751876198E-3</v>
      </c>
      <c r="AV729" s="22">
        <f t="shared" si="173"/>
        <v>2.1082459751876198E-3</v>
      </c>
      <c r="AW729" s="22">
        <f t="shared" si="173"/>
        <v>2.1082459751876198E-3</v>
      </c>
      <c r="AY729" s="79"/>
      <c r="AZ729" s="79"/>
    </row>
    <row r="730" spans="1:52" x14ac:dyDescent="0.3">
      <c r="A730" s="95" t="str">
        <f t="shared" si="149"/>
        <v>NI Leaching</v>
      </c>
      <c r="B730" s="95" t="s">
        <v>969</v>
      </c>
      <c r="C730" s="95" t="s">
        <v>1190</v>
      </c>
      <c r="D730" t="s">
        <v>369</v>
      </c>
      <c r="E730" t="s">
        <v>61</v>
      </c>
      <c r="F730" t="s">
        <v>63</v>
      </c>
      <c r="G730" t="s">
        <v>1213</v>
      </c>
      <c r="H730" t="s">
        <v>1214</v>
      </c>
      <c r="I730" t="s">
        <v>139</v>
      </c>
      <c r="J730" t="s">
        <v>287</v>
      </c>
      <c r="K730" s="22" t="str">
        <f t="shared" si="167"/>
        <v>NO</v>
      </c>
      <c r="L730" s="22" t="str">
        <f t="shared" si="169"/>
        <v>NO</v>
      </c>
      <c r="M730" s="22" t="str">
        <f t="shared" si="169"/>
        <v>NO</v>
      </c>
      <c r="N730" s="22" t="str">
        <f t="shared" si="169"/>
        <v>NO</v>
      </c>
      <c r="O730" s="22" t="str">
        <f t="shared" si="169"/>
        <v>NO</v>
      </c>
      <c r="P730" s="22" t="str">
        <f t="shared" ref="P730:AW730" si="174">P1529</f>
        <v>NO</v>
      </c>
      <c r="Q730" s="22" t="str">
        <f t="shared" si="174"/>
        <v>NO</v>
      </c>
      <c r="R730" s="22" t="str">
        <f t="shared" si="174"/>
        <v>NO</v>
      </c>
      <c r="S730" s="22" t="str">
        <f t="shared" si="174"/>
        <v>NO</v>
      </c>
      <c r="T730" s="22" t="str">
        <f t="shared" si="174"/>
        <v>NO</v>
      </c>
      <c r="U730" s="22" t="str">
        <f t="shared" si="174"/>
        <v>NO</v>
      </c>
      <c r="V730" s="22" t="str">
        <f t="shared" si="174"/>
        <v>NO</v>
      </c>
      <c r="W730" s="22" t="str">
        <f t="shared" si="174"/>
        <v>NO</v>
      </c>
      <c r="X730" s="22" t="str">
        <f t="shared" si="174"/>
        <v>NO</v>
      </c>
      <c r="Y730" s="22" t="str">
        <f t="shared" si="174"/>
        <v>NO</v>
      </c>
      <c r="Z730" s="22" t="str">
        <f t="shared" si="174"/>
        <v>NO</v>
      </c>
      <c r="AA730" s="22" t="str">
        <f t="shared" si="174"/>
        <v>NO</v>
      </c>
      <c r="AB730" s="22" t="str">
        <f t="shared" si="174"/>
        <v>NO</v>
      </c>
      <c r="AC730" s="22" t="str">
        <f t="shared" si="174"/>
        <v>NO</v>
      </c>
      <c r="AD730" s="22" t="str">
        <f t="shared" si="174"/>
        <v>NO</v>
      </c>
      <c r="AE730" s="22" t="str">
        <f t="shared" si="174"/>
        <v>NO</v>
      </c>
      <c r="AF730" s="22" t="str">
        <f t="shared" si="174"/>
        <v>NO</v>
      </c>
      <c r="AG730" s="22" t="str">
        <f t="shared" si="174"/>
        <v>NO</v>
      </c>
      <c r="AH730" s="22" t="str">
        <f t="shared" si="174"/>
        <v>NO</v>
      </c>
      <c r="AI730" s="22" t="str">
        <f t="shared" si="174"/>
        <v>NO</v>
      </c>
      <c r="AJ730" s="22" t="str">
        <f t="shared" si="174"/>
        <v>NO</v>
      </c>
      <c r="AK730" s="22" t="str">
        <f t="shared" si="174"/>
        <v>NO</v>
      </c>
      <c r="AL730" s="22" t="str">
        <f t="shared" si="174"/>
        <v>NO</v>
      </c>
      <c r="AM730" s="22" t="str">
        <f t="shared" si="174"/>
        <v>NO</v>
      </c>
      <c r="AN730" s="22" t="str">
        <f t="shared" si="174"/>
        <v>NO</v>
      </c>
      <c r="AO730" s="22" t="str">
        <f t="shared" si="174"/>
        <v>NO</v>
      </c>
      <c r="AP730" s="22" t="str">
        <f t="shared" si="174"/>
        <v>NO</v>
      </c>
      <c r="AQ730" s="22" t="str">
        <f t="shared" si="174"/>
        <v>NO</v>
      </c>
      <c r="AR730" s="22" t="str">
        <f t="shared" si="174"/>
        <v>NO</v>
      </c>
      <c r="AS730" s="22" t="str">
        <f t="shared" si="174"/>
        <v>NO</v>
      </c>
      <c r="AT730" s="22" t="str">
        <f t="shared" si="174"/>
        <v>NO</v>
      </c>
      <c r="AU730" s="22" t="str">
        <f t="shared" si="174"/>
        <v>NO</v>
      </c>
      <c r="AV730" s="22" t="str">
        <f t="shared" si="174"/>
        <v>NO</v>
      </c>
      <c r="AW730" s="22" t="str">
        <f t="shared" si="174"/>
        <v>NO</v>
      </c>
      <c r="AY730" s="79"/>
      <c r="AZ730" s="79"/>
    </row>
    <row r="731" spans="1:52" x14ac:dyDescent="0.3">
      <c r="A731" s="95"/>
      <c r="B731" s="95" t="s">
        <v>969</v>
      </c>
      <c r="C731" s="95"/>
      <c r="D731" t="s">
        <v>369</v>
      </c>
      <c r="E731" t="s">
        <v>61</v>
      </c>
      <c r="F731" t="s">
        <v>63</v>
      </c>
      <c r="G731" t="s">
        <v>1215</v>
      </c>
      <c r="H731" t="s">
        <v>1216</v>
      </c>
      <c r="I731" t="s">
        <v>139</v>
      </c>
      <c r="J731" t="s">
        <v>287</v>
      </c>
      <c r="K731" s="22">
        <f t="shared" si="167"/>
        <v>0.11026792439175388</v>
      </c>
      <c r="L731" s="22">
        <f t="shared" ref="L731:AW731" si="175">L1530</f>
        <v>0.11026792439175388</v>
      </c>
      <c r="M731" s="22">
        <f t="shared" si="175"/>
        <v>0.11026792439175388</v>
      </c>
      <c r="N731" s="22">
        <f t="shared" si="175"/>
        <v>0.11026792439175388</v>
      </c>
      <c r="O731" s="22">
        <f t="shared" si="175"/>
        <v>0.11026792439175388</v>
      </c>
      <c r="P731" s="22">
        <f t="shared" si="175"/>
        <v>0.11026792439175388</v>
      </c>
      <c r="Q731" s="22">
        <f t="shared" si="175"/>
        <v>0.11026792439175388</v>
      </c>
      <c r="R731" s="22">
        <f t="shared" si="175"/>
        <v>0.11026792439175388</v>
      </c>
      <c r="S731" s="22">
        <f t="shared" si="175"/>
        <v>0.11026792439175388</v>
      </c>
      <c r="T731" s="22">
        <f t="shared" si="175"/>
        <v>0.11026792439175388</v>
      </c>
      <c r="U731" s="22">
        <f t="shared" si="175"/>
        <v>0.11026792439175388</v>
      </c>
      <c r="V731" s="22">
        <f t="shared" si="175"/>
        <v>0.11026792439175388</v>
      </c>
      <c r="W731" s="22">
        <f t="shared" si="175"/>
        <v>0.11026792439175388</v>
      </c>
      <c r="X731" s="22">
        <f t="shared" si="175"/>
        <v>0.11026792439175388</v>
      </c>
      <c r="Y731" s="22">
        <f t="shared" si="175"/>
        <v>0.11026792439175388</v>
      </c>
      <c r="Z731" s="22">
        <f t="shared" si="175"/>
        <v>0.11026792439175388</v>
      </c>
      <c r="AA731" s="22">
        <f t="shared" si="175"/>
        <v>0.11026792439175388</v>
      </c>
      <c r="AB731" s="22">
        <f t="shared" si="175"/>
        <v>0.11026792439175388</v>
      </c>
      <c r="AC731" s="22">
        <f t="shared" si="175"/>
        <v>0.11026792439175388</v>
      </c>
      <c r="AD731" s="22">
        <f t="shared" si="175"/>
        <v>0.11026792439175388</v>
      </c>
      <c r="AE731" s="22">
        <f t="shared" si="175"/>
        <v>0.11026792439175388</v>
      </c>
      <c r="AF731" s="22">
        <f t="shared" si="175"/>
        <v>0.11026792439175388</v>
      </c>
      <c r="AG731" s="22">
        <f t="shared" si="175"/>
        <v>0.11026792439175388</v>
      </c>
      <c r="AH731" s="22">
        <f t="shared" si="175"/>
        <v>0.11026792439175388</v>
      </c>
      <c r="AI731" s="22">
        <f t="shared" si="175"/>
        <v>0.11026792439175388</v>
      </c>
      <c r="AJ731" s="22">
        <f t="shared" si="175"/>
        <v>0.11026792439175388</v>
      </c>
      <c r="AK731" s="22">
        <f t="shared" si="175"/>
        <v>0.11026792439175388</v>
      </c>
      <c r="AL731" s="22">
        <f t="shared" si="175"/>
        <v>0.11026792439175388</v>
      </c>
      <c r="AM731" s="22">
        <f t="shared" si="175"/>
        <v>0.11026792439175388</v>
      </c>
      <c r="AN731" s="22">
        <f t="shared" si="175"/>
        <v>0.11026792439175388</v>
      </c>
      <c r="AO731" s="22">
        <f t="shared" si="175"/>
        <v>0.11026792439175388</v>
      </c>
      <c r="AP731" s="22">
        <f t="shared" si="175"/>
        <v>0.11026792439175388</v>
      </c>
      <c r="AQ731" s="22">
        <f t="shared" si="175"/>
        <v>0.11026792439175388</v>
      </c>
      <c r="AR731" s="22">
        <f t="shared" si="175"/>
        <v>0.11026792439175388</v>
      </c>
      <c r="AS731" s="22">
        <f t="shared" si="175"/>
        <v>0.11026792439175388</v>
      </c>
      <c r="AT731" s="22">
        <f t="shared" si="175"/>
        <v>0.11026792439175388</v>
      </c>
      <c r="AU731" s="22">
        <f t="shared" si="175"/>
        <v>0.11026792439175388</v>
      </c>
      <c r="AV731" s="22">
        <f t="shared" si="175"/>
        <v>0.11026792439175388</v>
      </c>
      <c r="AW731" s="22">
        <f t="shared" si="175"/>
        <v>0.11026792439175388</v>
      </c>
      <c r="AY731" s="79"/>
      <c r="AZ731" s="79"/>
    </row>
    <row r="732" spans="1:52" x14ac:dyDescent="0.3">
      <c r="A732" s="95" t="str">
        <f t="shared" ref="A732:A795" si="176">B732&amp;" "&amp;C732</f>
        <v>NI MM Volatilisation</v>
      </c>
      <c r="B732" s="95" t="s">
        <v>969</v>
      </c>
      <c r="C732" s="95" t="s">
        <v>1332</v>
      </c>
      <c r="D732" t="s">
        <v>369</v>
      </c>
      <c r="E732" t="s">
        <v>64</v>
      </c>
      <c r="F732" t="s">
        <v>62</v>
      </c>
      <c r="G732" t="s">
        <v>1152</v>
      </c>
      <c r="H732" t="s">
        <v>1290</v>
      </c>
      <c r="I732" t="s">
        <v>139</v>
      </c>
      <c r="J732" t="s">
        <v>287</v>
      </c>
      <c r="K732" s="22">
        <f t="shared" ref="K732:AW732" si="177">K1531</f>
        <v>0.39609736661915962</v>
      </c>
      <c r="L732" s="22">
        <f t="shared" si="177"/>
        <v>0.39831175345583031</v>
      </c>
      <c r="M732" s="22">
        <f t="shared" si="177"/>
        <v>0.40145358914715529</v>
      </c>
      <c r="N732" s="22">
        <f t="shared" si="177"/>
        <v>0.40347255325329029</v>
      </c>
      <c r="O732" s="22">
        <f t="shared" si="177"/>
        <v>0.40481416413578264</v>
      </c>
      <c r="P732" s="22">
        <f t="shared" si="177"/>
        <v>0.40546521734783814</v>
      </c>
      <c r="Q732" s="22">
        <f t="shared" si="177"/>
        <v>0.40690363619044922</v>
      </c>
      <c r="R732" s="22">
        <f t="shared" si="177"/>
        <v>0.40855374420631185</v>
      </c>
      <c r="S732" s="22">
        <f t="shared" si="177"/>
        <v>0.39627278224994505</v>
      </c>
      <c r="T732" s="22">
        <f t="shared" si="177"/>
        <v>0.40043963770604657</v>
      </c>
      <c r="U732" s="22">
        <f t="shared" si="177"/>
        <v>0.40653881152865828</v>
      </c>
      <c r="V732" s="22">
        <f t="shared" si="177"/>
        <v>0.4097001600416656</v>
      </c>
      <c r="W732" s="22">
        <f t="shared" si="177"/>
        <v>0.41331316056610856</v>
      </c>
      <c r="X732" s="22">
        <f t="shared" si="177"/>
        <v>0.41749483013247579</v>
      </c>
      <c r="Y732" s="22">
        <f t="shared" si="177"/>
        <v>0.42176510375665716</v>
      </c>
      <c r="Z732" s="22">
        <f t="shared" si="177"/>
        <v>0.42649174593727851</v>
      </c>
      <c r="AA732" s="22">
        <f t="shared" si="177"/>
        <v>0.43136480656999721</v>
      </c>
      <c r="AB732" s="22">
        <f t="shared" si="177"/>
        <v>0.43666405575288475</v>
      </c>
      <c r="AC732" s="22">
        <f t="shared" si="177"/>
        <v>0.44208284608865023</v>
      </c>
      <c r="AD732" s="22">
        <f t="shared" si="177"/>
        <v>0.44793692741043817</v>
      </c>
      <c r="AE732" s="22">
        <f t="shared" si="177"/>
        <v>0.45371177751541658</v>
      </c>
      <c r="AF732" s="22">
        <f t="shared" si="177"/>
        <v>0.45980708874384696</v>
      </c>
      <c r="AG732" s="22">
        <f t="shared" si="177"/>
        <v>0.4667018933762529</v>
      </c>
      <c r="AH732" s="22">
        <f t="shared" si="177"/>
        <v>0.47325726684756153</v>
      </c>
      <c r="AI732" s="22">
        <f t="shared" si="177"/>
        <v>0.47997976762000966</v>
      </c>
      <c r="AJ732" s="22">
        <f t="shared" si="177"/>
        <v>0.48716917791574549</v>
      </c>
      <c r="AK732" s="22">
        <f t="shared" si="177"/>
        <v>0.49390478893176154</v>
      </c>
      <c r="AL732" s="22">
        <f t="shared" si="177"/>
        <v>0.50060384763887944</v>
      </c>
      <c r="AM732" s="22">
        <f t="shared" si="177"/>
        <v>0.50728498742813199</v>
      </c>
      <c r="AN732" s="22">
        <f t="shared" si="177"/>
        <v>0.51435343301423675</v>
      </c>
      <c r="AO732" s="22">
        <f t="shared" si="177"/>
        <v>0.52113757148367401</v>
      </c>
      <c r="AP732" s="22">
        <f t="shared" si="177"/>
        <v>0.52818514749495915</v>
      </c>
      <c r="AQ732" s="22">
        <f t="shared" si="177"/>
        <v>0.5355283037572397</v>
      </c>
      <c r="AR732" s="22">
        <f t="shared" si="177"/>
        <v>0.5432187291547913</v>
      </c>
      <c r="AS732" s="22">
        <f t="shared" si="177"/>
        <v>0.55104518804876201</v>
      </c>
      <c r="AT732" s="22">
        <f t="shared" si="177"/>
        <v>0.55290077890622136</v>
      </c>
      <c r="AU732" s="22">
        <f t="shared" si="177"/>
        <v>0.55422139724319897</v>
      </c>
      <c r="AV732" s="22">
        <f t="shared" si="177"/>
        <v>0.55476247870419659</v>
      </c>
      <c r="AW732" s="22">
        <f t="shared" si="177"/>
        <v>0.55508919829714432</v>
      </c>
      <c r="AY732" s="79"/>
      <c r="AZ732" s="79"/>
    </row>
    <row r="733" spans="1:52" x14ac:dyDescent="0.3">
      <c r="A733" s="95" t="str">
        <f t="shared" si="176"/>
        <v>NI MM Volatilisation</v>
      </c>
      <c r="B733" s="95" t="s">
        <v>969</v>
      </c>
      <c r="C733" s="95" t="s">
        <v>1332</v>
      </c>
      <c r="D733" t="s">
        <v>369</v>
      </c>
      <c r="E733" t="s">
        <v>64</v>
      </c>
      <c r="F733" t="s">
        <v>62</v>
      </c>
      <c r="G733" t="s">
        <v>1154</v>
      </c>
      <c r="H733" t="s">
        <v>1291</v>
      </c>
      <c r="I733" t="s">
        <v>139</v>
      </c>
      <c r="J733" t="s">
        <v>287</v>
      </c>
      <c r="K733" s="22">
        <f t="shared" ref="K733:AW733" si="178">K1532</f>
        <v>3.1249813656142676E-2</v>
      </c>
      <c r="L733" s="22">
        <f t="shared" si="178"/>
        <v>3.1424516095088978E-2</v>
      </c>
      <c r="M733" s="22">
        <f t="shared" si="178"/>
        <v>3.1672388936885787E-2</v>
      </c>
      <c r="N733" s="22">
        <f t="shared" si="178"/>
        <v>3.1831673641638247E-2</v>
      </c>
      <c r="O733" s="22">
        <f t="shared" si="178"/>
        <v>3.1937519056453256E-2</v>
      </c>
      <c r="P733" s="22">
        <f t="shared" si="178"/>
        <v>3.198888342610464E-2</v>
      </c>
      <c r="Q733" s="22">
        <f t="shared" si="178"/>
        <v>3.2102366434524382E-2</v>
      </c>
      <c r="R733" s="22">
        <f t="shared" si="178"/>
        <v>3.2232550506305392E-2</v>
      </c>
      <c r="S733" s="22">
        <f t="shared" si="178"/>
        <v>3.1263652944752973E-2</v>
      </c>
      <c r="T733" s="22">
        <f t="shared" si="178"/>
        <v>3.1592393975390647E-2</v>
      </c>
      <c r="U733" s="22">
        <f t="shared" si="178"/>
        <v>3.2073583858170898E-2</v>
      </c>
      <c r="V733" s="22">
        <f t="shared" si="178"/>
        <v>3.2322996149842582E-2</v>
      </c>
      <c r="W733" s="22">
        <f t="shared" si="178"/>
        <v>3.2608041198468073E-2</v>
      </c>
      <c r="X733" s="22">
        <f t="shared" si="178"/>
        <v>3.2937950977560811E-2</v>
      </c>
      <c r="Y733" s="22">
        <f t="shared" si="178"/>
        <v>3.3274851109352674E-2</v>
      </c>
      <c r="Z733" s="22">
        <f t="shared" si="178"/>
        <v>3.3647756106486112E-2</v>
      </c>
      <c r="AA733" s="22">
        <f t="shared" si="178"/>
        <v>3.4032212680907031E-2</v>
      </c>
      <c r="AB733" s="22">
        <f t="shared" si="178"/>
        <v>3.4450293091024778E-2</v>
      </c>
      <c r="AC733" s="22">
        <f t="shared" si="178"/>
        <v>3.4877804613456062E-2</v>
      </c>
      <c r="AD733" s="22">
        <f t="shared" si="178"/>
        <v>3.5339658101640622E-2</v>
      </c>
      <c r="AE733" s="22">
        <f t="shared" si="178"/>
        <v>3.5795260700600191E-2</v>
      </c>
      <c r="AF733" s="22">
        <f t="shared" si="178"/>
        <v>3.6276145846821803E-2</v>
      </c>
      <c r="AG733" s="22">
        <f t="shared" si="178"/>
        <v>3.682010644367513E-2</v>
      </c>
      <c r="AH733" s="22">
        <f t="shared" si="178"/>
        <v>3.7337287865943425E-2</v>
      </c>
      <c r="AI733" s="22">
        <f t="shared" si="178"/>
        <v>3.7867654675082699E-2</v>
      </c>
      <c r="AJ733" s="22">
        <f t="shared" si="178"/>
        <v>3.843485797147652E-2</v>
      </c>
      <c r="AK733" s="22">
        <f t="shared" si="178"/>
        <v>3.8966259103746965E-2</v>
      </c>
      <c r="AL733" s="22">
        <f t="shared" si="178"/>
        <v>3.9494776468191543E-2</v>
      </c>
      <c r="AM733" s="22">
        <f t="shared" si="178"/>
        <v>4.0021880132643621E-2</v>
      </c>
      <c r="AN733" s="22">
        <f t="shared" si="178"/>
        <v>4.0579540006249255E-2</v>
      </c>
      <c r="AO733" s="22">
        <f t="shared" si="178"/>
        <v>4.1114769676663131E-2</v>
      </c>
      <c r="AP733" s="22">
        <f t="shared" si="178"/>
        <v>4.167078306034188E-2</v>
      </c>
      <c r="AQ733" s="22">
        <f t="shared" si="178"/>
        <v>4.2250116032946157E-2</v>
      </c>
      <c r="AR733" s="22">
        <f t="shared" si="178"/>
        <v>4.2856846551407354E-2</v>
      </c>
      <c r="AS733" s="22">
        <f t="shared" si="178"/>
        <v>4.3474309333630792E-2</v>
      </c>
      <c r="AT733" s="22">
        <f t="shared" si="178"/>
        <v>4.3620704824751035E-2</v>
      </c>
      <c r="AU733" s="22">
        <f t="shared" si="178"/>
        <v>4.3724894047955633E-2</v>
      </c>
      <c r="AV733" s="22">
        <f t="shared" si="178"/>
        <v>4.376758227629024E-2</v>
      </c>
      <c r="AW733" s="22">
        <f t="shared" si="178"/>
        <v>4.3793358580951298E-2</v>
      </c>
      <c r="AY733" s="79"/>
      <c r="AZ733" s="79"/>
    </row>
    <row r="734" spans="1:52" x14ac:dyDescent="0.3">
      <c r="A734" s="95" t="str">
        <f t="shared" si="176"/>
        <v>NI MM Volatilisation</v>
      </c>
      <c r="B734" s="95" t="s">
        <v>969</v>
      </c>
      <c r="C734" s="95" t="s">
        <v>1332</v>
      </c>
      <c r="D734" t="s">
        <v>369</v>
      </c>
      <c r="E734" t="s">
        <v>64</v>
      </c>
      <c r="F734" t="s">
        <v>62</v>
      </c>
      <c r="G734" t="s">
        <v>1156</v>
      </c>
      <c r="H734" t="s">
        <v>1292</v>
      </c>
      <c r="I734" t="s">
        <v>139</v>
      </c>
      <c r="J734" t="s">
        <v>287</v>
      </c>
      <c r="K734" s="22">
        <f t="shared" ref="K734:AW734" si="179">K1533</f>
        <v>2.8967336997006343E-4</v>
      </c>
      <c r="L734" s="22">
        <f t="shared" si="179"/>
        <v>2.9129279224209415E-4</v>
      </c>
      <c r="M734" s="22">
        <f t="shared" si="179"/>
        <v>2.9359047510821973E-4</v>
      </c>
      <c r="N734" s="22">
        <f t="shared" si="179"/>
        <v>2.9506698110336069E-4</v>
      </c>
      <c r="O734" s="22">
        <f t="shared" si="179"/>
        <v>2.9604812609010248E-4</v>
      </c>
      <c r="P734" s="22">
        <f t="shared" si="179"/>
        <v>2.9652425341095714E-4</v>
      </c>
      <c r="Q734" s="22">
        <f t="shared" si="179"/>
        <v>2.9757619585915883E-4</v>
      </c>
      <c r="R734" s="22">
        <f t="shared" si="179"/>
        <v>2.9878295053629647E-4</v>
      </c>
      <c r="S734" s="22">
        <f t="shared" si="179"/>
        <v>2.8980165468285715E-4</v>
      </c>
      <c r="T734" s="22">
        <f t="shared" si="179"/>
        <v>2.9284895356406268E-4</v>
      </c>
      <c r="U734" s="22">
        <f t="shared" si="179"/>
        <v>2.9730939279977176E-4</v>
      </c>
      <c r="V734" s="22">
        <f t="shared" si="179"/>
        <v>2.996213457552509E-4</v>
      </c>
      <c r="W734" s="22">
        <f t="shared" si="179"/>
        <v>3.0226360022553945E-4</v>
      </c>
      <c r="X734" s="22">
        <f t="shared" si="179"/>
        <v>3.0532173294106326E-4</v>
      </c>
      <c r="Y734" s="22">
        <f t="shared" si="179"/>
        <v>3.084446634517329E-4</v>
      </c>
      <c r="Z734" s="22">
        <f t="shared" si="179"/>
        <v>3.1190134477428172E-4</v>
      </c>
      <c r="AA734" s="22">
        <f t="shared" si="179"/>
        <v>3.1546510463362291E-4</v>
      </c>
      <c r="AB734" s="22">
        <f t="shared" si="179"/>
        <v>3.1934054410503462E-4</v>
      </c>
      <c r="AC734" s="22">
        <f t="shared" si="179"/>
        <v>3.2330340624451355E-4</v>
      </c>
      <c r="AD734" s="22">
        <f t="shared" si="179"/>
        <v>3.2758460477667038E-4</v>
      </c>
      <c r="AE734" s="22">
        <f t="shared" si="179"/>
        <v>3.3180786004660364E-4</v>
      </c>
      <c r="AF734" s="22">
        <f t="shared" si="179"/>
        <v>3.3626547449535976E-4</v>
      </c>
      <c r="AG734" s="22">
        <f t="shared" si="179"/>
        <v>3.4130777333769093E-4</v>
      </c>
      <c r="AH734" s="22">
        <f t="shared" si="179"/>
        <v>3.4610183985990577E-4</v>
      </c>
      <c r="AI734" s="22">
        <f t="shared" si="179"/>
        <v>3.5101812968531553E-4</v>
      </c>
      <c r="AJ734" s="22">
        <f t="shared" si="179"/>
        <v>3.5627587912767834E-4</v>
      </c>
      <c r="AK734" s="22">
        <f t="shared" si="179"/>
        <v>3.6120175671800533E-4</v>
      </c>
      <c r="AL734" s="22">
        <f t="shared" si="179"/>
        <v>3.661009029251144E-4</v>
      </c>
      <c r="AM734" s="22">
        <f t="shared" si="179"/>
        <v>3.7098694469437114E-4</v>
      </c>
      <c r="AN734" s="22">
        <f t="shared" si="179"/>
        <v>3.7615623039514106E-4</v>
      </c>
      <c r="AO734" s="22">
        <f t="shared" si="179"/>
        <v>3.8111759701456354E-4</v>
      </c>
      <c r="AP734" s="22">
        <f t="shared" si="179"/>
        <v>3.8627162040718048E-4</v>
      </c>
      <c r="AQ734" s="22">
        <f t="shared" si="179"/>
        <v>3.916418071339122E-4</v>
      </c>
      <c r="AR734" s="22">
        <f t="shared" si="179"/>
        <v>3.9726595823702738E-4</v>
      </c>
      <c r="AS734" s="22">
        <f t="shared" si="179"/>
        <v>4.0298959316573016E-4</v>
      </c>
      <c r="AT734" s="22">
        <f t="shared" si="179"/>
        <v>4.0434662126605264E-4</v>
      </c>
      <c r="AU734" s="22">
        <f t="shared" si="179"/>
        <v>4.0531241401388569E-4</v>
      </c>
      <c r="AV734" s="22">
        <f t="shared" si="179"/>
        <v>4.0570811694817522E-4</v>
      </c>
      <c r="AW734" s="22">
        <f t="shared" si="179"/>
        <v>4.0594705306212152E-4</v>
      </c>
      <c r="AY734" s="79"/>
      <c r="AZ734" s="79"/>
    </row>
    <row r="735" spans="1:52" x14ac:dyDescent="0.3">
      <c r="A735" s="95" t="str">
        <f t="shared" si="176"/>
        <v>NI MM Volatilisation</v>
      </c>
      <c r="B735" s="95" t="s">
        <v>969</v>
      </c>
      <c r="C735" s="95" t="s">
        <v>1332</v>
      </c>
      <c r="D735" t="s">
        <v>369</v>
      </c>
      <c r="E735" t="s">
        <v>64</v>
      </c>
      <c r="F735" t="s">
        <v>62</v>
      </c>
      <c r="G735" t="s">
        <v>1158</v>
      </c>
      <c r="H735" t="s">
        <v>1293</v>
      </c>
      <c r="I735" t="s">
        <v>139</v>
      </c>
      <c r="J735" t="s">
        <v>287</v>
      </c>
      <c r="K735" s="22">
        <f t="shared" ref="K735:AW735" si="180">K1534</f>
        <v>3.2323215352203891E-3</v>
      </c>
      <c r="L735" s="22">
        <f t="shared" si="180"/>
        <v>3.2042886428129448E-3</v>
      </c>
      <c r="M735" s="22">
        <f t="shared" si="180"/>
        <v>3.193617369300608E-3</v>
      </c>
      <c r="N735" s="22">
        <f t="shared" si="180"/>
        <v>3.150970789688672E-3</v>
      </c>
      <c r="O735" s="22">
        <f t="shared" si="180"/>
        <v>3.0890682378804119E-3</v>
      </c>
      <c r="P735" s="22">
        <f t="shared" si="180"/>
        <v>3.0091897617382942E-3</v>
      </c>
      <c r="Q735" s="22">
        <f t="shared" si="180"/>
        <v>2.9461872714039495E-3</v>
      </c>
      <c r="R735" s="22">
        <f t="shared" si="180"/>
        <v>2.8865797531671877E-3</v>
      </c>
      <c r="S735" s="22">
        <f t="shared" si="180"/>
        <v>2.5393486840215836E-3</v>
      </c>
      <c r="T735" s="22">
        <f t="shared" si="180"/>
        <v>2.580595358897255E-3</v>
      </c>
      <c r="U735" s="22">
        <f t="shared" si="180"/>
        <v>2.657542332078646E-3</v>
      </c>
      <c r="V735" s="22">
        <f t="shared" si="180"/>
        <v>2.672909531392759E-3</v>
      </c>
      <c r="W735" s="22">
        <f t="shared" si="180"/>
        <v>2.69507345244463E-3</v>
      </c>
      <c r="X735" s="22">
        <f t="shared" si="180"/>
        <v>2.7259926112042248E-3</v>
      </c>
      <c r="Y735" s="22">
        <f t="shared" si="180"/>
        <v>2.7614582970453471E-3</v>
      </c>
      <c r="Z735" s="22">
        <f t="shared" si="180"/>
        <v>2.8030399515039583E-3</v>
      </c>
      <c r="AA735" s="22">
        <f t="shared" si="180"/>
        <v>2.8448133898556971E-3</v>
      </c>
      <c r="AB735" s="22">
        <f t="shared" si="180"/>
        <v>2.8917956180905236E-3</v>
      </c>
      <c r="AC735" s="22">
        <f t="shared" si="180"/>
        <v>2.9383115991341744E-3</v>
      </c>
      <c r="AD735" s="22">
        <f t="shared" si="180"/>
        <v>2.9686122408824826E-3</v>
      </c>
      <c r="AE735" s="22">
        <f t="shared" si="180"/>
        <v>2.9934911793624186E-3</v>
      </c>
      <c r="AF735" s="22">
        <f t="shared" si="180"/>
        <v>3.0197743682154753E-3</v>
      </c>
      <c r="AG735" s="22">
        <f t="shared" si="180"/>
        <v>3.0549409795984986E-3</v>
      </c>
      <c r="AH735" s="22">
        <f t="shared" si="180"/>
        <v>3.0802316239663852E-3</v>
      </c>
      <c r="AI735" s="22">
        <f t="shared" si="180"/>
        <v>3.1071852189437066E-3</v>
      </c>
      <c r="AJ735" s="22">
        <f t="shared" si="180"/>
        <v>3.1368555493036434E-3</v>
      </c>
      <c r="AK735" s="22">
        <f t="shared" si="180"/>
        <v>3.1553441150186925E-3</v>
      </c>
      <c r="AL735" s="22">
        <f t="shared" si="180"/>
        <v>3.1692145745473945E-3</v>
      </c>
      <c r="AM735" s="22">
        <f t="shared" si="180"/>
        <v>3.1788623674795236E-3</v>
      </c>
      <c r="AN735" s="22">
        <f t="shared" si="180"/>
        <v>3.2088548057950931E-3</v>
      </c>
      <c r="AO735" s="22">
        <f t="shared" si="180"/>
        <v>3.2316528557922693E-3</v>
      </c>
      <c r="AP735" s="22">
        <f t="shared" si="180"/>
        <v>3.2547386832550949E-3</v>
      </c>
      <c r="AQ735" s="22">
        <f t="shared" si="180"/>
        <v>3.2783763796135966E-3</v>
      </c>
      <c r="AR735" s="22">
        <f t="shared" si="180"/>
        <v>3.3030426066013221E-3</v>
      </c>
      <c r="AS735" s="22">
        <f t="shared" si="180"/>
        <v>3.3283682698185247E-3</v>
      </c>
      <c r="AT735" s="22">
        <f t="shared" si="180"/>
        <v>3.2784104491001818E-3</v>
      </c>
      <c r="AU735" s="22">
        <f t="shared" si="180"/>
        <v>3.2218166400979921E-3</v>
      </c>
      <c r="AV735" s="22">
        <f t="shared" si="180"/>
        <v>3.1562062621096833E-3</v>
      </c>
      <c r="AW735" s="22">
        <f t="shared" si="180"/>
        <v>3.0885397025865453E-3</v>
      </c>
      <c r="AY735" s="79"/>
      <c r="AZ735" s="79"/>
    </row>
    <row r="736" spans="1:52" x14ac:dyDescent="0.3">
      <c r="A736" s="95" t="str">
        <f t="shared" si="176"/>
        <v>NI MM Volatilisation</v>
      </c>
      <c r="B736" s="95" t="s">
        <v>969</v>
      </c>
      <c r="C736" s="95" t="s">
        <v>1332</v>
      </c>
      <c r="D736" t="s">
        <v>369</v>
      </c>
      <c r="E736" t="s">
        <v>64</v>
      </c>
      <c r="F736" t="s">
        <v>62</v>
      </c>
      <c r="G736" t="s">
        <v>1160</v>
      </c>
      <c r="H736" t="s">
        <v>1294</v>
      </c>
      <c r="I736" t="s">
        <v>139</v>
      </c>
      <c r="J736" t="s">
        <v>287</v>
      </c>
      <c r="K736" s="22">
        <f t="shared" ref="K736:AW736" si="181">K1535</f>
        <v>1.6090517274103575E-2</v>
      </c>
      <c r="L736" s="22">
        <f t="shared" si="181"/>
        <v>1.5950969356419605E-2</v>
      </c>
      <c r="M736" s="22">
        <f t="shared" si="181"/>
        <v>1.5897847688628834E-2</v>
      </c>
      <c r="N736" s="22">
        <f t="shared" si="181"/>
        <v>1.5685552742581484E-2</v>
      </c>
      <c r="O736" s="22">
        <f t="shared" si="181"/>
        <v>1.5377401443792458E-2</v>
      </c>
      <c r="P736" s="22">
        <f t="shared" si="181"/>
        <v>1.4979765878707444E-2</v>
      </c>
      <c r="Q736" s="22">
        <f t="shared" si="181"/>
        <v>1.4666139078901097E-2</v>
      </c>
      <c r="R736" s="22">
        <f t="shared" si="181"/>
        <v>1.4369412471908495E-2</v>
      </c>
      <c r="S736" s="22">
        <f t="shared" si="181"/>
        <v>1.2640893989042949E-2</v>
      </c>
      <c r="T736" s="22">
        <f t="shared" si="181"/>
        <v>1.284622020036031E-2</v>
      </c>
      <c r="U736" s="22">
        <f t="shared" si="181"/>
        <v>1.322926272495888E-2</v>
      </c>
      <c r="V736" s="22">
        <f t="shared" si="181"/>
        <v>1.3305760741422912E-2</v>
      </c>
      <c r="W736" s="22">
        <f t="shared" si="181"/>
        <v>1.3416092882164809E-2</v>
      </c>
      <c r="X736" s="22">
        <f t="shared" si="181"/>
        <v>1.3570008652208428E-2</v>
      </c>
      <c r="Y736" s="22">
        <f t="shared" si="181"/>
        <v>1.3746557063140447E-2</v>
      </c>
      <c r="Z736" s="22">
        <f t="shared" si="181"/>
        <v>1.3953550804963992E-2</v>
      </c>
      <c r="AA736" s="22">
        <f t="shared" si="181"/>
        <v>1.4161499248234047E-2</v>
      </c>
      <c r="AB736" s="22">
        <f t="shared" si="181"/>
        <v>1.439537708085406E-2</v>
      </c>
      <c r="AC736" s="22">
        <f t="shared" si="181"/>
        <v>1.4626933931974607E-2</v>
      </c>
      <c r="AD736" s="22">
        <f t="shared" si="181"/>
        <v>1.4777770720380409E-2</v>
      </c>
      <c r="AE736" s="22">
        <f t="shared" si="181"/>
        <v>1.4901618235242655E-2</v>
      </c>
      <c r="AF736" s="22">
        <f t="shared" si="181"/>
        <v>1.5032456117442953E-2</v>
      </c>
      <c r="AG736" s="22">
        <f t="shared" si="181"/>
        <v>1.5207515733809875E-2</v>
      </c>
      <c r="AH736" s="22">
        <f t="shared" si="181"/>
        <v>1.5333412723215338E-2</v>
      </c>
      <c r="AI736" s="22">
        <f t="shared" si="181"/>
        <v>1.5467587891389686E-2</v>
      </c>
      <c r="AJ736" s="22">
        <f t="shared" si="181"/>
        <v>1.5615286985673127E-2</v>
      </c>
      <c r="AK736" s="22">
        <f t="shared" si="181"/>
        <v>1.5707323184043206E-2</v>
      </c>
      <c r="AL736" s="22">
        <f t="shared" si="181"/>
        <v>1.5776370420283306E-2</v>
      </c>
      <c r="AM736" s="22">
        <f t="shared" si="181"/>
        <v>1.5824397195200308E-2</v>
      </c>
      <c r="AN736" s="22">
        <f t="shared" si="181"/>
        <v>1.5973699744946876E-2</v>
      </c>
      <c r="AO736" s="22">
        <f t="shared" si="181"/>
        <v>1.608718858363397E-2</v>
      </c>
      <c r="AP736" s="22">
        <f t="shared" si="181"/>
        <v>1.6202109980385494E-2</v>
      </c>
      <c r="AQ736" s="22">
        <f t="shared" si="181"/>
        <v>1.6319778584029082E-2</v>
      </c>
      <c r="AR736" s="22">
        <f t="shared" si="181"/>
        <v>1.6442567219722745E-2</v>
      </c>
      <c r="AS736" s="22">
        <f t="shared" si="181"/>
        <v>1.6568638533184063E-2</v>
      </c>
      <c r="AT736" s="22">
        <f t="shared" si="181"/>
        <v>1.6319948182151194E-2</v>
      </c>
      <c r="AU736" s="22">
        <f t="shared" si="181"/>
        <v>1.603822383900198E-2</v>
      </c>
      <c r="AV736" s="22">
        <f t="shared" si="181"/>
        <v>1.5711614957775871E-2</v>
      </c>
      <c r="AW736" s="22">
        <f t="shared" si="181"/>
        <v>1.5374770391719434E-2</v>
      </c>
      <c r="AY736" s="79"/>
      <c r="AZ736" s="79"/>
    </row>
    <row r="737" spans="1:52" x14ac:dyDescent="0.3">
      <c r="A737" s="95" t="str">
        <f t="shared" si="176"/>
        <v>NI MM Volatilisation</v>
      </c>
      <c r="B737" s="95" t="s">
        <v>969</v>
      </c>
      <c r="C737" s="95" t="s">
        <v>1332</v>
      </c>
      <c r="D737" t="s">
        <v>369</v>
      </c>
      <c r="E737" t="s">
        <v>64</v>
      </c>
      <c r="F737" t="s">
        <v>62</v>
      </c>
      <c r="G737" t="s">
        <v>1162</v>
      </c>
      <c r="H737" t="s">
        <v>1295</v>
      </c>
      <c r="I737" t="s">
        <v>139</v>
      </c>
      <c r="J737" t="s">
        <v>287</v>
      </c>
      <c r="K737" s="22">
        <f t="shared" ref="K737:AW737" si="182">K1536</f>
        <v>0.15836052531214873</v>
      </c>
      <c r="L737" s="22">
        <f t="shared" si="182"/>
        <v>0.16370016056893641</v>
      </c>
      <c r="M737" s="22">
        <f t="shared" si="182"/>
        <v>0.17003774892948584</v>
      </c>
      <c r="N737" s="22">
        <f t="shared" si="182"/>
        <v>0.17476418316081974</v>
      </c>
      <c r="O737" s="22">
        <f t="shared" si="182"/>
        <v>0.1784091501709566</v>
      </c>
      <c r="P737" s="22">
        <f t="shared" si="182"/>
        <v>0.18092055691117107</v>
      </c>
      <c r="Q737" s="22">
        <f t="shared" si="182"/>
        <v>0.18434967364231716</v>
      </c>
      <c r="R737" s="22">
        <f t="shared" si="182"/>
        <v>0.18794438918293385</v>
      </c>
      <c r="S737" s="22">
        <f t="shared" si="182"/>
        <v>0.17201843471628311</v>
      </c>
      <c r="T737" s="22">
        <f t="shared" si="182"/>
        <v>0.17902423727078304</v>
      </c>
      <c r="U737" s="22">
        <f t="shared" si="182"/>
        <v>0.18874308750279975</v>
      </c>
      <c r="V737" s="22">
        <f t="shared" si="182"/>
        <v>0.19428798010301845</v>
      </c>
      <c r="W737" s="22">
        <f t="shared" si="182"/>
        <v>0.20044069379465723</v>
      </c>
      <c r="X737" s="22">
        <f t="shared" si="182"/>
        <v>0.20738925990441343</v>
      </c>
      <c r="Y737" s="22">
        <f t="shared" si="182"/>
        <v>0.21485625224208699</v>
      </c>
      <c r="Z737" s="22">
        <f t="shared" si="182"/>
        <v>0.22299569523633012</v>
      </c>
      <c r="AA737" s="22">
        <f t="shared" si="182"/>
        <v>0.23136404347242787</v>
      </c>
      <c r="AB737" s="22">
        <f t="shared" si="182"/>
        <v>0.24038568507894228</v>
      </c>
      <c r="AC737" s="22">
        <f t="shared" si="182"/>
        <v>0.24961351882279642</v>
      </c>
      <c r="AD737" s="22">
        <f t="shared" si="182"/>
        <v>0.26055082309019489</v>
      </c>
      <c r="AE737" s="22">
        <f t="shared" si="182"/>
        <v>0.27146409989499087</v>
      </c>
      <c r="AF737" s="22">
        <f t="shared" si="182"/>
        <v>0.28296976129835516</v>
      </c>
      <c r="AG737" s="22">
        <f t="shared" si="182"/>
        <v>0.29583119296374027</v>
      </c>
      <c r="AH737" s="22">
        <f t="shared" si="182"/>
        <v>0.30828569818364093</v>
      </c>
      <c r="AI737" s="22">
        <f t="shared" si="182"/>
        <v>0.32146078881891821</v>
      </c>
      <c r="AJ737" s="22">
        <f t="shared" si="182"/>
        <v>0.33551892419975027</v>
      </c>
      <c r="AK737" s="22">
        <f t="shared" si="182"/>
        <v>0.34898799967344624</v>
      </c>
      <c r="AL737" s="22">
        <f t="shared" si="182"/>
        <v>0.36253110288155638</v>
      </c>
      <c r="AM737" s="22">
        <f t="shared" si="182"/>
        <v>0.3761776209722954</v>
      </c>
      <c r="AN737" s="22">
        <f t="shared" si="182"/>
        <v>0.39044092384449941</v>
      </c>
      <c r="AO737" s="22">
        <f t="shared" si="182"/>
        <v>0.40434790587507169</v>
      </c>
      <c r="AP737" s="22">
        <f t="shared" si="182"/>
        <v>0.41881133165575385</v>
      </c>
      <c r="AQ737" s="22">
        <f t="shared" si="182"/>
        <v>0.43389523168298461</v>
      </c>
      <c r="AR737" s="22">
        <f t="shared" si="182"/>
        <v>0.44969846219520337</v>
      </c>
      <c r="AS737" s="22">
        <f t="shared" si="182"/>
        <v>0.46621113351536414</v>
      </c>
      <c r="AT737" s="22">
        <f t="shared" si="182"/>
        <v>0.47252748572368597</v>
      </c>
      <c r="AU737" s="22">
        <f t="shared" si="182"/>
        <v>0.47791554113176593</v>
      </c>
      <c r="AV737" s="22">
        <f t="shared" si="182"/>
        <v>0.48192801076931108</v>
      </c>
      <c r="AW737" s="22">
        <f t="shared" si="182"/>
        <v>0.48553688587906652</v>
      </c>
      <c r="AY737" s="79"/>
      <c r="AZ737" s="79"/>
    </row>
    <row r="738" spans="1:52" x14ac:dyDescent="0.3">
      <c r="A738" s="95" t="str">
        <f t="shared" si="176"/>
        <v>NI MM Volatilisation</v>
      </c>
      <c r="B738" s="95" t="s">
        <v>969</v>
      </c>
      <c r="C738" s="95" t="s">
        <v>1332</v>
      </c>
      <c r="D738" t="s">
        <v>369</v>
      </c>
      <c r="E738" t="s">
        <v>64</v>
      </c>
      <c r="F738" t="s">
        <v>62</v>
      </c>
      <c r="G738" t="s">
        <v>1164</v>
      </c>
      <c r="H738" t="s">
        <v>1296</v>
      </c>
      <c r="I738" t="s">
        <v>139</v>
      </c>
      <c r="J738" t="s">
        <v>287</v>
      </c>
      <c r="K738" s="22">
        <f t="shared" ref="K738:AW738" si="183">K1537</f>
        <v>1.1718831875652189E-4</v>
      </c>
      <c r="L738" s="22">
        <f t="shared" si="183"/>
        <v>1.1725168210757805E-4</v>
      </c>
      <c r="M738" s="22">
        <f t="shared" si="183"/>
        <v>1.1740318150277543E-4</v>
      </c>
      <c r="N738" s="22">
        <f t="shared" si="183"/>
        <v>1.1762656857541023E-4</v>
      </c>
      <c r="O738" s="22">
        <f t="shared" si="183"/>
        <v>1.179204237689029E-4</v>
      </c>
      <c r="P738" s="22">
        <f t="shared" si="183"/>
        <v>1.1828164409401504E-4</v>
      </c>
      <c r="Q738" s="22">
        <f t="shared" si="183"/>
        <v>1.1868734382429133E-4</v>
      </c>
      <c r="R738" s="22">
        <f t="shared" si="183"/>
        <v>1.1913496163447935E-4</v>
      </c>
      <c r="S738" s="22">
        <f t="shared" si="183"/>
        <v>1.1954428347803586E-4</v>
      </c>
      <c r="T738" s="22">
        <f t="shared" si="183"/>
        <v>1.1972414940561896E-4</v>
      </c>
      <c r="U738" s="22">
        <f t="shared" si="183"/>
        <v>1.1994380434419684E-4</v>
      </c>
      <c r="V738" s="22">
        <f t="shared" si="183"/>
        <v>1.201746788301286E-4</v>
      </c>
      <c r="W738" s="22">
        <f t="shared" si="183"/>
        <v>1.2043388472990403E-4</v>
      </c>
      <c r="X738" s="22">
        <f t="shared" si="183"/>
        <v>1.207206967802894E-4</v>
      </c>
      <c r="Y738" s="22">
        <f t="shared" si="183"/>
        <v>1.2089981812671622E-4</v>
      </c>
      <c r="Z738" s="22">
        <f t="shared" si="183"/>
        <v>1.2110217984152869E-4</v>
      </c>
      <c r="AA738" s="22">
        <f t="shared" si="183"/>
        <v>1.2132504756910802E-4</v>
      </c>
      <c r="AB738" s="22">
        <f t="shared" si="183"/>
        <v>1.2156903411725496E-4</v>
      </c>
      <c r="AC738" s="22">
        <f t="shared" si="183"/>
        <v>1.2183162117803533E-4</v>
      </c>
      <c r="AD738" s="22">
        <f t="shared" si="183"/>
        <v>1.2200776858907327E-4</v>
      </c>
      <c r="AE738" s="22">
        <f t="shared" si="183"/>
        <v>1.2219899661673858E-4</v>
      </c>
      <c r="AF738" s="22">
        <f t="shared" si="183"/>
        <v>1.2240684242118336E-4</v>
      </c>
      <c r="AG738" s="22">
        <f t="shared" si="183"/>
        <v>1.2263333491271974E-4</v>
      </c>
      <c r="AH738" s="22">
        <f t="shared" si="183"/>
        <v>1.2287167298468532E-4</v>
      </c>
      <c r="AI738" s="22">
        <f t="shared" si="183"/>
        <v>1.2302401792252464E-4</v>
      </c>
      <c r="AJ738" s="22">
        <f t="shared" si="183"/>
        <v>1.2319088645114677E-4</v>
      </c>
      <c r="AK738" s="22">
        <f t="shared" si="183"/>
        <v>1.2336677489796816E-4</v>
      </c>
      <c r="AL738" s="22">
        <f t="shared" si="183"/>
        <v>1.2355355577482136E-4</v>
      </c>
      <c r="AM738" s="22">
        <f t="shared" si="183"/>
        <v>1.2375094588099321E-4</v>
      </c>
      <c r="AN738" s="22">
        <f t="shared" si="183"/>
        <v>1.2386757855810271E-4</v>
      </c>
      <c r="AO738" s="22">
        <f t="shared" si="183"/>
        <v>1.2399208535623994E-4</v>
      </c>
      <c r="AP738" s="22">
        <f t="shared" si="183"/>
        <v>1.2412714040619619E-4</v>
      </c>
      <c r="AQ738" s="22">
        <f t="shared" si="183"/>
        <v>1.242726131383893E-4</v>
      </c>
      <c r="AR738" s="22">
        <f t="shared" si="183"/>
        <v>1.2442850053815514E-4</v>
      </c>
      <c r="AS738" s="22">
        <f t="shared" si="183"/>
        <v>1.2449922291454818E-4</v>
      </c>
      <c r="AT738" s="22">
        <f t="shared" si="183"/>
        <v>1.2454479881058539E-4</v>
      </c>
      <c r="AU738" s="22">
        <f t="shared" si="183"/>
        <v>1.2459475860623469E-4</v>
      </c>
      <c r="AV738" s="22">
        <f t="shared" si="183"/>
        <v>1.2464752954530566E-4</v>
      </c>
      <c r="AW738" s="22">
        <f t="shared" si="183"/>
        <v>1.2470598620434531E-4</v>
      </c>
      <c r="AY738" s="79"/>
      <c r="AZ738" s="79"/>
    </row>
    <row r="739" spans="1:52" x14ac:dyDescent="0.3">
      <c r="A739" s="95" t="str">
        <f t="shared" si="176"/>
        <v>NI MM Volatilisation</v>
      </c>
      <c r="B739" s="95" t="s">
        <v>969</v>
      </c>
      <c r="C739" s="95" t="s">
        <v>1332</v>
      </c>
      <c r="D739" t="s">
        <v>369</v>
      </c>
      <c r="E739" t="s">
        <v>64</v>
      </c>
      <c r="F739" t="s">
        <v>62</v>
      </c>
      <c r="G739" t="s">
        <v>1166</v>
      </c>
      <c r="H739" t="s">
        <v>1297</v>
      </c>
      <c r="I739" t="s">
        <v>139</v>
      </c>
      <c r="J739" t="s">
        <v>287</v>
      </c>
      <c r="K739" s="22">
        <f t="shared" ref="K739:AW739" si="184">K1538</f>
        <v>8.042066176599371E-4</v>
      </c>
      <c r="L739" s="22">
        <f t="shared" si="184"/>
        <v>8.046414496191049E-4</v>
      </c>
      <c r="M739" s="22">
        <f t="shared" si="184"/>
        <v>8.0568111652005547E-4</v>
      </c>
      <c r="N739" s="22">
        <f t="shared" si="184"/>
        <v>8.0721411369945729E-4</v>
      </c>
      <c r="O739" s="22">
        <f t="shared" si="184"/>
        <v>8.0923069942871869E-4</v>
      </c>
      <c r="P739" s="22">
        <f t="shared" si="184"/>
        <v>8.117095793970544E-4</v>
      </c>
      <c r="Q739" s="22">
        <f t="shared" si="184"/>
        <v>8.1449369995900982E-4</v>
      </c>
      <c r="R739" s="22">
        <f t="shared" si="184"/>
        <v>8.1756548398113221E-4</v>
      </c>
      <c r="S739" s="22">
        <f t="shared" si="184"/>
        <v>8.2037446135049667E-4</v>
      </c>
      <c r="T739" s="22">
        <f t="shared" si="184"/>
        <v>8.2160879401085645E-4</v>
      </c>
      <c r="U739" s="22">
        <f t="shared" si="184"/>
        <v>8.2311617936359845E-4</v>
      </c>
      <c r="V739" s="22">
        <f t="shared" si="184"/>
        <v>8.2470055903049121E-4</v>
      </c>
      <c r="W739" s="22">
        <f t="shared" si="184"/>
        <v>8.2647936345526477E-4</v>
      </c>
      <c r="X739" s="22">
        <f t="shared" si="184"/>
        <v>8.2844761550796096E-4</v>
      </c>
      <c r="Y739" s="22">
        <f t="shared" si="184"/>
        <v>8.2967683846882541E-4</v>
      </c>
      <c r="Z739" s="22">
        <f t="shared" si="184"/>
        <v>8.3106554881077761E-4</v>
      </c>
      <c r="AA739" s="22">
        <f t="shared" si="184"/>
        <v>8.3259498197684714E-4</v>
      </c>
      <c r="AB739" s="22">
        <f t="shared" si="184"/>
        <v>8.3426934336987486E-4</v>
      </c>
      <c r="AC739" s="22">
        <f t="shared" si="184"/>
        <v>8.3607135106340792E-4</v>
      </c>
      <c r="AD739" s="22">
        <f t="shared" si="184"/>
        <v>8.3728016534748921E-4</v>
      </c>
      <c r="AE739" s="22">
        <f t="shared" si="184"/>
        <v>8.3859247059226414E-4</v>
      </c>
      <c r="AF739" s="22">
        <f t="shared" si="184"/>
        <v>8.4001881558262628E-4</v>
      </c>
      <c r="AG739" s="22">
        <f t="shared" si="184"/>
        <v>8.4157312374641413E-4</v>
      </c>
      <c r="AH739" s="22">
        <f t="shared" si="184"/>
        <v>8.4320872238584225E-4</v>
      </c>
      <c r="AI739" s="22">
        <f t="shared" si="184"/>
        <v>8.4425419183601768E-4</v>
      </c>
      <c r="AJ739" s="22">
        <f t="shared" si="184"/>
        <v>8.4539932964856662E-4</v>
      </c>
      <c r="AK739" s="22">
        <f t="shared" si="184"/>
        <v>8.4660636678677789E-4</v>
      </c>
      <c r="AL739" s="22">
        <f t="shared" si="184"/>
        <v>8.4788815339154825E-4</v>
      </c>
      <c r="AM739" s="22">
        <f t="shared" si="184"/>
        <v>8.4924274599368159E-4</v>
      </c>
      <c r="AN739" s="22">
        <f t="shared" si="184"/>
        <v>8.5004313951209814E-4</v>
      </c>
      <c r="AO739" s="22">
        <f t="shared" si="184"/>
        <v>8.5089756930568201E-4</v>
      </c>
      <c r="AP739" s="22">
        <f t="shared" si="184"/>
        <v>8.5182438663761119E-4</v>
      </c>
      <c r="AQ739" s="22">
        <f t="shared" si="184"/>
        <v>8.5282269547214476E-4</v>
      </c>
      <c r="AR739" s="22">
        <f t="shared" si="184"/>
        <v>8.5389247512110444E-4</v>
      </c>
      <c r="AS739" s="22">
        <f t="shared" si="184"/>
        <v>8.5437780850343642E-4</v>
      </c>
      <c r="AT739" s="22">
        <f t="shared" si="184"/>
        <v>8.5469057378232966E-4</v>
      </c>
      <c r="AU739" s="22">
        <f t="shared" si="184"/>
        <v>8.5503342363890623E-4</v>
      </c>
      <c r="AV739" s="22">
        <f t="shared" si="184"/>
        <v>8.5539556500991744E-4</v>
      </c>
      <c r="AW739" s="22">
        <f t="shared" si="184"/>
        <v>8.5579672472058501E-4</v>
      </c>
      <c r="AY739" s="79"/>
      <c r="AZ739" s="79"/>
    </row>
    <row r="740" spans="1:52" x14ac:dyDescent="0.3">
      <c r="A740" s="95" t="str">
        <f t="shared" si="176"/>
        <v>NI MM Volatilisation</v>
      </c>
      <c r="B740" s="95" t="s">
        <v>969</v>
      </c>
      <c r="C740" s="95" t="s">
        <v>1332</v>
      </c>
      <c r="D740" t="s">
        <v>369</v>
      </c>
      <c r="E740" t="s">
        <v>64</v>
      </c>
      <c r="F740" t="s">
        <v>62</v>
      </c>
      <c r="G740" t="s">
        <v>1168</v>
      </c>
      <c r="H740" t="s">
        <v>1298</v>
      </c>
      <c r="I740" t="s">
        <v>139</v>
      </c>
      <c r="J740" t="s">
        <v>287</v>
      </c>
      <c r="K740" s="22">
        <f t="shared" ref="K740:AW740" si="185">K1539</f>
        <v>1.4486129996083085E-5</v>
      </c>
      <c r="L740" s="22">
        <f t="shared" si="185"/>
        <v>1.4523786941695515E-5</v>
      </c>
      <c r="M740" s="22">
        <f t="shared" si="185"/>
        <v>1.4575733367418309E-5</v>
      </c>
      <c r="N740" s="22">
        <f t="shared" si="185"/>
        <v>1.4639017833045655E-5</v>
      </c>
      <c r="O740" s="22">
        <f t="shared" si="185"/>
        <v>1.471355007817218E-5</v>
      </c>
      <c r="P740" s="22">
        <f t="shared" si="185"/>
        <v>1.4798876460462532E-5</v>
      </c>
      <c r="Q740" s="22">
        <f t="shared" si="185"/>
        <v>1.489070601115726E-5</v>
      </c>
      <c r="R740" s="22">
        <f t="shared" si="185"/>
        <v>1.4988675221399694E-5</v>
      </c>
      <c r="S740" s="22">
        <f t="shared" si="185"/>
        <v>1.5077522200056562E-5</v>
      </c>
      <c r="T740" s="22">
        <f t="shared" si="185"/>
        <v>1.5120920467659651E-5</v>
      </c>
      <c r="U740" s="22">
        <f t="shared" si="185"/>
        <v>1.5170664566545744E-5</v>
      </c>
      <c r="V740" s="22">
        <f t="shared" si="185"/>
        <v>1.5221371307810579E-5</v>
      </c>
      <c r="W740" s="22">
        <f t="shared" si="185"/>
        <v>1.5276366577947841E-5</v>
      </c>
      <c r="X740" s="22">
        <f t="shared" si="185"/>
        <v>1.5335559486365855E-5</v>
      </c>
      <c r="Y740" s="22">
        <f t="shared" si="185"/>
        <v>1.5373440359637545E-5</v>
      </c>
      <c r="Z740" s="22">
        <f t="shared" si="185"/>
        <v>1.5414884136013281E-5</v>
      </c>
      <c r="AA740" s="22">
        <f t="shared" si="185"/>
        <v>1.5459406079654033E-5</v>
      </c>
      <c r="AB740" s="22">
        <f t="shared" si="185"/>
        <v>1.5507149153927191E-5</v>
      </c>
      <c r="AC740" s="22">
        <f t="shared" si="185"/>
        <v>1.5557665060375898E-5</v>
      </c>
      <c r="AD740" s="22">
        <f t="shared" si="185"/>
        <v>1.5591353436562986E-5</v>
      </c>
      <c r="AE740" s="22">
        <f t="shared" si="185"/>
        <v>1.5627280085252664E-5</v>
      </c>
      <c r="AF740" s="22">
        <f t="shared" si="185"/>
        <v>1.5665749106164008E-5</v>
      </c>
      <c r="AG740" s="22">
        <f t="shared" si="185"/>
        <v>1.5707151218007595E-5</v>
      </c>
      <c r="AH740" s="22">
        <f t="shared" si="185"/>
        <v>1.5750235619215941E-5</v>
      </c>
      <c r="AI740" s="22">
        <f t="shared" si="185"/>
        <v>1.5776918897393027E-5</v>
      </c>
      <c r="AJ740" s="22">
        <f t="shared" si="185"/>
        <v>1.5805875112600263E-5</v>
      </c>
      <c r="AK740" s="22">
        <f t="shared" si="185"/>
        <v>1.5836097205917668E-5</v>
      </c>
      <c r="AL740" s="22">
        <f t="shared" si="185"/>
        <v>1.5867941184595161E-5</v>
      </c>
      <c r="AM740" s="22">
        <f t="shared" si="185"/>
        <v>1.5901363449816974E-5</v>
      </c>
      <c r="AN740" s="22">
        <f t="shared" si="185"/>
        <v>1.5919623331121566E-5</v>
      </c>
      <c r="AO740" s="22">
        <f t="shared" si="185"/>
        <v>1.5939033537312695E-5</v>
      </c>
      <c r="AP740" s="22">
        <f t="shared" si="185"/>
        <v>1.5960089556991586E-5</v>
      </c>
      <c r="AQ740" s="22">
        <f t="shared" si="185"/>
        <v>1.5982771280705936E-5</v>
      </c>
      <c r="AR740" s="22">
        <f t="shared" si="185"/>
        <v>1.6007081325051207E-5</v>
      </c>
      <c r="AS740" s="22">
        <f t="shared" si="185"/>
        <v>1.6015649873683189E-5</v>
      </c>
      <c r="AT740" s="22">
        <f t="shared" si="185"/>
        <v>1.6019455168078908E-5</v>
      </c>
      <c r="AU740" s="22">
        <f t="shared" si="185"/>
        <v>1.6023878849097448E-5</v>
      </c>
      <c r="AV740" s="22">
        <f t="shared" si="185"/>
        <v>1.6028641289399774E-5</v>
      </c>
      <c r="AW740" s="22">
        <f t="shared" si="185"/>
        <v>1.6034267352361545E-5</v>
      </c>
      <c r="AY740" s="79"/>
      <c r="AZ740" s="79"/>
    </row>
    <row r="741" spans="1:52" x14ac:dyDescent="0.3">
      <c r="A741" s="95" t="str">
        <f t="shared" si="176"/>
        <v>NI MM Volatilisation</v>
      </c>
      <c r="B741" s="95" t="s">
        <v>969</v>
      </c>
      <c r="C741" s="95" t="s">
        <v>1332</v>
      </c>
      <c r="D741" t="s">
        <v>369</v>
      </c>
      <c r="E741" t="s">
        <v>64</v>
      </c>
      <c r="F741" t="s">
        <v>62</v>
      </c>
      <c r="G741" t="s">
        <v>1170</v>
      </c>
      <c r="H741" t="s">
        <v>1299</v>
      </c>
      <c r="I741" t="s">
        <v>139</v>
      </c>
      <c r="J741" t="s">
        <v>287</v>
      </c>
      <c r="K741" s="22">
        <f t="shared" ref="K741:AW741" si="186">K1540</f>
        <v>1.4738364076719787E-3</v>
      </c>
      <c r="L741" s="22">
        <f t="shared" si="186"/>
        <v>1.4776676709189833E-3</v>
      </c>
      <c r="M741" s="22">
        <f t="shared" si="186"/>
        <v>1.4829527631761549E-3</v>
      </c>
      <c r="N741" s="22">
        <f t="shared" si="186"/>
        <v>1.4893914013429305E-3</v>
      </c>
      <c r="O741" s="22">
        <f t="shared" si="186"/>
        <v>1.4969744022163664E-3</v>
      </c>
      <c r="P741" s="22">
        <f t="shared" si="186"/>
        <v>1.5056556116759296E-3</v>
      </c>
      <c r="Q741" s="22">
        <f t="shared" si="186"/>
        <v>1.5149984613639169E-3</v>
      </c>
      <c r="R741" s="22">
        <f t="shared" si="186"/>
        <v>1.5249659674490626E-3</v>
      </c>
      <c r="S741" s="22">
        <f t="shared" si="186"/>
        <v>1.5340053666461951E-3</v>
      </c>
      <c r="T741" s="22">
        <f t="shared" si="186"/>
        <v>1.5384207589449399E-3</v>
      </c>
      <c r="U741" s="22">
        <f t="shared" si="186"/>
        <v>1.5434817838028542E-3</v>
      </c>
      <c r="V741" s="22">
        <f t="shared" si="186"/>
        <v>1.5486407490620871E-3</v>
      </c>
      <c r="W741" s="22">
        <f t="shared" si="186"/>
        <v>1.5542360344419619E-3</v>
      </c>
      <c r="X741" s="22">
        <f t="shared" si="186"/>
        <v>1.5602583926236193E-3</v>
      </c>
      <c r="Y741" s="22">
        <f t="shared" si="186"/>
        <v>1.5641124385418405E-3</v>
      </c>
      <c r="Z741" s="22">
        <f t="shared" si="186"/>
        <v>1.5683289785363378E-3</v>
      </c>
      <c r="AA741" s="22">
        <f t="shared" si="186"/>
        <v>1.5728586949958615E-3</v>
      </c>
      <c r="AB741" s="22">
        <f t="shared" si="186"/>
        <v>1.5777161331865307E-3</v>
      </c>
      <c r="AC741" s="22">
        <f t="shared" si="186"/>
        <v>1.5828556826804803E-3</v>
      </c>
      <c r="AD741" s="22">
        <f t="shared" si="186"/>
        <v>1.5862831788684411E-3</v>
      </c>
      <c r="AE741" s="22">
        <f t="shared" si="186"/>
        <v>1.5899383996112353E-3</v>
      </c>
      <c r="AF741" s="22">
        <f t="shared" si="186"/>
        <v>1.5938522843825273E-3</v>
      </c>
      <c r="AG741" s="22">
        <f t="shared" si="186"/>
        <v>1.5980645853770706E-3</v>
      </c>
      <c r="AH741" s="22">
        <f t="shared" si="186"/>
        <v>1.6024480445287401E-3</v>
      </c>
      <c r="AI741" s="22">
        <f t="shared" si="186"/>
        <v>1.6051628335623928E-3</v>
      </c>
      <c r="AJ741" s="22">
        <f t="shared" si="186"/>
        <v>1.6081088739618883E-3</v>
      </c>
      <c r="AK741" s="22">
        <f t="shared" si="186"/>
        <v>1.611183706333218E-3</v>
      </c>
      <c r="AL741" s="22">
        <f t="shared" si="186"/>
        <v>1.6144235512850938E-3</v>
      </c>
      <c r="AM741" s="22">
        <f t="shared" si="186"/>
        <v>1.6178239730212022E-3</v>
      </c>
      <c r="AN741" s="22">
        <f t="shared" si="186"/>
        <v>1.6196817554567978E-3</v>
      </c>
      <c r="AO741" s="22">
        <f t="shared" si="186"/>
        <v>1.6216565733393274E-3</v>
      </c>
      <c r="AP741" s="22">
        <f t="shared" si="186"/>
        <v>1.623798838279086E-3</v>
      </c>
      <c r="AQ741" s="22">
        <f t="shared" si="186"/>
        <v>1.6261065043160481E-3</v>
      </c>
      <c r="AR741" s="22">
        <f t="shared" si="186"/>
        <v>1.6285798376658015E-3</v>
      </c>
      <c r="AS741" s="22">
        <f t="shared" si="186"/>
        <v>1.6294516121796393E-3</v>
      </c>
      <c r="AT741" s="22">
        <f t="shared" si="186"/>
        <v>1.6298387674394525E-3</v>
      </c>
      <c r="AU741" s="22">
        <f t="shared" si="186"/>
        <v>1.630288838103102E-3</v>
      </c>
      <c r="AV741" s="22">
        <f t="shared" si="186"/>
        <v>1.6307733745465026E-3</v>
      </c>
      <c r="AW741" s="22">
        <f t="shared" si="186"/>
        <v>1.6313457770050716E-3</v>
      </c>
      <c r="AY741" s="79"/>
      <c r="AZ741" s="79"/>
    </row>
    <row r="742" spans="1:52" x14ac:dyDescent="0.3">
      <c r="A742" s="95" t="str">
        <f t="shared" si="176"/>
        <v>NI MM Volatilisation</v>
      </c>
      <c r="B742" s="95" t="s">
        <v>969</v>
      </c>
      <c r="C742" s="95" t="s">
        <v>1332</v>
      </c>
      <c r="D742" t="s">
        <v>369</v>
      </c>
      <c r="E742" t="s">
        <v>64</v>
      </c>
      <c r="F742" t="s">
        <v>62</v>
      </c>
      <c r="G742" t="s">
        <v>1172</v>
      </c>
      <c r="H742" t="s">
        <v>1300</v>
      </c>
      <c r="I742" t="s">
        <v>139</v>
      </c>
      <c r="J742" t="s">
        <v>287</v>
      </c>
      <c r="K742" s="22">
        <f t="shared" ref="K742:AW742" si="187">K1541</f>
        <v>0</v>
      </c>
      <c r="L742" s="22">
        <f t="shared" si="187"/>
        <v>0</v>
      </c>
      <c r="M742" s="22">
        <f t="shared" si="187"/>
        <v>0</v>
      </c>
      <c r="N742" s="22">
        <f t="shared" si="187"/>
        <v>0</v>
      </c>
      <c r="O742" s="22">
        <f t="shared" si="187"/>
        <v>0</v>
      </c>
      <c r="P742" s="22">
        <f t="shared" si="187"/>
        <v>0</v>
      </c>
      <c r="Q742" s="22">
        <f t="shared" si="187"/>
        <v>0</v>
      </c>
      <c r="R742" s="22">
        <f t="shared" si="187"/>
        <v>0</v>
      </c>
      <c r="S742" s="22">
        <f t="shared" si="187"/>
        <v>0</v>
      </c>
      <c r="T742" s="22">
        <f t="shared" si="187"/>
        <v>0</v>
      </c>
      <c r="U742" s="22">
        <f t="shared" si="187"/>
        <v>0</v>
      </c>
      <c r="V742" s="22">
        <f t="shared" si="187"/>
        <v>0</v>
      </c>
      <c r="W742" s="22">
        <f t="shared" si="187"/>
        <v>0</v>
      </c>
      <c r="X742" s="22">
        <f t="shared" si="187"/>
        <v>0</v>
      </c>
      <c r="Y742" s="22">
        <f t="shared" si="187"/>
        <v>0</v>
      </c>
      <c r="Z742" s="22">
        <f t="shared" si="187"/>
        <v>0</v>
      </c>
      <c r="AA742" s="22">
        <f t="shared" si="187"/>
        <v>0</v>
      </c>
      <c r="AB742" s="22">
        <f t="shared" si="187"/>
        <v>0</v>
      </c>
      <c r="AC742" s="22">
        <f t="shared" si="187"/>
        <v>0</v>
      </c>
      <c r="AD742" s="22">
        <f t="shared" si="187"/>
        <v>0</v>
      </c>
      <c r="AE742" s="22">
        <f t="shared" si="187"/>
        <v>0</v>
      </c>
      <c r="AF742" s="22">
        <f t="shared" si="187"/>
        <v>0</v>
      </c>
      <c r="AG742" s="22">
        <f t="shared" si="187"/>
        <v>0</v>
      </c>
      <c r="AH742" s="22">
        <f t="shared" si="187"/>
        <v>0</v>
      </c>
      <c r="AI742" s="22">
        <f t="shared" si="187"/>
        <v>0</v>
      </c>
      <c r="AJ742" s="22">
        <f t="shared" si="187"/>
        <v>0</v>
      </c>
      <c r="AK742" s="22">
        <f t="shared" si="187"/>
        <v>0</v>
      </c>
      <c r="AL742" s="22">
        <f t="shared" si="187"/>
        <v>0</v>
      </c>
      <c r="AM742" s="22">
        <f t="shared" si="187"/>
        <v>0</v>
      </c>
      <c r="AN742" s="22">
        <f t="shared" si="187"/>
        <v>0</v>
      </c>
      <c r="AO742" s="22">
        <f t="shared" si="187"/>
        <v>0</v>
      </c>
      <c r="AP742" s="22">
        <f t="shared" si="187"/>
        <v>0</v>
      </c>
      <c r="AQ742" s="22">
        <f t="shared" si="187"/>
        <v>0</v>
      </c>
      <c r="AR742" s="22">
        <f t="shared" si="187"/>
        <v>0</v>
      </c>
      <c r="AS742" s="22">
        <f t="shared" si="187"/>
        <v>0</v>
      </c>
      <c r="AT742" s="22">
        <f t="shared" si="187"/>
        <v>0</v>
      </c>
      <c r="AU742" s="22">
        <f t="shared" si="187"/>
        <v>0</v>
      </c>
      <c r="AV742" s="22">
        <f t="shared" si="187"/>
        <v>0</v>
      </c>
      <c r="AW742" s="22">
        <f t="shared" si="187"/>
        <v>0</v>
      </c>
      <c r="AY742" s="79"/>
      <c r="AZ742" s="79"/>
    </row>
    <row r="743" spans="1:52" x14ac:dyDescent="0.3">
      <c r="A743" s="95" t="str">
        <f t="shared" si="176"/>
        <v>NI MM Volatilisation</v>
      </c>
      <c r="B743" s="95" t="s">
        <v>969</v>
      </c>
      <c r="C743" s="95" t="s">
        <v>1332</v>
      </c>
      <c r="D743" t="s">
        <v>369</v>
      </c>
      <c r="E743" t="s">
        <v>64</v>
      </c>
      <c r="F743" t="s">
        <v>62</v>
      </c>
      <c r="G743" t="s">
        <v>1174</v>
      </c>
      <c r="H743" t="s">
        <v>1301</v>
      </c>
      <c r="I743" t="s">
        <v>139</v>
      </c>
      <c r="J743" t="s">
        <v>287</v>
      </c>
      <c r="K743" s="22">
        <f t="shared" ref="K743:AW743" si="188">K1542</f>
        <v>0</v>
      </c>
      <c r="L743" s="22">
        <f t="shared" si="188"/>
        <v>0</v>
      </c>
      <c r="M743" s="22">
        <f t="shared" si="188"/>
        <v>0</v>
      </c>
      <c r="N743" s="22">
        <f t="shared" si="188"/>
        <v>0</v>
      </c>
      <c r="O743" s="22">
        <f t="shared" si="188"/>
        <v>0</v>
      </c>
      <c r="P743" s="22">
        <f t="shared" si="188"/>
        <v>0</v>
      </c>
      <c r="Q743" s="22">
        <f t="shared" si="188"/>
        <v>0</v>
      </c>
      <c r="R743" s="22">
        <f t="shared" si="188"/>
        <v>0</v>
      </c>
      <c r="S743" s="22">
        <f t="shared" si="188"/>
        <v>0</v>
      </c>
      <c r="T743" s="22">
        <f t="shared" si="188"/>
        <v>0</v>
      </c>
      <c r="U743" s="22">
        <f t="shared" si="188"/>
        <v>0</v>
      </c>
      <c r="V743" s="22">
        <f t="shared" si="188"/>
        <v>0</v>
      </c>
      <c r="W743" s="22">
        <f t="shared" si="188"/>
        <v>0</v>
      </c>
      <c r="X743" s="22">
        <f t="shared" si="188"/>
        <v>0</v>
      </c>
      <c r="Y743" s="22">
        <f t="shared" si="188"/>
        <v>0</v>
      </c>
      <c r="Z743" s="22">
        <f t="shared" si="188"/>
        <v>0</v>
      </c>
      <c r="AA743" s="22">
        <f t="shared" si="188"/>
        <v>0</v>
      </c>
      <c r="AB743" s="22">
        <f t="shared" si="188"/>
        <v>0</v>
      </c>
      <c r="AC743" s="22">
        <f t="shared" si="188"/>
        <v>0</v>
      </c>
      <c r="AD743" s="22">
        <f t="shared" si="188"/>
        <v>0</v>
      </c>
      <c r="AE743" s="22">
        <f t="shared" si="188"/>
        <v>0</v>
      </c>
      <c r="AF743" s="22">
        <f t="shared" si="188"/>
        <v>0</v>
      </c>
      <c r="AG743" s="22">
        <f t="shared" si="188"/>
        <v>0</v>
      </c>
      <c r="AH743" s="22">
        <f t="shared" si="188"/>
        <v>0</v>
      </c>
      <c r="AI743" s="22">
        <f t="shared" si="188"/>
        <v>0</v>
      </c>
      <c r="AJ743" s="22">
        <f t="shared" si="188"/>
        <v>0</v>
      </c>
      <c r="AK743" s="22">
        <f t="shared" si="188"/>
        <v>0</v>
      </c>
      <c r="AL743" s="22">
        <f t="shared" si="188"/>
        <v>0</v>
      </c>
      <c r="AM743" s="22">
        <f t="shared" si="188"/>
        <v>0</v>
      </c>
      <c r="AN743" s="22">
        <f t="shared" si="188"/>
        <v>0</v>
      </c>
      <c r="AO743" s="22">
        <f t="shared" si="188"/>
        <v>0</v>
      </c>
      <c r="AP743" s="22">
        <f t="shared" si="188"/>
        <v>0</v>
      </c>
      <c r="AQ743" s="22">
        <f t="shared" si="188"/>
        <v>0</v>
      </c>
      <c r="AR743" s="22">
        <f t="shared" si="188"/>
        <v>0</v>
      </c>
      <c r="AS743" s="22">
        <f t="shared" si="188"/>
        <v>0</v>
      </c>
      <c r="AT743" s="22">
        <f t="shared" si="188"/>
        <v>0</v>
      </c>
      <c r="AU743" s="22">
        <f t="shared" si="188"/>
        <v>0</v>
      </c>
      <c r="AV743" s="22">
        <f t="shared" si="188"/>
        <v>0</v>
      </c>
      <c r="AW743" s="22">
        <f t="shared" si="188"/>
        <v>0</v>
      </c>
      <c r="AY743" s="79"/>
      <c r="AZ743" s="79"/>
    </row>
    <row r="744" spans="1:52" x14ac:dyDescent="0.3">
      <c r="A744" s="95" t="str">
        <f t="shared" si="176"/>
        <v>NI MM Volatilisation</v>
      </c>
      <c r="B744" s="95" t="s">
        <v>969</v>
      </c>
      <c r="C744" s="95" t="s">
        <v>1332</v>
      </c>
      <c r="D744" t="s">
        <v>369</v>
      </c>
      <c r="E744" t="s">
        <v>64</v>
      </c>
      <c r="F744" t="s">
        <v>62</v>
      </c>
      <c r="G744" t="s">
        <v>1176</v>
      </c>
      <c r="H744" t="s">
        <v>1302</v>
      </c>
      <c r="I744" t="s">
        <v>139</v>
      </c>
      <c r="J744" t="s">
        <v>287</v>
      </c>
      <c r="K744" s="22">
        <f t="shared" ref="K744:AW744" si="189">K1543</f>
        <v>0.13075625264316332</v>
      </c>
      <c r="L744" s="22">
        <f t="shared" si="189"/>
        <v>0.13004550543955862</v>
      </c>
      <c r="M744" s="22">
        <f t="shared" si="189"/>
        <v>0.13010384136507711</v>
      </c>
      <c r="N744" s="22">
        <f t="shared" si="189"/>
        <v>0.1289093884029483</v>
      </c>
      <c r="O744" s="22">
        <f t="shared" si="189"/>
        <v>0.12695857121838472</v>
      </c>
      <c r="P744" s="22">
        <f t="shared" si="189"/>
        <v>0.12428257569245393</v>
      </c>
      <c r="Q744" s="22">
        <f t="shared" si="189"/>
        <v>0.12233950618032063</v>
      </c>
      <c r="R744" s="22">
        <f t="shared" si="189"/>
        <v>0.1205683722616282</v>
      </c>
      <c r="S744" s="22">
        <f t="shared" si="189"/>
        <v>0.1064558326136491</v>
      </c>
      <c r="T744" s="22">
        <f t="shared" si="189"/>
        <v>0.10780203870685764</v>
      </c>
      <c r="U744" s="22">
        <f t="shared" si="189"/>
        <v>0.11069073271596624</v>
      </c>
      <c r="V744" s="22">
        <f t="shared" si="189"/>
        <v>0.11095301112483856</v>
      </c>
      <c r="W744" s="22">
        <f t="shared" si="189"/>
        <v>0.11152098959254672</v>
      </c>
      <c r="X744" s="22">
        <f t="shared" si="189"/>
        <v>0.11247596118460781</v>
      </c>
      <c r="Y744" s="22">
        <f t="shared" si="189"/>
        <v>0.11367425965304444</v>
      </c>
      <c r="Z744" s="22">
        <f t="shared" si="189"/>
        <v>0.11514267283955164</v>
      </c>
      <c r="AA744" s="22">
        <f t="shared" si="189"/>
        <v>0.11662825764737823</v>
      </c>
      <c r="AB744" s="22">
        <f t="shared" si="189"/>
        <v>0.11834343516699931</v>
      </c>
      <c r="AC744" s="22">
        <f t="shared" si="189"/>
        <v>0.12004677457127924</v>
      </c>
      <c r="AD744" s="22">
        <f t="shared" si="189"/>
        <v>0.12216447018435615</v>
      </c>
      <c r="AE744" s="22">
        <f t="shared" si="189"/>
        <v>0.12411396366852792</v>
      </c>
      <c r="AF744" s="22">
        <f t="shared" si="189"/>
        <v>0.12618838059713719</v>
      </c>
      <c r="AG744" s="22">
        <f t="shared" si="189"/>
        <v>0.12871889862830188</v>
      </c>
      <c r="AH744" s="22">
        <f t="shared" si="189"/>
        <v>0.13089178183294797</v>
      </c>
      <c r="AI744" s="22">
        <f t="shared" si="189"/>
        <v>0.13323707488889489</v>
      </c>
      <c r="AJ744" s="22">
        <f t="shared" si="189"/>
        <v>0.13578249309813545</v>
      </c>
      <c r="AK744" s="22">
        <f t="shared" si="189"/>
        <v>0.13790594882017243</v>
      </c>
      <c r="AL744" s="22">
        <f t="shared" si="189"/>
        <v>0.13989729447599811</v>
      </c>
      <c r="AM744" s="22">
        <f t="shared" si="189"/>
        <v>0.14177259067901168</v>
      </c>
      <c r="AN744" s="22">
        <f t="shared" si="189"/>
        <v>0.14393792175478221</v>
      </c>
      <c r="AO744" s="22">
        <f t="shared" si="189"/>
        <v>0.14581606733158803</v>
      </c>
      <c r="AP744" s="22">
        <f t="shared" si="189"/>
        <v>0.14775479067393846</v>
      </c>
      <c r="AQ744" s="22">
        <f t="shared" si="189"/>
        <v>0.14976871512687839</v>
      </c>
      <c r="AR744" s="22">
        <f t="shared" si="189"/>
        <v>0.15188303991230881</v>
      </c>
      <c r="AS744" s="22">
        <f t="shared" si="189"/>
        <v>0.15410322114057187</v>
      </c>
      <c r="AT744" s="22">
        <f t="shared" si="189"/>
        <v>0.15275221037305547</v>
      </c>
      <c r="AU744" s="22">
        <f t="shared" si="189"/>
        <v>0.15108898692169739</v>
      </c>
      <c r="AV744" s="22">
        <f t="shared" si="189"/>
        <v>0.14899028797623304</v>
      </c>
      <c r="AW744" s="22">
        <f t="shared" si="189"/>
        <v>0.14678866203706492</v>
      </c>
      <c r="AY744" s="79"/>
      <c r="AZ744" s="79"/>
    </row>
    <row r="745" spans="1:52" x14ac:dyDescent="0.3">
      <c r="A745" s="95" t="str">
        <f t="shared" si="176"/>
        <v>NI MM Volatilisation</v>
      </c>
      <c r="B745" s="95" t="s">
        <v>969</v>
      </c>
      <c r="C745" s="95" t="s">
        <v>1332</v>
      </c>
      <c r="D745" t="s">
        <v>369</v>
      </c>
      <c r="E745" t="s">
        <v>64</v>
      </c>
      <c r="F745" t="s">
        <v>62</v>
      </c>
      <c r="G745" t="s">
        <v>1178</v>
      </c>
      <c r="H745" t="s">
        <v>1303</v>
      </c>
      <c r="I745" t="s">
        <v>139</v>
      </c>
      <c r="J745" t="s">
        <v>287</v>
      </c>
      <c r="K745" s="22">
        <f t="shared" ref="K745:AW745" si="190">K1544</f>
        <v>1.2724633182830876E-2</v>
      </c>
      <c r="L745" s="22">
        <f t="shared" si="190"/>
        <v>1.2655466337890209E-2</v>
      </c>
      <c r="M745" s="22">
        <f t="shared" si="190"/>
        <v>1.2661143337946407E-2</v>
      </c>
      <c r="N745" s="22">
        <f t="shared" si="190"/>
        <v>1.2544904339887072E-2</v>
      </c>
      <c r="O745" s="22">
        <f t="shared" si="190"/>
        <v>1.2355059245839611E-2</v>
      </c>
      <c r="P745" s="22">
        <f t="shared" si="190"/>
        <v>1.2094642930917434E-2</v>
      </c>
      <c r="Q745" s="22">
        <f t="shared" si="190"/>
        <v>1.1905551806853844E-2</v>
      </c>
      <c r="R745" s="22">
        <f t="shared" si="190"/>
        <v>1.1733192711380723E-2</v>
      </c>
      <c r="S745" s="22">
        <f t="shared" si="190"/>
        <v>1.0359821368376874E-2</v>
      </c>
      <c r="T745" s="22">
        <f t="shared" si="190"/>
        <v>1.049082832504853E-2</v>
      </c>
      <c r="U745" s="22">
        <f t="shared" si="190"/>
        <v>1.0771943536752097E-2</v>
      </c>
      <c r="V745" s="22">
        <f t="shared" si="190"/>
        <v>1.0797467337543365E-2</v>
      </c>
      <c r="W745" s="22">
        <f t="shared" si="190"/>
        <v>1.0852740546366932E-2</v>
      </c>
      <c r="X745" s="22">
        <f t="shared" si="190"/>
        <v>1.0945674252888513E-2</v>
      </c>
      <c r="Y745" s="22">
        <f t="shared" si="190"/>
        <v>1.1062287478995693E-2</v>
      </c>
      <c r="Z745" s="22">
        <f t="shared" si="190"/>
        <v>1.1205187101625038E-2</v>
      </c>
      <c r="AA745" s="22">
        <f t="shared" si="190"/>
        <v>1.1349757792199721E-2</v>
      </c>
      <c r="AB745" s="22">
        <f t="shared" si="190"/>
        <v>1.1516671452842603E-2</v>
      </c>
      <c r="AC745" s="22">
        <f t="shared" si="190"/>
        <v>1.1682433079282552E-2</v>
      </c>
      <c r="AD745" s="22">
        <f t="shared" si="190"/>
        <v>1.1888518060494371E-2</v>
      </c>
      <c r="AE745" s="22">
        <f t="shared" si="190"/>
        <v>1.2078234337742711E-2</v>
      </c>
      <c r="AF745" s="22">
        <f t="shared" si="190"/>
        <v>1.2280107624497444E-2</v>
      </c>
      <c r="AG745" s="22">
        <f t="shared" si="190"/>
        <v>1.2526366698600652E-2</v>
      </c>
      <c r="AH745" s="22">
        <f t="shared" si="190"/>
        <v>1.2737822297620535E-2</v>
      </c>
      <c r="AI745" s="22">
        <f t="shared" si="190"/>
        <v>1.2966056077955363E-2</v>
      </c>
      <c r="AJ745" s="22">
        <f t="shared" si="190"/>
        <v>1.3213765172968019E-2</v>
      </c>
      <c r="AK745" s="22">
        <f t="shared" si="190"/>
        <v>1.3420410703080012E-2</v>
      </c>
      <c r="AL745" s="22">
        <f t="shared" si="190"/>
        <v>1.3614199852725929E-2</v>
      </c>
      <c r="AM745" s="22">
        <f t="shared" si="190"/>
        <v>1.3796695571363754E-2</v>
      </c>
      <c r="AN745" s="22">
        <f t="shared" si="190"/>
        <v>1.4007416229853083E-2</v>
      </c>
      <c r="AO745" s="22">
        <f t="shared" si="190"/>
        <v>1.419018923722911E-2</v>
      </c>
      <c r="AP745" s="22">
        <f t="shared" si="190"/>
        <v>1.4378857410840086E-2</v>
      </c>
      <c r="AQ745" s="22">
        <f t="shared" si="190"/>
        <v>1.4574843831401781E-2</v>
      </c>
      <c r="AR745" s="22">
        <f t="shared" si="190"/>
        <v>1.4780600778240808E-2</v>
      </c>
      <c r="AS745" s="22">
        <f t="shared" si="190"/>
        <v>1.4996659216426185E-2</v>
      </c>
      <c r="AT745" s="22">
        <f t="shared" si="190"/>
        <v>1.4865184689623886E-2</v>
      </c>
      <c r="AU745" s="22">
        <f t="shared" si="190"/>
        <v>1.4703326974281053E-2</v>
      </c>
      <c r="AV745" s="22">
        <f t="shared" si="190"/>
        <v>1.4499090666629237E-2</v>
      </c>
      <c r="AW745" s="22">
        <f t="shared" si="190"/>
        <v>1.4284837948954819E-2</v>
      </c>
      <c r="AY745" s="79"/>
      <c r="AZ745" s="79"/>
    </row>
    <row r="746" spans="1:52" x14ac:dyDescent="0.3">
      <c r="A746" s="95" t="str">
        <f t="shared" si="176"/>
        <v>NI MM Volatilisation</v>
      </c>
      <c r="B746" s="95" t="s">
        <v>969</v>
      </c>
      <c r="C746" s="95" t="s">
        <v>1332</v>
      </c>
      <c r="D746" t="s">
        <v>369</v>
      </c>
      <c r="E746" t="s">
        <v>64</v>
      </c>
      <c r="F746" t="s">
        <v>62</v>
      </c>
      <c r="G746" t="s">
        <v>1180</v>
      </c>
      <c r="H746" t="s">
        <v>1304</v>
      </c>
      <c r="I746" t="s">
        <v>139</v>
      </c>
      <c r="J746" t="s">
        <v>287</v>
      </c>
      <c r="K746" s="22">
        <f t="shared" ref="K746:AW746" si="191">K1545</f>
        <v>6.4453339767617107E-2</v>
      </c>
      <c r="L746" s="22">
        <f t="shared" si="191"/>
        <v>6.5763803942104543E-2</v>
      </c>
      <c r="M746" s="22">
        <f t="shared" si="191"/>
        <v>6.7295612361813625E-2</v>
      </c>
      <c r="N746" s="22">
        <f t="shared" si="191"/>
        <v>6.8471619369899747E-2</v>
      </c>
      <c r="O746" s="22">
        <f t="shared" si="191"/>
        <v>6.94156577655035E-2</v>
      </c>
      <c r="P746" s="22">
        <f t="shared" si="191"/>
        <v>7.0122113289878316E-2</v>
      </c>
      <c r="Q746" s="22">
        <f t="shared" si="191"/>
        <v>7.1027984276732931E-2</v>
      </c>
      <c r="R746" s="22">
        <f t="shared" si="191"/>
        <v>7.1969839340941838E-2</v>
      </c>
      <c r="S746" s="22">
        <f t="shared" si="191"/>
        <v>6.8766563459968802E-2</v>
      </c>
      <c r="T746" s="22">
        <f t="shared" si="191"/>
        <v>7.0478152358708523E-2</v>
      </c>
      <c r="U746" s="22">
        <f t="shared" si="191"/>
        <v>7.2759128000714796E-2</v>
      </c>
      <c r="V746" s="22">
        <f t="shared" si="191"/>
        <v>7.4154122533566028E-2</v>
      </c>
      <c r="W746" s="22">
        <f t="shared" si="191"/>
        <v>7.5674972830257564E-2</v>
      </c>
      <c r="X746" s="22">
        <f t="shared" si="191"/>
        <v>7.7360161163039912E-2</v>
      </c>
      <c r="Y746" s="22">
        <f t="shared" si="191"/>
        <v>7.9100740420260676E-2</v>
      </c>
      <c r="Z746" s="22">
        <f t="shared" si="191"/>
        <v>8.0976740364442315E-2</v>
      </c>
      <c r="AA746" s="22">
        <f t="shared" si="191"/>
        <v>8.2894928844752261E-2</v>
      </c>
      <c r="AB746" s="22">
        <f t="shared" si="191"/>
        <v>8.4943030682698137E-2</v>
      </c>
      <c r="AC746" s="22">
        <f t="shared" si="191"/>
        <v>8.7027608507248444E-2</v>
      </c>
      <c r="AD746" s="22">
        <f t="shared" si="191"/>
        <v>8.9276729497460336E-2</v>
      </c>
      <c r="AE746" s="22">
        <f t="shared" si="191"/>
        <v>9.1502625848092475E-2</v>
      </c>
      <c r="AF746" s="22">
        <f t="shared" si="191"/>
        <v>9.3831227517320093E-2</v>
      </c>
      <c r="AG746" s="22">
        <f t="shared" si="191"/>
        <v>9.6415651387216014E-2</v>
      </c>
      <c r="AH746" s="22">
        <f t="shared" si="191"/>
        <v>9.8896773571356525E-2</v>
      </c>
      <c r="AI746" s="22">
        <f t="shared" si="191"/>
        <v>0.10146265551465955</v>
      </c>
      <c r="AJ746" s="22">
        <f t="shared" si="191"/>
        <v>0.10418290059990712</v>
      </c>
      <c r="AK746" s="22">
        <f t="shared" si="191"/>
        <v>0.10676300622740972</v>
      </c>
      <c r="AL746" s="22">
        <f t="shared" si="191"/>
        <v>0.1093360798195923</v>
      </c>
      <c r="AM746" s="22">
        <f t="shared" si="191"/>
        <v>0.11190804099965344</v>
      </c>
      <c r="AN746" s="22">
        <f t="shared" si="191"/>
        <v>0.11463676938939842</v>
      </c>
      <c r="AO746" s="22">
        <f t="shared" si="191"/>
        <v>0.11727861184981632</v>
      </c>
      <c r="AP746" s="22">
        <f t="shared" si="191"/>
        <v>0.12001194210770205</v>
      </c>
      <c r="AQ746" s="22">
        <f t="shared" si="191"/>
        <v>0.12284817048623448</v>
      </c>
      <c r="AR746" s="22">
        <f t="shared" si="191"/>
        <v>0.12580525852431573</v>
      </c>
      <c r="AS746" s="22">
        <f t="shared" si="191"/>
        <v>0.12884131843333302</v>
      </c>
      <c r="AT746" s="22">
        <f t="shared" si="191"/>
        <v>0.12990474262387622</v>
      </c>
      <c r="AU746" s="22">
        <f t="shared" si="191"/>
        <v>0.13078551683241871</v>
      </c>
      <c r="AV746" s="22">
        <f t="shared" si="191"/>
        <v>0.13140059443899127</v>
      </c>
      <c r="AW746" s="22">
        <f t="shared" si="191"/>
        <v>0.13193699884155385</v>
      </c>
      <c r="AY746" s="79"/>
      <c r="AZ746" s="79"/>
    </row>
    <row r="747" spans="1:52" x14ac:dyDescent="0.3">
      <c r="A747" s="95" t="str">
        <f t="shared" si="176"/>
        <v>NI MM Volatilisation</v>
      </c>
      <c r="B747" s="95" t="s">
        <v>969</v>
      </c>
      <c r="C747" s="95" t="s">
        <v>1332</v>
      </c>
      <c r="D747" t="s">
        <v>369</v>
      </c>
      <c r="E747" t="s">
        <v>64</v>
      </c>
      <c r="F747" t="s">
        <v>62</v>
      </c>
      <c r="G747" t="s">
        <v>1182</v>
      </c>
      <c r="H747" t="s">
        <v>1305</v>
      </c>
      <c r="I747" t="s">
        <v>139</v>
      </c>
      <c r="J747" t="s">
        <v>287</v>
      </c>
      <c r="K747" s="22">
        <f t="shared" ref="K747:AW747" si="192">K1546</f>
        <v>0.31034319165291718</v>
      </c>
      <c r="L747" s="22">
        <f t="shared" si="192"/>
        <v>0.31442985679016972</v>
      </c>
      <c r="M747" s="22">
        <f t="shared" si="192"/>
        <v>0.32099421325528477</v>
      </c>
      <c r="N747" s="22">
        <f t="shared" si="192"/>
        <v>0.3228790317815291</v>
      </c>
      <c r="O747" s="22">
        <f t="shared" si="192"/>
        <v>0.32172327535887091</v>
      </c>
      <c r="P747" s="22">
        <f t="shared" si="192"/>
        <v>0.31753924052538912</v>
      </c>
      <c r="Q747" s="22">
        <f t="shared" si="192"/>
        <v>0.31577785743754239</v>
      </c>
      <c r="R747" s="22">
        <f t="shared" si="192"/>
        <v>0.31441607582114939</v>
      </c>
      <c r="S747" s="22">
        <f t="shared" si="192"/>
        <v>0.2650364312253965</v>
      </c>
      <c r="T747" s="22">
        <f t="shared" si="192"/>
        <v>0.27553316275566697</v>
      </c>
      <c r="U747" s="22">
        <f t="shared" si="192"/>
        <v>0.29228527136368948</v>
      </c>
      <c r="V747" s="22">
        <f t="shared" si="192"/>
        <v>0.29874340186404968</v>
      </c>
      <c r="W747" s="22">
        <f t="shared" si="192"/>
        <v>0.30647179876243097</v>
      </c>
      <c r="X747" s="22">
        <f t="shared" si="192"/>
        <v>0.3158631034162086</v>
      </c>
      <c r="Y747" s="22">
        <f t="shared" si="192"/>
        <v>0.32664711376847955</v>
      </c>
      <c r="Z747" s="22">
        <f t="shared" si="192"/>
        <v>0.3387235871621958</v>
      </c>
      <c r="AA747" s="22">
        <f t="shared" si="192"/>
        <v>0.35105651101096136</v>
      </c>
      <c r="AB747" s="22">
        <f t="shared" si="192"/>
        <v>0.36458195379680847</v>
      </c>
      <c r="AC747" s="22">
        <f t="shared" si="192"/>
        <v>0.37828081857860674</v>
      </c>
      <c r="AD747" s="22">
        <f t="shared" si="192"/>
        <v>0.39427261879187497</v>
      </c>
      <c r="AE747" s="22">
        <f t="shared" si="192"/>
        <v>0.40979186242957388</v>
      </c>
      <c r="AF747" s="22">
        <f t="shared" si="192"/>
        <v>0.42616228566496256</v>
      </c>
      <c r="AG747" s="22">
        <f t="shared" si="192"/>
        <v>0.44495226630702778</v>
      </c>
      <c r="AH747" s="22">
        <f t="shared" si="192"/>
        <v>0.46242618458210583</v>
      </c>
      <c r="AI747" s="22">
        <f t="shared" si="192"/>
        <v>0.48124875752773738</v>
      </c>
      <c r="AJ747" s="22">
        <f t="shared" si="192"/>
        <v>0.50140117317613597</v>
      </c>
      <c r="AK747" s="22">
        <f t="shared" si="192"/>
        <v>0.51989325002843578</v>
      </c>
      <c r="AL747" s="22">
        <f t="shared" si="192"/>
        <v>0.53809144777835283</v>
      </c>
      <c r="AM747" s="22">
        <f t="shared" si="192"/>
        <v>0.55606219814879432</v>
      </c>
      <c r="AN747" s="22">
        <f t="shared" si="192"/>
        <v>0.57603307954485361</v>
      </c>
      <c r="AO747" s="22">
        <f t="shared" si="192"/>
        <v>0.59492740362722618</v>
      </c>
      <c r="AP747" s="22">
        <f t="shared" si="192"/>
        <v>0.61451021406332851</v>
      </c>
      <c r="AQ747" s="22">
        <f t="shared" si="192"/>
        <v>0.6348825242649947</v>
      </c>
      <c r="AR747" s="22">
        <f t="shared" si="192"/>
        <v>0.65620656209687755</v>
      </c>
      <c r="AS747" s="22">
        <f t="shared" si="192"/>
        <v>0.67872441504873171</v>
      </c>
      <c r="AT747" s="22">
        <f t="shared" si="192"/>
        <v>0.6821526428447654</v>
      </c>
      <c r="AU747" s="22">
        <f t="shared" si="192"/>
        <v>0.68382516110267277</v>
      </c>
      <c r="AV747" s="22">
        <f t="shared" si="192"/>
        <v>0.68298338603927977</v>
      </c>
      <c r="AW747" s="22">
        <f t="shared" si="192"/>
        <v>0.68142585829620028</v>
      </c>
      <c r="AY747" s="79"/>
      <c r="AZ747" s="79"/>
    </row>
    <row r="748" spans="1:52" x14ac:dyDescent="0.3">
      <c r="A748" s="95" t="str">
        <f t="shared" si="176"/>
        <v>NI MM Leaching</v>
      </c>
      <c r="B748" s="95" t="s">
        <v>969</v>
      </c>
      <c r="C748" s="95" t="s">
        <v>1333</v>
      </c>
      <c r="D748" t="s">
        <v>369</v>
      </c>
      <c r="E748" t="s">
        <v>64</v>
      </c>
      <c r="F748" t="s">
        <v>63</v>
      </c>
      <c r="G748" t="s">
        <v>1152</v>
      </c>
      <c r="H748" t="s">
        <v>1306</v>
      </c>
      <c r="I748" t="s">
        <v>139</v>
      </c>
      <c r="J748" t="s">
        <v>287</v>
      </c>
      <c r="K748" s="22">
        <f t="shared" ref="K748:AW748" si="193">K1547</f>
        <v>8.9211118607918846E-2</v>
      </c>
      <c r="L748" s="22">
        <f t="shared" si="193"/>
        <v>8.9709854381943774E-2</v>
      </c>
      <c r="M748" s="22">
        <f t="shared" si="193"/>
        <v>9.0417475033143083E-2</v>
      </c>
      <c r="N748" s="22">
        <f t="shared" si="193"/>
        <v>9.0872196678668984E-2</v>
      </c>
      <c r="O748" s="22">
        <f t="shared" si="193"/>
        <v>9.1174361291842934E-2</v>
      </c>
      <c r="P748" s="22">
        <f t="shared" si="193"/>
        <v>9.1320994898161728E-2</v>
      </c>
      <c r="Q748" s="22">
        <f t="shared" si="193"/>
        <v>9.1644963105957017E-2</v>
      </c>
      <c r="R748" s="22">
        <f t="shared" si="193"/>
        <v>9.2016609055475651E-2</v>
      </c>
      <c r="S748" s="22">
        <f t="shared" si="193"/>
        <v>8.9250626632870506E-2</v>
      </c>
      <c r="T748" s="22">
        <f t="shared" si="193"/>
        <v>9.018910759145192E-2</v>
      </c>
      <c r="U748" s="22">
        <f t="shared" si="193"/>
        <v>9.1562795389337467E-2</v>
      </c>
      <c r="V748" s="22">
        <f t="shared" si="193"/>
        <v>9.2274810820194952E-2</v>
      </c>
      <c r="W748" s="22">
        <f t="shared" si="193"/>
        <v>9.3088549677051477E-2</v>
      </c>
      <c r="X748" s="22">
        <f t="shared" si="193"/>
        <v>9.4030367146954022E-2</v>
      </c>
      <c r="Y748" s="22">
        <f t="shared" si="193"/>
        <v>9.4992140485733595E-2</v>
      </c>
      <c r="Z748" s="22">
        <f t="shared" si="193"/>
        <v>9.605669953542309E-2</v>
      </c>
      <c r="AA748" s="22">
        <f t="shared" si="193"/>
        <v>9.7154235713963338E-2</v>
      </c>
      <c r="AB748" s="22">
        <f t="shared" si="193"/>
        <v>9.8347760304703769E-2</v>
      </c>
      <c r="AC748" s="22">
        <f t="shared" si="193"/>
        <v>9.9568208578524817E-2</v>
      </c>
      <c r="AD748" s="22">
        <f t="shared" si="193"/>
        <v>0.10088669536271129</v>
      </c>
      <c r="AE748" s="22">
        <f t="shared" si="193"/>
        <v>0.10218733727824697</v>
      </c>
      <c r="AF748" s="22">
        <f t="shared" si="193"/>
        <v>0.10356015512248805</v>
      </c>
      <c r="AG748" s="22">
        <f t="shared" si="193"/>
        <v>0.1051130390487056</v>
      </c>
      <c r="AH748" s="22">
        <f t="shared" si="193"/>
        <v>0.10658947451521658</v>
      </c>
      <c r="AI748" s="22">
        <f t="shared" si="193"/>
        <v>0.10810355126576793</v>
      </c>
      <c r="AJ748" s="22">
        <f t="shared" si="193"/>
        <v>0.10972278781886159</v>
      </c>
      <c r="AK748" s="22">
        <f t="shared" si="193"/>
        <v>0.1112398173269733</v>
      </c>
      <c r="AL748" s="22">
        <f t="shared" si="193"/>
        <v>0.11274861433308095</v>
      </c>
      <c r="AM748" s="22">
        <f t="shared" si="193"/>
        <v>0.11425337554687653</v>
      </c>
      <c r="AN748" s="22">
        <f t="shared" si="193"/>
        <v>0.11584536779599926</v>
      </c>
      <c r="AO748" s="22">
        <f t="shared" si="193"/>
        <v>0.11737332691073739</v>
      </c>
      <c r="AP748" s="22">
        <f t="shared" si="193"/>
        <v>0.11896061880517098</v>
      </c>
      <c r="AQ748" s="22">
        <f t="shared" si="193"/>
        <v>0.12061448282820714</v>
      </c>
      <c r="AR748" s="22">
        <f t="shared" si="193"/>
        <v>0.12234656062044848</v>
      </c>
      <c r="AS748" s="22">
        <f t="shared" si="193"/>
        <v>0.12410927658755902</v>
      </c>
      <c r="AT748" s="22">
        <f t="shared" si="193"/>
        <v>0.12452720245635615</v>
      </c>
      <c r="AU748" s="22">
        <f t="shared" si="193"/>
        <v>0.12482463901873847</v>
      </c>
      <c r="AV748" s="22">
        <f t="shared" si="193"/>
        <v>0.12494650421265691</v>
      </c>
      <c r="AW748" s="22">
        <f t="shared" si="193"/>
        <v>0.12502008970656403</v>
      </c>
      <c r="AY748" s="79"/>
      <c r="AZ748" s="79"/>
    </row>
    <row r="749" spans="1:52" x14ac:dyDescent="0.3">
      <c r="A749" s="95" t="str">
        <f t="shared" si="176"/>
        <v>NI MM Leaching</v>
      </c>
      <c r="B749" s="95" t="s">
        <v>969</v>
      </c>
      <c r="C749" s="95" t="s">
        <v>1333</v>
      </c>
      <c r="D749" t="s">
        <v>369</v>
      </c>
      <c r="E749" t="s">
        <v>64</v>
      </c>
      <c r="F749" t="s">
        <v>63</v>
      </c>
      <c r="G749" t="s">
        <v>1154</v>
      </c>
      <c r="H749" t="s">
        <v>1307</v>
      </c>
      <c r="I749" t="s">
        <v>139</v>
      </c>
      <c r="J749" t="s">
        <v>287</v>
      </c>
      <c r="K749" s="22">
        <f t="shared" ref="K749:AW749" si="194">K1548</f>
        <v>2.6939494531157477E-2</v>
      </c>
      <c r="L749" s="22">
        <f t="shared" si="194"/>
        <v>2.709010008197326E-2</v>
      </c>
      <c r="M749" s="22">
        <f t="shared" si="194"/>
        <v>2.730378356628085E-2</v>
      </c>
      <c r="N749" s="22">
        <f t="shared" si="194"/>
        <v>2.7441097966929517E-2</v>
      </c>
      <c r="O749" s="22">
        <f t="shared" si="194"/>
        <v>2.7532344014183842E-2</v>
      </c>
      <c r="P749" s="22">
        <f t="shared" si="194"/>
        <v>2.757662364319366E-2</v>
      </c>
      <c r="Q749" s="22">
        <f t="shared" si="194"/>
        <v>2.7674453822865853E-2</v>
      </c>
      <c r="R749" s="22">
        <f t="shared" si="194"/>
        <v>2.7786681470952927E-2</v>
      </c>
      <c r="S749" s="22">
        <f t="shared" si="194"/>
        <v>2.6951424952373251E-2</v>
      </c>
      <c r="T749" s="22">
        <f t="shared" si="194"/>
        <v>2.7234822392578142E-2</v>
      </c>
      <c r="U749" s="22">
        <f t="shared" si="194"/>
        <v>2.7649641257043878E-2</v>
      </c>
      <c r="V749" s="22">
        <f t="shared" si="194"/>
        <v>2.7864651853312578E-2</v>
      </c>
      <c r="W749" s="22">
        <f t="shared" si="194"/>
        <v>2.8110380343506967E-2</v>
      </c>
      <c r="X749" s="22">
        <f t="shared" si="194"/>
        <v>2.8394785325483455E-2</v>
      </c>
      <c r="Y749" s="22">
        <f t="shared" si="194"/>
        <v>2.8685216473579894E-2</v>
      </c>
      <c r="Z749" s="22">
        <f t="shared" si="194"/>
        <v>2.9006686298694923E-2</v>
      </c>
      <c r="AA749" s="22">
        <f t="shared" si="194"/>
        <v>2.9338114380092265E-2</v>
      </c>
      <c r="AB749" s="22">
        <f t="shared" si="194"/>
        <v>2.9698528526745503E-2</v>
      </c>
      <c r="AC749" s="22">
        <f t="shared" si="194"/>
        <v>3.006707294263454E-2</v>
      </c>
      <c r="AD749" s="22">
        <f t="shared" si="194"/>
        <v>3.046522250141433E-2</v>
      </c>
      <c r="AE749" s="22">
        <f t="shared" si="194"/>
        <v>3.0857983362586373E-2</v>
      </c>
      <c r="AF749" s="22">
        <f t="shared" si="194"/>
        <v>3.1272539523122242E-2</v>
      </c>
      <c r="AG749" s="22">
        <f t="shared" si="194"/>
        <v>3.1741471072133737E-2</v>
      </c>
      <c r="AH749" s="22">
        <f t="shared" si="194"/>
        <v>3.2187317125813304E-2</v>
      </c>
      <c r="AI749" s="22">
        <f t="shared" si="194"/>
        <v>3.2644529892312681E-2</v>
      </c>
      <c r="AJ749" s="22">
        <f t="shared" si="194"/>
        <v>3.3133498251272868E-2</v>
      </c>
      <c r="AK749" s="22">
        <f t="shared" si="194"/>
        <v>3.3591602675643942E-2</v>
      </c>
      <c r="AL749" s="22">
        <f t="shared" si="194"/>
        <v>3.4047221093268576E-2</v>
      </c>
      <c r="AM749" s="22">
        <f t="shared" si="194"/>
        <v>3.4501620804003125E-2</v>
      </c>
      <c r="AN749" s="22">
        <f t="shared" si="194"/>
        <v>3.4982362074352798E-2</v>
      </c>
      <c r="AO749" s="22">
        <f t="shared" si="194"/>
        <v>3.5443766962640642E-2</v>
      </c>
      <c r="AP749" s="22">
        <f t="shared" si="194"/>
        <v>3.5923088845122318E-2</v>
      </c>
      <c r="AQ749" s="22">
        <f t="shared" si="194"/>
        <v>3.6422513821505312E-2</v>
      </c>
      <c r="AR749" s="22">
        <f t="shared" si="194"/>
        <v>3.6945557371902887E-2</v>
      </c>
      <c r="AS749" s="22">
        <f t="shared" si="194"/>
        <v>3.7477852873819655E-2</v>
      </c>
      <c r="AT749" s="22">
        <f t="shared" si="194"/>
        <v>3.7604055883406068E-2</v>
      </c>
      <c r="AU749" s="22">
        <f t="shared" si="194"/>
        <v>3.7693874179272106E-2</v>
      </c>
      <c r="AV749" s="22">
        <f t="shared" si="194"/>
        <v>3.7730674376112279E-2</v>
      </c>
      <c r="AW749" s="22">
        <f t="shared" si="194"/>
        <v>3.7752895328406304E-2</v>
      </c>
      <c r="AY749" s="79"/>
      <c r="AZ749" s="79"/>
    </row>
    <row r="750" spans="1:52" x14ac:dyDescent="0.3">
      <c r="A750" s="95" t="str">
        <f t="shared" si="176"/>
        <v>NI MM Leaching</v>
      </c>
      <c r="B750" s="95" t="s">
        <v>969</v>
      </c>
      <c r="C750" s="95" t="s">
        <v>1333</v>
      </c>
      <c r="D750" t="s">
        <v>369</v>
      </c>
      <c r="E750" t="s">
        <v>64</v>
      </c>
      <c r="F750" t="s">
        <v>63</v>
      </c>
      <c r="G750" t="s">
        <v>1156</v>
      </c>
      <c r="H750" t="s">
        <v>1308</v>
      </c>
      <c r="I750" t="s">
        <v>139</v>
      </c>
      <c r="J750" t="s">
        <v>287</v>
      </c>
      <c r="K750" s="22">
        <f t="shared" ref="K750:AW750" si="195">K1549</f>
        <v>1.4483668498503175E-3</v>
      </c>
      <c r="L750" s="22">
        <f t="shared" si="195"/>
        <v>1.4564639612104709E-3</v>
      </c>
      <c r="M750" s="22">
        <f t="shared" si="195"/>
        <v>1.4679523755410987E-3</v>
      </c>
      <c r="N750" s="22">
        <f t="shared" si="195"/>
        <v>1.4753349055168039E-3</v>
      </c>
      <c r="O750" s="22">
        <f t="shared" si="195"/>
        <v>1.4802406304505124E-3</v>
      </c>
      <c r="P750" s="22">
        <f t="shared" si="195"/>
        <v>1.4826212670547858E-3</v>
      </c>
      <c r="Q750" s="22">
        <f t="shared" si="195"/>
        <v>1.4878809792957942E-3</v>
      </c>
      <c r="R750" s="22">
        <f t="shared" si="195"/>
        <v>1.4939147526814823E-3</v>
      </c>
      <c r="S750" s="22">
        <f t="shared" si="195"/>
        <v>1.4490082734142855E-3</v>
      </c>
      <c r="T750" s="22">
        <f t="shared" si="195"/>
        <v>1.4642447678203134E-3</v>
      </c>
      <c r="U750" s="22">
        <f t="shared" si="195"/>
        <v>1.4865469639988589E-3</v>
      </c>
      <c r="V750" s="22">
        <f t="shared" si="195"/>
        <v>1.4981067287762548E-3</v>
      </c>
      <c r="W750" s="22">
        <f t="shared" si="195"/>
        <v>1.5113180011276973E-3</v>
      </c>
      <c r="X750" s="22">
        <f t="shared" si="195"/>
        <v>1.5266086647053162E-3</v>
      </c>
      <c r="Y750" s="22">
        <f t="shared" si="195"/>
        <v>1.5422233172586648E-3</v>
      </c>
      <c r="Z750" s="22">
        <f t="shared" si="195"/>
        <v>1.5595067238714088E-3</v>
      </c>
      <c r="AA750" s="22">
        <f t="shared" si="195"/>
        <v>1.5773255231681144E-3</v>
      </c>
      <c r="AB750" s="22">
        <f t="shared" si="195"/>
        <v>1.5967027205251731E-3</v>
      </c>
      <c r="AC750" s="22">
        <f t="shared" si="195"/>
        <v>1.6165170312225675E-3</v>
      </c>
      <c r="AD750" s="22">
        <f t="shared" si="195"/>
        <v>1.6379230238833516E-3</v>
      </c>
      <c r="AE750" s="22">
        <f t="shared" si="195"/>
        <v>1.6590393002330185E-3</v>
      </c>
      <c r="AF750" s="22">
        <f t="shared" si="195"/>
        <v>1.6813273724767988E-3</v>
      </c>
      <c r="AG750" s="22">
        <f t="shared" si="195"/>
        <v>1.7065388666884546E-3</v>
      </c>
      <c r="AH750" s="22">
        <f t="shared" si="195"/>
        <v>1.7305091992995292E-3</v>
      </c>
      <c r="AI750" s="22">
        <f t="shared" si="195"/>
        <v>1.7550906484265776E-3</v>
      </c>
      <c r="AJ750" s="22">
        <f t="shared" si="195"/>
        <v>1.7813793956383919E-3</v>
      </c>
      <c r="AK750" s="22">
        <f t="shared" si="195"/>
        <v>1.8060087835900271E-3</v>
      </c>
      <c r="AL750" s="22">
        <f t="shared" si="195"/>
        <v>1.8305045146255719E-3</v>
      </c>
      <c r="AM750" s="22">
        <f t="shared" si="195"/>
        <v>1.8549347234718561E-3</v>
      </c>
      <c r="AN750" s="22">
        <f t="shared" si="195"/>
        <v>1.8807811519757052E-3</v>
      </c>
      <c r="AO750" s="22">
        <f t="shared" si="195"/>
        <v>1.9055879850728176E-3</v>
      </c>
      <c r="AP750" s="22">
        <f t="shared" si="195"/>
        <v>1.9313581020359023E-3</v>
      </c>
      <c r="AQ750" s="22">
        <f t="shared" si="195"/>
        <v>1.9582090356695609E-3</v>
      </c>
      <c r="AR750" s="22">
        <f t="shared" si="195"/>
        <v>1.9863297911851367E-3</v>
      </c>
      <c r="AS750" s="22">
        <f t="shared" si="195"/>
        <v>2.014947965828651E-3</v>
      </c>
      <c r="AT750" s="22">
        <f t="shared" si="195"/>
        <v>2.0217331063302627E-3</v>
      </c>
      <c r="AU750" s="22">
        <f t="shared" si="195"/>
        <v>2.0265620700694281E-3</v>
      </c>
      <c r="AV750" s="22">
        <f t="shared" si="195"/>
        <v>2.0285405847408761E-3</v>
      </c>
      <c r="AW750" s="22">
        <f t="shared" si="195"/>
        <v>2.0297352653106076E-3</v>
      </c>
      <c r="AY750" s="79"/>
      <c r="AZ750" s="79"/>
    </row>
    <row r="751" spans="1:52" x14ac:dyDescent="0.3">
      <c r="A751" s="95" t="str">
        <f t="shared" si="176"/>
        <v>NI MM Leaching</v>
      </c>
      <c r="B751" s="95" t="s">
        <v>969</v>
      </c>
      <c r="C751" s="95" t="s">
        <v>1333</v>
      </c>
      <c r="D751" t="s">
        <v>369</v>
      </c>
      <c r="E751" t="s">
        <v>64</v>
      </c>
      <c r="F751" t="s">
        <v>63</v>
      </c>
      <c r="G751" t="s">
        <v>1158</v>
      </c>
      <c r="H751" t="s">
        <v>1309</v>
      </c>
      <c r="I751" t="s">
        <v>139</v>
      </c>
      <c r="J751" t="s">
        <v>287</v>
      </c>
      <c r="K751" s="22">
        <f t="shared" ref="K751:AW751" si="196">K1550</f>
        <v>3.030301439269115E-2</v>
      </c>
      <c r="L751" s="22">
        <f t="shared" si="196"/>
        <v>3.0040206026371356E-2</v>
      </c>
      <c r="M751" s="22">
        <f t="shared" si="196"/>
        <v>2.99401628371932E-2</v>
      </c>
      <c r="N751" s="22">
        <f t="shared" si="196"/>
        <v>2.9540351153331298E-2</v>
      </c>
      <c r="O751" s="22">
        <f t="shared" si="196"/>
        <v>2.8960014730128859E-2</v>
      </c>
      <c r="P751" s="22">
        <f t="shared" si="196"/>
        <v>2.8211154016296501E-2</v>
      </c>
      <c r="Q751" s="22">
        <f t="shared" si="196"/>
        <v>2.7620505669412022E-2</v>
      </c>
      <c r="R751" s="22">
        <f t="shared" si="196"/>
        <v>2.7061685185942385E-2</v>
      </c>
      <c r="S751" s="22">
        <f t="shared" si="196"/>
        <v>2.3806393912702346E-2</v>
      </c>
      <c r="T751" s="22">
        <f t="shared" si="196"/>
        <v>2.4193081489661764E-2</v>
      </c>
      <c r="U751" s="22">
        <f t="shared" si="196"/>
        <v>2.4914459363237305E-2</v>
      </c>
      <c r="V751" s="22">
        <f t="shared" si="196"/>
        <v>2.5058526856807112E-2</v>
      </c>
      <c r="W751" s="22">
        <f t="shared" si="196"/>
        <v>2.5266313616668409E-2</v>
      </c>
      <c r="X751" s="22">
        <f t="shared" si="196"/>
        <v>2.5556180730039606E-2</v>
      </c>
      <c r="Y751" s="22">
        <f t="shared" si="196"/>
        <v>2.588867153480013E-2</v>
      </c>
      <c r="Z751" s="22">
        <f t="shared" si="196"/>
        <v>2.627849954534961E-2</v>
      </c>
      <c r="AA751" s="22">
        <f t="shared" si="196"/>
        <v>2.6670125529897157E-2</v>
      </c>
      <c r="AB751" s="22">
        <f t="shared" si="196"/>
        <v>2.7110583919598655E-2</v>
      </c>
      <c r="AC751" s="22">
        <f t="shared" si="196"/>
        <v>2.7546671241882887E-2</v>
      </c>
      <c r="AD751" s="22">
        <f t="shared" si="196"/>
        <v>2.7830739758273274E-2</v>
      </c>
      <c r="AE751" s="22">
        <f t="shared" si="196"/>
        <v>2.8063979806522674E-2</v>
      </c>
      <c r="AF751" s="22">
        <f t="shared" si="196"/>
        <v>2.8310384702020075E-2</v>
      </c>
      <c r="AG751" s="22">
        <f t="shared" si="196"/>
        <v>2.8640071683735925E-2</v>
      </c>
      <c r="AH751" s="22">
        <f t="shared" si="196"/>
        <v>2.8877171474684857E-2</v>
      </c>
      <c r="AI751" s="22">
        <f t="shared" si="196"/>
        <v>2.9129861427597242E-2</v>
      </c>
      <c r="AJ751" s="22">
        <f t="shared" si="196"/>
        <v>2.9408020774721655E-2</v>
      </c>
      <c r="AK751" s="22">
        <f t="shared" si="196"/>
        <v>2.958135107830024E-2</v>
      </c>
      <c r="AL751" s="22">
        <f t="shared" si="196"/>
        <v>2.9711386636381822E-2</v>
      </c>
      <c r="AM751" s="22">
        <f t="shared" si="196"/>
        <v>2.9801834695120533E-2</v>
      </c>
      <c r="AN751" s="22">
        <f t="shared" si="196"/>
        <v>3.0083013804328998E-2</v>
      </c>
      <c r="AO751" s="22">
        <f t="shared" si="196"/>
        <v>3.0296745523052525E-2</v>
      </c>
      <c r="AP751" s="22">
        <f t="shared" si="196"/>
        <v>3.0513175155516516E-2</v>
      </c>
      <c r="AQ751" s="22">
        <f t="shared" si="196"/>
        <v>3.0734778558877459E-2</v>
      </c>
      <c r="AR751" s="22">
        <f t="shared" si="196"/>
        <v>3.0966024436887393E-2</v>
      </c>
      <c r="AS751" s="22">
        <f t="shared" si="196"/>
        <v>3.1203452529548665E-2</v>
      </c>
      <c r="AT751" s="22">
        <f t="shared" si="196"/>
        <v>3.0735097960314203E-2</v>
      </c>
      <c r="AU751" s="22">
        <f t="shared" si="196"/>
        <v>3.0204531000918678E-2</v>
      </c>
      <c r="AV751" s="22">
        <f t="shared" si="196"/>
        <v>2.9589433707278279E-2</v>
      </c>
      <c r="AW751" s="22">
        <f t="shared" si="196"/>
        <v>2.8955059711748863E-2</v>
      </c>
      <c r="AY751" s="79"/>
      <c r="AZ751" s="79"/>
    </row>
    <row r="752" spans="1:52" x14ac:dyDescent="0.3">
      <c r="A752" s="95" t="str">
        <f t="shared" si="176"/>
        <v>NI MM Leaching</v>
      </c>
      <c r="B752" s="95" t="s">
        <v>969</v>
      </c>
      <c r="C752" s="95" t="s">
        <v>1333</v>
      </c>
      <c r="D752" t="s">
        <v>369</v>
      </c>
      <c r="E752" t="s">
        <v>64</v>
      </c>
      <c r="F752" t="s">
        <v>63</v>
      </c>
      <c r="G752" t="s">
        <v>1160</v>
      </c>
      <c r="H752" t="s">
        <v>1310</v>
      </c>
      <c r="I752" t="s">
        <v>139</v>
      </c>
      <c r="J752" t="s">
        <v>287</v>
      </c>
      <c r="K752" s="22">
        <f t="shared" ref="K752:AW752" si="197">K1551</f>
        <v>4.0226293185258936E-2</v>
      </c>
      <c r="L752" s="22">
        <f t="shared" si="197"/>
        <v>3.9877423391049015E-2</v>
      </c>
      <c r="M752" s="22">
        <f t="shared" si="197"/>
        <v>3.9744619221572089E-2</v>
      </c>
      <c r="N752" s="22">
        <f t="shared" si="197"/>
        <v>3.9213881856453713E-2</v>
      </c>
      <c r="O752" s="22">
        <f t="shared" si="197"/>
        <v>3.8443503609481157E-2</v>
      </c>
      <c r="P752" s="22">
        <f t="shared" si="197"/>
        <v>3.7449414696768608E-2</v>
      </c>
      <c r="Q752" s="22">
        <f t="shared" si="197"/>
        <v>3.666534769725275E-2</v>
      </c>
      <c r="R752" s="22">
        <f t="shared" si="197"/>
        <v>3.5923531179771241E-2</v>
      </c>
      <c r="S752" s="22">
        <f t="shared" si="197"/>
        <v>3.160223497260737E-2</v>
      </c>
      <c r="T752" s="22">
        <f t="shared" si="197"/>
        <v>3.2115550500900779E-2</v>
      </c>
      <c r="U752" s="22">
        <f t="shared" si="197"/>
        <v>3.3073156812397204E-2</v>
      </c>
      <c r="V752" s="22">
        <f t="shared" si="197"/>
        <v>3.3264401853557279E-2</v>
      </c>
      <c r="W752" s="22">
        <f t="shared" si="197"/>
        <v>3.3540232205412031E-2</v>
      </c>
      <c r="X752" s="22">
        <f t="shared" si="197"/>
        <v>3.3925021630521073E-2</v>
      </c>
      <c r="Y752" s="22">
        <f t="shared" si="197"/>
        <v>3.4366392657851123E-2</v>
      </c>
      <c r="Z752" s="22">
        <f t="shared" si="197"/>
        <v>3.4883877012409983E-2</v>
      </c>
      <c r="AA752" s="22">
        <f t="shared" si="197"/>
        <v>3.5403748120585117E-2</v>
      </c>
      <c r="AB752" s="22">
        <f t="shared" si="197"/>
        <v>3.5988442702135158E-2</v>
      </c>
      <c r="AC752" s="22">
        <f t="shared" si="197"/>
        <v>3.6567334829936515E-2</v>
      </c>
      <c r="AD752" s="22">
        <f t="shared" si="197"/>
        <v>3.6944426800951023E-2</v>
      </c>
      <c r="AE752" s="22">
        <f t="shared" si="197"/>
        <v>3.7254045588106646E-2</v>
      </c>
      <c r="AF752" s="22">
        <f t="shared" si="197"/>
        <v>3.7581140293607394E-2</v>
      </c>
      <c r="AG752" s="22">
        <f t="shared" si="197"/>
        <v>3.801878933452469E-2</v>
      </c>
      <c r="AH752" s="22">
        <f t="shared" si="197"/>
        <v>3.8333531808038356E-2</v>
      </c>
      <c r="AI752" s="22">
        <f t="shared" si="197"/>
        <v>3.8668969728474223E-2</v>
      </c>
      <c r="AJ752" s="22">
        <f t="shared" si="197"/>
        <v>3.9038217464182824E-2</v>
      </c>
      <c r="AK752" s="22">
        <f t="shared" si="197"/>
        <v>3.9268307960108023E-2</v>
      </c>
      <c r="AL752" s="22">
        <f t="shared" si="197"/>
        <v>3.9440926050708265E-2</v>
      </c>
      <c r="AM752" s="22">
        <f t="shared" si="197"/>
        <v>3.9560992988000768E-2</v>
      </c>
      <c r="AN752" s="22">
        <f t="shared" si="197"/>
        <v>3.9934249362367197E-2</v>
      </c>
      <c r="AO752" s="22">
        <f t="shared" si="197"/>
        <v>4.0217971459084928E-2</v>
      </c>
      <c r="AP752" s="22">
        <f t="shared" si="197"/>
        <v>4.0505274950963739E-2</v>
      </c>
      <c r="AQ752" s="22">
        <f t="shared" si="197"/>
        <v>4.0799446460072705E-2</v>
      </c>
      <c r="AR752" s="22">
        <f t="shared" si="197"/>
        <v>4.1106418049306863E-2</v>
      </c>
      <c r="AS752" s="22">
        <f t="shared" si="197"/>
        <v>4.1421596332960157E-2</v>
      </c>
      <c r="AT752" s="22">
        <f t="shared" si="197"/>
        <v>4.0799870455377994E-2</v>
      </c>
      <c r="AU752" s="22">
        <f t="shared" si="197"/>
        <v>4.0095559597504944E-2</v>
      </c>
      <c r="AV752" s="22">
        <f t="shared" si="197"/>
        <v>3.9279037394439685E-2</v>
      </c>
      <c r="AW752" s="22">
        <f t="shared" si="197"/>
        <v>3.843692597929859E-2</v>
      </c>
      <c r="AY752" s="79"/>
      <c r="AZ752" s="79"/>
    </row>
    <row r="753" spans="1:52" x14ac:dyDescent="0.3">
      <c r="A753" s="95" t="str">
        <f t="shared" si="176"/>
        <v>NI MM Leaching</v>
      </c>
      <c r="B753" s="95" t="s">
        <v>969</v>
      </c>
      <c r="C753" s="95" t="s">
        <v>1333</v>
      </c>
      <c r="D753" t="s">
        <v>369</v>
      </c>
      <c r="E753" t="s">
        <v>64</v>
      </c>
      <c r="F753" t="s">
        <v>63</v>
      </c>
      <c r="G753" t="s">
        <v>1162</v>
      </c>
      <c r="H753" t="s">
        <v>1311</v>
      </c>
      <c r="I753" t="s">
        <v>139</v>
      </c>
      <c r="J753" t="s">
        <v>287</v>
      </c>
      <c r="K753" s="22">
        <f t="shared" ref="K753:AW753" si="198">K1552</f>
        <v>4.1968337096859203E-2</v>
      </c>
      <c r="L753" s="22">
        <f t="shared" si="198"/>
        <v>4.3383434779753462E-2</v>
      </c>
      <c r="M753" s="22">
        <f t="shared" si="198"/>
        <v>4.5063007666824861E-2</v>
      </c>
      <c r="N753" s="22">
        <f t="shared" si="198"/>
        <v>4.6315596244033502E-2</v>
      </c>
      <c r="O753" s="22">
        <f t="shared" si="198"/>
        <v>4.7281576900430194E-2</v>
      </c>
      <c r="P753" s="22">
        <f t="shared" si="198"/>
        <v>4.7947144057730852E-2</v>
      </c>
      <c r="Q753" s="22">
        <f t="shared" si="198"/>
        <v>4.8855920576585825E-2</v>
      </c>
      <c r="R753" s="22">
        <f t="shared" si="198"/>
        <v>4.9808583705724517E-2</v>
      </c>
      <c r="S753" s="22">
        <f t="shared" si="198"/>
        <v>4.558792439477468E-2</v>
      </c>
      <c r="T753" s="22">
        <f t="shared" si="198"/>
        <v>4.7444585849147458E-2</v>
      </c>
      <c r="U753" s="22">
        <f t="shared" si="198"/>
        <v>5.0020252871766716E-2</v>
      </c>
      <c r="V753" s="22">
        <f t="shared" si="198"/>
        <v>5.1489747377125035E-2</v>
      </c>
      <c r="W753" s="22">
        <f t="shared" si="198"/>
        <v>5.3120325210598208E-2</v>
      </c>
      <c r="X753" s="22">
        <f t="shared" si="198"/>
        <v>5.4961817995869279E-2</v>
      </c>
      <c r="Y753" s="22">
        <f t="shared" si="198"/>
        <v>5.6940702891012454E-2</v>
      </c>
      <c r="Z753" s="22">
        <f t="shared" si="198"/>
        <v>5.909779909090021E-2</v>
      </c>
      <c r="AA753" s="22">
        <f t="shared" si="198"/>
        <v>6.1315559224141662E-2</v>
      </c>
      <c r="AB753" s="22">
        <f t="shared" si="198"/>
        <v>6.3706453642829244E-2</v>
      </c>
      <c r="AC753" s="22">
        <f t="shared" si="198"/>
        <v>6.6151992620882463E-2</v>
      </c>
      <c r="AD753" s="22">
        <f t="shared" si="198"/>
        <v>6.9050571490334375E-2</v>
      </c>
      <c r="AE753" s="22">
        <f t="shared" si="198"/>
        <v>7.1942782657683113E-2</v>
      </c>
      <c r="AF753" s="22">
        <f t="shared" si="198"/>
        <v>7.499198620981147E-2</v>
      </c>
      <c r="AG753" s="22">
        <f t="shared" si="198"/>
        <v>7.8400492834913502E-2</v>
      </c>
      <c r="AH753" s="22">
        <f t="shared" si="198"/>
        <v>8.1701156762449018E-2</v>
      </c>
      <c r="AI753" s="22">
        <f t="shared" si="198"/>
        <v>8.5192788556250426E-2</v>
      </c>
      <c r="AJ753" s="22">
        <f t="shared" si="198"/>
        <v>8.8918442809121118E-2</v>
      </c>
      <c r="AK753" s="22">
        <f t="shared" si="198"/>
        <v>9.248798577918188E-2</v>
      </c>
      <c r="AL753" s="22">
        <f t="shared" si="198"/>
        <v>9.6077147406772881E-2</v>
      </c>
      <c r="AM753" s="22">
        <f t="shared" si="198"/>
        <v>9.9693715805378641E-2</v>
      </c>
      <c r="AN753" s="22">
        <f t="shared" si="198"/>
        <v>0.10347374306833025</v>
      </c>
      <c r="AO753" s="22">
        <f t="shared" si="198"/>
        <v>0.1071593390128282</v>
      </c>
      <c r="AP753" s="22">
        <f t="shared" si="198"/>
        <v>0.11099240238226693</v>
      </c>
      <c r="AQ753" s="22">
        <f t="shared" si="198"/>
        <v>0.11498990238948355</v>
      </c>
      <c r="AR753" s="22">
        <f t="shared" si="198"/>
        <v>0.11917803768424121</v>
      </c>
      <c r="AS753" s="22">
        <f t="shared" si="198"/>
        <v>0.12355418732739334</v>
      </c>
      <c r="AT753" s="22">
        <f t="shared" si="198"/>
        <v>0.1252281322589274</v>
      </c>
      <c r="AU753" s="22">
        <f t="shared" si="198"/>
        <v>0.1266560621373938</v>
      </c>
      <c r="AV753" s="22">
        <f t="shared" si="198"/>
        <v>0.12771943748303299</v>
      </c>
      <c r="AW753" s="22">
        <f t="shared" si="198"/>
        <v>0.12867585314816252</v>
      </c>
      <c r="AY753" s="79"/>
      <c r="AZ753" s="79"/>
    </row>
    <row r="754" spans="1:52" x14ac:dyDescent="0.3">
      <c r="A754" s="95" t="str">
        <f t="shared" si="176"/>
        <v>NI MM Leaching</v>
      </c>
      <c r="B754" s="95" t="s">
        <v>969</v>
      </c>
      <c r="C754" s="95" t="s">
        <v>1333</v>
      </c>
      <c r="D754" t="s">
        <v>369</v>
      </c>
      <c r="E754" t="s">
        <v>64</v>
      </c>
      <c r="F754" t="s">
        <v>63</v>
      </c>
      <c r="G754" t="s">
        <v>1164</v>
      </c>
      <c r="H754" t="s">
        <v>1312</v>
      </c>
      <c r="I754" t="s">
        <v>139</v>
      </c>
      <c r="J754" t="s">
        <v>287</v>
      </c>
      <c r="K754" s="22">
        <f t="shared" ref="K754:AW754" si="199">K1553</f>
        <v>4.3945619533695716E-3</v>
      </c>
      <c r="L754" s="22">
        <f t="shared" si="199"/>
        <v>4.3969380790341763E-3</v>
      </c>
      <c r="M754" s="22">
        <f t="shared" si="199"/>
        <v>4.4026193063540784E-3</v>
      </c>
      <c r="N754" s="22">
        <f t="shared" si="199"/>
        <v>4.4109963215778836E-3</v>
      </c>
      <c r="O754" s="22">
        <f t="shared" si="199"/>
        <v>4.4220158913338588E-3</v>
      </c>
      <c r="P754" s="22">
        <f t="shared" si="199"/>
        <v>4.4355616535255637E-3</v>
      </c>
      <c r="Q754" s="22">
        <f t="shared" si="199"/>
        <v>4.4507753934109251E-3</v>
      </c>
      <c r="R754" s="22">
        <f t="shared" si="199"/>
        <v>4.467561061292976E-3</v>
      </c>
      <c r="S754" s="22">
        <f t="shared" si="199"/>
        <v>4.4829106304263445E-3</v>
      </c>
      <c r="T754" s="22">
        <f t="shared" si="199"/>
        <v>4.4896556027107107E-3</v>
      </c>
      <c r="U754" s="22">
        <f t="shared" si="199"/>
        <v>4.4978926629073816E-3</v>
      </c>
      <c r="V754" s="22">
        <f t="shared" si="199"/>
        <v>4.5065504561298229E-3</v>
      </c>
      <c r="W754" s="22">
        <f t="shared" si="199"/>
        <v>4.5162706773714013E-3</v>
      </c>
      <c r="X754" s="22">
        <f t="shared" si="199"/>
        <v>4.527026129260852E-3</v>
      </c>
      <c r="Y754" s="22">
        <f t="shared" si="199"/>
        <v>4.5337431797518573E-3</v>
      </c>
      <c r="Z754" s="22">
        <f t="shared" si="199"/>
        <v>4.5413317440573253E-3</v>
      </c>
      <c r="AA754" s="22">
        <f t="shared" si="199"/>
        <v>4.5496892838415501E-3</v>
      </c>
      <c r="AB754" s="22">
        <f t="shared" si="199"/>
        <v>4.5588387793970616E-3</v>
      </c>
      <c r="AC754" s="22">
        <f t="shared" si="199"/>
        <v>4.5686857941763257E-3</v>
      </c>
      <c r="AD754" s="22">
        <f t="shared" si="199"/>
        <v>4.5752913220902473E-3</v>
      </c>
      <c r="AE754" s="22">
        <f t="shared" si="199"/>
        <v>4.582462373127697E-3</v>
      </c>
      <c r="AF754" s="22">
        <f t="shared" si="199"/>
        <v>4.5902565907943761E-3</v>
      </c>
      <c r="AG754" s="22">
        <f t="shared" si="199"/>
        <v>4.59875005922699E-3</v>
      </c>
      <c r="AH754" s="22">
        <f t="shared" si="199"/>
        <v>4.6076877369256993E-3</v>
      </c>
      <c r="AI754" s="22">
        <f t="shared" si="199"/>
        <v>4.6134006720946743E-3</v>
      </c>
      <c r="AJ754" s="22">
        <f t="shared" si="199"/>
        <v>4.6196582419180043E-3</v>
      </c>
      <c r="AK754" s="22">
        <f t="shared" si="199"/>
        <v>4.626254058673806E-3</v>
      </c>
      <c r="AL754" s="22">
        <f t="shared" si="199"/>
        <v>4.6332583415557996E-3</v>
      </c>
      <c r="AM754" s="22">
        <f t="shared" si="199"/>
        <v>4.6406604705372459E-3</v>
      </c>
      <c r="AN754" s="22">
        <f t="shared" si="199"/>
        <v>4.6450341959288514E-3</v>
      </c>
      <c r="AO754" s="22">
        <f t="shared" si="199"/>
        <v>4.6497032008589968E-3</v>
      </c>
      <c r="AP754" s="22">
        <f t="shared" si="199"/>
        <v>4.6547677652323564E-3</v>
      </c>
      <c r="AQ754" s="22">
        <f t="shared" si="199"/>
        <v>4.6602229926895984E-3</v>
      </c>
      <c r="AR754" s="22">
        <f t="shared" si="199"/>
        <v>4.6660687701808173E-3</v>
      </c>
      <c r="AS754" s="22">
        <f t="shared" si="199"/>
        <v>4.6687208592955552E-3</v>
      </c>
      <c r="AT754" s="22">
        <f t="shared" si="199"/>
        <v>4.6704299553969519E-3</v>
      </c>
      <c r="AU754" s="22">
        <f t="shared" si="199"/>
        <v>4.6723034477338006E-3</v>
      </c>
      <c r="AV754" s="22">
        <f t="shared" si="199"/>
        <v>4.6742823579489622E-3</v>
      </c>
      <c r="AW754" s="22">
        <f t="shared" si="199"/>
        <v>4.6764744826629494E-3</v>
      </c>
      <c r="AY754" s="79"/>
      <c r="AZ754" s="79"/>
    </row>
    <row r="755" spans="1:52" x14ac:dyDescent="0.3">
      <c r="A755" s="95" t="str">
        <f t="shared" si="176"/>
        <v>NI MM Leaching</v>
      </c>
      <c r="B755" s="95" t="s">
        <v>969</v>
      </c>
      <c r="C755" s="95" t="s">
        <v>1333</v>
      </c>
      <c r="D755" t="s">
        <v>369</v>
      </c>
      <c r="E755" t="s">
        <v>64</v>
      </c>
      <c r="F755" t="s">
        <v>63</v>
      </c>
      <c r="G755" t="s">
        <v>1166</v>
      </c>
      <c r="H755" t="s">
        <v>1313</v>
      </c>
      <c r="I755" t="s">
        <v>139</v>
      </c>
      <c r="J755" t="s">
        <v>287</v>
      </c>
      <c r="K755" s="22">
        <f t="shared" ref="K755:AW755" si="200">K1554</f>
        <v>3.6554846257269864E-3</v>
      </c>
      <c r="L755" s="22">
        <f t="shared" si="200"/>
        <v>3.6574611346322943E-3</v>
      </c>
      <c r="M755" s="22">
        <f t="shared" si="200"/>
        <v>3.662186893272979E-3</v>
      </c>
      <c r="N755" s="22">
        <f t="shared" si="200"/>
        <v>3.6691550622702605E-3</v>
      </c>
      <c r="O755" s="22">
        <f t="shared" si="200"/>
        <v>3.6783213610396305E-3</v>
      </c>
      <c r="P755" s="22">
        <f t="shared" si="200"/>
        <v>3.6895889972593382E-3</v>
      </c>
      <c r="Q755" s="22">
        <f t="shared" si="200"/>
        <v>3.7022440907227717E-3</v>
      </c>
      <c r="R755" s="22">
        <f t="shared" si="200"/>
        <v>3.7162067453687837E-3</v>
      </c>
      <c r="S755" s="22">
        <f t="shared" si="200"/>
        <v>3.7289748243204386E-3</v>
      </c>
      <c r="T755" s="22">
        <f t="shared" si="200"/>
        <v>3.7345854273220752E-3</v>
      </c>
      <c r="U755" s="22">
        <f t="shared" si="200"/>
        <v>3.7414371789254476E-3</v>
      </c>
      <c r="V755" s="22">
        <f t="shared" si="200"/>
        <v>3.7486389046840498E-3</v>
      </c>
      <c r="W755" s="22">
        <f t="shared" si="200"/>
        <v>3.7567243793421119E-3</v>
      </c>
      <c r="X755" s="22">
        <f t="shared" si="200"/>
        <v>3.7656709795816407E-3</v>
      </c>
      <c r="Y755" s="22">
        <f t="shared" si="200"/>
        <v>3.7712583566764787E-3</v>
      </c>
      <c r="Z755" s="22">
        <f t="shared" si="200"/>
        <v>3.7775706764126256E-3</v>
      </c>
      <c r="AA755" s="22">
        <f t="shared" si="200"/>
        <v>3.784522645349305E-3</v>
      </c>
      <c r="AB755" s="22">
        <f t="shared" si="200"/>
        <v>3.7921333789539768E-3</v>
      </c>
      <c r="AC755" s="22">
        <f t="shared" si="200"/>
        <v>3.8003243230154901E-3</v>
      </c>
      <c r="AD755" s="22">
        <f t="shared" si="200"/>
        <v>3.805818933397678E-3</v>
      </c>
      <c r="AE755" s="22">
        <f t="shared" si="200"/>
        <v>3.8117839572375635E-3</v>
      </c>
      <c r="AF755" s="22">
        <f t="shared" si="200"/>
        <v>3.8182673435573919E-3</v>
      </c>
      <c r="AG755" s="22">
        <f t="shared" si="200"/>
        <v>3.8253323806655189E-3</v>
      </c>
      <c r="AH755" s="22">
        <f t="shared" si="200"/>
        <v>3.8327669199356464E-3</v>
      </c>
      <c r="AI755" s="22">
        <f t="shared" si="200"/>
        <v>3.8375190538000809E-3</v>
      </c>
      <c r="AJ755" s="22">
        <f t="shared" si="200"/>
        <v>3.8427242256753023E-3</v>
      </c>
      <c r="AK755" s="22">
        <f t="shared" si="200"/>
        <v>3.8482107581217181E-3</v>
      </c>
      <c r="AL755" s="22">
        <f t="shared" si="200"/>
        <v>3.8540370608706733E-3</v>
      </c>
      <c r="AM755" s="22">
        <f t="shared" si="200"/>
        <v>3.8601942999712795E-3</v>
      </c>
      <c r="AN755" s="22">
        <f t="shared" si="200"/>
        <v>3.8638324523277176E-3</v>
      </c>
      <c r="AO755" s="22">
        <f t="shared" si="200"/>
        <v>3.8677162241167358E-3</v>
      </c>
      <c r="AP755" s="22">
        <f t="shared" si="200"/>
        <v>3.87192903017096E-3</v>
      </c>
      <c r="AQ755" s="22">
        <f t="shared" si="200"/>
        <v>3.8764667976006581E-3</v>
      </c>
      <c r="AR755" s="22">
        <f t="shared" si="200"/>
        <v>3.8813294323686563E-3</v>
      </c>
      <c r="AS755" s="22">
        <f t="shared" si="200"/>
        <v>3.8835354931974382E-3</v>
      </c>
      <c r="AT755" s="22">
        <f t="shared" si="200"/>
        <v>3.8849571535560438E-3</v>
      </c>
      <c r="AU755" s="22">
        <f t="shared" si="200"/>
        <v>3.8865155619950283E-3</v>
      </c>
      <c r="AV755" s="22">
        <f t="shared" si="200"/>
        <v>3.8881616591359886E-3</v>
      </c>
      <c r="AW755" s="22">
        <f t="shared" si="200"/>
        <v>3.8899851123662963E-3</v>
      </c>
      <c r="AY755" s="79"/>
      <c r="AZ755" s="79"/>
    </row>
    <row r="756" spans="1:52" x14ac:dyDescent="0.3">
      <c r="A756" s="95" t="str">
        <f t="shared" si="176"/>
        <v>NI MM Leaching</v>
      </c>
      <c r="B756" s="95" t="s">
        <v>969</v>
      </c>
      <c r="C756" s="95" t="s">
        <v>1333</v>
      </c>
      <c r="D756" t="s">
        <v>369</v>
      </c>
      <c r="E756" t="s">
        <v>64</v>
      </c>
      <c r="F756" t="s">
        <v>63</v>
      </c>
      <c r="G756" t="s">
        <v>1168</v>
      </c>
      <c r="H756" t="s">
        <v>1314</v>
      </c>
      <c r="I756" t="s">
        <v>139</v>
      </c>
      <c r="J756" t="s">
        <v>287</v>
      </c>
      <c r="K756" s="22">
        <f t="shared" ref="K756:AW756" si="201">K1555</f>
        <v>5.4322987485311562E-4</v>
      </c>
      <c r="L756" s="22">
        <f t="shared" si="201"/>
        <v>5.4464201031358182E-4</v>
      </c>
      <c r="M756" s="22">
        <f t="shared" si="201"/>
        <v>5.4659000127818655E-4</v>
      </c>
      <c r="N756" s="22">
        <f t="shared" si="201"/>
        <v>5.4896316873921213E-4</v>
      </c>
      <c r="O756" s="22">
        <f t="shared" si="201"/>
        <v>5.5175812793145673E-4</v>
      </c>
      <c r="P756" s="22">
        <f t="shared" si="201"/>
        <v>5.5495786726734487E-4</v>
      </c>
      <c r="Q756" s="22">
        <f t="shared" si="201"/>
        <v>5.5840147541839718E-4</v>
      </c>
      <c r="R756" s="22">
        <f t="shared" si="201"/>
        <v>5.620753208024884E-4</v>
      </c>
      <c r="S756" s="22">
        <f t="shared" si="201"/>
        <v>5.65407082502121E-4</v>
      </c>
      <c r="T756" s="22">
        <f t="shared" si="201"/>
        <v>5.6703451753723681E-4</v>
      </c>
      <c r="U756" s="22">
        <f t="shared" si="201"/>
        <v>5.6889992124546543E-4</v>
      </c>
      <c r="V756" s="22">
        <f t="shared" si="201"/>
        <v>5.7080142404289684E-4</v>
      </c>
      <c r="W756" s="22">
        <f t="shared" si="201"/>
        <v>5.7286374667304399E-4</v>
      </c>
      <c r="X756" s="22">
        <f t="shared" si="201"/>
        <v>5.7508348073871955E-4</v>
      </c>
      <c r="Y756" s="22">
        <f t="shared" si="201"/>
        <v>5.765040134864081E-4</v>
      </c>
      <c r="Z756" s="22">
        <f t="shared" si="201"/>
        <v>5.7805815510049798E-4</v>
      </c>
      <c r="AA756" s="22">
        <f t="shared" si="201"/>
        <v>5.7972772798702628E-4</v>
      </c>
      <c r="AB756" s="22">
        <f t="shared" si="201"/>
        <v>5.8151809327226973E-4</v>
      </c>
      <c r="AC756" s="22">
        <f t="shared" si="201"/>
        <v>5.8341243976409618E-4</v>
      </c>
      <c r="AD756" s="22">
        <f t="shared" si="201"/>
        <v>5.8467575387111191E-4</v>
      </c>
      <c r="AE756" s="22">
        <f t="shared" si="201"/>
        <v>5.8602300319697499E-4</v>
      </c>
      <c r="AF756" s="22">
        <f t="shared" si="201"/>
        <v>5.8746559148115021E-4</v>
      </c>
      <c r="AG756" s="22">
        <f t="shared" si="201"/>
        <v>5.8901817067528485E-4</v>
      </c>
      <c r="AH756" s="22">
        <f t="shared" si="201"/>
        <v>5.9063383572059778E-4</v>
      </c>
      <c r="AI756" s="22">
        <f t="shared" si="201"/>
        <v>5.9163445865223843E-4</v>
      </c>
      <c r="AJ756" s="22">
        <f t="shared" si="201"/>
        <v>5.927203167225099E-4</v>
      </c>
      <c r="AK756" s="22">
        <f t="shared" si="201"/>
        <v>5.9385364522191255E-4</v>
      </c>
      <c r="AL756" s="22">
        <f t="shared" si="201"/>
        <v>5.9504779442231843E-4</v>
      </c>
      <c r="AM756" s="22">
        <f t="shared" si="201"/>
        <v>5.9630112936813668E-4</v>
      </c>
      <c r="AN756" s="22">
        <f t="shared" si="201"/>
        <v>5.9698587491705869E-4</v>
      </c>
      <c r="AO756" s="22">
        <f t="shared" si="201"/>
        <v>5.9771375764922606E-4</v>
      </c>
      <c r="AP756" s="22">
        <f t="shared" si="201"/>
        <v>5.9850335838718442E-4</v>
      </c>
      <c r="AQ756" s="22">
        <f t="shared" si="201"/>
        <v>5.993539230264727E-4</v>
      </c>
      <c r="AR756" s="22">
        <f t="shared" si="201"/>
        <v>6.0026554968942018E-4</v>
      </c>
      <c r="AS756" s="22">
        <f t="shared" si="201"/>
        <v>6.0058687026311956E-4</v>
      </c>
      <c r="AT756" s="22">
        <f t="shared" si="201"/>
        <v>6.0072956880295909E-4</v>
      </c>
      <c r="AU756" s="22">
        <f t="shared" si="201"/>
        <v>6.0089545684115426E-4</v>
      </c>
      <c r="AV756" s="22">
        <f t="shared" si="201"/>
        <v>6.0107404835249166E-4</v>
      </c>
      <c r="AW756" s="22">
        <f t="shared" si="201"/>
        <v>6.0128502571355803E-4</v>
      </c>
      <c r="AY756" s="79"/>
      <c r="AZ756" s="79"/>
    </row>
    <row r="757" spans="1:52" x14ac:dyDescent="0.3">
      <c r="A757" s="95" t="str">
        <f t="shared" si="176"/>
        <v>NI MM Leaching</v>
      </c>
      <c r="B757" s="95" t="s">
        <v>969</v>
      </c>
      <c r="C757" s="95" t="s">
        <v>1333</v>
      </c>
      <c r="D757" t="s">
        <v>369</v>
      </c>
      <c r="E757" t="s">
        <v>64</v>
      </c>
      <c r="F757" t="s">
        <v>63</v>
      </c>
      <c r="G757" t="s">
        <v>1170</v>
      </c>
      <c r="H757" t="s">
        <v>1315</v>
      </c>
      <c r="I757" t="s">
        <v>139</v>
      </c>
      <c r="J757" t="s">
        <v>287</v>
      </c>
      <c r="K757" s="22">
        <f t="shared" ref="K757:AW757" si="202">K1556</f>
        <v>6.6992563985089947E-3</v>
      </c>
      <c r="L757" s="22">
        <f t="shared" si="202"/>
        <v>6.716671231449923E-3</v>
      </c>
      <c r="M757" s="22">
        <f t="shared" si="202"/>
        <v>6.7406943780734313E-3</v>
      </c>
      <c r="N757" s="22">
        <f t="shared" si="202"/>
        <v>6.7699609151951386E-3</v>
      </c>
      <c r="O757" s="22">
        <f t="shared" si="202"/>
        <v>6.8044291009834836E-3</v>
      </c>
      <c r="P757" s="22">
        <f t="shared" si="202"/>
        <v>6.8438891439814974E-3</v>
      </c>
      <c r="Q757" s="22">
        <f t="shared" si="202"/>
        <v>6.8863566425632575E-3</v>
      </c>
      <c r="R757" s="22">
        <f t="shared" si="202"/>
        <v>6.9316634884048298E-3</v>
      </c>
      <c r="S757" s="22">
        <f t="shared" si="202"/>
        <v>6.9727516665736141E-3</v>
      </c>
      <c r="T757" s="22">
        <f t="shared" si="202"/>
        <v>6.9928216315679071E-3</v>
      </c>
      <c r="U757" s="22">
        <f t="shared" si="202"/>
        <v>7.0158262900129739E-3</v>
      </c>
      <c r="V757" s="22">
        <f t="shared" si="202"/>
        <v>7.0392761321003963E-3</v>
      </c>
      <c r="W757" s="22">
        <f t="shared" si="202"/>
        <v>7.0647092474634627E-3</v>
      </c>
      <c r="X757" s="22">
        <f t="shared" si="202"/>
        <v>7.0920836028346328E-3</v>
      </c>
      <c r="Y757" s="22">
        <f t="shared" si="202"/>
        <v>7.1096019933720011E-3</v>
      </c>
      <c r="Z757" s="22">
        <f t="shared" si="202"/>
        <v>7.1287680842560801E-3</v>
      </c>
      <c r="AA757" s="22">
        <f t="shared" si="202"/>
        <v>7.1493577045266439E-3</v>
      </c>
      <c r="AB757" s="22">
        <f t="shared" si="202"/>
        <v>7.1714369690296844E-3</v>
      </c>
      <c r="AC757" s="22">
        <f t="shared" si="202"/>
        <v>7.1947985576385452E-3</v>
      </c>
      <c r="AD757" s="22">
        <f t="shared" si="202"/>
        <v>7.2103780857656428E-3</v>
      </c>
      <c r="AE757" s="22">
        <f t="shared" si="202"/>
        <v>7.2269927255056137E-3</v>
      </c>
      <c r="AF757" s="22">
        <f t="shared" si="202"/>
        <v>7.2447831108296695E-3</v>
      </c>
      <c r="AG757" s="22">
        <f t="shared" si="202"/>
        <v>7.2639299335321393E-3</v>
      </c>
      <c r="AH757" s="22">
        <f t="shared" si="202"/>
        <v>7.2838547478579095E-3</v>
      </c>
      <c r="AI757" s="22">
        <f t="shared" si="202"/>
        <v>7.2961946980108746E-3</v>
      </c>
      <c r="AJ757" s="22">
        <f t="shared" si="202"/>
        <v>7.3095857907358557E-3</v>
      </c>
      <c r="AK757" s="22">
        <f t="shared" si="202"/>
        <v>7.3235623015146271E-3</v>
      </c>
      <c r="AL757" s="22">
        <f t="shared" si="202"/>
        <v>7.3382888694777E-3</v>
      </c>
      <c r="AM757" s="22">
        <f t="shared" si="202"/>
        <v>7.3537453319145558E-3</v>
      </c>
      <c r="AN757" s="22">
        <f t="shared" si="202"/>
        <v>7.3621897975308988E-3</v>
      </c>
      <c r="AO757" s="22">
        <f t="shared" si="202"/>
        <v>7.3711662424514879E-3</v>
      </c>
      <c r="AP757" s="22">
        <f t="shared" si="202"/>
        <v>7.3809038103594829E-3</v>
      </c>
      <c r="AQ757" s="22">
        <f t="shared" si="202"/>
        <v>7.3913932014365797E-3</v>
      </c>
      <c r="AR757" s="22">
        <f t="shared" si="202"/>
        <v>7.4026356257536402E-3</v>
      </c>
      <c r="AS757" s="22">
        <f t="shared" si="202"/>
        <v>7.4065982371801786E-3</v>
      </c>
      <c r="AT757" s="22">
        <f t="shared" si="202"/>
        <v>7.408358033815691E-3</v>
      </c>
      <c r="AU757" s="22">
        <f t="shared" si="202"/>
        <v>7.4104038095595542E-3</v>
      </c>
      <c r="AV757" s="22">
        <f t="shared" si="202"/>
        <v>7.4126062479386483E-3</v>
      </c>
      <c r="AW757" s="22">
        <f t="shared" si="202"/>
        <v>7.4152080772957795E-3</v>
      </c>
      <c r="AY757" s="79"/>
      <c r="AZ757" s="79"/>
    </row>
    <row r="758" spans="1:52" x14ac:dyDescent="0.3">
      <c r="A758" s="95" t="str">
        <f t="shared" si="176"/>
        <v>NI MM Leaching</v>
      </c>
      <c r="B758" s="95" t="s">
        <v>969</v>
      </c>
      <c r="C758" s="95" t="s">
        <v>1333</v>
      </c>
      <c r="D758" t="s">
        <v>369</v>
      </c>
      <c r="E758" t="s">
        <v>64</v>
      </c>
      <c r="F758" t="s">
        <v>63</v>
      </c>
      <c r="G758" t="s">
        <v>1172</v>
      </c>
      <c r="H758" t="s">
        <v>1316</v>
      </c>
      <c r="I758" t="s">
        <v>139</v>
      </c>
      <c r="J758" t="s">
        <v>287</v>
      </c>
      <c r="K758" s="22">
        <f t="shared" ref="K758:AW758" si="203">K1557</f>
        <v>0</v>
      </c>
      <c r="L758" s="22">
        <f t="shared" si="203"/>
        <v>0</v>
      </c>
      <c r="M758" s="22">
        <f t="shared" si="203"/>
        <v>0</v>
      </c>
      <c r="N758" s="22">
        <f t="shared" si="203"/>
        <v>0</v>
      </c>
      <c r="O758" s="22">
        <f t="shared" si="203"/>
        <v>0</v>
      </c>
      <c r="P758" s="22">
        <f t="shared" si="203"/>
        <v>0</v>
      </c>
      <c r="Q758" s="22">
        <f t="shared" si="203"/>
        <v>0</v>
      </c>
      <c r="R758" s="22">
        <f t="shared" si="203"/>
        <v>0</v>
      </c>
      <c r="S758" s="22">
        <f t="shared" si="203"/>
        <v>0</v>
      </c>
      <c r="T758" s="22">
        <f t="shared" si="203"/>
        <v>0</v>
      </c>
      <c r="U758" s="22">
        <f t="shared" si="203"/>
        <v>0</v>
      </c>
      <c r="V758" s="22">
        <f t="shared" si="203"/>
        <v>0</v>
      </c>
      <c r="W758" s="22">
        <f t="shared" si="203"/>
        <v>0</v>
      </c>
      <c r="X758" s="22">
        <f t="shared" si="203"/>
        <v>0</v>
      </c>
      <c r="Y758" s="22">
        <f t="shared" si="203"/>
        <v>0</v>
      </c>
      <c r="Z758" s="22">
        <f t="shared" si="203"/>
        <v>0</v>
      </c>
      <c r="AA758" s="22">
        <f t="shared" si="203"/>
        <v>0</v>
      </c>
      <c r="AB758" s="22">
        <f t="shared" si="203"/>
        <v>0</v>
      </c>
      <c r="AC758" s="22">
        <f t="shared" si="203"/>
        <v>0</v>
      </c>
      <c r="AD758" s="22">
        <f t="shared" si="203"/>
        <v>0</v>
      </c>
      <c r="AE758" s="22">
        <f t="shared" si="203"/>
        <v>0</v>
      </c>
      <c r="AF758" s="22">
        <f t="shared" si="203"/>
        <v>0</v>
      </c>
      <c r="AG758" s="22">
        <f t="shared" si="203"/>
        <v>0</v>
      </c>
      <c r="AH758" s="22">
        <f t="shared" si="203"/>
        <v>0</v>
      </c>
      <c r="AI758" s="22">
        <f t="shared" si="203"/>
        <v>0</v>
      </c>
      <c r="AJ758" s="22">
        <f t="shared" si="203"/>
        <v>0</v>
      </c>
      <c r="AK758" s="22">
        <f t="shared" si="203"/>
        <v>0</v>
      </c>
      <c r="AL758" s="22">
        <f t="shared" si="203"/>
        <v>0</v>
      </c>
      <c r="AM758" s="22">
        <f t="shared" si="203"/>
        <v>0</v>
      </c>
      <c r="AN758" s="22">
        <f t="shared" si="203"/>
        <v>0</v>
      </c>
      <c r="AO758" s="22">
        <f t="shared" si="203"/>
        <v>0</v>
      </c>
      <c r="AP758" s="22">
        <f t="shared" si="203"/>
        <v>0</v>
      </c>
      <c r="AQ758" s="22">
        <f t="shared" si="203"/>
        <v>0</v>
      </c>
      <c r="AR758" s="22">
        <f t="shared" si="203"/>
        <v>0</v>
      </c>
      <c r="AS758" s="22">
        <f t="shared" si="203"/>
        <v>0</v>
      </c>
      <c r="AT758" s="22">
        <f t="shared" si="203"/>
        <v>0</v>
      </c>
      <c r="AU758" s="22">
        <f t="shared" si="203"/>
        <v>0</v>
      </c>
      <c r="AV758" s="22">
        <f t="shared" si="203"/>
        <v>0</v>
      </c>
      <c r="AW758" s="22">
        <f t="shared" si="203"/>
        <v>0</v>
      </c>
      <c r="AY758" s="79"/>
      <c r="AZ758" s="79"/>
    </row>
    <row r="759" spans="1:52" x14ac:dyDescent="0.3">
      <c r="A759" s="95" t="str">
        <f t="shared" si="176"/>
        <v>NI MM Leaching</v>
      </c>
      <c r="B759" s="95" t="s">
        <v>969</v>
      </c>
      <c r="C759" s="95" t="s">
        <v>1333</v>
      </c>
      <c r="D759" t="s">
        <v>369</v>
      </c>
      <c r="E759" t="s">
        <v>64</v>
      </c>
      <c r="F759" t="s">
        <v>63</v>
      </c>
      <c r="G759" t="s">
        <v>1174</v>
      </c>
      <c r="H759" t="s">
        <v>1317</v>
      </c>
      <c r="I759" t="s">
        <v>139</v>
      </c>
      <c r="J759" t="s">
        <v>287</v>
      </c>
      <c r="K759" s="22">
        <f t="shared" ref="K759:AW759" si="204">K1558</f>
        <v>0</v>
      </c>
      <c r="L759" s="22">
        <f t="shared" si="204"/>
        <v>0</v>
      </c>
      <c r="M759" s="22">
        <f t="shared" si="204"/>
        <v>0</v>
      </c>
      <c r="N759" s="22">
        <f t="shared" si="204"/>
        <v>0</v>
      </c>
      <c r="O759" s="22">
        <f t="shared" si="204"/>
        <v>0</v>
      </c>
      <c r="P759" s="22">
        <f t="shared" si="204"/>
        <v>0</v>
      </c>
      <c r="Q759" s="22">
        <f t="shared" si="204"/>
        <v>0</v>
      </c>
      <c r="R759" s="22">
        <f t="shared" si="204"/>
        <v>0</v>
      </c>
      <c r="S759" s="22">
        <f t="shared" si="204"/>
        <v>0</v>
      </c>
      <c r="T759" s="22">
        <f t="shared" si="204"/>
        <v>0</v>
      </c>
      <c r="U759" s="22">
        <f t="shared" si="204"/>
        <v>0</v>
      </c>
      <c r="V759" s="22">
        <f t="shared" si="204"/>
        <v>0</v>
      </c>
      <c r="W759" s="22">
        <f t="shared" si="204"/>
        <v>0</v>
      </c>
      <c r="X759" s="22">
        <f t="shared" si="204"/>
        <v>0</v>
      </c>
      <c r="Y759" s="22">
        <f t="shared" si="204"/>
        <v>0</v>
      </c>
      <c r="Z759" s="22">
        <f t="shared" si="204"/>
        <v>0</v>
      </c>
      <c r="AA759" s="22">
        <f t="shared" si="204"/>
        <v>0</v>
      </c>
      <c r="AB759" s="22">
        <f t="shared" si="204"/>
        <v>0</v>
      </c>
      <c r="AC759" s="22">
        <f t="shared" si="204"/>
        <v>0</v>
      </c>
      <c r="AD759" s="22">
        <f t="shared" si="204"/>
        <v>0</v>
      </c>
      <c r="AE759" s="22">
        <f t="shared" si="204"/>
        <v>0</v>
      </c>
      <c r="AF759" s="22">
        <f t="shared" si="204"/>
        <v>0</v>
      </c>
      <c r="AG759" s="22">
        <f t="shared" si="204"/>
        <v>0</v>
      </c>
      <c r="AH759" s="22">
        <f t="shared" si="204"/>
        <v>0</v>
      </c>
      <c r="AI759" s="22">
        <f t="shared" si="204"/>
        <v>0</v>
      </c>
      <c r="AJ759" s="22">
        <f t="shared" si="204"/>
        <v>0</v>
      </c>
      <c r="AK759" s="22">
        <f t="shared" si="204"/>
        <v>0</v>
      </c>
      <c r="AL759" s="22">
        <f t="shared" si="204"/>
        <v>0</v>
      </c>
      <c r="AM759" s="22">
        <f t="shared" si="204"/>
        <v>0</v>
      </c>
      <c r="AN759" s="22">
        <f t="shared" si="204"/>
        <v>0</v>
      </c>
      <c r="AO759" s="22">
        <f t="shared" si="204"/>
        <v>0</v>
      </c>
      <c r="AP759" s="22">
        <f t="shared" si="204"/>
        <v>0</v>
      </c>
      <c r="AQ759" s="22">
        <f t="shared" si="204"/>
        <v>0</v>
      </c>
      <c r="AR759" s="22">
        <f t="shared" si="204"/>
        <v>0</v>
      </c>
      <c r="AS759" s="22">
        <f t="shared" si="204"/>
        <v>0</v>
      </c>
      <c r="AT759" s="22">
        <f t="shared" si="204"/>
        <v>0</v>
      </c>
      <c r="AU759" s="22">
        <f t="shared" si="204"/>
        <v>0</v>
      </c>
      <c r="AV759" s="22">
        <f t="shared" si="204"/>
        <v>0</v>
      </c>
      <c r="AW759" s="22">
        <f t="shared" si="204"/>
        <v>0</v>
      </c>
      <c r="AY759" s="79"/>
      <c r="AZ759" s="79"/>
    </row>
    <row r="760" spans="1:52" x14ac:dyDescent="0.3">
      <c r="A760" s="95" t="str">
        <f t="shared" si="176"/>
        <v>NI MM Leaching</v>
      </c>
      <c r="B760" s="95" t="s">
        <v>969</v>
      </c>
      <c r="C760" s="95" t="s">
        <v>1333</v>
      </c>
      <c r="D760" t="s">
        <v>369</v>
      </c>
      <c r="E760" t="s">
        <v>64</v>
      </c>
      <c r="F760" t="s">
        <v>63</v>
      </c>
      <c r="G760" t="s">
        <v>1176</v>
      </c>
      <c r="H760" t="s">
        <v>1318</v>
      </c>
      <c r="I760" t="s">
        <v>139</v>
      </c>
      <c r="J760" t="s">
        <v>287</v>
      </c>
      <c r="K760" s="22">
        <f t="shared" ref="K760:AW760" si="205">K1559</f>
        <v>2.6875086183165937E-2</v>
      </c>
      <c r="L760" s="22">
        <f t="shared" si="205"/>
        <v>2.6729002214214568E-2</v>
      </c>
      <c r="M760" s="22">
        <f t="shared" si="205"/>
        <v>2.6740992333189318E-2</v>
      </c>
      <c r="N760" s="22">
        <f t="shared" si="205"/>
        <v>2.6495489531984443E-2</v>
      </c>
      <c r="O760" s="22">
        <f t="shared" si="205"/>
        <v>2.609452683304701E-2</v>
      </c>
      <c r="P760" s="22">
        <f t="shared" si="205"/>
        <v>2.5544514050244025E-2</v>
      </c>
      <c r="Q760" s="22">
        <f t="shared" si="205"/>
        <v>2.5145143775072754E-2</v>
      </c>
      <c r="R760" s="22">
        <f t="shared" si="205"/>
        <v>2.4781112413324514E-2</v>
      </c>
      <c r="S760" s="22">
        <f t="shared" si="205"/>
        <v>2.1880480805765091E-2</v>
      </c>
      <c r="T760" s="22">
        <f t="shared" si="205"/>
        <v>2.2157174302587897E-2</v>
      </c>
      <c r="U760" s="22">
        <f t="shared" si="205"/>
        <v>2.2750904230467162E-2</v>
      </c>
      <c r="V760" s="22">
        <f t="shared" si="205"/>
        <v>2.2804811823411601E-2</v>
      </c>
      <c r="W760" s="22">
        <f t="shared" si="205"/>
        <v>2.292155171126611E-2</v>
      </c>
      <c r="X760" s="22">
        <f t="shared" si="205"/>
        <v>2.3117832526296487E-2</v>
      </c>
      <c r="Y760" s="22">
        <f t="shared" si="205"/>
        <v>2.3364125716575319E-2</v>
      </c>
      <c r="Z760" s="22">
        <f t="shared" si="205"/>
        <v>2.3665937141590494E-2</v>
      </c>
      <c r="AA760" s="22">
        <f t="shared" si="205"/>
        <v>2.3971277948899337E-2</v>
      </c>
      <c r="AB760" s="22">
        <f t="shared" si="205"/>
        <v>2.4323808269457244E-2</v>
      </c>
      <c r="AC760" s="22">
        <f t="shared" si="205"/>
        <v>2.4673905433943388E-2</v>
      </c>
      <c r="AD760" s="22">
        <f t="shared" si="205"/>
        <v>2.5109167618050737E-2</v>
      </c>
      <c r="AE760" s="22">
        <f t="shared" si="205"/>
        <v>2.5509858249217851E-2</v>
      </c>
      <c r="AF760" s="22">
        <f t="shared" si="205"/>
        <v>2.5936225115881856E-2</v>
      </c>
      <c r="AG760" s="22">
        <f t="shared" si="205"/>
        <v>2.6456337070766354E-2</v>
      </c>
      <c r="AH760" s="22">
        <f t="shared" si="205"/>
        <v>2.6902942278627297E-2</v>
      </c>
      <c r="AI760" s="22">
        <f t="shared" si="205"/>
        <v>2.7384983876862477E-2</v>
      </c>
      <c r="AJ760" s="22">
        <f t="shared" si="205"/>
        <v>2.7908158351219941E-2</v>
      </c>
      <c r="AK760" s="22">
        <f t="shared" si="205"/>
        <v>2.8344604443718637E-2</v>
      </c>
      <c r="AL760" s="22">
        <f t="shared" si="205"/>
        <v>2.8753897192929187E-2</v>
      </c>
      <c r="AM760" s="22">
        <f t="shared" si="205"/>
        <v>2.9139337629284397E-2</v>
      </c>
      <c r="AN760" s="22">
        <f t="shared" si="205"/>
        <v>2.9584390604572932E-2</v>
      </c>
      <c r="AO760" s="22">
        <f t="shared" si="205"/>
        <v>2.9970416689145254E-2</v>
      </c>
      <c r="AP760" s="22">
        <f t="shared" si="205"/>
        <v>3.0368893670993099E-2</v>
      </c>
      <c r="AQ760" s="22">
        <f t="shared" si="205"/>
        <v>3.0782827170501174E-2</v>
      </c>
      <c r="AR760" s="22">
        <f t="shared" si="205"/>
        <v>3.1217396528975507E-2</v>
      </c>
      <c r="AS760" s="22">
        <f t="shared" si="205"/>
        <v>3.1673723172219483E-2</v>
      </c>
      <c r="AT760" s="22">
        <f t="shared" si="205"/>
        <v>3.1396042142995774E-2</v>
      </c>
      <c r="AU760" s="22">
        <f t="shared" si="205"/>
        <v>3.1054190241510845E-2</v>
      </c>
      <c r="AV760" s="22">
        <f t="shared" si="205"/>
        <v>3.0622832551979947E-2</v>
      </c>
      <c r="AW760" s="22">
        <f t="shared" si="205"/>
        <v>3.01703196842419E-2</v>
      </c>
      <c r="AY760" s="79"/>
      <c r="AZ760" s="79"/>
    </row>
    <row r="761" spans="1:52" x14ac:dyDescent="0.3">
      <c r="A761" s="95" t="str">
        <f t="shared" si="176"/>
        <v>NI MM Leaching</v>
      </c>
      <c r="B761" s="95" t="s">
        <v>969</v>
      </c>
      <c r="C761" s="95" t="s">
        <v>1333</v>
      </c>
      <c r="D761" t="s">
        <v>369</v>
      </c>
      <c r="E761" t="s">
        <v>64</v>
      </c>
      <c r="F761" t="s">
        <v>63</v>
      </c>
      <c r="G761" t="s">
        <v>1178</v>
      </c>
      <c r="H761" t="s">
        <v>1319</v>
      </c>
      <c r="I761" t="s">
        <v>139</v>
      </c>
      <c r="J761" t="s">
        <v>287</v>
      </c>
      <c r="K761" s="22">
        <f t="shared" ref="K761:AW761" si="206">K1560</f>
        <v>4.0166140097319695E-3</v>
      </c>
      <c r="L761" s="22">
        <f t="shared" si="206"/>
        <v>3.994781041000697E-3</v>
      </c>
      <c r="M761" s="22">
        <f t="shared" si="206"/>
        <v>3.9965730233416695E-3</v>
      </c>
      <c r="N761" s="22">
        <f t="shared" si="206"/>
        <v>3.9598814204188995E-3</v>
      </c>
      <c r="O761" s="22">
        <f t="shared" si="206"/>
        <v>3.8999555700251301E-3</v>
      </c>
      <c r="P761" s="22">
        <f t="shared" si="206"/>
        <v>3.8177534504158571E-3</v>
      </c>
      <c r="Q761" s="22">
        <f t="shared" si="206"/>
        <v>3.7580655955978047E-3</v>
      </c>
      <c r="R761" s="22">
        <f t="shared" si="206"/>
        <v>3.7036593154610871E-3</v>
      </c>
      <c r="S761" s="22">
        <f t="shared" si="206"/>
        <v>3.2701456339573466E-3</v>
      </c>
      <c r="T761" s="22">
        <f t="shared" si="206"/>
        <v>3.31149883997744E-3</v>
      </c>
      <c r="U761" s="22">
        <f t="shared" si="206"/>
        <v>3.4002347022576052E-3</v>
      </c>
      <c r="V761" s="22">
        <f t="shared" si="206"/>
        <v>3.40829145755788E-3</v>
      </c>
      <c r="W761" s="22">
        <f t="shared" si="206"/>
        <v>3.4257388088279458E-3</v>
      </c>
      <c r="X761" s="22">
        <f t="shared" si="206"/>
        <v>3.4550739434622826E-3</v>
      </c>
      <c r="Y761" s="22">
        <f t="shared" si="206"/>
        <v>3.491883673925408E-3</v>
      </c>
      <c r="Z761" s="22">
        <f t="shared" si="206"/>
        <v>3.5369908780382062E-3</v>
      </c>
      <c r="AA761" s="22">
        <f t="shared" si="206"/>
        <v>3.5826255657196082E-3</v>
      </c>
      <c r="AB761" s="22">
        <f t="shared" si="206"/>
        <v>3.6353129585993062E-3</v>
      </c>
      <c r="AC761" s="22">
        <f t="shared" si="206"/>
        <v>3.6876367043189875E-3</v>
      </c>
      <c r="AD761" s="22">
        <f t="shared" si="206"/>
        <v>3.7526887817217083E-3</v>
      </c>
      <c r="AE761" s="22">
        <f t="shared" si="206"/>
        <v>3.8125739702470681E-3</v>
      </c>
      <c r="AF761" s="22">
        <f t="shared" si="206"/>
        <v>3.87629659864187E-3</v>
      </c>
      <c r="AG761" s="22">
        <f t="shared" si="206"/>
        <v>3.9540298922350536E-3</v>
      </c>
      <c r="AH761" s="22">
        <f t="shared" si="206"/>
        <v>4.0207772404105219E-3</v>
      </c>
      <c r="AI761" s="22">
        <f t="shared" si="206"/>
        <v>4.0928207316778291E-3</v>
      </c>
      <c r="AJ761" s="22">
        <f t="shared" si="206"/>
        <v>4.1710117338914204E-3</v>
      </c>
      <c r="AK761" s="22">
        <f t="shared" si="206"/>
        <v>4.2362407522348522E-3</v>
      </c>
      <c r="AL761" s="22">
        <f t="shared" si="206"/>
        <v>4.2974115696735888E-3</v>
      </c>
      <c r="AM761" s="22">
        <f t="shared" si="206"/>
        <v>4.3550175414658315E-3</v>
      </c>
      <c r="AN761" s="22">
        <f t="shared" si="206"/>
        <v>4.4215329008374625E-3</v>
      </c>
      <c r="AO761" s="22">
        <f t="shared" si="206"/>
        <v>4.479226400640501E-3</v>
      </c>
      <c r="AP761" s="22">
        <f t="shared" si="206"/>
        <v>4.5387807483712392E-3</v>
      </c>
      <c r="AQ761" s="22">
        <f t="shared" si="206"/>
        <v>4.6006451488010665E-3</v>
      </c>
      <c r="AR761" s="22">
        <f t="shared" si="206"/>
        <v>4.665593680000254E-3</v>
      </c>
      <c r="AS761" s="22">
        <f t="shared" si="206"/>
        <v>4.7337939445789724E-3</v>
      </c>
      <c r="AT761" s="22">
        <f t="shared" si="206"/>
        <v>4.6922931469772361E-3</v>
      </c>
      <c r="AU761" s="22">
        <f t="shared" si="206"/>
        <v>4.6412016964271002E-3</v>
      </c>
      <c r="AV761" s="22">
        <f t="shared" si="206"/>
        <v>4.5767331649713494E-3</v>
      </c>
      <c r="AW761" s="22">
        <f t="shared" si="206"/>
        <v>4.5091028879276577E-3</v>
      </c>
      <c r="AY761" s="79"/>
      <c r="AZ761" s="79"/>
    </row>
    <row r="762" spans="1:52" x14ac:dyDescent="0.3">
      <c r="A762" s="95" t="str">
        <f t="shared" si="176"/>
        <v>NI MM Leaching</v>
      </c>
      <c r="B762" s="95" t="s">
        <v>969</v>
      </c>
      <c r="C762" s="95" t="s">
        <v>1333</v>
      </c>
      <c r="D762" t="s">
        <v>369</v>
      </c>
      <c r="E762" t="s">
        <v>64</v>
      </c>
      <c r="F762" t="s">
        <v>63</v>
      </c>
      <c r="G762" t="s">
        <v>1180</v>
      </c>
      <c r="H762" t="s">
        <v>1320</v>
      </c>
      <c r="I762" t="s">
        <v>139</v>
      </c>
      <c r="J762" t="s">
        <v>287</v>
      </c>
      <c r="K762" s="22">
        <f t="shared" ref="K762:AW762" si="207">K1561</f>
        <v>1.6726645268412742E-2</v>
      </c>
      <c r="L762" s="22">
        <f t="shared" si="207"/>
        <v>1.7066731126843739E-2</v>
      </c>
      <c r="M762" s="22">
        <f t="shared" si="207"/>
        <v>1.7464259263446445E-2</v>
      </c>
      <c r="N762" s="22">
        <f t="shared" si="207"/>
        <v>1.77694513935726E-2</v>
      </c>
      <c r="O762" s="22">
        <f t="shared" si="207"/>
        <v>1.8014444056791569E-2</v>
      </c>
      <c r="P762" s="22">
        <f t="shared" si="207"/>
        <v>1.8197780265539362E-2</v>
      </c>
      <c r="Q762" s="22">
        <f t="shared" si="207"/>
        <v>1.8432867891885713E-2</v>
      </c>
      <c r="R762" s="22">
        <f t="shared" si="207"/>
        <v>1.8677293946611207E-2</v>
      </c>
      <c r="S762" s="22">
        <f t="shared" si="207"/>
        <v>1.7845993977500554E-2</v>
      </c>
      <c r="T762" s="22">
        <f t="shared" si="207"/>
        <v>1.8290177947761724E-2</v>
      </c>
      <c r="U762" s="22">
        <f t="shared" si="207"/>
        <v>1.8882126643784119E-2</v>
      </c>
      <c r="V762" s="22">
        <f t="shared" si="207"/>
        <v>1.9244149446427172E-2</v>
      </c>
      <c r="W762" s="22">
        <f t="shared" si="207"/>
        <v>1.9638833779478608E-2</v>
      </c>
      <c r="X762" s="22">
        <f t="shared" si="207"/>
        <v>2.0076166391792365E-2</v>
      </c>
      <c r="Y762" s="22">
        <f t="shared" si="207"/>
        <v>2.0527873811486335E-2</v>
      </c>
      <c r="Z762" s="22">
        <f t="shared" si="207"/>
        <v>2.1014725008073262E-2</v>
      </c>
      <c r="AA762" s="22">
        <f t="shared" si="207"/>
        <v>2.1512524786700418E-2</v>
      </c>
      <c r="AB762" s="22">
        <f t="shared" si="207"/>
        <v>2.204403910450644E-2</v>
      </c>
      <c r="AC762" s="22">
        <f t="shared" si="207"/>
        <v>2.2585019508801499E-2</v>
      </c>
      <c r="AD762" s="22">
        <f t="shared" si="207"/>
        <v>2.3168701426676565E-2</v>
      </c>
      <c r="AE762" s="22">
        <f t="shared" si="207"/>
        <v>2.3746356188951337E-2</v>
      </c>
      <c r="AF762" s="22">
        <f t="shared" si="207"/>
        <v>2.4350664580619397E-2</v>
      </c>
      <c r="AG762" s="22">
        <f t="shared" si="207"/>
        <v>2.5021362816751564E-2</v>
      </c>
      <c r="AH762" s="22">
        <f t="shared" si="207"/>
        <v>2.5665252656926436E-2</v>
      </c>
      <c r="AI762" s="22">
        <f t="shared" si="207"/>
        <v>2.6331138974392616E-2</v>
      </c>
      <c r="AJ762" s="22">
        <f t="shared" si="207"/>
        <v>2.7037084930771747E-2</v>
      </c>
      <c r="AK762" s="22">
        <f t="shared" si="207"/>
        <v>2.7706662515763772E-2</v>
      </c>
      <c r="AL762" s="22">
        <f t="shared" si="207"/>
        <v>2.8374415178094886E-2</v>
      </c>
      <c r="AM762" s="22">
        <f t="shared" si="207"/>
        <v>2.9041879152159198E-2</v>
      </c>
      <c r="AN762" s="22">
        <f t="shared" si="207"/>
        <v>2.9750026658148378E-2</v>
      </c>
      <c r="AO762" s="22">
        <f t="shared" si="207"/>
        <v>3.0435625912582094E-2</v>
      </c>
      <c r="AP762" s="22">
        <f t="shared" si="207"/>
        <v>3.1144967675009176E-2</v>
      </c>
      <c r="AQ762" s="22">
        <f t="shared" si="207"/>
        <v>3.1881013101963972E-2</v>
      </c>
      <c r="AR762" s="22">
        <f t="shared" si="207"/>
        <v>3.2648423492469485E-2</v>
      </c>
      <c r="AS762" s="22">
        <f t="shared" si="207"/>
        <v>3.3436328313148703E-2</v>
      </c>
      <c r="AT762" s="22">
        <f t="shared" si="207"/>
        <v>3.371230344910283E-2</v>
      </c>
      <c r="AU762" s="22">
        <f t="shared" si="207"/>
        <v>3.39408780706969E-2</v>
      </c>
      <c r="AV762" s="22">
        <f t="shared" si="207"/>
        <v>3.4100500286935446E-2</v>
      </c>
      <c r="AW762" s="22">
        <f t="shared" si="207"/>
        <v>3.4239705581718134E-2</v>
      </c>
      <c r="AY762" s="79"/>
      <c r="AZ762" s="79"/>
    </row>
    <row r="763" spans="1:52" x14ac:dyDescent="0.3">
      <c r="A763" s="95" t="str">
        <f t="shared" si="176"/>
        <v>NI MM Leaching</v>
      </c>
      <c r="B763" s="95" t="s">
        <v>969</v>
      </c>
      <c r="C763" s="95" t="s">
        <v>1333</v>
      </c>
      <c r="D763" t="s">
        <v>369</v>
      </c>
      <c r="E763" t="s">
        <v>64</v>
      </c>
      <c r="F763" t="s">
        <v>63</v>
      </c>
      <c r="G763" t="s">
        <v>1182</v>
      </c>
      <c r="H763" t="s">
        <v>1321</v>
      </c>
      <c r="I763" t="s">
        <v>139</v>
      </c>
      <c r="J763" t="s">
        <v>287</v>
      </c>
      <c r="K763" s="22">
        <f t="shared" ref="K763:AW763" si="208">K1562</f>
        <v>7.758579791322931E-2</v>
      </c>
      <c r="L763" s="22">
        <f t="shared" si="208"/>
        <v>7.8607464197542429E-2</v>
      </c>
      <c r="M763" s="22">
        <f t="shared" si="208"/>
        <v>8.0248553313821205E-2</v>
      </c>
      <c r="N763" s="22">
        <f t="shared" si="208"/>
        <v>8.0719757945382262E-2</v>
      </c>
      <c r="O763" s="22">
        <f t="shared" si="208"/>
        <v>8.0430818839717741E-2</v>
      </c>
      <c r="P763" s="22">
        <f t="shared" si="208"/>
        <v>7.938481013134728E-2</v>
      </c>
      <c r="Q763" s="22">
        <f t="shared" si="208"/>
        <v>7.8944464359385597E-2</v>
      </c>
      <c r="R763" s="22">
        <f t="shared" si="208"/>
        <v>7.8604018955287347E-2</v>
      </c>
      <c r="S763" s="22">
        <f t="shared" si="208"/>
        <v>6.6259107806349124E-2</v>
      </c>
      <c r="T763" s="22">
        <f t="shared" si="208"/>
        <v>6.8883290688916743E-2</v>
      </c>
      <c r="U763" s="22">
        <f t="shared" si="208"/>
        <v>7.307131784092237E-2</v>
      </c>
      <c r="V763" s="22">
        <f t="shared" si="208"/>
        <v>7.4685850466012449E-2</v>
      </c>
      <c r="W763" s="22">
        <f t="shared" si="208"/>
        <v>7.6617949690607756E-2</v>
      </c>
      <c r="X763" s="22">
        <f t="shared" si="208"/>
        <v>7.8965775854052137E-2</v>
      </c>
      <c r="Y763" s="22">
        <f t="shared" si="208"/>
        <v>8.1661778442119887E-2</v>
      </c>
      <c r="Z763" s="22">
        <f t="shared" si="208"/>
        <v>8.4680896790548951E-2</v>
      </c>
      <c r="AA763" s="22">
        <f t="shared" si="208"/>
        <v>8.776412775274034E-2</v>
      </c>
      <c r="AB763" s="22">
        <f t="shared" si="208"/>
        <v>9.1145488449202117E-2</v>
      </c>
      <c r="AC763" s="22">
        <f t="shared" si="208"/>
        <v>9.4570204644651698E-2</v>
      </c>
      <c r="AD763" s="22">
        <f t="shared" si="208"/>
        <v>9.8568154697968743E-2</v>
      </c>
      <c r="AE763" s="22">
        <f t="shared" si="208"/>
        <v>0.10244796560739347</v>
      </c>
      <c r="AF763" s="22">
        <f t="shared" si="208"/>
        <v>0.10654057141624064</v>
      </c>
      <c r="AG763" s="22">
        <f t="shared" si="208"/>
        <v>0.11123806657675694</v>
      </c>
      <c r="AH763" s="22">
        <f t="shared" si="208"/>
        <v>0.11560654614552646</v>
      </c>
      <c r="AI763" s="22">
        <f t="shared" si="208"/>
        <v>0.12031218938193437</v>
      </c>
      <c r="AJ763" s="22">
        <f t="shared" si="208"/>
        <v>0.12535029329403399</v>
      </c>
      <c r="AK763" s="22">
        <f t="shared" si="208"/>
        <v>0.12997331250710895</v>
      </c>
      <c r="AL763" s="22">
        <f t="shared" si="208"/>
        <v>0.13452286194458821</v>
      </c>
      <c r="AM763" s="22">
        <f t="shared" si="208"/>
        <v>0.13901554953719861</v>
      </c>
      <c r="AN763" s="22">
        <f t="shared" si="208"/>
        <v>0.1440082698862134</v>
      </c>
      <c r="AO763" s="22">
        <f t="shared" si="208"/>
        <v>0.14873185090680655</v>
      </c>
      <c r="AP763" s="22">
        <f t="shared" si="208"/>
        <v>0.15362755351583215</v>
      </c>
      <c r="AQ763" s="22">
        <f t="shared" si="208"/>
        <v>0.15872063106624867</v>
      </c>
      <c r="AR763" s="22">
        <f t="shared" si="208"/>
        <v>0.16405164052421939</v>
      </c>
      <c r="AS763" s="22">
        <f t="shared" si="208"/>
        <v>0.16968110376218293</v>
      </c>
      <c r="AT763" s="22">
        <f t="shared" si="208"/>
        <v>0.17053816071119138</v>
      </c>
      <c r="AU763" s="22">
        <f t="shared" si="208"/>
        <v>0.17095629027566819</v>
      </c>
      <c r="AV763" s="22">
        <f t="shared" si="208"/>
        <v>0.17074584650981994</v>
      </c>
      <c r="AW763" s="22">
        <f t="shared" si="208"/>
        <v>0.17035646457405007</v>
      </c>
      <c r="AY763" s="79"/>
      <c r="AZ763" s="79"/>
    </row>
    <row r="764" spans="1:52" x14ac:dyDescent="0.3">
      <c r="A764" s="95"/>
      <c r="B764" s="95"/>
      <c r="C764" s="95"/>
    </row>
    <row r="765" spans="1:52" x14ac:dyDescent="0.3">
      <c r="A765" s="95" t="str">
        <f t="shared" si="176"/>
        <v>BD Cattle</v>
      </c>
      <c r="B765" s="95" t="s">
        <v>1228</v>
      </c>
      <c r="C765" s="95" t="s">
        <v>1108</v>
      </c>
      <c r="D765" t="s">
        <v>15</v>
      </c>
      <c r="E765" t="s">
        <v>16</v>
      </c>
      <c r="F765" t="s">
        <v>6</v>
      </c>
      <c r="G765" t="s">
        <v>136</v>
      </c>
      <c r="H765" t="s">
        <v>1020</v>
      </c>
      <c r="I765" t="s">
        <v>121</v>
      </c>
      <c r="J765" t="s">
        <v>286</v>
      </c>
      <c r="K765" s="27">
        <f>K1379</f>
        <v>72.246065125367707</v>
      </c>
      <c r="L765" s="27">
        <f t="shared" ref="L765:AW772" si="209">L1379</f>
        <v>72.649957574793376</v>
      </c>
      <c r="M765" s="27">
        <f t="shared" si="209"/>
        <v>73.223011790998029</v>
      </c>
      <c r="N765" s="27">
        <f t="shared" si="209"/>
        <v>73.591260167761035</v>
      </c>
      <c r="O765" s="27">
        <f t="shared" si="209"/>
        <v>73.835962898346551</v>
      </c>
      <c r="P765" s="27">
        <f t="shared" si="209"/>
        <v>73.954711561483904</v>
      </c>
      <c r="Q765" s="27">
        <f t="shared" si="209"/>
        <v>74.217071552078707</v>
      </c>
      <c r="R765" s="27">
        <f t="shared" si="209"/>
        <v>74.518042528471312</v>
      </c>
      <c r="S765" s="27">
        <f t="shared" si="209"/>
        <v>72.278060008832611</v>
      </c>
      <c r="T765" s="27">
        <f t="shared" si="209"/>
        <v>73.038072409871731</v>
      </c>
      <c r="U765" s="27">
        <f t="shared" si="209"/>
        <v>74.1505294629453</v>
      </c>
      <c r="V765" s="27">
        <f t="shared" si="209"/>
        <v>74.727142714641815</v>
      </c>
      <c r="W765" s="27">
        <f t="shared" si="209"/>
        <v>75.386134904907664</v>
      </c>
      <c r="X765" s="27">
        <f t="shared" si="209"/>
        <v>76.148849321322899</v>
      </c>
      <c r="Y765" s="27">
        <f t="shared" si="209"/>
        <v>76.927724649348932</v>
      </c>
      <c r="Z765" s="27">
        <f t="shared" si="209"/>
        <v>77.789839188812167</v>
      </c>
      <c r="AA765" s="27">
        <f t="shared" si="209"/>
        <v>78.678659679683463</v>
      </c>
      <c r="AB765" s="27">
        <f t="shared" si="209"/>
        <v>79.645214708438644</v>
      </c>
      <c r="AC765" s="27">
        <f t="shared" si="209"/>
        <v>80.63357341135027</v>
      </c>
      <c r="AD765" s="27">
        <f t="shared" si="209"/>
        <v>81.701326888312266</v>
      </c>
      <c r="AE765" s="27">
        <f t="shared" si="209"/>
        <v>82.754629010299467</v>
      </c>
      <c r="AF765" s="27">
        <f t="shared" si="209"/>
        <v>83.866381546619579</v>
      </c>
      <c r="AG765" s="27">
        <f t="shared" si="209"/>
        <v>85.123957452137844</v>
      </c>
      <c r="AH765" s="27">
        <f t="shared" si="209"/>
        <v>86.31962290876946</v>
      </c>
      <c r="AI765" s="27">
        <f t="shared" si="209"/>
        <v>87.545771501366829</v>
      </c>
      <c r="AJ765" s="27">
        <f t="shared" si="209"/>
        <v>88.857081922014302</v>
      </c>
      <c r="AK765" s="27">
        <f t="shared" si="209"/>
        <v>90.085621753712104</v>
      </c>
      <c r="AL765" s="27">
        <f t="shared" si="209"/>
        <v>91.307494637553916</v>
      </c>
      <c r="AM765" s="27">
        <f t="shared" si="209"/>
        <v>92.526099205531537</v>
      </c>
      <c r="AN765" s="27">
        <f t="shared" si="209"/>
        <v>93.815346302798517</v>
      </c>
      <c r="AO765" s="27">
        <f t="shared" si="209"/>
        <v>95.052737285389242</v>
      </c>
      <c r="AP765" s="27">
        <f t="shared" si="209"/>
        <v>96.338177882566526</v>
      </c>
      <c r="AQ765" s="27">
        <f t="shared" si="209"/>
        <v>97.677530754509618</v>
      </c>
      <c r="AR765" s="27">
        <f t="shared" si="209"/>
        <v>99.08022368038182</v>
      </c>
      <c r="AS765" s="27">
        <f t="shared" si="209"/>
        <v>100.50772839666152</v>
      </c>
      <c r="AT765" s="27">
        <f t="shared" si="209"/>
        <v>100.84617835677685</v>
      </c>
      <c r="AU765" s="27">
        <f t="shared" si="209"/>
        <v>101.08705215806816</v>
      </c>
      <c r="AV765" s="27">
        <f t="shared" si="209"/>
        <v>101.18574255533849</v>
      </c>
      <c r="AW765" s="27">
        <f t="shared" si="209"/>
        <v>101.24533448141288</v>
      </c>
      <c r="AY765" s="79"/>
      <c r="AZ765" s="79"/>
    </row>
    <row r="766" spans="1:52" x14ac:dyDescent="0.3">
      <c r="A766" s="95" t="str">
        <f t="shared" si="176"/>
        <v>BD Cattle</v>
      </c>
      <c r="B766" s="95" t="s">
        <v>1228</v>
      </c>
      <c r="C766" s="95" t="s">
        <v>1108</v>
      </c>
      <c r="D766" t="s">
        <v>15</v>
      </c>
      <c r="E766" t="s">
        <v>16</v>
      </c>
      <c r="F766" t="s">
        <v>6</v>
      </c>
      <c r="G766" t="s">
        <v>137</v>
      </c>
      <c r="H766" t="s">
        <v>1020</v>
      </c>
      <c r="I766" t="s">
        <v>121</v>
      </c>
      <c r="J766" t="s">
        <v>286</v>
      </c>
      <c r="K766" s="27">
        <f t="shared" ref="K766:Z778" si="210">K1380</f>
        <v>57.783598896292567</v>
      </c>
      <c r="L766" s="27">
        <f t="shared" si="210"/>
        <v>58.106638763645272</v>
      </c>
      <c r="M766" s="27">
        <f t="shared" si="210"/>
        <v>58.564977012483297</v>
      </c>
      <c r="N766" s="27">
        <f t="shared" si="210"/>
        <v>58.859508160444918</v>
      </c>
      <c r="O766" s="27">
        <f t="shared" si="210"/>
        <v>59.055225455337649</v>
      </c>
      <c r="P766" s="27">
        <f t="shared" si="210"/>
        <v>59.150202601958597</v>
      </c>
      <c r="Q766" s="27">
        <f t="shared" si="210"/>
        <v>59.360042465716688</v>
      </c>
      <c r="R766" s="27">
        <f t="shared" si="210"/>
        <v>59.600764035107602</v>
      </c>
      <c r="S766" s="27">
        <f t="shared" si="210"/>
        <v>57.809188933752196</v>
      </c>
      <c r="T766" s="27">
        <f t="shared" si="210"/>
        <v>58.417059433849957</v>
      </c>
      <c r="U766" s="27">
        <f t="shared" si="210"/>
        <v>59.306821001246142</v>
      </c>
      <c r="V766" s="27">
        <f t="shared" si="210"/>
        <v>59.768005825589199</v>
      </c>
      <c r="W766" s="27">
        <f t="shared" si="210"/>
        <v>60.295078688755297</v>
      </c>
      <c r="X766" s="27">
        <f t="shared" si="210"/>
        <v>60.905110305481806</v>
      </c>
      <c r="Y766" s="27">
        <f t="shared" si="210"/>
        <v>61.528067686853028</v>
      </c>
      <c r="Z766" s="27">
        <f t="shared" si="210"/>
        <v>62.217601167528549</v>
      </c>
      <c r="AA766" s="27">
        <f t="shared" si="209"/>
        <v>62.928494510248186</v>
      </c>
      <c r="AB766" s="27">
        <f t="shared" si="209"/>
        <v>63.701561223236183</v>
      </c>
      <c r="AC766" s="27">
        <f t="shared" si="209"/>
        <v>64.492066875766909</v>
      </c>
      <c r="AD766" s="27">
        <f t="shared" si="209"/>
        <v>65.346073782936557</v>
      </c>
      <c r="AE766" s="27">
        <f t="shared" si="209"/>
        <v>66.18852225716013</v>
      </c>
      <c r="AF766" s="27">
        <f t="shared" si="209"/>
        <v>67.077720340393881</v>
      </c>
      <c r="AG766" s="27">
        <f t="shared" si="209"/>
        <v>68.083550368368549</v>
      </c>
      <c r="AH766" s="27">
        <f t="shared" si="209"/>
        <v>69.039863394417281</v>
      </c>
      <c r="AI766" s="27">
        <f t="shared" si="209"/>
        <v>70.020557337249372</v>
      </c>
      <c r="AJ766" s="27">
        <f t="shared" si="209"/>
        <v>71.069365119981001</v>
      </c>
      <c r="AK766" s="27">
        <f t="shared" si="209"/>
        <v>72.051971615431754</v>
      </c>
      <c r="AL766" s="27">
        <f t="shared" si="209"/>
        <v>73.029245775618222</v>
      </c>
      <c r="AM766" s="27">
        <f t="shared" si="209"/>
        <v>74.003905882670679</v>
      </c>
      <c r="AN766" s="27">
        <f t="shared" si="209"/>
        <v>75.035067054111778</v>
      </c>
      <c r="AO766" s="27">
        <f t="shared" si="209"/>
        <v>76.024752846574486</v>
      </c>
      <c r="AP766" s="27">
        <f t="shared" si="209"/>
        <v>77.05286951622854</v>
      </c>
      <c r="AQ766" s="27">
        <f t="shared" si="209"/>
        <v>78.12410611573965</v>
      </c>
      <c r="AR766" s="27">
        <f t="shared" si="209"/>
        <v>79.246003138956311</v>
      </c>
      <c r="AS766" s="27">
        <f t="shared" si="209"/>
        <v>80.387745042891623</v>
      </c>
      <c r="AT766" s="27">
        <f t="shared" si="209"/>
        <v>80.658442923915771</v>
      </c>
      <c r="AU766" s="27">
        <f t="shared" si="209"/>
        <v>80.851097777772381</v>
      </c>
      <c r="AV766" s="27">
        <f t="shared" si="209"/>
        <v>80.930031991295138</v>
      </c>
      <c r="AW766" s="27">
        <f t="shared" si="209"/>
        <v>80.977694600293489</v>
      </c>
      <c r="AY766" s="79"/>
      <c r="AZ766" s="79"/>
    </row>
    <row r="767" spans="1:52" x14ac:dyDescent="0.3">
      <c r="A767" s="95" t="str">
        <f t="shared" si="176"/>
        <v>BD Cattle</v>
      </c>
      <c r="B767" s="95" t="s">
        <v>1228</v>
      </c>
      <c r="C767" s="95" t="s">
        <v>1108</v>
      </c>
      <c r="D767" t="s">
        <v>15</v>
      </c>
      <c r="E767" t="s">
        <v>16</v>
      </c>
      <c r="F767" t="s">
        <v>67</v>
      </c>
      <c r="G767" t="s">
        <v>307</v>
      </c>
      <c r="H767" t="s">
        <v>1020</v>
      </c>
      <c r="I767" t="s">
        <v>121</v>
      </c>
      <c r="J767" t="s">
        <v>286</v>
      </c>
      <c r="K767" s="27">
        <f t="shared" si="210"/>
        <v>26.126191807126649</v>
      </c>
      <c r="L767" s="27">
        <f t="shared" si="209"/>
        <v>26.272250579806297</v>
      </c>
      <c r="M767" s="27">
        <f t="shared" si="209"/>
        <v>26.479482964607669</v>
      </c>
      <c r="N767" s="27">
        <f t="shared" si="209"/>
        <v>26.61265184663991</v>
      </c>
      <c r="O767" s="27">
        <f t="shared" si="209"/>
        <v>26.701143177813595</v>
      </c>
      <c r="P767" s="27">
        <f t="shared" si="209"/>
        <v>26.744086005835889</v>
      </c>
      <c r="Q767" s="27">
        <f t="shared" si="209"/>
        <v>26.838962694620271</v>
      </c>
      <c r="R767" s="27">
        <f t="shared" si="209"/>
        <v>26.947802192577246</v>
      </c>
      <c r="S767" s="27">
        <f t="shared" si="209"/>
        <v>26.137762049198656</v>
      </c>
      <c r="T767" s="27">
        <f t="shared" si="209"/>
        <v>26.412603727162519</v>
      </c>
      <c r="U767" s="27">
        <f t="shared" si="209"/>
        <v>26.814899219593229</v>
      </c>
      <c r="V767" s="27">
        <f t="shared" si="209"/>
        <v>27.023418650875932</v>
      </c>
      <c r="W767" s="27">
        <f t="shared" si="209"/>
        <v>27.261728603568962</v>
      </c>
      <c r="X767" s="27">
        <f t="shared" si="209"/>
        <v>27.53754740564138</v>
      </c>
      <c r="Y767" s="27">
        <f t="shared" si="209"/>
        <v>27.819210444016349</v>
      </c>
      <c r="Z767" s="27">
        <f t="shared" si="209"/>
        <v>28.13097510246029</v>
      </c>
      <c r="AA767" s="27">
        <f t="shared" si="209"/>
        <v>28.452397377657032</v>
      </c>
      <c r="AB767" s="27">
        <f t="shared" si="209"/>
        <v>28.801930629462248</v>
      </c>
      <c r="AC767" s="27">
        <f t="shared" si="209"/>
        <v>29.159348697860899</v>
      </c>
      <c r="AD767" s="27">
        <f t="shared" si="209"/>
        <v>29.545478130563247</v>
      </c>
      <c r="AE767" s="27">
        <f t="shared" si="209"/>
        <v>29.92638155031543</v>
      </c>
      <c r="AF767" s="27">
        <f t="shared" si="209"/>
        <v>30.328422269841898</v>
      </c>
      <c r="AG767" s="27">
        <f t="shared" si="209"/>
        <v>30.783196786108999</v>
      </c>
      <c r="AH767" s="27">
        <f t="shared" si="209"/>
        <v>31.215582757620478</v>
      </c>
      <c r="AI767" s="27">
        <f t="shared" si="209"/>
        <v>31.658992281151598</v>
      </c>
      <c r="AJ767" s="27">
        <f t="shared" si="209"/>
        <v>32.133198696533107</v>
      </c>
      <c r="AK767" s="27">
        <f t="shared" si="209"/>
        <v>32.57747295880516</v>
      </c>
      <c r="AL767" s="27">
        <f t="shared" si="209"/>
        <v>33.019336266817611</v>
      </c>
      <c r="AM767" s="27">
        <f t="shared" si="209"/>
        <v>33.460017660673138</v>
      </c>
      <c r="AN767" s="27">
        <f t="shared" si="209"/>
        <v>33.926245363061206</v>
      </c>
      <c r="AO767" s="27">
        <f t="shared" si="209"/>
        <v>34.37372044831983</v>
      </c>
      <c r="AP767" s="27">
        <f t="shared" si="209"/>
        <v>34.838571614127183</v>
      </c>
      <c r="AQ767" s="27">
        <f t="shared" si="209"/>
        <v>35.322918961890544</v>
      </c>
      <c r="AR767" s="27">
        <f t="shared" si="209"/>
        <v>35.830171839458941</v>
      </c>
      <c r="AS767" s="27">
        <f t="shared" si="209"/>
        <v>36.346397352341668</v>
      </c>
      <c r="AT767" s="27">
        <f t="shared" si="209"/>
        <v>36.468790295953795</v>
      </c>
      <c r="AU767" s="27">
        <f t="shared" si="209"/>
        <v>36.555896979520966</v>
      </c>
      <c r="AV767" s="27">
        <f t="shared" si="209"/>
        <v>36.591586179259828</v>
      </c>
      <c r="AW767" s="27">
        <f t="shared" si="209"/>
        <v>36.613136281512098</v>
      </c>
      <c r="AY767" s="79"/>
      <c r="AZ767" s="79"/>
    </row>
    <row r="768" spans="1:52" x14ac:dyDescent="0.3">
      <c r="A768" s="95" t="str">
        <f t="shared" si="176"/>
        <v>BD Cattle</v>
      </c>
      <c r="B768" s="95" t="s">
        <v>1228</v>
      </c>
      <c r="C768" s="95" t="s">
        <v>1108</v>
      </c>
      <c r="D768" t="s">
        <v>15</v>
      </c>
      <c r="E768" t="s">
        <v>16</v>
      </c>
      <c r="F768" t="s">
        <v>67</v>
      </c>
      <c r="G768" t="s">
        <v>122</v>
      </c>
      <c r="H768" t="s">
        <v>1020</v>
      </c>
      <c r="I768" t="s">
        <v>121</v>
      </c>
      <c r="J768" t="s">
        <v>286</v>
      </c>
      <c r="K768" s="27">
        <f t="shared" si="210"/>
        <v>463.23498593143194</v>
      </c>
      <c r="L768" s="27">
        <f t="shared" si="209"/>
        <v>459.2174968362159</v>
      </c>
      <c r="M768" s="27">
        <f t="shared" si="209"/>
        <v>457.68816035731248</v>
      </c>
      <c r="N768" s="27">
        <f t="shared" si="209"/>
        <v>451.57633407663525</v>
      </c>
      <c r="O768" s="27">
        <f t="shared" si="209"/>
        <v>442.70486896910717</v>
      </c>
      <c r="P768" s="27">
        <f t="shared" si="209"/>
        <v>431.25721304480408</v>
      </c>
      <c r="Q768" s="27">
        <f t="shared" si="209"/>
        <v>422.22811200839215</v>
      </c>
      <c r="R768" s="27">
        <f t="shared" si="209"/>
        <v>413.68555596285586</v>
      </c>
      <c r="S768" s="27">
        <f t="shared" si="209"/>
        <v>363.92269119895411</v>
      </c>
      <c r="T768" s="27">
        <f t="shared" si="209"/>
        <v>369.83389237357579</v>
      </c>
      <c r="U768" s="27">
        <f t="shared" si="209"/>
        <v>380.86142464434585</v>
      </c>
      <c r="V768" s="27">
        <f t="shared" si="209"/>
        <v>383.06375021143805</v>
      </c>
      <c r="W768" s="27">
        <f t="shared" si="209"/>
        <v>386.24013707294779</v>
      </c>
      <c r="X768" s="27">
        <f t="shared" si="209"/>
        <v>390.6712668095617</v>
      </c>
      <c r="Y768" s="27">
        <f t="shared" si="209"/>
        <v>395.75397479595648</v>
      </c>
      <c r="Z768" s="27">
        <f t="shared" si="209"/>
        <v>401.71318303321101</v>
      </c>
      <c r="AA768" s="27">
        <f t="shared" si="209"/>
        <v>407.69987647206653</v>
      </c>
      <c r="AB768" s="27">
        <f t="shared" si="209"/>
        <v>414.43305929383774</v>
      </c>
      <c r="AC768" s="27">
        <f t="shared" si="209"/>
        <v>421.09942264585908</v>
      </c>
      <c r="AD768" s="27">
        <f t="shared" si="209"/>
        <v>425.44191060723506</v>
      </c>
      <c r="AE768" s="27">
        <f t="shared" si="209"/>
        <v>429.00739584475377</v>
      </c>
      <c r="AF768" s="27">
        <f t="shared" si="209"/>
        <v>432.77412897631666</v>
      </c>
      <c r="AG768" s="27">
        <f t="shared" si="209"/>
        <v>437.81397558556199</v>
      </c>
      <c r="AH768" s="27">
        <f t="shared" si="209"/>
        <v>441.43846379327863</v>
      </c>
      <c r="AI768" s="27">
        <f t="shared" si="209"/>
        <v>445.30127510523226</v>
      </c>
      <c r="AJ768" s="27">
        <f t="shared" si="209"/>
        <v>449.5534309991009</v>
      </c>
      <c r="AK768" s="27">
        <f t="shared" si="209"/>
        <v>452.20309019469192</v>
      </c>
      <c r="AL768" s="27">
        <f t="shared" si="209"/>
        <v>454.19091289569144</v>
      </c>
      <c r="AM768" s="27">
        <f t="shared" si="209"/>
        <v>455.5735708938164</v>
      </c>
      <c r="AN768" s="27">
        <f t="shared" si="209"/>
        <v>459.87188917365768</v>
      </c>
      <c r="AO768" s="27">
        <f t="shared" si="209"/>
        <v>463.13915520973467</v>
      </c>
      <c r="AP768" s="27">
        <f t="shared" si="209"/>
        <v>466.44766361257473</v>
      </c>
      <c r="AQ768" s="27">
        <f t="shared" si="209"/>
        <v>469.83526222266636</v>
      </c>
      <c r="AR768" s="27">
        <f t="shared" si="209"/>
        <v>473.37026305322627</v>
      </c>
      <c r="AS768" s="27">
        <f t="shared" si="209"/>
        <v>476.99976993126808</v>
      </c>
      <c r="AT768" s="27">
        <f t="shared" si="209"/>
        <v>469.84014483659178</v>
      </c>
      <c r="AU768" s="27">
        <f t="shared" si="209"/>
        <v>461.72949370511395</v>
      </c>
      <c r="AV768" s="27">
        <f t="shared" si="209"/>
        <v>452.32664742475527</v>
      </c>
      <c r="AW768" s="27">
        <f t="shared" si="209"/>
        <v>442.62912277964222</v>
      </c>
      <c r="AY768" s="79"/>
      <c r="AZ768" s="79"/>
    </row>
    <row r="769" spans="1:52" x14ac:dyDescent="0.3">
      <c r="A769" s="95" t="str">
        <f t="shared" si="176"/>
        <v>BD Cattle</v>
      </c>
      <c r="B769" s="95" t="s">
        <v>1228</v>
      </c>
      <c r="C769" s="95" t="s">
        <v>1108</v>
      </c>
      <c r="D769" t="s">
        <v>15</v>
      </c>
      <c r="E769" t="s">
        <v>16</v>
      </c>
      <c r="F769" t="s">
        <v>67</v>
      </c>
      <c r="G769" t="s">
        <v>123</v>
      </c>
      <c r="H769" t="s">
        <v>1020</v>
      </c>
      <c r="I769" t="s">
        <v>121</v>
      </c>
      <c r="J769" t="s">
        <v>286</v>
      </c>
      <c r="K769" s="27">
        <f t="shared" si="210"/>
        <v>326.20040935577742</v>
      </c>
      <c r="L769" s="27">
        <f t="shared" si="209"/>
        <v>323.37137738012308</v>
      </c>
      <c r="M769" s="27">
        <f t="shared" si="209"/>
        <v>322.29445054900748</v>
      </c>
      <c r="N769" s="27">
        <f t="shared" si="209"/>
        <v>317.99063003627219</v>
      </c>
      <c r="O769" s="27">
        <f t="shared" si="209"/>
        <v>311.74352945546792</v>
      </c>
      <c r="P769" s="27">
        <f t="shared" si="209"/>
        <v>303.68232906672063</v>
      </c>
      <c r="Q769" s="27">
        <f t="shared" si="209"/>
        <v>297.32422455466599</v>
      </c>
      <c r="R769" s="27">
        <f t="shared" si="209"/>
        <v>291.30873487096773</v>
      </c>
      <c r="S769" s="27">
        <f t="shared" si="209"/>
        <v>256.26676405768438</v>
      </c>
      <c r="T769" s="27">
        <f t="shared" si="209"/>
        <v>260.42930855779127</v>
      </c>
      <c r="U769" s="27">
        <f t="shared" si="209"/>
        <v>268.19466663772192</v>
      </c>
      <c r="V769" s="27">
        <f t="shared" si="209"/>
        <v>269.7454983394245</v>
      </c>
      <c r="W769" s="27">
        <f t="shared" si="209"/>
        <v>271.98224367594827</v>
      </c>
      <c r="X769" s="27">
        <f t="shared" si="209"/>
        <v>275.10255275857435</v>
      </c>
      <c r="Y769" s="27">
        <f t="shared" si="209"/>
        <v>278.68168964622578</v>
      </c>
      <c r="Z769" s="27">
        <f t="shared" si="209"/>
        <v>282.87803971792886</v>
      </c>
      <c r="AA769" s="27">
        <f t="shared" si="209"/>
        <v>287.09374429498189</v>
      </c>
      <c r="AB769" s="27">
        <f t="shared" si="209"/>
        <v>291.83511111621357</v>
      </c>
      <c r="AC769" s="27">
        <f t="shared" si="209"/>
        <v>296.52942506137316</v>
      </c>
      <c r="AD769" s="27">
        <f t="shared" si="209"/>
        <v>299.58731445583493</v>
      </c>
      <c r="AE769" s="27">
        <f t="shared" si="209"/>
        <v>302.09805474824185</v>
      </c>
      <c r="AF769" s="27">
        <f t="shared" si="209"/>
        <v>304.75050960758114</v>
      </c>
      <c r="AG769" s="27">
        <f t="shared" si="209"/>
        <v>308.29946440796289</v>
      </c>
      <c r="AH769" s="27">
        <f t="shared" si="209"/>
        <v>310.85175336058825</v>
      </c>
      <c r="AI769" s="27">
        <f t="shared" si="209"/>
        <v>313.57186446940221</v>
      </c>
      <c r="AJ769" s="27">
        <f t="shared" si="209"/>
        <v>316.5661439071601</v>
      </c>
      <c r="AK769" s="27">
        <f t="shared" si="209"/>
        <v>318.43197861417656</v>
      </c>
      <c r="AL769" s="27">
        <f t="shared" si="209"/>
        <v>319.83176187426193</v>
      </c>
      <c r="AM769" s="27">
        <f t="shared" si="209"/>
        <v>320.80540078040053</v>
      </c>
      <c r="AN769" s="27">
        <f t="shared" si="209"/>
        <v>323.83218680694904</v>
      </c>
      <c r="AO769" s="27">
        <f t="shared" si="209"/>
        <v>326.13292736155017</v>
      </c>
      <c r="AP769" s="27">
        <f t="shared" si="209"/>
        <v>328.46270993009568</v>
      </c>
      <c r="AQ769" s="27">
        <f t="shared" si="209"/>
        <v>330.84818617197112</v>
      </c>
      <c r="AR769" s="27">
        <f t="shared" si="209"/>
        <v>333.33745998120867</v>
      </c>
      <c r="AS769" s="27">
        <f t="shared" si="209"/>
        <v>335.89328297673717</v>
      </c>
      <c r="AT769" s="27">
        <f t="shared" si="209"/>
        <v>330.85162440679704</v>
      </c>
      <c r="AU769" s="27">
        <f t="shared" si="209"/>
        <v>325.14027314970184</v>
      </c>
      <c r="AV769" s="27">
        <f t="shared" si="209"/>
        <v>318.5189850369415</v>
      </c>
      <c r="AW769" s="27">
        <f t="shared" si="209"/>
        <v>311.6901905696734</v>
      </c>
      <c r="AY769" s="79"/>
      <c r="AZ769" s="79"/>
    </row>
    <row r="770" spans="1:52" x14ac:dyDescent="0.3">
      <c r="A770" s="95" t="str">
        <f t="shared" si="176"/>
        <v>BD Cattle</v>
      </c>
      <c r="B770" s="95" t="s">
        <v>1228</v>
      </c>
      <c r="C770" s="95" t="s">
        <v>1108</v>
      </c>
      <c r="D770" t="s">
        <v>15</v>
      </c>
      <c r="E770" t="s">
        <v>16</v>
      </c>
      <c r="F770" t="s">
        <v>67</v>
      </c>
      <c r="G770" t="s">
        <v>135</v>
      </c>
      <c r="H770" t="s">
        <v>1020</v>
      </c>
      <c r="I770" t="s">
        <v>121</v>
      </c>
      <c r="J770" t="s">
        <v>286</v>
      </c>
      <c r="K770" s="27">
        <f t="shared" si="210"/>
        <v>31.891995988947272</v>
      </c>
      <c r="L770" s="27">
        <f t="shared" si="209"/>
        <v>32.967337371253535</v>
      </c>
      <c r="M770" s="27">
        <f t="shared" si="209"/>
        <v>34.243655078433662</v>
      </c>
      <c r="N770" s="27">
        <f t="shared" si="209"/>
        <v>35.19550479761466</v>
      </c>
      <c r="O770" s="27">
        <f t="shared" si="209"/>
        <v>35.929559405213332</v>
      </c>
      <c r="P770" s="27">
        <f t="shared" si="209"/>
        <v>36.435327957872907</v>
      </c>
      <c r="Q770" s="27">
        <f t="shared" si="209"/>
        <v>37.125912791560339</v>
      </c>
      <c r="R770" s="27">
        <f t="shared" si="209"/>
        <v>37.849847328761314</v>
      </c>
      <c r="S770" s="27">
        <f t="shared" si="209"/>
        <v>34.642542509776739</v>
      </c>
      <c r="T770" s="27">
        <f t="shared" si="209"/>
        <v>36.053430902114805</v>
      </c>
      <c r="U770" s="27">
        <f t="shared" si="209"/>
        <v>38.010696022356719</v>
      </c>
      <c r="V770" s="27">
        <f t="shared" si="209"/>
        <v>39.127373882680487</v>
      </c>
      <c r="W770" s="27">
        <f t="shared" si="209"/>
        <v>40.366459949035139</v>
      </c>
      <c r="X770" s="27">
        <f t="shared" si="209"/>
        <v>41.765821576969046</v>
      </c>
      <c r="Y770" s="27">
        <f t="shared" si="209"/>
        <v>43.269588309323517</v>
      </c>
      <c r="Z770" s="27">
        <f t="shared" si="209"/>
        <v>44.908778901884347</v>
      </c>
      <c r="AA770" s="27">
        <f t="shared" si="209"/>
        <v>46.594068388350003</v>
      </c>
      <c r="AB770" s="27">
        <f t="shared" si="209"/>
        <v>48.410923677012072</v>
      </c>
      <c r="AC770" s="27">
        <f t="shared" si="209"/>
        <v>50.269303700477998</v>
      </c>
      <c r="AD770" s="27">
        <f t="shared" si="209"/>
        <v>52.471951507677524</v>
      </c>
      <c r="AE770" s="27">
        <f t="shared" si="209"/>
        <v>54.669760459111487</v>
      </c>
      <c r="AF770" s="27">
        <f t="shared" si="209"/>
        <v>56.986868883720433</v>
      </c>
      <c r="AG770" s="27">
        <f t="shared" si="209"/>
        <v>59.577013910557568</v>
      </c>
      <c r="AH770" s="27">
        <f t="shared" si="209"/>
        <v>62.085208612074666</v>
      </c>
      <c r="AI770" s="27">
        <f t="shared" si="209"/>
        <v>64.738520962902328</v>
      </c>
      <c r="AJ770" s="27">
        <f t="shared" si="209"/>
        <v>67.569668411383148</v>
      </c>
      <c r="AK770" s="27">
        <f t="shared" si="209"/>
        <v>70.282185941463524</v>
      </c>
      <c r="AL770" s="27">
        <f t="shared" si="209"/>
        <v>73.009611809365794</v>
      </c>
      <c r="AM770" s="27">
        <f t="shared" si="209"/>
        <v>75.757864250149765</v>
      </c>
      <c r="AN770" s="27">
        <f t="shared" si="209"/>
        <v>78.63033008147255</v>
      </c>
      <c r="AO770" s="27">
        <f t="shared" si="209"/>
        <v>81.431036976471376</v>
      </c>
      <c r="AP770" s="27">
        <f t="shared" si="209"/>
        <v>84.343805269420216</v>
      </c>
      <c r="AQ770" s="27">
        <f t="shared" si="209"/>
        <v>87.381529968917789</v>
      </c>
      <c r="AR770" s="27">
        <f t="shared" si="209"/>
        <v>90.56411958911923</v>
      </c>
      <c r="AS770" s="27">
        <f t="shared" si="209"/>
        <v>93.889582462340528</v>
      </c>
      <c r="AT770" s="27">
        <f t="shared" si="209"/>
        <v>95.161623451693828</v>
      </c>
      <c r="AU770" s="27">
        <f t="shared" si="209"/>
        <v>96.246716097882043</v>
      </c>
      <c r="AV770" s="27">
        <f t="shared" si="209"/>
        <v>97.054781525387583</v>
      </c>
      <c r="AW770" s="27">
        <f t="shared" si="209"/>
        <v>97.781567637634097</v>
      </c>
      <c r="AY770" s="79"/>
      <c r="AZ770" s="79"/>
    </row>
    <row r="771" spans="1:52" x14ac:dyDescent="0.3">
      <c r="A771" s="95" t="str">
        <f t="shared" si="176"/>
        <v>BD Sheep</v>
      </c>
      <c r="B771" s="95" t="s">
        <v>1228</v>
      </c>
      <c r="C771" s="95" t="s">
        <v>152</v>
      </c>
      <c r="D771" t="s">
        <v>15</v>
      </c>
      <c r="E771" t="s">
        <v>16</v>
      </c>
      <c r="F771" t="s">
        <v>18</v>
      </c>
      <c r="G771" t="s">
        <v>122</v>
      </c>
      <c r="H771" t="s">
        <v>1020</v>
      </c>
      <c r="I771" t="s">
        <v>121</v>
      </c>
      <c r="J771" t="s">
        <v>286</v>
      </c>
      <c r="K771" s="27">
        <f t="shared" si="210"/>
        <v>132.59034293279757</v>
      </c>
      <c r="L771" s="27">
        <f t="shared" si="209"/>
        <v>132.66203410931632</v>
      </c>
      <c r="M771" s="27">
        <f t="shared" si="209"/>
        <v>132.83344502276296</v>
      </c>
      <c r="N771" s="27">
        <f t="shared" si="209"/>
        <v>133.08619178866664</v>
      </c>
      <c r="O771" s="27">
        <f t="shared" si="209"/>
        <v>133.41866827856941</v>
      </c>
      <c r="P771" s="27">
        <f t="shared" si="209"/>
        <v>133.8273636783253</v>
      </c>
      <c r="Q771" s="27">
        <f t="shared" si="209"/>
        <v>134.2863843975903</v>
      </c>
      <c r="R771" s="27">
        <f t="shared" si="209"/>
        <v>134.79283247693314</v>
      </c>
      <c r="S771" s="27">
        <f t="shared" si="209"/>
        <v>135.25595136269689</v>
      </c>
      <c r="T771" s="27">
        <f t="shared" si="209"/>
        <v>135.45945701303151</v>
      </c>
      <c r="U771" s="27">
        <f t="shared" si="209"/>
        <v>135.70798113166347</v>
      </c>
      <c r="V771" s="27">
        <f t="shared" si="209"/>
        <v>135.96919937925796</v>
      </c>
      <c r="W771" s="27">
        <f t="shared" si="209"/>
        <v>136.26247262957938</v>
      </c>
      <c r="X771" s="27">
        <f t="shared" si="209"/>
        <v>136.58698029827343</v>
      </c>
      <c r="Y771" s="27">
        <f t="shared" si="209"/>
        <v>136.78964350738272</v>
      </c>
      <c r="Z771" s="27">
        <f t="shared" si="209"/>
        <v>137.0186015592445</v>
      </c>
      <c r="AA771" s="27">
        <f t="shared" si="209"/>
        <v>137.27076072273411</v>
      </c>
      <c r="AB771" s="27">
        <f t="shared" si="209"/>
        <v>137.54681434679034</v>
      </c>
      <c r="AC771" s="27">
        <f t="shared" si="209"/>
        <v>137.84391314305282</v>
      </c>
      <c r="AD771" s="27">
        <f t="shared" si="209"/>
        <v>138.04321155337277</v>
      </c>
      <c r="AE771" s="27">
        <f t="shared" si="209"/>
        <v>138.25957262105894</v>
      </c>
      <c r="AF771" s="27">
        <f t="shared" si="209"/>
        <v>138.49473553474263</v>
      </c>
      <c r="AG771" s="27">
        <f t="shared" si="209"/>
        <v>138.75099586378536</v>
      </c>
      <c r="AH771" s="27">
        <f t="shared" si="209"/>
        <v>139.02065863419776</v>
      </c>
      <c r="AI771" s="27">
        <f t="shared" si="209"/>
        <v>139.193026219692</v>
      </c>
      <c r="AJ771" s="27">
        <f t="shared" si="209"/>
        <v>139.38182622697491</v>
      </c>
      <c r="AK771" s="27">
        <f t="shared" si="209"/>
        <v>139.58083163749211</v>
      </c>
      <c r="AL771" s="27">
        <f t="shared" si="209"/>
        <v>139.79216106672223</v>
      </c>
      <c r="AM771" s="27">
        <f t="shared" si="209"/>
        <v>140.01549409297075</v>
      </c>
      <c r="AN771" s="27">
        <f t="shared" si="209"/>
        <v>140.14745576644822</v>
      </c>
      <c r="AO771" s="27">
        <f t="shared" si="209"/>
        <v>140.28832645422361</v>
      </c>
      <c r="AP771" s="27">
        <f t="shared" si="209"/>
        <v>140.44113174726405</v>
      </c>
      <c r="AQ771" s="27">
        <f t="shared" si="209"/>
        <v>140.60572391526784</v>
      </c>
      <c r="AR771" s="27">
        <f t="shared" si="209"/>
        <v>140.78209954735451</v>
      </c>
      <c r="AS771" s="27">
        <f t="shared" si="209"/>
        <v>140.86211694361444</v>
      </c>
      <c r="AT771" s="27">
        <f t="shared" si="209"/>
        <v>140.91368286545006</v>
      </c>
      <c r="AU771" s="27">
        <f t="shared" si="209"/>
        <v>140.97020886145611</v>
      </c>
      <c r="AV771" s="27">
        <f t="shared" si="209"/>
        <v>141.02991546858686</v>
      </c>
      <c r="AW771" s="27">
        <f t="shared" si="209"/>
        <v>141.09605506808808</v>
      </c>
      <c r="AY771" s="79"/>
      <c r="AZ771" s="79"/>
    </row>
    <row r="772" spans="1:52" x14ac:dyDescent="0.3">
      <c r="A772" s="95" t="str">
        <f t="shared" si="176"/>
        <v>BD Sheep</v>
      </c>
      <c r="B772" s="95" t="s">
        <v>1228</v>
      </c>
      <c r="C772" s="95" t="s">
        <v>152</v>
      </c>
      <c r="D772" t="s">
        <v>15</v>
      </c>
      <c r="E772" t="s">
        <v>16</v>
      </c>
      <c r="F772" t="s">
        <v>18</v>
      </c>
      <c r="G772" t="s">
        <v>123</v>
      </c>
      <c r="H772" t="s">
        <v>1020</v>
      </c>
      <c r="I772" t="s">
        <v>121</v>
      </c>
      <c r="J772" t="s">
        <v>286</v>
      </c>
      <c r="K772" s="27">
        <f t="shared" si="210"/>
        <v>14.369321450610597</v>
      </c>
      <c r="L772" s="27">
        <f t="shared" si="209"/>
        <v>14.377090896995487</v>
      </c>
      <c r="M772" s="27">
        <f t="shared" si="209"/>
        <v>14.395667351818489</v>
      </c>
      <c r="N772" s="27">
        <f t="shared" si="209"/>
        <v>14.423058483363512</v>
      </c>
      <c r="O772" s="27">
        <f t="shared" si="209"/>
        <v>14.459090229360317</v>
      </c>
      <c r="P772" s="27">
        <f t="shared" ref="L772:AW778" si="211">P1386</f>
        <v>14.503382109482045</v>
      </c>
      <c r="Q772" s="27">
        <f t="shared" si="211"/>
        <v>14.553127936528831</v>
      </c>
      <c r="R772" s="27">
        <f t="shared" si="211"/>
        <v>14.608013647578019</v>
      </c>
      <c r="S772" s="27">
        <f t="shared" si="211"/>
        <v>14.658203608567563</v>
      </c>
      <c r="T772" s="27">
        <f t="shared" si="211"/>
        <v>14.680258292506014</v>
      </c>
      <c r="U772" s="27">
        <f t="shared" si="211"/>
        <v>14.707191799651872</v>
      </c>
      <c r="V772" s="27">
        <f t="shared" si="211"/>
        <v>14.735501017996329</v>
      </c>
      <c r="W772" s="27">
        <f t="shared" si="211"/>
        <v>14.767284159313563</v>
      </c>
      <c r="X772" s="27">
        <f t="shared" si="211"/>
        <v>14.802452293745619</v>
      </c>
      <c r="Y772" s="27">
        <f t="shared" si="211"/>
        <v>14.824415679113581</v>
      </c>
      <c r="Z772" s="27">
        <f t="shared" si="211"/>
        <v>14.849228736936167</v>
      </c>
      <c r="AA772" s="27">
        <f t="shared" si="211"/>
        <v>14.876556187765189</v>
      </c>
      <c r="AB772" s="27">
        <f t="shared" si="211"/>
        <v>14.906473172471083</v>
      </c>
      <c r="AC772" s="27">
        <f t="shared" si="211"/>
        <v>14.938670902800874</v>
      </c>
      <c r="AD772" s="27">
        <f t="shared" si="211"/>
        <v>14.960269632083405</v>
      </c>
      <c r="AE772" s="27">
        <f t="shared" si="211"/>
        <v>14.983717506658669</v>
      </c>
      <c r="AF772" s="27">
        <f t="shared" si="211"/>
        <v>15.009203009035685</v>
      </c>
      <c r="AG772" s="27">
        <f t="shared" si="211"/>
        <v>15.036974918826434</v>
      </c>
      <c r="AH772" s="27">
        <f t="shared" si="211"/>
        <v>15.066199302334384</v>
      </c>
      <c r="AI772" s="27">
        <f t="shared" si="211"/>
        <v>15.084879435358006</v>
      </c>
      <c r="AJ772" s="27">
        <f t="shared" si="211"/>
        <v>15.105340412639743</v>
      </c>
      <c r="AK772" s="27">
        <f t="shared" si="211"/>
        <v>15.126907388415511</v>
      </c>
      <c r="AL772" s="27">
        <f t="shared" si="211"/>
        <v>15.14980996512972</v>
      </c>
      <c r="AM772" s="27">
        <f t="shared" si="211"/>
        <v>15.174013417460552</v>
      </c>
      <c r="AN772" s="27">
        <f t="shared" si="211"/>
        <v>15.188314607603177</v>
      </c>
      <c r="AO772" s="27">
        <f t="shared" si="211"/>
        <v>15.203581301623565</v>
      </c>
      <c r="AP772" s="27">
        <f t="shared" si="211"/>
        <v>15.220141394360979</v>
      </c>
      <c r="AQ772" s="27">
        <f t="shared" si="211"/>
        <v>15.237978875718865</v>
      </c>
      <c r="AR772" s="27">
        <f t="shared" si="211"/>
        <v>15.25709337604709</v>
      </c>
      <c r="AS772" s="27">
        <f t="shared" si="211"/>
        <v>15.265765166639579</v>
      </c>
      <c r="AT772" s="27">
        <f t="shared" si="211"/>
        <v>15.271353562373108</v>
      </c>
      <c r="AU772" s="27">
        <f t="shared" si="211"/>
        <v>15.277479500272968</v>
      </c>
      <c r="AV772" s="27">
        <f t="shared" si="211"/>
        <v>15.283950133138154</v>
      </c>
      <c r="AW772" s="27">
        <f t="shared" si="211"/>
        <v>15.291117933935899</v>
      </c>
      <c r="AY772" s="79"/>
      <c r="AZ772" s="79"/>
    </row>
    <row r="773" spans="1:52" x14ac:dyDescent="0.3">
      <c r="A773" s="95" t="str">
        <f t="shared" si="176"/>
        <v>BD Goats</v>
      </c>
      <c r="B773" s="95" t="s">
        <v>1228</v>
      </c>
      <c r="C773" s="95" t="s">
        <v>153</v>
      </c>
      <c r="D773" t="s">
        <v>15</v>
      </c>
      <c r="E773" t="s">
        <v>16</v>
      </c>
      <c r="F773" t="s">
        <v>19</v>
      </c>
      <c r="G773" t="s">
        <v>122</v>
      </c>
      <c r="H773" t="s">
        <v>1020</v>
      </c>
      <c r="I773" t="s">
        <v>121</v>
      </c>
      <c r="J773" t="s">
        <v>286</v>
      </c>
      <c r="K773" s="27">
        <f t="shared" si="210"/>
        <v>15.123414197798359</v>
      </c>
      <c r="L773" s="27">
        <f t="shared" si="211"/>
        <v>15.162727774721576</v>
      </c>
      <c r="M773" s="27">
        <f t="shared" si="211"/>
        <v>15.216959464794312</v>
      </c>
      <c r="N773" s="27">
        <f t="shared" si="211"/>
        <v>15.283027985940228</v>
      </c>
      <c r="O773" s="27">
        <f t="shared" si="211"/>
        <v>15.360839106953575</v>
      </c>
      <c r="P773" s="27">
        <f t="shared" si="211"/>
        <v>15.449919228540612</v>
      </c>
      <c r="Q773" s="27">
        <f t="shared" si="211"/>
        <v>15.545788610572222</v>
      </c>
      <c r="R773" s="27">
        <f t="shared" si="211"/>
        <v>15.648067752449878</v>
      </c>
      <c r="S773" s="27">
        <f t="shared" si="211"/>
        <v>15.740823350999253</v>
      </c>
      <c r="T773" s="27">
        <f t="shared" si="211"/>
        <v>15.786130826260475</v>
      </c>
      <c r="U773" s="27">
        <f t="shared" si="211"/>
        <v>15.838063303157622</v>
      </c>
      <c r="V773" s="27">
        <f t="shared" si="211"/>
        <v>15.891000771686212</v>
      </c>
      <c r="W773" s="27">
        <f t="shared" si="211"/>
        <v>15.94841543311963</v>
      </c>
      <c r="X773" s="27">
        <f t="shared" si="211"/>
        <v>16.010212398342233</v>
      </c>
      <c r="Y773" s="27">
        <f t="shared" si="211"/>
        <v>16.04975975411061</v>
      </c>
      <c r="Z773" s="27">
        <f t="shared" si="211"/>
        <v>16.093026754767141</v>
      </c>
      <c r="AA773" s="27">
        <f t="shared" si="211"/>
        <v>16.139507339626743</v>
      </c>
      <c r="AB773" s="27">
        <f t="shared" si="211"/>
        <v>16.189350761403606</v>
      </c>
      <c r="AC773" s="27">
        <f t="shared" si="211"/>
        <v>16.242088999774211</v>
      </c>
      <c r="AD773" s="27">
        <f t="shared" si="211"/>
        <v>16.277259419124743</v>
      </c>
      <c r="AE773" s="27">
        <f t="shared" si="211"/>
        <v>16.31476657866423</v>
      </c>
      <c r="AF773" s="27">
        <f t="shared" si="211"/>
        <v>16.354927956284293</v>
      </c>
      <c r="AG773" s="27">
        <f t="shared" si="211"/>
        <v>16.39815145947275</v>
      </c>
      <c r="AH773" s="27">
        <f t="shared" si="211"/>
        <v>16.443131260504089</v>
      </c>
      <c r="AI773" s="27">
        <f t="shared" si="211"/>
        <v>16.470988408557865</v>
      </c>
      <c r="AJ773" s="27">
        <f t="shared" si="211"/>
        <v>16.501218486314869</v>
      </c>
      <c r="AK773" s="27">
        <f t="shared" si="211"/>
        <v>16.532770131598127</v>
      </c>
      <c r="AL773" s="27">
        <f t="shared" si="211"/>
        <v>16.566015013383382</v>
      </c>
      <c r="AM773" s="27">
        <f t="shared" si="211"/>
        <v>16.600907614824543</v>
      </c>
      <c r="AN773" s="27">
        <f t="shared" si="211"/>
        <v>16.619970797900123</v>
      </c>
      <c r="AO773" s="27">
        <f t="shared" si="211"/>
        <v>16.64023491177819</v>
      </c>
      <c r="AP773" s="27">
        <f t="shared" si="211"/>
        <v>16.662217242949243</v>
      </c>
      <c r="AQ773" s="27">
        <f t="shared" si="211"/>
        <v>16.685896797291566</v>
      </c>
      <c r="AR773" s="27">
        <f t="shared" si="211"/>
        <v>16.711276306511749</v>
      </c>
      <c r="AS773" s="27">
        <f t="shared" si="211"/>
        <v>16.720221808869553</v>
      </c>
      <c r="AT773" s="27">
        <f t="shared" si="211"/>
        <v>16.72419450850062</v>
      </c>
      <c r="AU773" s="27">
        <f t="shared" si="211"/>
        <v>16.728812799261537</v>
      </c>
      <c r="AV773" s="27">
        <f t="shared" si="211"/>
        <v>16.733784752247175</v>
      </c>
      <c r="AW773" s="27">
        <f t="shared" si="211"/>
        <v>16.739658320998576</v>
      </c>
      <c r="AY773" s="79"/>
      <c r="AZ773" s="79"/>
    </row>
    <row r="774" spans="1:52" x14ac:dyDescent="0.3">
      <c r="A774" s="95" t="str">
        <f t="shared" si="176"/>
        <v>BD Goats</v>
      </c>
      <c r="B774" s="95" t="s">
        <v>1228</v>
      </c>
      <c r="C774" s="95" t="s">
        <v>153</v>
      </c>
      <c r="D774" t="s">
        <v>15</v>
      </c>
      <c r="E774" t="s">
        <v>16</v>
      </c>
      <c r="F774" t="s">
        <v>19</v>
      </c>
      <c r="G774" t="s">
        <v>123</v>
      </c>
      <c r="H774" t="s">
        <v>1020</v>
      </c>
      <c r="I774" t="s">
        <v>121</v>
      </c>
      <c r="J774" t="s">
        <v>286</v>
      </c>
      <c r="K774" s="27">
        <f t="shared" si="210"/>
        <v>22.381101687842744</v>
      </c>
      <c r="L774" s="27">
        <f t="shared" si="211"/>
        <v>22.439281748993185</v>
      </c>
      <c r="M774" s="27">
        <f t="shared" si="211"/>
        <v>22.519539087339325</v>
      </c>
      <c r="N774" s="27">
        <f t="shared" si="211"/>
        <v>22.617313721478975</v>
      </c>
      <c r="O774" s="27">
        <f t="shared" si="211"/>
        <v>22.73246619889365</v>
      </c>
      <c r="P774" s="27">
        <f t="shared" si="211"/>
        <v>22.864295641209328</v>
      </c>
      <c r="Q774" s="27">
        <f t="shared" si="211"/>
        <v>23.006172492556328</v>
      </c>
      <c r="R774" s="27">
        <f t="shared" si="211"/>
        <v>23.157535130977113</v>
      </c>
      <c r="S774" s="27">
        <f t="shared" si="211"/>
        <v>23.294803902175122</v>
      </c>
      <c r="T774" s="27">
        <f t="shared" si="211"/>
        <v>23.361854318025564</v>
      </c>
      <c r="U774" s="27">
        <f t="shared" si="211"/>
        <v>23.438709056719805</v>
      </c>
      <c r="V774" s="27">
        <f t="shared" si="211"/>
        <v>23.517051079938867</v>
      </c>
      <c r="W774" s="27">
        <f t="shared" si="211"/>
        <v>23.602018889396962</v>
      </c>
      <c r="X774" s="27">
        <f t="shared" si="211"/>
        <v>23.693472058936443</v>
      </c>
      <c r="Y774" s="27">
        <f t="shared" si="211"/>
        <v>23.75199808879723</v>
      </c>
      <c r="Z774" s="27">
        <f t="shared" si="211"/>
        <v>23.816028811539901</v>
      </c>
      <c r="AA774" s="27">
        <f t="shared" si="211"/>
        <v>23.884815309261068</v>
      </c>
      <c r="AB774" s="27">
        <f t="shared" si="211"/>
        <v>23.958578460667738</v>
      </c>
      <c r="AC774" s="27">
        <f t="shared" si="211"/>
        <v>24.036625643689554</v>
      </c>
      <c r="AD774" s="27">
        <f t="shared" si="211"/>
        <v>24.088674256627954</v>
      </c>
      <c r="AE774" s="27">
        <f t="shared" si="211"/>
        <v>24.144181005348596</v>
      </c>
      <c r="AF774" s="27">
        <f t="shared" si="211"/>
        <v>24.20361572456493</v>
      </c>
      <c r="AG774" s="27">
        <f t="shared" si="211"/>
        <v>24.267582075516717</v>
      </c>
      <c r="AH774" s="27">
        <f t="shared" si="211"/>
        <v>24.334147567119</v>
      </c>
      <c r="AI774" s="27">
        <f t="shared" si="211"/>
        <v>24.375373288716684</v>
      </c>
      <c r="AJ774" s="27">
        <f t="shared" si="211"/>
        <v>24.420110702865486</v>
      </c>
      <c r="AK774" s="27">
        <f t="shared" si="211"/>
        <v>24.466803901389813</v>
      </c>
      <c r="AL774" s="27">
        <f t="shared" si="211"/>
        <v>24.516002916248802</v>
      </c>
      <c r="AM774" s="27">
        <f t="shared" si="211"/>
        <v>24.567640387179249</v>
      </c>
      <c r="AN774" s="27">
        <f t="shared" si="211"/>
        <v>24.595851942673818</v>
      </c>
      <c r="AO774" s="27">
        <f t="shared" si="211"/>
        <v>24.625840752567356</v>
      </c>
      <c r="AP774" s="27">
        <f t="shared" si="211"/>
        <v>24.658372347803756</v>
      </c>
      <c r="AQ774" s="27">
        <f t="shared" si="211"/>
        <v>24.693415659236397</v>
      </c>
      <c r="AR774" s="27">
        <f t="shared" si="211"/>
        <v>24.730974729510827</v>
      </c>
      <c r="AS774" s="27">
        <f t="shared" si="211"/>
        <v>24.744213155391417</v>
      </c>
      <c r="AT774" s="27">
        <f t="shared" si="211"/>
        <v>24.750092343335041</v>
      </c>
      <c r="AU774" s="27">
        <f t="shared" si="211"/>
        <v>24.756926939927592</v>
      </c>
      <c r="AV774" s="27">
        <f t="shared" si="211"/>
        <v>24.764284920334894</v>
      </c>
      <c r="AW774" s="27">
        <f t="shared" si="211"/>
        <v>24.772977199589842</v>
      </c>
      <c r="AY774" s="79"/>
      <c r="AZ774" s="79"/>
    </row>
    <row r="775" spans="1:52" x14ac:dyDescent="0.3">
      <c r="A775" s="95" t="str">
        <f t="shared" si="176"/>
        <v>BD Horses</v>
      </c>
      <c r="B775" s="95" t="s">
        <v>1228</v>
      </c>
      <c r="C775" s="95" t="s">
        <v>3</v>
      </c>
      <c r="D775" t="s">
        <v>15</v>
      </c>
      <c r="E775" t="s">
        <v>16</v>
      </c>
      <c r="F775" t="s">
        <v>20</v>
      </c>
      <c r="G775" t="s">
        <v>3</v>
      </c>
      <c r="H775" t="s">
        <v>1020</v>
      </c>
      <c r="I775" t="s">
        <v>121</v>
      </c>
      <c r="J775" t="s">
        <v>286</v>
      </c>
      <c r="K775" s="27">
        <f t="shared" si="210"/>
        <v>5.5526214800767901</v>
      </c>
      <c r="L775" s="27">
        <f t="shared" si="211"/>
        <v>5.5795235710196511</v>
      </c>
      <c r="M775" s="27">
        <f t="shared" si="211"/>
        <v>5.6203482259438022</v>
      </c>
      <c r="N775" s="27">
        <f t="shared" si="211"/>
        <v>5.629075655008374</v>
      </c>
      <c r="O775" s="27">
        <f t="shared" si="211"/>
        <v>5.6165815405282276</v>
      </c>
      <c r="P775" s="27">
        <f t="shared" si="211"/>
        <v>5.5833231296706103</v>
      </c>
      <c r="Q775" s="27">
        <f t="shared" si="211"/>
        <v>5.5648827699457346</v>
      </c>
      <c r="R775" s="27">
        <f t="shared" si="211"/>
        <v>5.5483103177944013</v>
      </c>
      <c r="S775" s="27">
        <f t="shared" si="211"/>
        <v>5.2311192904529218</v>
      </c>
      <c r="T775" s="27">
        <f t="shared" si="211"/>
        <v>5.2959023096135693</v>
      </c>
      <c r="U775" s="27">
        <f t="shared" si="211"/>
        <v>5.3988006154965325</v>
      </c>
      <c r="V775" s="27">
        <f t="shared" si="211"/>
        <v>5.4367829372956962</v>
      </c>
      <c r="W775" s="27">
        <f t="shared" si="211"/>
        <v>5.4819188324690939</v>
      </c>
      <c r="X775" s="27">
        <f t="shared" si="211"/>
        <v>5.5365687700280883</v>
      </c>
      <c r="Y775" s="27">
        <f t="shared" si="211"/>
        <v>5.601958980764981</v>
      </c>
      <c r="Z775" s="27">
        <f t="shared" si="211"/>
        <v>5.6746319691397513</v>
      </c>
      <c r="AA775" s="27">
        <f t="shared" si="211"/>
        <v>5.7481685306176677</v>
      </c>
      <c r="AB775" s="27">
        <f t="shared" si="211"/>
        <v>5.8282774259733703</v>
      </c>
      <c r="AC775" s="27">
        <f t="shared" si="211"/>
        <v>5.9086647601730373</v>
      </c>
      <c r="AD775" s="27">
        <f t="shared" si="211"/>
        <v>6.0051030471917946</v>
      </c>
      <c r="AE775" s="27">
        <f t="shared" si="211"/>
        <v>6.0980124130473197</v>
      </c>
      <c r="AF775" s="27">
        <f t="shared" si="211"/>
        <v>6.195439489414623</v>
      </c>
      <c r="AG775" s="27">
        <f t="shared" si="211"/>
        <v>6.3068676222722697</v>
      </c>
      <c r="AH775" s="27">
        <f t="shared" si="211"/>
        <v>6.4095401663804648</v>
      </c>
      <c r="AI775" s="27">
        <f t="shared" si="211"/>
        <v>6.5228948238532292</v>
      </c>
      <c r="AJ775" s="27">
        <f t="shared" si="211"/>
        <v>6.6437484965413081</v>
      </c>
      <c r="AK775" s="27">
        <f t="shared" si="211"/>
        <v>6.7539654911689828</v>
      </c>
      <c r="AL775" s="27">
        <f t="shared" si="211"/>
        <v>6.8618111039503944</v>
      </c>
      <c r="AM775" s="27">
        <f t="shared" si="211"/>
        <v>6.9676727679478478</v>
      </c>
      <c r="AN775" s="27">
        <f t="shared" si="211"/>
        <v>7.0885986695240639</v>
      </c>
      <c r="AO775" s="27">
        <f t="shared" si="211"/>
        <v>7.202615789032512</v>
      </c>
      <c r="AP775" s="27">
        <f t="shared" si="211"/>
        <v>7.3203542233012309</v>
      </c>
      <c r="AQ775" s="27">
        <f t="shared" si="211"/>
        <v>7.4423988374450394</v>
      </c>
      <c r="AR775" s="27">
        <f t="shared" si="211"/>
        <v>7.5697005662835739</v>
      </c>
      <c r="AS775" s="27">
        <f t="shared" si="211"/>
        <v>7.7079925213190776</v>
      </c>
      <c r="AT775" s="27">
        <f t="shared" si="211"/>
        <v>7.7309775584942866</v>
      </c>
      <c r="AU775" s="27">
        <f t="shared" si="211"/>
        <v>7.7430605044202654</v>
      </c>
      <c r="AV775" s="27">
        <f t="shared" si="211"/>
        <v>7.7396666487885506</v>
      </c>
      <c r="AW775" s="27">
        <f t="shared" si="211"/>
        <v>7.7316472006042485</v>
      </c>
      <c r="AY775" s="79"/>
      <c r="AZ775" s="79"/>
    </row>
    <row r="776" spans="1:52" x14ac:dyDescent="0.3">
      <c r="A776" s="95" t="str">
        <f t="shared" si="176"/>
        <v>BD Mules&amp;Asses</v>
      </c>
      <c r="B776" s="95" t="s">
        <v>1228</v>
      </c>
      <c r="C776" s="95" t="s">
        <v>1323</v>
      </c>
      <c r="D776" t="s">
        <v>15</v>
      </c>
      <c r="E776" t="s">
        <v>16</v>
      </c>
      <c r="F776" t="s">
        <v>140</v>
      </c>
      <c r="G776" t="s">
        <v>124</v>
      </c>
      <c r="H776" t="s">
        <v>1020</v>
      </c>
      <c r="I776" t="s">
        <v>121</v>
      </c>
      <c r="J776" t="s">
        <v>286</v>
      </c>
      <c r="K776" s="27">
        <f t="shared" si="210"/>
        <v>1.67</v>
      </c>
      <c r="L776" s="27">
        <f t="shared" si="211"/>
        <v>1.67</v>
      </c>
      <c r="M776" s="27">
        <f t="shared" si="211"/>
        <v>1.67</v>
      </c>
      <c r="N776" s="27">
        <f t="shared" si="211"/>
        <v>1.67</v>
      </c>
      <c r="O776" s="27">
        <f t="shared" si="211"/>
        <v>1.67</v>
      </c>
      <c r="P776" s="27">
        <f t="shared" si="211"/>
        <v>1.67</v>
      </c>
      <c r="Q776" s="27">
        <f t="shared" si="211"/>
        <v>1.67</v>
      </c>
      <c r="R776" s="27">
        <f t="shared" si="211"/>
        <v>1.67</v>
      </c>
      <c r="S776" s="27">
        <f t="shared" si="211"/>
        <v>1.67</v>
      </c>
      <c r="T776" s="27">
        <f t="shared" si="211"/>
        <v>1.67</v>
      </c>
      <c r="U776" s="27">
        <f t="shared" si="211"/>
        <v>1.67</v>
      </c>
      <c r="V776" s="27">
        <f t="shared" si="211"/>
        <v>1.67</v>
      </c>
      <c r="W776" s="27">
        <f t="shared" si="211"/>
        <v>1.67</v>
      </c>
      <c r="X776" s="27">
        <f t="shared" si="211"/>
        <v>1.67</v>
      </c>
      <c r="Y776" s="27">
        <f t="shared" si="211"/>
        <v>1.67</v>
      </c>
      <c r="Z776" s="27">
        <f t="shared" si="211"/>
        <v>1.67</v>
      </c>
      <c r="AA776" s="27">
        <f t="shared" si="211"/>
        <v>1.67</v>
      </c>
      <c r="AB776" s="27">
        <f t="shared" si="211"/>
        <v>1.67</v>
      </c>
      <c r="AC776" s="27">
        <f t="shared" si="211"/>
        <v>1.67</v>
      </c>
      <c r="AD776" s="27">
        <f t="shared" si="211"/>
        <v>1.67</v>
      </c>
      <c r="AE776" s="27">
        <f t="shared" si="211"/>
        <v>1.67</v>
      </c>
      <c r="AF776" s="27">
        <f t="shared" si="211"/>
        <v>1.67</v>
      </c>
      <c r="AG776" s="27">
        <f t="shared" si="211"/>
        <v>1.67</v>
      </c>
      <c r="AH776" s="27">
        <f t="shared" si="211"/>
        <v>1.67</v>
      </c>
      <c r="AI776" s="27">
        <f t="shared" si="211"/>
        <v>1.67</v>
      </c>
      <c r="AJ776" s="27">
        <f t="shared" si="211"/>
        <v>1.67</v>
      </c>
      <c r="AK776" s="27">
        <f t="shared" si="211"/>
        <v>1.67</v>
      </c>
      <c r="AL776" s="27">
        <f t="shared" si="211"/>
        <v>1.67</v>
      </c>
      <c r="AM776" s="27">
        <f t="shared" si="211"/>
        <v>1.67</v>
      </c>
      <c r="AN776" s="27">
        <f t="shared" si="211"/>
        <v>1.67</v>
      </c>
      <c r="AO776" s="27">
        <f t="shared" si="211"/>
        <v>1.67</v>
      </c>
      <c r="AP776" s="27">
        <f t="shared" si="211"/>
        <v>1.67</v>
      </c>
      <c r="AQ776" s="27">
        <f t="shared" si="211"/>
        <v>1.67</v>
      </c>
      <c r="AR776" s="27">
        <f t="shared" si="211"/>
        <v>1.67</v>
      </c>
      <c r="AS776" s="27">
        <f t="shared" si="211"/>
        <v>1.67</v>
      </c>
      <c r="AT776" s="27">
        <f t="shared" si="211"/>
        <v>1.67</v>
      </c>
      <c r="AU776" s="27">
        <f t="shared" si="211"/>
        <v>1.67</v>
      </c>
      <c r="AV776" s="27">
        <f t="shared" si="211"/>
        <v>1.67</v>
      </c>
      <c r="AW776" s="27">
        <f t="shared" si="211"/>
        <v>1.67</v>
      </c>
      <c r="AY776" s="79"/>
      <c r="AZ776" s="79"/>
    </row>
    <row r="777" spans="1:52" x14ac:dyDescent="0.3">
      <c r="A777" s="95" t="str">
        <f t="shared" si="176"/>
        <v>BD Swine</v>
      </c>
      <c r="B777" s="95" t="s">
        <v>1228</v>
      </c>
      <c r="C777" s="95" t="s">
        <v>155</v>
      </c>
      <c r="D777" t="s">
        <v>15</v>
      </c>
      <c r="E777" t="s">
        <v>16</v>
      </c>
      <c r="F777" t="s">
        <v>21</v>
      </c>
      <c r="G777" t="s">
        <v>122</v>
      </c>
      <c r="H777" t="s">
        <v>1020</v>
      </c>
      <c r="I777" t="s">
        <v>121</v>
      </c>
      <c r="J777" t="s">
        <v>286</v>
      </c>
      <c r="K777" s="27">
        <f t="shared" si="210"/>
        <v>1.8400999552016302</v>
      </c>
      <c r="L777" s="27">
        <f t="shared" si="211"/>
        <v>1.8300977880312246</v>
      </c>
      <c r="M777" s="27">
        <f t="shared" si="211"/>
        <v>1.8309187348828151</v>
      </c>
      <c r="N777" s="27">
        <f t="shared" si="211"/>
        <v>1.8141094978660448</v>
      </c>
      <c r="O777" s="27">
        <f t="shared" si="211"/>
        <v>1.7866561368117295</v>
      </c>
      <c r="P777" s="27">
        <f t="shared" si="211"/>
        <v>1.7489975228040078</v>
      </c>
      <c r="Q777" s="27">
        <f t="shared" si="211"/>
        <v>1.721653192801009</v>
      </c>
      <c r="R777" s="27">
        <f t="shared" si="211"/>
        <v>1.6967284692901872</v>
      </c>
      <c r="S777" s="27">
        <f t="shared" si="211"/>
        <v>1.4981262376638635</v>
      </c>
      <c r="T777" s="27">
        <f t="shared" si="211"/>
        <v>1.5170710584409277</v>
      </c>
      <c r="U777" s="27">
        <f t="shared" si="211"/>
        <v>1.5577229248664515</v>
      </c>
      <c r="V777" s="27">
        <f t="shared" si="211"/>
        <v>1.561413903145964</v>
      </c>
      <c r="W777" s="27">
        <f t="shared" si="211"/>
        <v>1.5694069216965754</v>
      </c>
      <c r="X777" s="27">
        <f t="shared" si="211"/>
        <v>1.5828459974443794</v>
      </c>
      <c r="Y777" s="27">
        <f t="shared" si="211"/>
        <v>1.5997093513071265</v>
      </c>
      <c r="Z777" s="27">
        <f t="shared" si="211"/>
        <v>1.6203739618637112</v>
      </c>
      <c r="AA777" s="27">
        <f t="shared" si="211"/>
        <v>1.6412802243411935</v>
      </c>
      <c r="AB777" s="27">
        <f t="shared" si="211"/>
        <v>1.6654174874794287</v>
      </c>
      <c r="AC777" s="27">
        <f t="shared" si="211"/>
        <v>1.6893881557889758</v>
      </c>
      <c r="AD777" s="27">
        <f t="shared" si="211"/>
        <v>1.7191899551215701</v>
      </c>
      <c r="AE777" s="27">
        <f t="shared" si="211"/>
        <v>1.7466246880722003</v>
      </c>
      <c r="AF777" s="27">
        <f t="shared" si="211"/>
        <v>1.7758174373307805</v>
      </c>
      <c r="AG777" s="27">
        <f t="shared" si="211"/>
        <v>1.8114287830343814</v>
      </c>
      <c r="AH777" s="27">
        <f t="shared" si="211"/>
        <v>1.8420072235043694</v>
      </c>
      <c r="AI777" s="27">
        <f t="shared" si="211"/>
        <v>1.8750119445784728</v>
      </c>
      <c r="AJ777" s="27">
        <f t="shared" si="211"/>
        <v>1.9108329767517882</v>
      </c>
      <c r="AK777" s="27">
        <f t="shared" si="211"/>
        <v>1.940715836653381</v>
      </c>
      <c r="AL777" s="27">
        <f t="shared" si="211"/>
        <v>1.9687395447209077</v>
      </c>
      <c r="AM777" s="27">
        <f t="shared" si="211"/>
        <v>1.9951301179393999</v>
      </c>
      <c r="AN777" s="27">
        <f t="shared" si="211"/>
        <v>2.0256022791934827</v>
      </c>
      <c r="AO777" s="27">
        <f t="shared" si="211"/>
        <v>2.0520329509348483</v>
      </c>
      <c r="AP777" s="27">
        <f t="shared" si="211"/>
        <v>2.0793161183803317</v>
      </c>
      <c r="AQ777" s="27">
        <f t="shared" si="211"/>
        <v>2.1076575721978217</v>
      </c>
      <c r="AR777" s="27">
        <f t="shared" si="211"/>
        <v>2.1374119347182106</v>
      </c>
      <c r="AS777" s="27">
        <f t="shared" si="211"/>
        <v>2.1686559884141765</v>
      </c>
      <c r="AT777" s="27">
        <f t="shared" si="211"/>
        <v>2.149643552660391</v>
      </c>
      <c r="AU777" s="27">
        <f t="shared" si="211"/>
        <v>2.1262374260968961</v>
      </c>
      <c r="AV777" s="27">
        <f t="shared" si="211"/>
        <v>2.0967029621040374</v>
      </c>
      <c r="AW777" s="27">
        <f t="shared" si="211"/>
        <v>2.0657200323386067</v>
      </c>
      <c r="AY777" s="79"/>
      <c r="AZ777" s="79"/>
    </row>
    <row r="778" spans="1:52" x14ac:dyDescent="0.3">
      <c r="A778" s="95" t="str">
        <f t="shared" si="176"/>
        <v>BD Swine</v>
      </c>
      <c r="B778" s="95" t="s">
        <v>1228</v>
      </c>
      <c r="C778" s="95" t="s">
        <v>155</v>
      </c>
      <c r="D778" t="s">
        <v>15</v>
      </c>
      <c r="E778" t="s">
        <v>16</v>
      </c>
      <c r="F778" t="s">
        <v>21</v>
      </c>
      <c r="G778" t="s">
        <v>123</v>
      </c>
      <c r="H778" t="s">
        <v>1020</v>
      </c>
      <c r="I778" t="s">
        <v>121</v>
      </c>
      <c r="J778" t="s">
        <v>286</v>
      </c>
      <c r="K778" s="27">
        <f t="shared" si="210"/>
        <v>0.25496723934882604</v>
      </c>
      <c r="L778" s="27">
        <f t="shared" si="211"/>
        <v>0.25358132281546886</v>
      </c>
      <c r="M778" s="27">
        <f t="shared" si="211"/>
        <v>0.25369507454499335</v>
      </c>
      <c r="N778" s="27">
        <f t="shared" si="211"/>
        <v>0.25136595935447842</v>
      </c>
      <c r="O778" s="27">
        <f t="shared" si="211"/>
        <v>0.247561977044127</v>
      </c>
      <c r="P778" s="27">
        <f t="shared" si="211"/>
        <v>0.24234393830437836</v>
      </c>
      <c r="Q778" s="27">
        <f t="shared" si="211"/>
        <v>0.23855506351363695</v>
      </c>
      <c r="R778" s="27">
        <f t="shared" si="211"/>
        <v>0.23510145332951485</v>
      </c>
      <c r="S778" s="27">
        <f t="shared" si="211"/>
        <v>0.2075828054521873</v>
      </c>
      <c r="T778" s="27">
        <f t="shared" si="211"/>
        <v>0.21020783059814849</v>
      </c>
      <c r="U778" s="27">
        <f t="shared" si="211"/>
        <v>0.21584061925595663</v>
      </c>
      <c r="V778" s="27">
        <f t="shared" si="211"/>
        <v>0.21635204720298934</v>
      </c>
      <c r="W778" s="27">
        <f t="shared" si="211"/>
        <v>0.21745957283938341</v>
      </c>
      <c r="X778" s="27">
        <f t="shared" si="211"/>
        <v>0.21932171300906883</v>
      </c>
      <c r="Y778" s="27">
        <f t="shared" si="211"/>
        <v>0.22165832671768446</v>
      </c>
      <c r="Z778" s="27">
        <f t="shared" si="211"/>
        <v>0.22452164872958766</v>
      </c>
      <c r="AA778" s="27">
        <f t="shared" si="211"/>
        <v>0.22741845442425518</v>
      </c>
      <c r="AB778" s="27">
        <f t="shared" si="211"/>
        <v>0.23076295281978809</v>
      </c>
      <c r="AC778" s="27">
        <f t="shared" si="211"/>
        <v>0.23408436756519632</v>
      </c>
      <c r="AD778" s="27">
        <f t="shared" si="211"/>
        <v>0.23821375329882435</v>
      </c>
      <c r="AE778" s="27">
        <f t="shared" si="211"/>
        <v>0.24201515446886457</v>
      </c>
      <c r="AF778" s="27">
        <f t="shared" si="211"/>
        <v>0.24606014923473155</v>
      </c>
      <c r="AG778" s="27">
        <f t="shared" si="211"/>
        <v>0.2509945151521249</v>
      </c>
      <c r="AH778" s="27">
        <f t="shared" si="211"/>
        <v>0.25523151354353607</v>
      </c>
      <c r="AI778" s="27">
        <f t="shared" si="211"/>
        <v>0.25980470131736011</v>
      </c>
      <c r="AJ778" s="27">
        <f t="shared" si="211"/>
        <v>0.26476812173266839</v>
      </c>
      <c r="AK778" s="27">
        <f t="shared" si="211"/>
        <v>0.26890873935043363</v>
      </c>
      <c r="AL778" s="27">
        <f t="shared" si="211"/>
        <v>0.27279174986956156</v>
      </c>
      <c r="AM778" s="27">
        <f t="shared" si="211"/>
        <v>0.27644847057070121</v>
      </c>
      <c r="AN778" s="27">
        <f t="shared" si="211"/>
        <v>0.28067074274128789</v>
      </c>
      <c r="AO778" s="27">
        <f t="shared" si="211"/>
        <v>0.28433301955890389</v>
      </c>
      <c r="AP778" s="27">
        <f t="shared" si="211"/>
        <v>0.28811341956630698</v>
      </c>
      <c r="AQ778" s="27">
        <f t="shared" ref="AQ778:AW778" si="212">AQ1392</f>
        <v>0.29204045745278195</v>
      </c>
      <c r="AR778" s="27">
        <f t="shared" si="212"/>
        <v>0.29616327026464162</v>
      </c>
      <c r="AS778" s="27">
        <f t="shared" si="212"/>
        <v>0.30049249710604664</v>
      </c>
      <c r="AT778" s="27">
        <f t="shared" si="212"/>
        <v>0.2978581031190588</v>
      </c>
      <c r="AU778" s="27">
        <f t="shared" si="212"/>
        <v>0.29461491219517799</v>
      </c>
      <c r="AV778" s="27">
        <f t="shared" si="212"/>
        <v>0.2905225688805555</v>
      </c>
      <c r="AW778" s="27">
        <f t="shared" si="212"/>
        <v>0.28622952379520583</v>
      </c>
      <c r="AY778" s="79"/>
      <c r="AZ778" s="79"/>
    </row>
    <row r="779" spans="1:52" x14ac:dyDescent="0.3">
      <c r="A779" s="95" t="str">
        <f t="shared" si="176"/>
        <v>BD Cattle MMCH4</v>
      </c>
      <c r="B779" s="95" t="s">
        <v>1228</v>
      </c>
      <c r="C779" s="95" t="s">
        <v>1229</v>
      </c>
      <c r="D779" t="s">
        <v>15</v>
      </c>
      <c r="E779" t="s">
        <v>22</v>
      </c>
      <c r="F779" t="s">
        <v>6</v>
      </c>
      <c r="G779" t="s">
        <v>136</v>
      </c>
      <c r="H779" t="s">
        <v>1227</v>
      </c>
      <c r="I779" t="s">
        <v>121</v>
      </c>
      <c r="J779" t="s">
        <v>286</v>
      </c>
      <c r="K779" s="93">
        <f>IF('Net zero activities &amp; levers'!$C$10="Off",'Activity data'!AD5*EF!$H18*kgtoGg,IF('Net zero activities &amp; levers'!$C$10="On",'Net zero Activity data'!AD5*'Net zero supporting data'!B190*kgtoGg,"ERROR"))</f>
        <v>7.351330651107908</v>
      </c>
      <c r="L779" s="93">
        <f>IF('Net zero activities &amp; levers'!$C$10="Off",'Activity data'!AE5*EF!$H18*kgtoGg,IF('Net zero activities &amp; levers'!$C$10="On",'Net zero Activity data'!AE5*'Net zero supporting data'!C190*kgtoGg,"ERROR"))</f>
        <v>7.392428348789597</v>
      </c>
      <c r="M779" s="93">
        <f>IF('Net zero activities &amp; levers'!$C$10="Off",'Activity data'!AF5*EF!$H18*kgtoGg,IF('Net zero activities &amp; levers'!$C$10="On",'Net zero Activity data'!AF5*'Net zero supporting data'!D190*kgtoGg,"ERROR"))</f>
        <v>7.4507389435191715</v>
      </c>
      <c r="N779" s="93">
        <f>IF('Net zero activities &amp; levers'!$C$10="Off",'Activity data'!AG5*EF!$H18*kgtoGg,IF('Net zero activities &amp; levers'!$C$10="On",'Net zero Activity data'!AG5*'Net zero supporting data'!E190*kgtoGg,"ERROR"))</f>
        <v>7.4882097119910753</v>
      </c>
      <c r="O779" s="93">
        <f>IF('Net zero activities &amp; levers'!$C$10="Off",'Activity data'!AH5*EF!$H18*kgtoGg,IF('Net zero activities &amp; levers'!$C$10="On",'Net zero Activity data'!AH5*'Net zero supporting data'!F190*kgtoGg,"ERROR"))</f>
        <v>7.5131092090175429</v>
      </c>
      <c r="P779" s="93">
        <f>IF('Net zero activities &amp; levers'!$C$10="Off",'Activity data'!AI5*EF!$H18*kgtoGg,IF('Net zero activities &amp; levers'!$C$10="On",'Net zero Activity data'!AI5*'Net zero supporting data'!G190*kgtoGg,"ERROR"))</f>
        <v>7.5251923679492405</v>
      </c>
      <c r="Q779" s="93">
        <f>IF('Net zero activities &amp; levers'!$C$10="Off",'Activity data'!AJ5*EF!$H18*kgtoGg,IF('Net zero activities &amp; levers'!$C$10="On",'Net zero Activity data'!AJ5*'Net zero supporting data'!H190*kgtoGg,"ERROR"))</f>
        <v>7.5518885629203734</v>
      </c>
      <c r="R779" s="93">
        <f>IF('Net zero activities &amp; levers'!$C$10="Off",'Activity data'!AK5*EF!$H18*kgtoGg,IF('Net zero activities &amp; levers'!$C$10="On",'Net zero Activity data'!AK5*'Net zero supporting data'!I190*kgtoGg,"ERROR"))</f>
        <v>7.5825135825669046</v>
      </c>
      <c r="S779" s="93">
        <f>IF('Net zero activities &amp; levers'!$C$10="Off",'Activity data'!AL5*EF!$H18*kgtoGg,IF('Net zero activities &amp; levers'!$C$10="On",'Net zero Activity data'!AL5*'Net zero supporting data'!J190*kgtoGg,"ERROR"))</f>
        <v>7.3545862604907306</v>
      </c>
      <c r="T779" s="93">
        <f>IF('Net zero activities &amp; levers'!$C$10="Off",'Activity data'!AM5*EF!$H18*kgtoGg,IF('Net zero activities &amp; levers'!$C$10="On",'Net zero Activity data'!AM5*'Net zero supporting data'!K190*kgtoGg,"ERROR"))</f>
        <v>7.4319206101094348</v>
      </c>
      <c r="U779" s="93">
        <f>IF('Net zero activities &amp; levers'!$C$10="Off",'Activity data'!AN5*EF!$H18*kgtoGg,IF('Net zero activities &amp; levers'!$C$10="On",'Net zero Activity data'!AN5*'Net zero supporting data'!L190*kgtoGg,"ERROR"))</f>
        <v>7.5451176350008202</v>
      </c>
      <c r="V779" s="93">
        <f>IF('Net zero activities &amp; levers'!$C$10="Off",'Activity data'!AO5*EF!$H18*kgtoGg,IF('Net zero activities &amp; levers'!$C$10="On",'Net zero Activity data'!AO5*'Net zero supporting data'!M190*kgtoGg,"ERROR"))</f>
        <v>7.6037903760515064</v>
      </c>
      <c r="W779" s="93">
        <f>IF('Net zero activities &amp; levers'!$C$10="Off",'Activity data'!AP5*EF!$H18*kgtoGg,IF('Net zero activities &amp; levers'!$C$10="On",'Net zero Activity data'!AP5*'Net zero supporting data'!N190*kgtoGg,"ERROR"))</f>
        <v>7.6708455087945229</v>
      </c>
      <c r="X779" s="93">
        <f>IF('Net zero activities &amp; levers'!$C$10="Off",'Activity data'!AQ5*EF!$H18*kgtoGg,IF('Net zero activities &amp; levers'!$C$10="On",'Net zero Activity data'!AQ5*'Net zero supporting data'!O190*kgtoGg,"ERROR"))</f>
        <v>7.748454799455617</v>
      </c>
      <c r="Y779" s="93">
        <f>IF('Net zero activities &amp; levers'!$C$10="Off",'Activity data'!AR5*EF!$H18*kgtoGg,IF('Net zero activities &amp; levers'!$C$10="On",'Net zero Activity data'!AR5*'Net zero supporting data'!P190*kgtoGg,"ERROR"))</f>
        <v>7.8277085285324004</v>
      </c>
      <c r="Z779" s="93">
        <f>IF('Net zero activities &amp; levers'!$C$10="Off",'Activity data'!AS5*EF!$H18*kgtoGg,IF('Net zero activities &amp; levers'!$C$10="On",'Net zero Activity data'!AS5*'Net zero supporting data'!Q190*kgtoGg,"ERROR"))</f>
        <v>7.9154321855609755</v>
      </c>
      <c r="AA779" s="93">
        <f>IF('Net zero activities &amp; levers'!$C$10="Off",'Activity data'!AT5*EF!$H18*kgtoGg,IF('Net zero activities &amp; levers'!$C$10="On",'Net zero Activity data'!AT5*'Net zero supporting data'!R190*kgtoGg,"ERROR"))</f>
        <v>8.0058732816474745</v>
      </c>
      <c r="AB779" s="93">
        <f>IF('Net zero activities &amp; levers'!$C$10="Off",'Activity data'!AU5*EF!$H18*kgtoGg,IF('Net zero activities &amp; levers'!$C$10="On",'Net zero Activity data'!AU5*'Net zero supporting data'!S190*kgtoGg,"ERROR"))</f>
        <v>8.10422418278708</v>
      </c>
      <c r="AC779" s="93">
        <f>IF('Net zero activities &amp; levers'!$C$10="Off",'Activity data'!AV5*EF!$H18*kgtoGg,IF('Net zero activities &amp; levers'!$C$10="On",'Net zero Activity data'!AV5*'Net zero supporting data'!T190*kgtoGg,"ERROR"))</f>
        <v>8.2047936963570631</v>
      </c>
      <c r="AD779" s="93">
        <f>IF('Net zero activities &amp; levers'!$C$10="Off",'Activity data'!AW5*EF!$H18*kgtoGg,IF('Net zero activities &amp; levers'!$C$10="On",'Net zero Activity data'!AW5*'Net zero supporting data'!U190*kgtoGg,"ERROR"))</f>
        <v>8.3134419507553705</v>
      </c>
      <c r="AE779" s="93">
        <f>IF('Net zero activities &amp; levers'!$C$10="Off",'Activity data'!AX5*EF!$H18*kgtoGg,IF('Net zero activities &amp; levers'!$C$10="On",'Net zero Activity data'!AX5*'Net zero supporting data'!V190*kgtoGg,"ERROR"))</f>
        <v>8.4206197210713736</v>
      </c>
      <c r="AF779" s="93">
        <f>IF('Net zero activities &amp; levers'!$C$10="Off",'Activity data'!AY5*EF!$H18*kgtoGg,IF('Net zero activities &amp; levers'!$C$10="On",'Net zero Activity data'!AY5*'Net zero supporting data'!W190*kgtoGg,"ERROR"))</f>
        <v>8.5337450585207524</v>
      </c>
      <c r="AG779" s="93">
        <f>IF('Net zero activities &amp; levers'!$C$10="Off",'Activity data'!AZ5*EF!$H18*kgtoGg,IF('Net zero activities &amp; levers'!$C$10="On",'Net zero Activity data'!AZ5*'Net zero supporting data'!X190*kgtoGg,"ERROR"))</f>
        <v>8.6617085162438627</v>
      </c>
      <c r="AH779" s="93">
        <f>IF('Net zero activities &amp; levers'!$C$10="Off",'Activity data'!BA5*EF!$H18*kgtoGg,IF('Net zero activities &amp; levers'!$C$10="On",'Net zero Activity data'!BA5*'Net zero supporting data'!Y190*kgtoGg,"ERROR"))</f>
        <v>8.7833723342601697</v>
      </c>
      <c r="AI779" s="93">
        <f>IF('Net zero activities &amp; levers'!$C$10="Off",'Activity data'!BB5*EF!$H18*kgtoGg,IF('Net zero activities &amp; levers'!$C$10="On",'Net zero Activity data'!BB5*'Net zero supporting data'!Z190*kgtoGg,"ERROR"))</f>
        <v>8.9081379352092647</v>
      </c>
      <c r="AJ779" s="93">
        <f>IF('Net zero activities &amp; levers'!$C$10="Off",'Activity data'!BC5*EF!$H18*kgtoGg,IF('Net zero activities &amp; levers'!$C$10="On",'Net zero Activity data'!BC5*'Net zero supporting data'!AA190*kgtoGg,"ERROR"))</f>
        <v>9.0415690981618067</v>
      </c>
      <c r="AK779" s="93">
        <f>IF('Net zero activities &amp; levers'!$C$10="Off",'Activity data'!BD5*EF!$H18*kgtoGg,IF('Net zero activities &amp; levers'!$C$10="On",'Net zero Activity data'!BD5*'Net zero supporting data'!AB190*kgtoGg,"ERROR"))</f>
        <v>9.1665780174046034</v>
      </c>
      <c r="AL779" s="93">
        <f>IF('Net zero activities &amp; levers'!$C$10="Off",'Activity data'!BE5*EF!$H18*kgtoGg,IF('Net zero activities &amp; levers'!$C$10="On",'Net zero Activity data'!BE5*'Net zero supporting data'!AC190*kgtoGg,"ERROR"))</f>
        <v>9.290908547616274</v>
      </c>
      <c r="AM779" s="93">
        <f>IF('Net zero activities &amp; levers'!$C$10="Off",'Activity data'!BF5*EF!$H18*kgtoGg,IF('Net zero activities &amp; levers'!$C$10="On",'Net zero Activity data'!BF5*'Net zero supporting data'!AD190*kgtoGg,"ERROR"))</f>
        <v>9.414906513410104</v>
      </c>
      <c r="AN779" s="93">
        <f>IF('Net zero activities &amp; levers'!$C$10="Off",'Activity data'!BG5*EF!$H18*kgtoGg,IF('Net zero activities &amp; levers'!$C$10="On",'Net zero Activity data'!BG5*'Net zero supporting data'!AE190*kgtoGg,"ERROR"))</f>
        <v>9.5460926435688069</v>
      </c>
      <c r="AO779" s="93">
        <f>IF('Net zero activities &amp; levers'!$C$10="Off",'Activity data'!BH5*EF!$H18*kgtoGg,IF('Net zero activities &amp; levers'!$C$10="On",'Net zero Activity data'!BH5*'Net zero supporting data'!AF190*kgtoGg,"ERROR"))</f>
        <v>9.6720022033758184</v>
      </c>
      <c r="AP779" s="93">
        <f>IF('Net zero activities &amp; levers'!$C$10="Off",'Activity data'!BI5*EF!$H18*kgtoGg,IF('Net zero activities &amp; levers'!$C$10="On",'Net zero Activity data'!BI5*'Net zero supporting data'!AG190*kgtoGg,"ERROR"))</f>
        <v>9.8028010066851721</v>
      </c>
      <c r="AQ779" s="93">
        <f>IF('Net zero activities &amp; levers'!$C$10="Off",'Activity data'!BJ5*EF!$H18*kgtoGg,IF('Net zero activities &amp; levers'!$C$10="On",'Net zero Activity data'!BJ5*'Net zero supporting data'!AH190*kgtoGg,"ERROR"))</f>
        <v>9.939085602989195</v>
      </c>
      <c r="AR779" s="93">
        <f>IF('Net zero activities &amp; levers'!$C$10="Off",'Activity data'!BK5*EF!$H18*kgtoGg,IF('Net zero activities &amp; levers'!$C$10="On",'Net zero Activity data'!BK5*'Net zero supporting data'!AI190*kgtoGg,"ERROR"))</f>
        <v>10.081815307121353</v>
      </c>
      <c r="AS779" s="93">
        <f>IF('Net zero activities &amp; levers'!$C$10="Off",'Activity data'!BL5*EF!$H18*kgtoGg,IF('Net zero activities &amp; levers'!$C$10="On",'Net zero Activity data'!BL5*'Net zero supporting data'!AJ190*kgtoGg,"ERROR"))</f>
        <v>10.227069711733948</v>
      </c>
      <c r="AT779" s="93">
        <f>IF('Net zero activities &amp; levers'!$C$10="Off",'Activity data'!BM5*EF!$H18*kgtoGg,IF('Net zero activities &amp; levers'!$C$10="On",'Net zero Activity data'!BM5*'Net zero supporting data'!AK190*kgtoGg,"ERROR"))</f>
        <v>10.261508370245586</v>
      </c>
      <c r="AU779" s="93">
        <f>IF('Net zero activities &amp; levers'!$C$10="Off",'Activity data'!BN5*EF!$H18*kgtoGg,IF('Net zero activities &amp; levers'!$C$10="On",'Net zero Activity data'!BN5*'Net zero supporting data'!AL190*kgtoGg,"ERROR"))</f>
        <v>10.28601825816002</v>
      </c>
      <c r="AV779" s="93">
        <f>IF('Net zero activities &amp; levers'!$C$10="Off",'Activity data'!BO5*EF!$H18*kgtoGg,IF('Net zero activities &amp; levers'!$C$10="On",'Net zero Activity data'!BO5*'Net zero supporting data'!AM190*kgtoGg,"ERROR"))</f>
        <v>10.296060407046117</v>
      </c>
      <c r="AW779" s="93">
        <f>IF('Net zero activities &amp; levers'!$C$10="Off",'Activity data'!BP5*EF!$H18*kgtoGg,IF('Net zero activities &amp; levers'!$C$10="On",'Net zero Activity data'!BP5*'Net zero supporting data'!AN190*kgtoGg,"ERROR"))</f>
        <v>10.302124127636974</v>
      </c>
      <c r="AY779" s="79"/>
      <c r="AZ779" s="79"/>
    </row>
    <row r="780" spans="1:52" x14ac:dyDescent="0.3">
      <c r="A780" s="95" t="str">
        <f t="shared" si="176"/>
        <v>BD Cattle MMCH4</v>
      </c>
      <c r="B780" s="95" t="s">
        <v>1228</v>
      </c>
      <c r="C780" s="95" t="s">
        <v>1229</v>
      </c>
      <c r="D780" t="s">
        <v>15</v>
      </c>
      <c r="E780" t="s">
        <v>22</v>
      </c>
      <c r="F780" t="s">
        <v>6</v>
      </c>
      <c r="G780" t="s">
        <v>137</v>
      </c>
      <c r="H780" t="s">
        <v>1227</v>
      </c>
      <c r="I780" t="s">
        <v>121</v>
      </c>
      <c r="J780" t="s">
        <v>286</v>
      </c>
      <c r="K780" s="93">
        <f>IF('Net zero activities &amp; levers'!$C$10="Off",'Activity data'!AD6*EF!$H19*kgtoGg,IF('Net zero activities &amp; levers'!$C$10="On",'Net zero Activity data'!AD6*'Net zero supporting data'!B191*kgtoGg,"ERROR"))</f>
        <v>2.0944490884992821</v>
      </c>
      <c r="L780" s="93">
        <f>IF('Net zero activities &amp; levers'!$C$10="Off",'Activity data'!AE6*EF!$H19*kgtoGg,IF('Net zero activities &amp; levers'!$C$10="On",'Net zero Activity data'!AE6*'Net zero supporting data'!C191*kgtoGg,"ERROR"))</f>
        <v>2.1061581299686467</v>
      </c>
      <c r="M780" s="93">
        <f>IF('Net zero activities &amp; levers'!$C$10="Off",'Activity data'!AF6*EF!$H19*kgtoGg,IF('Net zero activities &amp; levers'!$C$10="On",'Net zero Activity data'!AF6*'Net zero supporting data'!D191*kgtoGg,"ERROR"))</f>
        <v>2.1227712545548472</v>
      </c>
      <c r="N780" s="93">
        <f>IF('Net zero activities &amp; levers'!$C$10="Off",'Activity data'!AG6*EF!$H19*kgtoGg,IF('Net zero activities &amp; levers'!$C$10="On",'Net zero Activity data'!AG6*'Net zero supporting data'!E191*kgtoGg,"ERROR"))</f>
        <v>2.1334469567638776</v>
      </c>
      <c r="O780" s="93">
        <f>IF('Net zero activities &amp; levers'!$C$10="Off",'Activity data'!AH6*EF!$H19*kgtoGg,IF('Net zero activities &amp; levers'!$C$10="On",'Net zero Activity data'!AH6*'Net zero supporting data'!F191*kgtoGg,"ERROR"))</f>
        <v>2.1405410097083357</v>
      </c>
      <c r="P780" s="93">
        <f>IF('Net zero activities &amp; levers'!$C$10="Off",'Activity data'!AI6*EF!$H19*kgtoGg,IF('Net zero activities &amp; levers'!$C$10="On",'Net zero Activity data'!AI6*'Net zero supporting data'!G191*kgtoGg,"ERROR"))</f>
        <v>2.143983592066792</v>
      </c>
      <c r="Q780" s="93">
        <f>IF('Net zero activities &amp; levers'!$C$10="Off",'Activity data'!AJ6*EF!$H19*kgtoGg,IF('Net zero activities &amp; levers'!$C$10="On",'Net zero Activity data'!AJ6*'Net zero supporting data'!H191*kgtoGg,"ERROR"))</f>
        <v>2.151589537694508</v>
      </c>
      <c r="R780" s="93">
        <f>IF('Net zero activities &amp; levers'!$C$10="Off",'Activity data'!AK6*EF!$H19*kgtoGg,IF('Net zero activities &amp; levers'!$C$10="On",'Net zero Activity data'!AK6*'Net zero supporting data'!I191*kgtoGg,"ERROR"))</f>
        <v>2.1603148348588084</v>
      </c>
      <c r="S780" s="93">
        <f>IF('Net zero activities &amp; levers'!$C$10="Off",'Activity data'!AL6*EF!$H19*kgtoGg,IF('Net zero activities &amp; levers'!$C$10="On",'Net zero Activity data'!AL6*'Net zero supporting data'!J191*kgtoGg,"ERROR"))</f>
        <v>2.0953766359635408</v>
      </c>
      <c r="T780" s="93">
        <f>IF('Net zero activities &amp; levers'!$C$10="Off",'Activity data'!AM6*EF!$H19*kgtoGg,IF('Net zero activities &amp; levers'!$C$10="On",'Net zero Activity data'!AM6*'Net zero supporting data'!K191*kgtoGg,"ERROR"))</f>
        <v>2.117409770610283</v>
      </c>
      <c r="U780" s="93">
        <f>IF('Net zero activities &amp; levers'!$C$10="Off",'Activity data'!AN6*EF!$H19*kgtoGg,IF('Net zero activities &amp; levers'!$C$10="On",'Net zero Activity data'!AN6*'Net zero supporting data'!L191*kgtoGg,"ERROR"))</f>
        <v>2.149660449685487</v>
      </c>
      <c r="V780" s="93">
        <f>IF('Net zero activities &amp; levers'!$C$10="Off",'Activity data'!AO6*EF!$H19*kgtoGg,IF('Net zero activities &amp; levers'!$C$10="On",'Net zero Activity data'!AO6*'Net zero supporting data'!M191*kgtoGg,"ERROR"))</f>
        <v>2.1663767524673299</v>
      </c>
      <c r="W780" s="93">
        <f>IF('Net zero activities &amp; levers'!$C$10="Off",'Activity data'!AP6*EF!$H19*kgtoGg,IF('Net zero activities &amp; levers'!$C$10="On",'Net zero Activity data'!AP6*'Net zero supporting data'!N191*kgtoGg,"ERROR"))</f>
        <v>2.1854812613403793</v>
      </c>
      <c r="X780" s="93">
        <f>IF('Net zero activities &amp; levers'!$C$10="Off",'Activity data'!AQ6*EF!$H19*kgtoGg,IF('Net zero activities &amp; levers'!$C$10="On",'Net zero Activity data'!AQ6*'Net zero supporting data'!O191*kgtoGg,"ERROR"))</f>
        <v>2.207592728746584</v>
      </c>
      <c r="Y780" s="93">
        <f>IF('Net zero activities &amp; levers'!$C$10="Off",'Activity data'!AR6*EF!$H19*kgtoGg,IF('Net zero activities &amp; levers'!$C$10="On",'Net zero Activity data'!AR6*'Net zero supporting data'!P191*kgtoGg,"ERROR"))</f>
        <v>2.23017270895738</v>
      </c>
      <c r="Z780" s="93">
        <f>IF('Net zero activities &amp; levers'!$C$10="Off",'Activity data'!AS6*EF!$H19*kgtoGg,IF('Net zero activities &amp; levers'!$C$10="On",'Net zero Activity data'!AS6*'Net zero supporting data'!Q191*kgtoGg,"ERROR"))</f>
        <v>2.2551658349944512</v>
      </c>
      <c r="AA780" s="93">
        <f>IF('Net zero activities &amp; levers'!$C$10="Off",'Activity data'!AT6*EF!$H19*kgtoGg,IF('Net zero activities &amp; levers'!$C$10="On",'Net zero Activity data'!AT6*'Net zero supporting data'!R191*kgtoGg,"ERROR"))</f>
        <v>2.2809331797448467</v>
      </c>
      <c r="AB780" s="93">
        <f>IF('Net zero activities &amp; levers'!$C$10="Off",'Activity data'!AU6*EF!$H19*kgtoGg,IF('Net zero activities &amp; levers'!$C$10="On",'Net zero Activity data'!AU6*'Net zero supporting data'!S191*kgtoGg,"ERROR"))</f>
        <v>2.3089540871181105</v>
      </c>
      <c r="AC780" s="93">
        <f>IF('Net zero activities &amp; levers'!$C$10="Off",'Activity data'!AV6*EF!$H19*kgtoGg,IF('Net zero activities &amp; levers'!$C$10="On",'Net zero Activity data'!AV6*'Net zero supporting data'!T191*kgtoGg,"ERROR"))</f>
        <v>2.3376070937674198</v>
      </c>
      <c r="AD780" s="93">
        <f>IF('Net zero activities &amp; levers'!$C$10="Off",'Activity data'!AW6*EF!$H19*kgtoGg,IF('Net zero activities &amp; levers'!$C$10="On",'Net zero Activity data'!AW6*'Net zero supporting data'!U191*kgtoGg,"ERROR"))</f>
        <v>2.3685617941055517</v>
      </c>
      <c r="AE780" s="93">
        <f>IF('Net zero activities &amp; levers'!$C$10="Off",'Activity data'!AX6*EF!$H19*kgtoGg,IF('Net zero activities &amp; levers'!$C$10="On",'Net zero Activity data'!AX6*'Net zero supporting data'!V191*kgtoGg,"ERROR"))</f>
        <v>2.3990975425298058</v>
      </c>
      <c r="AF780" s="93">
        <f>IF('Net zero activities &amp; levers'!$C$10="Off",'Activity data'!AY6*EF!$H19*kgtoGg,IF('Net zero activities &amp; levers'!$C$10="On",'Net zero Activity data'!AY6*'Net zero supporting data'!W191*kgtoGg,"ERROR"))</f>
        <v>2.4313277973165794</v>
      </c>
      <c r="AG780" s="93">
        <f>IF('Net zero activities &amp; levers'!$C$10="Off",'Activity data'!AZ6*EF!$H19*kgtoGg,IF('Net zero activities &amp; levers'!$C$10="On",'Net zero Activity data'!AZ6*'Net zero supporting data'!X191*kgtoGg,"ERROR"))</f>
        <v>2.4677855435545331</v>
      </c>
      <c r="AH780" s="93">
        <f>IF('Net zero activities &amp; levers'!$C$10="Off",'Activity data'!BA6*EF!$H19*kgtoGg,IF('Net zero activities &amp; levers'!$C$10="On",'Net zero Activity data'!BA6*'Net zero supporting data'!Y191*kgtoGg,"ERROR"))</f>
        <v>2.5024484753203891</v>
      </c>
      <c r="AI780" s="93">
        <f>IF('Net zero activities &amp; levers'!$C$10="Off",'Activity data'!BB6*EF!$H19*kgtoGg,IF('Net zero activities &amp; levers'!$C$10="On",'Net zero Activity data'!BB6*'Net zero supporting data'!Z191*kgtoGg,"ERROR"))</f>
        <v>2.5379951282443072</v>
      </c>
      <c r="AJ780" s="93">
        <f>IF('Net zero activities &amp; levers'!$C$10="Off",'Activity data'!BC6*EF!$H19*kgtoGg,IF('Net zero activities &amp; levers'!$C$10="On",'Net zero Activity data'!BC6*'Net zero supporting data'!AA191*kgtoGg,"ERROR"))</f>
        <v>2.5760106645991079</v>
      </c>
      <c r="AK780" s="93">
        <f>IF('Net zero activities &amp; levers'!$C$10="Off",'Activity data'!BD6*EF!$H19*kgtoGg,IF('Net zero activities &amp; levers'!$C$10="On",'Net zero Activity data'!BD6*'Net zero supporting data'!AB191*kgtoGg,"ERROR"))</f>
        <v>2.6116266407248583</v>
      </c>
      <c r="AL780" s="93">
        <f>IF('Net zero activities &amp; levers'!$C$10="Off",'Activity data'!BE6*EF!$H19*kgtoGg,IF('Net zero activities &amp; levers'!$C$10="On",'Net zero Activity data'!BE6*'Net zero supporting data'!AC191*kgtoGg,"ERROR"))</f>
        <v>2.6470493387414713</v>
      </c>
      <c r="AM780" s="93">
        <f>IF('Net zero activities &amp; levers'!$C$10="Off",'Activity data'!BF6*EF!$H19*kgtoGg,IF('Net zero activities &amp; levers'!$C$10="On",'Net zero Activity data'!BF6*'Net zero supporting data'!AD191*kgtoGg,"ERROR"))</f>
        <v>2.6823772866679478</v>
      </c>
      <c r="AN780" s="93">
        <f>IF('Net zero activities &amp; levers'!$C$10="Off",'Activity data'!BG6*EF!$H19*kgtoGg,IF('Net zero activities &amp; levers'!$C$10="On",'Net zero Activity data'!BG6*'Net zero supporting data'!AE191*kgtoGg,"ERROR"))</f>
        <v>2.719753196387535</v>
      </c>
      <c r="AO780" s="93">
        <f>IF('Net zero activities &amp; levers'!$C$10="Off",'Activity data'!BH6*EF!$H19*kgtoGg,IF('Net zero activities &amp; levers'!$C$10="On",'Net zero Activity data'!BH6*'Net zero supporting data'!AF191*kgtoGg,"ERROR"))</f>
        <v>2.755625771746582</v>
      </c>
      <c r="AP780" s="93">
        <f>IF('Net zero activities &amp; levers'!$C$10="Off",'Activity data'!BI6*EF!$H19*kgtoGg,IF('Net zero activities &amp; levers'!$C$10="On",'Net zero Activity data'!BI6*'Net zero supporting data'!AG191*kgtoGg,"ERROR"))</f>
        <v>2.792891329149688</v>
      </c>
      <c r="AQ780" s="93">
        <f>IF('Net zero activities &amp; levers'!$C$10="Off",'Activity data'!BJ6*EF!$H19*kgtoGg,IF('Net zero activities &amp; levers'!$C$10="On",'Net zero Activity data'!BJ6*'Net zero supporting data'!AH191*kgtoGg,"ERROR"))</f>
        <v>2.8317198300092477</v>
      </c>
      <c r="AR780" s="93">
        <f>IF('Net zero activities &amp; levers'!$C$10="Off",'Activity data'!BK6*EF!$H19*kgtoGg,IF('Net zero activities &amp; levers'!$C$10="On",'Net zero Activity data'!BK6*'Net zero supporting data'!AI191*kgtoGg,"ERROR"))</f>
        <v>2.8723845902967362</v>
      </c>
      <c r="AS780" s="93">
        <f>IF('Net zero activities &amp; levers'!$C$10="Off",'Activity data'!BL6*EF!$H19*kgtoGg,IF('Net zero activities &amp; levers'!$C$10="On",'Net zero Activity data'!BL6*'Net zero supporting data'!AJ191*kgtoGg,"ERROR"))</f>
        <v>2.9137686566351899</v>
      </c>
      <c r="AT780" s="93">
        <f>IF('Net zero activities &amp; levers'!$C$10="Off",'Activity data'!BM6*EF!$H19*kgtoGg,IF('Net zero activities &amp; levers'!$C$10="On",'Net zero Activity data'!BM6*'Net zero supporting data'!AK191*kgtoGg,"ERROR"))</f>
        <v>2.9235804880371647</v>
      </c>
      <c r="AU780" s="93">
        <f>IF('Net zero activities &amp; levers'!$C$10="Off",'Activity data'!BN6*EF!$H19*kgtoGg,IF('Net zero activities &amp; levers'!$C$10="On",'Net zero Activity data'!BN6*'Net zero supporting data'!AL191*kgtoGg,"ERROR"))</f>
        <v>2.9305635384314317</v>
      </c>
      <c r="AV780" s="93">
        <f>IF('Net zero activities &amp; levers'!$C$10="Off",'Activity data'!BO6*EF!$H19*kgtoGg,IF('Net zero activities &amp; levers'!$C$10="On",'Net zero Activity data'!BO6*'Net zero supporting data'!AM191*kgtoGg,"ERROR"))</f>
        <v>2.9334246217616835</v>
      </c>
      <c r="AW780" s="93">
        <f>IF('Net zero activities &amp; levers'!$C$10="Off",'Activity data'!BP6*EF!$H19*kgtoGg,IF('Net zero activities &amp; levers'!$C$10="On",'Net zero Activity data'!BP6*'Net zero supporting data'!AN191*kgtoGg,"ERROR"))</f>
        <v>2.9351522211130368</v>
      </c>
      <c r="AY780" s="79"/>
      <c r="AZ780" s="79"/>
    </row>
    <row r="781" spans="1:52" x14ac:dyDescent="0.3">
      <c r="A781" s="95" t="str">
        <f t="shared" si="176"/>
        <v>BD Cattle MMCH4</v>
      </c>
      <c r="B781" s="95" t="s">
        <v>1228</v>
      </c>
      <c r="C781" s="95" t="s">
        <v>1229</v>
      </c>
      <c r="D781" t="s">
        <v>15</v>
      </c>
      <c r="E781" t="s">
        <v>22</v>
      </c>
      <c r="F781" t="s">
        <v>67</v>
      </c>
      <c r="G781" t="s">
        <v>307</v>
      </c>
      <c r="H781" t="s">
        <v>1227</v>
      </c>
      <c r="I781" t="s">
        <v>121</v>
      </c>
      <c r="J781" t="s">
        <v>286</v>
      </c>
      <c r="K781" s="27">
        <f t="shared" ref="K781:AW781" si="213">K1395</f>
        <v>0.43258377187145641</v>
      </c>
      <c r="L781" s="27">
        <f t="shared" si="213"/>
        <v>0.43500213637199736</v>
      </c>
      <c r="M781" s="27">
        <f t="shared" si="213"/>
        <v>0.43843338143569016</v>
      </c>
      <c r="N781" s="27">
        <f t="shared" si="213"/>
        <v>0.44063832189202168</v>
      </c>
      <c r="O781" s="27">
        <f t="shared" si="213"/>
        <v>0.44210351490980387</v>
      </c>
      <c r="P781" s="27">
        <f t="shared" si="213"/>
        <v>0.44281453971808232</v>
      </c>
      <c r="Q781" s="27">
        <f t="shared" si="213"/>
        <v>0.44438545813589125</v>
      </c>
      <c r="R781" s="27">
        <f t="shared" si="213"/>
        <v>0.44618756541973886</v>
      </c>
      <c r="S781" s="27">
        <f t="shared" si="213"/>
        <v>0.43277534586715866</v>
      </c>
      <c r="T781" s="27">
        <f t="shared" si="213"/>
        <v>0.4373260301229735</v>
      </c>
      <c r="U781" s="27">
        <f t="shared" si="213"/>
        <v>0.44398702774586812</v>
      </c>
      <c r="V781" s="27">
        <f t="shared" si="213"/>
        <v>0.44743958304970527</v>
      </c>
      <c r="W781" s="27">
        <f t="shared" si="213"/>
        <v>0.45138539417179691</v>
      </c>
      <c r="X781" s="27">
        <f t="shared" si="213"/>
        <v>0.45595225713576731</v>
      </c>
      <c r="Y781" s="27">
        <f t="shared" si="213"/>
        <v>0.46061588589714619</v>
      </c>
      <c r="Z781" s="27">
        <f t="shared" si="213"/>
        <v>0.46577792148509239</v>
      </c>
      <c r="AA781" s="27">
        <f t="shared" si="213"/>
        <v>0.47109986282252775</v>
      </c>
      <c r="AB781" s="27">
        <f t="shared" si="213"/>
        <v>0.47688725095688084</v>
      </c>
      <c r="AC781" s="27">
        <f t="shared" si="213"/>
        <v>0.48280519174612069</v>
      </c>
      <c r="AD781" s="27">
        <f t="shared" si="213"/>
        <v>0.48919852023662819</v>
      </c>
      <c r="AE781" s="27">
        <f t="shared" si="213"/>
        <v>0.4955053191475276</v>
      </c>
      <c r="AF781" s="27">
        <f t="shared" si="213"/>
        <v>0.50216209837438885</v>
      </c>
      <c r="AG781" s="27">
        <f t="shared" si="213"/>
        <v>0.50969201613087478</v>
      </c>
      <c r="AH781" s="27">
        <f t="shared" si="213"/>
        <v>0.51685123611370132</v>
      </c>
      <c r="AI781" s="27">
        <f t="shared" si="213"/>
        <v>0.52419297828526779</v>
      </c>
      <c r="AJ781" s="27">
        <f t="shared" si="213"/>
        <v>0.53204463922865186</v>
      </c>
      <c r="AK781" s="27">
        <f t="shared" si="213"/>
        <v>0.53940069929044132</v>
      </c>
      <c r="AL781" s="27">
        <f t="shared" si="213"/>
        <v>0.54671684003696541</v>
      </c>
      <c r="AM781" s="27">
        <f t="shared" si="213"/>
        <v>0.55401341126919512</v>
      </c>
      <c r="AN781" s="27">
        <f t="shared" si="213"/>
        <v>0.56173296487038149</v>
      </c>
      <c r="AO781" s="27">
        <f t="shared" si="213"/>
        <v>0.56914202247926249</v>
      </c>
      <c r="AP781" s="27">
        <f t="shared" si="213"/>
        <v>0.57683878411020695</v>
      </c>
      <c r="AQ781" s="27">
        <f t="shared" si="213"/>
        <v>0.58485835328960278</v>
      </c>
      <c r="AR781" s="27">
        <f t="shared" si="213"/>
        <v>0.59325718020977147</v>
      </c>
      <c r="AS781" s="27">
        <f t="shared" si="213"/>
        <v>0.60180457131627674</v>
      </c>
      <c r="AT781" s="27">
        <f t="shared" si="213"/>
        <v>0.60383108943989172</v>
      </c>
      <c r="AU781" s="27">
        <f t="shared" si="213"/>
        <v>0.60527335618932376</v>
      </c>
      <c r="AV781" s="27">
        <f t="shared" si="213"/>
        <v>0.60586427922747954</v>
      </c>
      <c r="AW781" s="27">
        <f t="shared" si="213"/>
        <v>0.60622109451021655</v>
      </c>
      <c r="AY781" s="79"/>
      <c r="AZ781" s="79"/>
    </row>
    <row r="782" spans="1:52" x14ac:dyDescent="0.3">
      <c r="A782" s="95" t="str">
        <f t="shared" si="176"/>
        <v>BD Cattle MMCH4</v>
      </c>
      <c r="B782" s="95" t="s">
        <v>1228</v>
      </c>
      <c r="C782" s="95" t="s">
        <v>1229</v>
      </c>
      <c r="D782" t="s">
        <v>15</v>
      </c>
      <c r="E782" t="s">
        <v>22</v>
      </c>
      <c r="F782" t="s">
        <v>67</v>
      </c>
      <c r="G782" t="s">
        <v>122</v>
      </c>
      <c r="H782" t="s">
        <v>1227</v>
      </c>
      <c r="I782" t="s">
        <v>121</v>
      </c>
      <c r="J782" t="s">
        <v>286</v>
      </c>
      <c r="K782" s="27">
        <f t="shared" ref="K782:AW782" si="214">K1396</f>
        <v>9.4871637196006553E-2</v>
      </c>
      <c r="L782" s="27">
        <f t="shared" si="214"/>
        <v>9.404884578461549E-2</v>
      </c>
      <c r="M782" s="27">
        <f t="shared" si="214"/>
        <v>9.3735634002294246E-2</v>
      </c>
      <c r="N782" s="27">
        <f t="shared" si="214"/>
        <v>9.2483917307495084E-2</v>
      </c>
      <c r="O782" s="27">
        <f t="shared" si="214"/>
        <v>9.0667019955957343E-2</v>
      </c>
      <c r="P782" s="27">
        <f t="shared" si="214"/>
        <v>8.8322512540543865E-2</v>
      </c>
      <c r="Q782" s="27">
        <f t="shared" si="214"/>
        <v>8.6473330972337892E-2</v>
      </c>
      <c r="R782" s="27">
        <f t="shared" si="214"/>
        <v>8.4723794986300283E-2</v>
      </c>
      <c r="S782" s="27">
        <f t="shared" si="214"/>
        <v>7.4532240818123416E-2</v>
      </c>
      <c r="T782" s="27">
        <f t="shared" si="214"/>
        <v>7.5742869009566477E-2</v>
      </c>
      <c r="U782" s="27">
        <f t="shared" si="214"/>
        <v>7.8001334092155483E-2</v>
      </c>
      <c r="V782" s="27">
        <f t="shared" si="214"/>
        <v>7.8452375655366738E-2</v>
      </c>
      <c r="W782" s="27">
        <f t="shared" si="214"/>
        <v>7.9102907310080586E-2</v>
      </c>
      <c r="X782" s="27">
        <f t="shared" si="214"/>
        <v>8.0010413317847237E-2</v>
      </c>
      <c r="Y782" s="27">
        <f t="shared" si="214"/>
        <v>8.1051364115397456E-2</v>
      </c>
      <c r="Z782" s="27">
        <f t="shared" si="214"/>
        <v>8.2271824268517132E-2</v>
      </c>
      <c r="AA782" s="27">
        <f t="shared" si="214"/>
        <v>8.3497913456907769E-2</v>
      </c>
      <c r="AB782" s="27">
        <f t="shared" si="214"/>
        <v>8.4876885462998888E-2</v>
      </c>
      <c r="AC782" s="27">
        <f t="shared" si="214"/>
        <v>8.6242172681273321E-2</v>
      </c>
      <c r="AD782" s="27">
        <f t="shared" si="214"/>
        <v>8.7131524640671032E-2</v>
      </c>
      <c r="AE782" s="27">
        <f t="shared" si="214"/>
        <v>8.7861744576890749E-2</v>
      </c>
      <c r="AF782" s="27">
        <f t="shared" si="214"/>
        <v>8.863318056494178E-2</v>
      </c>
      <c r="AG782" s="27">
        <f t="shared" si="214"/>
        <v>8.9665353249555477E-2</v>
      </c>
      <c r="AH782" s="27">
        <f t="shared" si="214"/>
        <v>9.0407657135718758E-2</v>
      </c>
      <c r="AI782" s="27">
        <f t="shared" si="214"/>
        <v>9.1198770165766427E-2</v>
      </c>
      <c r="AJ782" s="27">
        <f t="shared" si="214"/>
        <v>9.2069621900880569E-2</v>
      </c>
      <c r="AK782" s="27">
        <f t="shared" si="214"/>
        <v>9.2612278465111636E-2</v>
      </c>
      <c r="AL782" s="27">
        <f t="shared" si="214"/>
        <v>9.3019389326395155E-2</v>
      </c>
      <c r="AM782" s="27">
        <f t="shared" si="214"/>
        <v>9.3302561003725443E-2</v>
      </c>
      <c r="AN782" s="27">
        <f t="shared" si="214"/>
        <v>9.4182866906307741E-2</v>
      </c>
      <c r="AO782" s="27">
        <f t="shared" si="214"/>
        <v>9.4852010834144421E-2</v>
      </c>
      <c r="AP782" s="27">
        <f t="shared" si="214"/>
        <v>9.5529601297703756E-2</v>
      </c>
      <c r="AQ782" s="27">
        <f t="shared" si="214"/>
        <v>9.6223389625578193E-2</v>
      </c>
      <c r="AR782" s="27">
        <f t="shared" si="214"/>
        <v>9.6947366282069555E-2</v>
      </c>
      <c r="AS782" s="27">
        <f t="shared" si="214"/>
        <v>9.7690698003963641E-2</v>
      </c>
      <c r="AT782" s="27">
        <f t="shared" si="214"/>
        <v>9.6224389596631696E-2</v>
      </c>
      <c r="AU782" s="27">
        <f t="shared" si="214"/>
        <v>9.4563308773857144E-2</v>
      </c>
      <c r="AV782" s="27">
        <f t="shared" si="214"/>
        <v>9.2637583282449518E-2</v>
      </c>
      <c r="AW782" s="27">
        <f t="shared" si="214"/>
        <v>9.065150695451285E-2</v>
      </c>
      <c r="AY782" s="79"/>
      <c r="AZ782" s="79"/>
    </row>
    <row r="783" spans="1:52" x14ac:dyDescent="0.3">
      <c r="A783" s="95" t="str">
        <f t="shared" si="176"/>
        <v>BD Cattle MMCH4</v>
      </c>
      <c r="B783" s="95" t="s">
        <v>1228</v>
      </c>
      <c r="C783" s="95" t="s">
        <v>1229</v>
      </c>
      <c r="D783" t="s">
        <v>15</v>
      </c>
      <c r="E783" t="s">
        <v>22</v>
      </c>
      <c r="F783" t="s">
        <v>67</v>
      </c>
      <c r="G783" t="s">
        <v>123</v>
      </c>
      <c r="H783" t="s">
        <v>1227</v>
      </c>
      <c r="I783" t="s">
        <v>121</v>
      </c>
      <c r="J783" t="s">
        <v>286</v>
      </c>
      <c r="K783" s="27">
        <f t="shared" ref="K783:AW783" si="215">K1397</f>
        <v>6.9689449734106304E-2</v>
      </c>
      <c r="L783" s="27">
        <f t="shared" si="215"/>
        <v>6.9085055392440989E-2</v>
      </c>
      <c r="M783" s="27">
        <f t="shared" si="215"/>
        <v>6.8854980763127793E-2</v>
      </c>
      <c r="N783" s="27">
        <f t="shared" si="215"/>
        <v>6.7935512624264269E-2</v>
      </c>
      <c r="O783" s="27">
        <f t="shared" si="215"/>
        <v>6.660088216573827E-2</v>
      </c>
      <c r="P783" s="27">
        <f t="shared" si="215"/>
        <v>6.4878687456057696E-2</v>
      </c>
      <c r="Q783" s="27">
        <f t="shared" si="215"/>
        <v>6.3520342119606069E-2</v>
      </c>
      <c r="R783" s="27">
        <f t="shared" si="215"/>
        <v>6.2235193009075998E-2</v>
      </c>
      <c r="S783" s="27">
        <f t="shared" si="215"/>
        <v>5.4748826979066356E-2</v>
      </c>
      <c r="T783" s="27">
        <f t="shared" si="215"/>
        <v>5.5638112913069561E-2</v>
      </c>
      <c r="U783" s="27">
        <f t="shared" si="215"/>
        <v>5.7297103877082825E-2</v>
      </c>
      <c r="V783" s="27">
        <f t="shared" si="215"/>
        <v>5.7628423534637221E-2</v>
      </c>
      <c r="W783" s="27">
        <f t="shared" si="215"/>
        <v>5.8106281769105768E-2</v>
      </c>
      <c r="X783" s="27">
        <f t="shared" si="215"/>
        <v>5.8772904546796331E-2</v>
      </c>
      <c r="Y783" s="27">
        <f t="shared" si="215"/>
        <v>5.9537551288705921E-2</v>
      </c>
      <c r="Z783" s="27">
        <f t="shared" si="215"/>
        <v>6.0434059444432087E-2</v>
      </c>
      <c r="AA783" s="27">
        <f t="shared" si="215"/>
        <v>6.1334702496341778E-2</v>
      </c>
      <c r="AB783" s="27">
        <f t="shared" si="215"/>
        <v>6.2347648020879123E-2</v>
      </c>
      <c r="AC783" s="27">
        <f t="shared" si="215"/>
        <v>6.3350541169797603E-2</v>
      </c>
      <c r="AD783" s="27">
        <f t="shared" si="215"/>
        <v>6.4003828606403412E-2</v>
      </c>
      <c r="AE783" s="27">
        <f t="shared" si="215"/>
        <v>6.4540223118441709E-2</v>
      </c>
      <c r="AF783" s="27">
        <f t="shared" si="215"/>
        <v>6.5106893528074167E-2</v>
      </c>
      <c r="AG783" s="27">
        <f t="shared" si="215"/>
        <v>6.5865092169388781E-2</v>
      </c>
      <c r="AH783" s="27">
        <f t="shared" si="215"/>
        <v>6.641036313646749E-2</v>
      </c>
      <c r="AI783" s="27">
        <f t="shared" si="215"/>
        <v>6.6991487626051227E-2</v>
      </c>
      <c r="AJ783" s="27">
        <f t="shared" si="215"/>
        <v>6.7631185432622337E-2</v>
      </c>
      <c r="AK783" s="27">
        <f t="shared" si="215"/>
        <v>6.8029802326707703E-2</v>
      </c>
      <c r="AL783" s="27">
        <f t="shared" si="215"/>
        <v>6.832885199784397E-2</v>
      </c>
      <c r="AM783" s="27">
        <f t="shared" si="215"/>
        <v>6.8536860196676486E-2</v>
      </c>
      <c r="AN783" s="27">
        <f t="shared" si="215"/>
        <v>6.9183502710306752E-2</v>
      </c>
      <c r="AO783" s="27">
        <f t="shared" si="215"/>
        <v>6.9675032882043061E-2</v>
      </c>
      <c r="AP783" s="27">
        <f t="shared" si="215"/>
        <v>7.0172767589129104E-2</v>
      </c>
      <c r="AQ783" s="27">
        <f t="shared" si="215"/>
        <v>7.0682400691608652E-2</v>
      </c>
      <c r="AR783" s="27">
        <f t="shared" si="215"/>
        <v>7.1214209104559126E-2</v>
      </c>
      <c r="AS783" s="27">
        <f t="shared" si="215"/>
        <v>7.1760235084501689E-2</v>
      </c>
      <c r="AT783" s="27">
        <f t="shared" si="215"/>
        <v>7.0683135236036573E-2</v>
      </c>
      <c r="AU783" s="27">
        <f t="shared" si="215"/>
        <v>6.9462962253632216E-2</v>
      </c>
      <c r="AV783" s="27">
        <f t="shared" si="215"/>
        <v>6.8048390377341353E-2</v>
      </c>
      <c r="AW783" s="27">
        <f t="shared" si="215"/>
        <v>6.658948684711255E-2</v>
      </c>
      <c r="AY783" s="79"/>
      <c r="AZ783" s="79"/>
    </row>
    <row r="784" spans="1:52" x14ac:dyDescent="0.3">
      <c r="A784" s="95" t="str">
        <f t="shared" si="176"/>
        <v>BD Cattle MMCH4</v>
      </c>
      <c r="B784" s="95" t="s">
        <v>1228</v>
      </c>
      <c r="C784" s="95" t="s">
        <v>1229</v>
      </c>
      <c r="D784" t="s">
        <v>15</v>
      </c>
      <c r="E784" t="s">
        <v>22</v>
      </c>
      <c r="F784" t="s">
        <v>67</v>
      </c>
      <c r="G784" t="s">
        <v>135</v>
      </c>
      <c r="H784" t="s">
        <v>1227</v>
      </c>
      <c r="I784" t="s">
        <v>121</v>
      </c>
      <c r="J784" t="s">
        <v>286</v>
      </c>
      <c r="K784" s="93">
        <f>IF('Net zero activities &amp; levers'!$C$10="Off",'Activity data'!AD10*EF!$H23*kgtoGg,IF('Net zero activities &amp; levers'!$C$10="On",'Net zero Activity data'!AD10*'Net zero supporting data'!B192*kgtoGg,"ERROR"))</f>
        <v>0.47107022937833831</v>
      </c>
      <c r="L784" s="93">
        <f>IF('Net zero activities &amp; levers'!$C$10="Off",'Activity data'!AE10*EF!$H23*kgtoGg,IF('Net zero activities &amp; levers'!$C$10="On",'Net zero Activity data'!AE10*'Net zero supporting data'!C192*kgtoGg,"ERROR"))</f>
        <v>0.48695387967725939</v>
      </c>
      <c r="M784" s="93">
        <f>IF('Net zero activities &amp; levers'!$C$10="Off",'Activity data'!AF10*EF!$H23*kgtoGg,IF('Net zero activities &amp; levers'!$C$10="On",'Net zero Activity data'!AF10*'Net zero supporting data'!D192*kgtoGg,"ERROR"))</f>
        <v>0.50580611066616787</v>
      </c>
      <c r="N784" s="93">
        <f>IF('Net zero activities &amp; levers'!$C$10="Off",'Activity data'!AG10*EF!$H23*kgtoGg,IF('Net zero activities &amp; levers'!$C$10="On",'Net zero Activity data'!AG10*'Net zero supporting data'!E192*kgtoGg,"ERROR"))</f>
        <v>0.51986569055899412</v>
      </c>
      <c r="O784" s="93">
        <f>IF('Net zero activities &amp; levers'!$C$10="Off",'Activity data'!AH10*EF!$H23*kgtoGg,IF('Net zero activities &amp; levers'!$C$10="On",'Net zero Activity data'!AH10*'Net zero supporting data'!F192*kgtoGg,"ERROR"))</f>
        <v>0.5307082628613855</v>
      </c>
      <c r="P784" s="93">
        <f>IF('Net zero activities &amp; levers'!$C$10="Off",'Activity data'!AI10*EF!$H23*kgtoGg,IF('Net zero activities &amp; levers'!$C$10="On",'Net zero Activity data'!AI10*'Net zero supporting data'!G192*kgtoGg,"ERROR"))</f>
        <v>0.53817886796858128</v>
      </c>
      <c r="Q784" s="93">
        <f>IF('Net zero activities &amp; levers'!$C$10="Off",'Activity data'!AJ10*EF!$H23*kgtoGg,IF('Net zero activities &amp; levers'!$C$10="On",'Net zero Activity data'!AJ10*'Net zero supporting data'!H192*kgtoGg,"ERROR"))</f>
        <v>0.54837935702304741</v>
      </c>
      <c r="R784" s="93">
        <f>IF('Net zero activities &amp; levers'!$C$10="Off",'Activity data'!AK10*EF!$H23*kgtoGg,IF('Net zero activities &amp; levers'!$C$10="On",'Net zero Activity data'!AK10*'Net zero supporting data'!I192*kgtoGg,"ERROR"))</f>
        <v>0.55907244781022658</v>
      </c>
      <c r="S784" s="93">
        <f>IF('Net zero activities &amp; levers'!$C$10="Off",'Activity data'!AL10*EF!$H23*kgtoGg,IF('Net zero activities &amp; levers'!$C$10="On",'Net zero Activity data'!AL10*'Net zero supporting data'!J192*kgtoGg,"ERROR"))</f>
        <v>0.5116979963243764</v>
      </c>
      <c r="T784" s="93">
        <f>IF('Net zero activities &amp; levers'!$C$10="Off",'Activity data'!AM10*EF!$H23*kgtoGg,IF('Net zero activities &amp; levers'!$C$10="On",'Net zero Activity data'!AM10*'Net zero supporting data'!K192*kgtoGg,"ERROR"))</f>
        <v>0.53253794371544794</v>
      </c>
      <c r="U784" s="93">
        <f>IF('Net zero activities &amp; levers'!$C$10="Off",'Activity data'!AN10*EF!$H23*kgtoGg,IF('Net zero activities &amp; levers'!$C$10="On",'Net zero Activity data'!AN10*'Net zero supporting data'!L192*kgtoGg,"ERROR"))</f>
        <v>0.56144831136588025</v>
      </c>
      <c r="V784" s="93">
        <f>IF('Net zero activities &amp; levers'!$C$10="Off",'Activity data'!AO10*EF!$H23*kgtoGg,IF('Net zero activities &amp; levers'!$C$10="On",'Net zero Activity data'!AO10*'Net zero supporting data'!M192*kgtoGg,"ERROR"))</f>
        <v>0.57794253443008525</v>
      </c>
      <c r="W784" s="93">
        <f>IF('Net zero activities &amp; levers'!$C$10="Off",'Activity data'!AP10*EF!$H23*kgtoGg,IF('Net zero activities &amp; levers'!$C$10="On",'Net zero Activity data'!AP10*'Net zero supporting data'!N192*kgtoGg,"ERROR"))</f>
        <v>0.59624482437454274</v>
      </c>
      <c r="X784" s="93">
        <f>IF('Net zero activities &amp; levers'!$C$10="Off",'Activity data'!AQ10*EF!$H23*kgtoGg,IF('Net zero activities &amp; levers'!$C$10="On",'Net zero Activity data'!AQ10*'Net zero supporting data'!O192*kgtoGg,"ERROR"))</f>
        <v>0.61691451225743765</v>
      </c>
      <c r="Y784" s="93">
        <f>IF('Net zero activities &amp; levers'!$C$10="Off",'Activity data'!AR10*EF!$H23*kgtoGg,IF('Net zero activities &amp; levers'!$C$10="On",'Net zero Activity data'!AR10*'Net zero supporting data'!P192*kgtoGg,"ERROR"))</f>
        <v>0.63912634684399761</v>
      </c>
      <c r="Z784" s="93">
        <f>IF('Net zero activities &amp; levers'!$C$10="Off",'Activity data'!AS10*EF!$H23*kgtoGg,IF('Net zero activities &amp; levers'!$C$10="On",'Net zero Activity data'!AS10*'Net zero supporting data'!Q192*kgtoGg,"ERROR"))</f>
        <v>0.66333849990898774</v>
      </c>
      <c r="AA784" s="93">
        <f>IF('Net zero activities &amp; levers'!$C$10="Off",'Activity data'!AT10*EF!$H23*kgtoGg,IF('Net zero activities &amp; levers'!$C$10="On",'Net zero Activity data'!AT10*'Net zero supporting data'!R192*kgtoGg,"ERROR"))</f>
        <v>0.68823157042214766</v>
      </c>
      <c r="AB784" s="93">
        <f>IF('Net zero activities &amp; levers'!$C$10="Off",'Activity data'!AU10*EF!$H23*kgtoGg,IF('Net zero activities &amp; levers'!$C$10="On",'Net zero Activity data'!AU10*'Net zero supporting data'!S192*kgtoGg,"ERROR"))</f>
        <v>0.71506797281834467</v>
      </c>
      <c r="AC784" s="93">
        <f>IF('Net zero activities &amp; levers'!$C$10="Off",'Activity data'!AV10*EF!$H23*kgtoGg,IF('Net zero activities &amp; levers'!$C$10="On",'Net zero Activity data'!AV10*'Net zero supporting data'!T192*kgtoGg,"ERROR"))</f>
        <v>0.74251772868278199</v>
      </c>
      <c r="AD784" s="93">
        <f>IF('Net zero activities &amp; levers'!$C$10="Off",'Activity data'!AW10*EF!$H23*kgtoGg,IF('Net zero activities &amp; levers'!$C$10="On",'Net zero Activity data'!AW10*'Net zero supporting data'!U192*kgtoGg,"ERROR"))</f>
        <v>0.7750525944257971</v>
      </c>
      <c r="AE784" s="93">
        <f>IF('Net zero activities &amp; levers'!$C$10="Off",'Activity data'!AX10*EF!$H23*kgtoGg,IF('Net zero activities &amp; levers'!$C$10="On",'Net zero Activity data'!AX10*'Net zero supporting data'!V192*kgtoGg,"ERROR"))</f>
        <v>0.80751598640792854</v>
      </c>
      <c r="AF784" s="93">
        <f>IF('Net zero activities &amp; levers'!$C$10="Off",'Activity data'!AY10*EF!$H23*kgtoGg,IF('Net zero activities &amp; levers'!$C$10="On",'Net zero Activity data'!AY10*'Net zero supporting data'!W192*kgtoGg,"ERROR"))</f>
        <v>0.84174152680537817</v>
      </c>
      <c r="AG784" s="93">
        <f>IF('Net zero activities &amp; levers'!$C$10="Off",'Activity data'!AZ10*EF!$H23*kgtoGg,IF('Net zero activities &amp; levers'!$C$10="On",'Net zero Activity data'!AZ10*'Net zero supporting data'!X192*kgtoGg,"ERROR"))</f>
        <v>0.88000003569074847</v>
      </c>
      <c r="AH784" s="93">
        <f>IF('Net zero activities &amp; levers'!$C$10="Off",'Activity data'!BA10*EF!$H23*kgtoGg,IF('Net zero activities &amp; levers'!$C$10="On",'Net zero Activity data'!BA10*'Net zero supporting data'!Y192*kgtoGg,"ERROR"))</f>
        <v>0.91704807287784318</v>
      </c>
      <c r="AI784" s="93">
        <f>IF('Net zero activities &amp; levers'!$C$10="Off",'Activity data'!BB10*EF!$H23*kgtoGg,IF('Net zero activities &amp; levers'!$C$10="On",'Net zero Activity data'!BB10*'Net zero supporting data'!Z192*kgtoGg,"ERROR"))</f>
        <v>0.95623961354371867</v>
      </c>
      <c r="AJ784" s="93">
        <f>IF('Net zero activities &amp; levers'!$C$10="Off",'Activity data'!BC10*EF!$H23*kgtoGg,IF('Net zero activities &amp; levers'!$C$10="On",'Net zero Activity data'!BC10*'Net zero supporting data'!AA192*kgtoGg,"ERROR"))</f>
        <v>0.99805792050769693</v>
      </c>
      <c r="AK784" s="93">
        <f>IF('Net zero activities &amp; levers'!$C$10="Off",'Activity data'!BD10*EF!$H23*kgtoGg,IF('Net zero activities &amp; levers'!$C$10="On",'Net zero Activity data'!BD10*'Net zero supporting data'!AB192*kgtoGg,"ERROR"))</f>
        <v>1.0381239689146564</v>
      </c>
      <c r="AL784" s="93">
        <f>IF('Net zero activities &amp; levers'!$C$10="Off",'Activity data'!BE10*EF!$H23*kgtoGg,IF('Net zero activities &amp; levers'!$C$10="On",'Net zero Activity data'!BE10*'Net zero supporting data'!AC192*kgtoGg,"ERROR"))</f>
        <v>1.0784102253675423</v>
      </c>
      <c r="AM784" s="93">
        <f>IF('Net zero activities &amp; levers'!$C$10="Off",'Activity data'!BF10*EF!$H23*kgtoGg,IF('Net zero activities &amp; levers'!$C$10="On",'Net zero Activity data'!BF10*'Net zero supporting data'!AD192*kgtoGg,"ERROR"))</f>
        <v>1.1190041069207182</v>
      </c>
      <c r="AN784" s="93">
        <f>IF('Net zero activities &amp; levers'!$C$10="Off",'Activity data'!BG10*EF!$H23*kgtoGg,IF('Net zero activities &amp; levers'!$C$10="On",'Net zero Activity data'!BG10*'Net zero supporting data'!AE192*kgtoGg,"ERROR"))</f>
        <v>1.1614327193697984</v>
      </c>
      <c r="AO784" s="93">
        <f>IF('Net zero activities &amp; levers'!$C$10="Off",'Activity data'!BH10*EF!$H23*kgtoGg,IF('Net zero activities &amp; levers'!$C$10="On",'Net zero Activity data'!BH10*'Net zero supporting data'!AF192*kgtoGg,"ERROR"))</f>
        <v>1.2028013950684227</v>
      </c>
      <c r="AP784" s="93">
        <f>IF('Net zero activities &amp; levers'!$C$10="Off",'Activity data'!BI10*EF!$H23*kgtoGg,IF('Net zero activities &amp; levers'!$C$10="On",'Net zero Activity data'!BI10*'Net zero supporting data'!AG192*kgtoGg,"ERROR"))</f>
        <v>1.2458253070355789</v>
      </c>
      <c r="AQ784" s="93">
        <f>IF('Net zero activities &amp; levers'!$C$10="Off",'Activity data'!BJ10*EF!$H23*kgtoGg,IF('Net zero activities &amp; levers'!$C$10="On",'Net zero Activity data'!BJ10*'Net zero supporting data'!AH192*kgtoGg,"ERROR"))</f>
        <v>1.2906949248380046</v>
      </c>
      <c r="AR784" s="93">
        <f>IF('Net zero activities &amp; levers'!$C$10="Off",'Activity data'!BK10*EF!$H23*kgtoGg,IF('Net zero activities &amp; levers'!$C$10="On",'Net zero Activity data'!BK10*'Net zero supporting data'!AI192*kgtoGg,"ERROR"))</f>
        <v>1.3377043131160224</v>
      </c>
      <c r="AS784" s="93">
        <f>IF('Net zero activities &amp; levers'!$C$10="Off",'Activity data'!BL10*EF!$H23*kgtoGg,IF('Net zero activities &amp; levers'!$C$10="On",'Net zero Activity data'!BL10*'Net zero supporting data'!AJ192*kgtoGg,"ERROR"))</f>
        <v>1.3868240533486631</v>
      </c>
      <c r="AT784" s="93">
        <f>IF('Net zero activities &amp; levers'!$C$10="Off",'Activity data'!BM10*EF!$H23*kgtoGg,IF('Net zero activities &amp; levers'!$C$10="On",'Net zero Activity data'!BM10*'Net zero supporting data'!AK192*kgtoGg,"ERROR"))</f>
        <v>1.4056131138026084</v>
      </c>
      <c r="AU784" s="93">
        <f>IF('Net zero activities &amp; levers'!$C$10="Off",'Activity data'!BN10*EF!$H23*kgtoGg,IF('Net zero activities &amp; levers'!$C$10="On",'Net zero Activity data'!BN10*'Net zero supporting data'!AL192*kgtoGg,"ERROR"))</f>
        <v>1.4216407980502102</v>
      </c>
      <c r="AV784" s="93">
        <f>IF('Net zero activities &amp; levers'!$C$10="Off",'Activity data'!BO10*EF!$H23*kgtoGg,IF('Net zero activities &amp; levers'!$C$10="On",'Net zero Activity data'!BO10*'Net zero supporting data'!AM192*kgtoGg,"ERROR"))</f>
        <v>1.4335765692204958</v>
      </c>
      <c r="AW784" s="93">
        <f>IF('Net zero activities &amp; levers'!$C$10="Off",'Activity data'!BP10*EF!$H23*kgtoGg,IF('Net zero activities &amp; levers'!$C$10="On",'Net zero Activity data'!BP10*'Net zero supporting data'!AN192*kgtoGg,"ERROR"))</f>
        <v>1.4443117800465477</v>
      </c>
      <c r="AY784" s="79"/>
      <c r="AZ784" s="79"/>
    </row>
    <row r="785" spans="1:52" x14ac:dyDescent="0.3">
      <c r="A785" s="95" t="str">
        <f t="shared" si="176"/>
        <v>BD Sheep MMCH4</v>
      </c>
      <c r="B785" s="95" t="s">
        <v>1228</v>
      </c>
      <c r="C785" s="95" t="s">
        <v>1324</v>
      </c>
      <c r="D785" t="s">
        <v>15</v>
      </c>
      <c r="E785" t="s">
        <v>22</v>
      </c>
      <c r="F785" t="s">
        <v>18</v>
      </c>
      <c r="G785" t="s">
        <v>122</v>
      </c>
      <c r="H785" t="s">
        <v>1227</v>
      </c>
      <c r="I785" t="s">
        <v>121</v>
      </c>
      <c r="J785" t="s">
        <v>286</v>
      </c>
      <c r="K785" s="27">
        <f t="shared" ref="K785:AW785" si="216">K1399</f>
        <v>3.6054675351507588E-2</v>
      </c>
      <c r="L785" s="27">
        <f t="shared" si="216"/>
        <v>3.6074169999743479E-2</v>
      </c>
      <c r="M785" s="27">
        <f t="shared" si="216"/>
        <v>3.6120780972302438E-2</v>
      </c>
      <c r="N785" s="27">
        <f t="shared" si="216"/>
        <v>3.6189509224973292E-2</v>
      </c>
      <c r="O785" s="27">
        <f t="shared" si="216"/>
        <v>3.6279918010713667E-2</v>
      </c>
      <c r="P785" s="27">
        <f t="shared" si="216"/>
        <v>3.6391052650159628E-2</v>
      </c>
      <c r="Q785" s="27">
        <f t="shared" si="216"/>
        <v>3.6515872019705298E-2</v>
      </c>
      <c r="R785" s="27">
        <f t="shared" si="216"/>
        <v>3.6653588090719266E-2</v>
      </c>
      <c r="S785" s="27">
        <f t="shared" si="216"/>
        <v>3.6779521855622693E-2</v>
      </c>
      <c r="T785" s="27">
        <f t="shared" si="216"/>
        <v>3.6834860200729257E-2</v>
      </c>
      <c r="U785" s="27">
        <f t="shared" si="216"/>
        <v>3.6902440208564632E-2</v>
      </c>
      <c r="V785" s="27">
        <f t="shared" si="216"/>
        <v>3.697347207185564E-2</v>
      </c>
      <c r="W785" s="27">
        <f t="shared" si="216"/>
        <v>3.7053220502968609E-2</v>
      </c>
      <c r="X785" s="27">
        <f t="shared" si="216"/>
        <v>3.714146236421613E-2</v>
      </c>
      <c r="Y785" s="27">
        <f t="shared" si="216"/>
        <v>3.7196571628197998E-2</v>
      </c>
      <c r="Z785" s="27">
        <f t="shared" si="216"/>
        <v>3.7258831126487216E-2</v>
      </c>
      <c r="AA785" s="27">
        <f t="shared" si="216"/>
        <v>3.7327399595166219E-2</v>
      </c>
      <c r="AB785" s="27">
        <f t="shared" si="216"/>
        <v>3.7402465573387562E-2</v>
      </c>
      <c r="AC785" s="27">
        <f t="shared" si="216"/>
        <v>3.7483254267417832E-2</v>
      </c>
      <c r="AD785" s="27">
        <f t="shared" si="216"/>
        <v>3.7537448557312683E-2</v>
      </c>
      <c r="AE785" s="27">
        <f t="shared" si="216"/>
        <v>3.759628261627642E-2</v>
      </c>
      <c r="AF785" s="27">
        <f t="shared" si="216"/>
        <v>3.7660229373785575E-2</v>
      </c>
      <c r="AG785" s="27">
        <f t="shared" si="216"/>
        <v>3.7729913053341259E-2</v>
      </c>
      <c r="AH785" s="27">
        <f t="shared" si="216"/>
        <v>3.7803241196451468E-2</v>
      </c>
      <c r="AI785" s="27">
        <f t="shared" si="216"/>
        <v>3.7850112312391396E-2</v>
      </c>
      <c r="AJ785" s="27">
        <f t="shared" si="216"/>
        <v>3.7901451820370476E-2</v>
      </c>
      <c r="AK785" s="27">
        <f t="shared" si="216"/>
        <v>3.7955566436191537E-2</v>
      </c>
      <c r="AL785" s="27">
        <f t="shared" si="216"/>
        <v>3.8013032265109208E-2</v>
      </c>
      <c r="AM785" s="27">
        <f t="shared" si="216"/>
        <v>3.8073762176342195E-2</v>
      </c>
      <c r="AN785" s="27">
        <f t="shared" si="216"/>
        <v>3.8109645900532299E-2</v>
      </c>
      <c r="AO785" s="27">
        <f t="shared" si="216"/>
        <v>3.8147952211549679E-2</v>
      </c>
      <c r="AP785" s="27">
        <f t="shared" si="216"/>
        <v>3.8189503844275732E-2</v>
      </c>
      <c r="AQ785" s="27">
        <f t="shared" si="216"/>
        <v>3.8234260627096527E-2</v>
      </c>
      <c r="AR785" s="27">
        <f t="shared" si="216"/>
        <v>3.8282221632507191E-2</v>
      </c>
      <c r="AS785" s="27">
        <f t="shared" si="216"/>
        <v>3.8303980390956796E-2</v>
      </c>
      <c r="AT785" s="27">
        <f t="shared" si="216"/>
        <v>3.8318002472277804E-2</v>
      </c>
      <c r="AU785" s="27">
        <f t="shared" si="216"/>
        <v>3.8333373323501507E-2</v>
      </c>
      <c r="AV785" s="27">
        <f t="shared" si="216"/>
        <v>3.8349609063517129E-2</v>
      </c>
      <c r="AW785" s="27">
        <f t="shared" si="216"/>
        <v>3.8367594097231859E-2</v>
      </c>
      <c r="AY785" s="79"/>
      <c r="AZ785" s="79"/>
    </row>
    <row r="786" spans="1:52" x14ac:dyDescent="0.3">
      <c r="A786" s="95" t="str">
        <f t="shared" si="176"/>
        <v>BD Sheep MMCH4</v>
      </c>
      <c r="B786" s="95" t="s">
        <v>1228</v>
      </c>
      <c r="C786" s="95" t="s">
        <v>1324</v>
      </c>
      <c r="D786" t="s">
        <v>15</v>
      </c>
      <c r="E786" t="s">
        <v>22</v>
      </c>
      <c r="F786" t="s">
        <v>18</v>
      </c>
      <c r="G786" t="s">
        <v>123</v>
      </c>
      <c r="H786" t="s">
        <v>1227</v>
      </c>
      <c r="I786" t="s">
        <v>121</v>
      </c>
      <c r="J786" t="s">
        <v>286</v>
      </c>
      <c r="K786" s="27">
        <f t="shared" ref="K786:AW786" si="217">K1400</f>
        <v>4.1176157807460215E-3</v>
      </c>
      <c r="L786" s="27">
        <f t="shared" si="217"/>
        <v>4.1198421624963379E-3</v>
      </c>
      <c r="M786" s="27">
        <f t="shared" si="217"/>
        <v>4.1251653577350569E-3</v>
      </c>
      <c r="N786" s="27">
        <f t="shared" si="217"/>
        <v>4.1330144517851795E-3</v>
      </c>
      <c r="O786" s="27">
        <f t="shared" si="217"/>
        <v>4.1433395660526989E-3</v>
      </c>
      <c r="P786" s="27">
        <f t="shared" si="217"/>
        <v>4.1560316716037502E-3</v>
      </c>
      <c r="Q786" s="27">
        <f t="shared" si="217"/>
        <v>4.1702866385608306E-3</v>
      </c>
      <c r="R786" s="27">
        <f t="shared" si="217"/>
        <v>4.1860144702980757E-3</v>
      </c>
      <c r="S786" s="27">
        <f t="shared" si="217"/>
        <v>4.2003967065168081E-3</v>
      </c>
      <c r="T786" s="27">
        <f t="shared" si="217"/>
        <v>4.2067166092997236E-3</v>
      </c>
      <c r="U786" s="27">
        <f t="shared" si="217"/>
        <v>4.2144345683164958E-3</v>
      </c>
      <c r="V786" s="27">
        <f t="shared" si="217"/>
        <v>4.2225467456796619E-3</v>
      </c>
      <c r="W786" s="27">
        <f t="shared" si="217"/>
        <v>4.2316543966358575E-3</v>
      </c>
      <c r="X786" s="27">
        <f t="shared" si="217"/>
        <v>4.2417320377975895E-3</v>
      </c>
      <c r="Y786" s="27">
        <f t="shared" si="217"/>
        <v>4.2480257784241436E-3</v>
      </c>
      <c r="Z786" s="27">
        <f t="shared" si="217"/>
        <v>4.2551361098903872E-3</v>
      </c>
      <c r="AA786" s="27">
        <f t="shared" si="217"/>
        <v>4.2629669558470248E-3</v>
      </c>
      <c r="AB786" s="27">
        <f t="shared" si="217"/>
        <v>4.2715398483639559E-3</v>
      </c>
      <c r="AC786" s="27">
        <f t="shared" si="217"/>
        <v>4.2807663023037507E-3</v>
      </c>
      <c r="AD786" s="27">
        <f t="shared" si="217"/>
        <v>4.2869555485283185E-3</v>
      </c>
      <c r="AE786" s="27">
        <f t="shared" si="217"/>
        <v>4.2936746784961411E-3</v>
      </c>
      <c r="AF786" s="27">
        <f t="shared" si="217"/>
        <v>4.3009777030076704E-3</v>
      </c>
      <c r="AG786" s="27">
        <f t="shared" si="217"/>
        <v>4.3089359113621063E-3</v>
      </c>
      <c r="AH786" s="27">
        <f t="shared" si="217"/>
        <v>4.3173103348259087E-3</v>
      </c>
      <c r="AI786" s="27">
        <f t="shared" si="217"/>
        <v>4.3226632396787153E-3</v>
      </c>
      <c r="AJ786" s="27">
        <f t="shared" si="217"/>
        <v>4.3285264562011056E-3</v>
      </c>
      <c r="AK786" s="27">
        <f t="shared" si="217"/>
        <v>4.3347066032666795E-3</v>
      </c>
      <c r="AL786" s="27">
        <f t="shared" si="217"/>
        <v>4.3412694748415342E-3</v>
      </c>
      <c r="AM786" s="27">
        <f t="shared" si="217"/>
        <v>4.3482051201751372E-3</v>
      </c>
      <c r="AN786" s="27">
        <f t="shared" si="217"/>
        <v>4.3523032125184075E-3</v>
      </c>
      <c r="AO786" s="27">
        <f t="shared" si="217"/>
        <v>4.3566779758246795E-3</v>
      </c>
      <c r="AP786" s="27">
        <f t="shared" si="217"/>
        <v>4.361423370338997E-3</v>
      </c>
      <c r="AQ786" s="27">
        <f t="shared" si="217"/>
        <v>4.3665348082715704E-3</v>
      </c>
      <c r="AR786" s="27">
        <f t="shared" si="217"/>
        <v>4.3720121836969238E-3</v>
      </c>
      <c r="AS786" s="27">
        <f t="shared" si="217"/>
        <v>4.3744971376255895E-3</v>
      </c>
      <c r="AT786" s="27">
        <f t="shared" si="217"/>
        <v>4.3760985261490854E-3</v>
      </c>
      <c r="AU786" s="27">
        <f t="shared" si="217"/>
        <v>4.3778539506244196E-3</v>
      </c>
      <c r="AV786" s="27">
        <f t="shared" si="217"/>
        <v>4.3797081495223055E-3</v>
      </c>
      <c r="AW786" s="27">
        <f t="shared" si="217"/>
        <v>4.381762126098687E-3</v>
      </c>
      <c r="AY786" s="79"/>
      <c r="AZ786" s="79"/>
    </row>
    <row r="787" spans="1:52" x14ac:dyDescent="0.3">
      <c r="A787" s="95" t="str">
        <f t="shared" si="176"/>
        <v>BD Goats MMCH4</v>
      </c>
      <c r="B787" s="95" t="s">
        <v>1228</v>
      </c>
      <c r="C787" s="95" t="s">
        <v>1325</v>
      </c>
      <c r="D787" t="s">
        <v>15</v>
      </c>
      <c r="E787" t="s">
        <v>22</v>
      </c>
      <c r="F787" t="s">
        <v>19</v>
      </c>
      <c r="G787" t="s">
        <v>122</v>
      </c>
      <c r="H787" t="s">
        <v>1227</v>
      </c>
      <c r="I787" t="s">
        <v>121</v>
      </c>
      <c r="J787" t="s">
        <v>286</v>
      </c>
      <c r="K787" s="27">
        <f t="shared" ref="K787:AW787" si="218">K1401</f>
        <v>1.5789672763163301E-2</v>
      </c>
      <c r="L787" s="27">
        <f t="shared" si="218"/>
        <v>1.5830718290757027E-2</v>
      </c>
      <c r="M787" s="27">
        <f t="shared" si="218"/>
        <v>1.588733914557475E-2</v>
      </c>
      <c r="N787" s="27">
        <f t="shared" si="218"/>
        <v>1.5956318300360577E-2</v>
      </c>
      <c r="O787" s="27">
        <f t="shared" si="218"/>
        <v>1.6037557372574476E-2</v>
      </c>
      <c r="P787" s="27">
        <f t="shared" si="218"/>
        <v>1.6130561898613765E-2</v>
      </c>
      <c r="Q787" s="27">
        <f t="shared" si="218"/>
        <v>1.6230654784419023E-2</v>
      </c>
      <c r="R787" s="27">
        <f t="shared" si="218"/>
        <v>1.6337439810579345E-2</v>
      </c>
      <c r="S787" s="27">
        <f t="shared" si="218"/>
        <v>1.6434281735880792E-2</v>
      </c>
      <c r="T787" s="27">
        <f t="shared" si="218"/>
        <v>1.6481585221637597E-2</v>
      </c>
      <c r="U787" s="27">
        <f t="shared" si="218"/>
        <v>1.6535805571967339E-2</v>
      </c>
      <c r="V787" s="27">
        <f t="shared" si="218"/>
        <v>1.6591075188605784E-2</v>
      </c>
      <c r="W787" s="27">
        <f t="shared" si="218"/>
        <v>1.6651019239861981E-2</v>
      </c>
      <c r="X787" s="27">
        <f t="shared" si="218"/>
        <v>1.6715538656301921E-2</v>
      </c>
      <c r="Y787" s="27">
        <f t="shared" si="218"/>
        <v>1.675682826181454E-2</v>
      </c>
      <c r="Z787" s="27">
        <f t="shared" si="218"/>
        <v>1.6802001380323034E-2</v>
      </c>
      <c r="AA787" s="27">
        <f t="shared" si="218"/>
        <v>1.6850529656754189E-2</v>
      </c>
      <c r="AB787" s="27">
        <f t="shared" si="218"/>
        <v>1.6902568919116488E-2</v>
      </c>
      <c r="AC787" s="27">
        <f t="shared" si="218"/>
        <v>1.6957630528557751E-2</v>
      </c>
      <c r="AD787" s="27">
        <f t="shared" si="218"/>
        <v>1.6994350372716287E-2</v>
      </c>
      <c r="AE787" s="27">
        <f t="shared" si="218"/>
        <v>1.7033509901620177E-2</v>
      </c>
      <c r="AF787" s="27">
        <f t="shared" si="218"/>
        <v>1.7075440579577206E-2</v>
      </c>
      <c r="AG787" s="27">
        <f t="shared" si="218"/>
        <v>1.7120568284346587E-2</v>
      </c>
      <c r="AH787" s="27">
        <f t="shared" si="218"/>
        <v>1.7167529660259997E-2</v>
      </c>
      <c r="AI787" s="27">
        <f t="shared" si="218"/>
        <v>1.7196614048621731E-2</v>
      </c>
      <c r="AJ787" s="27">
        <f t="shared" si="218"/>
        <v>1.7228175905563897E-2</v>
      </c>
      <c r="AK787" s="27">
        <f t="shared" si="218"/>
        <v>1.7261117551388462E-2</v>
      </c>
      <c r="AL787" s="27">
        <f t="shared" si="218"/>
        <v>1.7295827028863175E-2</v>
      </c>
      <c r="AM787" s="27">
        <f t="shared" si="218"/>
        <v>1.7332256815907665E-2</v>
      </c>
      <c r="AN787" s="27">
        <f t="shared" si="218"/>
        <v>1.7352159823168515E-2</v>
      </c>
      <c r="AO787" s="27">
        <f t="shared" si="218"/>
        <v>1.7373316667964631E-2</v>
      </c>
      <c r="AP787" s="27">
        <f t="shared" si="218"/>
        <v>1.7396267425724934E-2</v>
      </c>
      <c r="AQ787" s="27">
        <f t="shared" si="218"/>
        <v>1.7420990177436466E-2</v>
      </c>
      <c r="AR787" s="27">
        <f t="shared" si="218"/>
        <v>1.7447487775150525E-2</v>
      </c>
      <c r="AS787" s="27">
        <f t="shared" si="218"/>
        <v>1.7456827369575736E-2</v>
      </c>
      <c r="AT787" s="27">
        <f t="shared" si="218"/>
        <v>1.746097508558354E-2</v>
      </c>
      <c r="AU787" s="27">
        <f t="shared" si="218"/>
        <v>1.746579683409127E-2</v>
      </c>
      <c r="AV787" s="27">
        <f t="shared" si="218"/>
        <v>1.7470987825332424E-2</v>
      </c>
      <c r="AW787" s="27">
        <f t="shared" si="218"/>
        <v>1.7477120152816387E-2</v>
      </c>
      <c r="AY787" s="79"/>
      <c r="AZ787" s="79"/>
    </row>
    <row r="788" spans="1:52" x14ac:dyDescent="0.3">
      <c r="A788" s="95" t="str">
        <f t="shared" si="176"/>
        <v>BD Goats MMCH4</v>
      </c>
      <c r="B788" s="95" t="s">
        <v>1228</v>
      </c>
      <c r="C788" s="95" t="s">
        <v>1325</v>
      </c>
      <c r="D788" t="s">
        <v>15</v>
      </c>
      <c r="E788" t="s">
        <v>22</v>
      </c>
      <c r="F788" t="s">
        <v>19</v>
      </c>
      <c r="G788" t="s">
        <v>123</v>
      </c>
      <c r="H788" t="s">
        <v>1227</v>
      </c>
      <c r="I788" t="s">
        <v>121</v>
      </c>
      <c r="J788" t="s">
        <v>286</v>
      </c>
      <c r="K788" s="27">
        <f t="shared" ref="K788:AW788" si="219">K1402</f>
        <v>2.6592218800664803E-2</v>
      </c>
      <c r="L788" s="27">
        <f t="shared" si="219"/>
        <v>2.6661345733624896E-2</v>
      </c>
      <c r="M788" s="27">
        <f t="shared" si="219"/>
        <v>2.6756703894783639E-2</v>
      </c>
      <c r="N788" s="27">
        <f t="shared" si="219"/>
        <v>2.6872875319249704E-2</v>
      </c>
      <c r="O788" s="27">
        <f t="shared" si="219"/>
        <v>2.7009694315810229E-2</v>
      </c>
      <c r="P788" s="27">
        <f t="shared" si="219"/>
        <v>2.7166328132291764E-2</v>
      </c>
      <c r="Q788" s="27">
        <f t="shared" si="219"/>
        <v>2.7334899828466052E-2</v>
      </c>
      <c r="R788" s="27">
        <f t="shared" si="219"/>
        <v>2.7514742110372921E-2</v>
      </c>
      <c r="S788" s="27">
        <f t="shared" si="219"/>
        <v>2.7677838692887386E-2</v>
      </c>
      <c r="T788" s="27">
        <f t="shared" si="219"/>
        <v>2.7757504982502564E-2</v>
      </c>
      <c r="U788" s="27">
        <f t="shared" si="219"/>
        <v>2.7848820327731318E-2</v>
      </c>
      <c r="V788" s="27">
        <f t="shared" si="219"/>
        <v>2.7941902797566111E-2</v>
      </c>
      <c r="W788" s="27">
        <f t="shared" si="219"/>
        <v>2.804285772872351E-2</v>
      </c>
      <c r="X788" s="27">
        <f t="shared" si="219"/>
        <v>2.8151518273156369E-2</v>
      </c>
      <c r="Y788" s="27">
        <f t="shared" si="219"/>
        <v>2.82210562705838E-2</v>
      </c>
      <c r="Z788" s="27">
        <f t="shared" si="219"/>
        <v>2.8297134696609751E-2</v>
      </c>
      <c r="AA788" s="27">
        <f t="shared" si="219"/>
        <v>2.8378863720651775E-2</v>
      </c>
      <c r="AB788" s="27">
        <f t="shared" si="219"/>
        <v>2.8466505780859123E-2</v>
      </c>
      <c r="AC788" s="27">
        <f t="shared" si="219"/>
        <v>2.8559237934827175E-2</v>
      </c>
      <c r="AD788" s="27">
        <f t="shared" si="219"/>
        <v>2.8621079756683557E-2</v>
      </c>
      <c r="AE788" s="27">
        <f t="shared" si="219"/>
        <v>2.8687030380003167E-2</v>
      </c>
      <c r="AF788" s="27">
        <f t="shared" si="219"/>
        <v>2.8757648041269384E-2</v>
      </c>
      <c r="AG788" s="27">
        <f t="shared" si="219"/>
        <v>2.8833649983627477E-2</v>
      </c>
      <c r="AH788" s="27">
        <f t="shared" si="219"/>
        <v>2.8912740108052549E-2</v>
      </c>
      <c r="AI788" s="27">
        <f t="shared" si="219"/>
        <v>2.8961722657000817E-2</v>
      </c>
      <c r="AJ788" s="27">
        <f t="shared" si="219"/>
        <v>2.9014877641157257E-2</v>
      </c>
      <c r="AK788" s="27">
        <f t="shared" si="219"/>
        <v>2.9070356400379201E-2</v>
      </c>
      <c r="AL788" s="27">
        <f t="shared" si="219"/>
        <v>2.9128812457911796E-2</v>
      </c>
      <c r="AM788" s="27">
        <f t="shared" si="219"/>
        <v>2.9190165779318728E-2</v>
      </c>
      <c r="AN788" s="27">
        <f t="shared" si="219"/>
        <v>2.9223685481203028E-2</v>
      </c>
      <c r="AO788" s="27">
        <f t="shared" si="219"/>
        <v>2.9259316836861168E-2</v>
      </c>
      <c r="AP788" s="27">
        <f t="shared" si="219"/>
        <v>2.9297969415743415E-2</v>
      </c>
      <c r="AQ788" s="27">
        <f t="shared" si="219"/>
        <v>2.9339606302886588E-2</v>
      </c>
      <c r="AR788" s="27">
        <f t="shared" si="219"/>
        <v>2.9384232301580378E-2</v>
      </c>
      <c r="AS788" s="27">
        <f t="shared" si="219"/>
        <v>2.939996160402952E-2</v>
      </c>
      <c r="AT788" s="27">
        <f t="shared" si="219"/>
        <v>2.9406946990823593E-2</v>
      </c>
      <c r="AU788" s="27">
        <f t="shared" si="219"/>
        <v>2.9415067551220409E-2</v>
      </c>
      <c r="AV788" s="27">
        <f t="shared" si="219"/>
        <v>2.9423809972735263E-2</v>
      </c>
      <c r="AW788" s="27">
        <f t="shared" si="219"/>
        <v>2.9434137748152581E-2</v>
      </c>
      <c r="AY788" s="79"/>
      <c r="AZ788" s="79"/>
    </row>
    <row r="789" spans="1:52" x14ac:dyDescent="0.3">
      <c r="A789" s="95" t="str">
        <f t="shared" si="176"/>
        <v>BD Horses MMCH4</v>
      </c>
      <c r="B789" s="95" t="s">
        <v>1228</v>
      </c>
      <c r="C789" s="95" t="s">
        <v>1326</v>
      </c>
      <c r="D789" t="s">
        <v>15</v>
      </c>
      <c r="E789" t="s">
        <v>22</v>
      </c>
      <c r="F789" t="s">
        <v>20</v>
      </c>
      <c r="G789" t="s">
        <v>3</v>
      </c>
      <c r="H789" t="s">
        <v>1227</v>
      </c>
      <c r="I789" t="s">
        <v>121</v>
      </c>
      <c r="J789" t="s">
        <v>286</v>
      </c>
      <c r="K789" s="27">
        <f t="shared" ref="K789:AW789" si="220">K1403</f>
        <v>4.1336182129460552E-3</v>
      </c>
      <c r="L789" s="27">
        <f t="shared" si="220"/>
        <v>4.1536453250924071E-3</v>
      </c>
      <c r="M789" s="27">
        <f t="shared" si="220"/>
        <v>4.1840370126470534E-3</v>
      </c>
      <c r="N789" s="27">
        <f t="shared" si="220"/>
        <v>4.1905340987284569E-3</v>
      </c>
      <c r="O789" s="27">
        <f t="shared" si="220"/>
        <v>4.1812329246154589E-3</v>
      </c>
      <c r="P789" s="27">
        <f t="shared" si="220"/>
        <v>4.1564738854214548E-3</v>
      </c>
      <c r="Q789" s="27">
        <f t="shared" si="220"/>
        <v>4.1427460620707141E-3</v>
      </c>
      <c r="R789" s="27">
        <f t="shared" si="220"/>
        <v>4.1304087921358321E-3</v>
      </c>
      <c r="S789" s="27">
        <f t="shared" si="220"/>
        <v>3.8942776940038416E-3</v>
      </c>
      <c r="T789" s="27">
        <f t="shared" si="220"/>
        <v>3.9425050527123239E-3</v>
      </c>
      <c r="U789" s="27">
        <f t="shared" si="220"/>
        <v>4.0191071248696416E-3</v>
      </c>
      <c r="V789" s="27">
        <f t="shared" si="220"/>
        <v>4.0473828533201294E-3</v>
      </c>
      <c r="W789" s="27">
        <f t="shared" si="220"/>
        <v>4.0809840197269919E-3</v>
      </c>
      <c r="X789" s="27">
        <f t="shared" si="220"/>
        <v>4.1216678621320202E-3</v>
      </c>
      <c r="Y789" s="27">
        <f t="shared" si="220"/>
        <v>4.1703472412361522E-3</v>
      </c>
      <c r="Z789" s="27">
        <f t="shared" si="220"/>
        <v>4.2244482436929265E-3</v>
      </c>
      <c r="AA789" s="27">
        <f t="shared" si="220"/>
        <v>4.2791921283487086E-3</v>
      </c>
      <c r="AB789" s="27">
        <f t="shared" si="220"/>
        <v>4.3388287504468421E-3</v>
      </c>
      <c r="AC789" s="27">
        <f t="shared" si="220"/>
        <v>4.3986726547954836E-3</v>
      </c>
      <c r="AD789" s="27">
        <f t="shared" si="220"/>
        <v>4.4704656017983358E-3</v>
      </c>
      <c r="AE789" s="27">
        <f t="shared" si="220"/>
        <v>4.539631463046338E-3</v>
      </c>
      <c r="AF789" s="27">
        <f t="shared" si="220"/>
        <v>4.6121605087864415E-3</v>
      </c>
      <c r="AG789" s="27">
        <f t="shared" si="220"/>
        <v>4.6951125632471334E-3</v>
      </c>
      <c r="AH789" s="27">
        <f t="shared" si="220"/>
        <v>4.7715465683054572E-3</v>
      </c>
      <c r="AI789" s="27">
        <f t="shared" si="220"/>
        <v>4.855932813312959E-3</v>
      </c>
      <c r="AJ789" s="27">
        <f t="shared" si="220"/>
        <v>4.945901658536307E-3</v>
      </c>
      <c r="AK789" s="27">
        <f t="shared" si="220"/>
        <v>5.0279520878702428E-3</v>
      </c>
      <c r="AL789" s="27">
        <f t="shared" si="220"/>
        <v>5.1082371551630715E-3</v>
      </c>
      <c r="AM789" s="27">
        <f t="shared" si="220"/>
        <v>5.1870452828056204E-3</v>
      </c>
      <c r="AN789" s="27">
        <f t="shared" si="220"/>
        <v>5.27706789842347E-3</v>
      </c>
      <c r="AO789" s="27">
        <f t="shared" si="220"/>
        <v>5.3619473096130918E-3</v>
      </c>
      <c r="AP789" s="27">
        <f t="shared" si="220"/>
        <v>5.4495970329020271E-3</v>
      </c>
      <c r="AQ789" s="27">
        <f t="shared" si="220"/>
        <v>5.5404524678757516E-3</v>
      </c>
      <c r="AR789" s="27">
        <f t="shared" si="220"/>
        <v>5.6352215326777718E-3</v>
      </c>
      <c r="AS789" s="27">
        <f t="shared" si="220"/>
        <v>5.7381722103153144E-3</v>
      </c>
      <c r="AT789" s="27">
        <f t="shared" si="220"/>
        <v>5.7552832935457467E-3</v>
      </c>
      <c r="AU789" s="27">
        <f t="shared" si="220"/>
        <v>5.7642783755128633E-3</v>
      </c>
      <c r="AV789" s="27">
        <f t="shared" si="220"/>
        <v>5.7617518385425876E-3</v>
      </c>
      <c r="AW789" s="27">
        <f t="shared" si="220"/>
        <v>5.7557818048942742E-3</v>
      </c>
      <c r="AY789" s="79"/>
      <c r="AZ789" s="79"/>
    </row>
    <row r="790" spans="1:52" x14ac:dyDescent="0.3">
      <c r="A790" s="95" t="str">
        <f t="shared" si="176"/>
        <v>BD Mules MMCH4</v>
      </c>
      <c r="B790" s="95" t="s">
        <v>1228</v>
      </c>
      <c r="C790" s="95" t="s">
        <v>1327</v>
      </c>
      <c r="D790" t="s">
        <v>15</v>
      </c>
      <c r="E790" t="s">
        <v>22</v>
      </c>
      <c r="F790" t="s">
        <v>140</v>
      </c>
      <c r="G790" t="s">
        <v>124</v>
      </c>
      <c r="H790" t="s">
        <v>1227</v>
      </c>
      <c r="I790" t="s">
        <v>121</v>
      </c>
      <c r="J790" t="s">
        <v>286</v>
      </c>
      <c r="K790" s="27">
        <f t="shared" ref="K790:AW790" si="221">K1404</f>
        <v>7.515E-4</v>
      </c>
      <c r="L790" s="27">
        <f t="shared" si="221"/>
        <v>7.515E-4</v>
      </c>
      <c r="M790" s="27">
        <f t="shared" si="221"/>
        <v>7.515E-4</v>
      </c>
      <c r="N790" s="27">
        <f t="shared" si="221"/>
        <v>7.515E-4</v>
      </c>
      <c r="O790" s="27">
        <f t="shared" si="221"/>
        <v>7.515E-4</v>
      </c>
      <c r="P790" s="27">
        <f t="shared" si="221"/>
        <v>7.515E-4</v>
      </c>
      <c r="Q790" s="27">
        <f t="shared" si="221"/>
        <v>7.515E-4</v>
      </c>
      <c r="R790" s="27">
        <f t="shared" si="221"/>
        <v>7.515E-4</v>
      </c>
      <c r="S790" s="27">
        <f t="shared" si="221"/>
        <v>7.515E-4</v>
      </c>
      <c r="T790" s="27">
        <f t="shared" si="221"/>
        <v>7.515E-4</v>
      </c>
      <c r="U790" s="27">
        <f t="shared" si="221"/>
        <v>7.515E-4</v>
      </c>
      <c r="V790" s="27">
        <f t="shared" si="221"/>
        <v>7.515E-4</v>
      </c>
      <c r="W790" s="27">
        <f t="shared" si="221"/>
        <v>7.515E-4</v>
      </c>
      <c r="X790" s="27">
        <f t="shared" si="221"/>
        <v>7.515E-4</v>
      </c>
      <c r="Y790" s="27">
        <f t="shared" si="221"/>
        <v>7.515E-4</v>
      </c>
      <c r="Z790" s="27">
        <f t="shared" si="221"/>
        <v>7.515E-4</v>
      </c>
      <c r="AA790" s="27">
        <f t="shared" si="221"/>
        <v>7.515E-4</v>
      </c>
      <c r="AB790" s="27">
        <f t="shared" si="221"/>
        <v>7.515E-4</v>
      </c>
      <c r="AC790" s="27">
        <f t="shared" si="221"/>
        <v>7.515E-4</v>
      </c>
      <c r="AD790" s="27">
        <f t="shared" si="221"/>
        <v>7.515E-4</v>
      </c>
      <c r="AE790" s="27">
        <f t="shared" si="221"/>
        <v>7.515E-4</v>
      </c>
      <c r="AF790" s="27">
        <f t="shared" si="221"/>
        <v>7.515E-4</v>
      </c>
      <c r="AG790" s="27">
        <f t="shared" si="221"/>
        <v>7.515E-4</v>
      </c>
      <c r="AH790" s="27">
        <f t="shared" si="221"/>
        <v>7.515E-4</v>
      </c>
      <c r="AI790" s="27">
        <f t="shared" si="221"/>
        <v>7.515E-4</v>
      </c>
      <c r="AJ790" s="27">
        <f t="shared" si="221"/>
        <v>7.515E-4</v>
      </c>
      <c r="AK790" s="27">
        <f t="shared" si="221"/>
        <v>7.515E-4</v>
      </c>
      <c r="AL790" s="27">
        <f t="shared" si="221"/>
        <v>7.515E-4</v>
      </c>
      <c r="AM790" s="27">
        <f t="shared" si="221"/>
        <v>7.515E-4</v>
      </c>
      <c r="AN790" s="27">
        <f t="shared" si="221"/>
        <v>7.515E-4</v>
      </c>
      <c r="AO790" s="27">
        <f t="shared" si="221"/>
        <v>7.515E-4</v>
      </c>
      <c r="AP790" s="27">
        <f t="shared" si="221"/>
        <v>7.515E-4</v>
      </c>
      <c r="AQ790" s="27">
        <f t="shared" si="221"/>
        <v>7.515E-4</v>
      </c>
      <c r="AR790" s="27">
        <f t="shared" si="221"/>
        <v>7.515E-4</v>
      </c>
      <c r="AS790" s="27">
        <f t="shared" si="221"/>
        <v>7.515E-4</v>
      </c>
      <c r="AT790" s="27">
        <f t="shared" si="221"/>
        <v>7.515E-4</v>
      </c>
      <c r="AU790" s="27">
        <f t="shared" si="221"/>
        <v>7.515E-4</v>
      </c>
      <c r="AV790" s="27">
        <f t="shared" si="221"/>
        <v>7.515E-4</v>
      </c>
      <c r="AW790" s="27">
        <f t="shared" si="221"/>
        <v>7.515E-4</v>
      </c>
      <c r="AY790" s="79"/>
      <c r="AZ790" s="79"/>
    </row>
    <row r="791" spans="1:52" x14ac:dyDescent="0.3">
      <c r="A791" s="95" t="str">
        <f t="shared" si="176"/>
        <v>BD Swine MMCH4</v>
      </c>
      <c r="B791" s="95" t="s">
        <v>1228</v>
      </c>
      <c r="C791" s="95" t="s">
        <v>1230</v>
      </c>
      <c r="D791" t="s">
        <v>15</v>
      </c>
      <c r="E791" t="s">
        <v>22</v>
      </c>
      <c r="F791" t="s">
        <v>21</v>
      </c>
      <c r="G791" t="s">
        <v>122</v>
      </c>
      <c r="H791" t="s">
        <v>1227</v>
      </c>
      <c r="I791" t="s">
        <v>121</v>
      </c>
      <c r="J791" t="s">
        <v>286</v>
      </c>
      <c r="K791" s="93">
        <f>IF('Net zero activities &amp; levers'!$C$10="Off",'Activity data'!AD17*EF!$H30*kgtoGg,IF('Net zero activities &amp; levers'!$C$10="On",'Net zero Activity data'!AD17*'Net zero supporting data'!B193*kgtoGg,"ERROR"))</f>
        <v>23.279067868377393</v>
      </c>
      <c r="L791" s="93">
        <f>IF('Net zero activities &amp; levers'!$C$10="Off",'Activity data'!AE17*EF!$H30*kgtoGg,IF('Net zero activities &amp; levers'!$C$10="On",'Net zero Activity data'!AE17*'Net zero supporting data'!C193*kgtoGg,"ERROR"))</f>
        <v>23.152530650802596</v>
      </c>
      <c r="M791" s="93">
        <f>IF('Net zero activities &amp; levers'!$C$10="Off",'Activity data'!AF17*EF!$H30*kgtoGg,IF('Net zero activities &amp; levers'!$C$10="On",'Net zero Activity data'!AF17*'Net zero supporting data'!D193*kgtoGg,"ERROR"))</f>
        <v>23.162916433064304</v>
      </c>
      <c r="N791" s="93">
        <f>IF('Net zero activities &amp; levers'!$C$10="Off",'Activity data'!AG17*EF!$H30*kgtoGg,IF('Net zero activities &amp; levers'!$C$10="On",'Net zero Activity data'!AG17*'Net zero supporting data'!E193*kgtoGg,"ERROR"))</f>
        <v>22.950263110497293</v>
      </c>
      <c r="O791" s="93">
        <f>IF('Net zero activities &amp; levers'!$C$10="Off",'Activity data'!AH17*EF!$H30*kgtoGg,IF('Net zero activities &amp; levers'!$C$10="On",'Net zero Activity data'!AH17*'Net zero supporting data'!F193*kgtoGg,"ERROR"))</f>
        <v>22.602951186820601</v>
      </c>
      <c r="P791" s="93">
        <f>IF('Net zero activities &amp; levers'!$C$10="Off",'Activity data'!AI17*EF!$H30*kgtoGg,IF('Net zero activities &amp; levers'!$C$10="On",'Net zero Activity data'!AI17*'Net zero supporting data'!G193*kgtoGg,"ERROR"))</f>
        <v>22.126532811374943</v>
      </c>
      <c r="Q791" s="93">
        <f>IF('Net zero activities &amp; levers'!$C$10="Off",'Activity data'!AJ17*EF!$H30*kgtoGg,IF('Net zero activities &amp; levers'!$C$10="On",'Net zero Activity data'!AJ17*'Net zero supporting data'!H193*kgtoGg,"ERROR"))</f>
        <v>21.780600237355962</v>
      </c>
      <c r="R791" s="93">
        <f>IF('Net zero activities &amp; levers'!$C$10="Off",'Activity data'!AK17*EF!$H30*kgtoGg,IF('Net zero activities &amp; levers'!$C$10="On",'Net zero Activity data'!AK17*'Net zero supporting data'!I193*kgtoGg,"ERROR"))</f>
        <v>21.465278056857681</v>
      </c>
      <c r="S791" s="93">
        <f>IF('Net zero activities &amp; levers'!$C$10="Off",'Activity data'!AL17*EF!$H30*kgtoGg,IF('Net zero activities &amp; levers'!$C$10="On",'Net zero Activity data'!AL17*'Net zero supporting data'!J193*kgtoGg,"ERROR"))</f>
        <v>18.952765181798245</v>
      </c>
      <c r="T791" s="93">
        <f>IF('Net zero activities &amp; levers'!$C$10="Off",'Activity data'!AM17*EF!$H30*kgtoGg,IF('Net zero activities &amp; levers'!$C$10="On",'Net zero Activity data'!AM17*'Net zero supporting data'!K193*kgtoGg,"ERROR"))</f>
        <v>19.192435731964196</v>
      </c>
      <c r="U791" s="93">
        <f>IF('Net zero activities &amp; levers'!$C$10="Off",'Activity data'!AN17*EF!$H30*kgtoGg,IF('Net zero activities &amp; levers'!$C$10="On",'Net zero Activity data'!AN17*'Net zero supporting data'!L193*kgtoGg,"ERROR"))</f>
        <v>19.706721684105471</v>
      </c>
      <c r="V791" s="93">
        <f>IF('Net zero activities &amp; levers'!$C$10="Off",'Activity data'!AO17*EF!$H30*kgtoGg,IF('Net zero activities &amp; levers'!$C$10="On",'Net zero Activity data'!AO17*'Net zero supporting data'!M193*kgtoGg,"ERROR"))</f>
        <v>19.753416176775058</v>
      </c>
      <c r="W791" s="93">
        <f>IF('Net zero activities &amp; levers'!$C$10="Off",'Activity data'!AP17*EF!$H30*kgtoGg,IF('Net zero activities &amp; levers'!$C$10="On",'Net zero Activity data'!AP17*'Net zero supporting data'!N193*kgtoGg,"ERROR"))</f>
        <v>19.854535695194098</v>
      </c>
      <c r="X791" s="93">
        <f>IF('Net zero activities &amp; levers'!$C$10="Off",'Activity data'!AQ17*EF!$H30*kgtoGg,IF('Net zero activities &amp; levers'!$C$10="On",'Net zero Activity data'!AQ17*'Net zero supporting data'!O193*kgtoGg,"ERROR"))</f>
        <v>20.024553174699502</v>
      </c>
      <c r="Y791" s="93">
        <f>IF('Net zero activities &amp; levers'!$C$10="Off",'Activity data'!AR17*EF!$H30*kgtoGg,IF('Net zero activities &amp; levers'!$C$10="On",'Net zero Activity data'!AR17*'Net zero supporting data'!P193*kgtoGg,"ERROR"))</f>
        <v>20.23789112840667</v>
      </c>
      <c r="Z791" s="93">
        <f>IF('Net zero activities &amp; levers'!$C$10="Off",'Activity data'!AS17*EF!$H30*kgtoGg,IF('Net zero activities &amp; levers'!$C$10="On",'Net zero Activity data'!AS17*'Net zero supporting data'!Q193*kgtoGg,"ERROR"))</f>
        <v>20.499318704805695</v>
      </c>
      <c r="AA791" s="93">
        <f>IF('Net zero activities &amp; levers'!$C$10="Off",'Activity data'!AT17*EF!$H30*kgtoGg,IF('Net zero activities &amp; levers'!$C$10="On",'Net zero Activity data'!AT17*'Net zero supporting data'!R193*kgtoGg,"ERROR"))</f>
        <v>20.763803414840964</v>
      </c>
      <c r="AB791" s="93">
        <f>IF('Net zero activities &amp; levers'!$C$10="Off",'Activity data'!AU17*EF!$H30*kgtoGg,IF('Net zero activities &amp; levers'!$C$10="On",'Net zero Activity data'!AU17*'Net zero supporting data'!S193*kgtoGg,"ERROR"))</f>
        <v>21.06916344985618</v>
      </c>
      <c r="AC791" s="93">
        <f>IF('Net zero activities &amp; levers'!$C$10="Off",'Activity data'!AV17*EF!$H30*kgtoGg,IF('Net zero activities &amp; levers'!$C$10="On",'Net zero Activity data'!AV17*'Net zero supporting data'!T193*kgtoGg,"ERROR"))</f>
        <v>21.372415897013145</v>
      </c>
      <c r="AD791" s="93">
        <f>IF('Net zero activities &amp; levers'!$C$10="Off",'Activity data'!AW17*EF!$H30*kgtoGg,IF('Net zero activities &amp; levers'!$C$10="On",'Net zero Activity data'!AW17*'Net zero supporting data'!U193*kgtoGg,"ERROR"))</f>
        <v>21.74943786655458</v>
      </c>
      <c r="AE791" s="93">
        <f>IF('Net zero activities &amp; levers'!$C$10="Off",'Activity data'!AX17*EF!$H30*kgtoGg,IF('Net zero activities &amp; levers'!$C$10="On",'Net zero Activity data'!AX17*'Net zero supporting data'!V193*kgtoGg,"ERROR"))</f>
        <v>22.096514126462726</v>
      </c>
      <c r="AF791" s="93">
        <f>IF('Net zero activities &amp; levers'!$C$10="Off",'Activity data'!AY17*EF!$H30*kgtoGg,IF('Net zero activities &amp; levers'!$C$10="On",'Net zero Activity data'!AY17*'Net zero supporting data'!W193*kgtoGg,"ERROR"))</f>
        <v>22.465831015653421</v>
      </c>
      <c r="AG791" s="93">
        <f>IF('Net zero activities &amp; levers'!$C$10="Off",'Activity data'!AZ17*EF!$H30*kgtoGg,IF('Net zero activities &amp; levers'!$C$10="On",'Net zero Activity data'!AZ17*'Net zero supporting data'!X193*kgtoGg,"ERROR"))</f>
        <v>22.916349440576454</v>
      </c>
      <c r="AH791" s="93">
        <f>IF('Net zero activities &amp; levers'!$C$10="Off",'Activity data'!BA17*EF!$H30*kgtoGg,IF('Net zero activities &amp; levers'!$C$10="On",'Net zero Activity data'!BA17*'Net zero supporting data'!Y193*kgtoGg,"ERROR"))</f>
        <v>23.303196681672105</v>
      </c>
      <c r="AI791" s="93">
        <f>IF('Net zero activities &amp; levers'!$C$10="Off",'Activity data'!BB17*EF!$H30*kgtoGg,IF('Net zero activities &amp; levers'!$C$10="On",'Net zero Activity data'!BB17*'Net zero supporting data'!Z193*kgtoGg,"ERROR"))</f>
        <v>23.720738750345618</v>
      </c>
      <c r="AJ791" s="93">
        <f>IF('Net zero activities &amp; levers'!$C$10="Off",'Activity data'!BC17*EF!$H30*kgtoGg,IF('Net zero activities &amp; levers'!$C$10="On",'Net zero Activity data'!BC17*'Net zero supporting data'!AA193*kgtoGg,"ERROR"))</f>
        <v>24.1739099146189</v>
      </c>
      <c r="AK791" s="93">
        <f>IF('Net zero activities &amp; levers'!$C$10="Off",'Activity data'!BD17*EF!$H30*kgtoGg,IF('Net zero activities &amp; levers'!$C$10="On",'Net zero Activity data'!BD17*'Net zero supporting data'!AB193*kgtoGg,"ERROR"))</f>
        <v>24.551957379803568</v>
      </c>
      <c r="AL791" s="93">
        <f>IF('Net zero activities &amp; levers'!$C$10="Off",'Activity data'!BE17*EF!$H30*kgtoGg,IF('Net zero activities &amp; levers'!$C$10="On",'Net zero Activity data'!BE17*'Net zero supporting data'!AC193*kgtoGg,"ERROR"))</f>
        <v>24.90648475217996</v>
      </c>
      <c r="AM791" s="93">
        <f>IF('Net zero activities &amp; levers'!$C$10="Off",'Activity data'!BF17*EF!$H30*kgtoGg,IF('Net zero activities &amp; levers'!$C$10="On",'Net zero Activity data'!BF17*'Net zero supporting data'!AD193*kgtoGg,"ERROR"))</f>
        <v>25.240351368122212</v>
      </c>
      <c r="AN791" s="93">
        <f>IF('Net zero activities &amp; levers'!$C$10="Off",'Activity data'!BG17*EF!$H30*kgtoGg,IF('Net zero activities &amp; levers'!$C$10="On",'Net zero Activity data'!BG17*'Net zero supporting data'!AE193*kgtoGg,"ERROR"))</f>
        <v>25.625854072975109</v>
      </c>
      <c r="AO791" s="93">
        <f>IF('Net zero activities &amp; levers'!$C$10="Off",'Activity data'!BH17*EF!$H30*kgtoGg,IF('Net zero activities &amp; levers'!$C$10="On",'Net zero Activity data'!BH17*'Net zero supporting data'!AF193*kgtoGg,"ERROR"))</f>
        <v>25.960227974531257</v>
      </c>
      <c r="AP791" s="93">
        <f>IF('Net zero activities &amp; levers'!$C$10="Off",'Activity data'!BI17*EF!$H30*kgtoGg,IF('Net zero activities &amp; levers'!$C$10="On",'Net zero Activity data'!BI17*'Net zero supporting data'!AG193*kgtoGg,"ERROR"))</f>
        <v>26.305386782253809</v>
      </c>
      <c r="AQ791" s="93">
        <f>IF('Net zero activities &amp; levers'!$C$10="Off",'Activity data'!BJ17*EF!$H30*kgtoGg,IF('Net zero activities &amp; levers'!$C$10="On",'Net zero Activity data'!BJ17*'Net zero supporting data'!AH193*kgtoGg,"ERROR"))</f>
        <v>26.663933949781747</v>
      </c>
      <c r="AR791" s="93">
        <f>IF('Net zero activities &amp; levers'!$C$10="Off",'Activity data'!BK17*EF!$H30*kgtoGg,IF('Net zero activities &amp; levers'!$C$10="On",'Net zero Activity data'!BK17*'Net zero supporting data'!AI193*kgtoGg,"ERROR"))</f>
        <v>27.040355797157176</v>
      </c>
      <c r="AS791" s="93">
        <f>IF('Net zero activities &amp; levers'!$C$10="Off",'Activity data'!BL17*EF!$H30*kgtoGg,IF('Net zero activities &amp; levers'!$C$10="On",'Net zero Activity data'!BL17*'Net zero supporting data'!AJ193*kgtoGg,"ERROR"))</f>
        <v>27.435623697912018</v>
      </c>
      <c r="AT791" s="93">
        <f>IF('Net zero activities &amp; levers'!$C$10="Off",'Activity data'!BM17*EF!$H30*kgtoGg,IF('Net zero activities &amp; levers'!$C$10="On",'Net zero Activity data'!BM17*'Net zero supporting data'!AK193*kgtoGg,"ERROR"))</f>
        <v>27.195097752022821</v>
      </c>
      <c r="AU791" s="93">
        <f>IF('Net zero activities &amp; levers'!$C$10="Off",'Activity data'!BN17*EF!$H30*kgtoGg,IF('Net zero activities &amp; levers'!$C$10="On",'Net zero Activity data'!BN17*'Net zero supporting data'!AL193*kgtoGg,"ERROR"))</f>
        <v>26.898987311246398</v>
      </c>
      <c r="AV791" s="93">
        <f>IF('Net zero activities &amp; levers'!$C$10="Off",'Activity data'!BO17*EF!$H30*kgtoGg,IF('Net zero activities &amp; levers'!$C$10="On",'Net zero Activity data'!BO17*'Net zero supporting data'!AM193*kgtoGg,"ERROR"))</f>
        <v>26.52534739576117</v>
      </c>
      <c r="AW791" s="93">
        <f>IF('Net zero activities &amp; levers'!$C$10="Off",'Activity data'!BP17*EF!$H30*kgtoGg,IF('Net zero activities &amp; levers'!$C$10="On",'Net zero Activity data'!BP17*'Net zero supporting data'!AN193*kgtoGg,"ERROR"))</f>
        <v>26.133382968648512</v>
      </c>
      <c r="AY791" s="79"/>
      <c r="AZ791" s="79"/>
    </row>
    <row r="792" spans="1:52" x14ac:dyDescent="0.3">
      <c r="A792" s="95" t="str">
        <f t="shared" si="176"/>
        <v>BD Swine MMCH4</v>
      </c>
      <c r="B792" s="95" t="s">
        <v>1228</v>
      </c>
      <c r="C792" s="95" t="s">
        <v>1230</v>
      </c>
      <c r="D792" t="s">
        <v>15</v>
      </c>
      <c r="E792" t="s">
        <v>22</v>
      </c>
      <c r="F792" t="s">
        <v>21</v>
      </c>
      <c r="G792" t="s">
        <v>123</v>
      </c>
      <c r="H792" t="s">
        <v>1227</v>
      </c>
      <c r="I792" t="s">
        <v>121</v>
      </c>
      <c r="J792" t="s">
        <v>286</v>
      </c>
      <c r="K792" s="93">
        <f>IF('Net zero activities &amp; levers'!$C$10="Off",'Activity data'!AD18*EF!$H31*kgtoGg,IF('Net zero activities &amp; levers'!$C$10="On",'Net zero Activity data'!AD18*'Net zero supporting data'!B194*kgtoGg,"ERROR"))</f>
        <v>7.7932061732677776E-2</v>
      </c>
      <c r="L792" s="93">
        <f>IF('Net zero activities &amp; levers'!$C$10="Off",'Activity data'!AE18*EF!$H31*kgtoGg,IF('Net zero activities &amp; levers'!$C$10="On",'Net zero Activity data'!AE18*'Net zero supporting data'!C194*kgtoGg,"ERROR"))</f>
        <v>7.7508449141861113E-2</v>
      </c>
      <c r="M792" s="93">
        <f>IF('Net zero activities &amp; levers'!$C$10="Off",'Activity data'!AF18*EF!$H31*kgtoGg,IF('Net zero activities &amp; levers'!$C$10="On",'Net zero Activity data'!AF18*'Net zero supporting data'!D194*kgtoGg,"ERROR"))</f>
        <v>7.7543217949140597E-2</v>
      </c>
      <c r="N792" s="93">
        <f>IF('Net zero activities &amp; levers'!$C$10="Off",'Activity data'!AG18*EF!$H31*kgtoGg,IF('Net zero activities &amp; levers'!$C$10="On",'Net zero Activity data'!AG18*'Net zero supporting data'!E194*kgtoGg,"ERROR"))</f>
        <v>7.6831311787104617E-2</v>
      </c>
      <c r="O792" s="93">
        <f>IF('Net zero activities &amp; levers'!$C$10="Off",'Activity data'!AH18*EF!$H31*kgtoGg,IF('Net zero activities &amp; levers'!$C$10="On",'Net zero Activity data'!AH18*'Net zero supporting data'!F194*kgtoGg,"ERROR"))</f>
        <v>7.5668604825232008E-2</v>
      </c>
      <c r="P792" s="93">
        <f>IF('Net zero activities &amp; levers'!$C$10="Off",'Activity data'!AI18*EF!$H31*kgtoGg,IF('Net zero activities &amp; levers'!$C$10="On",'Net zero Activity data'!AI18*'Net zero supporting data'!G194*kgtoGg,"ERROR"))</f>
        <v>7.4073684167079379E-2</v>
      </c>
      <c r="Q792" s="93">
        <f>IF('Net zero activities &amp; levers'!$C$10="Off",'Activity data'!AJ18*EF!$H31*kgtoGg,IF('Net zero activities &amp; levers'!$C$10="On",'Net zero Activity data'!AJ18*'Net zero supporting data'!H194*kgtoGg,"ERROR"))</f>
        <v>7.2915594897087016E-2</v>
      </c>
      <c r="R792" s="93">
        <f>IF('Net zero activities &amp; levers'!$C$10="Off",'Activity data'!AK18*EF!$H31*kgtoGg,IF('Net zero activities &amp; levers'!$C$10="On",'Net zero Activity data'!AK18*'Net zero supporting data'!I194*kgtoGg,"ERROR"))</f>
        <v>7.1859980996426681E-2</v>
      </c>
      <c r="S792" s="93">
        <f>IF('Net zero activities &amp; levers'!$C$10="Off",'Activity data'!AL18*EF!$H31*kgtoGg,IF('Net zero activities &amp; levers'!$C$10="On",'Net zero Activity data'!AL18*'Net zero supporting data'!J194*kgtoGg,"ERROR"))</f>
        <v>6.344876326252144E-2</v>
      </c>
      <c r="T792" s="93">
        <f>IF('Net zero activities &amp; levers'!$C$10="Off",'Activity data'!AM18*EF!$H31*kgtoGg,IF('Net zero activities &amp; levers'!$C$10="On",'Net zero Activity data'!AM18*'Net zero supporting data'!K194*kgtoGg,"ERROR"))</f>
        <v>6.4251115840238279E-2</v>
      </c>
      <c r="U792" s="93">
        <f>IF('Net zero activities &amp; levers'!$C$10="Off",'Activity data'!AN18*EF!$H31*kgtoGg,IF('Net zero activities &amp; levers'!$C$10="On",'Net zero Activity data'!AN18*'Net zero supporting data'!L194*kgtoGg,"ERROR"))</f>
        <v>6.5972806966237654E-2</v>
      </c>
      <c r="V792" s="93">
        <f>IF('Net zero activities &amp; levers'!$C$10="Off",'Activity data'!AO18*EF!$H31*kgtoGg,IF('Net zero activities &amp; levers'!$C$10="On",'Net zero Activity data'!AO18*'Net zero supporting data'!M194*kgtoGg,"ERROR"))</f>
        <v>6.6129127576060945E-2</v>
      </c>
      <c r="W792" s="93">
        <f>IF('Net zero activities &amp; levers'!$C$10="Off",'Activity data'!AP18*EF!$H31*kgtoGg,IF('Net zero activities &amp; levers'!$C$10="On",'Net zero Activity data'!AP18*'Net zero supporting data'!N194*kgtoGg,"ERROR"))</f>
        <v>6.6467648542465979E-2</v>
      </c>
      <c r="X792" s="93">
        <f>IF('Net zero activities &amp; levers'!$C$10="Off",'Activity data'!AQ18*EF!$H31*kgtoGg,IF('Net zero activities &amp; levers'!$C$10="On",'Net zero Activity data'!AQ18*'Net zero supporting data'!O194*kgtoGg,"ERROR"))</f>
        <v>6.7036821362587692E-2</v>
      </c>
      <c r="Y792" s="93">
        <f>IF('Net zero activities &amp; levers'!$C$10="Off",'Activity data'!AR18*EF!$H31*kgtoGg,IF('Net zero activities &amp; levers'!$C$10="On",'Net zero Activity data'!AR18*'Net zero supporting data'!P194*kgtoGg,"ERROR"))</f>
        <v>6.775101948564978E-2</v>
      </c>
      <c r="Z792" s="93">
        <f>IF('Net zero activities &amp; levers'!$C$10="Off",'Activity data'!AS18*EF!$H31*kgtoGg,IF('Net zero activities &amp; levers'!$C$10="On",'Net zero Activity data'!AS18*'Net zero supporting data'!Q194*kgtoGg,"ERROR"))</f>
        <v>6.8626208738834141E-2</v>
      </c>
      <c r="AA792" s="93">
        <f>IF('Net zero activities &amp; levers'!$C$10="Off",'Activity data'!AT18*EF!$H31*kgtoGg,IF('Net zero activities &amp; levers'!$C$10="On",'Net zero Activity data'!AT18*'Net zero supporting data'!R194*kgtoGg,"ERROR"))</f>
        <v>6.951163245366497E-2</v>
      </c>
      <c r="AB792" s="93">
        <f>IF('Net zero activities &amp; levers'!$C$10="Off",'Activity data'!AU18*EF!$H31*kgtoGg,IF('Net zero activities &amp; levers'!$C$10="On",'Net zero Activity data'!AU18*'Net zero supporting data'!S194*kgtoGg,"ERROR"))</f>
        <v>7.0533895769105751E-2</v>
      </c>
      <c r="AC792" s="93">
        <f>IF('Net zero activities &amp; levers'!$C$10="Off",'Activity data'!AV18*EF!$H31*kgtoGg,IF('Net zero activities &amp; levers'!$C$10="On",'Net zero Activity data'!AV18*'Net zero supporting data'!T194*kgtoGg,"ERROR"))</f>
        <v>7.1549103446923737E-2</v>
      </c>
      <c r="AD792" s="93">
        <f>IF('Net zero activities &amp; levers'!$C$10="Off",'Activity data'!AW18*EF!$H31*kgtoGg,IF('Net zero activities &amp; levers'!$C$10="On",'Net zero Activity data'!AW18*'Net zero supporting data'!U194*kgtoGg,"ERROR"))</f>
        <v>7.2811271656192611E-2</v>
      </c>
      <c r="AE792" s="93">
        <f>IF('Net zero activities &amp; levers'!$C$10="Off",'Activity data'!AX18*EF!$H31*kgtoGg,IF('Net zero activities &amp; levers'!$C$10="On",'Net zero Activity data'!AX18*'Net zero supporting data'!V194*kgtoGg,"ERROR"))</f>
        <v>7.3973189679115328E-2</v>
      </c>
      <c r="AF792" s="93">
        <f>IF('Net zero activities &amp; levers'!$C$10="Off",'Activity data'!AY18*EF!$H31*kgtoGg,IF('Net zero activities &amp; levers'!$C$10="On",'Net zero Activity data'!AY18*'Net zero supporting data'!W194*kgtoGg,"ERROR"))</f>
        <v>7.5209563350521091E-2</v>
      </c>
      <c r="AG792" s="93">
        <f>IF('Net zero activities &amp; levers'!$C$10="Off",'Activity data'!AZ18*EF!$H31*kgtoGg,IF('Net zero activities &amp; levers'!$C$10="On",'Net zero Activity data'!AZ18*'Net zero supporting data'!X194*kgtoGg,"ERROR"))</f>
        <v>7.6717777936316622E-2</v>
      </c>
      <c r="AH792" s="93">
        <f>IF('Net zero activities &amp; levers'!$C$10="Off",'Activity data'!BA18*EF!$H31*kgtoGg,IF('Net zero activities &amp; levers'!$C$10="On",'Net zero Activity data'!BA18*'Net zero supporting data'!Y194*kgtoGg,"ERROR"))</f>
        <v>7.801283851368343E-2</v>
      </c>
      <c r="AI792" s="93">
        <f>IF('Net zero activities &amp; levers'!$C$10="Off",'Activity data'!BB18*EF!$H31*kgtoGg,IF('Net zero activities &amp; levers'!$C$10="On",'Net zero Activity data'!BB18*'Net zero supporting data'!Z194*kgtoGg,"ERROR"))</f>
        <v>7.9410657122909484E-2</v>
      </c>
      <c r="AJ792" s="93">
        <f>IF('Net zero activities &amp; levers'!$C$10="Off",'Activity data'!BC18*EF!$H31*kgtoGg,IF('Net zero activities &amp; levers'!$C$10="On",'Net zero Activity data'!BC18*'Net zero supporting data'!AA194*kgtoGg,"ERROR"))</f>
        <v>8.0927752366984504E-2</v>
      </c>
      <c r="AK792" s="93">
        <f>IF('Net zero activities &amp; levers'!$C$10="Off",'Activity data'!BD18*EF!$H31*kgtoGg,IF('Net zero activities &amp; levers'!$C$10="On",'Net zero Activity data'!BD18*'Net zero supporting data'!AB194*kgtoGg,"ERROR"))</f>
        <v>8.2193353660010307E-2</v>
      </c>
      <c r="AL792" s="93">
        <f>IF('Net zero activities &amp; levers'!$C$10="Off",'Activity data'!BE18*EF!$H31*kgtoGg,IF('Net zero activities &amp; levers'!$C$10="On",'Net zero Activity data'!BE18*'Net zero supporting data'!AC194*kgtoGg,"ERROR"))</f>
        <v>8.3380216004592958E-2</v>
      </c>
      <c r="AM792" s="93">
        <f>IF('Net zero activities &amp; levers'!$C$10="Off",'Activity data'!BF18*EF!$H31*kgtoGg,IF('Net zero activities &amp; levers'!$C$10="On",'Net zero Activity data'!BF18*'Net zero supporting data'!AD194*kgtoGg,"ERROR"))</f>
        <v>8.4497911690313968E-2</v>
      </c>
      <c r="AN792" s="93">
        <f>IF('Net zero activities &amp; levers'!$C$10="Off",'Activity data'!BG18*EF!$H31*kgtoGg,IF('Net zero activities &amp; levers'!$C$10="On",'Net zero Activity data'!BG18*'Net zero supporting data'!AE194*kgtoGg,"ERROR"))</f>
        <v>8.5788471121755847E-2</v>
      </c>
      <c r="AO792" s="93">
        <f>IF('Net zero activities &amp; levers'!$C$10="Off",'Activity data'!BH18*EF!$H31*kgtoGg,IF('Net zero activities &amp; levers'!$C$10="On",'Net zero Activity data'!BH18*'Net zero supporting data'!AF194*kgtoGg,"ERROR"))</f>
        <v>8.6907865063352116E-2</v>
      </c>
      <c r="AP792" s="93">
        <f>IF('Net zero activities &amp; levers'!$C$10="Off",'Activity data'!BI18*EF!$H31*kgtoGg,IF('Net zero activities &amp; levers'!$C$10="On",'Net zero Activity data'!BI18*'Net zero supporting data'!AG194*kgtoGg,"ERROR"))</f>
        <v>8.8063363971774958E-2</v>
      </c>
      <c r="AQ792" s="93">
        <f>IF('Net zero activities &amp; levers'!$C$10="Off",'Activity data'!BJ18*EF!$H31*kgtoGg,IF('Net zero activities &amp; levers'!$C$10="On",'Net zero Activity data'!BJ18*'Net zero supporting data'!AH194*kgtoGg,"ERROR"))</f>
        <v>8.9263683509990727E-2</v>
      </c>
      <c r="AR792" s="93">
        <f>IF('Net zero activities &amp; levers'!$C$10="Off",'Activity data'!BK18*EF!$H31*kgtoGg,IF('Net zero activities &amp; levers'!$C$10="On",'Net zero Activity data'!BK18*'Net zero supporting data'!AI194*kgtoGg,"ERROR"))</f>
        <v>9.0523842671562632E-2</v>
      </c>
      <c r="AS792" s="93">
        <f>IF('Net zero activities &amp; levers'!$C$10="Off",'Activity data'!BL18*EF!$H31*kgtoGg,IF('Net zero activities &amp; levers'!$C$10="On",'Net zero Activity data'!BL18*'Net zero supporting data'!AJ194*kgtoGg,"ERROR"))</f>
        <v>9.1847093353967207E-2</v>
      </c>
      <c r="AT792" s="93">
        <f>IF('Net zero activities &amp; levers'!$C$10="Off",'Activity data'!BM18*EF!$H31*kgtoGg,IF('Net zero activities &amp; levers'!$C$10="On",'Net zero Activity data'!BM18*'Net zero supporting data'!AK194*kgtoGg,"ERROR"))</f>
        <v>9.1041877141302144E-2</v>
      </c>
      <c r="AU792" s="93">
        <f>IF('Net zero activities &amp; levers'!$C$10="Off",'Activity data'!BN18*EF!$H31*kgtoGg,IF('Net zero activities &amp; levers'!$C$10="On",'Net zero Activity data'!BN18*'Net zero supporting data'!AL194*kgtoGg,"ERROR"))</f>
        <v>9.0050578981051232E-2</v>
      </c>
      <c r="AV792" s="93">
        <f>IF('Net zero activities &amp; levers'!$C$10="Off",'Activity data'!BO18*EF!$H31*kgtoGg,IF('Net zero activities &amp; levers'!$C$10="On",'Net zero Activity data'!BO18*'Net zero supporting data'!AM194*kgtoGg,"ERROR"))</f>
        <v>8.8799732979655169E-2</v>
      </c>
      <c r="AW792" s="93">
        <f>IF('Net zero activities &amp; levers'!$C$10="Off",'Activity data'!BP18*EF!$H31*kgtoGg,IF('Net zero activities &amp; levers'!$C$10="On",'Net zero Activity data'!BP18*'Net zero supporting data'!AN194*kgtoGg,"ERROR"))</f>
        <v>8.7487541439019989E-2</v>
      </c>
      <c r="AY792" s="79"/>
      <c r="AZ792" s="79"/>
    </row>
    <row r="793" spans="1:52" x14ac:dyDescent="0.3">
      <c r="A793" s="95" t="str">
        <f t="shared" si="176"/>
        <v>BD Poultry MMCH4</v>
      </c>
      <c r="B793" s="95" t="s">
        <v>1228</v>
      </c>
      <c r="C793" s="95" t="s">
        <v>1231</v>
      </c>
      <c r="D793" t="s">
        <v>15</v>
      </c>
      <c r="E793" t="s">
        <v>22</v>
      </c>
      <c r="F793" t="s">
        <v>28</v>
      </c>
      <c r="G793" t="s">
        <v>131</v>
      </c>
      <c r="H793" t="s">
        <v>1227</v>
      </c>
      <c r="I793" t="s">
        <v>121</v>
      </c>
      <c r="J793" t="s">
        <v>286</v>
      </c>
      <c r="K793" s="93">
        <f>IF('Net zero activities &amp; levers'!$C$10="Off",'Activity data'!AD19*EF!$H32*kgtoGg,IF('Net zero activities &amp; levers'!$C$10="On",'Net zero Activity data'!AD19*'Net zero supporting data'!B195*kgtoGg,"ERROR"))</f>
        <v>0.55586528215230246</v>
      </c>
      <c r="L793" s="93">
        <f>IF('Net zero activities &amp; levers'!$C$10="Off",'Activity data'!AE19*EF!$H32*kgtoGg,IF('Net zero activities &amp; levers'!$C$10="On",'Net zero Activity data'!AE19*'Net zero supporting data'!C195*kgtoGg,"ERROR"))</f>
        <v>0.56716712532642333</v>
      </c>
      <c r="M793" s="93">
        <f>IF('Net zero activities &amp; levers'!$C$10="Off",'Activity data'!AF19*EF!$H32*kgtoGg,IF('Net zero activities &amp; levers'!$C$10="On",'Net zero Activity data'!AF19*'Net zero supporting data'!D195*kgtoGg,"ERROR"))</f>
        <v>0.58037790885594753</v>
      </c>
      <c r="N793" s="93">
        <f>IF('Net zero activities &amp; levers'!$C$10="Off",'Activity data'!AG19*EF!$H32*kgtoGg,IF('Net zero activities &amp; levers'!$C$10="On",'Net zero Activity data'!AG19*'Net zero supporting data'!E195*kgtoGg,"ERROR"))</f>
        <v>0.5905201523722613</v>
      </c>
      <c r="O793" s="93">
        <f>IF('Net zero activities &amp; levers'!$C$10="Off",'Activity data'!AH19*EF!$H32*kgtoGg,IF('Net zero activities &amp; levers'!$C$10="On",'Net zero Activity data'!AH19*'Net zero supporting data'!F195*kgtoGg,"ERROR"))</f>
        <v>0.5986618277459016</v>
      </c>
      <c r="P793" s="93">
        <f>IF('Net zero activities &amp; levers'!$C$10="Off",'Activity data'!AI19*EF!$H32*kgtoGg,IF('Net zero activities &amp; levers'!$C$10="On",'Net zero Activity data'!AI19*'Net zero supporting data'!G195*kgtoGg,"ERROR"))</f>
        <v>0.60475451589519691</v>
      </c>
      <c r="Q793" s="93">
        <f>IF('Net zero activities &amp; levers'!$C$10="Off",'Activity data'!AJ19*EF!$H32*kgtoGg,IF('Net zero activities &amp; levers'!$C$10="On",'Net zero Activity data'!AJ19*'Net zero supporting data'!H195*kgtoGg,"ERROR"))</f>
        <v>0.61256702388185857</v>
      </c>
      <c r="R793" s="93">
        <f>IF('Net zero activities &amp; levers'!$C$10="Off",'Activity data'!AK19*EF!$H32*kgtoGg,IF('Net zero activities &amp; levers'!$C$10="On",'Net zero Activity data'!AK19*'Net zero supporting data'!I195*kgtoGg,"ERROR"))</f>
        <v>0.6206898695388976</v>
      </c>
      <c r="S793" s="93">
        <f>IF('Net zero activities &amp; levers'!$C$10="Off",'Activity data'!AL19*EF!$H32*kgtoGg,IF('Net zero activities &amp; levers'!$C$10="On",'Net zero Activity data'!AL19*'Net zero supporting data'!J195*kgtoGg,"ERROR"))</f>
        <v>0.59306384026239212</v>
      </c>
      <c r="T793" s="93">
        <f>IF('Net zero activities &amp; levers'!$C$10="Off",'Activity data'!AM19*EF!$H32*kgtoGg,IF('Net zero activities &amp; levers'!$C$10="On",'Net zero Activity data'!AM19*'Net zero supporting data'!K195*kgtoGg,"ERROR"))</f>
        <v>0.60782510553672808</v>
      </c>
      <c r="U793" s="93">
        <f>IF('Net zero activities &amp; levers'!$C$10="Off",'Activity data'!AN19*EF!$H32*kgtoGg,IF('Net zero activities &amp; levers'!$C$10="On",'Net zero Activity data'!AN19*'Net zero supporting data'!L195*kgtoGg,"ERROR"))</f>
        <v>0.62749693593989653</v>
      </c>
      <c r="V793" s="93">
        <f>IF('Net zero activities &amp; levers'!$C$10="Off",'Activity data'!AO19*EF!$H32*kgtoGg,IF('Net zero activities &amp; levers'!$C$10="On",'Net zero Activity data'!AO19*'Net zero supporting data'!M195*kgtoGg,"ERROR"))</f>
        <v>0.63952779473480192</v>
      </c>
      <c r="W793" s="93">
        <f>IF('Net zero activities &amp; levers'!$C$10="Off",'Activity data'!AP19*EF!$H32*kgtoGg,IF('Net zero activities &amp; levers'!$C$10="On",'Net zero Activity data'!AP19*'Net zero supporting data'!N195*kgtoGg,"ERROR"))</f>
        <v>0.65264407206550135</v>
      </c>
      <c r="X793" s="93">
        <f>IF('Net zero activities &amp; levers'!$C$10="Off",'Activity data'!AQ19*EF!$H32*kgtoGg,IF('Net zero activities &amp; levers'!$C$10="On",'Net zero Activity data'!AQ19*'Net zero supporting data'!O195*kgtoGg,"ERROR"))</f>
        <v>0.66717765079794833</v>
      </c>
      <c r="Y793" s="93">
        <f>IF('Net zero activities &amp; levers'!$C$10="Off",'Activity data'!AR19*EF!$H32*kgtoGg,IF('Net zero activities &amp; levers'!$C$10="On",'Net zero Activity data'!AR19*'Net zero supporting data'!P195*kgtoGg,"ERROR"))</f>
        <v>0.68218893777565714</v>
      </c>
      <c r="Z793" s="93">
        <f>IF('Net zero activities &amp; levers'!$C$10="Off",'Activity data'!AS19*EF!$H32*kgtoGg,IF('Net zero activities &amp; levers'!$C$10="On",'Net zero Activity data'!AS19*'Net zero supporting data'!Q195*kgtoGg,"ERROR"))</f>
        <v>0.6983681341066772</v>
      </c>
      <c r="AA793" s="93">
        <f>IF('Net zero activities &amp; levers'!$C$10="Off",'Activity data'!AT19*EF!$H32*kgtoGg,IF('Net zero activities &amp; levers'!$C$10="On",'Net zero Activity data'!AT19*'Net zero supporting data'!R195*kgtoGg,"ERROR"))</f>
        <v>0.71491117725499365</v>
      </c>
      <c r="AB793" s="93">
        <f>IF('Net zero activities &amp; levers'!$C$10="Off",'Activity data'!AU19*EF!$H32*kgtoGg,IF('Net zero activities &amp; levers'!$C$10="On",'Net zero Activity data'!AU19*'Net zero supporting data'!S195*kgtoGg,"ERROR"))</f>
        <v>0.73257463286693114</v>
      </c>
      <c r="AC793" s="93">
        <f>IF('Net zero activities &amp; levers'!$C$10="Off",'Activity data'!AV19*EF!$H32*kgtoGg,IF('Net zero activities &amp; levers'!$C$10="On",'Net zero Activity data'!AV19*'Net zero supporting data'!T195*kgtoGg,"ERROR"))</f>
        <v>0.7505526685248175</v>
      </c>
      <c r="AD793" s="93">
        <f>IF('Net zero activities &amp; levers'!$C$10="Off",'Activity data'!AW19*EF!$H32*kgtoGg,IF('Net zero activities &amp; levers'!$C$10="On",'Net zero Activity data'!AW19*'Net zero supporting data'!U195*kgtoGg,"ERROR"))</f>
        <v>0.76994977468450398</v>
      </c>
      <c r="AE793" s="93">
        <f>IF('Net zero activities &amp; levers'!$C$10="Off",'Activity data'!AX19*EF!$H32*kgtoGg,IF('Net zero activities &amp; levers'!$C$10="On",'Net zero Activity data'!AX19*'Net zero supporting data'!V195*kgtoGg,"ERROR"))</f>
        <v>0.78914658446111008</v>
      </c>
      <c r="AF793" s="93">
        <f>IF('Net zero activities &amp; levers'!$C$10="Off",'Activity data'!AY19*EF!$H32*kgtoGg,IF('Net zero activities &amp; levers'!$C$10="On",'Net zero Activity data'!AY19*'Net zero supporting data'!W195*kgtoGg,"ERROR"))</f>
        <v>0.80922915626502845</v>
      </c>
      <c r="AG793" s="93">
        <f>IF('Net zero activities &amp; levers'!$C$10="Off",'Activity data'!AZ19*EF!$H32*kgtoGg,IF('Net zero activities &amp; levers'!$C$10="On",'Net zero Activity data'!AZ19*'Net zero supporting data'!X195*kgtoGg,"ERROR"))</f>
        <v>0.83151801683952153</v>
      </c>
      <c r="AH793" s="93">
        <f>IF('Net zero activities &amp; levers'!$C$10="Off",'Activity data'!BA19*EF!$H32*kgtoGg,IF('Net zero activities &amp; levers'!$C$10="On",'Net zero Activity data'!BA19*'Net zero supporting data'!Y195*kgtoGg,"ERROR"))</f>
        <v>0.85291597213422199</v>
      </c>
      <c r="AI793" s="93">
        <f>IF('Net zero activities &amp; levers'!$C$10="Off",'Activity data'!BB19*EF!$H32*kgtoGg,IF('Net zero activities &amp; levers'!$C$10="On",'Net zero Activity data'!BB19*'Net zero supporting data'!Z195*kgtoGg,"ERROR"))</f>
        <v>0.87504492147223956</v>
      </c>
      <c r="AJ793" s="93">
        <f>IF('Net zero activities &amp; levers'!$C$10="Off",'Activity data'!BC19*EF!$H32*kgtoGg,IF('Net zero activities &amp; levers'!$C$10="On",'Net zero Activity data'!BC19*'Net zero supporting data'!AA195*kgtoGg,"ERROR"))</f>
        <v>0.89850514567918238</v>
      </c>
      <c r="AK793" s="93">
        <f>IF('Net zero activities &amp; levers'!$C$10="Off",'Activity data'!BD19*EF!$H32*kgtoGg,IF('Net zero activities &amp; levers'!$C$10="On",'Net zero Activity data'!BD19*'Net zero supporting data'!AB195*kgtoGg,"ERROR"))</f>
        <v>0.92075676441275556</v>
      </c>
      <c r="AL793" s="93">
        <f>IF('Net zero activities &amp; levers'!$C$10="Off",'Activity data'!BE19*EF!$H32*kgtoGg,IF('Net zero activities &amp; levers'!$C$10="On",'Net zero Activity data'!BE19*'Net zero supporting data'!AC195*kgtoGg,"ERROR"))</f>
        <v>0.94294773672658772</v>
      </c>
      <c r="AM793" s="93">
        <f>IF('Net zero activities &amp; levers'!$C$10="Off",'Activity data'!BF19*EF!$H32*kgtoGg,IF('Net zero activities &amp; levers'!$C$10="On",'Net zero Activity data'!BF19*'Net zero supporting data'!AD195*kgtoGg,"ERROR"))</f>
        <v>0.96512911525862388</v>
      </c>
      <c r="AN793" s="93">
        <f>IF('Net zero activities &amp; levers'!$C$10="Off",'Activity data'!BG19*EF!$H32*kgtoGg,IF('Net zero activities &amp; levers'!$C$10="On",'Net zero Activity data'!BG19*'Net zero supporting data'!AE195*kgtoGg,"ERROR"))</f>
        <v>0.98866250207381989</v>
      </c>
      <c r="AO793" s="93">
        <f>IF('Net zero activities &amp; levers'!$C$10="Off",'Activity data'!BH19*EF!$H32*kgtoGg,IF('Net zero activities &amp; levers'!$C$10="On",'Net zero Activity data'!BH19*'Net zero supporting data'!AF195*kgtoGg,"ERROR"))</f>
        <v>1.0114465581050009</v>
      </c>
      <c r="AP793" s="93">
        <f>IF('Net zero activities &amp; levers'!$C$10="Off",'Activity data'!BI19*EF!$H32*kgtoGg,IF('Net zero activities &amp; levers'!$C$10="On",'Net zero Activity data'!BI19*'Net zero supporting data'!AG195*kgtoGg,"ERROR"))</f>
        <v>1.0350196328361636</v>
      </c>
      <c r="AQ793" s="93">
        <f>IF('Net zero activities &amp; levers'!$C$10="Off",'Activity data'!BJ19*EF!$H32*kgtoGg,IF('Net zero activities &amp; levers'!$C$10="On",'Net zero Activity data'!BJ19*'Net zero supporting data'!AH195*kgtoGg,"ERROR"))</f>
        <v>1.0594801323783987</v>
      </c>
      <c r="AR793" s="93">
        <f>IF('Net zero activities &amp; levers'!$C$10="Off",'Activity data'!BK19*EF!$H32*kgtoGg,IF('Net zero activities &amp; levers'!$C$10="On",'Net zero Activity data'!BK19*'Net zero supporting data'!AI195*kgtoGg,"ERROR"))</f>
        <v>1.0849829625275211</v>
      </c>
      <c r="AS793" s="93">
        <f>IF('Net zero activities &amp; levers'!$C$10="Off",'Activity data'!BL19*EF!$H32*kgtoGg,IF('Net zero activities &amp; levers'!$C$10="On",'Net zero Activity data'!BL19*'Net zero supporting data'!AJ195*kgtoGg,"ERROR"))</f>
        <v>1.1111668702046387</v>
      </c>
      <c r="AT793" s="93">
        <f>IF('Net zero activities &amp; levers'!$C$10="Off",'Activity data'!BM19*EF!$H32*kgtoGg,IF('Net zero activities &amp; levers'!$C$10="On",'Net zero Activity data'!BM19*'Net zero supporting data'!AK195*kgtoGg,"ERROR"))</f>
        <v>1.1203381651267506</v>
      </c>
      <c r="AU793" s="93">
        <f>IF('Net zero activities &amp; levers'!$C$10="Off",'Activity data'!BN19*EF!$H32*kgtoGg,IF('Net zero activities &amp; levers'!$C$10="On",'Net zero Activity data'!BN19*'Net zero supporting data'!AL195*kgtoGg,"ERROR"))</f>
        <v>1.1279342308342708</v>
      </c>
      <c r="AV793" s="93">
        <f>IF('Net zero activities &amp; levers'!$C$10="Off",'Activity data'!BO19*EF!$H32*kgtoGg,IF('Net zero activities &amp; levers'!$C$10="On",'Net zero Activity data'!BO19*'Net zero supporting data'!AM195*kgtoGg,"ERROR"))</f>
        <v>1.13323884791937</v>
      </c>
      <c r="AW793" s="93">
        <f>IF('Net zero activities &amp; levers'!$C$10="Off",'Activity data'!BP19*EF!$H32*kgtoGg,IF('Net zero activities &amp; levers'!$C$10="On",'Net zero Activity data'!BP19*'Net zero supporting data'!AN195*kgtoGg,"ERROR"))</f>
        <v>1.137864963271239</v>
      </c>
      <c r="AY793" s="79"/>
      <c r="AZ793" s="79"/>
    </row>
    <row r="794" spans="1:52" x14ac:dyDescent="0.3">
      <c r="A794" s="95" t="str">
        <f t="shared" si="176"/>
        <v>BD Poultry MMCH4</v>
      </c>
      <c r="B794" s="95" t="s">
        <v>1228</v>
      </c>
      <c r="C794" s="95" t="s">
        <v>1231</v>
      </c>
      <c r="D794" t="s">
        <v>15</v>
      </c>
      <c r="E794" t="s">
        <v>22</v>
      </c>
      <c r="F794" t="s">
        <v>28</v>
      </c>
      <c r="G794" t="s">
        <v>132</v>
      </c>
      <c r="H794" t="s">
        <v>1227</v>
      </c>
      <c r="I794" t="s">
        <v>121</v>
      </c>
      <c r="J794" t="s">
        <v>286</v>
      </c>
      <c r="K794" s="27">
        <f t="shared" ref="K794:AW794" si="222">K1408</f>
        <v>2.2100196981344111</v>
      </c>
      <c r="L794" s="27">
        <f t="shared" si="222"/>
        <v>2.2391217074451477</v>
      </c>
      <c r="M794" s="27">
        <f t="shared" si="222"/>
        <v>2.2858678822724823</v>
      </c>
      <c r="N794" s="27">
        <f t="shared" si="222"/>
        <v>2.2992900748078591</v>
      </c>
      <c r="O794" s="27">
        <f t="shared" si="222"/>
        <v>2.2910596881616572</v>
      </c>
      <c r="P794" s="27">
        <f t="shared" si="222"/>
        <v>2.2612642885898917</v>
      </c>
      <c r="Q794" s="27">
        <f t="shared" si="222"/>
        <v>2.2487211059946204</v>
      </c>
      <c r="R794" s="27">
        <f t="shared" si="222"/>
        <v>2.2390235702415184</v>
      </c>
      <c r="S794" s="27">
        <f t="shared" si="222"/>
        <v>1.8873806466050964</v>
      </c>
      <c r="T794" s="27">
        <f t="shared" si="222"/>
        <v>1.9621300984115682</v>
      </c>
      <c r="U794" s="27">
        <f t="shared" si="222"/>
        <v>2.0814254172868796</v>
      </c>
      <c r="V794" s="27">
        <f t="shared" si="222"/>
        <v>2.1274151344864149</v>
      </c>
      <c r="W794" s="27">
        <f t="shared" si="222"/>
        <v>2.1824506881567056</v>
      </c>
      <c r="X794" s="27">
        <f t="shared" si="222"/>
        <v>2.2493281606911828</v>
      </c>
      <c r="Y794" s="27">
        <f t="shared" si="222"/>
        <v>2.3261233859270511</v>
      </c>
      <c r="Z794" s="27">
        <f t="shared" si="222"/>
        <v>2.4121225146398793</v>
      </c>
      <c r="AA794" s="27">
        <f t="shared" si="222"/>
        <v>2.4999478814416944</v>
      </c>
      <c r="AB794" s="27">
        <f t="shared" si="222"/>
        <v>2.5962654285530302</v>
      </c>
      <c r="AC794" s="27">
        <f t="shared" si="222"/>
        <v>2.6938179504840183</v>
      </c>
      <c r="AD794" s="27">
        <f t="shared" si="222"/>
        <v>2.8076989520027458</v>
      </c>
      <c r="AE794" s="27">
        <f t="shared" si="222"/>
        <v>2.9182147779075716</v>
      </c>
      <c r="AF794" s="27">
        <f t="shared" si="222"/>
        <v>3.0347920342807941</v>
      </c>
      <c r="AG794" s="27">
        <f t="shared" si="222"/>
        <v>3.1685994721864104</v>
      </c>
      <c r="AH794" s="27">
        <f t="shared" si="222"/>
        <v>3.2930349508119656</v>
      </c>
      <c r="AI794" s="27">
        <f t="shared" si="222"/>
        <v>3.427074485424797</v>
      </c>
      <c r="AJ794" s="27">
        <f t="shared" si="222"/>
        <v>3.5705841120118782</v>
      </c>
      <c r="AK794" s="27">
        <f t="shared" si="222"/>
        <v>3.702270113838861</v>
      </c>
      <c r="AL794" s="27">
        <f t="shared" si="222"/>
        <v>3.8318633402397859</v>
      </c>
      <c r="AM794" s="27">
        <f t="shared" si="222"/>
        <v>3.9598368656050509</v>
      </c>
      <c r="AN794" s="27">
        <f t="shared" si="222"/>
        <v>4.1020537482739581</v>
      </c>
      <c r="AO794" s="27">
        <f t="shared" si="222"/>
        <v>4.2366042379514601</v>
      </c>
      <c r="AP794" s="27">
        <f t="shared" si="222"/>
        <v>4.376057584996432</v>
      </c>
      <c r="AQ794" s="27">
        <f t="shared" si="222"/>
        <v>4.5211331273416295</v>
      </c>
      <c r="AR794" s="27">
        <f t="shared" si="222"/>
        <v>4.67298612402322</v>
      </c>
      <c r="AS794" s="27">
        <f t="shared" si="222"/>
        <v>4.8333405314076359</v>
      </c>
      <c r="AT794" s="27">
        <f t="shared" si="222"/>
        <v>4.8577536687430269</v>
      </c>
      <c r="AU794" s="27">
        <f t="shared" si="222"/>
        <v>4.8696640260341857</v>
      </c>
      <c r="AV794" s="27">
        <f t="shared" si="222"/>
        <v>4.8636695672494161</v>
      </c>
      <c r="AW794" s="27">
        <f t="shared" si="222"/>
        <v>4.8525780818062749</v>
      </c>
      <c r="AY794" s="79"/>
      <c r="AZ794" s="79"/>
    </row>
    <row r="795" spans="1:52" x14ac:dyDescent="0.3">
      <c r="A795" s="95" t="str">
        <f t="shared" si="176"/>
        <v>BD Poultry MMCH4</v>
      </c>
      <c r="B795" s="95" t="s">
        <v>1228</v>
      </c>
      <c r="C795" s="95" t="s">
        <v>1231</v>
      </c>
      <c r="D795" t="s">
        <v>15</v>
      </c>
      <c r="E795" t="s">
        <v>22</v>
      </c>
      <c r="F795" t="s">
        <v>28</v>
      </c>
      <c r="G795" t="s">
        <v>134</v>
      </c>
      <c r="H795" t="s">
        <v>1227</v>
      </c>
      <c r="I795" t="s">
        <v>121</v>
      </c>
      <c r="J795" t="s">
        <v>286</v>
      </c>
      <c r="K795" s="27">
        <f t="shared" ref="K795:AW795" si="223">K1409</f>
        <v>2.3161053423012622E-2</v>
      </c>
      <c r="L795" s="27">
        <f t="shared" si="223"/>
        <v>2.3631963555267657E-2</v>
      </c>
      <c r="M795" s="27">
        <f t="shared" si="223"/>
        <v>2.4182412868997839E-2</v>
      </c>
      <c r="N795" s="27">
        <f t="shared" si="223"/>
        <v>2.460500634884424E-2</v>
      </c>
      <c r="O795" s="27">
        <f t="shared" si="223"/>
        <v>2.4944242822745925E-2</v>
      </c>
      <c r="P795" s="27">
        <f t="shared" si="223"/>
        <v>2.5198104828966561E-2</v>
      </c>
      <c r="Q795" s="27">
        <f t="shared" si="223"/>
        <v>2.5523625995077459E-2</v>
      </c>
      <c r="R795" s="27">
        <f t="shared" si="223"/>
        <v>2.5862077897454098E-2</v>
      </c>
      <c r="S795" s="27">
        <f t="shared" si="223"/>
        <v>2.4710993344266366E-2</v>
      </c>
      <c r="T795" s="27">
        <f t="shared" si="223"/>
        <v>2.5326046064030362E-2</v>
      </c>
      <c r="U795" s="27">
        <f t="shared" si="223"/>
        <v>2.6145705664162376E-2</v>
      </c>
      <c r="V795" s="27">
        <f t="shared" si="223"/>
        <v>2.6646991447283438E-2</v>
      </c>
      <c r="W795" s="27">
        <f t="shared" si="223"/>
        <v>2.7193503002729248E-2</v>
      </c>
      <c r="X795" s="27">
        <f t="shared" si="223"/>
        <v>2.7799068783247873E-2</v>
      </c>
      <c r="Y795" s="27">
        <f t="shared" si="223"/>
        <v>2.842453907398574E-2</v>
      </c>
      <c r="Z795" s="27">
        <f t="shared" si="223"/>
        <v>2.9098672254444909E-2</v>
      </c>
      <c r="AA795" s="27">
        <f t="shared" si="223"/>
        <v>2.9787965718958094E-2</v>
      </c>
      <c r="AB795" s="27">
        <f t="shared" si="223"/>
        <v>3.0523943036122159E-2</v>
      </c>
      <c r="AC795" s="27">
        <f t="shared" si="223"/>
        <v>3.1273027855200759E-2</v>
      </c>
      <c r="AD795" s="27">
        <f t="shared" si="223"/>
        <v>3.2081240611854363E-2</v>
      </c>
      <c r="AE795" s="27">
        <f t="shared" si="223"/>
        <v>3.2881107685879617E-2</v>
      </c>
      <c r="AF795" s="27">
        <f t="shared" si="223"/>
        <v>3.3717881511042887E-2</v>
      </c>
      <c r="AG795" s="27">
        <f t="shared" si="223"/>
        <v>3.4646584034980096E-2</v>
      </c>
      <c r="AH795" s="27">
        <f t="shared" si="223"/>
        <v>3.5538165505592613E-2</v>
      </c>
      <c r="AI795" s="27">
        <f t="shared" si="223"/>
        <v>3.6460205061343343E-2</v>
      </c>
      <c r="AJ795" s="27">
        <f t="shared" si="223"/>
        <v>3.7437714403299294E-2</v>
      </c>
      <c r="AK795" s="27">
        <f t="shared" si="223"/>
        <v>3.8364865183864859E-2</v>
      </c>
      <c r="AL795" s="27">
        <f t="shared" si="223"/>
        <v>3.9289489030274523E-2</v>
      </c>
      <c r="AM795" s="27">
        <f t="shared" si="223"/>
        <v>4.0213713135776041E-2</v>
      </c>
      <c r="AN795" s="27">
        <f t="shared" si="223"/>
        <v>4.1194270919742537E-2</v>
      </c>
      <c r="AO795" s="27">
        <f t="shared" si="223"/>
        <v>4.2143606587708417E-2</v>
      </c>
      <c r="AP795" s="27">
        <f t="shared" si="223"/>
        <v>4.312581803484019E-2</v>
      </c>
      <c r="AQ795" s="27">
        <f t="shared" si="223"/>
        <v>4.4145005515766646E-2</v>
      </c>
      <c r="AR795" s="27">
        <f t="shared" si="223"/>
        <v>4.5207623438646753E-2</v>
      </c>
      <c r="AS795" s="27">
        <f t="shared" si="223"/>
        <v>4.6298619591859998E-2</v>
      </c>
      <c r="AT795" s="27">
        <f t="shared" si="223"/>
        <v>4.6680756880281324E-2</v>
      </c>
      <c r="AU795" s="27">
        <f t="shared" si="223"/>
        <v>4.6997259618094658E-2</v>
      </c>
      <c r="AV795" s="27">
        <f t="shared" si="223"/>
        <v>4.721828532997379E-2</v>
      </c>
      <c r="AW795" s="27">
        <f t="shared" si="223"/>
        <v>4.7411040136301673E-2</v>
      </c>
      <c r="AY795" s="79"/>
      <c r="AZ795" s="79"/>
    </row>
    <row r="796" spans="1:52" x14ac:dyDescent="0.3">
      <c r="A796" s="95" t="str">
        <f t="shared" ref="A796:A859" si="224">B796&amp;" "&amp;C796</f>
        <v>BD Poultry MMCH4</v>
      </c>
      <c r="B796" s="95" t="s">
        <v>1228</v>
      </c>
      <c r="C796" s="95" t="s">
        <v>1231</v>
      </c>
      <c r="D796" t="s">
        <v>15</v>
      </c>
      <c r="E796" t="s">
        <v>22</v>
      </c>
      <c r="F796" t="s">
        <v>28</v>
      </c>
      <c r="G796" t="s">
        <v>133</v>
      </c>
      <c r="H796" t="s">
        <v>1227</v>
      </c>
      <c r="I796" t="s">
        <v>121</v>
      </c>
      <c r="J796" t="s">
        <v>286</v>
      </c>
      <c r="K796" s="27">
        <f t="shared" ref="K796:AW796" si="225">K1410</f>
        <v>9.2084154088933862E-2</v>
      </c>
      <c r="L796" s="27">
        <f t="shared" si="225"/>
        <v>9.3296737810214581E-2</v>
      </c>
      <c r="M796" s="27">
        <f t="shared" si="225"/>
        <v>9.5244495094686854E-2</v>
      </c>
      <c r="N796" s="27">
        <f t="shared" si="225"/>
        <v>9.5803753116994225E-2</v>
      </c>
      <c r="O796" s="27">
        <f t="shared" si="225"/>
        <v>9.5460820340069155E-2</v>
      </c>
      <c r="P796" s="27">
        <f t="shared" si="225"/>
        <v>9.4219345357912251E-2</v>
      </c>
      <c r="Q796" s="27">
        <f t="shared" si="225"/>
        <v>9.3696712749775937E-2</v>
      </c>
      <c r="R796" s="27">
        <f t="shared" si="225"/>
        <v>9.3292648760063338E-2</v>
      </c>
      <c r="S796" s="27">
        <f t="shared" si="225"/>
        <v>7.8640860275212429E-2</v>
      </c>
      <c r="T796" s="27">
        <f t="shared" si="225"/>
        <v>8.1755420767148743E-2</v>
      </c>
      <c r="U796" s="27">
        <f t="shared" si="225"/>
        <v>8.6726059053620061E-2</v>
      </c>
      <c r="V796" s="27">
        <f t="shared" si="225"/>
        <v>8.8642297270267373E-2</v>
      </c>
      <c r="W796" s="27">
        <f t="shared" si="225"/>
        <v>9.0935445339862836E-2</v>
      </c>
      <c r="X796" s="27">
        <f t="shared" si="225"/>
        <v>9.3722006695466042E-2</v>
      </c>
      <c r="Y796" s="27">
        <f t="shared" si="225"/>
        <v>9.6921807746960562E-2</v>
      </c>
      <c r="Z796" s="27">
        <f t="shared" si="225"/>
        <v>0.10050510477666173</v>
      </c>
      <c r="AA796" s="27">
        <f t="shared" si="225"/>
        <v>0.10416449506007071</v>
      </c>
      <c r="AB796" s="27">
        <f t="shared" si="225"/>
        <v>0.10817772618970968</v>
      </c>
      <c r="AC796" s="27">
        <f t="shared" si="225"/>
        <v>0.11224241460350089</v>
      </c>
      <c r="AD796" s="27">
        <f t="shared" si="225"/>
        <v>0.11698745633344786</v>
      </c>
      <c r="AE796" s="27">
        <f t="shared" si="225"/>
        <v>0.12159228241281558</v>
      </c>
      <c r="AF796" s="27">
        <f t="shared" si="225"/>
        <v>0.12644966809503322</v>
      </c>
      <c r="AG796" s="27">
        <f t="shared" si="225"/>
        <v>0.13202497800776722</v>
      </c>
      <c r="AH796" s="27">
        <f t="shared" si="225"/>
        <v>0.13720978961716535</v>
      </c>
      <c r="AI796" s="27">
        <f t="shared" si="225"/>
        <v>0.14279477022603335</v>
      </c>
      <c r="AJ796" s="27">
        <f t="shared" si="225"/>
        <v>0.14877433800049503</v>
      </c>
      <c r="AK796" s="27">
        <f t="shared" si="225"/>
        <v>0.15426125474328603</v>
      </c>
      <c r="AL796" s="27">
        <f t="shared" si="225"/>
        <v>0.15966097250999123</v>
      </c>
      <c r="AM796" s="27">
        <f t="shared" si="225"/>
        <v>0.16499320273354395</v>
      </c>
      <c r="AN796" s="27">
        <f t="shared" si="225"/>
        <v>0.17091890617808173</v>
      </c>
      <c r="AO796" s="27">
        <f t="shared" si="225"/>
        <v>0.17652517658131101</v>
      </c>
      <c r="AP796" s="27">
        <f t="shared" si="225"/>
        <v>0.18233573270818484</v>
      </c>
      <c r="AQ796" s="27">
        <f t="shared" si="225"/>
        <v>0.18838054697256806</v>
      </c>
      <c r="AR796" s="27">
        <f t="shared" si="225"/>
        <v>0.19470775516763436</v>
      </c>
      <c r="AS796" s="27">
        <f t="shared" si="225"/>
        <v>0.2013891888086517</v>
      </c>
      <c r="AT796" s="27">
        <f t="shared" si="225"/>
        <v>0.20240640286429301</v>
      </c>
      <c r="AU796" s="27">
        <f t="shared" si="225"/>
        <v>0.20290266775142457</v>
      </c>
      <c r="AV796" s="27">
        <f t="shared" si="225"/>
        <v>0.20265289863539254</v>
      </c>
      <c r="AW796" s="27">
        <f t="shared" si="225"/>
        <v>0.20219075340859499</v>
      </c>
      <c r="AY796" s="79"/>
      <c r="AZ796" s="79"/>
    </row>
    <row r="797" spans="1:52" x14ac:dyDescent="0.3">
      <c r="A797" s="95" t="str">
        <f t="shared" si="224"/>
        <v>BD Cattle MMN2O</v>
      </c>
      <c r="B797" s="95" t="s">
        <v>1228</v>
      </c>
      <c r="C797" s="95" t="s">
        <v>1232</v>
      </c>
      <c r="D797" t="s">
        <v>15</v>
      </c>
      <c r="E797" t="s">
        <v>657</v>
      </c>
      <c r="F797" t="s">
        <v>6</v>
      </c>
      <c r="G797" t="s">
        <v>136</v>
      </c>
      <c r="H797" t="s">
        <v>1227</v>
      </c>
      <c r="I797" t="s">
        <v>139</v>
      </c>
      <c r="J797" t="s">
        <v>287</v>
      </c>
      <c r="K797" s="27">
        <f t="shared" ref="K797:AW797" si="226">K1411</f>
        <v>5.9474079071945893E-2</v>
      </c>
      <c r="L797" s="27">
        <f t="shared" si="226"/>
        <v>5.9806569587962516E-2</v>
      </c>
      <c r="M797" s="27">
        <f t="shared" si="226"/>
        <v>6.0278316688762053E-2</v>
      </c>
      <c r="N797" s="27">
        <f t="shared" si="226"/>
        <v>6.0581464452445992E-2</v>
      </c>
      <c r="O797" s="27">
        <f t="shared" si="226"/>
        <v>6.078290752789528E-2</v>
      </c>
      <c r="P797" s="27">
        <f t="shared" si="226"/>
        <v>6.0880663265441157E-2</v>
      </c>
      <c r="Q797" s="27">
        <f t="shared" si="226"/>
        <v>6.1096642070638009E-2</v>
      </c>
      <c r="R797" s="27">
        <f t="shared" si="226"/>
        <v>6.1344406036983767E-2</v>
      </c>
      <c r="S797" s="27">
        <f t="shared" si="226"/>
        <v>5.9500417755247011E-2</v>
      </c>
      <c r="T797" s="27">
        <f t="shared" si="226"/>
        <v>6.0126071727634615E-2</v>
      </c>
      <c r="U797" s="27">
        <f t="shared" si="226"/>
        <v>6.104186359289164E-2</v>
      </c>
      <c r="V797" s="27">
        <f t="shared" si="226"/>
        <v>6.1516540546796637E-2</v>
      </c>
      <c r="W797" s="27">
        <f t="shared" si="226"/>
        <v>6.2059033118034318E-2</v>
      </c>
      <c r="X797" s="27">
        <f t="shared" si="226"/>
        <v>6.2686911431302672E-2</v>
      </c>
      <c r="Y797" s="27">
        <f t="shared" si="226"/>
        <v>6.3328093657155735E-2</v>
      </c>
      <c r="Z797" s="27">
        <f t="shared" si="226"/>
        <v>6.403779969028206E-2</v>
      </c>
      <c r="AA797" s="27">
        <f t="shared" si="226"/>
        <v>6.476949047597555E-2</v>
      </c>
      <c r="AB797" s="27">
        <f t="shared" si="226"/>
        <v>6.5565173536469165E-2</v>
      </c>
      <c r="AC797" s="27">
        <f t="shared" si="226"/>
        <v>6.637880571901654E-2</v>
      </c>
      <c r="AD797" s="27">
        <f t="shared" si="226"/>
        <v>6.7257796908474193E-2</v>
      </c>
      <c r="AE797" s="27">
        <f t="shared" si="226"/>
        <v>6.8124891518831304E-2</v>
      </c>
      <c r="AF797" s="27">
        <f t="shared" si="226"/>
        <v>6.9040103414992046E-2</v>
      </c>
      <c r="AG797" s="27">
        <f t="shared" si="226"/>
        <v>7.0075359365803738E-2</v>
      </c>
      <c r="AH797" s="27">
        <f t="shared" si="226"/>
        <v>7.1059649676811054E-2</v>
      </c>
      <c r="AI797" s="27">
        <f t="shared" si="226"/>
        <v>7.2069034177178609E-2</v>
      </c>
      <c r="AJ797" s="27">
        <f t="shared" si="226"/>
        <v>7.3148525212574408E-2</v>
      </c>
      <c r="AK797" s="27">
        <f t="shared" si="226"/>
        <v>7.4159878217982214E-2</v>
      </c>
      <c r="AL797" s="27">
        <f t="shared" si="226"/>
        <v>7.5165742888720646E-2</v>
      </c>
      <c r="AM797" s="27">
        <f t="shared" si="226"/>
        <v>7.6168917031251032E-2</v>
      </c>
      <c r="AN797" s="27">
        <f t="shared" si="226"/>
        <v>7.7230245197332834E-2</v>
      </c>
      <c r="AO797" s="27">
        <f t="shared" si="226"/>
        <v>7.8248884607158259E-2</v>
      </c>
      <c r="AP797" s="27">
        <f t="shared" si="226"/>
        <v>7.9307079203447303E-2</v>
      </c>
      <c r="AQ797" s="27">
        <f t="shared" si="226"/>
        <v>8.0409655218804749E-2</v>
      </c>
      <c r="AR797" s="27">
        <f t="shared" si="226"/>
        <v>8.1564373746965665E-2</v>
      </c>
      <c r="AS797" s="27">
        <f t="shared" si="226"/>
        <v>8.2739517725039347E-2</v>
      </c>
      <c r="AT797" s="27">
        <f t="shared" si="226"/>
        <v>8.3018134970904087E-2</v>
      </c>
      <c r="AU797" s="27">
        <f t="shared" si="226"/>
        <v>8.3216426012492323E-2</v>
      </c>
      <c r="AV797" s="27">
        <f t="shared" si="226"/>
        <v>8.3297669475104599E-2</v>
      </c>
      <c r="AW797" s="27">
        <f t="shared" si="226"/>
        <v>8.3346726471042673E-2</v>
      </c>
      <c r="AY797" s="79"/>
      <c r="AZ797" s="79"/>
    </row>
    <row r="798" spans="1:52" x14ac:dyDescent="0.3">
      <c r="A798" s="95" t="str">
        <f t="shared" si="224"/>
        <v>BD Cattle MMN2O</v>
      </c>
      <c r="B798" s="95" t="s">
        <v>1228</v>
      </c>
      <c r="C798" s="95" t="s">
        <v>1232</v>
      </c>
      <c r="D798" t="s">
        <v>15</v>
      </c>
      <c r="E798" t="s">
        <v>657</v>
      </c>
      <c r="F798" t="s">
        <v>6</v>
      </c>
      <c r="G798" t="s">
        <v>137</v>
      </c>
      <c r="H798" t="s">
        <v>1227</v>
      </c>
      <c r="I798" t="s">
        <v>139</v>
      </c>
      <c r="J798" t="s">
        <v>287</v>
      </c>
      <c r="K798" s="27">
        <f t="shared" ref="K798:AW798" si="227">K1412</f>
        <v>0.26041511380118898</v>
      </c>
      <c r="L798" s="27">
        <f t="shared" si="227"/>
        <v>0.26187096745907484</v>
      </c>
      <c r="M798" s="27">
        <f t="shared" si="227"/>
        <v>0.26393657447404822</v>
      </c>
      <c r="N798" s="27">
        <f t="shared" si="227"/>
        <v>0.26526394701365208</v>
      </c>
      <c r="O798" s="27">
        <f t="shared" si="227"/>
        <v>0.26614599213711043</v>
      </c>
      <c r="P798" s="27">
        <f t="shared" si="227"/>
        <v>0.26657402855087203</v>
      </c>
      <c r="Q798" s="27">
        <f t="shared" si="227"/>
        <v>0.26751972028770321</v>
      </c>
      <c r="R798" s="27">
        <f t="shared" si="227"/>
        <v>0.26860458755254496</v>
      </c>
      <c r="S798" s="27">
        <f t="shared" si="227"/>
        <v>0.26053044120627478</v>
      </c>
      <c r="T798" s="27">
        <f t="shared" si="227"/>
        <v>0.26326994979492208</v>
      </c>
      <c r="U798" s="27">
        <f t="shared" si="227"/>
        <v>0.26727986548475752</v>
      </c>
      <c r="V798" s="27">
        <f t="shared" si="227"/>
        <v>0.2693583012486882</v>
      </c>
      <c r="W798" s="27">
        <f t="shared" si="227"/>
        <v>0.27173367665390064</v>
      </c>
      <c r="X798" s="27">
        <f t="shared" si="227"/>
        <v>0.27448292481300673</v>
      </c>
      <c r="Y798" s="27">
        <f t="shared" si="227"/>
        <v>0.27729042591127234</v>
      </c>
      <c r="Z798" s="27">
        <f t="shared" si="227"/>
        <v>0.28039796755405094</v>
      </c>
      <c r="AA798" s="27">
        <f t="shared" si="227"/>
        <v>0.28360177234089196</v>
      </c>
      <c r="AB798" s="27">
        <f t="shared" si="227"/>
        <v>0.28708577575853983</v>
      </c>
      <c r="AC798" s="27">
        <f t="shared" si="227"/>
        <v>0.29064837177880054</v>
      </c>
      <c r="AD798" s="27">
        <f t="shared" si="227"/>
        <v>0.29449715084700523</v>
      </c>
      <c r="AE798" s="27">
        <f t="shared" si="227"/>
        <v>0.29829383917166835</v>
      </c>
      <c r="AF798" s="27">
        <f t="shared" si="227"/>
        <v>0.30230121539018168</v>
      </c>
      <c r="AG798" s="27">
        <f t="shared" si="227"/>
        <v>0.30683422036395941</v>
      </c>
      <c r="AH798" s="27">
        <f t="shared" si="227"/>
        <v>0.31114406554952856</v>
      </c>
      <c r="AI798" s="27">
        <f t="shared" si="227"/>
        <v>0.31556378895902254</v>
      </c>
      <c r="AJ798" s="27">
        <f t="shared" si="227"/>
        <v>0.32029048309563773</v>
      </c>
      <c r="AK798" s="27">
        <f t="shared" si="227"/>
        <v>0.32471882586455802</v>
      </c>
      <c r="AL798" s="27">
        <f t="shared" si="227"/>
        <v>0.32912313723492953</v>
      </c>
      <c r="AM798" s="27">
        <f t="shared" si="227"/>
        <v>0.33351566777203023</v>
      </c>
      <c r="AN798" s="27">
        <f t="shared" si="227"/>
        <v>0.33816283338541037</v>
      </c>
      <c r="AO798" s="27">
        <f t="shared" si="227"/>
        <v>0.34262308063885955</v>
      </c>
      <c r="AP798" s="27">
        <f t="shared" si="227"/>
        <v>0.34725652550284908</v>
      </c>
      <c r="AQ798" s="27">
        <f t="shared" si="227"/>
        <v>0.35208430027455134</v>
      </c>
      <c r="AR798" s="27">
        <f t="shared" si="227"/>
        <v>0.3571403879283947</v>
      </c>
      <c r="AS798" s="27">
        <f t="shared" si="227"/>
        <v>0.36228591111358999</v>
      </c>
      <c r="AT798" s="27">
        <f t="shared" si="227"/>
        <v>0.36350587353959202</v>
      </c>
      <c r="AU798" s="27">
        <f t="shared" si="227"/>
        <v>0.36437411706629697</v>
      </c>
      <c r="AV798" s="27">
        <f t="shared" si="227"/>
        <v>0.36472985230241872</v>
      </c>
      <c r="AW798" s="27">
        <f t="shared" si="227"/>
        <v>0.36494465484126087</v>
      </c>
      <c r="AY798" s="79"/>
      <c r="AZ798" s="79"/>
    </row>
    <row r="799" spans="1:52" x14ac:dyDescent="0.3">
      <c r="A799" s="95" t="str">
        <f t="shared" si="224"/>
        <v>BD Cattle MMN2O</v>
      </c>
      <c r="B799" s="95" t="s">
        <v>1228</v>
      </c>
      <c r="C799" s="95" t="s">
        <v>1232</v>
      </c>
      <c r="D799" t="s">
        <v>15</v>
      </c>
      <c r="E799" t="s">
        <v>657</v>
      </c>
      <c r="F799" t="s">
        <v>67</v>
      </c>
      <c r="G799" t="s">
        <v>307</v>
      </c>
      <c r="H799" t="s">
        <v>1227</v>
      </c>
      <c r="I799" t="s">
        <v>139</v>
      </c>
      <c r="J799" t="s">
        <v>287</v>
      </c>
      <c r="K799" s="27">
        <f t="shared" ref="K799:AW799" si="228">K1413</f>
        <v>1.1586934798802538E-2</v>
      </c>
      <c r="L799" s="27">
        <f t="shared" si="228"/>
        <v>1.1651711689683764E-2</v>
      </c>
      <c r="M799" s="27">
        <f t="shared" si="228"/>
        <v>1.1743619004328788E-2</v>
      </c>
      <c r="N799" s="27">
        <f t="shared" si="228"/>
        <v>1.1802679244134426E-2</v>
      </c>
      <c r="O799" s="27">
        <f t="shared" si="228"/>
        <v>1.1841925043604099E-2</v>
      </c>
      <c r="P799" s="27">
        <f t="shared" si="228"/>
        <v>1.1860970136438286E-2</v>
      </c>
      <c r="Q799" s="27">
        <f t="shared" si="228"/>
        <v>1.1903047834366352E-2</v>
      </c>
      <c r="R799" s="27">
        <f t="shared" si="228"/>
        <v>1.1951318021451857E-2</v>
      </c>
      <c r="S799" s="27">
        <f t="shared" si="228"/>
        <v>1.1592066187314282E-2</v>
      </c>
      <c r="T799" s="27">
        <f t="shared" si="228"/>
        <v>1.1713958142562505E-2</v>
      </c>
      <c r="U799" s="27">
        <f t="shared" si="228"/>
        <v>1.1892375711990867E-2</v>
      </c>
      <c r="V799" s="27">
        <f t="shared" si="228"/>
        <v>1.1984853830210035E-2</v>
      </c>
      <c r="W799" s="27">
        <f t="shared" si="228"/>
        <v>1.2090544009021577E-2</v>
      </c>
      <c r="X799" s="27">
        <f t="shared" si="228"/>
        <v>1.221286931764253E-2</v>
      </c>
      <c r="Y799" s="27">
        <f t="shared" si="228"/>
        <v>1.2337786538069315E-2</v>
      </c>
      <c r="Z799" s="27">
        <f t="shared" si="228"/>
        <v>1.2476053790971267E-2</v>
      </c>
      <c r="AA799" s="27">
        <f t="shared" si="228"/>
        <v>1.2618604185344915E-2</v>
      </c>
      <c r="AB799" s="27">
        <f t="shared" si="228"/>
        <v>1.2773621764201382E-2</v>
      </c>
      <c r="AC799" s="27">
        <f t="shared" si="228"/>
        <v>1.293213624978054E-2</v>
      </c>
      <c r="AD799" s="27">
        <f t="shared" si="228"/>
        <v>1.3103384191066813E-2</v>
      </c>
      <c r="AE799" s="27">
        <f t="shared" si="228"/>
        <v>1.3272314401864145E-2</v>
      </c>
      <c r="AF799" s="27">
        <f t="shared" si="228"/>
        <v>1.345061897981439E-2</v>
      </c>
      <c r="AG799" s="27">
        <f t="shared" si="228"/>
        <v>1.3652310933507637E-2</v>
      </c>
      <c r="AH799" s="27">
        <f t="shared" si="228"/>
        <v>1.3844073594396234E-2</v>
      </c>
      <c r="AI799" s="27">
        <f t="shared" si="228"/>
        <v>1.4040725187412617E-2</v>
      </c>
      <c r="AJ799" s="27">
        <f t="shared" si="228"/>
        <v>1.4251035165107133E-2</v>
      </c>
      <c r="AK799" s="27">
        <f t="shared" si="228"/>
        <v>1.4448070268720213E-2</v>
      </c>
      <c r="AL799" s="27">
        <f t="shared" si="228"/>
        <v>1.4644036117004574E-2</v>
      </c>
      <c r="AM799" s="27">
        <f t="shared" si="228"/>
        <v>1.4839477787774847E-2</v>
      </c>
      <c r="AN799" s="27">
        <f t="shared" si="228"/>
        <v>1.5046249215805637E-2</v>
      </c>
      <c r="AO799" s="27">
        <f t="shared" si="228"/>
        <v>1.5244703880582538E-2</v>
      </c>
      <c r="AP799" s="27">
        <f t="shared" si="228"/>
        <v>1.5450864816287217E-2</v>
      </c>
      <c r="AQ799" s="27">
        <f t="shared" si="228"/>
        <v>1.5665672285356487E-2</v>
      </c>
      <c r="AR799" s="27">
        <f t="shared" si="228"/>
        <v>1.589063832948109E-2</v>
      </c>
      <c r="AS799" s="27">
        <f t="shared" si="228"/>
        <v>1.6119583726629205E-2</v>
      </c>
      <c r="AT799" s="27">
        <f t="shared" si="228"/>
        <v>1.6173864850642101E-2</v>
      </c>
      <c r="AU799" s="27">
        <f t="shared" si="228"/>
        <v>1.6212496560555425E-2</v>
      </c>
      <c r="AV799" s="27">
        <f t="shared" si="228"/>
        <v>1.6228324677927005E-2</v>
      </c>
      <c r="AW799" s="27">
        <f t="shared" si="228"/>
        <v>1.6237882122484858E-2</v>
      </c>
      <c r="AY799" s="79"/>
      <c r="AZ799" s="79"/>
    </row>
    <row r="800" spans="1:52" x14ac:dyDescent="0.3">
      <c r="A800" s="95" t="str">
        <f t="shared" si="224"/>
        <v>BD Cattle MMN2O</v>
      </c>
      <c r="B800" s="95" t="s">
        <v>1228</v>
      </c>
      <c r="C800" s="95" t="s">
        <v>1232</v>
      </c>
      <c r="D800" t="s">
        <v>15</v>
      </c>
      <c r="E800" t="s">
        <v>657</v>
      </c>
      <c r="F800" t="s">
        <v>67</v>
      </c>
      <c r="G800" t="s">
        <v>122</v>
      </c>
      <c r="H800" t="s">
        <v>1227</v>
      </c>
      <c r="I800" t="s">
        <v>139</v>
      </c>
      <c r="J800" t="s">
        <v>287</v>
      </c>
      <c r="K800" s="27">
        <f t="shared" ref="K800:AW800" si="229">K1414</f>
        <v>0.52525224947331306</v>
      </c>
      <c r="L800" s="27">
        <f t="shared" si="229"/>
        <v>0.52069690445710348</v>
      </c>
      <c r="M800" s="27">
        <f t="shared" si="229"/>
        <v>0.51896282251134873</v>
      </c>
      <c r="N800" s="27">
        <f t="shared" si="229"/>
        <v>0.51203275332440912</v>
      </c>
      <c r="O800" s="27">
        <f t="shared" si="229"/>
        <v>0.50197358865556674</v>
      </c>
      <c r="P800" s="27">
        <f t="shared" si="229"/>
        <v>0.48899333628247271</v>
      </c>
      <c r="Q800" s="27">
        <f t="shared" si="229"/>
        <v>0.47875543160314177</v>
      </c>
      <c r="R800" s="27">
        <f t="shared" si="229"/>
        <v>0.46906920988966794</v>
      </c>
      <c r="S800" s="27">
        <f t="shared" si="229"/>
        <v>0.41264416115350733</v>
      </c>
      <c r="T800" s="27">
        <f t="shared" si="229"/>
        <v>0.41934674582080395</v>
      </c>
      <c r="U800" s="27">
        <f t="shared" si="229"/>
        <v>0.43185062896277993</v>
      </c>
      <c r="V800" s="27">
        <f t="shared" si="229"/>
        <v>0.43434779885132324</v>
      </c>
      <c r="W800" s="27">
        <f t="shared" si="229"/>
        <v>0.43794943602225234</v>
      </c>
      <c r="X800" s="27">
        <f t="shared" si="229"/>
        <v>0.44297379932068648</v>
      </c>
      <c r="Y800" s="27">
        <f t="shared" si="229"/>
        <v>0.44873697326986872</v>
      </c>
      <c r="Z800" s="27">
        <f t="shared" si="229"/>
        <v>0.45549399211939318</v>
      </c>
      <c r="AA800" s="27">
        <f t="shared" si="229"/>
        <v>0.46228217585155068</v>
      </c>
      <c r="AB800" s="27">
        <f t="shared" si="229"/>
        <v>0.46991678793970998</v>
      </c>
      <c r="AC800" s="27">
        <f t="shared" si="229"/>
        <v>0.47747563485930333</v>
      </c>
      <c r="AD800" s="27">
        <f t="shared" si="229"/>
        <v>0.48239948914340336</v>
      </c>
      <c r="AE800" s="27">
        <f t="shared" si="229"/>
        <v>0.48644231664639292</v>
      </c>
      <c r="AF800" s="27">
        <f t="shared" si="229"/>
        <v>0.49071333483501467</v>
      </c>
      <c r="AG800" s="27">
        <f t="shared" si="229"/>
        <v>0.49642790918475599</v>
      </c>
      <c r="AH800" s="27">
        <f t="shared" si="229"/>
        <v>0.50053763889453751</v>
      </c>
      <c r="AI800" s="27">
        <f t="shared" si="229"/>
        <v>0.50491759807835224</v>
      </c>
      <c r="AJ800" s="27">
        <f t="shared" si="229"/>
        <v>0.50973902676184191</v>
      </c>
      <c r="AK800" s="27">
        <f t="shared" si="229"/>
        <v>0.51274341869053752</v>
      </c>
      <c r="AL800" s="27">
        <f t="shared" si="229"/>
        <v>0.51499736836395149</v>
      </c>
      <c r="AM800" s="27">
        <f t="shared" si="229"/>
        <v>0.51656513471542254</v>
      </c>
      <c r="AN800" s="27">
        <f t="shared" si="229"/>
        <v>0.52143890594170261</v>
      </c>
      <c r="AO800" s="27">
        <f t="shared" si="229"/>
        <v>0.52514358906624359</v>
      </c>
      <c r="AP800" s="27">
        <f t="shared" si="229"/>
        <v>0.52889503602895283</v>
      </c>
      <c r="AQ800" s="27">
        <f t="shared" si="229"/>
        <v>0.53273616168720928</v>
      </c>
      <c r="AR800" s="27">
        <f t="shared" si="229"/>
        <v>0.53674442357271479</v>
      </c>
      <c r="AS800" s="27">
        <f t="shared" si="229"/>
        <v>0.54085984384551011</v>
      </c>
      <c r="AT800" s="27">
        <f t="shared" si="229"/>
        <v>0.53274169797877946</v>
      </c>
      <c r="AU800" s="27">
        <f t="shared" si="229"/>
        <v>0.52354520401592364</v>
      </c>
      <c r="AV800" s="27">
        <f t="shared" si="229"/>
        <v>0.51288351759282347</v>
      </c>
      <c r="AW800" s="27">
        <f t="shared" si="229"/>
        <v>0.50188770167031349</v>
      </c>
      <c r="AY800" s="79"/>
      <c r="AZ800" s="79"/>
    </row>
    <row r="801" spans="1:52" x14ac:dyDescent="0.3">
      <c r="A801" s="95" t="str">
        <f t="shared" si="224"/>
        <v>BD Cattle MMN2O</v>
      </c>
      <c r="B801" s="95" t="s">
        <v>1228</v>
      </c>
      <c r="C801" s="95" t="s">
        <v>1232</v>
      </c>
      <c r="D801" t="s">
        <v>15</v>
      </c>
      <c r="E801" t="s">
        <v>657</v>
      </c>
      <c r="F801" t="s">
        <v>67</v>
      </c>
      <c r="G801" t="s">
        <v>123</v>
      </c>
      <c r="H801" t="s">
        <v>1227</v>
      </c>
      <c r="I801" t="s">
        <v>139</v>
      </c>
      <c r="J801" t="s">
        <v>287</v>
      </c>
      <c r="K801" s="27">
        <f t="shared" ref="K801:AW801" si="230">K1415</f>
        <v>0.80452586370517887</v>
      </c>
      <c r="L801" s="27">
        <f t="shared" si="230"/>
        <v>0.79754846782098032</v>
      </c>
      <c r="M801" s="27">
        <f t="shared" si="230"/>
        <v>0.79489238443144172</v>
      </c>
      <c r="N801" s="27">
        <f t="shared" si="230"/>
        <v>0.78427763712907439</v>
      </c>
      <c r="O801" s="27">
        <f t="shared" si="230"/>
        <v>0.76887007218962322</v>
      </c>
      <c r="P801" s="27">
        <f t="shared" si="230"/>
        <v>0.74898829393537225</v>
      </c>
      <c r="Q801" s="27">
        <f t="shared" si="230"/>
        <v>0.73330695394505496</v>
      </c>
      <c r="R801" s="27">
        <f t="shared" si="230"/>
        <v>0.71847062359542491</v>
      </c>
      <c r="S801" s="27">
        <f t="shared" si="230"/>
        <v>0.63204469945214758</v>
      </c>
      <c r="T801" s="27">
        <f t="shared" si="230"/>
        <v>0.6423110100180156</v>
      </c>
      <c r="U801" s="27">
        <f t="shared" si="230"/>
        <v>0.66146313624794417</v>
      </c>
      <c r="V801" s="27">
        <f t="shared" si="230"/>
        <v>0.6652880370711457</v>
      </c>
      <c r="W801" s="27">
        <f t="shared" si="230"/>
        <v>0.6708046441082407</v>
      </c>
      <c r="X801" s="27">
        <f t="shared" si="230"/>
        <v>0.67850043261042148</v>
      </c>
      <c r="Y801" s="27">
        <f t="shared" si="230"/>
        <v>0.68732785315702249</v>
      </c>
      <c r="Z801" s="27">
        <f t="shared" si="230"/>
        <v>0.69767754024819972</v>
      </c>
      <c r="AA801" s="27">
        <f t="shared" si="230"/>
        <v>0.70807496241170254</v>
      </c>
      <c r="AB801" s="27">
        <f t="shared" si="230"/>
        <v>0.71976885404270319</v>
      </c>
      <c r="AC801" s="27">
        <f t="shared" si="230"/>
        <v>0.73134669659873019</v>
      </c>
      <c r="AD801" s="27">
        <f t="shared" si="230"/>
        <v>0.73888853601902071</v>
      </c>
      <c r="AE801" s="27">
        <f t="shared" si="230"/>
        <v>0.74508091176213287</v>
      </c>
      <c r="AF801" s="27">
        <f t="shared" si="230"/>
        <v>0.7516228058721478</v>
      </c>
      <c r="AG801" s="27">
        <f t="shared" si="230"/>
        <v>0.76037578669049388</v>
      </c>
      <c r="AH801" s="27">
        <f t="shared" si="230"/>
        <v>0.76667063616076714</v>
      </c>
      <c r="AI801" s="27">
        <f t="shared" si="230"/>
        <v>0.77337939456948435</v>
      </c>
      <c r="AJ801" s="27">
        <f t="shared" si="230"/>
        <v>0.78076434928365657</v>
      </c>
      <c r="AK801" s="27">
        <f t="shared" si="230"/>
        <v>0.78536615920216046</v>
      </c>
      <c r="AL801" s="27">
        <f t="shared" si="230"/>
        <v>0.78881852101416539</v>
      </c>
      <c r="AM801" s="27">
        <f t="shared" si="230"/>
        <v>0.79121985976001552</v>
      </c>
      <c r="AN801" s="27">
        <f t="shared" si="230"/>
        <v>0.79868498724734416</v>
      </c>
      <c r="AO801" s="27">
        <f t="shared" si="230"/>
        <v>0.80435942918169867</v>
      </c>
      <c r="AP801" s="27">
        <f t="shared" si="230"/>
        <v>0.81010549901927509</v>
      </c>
      <c r="AQ801" s="27">
        <f t="shared" si="230"/>
        <v>0.81598892920145427</v>
      </c>
      <c r="AR801" s="27">
        <f t="shared" si="230"/>
        <v>0.82212836098613751</v>
      </c>
      <c r="AS801" s="27">
        <f t="shared" si="230"/>
        <v>0.82843192665920329</v>
      </c>
      <c r="AT801" s="27">
        <f t="shared" si="230"/>
        <v>0.81599740910755991</v>
      </c>
      <c r="AU801" s="27">
        <f t="shared" si="230"/>
        <v>0.80191119195009897</v>
      </c>
      <c r="AV801" s="27">
        <f t="shared" si="230"/>
        <v>0.78558074788879373</v>
      </c>
      <c r="AW801" s="27">
        <f t="shared" si="230"/>
        <v>0.76873851958597172</v>
      </c>
      <c r="AY801" s="79"/>
      <c r="AZ801" s="79"/>
    </row>
    <row r="802" spans="1:52" x14ac:dyDescent="0.3">
      <c r="A802" s="95" t="str">
        <f t="shared" si="224"/>
        <v>BD Cattle MMN2O</v>
      </c>
      <c r="B802" s="95" t="s">
        <v>1228</v>
      </c>
      <c r="C802" s="95" t="s">
        <v>1232</v>
      </c>
      <c r="D802" t="s">
        <v>15</v>
      </c>
      <c r="E802" t="s">
        <v>657</v>
      </c>
      <c r="F802" t="s">
        <v>67</v>
      </c>
      <c r="G802" t="s">
        <v>135</v>
      </c>
      <c r="H802" t="s">
        <v>1227</v>
      </c>
      <c r="I802" t="s">
        <v>139</v>
      </c>
      <c r="J802" t="s">
        <v>287</v>
      </c>
      <c r="K802" s="27">
        <f t="shared" ref="K802:AW802" si="231">K1416</f>
        <v>0.97926119892671493</v>
      </c>
      <c r="L802" s="27">
        <f t="shared" si="231"/>
        <v>1.0122801448609142</v>
      </c>
      <c r="M802" s="27">
        <f t="shared" si="231"/>
        <v>1.0514701788925804</v>
      </c>
      <c r="N802" s="27">
        <f t="shared" si="231"/>
        <v>1.0806972456941153</v>
      </c>
      <c r="O802" s="27">
        <f t="shared" si="231"/>
        <v>1.1032367943433714</v>
      </c>
      <c r="P802" s="27">
        <f t="shared" si="231"/>
        <v>1.1187666946803865</v>
      </c>
      <c r="Q802" s="27">
        <f t="shared" si="231"/>
        <v>1.1399714801203362</v>
      </c>
      <c r="R802" s="27">
        <f t="shared" si="231"/>
        <v>1.1622002864669057</v>
      </c>
      <c r="S802" s="27">
        <f t="shared" si="231"/>
        <v>1.0637182358780759</v>
      </c>
      <c r="T802" s="27">
        <f t="shared" si="231"/>
        <v>1.1070403364801074</v>
      </c>
      <c r="U802" s="27">
        <f t="shared" si="231"/>
        <v>1.167139233674557</v>
      </c>
      <c r="V802" s="27">
        <f t="shared" si="231"/>
        <v>1.2014274387995842</v>
      </c>
      <c r="W802" s="27">
        <f t="shared" si="231"/>
        <v>1.2394742549139584</v>
      </c>
      <c r="X802" s="27">
        <f t="shared" si="231"/>
        <v>1.2824424199036168</v>
      </c>
      <c r="Y802" s="27">
        <f t="shared" si="231"/>
        <v>1.3286164007902908</v>
      </c>
      <c r="Z802" s="27">
        <f t="shared" si="231"/>
        <v>1.3789486454543383</v>
      </c>
      <c r="AA802" s="27">
        <f t="shared" si="231"/>
        <v>1.4306963818966387</v>
      </c>
      <c r="AB802" s="27">
        <f t="shared" si="231"/>
        <v>1.4864839183326823</v>
      </c>
      <c r="AC802" s="27">
        <f t="shared" si="231"/>
        <v>1.5435464944872577</v>
      </c>
      <c r="AD802" s="27">
        <f t="shared" si="231"/>
        <v>1.6111800014411353</v>
      </c>
      <c r="AE802" s="27">
        <f t="shared" si="231"/>
        <v>1.6786649286792732</v>
      </c>
      <c r="AF802" s="27">
        <f t="shared" si="231"/>
        <v>1.7498130115622672</v>
      </c>
      <c r="AG802" s="27">
        <f t="shared" si="231"/>
        <v>1.8293448328146484</v>
      </c>
      <c r="AH802" s="27">
        <f t="shared" si="231"/>
        <v>1.9063603244571439</v>
      </c>
      <c r="AI802" s="27">
        <f t="shared" si="231"/>
        <v>1.9878317329791768</v>
      </c>
      <c r="AJ802" s="27">
        <f t="shared" si="231"/>
        <v>2.0747636655461594</v>
      </c>
      <c r="AK802" s="27">
        <f t="shared" si="231"/>
        <v>2.1580530015142441</v>
      </c>
      <c r="AL802" s="27">
        <f t="shared" si="231"/>
        <v>2.2418001061580344</v>
      </c>
      <c r="AM802" s="27">
        <f t="shared" si="231"/>
        <v>2.326186702125502</v>
      </c>
      <c r="AN802" s="27">
        <f t="shared" si="231"/>
        <v>2.4143873382610392</v>
      </c>
      <c r="AO802" s="27">
        <f t="shared" si="231"/>
        <v>2.5003845769659914</v>
      </c>
      <c r="AP802" s="27">
        <f t="shared" si="231"/>
        <v>2.5898227222528956</v>
      </c>
      <c r="AQ802" s="27">
        <f t="shared" si="231"/>
        <v>2.6830977224212833</v>
      </c>
      <c r="AR802" s="27">
        <f t="shared" si="231"/>
        <v>2.7808208792989615</v>
      </c>
      <c r="AS802" s="27">
        <f t="shared" si="231"/>
        <v>2.8829310376391781</v>
      </c>
      <c r="AT802" s="27">
        <f t="shared" si="231"/>
        <v>2.9219897527083054</v>
      </c>
      <c r="AU802" s="27">
        <f t="shared" si="231"/>
        <v>2.955308116539189</v>
      </c>
      <c r="AV802" s="27">
        <f t="shared" si="231"/>
        <v>2.9801202079374365</v>
      </c>
      <c r="AW802" s="27">
        <f t="shared" si="231"/>
        <v>3.0024365734571252</v>
      </c>
      <c r="AY802" s="79"/>
      <c r="AZ802" s="79"/>
    </row>
    <row r="803" spans="1:52" x14ac:dyDescent="0.3">
      <c r="A803" s="95" t="str">
        <f t="shared" si="224"/>
        <v>BD Sheep MMN2O</v>
      </c>
      <c r="B803" s="95" t="s">
        <v>1228</v>
      </c>
      <c r="C803" s="95" t="s">
        <v>1328</v>
      </c>
      <c r="D803" t="s">
        <v>15</v>
      </c>
      <c r="E803" t="s">
        <v>657</v>
      </c>
      <c r="F803" t="s">
        <v>18</v>
      </c>
      <c r="G803" t="s">
        <v>122</v>
      </c>
      <c r="H803" t="s">
        <v>1227</v>
      </c>
      <c r="I803" t="s">
        <v>139</v>
      </c>
      <c r="J803" t="s">
        <v>287</v>
      </c>
      <c r="K803" s="27">
        <f t="shared" ref="K803:AW803" si="232">K1417</f>
        <v>0.1171883187565219</v>
      </c>
      <c r="L803" s="27">
        <f t="shared" si="232"/>
        <v>0.11725168210757804</v>
      </c>
      <c r="M803" s="27">
        <f t="shared" si="232"/>
        <v>0.11740318150277541</v>
      </c>
      <c r="N803" s="27">
        <f t="shared" si="232"/>
        <v>0.11762656857541021</v>
      </c>
      <c r="O803" s="27">
        <f t="shared" si="232"/>
        <v>0.1179204237689029</v>
      </c>
      <c r="P803" s="27">
        <f t="shared" si="232"/>
        <v>0.11828164409401502</v>
      </c>
      <c r="Q803" s="27">
        <f t="shared" si="232"/>
        <v>0.1186873438242913</v>
      </c>
      <c r="R803" s="27">
        <f t="shared" si="232"/>
        <v>0.11913496163447934</v>
      </c>
      <c r="S803" s="27">
        <f t="shared" si="232"/>
        <v>0.11954428347803586</v>
      </c>
      <c r="T803" s="27">
        <f t="shared" si="232"/>
        <v>0.11972414940561894</v>
      </c>
      <c r="U803" s="27">
        <f t="shared" si="232"/>
        <v>0.11994380434419684</v>
      </c>
      <c r="V803" s="27">
        <f t="shared" si="232"/>
        <v>0.12017467883012861</v>
      </c>
      <c r="W803" s="27">
        <f t="shared" si="232"/>
        <v>0.12043388472990403</v>
      </c>
      <c r="X803" s="27">
        <f t="shared" si="232"/>
        <v>0.12072069678028939</v>
      </c>
      <c r="Y803" s="27">
        <f t="shared" si="232"/>
        <v>0.12089981812671623</v>
      </c>
      <c r="Z803" s="27">
        <f t="shared" si="232"/>
        <v>0.12110217984152867</v>
      </c>
      <c r="AA803" s="27">
        <f t="shared" si="232"/>
        <v>0.12132504756910802</v>
      </c>
      <c r="AB803" s="27">
        <f t="shared" si="232"/>
        <v>0.12156903411725499</v>
      </c>
      <c r="AC803" s="27">
        <f t="shared" si="232"/>
        <v>0.12183162117803532</v>
      </c>
      <c r="AD803" s="27">
        <f t="shared" si="232"/>
        <v>0.12200776858907328</v>
      </c>
      <c r="AE803" s="27">
        <f t="shared" si="232"/>
        <v>0.12219899661673859</v>
      </c>
      <c r="AF803" s="27">
        <f t="shared" si="232"/>
        <v>0.12240684242118335</v>
      </c>
      <c r="AG803" s="27">
        <f t="shared" si="232"/>
        <v>0.12263333491271973</v>
      </c>
      <c r="AH803" s="27">
        <f t="shared" si="232"/>
        <v>0.12287167298468532</v>
      </c>
      <c r="AI803" s="27">
        <f t="shared" si="232"/>
        <v>0.12302401792252464</v>
      </c>
      <c r="AJ803" s="27">
        <f t="shared" si="232"/>
        <v>0.12319088645114676</v>
      </c>
      <c r="AK803" s="27">
        <f t="shared" si="232"/>
        <v>0.12336677489796816</v>
      </c>
      <c r="AL803" s="27">
        <f t="shared" si="232"/>
        <v>0.12355355577482134</v>
      </c>
      <c r="AM803" s="27">
        <f t="shared" si="232"/>
        <v>0.12375094588099321</v>
      </c>
      <c r="AN803" s="27">
        <f t="shared" si="232"/>
        <v>0.12386757855810271</v>
      </c>
      <c r="AO803" s="27">
        <f t="shared" si="232"/>
        <v>0.12399208535623993</v>
      </c>
      <c r="AP803" s="27">
        <f t="shared" si="232"/>
        <v>0.12412714040619617</v>
      </c>
      <c r="AQ803" s="27">
        <f t="shared" si="232"/>
        <v>0.1242726131383893</v>
      </c>
      <c r="AR803" s="27">
        <f t="shared" si="232"/>
        <v>0.12442850053815514</v>
      </c>
      <c r="AS803" s="27">
        <f t="shared" si="232"/>
        <v>0.12449922291454818</v>
      </c>
      <c r="AT803" s="27">
        <f t="shared" si="232"/>
        <v>0.12454479881058539</v>
      </c>
      <c r="AU803" s="27">
        <f t="shared" si="232"/>
        <v>0.12459475860623467</v>
      </c>
      <c r="AV803" s="27">
        <f t="shared" si="232"/>
        <v>0.12464752954530567</v>
      </c>
      <c r="AW803" s="27">
        <f t="shared" si="232"/>
        <v>0.12470598620434532</v>
      </c>
      <c r="AY803" s="79"/>
      <c r="AZ803" s="79"/>
    </row>
    <row r="804" spans="1:52" x14ac:dyDescent="0.3">
      <c r="A804" s="95" t="str">
        <f t="shared" si="224"/>
        <v>BD Sheep MMN2O</v>
      </c>
      <c r="B804" s="95" t="s">
        <v>1228</v>
      </c>
      <c r="C804" s="95" t="s">
        <v>1328</v>
      </c>
      <c r="D804" t="s">
        <v>15</v>
      </c>
      <c r="E804" t="s">
        <v>657</v>
      </c>
      <c r="F804" t="s">
        <v>18</v>
      </c>
      <c r="G804" t="s">
        <v>123</v>
      </c>
      <c r="H804" t="s">
        <v>1227</v>
      </c>
      <c r="I804" t="s">
        <v>139</v>
      </c>
      <c r="J804" t="s">
        <v>287</v>
      </c>
      <c r="K804" s="27">
        <f t="shared" ref="K804:AW804" si="233">K1418</f>
        <v>6.266545072674834E-2</v>
      </c>
      <c r="L804" s="27">
        <f t="shared" si="233"/>
        <v>6.269933373655362E-2</v>
      </c>
      <c r="M804" s="27">
        <f t="shared" si="233"/>
        <v>6.2780346741822493E-2</v>
      </c>
      <c r="N804" s="27">
        <f t="shared" si="233"/>
        <v>6.2899801067490158E-2</v>
      </c>
      <c r="O804" s="27">
        <f t="shared" si="233"/>
        <v>6.3056937617822231E-2</v>
      </c>
      <c r="P804" s="27">
        <f t="shared" si="233"/>
        <v>6.3250097095874355E-2</v>
      </c>
      <c r="Q804" s="27">
        <f t="shared" si="233"/>
        <v>6.3467041555247503E-2</v>
      </c>
      <c r="R804" s="27">
        <f t="shared" si="233"/>
        <v>6.3706401349179126E-2</v>
      </c>
      <c r="S804" s="27">
        <f t="shared" si="233"/>
        <v>6.3925282702636074E-2</v>
      </c>
      <c r="T804" s="27">
        <f t="shared" si="233"/>
        <v>6.402146446837842E-2</v>
      </c>
      <c r="U804" s="27">
        <f t="shared" si="233"/>
        <v>6.4138923067293366E-2</v>
      </c>
      <c r="V804" s="27">
        <f t="shared" si="233"/>
        <v>6.4262381223155141E-2</v>
      </c>
      <c r="W804" s="27">
        <f t="shared" si="233"/>
        <v>6.4400989360150498E-2</v>
      </c>
      <c r="X804" s="27">
        <f t="shared" si="233"/>
        <v>6.4554359649970958E-2</v>
      </c>
      <c r="Y804" s="27">
        <f t="shared" si="233"/>
        <v>6.4650143257311041E-2</v>
      </c>
      <c r="Z804" s="27">
        <f t="shared" si="233"/>
        <v>6.4758354452787853E-2</v>
      </c>
      <c r="AA804" s="27">
        <f t="shared" si="233"/>
        <v>6.4877531063130933E-2</v>
      </c>
      <c r="AB804" s="27">
        <f t="shared" si="233"/>
        <v>6.500800078206817E-2</v>
      </c>
      <c r="AC804" s="27">
        <f t="shared" si="233"/>
        <v>6.5148416965979825E-2</v>
      </c>
      <c r="AD804" s="27">
        <f t="shared" si="233"/>
        <v>6.5242610286817326E-2</v>
      </c>
      <c r="AE804" s="27">
        <f t="shared" si="233"/>
        <v>6.5344867838358231E-2</v>
      </c>
      <c r="AF804" s="27">
        <f t="shared" si="233"/>
        <v>6.5456011603840999E-2</v>
      </c>
      <c r="AG804" s="27">
        <f t="shared" si="233"/>
        <v>6.5577126525694585E-2</v>
      </c>
      <c r="AH804" s="27">
        <f t="shared" si="233"/>
        <v>6.570457577032536E-2</v>
      </c>
      <c r="AI804" s="27">
        <f t="shared" si="233"/>
        <v>6.5786040922287098E-2</v>
      </c>
      <c r="AJ804" s="27">
        <f t="shared" si="233"/>
        <v>6.5875272440148028E-2</v>
      </c>
      <c r="AK804" s="27">
        <f t="shared" si="233"/>
        <v>6.5969327282086584E-2</v>
      </c>
      <c r="AL804" s="27">
        <f t="shared" si="233"/>
        <v>6.6069206757782967E-2</v>
      </c>
      <c r="AM804" s="27">
        <f t="shared" si="233"/>
        <v>6.6174759428079058E-2</v>
      </c>
      <c r="AN804" s="27">
        <f t="shared" si="233"/>
        <v>6.623712775418944E-2</v>
      </c>
      <c r="AO804" s="27">
        <f t="shared" si="233"/>
        <v>6.6303706699144024E-2</v>
      </c>
      <c r="AP804" s="27">
        <f t="shared" si="233"/>
        <v>6.6375926231502153E-2</v>
      </c>
      <c r="AQ804" s="27">
        <f t="shared" si="233"/>
        <v>6.6453716530296997E-2</v>
      </c>
      <c r="AR804" s="27">
        <f t="shared" si="233"/>
        <v>6.653707598346266E-2</v>
      </c>
      <c r="AS804" s="27">
        <f t="shared" si="233"/>
        <v>6.6574894169098925E-2</v>
      </c>
      <c r="AT804" s="27">
        <f t="shared" si="233"/>
        <v>6.659926548953217E-2</v>
      </c>
      <c r="AU804" s="27">
        <f t="shared" si="233"/>
        <v>6.66259810627719E-2</v>
      </c>
      <c r="AV804" s="27">
        <f t="shared" si="233"/>
        <v>6.6654199870902653E-2</v>
      </c>
      <c r="AW804" s="27">
        <f t="shared" si="233"/>
        <v>6.6685459069136477E-2</v>
      </c>
      <c r="AY804" s="79"/>
      <c r="AZ804" s="79"/>
    </row>
    <row r="805" spans="1:52" x14ac:dyDescent="0.3">
      <c r="A805" s="95" t="str">
        <f t="shared" si="224"/>
        <v>BD Goats MMN2O</v>
      </c>
      <c r="B805" s="95" t="s">
        <v>1228</v>
      </c>
      <c r="C805" s="95" t="s">
        <v>1329</v>
      </c>
      <c r="D805" t="s">
        <v>15</v>
      </c>
      <c r="E805" t="s">
        <v>657</v>
      </c>
      <c r="F805" t="s">
        <v>19</v>
      </c>
      <c r="G805" t="s">
        <v>122</v>
      </c>
      <c r="H805" t="s">
        <v>1227</v>
      </c>
      <c r="I805" t="s">
        <v>139</v>
      </c>
      <c r="J805" t="s">
        <v>287</v>
      </c>
      <c r="K805" s="27">
        <f t="shared" ref="K805:AW805" si="234">K1419</f>
        <v>1.4486129996083084E-2</v>
      </c>
      <c r="L805" s="27">
        <f t="shared" si="234"/>
        <v>1.4523786941695514E-2</v>
      </c>
      <c r="M805" s="27">
        <f t="shared" si="234"/>
        <v>1.457573336741831E-2</v>
      </c>
      <c r="N805" s="27">
        <f t="shared" si="234"/>
        <v>1.4639017833045654E-2</v>
      </c>
      <c r="O805" s="27">
        <f t="shared" si="234"/>
        <v>1.4713550078172181E-2</v>
      </c>
      <c r="P805" s="27">
        <f t="shared" si="234"/>
        <v>1.4798876460462532E-2</v>
      </c>
      <c r="Q805" s="27">
        <f t="shared" si="234"/>
        <v>1.4890706011157261E-2</v>
      </c>
      <c r="R805" s="27">
        <f t="shared" si="234"/>
        <v>1.4988675221399694E-2</v>
      </c>
      <c r="S805" s="27">
        <f t="shared" si="234"/>
        <v>1.5077522200056563E-2</v>
      </c>
      <c r="T805" s="27">
        <f t="shared" si="234"/>
        <v>1.5120920467659648E-2</v>
      </c>
      <c r="U805" s="27">
        <f t="shared" si="234"/>
        <v>1.5170664566545743E-2</v>
      </c>
      <c r="V805" s="27">
        <f t="shared" si="234"/>
        <v>1.522137130781058E-2</v>
      </c>
      <c r="W805" s="27">
        <f t="shared" si="234"/>
        <v>1.527636657794784E-2</v>
      </c>
      <c r="X805" s="27">
        <f t="shared" si="234"/>
        <v>1.5335559486365858E-2</v>
      </c>
      <c r="Y805" s="27">
        <f t="shared" si="234"/>
        <v>1.5373440359637548E-2</v>
      </c>
      <c r="Z805" s="27">
        <f t="shared" si="234"/>
        <v>1.5414884136013281E-2</v>
      </c>
      <c r="AA805" s="27">
        <f t="shared" si="234"/>
        <v>1.5459406079654034E-2</v>
      </c>
      <c r="AB805" s="27">
        <f t="shared" si="234"/>
        <v>1.5507149153927192E-2</v>
      </c>
      <c r="AC805" s="27">
        <f t="shared" si="234"/>
        <v>1.55576650603759E-2</v>
      </c>
      <c r="AD805" s="27">
        <f t="shared" si="234"/>
        <v>1.5591353436562988E-2</v>
      </c>
      <c r="AE805" s="27">
        <f t="shared" si="234"/>
        <v>1.5627280085252663E-2</v>
      </c>
      <c r="AF805" s="27">
        <f t="shared" si="234"/>
        <v>1.5665749106164011E-2</v>
      </c>
      <c r="AG805" s="27">
        <f t="shared" si="234"/>
        <v>1.5707151218007597E-2</v>
      </c>
      <c r="AH805" s="27">
        <f t="shared" si="234"/>
        <v>1.575023561921594E-2</v>
      </c>
      <c r="AI805" s="27">
        <f t="shared" si="234"/>
        <v>1.5776918897393025E-2</v>
      </c>
      <c r="AJ805" s="27">
        <f t="shared" si="234"/>
        <v>1.5805875112600263E-2</v>
      </c>
      <c r="AK805" s="27">
        <f t="shared" si="234"/>
        <v>1.5836097205917665E-2</v>
      </c>
      <c r="AL805" s="27">
        <f t="shared" si="234"/>
        <v>1.5867941184595159E-2</v>
      </c>
      <c r="AM805" s="27">
        <f t="shared" si="234"/>
        <v>1.5901363449816974E-2</v>
      </c>
      <c r="AN805" s="27">
        <f t="shared" si="234"/>
        <v>1.5919623331121565E-2</v>
      </c>
      <c r="AO805" s="27">
        <f t="shared" si="234"/>
        <v>1.5939033537312693E-2</v>
      </c>
      <c r="AP805" s="27">
        <f t="shared" si="234"/>
        <v>1.5960089556991585E-2</v>
      </c>
      <c r="AQ805" s="27">
        <f t="shared" si="234"/>
        <v>1.5982771280705937E-2</v>
      </c>
      <c r="AR805" s="27">
        <f t="shared" si="234"/>
        <v>1.6007081325051208E-2</v>
      </c>
      <c r="AS805" s="27">
        <f t="shared" si="234"/>
        <v>1.6015649873683192E-2</v>
      </c>
      <c r="AT805" s="27">
        <f t="shared" si="234"/>
        <v>1.601945516807891E-2</v>
      </c>
      <c r="AU805" s="27">
        <f t="shared" si="234"/>
        <v>1.602387884909745E-2</v>
      </c>
      <c r="AV805" s="27">
        <f t="shared" si="234"/>
        <v>1.6028641289399778E-2</v>
      </c>
      <c r="AW805" s="27">
        <f t="shared" si="234"/>
        <v>1.6034267352361548E-2</v>
      </c>
      <c r="AY805" s="79"/>
      <c r="AZ805" s="79"/>
    </row>
    <row r="806" spans="1:52" x14ac:dyDescent="0.3">
      <c r="A806" s="95" t="str">
        <f t="shared" si="224"/>
        <v>BD Goats MMN2O</v>
      </c>
      <c r="B806" s="95" t="s">
        <v>1228</v>
      </c>
      <c r="C806" s="95" t="s">
        <v>1329</v>
      </c>
      <c r="D806" t="s">
        <v>15</v>
      </c>
      <c r="E806" t="s">
        <v>657</v>
      </c>
      <c r="F806" t="s">
        <v>19</v>
      </c>
      <c r="G806" t="s">
        <v>123</v>
      </c>
      <c r="H806" t="s">
        <v>1227</v>
      </c>
      <c r="I806" t="s">
        <v>139</v>
      </c>
      <c r="J806" t="s">
        <v>287</v>
      </c>
      <c r="K806" s="27">
        <f t="shared" ref="K806:AW806" si="235">K1420</f>
        <v>0.11484439540301131</v>
      </c>
      <c r="L806" s="27">
        <f t="shared" si="235"/>
        <v>0.11514293539628438</v>
      </c>
      <c r="M806" s="27">
        <f t="shared" si="235"/>
        <v>0.1155547607669731</v>
      </c>
      <c r="N806" s="27">
        <f t="shared" si="235"/>
        <v>0.11605647283191664</v>
      </c>
      <c r="O806" s="27">
        <f t="shared" si="235"/>
        <v>0.11664735601685972</v>
      </c>
      <c r="P806" s="27">
        <f t="shared" si="235"/>
        <v>0.11732381389682567</v>
      </c>
      <c r="Q806" s="27">
        <f t="shared" si="235"/>
        <v>0.11805182815822728</v>
      </c>
      <c r="R806" s="27">
        <f t="shared" si="235"/>
        <v>0.11882851694408277</v>
      </c>
      <c r="S806" s="27">
        <f t="shared" si="235"/>
        <v>0.11953288571269048</v>
      </c>
      <c r="T806" s="27">
        <f t="shared" si="235"/>
        <v>0.11987694225544984</v>
      </c>
      <c r="U806" s="27">
        <f t="shared" si="235"/>
        <v>0.12027130782879383</v>
      </c>
      <c r="V806" s="27">
        <f t="shared" si="235"/>
        <v>0.12067330512172106</v>
      </c>
      <c r="W806" s="27">
        <f t="shared" si="235"/>
        <v>0.12110930138508789</v>
      </c>
      <c r="X806" s="27">
        <f t="shared" si="235"/>
        <v>0.12157857604859369</v>
      </c>
      <c r="Y806" s="27">
        <f t="shared" si="235"/>
        <v>0.12187889131494858</v>
      </c>
      <c r="Z806" s="27">
        <f t="shared" si="235"/>
        <v>0.12220745287296136</v>
      </c>
      <c r="AA806" s="27">
        <f t="shared" si="235"/>
        <v>0.1225604177918853</v>
      </c>
      <c r="AB806" s="27">
        <f t="shared" si="235"/>
        <v>0.12293891946908028</v>
      </c>
      <c r="AC806" s="27">
        <f t="shared" si="235"/>
        <v>0.1233394038452322</v>
      </c>
      <c r="AD806" s="27">
        <f t="shared" si="235"/>
        <v>0.12360648147026812</v>
      </c>
      <c r="AE806" s="27">
        <f t="shared" si="235"/>
        <v>0.12389130386581051</v>
      </c>
      <c r="AF806" s="27">
        <f t="shared" si="235"/>
        <v>0.12419628189993717</v>
      </c>
      <c r="AG806" s="27">
        <f t="shared" si="235"/>
        <v>0.12452451314626521</v>
      </c>
      <c r="AH806" s="27">
        <f t="shared" si="235"/>
        <v>0.12486608139184988</v>
      </c>
      <c r="AI806" s="27">
        <f t="shared" si="235"/>
        <v>0.12507762339447212</v>
      </c>
      <c r="AJ806" s="27">
        <f t="shared" si="235"/>
        <v>0.12530718498404322</v>
      </c>
      <c r="AK806" s="27">
        <f t="shared" si="235"/>
        <v>0.12554678231167932</v>
      </c>
      <c r="AL806" s="27">
        <f t="shared" si="235"/>
        <v>0.12579923776247484</v>
      </c>
      <c r="AM806" s="27">
        <f t="shared" si="235"/>
        <v>0.12606420568996382</v>
      </c>
      <c r="AN806" s="27">
        <f t="shared" si="235"/>
        <v>0.12620896795767253</v>
      </c>
      <c r="AO806" s="27">
        <f t="shared" si="235"/>
        <v>0.1263628498705969</v>
      </c>
      <c r="AP806" s="27">
        <f t="shared" si="235"/>
        <v>0.12652977960616255</v>
      </c>
      <c r="AQ806" s="27">
        <f t="shared" si="235"/>
        <v>0.1267095977389128</v>
      </c>
      <c r="AR806" s="27">
        <f t="shared" si="235"/>
        <v>0.12690232501291954</v>
      </c>
      <c r="AS806" s="27">
        <f t="shared" si="235"/>
        <v>0.12697025549451732</v>
      </c>
      <c r="AT806" s="27">
        <f t="shared" si="235"/>
        <v>0.1270004234368404</v>
      </c>
      <c r="AU806" s="27">
        <f t="shared" si="235"/>
        <v>0.12703549387816376</v>
      </c>
      <c r="AV806" s="27">
        <f t="shared" si="235"/>
        <v>0.12707324996466249</v>
      </c>
      <c r="AW806" s="27">
        <f t="shared" si="235"/>
        <v>0.1271178527536419</v>
      </c>
      <c r="AY806" s="79"/>
      <c r="AZ806" s="79"/>
    </row>
    <row r="807" spans="1:52" x14ac:dyDescent="0.3">
      <c r="A807" s="95" t="str">
        <f t="shared" si="224"/>
        <v>BD Horses MMN2O</v>
      </c>
      <c r="B807" s="95" t="s">
        <v>1228</v>
      </c>
      <c r="C807" s="95" t="s">
        <v>1330</v>
      </c>
      <c r="D807" t="s">
        <v>15</v>
      </c>
      <c r="E807" t="s">
        <v>657</v>
      </c>
      <c r="F807" t="s">
        <v>20</v>
      </c>
      <c r="G807" t="s">
        <v>3</v>
      </c>
      <c r="H807" t="s">
        <v>1227</v>
      </c>
      <c r="I807" t="s">
        <v>139</v>
      </c>
      <c r="J807" t="s">
        <v>287</v>
      </c>
      <c r="K807" s="27" t="str">
        <f t="shared" ref="K807:AW807" si="236">K1421</f>
        <v>NO</v>
      </c>
      <c r="L807" s="27" t="str">
        <f t="shared" si="236"/>
        <v>NO</v>
      </c>
      <c r="M807" s="27" t="str">
        <f t="shared" si="236"/>
        <v>NO</v>
      </c>
      <c r="N807" s="27" t="str">
        <f t="shared" si="236"/>
        <v>NO</v>
      </c>
      <c r="O807" s="27" t="str">
        <f t="shared" si="236"/>
        <v>NO</v>
      </c>
      <c r="P807" s="27" t="str">
        <f t="shared" si="236"/>
        <v>NO</v>
      </c>
      <c r="Q807" s="27" t="str">
        <f t="shared" si="236"/>
        <v>NO</v>
      </c>
      <c r="R807" s="27" t="str">
        <f t="shared" si="236"/>
        <v>NO</v>
      </c>
      <c r="S807" s="27" t="str">
        <f t="shared" si="236"/>
        <v>NO</v>
      </c>
      <c r="T807" s="27" t="str">
        <f t="shared" si="236"/>
        <v>NO</v>
      </c>
      <c r="U807" s="27" t="str">
        <f t="shared" si="236"/>
        <v>NO</v>
      </c>
      <c r="V807" s="27" t="str">
        <f t="shared" si="236"/>
        <v>NO</v>
      </c>
      <c r="W807" s="27" t="str">
        <f t="shared" si="236"/>
        <v>NO</v>
      </c>
      <c r="X807" s="27" t="str">
        <f t="shared" si="236"/>
        <v>NO</v>
      </c>
      <c r="Y807" s="27" t="str">
        <f t="shared" si="236"/>
        <v>NO</v>
      </c>
      <c r="Z807" s="27" t="str">
        <f t="shared" si="236"/>
        <v>NO</v>
      </c>
      <c r="AA807" s="27" t="str">
        <f t="shared" si="236"/>
        <v>NO</v>
      </c>
      <c r="AB807" s="27" t="str">
        <f t="shared" si="236"/>
        <v>NO</v>
      </c>
      <c r="AC807" s="27" t="str">
        <f t="shared" si="236"/>
        <v>NO</v>
      </c>
      <c r="AD807" s="27" t="str">
        <f t="shared" si="236"/>
        <v>NO</v>
      </c>
      <c r="AE807" s="27" t="str">
        <f t="shared" si="236"/>
        <v>NO</v>
      </c>
      <c r="AF807" s="27" t="str">
        <f t="shared" si="236"/>
        <v>NO</v>
      </c>
      <c r="AG807" s="27" t="str">
        <f t="shared" si="236"/>
        <v>NO</v>
      </c>
      <c r="AH807" s="27" t="str">
        <f t="shared" si="236"/>
        <v>NO</v>
      </c>
      <c r="AI807" s="27" t="str">
        <f t="shared" si="236"/>
        <v>NO</v>
      </c>
      <c r="AJ807" s="27" t="str">
        <f t="shared" si="236"/>
        <v>NO</v>
      </c>
      <c r="AK807" s="27" t="str">
        <f t="shared" si="236"/>
        <v>NO</v>
      </c>
      <c r="AL807" s="27" t="str">
        <f t="shared" si="236"/>
        <v>NO</v>
      </c>
      <c r="AM807" s="27" t="str">
        <f t="shared" si="236"/>
        <v>NO</v>
      </c>
      <c r="AN807" s="27" t="str">
        <f t="shared" si="236"/>
        <v>NO</v>
      </c>
      <c r="AO807" s="27" t="str">
        <f t="shared" si="236"/>
        <v>NO</v>
      </c>
      <c r="AP807" s="27" t="str">
        <f t="shared" si="236"/>
        <v>NO</v>
      </c>
      <c r="AQ807" s="27" t="str">
        <f t="shared" si="236"/>
        <v>NO</v>
      </c>
      <c r="AR807" s="27" t="str">
        <f t="shared" si="236"/>
        <v>NO</v>
      </c>
      <c r="AS807" s="27" t="str">
        <f t="shared" si="236"/>
        <v>NO</v>
      </c>
      <c r="AT807" s="27" t="str">
        <f t="shared" si="236"/>
        <v>NO</v>
      </c>
      <c r="AU807" s="27" t="str">
        <f t="shared" si="236"/>
        <v>NO</v>
      </c>
      <c r="AV807" s="27" t="str">
        <f t="shared" si="236"/>
        <v>NO</v>
      </c>
      <c r="AW807" s="27" t="str">
        <f t="shared" si="236"/>
        <v>NO</v>
      </c>
      <c r="AY807" s="79"/>
      <c r="AZ807" s="79"/>
    </row>
    <row r="808" spans="1:52" x14ac:dyDescent="0.3">
      <c r="A808" s="95" t="str">
        <f t="shared" si="224"/>
        <v>BD Mules MMN2O</v>
      </c>
      <c r="B808" s="95" t="s">
        <v>1228</v>
      </c>
      <c r="C808" s="95" t="s">
        <v>1331</v>
      </c>
      <c r="D808" t="s">
        <v>15</v>
      </c>
      <c r="E808" t="s">
        <v>657</v>
      </c>
      <c r="F808" t="s">
        <v>140</v>
      </c>
      <c r="G808" t="s">
        <v>124</v>
      </c>
      <c r="H808" t="s">
        <v>1227</v>
      </c>
      <c r="I808" t="s">
        <v>139</v>
      </c>
      <c r="J808" t="s">
        <v>287</v>
      </c>
      <c r="K808" s="27" t="str">
        <f t="shared" ref="K808:AW808" si="237">K1422</f>
        <v>NO</v>
      </c>
      <c r="L808" s="27" t="str">
        <f t="shared" si="237"/>
        <v>NO</v>
      </c>
      <c r="M808" s="27" t="str">
        <f t="shared" si="237"/>
        <v>NO</v>
      </c>
      <c r="N808" s="27" t="str">
        <f t="shared" si="237"/>
        <v>NO</v>
      </c>
      <c r="O808" s="27" t="str">
        <f t="shared" si="237"/>
        <v>NO</v>
      </c>
      <c r="P808" s="27" t="str">
        <f t="shared" si="237"/>
        <v>NO</v>
      </c>
      <c r="Q808" s="27" t="str">
        <f t="shared" si="237"/>
        <v>NO</v>
      </c>
      <c r="R808" s="27" t="str">
        <f t="shared" si="237"/>
        <v>NO</v>
      </c>
      <c r="S808" s="27" t="str">
        <f t="shared" si="237"/>
        <v>NO</v>
      </c>
      <c r="T808" s="27" t="str">
        <f t="shared" si="237"/>
        <v>NO</v>
      </c>
      <c r="U808" s="27" t="str">
        <f t="shared" si="237"/>
        <v>NO</v>
      </c>
      <c r="V808" s="27" t="str">
        <f t="shared" si="237"/>
        <v>NO</v>
      </c>
      <c r="W808" s="27" t="str">
        <f t="shared" si="237"/>
        <v>NO</v>
      </c>
      <c r="X808" s="27" t="str">
        <f t="shared" si="237"/>
        <v>NO</v>
      </c>
      <c r="Y808" s="27" t="str">
        <f t="shared" si="237"/>
        <v>NO</v>
      </c>
      <c r="Z808" s="27" t="str">
        <f t="shared" si="237"/>
        <v>NO</v>
      </c>
      <c r="AA808" s="27" t="str">
        <f t="shared" si="237"/>
        <v>NO</v>
      </c>
      <c r="AB808" s="27" t="str">
        <f t="shared" si="237"/>
        <v>NO</v>
      </c>
      <c r="AC808" s="27" t="str">
        <f t="shared" si="237"/>
        <v>NO</v>
      </c>
      <c r="AD808" s="27" t="str">
        <f t="shared" si="237"/>
        <v>NO</v>
      </c>
      <c r="AE808" s="27" t="str">
        <f t="shared" si="237"/>
        <v>NO</v>
      </c>
      <c r="AF808" s="27" t="str">
        <f t="shared" si="237"/>
        <v>NO</v>
      </c>
      <c r="AG808" s="27" t="str">
        <f t="shared" si="237"/>
        <v>NO</v>
      </c>
      <c r="AH808" s="27" t="str">
        <f t="shared" si="237"/>
        <v>NO</v>
      </c>
      <c r="AI808" s="27" t="str">
        <f t="shared" si="237"/>
        <v>NO</v>
      </c>
      <c r="AJ808" s="27" t="str">
        <f t="shared" si="237"/>
        <v>NO</v>
      </c>
      <c r="AK808" s="27" t="str">
        <f t="shared" si="237"/>
        <v>NO</v>
      </c>
      <c r="AL808" s="27" t="str">
        <f t="shared" si="237"/>
        <v>NO</v>
      </c>
      <c r="AM808" s="27" t="str">
        <f t="shared" si="237"/>
        <v>NO</v>
      </c>
      <c r="AN808" s="27" t="str">
        <f t="shared" si="237"/>
        <v>NO</v>
      </c>
      <c r="AO808" s="27" t="str">
        <f t="shared" si="237"/>
        <v>NO</v>
      </c>
      <c r="AP808" s="27" t="str">
        <f t="shared" si="237"/>
        <v>NO</v>
      </c>
      <c r="AQ808" s="27" t="str">
        <f t="shared" si="237"/>
        <v>NO</v>
      </c>
      <c r="AR808" s="27" t="str">
        <f t="shared" si="237"/>
        <v>NO</v>
      </c>
      <c r="AS808" s="27" t="str">
        <f t="shared" si="237"/>
        <v>NO</v>
      </c>
      <c r="AT808" s="27" t="str">
        <f t="shared" si="237"/>
        <v>NO</v>
      </c>
      <c r="AU808" s="27" t="str">
        <f t="shared" si="237"/>
        <v>NO</v>
      </c>
      <c r="AV808" s="27" t="str">
        <f t="shared" si="237"/>
        <v>NO</v>
      </c>
      <c r="AW808" s="27" t="str">
        <f t="shared" si="237"/>
        <v>NO</v>
      </c>
      <c r="AY808" s="79"/>
      <c r="AZ808" s="79"/>
    </row>
    <row r="809" spans="1:52" x14ac:dyDescent="0.3">
      <c r="A809" s="95" t="str">
        <f t="shared" si="224"/>
        <v>BD Swine MMN2O</v>
      </c>
      <c r="B809" s="95" t="s">
        <v>1228</v>
      </c>
      <c r="C809" s="95" t="s">
        <v>1233</v>
      </c>
      <c r="D809" t="s">
        <v>15</v>
      </c>
      <c r="E809" t="s">
        <v>657</v>
      </c>
      <c r="F809" t="s">
        <v>21</v>
      </c>
      <c r="G809" t="s">
        <v>122</v>
      </c>
      <c r="H809" t="s">
        <v>1227</v>
      </c>
      <c r="I809" t="s">
        <v>139</v>
      </c>
      <c r="J809" t="s">
        <v>287</v>
      </c>
      <c r="K809" s="27">
        <f t="shared" ref="K809:AW809" si="238">K1423</f>
        <v>9.7466979224281824E-2</v>
      </c>
      <c r="L809" s="27">
        <f t="shared" si="238"/>
        <v>9.6937181363551506E-2</v>
      </c>
      <c r="M809" s="27">
        <f t="shared" si="238"/>
        <v>9.6980665528366608E-2</v>
      </c>
      <c r="N809" s="27">
        <f t="shared" si="238"/>
        <v>9.6090308702663593E-2</v>
      </c>
      <c r="O809" s="27">
        <f t="shared" si="238"/>
        <v>9.4636150647850484E-2</v>
      </c>
      <c r="P809" s="27">
        <f t="shared" si="238"/>
        <v>9.2641437622218326E-2</v>
      </c>
      <c r="Q809" s="27">
        <f t="shared" si="238"/>
        <v>9.1193054757597189E-2</v>
      </c>
      <c r="R809" s="27">
        <f t="shared" si="238"/>
        <v>8.9872834352323558E-2</v>
      </c>
      <c r="S809" s="27">
        <f t="shared" si="238"/>
        <v>7.9353210388908066E-2</v>
      </c>
      <c r="T809" s="27">
        <f t="shared" si="238"/>
        <v>8.0356685470718767E-2</v>
      </c>
      <c r="U809" s="27">
        <f t="shared" si="238"/>
        <v>8.2509946009160923E-2</v>
      </c>
      <c r="V809" s="27">
        <f t="shared" si="238"/>
        <v>8.2705450879572748E-2</v>
      </c>
      <c r="W809" s="27">
        <f t="shared" si="238"/>
        <v>8.3128827539525094E-2</v>
      </c>
      <c r="X809" s="27">
        <f t="shared" si="238"/>
        <v>8.3840672628701915E-2</v>
      </c>
      <c r="Y809" s="27">
        <f t="shared" si="238"/>
        <v>8.4733895932113168E-2</v>
      </c>
      <c r="Z809" s="27">
        <f t="shared" si="238"/>
        <v>8.5828465366834875E-2</v>
      </c>
      <c r="AA809" s="27">
        <f t="shared" si="238"/>
        <v>8.6935834694674932E-2</v>
      </c>
      <c r="AB809" s="27">
        <f t="shared" si="238"/>
        <v>8.8214344657231616E-2</v>
      </c>
      <c r="AC809" s="27">
        <f t="shared" si="238"/>
        <v>8.9484030373768036E-2</v>
      </c>
      <c r="AD809" s="27">
        <f t="shared" si="238"/>
        <v>9.1062581228130657E-2</v>
      </c>
      <c r="AE809" s="27">
        <f t="shared" si="238"/>
        <v>9.2515752583830088E-2</v>
      </c>
      <c r="AF809" s="27">
        <f t="shared" si="238"/>
        <v>9.4062043086931529E-2</v>
      </c>
      <c r="AG809" s="27">
        <f t="shared" si="238"/>
        <v>9.5948315776645976E-2</v>
      </c>
      <c r="AH809" s="27">
        <f t="shared" si="238"/>
        <v>9.7568003997154984E-2</v>
      </c>
      <c r="AI809" s="27">
        <f t="shared" si="238"/>
        <v>9.931620819342124E-2</v>
      </c>
      <c r="AJ809" s="27">
        <f t="shared" si="238"/>
        <v>0.10121358762042433</v>
      </c>
      <c r="AK809" s="27">
        <f t="shared" si="238"/>
        <v>0.10279643211588628</v>
      </c>
      <c r="AL809" s="27">
        <f t="shared" si="238"/>
        <v>0.10428080048635653</v>
      </c>
      <c r="AM809" s="27">
        <f t="shared" si="238"/>
        <v>0.10567866446887142</v>
      </c>
      <c r="AN809" s="27">
        <f t="shared" si="238"/>
        <v>0.10729272325925118</v>
      </c>
      <c r="AO809" s="27">
        <f t="shared" si="238"/>
        <v>0.10869271119263345</v>
      </c>
      <c r="AP809" s="27">
        <f t="shared" si="238"/>
        <v>0.110137854380135</v>
      </c>
      <c r="AQ809" s="27">
        <f t="shared" si="238"/>
        <v>0.1116390532050176</v>
      </c>
      <c r="AR809" s="27">
        <f t="shared" si="238"/>
        <v>0.11321509141175116</v>
      </c>
      <c r="AS809" s="27">
        <f t="shared" si="238"/>
        <v>0.114870036037916</v>
      </c>
      <c r="AT809" s="27">
        <f t="shared" si="238"/>
        <v>0.11386297950526468</v>
      </c>
      <c r="AU809" s="27">
        <f t="shared" si="238"/>
        <v>0.11262319660921266</v>
      </c>
      <c r="AV809" s="27">
        <f t="shared" si="238"/>
        <v>0.11105880605518059</v>
      </c>
      <c r="AW809" s="27">
        <f t="shared" si="238"/>
        <v>0.1094176927215173</v>
      </c>
      <c r="AY809" s="79"/>
      <c r="AZ809" s="79"/>
    </row>
    <row r="810" spans="1:52" x14ac:dyDescent="0.3">
      <c r="A810" s="95" t="str">
        <f t="shared" si="224"/>
        <v>BD Swine MMN2O</v>
      </c>
      <c r="B810" s="95" t="s">
        <v>1228</v>
      </c>
      <c r="C810" s="95" t="s">
        <v>1233</v>
      </c>
      <c r="D810" t="s">
        <v>15</v>
      </c>
      <c r="E810" t="s">
        <v>657</v>
      </c>
      <c r="F810" t="s">
        <v>21</v>
      </c>
      <c r="G810" t="s">
        <v>123</v>
      </c>
      <c r="H810" t="s">
        <v>1227</v>
      </c>
      <c r="I810" t="s">
        <v>139</v>
      </c>
      <c r="J810" t="s">
        <v>287</v>
      </c>
      <c r="K810" s="27">
        <f t="shared" ref="K810:AW810" si="239">K1424</f>
        <v>3.8131055665722169E-2</v>
      </c>
      <c r="L810" s="27">
        <f t="shared" si="239"/>
        <v>3.7923788015899962E-2</v>
      </c>
      <c r="M810" s="27">
        <f t="shared" si="239"/>
        <v>3.7940799901590251E-2</v>
      </c>
      <c r="N810" s="27">
        <f t="shared" si="239"/>
        <v>3.759247428451009E-2</v>
      </c>
      <c r="O810" s="27">
        <f t="shared" si="239"/>
        <v>3.7023578211438569E-2</v>
      </c>
      <c r="P810" s="27">
        <f t="shared" si="239"/>
        <v>3.6243206089281201E-2</v>
      </c>
      <c r="Q810" s="27">
        <f t="shared" si="239"/>
        <v>3.567656938754183E-2</v>
      </c>
      <c r="R810" s="27">
        <f t="shared" si="239"/>
        <v>3.5160072434777256E-2</v>
      </c>
      <c r="S810" s="27">
        <f t="shared" si="239"/>
        <v>3.1044582551701744E-2</v>
      </c>
      <c r="T810" s="27">
        <f t="shared" si="239"/>
        <v>3.1437162320852502E-2</v>
      </c>
      <c r="U810" s="27">
        <f t="shared" si="239"/>
        <v>3.2279561440098872E-2</v>
      </c>
      <c r="V810" s="27">
        <f t="shared" si="239"/>
        <v>3.2356046903749484E-2</v>
      </c>
      <c r="W810" s="27">
        <f t="shared" si="239"/>
        <v>3.2521680425139969E-2</v>
      </c>
      <c r="X810" s="27">
        <f t="shared" si="239"/>
        <v>3.2800168636601942E-2</v>
      </c>
      <c r="Y810" s="27">
        <f t="shared" si="239"/>
        <v>3.314961567779854E-2</v>
      </c>
      <c r="Z810" s="27">
        <f t="shared" si="239"/>
        <v>3.3577833402176044E-2</v>
      </c>
      <c r="AA810" s="27">
        <f t="shared" si="239"/>
        <v>3.4011058703898145E-2</v>
      </c>
      <c r="AB810" s="27">
        <f t="shared" si="239"/>
        <v>3.4511237686969419E-2</v>
      </c>
      <c r="AC810" s="27">
        <f t="shared" si="239"/>
        <v>3.5007964446334923E-2</v>
      </c>
      <c r="AD810" s="27">
        <f t="shared" si="239"/>
        <v>3.5625525501144749E-2</v>
      </c>
      <c r="AE810" s="27">
        <f t="shared" si="239"/>
        <v>3.6194035557545495E-2</v>
      </c>
      <c r="AF810" s="27">
        <f t="shared" si="239"/>
        <v>3.6798975709773488E-2</v>
      </c>
      <c r="AG810" s="27">
        <f t="shared" si="239"/>
        <v>3.7536923776951441E-2</v>
      </c>
      <c r="AH810" s="27">
        <f t="shared" si="239"/>
        <v>3.817057860229723E-2</v>
      </c>
      <c r="AI810" s="27">
        <f t="shared" si="239"/>
        <v>3.8854511479394858E-2</v>
      </c>
      <c r="AJ810" s="27">
        <f t="shared" si="239"/>
        <v>3.9596804727075885E-2</v>
      </c>
      <c r="AK810" s="27">
        <f t="shared" si="239"/>
        <v>4.0216045541216196E-2</v>
      </c>
      <c r="AL810" s="27">
        <f t="shared" si="239"/>
        <v>4.0796760501434604E-2</v>
      </c>
      <c r="AM810" s="27">
        <f t="shared" si="239"/>
        <v>4.1343633193648956E-2</v>
      </c>
      <c r="AN810" s="27">
        <f t="shared" si="239"/>
        <v>4.1975085671950317E-2</v>
      </c>
      <c r="AO810" s="27">
        <f t="shared" si="239"/>
        <v>4.252278929674716E-2</v>
      </c>
      <c r="AP810" s="27">
        <f t="shared" si="239"/>
        <v>4.3088158571204301E-2</v>
      </c>
      <c r="AQ810" s="27">
        <f t="shared" si="239"/>
        <v>4.3675457945951471E-2</v>
      </c>
      <c r="AR810" s="27">
        <f t="shared" si="239"/>
        <v>4.4292036002135757E-2</v>
      </c>
      <c r="AS810" s="27">
        <f t="shared" si="239"/>
        <v>4.4939483847203046E-2</v>
      </c>
      <c r="AT810" s="27">
        <f t="shared" si="239"/>
        <v>4.4545502941970565E-2</v>
      </c>
      <c r="AU810" s="27">
        <f t="shared" si="239"/>
        <v>4.4060474771414608E-2</v>
      </c>
      <c r="AV810" s="27">
        <f t="shared" si="239"/>
        <v>4.3448453512794687E-2</v>
      </c>
      <c r="AW810" s="27">
        <f t="shared" si="239"/>
        <v>4.2806416749393235E-2</v>
      </c>
      <c r="AY810" s="79"/>
      <c r="AZ810" s="79"/>
    </row>
    <row r="811" spans="1:52" x14ac:dyDescent="0.3">
      <c r="A811" s="95" t="str">
        <f t="shared" si="224"/>
        <v>BD Poultry MMN2O</v>
      </c>
      <c r="B811" s="95" t="s">
        <v>1228</v>
      </c>
      <c r="C811" s="95" t="s">
        <v>1234</v>
      </c>
      <c r="D811" t="s">
        <v>15</v>
      </c>
      <c r="E811" t="s">
        <v>657</v>
      </c>
      <c r="F811" t="s">
        <v>28</v>
      </c>
      <c r="G811" t="s">
        <v>131</v>
      </c>
      <c r="H811" t="s">
        <v>1227</v>
      </c>
      <c r="I811" t="s">
        <v>139</v>
      </c>
      <c r="J811" t="s">
        <v>287</v>
      </c>
      <c r="K811" s="27">
        <f t="shared" ref="K811:AW811" si="240">K1425</f>
        <v>0.32784224726088984</v>
      </c>
      <c r="L811" s="27">
        <f t="shared" si="240"/>
        <v>0.33450793008613733</v>
      </c>
      <c r="M811" s="27">
        <f t="shared" si="240"/>
        <v>0.34229948156355033</v>
      </c>
      <c r="N811" s="27">
        <f t="shared" si="240"/>
        <v>0.34828124731402299</v>
      </c>
      <c r="O811" s="27">
        <f t="shared" si="240"/>
        <v>0.35308310351311478</v>
      </c>
      <c r="P811" s="27">
        <f t="shared" si="240"/>
        <v>0.3566764932045714</v>
      </c>
      <c r="Q811" s="27">
        <f t="shared" si="240"/>
        <v>0.36128421068096001</v>
      </c>
      <c r="R811" s="27">
        <f t="shared" si="240"/>
        <v>0.36607496135357964</v>
      </c>
      <c r="S811" s="27">
        <f t="shared" si="240"/>
        <v>0.34978148195901088</v>
      </c>
      <c r="T811" s="27">
        <f t="shared" si="240"/>
        <v>0.35848748777612982</v>
      </c>
      <c r="U811" s="27">
        <f t="shared" si="240"/>
        <v>0.37008968221816879</v>
      </c>
      <c r="V811" s="27">
        <f t="shared" si="240"/>
        <v>0.37718532914997255</v>
      </c>
      <c r="W811" s="27">
        <f t="shared" si="240"/>
        <v>0.38492114207778078</v>
      </c>
      <c r="X811" s="27">
        <f t="shared" si="240"/>
        <v>0.39349286127913036</v>
      </c>
      <c r="Y811" s="27">
        <f t="shared" si="240"/>
        <v>0.40234632670513226</v>
      </c>
      <c r="Z811" s="27">
        <f t="shared" si="240"/>
        <v>0.41188861015823597</v>
      </c>
      <c r="AA811" s="27">
        <f t="shared" si="240"/>
        <v>0.42164548581932815</v>
      </c>
      <c r="AB811" s="27">
        <f t="shared" si="240"/>
        <v>0.43206316644832626</v>
      </c>
      <c r="AC811" s="27">
        <f t="shared" si="240"/>
        <v>0.44266638237250944</v>
      </c>
      <c r="AD811" s="27">
        <f t="shared" si="240"/>
        <v>0.45410654796286065</v>
      </c>
      <c r="AE811" s="27">
        <f t="shared" si="240"/>
        <v>0.46542858130344616</v>
      </c>
      <c r="AF811" s="27">
        <f t="shared" si="240"/>
        <v>0.4772730257801403</v>
      </c>
      <c r="AG811" s="27">
        <f t="shared" si="240"/>
        <v>0.49041871120833058</v>
      </c>
      <c r="AH811" s="27">
        <f t="shared" si="240"/>
        <v>0.50303895207575822</v>
      </c>
      <c r="AI811" s="27">
        <f t="shared" si="240"/>
        <v>0.51609032389809528</v>
      </c>
      <c r="AJ811" s="27">
        <f t="shared" si="240"/>
        <v>0.52992686464312622</v>
      </c>
      <c r="AK811" s="27">
        <f t="shared" si="240"/>
        <v>0.54305058530896999</v>
      </c>
      <c r="AL811" s="27">
        <f t="shared" si="240"/>
        <v>0.55613853749065978</v>
      </c>
      <c r="AM811" s="27">
        <f t="shared" si="240"/>
        <v>0.56922083138232038</v>
      </c>
      <c r="AN811" s="27">
        <f t="shared" si="240"/>
        <v>0.58310052249970834</v>
      </c>
      <c r="AO811" s="27">
        <f t="shared" si="240"/>
        <v>0.59653826788660902</v>
      </c>
      <c r="AP811" s="27">
        <f t="shared" si="240"/>
        <v>0.61044136643017999</v>
      </c>
      <c r="AQ811" s="27">
        <f t="shared" si="240"/>
        <v>0.62486785679849377</v>
      </c>
      <c r="AR811" s="27">
        <f t="shared" si="240"/>
        <v>0.6399091004524019</v>
      </c>
      <c r="AS811" s="27">
        <f t="shared" si="240"/>
        <v>0.65535203493771454</v>
      </c>
      <c r="AT811" s="27">
        <f t="shared" si="240"/>
        <v>0.66076114760241544</v>
      </c>
      <c r="AU811" s="27">
        <f t="shared" si="240"/>
        <v>0.6652412101856594</v>
      </c>
      <c r="AV811" s="27">
        <f t="shared" si="240"/>
        <v>0.66836980562393489</v>
      </c>
      <c r="AW811" s="27">
        <f t="shared" si="240"/>
        <v>0.67109822940167552</v>
      </c>
      <c r="AY811" s="79"/>
      <c r="AZ811" s="79"/>
    </row>
    <row r="812" spans="1:52" x14ac:dyDescent="0.3">
      <c r="A812" s="95" t="str">
        <f t="shared" si="224"/>
        <v>BD Poultry MMN2O</v>
      </c>
      <c r="B812" s="95" t="s">
        <v>1228</v>
      </c>
      <c r="C812" s="95" t="s">
        <v>1234</v>
      </c>
      <c r="D812" t="s">
        <v>15</v>
      </c>
      <c r="E812" t="s">
        <v>657</v>
      </c>
      <c r="F812" t="s">
        <v>28</v>
      </c>
      <c r="G812" t="s">
        <v>132</v>
      </c>
      <c r="H812" t="s">
        <v>1227</v>
      </c>
      <c r="I812" t="s">
        <v>139</v>
      </c>
      <c r="J812" t="s">
        <v>287</v>
      </c>
      <c r="K812" s="27">
        <f t="shared" ref="K812:AW812" si="241">K1426</f>
        <v>1.7017151675634961</v>
      </c>
      <c r="L812" s="27">
        <f t="shared" si="241"/>
        <v>1.7241237147327637</v>
      </c>
      <c r="M812" s="27">
        <f t="shared" si="241"/>
        <v>1.7601182693498112</v>
      </c>
      <c r="N812" s="27">
        <f t="shared" si="241"/>
        <v>1.7704533576020511</v>
      </c>
      <c r="O812" s="27">
        <f t="shared" si="241"/>
        <v>1.7641159598844758</v>
      </c>
      <c r="P812" s="27">
        <f t="shared" si="241"/>
        <v>1.7411735022142167</v>
      </c>
      <c r="Q812" s="27">
        <f t="shared" si="241"/>
        <v>1.7315152516158574</v>
      </c>
      <c r="R812" s="27">
        <f t="shared" si="241"/>
        <v>1.7240481490859689</v>
      </c>
      <c r="S812" s="27">
        <f t="shared" si="241"/>
        <v>1.4532830978859241</v>
      </c>
      <c r="T812" s="27">
        <f t="shared" si="241"/>
        <v>1.5108401757769072</v>
      </c>
      <c r="U812" s="27">
        <f t="shared" si="241"/>
        <v>1.6026975713108973</v>
      </c>
      <c r="V812" s="27">
        <f t="shared" si="241"/>
        <v>1.6381096535545392</v>
      </c>
      <c r="W812" s="27">
        <f t="shared" si="241"/>
        <v>1.6804870298806631</v>
      </c>
      <c r="X812" s="27">
        <f t="shared" si="241"/>
        <v>1.7319826837322108</v>
      </c>
      <c r="Y812" s="27">
        <f t="shared" si="241"/>
        <v>1.7911150071638293</v>
      </c>
      <c r="Z812" s="27">
        <f t="shared" si="241"/>
        <v>1.8573343362727066</v>
      </c>
      <c r="AA812" s="27">
        <f t="shared" si="241"/>
        <v>1.9249598687101048</v>
      </c>
      <c r="AB812" s="27">
        <f t="shared" si="241"/>
        <v>1.9991243799858327</v>
      </c>
      <c r="AC812" s="27">
        <f t="shared" si="241"/>
        <v>2.0742398218726938</v>
      </c>
      <c r="AD812" s="27">
        <f t="shared" si="241"/>
        <v>2.1619281930421144</v>
      </c>
      <c r="AE812" s="27">
        <f t="shared" si="241"/>
        <v>2.2470253789888299</v>
      </c>
      <c r="AF812" s="27">
        <f t="shared" si="241"/>
        <v>2.3367898663962117</v>
      </c>
      <c r="AG812" s="27">
        <f t="shared" si="241"/>
        <v>2.4398215935835355</v>
      </c>
      <c r="AH812" s="27">
        <f t="shared" si="241"/>
        <v>2.5356369121252129</v>
      </c>
      <c r="AI812" s="27">
        <f t="shared" si="241"/>
        <v>2.6388473537770931</v>
      </c>
      <c r="AJ812" s="27">
        <f t="shared" si="241"/>
        <v>2.7493497662491455</v>
      </c>
      <c r="AK812" s="27">
        <f t="shared" si="241"/>
        <v>2.8507479876559225</v>
      </c>
      <c r="AL812" s="27">
        <f t="shared" si="241"/>
        <v>2.9505347719846347</v>
      </c>
      <c r="AM812" s="27">
        <f t="shared" si="241"/>
        <v>3.0490743865158891</v>
      </c>
      <c r="AN812" s="27">
        <f t="shared" si="241"/>
        <v>3.1585813861709466</v>
      </c>
      <c r="AO812" s="27">
        <f t="shared" si="241"/>
        <v>3.2621852632226234</v>
      </c>
      <c r="AP812" s="27">
        <f t="shared" si="241"/>
        <v>3.3695643404472522</v>
      </c>
      <c r="AQ812" s="27">
        <f t="shared" si="241"/>
        <v>3.4812725080530544</v>
      </c>
      <c r="AR812" s="27">
        <f t="shared" si="241"/>
        <v>3.5981993154978791</v>
      </c>
      <c r="AS812" s="27">
        <f t="shared" si="241"/>
        <v>3.7216722091838785</v>
      </c>
      <c r="AT812" s="27">
        <f t="shared" si="241"/>
        <v>3.7404703249321303</v>
      </c>
      <c r="AU812" s="27">
        <f t="shared" si="241"/>
        <v>3.749641300046322</v>
      </c>
      <c r="AV812" s="27">
        <f t="shared" si="241"/>
        <v>3.7450255667820502</v>
      </c>
      <c r="AW812" s="27">
        <f t="shared" si="241"/>
        <v>3.7364851229908305</v>
      </c>
      <c r="AY812" s="79"/>
      <c r="AZ812" s="79"/>
    </row>
    <row r="813" spans="1:52" x14ac:dyDescent="0.3">
      <c r="A813" s="95" t="str">
        <f t="shared" si="224"/>
        <v>BD Poultry MMN2O</v>
      </c>
      <c r="B813" s="95" t="s">
        <v>1228</v>
      </c>
      <c r="C813" s="95" t="s">
        <v>1234</v>
      </c>
      <c r="D813" t="s">
        <v>15</v>
      </c>
      <c r="E813" t="s">
        <v>657</v>
      </c>
      <c r="F813" t="s">
        <v>28</v>
      </c>
      <c r="G813" t="s">
        <v>134</v>
      </c>
      <c r="H813" t="s">
        <v>1227</v>
      </c>
      <c r="I813" t="s">
        <v>139</v>
      </c>
      <c r="J813" t="s">
        <v>287</v>
      </c>
      <c r="K813" s="27">
        <f t="shared" ref="K813:AW813" si="242">K1427</f>
        <v>1.3660093635870424E-2</v>
      </c>
      <c r="L813" s="27">
        <f t="shared" si="242"/>
        <v>1.3937830420255735E-2</v>
      </c>
      <c r="M813" s="27">
        <f t="shared" si="242"/>
        <v>1.4262478398481276E-2</v>
      </c>
      <c r="N813" s="27">
        <f t="shared" si="242"/>
        <v>1.4511718638084306E-2</v>
      </c>
      <c r="O813" s="27">
        <f t="shared" si="242"/>
        <v>1.4711795979713132E-2</v>
      </c>
      <c r="P813" s="27">
        <f t="shared" si="242"/>
        <v>1.4861520550190493E-2</v>
      </c>
      <c r="Q813" s="27">
        <f t="shared" si="242"/>
        <v>1.5053508778373347E-2</v>
      </c>
      <c r="R813" s="27">
        <f t="shared" si="242"/>
        <v>1.5253123389732504E-2</v>
      </c>
      <c r="S813" s="27">
        <f t="shared" si="242"/>
        <v>1.45742284149588E-2</v>
      </c>
      <c r="T813" s="27">
        <f t="shared" si="242"/>
        <v>1.4936978657338758E-2</v>
      </c>
      <c r="U813" s="27">
        <f t="shared" si="242"/>
        <v>1.5420403425757045E-2</v>
      </c>
      <c r="V813" s="27">
        <f t="shared" si="242"/>
        <v>1.5716055381248869E-2</v>
      </c>
      <c r="W813" s="27">
        <f t="shared" si="242"/>
        <v>1.6038380919907547E-2</v>
      </c>
      <c r="X813" s="27">
        <f t="shared" si="242"/>
        <v>1.6395535886630449E-2</v>
      </c>
      <c r="Y813" s="27">
        <f t="shared" si="242"/>
        <v>1.6764430279380526E-2</v>
      </c>
      <c r="Z813" s="27">
        <f t="shared" si="242"/>
        <v>1.7162025423259852E-2</v>
      </c>
      <c r="AA813" s="27">
        <f t="shared" si="242"/>
        <v>1.7568561909138691E-2</v>
      </c>
      <c r="AB813" s="27">
        <f t="shared" si="242"/>
        <v>1.8002631935346944E-2</v>
      </c>
      <c r="AC813" s="27">
        <f t="shared" si="242"/>
        <v>1.8444432598854574E-2</v>
      </c>
      <c r="AD813" s="27">
        <f t="shared" si="242"/>
        <v>1.8921106165119213E-2</v>
      </c>
      <c r="AE813" s="27">
        <f t="shared" si="242"/>
        <v>1.9392857554310274E-2</v>
      </c>
      <c r="AF813" s="27">
        <f t="shared" si="242"/>
        <v>1.988637607417253E-2</v>
      </c>
      <c r="AG813" s="27">
        <f t="shared" si="242"/>
        <v>2.0434112967013793E-2</v>
      </c>
      <c r="AH813" s="27">
        <f t="shared" si="242"/>
        <v>2.0959956336489938E-2</v>
      </c>
      <c r="AI813" s="27">
        <f t="shared" si="242"/>
        <v>2.1503763495753996E-2</v>
      </c>
      <c r="AJ813" s="27">
        <f t="shared" si="242"/>
        <v>2.2080286026796948E-2</v>
      </c>
      <c r="AK813" s="27">
        <f t="shared" si="242"/>
        <v>2.2627107721207101E-2</v>
      </c>
      <c r="AL813" s="27">
        <f t="shared" si="242"/>
        <v>2.3172439062110847E-2</v>
      </c>
      <c r="AM813" s="27">
        <f t="shared" si="242"/>
        <v>2.371753464093004E-2</v>
      </c>
      <c r="AN813" s="27">
        <f t="shared" si="242"/>
        <v>2.4295855104154534E-2</v>
      </c>
      <c r="AO813" s="27">
        <f t="shared" si="242"/>
        <v>2.4855761161942075E-2</v>
      </c>
      <c r="AP813" s="27">
        <f t="shared" si="242"/>
        <v>2.5435056934590854E-2</v>
      </c>
      <c r="AQ813" s="27">
        <f t="shared" si="242"/>
        <v>2.6036160699937267E-2</v>
      </c>
      <c r="AR813" s="27">
        <f t="shared" si="242"/>
        <v>2.6662879185516769E-2</v>
      </c>
      <c r="AS813" s="27">
        <f t="shared" si="242"/>
        <v>2.7306334789071466E-2</v>
      </c>
      <c r="AT813" s="27">
        <f t="shared" si="242"/>
        <v>2.7531714483434007E-2</v>
      </c>
      <c r="AU813" s="27">
        <f t="shared" si="242"/>
        <v>2.7718383757735835E-2</v>
      </c>
      <c r="AV813" s="27">
        <f t="shared" si="242"/>
        <v>2.7848741900997311E-2</v>
      </c>
      <c r="AW813" s="27">
        <f t="shared" si="242"/>
        <v>2.7962426225069836E-2</v>
      </c>
      <c r="AY813" s="79"/>
      <c r="AZ813" s="79"/>
    </row>
    <row r="814" spans="1:52" x14ac:dyDescent="0.3">
      <c r="A814" s="95" t="str">
        <f t="shared" si="224"/>
        <v>BD Poultry MMN2O</v>
      </c>
      <c r="B814" s="95" t="s">
        <v>1228</v>
      </c>
      <c r="C814" s="95" t="s">
        <v>1234</v>
      </c>
      <c r="D814" t="s">
        <v>15</v>
      </c>
      <c r="E814" t="s">
        <v>657</v>
      </c>
      <c r="F814" t="s">
        <v>28</v>
      </c>
      <c r="G814" t="s">
        <v>133</v>
      </c>
      <c r="H814" t="s">
        <v>1227</v>
      </c>
      <c r="I814" t="s">
        <v>139</v>
      </c>
      <c r="J814" t="s">
        <v>287</v>
      </c>
      <c r="K814" s="27">
        <f t="shared" ref="K814:AW814" si="243">K1428</f>
        <v>7.0904798648479067E-2</v>
      </c>
      <c r="L814" s="27">
        <f t="shared" si="243"/>
        <v>7.1838488113865229E-2</v>
      </c>
      <c r="M814" s="27">
        <f t="shared" si="243"/>
        <v>7.333826122290886E-2</v>
      </c>
      <c r="N814" s="27">
        <f t="shared" si="243"/>
        <v>7.3768889900085552E-2</v>
      </c>
      <c r="O814" s="27">
        <f t="shared" si="243"/>
        <v>7.3504831661853232E-2</v>
      </c>
      <c r="P814" s="27">
        <f t="shared" si="243"/>
        <v>7.2548895925592424E-2</v>
      </c>
      <c r="Q814" s="27">
        <f t="shared" si="243"/>
        <v>7.2146468817327461E-2</v>
      </c>
      <c r="R814" s="27">
        <f t="shared" si="243"/>
        <v>7.1835339545248775E-2</v>
      </c>
      <c r="S814" s="27">
        <f t="shared" si="243"/>
        <v>6.0553462411913554E-2</v>
      </c>
      <c r="T814" s="27">
        <f t="shared" si="243"/>
        <v>6.2951673990704532E-2</v>
      </c>
      <c r="U814" s="27">
        <f t="shared" si="243"/>
        <v>6.6779065471287438E-2</v>
      </c>
      <c r="V814" s="27">
        <f t="shared" si="243"/>
        <v>6.8254568898105869E-2</v>
      </c>
      <c r="W814" s="27">
        <f t="shared" si="243"/>
        <v>7.0020292911694371E-2</v>
      </c>
      <c r="X814" s="27">
        <f t="shared" si="243"/>
        <v>7.2165945155508851E-2</v>
      </c>
      <c r="Y814" s="27">
        <f t="shared" si="243"/>
        <v>7.4629791965159634E-2</v>
      </c>
      <c r="Z814" s="27">
        <f t="shared" si="243"/>
        <v>7.738893067802953E-2</v>
      </c>
      <c r="AA814" s="27">
        <f t="shared" si="243"/>
        <v>8.0206661196254428E-2</v>
      </c>
      <c r="AB814" s="27">
        <f t="shared" si="243"/>
        <v>8.3296849166076437E-2</v>
      </c>
      <c r="AC814" s="27">
        <f t="shared" si="243"/>
        <v>8.6426659244695656E-2</v>
      </c>
      <c r="AD814" s="27">
        <f t="shared" si="243"/>
        <v>9.0080341376754844E-2</v>
      </c>
      <c r="AE814" s="27">
        <f t="shared" si="243"/>
        <v>9.3626057457867992E-2</v>
      </c>
      <c r="AF814" s="27">
        <f t="shared" si="243"/>
        <v>9.7366244433175556E-2</v>
      </c>
      <c r="AG814" s="27">
        <f t="shared" si="243"/>
        <v>0.10165923306598072</v>
      </c>
      <c r="AH814" s="27">
        <f t="shared" si="243"/>
        <v>0.10565153800521729</v>
      </c>
      <c r="AI814" s="27">
        <f t="shared" si="243"/>
        <v>0.10995197307404567</v>
      </c>
      <c r="AJ814" s="27">
        <f t="shared" si="243"/>
        <v>0.11455624026038116</v>
      </c>
      <c r="AK814" s="27">
        <f t="shared" si="243"/>
        <v>0.11878116615233021</v>
      </c>
      <c r="AL814" s="27">
        <f t="shared" si="243"/>
        <v>0.12293894883269324</v>
      </c>
      <c r="AM814" s="27">
        <f t="shared" si="243"/>
        <v>0.12704476610482884</v>
      </c>
      <c r="AN814" s="27">
        <f t="shared" si="243"/>
        <v>0.13160755775712291</v>
      </c>
      <c r="AO814" s="27">
        <f t="shared" si="243"/>
        <v>0.13592438596760945</v>
      </c>
      <c r="AP814" s="27">
        <f t="shared" si="243"/>
        <v>0.14039851418530233</v>
      </c>
      <c r="AQ814" s="27">
        <f t="shared" si="243"/>
        <v>0.14505302116887739</v>
      </c>
      <c r="AR814" s="27">
        <f t="shared" si="243"/>
        <v>0.14992497147907843</v>
      </c>
      <c r="AS814" s="27">
        <f t="shared" si="243"/>
        <v>0.15506967538266181</v>
      </c>
      <c r="AT814" s="27">
        <f t="shared" si="243"/>
        <v>0.15585293020550561</v>
      </c>
      <c r="AU814" s="27">
        <f t="shared" si="243"/>
        <v>0.1562350541685969</v>
      </c>
      <c r="AV814" s="27">
        <f t="shared" si="243"/>
        <v>0.15604273194925225</v>
      </c>
      <c r="AW814" s="27">
        <f t="shared" si="243"/>
        <v>0.15568688012461812</v>
      </c>
      <c r="AY814" s="79"/>
      <c r="AZ814" s="79"/>
    </row>
    <row r="815" spans="1:52" x14ac:dyDescent="0.3">
      <c r="A815" s="95" t="str">
        <f t="shared" si="224"/>
        <v>BD Synthetic</v>
      </c>
      <c r="B815" s="95" t="s">
        <v>1228</v>
      </c>
      <c r="C815" s="95" t="s">
        <v>1126</v>
      </c>
      <c r="D815" t="s">
        <v>369</v>
      </c>
      <c r="E815" t="s">
        <v>55</v>
      </c>
      <c r="H815" t="s">
        <v>419</v>
      </c>
      <c r="I815" t="s">
        <v>139</v>
      </c>
      <c r="J815" t="s">
        <v>287</v>
      </c>
      <c r="K815" s="27">
        <f>K1463</f>
        <v>6.6064812063358538</v>
      </c>
      <c r="L815" s="27">
        <f t="shared" ref="L815:AW822" si="244">L1463</f>
        <v>6.6058242184852958</v>
      </c>
      <c r="M815" s="27">
        <f t="shared" si="244"/>
        <v>6.6046196765835479</v>
      </c>
      <c r="N815" s="27">
        <f t="shared" si="244"/>
        <v>6.6031799495417181</v>
      </c>
      <c r="O815" s="27">
        <f t="shared" si="244"/>
        <v>6.6022073532502725</v>
      </c>
      <c r="P815" s="27">
        <f t="shared" si="244"/>
        <v>6.6015380384919204</v>
      </c>
      <c r="Q815" s="27">
        <f t="shared" si="244"/>
        <v>6.6011715236312982</v>
      </c>
      <c r="R815" s="27">
        <f t="shared" si="244"/>
        <v>6.6005785698707236</v>
      </c>
      <c r="S815" s="27">
        <f t="shared" si="244"/>
        <v>6.599955716072432</v>
      </c>
      <c r="T815" s="27">
        <f t="shared" si="244"/>
        <v>6.6042852126323481</v>
      </c>
      <c r="U815" s="27">
        <f t="shared" si="244"/>
        <v>6.6025684208058211</v>
      </c>
      <c r="V815" s="27">
        <f t="shared" si="244"/>
        <v>6.6002252909433183</v>
      </c>
      <c r="W815" s="27">
        <f t="shared" si="244"/>
        <v>6.598966168189885</v>
      </c>
      <c r="X815" s="27">
        <f t="shared" si="244"/>
        <v>6.597589047711292</v>
      </c>
      <c r="Y815" s="27">
        <f t="shared" si="244"/>
        <v>6.5960579609281904</v>
      </c>
      <c r="Z815" s="27">
        <f t="shared" si="244"/>
        <v>6.5944507555305236</v>
      </c>
      <c r="AA815" s="27">
        <f t="shared" si="244"/>
        <v>6.5927354812209922</v>
      </c>
      <c r="AB815" s="27">
        <f t="shared" si="244"/>
        <v>6.5910165055066825</v>
      </c>
      <c r="AC815" s="27">
        <f t="shared" si="244"/>
        <v>6.589206056061478</v>
      </c>
      <c r="AD815" s="27">
        <f t="shared" si="244"/>
        <v>6.5874036822299606</v>
      </c>
      <c r="AE815" s="27">
        <f t="shared" si="244"/>
        <v>6.5854496085579246</v>
      </c>
      <c r="AF815" s="27">
        <f t="shared" si="244"/>
        <v>6.5835675614397218</v>
      </c>
      <c r="AG815" s="27">
        <f t="shared" si="244"/>
        <v>6.5816378763594336</v>
      </c>
      <c r="AH815" s="27">
        <f t="shared" si="244"/>
        <v>6.5795282781002431</v>
      </c>
      <c r="AI815" s="27">
        <f t="shared" si="244"/>
        <v>6.5775665224366495</v>
      </c>
      <c r="AJ815" s="27">
        <f t="shared" si="244"/>
        <v>6.5755521924304867</v>
      </c>
      <c r="AK815" s="27">
        <f t="shared" si="244"/>
        <v>6.573462792654313</v>
      </c>
      <c r="AL815" s="27">
        <f t="shared" si="244"/>
        <v>6.5715425101563261</v>
      </c>
      <c r="AM815" s="27">
        <f t="shared" si="244"/>
        <v>6.5696756052718408</v>
      </c>
      <c r="AN815" s="27">
        <f t="shared" si="244"/>
        <v>6.5678548596880235</v>
      </c>
      <c r="AO815" s="27">
        <f t="shared" si="244"/>
        <v>6.5659337062591927</v>
      </c>
      <c r="AP815" s="27">
        <f t="shared" si="244"/>
        <v>6.564123592040632</v>
      </c>
      <c r="AQ815" s="27">
        <f t="shared" si="244"/>
        <v>6.5622903638449301</v>
      </c>
      <c r="AR815" s="27">
        <f t="shared" si="244"/>
        <v>6.5604286486377719</v>
      </c>
      <c r="AS815" s="27">
        <f t="shared" si="244"/>
        <v>6.5585292511260116</v>
      </c>
      <c r="AT815" s="27">
        <f t="shared" si="244"/>
        <v>6.5566000956326942</v>
      </c>
      <c r="AU815" s="27">
        <f t="shared" si="244"/>
        <v>6.5560073347552805</v>
      </c>
      <c r="AV815" s="27">
        <f t="shared" si="244"/>
        <v>6.5555391486602428</v>
      </c>
      <c r="AW815" s="27">
        <f t="shared" si="244"/>
        <v>6.5552474687649953</v>
      </c>
      <c r="AY815" s="79"/>
      <c r="AZ815" s="79"/>
    </row>
    <row r="816" spans="1:52" x14ac:dyDescent="0.3">
      <c r="A816" s="95" t="str">
        <f t="shared" si="224"/>
        <v>BD Organic</v>
      </c>
      <c r="B816" s="95" t="s">
        <v>1228</v>
      </c>
      <c r="C816" s="95" t="s">
        <v>1127</v>
      </c>
      <c r="D816" t="s">
        <v>369</v>
      </c>
      <c r="E816" t="s">
        <v>55</v>
      </c>
      <c r="H816" t="s">
        <v>420</v>
      </c>
      <c r="I816" t="s">
        <v>139</v>
      </c>
      <c r="J816" t="s">
        <v>287</v>
      </c>
      <c r="K816" s="27">
        <f t="shared" ref="K816:Z839" si="245">K1464</f>
        <v>4.3602775961816637E-2</v>
      </c>
      <c r="L816" s="27">
        <f t="shared" si="245"/>
        <v>4.3598439842002956E-2</v>
      </c>
      <c r="M816" s="27">
        <f t="shared" si="245"/>
        <v>4.3590489865451415E-2</v>
      </c>
      <c r="N816" s="27">
        <f t="shared" si="245"/>
        <v>4.3580987666975365E-2</v>
      </c>
      <c r="O816" s="27">
        <f t="shared" si="245"/>
        <v>4.3574568531451807E-2</v>
      </c>
      <c r="P816" s="27">
        <f t="shared" si="245"/>
        <v>4.3570151054046678E-2</v>
      </c>
      <c r="Q816" s="27">
        <f t="shared" si="245"/>
        <v>4.356773205596657E-2</v>
      </c>
      <c r="R816" s="27">
        <f t="shared" si="245"/>
        <v>4.3563818561146786E-2</v>
      </c>
      <c r="S816" s="27">
        <f t="shared" si="245"/>
        <v>4.3559707726078062E-2</v>
      </c>
      <c r="T816" s="27">
        <f t="shared" si="245"/>
        <v>4.3588282403373507E-2</v>
      </c>
      <c r="U816" s="27">
        <f t="shared" si="245"/>
        <v>4.3576951577318432E-2</v>
      </c>
      <c r="V816" s="27">
        <f t="shared" si="245"/>
        <v>4.356148692022592E-2</v>
      </c>
      <c r="W816" s="27">
        <f t="shared" si="245"/>
        <v>4.3553176710053244E-2</v>
      </c>
      <c r="X816" s="27">
        <f t="shared" si="245"/>
        <v>4.3544087714894535E-2</v>
      </c>
      <c r="Y816" s="27">
        <f t="shared" si="245"/>
        <v>4.3533982542126072E-2</v>
      </c>
      <c r="Z816" s="27">
        <f t="shared" si="245"/>
        <v>4.3523374986501467E-2</v>
      </c>
      <c r="AA816" s="27">
        <f t="shared" si="244"/>
        <v>4.3512054176058558E-2</v>
      </c>
      <c r="AB816" s="27">
        <f t="shared" si="244"/>
        <v>4.3500708936344119E-2</v>
      </c>
      <c r="AC816" s="27">
        <f t="shared" si="244"/>
        <v>4.3488759970005758E-2</v>
      </c>
      <c r="AD816" s="27">
        <f t="shared" si="244"/>
        <v>4.3476864302717751E-2</v>
      </c>
      <c r="AE816" s="27">
        <f t="shared" si="244"/>
        <v>4.3463967416482306E-2</v>
      </c>
      <c r="AF816" s="27">
        <f t="shared" si="244"/>
        <v>4.3451545905502167E-2</v>
      </c>
      <c r="AG816" s="27">
        <f t="shared" si="244"/>
        <v>4.3438809983972274E-2</v>
      </c>
      <c r="AH816" s="27">
        <f t="shared" si="244"/>
        <v>4.342488663546161E-2</v>
      </c>
      <c r="AI816" s="27">
        <f t="shared" si="244"/>
        <v>4.3411939048081889E-2</v>
      </c>
      <c r="AJ816" s="27">
        <f t="shared" si="244"/>
        <v>4.3398644470041221E-2</v>
      </c>
      <c r="AK816" s="27">
        <f t="shared" si="244"/>
        <v>4.3384854431518481E-2</v>
      </c>
      <c r="AL816" s="27">
        <f t="shared" si="244"/>
        <v>4.3372180567031765E-2</v>
      </c>
      <c r="AM816" s="27">
        <f t="shared" si="244"/>
        <v>4.3359858994794151E-2</v>
      </c>
      <c r="AN816" s="27">
        <f t="shared" si="244"/>
        <v>4.3347842073940955E-2</v>
      </c>
      <c r="AO816" s="27">
        <f t="shared" si="244"/>
        <v>4.3335162461310681E-2</v>
      </c>
      <c r="AP816" s="27">
        <f t="shared" si="244"/>
        <v>4.3323215707468173E-2</v>
      </c>
      <c r="AQ816" s="27">
        <f t="shared" si="244"/>
        <v>4.3311116401376547E-2</v>
      </c>
      <c r="AR816" s="27">
        <f t="shared" si="244"/>
        <v>4.32988290810093E-2</v>
      </c>
      <c r="AS816" s="27">
        <f t="shared" si="244"/>
        <v>4.3286293057431681E-2</v>
      </c>
      <c r="AT816" s="27">
        <f t="shared" si="244"/>
        <v>4.3273560631175802E-2</v>
      </c>
      <c r="AU816" s="27">
        <f t="shared" si="244"/>
        <v>4.326964840938486E-2</v>
      </c>
      <c r="AV816" s="27">
        <f t="shared" si="244"/>
        <v>4.3266558381157602E-2</v>
      </c>
      <c r="AW816" s="27">
        <f t="shared" si="244"/>
        <v>4.326463329384897E-2</v>
      </c>
      <c r="AY816" s="79"/>
      <c r="AZ816" s="79"/>
    </row>
    <row r="817" spans="1:52" x14ac:dyDescent="0.3">
      <c r="A817" s="95" t="str">
        <f t="shared" si="224"/>
        <v>BD Crop residues</v>
      </c>
      <c r="B817" s="95" t="s">
        <v>1228</v>
      </c>
      <c r="C817" s="95" t="s">
        <v>58</v>
      </c>
      <c r="D817" t="s">
        <v>369</v>
      </c>
      <c r="E817" t="s">
        <v>55</v>
      </c>
      <c r="H817" t="s">
        <v>58</v>
      </c>
      <c r="I817" t="s">
        <v>139</v>
      </c>
      <c r="J817" t="s">
        <v>287</v>
      </c>
      <c r="K817" s="27">
        <f t="shared" si="245"/>
        <v>2.94930909510781</v>
      </c>
      <c r="L817" s="27">
        <f t="shared" si="244"/>
        <v>2.9542138952234782</v>
      </c>
      <c r="M817" s="27">
        <f t="shared" si="244"/>
        <v>2.9632065078783478</v>
      </c>
      <c r="N817" s="27">
        <f t="shared" si="244"/>
        <v>2.9739549157146588</v>
      </c>
      <c r="O817" s="27">
        <f t="shared" si="244"/>
        <v>2.9812159181802835</v>
      </c>
      <c r="P817" s="27">
        <f t="shared" si="244"/>
        <v>2.9862127459015309</v>
      </c>
      <c r="Q817" s="27">
        <f t="shared" si="244"/>
        <v>2.9889489945692191</v>
      </c>
      <c r="R817" s="27">
        <f t="shared" si="244"/>
        <v>2.993375742599615</v>
      </c>
      <c r="S817" s="27">
        <f t="shared" si="244"/>
        <v>2.9980257119701434</v>
      </c>
      <c r="T817" s="27">
        <f t="shared" si="244"/>
        <v>2.9657034776855355</v>
      </c>
      <c r="U817" s="27">
        <f t="shared" si="244"/>
        <v>2.9785203368438653</v>
      </c>
      <c r="V817" s="27">
        <f t="shared" si="244"/>
        <v>2.9960131772531153</v>
      </c>
      <c r="W817" s="27">
        <f t="shared" si="244"/>
        <v>3.0054132680180357</v>
      </c>
      <c r="X817" s="27">
        <f t="shared" si="244"/>
        <v>3.0156942810945373</v>
      </c>
      <c r="Y817" s="27">
        <f t="shared" si="244"/>
        <v>3.0271247430497872</v>
      </c>
      <c r="Z817" s="27">
        <f t="shared" si="244"/>
        <v>3.0391234751628531</v>
      </c>
      <c r="AA817" s="27">
        <f t="shared" si="244"/>
        <v>3.0519290051656554</v>
      </c>
      <c r="AB817" s="27">
        <f t="shared" si="244"/>
        <v>3.0647621683287483</v>
      </c>
      <c r="AC817" s="27">
        <f t="shared" si="244"/>
        <v>3.078278236610247</v>
      </c>
      <c r="AD817" s="27">
        <f t="shared" si="244"/>
        <v>3.0917340156932256</v>
      </c>
      <c r="AE817" s="27">
        <f t="shared" si="244"/>
        <v>3.1063223231702981</v>
      </c>
      <c r="AF817" s="27">
        <f t="shared" si="244"/>
        <v>3.1203729101259317</v>
      </c>
      <c r="AG817" s="27">
        <f t="shared" si="244"/>
        <v>3.1347791424435716</v>
      </c>
      <c r="AH817" s="27">
        <f t="shared" si="244"/>
        <v>3.1505285322943979</v>
      </c>
      <c r="AI817" s="27">
        <f t="shared" si="244"/>
        <v>3.165174190349632</v>
      </c>
      <c r="AJ817" s="27">
        <f t="shared" si="244"/>
        <v>3.1802123467460328</v>
      </c>
      <c r="AK817" s="27">
        <f t="shared" si="244"/>
        <v>3.1958109430597368</v>
      </c>
      <c r="AL817" s="27">
        <f t="shared" si="244"/>
        <v>3.2101469795788988</v>
      </c>
      <c r="AM817" s="27">
        <f t="shared" si="244"/>
        <v>3.2240845208676738</v>
      </c>
      <c r="AN817" s="27">
        <f t="shared" si="244"/>
        <v>3.2376774558702412</v>
      </c>
      <c r="AO817" s="27">
        <f t="shared" si="244"/>
        <v>3.2520199943996095</v>
      </c>
      <c r="AP817" s="27">
        <f t="shared" si="244"/>
        <v>3.2655335600173556</v>
      </c>
      <c r="AQ817" s="27">
        <f t="shared" si="244"/>
        <v>3.2792196850479614</v>
      </c>
      <c r="AR817" s="27">
        <f t="shared" si="244"/>
        <v>3.2931184823478818</v>
      </c>
      <c r="AS817" s="27">
        <f t="shared" si="244"/>
        <v>3.3072986001803124</v>
      </c>
      <c r="AT817" s="27">
        <f t="shared" si="244"/>
        <v>3.3217008788202178</v>
      </c>
      <c r="AU817" s="27">
        <f t="shared" si="244"/>
        <v>3.3261261868645517</v>
      </c>
      <c r="AV817" s="27">
        <f t="shared" si="244"/>
        <v>3.3296214710028345</v>
      </c>
      <c r="AW817" s="27">
        <f t="shared" si="244"/>
        <v>3.3317990327077256</v>
      </c>
      <c r="AY817" s="79"/>
      <c r="AZ817" s="79"/>
    </row>
    <row r="818" spans="1:52" x14ac:dyDescent="0.3">
      <c r="A818" s="95" t="str">
        <f t="shared" si="224"/>
        <v>BD Organic</v>
      </c>
      <c r="B818" s="95" t="s">
        <v>1228</v>
      </c>
      <c r="C818" s="95" t="s">
        <v>1127</v>
      </c>
      <c r="D818" t="s">
        <v>369</v>
      </c>
      <c r="E818" t="s">
        <v>55</v>
      </c>
      <c r="F818" t="s">
        <v>421</v>
      </c>
      <c r="G818" t="s">
        <v>1152</v>
      </c>
      <c r="H818" t="s">
        <v>1153</v>
      </c>
      <c r="I818" t="s">
        <v>139</v>
      </c>
      <c r="J818" t="s">
        <v>287</v>
      </c>
      <c r="K818" s="27">
        <f t="shared" si="245"/>
        <v>0.31878106382562998</v>
      </c>
      <c r="L818" s="27">
        <f t="shared" si="244"/>
        <v>0.32056321299147905</v>
      </c>
      <c r="M818" s="27">
        <f t="shared" si="244"/>
        <v>0.32309177745176459</v>
      </c>
      <c r="N818" s="27">
        <f t="shared" si="244"/>
        <v>0.32471664946511047</v>
      </c>
      <c r="O818" s="27">
        <f t="shared" si="244"/>
        <v>0.32579638434951874</v>
      </c>
      <c r="P818" s="27">
        <f t="shared" si="244"/>
        <v>0.32632035510276458</v>
      </c>
      <c r="Q818" s="27">
        <f t="shared" si="244"/>
        <v>0.32747800149861978</v>
      </c>
      <c r="R818" s="27">
        <f t="shared" si="244"/>
        <v>0.32880601635823298</v>
      </c>
      <c r="S818" s="27">
        <f t="shared" si="244"/>
        <v>0.31892223916812396</v>
      </c>
      <c r="T818" s="27">
        <f t="shared" si="244"/>
        <v>0.32227574446012153</v>
      </c>
      <c r="U818" s="27">
        <f t="shared" si="244"/>
        <v>0.32718438885789924</v>
      </c>
      <c r="V818" s="27">
        <f t="shared" si="244"/>
        <v>0.3297286573308299</v>
      </c>
      <c r="W818" s="27">
        <f t="shared" si="244"/>
        <v>0.33263641751266398</v>
      </c>
      <c r="X818" s="27">
        <f t="shared" si="244"/>
        <v>0.3360018452717824</v>
      </c>
      <c r="Y818" s="27">
        <f t="shared" si="244"/>
        <v>0.33943858200235472</v>
      </c>
      <c r="Z818" s="27">
        <f t="shared" si="244"/>
        <v>0.34324260633991188</v>
      </c>
      <c r="AA818" s="27">
        <f t="shared" si="244"/>
        <v>0.34716446895122904</v>
      </c>
      <c r="AB818" s="27">
        <f t="shared" si="244"/>
        <v>0.35142933015547478</v>
      </c>
      <c r="AC818" s="27">
        <f t="shared" si="244"/>
        <v>0.3557903986539287</v>
      </c>
      <c r="AD818" s="27">
        <f t="shared" si="244"/>
        <v>0.36050179142942168</v>
      </c>
      <c r="AE818" s="27">
        <f t="shared" si="244"/>
        <v>0.36514941854093586</v>
      </c>
      <c r="AF818" s="27">
        <f t="shared" si="244"/>
        <v>0.37005495430435736</v>
      </c>
      <c r="AG818" s="27">
        <f t="shared" si="244"/>
        <v>0.37560392620070809</v>
      </c>
      <c r="AH818" s="27">
        <f t="shared" si="244"/>
        <v>0.38087972226770728</v>
      </c>
      <c r="AI818" s="27">
        <f t="shared" si="244"/>
        <v>0.38629002318967742</v>
      </c>
      <c r="AJ818" s="27">
        <f t="shared" si="244"/>
        <v>0.39207609513939878</v>
      </c>
      <c r="AK818" s="27">
        <f t="shared" si="244"/>
        <v>0.39749694724838469</v>
      </c>
      <c r="AL818" s="27">
        <f t="shared" si="244"/>
        <v>0.4028883818835427</v>
      </c>
      <c r="AM818" s="27">
        <f t="shared" si="244"/>
        <v>0.40826539528750555</v>
      </c>
      <c r="AN818" s="27">
        <f t="shared" si="244"/>
        <v>0.41395411425770406</v>
      </c>
      <c r="AO818" s="27">
        <f t="shared" si="244"/>
        <v>0.41941402149436835</v>
      </c>
      <c r="AP818" s="27">
        <f t="shared" si="244"/>
        <v>0.4250859445304776</v>
      </c>
      <c r="AQ818" s="27">
        <f t="shared" si="244"/>
        <v>0.43099575197279355</v>
      </c>
      <c r="AR818" s="27">
        <f t="shared" si="244"/>
        <v>0.43718504328373597</v>
      </c>
      <c r="AS818" s="27">
        <f t="shared" si="244"/>
        <v>0.44348381500621098</v>
      </c>
      <c r="AT818" s="27">
        <f t="shared" si="244"/>
        <v>0.44497720344404595</v>
      </c>
      <c r="AU818" s="27">
        <f t="shared" si="244"/>
        <v>0.44604004342695891</v>
      </c>
      <c r="AV818" s="27">
        <f t="shared" si="244"/>
        <v>0.44647550838656064</v>
      </c>
      <c r="AW818" s="27">
        <f t="shared" si="244"/>
        <v>0.44673845388478889</v>
      </c>
      <c r="AY818" s="79"/>
      <c r="AZ818" s="79"/>
    </row>
    <row r="819" spans="1:52" x14ac:dyDescent="0.3">
      <c r="A819" s="95" t="str">
        <f t="shared" si="224"/>
        <v>BD Organic</v>
      </c>
      <c r="B819" s="95" t="s">
        <v>1228</v>
      </c>
      <c r="C819" s="95" t="s">
        <v>1127</v>
      </c>
      <c r="D819" t="s">
        <v>369</v>
      </c>
      <c r="E819" t="s">
        <v>55</v>
      </c>
      <c r="F819" t="s">
        <v>421</v>
      </c>
      <c r="G819" t="s">
        <v>1154</v>
      </c>
      <c r="H819" t="s">
        <v>1155</v>
      </c>
      <c r="I819" t="s">
        <v>139</v>
      </c>
      <c r="J819" t="s">
        <v>287</v>
      </c>
      <c r="K819" s="27">
        <f t="shared" si="245"/>
        <v>0.93210651077804862</v>
      </c>
      <c r="L819" s="27">
        <f t="shared" si="244"/>
        <v>0.93731746283627471</v>
      </c>
      <c r="M819" s="27">
        <f t="shared" si="244"/>
        <v>0.94471091139331731</v>
      </c>
      <c r="N819" s="27">
        <f t="shared" si="244"/>
        <v>0.94946198965576145</v>
      </c>
      <c r="O819" s="27">
        <f t="shared" si="244"/>
        <v>0.95261910289076079</v>
      </c>
      <c r="P819" s="27">
        <f t="shared" si="244"/>
        <v>0.95415117805450056</v>
      </c>
      <c r="Q819" s="27">
        <f t="shared" si="244"/>
        <v>0.95753610227115837</v>
      </c>
      <c r="R819" s="27">
        <f t="shared" si="244"/>
        <v>0.96141917889497119</v>
      </c>
      <c r="S819" s="27">
        <f t="shared" si="244"/>
        <v>0.93251930335211441</v>
      </c>
      <c r="T819" s="27">
        <f t="shared" si="244"/>
        <v>0.94232485478320349</v>
      </c>
      <c r="U819" s="27">
        <f t="shared" si="244"/>
        <v>0.95667758749371812</v>
      </c>
      <c r="V819" s="27">
        <f t="shared" si="244"/>
        <v>0.96411695412461496</v>
      </c>
      <c r="W819" s="27">
        <f t="shared" si="244"/>
        <v>0.97261915988534076</v>
      </c>
      <c r="X819" s="27">
        <f t="shared" si="244"/>
        <v>0.98245957226172753</v>
      </c>
      <c r="Y819" s="27">
        <f t="shared" si="244"/>
        <v>0.99250848998586416</v>
      </c>
      <c r="Z819" s="27">
        <f t="shared" si="244"/>
        <v>1.0036313459348443</v>
      </c>
      <c r="AA819" s="27">
        <f t="shared" si="244"/>
        <v>1.0150987575511923</v>
      </c>
      <c r="AB819" s="27">
        <f t="shared" si="244"/>
        <v>1.0275690870253942</v>
      </c>
      <c r="AC819" s="27">
        <f t="shared" si="244"/>
        <v>1.0403207238151548</v>
      </c>
      <c r="AD819" s="27">
        <f t="shared" si="244"/>
        <v>1.054096698548936</v>
      </c>
      <c r="AE819" s="27">
        <f t="shared" si="244"/>
        <v>1.0676862243454883</v>
      </c>
      <c r="AF819" s="27">
        <f t="shared" si="244"/>
        <v>1.0820298675000297</v>
      </c>
      <c r="AG819" s="27">
        <f t="shared" si="244"/>
        <v>1.0982548990958272</v>
      </c>
      <c r="AH819" s="27">
        <f t="shared" si="244"/>
        <v>1.1136811725531401</v>
      </c>
      <c r="AI819" s="27">
        <f t="shared" si="244"/>
        <v>1.1295007342740186</v>
      </c>
      <c r="AJ819" s="27">
        <f t="shared" si="244"/>
        <v>1.146419039494041</v>
      </c>
      <c r="AK819" s="27">
        <f t="shared" si="244"/>
        <v>1.1622694525772803</v>
      </c>
      <c r="AL819" s="27">
        <f t="shared" si="244"/>
        <v>1.1780338498270926</v>
      </c>
      <c r="AM819" s="27">
        <f t="shared" si="244"/>
        <v>1.1937560798185081</v>
      </c>
      <c r="AN819" s="27">
        <f t="shared" si="244"/>
        <v>1.2103897277726068</v>
      </c>
      <c r="AO819" s="27">
        <f t="shared" si="244"/>
        <v>1.2263543369073659</v>
      </c>
      <c r="AP819" s="27">
        <f t="shared" si="244"/>
        <v>1.2429388740412319</v>
      </c>
      <c r="AQ819" s="27">
        <f t="shared" si="244"/>
        <v>1.260218978224084</v>
      </c>
      <c r="AR819" s="27">
        <f t="shared" si="244"/>
        <v>1.2783162850678402</v>
      </c>
      <c r="AS819" s="27">
        <f t="shared" si="244"/>
        <v>1.2967337094341598</v>
      </c>
      <c r="AT819" s="27">
        <f t="shared" si="244"/>
        <v>1.3011003335658498</v>
      </c>
      <c r="AU819" s="27">
        <f t="shared" si="244"/>
        <v>1.3042080466028143</v>
      </c>
      <c r="AV819" s="27">
        <f t="shared" si="244"/>
        <v>1.3054813334134847</v>
      </c>
      <c r="AW819" s="27">
        <f t="shared" si="244"/>
        <v>1.3062501783628579</v>
      </c>
      <c r="AY819" s="79"/>
      <c r="AZ819" s="79"/>
    </row>
    <row r="820" spans="1:52" x14ac:dyDescent="0.3">
      <c r="A820" s="95" t="str">
        <f t="shared" si="224"/>
        <v>BD Organic</v>
      </c>
      <c r="B820" s="95" t="s">
        <v>1228</v>
      </c>
      <c r="C820" s="95" t="s">
        <v>1127</v>
      </c>
      <c r="D820" t="s">
        <v>369</v>
      </c>
      <c r="E820" t="s">
        <v>55</v>
      </c>
      <c r="F820" t="s">
        <v>421</v>
      </c>
      <c r="G820" t="s">
        <v>1156</v>
      </c>
      <c r="H820" t="s">
        <v>1157</v>
      </c>
      <c r="I820" t="s">
        <v>139</v>
      </c>
      <c r="J820" t="s">
        <v>287</v>
      </c>
      <c r="K820" s="27">
        <f t="shared" si="245"/>
        <v>4.9862442750846919E-2</v>
      </c>
      <c r="L820" s="27">
        <f t="shared" si="244"/>
        <v>5.0141199304605803E-2</v>
      </c>
      <c r="M820" s="27">
        <f t="shared" si="244"/>
        <v>5.0536707115294892E-2</v>
      </c>
      <c r="N820" s="27">
        <f t="shared" si="244"/>
        <v>5.0790863013925151E-2</v>
      </c>
      <c r="O820" s="27">
        <f t="shared" si="244"/>
        <v>5.0959750770976316E-2</v>
      </c>
      <c r="P820" s="27">
        <f t="shared" si="244"/>
        <v>5.1041708153806091E-2</v>
      </c>
      <c r="Q820" s="27">
        <f t="shared" si="244"/>
        <v>5.122278251388987E-2</v>
      </c>
      <c r="R820" s="27">
        <f t="shared" si="244"/>
        <v>5.1430505218981168E-2</v>
      </c>
      <c r="S820" s="27">
        <f t="shared" si="244"/>
        <v>4.9884524826075798E-2</v>
      </c>
      <c r="T820" s="27">
        <f t="shared" si="244"/>
        <v>5.0409066540160655E-2</v>
      </c>
      <c r="U820" s="27">
        <f t="shared" si="244"/>
        <v>5.1176856813934052E-2</v>
      </c>
      <c r="V820" s="27">
        <f t="shared" si="244"/>
        <v>5.1574820982670536E-2</v>
      </c>
      <c r="W820" s="27">
        <f t="shared" si="244"/>
        <v>5.2029641052156198E-2</v>
      </c>
      <c r="X820" s="27">
        <f t="shared" si="244"/>
        <v>5.255604763025503E-2</v>
      </c>
      <c r="Y820" s="27">
        <f t="shared" si="244"/>
        <v>5.3093608068824946E-2</v>
      </c>
      <c r="Z820" s="27">
        <f t="shared" si="244"/>
        <v>5.3688618147146365E-2</v>
      </c>
      <c r="AA820" s="27">
        <f t="shared" si="244"/>
        <v>5.4302060010934287E-2</v>
      </c>
      <c r="AB820" s="27">
        <f t="shared" si="244"/>
        <v>5.4969152325279956E-2</v>
      </c>
      <c r="AC820" s="27">
        <f t="shared" si="244"/>
        <v>5.5651292994888926E-2</v>
      </c>
      <c r="AD820" s="27">
        <f t="shared" si="244"/>
        <v>5.6388229968890861E-2</v>
      </c>
      <c r="AE820" s="27">
        <f t="shared" si="244"/>
        <v>5.711519297602205E-2</v>
      </c>
      <c r="AF820" s="27">
        <f t="shared" si="244"/>
        <v>5.7882497009801276E-2</v>
      </c>
      <c r="AG820" s="27">
        <f t="shared" si="244"/>
        <v>5.8750444717194539E-2</v>
      </c>
      <c r="AH820" s="27">
        <f t="shared" si="244"/>
        <v>5.9575663367885126E-2</v>
      </c>
      <c r="AI820" s="27">
        <f t="shared" si="244"/>
        <v>6.0421920723165649E-2</v>
      </c>
      <c r="AJ820" s="27">
        <f t="shared" si="244"/>
        <v>6.1326954660511038E-2</v>
      </c>
      <c r="AK820" s="27">
        <f t="shared" si="244"/>
        <v>6.2174862389725999E-2</v>
      </c>
      <c r="AL820" s="27">
        <f t="shared" si="244"/>
        <v>6.3018168756843018E-2</v>
      </c>
      <c r="AM820" s="27">
        <f t="shared" si="244"/>
        <v>6.3859219413391094E-2</v>
      </c>
      <c r="AN820" s="27">
        <f t="shared" si="244"/>
        <v>6.4749025792016954E-2</v>
      </c>
      <c r="AO820" s="27">
        <f t="shared" si="244"/>
        <v>6.5603042366106867E-2</v>
      </c>
      <c r="AP820" s="27">
        <f t="shared" si="244"/>
        <v>6.6490221592755999E-2</v>
      </c>
      <c r="AQ820" s="27">
        <f t="shared" si="244"/>
        <v>6.7414609734650743E-2</v>
      </c>
      <c r="AR820" s="27">
        <f t="shared" si="244"/>
        <v>6.8382713611200324E-2</v>
      </c>
      <c r="AS820" s="27">
        <f t="shared" si="244"/>
        <v>6.9367941970261027E-2</v>
      </c>
      <c r="AT820" s="27">
        <f t="shared" si="244"/>
        <v>6.9601531740596523E-2</v>
      </c>
      <c r="AU820" s="27">
        <f t="shared" si="244"/>
        <v>6.9767776865590186E-2</v>
      </c>
      <c r="AV820" s="27">
        <f t="shared" si="244"/>
        <v>6.983589053067922E-2</v>
      </c>
      <c r="AW820" s="27">
        <f t="shared" si="244"/>
        <v>6.9877019400426524E-2</v>
      </c>
      <c r="AY820" s="79"/>
      <c r="AZ820" s="79"/>
    </row>
    <row r="821" spans="1:52" x14ac:dyDescent="0.3">
      <c r="A821" s="95" t="str">
        <f t="shared" si="224"/>
        <v>BD Organic</v>
      </c>
      <c r="B821" s="95" t="s">
        <v>1228</v>
      </c>
      <c r="C821" s="95" t="s">
        <v>1127</v>
      </c>
      <c r="D821" t="s">
        <v>369</v>
      </c>
      <c r="E821" t="s">
        <v>55</v>
      </c>
      <c r="F821" t="s">
        <v>421</v>
      </c>
      <c r="G821" t="s">
        <v>1158</v>
      </c>
      <c r="H821" t="s">
        <v>1159</v>
      </c>
      <c r="I821" t="s">
        <v>139</v>
      </c>
      <c r="J821" t="s">
        <v>287</v>
      </c>
      <c r="K821" s="27">
        <f t="shared" si="245"/>
        <v>0.3999997899835232</v>
      </c>
      <c r="L821" s="27">
        <f t="shared" si="244"/>
        <v>0.39653071954810187</v>
      </c>
      <c r="M821" s="27">
        <f t="shared" si="244"/>
        <v>0.39521014945095023</v>
      </c>
      <c r="N821" s="27">
        <f t="shared" si="244"/>
        <v>0.38993263522397309</v>
      </c>
      <c r="O821" s="27">
        <f t="shared" si="244"/>
        <v>0.382272194437701</v>
      </c>
      <c r="P821" s="27">
        <f t="shared" si="244"/>
        <v>0.37238723301511378</v>
      </c>
      <c r="Q821" s="27">
        <f t="shared" si="244"/>
        <v>0.36459067483623875</v>
      </c>
      <c r="R821" s="27">
        <f t="shared" si="244"/>
        <v>0.3572142444544395</v>
      </c>
      <c r="S821" s="27">
        <f t="shared" si="244"/>
        <v>0.31424439964767104</v>
      </c>
      <c r="T821" s="27">
        <f t="shared" si="244"/>
        <v>0.31934867566353531</v>
      </c>
      <c r="U821" s="27">
        <f t="shared" si="244"/>
        <v>0.32887086359473244</v>
      </c>
      <c r="V821" s="27">
        <f t="shared" si="244"/>
        <v>0.33077255450985388</v>
      </c>
      <c r="W821" s="27">
        <f t="shared" si="244"/>
        <v>0.33351533974002295</v>
      </c>
      <c r="X821" s="27">
        <f t="shared" si="244"/>
        <v>0.33734158563652278</v>
      </c>
      <c r="Y821" s="27">
        <f t="shared" si="244"/>
        <v>0.34173046425936165</v>
      </c>
      <c r="Z821" s="27">
        <f t="shared" si="244"/>
        <v>0.34687619399861491</v>
      </c>
      <c r="AA821" s="27">
        <f t="shared" si="244"/>
        <v>0.35204565699464252</v>
      </c>
      <c r="AB821" s="27">
        <f t="shared" si="244"/>
        <v>0.35785970773870229</v>
      </c>
      <c r="AC821" s="27">
        <f t="shared" si="244"/>
        <v>0.36361606039285416</v>
      </c>
      <c r="AD821" s="27">
        <f t="shared" si="244"/>
        <v>0.36736576480920718</v>
      </c>
      <c r="AE821" s="27">
        <f t="shared" si="244"/>
        <v>0.37044453344609923</v>
      </c>
      <c r="AF821" s="27">
        <f t="shared" si="244"/>
        <v>0.37369707806666508</v>
      </c>
      <c r="AG821" s="27">
        <f t="shared" si="244"/>
        <v>0.37804894622531426</v>
      </c>
      <c r="AH821" s="27">
        <f t="shared" si="244"/>
        <v>0.38117866346584023</v>
      </c>
      <c r="AI821" s="27">
        <f t="shared" si="244"/>
        <v>0.38451417084428363</v>
      </c>
      <c r="AJ821" s="27">
        <f t="shared" si="244"/>
        <v>0.38818587422632583</v>
      </c>
      <c r="AK821" s="27">
        <f t="shared" si="244"/>
        <v>0.39047383423356319</v>
      </c>
      <c r="AL821" s="27">
        <f t="shared" si="244"/>
        <v>0.39219030360024004</v>
      </c>
      <c r="AM821" s="27">
        <f t="shared" si="244"/>
        <v>0.39338421797559098</v>
      </c>
      <c r="AN821" s="27">
        <f t="shared" si="244"/>
        <v>0.39709578221714281</v>
      </c>
      <c r="AO821" s="27">
        <f t="shared" si="244"/>
        <v>0.39991704090429331</v>
      </c>
      <c r="AP821" s="27">
        <f t="shared" si="244"/>
        <v>0.40277391205281804</v>
      </c>
      <c r="AQ821" s="27">
        <f t="shared" si="244"/>
        <v>0.40569907697718249</v>
      </c>
      <c r="AR821" s="27">
        <f t="shared" si="244"/>
        <v>0.40875152256691355</v>
      </c>
      <c r="AS821" s="27">
        <f t="shared" si="244"/>
        <v>0.41188557339004239</v>
      </c>
      <c r="AT821" s="27">
        <f t="shared" si="244"/>
        <v>0.4057032930761475</v>
      </c>
      <c r="AU821" s="27">
        <f t="shared" si="244"/>
        <v>0.3986998092121265</v>
      </c>
      <c r="AV821" s="27">
        <f t="shared" si="244"/>
        <v>0.39058052493607326</v>
      </c>
      <c r="AW821" s="27">
        <f t="shared" si="244"/>
        <v>0.38220678819508502</v>
      </c>
      <c r="AY821" s="79"/>
      <c r="AZ821" s="79"/>
    </row>
    <row r="822" spans="1:52" x14ac:dyDescent="0.3">
      <c r="A822" s="95" t="str">
        <f t="shared" si="224"/>
        <v>BD Organic</v>
      </c>
      <c r="B822" s="95" t="s">
        <v>1228</v>
      </c>
      <c r="C822" s="95" t="s">
        <v>1127</v>
      </c>
      <c r="D822" t="s">
        <v>369</v>
      </c>
      <c r="E822" t="s">
        <v>55</v>
      </c>
      <c r="F822" t="s">
        <v>421</v>
      </c>
      <c r="G822" t="s">
        <v>1160</v>
      </c>
      <c r="H822" t="s">
        <v>1161</v>
      </c>
      <c r="I822" t="s">
        <v>139</v>
      </c>
      <c r="J822" t="s">
        <v>287</v>
      </c>
      <c r="K822" s="27">
        <f t="shared" si="245"/>
        <v>2.6602988559851246</v>
      </c>
      <c r="L822" s="27">
        <f t="shared" si="244"/>
        <v>2.6372269335947083</v>
      </c>
      <c r="M822" s="27">
        <f t="shared" si="244"/>
        <v>2.6284441511866339</v>
      </c>
      <c r="N822" s="27">
        <f t="shared" si="244"/>
        <v>2.5933447201068058</v>
      </c>
      <c r="O822" s="27">
        <f t="shared" si="244"/>
        <v>2.5423970387070201</v>
      </c>
      <c r="P822" s="27">
        <f t="shared" ref="L822:AW828" si="246">P1470</f>
        <v>2.4766546252796311</v>
      </c>
      <c r="Q822" s="27">
        <f t="shared" si="246"/>
        <v>2.4248016610449818</v>
      </c>
      <c r="R822" s="27">
        <f t="shared" si="246"/>
        <v>2.3757428620222045</v>
      </c>
      <c r="S822" s="27">
        <f t="shared" si="246"/>
        <v>2.0899611395217677</v>
      </c>
      <c r="T822" s="27">
        <f t="shared" si="246"/>
        <v>2.123908406459571</v>
      </c>
      <c r="U822" s="27">
        <f t="shared" si="246"/>
        <v>2.1872381038598681</v>
      </c>
      <c r="V822" s="27">
        <f t="shared" si="246"/>
        <v>2.1998857759152552</v>
      </c>
      <c r="W822" s="27">
        <f t="shared" si="246"/>
        <v>2.2181273565179156</v>
      </c>
      <c r="X822" s="27">
        <f t="shared" si="246"/>
        <v>2.2435747638317936</v>
      </c>
      <c r="Y822" s="27">
        <f t="shared" si="246"/>
        <v>2.2727641011058872</v>
      </c>
      <c r="Z822" s="27">
        <f t="shared" si="246"/>
        <v>2.3069870664207133</v>
      </c>
      <c r="AA822" s="27">
        <f t="shared" si="246"/>
        <v>2.3413678757080296</v>
      </c>
      <c r="AB822" s="27">
        <f t="shared" si="246"/>
        <v>2.380035677367871</v>
      </c>
      <c r="AC822" s="27">
        <f t="shared" si="246"/>
        <v>2.4183197434198012</v>
      </c>
      <c r="AD822" s="27">
        <f t="shared" si="246"/>
        <v>2.4432580924362282</v>
      </c>
      <c r="AE822" s="27">
        <f t="shared" si="246"/>
        <v>2.4637342148934525</v>
      </c>
      <c r="AF822" s="27">
        <f t="shared" si="246"/>
        <v>2.4853660780839015</v>
      </c>
      <c r="AG822" s="27">
        <f t="shared" si="246"/>
        <v>2.5143092679899</v>
      </c>
      <c r="AH822" s="27">
        <f t="shared" si="246"/>
        <v>2.5351242369049363</v>
      </c>
      <c r="AI822" s="27">
        <f t="shared" si="246"/>
        <v>2.5573078647097613</v>
      </c>
      <c r="AJ822" s="27">
        <f t="shared" si="246"/>
        <v>2.5817274482979573</v>
      </c>
      <c r="AK822" s="27">
        <f t="shared" si="246"/>
        <v>2.5969440997618101</v>
      </c>
      <c r="AL822" s="27">
        <f t="shared" si="246"/>
        <v>2.6083599094868397</v>
      </c>
      <c r="AM822" s="27">
        <f t="shared" si="246"/>
        <v>2.6163003362731181</v>
      </c>
      <c r="AN822" s="27">
        <f t="shared" si="246"/>
        <v>2.6409850244978843</v>
      </c>
      <c r="AO822" s="27">
        <f t="shared" si="246"/>
        <v>2.6597485124941493</v>
      </c>
      <c r="AP822" s="27">
        <f t="shared" si="246"/>
        <v>2.6787488500904026</v>
      </c>
      <c r="AQ822" s="27">
        <f t="shared" si="246"/>
        <v>2.6982033925594746</v>
      </c>
      <c r="AR822" s="27">
        <f t="shared" si="246"/>
        <v>2.7185044469941606</v>
      </c>
      <c r="AS822" s="27">
        <f t="shared" si="246"/>
        <v>2.739348237486432</v>
      </c>
      <c r="AT822" s="27">
        <f t="shared" si="246"/>
        <v>2.6982314327823316</v>
      </c>
      <c r="AU822" s="27">
        <f t="shared" si="246"/>
        <v>2.6516530080483269</v>
      </c>
      <c r="AV822" s="27">
        <f t="shared" si="246"/>
        <v>2.5976536730189443</v>
      </c>
      <c r="AW822" s="27">
        <f t="shared" si="246"/>
        <v>2.5419620380976129</v>
      </c>
      <c r="AY822" s="79"/>
      <c r="AZ822" s="79"/>
    </row>
    <row r="823" spans="1:52" x14ac:dyDescent="0.3">
      <c r="A823" s="95" t="str">
        <f t="shared" si="224"/>
        <v>BD Organic</v>
      </c>
      <c r="B823" s="95" t="s">
        <v>1228</v>
      </c>
      <c r="C823" s="95" t="s">
        <v>1127</v>
      </c>
      <c r="D823" t="s">
        <v>369</v>
      </c>
      <c r="E823" t="s">
        <v>55</v>
      </c>
      <c r="F823" t="s">
        <v>421</v>
      </c>
      <c r="G823" t="s">
        <v>1162</v>
      </c>
      <c r="H823" t="s">
        <v>1163</v>
      </c>
      <c r="I823" t="s">
        <v>139</v>
      </c>
      <c r="J823" t="s">
        <v>287</v>
      </c>
      <c r="K823" s="27">
        <f t="shared" si="245"/>
        <v>0.34358078636628736</v>
      </c>
      <c r="L823" s="27">
        <f t="shared" si="246"/>
        <v>0.35516571939691499</v>
      </c>
      <c r="M823" s="27">
        <f t="shared" si="246"/>
        <v>0.36891582276573964</v>
      </c>
      <c r="N823" s="27">
        <f t="shared" si="246"/>
        <v>0.37917034791782095</v>
      </c>
      <c r="O823" s="27">
        <f t="shared" si="246"/>
        <v>0.38707850955818851</v>
      </c>
      <c r="P823" s="27">
        <f t="shared" si="246"/>
        <v>0.39252728601928993</v>
      </c>
      <c r="Q823" s="27">
        <f t="shared" si="246"/>
        <v>0.39996713645364929</v>
      </c>
      <c r="R823" s="27">
        <f t="shared" si="246"/>
        <v>0.40776627193753145</v>
      </c>
      <c r="S823" s="27">
        <f t="shared" si="246"/>
        <v>0.37321314104522196</v>
      </c>
      <c r="T823" s="27">
        <f t="shared" si="246"/>
        <v>0.3884130094850205</v>
      </c>
      <c r="U823" s="27">
        <f t="shared" si="246"/>
        <v>0.40949913684353023</v>
      </c>
      <c r="V823" s="27">
        <f t="shared" si="246"/>
        <v>0.4215293985273969</v>
      </c>
      <c r="W823" s="27">
        <f t="shared" si="246"/>
        <v>0.43487839572409737</v>
      </c>
      <c r="X823" s="27">
        <f t="shared" si="246"/>
        <v>0.4499540833261832</v>
      </c>
      <c r="Y823" s="27">
        <f t="shared" si="246"/>
        <v>0.46615455433442204</v>
      </c>
      <c r="Z823" s="27">
        <f t="shared" si="246"/>
        <v>0.48381398189083635</v>
      </c>
      <c r="AA823" s="27">
        <f t="shared" si="246"/>
        <v>0.50197004484830632</v>
      </c>
      <c r="AB823" s="27">
        <f t="shared" si="246"/>
        <v>0.52154350048929543</v>
      </c>
      <c r="AC823" s="27">
        <f t="shared" si="246"/>
        <v>0.5415643129229577</v>
      </c>
      <c r="AD823" s="27">
        <f t="shared" si="246"/>
        <v>0.56529401193420392</v>
      </c>
      <c r="AE823" s="27">
        <f t="shared" si="246"/>
        <v>0.58897158069089917</v>
      </c>
      <c r="AF823" s="27">
        <f t="shared" si="246"/>
        <v>0.61393439377098979</v>
      </c>
      <c r="AG823" s="27">
        <f t="shared" si="246"/>
        <v>0.64183870134182519</v>
      </c>
      <c r="AH823" s="27">
        <f t="shared" si="246"/>
        <v>0.66886013669524935</v>
      </c>
      <c r="AI823" s="27">
        <f t="shared" si="246"/>
        <v>0.6974449623138369</v>
      </c>
      <c r="AJ823" s="27">
        <f t="shared" si="246"/>
        <v>0.72794565179733817</v>
      </c>
      <c r="AK823" s="27">
        <f t="shared" si="246"/>
        <v>0.75716831024556897</v>
      </c>
      <c r="AL823" s="27">
        <f t="shared" si="246"/>
        <v>0.78655158010344739</v>
      </c>
      <c r="AM823" s="27">
        <f t="shared" si="246"/>
        <v>0.81615922006003327</v>
      </c>
      <c r="AN823" s="27">
        <f t="shared" si="246"/>
        <v>0.84710504325273028</v>
      </c>
      <c r="AO823" s="27">
        <f t="shared" si="246"/>
        <v>0.8772777887183536</v>
      </c>
      <c r="AP823" s="27">
        <f t="shared" si="246"/>
        <v>0.90865780083615855</v>
      </c>
      <c r="AQ823" s="27">
        <f t="shared" si="246"/>
        <v>0.94138400089523855</v>
      </c>
      <c r="AR823" s="27">
        <f t="shared" si="246"/>
        <v>0.9756708685083213</v>
      </c>
      <c r="AS823" s="27">
        <f t="shared" si="246"/>
        <v>1.0114969469202602</v>
      </c>
      <c r="AT823" s="27">
        <f t="shared" si="246"/>
        <v>1.0252009760930854</v>
      </c>
      <c r="AU823" s="27">
        <f t="shared" si="246"/>
        <v>1.0368909620314641</v>
      </c>
      <c r="AV823" s="27">
        <f t="shared" si="246"/>
        <v>1.0455964615277633</v>
      </c>
      <c r="AW823" s="27">
        <f t="shared" si="246"/>
        <v>1.0534263177729573</v>
      </c>
      <c r="AY823" s="79"/>
      <c r="AZ823" s="79"/>
    </row>
    <row r="824" spans="1:52" x14ac:dyDescent="0.3">
      <c r="A824" s="95" t="str">
        <f t="shared" si="224"/>
        <v>BD Organic</v>
      </c>
      <c r="B824" s="95" t="s">
        <v>1228</v>
      </c>
      <c r="C824" s="95" t="s">
        <v>1127</v>
      </c>
      <c r="D824" t="s">
        <v>369</v>
      </c>
      <c r="E824" t="s">
        <v>55</v>
      </c>
      <c r="F824" t="s">
        <v>421</v>
      </c>
      <c r="G824" t="s">
        <v>1164</v>
      </c>
      <c r="H824" t="s">
        <v>1165</v>
      </c>
      <c r="I824" t="s">
        <v>139</v>
      </c>
      <c r="J824" t="s">
        <v>287</v>
      </c>
      <c r="K824" s="27">
        <f t="shared" si="245"/>
        <v>5.8359782740747899E-2</v>
      </c>
      <c r="L824" s="27">
        <f t="shared" si="246"/>
        <v>5.8391337689573865E-2</v>
      </c>
      <c r="M824" s="27">
        <f t="shared" si="246"/>
        <v>5.8466784388382168E-2</v>
      </c>
      <c r="N824" s="27">
        <f t="shared" si="246"/>
        <v>5.857803115055428E-2</v>
      </c>
      <c r="O824" s="27">
        <f t="shared" si="246"/>
        <v>5.872437103691365E-2</v>
      </c>
      <c r="P824" s="27">
        <f t="shared" si="246"/>
        <v>5.890425875881948E-2</v>
      </c>
      <c r="Q824" s="27">
        <f t="shared" si="246"/>
        <v>5.9106297224497076E-2</v>
      </c>
      <c r="R824" s="27">
        <f t="shared" si="246"/>
        <v>5.932921089397071E-2</v>
      </c>
      <c r="S824" s="27">
        <f t="shared" si="246"/>
        <v>5.9533053172061867E-2</v>
      </c>
      <c r="T824" s="27">
        <f t="shared" si="246"/>
        <v>5.9622626403998236E-2</v>
      </c>
      <c r="U824" s="27">
        <f t="shared" si="246"/>
        <v>5.9732014563410027E-2</v>
      </c>
      <c r="V824" s="27">
        <f t="shared" si="246"/>
        <v>5.9846990057404043E-2</v>
      </c>
      <c r="W824" s="27">
        <f t="shared" si="246"/>
        <v>5.9976074595492208E-2</v>
      </c>
      <c r="X824" s="27">
        <f t="shared" si="246"/>
        <v>6.0118906996584121E-2</v>
      </c>
      <c r="Y824" s="27">
        <f t="shared" si="246"/>
        <v>6.0208109427104674E-2</v>
      </c>
      <c r="Z824" s="27">
        <f t="shared" si="246"/>
        <v>6.0308885561081285E-2</v>
      </c>
      <c r="AA824" s="27">
        <f t="shared" si="246"/>
        <v>6.0419873689415794E-2</v>
      </c>
      <c r="AB824" s="27">
        <f t="shared" si="246"/>
        <v>6.0541378990392976E-2</v>
      </c>
      <c r="AC824" s="27">
        <f t="shared" si="246"/>
        <v>6.0672147346661598E-2</v>
      </c>
      <c r="AD824" s="27">
        <f t="shared" si="246"/>
        <v>6.075986875735849E-2</v>
      </c>
      <c r="AE824" s="27">
        <f t="shared" si="246"/>
        <v>6.0855100315135816E-2</v>
      </c>
      <c r="AF824" s="27">
        <f t="shared" si="246"/>
        <v>6.095860752574931E-2</v>
      </c>
      <c r="AG824" s="27">
        <f t="shared" si="246"/>
        <v>6.1071400786534412E-2</v>
      </c>
      <c r="AH824" s="27">
        <f t="shared" si="246"/>
        <v>6.1190093146373289E-2</v>
      </c>
      <c r="AI824" s="27">
        <f t="shared" si="246"/>
        <v>6.1265960925417272E-2</v>
      </c>
      <c r="AJ824" s="27">
        <f t="shared" si="246"/>
        <v>6.1349061452671098E-2</v>
      </c>
      <c r="AK824" s="27">
        <f t="shared" si="246"/>
        <v>6.1436653899188148E-2</v>
      </c>
      <c r="AL824" s="27">
        <f t="shared" si="246"/>
        <v>6.152967077586103E-2</v>
      </c>
      <c r="AM824" s="27">
        <f t="shared" si="246"/>
        <v>6.1627971048734624E-2</v>
      </c>
      <c r="AN824" s="27">
        <f t="shared" si="246"/>
        <v>6.1686054121935154E-2</v>
      </c>
      <c r="AO824" s="27">
        <f t="shared" si="246"/>
        <v>6.1748058507407479E-2</v>
      </c>
      <c r="AP824" s="27">
        <f t="shared" si="246"/>
        <v>6.1815315922285695E-2</v>
      </c>
      <c r="AQ824" s="27">
        <f t="shared" si="246"/>
        <v>6.1887761342917867E-2</v>
      </c>
      <c r="AR824" s="27">
        <f t="shared" si="246"/>
        <v>6.1965393268001254E-2</v>
      </c>
      <c r="AS824" s="27">
        <f t="shared" si="246"/>
        <v>6.2000613011444994E-2</v>
      </c>
      <c r="AT824" s="27">
        <f t="shared" si="246"/>
        <v>6.2023309807671526E-2</v>
      </c>
      <c r="AU824" s="27">
        <f t="shared" si="246"/>
        <v>6.2048189785904866E-2</v>
      </c>
      <c r="AV824" s="27">
        <f t="shared" si="246"/>
        <v>6.2074469713562223E-2</v>
      </c>
      <c r="AW824" s="27">
        <f t="shared" si="246"/>
        <v>6.2103581129763968E-2</v>
      </c>
      <c r="AY824" s="79"/>
      <c r="AZ824" s="79"/>
    </row>
    <row r="825" spans="1:52" x14ac:dyDescent="0.3">
      <c r="A825" s="95" t="str">
        <f t="shared" si="224"/>
        <v>BD Organic</v>
      </c>
      <c r="B825" s="95" t="s">
        <v>1228</v>
      </c>
      <c r="C825" s="95" t="s">
        <v>1127</v>
      </c>
      <c r="D825" t="s">
        <v>369</v>
      </c>
      <c r="E825" t="s">
        <v>55</v>
      </c>
      <c r="F825" t="s">
        <v>421</v>
      </c>
      <c r="G825" t="s">
        <v>1166</v>
      </c>
      <c r="H825" t="s">
        <v>1167</v>
      </c>
      <c r="I825" t="s">
        <v>139</v>
      </c>
      <c r="J825" t="s">
        <v>287</v>
      </c>
      <c r="K825" s="27">
        <f t="shared" si="245"/>
        <v>4.7496930236945983E-2</v>
      </c>
      <c r="L825" s="27">
        <f t="shared" si="246"/>
        <v>4.7522611675988952E-2</v>
      </c>
      <c r="M825" s="27">
        <f t="shared" si="246"/>
        <v>4.7584015033260249E-2</v>
      </c>
      <c r="N825" s="27">
        <f t="shared" si="246"/>
        <v>4.7674554775764919E-2</v>
      </c>
      <c r="O825" s="27">
        <f t="shared" si="246"/>
        <v>4.7793655551108268E-2</v>
      </c>
      <c r="P825" s="27">
        <f t="shared" si="246"/>
        <v>4.7940059704389672E-2</v>
      </c>
      <c r="Q825" s="27">
        <f t="shared" si="246"/>
        <v>4.8104491552124547E-2</v>
      </c>
      <c r="R825" s="27">
        <f t="shared" si="246"/>
        <v>4.8285912978158388E-2</v>
      </c>
      <c r="S825" s="27">
        <f t="shared" si="246"/>
        <v>4.8451812884003569E-2</v>
      </c>
      <c r="T825" s="27">
        <f t="shared" si="246"/>
        <v>4.8524713319004827E-2</v>
      </c>
      <c r="U825" s="27">
        <f t="shared" si="246"/>
        <v>4.8613740411504645E-2</v>
      </c>
      <c r="V825" s="27">
        <f t="shared" si="246"/>
        <v>4.8707314834861425E-2</v>
      </c>
      <c r="W825" s="27">
        <f t="shared" si="246"/>
        <v>4.8812372102251839E-2</v>
      </c>
      <c r="X825" s="27">
        <f t="shared" si="246"/>
        <v>4.8928618261364118E-2</v>
      </c>
      <c r="Y825" s="27">
        <f t="shared" si="246"/>
        <v>4.9001216914416376E-2</v>
      </c>
      <c r="Z825" s="27">
        <f t="shared" si="246"/>
        <v>4.908323498885471E-2</v>
      </c>
      <c r="AA825" s="27">
        <f t="shared" si="246"/>
        <v>4.9173564238571964E-2</v>
      </c>
      <c r="AB825" s="27">
        <f t="shared" si="246"/>
        <v>4.9272453037208674E-2</v>
      </c>
      <c r="AC825" s="27">
        <f t="shared" si="246"/>
        <v>4.9378880703714607E-2</v>
      </c>
      <c r="AD825" s="27">
        <f t="shared" si="246"/>
        <v>4.9450274007947166E-2</v>
      </c>
      <c r="AE825" s="27">
        <f t="shared" si="246"/>
        <v>4.9527779551040076E-2</v>
      </c>
      <c r="AF825" s="27">
        <f t="shared" si="246"/>
        <v>4.9612020350622385E-2</v>
      </c>
      <c r="AG825" s="27">
        <f t="shared" si="246"/>
        <v>4.9703818732780645E-2</v>
      </c>
      <c r="AH825" s="27">
        <f t="shared" si="246"/>
        <v>4.9800418179697173E-2</v>
      </c>
      <c r="AI825" s="27">
        <f t="shared" si="246"/>
        <v>4.9862164239042377E-2</v>
      </c>
      <c r="AJ825" s="27">
        <f t="shared" si="246"/>
        <v>4.992979677227443E-2</v>
      </c>
      <c r="AK825" s="27">
        <f t="shared" si="246"/>
        <v>5.0001085117194859E-2</v>
      </c>
      <c r="AL825" s="27">
        <f t="shared" si="246"/>
        <v>5.0076788210912958E-2</v>
      </c>
      <c r="AM825" s="27">
        <f t="shared" si="246"/>
        <v>5.0156791270960163E-2</v>
      </c>
      <c r="AN825" s="27">
        <f t="shared" si="246"/>
        <v>5.0204062997244822E-2</v>
      </c>
      <c r="AO825" s="27">
        <f t="shared" si="246"/>
        <v>5.0254526138690123E-2</v>
      </c>
      <c r="AP825" s="27">
        <f t="shared" si="246"/>
        <v>5.0309264532021343E-2</v>
      </c>
      <c r="AQ825" s="27">
        <f t="shared" si="246"/>
        <v>5.036822525682455E-2</v>
      </c>
      <c r="AR825" s="27">
        <f t="shared" si="246"/>
        <v>5.0431407091243406E-2</v>
      </c>
      <c r="AS825" s="27">
        <f t="shared" si="246"/>
        <v>5.0460071174945387E-2</v>
      </c>
      <c r="AT825" s="27">
        <f t="shared" si="246"/>
        <v>5.0478543281871534E-2</v>
      </c>
      <c r="AU825" s="27">
        <f t="shared" si="246"/>
        <v>5.0498792202188725E-2</v>
      </c>
      <c r="AV825" s="27">
        <f t="shared" si="246"/>
        <v>5.0520180491040283E-2</v>
      </c>
      <c r="AW825" s="27">
        <f t="shared" si="246"/>
        <v>5.0543873226679401E-2</v>
      </c>
      <c r="AY825" s="79"/>
      <c r="AZ825" s="79"/>
    </row>
    <row r="826" spans="1:52" x14ac:dyDescent="0.3">
      <c r="A826" s="95" t="str">
        <f t="shared" si="224"/>
        <v>BD Organic</v>
      </c>
      <c r="B826" s="95" t="s">
        <v>1228</v>
      </c>
      <c r="C826" s="95" t="s">
        <v>1127</v>
      </c>
      <c r="D826" t="s">
        <v>369</v>
      </c>
      <c r="E826" t="s">
        <v>55</v>
      </c>
      <c r="F826" t="s">
        <v>421</v>
      </c>
      <c r="G826" t="s">
        <v>1168</v>
      </c>
      <c r="H826" t="s">
        <v>1169</v>
      </c>
      <c r="I826" t="s">
        <v>139</v>
      </c>
      <c r="J826" t="s">
        <v>287</v>
      </c>
      <c r="K826" s="27">
        <f t="shared" si="245"/>
        <v>7.214092738049376E-3</v>
      </c>
      <c r="L826" s="27">
        <f t="shared" si="246"/>
        <v>7.2328458969643655E-3</v>
      </c>
      <c r="M826" s="27">
        <f t="shared" si="246"/>
        <v>7.2587152169743185E-3</v>
      </c>
      <c r="N826" s="27">
        <f t="shared" si="246"/>
        <v>7.2902308808567374E-3</v>
      </c>
      <c r="O826" s="27">
        <f t="shared" si="246"/>
        <v>7.3273479389297461E-3</v>
      </c>
      <c r="P826" s="27">
        <f t="shared" si="246"/>
        <v>7.3698404773103405E-3</v>
      </c>
      <c r="Q826" s="27">
        <f t="shared" si="246"/>
        <v>7.4155715935563154E-3</v>
      </c>
      <c r="R826" s="27">
        <f t="shared" si="246"/>
        <v>7.4643602602570466E-3</v>
      </c>
      <c r="S826" s="27">
        <f t="shared" si="246"/>
        <v>7.508606055628168E-3</v>
      </c>
      <c r="T826" s="27">
        <f t="shared" si="246"/>
        <v>7.530218392894506E-3</v>
      </c>
      <c r="U826" s="27">
        <f t="shared" si="246"/>
        <v>7.5549909541397786E-3</v>
      </c>
      <c r="V826" s="27">
        <f t="shared" si="246"/>
        <v>7.5802429112896688E-3</v>
      </c>
      <c r="W826" s="27">
        <f t="shared" si="246"/>
        <v>7.6076305558180233E-3</v>
      </c>
      <c r="X826" s="27">
        <f t="shared" si="246"/>
        <v>7.6371086242101958E-3</v>
      </c>
      <c r="Y826" s="27">
        <f t="shared" si="246"/>
        <v>7.6559732990994986E-3</v>
      </c>
      <c r="Z826" s="27">
        <f t="shared" si="246"/>
        <v>7.6766122997346123E-3</v>
      </c>
      <c r="AA826" s="27">
        <f t="shared" si="246"/>
        <v>7.6987842276677087E-3</v>
      </c>
      <c r="AB826" s="27">
        <f t="shared" si="246"/>
        <v>7.7225602786557407E-3</v>
      </c>
      <c r="AC826" s="27">
        <f t="shared" si="246"/>
        <v>7.7477172000671966E-3</v>
      </c>
      <c r="AD826" s="27">
        <f t="shared" si="246"/>
        <v>7.7644940114083667E-3</v>
      </c>
      <c r="AE826" s="27">
        <f t="shared" si="246"/>
        <v>7.7823854824558272E-3</v>
      </c>
      <c r="AF826" s="27">
        <f t="shared" si="246"/>
        <v>7.8015430548696758E-3</v>
      </c>
      <c r="AG826" s="27">
        <f t="shared" si="246"/>
        <v>7.8221613065677827E-3</v>
      </c>
      <c r="AH826" s="27">
        <f t="shared" si="246"/>
        <v>7.8436173383695379E-3</v>
      </c>
      <c r="AI826" s="27">
        <f t="shared" si="246"/>
        <v>7.8569056109017259E-3</v>
      </c>
      <c r="AJ826" s="27">
        <f t="shared" si="246"/>
        <v>7.8713258060749292E-3</v>
      </c>
      <c r="AK826" s="27">
        <f t="shared" si="246"/>
        <v>7.8863764085469988E-3</v>
      </c>
      <c r="AL826" s="27">
        <f t="shared" si="246"/>
        <v>7.9022347099283879E-3</v>
      </c>
      <c r="AM826" s="27">
        <f t="shared" si="246"/>
        <v>7.9188789980088534E-3</v>
      </c>
      <c r="AN826" s="27">
        <f t="shared" si="246"/>
        <v>7.927972418898541E-3</v>
      </c>
      <c r="AO826" s="27">
        <f t="shared" si="246"/>
        <v>7.9376387015817219E-3</v>
      </c>
      <c r="AP826" s="27">
        <f t="shared" si="246"/>
        <v>7.9481245993818089E-3</v>
      </c>
      <c r="AQ826" s="27">
        <f t="shared" si="246"/>
        <v>7.9594200977915561E-3</v>
      </c>
      <c r="AR826" s="27">
        <f t="shared" si="246"/>
        <v>7.9715264998755E-3</v>
      </c>
      <c r="AS826" s="27">
        <f t="shared" si="246"/>
        <v>7.9757936370942299E-3</v>
      </c>
      <c r="AT826" s="27">
        <f t="shared" si="246"/>
        <v>7.9776886737032964E-3</v>
      </c>
      <c r="AU826" s="27">
        <f t="shared" si="246"/>
        <v>7.979891666850529E-3</v>
      </c>
      <c r="AV826" s="27">
        <f t="shared" si="246"/>
        <v>7.9822633621210899E-3</v>
      </c>
      <c r="AW826" s="27">
        <f t="shared" si="246"/>
        <v>7.9850651414760491E-3</v>
      </c>
      <c r="AY826" s="79"/>
      <c r="AZ826" s="79"/>
    </row>
    <row r="827" spans="1:52" x14ac:dyDescent="0.3">
      <c r="A827" s="95" t="str">
        <f t="shared" si="224"/>
        <v>BD Organic</v>
      </c>
      <c r="B827" s="95" t="s">
        <v>1228</v>
      </c>
      <c r="C827" s="95" t="s">
        <v>1127</v>
      </c>
      <c r="D827" t="s">
        <v>369</v>
      </c>
      <c r="E827" t="s">
        <v>55</v>
      </c>
      <c r="F827" t="s">
        <v>421</v>
      </c>
      <c r="G827" t="s">
        <v>1170</v>
      </c>
      <c r="H827" t="s">
        <v>1171</v>
      </c>
      <c r="I827" t="s">
        <v>139</v>
      </c>
      <c r="J827" t="s">
        <v>287</v>
      </c>
      <c r="K827" s="27">
        <f t="shared" si="245"/>
        <v>8.7045671471293537E-2</v>
      </c>
      <c r="L827" s="27">
        <f t="shared" si="246"/>
        <v>8.7271948200639354E-2</v>
      </c>
      <c r="M827" s="27">
        <f t="shared" si="246"/>
        <v>8.7584088952434122E-2</v>
      </c>
      <c r="N827" s="27">
        <f t="shared" si="246"/>
        <v>8.7964358824768829E-2</v>
      </c>
      <c r="O827" s="27">
        <f t="shared" si="246"/>
        <v>8.8412215452112072E-2</v>
      </c>
      <c r="P827" s="27">
        <f t="shared" si="246"/>
        <v>8.8924932944132923E-2</v>
      </c>
      <c r="Q827" s="27">
        <f t="shared" si="246"/>
        <v>8.9476727309038592E-2</v>
      </c>
      <c r="R827" s="27">
        <f t="shared" si="246"/>
        <v>9.0065414259340087E-2</v>
      </c>
      <c r="S827" s="27">
        <f t="shared" si="246"/>
        <v>9.0599286654346481E-2</v>
      </c>
      <c r="T827" s="27">
        <f t="shared" si="246"/>
        <v>9.0860062399505684E-2</v>
      </c>
      <c r="U827" s="27">
        <f t="shared" si="246"/>
        <v>9.1158969594901898E-2</v>
      </c>
      <c r="V827" s="27">
        <f t="shared" si="246"/>
        <v>9.146366120975781E-2</v>
      </c>
      <c r="W827" s="27">
        <f t="shared" si="246"/>
        <v>9.1794122155375246E-2</v>
      </c>
      <c r="X827" s="27">
        <f t="shared" si="246"/>
        <v>9.2149806279498009E-2</v>
      </c>
      <c r="Y827" s="27">
        <f t="shared" si="246"/>
        <v>9.2377428567213551E-2</v>
      </c>
      <c r="Z827" s="27">
        <f t="shared" si="246"/>
        <v>9.2626459974767344E-2</v>
      </c>
      <c r="AA827" s="27">
        <f t="shared" si="246"/>
        <v>9.289398777414952E-2</v>
      </c>
      <c r="AB827" s="27">
        <f t="shared" si="246"/>
        <v>9.3180871017592357E-2</v>
      </c>
      <c r="AC827" s="27">
        <f t="shared" si="246"/>
        <v>9.34844159255835E-2</v>
      </c>
      <c r="AD827" s="27">
        <f t="shared" si="246"/>
        <v>9.368684592771491E-2</v>
      </c>
      <c r="AE827" s="27">
        <f t="shared" si="246"/>
        <v>9.3902725480069615E-2</v>
      </c>
      <c r="AF827" s="27">
        <f t="shared" si="246"/>
        <v>9.4133881886713511E-2</v>
      </c>
      <c r="AG827" s="27">
        <f t="shared" si="246"/>
        <v>9.4382662936360925E-2</v>
      </c>
      <c r="AH827" s="27">
        <f t="shared" si="246"/>
        <v>9.4641552690500438E-2</v>
      </c>
      <c r="AI827" s="27">
        <f t="shared" si="246"/>
        <v>9.4801889776154655E-2</v>
      </c>
      <c r="AJ827" s="27">
        <f t="shared" si="246"/>
        <v>9.4975884707627883E-2</v>
      </c>
      <c r="AK827" s="27">
        <f t="shared" si="246"/>
        <v>9.5157486171013425E-2</v>
      </c>
      <c r="AL827" s="27">
        <f t="shared" si="246"/>
        <v>9.534883337741358E-2</v>
      </c>
      <c r="AM827" s="27">
        <f t="shared" si="246"/>
        <v>9.5549664346009811E-2</v>
      </c>
      <c r="AN827" s="27">
        <f t="shared" si="246"/>
        <v>9.5659386102584815E-2</v>
      </c>
      <c r="AO827" s="27">
        <f t="shared" si="246"/>
        <v>9.5776020043586318E-2</v>
      </c>
      <c r="AP827" s="27">
        <f t="shared" si="246"/>
        <v>9.5902543509270868E-2</v>
      </c>
      <c r="AQ827" s="27">
        <f t="shared" si="246"/>
        <v>9.6038835663999289E-2</v>
      </c>
      <c r="AR827" s="27">
        <f t="shared" si="246"/>
        <v>9.6184912230625655E-2</v>
      </c>
      <c r="AS827" s="27">
        <f t="shared" si="246"/>
        <v>9.6236399761761113E-2</v>
      </c>
      <c r="AT827" s="27">
        <f t="shared" si="246"/>
        <v>9.625926538604522E-2</v>
      </c>
      <c r="AU827" s="27">
        <f t="shared" si="246"/>
        <v>9.6285846832210489E-2</v>
      </c>
      <c r="AV827" s="27">
        <f t="shared" si="246"/>
        <v>9.6314463848216167E-2</v>
      </c>
      <c r="AW827" s="27">
        <f t="shared" si="246"/>
        <v>9.6348270284329823E-2</v>
      </c>
      <c r="AY827" s="79"/>
      <c r="AZ827" s="79"/>
    </row>
    <row r="828" spans="1:52" x14ac:dyDescent="0.3">
      <c r="A828" s="95" t="str">
        <f t="shared" si="224"/>
        <v>BD Organic</v>
      </c>
      <c r="B828" s="95" t="s">
        <v>1228</v>
      </c>
      <c r="C828" s="95" t="s">
        <v>1127</v>
      </c>
      <c r="D828" t="s">
        <v>369</v>
      </c>
      <c r="E828" t="s">
        <v>55</v>
      </c>
      <c r="F828" t="s">
        <v>421</v>
      </c>
      <c r="G828" t="s">
        <v>1172</v>
      </c>
      <c r="H828" t="s">
        <v>1173</v>
      </c>
      <c r="I828" t="s">
        <v>139</v>
      </c>
      <c r="J828" t="s">
        <v>287</v>
      </c>
      <c r="K828" s="27">
        <f t="shared" si="245"/>
        <v>0</v>
      </c>
      <c r="L828" s="27">
        <f t="shared" si="246"/>
        <v>0</v>
      </c>
      <c r="M828" s="27">
        <f t="shared" si="246"/>
        <v>0</v>
      </c>
      <c r="N828" s="27">
        <f t="shared" si="246"/>
        <v>0</v>
      </c>
      <c r="O828" s="27">
        <f t="shared" si="246"/>
        <v>0</v>
      </c>
      <c r="P828" s="27">
        <f t="shared" si="246"/>
        <v>0</v>
      </c>
      <c r="Q828" s="27">
        <f t="shared" si="246"/>
        <v>0</v>
      </c>
      <c r="R828" s="27">
        <f t="shared" si="246"/>
        <v>0</v>
      </c>
      <c r="S828" s="27">
        <f t="shared" si="246"/>
        <v>0</v>
      </c>
      <c r="T828" s="27">
        <f t="shared" si="246"/>
        <v>0</v>
      </c>
      <c r="U828" s="27">
        <f t="shared" si="246"/>
        <v>0</v>
      </c>
      <c r="V828" s="27">
        <f t="shared" si="246"/>
        <v>0</v>
      </c>
      <c r="W828" s="27">
        <f t="shared" si="246"/>
        <v>0</v>
      </c>
      <c r="X828" s="27">
        <f t="shared" si="246"/>
        <v>0</v>
      </c>
      <c r="Y828" s="27">
        <f t="shared" si="246"/>
        <v>0</v>
      </c>
      <c r="Z828" s="27">
        <f t="shared" si="246"/>
        <v>0</v>
      </c>
      <c r="AA828" s="27">
        <f t="shared" si="246"/>
        <v>0</v>
      </c>
      <c r="AB828" s="27">
        <f t="shared" si="246"/>
        <v>0</v>
      </c>
      <c r="AC828" s="27">
        <f t="shared" si="246"/>
        <v>0</v>
      </c>
      <c r="AD828" s="27">
        <f t="shared" si="246"/>
        <v>0</v>
      </c>
      <c r="AE828" s="27">
        <f t="shared" si="246"/>
        <v>0</v>
      </c>
      <c r="AF828" s="27">
        <f t="shared" si="246"/>
        <v>0</v>
      </c>
      <c r="AG828" s="27">
        <f t="shared" si="246"/>
        <v>0</v>
      </c>
      <c r="AH828" s="27">
        <f t="shared" si="246"/>
        <v>0</v>
      </c>
      <c r="AI828" s="27">
        <f t="shared" si="246"/>
        <v>0</v>
      </c>
      <c r="AJ828" s="27">
        <f t="shared" si="246"/>
        <v>0</v>
      </c>
      <c r="AK828" s="27">
        <f t="shared" si="246"/>
        <v>0</v>
      </c>
      <c r="AL828" s="27">
        <f t="shared" si="246"/>
        <v>0</v>
      </c>
      <c r="AM828" s="27">
        <f t="shared" si="246"/>
        <v>0</v>
      </c>
      <c r="AN828" s="27">
        <f t="shared" si="246"/>
        <v>0</v>
      </c>
      <c r="AO828" s="27">
        <f t="shared" si="246"/>
        <v>0</v>
      </c>
      <c r="AP828" s="27">
        <f t="shared" si="246"/>
        <v>0</v>
      </c>
      <c r="AQ828" s="27">
        <f t="shared" ref="L828:AW835" si="247">AQ1476</f>
        <v>0</v>
      </c>
      <c r="AR828" s="27">
        <f t="shared" si="247"/>
        <v>0</v>
      </c>
      <c r="AS828" s="27">
        <f t="shared" si="247"/>
        <v>0</v>
      </c>
      <c r="AT828" s="27">
        <f t="shared" si="247"/>
        <v>0</v>
      </c>
      <c r="AU828" s="27">
        <f t="shared" si="247"/>
        <v>0</v>
      </c>
      <c r="AV828" s="27">
        <f t="shared" si="247"/>
        <v>0</v>
      </c>
      <c r="AW828" s="27">
        <f t="shared" si="247"/>
        <v>0</v>
      </c>
      <c r="AY828" s="79"/>
      <c r="AZ828" s="79"/>
    </row>
    <row r="829" spans="1:52" x14ac:dyDescent="0.3">
      <c r="A829" s="95" t="str">
        <f t="shared" si="224"/>
        <v>BD Organic</v>
      </c>
      <c r="B829" s="95" t="s">
        <v>1228</v>
      </c>
      <c r="C829" s="95" t="s">
        <v>1127</v>
      </c>
      <c r="D829" t="s">
        <v>369</v>
      </c>
      <c r="E829" t="s">
        <v>55</v>
      </c>
      <c r="F829" t="s">
        <v>421</v>
      </c>
      <c r="G829" t="s">
        <v>1174</v>
      </c>
      <c r="H829" t="s">
        <v>1175</v>
      </c>
      <c r="I829" t="s">
        <v>139</v>
      </c>
      <c r="J829" t="s">
        <v>287</v>
      </c>
      <c r="K829" s="27">
        <f t="shared" si="245"/>
        <v>0</v>
      </c>
      <c r="L829" s="27">
        <f t="shared" si="247"/>
        <v>0</v>
      </c>
      <c r="M829" s="27">
        <f t="shared" si="247"/>
        <v>0</v>
      </c>
      <c r="N829" s="27">
        <f t="shared" si="247"/>
        <v>0</v>
      </c>
      <c r="O829" s="27">
        <f t="shared" si="247"/>
        <v>0</v>
      </c>
      <c r="P829" s="27">
        <f t="shared" si="247"/>
        <v>0</v>
      </c>
      <c r="Q829" s="27">
        <f t="shared" si="247"/>
        <v>0</v>
      </c>
      <c r="R829" s="27">
        <f t="shared" si="247"/>
        <v>0</v>
      </c>
      <c r="S829" s="27">
        <f t="shared" si="247"/>
        <v>0</v>
      </c>
      <c r="T829" s="27">
        <f t="shared" si="247"/>
        <v>0</v>
      </c>
      <c r="U829" s="27">
        <f t="shared" si="247"/>
        <v>0</v>
      </c>
      <c r="V829" s="27">
        <f t="shared" si="247"/>
        <v>0</v>
      </c>
      <c r="W829" s="27">
        <f t="shared" si="247"/>
        <v>0</v>
      </c>
      <c r="X829" s="27">
        <f t="shared" si="247"/>
        <v>0</v>
      </c>
      <c r="Y829" s="27">
        <f t="shared" si="247"/>
        <v>0</v>
      </c>
      <c r="Z829" s="27">
        <f t="shared" si="247"/>
        <v>0</v>
      </c>
      <c r="AA829" s="27">
        <f t="shared" si="247"/>
        <v>0</v>
      </c>
      <c r="AB829" s="27">
        <f t="shared" si="247"/>
        <v>0</v>
      </c>
      <c r="AC829" s="27">
        <f t="shared" si="247"/>
        <v>0</v>
      </c>
      <c r="AD829" s="27">
        <f t="shared" si="247"/>
        <v>0</v>
      </c>
      <c r="AE829" s="27">
        <f t="shared" si="247"/>
        <v>0</v>
      </c>
      <c r="AF829" s="27">
        <f t="shared" si="247"/>
        <v>0</v>
      </c>
      <c r="AG829" s="27">
        <f t="shared" si="247"/>
        <v>0</v>
      </c>
      <c r="AH829" s="27">
        <f t="shared" si="247"/>
        <v>0</v>
      </c>
      <c r="AI829" s="27">
        <f t="shared" si="247"/>
        <v>0</v>
      </c>
      <c r="AJ829" s="27">
        <f t="shared" si="247"/>
        <v>0</v>
      </c>
      <c r="AK829" s="27">
        <f t="shared" si="247"/>
        <v>0</v>
      </c>
      <c r="AL829" s="27">
        <f t="shared" si="247"/>
        <v>0</v>
      </c>
      <c r="AM829" s="27">
        <f t="shared" si="247"/>
        <v>0</v>
      </c>
      <c r="AN829" s="27">
        <f t="shared" si="247"/>
        <v>0</v>
      </c>
      <c r="AO829" s="27">
        <f t="shared" si="247"/>
        <v>0</v>
      </c>
      <c r="AP829" s="27">
        <f t="shared" si="247"/>
        <v>0</v>
      </c>
      <c r="AQ829" s="27">
        <f t="shared" si="247"/>
        <v>0</v>
      </c>
      <c r="AR829" s="27">
        <f t="shared" si="247"/>
        <v>0</v>
      </c>
      <c r="AS829" s="27">
        <f t="shared" si="247"/>
        <v>0</v>
      </c>
      <c r="AT829" s="27">
        <f t="shared" si="247"/>
        <v>0</v>
      </c>
      <c r="AU829" s="27">
        <f t="shared" si="247"/>
        <v>0</v>
      </c>
      <c r="AV829" s="27">
        <f t="shared" si="247"/>
        <v>0</v>
      </c>
      <c r="AW829" s="27">
        <f t="shared" si="247"/>
        <v>0</v>
      </c>
      <c r="AY829" s="79"/>
      <c r="AZ829" s="79"/>
    </row>
    <row r="830" spans="1:52" x14ac:dyDescent="0.3">
      <c r="A830" s="95" t="str">
        <f t="shared" si="224"/>
        <v>BD Organic</v>
      </c>
      <c r="B830" s="95" t="s">
        <v>1228</v>
      </c>
      <c r="C830" s="95" t="s">
        <v>1127</v>
      </c>
      <c r="D830" t="s">
        <v>369</v>
      </c>
      <c r="E830" t="s">
        <v>55</v>
      </c>
      <c r="F830" t="s">
        <v>421</v>
      </c>
      <c r="G830" t="s">
        <v>1176</v>
      </c>
      <c r="H830" t="s">
        <v>1177</v>
      </c>
      <c r="I830" t="s">
        <v>139</v>
      </c>
      <c r="J830" t="s">
        <v>287</v>
      </c>
      <c r="K830" s="27">
        <f t="shared" si="245"/>
        <v>0.12462873299340151</v>
      </c>
      <c r="L830" s="27">
        <f t="shared" si="247"/>
        <v>0.1239512929347177</v>
      </c>
      <c r="M830" s="27">
        <f t="shared" si="247"/>
        <v>0.12400689511310994</v>
      </c>
      <c r="N830" s="27">
        <f t="shared" si="247"/>
        <v>0.12286841678965586</v>
      </c>
      <c r="O830" s="27">
        <f t="shared" si="247"/>
        <v>0.12100901910044999</v>
      </c>
      <c r="P830" s="27">
        <f t="shared" si="247"/>
        <v>0.11845842648899828</v>
      </c>
      <c r="Q830" s="27">
        <f t="shared" si="247"/>
        <v>0.11660641339960404</v>
      </c>
      <c r="R830" s="27">
        <f t="shared" si="247"/>
        <v>0.1149182786313902</v>
      </c>
      <c r="S830" s="27">
        <f t="shared" si="247"/>
        <v>0.10146708298993465</v>
      </c>
      <c r="T830" s="27">
        <f t="shared" si="247"/>
        <v>0.10275020296586759</v>
      </c>
      <c r="U830" s="27">
        <f t="shared" si="247"/>
        <v>0.10550352655141972</v>
      </c>
      <c r="V830" s="27">
        <f t="shared" si="247"/>
        <v>0.10575351402910073</v>
      </c>
      <c r="W830" s="27">
        <f t="shared" si="247"/>
        <v>0.10629487580237802</v>
      </c>
      <c r="X830" s="27">
        <f t="shared" si="247"/>
        <v>0.10720509536861222</v>
      </c>
      <c r="Y830" s="27">
        <f t="shared" si="247"/>
        <v>0.10834723898966528</v>
      </c>
      <c r="Z830" s="27">
        <f t="shared" si="247"/>
        <v>0.10974683917126901</v>
      </c>
      <c r="AA830" s="27">
        <f t="shared" si="247"/>
        <v>0.1111628062750292</v>
      </c>
      <c r="AB830" s="27">
        <f t="shared" si="247"/>
        <v>0.11279760688156307</v>
      </c>
      <c r="AC830" s="27">
        <f t="shared" si="247"/>
        <v>0.11442112413234014</v>
      </c>
      <c r="AD830" s="27">
        <f t="shared" si="247"/>
        <v>0.11643957996744059</v>
      </c>
      <c r="AE830" s="27">
        <f t="shared" si="247"/>
        <v>0.11829771598770626</v>
      </c>
      <c r="AF830" s="27">
        <f t="shared" si="247"/>
        <v>0.12027492127071612</v>
      </c>
      <c r="AG830" s="27">
        <f t="shared" si="247"/>
        <v>0.12268685377616716</v>
      </c>
      <c r="AH830" s="27">
        <f t="shared" si="247"/>
        <v>0.12475791099342097</v>
      </c>
      <c r="AI830" s="27">
        <f t="shared" si="247"/>
        <v>0.12699329856497024</v>
      </c>
      <c r="AJ830" s="27">
        <f t="shared" si="247"/>
        <v>0.12941943299405728</v>
      </c>
      <c r="AK830" s="27">
        <f t="shared" si="247"/>
        <v>0.13144337900700456</v>
      </c>
      <c r="AL830" s="27">
        <f t="shared" si="247"/>
        <v>0.13334140591601026</v>
      </c>
      <c r="AM830" s="27">
        <f t="shared" si="247"/>
        <v>0.13512882169953486</v>
      </c>
      <c r="AN830" s="27">
        <f t="shared" si="247"/>
        <v>0.13719268069693955</v>
      </c>
      <c r="AO830" s="27">
        <f t="shared" si="247"/>
        <v>0.13898281232646292</v>
      </c>
      <c r="AP830" s="27">
        <f t="shared" si="247"/>
        <v>0.140830682916952</v>
      </c>
      <c r="AQ830" s="27">
        <f t="shared" si="247"/>
        <v>0.14275023053200411</v>
      </c>
      <c r="AR830" s="27">
        <f t="shared" si="247"/>
        <v>0.14476547350370239</v>
      </c>
      <c r="AS830" s="27">
        <f t="shared" si="247"/>
        <v>0.14688161225730581</v>
      </c>
      <c r="AT830" s="27">
        <f t="shared" si="247"/>
        <v>0.14559391276445241</v>
      </c>
      <c r="AU830" s="27">
        <f t="shared" si="247"/>
        <v>0.14400863154663293</v>
      </c>
      <c r="AV830" s="27">
        <f t="shared" si="247"/>
        <v>0.1420082821543816</v>
      </c>
      <c r="AW830" s="27">
        <f t="shared" si="247"/>
        <v>0.13990982914905775</v>
      </c>
      <c r="AY830" s="79"/>
      <c r="AZ830" s="79"/>
    </row>
    <row r="831" spans="1:52" x14ac:dyDescent="0.3">
      <c r="A831" s="95" t="str">
        <f t="shared" si="224"/>
        <v>BD Organic</v>
      </c>
      <c r="B831" s="95" t="s">
        <v>1228</v>
      </c>
      <c r="C831" s="95" t="s">
        <v>1127</v>
      </c>
      <c r="D831" t="s">
        <v>369</v>
      </c>
      <c r="E831" t="s">
        <v>55</v>
      </c>
      <c r="F831" t="s">
        <v>421</v>
      </c>
      <c r="G831" t="s">
        <v>1178</v>
      </c>
      <c r="H831" t="s">
        <v>1179</v>
      </c>
      <c r="I831" t="s">
        <v>139</v>
      </c>
      <c r="J831" t="s">
        <v>287</v>
      </c>
      <c r="K831" s="27">
        <f t="shared" si="245"/>
        <v>3.1618785484610064E-2</v>
      </c>
      <c r="L831" s="27">
        <f t="shared" si="247"/>
        <v>3.1446916354757486E-2</v>
      </c>
      <c r="M831" s="27">
        <f t="shared" si="247"/>
        <v>3.1461022839745618E-2</v>
      </c>
      <c r="N831" s="27">
        <f t="shared" si="247"/>
        <v>3.1172186541537576E-2</v>
      </c>
      <c r="O831" s="27">
        <f t="shared" si="247"/>
        <v>3.0700450247237825E-2</v>
      </c>
      <c r="P831" s="27">
        <f t="shared" si="247"/>
        <v>3.0053355161673623E-2</v>
      </c>
      <c r="Q831" s="27">
        <f t="shared" si="247"/>
        <v>2.9583492368545915E-2</v>
      </c>
      <c r="R831" s="27">
        <f t="shared" si="247"/>
        <v>2.9155206131309674E-2</v>
      </c>
      <c r="S831" s="27">
        <f t="shared" si="247"/>
        <v>2.5742586430512242E-2</v>
      </c>
      <c r="T831" s="27">
        <f t="shared" si="247"/>
        <v>2.6068118868302407E-2</v>
      </c>
      <c r="U831" s="27">
        <f t="shared" si="247"/>
        <v>2.6766647576171875E-2</v>
      </c>
      <c r="V831" s="27">
        <f t="shared" si="247"/>
        <v>2.6830070353895639E-2</v>
      </c>
      <c r="W831" s="27">
        <f t="shared" si="247"/>
        <v>2.6967415903093594E-2</v>
      </c>
      <c r="X831" s="27">
        <f t="shared" si="247"/>
        <v>2.7198342082935097E-2</v>
      </c>
      <c r="Y831" s="27">
        <f t="shared" si="247"/>
        <v>2.7488108281140813E-2</v>
      </c>
      <c r="Z831" s="27">
        <f t="shared" si="247"/>
        <v>2.7843192191916763E-2</v>
      </c>
      <c r="AA831" s="27">
        <f t="shared" si="247"/>
        <v>2.8202428453344759E-2</v>
      </c>
      <c r="AB831" s="27">
        <f t="shared" si="247"/>
        <v>2.8617183610093744E-2</v>
      </c>
      <c r="AC831" s="27">
        <f t="shared" si="247"/>
        <v>2.902907613639907E-2</v>
      </c>
      <c r="AD831" s="27">
        <f t="shared" si="247"/>
        <v>2.9541166089713286E-2</v>
      </c>
      <c r="AE831" s="27">
        <f t="shared" si="247"/>
        <v>3.0012582293784919E-2</v>
      </c>
      <c r="AF831" s="27">
        <f t="shared" si="247"/>
        <v>3.05142068245088E-2</v>
      </c>
      <c r="AG831" s="27">
        <f t="shared" si="247"/>
        <v>3.1126123311674345E-2</v>
      </c>
      <c r="AH831" s="27">
        <f t="shared" si="247"/>
        <v>3.1651558436511636E-2</v>
      </c>
      <c r="AI831" s="27">
        <f t="shared" si="247"/>
        <v>3.2218684799767874E-2</v>
      </c>
      <c r="AJ831" s="27">
        <f t="shared" si="247"/>
        <v>3.2834204369193265E-2</v>
      </c>
      <c r="AK831" s="27">
        <f t="shared" si="247"/>
        <v>3.334768720159275E-2</v>
      </c>
      <c r="AL831" s="27">
        <f t="shared" si="247"/>
        <v>3.3829223876470492E-2</v>
      </c>
      <c r="AM831" s="27">
        <f t="shared" si="247"/>
        <v>3.4282698086419032E-2</v>
      </c>
      <c r="AN831" s="27">
        <f t="shared" si="247"/>
        <v>3.4806306995392507E-2</v>
      </c>
      <c r="AO831" s="27">
        <f t="shared" si="247"/>
        <v>3.5260470225842028E-2</v>
      </c>
      <c r="AP831" s="27">
        <f t="shared" si="247"/>
        <v>3.5729282051178403E-2</v>
      </c>
      <c r="AQ831" s="27">
        <f t="shared" si="247"/>
        <v>3.6216278611362E-2</v>
      </c>
      <c r="AR831" s="27">
        <f t="shared" si="247"/>
        <v>3.672755344896201E-2</v>
      </c>
      <c r="AS831" s="27">
        <f t="shared" si="247"/>
        <v>3.7264425931725673E-2</v>
      </c>
      <c r="AT831" s="27">
        <f t="shared" si="247"/>
        <v>3.6937731653004804E-2</v>
      </c>
      <c r="AU831" s="27">
        <f t="shared" si="247"/>
        <v>3.6535539754274135E-2</v>
      </c>
      <c r="AV831" s="27">
        <f t="shared" si="247"/>
        <v>3.6028043474654464E-2</v>
      </c>
      <c r="AW831" s="27">
        <f t="shared" si="247"/>
        <v>3.5495657933766529E-2</v>
      </c>
      <c r="AY831" s="79"/>
      <c r="AZ831" s="79"/>
    </row>
    <row r="832" spans="1:52" x14ac:dyDescent="0.3">
      <c r="A832" s="95" t="str">
        <f t="shared" si="224"/>
        <v>BD Organic</v>
      </c>
      <c r="B832" s="95" t="s">
        <v>1228</v>
      </c>
      <c r="C832" s="95" t="s">
        <v>1127</v>
      </c>
      <c r="D832" t="s">
        <v>369</v>
      </c>
      <c r="E832" t="s">
        <v>55</v>
      </c>
      <c r="F832" t="s">
        <v>421</v>
      </c>
      <c r="G832" t="s">
        <v>1180</v>
      </c>
      <c r="H832" t="s">
        <v>1181</v>
      </c>
      <c r="I832" t="s">
        <v>139</v>
      </c>
      <c r="J832" t="s">
        <v>287</v>
      </c>
      <c r="K832" s="27">
        <f t="shared" si="245"/>
        <v>0.15700744358616764</v>
      </c>
      <c r="L832" s="27">
        <f t="shared" si="247"/>
        <v>0.16019971617730658</v>
      </c>
      <c r="M832" s="27">
        <f t="shared" si="247"/>
        <v>0.16393118028621728</v>
      </c>
      <c r="N832" s="27">
        <f t="shared" si="247"/>
        <v>0.1667959170810015</v>
      </c>
      <c r="O832" s="27">
        <f t="shared" si="247"/>
        <v>0.16909558154641685</v>
      </c>
      <c r="P832" s="27">
        <f t="shared" si="247"/>
        <v>0.17081649742586277</v>
      </c>
      <c r="Q832" s="27">
        <f t="shared" si="247"/>
        <v>0.17302318661183388</v>
      </c>
      <c r="R832" s="27">
        <f t="shared" si="247"/>
        <v>0.17531753251219051</v>
      </c>
      <c r="S832" s="27">
        <f t="shared" si="247"/>
        <v>0.16751439680213853</v>
      </c>
      <c r="T832" s="27">
        <f t="shared" si="247"/>
        <v>0.17168380366965671</v>
      </c>
      <c r="U832" s="27">
        <f t="shared" si="247"/>
        <v>0.17724022876298692</v>
      </c>
      <c r="V832" s="27">
        <f t="shared" si="247"/>
        <v>0.18063841613712966</v>
      </c>
      <c r="W832" s="27">
        <f t="shared" si="247"/>
        <v>0.18434318641003919</v>
      </c>
      <c r="X832" s="27">
        <f t="shared" si="247"/>
        <v>0.188448281864291</v>
      </c>
      <c r="Y832" s="27">
        <f t="shared" si="247"/>
        <v>0.19268830884381843</v>
      </c>
      <c r="Z832" s="27">
        <f t="shared" si="247"/>
        <v>0.19725821874244767</v>
      </c>
      <c r="AA832" s="27">
        <f t="shared" si="247"/>
        <v>0.20193089933116126</v>
      </c>
      <c r="AB832" s="27">
        <f t="shared" si="247"/>
        <v>0.20692004706096712</v>
      </c>
      <c r="AC832" s="27">
        <f t="shared" si="247"/>
        <v>0.21199804978928341</v>
      </c>
      <c r="AD832" s="27">
        <f t="shared" si="247"/>
        <v>0.21747687739173732</v>
      </c>
      <c r="AE832" s="27">
        <f t="shared" si="247"/>
        <v>0.22289913009362322</v>
      </c>
      <c r="AF832" s="27">
        <f t="shared" si="247"/>
        <v>0.22857157153008073</v>
      </c>
      <c r="AG832" s="27">
        <f t="shared" si="247"/>
        <v>0.23486719230657463</v>
      </c>
      <c r="AH832" s="27">
        <f t="shared" si="247"/>
        <v>0.24091117160634945</v>
      </c>
      <c r="AI832" s="27">
        <f t="shared" si="247"/>
        <v>0.24716162450629867</v>
      </c>
      <c r="AJ832" s="27">
        <f t="shared" si="247"/>
        <v>0.25378810388351081</v>
      </c>
      <c r="AK832" s="27">
        <f t="shared" si="247"/>
        <v>0.26007320548130258</v>
      </c>
      <c r="AL832" s="27">
        <f t="shared" si="247"/>
        <v>0.26634117713838401</v>
      </c>
      <c r="AM832" s="27">
        <f t="shared" si="247"/>
        <v>0.27260643897493425</v>
      </c>
      <c r="AN832" s="27">
        <f t="shared" si="247"/>
        <v>0.2792535835644861</v>
      </c>
      <c r="AO832" s="27">
        <f t="shared" si="247"/>
        <v>0.2856890752327706</v>
      </c>
      <c r="AP832" s="27">
        <f t="shared" si="247"/>
        <v>0.29234742990941948</v>
      </c>
      <c r="AQ832" s="27">
        <f t="shared" si="247"/>
        <v>0.29925644298376841</v>
      </c>
      <c r="AR832" s="27">
        <f t="shared" si="247"/>
        <v>0.30645986851598017</v>
      </c>
      <c r="AS832" s="27">
        <f t="shared" si="247"/>
        <v>0.31385566843275581</v>
      </c>
      <c r="AT832" s="27">
        <f t="shared" si="247"/>
        <v>0.31644615504224521</v>
      </c>
      <c r="AU832" s="27">
        <f t="shared" si="247"/>
        <v>0.31859170882360827</v>
      </c>
      <c r="AV832" s="27">
        <f t="shared" si="247"/>
        <v>0.32009002936003406</v>
      </c>
      <c r="AW832" s="27">
        <f t="shared" si="247"/>
        <v>0.3213967030603942</v>
      </c>
      <c r="AY832" s="79"/>
      <c r="AZ832" s="79"/>
    </row>
    <row r="833" spans="1:52" x14ac:dyDescent="0.3">
      <c r="A833" s="95" t="str">
        <f t="shared" si="224"/>
        <v>BD Organic</v>
      </c>
      <c r="B833" s="95" t="s">
        <v>1228</v>
      </c>
      <c r="C833" s="95" t="s">
        <v>1127</v>
      </c>
      <c r="D833" t="s">
        <v>369</v>
      </c>
      <c r="E833" t="s">
        <v>55</v>
      </c>
      <c r="F833" t="s">
        <v>421</v>
      </c>
      <c r="G833" t="s">
        <v>1182</v>
      </c>
      <c r="H833" t="s">
        <v>1183</v>
      </c>
      <c r="I833" t="s">
        <v>139</v>
      </c>
      <c r="J833" t="s">
        <v>287</v>
      </c>
      <c r="K833" s="27">
        <f t="shared" si="245"/>
        <v>0.78620275218739033</v>
      </c>
      <c r="L833" s="27">
        <f t="shared" si="247"/>
        <v>0.79655563720176326</v>
      </c>
      <c r="M833" s="27">
        <f t="shared" si="247"/>
        <v>0.8131853402467214</v>
      </c>
      <c r="N833" s="27">
        <f t="shared" si="247"/>
        <v>0.81796021384654038</v>
      </c>
      <c r="O833" s="27">
        <f t="shared" si="247"/>
        <v>0.81503229757580642</v>
      </c>
      <c r="P833" s="27">
        <f t="shared" si="247"/>
        <v>0.80443274266431908</v>
      </c>
      <c r="Q833" s="27">
        <f t="shared" si="247"/>
        <v>0.79997057217510736</v>
      </c>
      <c r="R833" s="27">
        <f t="shared" si="247"/>
        <v>0.79652072541357855</v>
      </c>
      <c r="S833" s="27">
        <f t="shared" si="247"/>
        <v>0.6714256257710044</v>
      </c>
      <c r="T833" s="27">
        <f t="shared" si="247"/>
        <v>0.69801734564768969</v>
      </c>
      <c r="U833" s="27">
        <f t="shared" si="247"/>
        <v>0.74045602078801331</v>
      </c>
      <c r="V833" s="27">
        <f t="shared" si="247"/>
        <v>0.75681661805559275</v>
      </c>
      <c r="W833" s="27">
        <f t="shared" si="247"/>
        <v>0.77639522353149193</v>
      </c>
      <c r="X833" s="27">
        <f t="shared" si="247"/>
        <v>0.8001865286543951</v>
      </c>
      <c r="Y833" s="27">
        <f t="shared" si="247"/>
        <v>0.82750602154681474</v>
      </c>
      <c r="Z833" s="27">
        <f t="shared" si="247"/>
        <v>0.85809975414422934</v>
      </c>
      <c r="AA833" s="27">
        <f t="shared" si="247"/>
        <v>0.88934316122776869</v>
      </c>
      <c r="AB833" s="27">
        <f t="shared" si="247"/>
        <v>0.92360761628524812</v>
      </c>
      <c r="AC833" s="27">
        <f t="shared" si="247"/>
        <v>0.95831140706580387</v>
      </c>
      <c r="AD833" s="27">
        <f t="shared" si="247"/>
        <v>0.99882396760608316</v>
      </c>
      <c r="AE833" s="27">
        <f t="shared" si="247"/>
        <v>1.0381393848215872</v>
      </c>
      <c r="AF833" s="27">
        <f t="shared" si="247"/>
        <v>1.079611123684572</v>
      </c>
      <c r="AG833" s="27">
        <f t="shared" si="247"/>
        <v>1.1272124079778039</v>
      </c>
      <c r="AH833" s="27">
        <f t="shared" si="247"/>
        <v>1.1714796676080013</v>
      </c>
      <c r="AI833" s="27">
        <f t="shared" si="247"/>
        <v>1.2191635190702683</v>
      </c>
      <c r="AJ833" s="27">
        <f t="shared" si="247"/>
        <v>1.2702163053795446</v>
      </c>
      <c r="AK833" s="27">
        <f t="shared" si="247"/>
        <v>1.3170629000720371</v>
      </c>
      <c r="AL833" s="27">
        <f t="shared" si="247"/>
        <v>1.3631650010384939</v>
      </c>
      <c r="AM833" s="27">
        <f t="shared" si="247"/>
        <v>1.4086909019769458</v>
      </c>
      <c r="AN833" s="27">
        <f t="shared" si="247"/>
        <v>1.4592838015136291</v>
      </c>
      <c r="AO833" s="27">
        <f t="shared" si="247"/>
        <v>1.5071494225223063</v>
      </c>
      <c r="AP833" s="27">
        <f t="shared" si="247"/>
        <v>1.5567592089604327</v>
      </c>
      <c r="AQ833" s="27">
        <f t="shared" si="247"/>
        <v>1.6083690614713202</v>
      </c>
      <c r="AR833" s="27">
        <f t="shared" si="247"/>
        <v>1.6623899573120902</v>
      </c>
      <c r="AS833" s="27">
        <f t="shared" si="247"/>
        <v>1.7194351847901206</v>
      </c>
      <c r="AT833" s="27">
        <f t="shared" si="247"/>
        <v>1.7281200285400726</v>
      </c>
      <c r="AU833" s="27">
        <f t="shared" si="247"/>
        <v>1.7323570747934378</v>
      </c>
      <c r="AV833" s="27">
        <f t="shared" si="247"/>
        <v>1.7302245779661751</v>
      </c>
      <c r="AW833" s="27">
        <f t="shared" si="247"/>
        <v>1.7262788410170404</v>
      </c>
      <c r="AY833" s="79"/>
      <c r="AZ833" s="79"/>
    </row>
    <row r="834" spans="1:52" x14ac:dyDescent="0.3">
      <c r="A834" s="95" t="str">
        <f t="shared" si="224"/>
        <v>BD U&amp;D</v>
      </c>
      <c r="B834" s="95" t="s">
        <v>1228</v>
      </c>
      <c r="C834" s="95" t="s">
        <v>1336</v>
      </c>
      <c r="D834" t="s">
        <v>369</v>
      </c>
      <c r="E834" t="s">
        <v>55</v>
      </c>
      <c r="F834" t="s">
        <v>422</v>
      </c>
      <c r="G834" t="s">
        <v>1152</v>
      </c>
      <c r="H834" t="s">
        <v>1240</v>
      </c>
      <c r="I834" t="s">
        <v>139</v>
      </c>
      <c r="J834" t="s">
        <v>287</v>
      </c>
      <c r="K834" s="27">
        <f t="shared" si="245"/>
        <v>0</v>
      </c>
      <c r="L834" s="27">
        <f t="shared" si="247"/>
        <v>0</v>
      </c>
      <c r="M834" s="27">
        <f t="shared" si="247"/>
        <v>0</v>
      </c>
      <c r="N834" s="27">
        <f t="shared" si="247"/>
        <v>0</v>
      </c>
      <c r="O834" s="27">
        <f t="shared" si="247"/>
        <v>0</v>
      </c>
      <c r="P834" s="27">
        <f t="shared" si="247"/>
        <v>0</v>
      </c>
      <c r="Q834" s="27">
        <f t="shared" si="247"/>
        <v>0</v>
      </c>
      <c r="R834" s="27">
        <f t="shared" si="247"/>
        <v>0</v>
      </c>
      <c r="S834" s="27">
        <f t="shared" si="247"/>
        <v>0</v>
      </c>
      <c r="T834" s="27">
        <f t="shared" si="247"/>
        <v>0</v>
      </c>
      <c r="U834" s="27">
        <f t="shared" si="247"/>
        <v>0</v>
      </c>
      <c r="V834" s="27">
        <f t="shared" si="247"/>
        <v>0</v>
      </c>
      <c r="W834" s="27">
        <f t="shared" si="247"/>
        <v>0</v>
      </c>
      <c r="X834" s="27">
        <f t="shared" si="247"/>
        <v>0</v>
      </c>
      <c r="Y834" s="27">
        <f t="shared" si="247"/>
        <v>0</v>
      </c>
      <c r="Z834" s="27">
        <f t="shared" si="247"/>
        <v>0</v>
      </c>
      <c r="AA834" s="27">
        <f t="shared" si="247"/>
        <v>0</v>
      </c>
      <c r="AB834" s="27">
        <f t="shared" si="247"/>
        <v>0</v>
      </c>
      <c r="AC834" s="27">
        <f t="shared" si="247"/>
        <v>0</v>
      </c>
      <c r="AD834" s="27">
        <f t="shared" si="247"/>
        <v>0</v>
      </c>
      <c r="AE834" s="27">
        <f t="shared" si="247"/>
        <v>0</v>
      </c>
      <c r="AF834" s="27">
        <f t="shared" si="247"/>
        <v>0</v>
      </c>
      <c r="AG834" s="27">
        <f t="shared" si="247"/>
        <v>0</v>
      </c>
      <c r="AH834" s="27">
        <f t="shared" si="247"/>
        <v>0</v>
      </c>
      <c r="AI834" s="27">
        <f t="shared" si="247"/>
        <v>0</v>
      </c>
      <c r="AJ834" s="27">
        <f t="shared" si="247"/>
        <v>0</v>
      </c>
      <c r="AK834" s="27">
        <f t="shared" si="247"/>
        <v>0</v>
      </c>
      <c r="AL834" s="27">
        <f t="shared" si="247"/>
        <v>0</v>
      </c>
      <c r="AM834" s="27">
        <f t="shared" si="247"/>
        <v>0</v>
      </c>
      <c r="AN834" s="27">
        <f t="shared" si="247"/>
        <v>0</v>
      </c>
      <c r="AO834" s="27">
        <f t="shared" si="247"/>
        <v>0</v>
      </c>
      <c r="AP834" s="27">
        <f t="shared" si="247"/>
        <v>0</v>
      </c>
      <c r="AQ834" s="27">
        <f t="shared" si="247"/>
        <v>0</v>
      </c>
      <c r="AR834" s="27">
        <f t="shared" si="247"/>
        <v>0</v>
      </c>
      <c r="AS834" s="27">
        <f t="shared" si="247"/>
        <v>0</v>
      </c>
      <c r="AT834" s="27">
        <f t="shared" si="247"/>
        <v>0</v>
      </c>
      <c r="AU834" s="27">
        <f t="shared" si="247"/>
        <v>0</v>
      </c>
      <c r="AV834" s="27">
        <f t="shared" si="247"/>
        <v>0</v>
      </c>
      <c r="AW834" s="27">
        <f t="shared" si="247"/>
        <v>0</v>
      </c>
      <c r="AY834" s="79"/>
      <c r="AZ834" s="79"/>
    </row>
    <row r="835" spans="1:52" x14ac:dyDescent="0.3">
      <c r="A835" s="95" t="str">
        <f t="shared" si="224"/>
        <v>BD U&amp;D</v>
      </c>
      <c r="B835" s="95" t="s">
        <v>1228</v>
      </c>
      <c r="C835" s="95" t="s">
        <v>1336</v>
      </c>
      <c r="D835" t="s">
        <v>369</v>
      </c>
      <c r="E835" t="s">
        <v>55</v>
      </c>
      <c r="F835" t="s">
        <v>422</v>
      </c>
      <c r="G835" t="s">
        <v>1154</v>
      </c>
      <c r="H835" t="s">
        <v>1241</v>
      </c>
      <c r="I835" t="s">
        <v>139</v>
      </c>
      <c r="J835" t="s">
        <v>287</v>
      </c>
      <c r="K835" s="27">
        <f t="shared" si="245"/>
        <v>1.0775797812462991</v>
      </c>
      <c r="L835" s="27">
        <f t="shared" si="247"/>
        <v>1.0836040032789305</v>
      </c>
      <c r="M835" s="27">
        <f t="shared" si="247"/>
        <v>1.0921513426512339</v>
      </c>
      <c r="N835" s="27">
        <f t="shared" si="247"/>
        <v>1.0976439186771809</v>
      </c>
      <c r="O835" s="27">
        <f t="shared" si="247"/>
        <v>1.1012937605673538</v>
      </c>
      <c r="P835" s="27">
        <f t="shared" si="247"/>
        <v>1.1030649457277464</v>
      </c>
      <c r="Q835" s="27">
        <f t="shared" si="247"/>
        <v>1.1069781529146336</v>
      </c>
      <c r="R835" s="27">
        <f t="shared" si="247"/>
        <v>1.1114672588381171</v>
      </c>
      <c r="S835" s="27">
        <f t="shared" si="247"/>
        <v>1.0780569980949297</v>
      </c>
      <c r="T835" s="27">
        <f t="shared" si="247"/>
        <v>1.0893928957031254</v>
      </c>
      <c r="U835" s="27">
        <f t="shared" si="247"/>
        <v>1.1059856502817549</v>
      </c>
      <c r="V835" s="27">
        <f t="shared" si="247"/>
        <v>1.1145860741325027</v>
      </c>
      <c r="W835" s="27">
        <f t="shared" si="247"/>
        <v>1.1244152137402783</v>
      </c>
      <c r="X835" s="27">
        <f t="shared" si="247"/>
        <v>1.1357914130193381</v>
      </c>
      <c r="Y835" s="27">
        <f t="shared" si="247"/>
        <v>1.1474086589431955</v>
      </c>
      <c r="Z835" s="27">
        <f t="shared" si="247"/>
        <v>1.1602674519477969</v>
      </c>
      <c r="AA835" s="27">
        <f t="shared" si="247"/>
        <v>1.1735245752036907</v>
      </c>
      <c r="AB835" s="27">
        <f t="shared" si="247"/>
        <v>1.18794114106982</v>
      </c>
      <c r="AC835" s="27">
        <f t="shared" si="247"/>
        <v>1.2026829177053815</v>
      </c>
      <c r="AD835" s="27">
        <f t="shared" si="247"/>
        <v>1.218608900056573</v>
      </c>
      <c r="AE835" s="27">
        <f t="shared" si="247"/>
        <v>1.2343193345034551</v>
      </c>
      <c r="AF835" s="27">
        <f t="shared" ref="L835:AW837" si="248">AF1483</f>
        <v>1.2509015809248898</v>
      </c>
      <c r="AG835" s="27">
        <f t="shared" si="248"/>
        <v>1.2696588428853492</v>
      </c>
      <c r="AH835" s="27">
        <f t="shared" si="248"/>
        <v>1.2874926850325319</v>
      </c>
      <c r="AI835" s="27">
        <f t="shared" si="248"/>
        <v>1.3057811956925069</v>
      </c>
      <c r="AJ835" s="27">
        <f t="shared" si="248"/>
        <v>1.3253399300509145</v>
      </c>
      <c r="AK835" s="27">
        <f t="shared" si="248"/>
        <v>1.3436641070257576</v>
      </c>
      <c r="AL835" s="27">
        <f t="shared" si="248"/>
        <v>1.361888843730743</v>
      </c>
      <c r="AM835" s="27">
        <f t="shared" si="248"/>
        <v>1.380064832160125</v>
      </c>
      <c r="AN835" s="27">
        <f t="shared" si="248"/>
        <v>1.3992944829741121</v>
      </c>
      <c r="AO835" s="27">
        <f t="shared" si="248"/>
        <v>1.4177506785056255</v>
      </c>
      <c r="AP835" s="27">
        <f t="shared" si="248"/>
        <v>1.4369235538048923</v>
      </c>
      <c r="AQ835" s="27">
        <f t="shared" si="248"/>
        <v>1.4569005528602124</v>
      </c>
      <c r="AR835" s="27">
        <f t="shared" si="248"/>
        <v>1.4778222948761157</v>
      </c>
      <c r="AS835" s="27">
        <f t="shared" si="248"/>
        <v>1.499114114952786</v>
      </c>
      <c r="AT835" s="27">
        <f t="shared" si="248"/>
        <v>1.5041622353362427</v>
      </c>
      <c r="AU835" s="27">
        <f t="shared" si="248"/>
        <v>1.5077549671708836</v>
      </c>
      <c r="AV835" s="27">
        <f t="shared" si="248"/>
        <v>1.5092269750444909</v>
      </c>
      <c r="AW835" s="27">
        <f t="shared" si="248"/>
        <v>1.5101158131362518</v>
      </c>
      <c r="AY835" s="79"/>
      <c r="AZ835" s="79"/>
    </row>
    <row r="836" spans="1:52" x14ac:dyDescent="0.3">
      <c r="A836" s="95" t="str">
        <f t="shared" si="224"/>
        <v>BD U&amp;D</v>
      </c>
      <c r="B836" s="95" t="s">
        <v>1228</v>
      </c>
      <c r="C836" s="95" t="s">
        <v>1336</v>
      </c>
      <c r="D836" t="s">
        <v>369</v>
      </c>
      <c r="E836" t="s">
        <v>55</v>
      </c>
      <c r="F836" t="s">
        <v>422</v>
      </c>
      <c r="G836" t="s">
        <v>1156</v>
      </c>
      <c r="H836" t="s">
        <v>1242</v>
      </c>
      <c r="I836" t="s">
        <v>139</v>
      </c>
      <c r="J836" t="s">
        <v>287</v>
      </c>
      <c r="K836" s="27">
        <f t="shared" si="245"/>
        <v>0.73383920392416069</v>
      </c>
      <c r="L836" s="27">
        <f t="shared" si="248"/>
        <v>0.7379417403466384</v>
      </c>
      <c r="M836" s="27">
        <f t="shared" si="248"/>
        <v>0.74376253694082328</v>
      </c>
      <c r="N836" s="27">
        <f t="shared" si="248"/>
        <v>0.74750301879518044</v>
      </c>
      <c r="O836" s="27">
        <f t="shared" si="248"/>
        <v>0.74998858609492636</v>
      </c>
      <c r="P836" s="27">
        <f t="shared" si="248"/>
        <v>0.75119477530775824</v>
      </c>
      <c r="Q836" s="27">
        <f t="shared" si="248"/>
        <v>0.7538596961765357</v>
      </c>
      <c r="R836" s="27">
        <f t="shared" si="248"/>
        <v>0.75691680802528427</v>
      </c>
      <c r="S836" s="27">
        <f t="shared" si="248"/>
        <v>0.73416419186323789</v>
      </c>
      <c r="T836" s="27">
        <f t="shared" si="248"/>
        <v>0.74188401569562545</v>
      </c>
      <c r="U836" s="27">
        <f t="shared" si="248"/>
        <v>0.75318379509275502</v>
      </c>
      <c r="V836" s="27">
        <f t="shared" si="248"/>
        <v>0.75904074257996901</v>
      </c>
      <c r="W836" s="27">
        <f t="shared" si="248"/>
        <v>0.76573445390469996</v>
      </c>
      <c r="X836" s="27">
        <f t="shared" si="248"/>
        <v>0.77348172345069344</v>
      </c>
      <c r="Y836" s="27">
        <f t="shared" si="248"/>
        <v>0.78139314741105659</v>
      </c>
      <c r="Z836" s="27">
        <f t="shared" si="248"/>
        <v>0.79015007342818022</v>
      </c>
      <c r="AA836" s="27">
        <f t="shared" si="248"/>
        <v>0.79917826507184453</v>
      </c>
      <c r="AB836" s="27">
        <f t="shared" si="248"/>
        <v>0.80899604506608758</v>
      </c>
      <c r="AC836" s="27">
        <f t="shared" si="248"/>
        <v>0.81903529581943424</v>
      </c>
      <c r="AD836" s="27">
        <f t="shared" si="248"/>
        <v>0.82988099876756494</v>
      </c>
      <c r="AE836" s="27">
        <f t="shared" si="248"/>
        <v>0.84057991211806271</v>
      </c>
      <c r="AF836" s="27">
        <f t="shared" si="248"/>
        <v>0.8518725353882447</v>
      </c>
      <c r="AG836" s="27">
        <f t="shared" si="248"/>
        <v>0.86464635912215038</v>
      </c>
      <c r="AH836" s="27">
        <f t="shared" si="248"/>
        <v>0.87679132764509471</v>
      </c>
      <c r="AI836" s="27">
        <f t="shared" si="248"/>
        <v>0.88924592853613249</v>
      </c>
      <c r="AJ836" s="27">
        <f t="shared" si="248"/>
        <v>0.90256556045678527</v>
      </c>
      <c r="AK836" s="27">
        <f t="shared" si="248"/>
        <v>0.91504445035228033</v>
      </c>
      <c r="AL836" s="27">
        <f t="shared" si="248"/>
        <v>0.92745562074362309</v>
      </c>
      <c r="AM836" s="27">
        <f t="shared" si="248"/>
        <v>0.93983359322574034</v>
      </c>
      <c r="AN836" s="27">
        <f t="shared" si="248"/>
        <v>0.95292911700102378</v>
      </c>
      <c r="AO836" s="27">
        <f t="shared" si="248"/>
        <v>0.9654979124368942</v>
      </c>
      <c r="AP836" s="27">
        <f t="shared" si="248"/>
        <v>0.97855477169819061</v>
      </c>
      <c r="AQ836" s="27">
        <f t="shared" si="248"/>
        <v>0.99215924473924411</v>
      </c>
      <c r="AR836" s="27">
        <f t="shared" si="248"/>
        <v>1.0064070942004693</v>
      </c>
      <c r="AS836" s="27">
        <f t="shared" si="248"/>
        <v>1.0209069693531829</v>
      </c>
      <c r="AT836" s="27">
        <f t="shared" si="248"/>
        <v>1.0243447738739997</v>
      </c>
      <c r="AU836" s="27">
        <f t="shared" si="248"/>
        <v>1.0267914488351768</v>
      </c>
      <c r="AV836" s="27">
        <f t="shared" si="248"/>
        <v>1.0277938962687103</v>
      </c>
      <c r="AW836" s="27">
        <f t="shared" si="248"/>
        <v>1.0283992010907079</v>
      </c>
      <c r="AY836" s="79"/>
      <c r="AZ836" s="79"/>
    </row>
    <row r="837" spans="1:52" x14ac:dyDescent="0.3">
      <c r="A837" s="95" t="str">
        <f t="shared" si="224"/>
        <v>BD U&amp;D</v>
      </c>
      <c r="B837" s="95" t="s">
        <v>1228</v>
      </c>
      <c r="C837" s="95" t="s">
        <v>1336</v>
      </c>
      <c r="D837" t="s">
        <v>369</v>
      </c>
      <c r="E837" t="s">
        <v>55</v>
      </c>
      <c r="F837" t="s">
        <v>422</v>
      </c>
      <c r="G837" t="s">
        <v>1158</v>
      </c>
      <c r="H837" t="s">
        <v>1243</v>
      </c>
      <c r="I837" t="s">
        <v>139</v>
      </c>
      <c r="J837" t="s">
        <v>287</v>
      </c>
      <c r="K837" s="27">
        <f t="shared" si="245"/>
        <v>15.353527292296844</v>
      </c>
      <c r="L837" s="27">
        <f t="shared" si="248"/>
        <v>15.220371053361486</v>
      </c>
      <c r="M837" s="27">
        <f t="shared" si="248"/>
        <v>15.169682504177887</v>
      </c>
      <c r="N837" s="27">
        <f t="shared" si="248"/>
        <v>14.967111251021189</v>
      </c>
      <c r="O837" s="27">
        <f t="shared" si="248"/>
        <v>14.673074129931953</v>
      </c>
      <c r="P837" s="27">
        <f t="shared" si="248"/>
        <v>14.293651368256896</v>
      </c>
      <c r="Q837" s="27">
        <f t="shared" si="248"/>
        <v>13.994389539168758</v>
      </c>
      <c r="R837" s="27">
        <f t="shared" si="248"/>
        <v>13.711253827544139</v>
      </c>
      <c r="S837" s="27">
        <f t="shared" si="248"/>
        <v>12.061906249102522</v>
      </c>
      <c r="T837" s="27">
        <f t="shared" si="248"/>
        <v>12.257827954761961</v>
      </c>
      <c r="U837" s="27">
        <f t="shared" si="248"/>
        <v>12.623326077373568</v>
      </c>
      <c r="V837" s="27">
        <f t="shared" si="248"/>
        <v>12.696320274115601</v>
      </c>
      <c r="W837" s="27">
        <f t="shared" si="248"/>
        <v>12.80159889911199</v>
      </c>
      <c r="X837" s="27">
        <f t="shared" si="248"/>
        <v>12.948464903220069</v>
      </c>
      <c r="Y837" s="27">
        <f t="shared" si="248"/>
        <v>13.116926910965395</v>
      </c>
      <c r="Z837" s="27">
        <f t="shared" si="248"/>
        <v>13.314439769643803</v>
      </c>
      <c r="AA837" s="27">
        <f t="shared" si="248"/>
        <v>13.51286360181456</v>
      </c>
      <c r="AB837" s="27">
        <f t="shared" si="248"/>
        <v>13.736029185929986</v>
      </c>
      <c r="AC837" s="27">
        <f t="shared" si="248"/>
        <v>13.956980095887328</v>
      </c>
      <c r="AD837" s="27">
        <f t="shared" si="248"/>
        <v>14.10090814419179</v>
      </c>
      <c r="AE837" s="27">
        <f t="shared" si="248"/>
        <v>14.219083101971489</v>
      </c>
      <c r="AF837" s="27">
        <f t="shared" si="248"/>
        <v>14.343928249023508</v>
      </c>
      <c r="AG837" s="27">
        <f t="shared" si="248"/>
        <v>14.51096965309287</v>
      </c>
      <c r="AH837" s="27">
        <f t="shared" si="248"/>
        <v>14.631100213840327</v>
      </c>
      <c r="AI837" s="27">
        <f t="shared" si="248"/>
        <v>14.759129789982603</v>
      </c>
      <c r="AJ837" s="27">
        <f t="shared" si="248"/>
        <v>14.900063859192302</v>
      </c>
      <c r="AK837" s="27">
        <f t="shared" si="248"/>
        <v>14.987884546338787</v>
      </c>
      <c r="AL837" s="27">
        <f t="shared" si="248"/>
        <v>15.053769229100121</v>
      </c>
      <c r="AM837" s="27">
        <f t="shared" si="248"/>
        <v>15.099596245527735</v>
      </c>
      <c r="AN837" s="27">
        <f t="shared" si="248"/>
        <v>15.242060327526691</v>
      </c>
      <c r="AO837" s="27">
        <f t="shared" si="248"/>
        <v>15.350351065013276</v>
      </c>
      <c r="AP837" s="27">
        <f t="shared" si="248"/>
        <v>15.4600087454617</v>
      </c>
      <c r="AQ837" s="27">
        <f t="shared" si="248"/>
        <v>15.572287803164578</v>
      </c>
      <c r="AR837" s="27">
        <f t="shared" si="248"/>
        <v>15.689452381356277</v>
      </c>
      <c r="AS837" s="27">
        <f t="shared" si="248"/>
        <v>15.809749281637989</v>
      </c>
      <c r="AT837" s="27">
        <f t="shared" si="248"/>
        <v>15.572449633225865</v>
      </c>
      <c r="AU837" s="27">
        <f t="shared" si="248"/>
        <v>15.303629040465463</v>
      </c>
      <c r="AV837" s="27">
        <f t="shared" si="248"/>
        <v>14.991979745020995</v>
      </c>
      <c r="AW837" s="27">
        <f t="shared" si="248"/>
        <v>14.670563587286086</v>
      </c>
      <c r="AY837" s="79"/>
      <c r="AZ837" s="79"/>
    </row>
    <row r="838" spans="1:52" x14ac:dyDescent="0.3">
      <c r="A838" s="95" t="str">
        <f t="shared" si="224"/>
        <v>BD U&amp;D</v>
      </c>
      <c r="B838" s="95" t="s">
        <v>1228</v>
      </c>
      <c r="C838" s="95" t="s">
        <v>1336</v>
      </c>
      <c r="D838" t="s">
        <v>369</v>
      </c>
      <c r="E838" t="s">
        <v>55</v>
      </c>
      <c r="F838" t="s">
        <v>422</v>
      </c>
      <c r="G838" t="s">
        <v>1160</v>
      </c>
      <c r="H838" t="s">
        <v>1244</v>
      </c>
      <c r="I838" t="s">
        <v>139</v>
      </c>
      <c r="J838" t="s">
        <v>287</v>
      </c>
      <c r="K838" s="94">
        <f>IF('Net zero activities &amp; levers'!$C$10="Off",'Activity data'!AD70*UDCPPEF*NtoN2O*kgtoGg,IF('Net zero activities &amp; levers'!$C$10="On",'Net zero Activity data'!AD70*UDCPPEF*NtoN2O*kgtoGg,"ERROR"))</f>
        <v>9.6543103644621464</v>
      </c>
      <c r="L838" s="94">
        <f>IF('Net zero activities &amp; levers'!$C$10="Off",'Activity data'!AE70*UDCPPEF*NtoN2O*kgtoGg,IF('Net zero activities &amp; levers'!$C$10="On",'Net zero Activity data'!AE70*UDCPPEF*NtoN2O*kgtoGg,"ERROR"))</f>
        <v>9.570581613851763</v>
      </c>
      <c r="M838" s="94">
        <f>IF('Net zero activities &amp; levers'!$C$10="Off",'Activity data'!AF70*UDCPPEF*NtoN2O*kgtoGg,IF('Net zero activities &amp; levers'!$C$10="On",'Net zero Activity data'!AF70*UDCPPEF*NtoN2O*kgtoGg,"ERROR"))</f>
        <v>9.5387086131773007</v>
      </c>
      <c r="N838" s="94">
        <f>IF('Net zero activities &amp; levers'!$C$10="Off",'Activity data'!AG70*UDCPPEF*NtoN2O*kgtoGg,IF('Net zero activities &amp; levers'!$C$10="On",'Net zero Activity data'!AG70*UDCPPEF*NtoN2O*kgtoGg,"ERROR"))</f>
        <v>9.4113316455488931</v>
      </c>
      <c r="O838" s="94">
        <f>IF('Net zero activities &amp; levers'!$C$10="Off",'Activity data'!AH70*UDCPPEF*NtoN2O*kgtoGg,IF('Net zero activities &amp; levers'!$C$10="On",'Net zero Activity data'!AH70*UDCPPEF*NtoN2O*kgtoGg,"ERROR"))</f>
        <v>9.2264408662754782</v>
      </c>
      <c r="P838" s="94">
        <f>IF('Net zero activities &amp; levers'!$C$10="Off",'Activity data'!AI70*UDCPPEF*NtoN2O*kgtoGg,IF('Net zero activities &amp; levers'!$C$10="On",'Net zero Activity data'!AI70*UDCPPEF*NtoN2O*kgtoGg,"ERROR"))</f>
        <v>8.9878595272244652</v>
      </c>
      <c r="Q838" s="94">
        <f>IF('Net zero activities &amp; levers'!$C$10="Off",'Activity data'!AJ70*UDCPPEF*NtoN2O*kgtoGg,IF('Net zero activities &amp; levers'!$C$10="On",'Net zero Activity data'!AJ70*UDCPPEF*NtoN2O*kgtoGg,"ERROR"))</f>
        <v>8.7996834473406587</v>
      </c>
      <c r="R838" s="94">
        <f>IF('Net zero activities &amp; levers'!$C$10="Off",'Activity data'!AK70*UDCPPEF*NtoN2O*kgtoGg,IF('Net zero activities &amp; levers'!$C$10="On",'Net zero Activity data'!AK70*UDCPPEF*NtoN2O*kgtoGg,"ERROR"))</f>
        <v>8.6216474831450967</v>
      </c>
      <c r="S838" s="94">
        <f>IF('Net zero activities &amp; levers'!$C$10="Off",'Activity data'!AL70*UDCPPEF*NtoN2O*kgtoGg,IF('Net zero activities &amp; levers'!$C$10="On",'Net zero Activity data'!AL70*UDCPPEF*NtoN2O*kgtoGg,"ERROR"))</f>
        <v>7.5845363934257692</v>
      </c>
      <c r="T838" s="94">
        <f>IF('Net zero activities &amp; levers'!$C$10="Off",'Activity data'!AM70*UDCPPEF*NtoN2O*kgtoGg,IF('Net zero activities &amp; levers'!$C$10="On",'Net zero Activity data'!AM70*UDCPPEF*NtoN2O*kgtoGg,"ERROR"))</f>
        <v>7.7077321202161873</v>
      </c>
      <c r="U838" s="94">
        <f>IF('Net zero activities &amp; levers'!$C$10="Off",'Activity data'!AN70*UDCPPEF*NtoN2O*kgtoGg,IF('Net zero activities &amp; levers'!$C$10="On",'Net zero Activity data'!AN70*UDCPPEF*NtoN2O*kgtoGg,"ERROR"))</f>
        <v>7.9375576349753283</v>
      </c>
      <c r="V838" s="94">
        <f>IF('Net zero activities &amp; levers'!$C$10="Off",'Activity data'!AO70*UDCPPEF*NtoN2O*kgtoGg,IF('Net zero activities &amp; levers'!$C$10="On",'Net zero Activity data'!AO70*UDCPPEF*NtoN2O*kgtoGg,"ERROR"))</f>
        <v>7.9834564448537479</v>
      </c>
      <c r="W838" s="94">
        <f>IF('Net zero activities &amp; levers'!$C$10="Off",'Activity data'!AP70*UDCPPEF*NtoN2O*kgtoGg,IF('Net zero activities &amp; levers'!$C$10="On",'Net zero Activity data'!AP70*UDCPPEF*NtoN2O*kgtoGg,"ERROR"))</f>
        <v>8.0496557292988875</v>
      </c>
      <c r="X838" s="94">
        <f>IF('Net zero activities &amp; levers'!$C$10="Off",'Activity data'!AQ70*UDCPPEF*NtoN2O*kgtoGg,IF('Net zero activities &amp; levers'!$C$10="On",'Net zero Activity data'!AQ70*UDCPPEF*NtoN2O*kgtoGg,"ERROR"))</f>
        <v>8.1420051913250582</v>
      </c>
      <c r="Y838" s="94">
        <f>IF('Net zero activities &amp; levers'!$C$10="Off",'Activity data'!AR70*UDCPPEF*NtoN2O*kgtoGg,IF('Net zero activities &amp; levers'!$C$10="On",'Net zero Activity data'!AR70*UDCPPEF*NtoN2O*kgtoGg,"ERROR"))</f>
        <v>8.2479342378842677</v>
      </c>
      <c r="Z838" s="94">
        <f>IF('Net zero activities &amp; levers'!$C$10="Off",'Activity data'!AS70*UDCPPEF*NtoN2O*kgtoGg,IF('Net zero activities &amp; levers'!$C$10="On",'Net zero Activity data'!AS70*UDCPPEF*NtoN2O*kgtoGg,"ERROR"))</f>
        <v>8.3721304829783953</v>
      </c>
      <c r="AA838" s="94">
        <f>IF('Net zero activities &amp; levers'!$C$10="Off",'Activity data'!AT70*UDCPPEF*NtoN2O*kgtoGg,IF('Net zero activities &amp; levers'!$C$10="On",'Net zero Activity data'!AT70*UDCPPEF*NtoN2O*kgtoGg,"ERROR"))</f>
        <v>8.4968995489404282</v>
      </c>
      <c r="AB838" s="94">
        <f>IF('Net zero activities &amp; levers'!$C$10="Off",'Activity data'!AU70*UDCPPEF*NtoN2O*kgtoGg,IF('Net zero activities &amp; levers'!$C$10="On",'Net zero Activity data'!AU70*UDCPPEF*NtoN2O*kgtoGg,"ERROR"))</f>
        <v>8.6372262485124356</v>
      </c>
      <c r="AC838" s="94">
        <f>IF('Net zero activities &amp; levers'!$C$10="Off",'Activity data'!AV70*UDCPPEF*NtoN2O*kgtoGg,IF('Net zero activities &amp; levers'!$C$10="On",'Net zero Activity data'!AV70*UDCPPEF*NtoN2O*kgtoGg,"ERROR"))</f>
        <v>8.7761603591847646</v>
      </c>
      <c r="AD838" s="94">
        <f>IF('Net zero activities &amp; levers'!$C$10="Off",'Activity data'!AW70*UDCPPEF*NtoN2O*kgtoGg,IF('Net zero activities &amp; levers'!$C$10="On",'Net zero Activity data'!AW70*UDCPPEF*NtoN2O*kgtoGg,"ERROR"))</f>
        <v>8.8666624322282459</v>
      </c>
      <c r="AE838" s="94">
        <f>IF('Net zero activities &amp; levers'!$C$10="Off",'Activity data'!AX70*UDCPPEF*NtoN2O*kgtoGg,IF('Net zero activities &amp; levers'!$C$10="On",'Net zero Activity data'!AX70*UDCPPEF*NtoN2O*kgtoGg,"ERROR"))</f>
        <v>8.9409709411455953</v>
      </c>
      <c r="AF838" s="94">
        <f>IF('Net zero activities &amp; levers'!$C$10="Off",'Activity data'!AY70*UDCPPEF*NtoN2O*kgtoGg,IF('Net zero activities &amp; levers'!$C$10="On",'Net zero Activity data'!AY70*UDCPPEF*NtoN2O*kgtoGg,"ERROR"))</f>
        <v>9.0194736704657732</v>
      </c>
      <c r="AG838" s="94">
        <f>IF('Net zero activities &amp; levers'!$C$10="Off",'Activity data'!AZ70*UDCPPEF*NtoN2O*kgtoGg,IF('Net zero activities &amp; levers'!$C$10="On",'Net zero Activity data'!AZ70*UDCPPEF*NtoN2O*kgtoGg,"ERROR"))</f>
        <v>9.1245094402859266</v>
      </c>
      <c r="AH838" s="94">
        <f>IF('Net zero activities &amp; levers'!$C$10="Off",'Activity data'!BA70*UDCPPEF*NtoN2O*kgtoGg,IF('Net zero activities &amp; levers'!$C$10="On",'Net zero Activity data'!BA70*UDCPPEF*NtoN2O*kgtoGg,"ERROR"))</f>
        <v>9.2000476339292057</v>
      </c>
      <c r="AI838" s="94">
        <f>IF('Net zero activities &amp; levers'!$C$10="Off",'Activity data'!BB70*UDCPPEF*NtoN2O*kgtoGg,IF('Net zero activities &amp; levers'!$C$10="On",'Net zero Activity data'!BB70*UDCPPEF*NtoN2O*kgtoGg,"ERROR"))</f>
        <v>9.2805527348338117</v>
      </c>
      <c r="AJ838" s="94">
        <f>IF('Net zero activities &amp; levers'!$C$10="Off",'Activity data'!BC70*UDCPPEF*NtoN2O*kgtoGg,IF('Net zero activities &amp; levers'!$C$10="On",'Net zero Activity data'!BC70*UDCPPEF*NtoN2O*kgtoGg,"ERROR"))</f>
        <v>9.3691721914038766</v>
      </c>
      <c r="AK838" s="94">
        <f>IF('Net zero activities &amp; levers'!$C$10="Off",'Activity data'!BD70*UDCPPEF*NtoN2O*kgtoGg,IF('Net zero activities &amp; levers'!$C$10="On",'Net zero Activity data'!BD70*UDCPPEF*NtoN2O*kgtoGg,"ERROR"))</f>
        <v>9.4243939104259251</v>
      </c>
      <c r="AL838" s="94">
        <f>IF('Net zero activities &amp; levers'!$C$10="Off",'Activity data'!BE70*UDCPPEF*NtoN2O*kgtoGg,IF('Net zero activities &amp; levers'!$C$10="On",'Net zero Activity data'!BE70*UDCPPEF*NtoN2O*kgtoGg,"ERROR"))</f>
        <v>9.4658222521699837</v>
      </c>
      <c r="AM838" s="94">
        <f>IF('Net zero activities &amp; levers'!$C$10="Off",'Activity data'!BF70*UDCPPEF*NtoN2O*kgtoGg,IF('Net zero activities &amp; levers'!$C$10="On",'Net zero Activity data'!BF70*UDCPPEF*NtoN2O*kgtoGg,"ERROR"))</f>
        <v>9.4946383171201845</v>
      </c>
      <c r="AN838" s="94">
        <f>IF('Net zero activities &amp; levers'!$C$10="Off",'Activity data'!BG70*UDCPPEF*NtoN2O*kgtoGg,IF('Net zero activities &amp; levers'!$C$10="On",'Net zero Activity data'!BG70*UDCPPEF*NtoN2O*kgtoGg,"ERROR"))</f>
        <v>9.5842198469681268</v>
      </c>
      <c r="AO838" s="94">
        <f>IF('Net zero activities &amp; levers'!$C$10="Off",'Activity data'!BH70*UDCPPEF*NtoN2O*kgtoGg,IF('Net zero activities &amp; levers'!$C$10="On",'Net zero Activity data'!BH70*UDCPPEF*NtoN2O*kgtoGg,"ERROR"))</f>
        <v>9.6523131501803814</v>
      </c>
      <c r="AP838" s="94">
        <f>IF('Net zero activities &amp; levers'!$C$10="Off",'Activity data'!BI70*UDCPPEF*NtoN2O*kgtoGg,IF('Net zero activities &amp; levers'!$C$10="On",'Net zero Activity data'!BI70*UDCPPEF*NtoN2O*kgtoGg,"ERROR"))</f>
        <v>9.7212659882312984</v>
      </c>
      <c r="AQ838" s="94">
        <f>IF('Net zero activities &amp; levers'!$C$10="Off",'Activity data'!BJ70*UDCPPEF*NtoN2O*kgtoGg,IF('Net zero activities &amp; levers'!$C$10="On",'Net zero Activity data'!BJ70*UDCPPEF*NtoN2O*kgtoGg,"ERROR"))</f>
        <v>9.7918671504174508</v>
      </c>
      <c r="AR838" s="94">
        <f>IF('Net zero activities &amp; levers'!$C$10="Off",'Activity data'!BK70*UDCPPEF*NtoN2O*kgtoGg,IF('Net zero activities &amp; levers'!$C$10="On",'Net zero Activity data'!BK70*UDCPPEF*NtoN2O*kgtoGg,"ERROR"))</f>
        <v>9.8655403318336496</v>
      </c>
      <c r="AS838" s="94">
        <f>IF('Net zero activities &amp; levers'!$C$10="Off",'Activity data'!BL70*UDCPPEF*NtoN2O*kgtoGg,IF('Net zero activities &amp; levers'!$C$10="On",'Net zero Activity data'!BL70*UDCPPEF*NtoN2O*kgtoGg,"ERROR"))</f>
        <v>9.9411831199104377</v>
      </c>
      <c r="AT838" s="94">
        <f>IF('Net zero activities &amp; levers'!$C$10="Off",'Activity data'!BM70*UDCPPEF*NtoN2O*kgtoGg,IF('Net zero activities &amp; levers'!$C$10="On",'Net zero Activity data'!BM70*UDCPPEF*NtoN2O*kgtoGg,"ERROR"))</f>
        <v>9.7919689092907181</v>
      </c>
      <c r="AU838" s="94">
        <f>IF('Net zero activities &amp; levers'!$C$10="Off",'Activity data'!BN70*UDCPPEF*NtoN2O*kgtoGg,IF('Net zero activities &amp; levers'!$C$10="On",'Net zero Activity data'!BN70*UDCPPEF*NtoN2O*kgtoGg,"ERROR"))</f>
        <v>9.6229343034011841</v>
      </c>
      <c r="AV838" s="94">
        <f>IF('Net zero activities &amp; levers'!$C$10="Off",'Activity data'!BO70*UDCPPEF*NtoN2O*kgtoGg,IF('Net zero activities &amp; levers'!$C$10="On",'Net zero Activity data'!BO70*UDCPPEF*NtoN2O*kgtoGg,"ERROR"))</f>
        <v>9.4269689746655256</v>
      </c>
      <c r="AW838" s="94">
        <f>IF('Net zero activities &amp; levers'!$C$10="Off",'Activity data'!BP70*UDCPPEF*NtoN2O*kgtoGg,IF('Net zero activities &amp; levers'!$C$10="On",'Net zero Activity data'!BP70*UDCPPEF*NtoN2O*kgtoGg,"ERROR"))</f>
        <v>9.2248622350316598</v>
      </c>
      <c r="AY838" s="79"/>
      <c r="AZ838" s="79"/>
    </row>
    <row r="839" spans="1:52" x14ac:dyDescent="0.3">
      <c r="A839" s="95" t="str">
        <f t="shared" si="224"/>
        <v>BD U&amp;D</v>
      </c>
      <c r="B839" s="95" t="s">
        <v>1228</v>
      </c>
      <c r="C839" s="95" t="s">
        <v>1336</v>
      </c>
      <c r="D839" t="s">
        <v>369</v>
      </c>
      <c r="E839" t="s">
        <v>55</v>
      </c>
      <c r="F839" t="s">
        <v>422</v>
      </c>
      <c r="G839" t="s">
        <v>1162</v>
      </c>
      <c r="H839" t="s">
        <v>1245</v>
      </c>
      <c r="I839" t="s">
        <v>139</v>
      </c>
      <c r="J839" t="s">
        <v>287</v>
      </c>
      <c r="K839" s="27">
        <f t="shared" si="245"/>
        <v>0</v>
      </c>
      <c r="L839" s="27">
        <f t="shared" ref="L839:AW839" si="249">L1487</f>
        <v>0</v>
      </c>
      <c r="M839" s="27">
        <f t="shared" si="249"/>
        <v>0</v>
      </c>
      <c r="N839" s="27">
        <f t="shared" si="249"/>
        <v>0</v>
      </c>
      <c r="O839" s="27">
        <f t="shared" si="249"/>
        <v>0</v>
      </c>
      <c r="P839" s="27">
        <f t="shared" si="249"/>
        <v>0</v>
      </c>
      <c r="Q839" s="27">
        <f t="shared" si="249"/>
        <v>0</v>
      </c>
      <c r="R839" s="27">
        <f t="shared" si="249"/>
        <v>0</v>
      </c>
      <c r="S839" s="27">
        <f t="shared" si="249"/>
        <v>0</v>
      </c>
      <c r="T839" s="27">
        <f t="shared" si="249"/>
        <v>0</v>
      </c>
      <c r="U839" s="27">
        <f t="shared" si="249"/>
        <v>0</v>
      </c>
      <c r="V839" s="27">
        <f t="shared" si="249"/>
        <v>0</v>
      </c>
      <c r="W839" s="27">
        <f t="shared" si="249"/>
        <v>0</v>
      </c>
      <c r="X839" s="27">
        <f t="shared" si="249"/>
        <v>0</v>
      </c>
      <c r="Y839" s="27">
        <f t="shared" si="249"/>
        <v>0</v>
      </c>
      <c r="Z839" s="27">
        <f t="shared" si="249"/>
        <v>0</v>
      </c>
      <c r="AA839" s="27">
        <f t="shared" si="249"/>
        <v>0</v>
      </c>
      <c r="AB839" s="27">
        <f t="shared" si="249"/>
        <v>0</v>
      </c>
      <c r="AC839" s="27">
        <f t="shared" si="249"/>
        <v>0</v>
      </c>
      <c r="AD839" s="27">
        <f t="shared" si="249"/>
        <v>0</v>
      </c>
      <c r="AE839" s="27">
        <f t="shared" si="249"/>
        <v>0</v>
      </c>
      <c r="AF839" s="27">
        <f t="shared" si="249"/>
        <v>0</v>
      </c>
      <c r="AG839" s="27">
        <f t="shared" si="249"/>
        <v>0</v>
      </c>
      <c r="AH839" s="27">
        <f t="shared" si="249"/>
        <v>0</v>
      </c>
      <c r="AI839" s="27">
        <f t="shared" si="249"/>
        <v>0</v>
      </c>
      <c r="AJ839" s="27">
        <f t="shared" si="249"/>
        <v>0</v>
      </c>
      <c r="AK839" s="27">
        <f t="shared" si="249"/>
        <v>0</v>
      </c>
      <c r="AL839" s="27">
        <f t="shared" si="249"/>
        <v>0</v>
      </c>
      <c r="AM839" s="27">
        <f t="shared" si="249"/>
        <v>0</v>
      </c>
      <c r="AN839" s="27">
        <f t="shared" si="249"/>
        <v>0</v>
      </c>
      <c r="AO839" s="27">
        <f t="shared" si="249"/>
        <v>0</v>
      </c>
      <c r="AP839" s="27">
        <f t="shared" si="249"/>
        <v>0</v>
      </c>
      <c r="AQ839" s="27">
        <f t="shared" si="249"/>
        <v>0</v>
      </c>
      <c r="AR839" s="27">
        <f t="shared" si="249"/>
        <v>0</v>
      </c>
      <c r="AS839" s="27">
        <f t="shared" si="249"/>
        <v>0</v>
      </c>
      <c r="AT839" s="27">
        <f t="shared" si="249"/>
        <v>0</v>
      </c>
      <c r="AU839" s="27">
        <f t="shared" si="249"/>
        <v>0</v>
      </c>
      <c r="AV839" s="27">
        <f t="shared" si="249"/>
        <v>0</v>
      </c>
      <c r="AW839" s="27">
        <f t="shared" si="249"/>
        <v>0</v>
      </c>
      <c r="AY839" s="79"/>
      <c r="AZ839" s="79"/>
    </row>
    <row r="840" spans="1:52" x14ac:dyDescent="0.3">
      <c r="A840" s="95" t="str">
        <f t="shared" si="224"/>
        <v>BD U&amp;D</v>
      </c>
      <c r="B840" s="95" t="s">
        <v>1228</v>
      </c>
      <c r="C840" s="95" t="s">
        <v>1336</v>
      </c>
      <c r="D840" t="s">
        <v>369</v>
      </c>
      <c r="E840" t="s">
        <v>55</v>
      </c>
      <c r="F840" t="s">
        <v>422</v>
      </c>
      <c r="G840" t="s">
        <v>1164</v>
      </c>
      <c r="H840" t="s">
        <v>1246</v>
      </c>
      <c r="I840" t="s">
        <v>139</v>
      </c>
      <c r="J840" t="s">
        <v>287</v>
      </c>
      <c r="K840" s="27">
        <f t="shared" ref="K840:AW840" si="250">K1488</f>
        <v>5.8008217784478333</v>
      </c>
      <c r="L840" s="27">
        <f t="shared" si="250"/>
        <v>5.8039582643251126</v>
      </c>
      <c r="M840" s="27">
        <f t="shared" si="250"/>
        <v>5.8114574843873825</v>
      </c>
      <c r="N840" s="27">
        <f t="shared" si="250"/>
        <v>5.8225151444828054</v>
      </c>
      <c r="O840" s="27">
        <f t="shared" si="250"/>
        <v>5.8370609765606929</v>
      </c>
      <c r="P840" s="27">
        <f t="shared" si="250"/>
        <v>5.8549413826537444</v>
      </c>
      <c r="Q840" s="27">
        <f t="shared" si="250"/>
        <v>5.8750235193024203</v>
      </c>
      <c r="R840" s="27">
        <f t="shared" si="250"/>
        <v>5.8971806009067276</v>
      </c>
      <c r="S840" s="27">
        <f t="shared" si="250"/>
        <v>5.917442032162775</v>
      </c>
      <c r="T840" s="27">
        <f t="shared" si="250"/>
        <v>5.9263453955781369</v>
      </c>
      <c r="U840" s="27">
        <f t="shared" si="250"/>
        <v>5.9372183150377431</v>
      </c>
      <c r="V840" s="27">
        <f t="shared" si="250"/>
        <v>5.9486466020913653</v>
      </c>
      <c r="W840" s="27">
        <f t="shared" si="250"/>
        <v>5.9614772941302494</v>
      </c>
      <c r="X840" s="27">
        <f t="shared" si="250"/>
        <v>5.975674490624324</v>
      </c>
      <c r="Y840" s="27">
        <f t="shared" si="250"/>
        <v>5.984540997272453</v>
      </c>
      <c r="Z840" s="27">
        <f t="shared" si="250"/>
        <v>5.9945579021556687</v>
      </c>
      <c r="AA840" s="27">
        <f t="shared" si="250"/>
        <v>6.0055898546708475</v>
      </c>
      <c r="AB840" s="27">
        <f t="shared" si="250"/>
        <v>6.0176671888041211</v>
      </c>
      <c r="AC840" s="27">
        <f t="shared" si="250"/>
        <v>6.030665248312749</v>
      </c>
      <c r="AD840" s="27">
        <f t="shared" si="250"/>
        <v>6.0393845451591259</v>
      </c>
      <c r="AE840" s="27">
        <f t="shared" si="250"/>
        <v>6.0488503325285592</v>
      </c>
      <c r="AF840" s="27">
        <f t="shared" si="250"/>
        <v>6.0591386998485763</v>
      </c>
      <c r="AG840" s="27">
        <f t="shared" si="250"/>
        <v>6.0703500781796258</v>
      </c>
      <c r="AH840" s="27">
        <f t="shared" si="250"/>
        <v>6.0821478127419235</v>
      </c>
      <c r="AI840" s="27">
        <f t="shared" si="250"/>
        <v>6.0896888871649706</v>
      </c>
      <c r="AJ840" s="27">
        <f t="shared" si="250"/>
        <v>6.0979488793317644</v>
      </c>
      <c r="AK840" s="27">
        <f t="shared" si="250"/>
        <v>6.1066553574494229</v>
      </c>
      <c r="AL840" s="27">
        <f t="shared" si="250"/>
        <v>6.1159010108536567</v>
      </c>
      <c r="AM840" s="27">
        <f t="shared" si="250"/>
        <v>6.1256718211091643</v>
      </c>
      <c r="AN840" s="27">
        <f t="shared" si="250"/>
        <v>6.1314451386260842</v>
      </c>
      <c r="AO840" s="27">
        <f t="shared" si="250"/>
        <v>6.1376082251338753</v>
      </c>
      <c r="AP840" s="27">
        <f t="shared" si="250"/>
        <v>6.1442934501067121</v>
      </c>
      <c r="AQ840" s="27">
        <f t="shared" si="250"/>
        <v>6.1514943503502693</v>
      </c>
      <c r="AR840" s="27">
        <f t="shared" si="250"/>
        <v>6.1592107766386786</v>
      </c>
      <c r="AS840" s="27">
        <f t="shared" si="250"/>
        <v>6.1627115342701337</v>
      </c>
      <c r="AT840" s="27">
        <f t="shared" si="250"/>
        <v>6.1649675411239766</v>
      </c>
      <c r="AU840" s="27">
        <f t="shared" si="250"/>
        <v>6.1674405510086165</v>
      </c>
      <c r="AV840" s="27">
        <f t="shared" si="250"/>
        <v>6.1700527124926303</v>
      </c>
      <c r="AW840" s="27">
        <f t="shared" si="250"/>
        <v>6.1729463171150929</v>
      </c>
      <c r="AY840" s="79"/>
      <c r="AZ840" s="79"/>
    </row>
    <row r="841" spans="1:52" x14ac:dyDescent="0.3">
      <c r="A841" s="95" t="str">
        <f t="shared" si="224"/>
        <v>BD U&amp;D</v>
      </c>
      <c r="B841" s="95" t="s">
        <v>1228</v>
      </c>
      <c r="C841" s="95" t="s">
        <v>1336</v>
      </c>
      <c r="D841" t="s">
        <v>369</v>
      </c>
      <c r="E841" t="s">
        <v>55</v>
      </c>
      <c r="F841" t="s">
        <v>422</v>
      </c>
      <c r="G841" t="s">
        <v>1166</v>
      </c>
      <c r="H841" t="s">
        <v>1247</v>
      </c>
      <c r="I841" t="s">
        <v>139</v>
      </c>
      <c r="J841" t="s">
        <v>287</v>
      </c>
      <c r="K841" s="27">
        <f t="shared" ref="K841:AW841" si="251">K1489</f>
        <v>0.6475429908430661</v>
      </c>
      <c r="L841" s="27">
        <f t="shared" si="251"/>
        <v>0.64789311527772075</v>
      </c>
      <c r="M841" s="27">
        <f t="shared" si="251"/>
        <v>0.64873024966549919</v>
      </c>
      <c r="N841" s="27">
        <f t="shared" si="251"/>
        <v>0.64996461103073178</v>
      </c>
      <c r="O841" s="27">
        <f t="shared" si="251"/>
        <v>0.65158835538416293</v>
      </c>
      <c r="P841" s="27">
        <f t="shared" si="251"/>
        <v>0.65358433665736837</v>
      </c>
      <c r="Q841" s="27">
        <f t="shared" si="251"/>
        <v>0.65582609607089082</v>
      </c>
      <c r="R841" s="27">
        <f t="shared" si="251"/>
        <v>0.65829948060818433</v>
      </c>
      <c r="S841" s="27">
        <f t="shared" si="251"/>
        <v>0.66056125459390613</v>
      </c>
      <c r="T841" s="27">
        <f t="shared" si="251"/>
        <v>0.6615551328399103</v>
      </c>
      <c r="U841" s="27">
        <f t="shared" si="251"/>
        <v>0.6627688716953648</v>
      </c>
      <c r="V841" s="27">
        <f t="shared" si="251"/>
        <v>0.66404460597260306</v>
      </c>
      <c r="W841" s="27">
        <f t="shared" si="251"/>
        <v>0.6654768900548883</v>
      </c>
      <c r="X841" s="27">
        <f t="shared" si="251"/>
        <v>0.66706171638303324</v>
      </c>
      <c r="Y841" s="27">
        <f t="shared" si="251"/>
        <v>0.66805148032554751</v>
      </c>
      <c r="Z841" s="27">
        <f t="shared" si="251"/>
        <v>0.66916966267880784</v>
      </c>
      <c r="AA841" s="27">
        <f t="shared" si="251"/>
        <v>0.67040115431901948</v>
      </c>
      <c r="AB841" s="27">
        <f t="shared" si="251"/>
        <v>0.67174934141470444</v>
      </c>
      <c r="AC841" s="27">
        <f t="shared" si="251"/>
        <v>0.67320030864845803</v>
      </c>
      <c r="AD841" s="27">
        <f t="shared" si="251"/>
        <v>0.67417363963044585</v>
      </c>
      <c r="AE841" s="27">
        <f t="shared" si="251"/>
        <v>0.67523030099636827</v>
      </c>
      <c r="AF841" s="27">
        <f t="shared" si="251"/>
        <v>0.67637878657302375</v>
      </c>
      <c r="AG841" s="27">
        <f t="shared" si="251"/>
        <v>0.67763030743217745</v>
      </c>
      <c r="AH841" s="27">
        <f t="shared" si="251"/>
        <v>0.67894728296002871</v>
      </c>
      <c r="AI841" s="27">
        <f t="shared" si="251"/>
        <v>0.67978908953029982</v>
      </c>
      <c r="AJ841" s="27">
        <f t="shared" si="251"/>
        <v>0.68071114854819625</v>
      </c>
      <c r="AK841" s="27">
        <f t="shared" si="251"/>
        <v>0.68168304858156126</v>
      </c>
      <c r="AL841" s="27">
        <f t="shared" si="251"/>
        <v>0.68271513649709059</v>
      </c>
      <c r="AM841" s="27">
        <f t="shared" si="251"/>
        <v>0.68380584742348371</v>
      </c>
      <c r="AN841" s="27">
        <f t="shared" si="251"/>
        <v>0.68445032012662432</v>
      </c>
      <c r="AO841" s="27">
        <f t="shared" si="251"/>
        <v>0.68513830255782171</v>
      </c>
      <c r="AP841" s="27">
        <f t="shared" si="251"/>
        <v>0.6858845710588557</v>
      </c>
      <c r="AQ841" s="27">
        <f t="shared" si="251"/>
        <v>0.6866884041464022</v>
      </c>
      <c r="AR841" s="27">
        <f t="shared" si="251"/>
        <v>0.68754978516244758</v>
      </c>
      <c r="AS841" s="27">
        <f t="shared" si="251"/>
        <v>0.6879405730806889</v>
      </c>
      <c r="AT841" s="27">
        <f t="shared" si="251"/>
        <v>0.68819241005849918</v>
      </c>
      <c r="AU841" s="27">
        <f t="shared" si="251"/>
        <v>0.68846847098197617</v>
      </c>
      <c r="AV841" s="27">
        <f t="shared" si="251"/>
        <v>0.68876006533266065</v>
      </c>
      <c r="AW841" s="27">
        <f t="shared" si="251"/>
        <v>0.68908307704774374</v>
      </c>
      <c r="AY841" s="79"/>
      <c r="AZ841" s="79"/>
    </row>
    <row r="842" spans="1:52" x14ac:dyDescent="0.3">
      <c r="A842" s="95" t="str">
        <f t="shared" si="224"/>
        <v>BD U&amp;D</v>
      </c>
      <c r="B842" s="95" t="s">
        <v>1228</v>
      </c>
      <c r="C842" s="95" t="s">
        <v>1336</v>
      </c>
      <c r="D842" t="s">
        <v>369</v>
      </c>
      <c r="E842" t="s">
        <v>55</v>
      </c>
      <c r="F842" t="s">
        <v>422</v>
      </c>
      <c r="G842" t="s">
        <v>1168</v>
      </c>
      <c r="H842" t="s">
        <v>1248</v>
      </c>
      <c r="I842" t="s">
        <v>139</v>
      </c>
      <c r="J842" t="s">
        <v>287</v>
      </c>
      <c r="K842" s="27">
        <f t="shared" ref="K842:AW842" si="252">K1490</f>
        <v>0.71706343480611268</v>
      </c>
      <c r="L842" s="27">
        <f t="shared" si="252"/>
        <v>0.71892745361392807</v>
      </c>
      <c r="M842" s="27">
        <f t="shared" si="252"/>
        <v>0.72149880168720626</v>
      </c>
      <c r="N842" s="27">
        <f t="shared" si="252"/>
        <v>0.72463138273575978</v>
      </c>
      <c r="O842" s="27">
        <f t="shared" si="252"/>
        <v>0.72832072886952293</v>
      </c>
      <c r="P842" s="27">
        <f t="shared" si="252"/>
        <v>0.7325443847928953</v>
      </c>
      <c r="Q842" s="27">
        <f t="shared" si="252"/>
        <v>0.73708994755228441</v>
      </c>
      <c r="R842" s="27">
        <f t="shared" si="252"/>
        <v>0.74193942345928476</v>
      </c>
      <c r="S842" s="27">
        <f t="shared" si="252"/>
        <v>0.74633734890279979</v>
      </c>
      <c r="T842" s="27">
        <f t="shared" si="252"/>
        <v>0.7484855631491526</v>
      </c>
      <c r="U842" s="27">
        <f t="shared" si="252"/>
        <v>0.75094789604401424</v>
      </c>
      <c r="V842" s="27">
        <f t="shared" si="252"/>
        <v>0.7534578797366237</v>
      </c>
      <c r="W842" s="27">
        <f t="shared" si="252"/>
        <v>0.75618014560841795</v>
      </c>
      <c r="X842" s="27">
        <f t="shared" si="252"/>
        <v>0.75911019457510998</v>
      </c>
      <c r="Y842" s="27">
        <f t="shared" si="252"/>
        <v>0.76098529780205848</v>
      </c>
      <c r="Z842" s="27">
        <f t="shared" si="252"/>
        <v>0.76303676473265736</v>
      </c>
      <c r="AA842" s="27">
        <f t="shared" si="252"/>
        <v>0.7652406009428746</v>
      </c>
      <c r="AB842" s="27">
        <f t="shared" si="252"/>
        <v>0.76760388311939587</v>
      </c>
      <c r="AC842" s="27">
        <f t="shared" si="252"/>
        <v>0.77010442048860683</v>
      </c>
      <c r="AD842" s="27">
        <f t="shared" si="252"/>
        <v>0.77177199510986771</v>
      </c>
      <c r="AE842" s="27">
        <f t="shared" si="252"/>
        <v>0.773550364220007</v>
      </c>
      <c r="AF842" s="27">
        <f t="shared" si="252"/>
        <v>0.77545458075511842</v>
      </c>
      <c r="AG842" s="27">
        <f t="shared" si="252"/>
        <v>0.77750398529137599</v>
      </c>
      <c r="AH842" s="27">
        <f t="shared" si="252"/>
        <v>0.77963666315118907</v>
      </c>
      <c r="AI842" s="27">
        <f t="shared" si="252"/>
        <v>0.78095748542095478</v>
      </c>
      <c r="AJ842" s="27">
        <f t="shared" si="252"/>
        <v>0.78239081807371291</v>
      </c>
      <c r="AK842" s="27">
        <f t="shared" si="252"/>
        <v>0.78388681169292429</v>
      </c>
      <c r="AL842" s="27">
        <f t="shared" si="252"/>
        <v>0.78546308863746028</v>
      </c>
      <c r="AM842" s="27">
        <f t="shared" si="252"/>
        <v>0.78711749076594029</v>
      </c>
      <c r="AN842" s="27">
        <f t="shared" si="252"/>
        <v>0.7880213548905175</v>
      </c>
      <c r="AO842" s="27">
        <f t="shared" si="252"/>
        <v>0.7889821600969783</v>
      </c>
      <c r="AP842" s="27">
        <f t="shared" si="252"/>
        <v>0.7900244330710835</v>
      </c>
      <c r="AQ842" s="27">
        <f t="shared" si="252"/>
        <v>0.79114717839494386</v>
      </c>
      <c r="AR842" s="27">
        <f t="shared" si="252"/>
        <v>0.79235052559003472</v>
      </c>
      <c r="AS842" s="27">
        <f t="shared" si="252"/>
        <v>0.79277466874731783</v>
      </c>
      <c r="AT842" s="27">
        <f t="shared" si="252"/>
        <v>0.79296303081990593</v>
      </c>
      <c r="AU842" s="27">
        <f t="shared" si="252"/>
        <v>0.79318200303032371</v>
      </c>
      <c r="AV842" s="27">
        <f t="shared" si="252"/>
        <v>0.79341774382528896</v>
      </c>
      <c r="AW842" s="27">
        <f t="shared" si="252"/>
        <v>0.79369623394189648</v>
      </c>
      <c r="AY842" s="79"/>
      <c r="AZ842" s="79"/>
    </row>
    <row r="843" spans="1:52" x14ac:dyDescent="0.3">
      <c r="A843" s="95" t="str">
        <f t="shared" si="224"/>
        <v>BD U&amp;D</v>
      </c>
      <c r="B843" s="95" t="s">
        <v>1228</v>
      </c>
      <c r="C843" s="95" t="s">
        <v>1336</v>
      </c>
      <c r="D843" t="s">
        <v>369</v>
      </c>
      <c r="E843" t="s">
        <v>55</v>
      </c>
      <c r="F843" t="s">
        <v>422</v>
      </c>
      <c r="G843" t="s">
        <v>1170</v>
      </c>
      <c r="H843" t="s">
        <v>1249</v>
      </c>
      <c r="I843" t="s">
        <v>139</v>
      </c>
      <c r="J843" t="s">
        <v>287</v>
      </c>
      <c r="K843" s="27">
        <f t="shared" ref="K843:AW843" si="253">K1491</f>
        <v>1.1867254191644503</v>
      </c>
      <c r="L843" s="27">
        <f t="shared" si="253"/>
        <v>1.1898103324282718</v>
      </c>
      <c r="M843" s="27">
        <f t="shared" si="253"/>
        <v>1.194065861258722</v>
      </c>
      <c r="N843" s="27">
        <f t="shared" si="253"/>
        <v>1.1992502192631385</v>
      </c>
      <c r="O843" s="27">
        <f t="shared" si="253"/>
        <v>1.2053560121742171</v>
      </c>
      <c r="P843" s="27">
        <f t="shared" si="253"/>
        <v>1.212346076933865</v>
      </c>
      <c r="Q843" s="27">
        <f t="shared" si="253"/>
        <v>1.2198688909683484</v>
      </c>
      <c r="R843" s="27">
        <f t="shared" si="253"/>
        <v>1.2278946750888551</v>
      </c>
      <c r="S843" s="27">
        <f t="shared" si="253"/>
        <v>1.2351731523644685</v>
      </c>
      <c r="T843" s="27">
        <f t="shared" si="253"/>
        <v>1.2387284033063148</v>
      </c>
      <c r="U843" s="27">
        <f t="shared" si="253"/>
        <v>1.2428035142308693</v>
      </c>
      <c r="V843" s="27">
        <f t="shared" si="253"/>
        <v>1.2469574862577844</v>
      </c>
      <c r="W843" s="27">
        <f t="shared" si="253"/>
        <v>1.2514627809792418</v>
      </c>
      <c r="X843" s="27">
        <f t="shared" si="253"/>
        <v>1.2563119525021347</v>
      </c>
      <c r="Y843" s="27">
        <f t="shared" si="253"/>
        <v>1.2594152102544689</v>
      </c>
      <c r="Z843" s="27">
        <f t="shared" si="253"/>
        <v>1.2628103463539342</v>
      </c>
      <c r="AA843" s="27">
        <f t="shared" si="253"/>
        <v>1.2664576505161484</v>
      </c>
      <c r="AB843" s="27">
        <f t="shared" si="253"/>
        <v>1.2703688345138295</v>
      </c>
      <c r="AC843" s="27">
        <f t="shared" si="253"/>
        <v>1.2745071730673998</v>
      </c>
      <c r="AD843" s="27">
        <f t="shared" si="253"/>
        <v>1.2772669751927705</v>
      </c>
      <c r="AE843" s="27">
        <f t="shared" si="253"/>
        <v>1.2802101399467087</v>
      </c>
      <c r="AF843" s="27">
        <f t="shared" si="253"/>
        <v>1.2833615796326843</v>
      </c>
      <c r="AG843" s="27">
        <f t="shared" si="253"/>
        <v>1.2867533025114073</v>
      </c>
      <c r="AH843" s="27">
        <f t="shared" si="253"/>
        <v>1.2902828410491152</v>
      </c>
      <c r="AI843" s="27">
        <f t="shared" si="253"/>
        <v>1.2924687750762118</v>
      </c>
      <c r="AJ843" s="27">
        <f t="shared" si="253"/>
        <v>1.2948409115017798</v>
      </c>
      <c r="AK843" s="27">
        <f t="shared" si="253"/>
        <v>1.2973167505540197</v>
      </c>
      <c r="AL843" s="27">
        <f t="shared" si="253"/>
        <v>1.2999254568789065</v>
      </c>
      <c r="AM843" s="27">
        <f t="shared" si="253"/>
        <v>1.3026634587962926</v>
      </c>
      <c r="AN843" s="27">
        <f t="shared" si="253"/>
        <v>1.3041593355626162</v>
      </c>
      <c r="AO843" s="27">
        <f t="shared" si="253"/>
        <v>1.3057494486628347</v>
      </c>
      <c r="AP843" s="27">
        <f t="shared" si="253"/>
        <v>1.3074743892636795</v>
      </c>
      <c r="AQ843" s="27">
        <f t="shared" si="253"/>
        <v>1.3093325099687654</v>
      </c>
      <c r="AR843" s="27">
        <f t="shared" si="253"/>
        <v>1.3113240251335019</v>
      </c>
      <c r="AS843" s="27">
        <f t="shared" si="253"/>
        <v>1.3120259734433455</v>
      </c>
      <c r="AT843" s="27">
        <f t="shared" si="253"/>
        <v>1.3123377088473509</v>
      </c>
      <c r="AU843" s="27">
        <f t="shared" si="253"/>
        <v>1.3127001034076922</v>
      </c>
      <c r="AV843" s="27">
        <f t="shared" si="253"/>
        <v>1.313090249634846</v>
      </c>
      <c r="AW843" s="27">
        <f t="shared" si="253"/>
        <v>1.3135511451209665</v>
      </c>
      <c r="AY843" s="79"/>
      <c r="AZ843" s="79"/>
    </row>
    <row r="844" spans="1:52" x14ac:dyDescent="0.3">
      <c r="A844" s="95" t="str">
        <f t="shared" si="224"/>
        <v>BD U&amp;D</v>
      </c>
      <c r="B844" s="95" t="s">
        <v>1228</v>
      </c>
      <c r="C844" s="95" t="s">
        <v>1336</v>
      </c>
      <c r="D844" t="s">
        <v>369</v>
      </c>
      <c r="E844" t="s">
        <v>55</v>
      </c>
      <c r="F844" t="s">
        <v>422</v>
      </c>
      <c r="G844" t="s">
        <v>1172</v>
      </c>
      <c r="H844" t="s">
        <v>1250</v>
      </c>
      <c r="I844" t="s">
        <v>139</v>
      </c>
      <c r="J844" t="s">
        <v>287</v>
      </c>
      <c r="K844" s="27">
        <f t="shared" ref="K844:AW844" si="254">K1492</f>
        <v>0.19147730421375916</v>
      </c>
      <c r="L844" s="27">
        <f t="shared" si="254"/>
        <v>0.19240499933397132</v>
      </c>
      <c r="M844" s="27">
        <f t="shared" si="254"/>
        <v>0.19381280191845887</v>
      </c>
      <c r="N844" s="27">
        <f t="shared" si="254"/>
        <v>0.19411375969056655</v>
      </c>
      <c r="O844" s="27">
        <f t="shared" si="254"/>
        <v>0.19368291106027893</v>
      </c>
      <c r="P844" s="27">
        <f t="shared" si="254"/>
        <v>0.19253602379697463</v>
      </c>
      <c r="Q844" s="27">
        <f t="shared" si="254"/>
        <v>0.19190012409058904</v>
      </c>
      <c r="R844" s="27">
        <f t="shared" si="254"/>
        <v>0.19132863754616405</v>
      </c>
      <c r="S844" s="27">
        <f t="shared" si="254"/>
        <v>0.1803905818810948</v>
      </c>
      <c r="T844" s="27">
        <f t="shared" si="254"/>
        <v>0.18262456774024571</v>
      </c>
      <c r="U844" s="27">
        <f t="shared" si="254"/>
        <v>0.18617292598676535</v>
      </c>
      <c r="V844" s="27">
        <f t="shared" si="254"/>
        <v>0.1874827131948397</v>
      </c>
      <c r="W844" s="27">
        <f t="shared" si="254"/>
        <v>0.18903918513554135</v>
      </c>
      <c r="X844" s="27">
        <f t="shared" si="254"/>
        <v>0.19092374052200031</v>
      </c>
      <c r="Y844" s="27">
        <f t="shared" si="254"/>
        <v>0.19317866485257018</v>
      </c>
      <c r="Z844" s="27">
        <f t="shared" si="254"/>
        <v>0.19568472941200174</v>
      </c>
      <c r="AA844" s="27">
        <f t="shared" si="254"/>
        <v>0.19822057353598227</v>
      </c>
      <c r="AB844" s="27">
        <f t="shared" si="254"/>
        <v>0.20098305885598644</v>
      </c>
      <c r="AC844" s="27">
        <f t="shared" si="254"/>
        <v>0.20375514589644325</v>
      </c>
      <c r="AD844" s="27">
        <f t="shared" si="254"/>
        <v>0.20708073603212976</v>
      </c>
      <c r="AE844" s="27">
        <f t="shared" si="254"/>
        <v>0.21028463440230635</v>
      </c>
      <c r="AF844" s="27">
        <f t="shared" si="254"/>
        <v>0.2136443220754487</v>
      </c>
      <c r="AG844" s="27">
        <f t="shared" si="254"/>
        <v>0.21748682395851593</v>
      </c>
      <c r="AH844" s="27">
        <f t="shared" si="254"/>
        <v>0.22102739700732632</v>
      </c>
      <c r="AI844" s="27">
        <f t="shared" si="254"/>
        <v>0.22493633340985938</v>
      </c>
      <c r="AJ844" s="27">
        <f t="shared" si="254"/>
        <v>0.22910386680533321</v>
      </c>
      <c r="AK844" s="27">
        <f t="shared" si="254"/>
        <v>0.2329046036438828</v>
      </c>
      <c r="AL844" s="27">
        <f t="shared" si="254"/>
        <v>0.23662356544971794</v>
      </c>
      <c r="AM844" s="27">
        <f t="shared" si="254"/>
        <v>0.24027411251375713</v>
      </c>
      <c r="AN844" s="27">
        <f t="shared" si="254"/>
        <v>0.24444413665938144</v>
      </c>
      <c r="AO844" s="27">
        <f t="shared" si="254"/>
        <v>0.2483759174868751</v>
      </c>
      <c r="AP844" s="27">
        <f t="shared" si="254"/>
        <v>0.25243602460510989</v>
      </c>
      <c r="AQ844" s="27">
        <f t="shared" si="254"/>
        <v>0.25664462657697379</v>
      </c>
      <c r="AR844" s="27">
        <f t="shared" si="254"/>
        <v>0.26103451555954071</v>
      </c>
      <c r="AS844" s="27">
        <f t="shared" si="254"/>
        <v>0.26580339289786814</v>
      </c>
      <c r="AT844" s="27">
        <f t="shared" si="254"/>
        <v>0.26659601183855292</v>
      </c>
      <c r="AU844" s="27">
        <f t="shared" si="254"/>
        <v>0.26701268168020675</v>
      </c>
      <c r="AV844" s="27">
        <f t="shared" si="254"/>
        <v>0.26689564753163691</v>
      </c>
      <c r="AW844" s="27">
        <f t="shared" si="254"/>
        <v>0.2666191038621068</v>
      </c>
      <c r="AY844" s="79"/>
      <c r="AZ844" s="79"/>
    </row>
    <row r="845" spans="1:52" x14ac:dyDescent="0.3">
      <c r="A845" s="95" t="str">
        <f t="shared" si="224"/>
        <v>BD U&amp;D</v>
      </c>
      <c r="B845" s="95" t="s">
        <v>1228</v>
      </c>
      <c r="C845" s="95" t="s">
        <v>1336</v>
      </c>
      <c r="D845" t="s">
        <v>369</v>
      </c>
      <c r="E845" t="s">
        <v>55</v>
      </c>
      <c r="F845" t="s">
        <v>422</v>
      </c>
      <c r="G845" t="s">
        <v>1174</v>
      </c>
      <c r="H845" t="s">
        <v>1251</v>
      </c>
      <c r="I845" t="s">
        <v>139</v>
      </c>
      <c r="J845" t="s">
        <v>287</v>
      </c>
      <c r="K845" s="27">
        <f t="shared" ref="K845:AW845" si="255">K1493</f>
        <v>3.4640571428571423E-2</v>
      </c>
      <c r="L845" s="27">
        <f t="shared" si="255"/>
        <v>3.4640571428571423E-2</v>
      </c>
      <c r="M845" s="27">
        <f t="shared" si="255"/>
        <v>3.4640571428571423E-2</v>
      </c>
      <c r="N845" s="27">
        <f t="shared" si="255"/>
        <v>3.4640571428571423E-2</v>
      </c>
      <c r="O845" s="27">
        <f t="shared" si="255"/>
        <v>3.4640571428571423E-2</v>
      </c>
      <c r="P845" s="27">
        <f t="shared" si="255"/>
        <v>3.4640571428571423E-2</v>
      </c>
      <c r="Q845" s="27">
        <f t="shared" si="255"/>
        <v>3.4640571428571423E-2</v>
      </c>
      <c r="R845" s="27">
        <f t="shared" si="255"/>
        <v>3.4640571428571423E-2</v>
      </c>
      <c r="S845" s="27">
        <f t="shared" si="255"/>
        <v>3.4640571428571423E-2</v>
      </c>
      <c r="T845" s="27">
        <f t="shared" si="255"/>
        <v>3.4640571428571423E-2</v>
      </c>
      <c r="U845" s="27">
        <f t="shared" si="255"/>
        <v>3.4640571428571423E-2</v>
      </c>
      <c r="V845" s="27">
        <f t="shared" si="255"/>
        <v>3.4640571428571423E-2</v>
      </c>
      <c r="W845" s="27">
        <f t="shared" si="255"/>
        <v>3.4640571428571423E-2</v>
      </c>
      <c r="X845" s="27">
        <f t="shared" si="255"/>
        <v>3.4640571428571423E-2</v>
      </c>
      <c r="Y845" s="27">
        <f t="shared" si="255"/>
        <v>3.4640571428571423E-2</v>
      </c>
      <c r="Z845" s="27">
        <f t="shared" si="255"/>
        <v>3.4640571428571423E-2</v>
      </c>
      <c r="AA845" s="27">
        <f t="shared" si="255"/>
        <v>3.4640571428571423E-2</v>
      </c>
      <c r="AB845" s="27">
        <f t="shared" si="255"/>
        <v>3.4640571428571423E-2</v>
      </c>
      <c r="AC845" s="27">
        <f t="shared" si="255"/>
        <v>3.4640571428571423E-2</v>
      </c>
      <c r="AD845" s="27">
        <f t="shared" si="255"/>
        <v>3.4640571428571423E-2</v>
      </c>
      <c r="AE845" s="27">
        <f t="shared" si="255"/>
        <v>3.4640571428571423E-2</v>
      </c>
      <c r="AF845" s="27">
        <f t="shared" si="255"/>
        <v>3.4640571428571423E-2</v>
      </c>
      <c r="AG845" s="27">
        <f t="shared" si="255"/>
        <v>3.4640571428571423E-2</v>
      </c>
      <c r="AH845" s="27">
        <f t="shared" si="255"/>
        <v>3.4640571428571423E-2</v>
      </c>
      <c r="AI845" s="27">
        <f t="shared" si="255"/>
        <v>3.4640571428571423E-2</v>
      </c>
      <c r="AJ845" s="27">
        <f t="shared" si="255"/>
        <v>3.4640571428571423E-2</v>
      </c>
      <c r="AK845" s="27">
        <f t="shared" si="255"/>
        <v>3.4640571428571423E-2</v>
      </c>
      <c r="AL845" s="27">
        <f t="shared" si="255"/>
        <v>3.4640571428571423E-2</v>
      </c>
      <c r="AM845" s="27">
        <f t="shared" si="255"/>
        <v>3.4640571428571423E-2</v>
      </c>
      <c r="AN845" s="27">
        <f t="shared" si="255"/>
        <v>3.4640571428571423E-2</v>
      </c>
      <c r="AO845" s="27">
        <f t="shared" si="255"/>
        <v>3.4640571428571423E-2</v>
      </c>
      <c r="AP845" s="27">
        <f t="shared" si="255"/>
        <v>3.4640571428571423E-2</v>
      </c>
      <c r="AQ845" s="27">
        <f t="shared" si="255"/>
        <v>3.4640571428571423E-2</v>
      </c>
      <c r="AR845" s="27">
        <f t="shared" si="255"/>
        <v>3.4640571428571423E-2</v>
      </c>
      <c r="AS845" s="27">
        <f t="shared" si="255"/>
        <v>3.4640571428571423E-2</v>
      </c>
      <c r="AT845" s="27">
        <f t="shared" si="255"/>
        <v>3.4640571428571423E-2</v>
      </c>
      <c r="AU845" s="27">
        <f t="shared" si="255"/>
        <v>3.4640571428571423E-2</v>
      </c>
      <c r="AV845" s="27">
        <f t="shared" si="255"/>
        <v>3.4640571428571423E-2</v>
      </c>
      <c r="AW845" s="27">
        <f t="shared" si="255"/>
        <v>3.4640571428571423E-2</v>
      </c>
      <c r="AY845" s="79"/>
      <c r="AZ845" s="79"/>
    </row>
    <row r="846" spans="1:52" x14ac:dyDescent="0.3">
      <c r="A846" s="95" t="str">
        <f t="shared" si="224"/>
        <v>BD U&amp;D</v>
      </c>
      <c r="B846" s="95" t="s">
        <v>1228</v>
      </c>
      <c r="C846" s="95" t="s">
        <v>1336</v>
      </c>
      <c r="D846" t="s">
        <v>369</v>
      </c>
      <c r="E846" t="s">
        <v>55</v>
      </c>
      <c r="F846" t="s">
        <v>422</v>
      </c>
      <c r="G846" t="s">
        <v>1176</v>
      </c>
      <c r="H846" t="s">
        <v>1252</v>
      </c>
      <c r="I846" t="s">
        <v>139</v>
      </c>
      <c r="J846" t="s">
        <v>287</v>
      </c>
      <c r="K846" s="27">
        <f t="shared" ref="K846:AW846" si="256">K1494</f>
        <v>0</v>
      </c>
      <c r="L846" s="27">
        <f t="shared" si="256"/>
        <v>0</v>
      </c>
      <c r="M846" s="27">
        <f t="shared" si="256"/>
        <v>0</v>
      </c>
      <c r="N846" s="27">
        <f t="shared" si="256"/>
        <v>0</v>
      </c>
      <c r="O846" s="27">
        <f t="shared" si="256"/>
        <v>0</v>
      </c>
      <c r="P846" s="27">
        <f t="shared" si="256"/>
        <v>0</v>
      </c>
      <c r="Q846" s="27">
        <f t="shared" si="256"/>
        <v>0</v>
      </c>
      <c r="R846" s="27">
        <f t="shared" si="256"/>
        <v>0</v>
      </c>
      <c r="S846" s="27">
        <f t="shared" si="256"/>
        <v>0</v>
      </c>
      <c r="T846" s="27">
        <f t="shared" si="256"/>
        <v>0</v>
      </c>
      <c r="U846" s="27">
        <f t="shared" si="256"/>
        <v>0</v>
      </c>
      <c r="V846" s="27">
        <f t="shared" si="256"/>
        <v>0</v>
      </c>
      <c r="W846" s="27">
        <f t="shared" si="256"/>
        <v>0</v>
      </c>
      <c r="X846" s="27">
        <f t="shared" si="256"/>
        <v>0</v>
      </c>
      <c r="Y846" s="27">
        <f t="shared" si="256"/>
        <v>0</v>
      </c>
      <c r="Z846" s="27">
        <f t="shared" si="256"/>
        <v>0</v>
      </c>
      <c r="AA846" s="27">
        <f t="shared" si="256"/>
        <v>0</v>
      </c>
      <c r="AB846" s="27">
        <f t="shared" si="256"/>
        <v>0</v>
      </c>
      <c r="AC846" s="27">
        <f t="shared" si="256"/>
        <v>0</v>
      </c>
      <c r="AD846" s="27">
        <f t="shared" si="256"/>
        <v>0</v>
      </c>
      <c r="AE846" s="27">
        <f t="shared" si="256"/>
        <v>0</v>
      </c>
      <c r="AF846" s="27">
        <f t="shared" si="256"/>
        <v>0</v>
      </c>
      <c r="AG846" s="27">
        <f t="shared" si="256"/>
        <v>0</v>
      </c>
      <c r="AH846" s="27">
        <f t="shared" si="256"/>
        <v>0</v>
      </c>
      <c r="AI846" s="27">
        <f t="shared" si="256"/>
        <v>0</v>
      </c>
      <c r="AJ846" s="27">
        <f t="shared" si="256"/>
        <v>0</v>
      </c>
      <c r="AK846" s="27">
        <f t="shared" si="256"/>
        <v>0</v>
      </c>
      <c r="AL846" s="27">
        <f t="shared" si="256"/>
        <v>0</v>
      </c>
      <c r="AM846" s="27">
        <f t="shared" si="256"/>
        <v>0</v>
      </c>
      <c r="AN846" s="27">
        <f t="shared" si="256"/>
        <v>0</v>
      </c>
      <c r="AO846" s="27">
        <f t="shared" si="256"/>
        <v>0</v>
      </c>
      <c r="AP846" s="27">
        <f t="shared" si="256"/>
        <v>0</v>
      </c>
      <c r="AQ846" s="27">
        <f t="shared" si="256"/>
        <v>0</v>
      </c>
      <c r="AR846" s="27">
        <f t="shared" si="256"/>
        <v>0</v>
      </c>
      <c r="AS846" s="27">
        <f t="shared" si="256"/>
        <v>0</v>
      </c>
      <c r="AT846" s="27">
        <f t="shared" si="256"/>
        <v>0</v>
      </c>
      <c r="AU846" s="27">
        <f t="shared" si="256"/>
        <v>0</v>
      </c>
      <c r="AV846" s="27">
        <f t="shared" si="256"/>
        <v>0</v>
      </c>
      <c r="AW846" s="27">
        <f t="shared" si="256"/>
        <v>0</v>
      </c>
      <c r="AY846" s="79"/>
      <c r="AZ846" s="79"/>
    </row>
    <row r="847" spans="1:52" x14ac:dyDescent="0.3">
      <c r="A847" s="95" t="str">
        <f t="shared" si="224"/>
        <v>BD U&amp;D</v>
      </c>
      <c r="B847" s="95" t="s">
        <v>1228</v>
      </c>
      <c r="C847" s="95" t="s">
        <v>1336</v>
      </c>
      <c r="D847" t="s">
        <v>369</v>
      </c>
      <c r="E847" t="s">
        <v>55</v>
      </c>
      <c r="F847" t="s">
        <v>422</v>
      </c>
      <c r="G847" t="s">
        <v>1178</v>
      </c>
      <c r="H847" t="s">
        <v>1253</v>
      </c>
      <c r="I847" t="s">
        <v>139</v>
      </c>
      <c r="J847" t="s">
        <v>287</v>
      </c>
      <c r="K847" s="27">
        <f t="shared" ref="K847:AW847" si="257">K1495</f>
        <v>0</v>
      </c>
      <c r="L847" s="27">
        <f t="shared" si="257"/>
        <v>0</v>
      </c>
      <c r="M847" s="27">
        <f t="shared" si="257"/>
        <v>0</v>
      </c>
      <c r="N847" s="27">
        <f t="shared" si="257"/>
        <v>0</v>
      </c>
      <c r="O847" s="27">
        <f t="shared" si="257"/>
        <v>0</v>
      </c>
      <c r="P847" s="27">
        <f t="shared" si="257"/>
        <v>0</v>
      </c>
      <c r="Q847" s="27">
        <f t="shared" si="257"/>
        <v>0</v>
      </c>
      <c r="R847" s="27">
        <f t="shared" si="257"/>
        <v>0</v>
      </c>
      <c r="S847" s="27">
        <f t="shared" si="257"/>
        <v>0</v>
      </c>
      <c r="T847" s="27">
        <f t="shared" si="257"/>
        <v>0</v>
      </c>
      <c r="U847" s="27">
        <f t="shared" si="257"/>
        <v>0</v>
      </c>
      <c r="V847" s="27">
        <f t="shared" si="257"/>
        <v>0</v>
      </c>
      <c r="W847" s="27">
        <f t="shared" si="257"/>
        <v>0</v>
      </c>
      <c r="X847" s="27">
        <f t="shared" si="257"/>
        <v>0</v>
      </c>
      <c r="Y847" s="27">
        <f t="shared" si="257"/>
        <v>0</v>
      </c>
      <c r="Z847" s="27">
        <f t="shared" si="257"/>
        <v>0</v>
      </c>
      <c r="AA847" s="27">
        <f t="shared" si="257"/>
        <v>0</v>
      </c>
      <c r="AB847" s="27">
        <f t="shared" si="257"/>
        <v>0</v>
      </c>
      <c r="AC847" s="27">
        <f t="shared" si="257"/>
        <v>0</v>
      </c>
      <c r="AD847" s="27">
        <f t="shared" si="257"/>
        <v>0</v>
      </c>
      <c r="AE847" s="27">
        <f t="shared" si="257"/>
        <v>0</v>
      </c>
      <c r="AF847" s="27">
        <f t="shared" si="257"/>
        <v>0</v>
      </c>
      <c r="AG847" s="27">
        <f t="shared" si="257"/>
        <v>0</v>
      </c>
      <c r="AH847" s="27">
        <f t="shared" si="257"/>
        <v>0</v>
      </c>
      <c r="AI847" s="27">
        <f t="shared" si="257"/>
        <v>0</v>
      </c>
      <c r="AJ847" s="27">
        <f t="shared" si="257"/>
        <v>0</v>
      </c>
      <c r="AK847" s="27">
        <f t="shared" si="257"/>
        <v>0</v>
      </c>
      <c r="AL847" s="27">
        <f t="shared" si="257"/>
        <v>0</v>
      </c>
      <c r="AM847" s="27">
        <f t="shared" si="257"/>
        <v>0</v>
      </c>
      <c r="AN847" s="27">
        <f t="shared" si="257"/>
        <v>0</v>
      </c>
      <c r="AO847" s="27">
        <f t="shared" si="257"/>
        <v>0</v>
      </c>
      <c r="AP847" s="27">
        <f t="shared" si="257"/>
        <v>0</v>
      </c>
      <c r="AQ847" s="27">
        <f t="shared" si="257"/>
        <v>0</v>
      </c>
      <c r="AR847" s="27">
        <f t="shared" si="257"/>
        <v>0</v>
      </c>
      <c r="AS847" s="27">
        <f t="shared" si="257"/>
        <v>0</v>
      </c>
      <c r="AT847" s="27">
        <f t="shared" si="257"/>
        <v>0</v>
      </c>
      <c r="AU847" s="27">
        <f t="shared" si="257"/>
        <v>0</v>
      </c>
      <c r="AV847" s="27">
        <f t="shared" si="257"/>
        <v>0</v>
      </c>
      <c r="AW847" s="27">
        <f t="shared" si="257"/>
        <v>0</v>
      </c>
      <c r="AY847" s="79"/>
      <c r="AZ847" s="79"/>
    </row>
    <row r="848" spans="1:52" x14ac:dyDescent="0.3">
      <c r="A848" s="95" t="str">
        <f t="shared" si="224"/>
        <v>BD U&amp;D</v>
      </c>
      <c r="B848" s="95" t="s">
        <v>1228</v>
      </c>
      <c r="C848" s="95" t="s">
        <v>1336</v>
      </c>
      <c r="D848" t="s">
        <v>369</v>
      </c>
      <c r="E848" t="s">
        <v>55</v>
      </c>
      <c r="F848" t="s">
        <v>422</v>
      </c>
      <c r="G848" t="s">
        <v>1180</v>
      </c>
      <c r="H848" t="s">
        <v>1254</v>
      </c>
      <c r="I848" t="s">
        <v>139</v>
      </c>
      <c r="J848" t="s">
        <v>287</v>
      </c>
      <c r="K848" s="27">
        <f t="shared" ref="K848:AW848" si="258">K1496</f>
        <v>0</v>
      </c>
      <c r="L848" s="27">
        <f t="shared" si="258"/>
        <v>0</v>
      </c>
      <c r="M848" s="27">
        <f t="shared" si="258"/>
        <v>0</v>
      </c>
      <c r="N848" s="27">
        <f t="shared" si="258"/>
        <v>0</v>
      </c>
      <c r="O848" s="27">
        <f t="shared" si="258"/>
        <v>0</v>
      </c>
      <c r="P848" s="27">
        <f t="shared" si="258"/>
        <v>0</v>
      </c>
      <c r="Q848" s="27">
        <f t="shared" si="258"/>
        <v>0</v>
      </c>
      <c r="R848" s="27">
        <f t="shared" si="258"/>
        <v>0</v>
      </c>
      <c r="S848" s="27">
        <f t="shared" si="258"/>
        <v>0</v>
      </c>
      <c r="T848" s="27">
        <f t="shared" si="258"/>
        <v>0</v>
      </c>
      <c r="U848" s="27">
        <f t="shared" si="258"/>
        <v>0</v>
      </c>
      <c r="V848" s="27">
        <f t="shared" si="258"/>
        <v>0</v>
      </c>
      <c r="W848" s="27">
        <f t="shared" si="258"/>
        <v>0</v>
      </c>
      <c r="X848" s="27">
        <f t="shared" si="258"/>
        <v>0</v>
      </c>
      <c r="Y848" s="27">
        <f t="shared" si="258"/>
        <v>0</v>
      </c>
      <c r="Z848" s="27">
        <f t="shared" si="258"/>
        <v>0</v>
      </c>
      <c r="AA848" s="27">
        <f t="shared" si="258"/>
        <v>0</v>
      </c>
      <c r="AB848" s="27">
        <f t="shared" si="258"/>
        <v>0</v>
      </c>
      <c r="AC848" s="27">
        <f t="shared" si="258"/>
        <v>0</v>
      </c>
      <c r="AD848" s="27">
        <f t="shared" si="258"/>
        <v>0</v>
      </c>
      <c r="AE848" s="27">
        <f t="shared" si="258"/>
        <v>0</v>
      </c>
      <c r="AF848" s="27">
        <f t="shared" si="258"/>
        <v>0</v>
      </c>
      <c r="AG848" s="27">
        <f t="shared" si="258"/>
        <v>0</v>
      </c>
      <c r="AH848" s="27">
        <f t="shared" si="258"/>
        <v>0</v>
      </c>
      <c r="AI848" s="27">
        <f t="shared" si="258"/>
        <v>0</v>
      </c>
      <c r="AJ848" s="27">
        <f t="shared" si="258"/>
        <v>0</v>
      </c>
      <c r="AK848" s="27">
        <f t="shared" si="258"/>
        <v>0</v>
      </c>
      <c r="AL848" s="27">
        <f t="shared" si="258"/>
        <v>0</v>
      </c>
      <c r="AM848" s="27">
        <f t="shared" si="258"/>
        <v>0</v>
      </c>
      <c r="AN848" s="27">
        <f t="shared" si="258"/>
        <v>0</v>
      </c>
      <c r="AO848" s="27">
        <f t="shared" si="258"/>
        <v>0</v>
      </c>
      <c r="AP848" s="27">
        <f t="shared" si="258"/>
        <v>0</v>
      </c>
      <c r="AQ848" s="27">
        <f t="shared" si="258"/>
        <v>0</v>
      </c>
      <c r="AR848" s="27">
        <f t="shared" si="258"/>
        <v>0</v>
      </c>
      <c r="AS848" s="27">
        <f t="shared" si="258"/>
        <v>0</v>
      </c>
      <c r="AT848" s="27">
        <f t="shared" si="258"/>
        <v>0</v>
      </c>
      <c r="AU848" s="27">
        <f t="shared" si="258"/>
        <v>0</v>
      </c>
      <c r="AV848" s="27">
        <f t="shared" si="258"/>
        <v>0</v>
      </c>
      <c r="AW848" s="27">
        <f t="shared" si="258"/>
        <v>0</v>
      </c>
      <c r="AY848" s="79"/>
      <c r="AZ848" s="79"/>
    </row>
    <row r="849" spans="1:52" x14ac:dyDescent="0.3">
      <c r="A849" s="95" t="str">
        <f t="shared" si="224"/>
        <v>BD U&amp;D</v>
      </c>
      <c r="B849" s="95" t="s">
        <v>1228</v>
      </c>
      <c r="C849" s="95" t="s">
        <v>1336</v>
      </c>
      <c r="D849" t="s">
        <v>369</v>
      </c>
      <c r="E849" t="s">
        <v>55</v>
      </c>
      <c r="F849" t="s">
        <v>422</v>
      </c>
      <c r="G849" t="s">
        <v>1182</v>
      </c>
      <c r="H849" t="s">
        <v>1255</v>
      </c>
      <c r="I849" t="s">
        <v>139</v>
      </c>
      <c r="J849" t="s">
        <v>287</v>
      </c>
      <c r="K849" s="27">
        <f t="shared" ref="K849:AW849" si="259">K1497</f>
        <v>0</v>
      </c>
      <c r="L849" s="27">
        <f t="shared" si="259"/>
        <v>0</v>
      </c>
      <c r="M849" s="27">
        <f t="shared" si="259"/>
        <v>0</v>
      </c>
      <c r="N849" s="27">
        <f t="shared" si="259"/>
        <v>0</v>
      </c>
      <c r="O849" s="27">
        <f t="shared" si="259"/>
        <v>0</v>
      </c>
      <c r="P849" s="27">
        <f t="shared" si="259"/>
        <v>0</v>
      </c>
      <c r="Q849" s="27">
        <f t="shared" si="259"/>
        <v>0</v>
      </c>
      <c r="R849" s="27">
        <f t="shared" si="259"/>
        <v>0</v>
      </c>
      <c r="S849" s="27">
        <f t="shared" si="259"/>
        <v>0</v>
      </c>
      <c r="T849" s="27">
        <f t="shared" si="259"/>
        <v>0</v>
      </c>
      <c r="U849" s="27">
        <f t="shared" si="259"/>
        <v>0</v>
      </c>
      <c r="V849" s="27">
        <f t="shared" si="259"/>
        <v>0</v>
      </c>
      <c r="W849" s="27">
        <f t="shared" si="259"/>
        <v>0</v>
      </c>
      <c r="X849" s="27">
        <f t="shared" si="259"/>
        <v>0</v>
      </c>
      <c r="Y849" s="27">
        <f t="shared" si="259"/>
        <v>0</v>
      </c>
      <c r="Z849" s="27">
        <f t="shared" si="259"/>
        <v>0</v>
      </c>
      <c r="AA849" s="27">
        <f t="shared" si="259"/>
        <v>0</v>
      </c>
      <c r="AB849" s="27">
        <f t="shared" si="259"/>
        <v>0</v>
      </c>
      <c r="AC849" s="27">
        <f t="shared" si="259"/>
        <v>0</v>
      </c>
      <c r="AD849" s="27">
        <f t="shared" si="259"/>
        <v>0</v>
      </c>
      <c r="AE849" s="27">
        <f t="shared" si="259"/>
        <v>0</v>
      </c>
      <c r="AF849" s="27">
        <f t="shared" si="259"/>
        <v>0</v>
      </c>
      <c r="AG849" s="27">
        <f t="shared" si="259"/>
        <v>0</v>
      </c>
      <c r="AH849" s="27">
        <f t="shared" si="259"/>
        <v>0</v>
      </c>
      <c r="AI849" s="27">
        <f t="shared" si="259"/>
        <v>0</v>
      </c>
      <c r="AJ849" s="27">
        <f t="shared" si="259"/>
        <v>0</v>
      </c>
      <c r="AK849" s="27">
        <f t="shared" si="259"/>
        <v>0</v>
      </c>
      <c r="AL849" s="27">
        <f t="shared" si="259"/>
        <v>0</v>
      </c>
      <c r="AM849" s="27">
        <f t="shared" si="259"/>
        <v>0</v>
      </c>
      <c r="AN849" s="27">
        <f t="shared" si="259"/>
        <v>0</v>
      </c>
      <c r="AO849" s="27">
        <f t="shared" si="259"/>
        <v>0</v>
      </c>
      <c r="AP849" s="27">
        <f t="shared" si="259"/>
        <v>0</v>
      </c>
      <c r="AQ849" s="27">
        <f t="shared" si="259"/>
        <v>0</v>
      </c>
      <c r="AR849" s="27">
        <f t="shared" si="259"/>
        <v>0</v>
      </c>
      <c r="AS849" s="27">
        <f t="shared" si="259"/>
        <v>0</v>
      </c>
      <c r="AT849" s="27">
        <f t="shared" si="259"/>
        <v>0</v>
      </c>
      <c r="AU849" s="27">
        <f t="shared" si="259"/>
        <v>0</v>
      </c>
      <c r="AV849" s="27">
        <f t="shared" si="259"/>
        <v>0</v>
      </c>
      <c r="AW849" s="27">
        <f t="shared" si="259"/>
        <v>0</v>
      </c>
      <c r="AY849" s="79"/>
      <c r="AZ849" s="79"/>
    </row>
    <row r="850" spans="1:52" x14ac:dyDescent="0.3">
      <c r="A850" s="95" t="str">
        <f t="shared" si="224"/>
        <v>BD FSOM</v>
      </c>
      <c r="B850" s="95" t="s">
        <v>1228</v>
      </c>
      <c r="C850" s="95" t="s">
        <v>60</v>
      </c>
      <c r="D850" t="s">
        <v>369</v>
      </c>
      <c r="E850" t="s">
        <v>55</v>
      </c>
      <c r="F850" t="s">
        <v>60</v>
      </c>
      <c r="G850" t="s">
        <v>1266</v>
      </c>
      <c r="H850" t="s">
        <v>1267</v>
      </c>
      <c r="J850" t="s">
        <v>287</v>
      </c>
      <c r="K850" s="27" t="str">
        <f t="shared" ref="K850:AW850" si="260">K1498</f>
        <v>NO</v>
      </c>
      <c r="L850" s="27" t="str">
        <f t="shared" si="260"/>
        <v>NO</v>
      </c>
      <c r="M850" s="27" t="str">
        <f t="shared" si="260"/>
        <v>NO</v>
      </c>
      <c r="N850" s="27" t="str">
        <f t="shared" si="260"/>
        <v>NO</v>
      </c>
      <c r="O850" s="27" t="str">
        <f t="shared" si="260"/>
        <v>NO</v>
      </c>
      <c r="P850" s="27" t="str">
        <f t="shared" si="260"/>
        <v>NO</v>
      </c>
      <c r="Q850" s="27" t="str">
        <f t="shared" si="260"/>
        <v>NO</v>
      </c>
      <c r="R850" s="27" t="str">
        <f t="shared" si="260"/>
        <v>NO</v>
      </c>
      <c r="S850" s="27" t="str">
        <f t="shared" si="260"/>
        <v>NO</v>
      </c>
      <c r="T850" s="27" t="str">
        <f t="shared" si="260"/>
        <v>NO</v>
      </c>
      <c r="U850" s="27" t="str">
        <f t="shared" si="260"/>
        <v>NO</v>
      </c>
      <c r="V850" s="27" t="str">
        <f t="shared" si="260"/>
        <v>NO</v>
      </c>
      <c r="W850" s="27" t="str">
        <f t="shared" si="260"/>
        <v>NO</v>
      </c>
      <c r="X850" s="27" t="str">
        <f t="shared" si="260"/>
        <v>NO</v>
      </c>
      <c r="Y850" s="27" t="str">
        <f t="shared" si="260"/>
        <v>NO</v>
      </c>
      <c r="Z850" s="27" t="str">
        <f t="shared" si="260"/>
        <v>NO</v>
      </c>
      <c r="AA850" s="27" t="str">
        <f t="shared" si="260"/>
        <v>NO</v>
      </c>
      <c r="AB850" s="27" t="str">
        <f t="shared" si="260"/>
        <v>NO</v>
      </c>
      <c r="AC850" s="27" t="str">
        <f t="shared" si="260"/>
        <v>NO</v>
      </c>
      <c r="AD850" s="27" t="str">
        <f t="shared" si="260"/>
        <v>NO</v>
      </c>
      <c r="AE850" s="27" t="str">
        <f t="shared" si="260"/>
        <v>NO</v>
      </c>
      <c r="AF850" s="27" t="str">
        <f t="shared" si="260"/>
        <v>NO</v>
      </c>
      <c r="AG850" s="27" t="str">
        <f t="shared" si="260"/>
        <v>NO</v>
      </c>
      <c r="AH850" s="27" t="str">
        <f t="shared" si="260"/>
        <v>NO</v>
      </c>
      <c r="AI850" s="27" t="str">
        <f t="shared" si="260"/>
        <v>NO</v>
      </c>
      <c r="AJ850" s="27" t="str">
        <f t="shared" si="260"/>
        <v>NO</v>
      </c>
      <c r="AK850" s="27" t="str">
        <f t="shared" si="260"/>
        <v>NO</v>
      </c>
      <c r="AL850" s="27" t="str">
        <f t="shared" si="260"/>
        <v>NO</v>
      </c>
      <c r="AM850" s="27" t="str">
        <f t="shared" si="260"/>
        <v>NO</v>
      </c>
      <c r="AN850" s="27" t="str">
        <f t="shared" si="260"/>
        <v>NO</v>
      </c>
      <c r="AO850" s="27" t="str">
        <f t="shared" si="260"/>
        <v>NO</v>
      </c>
      <c r="AP850" s="27" t="str">
        <f t="shared" si="260"/>
        <v>NO</v>
      </c>
      <c r="AQ850" s="27" t="str">
        <f t="shared" si="260"/>
        <v>NO</v>
      </c>
      <c r="AR850" s="27" t="str">
        <f t="shared" si="260"/>
        <v>NO</v>
      </c>
      <c r="AS850" s="27" t="str">
        <f t="shared" si="260"/>
        <v>NO</v>
      </c>
      <c r="AT850" s="27" t="str">
        <f t="shared" si="260"/>
        <v>NO</v>
      </c>
      <c r="AU850" s="27" t="str">
        <f t="shared" si="260"/>
        <v>NO</v>
      </c>
      <c r="AV850" s="27" t="str">
        <f t="shared" si="260"/>
        <v>NO</v>
      </c>
      <c r="AW850" s="27" t="str">
        <f t="shared" si="260"/>
        <v>NO</v>
      </c>
      <c r="AY850" s="79"/>
      <c r="AZ850" s="79"/>
    </row>
    <row r="851" spans="1:52" x14ac:dyDescent="0.3">
      <c r="A851" s="95" t="str">
        <f t="shared" si="224"/>
        <v>BD FSOM</v>
      </c>
      <c r="B851" s="95" t="s">
        <v>1228</v>
      </c>
      <c r="C851" s="95" t="s">
        <v>60</v>
      </c>
      <c r="D851" t="s">
        <v>369</v>
      </c>
      <c r="E851" t="s">
        <v>55</v>
      </c>
      <c r="F851" t="s">
        <v>60</v>
      </c>
      <c r="G851" t="s">
        <v>1268</v>
      </c>
      <c r="H851" t="s">
        <v>1269</v>
      </c>
      <c r="J851" t="s">
        <v>287</v>
      </c>
      <c r="K851" s="27" t="str">
        <f t="shared" ref="K851:AW851" si="261">K1499</f>
        <v>NO</v>
      </c>
      <c r="L851" s="27" t="str">
        <f t="shared" si="261"/>
        <v>NO</v>
      </c>
      <c r="M851" s="27" t="str">
        <f t="shared" si="261"/>
        <v>NO</v>
      </c>
      <c r="N851" s="27" t="str">
        <f t="shared" si="261"/>
        <v>NO</v>
      </c>
      <c r="O851" s="27" t="str">
        <f t="shared" si="261"/>
        <v>NO</v>
      </c>
      <c r="P851" s="27" t="str">
        <f t="shared" si="261"/>
        <v>NO</v>
      </c>
      <c r="Q851" s="27" t="str">
        <f t="shared" si="261"/>
        <v>NO</v>
      </c>
      <c r="R851" s="27" t="str">
        <f t="shared" si="261"/>
        <v>NO</v>
      </c>
      <c r="S851" s="27" t="str">
        <f t="shared" si="261"/>
        <v>NO</v>
      </c>
      <c r="T851" s="27" t="str">
        <f t="shared" si="261"/>
        <v>NO</v>
      </c>
      <c r="U851" s="27" t="str">
        <f t="shared" si="261"/>
        <v>NO</v>
      </c>
      <c r="V851" s="27" t="str">
        <f t="shared" si="261"/>
        <v>NO</v>
      </c>
      <c r="W851" s="27" t="str">
        <f t="shared" si="261"/>
        <v>NO</v>
      </c>
      <c r="X851" s="27" t="str">
        <f t="shared" si="261"/>
        <v>NO</v>
      </c>
      <c r="Y851" s="27" t="str">
        <f t="shared" si="261"/>
        <v>NO</v>
      </c>
      <c r="Z851" s="27" t="str">
        <f t="shared" si="261"/>
        <v>NO</v>
      </c>
      <c r="AA851" s="27" t="str">
        <f t="shared" si="261"/>
        <v>NO</v>
      </c>
      <c r="AB851" s="27" t="str">
        <f t="shared" si="261"/>
        <v>NO</v>
      </c>
      <c r="AC851" s="27" t="str">
        <f t="shared" si="261"/>
        <v>NO</v>
      </c>
      <c r="AD851" s="27" t="str">
        <f t="shared" si="261"/>
        <v>NO</v>
      </c>
      <c r="AE851" s="27" t="str">
        <f t="shared" si="261"/>
        <v>NO</v>
      </c>
      <c r="AF851" s="27" t="str">
        <f t="shared" si="261"/>
        <v>NO</v>
      </c>
      <c r="AG851" s="27" t="str">
        <f t="shared" si="261"/>
        <v>NO</v>
      </c>
      <c r="AH851" s="27" t="str">
        <f t="shared" si="261"/>
        <v>NO</v>
      </c>
      <c r="AI851" s="27" t="str">
        <f t="shared" si="261"/>
        <v>NO</v>
      </c>
      <c r="AJ851" s="27" t="str">
        <f t="shared" si="261"/>
        <v>NO</v>
      </c>
      <c r="AK851" s="27" t="str">
        <f t="shared" si="261"/>
        <v>NO</v>
      </c>
      <c r="AL851" s="27" t="str">
        <f t="shared" si="261"/>
        <v>NO</v>
      </c>
      <c r="AM851" s="27" t="str">
        <f t="shared" si="261"/>
        <v>NO</v>
      </c>
      <c r="AN851" s="27" t="str">
        <f t="shared" si="261"/>
        <v>NO</v>
      </c>
      <c r="AO851" s="27" t="str">
        <f t="shared" si="261"/>
        <v>NO</v>
      </c>
      <c r="AP851" s="27" t="str">
        <f t="shared" si="261"/>
        <v>NO</v>
      </c>
      <c r="AQ851" s="27" t="str">
        <f t="shared" si="261"/>
        <v>NO</v>
      </c>
      <c r="AR851" s="27" t="str">
        <f t="shared" si="261"/>
        <v>NO</v>
      </c>
      <c r="AS851" s="27" t="str">
        <f t="shared" si="261"/>
        <v>NO</v>
      </c>
      <c r="AT851" s="27" t="str">
        <f t="shared" si="261"/>
        <v>NO</v>
      </c>
      <c r="AU851" s="27" t="str">
        <f t="shared" si="261"/>
        <v>NO</v>
      </c>
      <c r="AV851" s="27" t="str">
        <f t="shared" si="261"/>
        <v>NO</v>
      </c>
      <c r="AW851" s="27" t="str">
        <f t="shared" si="261"/>
        <v>NO</v>
      </c>
      <c r="AY851" s="79"/>
      <c r="AZ851" s="79"/>
    </row>
    <row r="852" spans="1:52" x14ac:dyDescent="0.3">
      <c r="A852" s="95" t="str">
        <f t="shared" si="224"/>
        <v>BD FSOM</v>
      </c>
      <c r="B852" s="95" t="s">
        <v>1228</v>
      </c>
      <c r="C852" s="95" t="s">
        <v>60</v>
      </c>
      <c r="D852" t="s">
        <v>369</v>
      </c>
      <c r="E852" t="s">
        <v>55</v>
      </c>
      <c r="F852" t="s">
        <v>60</v>
      </c>
      <c r="G852" t="s">
        <v>1270</v>
      </c>
      <c r="H852" t="s">
        <v>1271</v>
      </c>
      <c r="J852" t="s">
        <v>287</v>
      </c>
      <c r="K852" s="27">
        <f t="shared" ref="K852:AW852" si="262">K1500</f>
        <v>3.4398813895090996E-3</v>
      </c>
      <c r="L852" s="27">
        <f t="shared" si="262"/>
        <v>3.4358310252377683E-3</v>
      </c>
      <c r="M852" s="27">
        <f t="shared" si="262"/>
        <v>3.4317806609664363E-3</v>
      </c>
      <c r="N852" s="27">
        <f t="shared" si="262"/>
        <v>3.4277302966951037E-3</v>
      </c>
      <c r="O852" s="27">
        <f t="shared" si="262"/>
        <v>3.4236799324237725E-3</v>
      </c>
      <c r="P852" s="27">
        <f t="shared" si="262"/>
        <v>3.4196295681524396E-3</v>
      </c>
      <c r="Q852" s="27">
        <f t="shared" si="262"/>
        <v>3.4155792038811079E-3</v>
      </c>
      <c r="R852" s="27">
        <f t="shared" si="262"/>
        <v>3.4115288396097763E-3</v>
      </c>
      <c r="S852" s="27">
        <f t="shared" si="262"/>
        <v>3.4074784753384451E-3</v>
      </c>
      <c r="T852" s="27">
        <f t="shared" si="262"/>
        <v>3.4034281110671134E-3</v>
      </c>
      <c r="U852" s="27">
        <f t="shared" si="262"/>
        <v>3.39937774679578E-3</v>
      </c>
      <c r="V852" s="27">
        <f t="shared" si="262"/>
        <v>3.3953273825244488E-3</v>
      </c>
      <c r="W852" s="27">
        <f t="shared" si="262"/>
        <v>3.3912770182531172E-3</v>
      </c>
      <c r="X852" s="27">
        <f t="shared" si="262"/>
        <v>3.387226653981786E-3</v>
      </c>
      <c r="Y852" s="27">
        <f t="shared" si="262"/>
        <v>3.3831762897104547E-3</v>
      </c>
      <c r="Z852" s="27">
        <f t="shared" si="262"/>
        <v>3.3791259254391218E-3</v>
      </c>
      <c r="AA852" s="27">
        <f t="shared" si="262"/>
        <v>3.375075561167791E-3</v>
      </c>
      <c r="AB852" s="27">
        <f t="shared" si="262"/>
        <v>3.3710251968964585E-3</v>
      </c>
      <c r="AC852" s="27">
        <f t="shared" si="262"/>
        <v>3.3669748326251273E-3</v>
      </c>
      <c r="AD852" s="27">
        <f t="shared" si="262"/>
        <v>3.3629244683537943E-3</v>
      </c>
      <c r="AE852" s="27">
        <f t="shared" si="262"/>
        <v>3.358874104082464E-3</v>
      </c>
      <c r="AF852" s="27">
        <f t="shared" si="262"/>
        <v>3.3548237398111319E-3</v>
      </c>
      <c r="AG852" s="27">
        <f t="shared" si="262"/>
        <v>3.3507733755397998E-3</v>
      </c>
      <c r="AH852" s="27">
        <f t="shared" si="262"/>
        <v>3.3467230112684673E-3</v>
      </c>
      <c r="AI852" s="27">
        <f t="shared" si="262"/>
        <v>3.3426726469971361E-3</v>
      </c>
      <c r="AJ852" s="27">
        <f t="shared" si="262"/>
        <v>3.3386222827258044E-3</v>
      </c>
      <c r="AK852" s="27">
        <f t="shared" si="262"/>
        <v>3.3345719184544728E-3</v>
      </c>
      <c r="AL852" s="27">
        <f t="shared" si="262"/>
        <v>3.3305215541831416E-3</v>
      </c>
      <c r="AM852" s="27">
        <f t="shared" si="262"/>
        <v>3.3264711899118095E-3</v>
      </c>
      <c r="AN852" s="27">
        <f t="shared" si="262"/>
        <v>3.3224208256404765E-3</v>
      </c>
      <c r="AO852" s="27">
        <f t="shared" si="262"/>
        <v>3.3183704613691458E-3</v>
      </c>
      <c r="AP852" s="27">
        <f t="shared" si="262"/>
        <v>3.3143200970978137E-3</v>
      </c>
      <c r="AQ852" s="27">
        <f t="shared" si="262"/>
        <v>3.3102697328264833E-3</v>
      </c>
      <c r="AR852" s="27">
        <f t="shared" si="262"/>
        <v>3.3062193685551499E-3</v>
      </c>
      <c r="AS852" s="27">
        <f t="shared" si="262"/>
        <v>3.3021690042838187E-3</v>
      </c>
      <c r="AT852" s="27">
        <f t="shared" si="262"/>
        <v>3.2981186400124866E-3</v>
      </c>
      <c r="AU852" s="27">
        <f t="shared" si="262"/>
        <v>3.2940682757411541E-3</v>
      </c>
      <c r="AV852" s="27">
        <f t="shared" si="262"/>
        <v>3.2900179114698229E-3</v>
      </c>
      <c r="AW852" s="27">
        <f t="shared" si="262"/>
        <v>3.2859675471984908E-3</v>
      </c>
      <c r="AY852" s="79"/>
      <c r="AZ852" s="79"/>
    </row>
    <row r="853" spans="1:52" x14ac:dyDescent="0.3">
      <c r="A853" s="95" t="str">
        <f t="shared" si="224"/>
        <v>BD FSOM</v>
      </c>
      <c r="B853" s="95" t="s">
        <v>1228</v>
      </c>
      <c r="C853" s="95" t="s">
        <v>60</v>
      </c>
      <c r="D853" t="s">
        <v>369</v>
      </c>
      <c r="E853" t="s">
        <v>55</v>
      </c>
      <c r="F853" t="s">
        <v>60</v>
      </c>
      <c r="G853" t="s">
        <v>1272</v>
      </c>
      <c r="H853" t="s">
        <v>1273</v>
      </c>
      <c r="J853" t="s">
        <v>287</v>
      </c>
      <c r="K853" s="27">
        <f t="shared" ref="K853:AW853" si="263">K1501</f>
        <v>0.49020960547040615</v>
      </c>
      <c r="L853" s="27">
        <f t="shared" si="263"/>
        <v>0.49134551154341793</v>
      </c>
      <c r="M853" s="27">
        <f t="shared" si="263"/>
        <v>0.49248141761642988</v>
      </c>
      <c r="N853" s="27">
        <f t="shared" si="263"/>
        <v>0.49361732368944172</v>
      </c>
      <c r="O853" s="27">
        <f t="shared" si="263"/>
        <v>0.49475322976245356</v>
      </c>
      <c r="P853" s="27">
        <f t="shared" si="263"/>
        <v>0.49588913583546534</v>
      </c>
      <c r="Q853" s="27">
        <f t="shared" si="263"/>
        <v>0.49702504190847724</v>
      </c>
      <c r="R853" s="27">
        <f t="shared" si="263"/>
        <v>0.49816094798148913</v>
      </c>
      <c r="S853" s="27">
        <f t="shared" si="263"/>
        <v>0.49929685405450086</v>
      </c>
      <c r="T853" s="27">
        <f t="shared" si="263"/>
        <v>0.50043276012751292</v>
      </c>
      <c r="U853" s="27">
        <f t="shared" si="263"/>
        <v>0.50156866620052454</v>
      </c>
      <c r="V853" s="27">
        <f t="shared" si="263"/>
        <v>0.50270457227353649</v>
      </c>
      <c r="W853" s="27">
        <f t="shared" si="263"/>
        <v>0.50384047834654833</v>
      </c>
      <c r="X853" s="27">
        <f t="shared" si="263"/>
        <v>0.50497638441956039</v>
      </c>
      <c r="Y853" s="27">
        <f t="shared" si="263"/>
        <v>0.506112290492572</v>
      </c>
      <c r="Z853" s="27">
        <f t="shared" si="263"/>
        <v>0.50724819656558406</v>
      </c>
      <c r="AA853" s="27">
        <f t="shared" si="263"/>
        <v>0.50838410263859568</v>
      </c>
      <c r="AB853" s="27">
        <f t="shared" si="263"/>
        <v>0.50952000871160763</v>
      </c>
      <c r="AC853" s="27">
        <f t="shared" si="263"/>
        <v>0.51065591478461958</v>
      </c>
      <c r="AD853" s="27">
        <f t="shared" si="263"/>
        <v>0.51179182085763142</v>
      </c>
      <c r="AE853" s="27">
        <f t="shared" si="263"/>
        <v>0.51292772693064326</v>
      </c>
      <c r="AF853" s="27">
        <f t="shared" si="263"/>
        <v>0.5140636330036551</v>
      </c>
      <c r="AG853" s="27">
        <f t="shared" si="263"/>
        <v>0.51519953907666705</v>
      </c>
      <c r="AH853" s="27">
        <f t="shared" si="263"/>
        <v>0.51633544514967877</v>
      </c>
      <c r="AI853" s="27">
        <f t="shared" si="263"/>
        <v>0.51747135122269072</v>
      </c>
      <c r="AJ853" s="27">
        <f t="shared" si="263"/>
        <v>0.51860725729570256</v>
      </c>
      <c r="AK853" s="27">
        <f t="shared" si="263"/>
        <v>0.5197431633687144</v>
      </c>
      <c r="AL853" s="27">
        <f t="shared" si="263"/>
        <v>0.52087906944172624</v>
      </c>
      <c r="AM853" s="27">
        <f t="shared" si="263"/>
        <v>0.52201497551473808</v>
      </c>
      <c r="AN853" s="27">
        <f t="shared" si="263"/>
        <v>0.52315088158774992</v>
      </c>
      <c r="AO853" s="27">
        <f t="shared" si="263"/>
        <v>0.52428678766076187</v>
      </c>
      <c r="AP853" s="27">
        <f t="shared" si="263"/>
        <v>0.52542269373377359</v>
      </c>
      <c r="AQ853" s="27">
        <f t="shared" si="263"/>
        <v>0.52655859980678543</v>
      </c>
      <c r="AR853" s="27">
        <f t="shared" si="263"/>
        <v>0.52769450587979749</v>
      </c>
      <c r="AS853" s="27">
        <f t="shared" si="263"/>
        <v>0.52883041195280922</v>
      </c>
      <c r="AT853" s="27">
        <f t="shared" si="263"/>
        <v>0.52996631802582106</v>
      </c>
      <c r="AU853" s="27">
        <f t="shared" si="263"/>
        <v>0.53110222409883301</v>
      </c>
      <c r="AV853" s="27">
        <f t="shared" si="263"/>
        <v>0.53223813017184474</v>
      </c>
      <c r="AW853" s="27">
        <f t="shared" si="263"/>
        <v>0.5333740362448568</v>
      </c>
      <c r="AY853" s="79"/>
      <c r="AZ853" s="79"/>
    </row>
    <row r="854" spans="1:52" x14ac:dyDescent="0.3">
      <c r="A854" s="95" t="str">
        <f t="shared" si="224"/>
        <v>BD FSOM</v>
      </c>
      <c r="B854" s="95" t="s">
        <v>1228</v>
      </c>
      <c r="C854" s="95" t="s">
        <v>60</v>
      </c>
      <c r="D854" t="s">
        <v>369</v>
      </c>
      <c r="E854" t="s">
        <v>55</v>
      </c>
      <c r="F854" t="s">
        <v>60</v>
      </c>
      <c r="G854" t="s">
        <v>1274</v>
      </c>
      <c r="H854" t="s">
        <v>1275</v>
      </c>
      <c r="J854" t="s">
        <v>287</v>
      </c>
      <c r="K854" s="27">
        <f t="shared" ref="K854:AW854" si="264">K1502</f>
        <v>0.57597220909378744</v>
      </c>
      <c r="L854" s="27">
        <f t="shared" si="264"/>
        <v>0.57597220909378744</v>
      </c>
      <c r="M854" s="27">
        <f t="shared" si="264"/>
        <v>0.57597220909378744</v>
      </c>
      <c r="N854" s="27">
        <f t="shared" si="264"/>
        <v>0.57597220909378744</v>
      </c>
      <c r="O854" s="27">
        <f t="shared" si="264"/>
        <v>0.57597220909378744</v>
      </c>
      <c r="P854" s="27">
        <f t="shared" si="264"/>
        <v>0.57597220909378744</v>
      </c>
      <c r="Q854" s="27">
        <f t="shared" si="264"/>
        <v>0.57597220909378744</v>
      </c>
      <c r="R854" s="27">
        <f t="shared" si="264"/>
        <v>0.57597220909378744</v>
      </c>
      <c r="S854" s="27">
        <f t="shared" si="264"/>
        <v>0.57597220909378744</v>
      </c>
      <c r="T854" s="27">
        <f t="shared" si="264"/>
        <v>0.57597220909378744</v>
      </c>
      <c r="U854" s="27">
        <f t="shared" si="264"/>
        <v>0.57597220909378744</v>
      </c>
      <c r="V854" s="27">
        <f t="shared" si="264"/>
        <v>0.57597220909378744</v>
      </c>
      <c r="W854" s="27">
        <f t="shared" si="264"/>
        <v>0.57597220909378744</v>
      </c>
      <c r="X854" s="27">
        <f t="shared" si="264"/>
        <v>0.57597220909378744</v>
      </c>
      <c r="Y854" s="27">
        <f t="shared" si="264"/>
        <v>0.57597220909378744</v>
      </c>
      <c r="Z854" s="27">
        <f t="shared" si="264"/>
        <v>0.57597220909378744</v>
      </c>
      <c r="AA854" s="27">
        <f t="shared" si="264"/>
        <v>0.57597220909378744</v>
      </c>
      <c r="AB854" s="27">
        <f t="shared" si="264"/>
        <v>0.57597220909378744</v>
      </c>
      <c r="AC854" s="27">
        <f t="shared" si="264"/>
        <v>0.57597220909378744</v>
      </c>
      <c r="AD854" s="27">
        <f t="shared" si="264"/>
        <v>0.57597220909378744</v>
      </c>
      <c r="AE854" s="27">
        <f t="shared" si="264"/>
        <v>0.57597220909378744</v>
      </c>
      <c r="AF854" s="27">
        <f t="shared" si="264"/>
        <v>0.57597220909378744</v>
      </c>
      <c r="AG854" s="27">
        <f t="shared" si="264"/>
        <v>0.57597220909378744</v>
      </c>
      <c r="AH854" s="27">
        <f t="shared" si="264"/>
        <v>0.57597220909378744</v>
      </c>
      <c r="AI854" s="27">
        <f t="shared" si="264"/>
        <v>0.57597220909378744</v>
      </c>
      <c r="AJ854" s="27">
        <f t="shared" si="264"/>
        <v>0.57597220909378744</v>
      </c>
      <c r="AK854" s="27">
        <f t="shared" si="264"/>
        <v>0.57597220909378744</v>
      </c>
      <c r="AL854" s="27">
        <f t="shared" si="264"/>
        <v>0.57597220909378744</v>
      </c>
      <c r="AM854" s="27">
        <f t="shared" si="264"/>
        <v>0.57597220909378744</v>
      </c>
      <c r="AN854" s="27">
        <f t="shared" si="264"/>
        <v>0.57597220909378744</v>
      </c>
      <c r="AO854" s="27">
        <f t="shared" si="264"/>
        <v>0.57597220909378744</v>
      </c>
      <c r="AP854" s="27">
        <f t="shared" si="264"/>
        <v>0.57597220909378744</v>
      </c>
      <c r="AQ854" s="27">
        <f t="shared" si="264"/>
        <v>0.57597220909378744</v>
      </c>
      <c r="AR854" s="27">
        <f t="shared" si="264"/>
        <v>0.57597220909378744</v>
      </c>
      <c r="AS854" s="27">
        <f t="shared" si="264"/>
        <v>0.57597220909378744</v>
      </c>
      <c r="AT854" s="27">
        <f t="shared" si="264"/>
        <v>0.57597220909378744</v>
      </c>
      <c r="AU854" s="27">
        <f t="shared" si="264"/>
        <v>0.57597220909378744</v>
      </c>
      <c r="AV854" s="27">
        <f t="shared" si="264"/>
        <v>0.57597220909378744</v>
      </c>
      <c r="AW854" s="27">
        <f t="shared" si="264"/>
        <v>0.57597220909378744</v>
      </c>
      <c r="AY854" s="79"/>
      <c r="AZ854" s="79"/>
    </row>
    <row r="855" spans="1:52" x14ac:dyDescent="0.3">
      <c r="A855" s="95" t="str">
        <f t="shared" si="224"/>
        <v>BD FSOM</v>
      </c>
      <c r="B855" s="95" t="s">
        <v>1228</v>
      </c>
      <c r="C855" s="95" t="s">
        <v>60</v>
      </c>
      <c r="D855" t="s">
        <v>369</v>
      </c>
      <c r="E855" t="s">
        <v>55</v>
      </c>
      <c r="F855" t="s">
        <v>60</v>
      </c>
      <c r="G855" t="s">
        <v>1276</v>
      </c>
      <c r="H855" t="s">
        <v>1277</v>
      </c>
      <c r="J855" t="s">
        <v>287</v>
      </c>
      <c r="K855" s="27" t="str">
        <f t="shared" ref="K855:AW855" si="265">K1503</f>
        <v>NO</v>
      </c>
      <c r="L855" s="27" t="str">
        <f t="shared" si="265"/>
        <v>NO</v>
      </c>
      <c r="M855" s="27" t="str">
        <f t="shared" si="265"/>
        <v>NO</v>
      </c>
      <c r="N855" s="27" t="str">
        <f t="shared" si="265"/>
        <v>NO</v>
      </c>
      <c r="O855" s="27" t="str">
        <f t="shared" si="265"/>
        <v>NO</v>
      </c>
      <c r="P855" s="27" t="str">
        <f t="shared" si="265"/>
        <v>NO</v>
      </c>
      <c r="Q855" s="27" t="str">
        <f t="shared" si="265"/>
        <v>NO</v>
      </c>
      <c r="R855" s="27" t="str">
        <f t="shared" si="265"/>
        <v>NO</v>
      </c>
      <c r="S855" s="27" t="str">
        <f t="shared" si="265"/>
        <v>NO</v>
      </c>
      <c r="T855" s="27" t="str">
        <f t="shared" si="265"/>
        <v>NO</v>
      </c>
      <c r="U855" s="27" t="str">
        <f t="shared" si="265"/>
        <v>NO</v>
      </c>
      <c r="V855" s="27" t="str">
        <f t="shared" si="265"/>
        <v>NO</v>
      </c>
      <c r="W855" s="27" t="str">
        <f t="shared" si="265"/>
        <v>NO</v>
      </c>
      <c r="X855" s="27" t="str">
        <f t="shared" si="265"/>
        <v>NO</v>
      </c>
      <c r="Y855" s="27" t="str">
        <f t="shared" si="265"/>
        <v>NO</v>
      </c>
      <c r="Z855" s="27" t="str">
        <f t="shared" si="265"/>
        <v>NO</v>
      </c>
      <c r="AA855" s="27" t="str">
        <f t="shared" si="265"/>
        <v>NO</v>
      </c>
      <c r="AB855" s="27" t="str">
        <f t="shared" si="265"/>
        <v>NO</v>
      </c>
      <c r="AC855" s="27" t="str">
        <f t="shared" si="265"/>
        <v>NO</v>
      </c>
      <c r="AD855" s="27" t="str">
        <f t="shared" si="265"/>
        <v>NO</v>
      </c>
      <c r="AE855" s="27" t="str">
        <f t="shared" si="265"/>
        <v>NO</v>
      </c>
      <c r="AF855" s="27" t="str">
        <f t="shared" si="265"/>
        <v>NO</v>
      </c>
      <c r="AG855" s="27" t="str">
        <f t="shared" si="265"/>
        <v>NO</v>
      </c>
      <c r="AH855" s="27" t="str">
        <f t="shared" si="265"/>
        <v>NO</v>
      </c>
      <c r="AI855" s="27" t="str">
        <f t="shared" si="265"/>
        <v>NO</v>
      </c>
      <c r="AJ855" s="27" t="str">
        <f t="shared" si="265"/>
        <v>NO</v>
      </c>
      <c r="AK855" s="27" t="str">
        <f t="shared" si="265"/>
        <v>NO</v>
      </c>
      <c r="AL855" s="27" t="str">
        <f t="shared" si="265"/>
        <v>NO</v>
      </c>
      <c r="AM855" s="27" t="str">
        <f t="shared" si="265"/>
        <v>NO</v>
      </c>
      <c r="AN855" s="27" t="str">
        <f t="shared" si="265"/>
        <v>NO</v>
      </c>
      <c r="AO855" s="27" t="str">
        <f t="shared" si="265"/>
        <v>NO</v>
      </c>
      <c r="AP855" s="27" t="str">
        <f t="shared" si="265"/>
        <v>NO</v>
      </c>
      <c r="AQ855" s="27" t="str">
        <f t="shared" si="265"/>
        <v>NO</v>
      </c>
      <c r="AR855" s="27" t="str">
        <f t="shared" si="265"/>
        <v>NO</v>
      </c>
      <c r="AS855" s="27" t="str">
        <f t="shared" si="265"/>
        <v>NO</v>
      </c>
      <c r="AT855" s="27" t="str">
        <f t="shared" si="265"/>
        <v>NO</v>
      </c>
      <c r="AU855" s="27" t="str">
        <f t="shared" si="265"/>
        <v>NO</v>
      </c>
      <c r="AV855" s="27" t="str">
        <f t="shared" si="265"/>
        <v>NO</v>
      </c>
      <c r="AW855" s="27" t="str">
        <f t="shared" si="265"/>
        <v>NO</v>
      </c>
      <c r="AY855" s="79"/>
      <c r="AZ855" s="79"/>
    </row>
    <row r="856" spans="1:52" x14ac:dyDescent="0.3">
      <c r="A856" s="95" t="str">
        <f t="shared" si="224"/>
        <v>BD FSOM</v>
      </c>
      <c r="B856" s="95" t="s">
        <v>1228</v>
      </c>
      <c r="C856" s="95" t="s">
        <v>60</v>
      </c>
      <c r="D856" t="s">
        <v>369</v>
      </c>
      <c r="E856" t="s">
        <v>55</v>
      </c>
      <c r="F856" t="s">
        <v>60</v>
      </c>
      <c r="G856" t="s">
        <v>1278</v>
      </c>
      <c r="H856" t="s">
        <v>1279</v>
      </c>
      <c r="J856" t="s">
        <v>287</v>
      </c>
      <c r="K856" s="27" t="str">
        <f t="shared" ref="K856:AW856" si="266">K1504</f>
        <v>NO</v>
      </c>
      <c r="L856" s="27" t="str">
        <f t="shared" si="266"/>
        <v>NO</v>
      </c>
      <c r="M856" s="27" t="str">
        <f t="shared" si="266"/>
        <v>NO</v>
      </c>
      <c r="N856" s="27" t="str">
        <f t="shared" si="266"/>
        <v>NO</v>
      </c>
      <c r="O856" s="27" t="str">
        <f t="shared" si="266"/>
        <v>NO</v>
      </c>
      <c r="P856" s="27" t="str">
        <f t="shared" si="266"/>
        <v>NO</v>
      </c>
      <c r="Q856" s="27" t="str">
        <f t="shared" si="266"/>
        <v>NO</v>
      </c>
      <c r="R856" s="27" t="str">
        <f t="shared" si="266"/>
        <v>NO</v>
      </c>
      <c r="S856" s="27" t="str">
        <f t="shared" si="266"/>
        <v>NO</v>
      </c>
      <c r="T856" s="27" t="str">
        <f t="shared" si="266"/>
        <v>NO</v>
      </c>
      <c r="U856" s="27" t="str">
        <f t="shared" si="266"/>
        <v>NO</v>
      </c>
      <c r="V856" s="27" t="str">
        <f t="shared" si="266"/>
        <v>NO</v>
      </c>
      <c r="W856" s="27" t="str">
        <f t="shared" si="266"/>
        <v>NO</v>
      </c>
      <c r="X856" s="27" t="str">
        <f t="shared" si="266"/>
        <v>NO</v>
      </c>
      <c r="Y856" s="27" t="str">
        <f t="shared" si="266"/>
        <v>NO</v>
      </c>
      <c r="Z856" s="27" t="str">
        <f t="shared" si="266"/>
        <v>NO</v>
      </c>
      <c r="AA856" s="27" t="str">
        <f t="shared" si="266"/>
        <v>NO</v>
      </c>
      <c r="AB856" s="27" t="str">
        <f t="shared" si="266"/>
        <v>NO</v>
      </c>
      <c r="AC856" s="27" t="str">
        <f t="shared" si="266"/>
        <v>NO</v>
      </c>
      <c r="AD856" s="27" t="str">
        <f t="shared" si="266"/>
        <v>NO</v>
      </c>
      <c r="AE856" s="27" t="str">
        <f t="shared" si="266"/>
        <v>NO</v>
      </c>
      <c r="AF856" s="27" t="str">
        <f t="shared" si="266"/>
        <v>NO</v>
      </c>
      <c r="AG856" s="27" t="str">
        <f t="shared" si="266"/>
        <v>NO</v>
      </c>
      <c r="AH856" s="27" t="str">
        <f t="shared" si="266"/>
        <v>NO</v>
      </c>
      <c r="AI856" s="27" t="str">
        <f t="shared" si="266"/>
        <v>NO</v>
      </c>
      <c r="AJ856" s="27" t="str">
        <f t="shared" si="266"/>
        <v>NO</v>
      </c>
      <c r="AK856" s="27" t="str">
        <f t="shared" si="266"/>
        <v>NO</v>
      </c>
      <c r="AL856" s="27" t="str">
        <f t="shared" si="266"/>
        <v>NO</v>
      </c>
      <c r="AM856" s="27" t="str">
        <f t="shared" si="266"/>
        <v>NO</v>
      </c>
      <c r="AN856" s="27" t="str">
        <f t="shared" si="266"/>
        <v>NO</v>
      </c>
      <c r="AO856" s="27" t="str">
        <f t="shared" si="266"/>
        <v>NO</v>
      </c>
      <c r="AP856" s="27" t="str">
        <f t="shared" si="266"/>
        <v>NO</v>
      </c>
      <c r="AQ856" s="27" t="str">
        <f t="shared" si="266"/>
        <v>NO</v>
      </c>
      <c r="AR856" s="27" t="str">
        <f t="shared" si="266"/>
        <v>NO</v>
      </c>
      <c r="AS856" s="27" t="str">
        <f t="shared" si="266"/>
        <v>NO</v>
      </c>
      <c r="AT856" s="27" t="str">
        <f t="shared" si="266"/>
        <v>NO</v>
      </c>
      <c r="AU856" s="27" t="str">
        <f t="shared" si="266"/>
        <v>NO</v>
      </c>
      <c r="AV856" s="27" t="str">
        <f t="shared" si="266"/>
        <v>NO</v>
      </c>
      <c r="AW856" s="27" t="str">
        <f t="shared" si="266"/>
        <v>NO</v>
      </c>
      <c r="AY856" s="79"/>
      <c r="AZ856" s="79"/>
    </row>
    <row r="857" spans="1:52" x14ac:dyDescent="0.3">
      <c r="A857" s="95" t="str">
        <f t="shared" si="224"/>
        <v>BD FSOM</v>
      </c>
      <c r="B857" s="95" t="s">
        <v>1228</v>
      </c>
      <c r="C857" s="95" t="s">
        <v>60</v>
      </c>
      <c r="D857" t="s">
        <v>369</v>
      </c>
      <c r="E857" t="s">
        <v>55</v>
      </c>
      <c r="F857" t="s">
        <v>60</v>
      </c>
      <c r="G857" t="s">
        <v>1280</v>
      </c>
      <c r="H857" t="s">
        <v>1281</v>
      </c>
      <c r="J857" t="s">
        <v>287</v>
      </c>
      <c r="K857" s="27" t="str">
        <f t="shared" ref="K857:AW857" si="267">K1505</f>
        <v>NO</v>
      </c>
      <c r="L857" s="27" t="str">
        <f t="shared" si="267"/>
        <v>NO</v>
      </c>
      <c r="M857" s="27" t="str">
        <f t="shared" si="267"/>
        <v>NO</v>
      </c>
      <c r="N857" s="27" t="str">
        <f t="shared" si="267"/>
        <v>NO</v>
      </c>
      <c r="O857" s="27" t="str">
        <f t="shared" si="267"/>
        <v>NO</v>
      </c>
      <c r="P857" s="27" t="str">
        <f t="shared" si="267"/>
        <v>NO</v>
      </c>
      <c r="Q857" s="27" t="str">
        <f t="shared" si="267"/>
        <v>NO</v>
      </c>
      <c r="R857" s="27" t="str">
        <f t="shared" si="267"/>
        <v>NO</v>
      </c>
      <c r="S857" s="27" t="str">
        <f t="shared" si="267"/>
        <v>NO</v>
      </c>
      <c r="T857" s="27" t="str">
        <f t="shared" si="267"/>
        <v>NO</v>
      </c>
      <c r="U857" s="27" t="str">
        <f t="shared" si="267"/>
        <v>NO</v>
      </c>
      <c r="V857" s="27" t="str">
        <f t="shared" si="267"/>
        <v>NO</v>
      </c>
      <c r="W857" s="27" t="str">
        <f t="shared" si="267"/>
        <v>NO</v>
      </c>
      <c r="X857" s="27" t="str">
        <f t="shared" si="267"/>
        <v>NO</v>
      </c>
      <c r="Y857" s="27" t="str">
        <f t="shared" si="267"/>
        <v>NO</v>
      </c>
      <c r="Z857" s="27" t="str">
        <f t="shared" si="267"/>
        <v>NO</v>
      </c>
      <c r="AA857" s="27" t="str">
        <f t="shared" si="267"/>
        <v>NO</v>
      </c>
      <c r="AB857" s="27" t="str">
        <f t="shared" si="267"/>
        <v>NO</v>
      </c>
      <c r="AC857" s="27" t="str">
        <f t="shared" si="267"/>
        <v>NO</v>
      </c>
      <c r="AD857" s="27" t="str">
        <f t="shared" si="267"/>
        <v>NO</v>
      </c>
      <c r="AE857" s="27" t="str">
        <f t="shared" si="267"/>
        <v>NO</v>
      </c>
      <c r="AF857" s="27" t="str">
        <f t="shared" si="267"/>
        <v>NO</v>
      </c>
      <c r="AG857" s="27" t="str">
        <f t="shared" si="267"/>
        <v>NO</v>
      </c>
      <c r="AH857" s="27" t="str">
        <f t="shared" si="267"/>
        <v>NO</v>
      </c>
      <c r="AI857" s="27" t="str">
        <f t="shared" si="267"/>
        <v>NO</v>
      </c>
      <c r="AJ857" s="27" t="str">
        <f t="shared" si="267"/>
        <v>NO</v>
      </c>
      <c r="AK857" s="27" t="str">
        <f t="shared" si="267"/>
        <v>NO</v>
      </c>
      <c r="AL857" s="27" t="str">
        <f t="shared" si="267"/>
        <v>NO</v>
      </c>
      <c r="AM857" s="27" t="str">
        <f t="shared" si="267"/>
        <v>NO</v>
      </c>
      <c r="AN857" s="27" t="str">
        <f t="shared" si="267"/>
        <v>NO</v>
      </c>
      <c r="AO857" s="27" t="str">
        <f t="shared" si="267"/>
        <v>NO</v>
      </c>
      <c r="AP857" s="27" t="str">
        <f t="shared" si="267"/>
        <v>NO</v>
      </c>
      <c r="AQ857" s="27" t="str">
        <f t="shared" si="267"/>
        <v>NO</v>
      </c>
      <c r="AR857" s="27" t="str">
        <f t="shared" si="267"/>
        <v>NO</v>
      </c>
      <c r="AS857" s="27" t="str">
        <f t="shared" si="267"/>
        <v>NO</v>
      </c>
      <c r="AT857" s="27" t="str">
        <f t="shared" si="267"/>
        <v>NO</v>
      </c>
      <c r="AU857" s="27" t="str">
        <f t="shared" si="267"/>
        <v>NO</v>
      </c>
      <c r="AV857" s="27" t="str">
        <f t="shared" si="267"/>
        <v>NO</v>
      </c>
      <c r="AW857" s="27" t="str">
        <f t="shared" si="267"/>
        <v>NO</v>
      </c>
      <c r="AY857" s="79"/>
      <c r="AZ857" s="79"/>
    </row>
    <row r="858" spans="1:52" x14ac:dyDescent="0.3">
      <c r="A858" s="95" t="str">
        <f t="shared" si="224"/>
        <v>BD FSOM</v>
      </c>
      <c r="B858" s="95" t="s">
        <v>1228</v>
      </c>
      <c r="C858" s="95" t="s">
        <v>60</v>
      </c>
      <c r="D858" t="s">
        <v>369</v>
      </c>
      <c r="E858" t="s">
        <v>55</v>
      </c>
      <c r="F858" t="s">
        <v>60</v>
      </c>
      <c r="G858" t="s">
        <v>1282</v>
      </c>
      <c r="H858" t="s">
        <v>1283</v>
      </c>
      <c r="J858" t="s">
        <v>287</v>
      </c>
      <c r="K858" s="27">
        <f t="shared" ref="K858:AW858" si="268">K1506</f>
        <v>5.604018730639919E-5</v>
      </c>
      <c r="L858" s="27">
        <f t="shared" si="268"/>
        <v>5.604018730639919E-5</v>
      </c>
      <c r="M858" s="27">
        <f t="shared" si="268"/>
        <v>5.604018730639919E-5</v>
      </c>
      <c r="N858" s="27">
        <f t="shared" si="268"/>
        <v>5.604018730639919E-5</v>
      </c>
      <c r="O858" s="27">
        <f t="shared" si="268"/>
        <v>5.604018730639919E-5</v>
      </c>
      <c r="P858" s="27">
        <f t="shared" si="268"/>
        <v>5.604018730639919E-5</v>
      </c>
      <c r="Q858" s="27">
        <f t="shared" si="268"/>
        <v>5.604018730639919E-5</v>
      </c>
      <c r="R858" s="27">
        <f t="shared" si="268"/>
        <v>5.604018730639919E-5</v>
      </c>
      <c r="S858" s="27">
        <f t="shared" si="268"/>
        <v>5.604018730639919E-5</v>
      </c>
      <c r="T858" s="27">
        <f t="shared" si="268"/>
        <v>5.604018730639919E-5</v>
      </c>
      <c r="U858" s="27">
        <f t="shared" si="268"/>
        <v>5.604018730639919E-5</v>
      </c>
      <c r="V858" s="27">
        <f t="shared" si="268"/>
        <v>5.604018730639919E-5</v>
      </c>
      <c r="W858" s="27">
        <f t="shared" si="268"/>
        <v>5.604018730639919E-5</v>
      </c>
      <c r="X858" s="27">
        <f t="shared" si="268"/>
        <v>5.604018730639919E-5</v>
      </c>
      <c r="Y858" s="27">
        <f t="shared" si="268"/>
        <v>5.604018730639919E-5</v>
      </c>
      <c r="Z858" s="27">
        <f t="shared" si="268"/>
        <v>5.604018730639919E-5</v>
      </c>
      <c r="AA858" s="27">
        <f t="shared" si="268"/>
        <v>5.604018730639919E-5</v>
      </c>
      <c r="AB858" s="27">
        <f t="shared" si="268"/>
        <v>5.604018730639919E-5</v>
      </c>
      <c r="AC858" s="27">
        <f t="shared" si="268"/>
        <v>5.604018730639919E-5</v>
      </c>
      <c r="AD858" s="27">
        <f t="shared" si="268"/>
        <v>5.604018730639919E-5</v>
      </c>
      <c r="AE858" s="27">
        <f t="shared" si="268"/>
        <v>5.604018730639919E-5</v>
      </c>
      <c r="AF858" s="27">
        <f t="shared" si="268"/>
        <v>5.604018730639919E-5</v>
      </c>
      <c r="AG858" s="27">
        <f t="shared" si="268"/>
        <v>5.604018730639919E-5</v>
      </c>
      <c r="AH858" s="27">
        <f t="shared" si="268"/>
        <v>5.604018730639919E-5</v>
      </c>
      <c r="AI858" s="27">
        <f t="shared" si="268"/>
        <v>5.604018730639919E-5</v>
      </c>
      <c r="AJ858" s="27">
        <f t="shared" si="268"/>
        <v>5.604018730639919E-5</v>
      </c>
      <c r="AK858" s="27">
        <f t="shared" si="268"/>
        <v>5.604018730639919E-5</v>
      </c>
      <c r="AL858" s="27">
        <f t="shared" si="268"/>
        <v>5.604018730639919E-5</v>
      </c>
      <c r="AM858" s="27">
        <f t="shared" si="268"/>
        <v>5.604018730639919E-5</v>
      </c>
      <c r="AN858" s="27">
        <f t="shared" si="268"/>
        <v>5.604018730639919E-5</v>
      </c>
      <c r="AO858" s="27">
        <f t="shared" si="268"/>
        <v>5.604018730639919E-5</v>
      </c>
      <c r="AP858" s="27">
        <f t="shared" si="268"/>
        <v>5.604018730639919E-5</v>
      </c>
      <c r="AQ858" s="27">
        <f t="shared" si="268"/>
        <v>5.604018730639919E-5</v>
      </c>
      <c r="AR858" s="27">
        <f t="shared" si="268"/>
        <v>5.604018730639919E-5</v>
      </c>
      <c r="AS858" s="27">
        <f t="shared" si="268"/>
        <v>5.604018730639919E-5</v>
      </c>
      <c r="AT858" s="27">
        <f t="shared" si="268"/>
        <v>5.604018730639919E-5</v>
      </c>
      <c r="AU858" s="27">
        <f t="shared" si="268"/>
        <v>5.604018730639919E-5</v>
      </c>
      <c r="AV858" s="27">
        <f t="shared" si="268"/>
        <v>5.604018730639919E-5</v>
      </c>
      <c r="AW858" s="27">
        <f t="shared" si="268"/>
        <v>5.604018730639919E-5</v>
      </c>
      <c r="AY858" s="79"/>
      <c r="AZ858" s="79"/>
    </row>
    <row r="859" spans="1:52" x14ac:dyDescent="0.3">
      <c r="A859" s="95" t="str">
        <f t="shared" si="224"/>
        <v>BD FSOM</v>
      </c>
      <c r="B859" s="95" t="s">
        <v>1228</v>
      </c>
      <c r="C859" s="95" t="s">
        <v>60</v>
      </c>
      <c r="D859" t="s">
        <v>369</v>
      </c>
      <c r="E859" t="s">
        <v>55</v>
      </c>
      <c r="F859" t="s">
        <v>60</v>
      </c>
      <c r="G859" t="s">
        <v>1284</v>
      </c>
      <c r="H859" t="s">
        <v>1285</v>
      </c>
      <c r="J859" t="s">
        <v>287</v>
      </c>
      <c r="K859" s="27">
        <f t="shared" ref="K859:AW859" si="269">K1507</f>
        <v>6.110857899094551E-2</v>
      </c>
      <c r="L859" s="27">
        <f t="shared" si="269"/>
        <v>6.110857899094551E-2</v>
      </c>
      <c r="M859" s="27">
        <f t="shared" si="269"/>
        <v>6.110857899094551E-2</v>
      </c>
      <c r="N859" s="27">
        <f t="shared" si="269"/>
        <v>6.110857899094551E-2</v>
      </c>
      <c r="O859" s="27">
        <f t="shared" si="269"/>
        <v>6.110857899094551E-2</v>
      </c>
      <c r="P859" s="27">
        <f t="shared" si="269"/>
        <v>6.110857899094551E-2</v>
      </c>
      <c r="Q859" s="27">
        <f t="shared" si="269"/>
        <v>6.110857899094551E-2</v>
      </c>
      <c r="R859" s="27">
        <f t="shared" si="269"/>
        <v>6.110857899094551E-2</v>
      </c>
      <c r="S859" s="27">
        <f t="shared" si="269"/>
        <v>6.110857899094551E-2</v>
      </c>
      <c r="T859" s="27">
        <f t="shared" si="269"/>
        <v>6.110857899094551E-2</v>
      </c>
      <c r="U859" s="27">
        <f t="shared" si="269"/>
        <v>6.110857899094551E-2</v>
      </c>
      <c r="V859" s="27">
        <f t="shared" si="269"/>
        <v>6.110857899094551E-2</v>
      </c>
      <c r="W859" s="27">
        <f t="shared" si="269"/>
        <v>6.110857899094551E-2</v>
      </c>
      <c r="X859" s="27">
        <f t="shared" si="269"/>
        <v>6.110857899094551E-2</v>
      </c>
      <c r="Y859" s="27">
        <f t="shared" si="269"/>
        <v>6.110857899094551E-2</v>
      </c>
      <c r="Z859" s="27">
        <f t="shared" si="269"/>
        <v>6.110857899094551E-2</v>
      </c>
      <c r="AA859" s="27">
        <f t="shared" si="269"/>
        <v>6.110857899094551E-2</v>
      </c>
      <c r="AB859" s="27">
        <f t="shared" si="269"/>
        <v>6.110857899094551E-2</v>
      </c>
      <c r="AC859" s="27">
        <f t="shared" si="269"/>
        <v>6.110857899094551E-2</v>
      </c>
      <c r="AD859" s="27">
        <f t="shared" si="269"/>
        <v>6.110857899094551E-2</v>
      </c>
      <c r="AE859" s="27">
        <f t="shared" si="269"/>
        <v>6.110857899094551E-2</v>
      </c>
      <c r="AF859" s="27">
        <f t="shared" si="269"/>
        <v>6.110857899094551E-2</v>
      </c>
      <c r="AG859" s="27">
        <f t="shared" si="269"/>
        <v>6.110857899094551E-2</v>
      </c>
      <c r="AH859" s="27">
        <f t="shared" si="269"/>
        <v>6.110857899094551E-2</v>
      </c>
      <c r="AI859" s="27">
        <f t="shared" si="269"/>
        <v>6.110857899094551E-2</v>
      </c>
      <c r="AJ859" s="27">
        <f t="shared" si="269"/>
        <v>6.110857899094551E-2</v>
      </c>
      <c r="AK859" s="27">
        <f t="shared" si="269"/>
        <v>6.110857899094551E-2</v>
      </c>
      <c r="AL859" s="27">
        <f t="shared" si="269"/>
        <v>6.110857899094551E-2</v>
      </c>
      <c r="AM859" s="27">
        <f t="shared" si="269"/>
        <v>6.110857899094551E-2</v>
      </c>
      <c r="AN859" s="27">
        <f t="shared" si="269"/>
        <v>6.110857899094551E-2</v>
      </c>
      <c r="AO859" s="27">
        <f t="shared" si="269"/>
        <v>6.110857899094551E-2</v>
      </c>
      <c r="AP859" s="27">
        <f t="shared" si="269"/>
        <v>6.110857899094551E-2</v>
      </c>
      <c r="AQ859" s="27">
        <f t="shared" si="269"/>
        <v>6.110857899094551E-2</v>
      </c>
      <c r="AR859" s="27">
        <f t="shared" si="269"/>
        <v>6.110857899094551E-2</v>
      </c>
      <c r="AS859" s="27">
        <f t="shared" si="269"/>
        <v>6.110857899094551E-2</v>
      </c>
      <c r="AT859" s="27">
        <f t="shared" si="269"/>
        <v>6.110857899094551E-2</v>
      </c>
      <c r="AU859" s="27">
        <f t="shared" si="269"/>
        <v>6.110857899094551E-2</v>
      </c>
      <c r="AV859" s="27">
        <f t="shared" si="269"/>
        <v>6.110857899094551E-2</v>
      </c>
      <c r="AW859" s="27">
        <f t="shared" si="269"/>
        <v>6.110857899094551E-2</v>
      </c>
      <c r="AY859" s="79"/>
      <c r="AZ859" s="79"/>
    </row>
    <row r="860" spans="1:52" x14ac:dyDescent="0.3">
      <c r="A860" s="95" t="str">
        <f t="shared" ref="A860:A914" si="270">B860&amp;" "&amp;C860</f>
        <v>BD FSOM</v>
      </c>
      <c r="B860" s="95" t="s">
        <v>1228</v>
      </c>
      <c r="C860" s="95" t="s">
        <v>60</v>
      </c>
      <c r="D860" t="s">
        <v>369</v>
      </c>
      <c r="E860" t="s">
        <v>55</v>
      </c>
      <c r="F860" t="s">
        <v>60</v>
      </c>
      <c r="G860" t="s">
        <v>1286</v>
      </c>
      <c r="H860" t="s">
        <v>1287</v>
      </c>
      <c r="J860" t="s">
        <v>287</v>
      </c>
      <c r="K860" s="27" t="str">
        <f t="shared" ref="K860:AW860" si="271">K1508</f>
        <v>NO</v>
      </c>
      <c r="L860" s="27" t="str">
        <f t="shared" si="271"/>
        <v>NO</v>
      </c>
      <c r="M860" s="27" t="str">
        <f t="shared" si="271"/>
        <v>NO</v>
      </c>
      <c r="N860" s="27" t="str">
        <f t="shared" si="271"/>
        <v>NO</v>
      </c>
      <c r="O860" s="27" t="str">
        <f t="shared" si="271"/>
        <v>NO</v>
      </c>
      <c r="P860" s="27" t="str">
        <f t="shared" si="271"/>
        <v>NO</v>
      </c>
      <c r="Q860" s="27" t="str">
        <f t="shared" si="271"/>
        <v>NO</v>
      </c>
      <c r="R860" s="27" t="str">
        <f t="shared" si="271"/>
        <v>NO</v>
      </c>
      <c r="S860" s="27" t="str">
        <f t="shared" si="271"/>
        <v>NO</v>
      </c>
      <c r="T860" s="27" t="str">
        <f t="shared" si="271"/>
        <v>NO</v>
      </c>
      <c r="U860" s="27" t="str">
        <f t="shared" si="271"/>
        <v>NO</v>
      </c>
      <c r="V860" s="27" t="str">
        <f t="shared" si="271"/>
        <v>NO</v>
      </c>
      <c r="W860" s="27" t="str">
        <f t="shared" si="271"/>
        <v>NO</v>
      </c>
      <c r="X860" s="27" t="str">
        <f t="shared" si="271"/>
        <v>NO</v>
      </c>
      <c r="Y860" s="27" t="str">
        <f t="shared" si="271"/>
        <v>NO</v>
      </c>
      <c r="Z860" s="27" t="str">
        <f t="shared" si="271"/>
        <v>NO</v>
      </c>
      <c r="AA860" s="27" t="str">
        <f t="shared" si="271"/>
        <v>NO</v>
      </c>
      <c r="AB860" s="27" t="str">
        <f t="shared" si="271"/>
        <v>NO</v>
      </c>
      <c r="AC860" s="27" t="str">
        <f t="shared" si="271"/>
        <v>NO</v>
      </c>
      <c r="AD860" s="27" t="str">
        <f t="shared" si="271"/>
        <v>NO</v>
      </c>
      <c r="AE860" s="27" t="str">
        <f t="shared" si="271"/>
        <v>NO</v>
      </c>
      <c r="AF860" s="27" t="str">
        <f t="shared" si="271"/>
        <v>NO</v>
      </c>
      <c r="AG860" s="27" t="str">
        <f t="shared" si="271"/>
        <v>NO</v>
      </c>
      <c r="AH860" s="27" t="str">
        <f t="shared" si="271"/>
        <v>NO</v>
      </c>
      <c r="AI860" s="27" t="str">
        <f t="shared" si="271"/>
        <v>NO</v>
      </c>
      <c r="AJ860" s="27" t="str">
        <f t="shared" si="271"/>
        <v>NO</v>
      </c>
      <c r="AK860" s="27" t="str">
        <f t="shared" si="271"/>
        <v>NO</v>
      </c>
      <c r="AL860" s="27" t="str">
        <f t="shared" si="271"/>
        <v>NO</v>
      </c>
      <c r="AM860" s="27" t="str">
        <f t="shared" si="271"/>
        <v>NO</v>
      </c>
      <c r="AN860" s="27" t="str">
        <f t="shared" si="271"/>
        <v>NO</v>
      </c>
      <c r="AO860" s="27" t="str">
        <f t="shared" si="271"/>
        <v>NO</v>
      </c>
      <c r="AP860" s="27" t="str">
        <f t="shared" si="271"/>
        <v>NO</v>
      </c>
      <c r="AQ860" s="27" t="str">
        <f t="shared" si="271"/>
        <v>NO</v>
      </c>
      <c r="AR860" s="27" t="str">
        <f t="shared" si="271"/>
        <v>NO</v>
      </c>
      <c r="AS860" s="27" t="str">
        <f t="shared" si="271"/>
        <v>NO</v>
      </c>
      <c r="AT860" s="27" t="str">
        <f t="shared" si="271"/>
        <v>NO</v>
      </c>
      <c r="AU860" s="27" t="str">
        <f t="shared" si="271"/>
        <v>NO</v>
      </c>
      <c r="AV860" s="27" t="str">
        <f t="shared" si="271"/>
        <v>NO</v>
      </c>
      <c r="AW860" s="27" t="str">
        <f t="shared" si="271"/>
        <v>NO</v>
      </c>
      <c r="AY860" s="79"/>
      <c r="AZ860" s="79"/>
    </row>
    <row r="861" spans="1:52" x14ac:dyDescent="0.3">
      <c r="A861" s="95" t="str">
        <f t="shared" si="270"/>
        <v>BD FSOM</v>
      </c>
      <c r="B861" s="95" t="s">
        <v>1228</v>
      </c>
      <c r="C861" s="95" t="s">
        <v>60</v>
      </c>
      <c r="D861" t="s">
        <v>369</v>
      </c>
      <c r="E861" t="s">
        <v>55</v>
      </c>
      <c r="F861" t="s">
        <v>60</v>
      </c>
      <c r="G861" t="s">
        <v>1288</v>
      </c>
      <c r="H861" t="s">
        <v>1289</v>
      </c>
      <c r="J861" t="s">
        <v>287</v>
      </c>
      <c r="K861" s="27">
        <f t="shared" ref="K861:AW861" si="272">K1509</f>
        <v>3.1961717215001131</v>
      </c>
      <c r="L861" s="27">
        <f t="shared" si="272"/>
        <v>3.1961717215001131</v>
      </c>
      <c r="M861" s="27">
        <f t="shared" si="272"/>
        <v>3.1961717215001131</v>
      </c>
      <c r="N861" s="27">
        <f t="shared" si="272"/>
        <v>3.1961717215001131</v>
      </c>
      <c r="O861" s="27">
        <f t="shared" si="272"/>
        <v>3.1961717215001131</v>
      </c>
      <c r="P861" s="27">
        <f t="shared" si="272"/>
        <v>3.1961717215001131</v>
      </c>
      <c r="Q861" s="27">
        <f t="shared" si="272"/>
        <v>3.1961717215001131</v>
      </c>
      <c r="R861" s="27">
        <f t="shared" si="272"/>
        <v>3.1961717215001131</v>
      </c>
      <c r="S861" s="27">
        <f t="shared" si="272"/>
        <v>3.1961717215001131</v>
      </c>
      <c r="T861" s="27">
        <f t="shared" si="272"/>
        <v>3.1961717215001131</v>
      </c>
      <c r="U861" s="27">
        <f t="shared" si="272"/>
        <v>3.1961717215001131</v>
      </c>
      <c r="V861" s="27">
        <f t="shared" si="272"/>
        <v>3.1961717215001131</v>
      </c>
      <c r="W861" s="27">
        <f t="shared" si="272"/>
        <v>3.1961717215001131</v>
      </c>
      <c r="X861" s="27">
        <f t="shared" si="272"/>
        <v>3.1961717215001131</v>
      </c>
      <c r="Y861" s="27">
        <f t="shared" si="272"/>
        <v>3.1961717215001131</v>
      </c>
      <c r="Z861" s="27">
        <f t="shared" si="272"/>
        <v>3.1961717215001131</v>
      </c>
      <c r="AA861" s="27">
        <f t="shared" si="272"/>
        <v>3.1961717215001131</v>
      </c>
      <c r="AB861" s="27">
        <f t="shared" si="272"/>
        <v>3.1961717215001131</v>
      </c>
      <c r="AC861" s="27">
        <f t="shared" si="272"/>
        <v>3.1961717215001131</v>
      </c>
      <c r="AD861" s="27">
        <f t="shared" si="272"/>
        <v>3.1961717215001131</v>
      </c>
      <c r="AE861" s="27">
        <f t="shared" si="272"/>
        <v>3.1961717215001131</v>
      </c>
      <c r="AF861" s="27">
        <f t="shared" si="272"/>
        <v>3.1961717215001131</v>
      </c>
      <c r="AG861" s="27">
        <f t="shared" si="272"/>
        <v>3.1961717215001131</v>
      </c>
      <c r="AH861" s="27">
        <f t="shared" si="272"/>
        <v>3.1961717215001131</v>
      </c>
      <c r="AI861" s="27">
        <f t="shared" si="272"/>
        <v>3.1961717215001131</v>
      </c>
      <c r="AJ861" s="27">
        <f t="shared" si="272"/>
        <v>3.1961717215001131</v>
      </c>
      <c r="AK861" s="27">
        <f t="shared" si="272"/>
        <v>3.1961717215001131</v>
      </c>
      <c r="AL861" s="27">
        <f t="shared" si="272"/>
        <v>3.1961717215001131</v>
      </c>
      <c r="AM861" s="27">
        <f t="shared" si="272"/>
        <v>3.1961717215001131</v>
      </c>
      <c r="AN861" s="27">
        <f t="shared" si="272"/>
        <v>3.1961717215001131</v>
      </c>
      <c r="AO861" s="27">
        <f t="shared" si="272"/>
        <v>3.1961717215001131</v>
      </c>
      <c r="AP861" s="27">
        <f t="shared" si="272"/>
        <v>3.1961717215001131</v>
      </c>
      <c r="AQ861" s="27">
        <f t="shared" si="272"/>
        <v>3.1961717215001131</v>
      </c>
      <c r="AR861" s="27">
        <f t="shared" si="272"/>
        <v>3.1961717215001131</v>
      </c>
      <c r="AS861" s="27">
        <f t="shared" si="272"/>
        <v>3.1961717215001131</v>
      </c>
      <c r="AT861" s="27">
        <f t="shared" si="272"/>
        <v>3.1961717215001131</v>
      </c>
      <c r="AU861" s="27">
        <f t="shared" si="272"/>
        <v>3.1961717215001131</v>
      </c>
      <c r="AV861" s="27">
        <f t="shared" si="272"/>
        <v>3.1961717215001131</v>
      </c>
      <c r="AW861" s="27">
        <f t="shared" si="272"/>
        <v>3.1961717215001131</v>
      </c>
      <c r="AY861" s="79"/>
      <c r="AZ861" s="79"/>
    </row>
    <row r="862" spans="1:52" x14ac:dyDescent="0.3">
      <c r="A862" s="95" t="str">
        <f t="shared" si="270"/>
        <v>BD Volatilisation</v>
      </c>
      <c r="B862" s="95" t="s">
        <v>1228</v>
      </c>
      <c r="C862" s="95" t="s">
        <v>62</v>
      </c>
      <c r="D862" t="s">
        <v>369</v>
      </c>
      <c r="E862" t="s">
        <v>61</v>
      </c>
      <c r="F862" t="s">
        <v>62</v>
      </c>
      <c r="G862" t="s">
        <v>435</v>
      </c>
      <c r="H862" t="s">
        <v>1184</v>
      </c>
      <c r="I862" t="s">
        <v>139</v>
      </c>
      <c r="J862" t="s">
        <v>287</v>
      </c>
      <c r="K862" s="27">
        <f t="shared" ref="K862:AW862" si="273">K1510</f>
        <v>0.66064812063358536</v>
      </c>
      <c r="L862" s="27">
        <f t="shared" si="273"/>
        <v>0.66058242184852956</v>
      </c>
      <c r="M862" s="27">
        <f t="shared" si="273"/>
        <v>0.66046196765835474</v>
      </c>
      <c r="N862" s="27">
        <f t="shared" si="273"/>
        <v>0.66031799495417198</v>
      </c>
      <c r="O862" s="27">
        <f t="shared" si="273"/>
        <v>0.66022073532502734</v>
      </c>
      <c r="P862" s="27">
        <f t="shared" si="273"/>
        <v>0.66015380384919209</v>
      </c>
      <c r="Q862" s="27">
        <f t="shared" si="273"/>
        <v>0.66011715236312984</v>
      </c>
      <c r="R862" s="27">
        <f t="shared" si="273"/>
        <v>0.66005785698707231</v>
      </c>
      <c r="S862" s="27">
        <f t="shared" si="273"/>
        <v>0.65999557160724309</v>
      </c>
      <c r="T862" s="27">
        <f t="shared" si="273"/>
        <v>0.66042852126323504</v>
      </c>
      <c r="U862" s="27">
        <f t="shared" si="273"/>
        <v>0.660256842080582</v>
      </c>
      <c r="V862" s="27">
        <f t="shared" si="273"/>
        <v>0.66002252909433212</v>
      </c>
      <c r="W862" s="27">
        <f t="shared" si="273"/>
        <v>0.65989661681898848</v>
      </c>
      <c r="X862" s="27">
        <f t="shared" si="273"/>
        <v>0.6597589047711292</v>
      </c>
      <c r="Y862" s="27">
        <f t="shared" si="273"/>
        <v>0.659605796092819</v>
      </c>
      <c r="Z862" s="27">
        <f t="shared" si="273"/>
        <v>0.65944507555305243</v>
      </c>
      <c r="AA862" s="27">
        <f t="shared" si="273"/>
        <v>0.65927354812209926</v>
      </c>
      <c r="AB862" s="27">
        <f t="shared" si="273"/>
        <v>0.65910165055066838</v>
      </c>
      <c r="AC862" s="27">
        <f t="shared" si="273"/>
        <v>0.65892060560614785</v>
      </c>
      <c r="AD862" s="27">
        <f t="shared" si="273"/>
        <v>0.6587403682229962</v>
      </c>
      <c r="AE862" s="27">
        <f t="shared" si="273"/>
        <v>0.6585449608557925</v>
      </c>
      <c r="AF862" s="27">
        <f t="shared" si="273"/>
        <v>0.65835675614397215</v>
      </c>
      <c r="AG862" s="27">
        <f t="shared" si="273"/>
        <v>0.65816378763594341</v>
      </c>
      <c r="AH862" s="27">
        <f t="shared" si="273"/>
        <v>0.6579528278100244</v>
      </c>
      <c r="AI862" s="27">
        <f t="shared" si="273"/>
        <v>0.65775665224366497</v>
      </c>
      <c r="AJ862" s="27">
        <f t="shared" si="273"/>
        <v>0.65755521924304883</v>
      </c>
      <c r="AK862" s="27">
        <f t="shared" si="273"/>
        <v>0.65734627926543143</v>
      </c>
      <c r="AL862" s="27">
        <f t="shared" si="273"/>
        <v>0.65715425101563263</v>
      </c>
      <c r="AM862" s="27">
        <f t="shared" si="273"/>
        <v>0.65696756052718408</v>
      </c>
      <c r="AN862" s="27">
        <f t="shared" si="273"/>
        <v>0.65678548596880248</v>
      </c>
      <c r="AO862" s="27">
        <f t="shared" si="273"/>
        <v>0.65659337062591927</v>
      </c>
      <c r="AP862" s="27">
        <f t="shared" si="273"/>
        <v>0.65641235920406316</v>
      </c>
      <c r="AQ862" s="27">
        <f t="shared" si="273"/>
        <v>0.65622903638449304</v>
      </c>
      <c r="AR862" s="27">
        <f t="shared" si="273"/>
        <v>0.65604286486377728</v>
      </c>
      <c r="AS862" s="27">
        <f t="shared" si="273"/>
        <v>0.65585292511260118</v>
      </c>
      <c r="AT862" s="27">
        <f t="shared" si="273"/>
        <v>0.65566000956326953</v>
      </c>
      <c r="AU862" s="27">
        <f t="shared" si="273"/>
        <v>0.65560073347552816</v>
      </c>
      <c r="AV862" s="27">
        <f t="shared" si="273"/>
        <v>0.65555391486602432</v>
      </c>
      <c r="AW862" s="27">
        <f t="shared" si="273"/>
        <v>0.65552474687649953</v>
      </c>
      <c r="AY862" s="79"/>
      <c r="AZ862" s="79"/>
    </row>
    <row r="863" spans="1:52" x14ac:dyDescent="0.3">
      <c r="A863" s="95" t="str">
        <f t="shared" si="270"/>
        <v>BD Volatilisation</v>
      </c>
      <c r="B863" s="95" t="s">
        <v>1228</v>
      </c>
      <c r="C863" s="95" t="s">
        <v>62</v>
      </c>
      <c r="D863" t="s">
        <v>369</v>
      </c>
      <c r="E863" t="s">
        <v>61</v>
      </c>
      <c r="F863" t="s">
        <v>62</v>
      </c>
      <c r="G863" t="s">
        <v>436</v>
      </c>
      <c r="H863" t="s">
        <v>1185</v>
      </c>
      <c r="I863" t="s">
        <v>139</v>
      </c>
      <c r="J863" t="s">
        <v>287</v>
      </c>
      <c r="K863" s="27">
        <f t="shared" ref="K863:AW863" si="274">K1511</f>
        <v>8.720555192363328E-3</v>
      </c>
      <c r="L863" s="27">
        <f t="shared" si="274"/>
        <v>8.7196879684005926E-3</v>
      </c>
      <c r="M863" s="27">
        <f t="shared" si="274"/>
        <v>8.7180979730902847E-3</v>
      </c>
      <c r="N863" s="27">
        <f t="shared" si="274"/>
        <v>8.7161975333950713E-3</v>
      </c>
      <c r="O863" s="27">
        <f t="shared" si="274"/>
        <v>8.7149137062903607E-3</v>
      </c>
      <c r="P863" s="27">
        <f t="shared" si="274"/>
        <v>8.7140302108093363E-3</v>
      </c>
      <c r="Q863" s="27">
        <f t="shared" si="274"/>
        <v>8.7135464111933163E-3</v>
      </c>
      <c r="R863" s="27">
        <f t="shared" si="274"/>
        <v>8.7127637122293555E-3</v>
      </c>
      <c r="S863" s="27">
        <f t="shared" si="274"/>
        <v>8.7119415452156113E-3</v>
      </c>
      <c r="T863" s="27">
        <f t="shared" si="274"/>
        <v>8.7176564806747021E-3</v>
      </c>
      <c r="U863" s="27">
        <f t="shared" si="274"/>
        <v>8.7153903154636864E-3</v>
      </c>
      <c r="V863" s="27">
        <f t="shared" si="274"/>
        <v>8.7122973840451836E-3</v>
      </c>
      <c r="W863" s="27">
        <f t="shared" si="274"/>
        <v>8.7106353420106468E-3</v>
      </c>
      <c r="X863" s="27">
        <f t="shared" si="274"/>
        <v>8.7088175429789073E-3</v>
      </c>
      <c r="Y863" s="27">
        <f t="shared" si="274"/>
        <v>8.7067965084252144E-3</v>
      </c>
      <c r="Z863" s="27">
        <f t="shared" si="274"/>
        <v>8.7046749973002935E-3</v>
      </c>
      <c r="AA863" s="27">
        <f t="shared" si="274"/>
        <v>8.702410835211713E-3</v>
      </c>
      <c r="AB863" s="27">
        <f t="shared" si="274"/>
        <v>8.7001417872688246E-3</v>
      </c>
      <c r="AC863" s="27">
        <f t="shared" si="274"/>
        <v>8.6977519940011523E-3</v>
      </c>
      <c r="AD863" s="27">
        <f t="shared" si="274"/>
        <v>8.6953728605435512E-3</v>
      </c>
      <c r="AE863" s="27">
        <f t="shared" si="274"/>
        <v>8.6927934832964609E-3</v>
      </c>
      <c r="AF863" s="27">
        <f t="shared" si="274"/>
        <v>8.6903091811004352E-3</v>
      </c>
      <c r="AG863" s="27">
        <f t="shared" si="274"/>
        <v>8.6877619967944547E-3</v>
      </c>
      <c r="AH863" s="27">
        <f t="shared" si="274"/>
        <v>8.6849773270923237E-3</v>
      </c>
      <c r="AI863" s="27">
        <f t="shared" si="274"/>
        <v>8.6823878096163789E-3</v>
      </c>
      <c r="AJ863" s="27">
        <f t="shared" si="274"/>
        <v>8.6797288940082453E-3</v>
      </c>
      <c r="AK863" s="27">
        <f t="shared" si="274"/>
        <v>8.6769708863036962E-3</v>
      </c>
      <c r="AL863" s="27">
        <f t="shared" si="274"/>
        <v>8.6744361134063527E-3</v>
      </c>
      <c r="AM863" s="27">
        <f t="shared" si="274"/>
        <v>8.6719717989588319E-3</v>
      </c>
      <c r="AN863" s="27">
        <f t="shared" si="274"/>
        <v>8.6695684147881907E-3</v>
      </c>
      <c r="AO863" s="27">
        <f t="shared" si="274"/>
        <v>8.6670324922621354E-3</v>
      </c>
      <c r="AP863" s="27">
        <f t="shared" si="274"/>
        <v>8.6646431414936359E-3</v>
      </c>
      <c r="AQ863" s="27">
        <f t="shared" si="274"/>
        <v>8.6622232802753101E-3</v>
      </c>
      <c r="AR863" s="27">
        <f t="shared" si="274"/>
        <v>8.6597658162018594E-3</v>
      </c>
      <c r="AS863" s="27">
        <f t="shared" si="274"/>
        <v>8.6572586114863365E-3</v>
      </c>
      <c r="AT863" s="27">
        <f t="shared" si="274"/>
        <v>8.6547121262351596E-3</v>
      </c>
      <c r="AU863" s="27">
        <f t="shared" si="274"/>
        <v>8.6539296818769745E-3</v>
      </c>
      <c r="AV863" s="27">
        <f t="shared" si="274"/>
        <v>8.6533116762315225E-3</v>
      </c>
      <c r="AW863" s="27">
        <f t="shared" si="274"/>
        <v>8.6529266587697939E-3</v>
      </c>
      <c r="AY863" s="79"/>
      <c r="AZ863" s="79"/>
    </row>
    <row r="864" spans="1:52" x14ac:dyDescent="0.3">
      <c r="A864" s="95" t="str">
        <f t="shared" si="270"/>
        <v>BD Volatilisation</v>
      </c>
      <c r="B864" s="95" t="s">
        <v>1228</v>
      </c>
      <c r="C864" s="95" t="s">
        <v>62</v>
      </c>
      <c r="D864" t="s">
        <v>369</v>
      </c>
      <c r="E864" t="s">
        <v>61</v>
      </c>
      <c r="F864" t="s">
        <v>62</v>
      </c>
      <c r="G864" t="s">
        <v>437</v>
      </c>
      <c r="H864" t="s">
        <v>1186</v>
      </c>
      <c r="I864" t="s">
        <v>139</v>
      </c>
      <c r="J864" t="s">
        <v>287</v>
      </c>
      <c r="K864" s="27">
        <f t="shared" ref="K864:AW864" si="275">K1512</f>
        <v>1.2008407282256135</v>
      </c>
      <c r="L864" s="27">
        <f t="shared" si="275"/>
        <v>1.201903510760759</v>
      </c>
      <c r="M864" s="27">
        <f t="shared" si="275"/>
        <v>1.2088775122881088</v>
      </c>
      <c r="N864" s="27">
        <f t="shared" si="275"/>
        <v>1.2055442230548155</v>
      </c>
      <c r="O864" s="27">
        <f t="shared" si="275"/>
        <v>1.195843583832628</v>
      </c>
      <c r="P864" s="27">
        <f t="shared" si="275"/>
        <v>1.1799964998501222</v>
      </c>
      <c r="Q864" s="27">
        <f t="shared" si="275"/>
        <v>1.169776622170569</v>
      </c>
      <c r="R864" s="27">
        <f t="shared" si="275"/>
        <v>1.1606871439933113</v>
      </c>
      <c r="S864" s="27">
        <f t="shared" si="275"/>
        <v>1.0501974396641209</v>
      </c>
      <c r="T864" s="27">
        <f t="shared" si="275"/>
        <v>1.0703473698117068</v>
      </c>
      <c r="U864" s="27">
        <f t="shared" si="275"/>
        <v>1.1035346153332457</v>
      </c>
      <c r="V864" s="27">
        <f t="shared" si="275"/>
        <v>1.1150489977959306</v>
      </c>
      <c r="W864" s="27">
        <f t="shared" si="275"/>
        <v>1.1291994422976275</v>
      </c>
      <c r="X864" s="27">
        <f t="shared" si="275"/>
        <v>1.1467521172180308</v>
      </c>
      <c r="Y864" s="27">
        <f t="shared" si="275"/>
        <v>1.1661924411251976</v>
      </c>
      <c r="Z864" s="27">
        <f t="shared" si="275"/>
        <v>1.1881766019612736</v>
      </c>
      <c r="AA864" s="27">
        <f t="shared" si="275"/>
        <v>1.2105548738562886</v>
      </c>
      <c r="AB864" s="27">
        <f t="shared" si="275"/>
        <v>1.2352132344527478</v>
      </c>
      <c r="AC864" s="27">
        <f t="shared" si="275"/>
        <v>1.2600610700998878</v>
      </c>
      <c r="AD864" s="27">
        <f t="shared" si="275"/>
        <v>1.2841695325772586</v>
      </c>
      <c r="AE864" s="27">
        <f t="shared" si="275"/>
        <v>1.3069035937836597</v>
      </c>
      <c r="AF864" s="27">
        <f t="shared" si="275"/>
        <v>1.3308885489727156</v>
      </c>
      <c r="AG864" s="27">
        <f t="shared" si="275"/>
        <v>1.3591357613410466</v>
      </c>
      <c r="AH864" s="27">
        <f t="shared" si="275"/>
        <v>1.3843151170507964</v>
      </c>
      <c r="AI864" s="27">
        <f t="shared" si="275"/>
        <v>1.4109607447095132</v>
      </c>
      <c r="AJ864" s="27">
        <f t="shared" si="275"/>
        <v>1.439613035796105</v>
      </c>
      <c r="AK864" s="27">
        <f t="shared" si="275"/>
        <v>1.4645872559628428</v>
      </c>
      <c r="AL864" s="27">
        <f t="shared" si="275"/>
        <v>1.4885153057402958</v>
      </c>
      <c r="AM864" s="27">
        <f t="shared" si="275"/>
        <v>1.5115373270459393</v>
      </c>
      <c r="AN864" s="27">
        <f t="shared" si="275"/>
        <v>1.5400585132402391</v>
      </c>
      <c r="AO864" s="27">
        <f t="shared" si="275"/>
        <v>1.5662225533166572</v>
      </c>
      <c r="AP864" s="27">
        <f t="shared" si="275"/>
        <v>1.593267491108957</v>
      </c>
      <c r="AQ864" s="27">
        <f t="shared" si="275"/>
        <v>1.6213524132646824</v>
      </c>
      <c r="AR864" s="27">
        <f t="shared" si="275"/>
        <v>1.6507413943805305</v>
      </c>
      <c r="AS864" s="27">
        <f t="shared" si="275"/>
        <v>1.6812851986409043</v>
      </c>
      <c r="AT864" s="27">
        <f t="shared" si="275"/>
        <v>1.6777302811702246</v>
      </c>
      <c r="AU864" s="27">
        <f t="shared" si="275"/>
        <v>1.6711130643184777</v>
      </c>
      <c r="AV864" s="27">
        <f t="shared" si="275"/>
        <v>1.6601731404367381</v>
      </c>
      <c r="AW864" s="27">
        <f t="shared" si="275"/>
        <v>1.6481045233312475</v>
      </c>
      <c r="AY864" s="79"/>
      <c r="AZ864" s="79"/>
    </row>
    <row r="865" spans="1:52" x14ac:dyDescent="0.3">
      <c r="A865" s="95" t="str">
        <f t="shared" si="270"/>
        <v>BD Volatilisation</v>
      </c>
      <c r="B865" s="95" t="s">
        <v>1228</v>
      </c>
      <c r="C865" s="95" t="s">
        <v>62</v>
      </c>
      <c r="D865" t="s">
        <v>369</v>
      </c>
      <c r="E865" t="s">
        <v>61</v>
      </c>
      <c r="F865" t="s">
        <v>62</v>
      </c>
      <c r="G865" t="s">
        <v>438</v>
      </c>
      <c r="H865" t="s">
        <v>1265</v>
      </c>
      <c r="I865" t="s">
        <v>139</v>
      </c>
      <c r="J865" t="s">
        <v>287</v>
      </c>
      <c r="K865" s="27">
        <f t="shared" ref="K865:AW865" si="276">K1513</f>
        <v>4.3975799639737048</v>
      </c>
      <c r="L865" s="27">
        <f t="shared" si="276"/>
        <v>4.3787767883653972</v>
      </c>
      <c r="M865" s="27">
        <f t="shared" si="276"/>
        <v>4.3752716537638934</v>
      </c>
      <c r="N865" s="27">
        <f t="shared" si="276"/>
        <v>4.3473821211305594</v>
      </c>
      <c r="O865" s="27">
        <f t="shared" si="276"/>
        <v>4.3052096453824609</v>
      </c>
      <c r="P865" s="27">
        <f t="shared" si="276"/>
        <v>4.2496956169043703</v>
      </c>
      <c r="Q865" s="27">
        <f t="shared" si="276"/>
        <v>4.2083609134426787</v>
      </c>
      <c r="R865" s="27">
        <f t="shared" si="276"/>
        <v>4.1703852155628214</v>
      </c>
      <c r="S865" s="27">
        <f t="shared" si="276"/>
        <v>3.900775371515369</v>
      </c>
      <c r="T865" s="27">
        <f t="shared" si="276"/>
        <v>3.9381596254461564</v>
      </c>
      <c r="U865" s="27">
        <f t="shared" si="276"/>
        <v>4.0049157346570068</v>
      </c>
      <c r="V865" s="27">
        <f t="shared" si="276"/>
        <v>4.0223863253045398</v>
      </c>
      <c r="W865" s="27">
        <f t="shared" si="276"/>
        <v>4.045795803072969</v>
      </c>
      <c r="X865" s="27">
        <f t="shared" si="276"/>
        <v>4.0767188563085508</v>
      </c>
      <c r="Y865" s="27">
        <f t="shared" si="276"/>
        <v>4.1095287399075264</v>
      </c>
      <c r="Z865" s="27">
        <f t="shared" si="276"/>
        <v>4.1476787731521458</v>
      </c>
      <c r="AA865" s="27">
        <f t="shared" si="276"/>
        <v>4.1863566801857406</v>
      </c>
      <c r="AB865" s="27">
        <f t="shared" si="276"/>
        <v>4.2296218376851549</v>
      </c>
      <c r="AC865" s="27">
        <f t="shared" si="276"/>
        <v>4.2728604404281354</v>
      </c>
      <c r="AD865" s="27">
        <f t="shared" si="276"/>
        <v>4.3024697400350007</v>
      </c>
      <c r="AE865" s="27">
        <f t="shared" si="276"/>
        <v>4.3280485976783627</v>
      </c>
      <c r="AF865" s="27">
        <f t="shared" si="276"/>
        <v>4.3551413116429245</v>
      </c>
      <c r="AG865" s="27">
        <f t="shared" si="276"/>
        <v>4.3898514432989648</v>
      </c>
      <c r="AH865" s="27">
        <f t="shared" si="276"/>
        <v>4.4168796997123483</v>
      </c>
      <c r="AI865" s="27">
        <f t="shared" si="276"/>
        <v>4.4439671933106792</v>
      </c>
      <c r="AJ865" s="27">
        <f t="shared" si="276"/>
        <v>4.4736413932482595</v>
      </c>
      <c r="AK865" s="27">
        <f t="shared" si="276"/>
        <v>4.4945161300843504</v>
      </c>
      <c r="AL865" s="27">
        <f t="shared" si="276"/>
        <v>4.5119473605235276</v>
      </c>
      <c r="AM865" s="27">
        <f t="shared" si="276"/>
        <v>4.5262479592108207</v>
      </c>
      <c r="AN865" s="27">
        <f t="shared" si="276"/>
        <v>4.5552825489057529</v>
      </c>
      <c r="AO865" s="27">
        <f t="shared" si="276"/>
        <v>4.5786902056870105</v>
      </c>
      <c r="AP865" s="27">
        <f t="shared" si="276"/>
        <v>4.6026259938264094</v>
      </c>
      <c r="AQ865" s="27">
        <f t="shared" si="276"/>
        <v>4.6273110032913349</v>
      </c>
      <c r="AR865" s="27">
        <f t="shared" si="276"/>
        <v>4.6531442501292055</v>
      </c>
      <c r="AS865" s="27">
        <f t="shared" si="276"/>
        <v>4.6782746913590252</v>
      </c>
      <c r="AT865" s="27">
        <f t="shared" si="276"/>
        <v>4.6412320099960542</v>
      </c>
      <c r="AU865" s="27">
        <f t="shared" si="276"/>
        <v>4.5987998522947482</v>
      </c>
      <c r="AV865" s="27">
        <f t="shared" si="276"/>
        <v>4.5489683571490982</v>
      </c>
      <c r="AW865" s="27">
        <f t="shared" si="276"/>
        <v>4.4975013733577454</v>
      </c>
      <c r="AY865" s="79"/>
      <c r="AZ865" s="79"/>
    </row>
    <row r="866" spans="1:52" x14ac:dyDescent="0.3">
      <c r="A866" s="95" t="str">
        <f t="shared" si="270"/>
        <v>BD Leaching</v>
      </c>
      <c r="B866" s="95" t="s">
        <v>1228</v>
      </c>
      <c r="C866" s="95" t="s">
        <v>1190</v>
      </c>
      <c r="D866" t="s">
        <v>369</v>
      </c>
      <c r="E866" t="s">
        <v>61</v>
      </c>
      <c r="F866" t="s">
        <v>63</v>
      </c>
      <c r="G866" t="s">
        <v>435</v>
      </c>
      <c r="H866" t="s">
        <v>1187</v>
      </c>
      <c r="I866" t="s">
        <v>139</v>
      </c>
      <c r="J866" t="s">
        <v>287</v>
      </c>
      <c r="K866" s="27">
        <f t="shared" ref="K866:AW866" si="277">K1514</f>
        <v>2.2792360161858692E-4</v>
      </c>
      <c r="L866" s="27">
        <f t="shared" si="277"/>
        <v>2.2790093553774266E-4</v>
      </c>
      <c r="M866" s="27">
        <f t="shared" si="277"/>
        <v>2.278593788421324E-4</v>
      </c>
      <c r="N866" s="27">
        <f t="shared" si="277"/>
        <v>2.2780970825918929E-4</v>
      </c>
      <c r="O866" s="27">
        <f t="shared" si="277"/>
        <v>2.277761536871344E-4</v>
      </c>
      <c r="P866" s="27">
        <f t="shared" si="277"/>
        <v>2.2775306232797126E-4</v>
      </c>
      <c r="Q866" s="27">
        <f t="shared" si="277"/>
        <v>2.2774041756527976E-4</v>
      </c>
      <c r="R866" s="27">
        <f t="shared" si="277"/>
        <v>2.2771996066053992E-4</v>
      </c>
      <c r="S866" s="27">
        <f t="shared" si="277"/>
        <v>2.2769847220449889E-4</v>
      </c>
      <c r="T866" s="27">
        <f t="shared" si="277"/>
        <v>2.2784783983581601E-4</v>
      </c>
      <c r="U866" s="27">
        <f t="shared" si="277"/>
        <v>2.2778861051780079E-4</v>
      </c>
      <c r="V866" s="27">
        <f t="shared" si="277"/>
        <v>2.2770777253754449E-4</v>
      </c>
      <c r="W866" s="27">
        <f t="shared" si="277"/>
        <v>2.2766433280255099E-4</v>
      </c>
      <c r="X866" s="27">
        <f t="shared" si="277"/>
        <v>2.2761682214603963E-4</v>
      </c>
      <c r="Y866" s="27">
        <f t="shared" si="277"/>
        <v>2.2756399965202255E-4</v>
      </c>
      <c r="Z866" s="27">
        <f t="shared" si="277"/>
        <v>2.2750855106580306E-4</v>
      </c>
      <c r="AA866" s="27">
        <f t="shared" si="277"/>
        <v>2.2744937410212421E-4</v>
      </c>
      <c r="AB866" s="27">
        <f t="shared" si="277"/>
        <v>2.273900694399806E-4</v>
      </c>
      <c r="AC866" s="27">
        <f t="shared" si="277"/>
        <v>2.27327608934121E-4</v>
      </c>
      <c r="AD866" s="27">
        <f t="shared" si="277"/>
        <v>2.2726542703693366E-4</v>
      </c>
      <c r="AE866" s="27">
        <f t="shared" si="277"/>
        <v>2.2719801149524835E-4</v>
      </c>
      <c r="AF866" s="27">
        <f t="shared" si="277"/>
        <v>2.2713308086967036E-4</v>
      </c>
      <c r="AG866" s="27">
        <f t="shared" si="277"/>
        <v>2.2706650673440042E-4</v>
      </c>
      <c r="AH866" s="27">
        <f t="shared" si="277"/>
        <v>2.2699372559445836E-4</v>
      </c>
      <c r="AI866" s="27">
        <f t="shared" si="277"/>
        <v>2.2692604502406438E-4</v>
      </c>
      <c r="AJ866" s="27">
        <f t="shared" si="277"/>
        <v>2.2685655063885179E-4</v>
      </c>
      <c r="AK866" s="27">
        <f t="shared" si="277"/>
        <v>2.2678446634657377E-4</v>
      </c>
      <c r="AL866" s="27">
        <f t="shared" si="277"/>
        <v>2.2671821660039324E-4</v>
      </c>
      <c r="AM866" s="27">
        <f t="shared" si="277"/>
        <v>2.2665380838187847E-4</v>
      </c>
      <c r="AN866" s="27">
        <f t="shared" si="277"/>
        <v>2.2659099265923683E-4</v>
      </c>
      <c r="AO866" s="27">
        <f t="shared" si="277"/>
        <v>2.2652471286594214E-4</v>
      </c>
      <c r="AP866" s="27">
        <f t="shared" si="277"/>
        <v>2.2646226392540174E-4</v>
      </c>
      <c r="AQ866" s="27">
        <f t="shared" si="277"/>
        <v>2.2639901755265007E-4</v>
      </c>
      <c r="AR866" s="27">
        <f t="shared" si="277"/>
        <v>2.2633478837800309E-4</v>
      </c>
      <c r="AS866" s="27">
        <f t="shared" si="277"/>
        <v>2.2626925916384739E-4</v>
      </c>
      <c r="AT866" s="27">
        <f t="shared" si="277"/>
        <v>2.2620270329932796E-4</v>
      </c>
      <c r="AU866" s="27">
        <f t="shared" si="277"/>
        <v>2.261822530490572E-4</v>
      </c>
      <c r="AV866" s="27">
        <f t="shared" si="277"/>
        <v>2.2616610062877842E-4</v>
      </c>
      <c r="AW866" s="27">
        <f t="shared" si="277"/>
        <v>2.2615603767239231E-4</v>
      </c>
      <c r="AY866" s="79"/>
      <c r="AZ866" s="79"/>
    </row>
    <row r="867" spans="1:52" x14ac:dyDescent="0.3">
      <c r="A867" s="95" t="str">
        <f t="shared" si="270"/>
        <v>BD Leaching</v>
      </c>
      <c r="B867" s="95" t="s">
        <v>1228</v>
      </c>
      <c r="C867" s="95" t="s">
        <v>1190</v>
      </c>
      <c r="D867" t="s">
        <v>369</v>
      </c>
      <c r="E867" t="s">
        <v>61</v>
      </c>
      <c r="F867" t="s">
        <v>63</v>
      </c>
      <c r="G867" t="s">
        <v>436</v>
      </c>
      <c r="H867" t="s">
        <v>1188</v>
      </c>
      <c r="I867" t="s">
        <v>139</v>
      </c>
      <c r="J867" t="s">
        <v>287</v>
      </c>
      <c r="K867" s="27">
        <f t="shared" ref="K867:AW867" si="278">K1515</f>
        <v>1.5042957706826741E-6</v>
      </c>
      <c r="L867" s="27">
        <f t="shared" si="278"/>
        <v>1.5041461745491019E-6</v>
      </c>
      <c r="M867" s="27">
        <f t="shared" si="278"/>
        <v>1.5038719003580737E-6</v>
      </c>
      <c r="N867" s="27">
        <f t="shared" si="278"/>
        <v>1.5035440745106496E-6</v>
      </c>
      <c r="O867" s="27">
        <f t="shared" si="278"/>
        <v>1.5033226143350872E-6</v>
      </c>
      <c r="P867" s="27">
        <f t="shared" si="278"/>
        <v>1.5031702113646103E-6</v>
      </c>
      <c r="Q867" s="27">
        <f t="shared" si="278"/>
        <v>1.5030867559308466E-6</v>
      </c>
      <c r="R867" s="27">
        <f t="shared" si="278"/>
        <v>1.5029517403595637E-6</v>
      </c>
      <c r="S867" s="27">
        <f t="shared" si="278"/>
        <v>1.5028099165496928E-6</v>
      </c>
      <c r="T867" s="27">
        <f t="shared" si="278"/>
        <v>1.503795742916386E-6</v>
      </c>
      <c r="U867" s="27">
        <f t="shared" si="278"/>
        <v>1.5034048294174857E-6</v>
      </c>
      <c r="V867" s="27">
        <f t="shared" si="278"/>
        <v>1.502871298747794E-6</v>
      </c>
      <c r="W867" s="27">
        <f t="shared" si="278"/>
        <v>1.5025845964968368E-6</v>
      </c>
      <c r="X867" s="27">
        <f t="shared" si="278"/>
        <v>1.5022710261638614E-6</v>
      </c>
      <c r="Y867" s="27">
        <f t="shared" si="278"/>
        <v>1.5019223977033493E-6</v>
      </c>
      <c r="Z867" s="27">
        <f t="shared" si="278"/>
        <v>1.5015564370343004E-6</v>
      </c>
      <c r="AA867" s="27">
        <f t="shared" si="278"/>
        <v>1.5011658690740202E-6</v>
      </c>
      <c r="AB867" s="27">
        <f t="shared" si="278"/>
        <v>1.500774458303872E-6</v>
      </c>
      <c r="AC867" s="27">
        <f t="shared" si="278"/>
        <v>1.5003622189651987E-6</v>
      </c>
      <c r="AD867" s="27">
        <f t="shared" si="278"/>
        <v>1.4999518184437622E-6</v>
      </c>
      <c r="AE867" s="27">
        <f t="shared" si="278"/>
        <v>1.4995068758686393E-6</v>
      </c>
      <c r="AF867" s="27">
        <f t="shared" si="278"/>
        <v>1.4990783337398247E-6</v>
      </c>
      <c r="AG867" s="27">
        <f t="shared" si="278"/>
        <v>1.498638944447043E-6</v>
      </c>
      <c r="AH867" s="27">
        <f t="shared" si="278"/>
        <v>1.4981585889234254E-6</v>
      </c>
      <c r="AI867" s="27">
        <f t="shared" si="278"/>
        <v>1.497711897158825E-6</v>
      </c>
      <c r="AJ867" s="27">
        <f t="shared" si="278"/>
        <v>1.4972532342164218E-6</v>
      </c>
      <c r="AK867" s="27">
        <f t="shared" si="278"/>
        <v>1.4967774778873874E-6</v>
      </c>
      <c r="AL867" s="27">
        <f t="shared" si="278"/>
        <v>1.4963402295625958E-6</v>
      </c>
      <c r="AM867" s="27">
        <f t="shared" si="278"/>
        <v>1.4959151353203979E-6</v>
      </c>
      <c r="AN867" s="27">
        <f t="shared" si="278"/>
        <v>1.4955005515509629E-6</v>
      </c>
      <c r="AO867" s="27">
        <f t="shared" si="278"/>
        <v>1.4950631049152183E-6</v>
      </c>
      <c r="AP867" s="27">
        <f t="shared" si="278"/>
        <v>1.4946509419076516E-6</v>
      </c>
      <c r="AQ867" s="27">
        <f t="shared" si="278"/>
        <v>1.4942335158474905E-6</v>
      </c>
      <c r="AR867" s="27">
        <f t="shared" si="278"/>
        <v>1.4938096032948206E-6</v>
      </c>
      <c r="AS867" s="27">
        <f t="shared" si="278"/>
        <v>1.4933771104813929E-6</v>
      </c>
      <c r="AT867" s="27">
        <f t="shared" si="278"/>
        <v>1.4929378417755646E-6</v>
      </c>
      <c r="AU867" s="27">
        <f t="shared" si="278"/>
        <v>1.4928028701237777E-6</v>
      </c>
      <c r="AV867" s="27">
        <f t="shared" si="278"/>
        <v>1.4926962641499375E-6</v>
      </c>
      <c r="AW867" s="27">
        <f t="shared" si="278"/>
        <v>1.4926298486377895E-6</v>
      </c>
      <c r="AY867" s="79"/>
      <c r="AZ867" s="79"/>
    </row>
    <row r="868" spans="1:52" x14ac:dyDescent="0.3">
      <c r="A868" s="95" t="str">
        <f t="shared" si="270"/>
        <v>BD Leaching</v>
      </c>
      <c r="B868" s="95" t="s">
        <v>1228</v>
      </c>
      <c r="C868" s="95" t="s">
        <v>1190</v>
      </c>
      <c r="D868" t="s">
        <v>369</v>
      </c>
      <c r="E868" t="s">
        <v>61</v>
      </c>
      <c r="F868" t="s">
        <v>63</v>
      </c>
      <c r="G868" t="s">
        <v>437</v>
      </c>
      <c r="H868" t="s">
        <v>1189</v>
      </c>
      <c r="I868" t="s">
        <v>139</v>
      </c>
      <c r="J868" t="s">
        <v>287</v>
      </c>
      <c r="K868" s="27">
        <f t="shared" ref="K868:AW868" si="279">K1516</f>
        <v>0.20714502561891829</v>
      </c>
      <c r="L868" s="27">
        <f t="shared" si="279"/>
        <v>0.20732835560623092</v>
      </c>
      <c r="M868" s="27">
        <f t="shared" si="279"/>
        <v>0.20853137086969875</v>
      </c>
      <c r="N868" s="27">
        <f t="shared" si="279"/>
        <v>0.20795637847695567</v>
      </c>
      <c r="O868" s="27">
        <f t="shared" si="279"/>
        <v>0.20628301821112832</v>
      </c>
      <c r="P868" s="27">
        <f t="shared" si="279"/>
        <v>0.20354939622414608</v>
      </c>
      <c r="Q868" s="27">
        <f t="shared" si="279"/>
        <v>0.20178646732442315</v>
      </c>
      <c r="R868" s="27">
        <f t="shared" si="279"/>
        <v>0.20021853233884618</v>
      </c>
      <c r="S868" s="27">
        <f t="shared" si="279"/>
        <v>0.18115905834206086</v>
      </c>
      <c r="T868" s="27">
        <f t="shared" si="279"/>
        <v>0.1846349212925194</v>
      </c>
      <c r="U868" s="27">
        <f t="shared" si="279"/>
        <v>0.19035972114498487</v>
      </c>
      <c r="V868" s="27">
        <f t="shared" si="279"/>
        <v>0.19234595211979802</v>
      </c>
      <c r="W868" s="27">
        <f t="shared" si="279"/>
        <v>0.1947869037963407</v>
      </c>
      <c r="X868" s="27">
        <f t="shared" si="279"/>
        <v>0.19781474022011031</v>
      </c>
      <c r="Y868" s="27">
        <f t="shared" si="279"/>
        <v>0.20116819609409653</v>
      </c>
      <c r="Z868" s="27">
        <f t="shared" si="279"/>
        <v>0.20496046383831973</v>
      </c>
      <c r="AA868" s="27">
        <f t="shared" si="279"/>
        <v>0.20882071574020974</v>
      </c>
      <c r="AB868" s="27">
        <f t="shared" si="279"/>
        <v>0.21307428294309891</v>
      </c>
      <c r="AC868" s="27">
        <f t="shared" si="279"/>
        <v>0.21736053459223065</v>
      </c>
      <c r="AD868" s="27">
        <f t="shared" si="279"/>
        <v>0.2215192443695771</v>
      </c>
      <c r="AE868" s="27">
        <f t="shared" si="279"/>
        <v>0.22544086992768131</v>
      </c>
      <c r="AF868" s="27">
        <f t="shared" si="279"/>
        <v>0.22957827469779338</v>
      </c>
      <c r="AG868" s="27">
        <f t="shared" si="279"/>
        <v>0.23445091883133051</v>
      </c>
      <c r="AH868" s="27">
        <f t="shared" si="279"/>
        <v>0.23879435769126237</v>
      </c>
      <c r="AI868" s="27">
        <f t="shared" si="279"/>
        <v>0.24339072846239099</v>
      </c>
      <c r="AJ868" s="27">
        <f t="shared" si="279"/>
        <v>0.24833324867482812</v>
      </c>
      <c r="AK868" s="27">
        <f t="shared" si="279"/>
        <v>0.25264130165359039</v>
      </c>
      <c r="AL868" s="27">
        <f t="shared" si="279"/>
        <v>0.256768890240201</v>
      </c>
      <c r="AM868" s="27">
        <f t="shared" si="279"/>
        <v>0.26074018891542444</v>
      </c>
      <c r="AN868" s="27">
        <f t="shared" si="279"/>
        <v>0.26566009353394121</v>
      </c>
      <c r="AO868" s="27">
        <f t="shared" si="279"/>
        <v>0.2701733904471233</v>
      </c>
      <c r="AP868" s="27">
        <f t="shared" si="279"/>
        <v>0.27483864221629506</v>
      </c>
      <c r="AQ868" s="27">
        <f t="shared" si="279"/>
        <v>0.27968329128815766</v>
      </c>
      <c r="AR868" s="27">
        <f t="shared" si="279"/>
        <v>0.28475289053064146</v>
      </c>
      <c r="AS868" s="27">
        <f t="shared" si="279"/>
        <v>0.29002169676555595</v>
      </c>
      <c r="AT868" s="27">
        <f t="shared" si="279"/>
        <v>0.28940847350186372</v>
      </c>
      <c r="AU868" s="27">
        <f t="shared" si="279"/>
        <v>0.2882670035949374</v>
      </c>
      <c r="AV868" s="27">
        <f t="shared" si="279"/>
        <v>0.28637986672533733</v>
      </c>
      <c r="AW868" s="27">
        <f t="shared" si="279"/>
        <v>0.28429803027464012</v>
      </c>
      <c r="AY868" s="79"/>
      <c r="AZ868" s="79"/>
    </row>
    <row r="869" spans="1:52" x14ac:dyDescent="0.3">
      <c r="A869" s="95" t="str">
        <f t="shared" si="270"/>
        <v>BD Leaching</v>
      </c>
      <c r="B869" s="95" t="s">
        <v>1228</v>
      </c>
      <c r="C869" s="95" t="s">
        <v>1190</v>
      </c>
      <c r="D869" t="s">
        <v>369</v>
      </c>
      <c r="E869" t="s">
        <v>61</v>
      </c>
      <c r="F869" t="s">
        <v>63</v>
      </c>
      <c r="G869" t="s">
        <v>438</v>
      </c>
      <c r="H869" t="s">
        <v>1191</v>
      </c>
      <c r="I869" t="s">
        <v>139</v>
      </c>
      <c r="J869" t="s">
        <v>287</v>
      </c>
      <c r="K869" s="27">
        <f t="shared" ref="K869:AW869" si="280">K1517</f>
        <v>0</v>
      </c>
      <c r="L869" s="27">
        <f t="shared" si="280"/>
        <v>0</v>
      </c>
      <c r="M869" s="27">
        <f t="shared" si="280"/>
        <v>0</v>
      </c>
      <c r="N869" s="27">
        <f t="shared" si="280"/>
        <v>0</v>
      </c>
      <c r="O869" s="27">
        <f t="shared" si="280"/>
        <v>0</v>
      </c>
      <c r="P869" s="27">
        <f t="shared" si="280"/>
        <v>0</v>
      </c>
      <c r="Q869" s="27">
        <f t="shared" si="280"/>
        <v>0</v>
      </c>
      <c r="R869" s="27">
        <f t="shared" si="280"/>
        <v>0</v>
      </c>
      <c r="S869" s="27">
        <f t="shared" si="280"/>
        <v>0</v>
      </c>
      <c r="T869" s="27">
        <f t="shared" si="280"/>
        <v>0</v>
      </c>
      <c r="U869" s="27">
        <f t="shared" si="280"/>
        <v>0</v>
      </c>
      <c r="V869" s="27">
        <f t="shared" si="280"/>
        <v>0</v>
      </c>
      <c r="W869" s="27">
        <f t="shared" si="280"/>
        <v>0</v>
      </c>
      <c r="X869" s="27">
        <f t="shared" si="280"/>
        <v>0</v>
      </c>
      <c r="Y869" s="27">
        <f t="shared" si="280"/>
        <v>0</v>
      </c>
      <c r="Z869" s="27">
        <f t="shared" si="280"/>
        <v>0</v>
      </c>
      <c r="AA869" s="27">
        <f t="shared" si="280"/>
        <v>0</v>
      </c>
      <c r="AB869" s="27">
        <f t="shared" si="280"/>
        <v>0</v>
      </c>
      <c r="AC869" s="27">
        <f t="shared" si="280"/>
        <v>0</v>
      </c>
      <c r="AD869" s="27">
        <f t="shared" si="280"/>
        <v>0</v>
      </c>
      <c r="AE869" s="27">
        <f t="shared" si="280"/>
        <v>0</v>
      </c>
      <c r="AF869" s="27">
        <f t="shared" si="280"/>
        <v>0</v>
      </c>
      <c r="AG869" s="27">
        <f t="shared" si="280"/>
        <v>0</v>
      </c>
      <c r="AH869" s="27">
        <f t="shared" si="280"/>
        <v>0</v>
      </c>
      <c r="AI869" s="27">
        <f t="shared" si="280"/>
        <v>0</v>
      </c>
      <c r="AJ869" s="27">
        <f t="shared" si="280"/>
        <v>0</v>
      </c>
      <c r="AK869" s="27">
        <f t="shared" si="280"/>
        <v>0</v>
      </c>
      <c r="AL869" s="27">
        <f t="shared" si="280"/>
        <v>0</v>
      </c>
      <c r="AM869" s="27">
        <f t="shared" si="280"/>
        <v>0</v>
      </c>
      <c r="AN869" s="27">
        <f t="shared" si="280"/>
        <v>0</v>
      </c>
      <c r="AO869" s="27">
        <f t="shared" si="280"/>
        <v>0</v>
      </c>
      <c r="AP869" s="27">
        <f t="shared" si="280"/>
        <v>0</v>
      </c>
      <c r="AQ869" s="27">
        <f t="shared" si="280"/>
        <v>0</v>
      </c>
      <c r="AR869" s="27">
        <f t="shared" si="280"/>
        <v>0</v>
      </c>
      <c r="AS869" s="27">
        <f t="shared" si="280"/>
        <v>0</v>
      </c>
      <c r="AT869" s="27">
        <f t="shared" si="280"/>
        <v>0</v>
      </c>
      <c r="AU869" s="27">
        <f t="shared" si="280"/>
        <v>0</v>
      </c>
      <c r="AV869" s="27">
        <f t="shared" si="280"/>
        <v>0</v>
      </c>
      <c r="AW869" s="27">
        <f t="shared" si="280"/>
        <v>0</v>
      </c>
      <c r="AY869" s="79"/>
      <c r="AZ869" s="79"/>
    </row>
    <row r="870" spans="1:52" x14ac:dyDescent="0.3">
      <c r="A870" s="95" t="str">
        <f t="shared" si="270"/>
        <v>BD Leaching</v>
      </c>
      <c r="B870" s="95" t="s">
        <v>1228</v>
      </c>
      <c r="C870" s="95" t="s">
        <v>1190</v>
      </c>
      <c r="D870" t="s">
        <v>369</v>
      </c>
      <c r="E870" t="s">
        <v>61</v>
      </c>
      <c r="F870" t="s">
        <v>63</v>
      </c>
      <c r="G870" t="s">
        <v>439</v>
      </c>
      <c r="H870" t="s">
        <v>1192</v>
      </c>
      <c r="I870" t="s">
        <v>139</v>
      </c>
      <c r="J870" t="s">
        <v>287</v>
      </c>
      <c r="K870" s="27">
        <f t="shared" ref="K870:AW870" si="281">K1518</f>
        <v>0.10175116378121943</v>
      </c>
      <c r="L870" s="27">
        <f t="shared" si="281"/>
        <v>0.10192037938520998</v>
      </c>
      <c r="M870" s="27">
        <f t="shared" si="281"/>
        <v>0.102230624521803</v>
      </c>
      <c r="N870" s="27">
        <f t="shared" si="281"/>
        <v>0.10260144459215571</v>
      </c>
      <c r="O870" s="27">
        <f t="shared" si="281"/>
        <v>0.10285194917721978</v>
      </c>
      <c r="P870" s="27">
        <f t="shared" si="281"/>
        <v>0.10302433973360284</v>
      </c>
      <c r="Q870" s="27">
        <f t="shared" si="281"/>
        <v>0.10311874031263807</v>
      </c>
      <c r="R870" s="27">
        <f t="shared" si="281"/>
        <v>0.10327146311968674</v>
      </c>
      <c r="S870" s="27">
        <f t="shared" si="281"/>
        <v>0.10343188706296993</v>
      </c>
      <c r="T870" s="27">
        <f t="shared" si="281"/>
        <v>0.10231676998015095</v>
      </c>
      <c r="U870" s="27">
        <f t="shared" si="281"/>
        <v>0.10275895162111336</v>
      </c>
      <c r="V870" s="27">
        <f t="shared" si="281"/>
        <v>0.10336245461523248</v>
      </c>
      <c r="W870" s="27">
        <f t="shared" si="281"/>
        <v>0.10368675774662221</v>
      </c>
      <c r="X870" s="27">
        <f t="shared" si="281"/>
        <v>0.10404145269776151</v>
      </c>
      <c r="Y870" s="27">
        <f t="shared" si="281"/>
        <v>0.10443580363521765</v>
      </c>
      <c r="Z870" s="27">
        <f t="shared" si="281"/>
        <v>0.1048497598931184</v>
      </c>
      <c r="AA870" s="27">
        <f t="shared" si="281"/>
        <v>0.10529155067821512</v>
      </c>
      <c r="AB870" s="27">
        <f t="shared" si="281"/>
        <v>0.10573429480734184</v>
      </c>
      <c r="AC870" s="27">
        <f t="shared" si="281"/>
        <v>0.10620059916305352</v>
      </c>
      <c r="AD870" s="27">
        <f t="shared" si="281"/>
        <v>0.10666482354141628</v>
      </c>
      <c r="AE870" s="27">
        <f t="shared" si="281"/>
        <v>0.10716812014937527</v>
      </c>
      <c r="AF870" s="27">
        <f t="shared" si="281"/>
        <v>0.10765286539934465</v>
      </c>
      <c r="AG870" s="27">
        <f t="shared" si="281"/>
        <v>0.10814988041430322</v>
      </c>
      <c r="AH870" s="27">
        <f t="shared" si="281"/>
        <v>0.1086932343641567</v>
      </c>
      <c r="AI870" s="27">
        <f t="shared" si="281"/>
        <v>0.1091985095670623</v>
      </c>
      <c r="AJ870" s="27">
        <f t="shared" si="281"/>
        <v>0.10971732596273812</v>
      </c>
      <c r="AK870" s="27">
        <f t="shared" si="281"/>
        <v>0.11025547753556091</v>
      </c>
      <c r="AL870" s="27">
        <f t="shared" si="281"/>
        <v>0.11075007079547201</v>
      </c>
      <c r="AM870" s="27">
        <f t="shared" si="281"/>
        <v>0.11123091596993474</v>
      </c>
      <c r="AN870" s="27">
        <f t="shared" si="281"/>
        <v>0.11169987222752331</v>
      </c>
      <c r="AO870" s="27">
        <f t="shared" si="281"/>
        <v>0.11219468980678651</v>
      </c>
      <c r="AP870" s="27">
        <f t="shared" si="281"/>
        <v>0.11266090782059876</v>
      </c>
      <c r="AQ870" s="27">
        <f t="shared" si="281"/>
        <v>0.11313307913415467</v>
      </c>
      <c r="AR870" s="27">
        <f t="shared" si="281"/>
        <v>0.11361258764100189</v>
      </c>
      <c r="AS870" s="27">
        <f t="shared" si="281"/>
        <v>0.11410180170622075</v>
      </c>
      <c r="AT870" s="27">
        <f t="shared" si="281"/>
        <v>0.1145986803192975</v>
      </c>
      <c r="AU870" s="27">
        <f t="shared" si="281"/>
        <v>0.11475135344682705</v>
      </c>
      <c r="AV870" s="27">
        <f t="shared" si="281"/>
        <v>0.11487194074959778</v>
      </c>
      <c r="AW870" s="27">
        <f t="shared" si="281"/>
        <v>0.11494706662841653</v>
      </c>
      <c r="AY870" s="79"/>
      <c r="AZ870" s="79"/>
    </row>
    <row r="871" spans="1:52" x14ac:dyDescent="0.3">
      <c r="A871" s="95" t="str">
        <f t="shared" si="270"/>
        <v>BD Leaching</v>
      </c>
      <c r="B871" s="95" t="s">
        <v>1228</v>
      </c>
      <c r="C871" s="95" t="s">
        <v>1190</v>
      </c>
      <c r="D871" t="s">
        <v>369</v>
      </c>
      <c r="E871" t="s">
        <v>61</v>
      </c>
      <c r="F871" t="s">
        <v>63</v>
      </c>
      <c r="G871" t="s">
        <v>1193</v>
      </c>
      <c r="H871" t="s">
        <v>1194</v>
      </c>
      <c r="I871" t="s">
        <v>139</v>
      </c>
      <c r="J871" t="s">
        <v>287</v>
      </c>
      <c r="K871" s="27" t="str">
        <f t="shared" ref="K871:AW871" si="282">K1519</f>
        <v>NO</v>
      </c>
      <c r="L871" s="27" t="str">
        <f t="shared" si="282"/>
        <v>NO</v>
      </c>
      <c r="M871" s="27" t="str">
        <f t="shared" si="282"/>
        <v>NO</v>
      </c>
      <c r="N871" s="27" t="str">
        <f t="shared" si="282"/>
        <v>NO</v>
      </c>
      <c r="O871" s="27" t="str">
        <f t="shared" si="282"/>
        <v>NO</v>
      </c>
      <c r="P871" s="27" t="str">
        <f t="shared" si="282"/>
        <v>NO</v>
      </c>
      <c r="Q871" s="27" t="str">
        <f t="shared" si="282"/>
        <v>NO</v>
      </c>
      <c r="R871" s="27" t="str">
        <f t="shared" si="282"/>
        <v>NO</v>
      </c>
      <c r="S871" s="27" t="str">
        <f t="shared" si="282"/>
        <v>NO</v>
      </c>
      <c r="T871" s="27" t="str">
        <f t="shared" si="282"/>
        <v>NO</v>
      </c>
      <c r="U871" s="27" t="str">
        <f t="shared" si="282"/>
        <v>NO</v>
      </c>
      <c r="V871" s="27" t="str">
        <f t="shared" si="282"/>
        <v>NO</v>
      </c>
      <c r="W871" s="27" t="str">
        <f t="shared" si="282"/>
        <v>NO</v>
      </c>
      <c r="X871" s="27" t="str">
        <f t="shared" si="282"/>
        <v>NO</v>
      </c>
      <c r="Y871" s="27" t="str">
        <f t="shared" si="282"/>
        <v>NO</v>
      </c>
      <c r="Z871" s="27" t="str">
        <f t="shared" si="282"/>
        <v>NO</v>
      </c>
      <c r="AA871" s="27" t="str">
        <f t="shared" si="282"/>
        <v>NO</v>
      </c>
      <c r="AB871" s="27" t="str">
        <f t="shared" si="282"/>
        <v>NO</v>
      </c>
      <c r="AC871" s="27" t="str">
        <f t="shared" si="282"/>
        <v>NO</v>
      </c>
      <c r="AD871" s="27" t="str">
        <f t="shared" si="282"/>
        <v>NO</v>
      </c>
      <c r="AE871" s="27" t="str">
        <f t="shared" si="282"/>
        <v>NO</v>
      </c>
      <c r="AF871" s="27" t="str">
        <f t="shared" si="282"/>
        <v>NO</v>
      </c>
      <c r="AG871" s="27" t="str">
        <f t="shared" si="282"/>
        <v>NO</v>
      </c>
      <c r="AH871" s="27" t="str">
        <f t="shared" si="282"/>
        <v>NO</v>
      </c>
      <c r="AI871" s="27" t="str">
        <f t="shared" si="282"/>
        <v>NO</v>
      </c>
      <c r="AJ871" s="27" t="str">
        <f t="shared" si="282"/>
        <v>NO</v>
      </c>
      <c r="AK871" s="27" t="str">
        <f t="shared" si="282"/>
        <v>NO</v>
      </c>
      <c r="AL871" s="27" t="str">
        <f t="shared" si="282"/>
        <v>NO</v>
      </c>
      <c r="AM871" s="27" t="str">
        <f t="shared" si="282"/>
        <v>NO</v>
      </c>
      <c r="AN871" s="27" t="str">
        <f t="shared" si="282"/>
        <v>NO</v>
      </c>
      <c r="AO871" s="27" t="str">
        <f t="shared" si="282"/>
        <v>NO</v>
      </c>
      <c r="AP871" s="27" t="str">
        <f t="shared" si="282"/>
        <v>NO</v>
      </c>
      <c r="AQ871" s="27" t="str">
        <f t="shared" si="282"/>
        <v>NO</v>
      </c>
      <c r="AR871" s="27" t="str">
        <f t="shared" si="282"/>
        <v>NO</v>
      </c>
      <c r="AS871" s="27" t="str">
        <f t="shared" si="282"/>
        <v>NO</v>
      </c>
      <c r="AT871" s="27" t="str">
        <f t="shared" si="282"/>
        <v>NO</v>
      </c>
      <c r="AU871" s="27" t="str">
        <f t="shared" si="282"/>
        <v>NO</v>
      </c>
      <c r="AV871" s="27" t="str">
        <f t="shared" si="282"/>
        <v>NO</v>
      </c>
      <c r="AW871" s="27" t="str">
        <f t="shared" si="282"/>
        <v>NO</v>
      </c>
      <c r="AY871" s="79"/>
      <c r="AZ871" s="79"/>
    </row>
    <row r="872" spans="1:52" x14ac:dyDescent="0.3">
      <c r="A872" s="95" t="str">
        <f t="shared" si="270"/>
        <v>BD Leaching</v>
      </c>
      <c r="B872" s="95" t="s">
        <v>1228</v>
      </c>
      <c r="C872" s="95" t="s">
        <v>1190</v>
      </c>
      <c r="D872" t="s">
        <v>369</v>
      </c>
      <c r="E872" t="s">
        <v>61</v>
      </c>
      <c r="F872" t="s">
        <v>63</v>
      </c>
      <c r="G872" t="s">
        <v>1195</v>
      </c>
      <c r="H872" t="s">
        <v>1196</v>
      </c>
      <c r="I872" t="s">
        <v>139</v>
      </c>
      <c r="J872" t="s">
        <v>287</v>
      </c>
      <c r="K872" s="27" t="str">
        <f t="shared" ref="K872:AW872" si="283">K1520</f>
        <v>NO</v>
      </c>
      <c r="L872" s="27" t="str">
        <f t="shared" si="283"/>
        <v>NO</v>
      </c>
      <c r="M872" s="27" t="str">
        <f t="shared" si="283"/>
        <v>NO</v>
      </c>
      <c r="N872" s="27" t="str">
        <f t="shared" si="283"/>
        <v>NO</v>
      </c>
      <c r="O872" s="27" t="str">
        <f t="shared" si="283"/>
        <v>NO</v>
      </c>
      <c r="P872" s="27" t="str">
        <f t="shared" si="283"/>
        <v>NO</v>
      </c>
      <c r="Q872" s="27" t="str">
        <f t="shared" si="283"/>
        <v>NO</v>
      </c>
      <c r="R872" s="27" t="str">
        <f t="shared" si="283"/>
        <v>NO</v>
      </c>
      <c r="S872" s="27" t="str">
        <f t="shared" si="283"/>
        <v>NO</v>
      </c>
      <c r="T872" s="27" t="str">
        <f t="shared" si="283"/>
        <v>NO</v>
      </c>
      <c r="U872" s="27" t="str">
        <f t="shared" si="283"/>
        <v>NO</v>
      </c>
      <c r="V872" s="27" t="str">
        <f t="shared" si="283"/>
        <v>NO</v>
      </c>
      <c r="W872" s="27" t="str">
        <f t="shared" si="283"/>
        <v>NO</v>
      </c>
      <c r="X872" s="27" t="str">
        <f t="shared" si="283"/>
        <v>NO</v>
      </c>
      <c r="Y872" s="27" t="str">
        <f t="shared" si="283"/>
        <v>NO</v>
      </c>
      <c r="Z872" s="27" t="str">
        <f t="shared" si="283"/>
        <v>NO</v>
      </c>
      <c r="AA872" s="27" t="str">
        <f t="shared" si="283"/>
        <v>NO</v>
      </c>
      <c r="AB872" s="27" t="str">
        <f t="shared" si="283"/>
        <v>NO</v>
      </c>
      <c r="AC872" s="27" t="str">
        <f t="shared" si="283"/>
        <v>NO</v>
      </c>
      <c r="AD872" s="27" t="str">
        <f t="shared" si="283"/>
        <v>NO</v>
      </c>
      <c r="AE872" s="27" t="str">
        <f t="shared" si="283"/>
        <v>NO</v>
      </c>
      <c r="AF872" s="27" t="str">
        <f t="shared" si="283"/>
        <v>NO</v>
      </c>
      <c r="AG872" s="27" t="str">
        <f t="shared" si="283"/>
        <v>NO</v>
      </c>
      <c r="AH872" s="27" t="str">
        <f t="shared" si="283"/>
        <v>NO</v>
      </c>
      <c r="AI872" s="27" t="str">
        <f t="shared" si="283"/>
        <v>NO</v>
      </c>
      <c r="AJ872" s="27" t="str">
        <f t="shared" si="283"/>
        <v>NO</v>
      </c>
      <c r="AK872" s="27" t="str">
        <f t="shared" si="283"/>
        <v>NO</v>
      </c>
      <c r="AL872" s="27" t="str">
        <f t="shared" si="283"/>
        <v>NO</v>
      </c>
      <c r="AM872" s="27" t="str">
        <f t="shared" si="283"/>
        <v>NO</v>
      </c>
      <c r="AN872" s="27" t="str">
        <f t="shared" si="283"/>
        <v>NO</v>
      </c>
      <c r="AO872" s="27" t="str">
        <f t="shared" si="283"/>
        <v>NO</v>
      </c>
      <c r="AP872" s="27" t="str">
        <f t="shared" si="283"/>
        <v>NO</v>
      </c>
      <c r="AQ872" s="27" t="str">
        <f t="shared" si="283"/>
        <v>NO</v>
      </c>
      <c r="AR872" s="27" t="str">
        <f t="shared" si="283"/>
        <v>NO</v>
      </c>
      <c r="AS872" s="27" t="str">
        <f t="shared" si="283"/>
        <v>NO</v>
      </c>
      <c r="AT872" s="27" t="str">
        <f t="shared" si="283"/>
        <v>NO</v>
      </c>
      <c r="AU872" s="27" t="str">
        <f t="shared" si="283"/>
        <v>NO</v>
      </c>
      <c r="AV872" s="27" t="str">
        <f t="shared" si="283"/>
        <v>NO</v>
      </c>
      <c r="AW872" s="27" t="str">
        <f t="shared" si="283"/>
        <v>NO</v>
      </c>
      <c r="AY872" s="79"/>
      <c r="AZ872" s="79"/>
    </row>
    <row r="873" spans="1:52" x14ac:dyDescent="0.3">
      <c r="A873" s="95" t="str">
        <f t="shared" si="270"/>
        <v>BD Leaching</v>
      </c>
      <c r="B873" s="95" t="s">
        <v>1228</v>
      </c>
      <c r="C873" s="95" t="s">
        <v>1190</v>
      </c>
      <c r="D873" t="s">
        <v>369</v>
      </c>
      <c r="E873" t="s">
        <v>61</v>
      </c>
      <c r="F873" t="s">
        <v>63</v>
      </c>
      <c r="G873" t="s">
        <v>1197</v>
      </c>
      <c r="H873" t="s">
        <v>1198</v>
      </c>
      <c r="I873" t="s">
        <v>139</v>
      </c>
      <c r="J873" t="s">
        <v>287</v>
      </c>
      <c r="K873" s="27">
        <f t="shared" ref="K873:AW873" si="284">K1521</f>
        <v>1.1867590793806392E-4</v>
      </c>
      <c r="L873" s="27">
        <f t="shared" si="284"/>
        <v>1.1853617037070301E-4</v>
      </c>
      <c r="M873" s="27">
        <f t="shared" si="284"/>
        <v>1.1839643280334203E-4</v>
      </c>
      <c r="N873" s="27">
        <f t="shared" si="284"/>
        <v>1.1825669523598106E-4</v>
      </c>
      <c r="O873" s="27">
        <f t="shared" si="284"/>
        <v>1.1811695766862012E-4</v>
      </c>
      <c r="P873" s="27">
        <f t="shared" si="284"/>
        <v>1.1797722010125916E-4</v>
      </c>
      <c r="Q873" s="27">
        <f t="shared" si="284"/>
        <v>1.178374825338982E-4</v>
      </c>
      <c r="R873" s="27">
        <f t="shared" si="284"/>
        <v>1.1769774496653728E-4</v>
      </c>
      <c r="S873" s="27">
        <f t="shared" si="284"/>
        <v>1.1755800739917633E-4</v>
      </c>
      <c r="T873" s="27">
        <f t="shared" si="284"/>
        <v>1.174182698318154E-4</v>
      </c>
      <c r="U873" s="27">
        <f t="shared" si="284"/>
        <v>1.1727853226445441E-4</v>
      </c>
      <c r="V873" s="27">
        <f t="shared" si="284"/>
        <v>1.1713879469709348E-4</v>
      </c>
      <c r="W873" s="27">
        <f t="shared" si="284"/>
        <v>1.1699905712973254E-4</v>
      </c>
      <c r="X873" s="27">
        <f t="shared" si="284"/>
        <v>1.168593195623716E-4</v>
      </c>
      <c r="Y873" s="27">
        <f t="shared" si="284"/>
        <v>1.1671958199501069E-4</v>
      </c>
      <c r="Z873" s="27">
        <f t="shared" si="284"/>
        <v>1.1657984442764968E-4</v>
      </c>
      <c r="AA873" s="27">
        <f t="shared" si="284"/>
        <v>1.1644010686028878E-4</v>
      </c>
      <c r="AB873" s="27">
        <f t="shared" si="284"/>
        <v>1.1630036929292779E-4</v>
      </c>
      <c r="AC873" s="27">
        <f t="shared" si="284"/>
        <v>1.1616063172556689E-4</v>
      </c>
      <c r="AD873" s="27">
        <f t="shared" si="284"/>
        <v>1.1602089415820588E-4</v>
      </c>
      <c r="AE873" s="27">
        <f t="shared" si="284"/>
        <v>1.1588115659084502E-4</v>
      </c>
      <c r="AF873" s="27">
        <f t="shared" si="284"/>
        <v>1.1574141902348403E-4</v>
      </c>
      <c r="AG873" s="27">
        <f t="shared" si="284"/>
        <v>1.1560168145612309E-4</v>
      </c>
      <c r="AH873" s="27">
        <f t="shared" si="284"/>
        <v>1.154619438887621E-4</v>
      </c>
      <c r="AI873" s="27">
        <f t="shared" si="284"/>
        <v>1.1532220632140118E-4</v>
      </c>
      <c r="AJ873" s="27">
        <f t="shared" si="284"/>
        <v>1.1518246875404022E-4</v>
      </c>
      <c r="AK873" s="27">
        <f t="shared" si="284"/>
        <v>1.1504273118667928E-4</v>
      </c>
      <c r="AL873" s="27">
        <f t="shared" si="284"/>
        <v>1.1490299361931835E-4</v>
      </c>
      <c r="AM873" s="27">
        <f t="shared" si="284"/>
        <v>1.1476325605195744E-4</v>
      </c>
      <c r="AN873" s="27">
        <f t="shared" si="284"/>
        <v>1.1462351848459642E-4</v>
      </c>
      <c r="AO873" s="27">
        <f t="shared" si="284"/>
        <v>1.1448378091723552E-4</v>
      </c>
      <c r="AP873" s="27">
        <f t="shared" si="284"/>
        <v>1.1434404334987458E-4</v>
      </c>
      <c r="AQ873" s="27">
        <f t="shared" si="284"/>
        <v>1.1420430578251366E-4</v>
      </c>
      <c r="AR873" s="27">
        <f t="shared" si="284"/>
        <v>1.1406456821515268E-4</v>
      </c>
      <c r="AS873" s="27">
        <f t="shared" si="284"/>
        <v>1.1392483064779174E-4</v>
      </c>
      <c r="AT873" s="27">
        <f t="shared" si="284"/>
        <v>1.1378509308043078E-4</v>
      </c>
      <c r="AU873" s="27">
        <f t="shared" si="284"/>
        <v>1.136453555130698E-4</v>
      </c>
      <c r="AV873" s="27">
        <f t="shared" si="284"/>
        <v>1.1350561794570888E-4</v>
      </c>
      <c r="AW873" s="27">
        <f t="shared" si="284"/>
        <v>1.1336588037834792E-4</v>
      </c>
      <c r="AY873" s="79"/>
      <c r="AZ873" s="79"/>
    </row>
    <row r="874" spans="1:52" x14ac:dyDescent="0.3">
      <c r="A874" s="95" t="str">
        <f t="shared" si="270"/>
        <v>BD Leaching</v>
      </c>
      <c r="B874" s="95" t="s">
        <v>1228</v>
      </c>
      <c r="C874" s="95" t="s">
        <v>1190</v>
      </c>
      <c r="D874" t="s">
        <v>369</v>
      </c>
      <c r="E874" t="s">
        <v>61</v>
      </c>
      <c r="F874" t="s">
        <v>63</v>
      </c>
      <c r="G874" t="s">
        <v>1199</v>
      </c>
      <c r="H874" t="s">
        <v>1200</v>
      </c>
      <c r="I874" t="s">
        <v>139</v>
      </c>
      <c r="J874" t="s">
        <v>287</v>
      </c>
      <c r="K874" s="27">
        <f t="shared" ref="K874:AW874" si="285">K1522</f>
        <v>1.6912231388729011E-2</v>
      </c>
      <c r="L874" s="27">
        <f t="shared" si="285"/>
        <v>1.6951420148247919E-2</v>
      </c>
      <c r="M874" s="27">
        <f t="shared" si="285"/>
        <v>1.6990608907766828E-2</v>
      </c>
      <c r="N874" s="27">
        <f t="shared" si="285"/>
        <v>1.702979766728574E-2</v>
      </c>
      <c r="O874" s="27">
        <f t="shared" si="285"/>
        <v>1.7068986426804648E-2</v>
      </c>
      <c r="P874" s="27">
        <f t="shared" si="285"/>
        <v>1.7108175186323554E-2</v>
      </c>
      <c r="Q874" s="27">
        <f t="shared" si="285"/>
        <v>1.7147363945842466E-2</v>
      </c>
      <c r="R874" s="27">
        <f t="shared" si="285"/>
        <v>1.7186552705361371E-2</v>
      </c>
      <c r="S874" s="27">
        <f t="shared" si="285"/>
        <v>1.7225741464880276E-2</v>
      </c>
      <c r="T874" s="27">
        <f t="shared" si="285"/>
        <v>1.7264930224399191E-2</v>
      </c>
      <c r="U874" s="27">
        <f t="shared" si="285"/>
        <v>1.7304118983918097E-2</v>
      </c>
      <c r="V874" s="27">
        <f t="shared" si="285"/>
        <v>1.7343307743437009E-2</v>
      </c>
      <c r="W874" s="27">
        <f t="shared" si="285"/>
        <v>1.7382496502955917E-2</v>
      </c>
      <c r="X874" s="27">
        <f t="shared" si="285"/>
        <v>1.7421685262474829E-2</v>
      </c>
      <c r="Y874" s="27">
        <f t="shared" si="285"/>
        <v>1.7460874021993734E-2</v>
      </c>
      <c r="Z874" s="27">
        <f t="shared" si="285"/>
        <v>1.750006278151265E-2</v>
      </c>
      <c r="AA874" s="27">
        <f t="shared" si="285"/>
        <v>1.7539251541031548E-2</v>
      </c>
      <c r="AB874" s="27">
        <f t="shared" si="285"/>
        <v>1.7578440300550464E-2</v>
      </c>
      <c r="AC874" s="27">
        <f t="shared" si="285"/>
        <v>1.7617629060069376E-2</v>
      </c>
      <c r="AD874" s="27">
        <f t="shared" si="285"/>
        <v>1.7656817819588281E-2</v>
      </c>
      <c r="AE874" s="27">
        <f t="shared" si="285"/>
        <v>1.769600657910719E-2</v>
      </c>
      <c r="AF874" s="27">
        <f t="shared" si="285"/>
        <v>1.7735195338626102E-2</v>
      </c>
      <c r="AG874" s="27">
        <f t="shared" si="285"/>
        <v>1.777438409814501E-2</v>
      </c>
      <c r="AH874" s="27">
        <f t="shared" si="285"/>
        <v>1.7813572857663919E-2</v>
      </c>
      <c r="AI874" s="27">
        <f t="shared" si="285"/>
        <v>1.7852761617182831E-2</v>
      </c>
      <c r="AJ874" s="27">
        <f t="shared" si="285"/>
        <v>1.7891950376701736E-2</v>
      </c>
      <c r="AK874" s="27">
        <f t="shared" si="285"/>
        <v>1.7931139136220645E-2</v>
      </c>
      <c r="AL874" s="27">
        <f t="shared" si="285"/>
        <v>1.7970327895739557E-2</v>
      </c>
      <c r="AM874" s="27">
        <f t="shared" si="285"/>
        <v>1.8009516655258465E-2</v>
      </c>
      <c r="AN874" s="27">
        <f t="shared" si="285"/>
        <v>1.8048705414777374E-2</v>
      </c>
      <c r="AO874" s="27">
        <f t="shared" si="285"/>
        <v>1.8087894174296286E-2</v>
      </c>
      <c r="AP874" s="27">
        <f t="shared" si="285"/>
        <v>1.8127082933815188E-2</v>
      </c>
      <c r="AQ874" s="27">
        <f t="shared" si="285"/>
        <v>1.8166271693334096E-2</v>
      </c>
      <c r="AR874" s="27">
        <f t="shared" si="285"/>
        <v>1.8205460452853015E-2</v>
      </c>
      <c r="AS874" s="27">
        <f t="shared" si="285"/>
        <v>1.8244649212371917E-2</v>
      </c>
      <c r="AT874" s="27">
        <f t="shared" si="285"/>
        <v>1.8283837971890825E-2</v>
      </c>
      <c r="AU874" s="27">
        <f t="shared" si="285"/>
        <v>1.8323026731409734E-2</v>
      </c>
      <c r="AV874" s="27">
        <f t="shared" si="285"/>
        <v>1.8362215490928643E-2</v>
      </c>
      <c r="AW874" s="27">
        <f t="shared" si="285"/>
        <v>1.8401404250447555E-2</v>
      </c>
      <c r="AY874" s="79"/>
      <c r="AZ874" s="79"/>
    </row>
    <row r="875" spans="1:52" x14ac:dyDescent="0.3">
      <c r="A875" s="95" t="str">
        <f t="shared" si="270"/>
        <v>BD Leaching</v>
      </c>
      <c r="B875" s="95" t="s">
        <v>1228</v>
      </c>
      <c r="C875" s="95" t="s">
        <v>1190</v>
      </c>
      <c r="D875" t="s">
        <v>369</v>
      </c>
      <c r="E875" t="s">
        <v>61</v>
      </c>
      <c r="F875" t="s">
        <v>63</v>
      </c>
      <c r="G875" t="s">
        <v>1201</v>
      </c>
      <c r="H875" t="s">
        <v>1202</v>
      </c>
      <c r="I875" t="s">
        <v>139</v>
      </c>
      <c r="J875" t="s">
        <v>287</v>
      </c>
      <c r="K875" s="27">
        <f t="shared" ref="K875:AW875" si="286">K1523</f>
        <v>1.9871041213735664E-2</v>
      </c>
      <c r="L875" s="27">
        <f t="shared" si="286"/>
        <v>1.9871041213735664E-2</v>
      </c>
      <c r="M875" s="27">
        <f t="shared" si="286"/>
        <v>1.9871041213735664E-2</v>
      </c>
      <c r="N875" s="27">
        <f t="shared" si="286"/>
        <v>1.9871041213735664E-2</v>
      </c>
      <c r="O875" s="27">
        <f t="shared" si="286"/>
        <v>1.9871041213735664E-2</v>
      </c>
      <c r="P875" s="27">
        <f t="shared" si="286"/>
        <v>1.9871041213735664E-2</v>
      </c>
      <c r="Q875" s="27">
        <f t="shared" si="286"/>
        <v>1.9871041213735664E-2</v>
      </c>
      <c r="R875" s="27">
        <f t="shared" si="286"/>
        <v>1.9871041213735664E-2</v>
      </c>
      <c r="S875" s="27">
        <f t="shared" si="286"/>
        <v>1.9871041213735664E-2</v>
      </c>
      <c r="T875" s="27">
        <f t="shared" si="286"/>
        <v>1.9871041213735664E-2</v>
      </c>
      <c r="U875" s="27">
        <f t="shared" si="286"/>
        <v>1.9871041213735664E-2</v>
      </c>
      <c r="V875" s="27">
        <f t="shared" si="286"/>
        <v>1.9871041213735664E-2</v>
      </c>
      <c r="W875" s="27">
        <f t="shared" si="286"/>
        <v>1.9871041213735664E-2</v>
      </c>
      <c r="X875" s="27">
        <f t="shared" si="286"/>
        <v>1.9871041213735664E-2</v>
      </c>
      <c r="Y875" s="27">
        <f t="shared" si="286"/>
        <v>1.9871041213735664E-2</v>
      </c>
      <c r="Z875" s="27">
        <f t="shared" si="286"/>
        <v>1.9871041213735664E-2</v>
      </c>
      <c r="AA875" s="27">
        <f t="shared" si="286"/>
        <v>1.9871041213735664E-2</v>
      </c>
      <c r="AB875" s="27">
        <f t="shared" si="286"/>
        <v>1.9871041213735664E-2</v>
      </c>
      <c r="AC875" s="27">
        <f t="shared" si="286"/>
        <v>1.9871041213735664E-2</v>
      </c>
      <c r="AD875" s="27">
        <f t="shared" si="286"/>
        <v>1.9871041213735664E-2</v>
      </c>
      <c r="AE875" s="27">
        <f t="shared" si="286"/>
        <v>1.9871041213735664E-2</v>
      </c>
      <c r="AF875" s="27">
        <f t="shared" si="286"/>
        <v>1.9871041213735664E-2</v>
      </c>
      <c r="AG875" s="27">
        <f t="shared" si="286"/>
        <v>1.9871041213735664E-2</v>
      </c>
      <c r="AH875" s="27">
        <f t="shared" si="286"/>
        <v>1.9871041213735664E-2</v>
      </c>
      <c r="AI875" s="27">
        <f t="shared" si="286"/>
        <v>1.9871041213735664E-2</v>
      </c>
      <c r="AJ875" s="27">
        <f t="shared" si="286"/>
        <v>1.9871041213735664E-2</v>
      </c>
      <c r="AK875" s="27">
        <f t="shared" si="286"/>
        <v>1.9871041213735664E-2</v>
      </c>
      <c r="AL875" s="27">
        <f t="shared" si="286"/>
        <v>1.9871041213735664E-2</v>
      </c>
      <c r="AM875" s="27">
        <f t="shared" si="286"/>
        <v>1.9871041213735664E-2</v>
      </c>
      <c r="AN875" s="27">
        <f t="shared" si="286"/>
        <v>1.9871041213735664E-2</v>
      </c>
      <c r="AO875" s="27">
        <f t="shared" si="286"/>
        <v>1.9871041213735664E-2</v>
      </c>
      <c r="AP875" s="27">
        <f t="shared" si="286"/>
        <v>1.9871041213735664E-2</v>
      </c>
      <c r="AQ875" s="27">
        <f t="shared" si="286"/>
        <v>1.9871041213735664E-2</v>
      </c>
      <c r="AR875" s="27">
        <f t="shared" si="286"/>
        <v>1.9871041213735664E-2</v>
      </c>
      <c r="AS875" s="27">
        <f t="shared" si="286"/>
        <v>1.9871041213735664E-2</v>
      </c>
      <c r="AT875" s="27">
        <f t="shared" si="286"/>
        <v>1.9871041213735664E-2</v>
      </c>
      <c r="AU875" s="27">
        <f t="shared" si="286"/>
        <v>1.9871041213735664E-2</v>
      </c>
      <c r="AV875" s="27">
        <f t="shared" si="286"/>
        <v>1.9871041213735664E-2</v>
      </c>
      <c r="AW875" s="27">
        <f t="shared" si="286"/>
        <v>1.9871041213735664E-2</v>
      </c>
      <c r="AY875" s="79"/>
      <c r="AZ875" s="79"/>
    </row>
    <row r="876" spans="1:52" x14ac:dyDescent="0.3">
      <c r="A876" s="95" t="str">
        <f t="shared" si="270"/>
        <v>BD Leaching</v>
      </c>
      <c r="B876" s="95" t="s">
        <v>1228</v>
      </c>
      <c r="C876" s="95" t="s">
        <v>1190</v>
      </c>
      <c r="D876" t="s">
        <v>369</v>
      </c>
      <c r="E876" t="s">
        <v>61</v>
      </c>
      <c r="F876" t="s">
        <v>63</v>
      </c>
      <c r="G876" t="s">
        <v>1203</v>
      </c>
      <c r="H876" t="s">
        <v>1204</v>
      </c>
      <c r="I876" t="s">
        <v>139</v>
      </c>
      <c r="J876" t="s">
        <v>287</v>
      </c>
      <c r="K876" s="27" t="str">
        <f t="shared" ref="K876:AW876" si="287">K1524</f>
        <v>NO</v>
      </c>
      <c r="L876" s="27" t="str">
        <f t="shared" si="287"/>
        <v>NO</v>
      </c>
      <c r="M876" s="27" t="str">
        <f t="shared" si="287"/>
        <v>NO</v>
      </c>
      <c r="N876" s="27" t="str">
        <f t="shared" si="287"/>
        <v>NO</v>
      </c>
      <c r="O876" s="27" t="str">
        <f t="shared" si="287"/>
        <v>NO</v>
      </c>
      <c r="P876" s="27" t="str">
        <f t="shared" si="287"/>
        <v>NO</v>
      </c>
      <c r="Q876" s="27" t="str">
        <f t="shared" si="287"/>
        <v>NO</v>
      </c>
      <c r="R876" s="27" t="str">
        <f t="shared" si="287"/>
        <v>NO</v>
      </c>
      <c r="S876" s="27" t="str">
        <f t="shared" si="287"/>
        <v>NO</v>
      </c>
      <c r="T876" s="27" t="str">
        <f t="shared" si="287"/>
        <v>NO</v>
      </c>
      <c r="U876" s="27" t="str">
        <f t="shared" si="287"/>
        <v>NO</v>
      </c>
      <c r="V876" s="27" t="str">
        <f t="shared" si="287"/>
        <v>NO</v>
      </c>
      <c r="W876" s="27" t="str">
        <f t="shared" si="287"/>
        <v>NO</v>
      </c>
      <c r="X876" s="27" t="str">
        <f t="shared" si="287"/>
        <v>NO</v>
      </c>
      <c r="Y876" s="27" t="str">
        <f t="shared" si="287"/>
        <v>NO</v>
      </c>
      <c r="Z876" s="27" t="str">
        <f t="shared" si="287"/>
        <v>NO</v>
      </c>
      <c r="AA876" s="27" t="str">
        <f t="shared" si="287"/>
        <v>NO</v>
      </c>
      <c r="AB876" s="27" t="str">
        <f t="shared" si="287"/>
        <v>NO</v>
      </c>
      <c r="AC876" s="27" t="str">
        <f t="shared" si="287"/>
        <v>NO</v>
      </c>
      <c r="AD876" s="27" t="str">
        <f t="shared" si="287"/>
        <v>NO</v>
      </c>
      <c r="AE876" s="27" t="str">
        <f t="shared" si="287"/>
        <v>NO</v>
      </c>
      <c r="AF876" s="27" t="str">
        <f t="shared" si="287"/>
        <v>NO</v>
      </c>
      <c r="AG876" s="27" t="str">
        <f t="shared" si="287"/>
        <v>NO</v>
      </c>
      <c r="AH876" s="27" t="str">
        <f t="shared" si="287"/>
        <v>NO</v>
      </c>
      <c r="AI876" s="27" t="str">
        <f t="shared" si="287"/>
        <v>NO</v>
      </c>
      <c r="AJ876" s="27" t="str">
        <f t="shared" si="287"/>
        <v>NO</v>
      </c>
      <c r="AK876" s="27" t="str">
        <f t="shared" si="287"/>
        <v>NO</v>
      </c>
      <c r="AL876" s="27" t="str">
        <f t="shared" si="287"/>
        <v>NO</v>
      </c>
      <c r="AM876" s="27" t="str">
        <f t="shared" si="287"/>
        <v>NO</v>
      </c>
      <c r="AN876" s="27" t="str">
        <f t="shared" si="287"/>
        <v>NO</v>
      </c>
      <c r="AO876" s="27" t="str">
        <f t="shared" si="287"/>
        <v>NO</v>
      </c>
      <c r="AP876" s="27" t="str">
        <f t="shared" si="287"/>
        <v>NO</v>
      </c>
      <c r="AQ876" s="27" t="str">
        <f t="shared" si="287"/>
        <v>NO</v>
      </c>
      <c r="AR876" s="27" t="str">
        <f t="shared" si="287"/>
        <v>NO</v>
      </c>
      <c r="AS876" s="27" t="str">
        <f t="shared" si="287"/>
        <v>NO</v>
      </c>
      <c r="AT876" s="27" t="str">
        <f t="shared" si="287"/>
        <v>NO</v>
      </c>
      <c r="AU876" s="27" t="str">
        <f t="shared" si="287"/>
        <v>NO</v>
      </c>
      <c r="AV876" s="27" t="str">
        <f t="shared" si="287"/>
        <v>NO</v>
      </c>
      <c r="AW876" s="27" t="str">
        <f t="shared" si="287"/>
        <v>NO</v>
      </c>
      <c r="AY876" s="79"/>
      <c r="AZ876" s="79"/>
    </row>
    <row r="877" spans="1:52" x14ac:dyDescent="0.3">
      <c r="A877" s="95" t="str">
        <f t="shared" si="270"/>
        <v>BD Leaching</v>
      </c>
      <c r="B877" s="95" t="s">
        <v>1228</v>
      </c>
      <c r="C877" s="95" t="s">
        <v>1190</v>
      </c>
      <c r="D877" t="s">
        <v>369</v>
      </c>
      <c r="E877" t="s">
        <v>61</v>
      </c>
      <c r="F877" t="s">
        <v>63</v>
      </c>
      <c r="G877" t="s">
        <v>1205</v>
      </c>
      <c r="H877" t="s">
        <v>1206</v>
      </c>
      <c r="I877" t="s">
        <v>139</v>
      </c>
      <c r="J877" t="s">
        <v>287</v>
      </c>
      <c r="K877" s="27" t="str">
        <f t="shared" ref="K877:AW877" si="288">K1525</f>
        <v>NO</v>
      </c>
      <c r="L877" s="27" t="str">
        <f t="shared" si="288"/>
        <v>NO</v>
      </c>
      <c r="M877" s="27" t="str">
        <f t="shared" si="288"/>
        <v>NO</v>
      </c>
      <c r="N877" s="27" t="str">
        <f t="shared" si="288"/>
        <v>NO</v>
      </c>
      <c r="O877" s="27" t="str">
        <f t="shared" si="288"/>
        <v>NO</v>
      </c>
      <c r="P877" s="27" t="str">
        <f t="shared" si="288"/>
        <v>NO</v>
      </c>
      <c r="Q877" s="27" t="str">
        <f t="shared" si="288"/>
        <v>NO</v>
      </c>
      <c r="R877" s="27" t="str">
        <f t="shared" si="288"/>
        <v>NO</v>
      </c>
      <c r="S877" s="27" t="str">
        <f t="shared" si="288"/>
        <v>NO</v>
      </c>
      <c r="T877" s="27" t="str">
        <f t="shared" si="288"/>
        <v>NO</v>
      </c>
      <c r="U877" s="27" t="str">
        <f t="shared" si="288"/>
        <v>NO</v>
      </c>
      <c r="V877" s="27" t="str">
        <f t="shared" si="288"/>
        <v>NO</v>
      </c>
      <c r="W877" s="27" t="str">
        <f t="shared" si="288"/>
        <v>NO</v>
      </c>
      <c r="X877" s="27" t="str">
        <f t="shared" si="288"/>
        <v>NO</v>
      </c>
      <c r="Y877" s="27" t="str">
        <f t="shared" si="288"/>
        <v>NO</v>
      </c>
      <c r="Z877" s="27" t="str">
        <f t="shared" si="288"/>
        <v>NO</v>
      </c>
      <c r="AA877" s="27" t="str">
        <f t="shared" si="288"/>
        <v>NO</v>
      </c>
      <c r="AB877" s="27" t="str">
        <f t="shared" si="288"/>
        <v>NO</v>
      </c>
      <c r="AC877" s="27" t="str">
        <f t="shared" si="288"/>
        <v>NO</v>
      </c>
      <c r="AD877" s="27" t="str">
        <f t="shared" si="288"/>
        <v>NO</v>
      </c>
      <c r="AE877" s="27" t="str">
        <f t="shared" si="288"/>
        <v>NO</v>
      </c>
      <c r="AF877" s="27" t="str">
        <f t="shared" si="288"/>
        <v>NO</v>
      </c>
      <c r="AG877" s="27" t="str">
        <f t="shared" si="288"/>
        <v>NO</v>
      </c>
      <c r="AH877" s="27" t="str">
        <f t="shared" si="288"/>
        <v>NO</v>
      </c>
      <c r="AI877" s="27" t="str">
        <f t="shared" si="288"/>
        <v>NO</v>
      </c>
      <c r="AJ877" s="27" t="str">
        <f t="shared" si="288"/>
        <v>NO</v>
      </c>
      <c r="AK877" s="27" t="str">
        <f t="shared" si="288"/>
        <v>NO</v>
      </c>
      <c r="AL877" s="27" t="str">
        <f t="shared" si="288"/>
        <v>NO</v>
      </c>
      <c r="AM877" s="27" t="str">
        <f t="shared" si="288"/>
        <v>NO</v>
      </c>
      <c r="AN877" s="27" t="str">
        <f t="shared" si="288"/>
        <v>NO</v>
      </c>
      <c r="AO877" s="27" t="str">
        <f t="shared" si="288"/>
        <v>NO</v>
      </c>
      <c r="AP877" s="27" t="str">
        <f t="shared" si="288"/>
        <v>NO</v>
      </c>
      <c r="AQ877" s="27" t="str">
        <f t="shared" si="288"/>
        <v>NO</v>
      </c>
      <c r="AR877" s="27" t="str">
        <f t="shared" si="288"/>
        <v>NO</v>
      </c>
      <c r="AS877" s="27" t="str">
        <f t="shared" si="288"/>
        <v>NO</v>
      </c>
      <c r="AT877" s="27" t="str">
        <f t="shared" si="288"/>
        <v>NO</v>
      </c>
      <c r="AU877" s="27" t="str">
        <f t="shared" si="288"/>
        <v>NO</v>
      </c>
      <c r="AV877" s="27" t="str">
        <f t="shared" si="288"/>
        <v>NO</v>
      </c>
      <c r="AW877" s="27" t="str">
        <f t="shared" si="288"/>
        <v>NO</v>
      </c>
      <c r="AY877" s="79"/>
      <c r="AZ877" s="79"/>
    </row>
    <row r="878" spans="1:52" x14ac:dyDescent="0.3">
      <c r="A878" s="95" t="str">
        <f t="shared" si="270"/>
        <v>BD Leaching</v>
      </c>
      <c r="B878" s="95" t="s">
        <v>1228</v>
      </c>
      <c r="C878" s="95" t="s">
        <v>1190</v>
      </c>
      <c r="D878" t="s">
        <v>369</v>
      </c>
      <c r="E878" t="s">
        <v>61</v>
      </c>
      <c r="F878" t="s">
        <v>63</v>
      </c>
      <c r="G878" t="s">
        <v>1207</v>
      </c>
      <c r="H878" t="s">
        <v>1208</v>
      </c>
      <c r="I878" t="s">
        <v>139</v>
      </c>
      <c r="J878" t="s">
        <v>287</v>
      </c>
      <c r="K878" s="27" t="str">
        <f t="shared" ref="K878:AW878" si="289">K1526</f>
        <v>NO</v>
      </c>
      <c r="L878" s="27" t="str">
        <f t="shared" si="289"/>
        <v>NO</v>
      </c>
      <c r="M878" s="27" t="str">
        <f t="shared" si="289"/>
        <v>NO</v>
      </c>
      <c r="N878" s="27" t="str">
        <f t="shared" si="289"/>
        <v>NO</v>
      </c>
      <c r="O878" s="27" t="str">
        <f t="shared" si="289"/>
        <v>NO</v>
      </c>
      <c r="P878" s="27" t="str">
        <f t="shared" si="289"/>
        <v>NO</v>
      </c>
      <c r="Q878" s="27" t="str">
        <f t="shared" si="289"/>
        <v>NO</v>
      </c>
      <c r="R878" s="27" t="str">
        <f t="shared" si="289"/>
        <v>NO</v>
      </c>
      <c r="S878" s="27" t="str">
        <f t="shared" si="289"/>
        <v>NO</v>
      </c>
      <c r="T878" s="27" t="str">
        <f t="shared" si="289"/>
        <v>NO</v>
      </c>
      <c r="U878" s="27" t="str">
        <f t="shared" si="289"/>
        <v>NO</v>
      </c>
      <c r="V878" s="27" t="str">
        <f t="shared" si="289"/>
        <v>NO</v>
      </c>
      <c r="W878" s="27" t="str">
        <f t="shared" si="289"/>
        <v>NO</v>
      </c>
      <c r="X878" s="27" t="str">
        <f t="shared" si="289"/>
        <v>NO</v>
      </c>
      <c r="Y878" s="27" t="str">
        <f t="shared" si="289"/>
        <v>NO</v>
      </c>
      <c r="Z878" s="27" t="str">
        <f t="shared" si="289"/>
        <v>NO</v>
      </c>
      <c r="AA878" s="27" t="str">
        <f t="shared" si="289"/>
        <v>NO</v>
      </c>
      <c r="AB878" s="27" t="str">
        <f t="shared" si="289"/>
        <v>NO</v>
      </c>
      <c r="AC878" s="27" t="str">
        <f t="shared" si="289"/>
        <v>NO</v>
      </c>
      <c r="AD878" s="27" t="str">
        <f t="shared" si="289"/>
        <v>NO</v>
      </c>
      <c r="AE878" s="27" t="str">
        <f t="shared" si="289"/>
        <v>NO</v>
      </c>
      <c r="AF878" s="27" t="str">
        <f t="shared" si="289"/>
        <v>NO</v>
      </c>
      <c r="AG878" s="27" t="str">
        <f t="shared" si="289"/>
        <v>NO</v>
      </c>
      <c r="AH878" s="27" t="str">
        <f t="shared" si="289"/>
        <v>NO</v>
      </c>
      <c r="AI878" s="27" t="str">
        <f t="shared" si="289"/>
        <v>NO</v>
      </c>
      <c r="AJ878" s="27" t="str">
        <f t="shared" si="289"/>
        <v>NO</v>
      </c>
      <c r="AK878" s="27" t="str">
        <f t="shared" si="289"/>
        <v>NO</v>
      </c>
      <c r="AL878" s="27" t="str">
        <f t="shared" si="289"/>
        <v>NO</v>
      </c>
      <c r="AM878" s="27" t="str">
        <f t="shared" si="289"/>
        <v>NO</v>
      </c>
      <c r="AN878" s="27" t="str">
        <f t="shared" si="289"/>
        <v>NO</v>
      </c>
      <c r="AO878" s="27" t="str">
        <f t="shared" si="289"/>
        <v>NO</v>
      </c>
      <c r="AP878" s="27" t="str">
        <f t="shared" si="289"/>
        <v>NO</v>
      </c>
      <c r="AQ878" s="27" t="str">
        <f t="shared" si="289"/>
        <v>NO</v>
      </c>
      <c r="AR878" s="27" t="str">
        <f t="shared" si="289"/>
        <v>NO</v>
      </c>
      <c r="AS878" s="27" t="str">
        <f t="shared" si="289"/>
        <v>NO</v>
      </c>
      <c r="AT878" s="27" t="str">
        <f t="shared" si="289"/>
        <v>NO</v>
      </c>
      <c r="AU878" s="27" t="str">
        <f t="shared" si="289"/>
        <v>NO</v>
      </c>
      <c r="AV878" s="27" t="str">
        <f t="shared" si="289"/>
        <v>NO</v>
      </c>
      <c r="AW878" s="27" t="str">
        <f t="shared" si="289"/>
        <v>NO</v>
      </c>
      <c r="AY878" s="79"/>
      <c r="AZ878" s="79"/>
    </row>
    <row r="879" spans="1:52" x14ac:dyDescent="0.3">
      <c r="A879" s="95" t="str">
        <f t="shared" si="270"/>
        <v>BD Leaching</v>
      </c>
      <c r="B879" s="95" t="s">
        <v>1228</v>
      </c>
      <c r="C879" s="95" t="s">
        <v>1190</v>
      </c>
      <c r="D879" t="s">
        <v>369</v>
      </c>
      <c r="E879" t="s">
        <v>61</v>
      </c>
      <c r="F879" t="s">
        <v>63</v>
      </c>
      <c r="G879" t="s">
        <v>1209</v>
      </c>
      <c r="H879" t="s">
        <v>1210</v>
      </c>
      <c r="I879" t="s">
        <v>139</v>
      </c>
      <c r="J879" t="s">
        <v>287</v>
      </c>
      <c r="K879" s="27">
        <f t="shared" ref="K879:AW879" si="290">K1527</f>
        <v>1.9333864620707719E-6</v>
      </c>
      <c r="L879" s="27">
        <f t="shared" si="290"/>
        <v>1.9333864620707719E-6</v>
      </c>
      <c r="M879" s="27">
        <f t="shared" si="290"/>
        <v>1.9333864620707719E-6</v>
      </c>
      <c r="N879" s="27">
        <f t="shared" si="290"/>
        <v>1.9333864620707719E-6</v>
      </c>
      <c r="O879" s="27">
        <f t="shared" si="290"/>
        <v>1.9333864620707719E-6</v>
      </c>
      <c r="P879" s="27">
        <f t="shared" si="290"/>
        <v>1.9333864620707719E-6</v>
      </c>
      <c r="Q879" s="27">
        <f t="shared" si="290"/>
        <v>1.9333864620707719E-6</v>
      </c>
      <c r="R879" s="27">
        <f t="shared" si="290"/>
        <v>1.9333864620707719E-6</v>
      </c>
      <c r="S879" s="27">
        <f t="shared" si="290"/>
        <v>1.9333864620707719E-6</v>
      </c>
      <c r="T879" s="27">
        <f t="shared" si="290"/>
        <v>1.9333864620707719E-6</v>
      </c>
      <c r="U879" s="27">
        <f t="shared" si="290"/>
        <v>1.9333864620707719E-6</v>
      </c>
      <c r="V879" s="27">
        <f t="shared" si="290"/>
        <v>1.9333864620707719E-6</v>
      </c>
      <c r="W879" s="27">
        <f t="shared" si="290"/>
        <v>1.9333864620707719E-6</v>
      </c>
      <c r="X879" s="27">
        <f t="shared" si="290"/>
        <v>1.9333864620707719E-6</v>
      </c>
      <c r="Y879" s="27">
        <f t="shared" si="290"/>
        <v>1.9333864620707719E-6</v>
      </c>
      <c r="Z879" s="27">
        <f t="shared" si="290"/>
        <v>1.9333864620707719E-6</v>
      </c>
      <c r="AA879" s="27">
        <f t="shared" si="290"/>
        <v>1.9333864620707719E-6</v>
      </c>
      <c r="AB879" s="27">
        <f t="shared" si="290"/>
        <v>1.9333864620707719E-6</v>
      </c>
      <c r="AC879" s="27">
        <f t="shared" si="290"/>
        <v>1.9333864620707719E-6</v>
      </c>
      <c r="AD879" s="27">
        <f t="shared" si="290"/>
        <v>1.9333864620707719E-6</v>
      </c>
      <c r="AE879" s="27">
        <f t="shared" si="290"/>
        <v>1.9333864620707719E-6</v>
      </c>
      <c r="AF879" s="27">
        <f t="shared" si="290"/>
        <v>1.9333864620707719E-6</v>
      </c>
      <c r="AG879" s="27">
        <f t="shared" si="290"/>
        <v>1.9333864620707719E-6</v>
      </c>
      <c r="AH879" s="27">
        <f t="shared" si="290"/>
        <v>1.9333864620707719E-6</v>
      </c>
      <c r="AI879" s="27">
        <f t="shared" si="290"/>
        <v>1.9333864620707719E-6</v>
      </c>
      <c r="AJ879" s="27">
        <f t="shared" si="290"/>
        <v>1.9333864620707719E-6</v>
      </c>
      <c r="AK879" s="27">
        <f t="shared" si="290"/>
        <v>1.9333864620707719E-6</v>
      </c>
      <c r="AL879" s="27">
        <f t="shared" si="290"/>
        <v>1.9333864620707719E-6</v>
      </c>
      <c r="AM879" s="27">
        <f t="shared" si="290"/>
        <v>1.9333864620707719E-6</v>
      </c>
      <c r="AN879" s="27">
        <f t="shared" si="290"/>
        <v>1.9333864620707719E-6</v>
      </c>
      <c r="AO879" s="27">
        <f t="shared" si="290"/>
        <v>1.9333864620707719E-6</v>
      </c>
      <c r="AP879" s="27">
        <f t="shared" si="290"/>
        <v>1.9333864620707719E-6</v>
      </c>
      <c r="AQ879" s="27">
        <f t="shared" si="290"/>
        <v>1.9333864620707719E-6</v>
      </c>
      <c r="AR879" s="27">
        <f t="shared" si="290"/>
        <v>1.9333864620707719E-6</v>
      </c>
      <c r="AS879" s="27">
        <f t="shared" si="290"/>
        <v>1.9333864620707719E-6</v>
      </c>
      <c r="AT879" s="27">
        <f t="shared" si="290"/>
        <v>1.9333864620707719E-6</v>
      </c>
      <c r="AU879" s="27">
        <f t="shared" si="290"/>
        <v>1.9333864620707719E-6</v>
      </c>
      <c r="AV879" s="27">
        <f t="shared" si="290"/>
        <v>1.9333864620707719E-6</v>
      </c>
      <c r="AW879" s="27">
        <f t="shared" si="290"/>
        <v>1.9333864620707719E-6</v>
      </c>
      <c r="AY879" s="79"/>
      <c r="AZ879" s="79"/>
    </row>
    <row r="880" spans="1:52" x14ac:dyDescent="0.3">
      <c r="A880" s="95" t="str">
        <f t="shared" si="270"/>
        <v>BD Leaching</v>
      </c>
      <c r="B880" s="95" t="s">
        <v>1228</v>
      </c>
      <c r="C880" s="95" t="s">
        <v>1190</v>
      </c>
      <c r="D880" t="s">
        <v>369</v>
      </c>
      <c r="E880" t="s">
        <v>61</v>
      </c>
      <c r="F880" t="s">
        <v>63</v>
      </c>
      <c r="G880" t="s">
        <v>1211</v>
      </c>
      <c r="H880" t="s">
        <v>1212</v>
      </c>
      <c r="I880" t="s">
        <v>139</v>
      </c>
      <c r="J880" t="s">
        <v>287</v>
      </c>
      <c r="K880" s="27">
        <f t="shared" ref="K880:AW880" si="291">K1528</f>
        <v>2.1082459751876198E-3</v>
      </c>
      <c r="L880" s="27">
        <f t="shared" si="291"/>
        <v>2.1082459751876198E-3</v>
      </c>
      <c r="M880" s="27">
        <f t="shared" si="291"/>
        <v>2.1082459751876198E-3</v>
      </c>
      <c r="N880" s="27">
        <f t="shared" si="291"/>
        <v>2.1082459751876198E-3</v>
      </c>
      <c r="O880" s="27">
        <f t="shared" si="291"/>
        <v>2.1082459751876198E-3</v>
      </c>
      <c r="P880" s="27">
        <f t="shared" si="291"/>
        <v>2.1082459751876198E-3</v>
      </c>
      <c r="Q880" s="27">
        <f t="shared" si="291"/>
        <v>2.1082459751876198E-3</v>
      </c>
      <c r="R880" s="27">
        <f t="shared" si="291"/>
        <v>2.1082459751876198E-3</v>
      </c>
      <c r="S880" s="27">
        <f t="shared" si="291"/>
        <v>2.1082459751876198E-3</v>
      </c>
      <c r="T880" s="27">
        <f t="shared" si="291"/>
        <v>2.1082459751876198E-3</v>
      </c>
      <c r="U880" s="27">
        <f t="shared" si="291"/>
        <v>2.1082459751876198E-3</v>
      </c>
      <c r="V880" s="27">
        <f t="shared" si="291"/>
        <v>2.1082459751876198E-3</v>
      </c>
      <c r="W880" s="27">
        <f t="shared" si="291"/>
        <v>2.1082459751876198E-3</v>
      </c>
      <c r="X880" s="27">
        <f t="shared" si="291"/>
        <v>2.1082459751876198E-3</v>
      </c>
      <c r="Y880" s="27">
        <f t="shared" si="291"/>
        <v>2.1082459751876198E-3</v>
      </c>
      <c r="Z880" s="27">
        <f t="shared" si="291"/>
        <v>2.1082459751876198E-3</v>
      </c>
      <c r="AA880" s="27">
        <f t="shared" si="291"/>
        <v>2.1082459751876198E-3</v>
      </c>
      <c r="AB880" s="27">
        <f t="shared" si="291"/>
        <v>2.1082459751876198E-3</v>
      </c>
      <c r="AC880" s="27">
        <f t="shared" si="291"/>
        <v>2.1082459751876198E-3</v>
      </c>
      <c r="AD880" s="27">
        <f t="shared" si="291"/>
        <v>2.1082459751876198E-3</v>
      </c>
      <c r="AE880" s="27">
        <f t="shared" si="291"/>
        <v>2.1082459751876198E-3</v>
      </c>
      <c r="AF880" s="27">
        <f t="shared" si="291"/>
        <v>2.1082459751876198E-3</v>
      </c>
      <c r="AG880" s="27">
        <f t="shared" si="291"/>
        <v>2.1082459751876198E-3</v>
      </c>
      <c r="AH880" s="27">
        <f t="shared" si="291"/>
        <v>2.1082459751876198E-3</v>
      </c>
      <c r="AI880" s="27">
        <f t="shared" si="291"/>
        <v>2.1082459751876198E-3</v>
      </c>
      <c r="AJ880" s="27">
        <f t="shared" si="291"/>
        <v>2.1082459751876198E-3</v>
      </c>
      <c r="AK880" s="27">
        <f t="shared" si="291"/>
        <v>2.1082459751876198E-3</v>
      </c>
      <c r="AL880" s="27">
        <f t="shared" si="291"/>
        <v>2.1082459751876198E-3</v>
      </c>
      <c r="AM880" s="27">
        <f t="shared" si="291"/>
        <v>2.1082459751876198E-3</v>
      </c>
      <c r="AN880" s="27">
        <f t="shared" si="291"/>
        <v>2.1082459751876198E-3</v>
      </c>
      <c r="AO880" s="27">
        <f t="shared" si="291"/>
        <v>2.1082459751876198E-3</v>
      </c>
      <c r="AP880" s="27">
        <f t="shared" si="291"/>
        <v>2.1082459751876198E-3</v>
      </c>
      <c r="AQ880" s="27">
        <f t="shared" si="291"/>
        <v>2.1082459751876198E-3</v>
      </c>
      <c r="AR880" s="27">
        <f t="shared" si="291"/>
        <v>2.1082459751876198E-3</v>
      </c>
      <c r="AS880" s="27">
        <f t="shared" si="291"/>
        <v>2.1082459751876198E-3</v>
      </c>
      <c r="AT880" s="27">
        <f t="shared" si="291"/>
        <v>2.1082459751876198E-3</v>
      </c>
      <c r="AU880" s="27">
        <f t="shared" si="291"/>
        <v>2.1082459751876198E-3</v>
      </c>
      <c r="AV880" s="27">
        <f t="shared" si="291"/>
        <v>2.1082459751876198E-3</v>
      </c>
      <c r="AW880" s="27">
        <f t="shared" si="291"/>
        <v>2.1082459751876198E-3</v>
      </c>
      <c r="AY880" s="79"/>
      <c r="AZ880" s="79"/>
    </row>
    <row r="881" spans="1:52" x14ac:dyDescent="0.3">
      <c r="A881" s="95" t="str">
        <f t="shared" si="270"/>
        <v>BD Leaching</v>
      </c>
      <c r="B881" s="95" t="s">
        <v>1228</v>
      </c>
      <c r="C881" s="95" t="s">
        <v>1190</v>
      </c>
      <c r="D881" t="s">
        <v>369</v>
      </c>
      <c r="E881" t="s">
        <v>61</v>
      </c>
      <c r="F881" t="s">
        <v>63</v>
      </c>
      <c r="G881" t="s">
        <v>1213</v>
      </c>
      <c r="H881" t="s">
        <v>1214</v>
      </c>
      <c r="I881" t="s">
        <v>139</v>
      </c>
      <c r="J881" t="s">
        <v>287</v>
      </c>
      <c r="K881" s="27" t="str">
        <f t="shared" ref="K881:AW881" si="292">K1529</f>
        <v>NO</v>
      </c>
      <c r="L881" s="27" t="str">
        <f t="shared" si="292"/>
        <v>NO</v>
      </c>
      <c r="M881" s="27" t="str">
        <f t="shared" si="292"/>
        <v>NO</v>
      </c>
      <c r="N881" s="27" t="str">
        <f t="shared" si="292"/>
        <v>NO</v>
      </c>
      <c r="O881" s="27" t="str">
        <f t="shared" si="292"/>
        <v>NO</v>
      </c>
      <c r="P881" s="27" t="str">
        <f t="shared" si="292"/>
        <v>NO</v>
      </c>
      <c r="Q881" s="27" t="str">
        <f t="shared" si="292"/>
        <v>NO</v>
      </c>
      <c r="R881" s="27" t="str">
        <f t="shared" si="292"/>
        <v>NO</v>
      </c>
      <c r="S881" s="27" t="str">
        <f t="shared" si="292"/>
        <v>NO</v>
      </c>
      <c r="T881" s="27" t="str">
        <f t="shared" si="292"/>
        <v>NO</v>
      </c>
      <c r="U881" s="27" t="str">
        <f t="shared" si="292"/>
        <v>NO</v>
      </c>
      <c r="V881" s="27" t="str">
        <f t="shared" si="292"/>
        <v>NO</v>
      </c>
      <c r="W881" s="27" t="str">
        <f t="shared" si="292"/>
        <v>NO</v>
      </c>
      <c r="X881" s="27" t="str">
        <f t="shared" si="292"/>
        <v>NO</v>
      </c>
      <c r="Y881" s="27" t="str">
        <f t="shared" si="292"/>
        <v>NO</v>
      </c>
      <c r="Z881" s="27" t="str">
        <f t="shared" si="292"/>
        <v>NO</v>
      </c>
      <c r="AA881" s="27" t="str">
        <f t="shared" si="292"/>
        <v>NO</v>
      </c>
      <c r="AB881" s="27" t="str">
        <f t="shared" si="292"/>
        <v>NO</v>
      </c>
      <c r="AC881" s="27" t="str">
        <f t="shared" si="292"/>
        <v>NO</v>
      </c>
      <c r="AD881" s="27" t="str">
        <f t="shared" si="292"/>
        <v>NO</v>
      </c>
      <c r="AE881" s="27" t="str">
        <f t="shared" si="292"/>
        <v>NO</v>
      </c>
      <c r="AF881" s="27" t="str">
        <f t="shared" si="292"/>
        <v>NO</v>
      </c>
      <c r="AG881" s="27" t="str">
        <f t="shared" si="292"/>
        <v>NO</v>
      </c>
      <c r="AH881" s="27" t="str">
        <f t="shared" si="292"/>
        <v>NO</v>
      </c>
      <c r="AI881" s="27" t="str">
        <f t="shared" si="292"/>
        <v>NO</v>
      </c>
      <c r="AJ881" s="27" t="str">
        <f t="shared" si="292"/>
        <v>NO</v>
      </c>
      <c r="AK881" s="27" t="str">
        <f t="shared" si="292"/>
        <v>NO</v>
      </c>
      <c r="AL881" s="27" t="str">
        <f t="shared" si="292"/>
        <v>NO</v>
      </c>
      <c r="AM881" s="27" t="str">
        <f t="shared" si="292"/>
        <v>NO</v>
      </c>
      <c r="AN881" s="27" t="str">
        <f t="shared" si="292"/>
        <v>NO</v>
      </c>
      <c r="AO881" s="27" t="str">
        <f t="shared" si="292"/>
        <v>NO</v>
      </c>
      <c r="AP881" s="27" t="str">
        <f t="shared" si="292"/>
        <v>NO</v>
      </c>
      <c r="AQ881" s="27" t="str">
        <f t="shared" si="292"/>
        <v>NO</v>
      </c>
      <c r="AR881" s="27" t="str">
        <f t="shared" si="292"/>
        <v>NO</v>
      </c>
      <c r="AS881" s="27" t="str">
        <f t="shared" si="292"/>
        <v>NO</v>
      </c>
      <c r="AT881" s="27" t="str">
        <f t="shared" si="292"/>
        <v>NO</v>
      </c>
      <c r="AU881" s="27" t="str">
        <f t="shared" si="292"/>
        <v>NO</v>
      </c>
      <c r="AV881" s="27" t="str">
        <f t="shared" si="292"/>
        <v>NO</v>
      </c>
      <c r="AW881" s="27" t="str">
        <f t="shared" si="292"/>
        <v>NO</v>
      </c>
      <c r="AY881" s="79"/>
      <c r="AZ881" s="79"/>
    </row>
    <row r="882" spans="1:52" x14ac:dyDescent="0.3">
      <c r="A882" s="95"/>
      <c r="B882" s="95" t="s">
        <v>1228</v>
      </c>
      <c r="C882" s="95"/>
      <c r="D882" t="s">
        <v>369</v>
      </c>
      <c r="E882" t="s">
        <v>61</v>
      </c>
      <c r="F882" t="s">
        <v>63</v>
      </c>
      <c r="G882" t="s">
        <v>1215</v>
      </c>
      <c r="H882" t="s">
        <v>1216</v>
      </c>
      <c r="I882" t="s">
        <v>139</v>
      </c>
      <c r="J882" t="s">
        <v>287</v>
      </c>
      <c r="K882" s="27">
        <f t="shared" ref="K882:AW882" si="293">K1530</f>
        <v>0.11026792439175388</v>
      </c>
      <c r="L882" s="27">
        <f t="shared" si="293"/>
        <v>0.11026792439175388</v>
      </c>
      <c r="M882" s="27">
        <f t="shared" si="293"/>
        <v>0.11026792439175388</v>
      </c>
      <c r="N882" s="27">
        <f t="shared" si="293"/>
        <v>0.11026792439175388</v>
      </c>
      <c r="O882" s="27">
        <f t="shared" si="293"/>
        <v>0.11026792439175388</v>
      </c>
      <c r="P882" s="27">
        <f t="shared" si="293"/>
        <v>0.11026792439175388</v>
      </c>
      <c r="Q882" s="27">
        <f t="shared" si="293"/>
        <v>0.11026792439175388</v>
      </c>
      <c r="R882" s="27">
        <f t="shared" si="293"/>
        <v>0.11026792439175388</v>
      </c>
      <c r="S882" s="27">
        <f t="shared" si="293"/>
        <v>0.11026792439175388</v>
      </c>
      <c r="T882" s="27">
        <f t="shared" si="293"/>
        <v>0.11026792439175388</v>
      </c>
      <c r="U882" s="27">
        <f t="shared" si="293"/>
        <v>0.11026792439175388</v>
      </c>
      <c r="V882" s="27">
        <f t="shared" si="293"/>
        <v>0.11026792439175388</v>
      </c>
      <c r="W882" s="27">
        <f t="shared" si="293"/>
        <v>0.11026792439175388</v>
      </c>
      <c r="X882" s="27">
        <f t="shared" si="293"/>
        <v>0.11026792439175388</v>
      </c>
      <c r="Y882" s="27">
        <f t="shared" si="293"/>
        <v>0.11026792439175388</v>
      </c>
      <c r="Z882" s="27">
        <f t="shared" si="293"/>
        <v>0.11026792439175388</v>
      </c>
      <c r="AA882" s="27">
        <f t="shared" si="293"/>
        <v>0.11026792439175388</v>
      </c>
      <c r="AB882" s="27">
        <f t="shared" si="293"/>
        <v>0.11026792439175388</v>
      </c>
      <c r="AC882" s="27">
        <f t="shared" si="293"/>
        <v>0.11026792439175388</v>
      </c>
      <c r="AD882" s="27">
        <f t="shared" si="293"/>
        <v>0.11026792439175388</v>
      </c>
      <c r="AE882" s="27">
        <f t="shared" si="293"/>
        <v>0.11026792439175388</v>
      </c>
      <c r="AF882" s="27">
        <f t="shared" si="293"/>
        <v>0.11026792439175388</v>
      </c>
      <c r="AG882" s="27">
        <f t="shared" si="293"/>
        <v>0.11026792439175388</v>
      </c>
      <c r="AH882" s="27">
        <f t="shared" si="293"/>
        <v>0.11026792439175388</v>
      </c>
      <c r="AI882" s="27">
        <f t="shared" si="293"/>
        <v>0.11026792439175388</v>
      </c>
      <c r="AJ882" s="27">
        <f t="shared" si="293"/>
        <v>0.11026792439175388</v>
      </c>
      <c r="AK882" s="27">
        <f t="shared" si="293"/>
        <v>0.11026792439175388</v>
      </c>
      <c r="AL882" s="27">
        <f t="shared" si="293"/>
        <v>0.11026792439175388</v>
      </c>
      <c r="AM882" s="27">
        <f t="shared" si="293"/>
        <v>0.11026792439175388</v>
      </c>
      <c r="AN882" s="27">
        <f t="shared" si="293"/>
        <v>0.11026792439175388</v>
      </c>
      <c r="AO882" s="27">
        <f t="shared" si="293"/>
        <v>0.11026792439175388</v>
      </c>
      <c r="AP882" s="27">
        <f t="shared" si="293"/>
        <v>0.11026792439175388</v>
      </c>
      <c r="AQ882" s="27">
        <f t="shared" si="293"/>
        <v>0.11026792439175388</v>
      </c>
      <c r="AR882" s="27">
        <f t="shared" si="293"/>
        <v>0.11026792439175388</v>
      </c>
      <c r="AS882" s="27">
        <f t="shared" si="293"/>
        <v>0.11026792439175388</v>
      </c>
      <c r="AT882" s="27">
        <f t="shared" si="293"/>
        <v>0.11026792439175388</v>
      </c>
      <c r="AU882" s="27">
        <f t="shared" si="293"/>
        <v>0.11026792439175388</v>
      </c>
      <c r="AV882" s="27">
        <f t="shared" si="293"/>
        <v>0.11026792439175388</v>
      </c>
      <c r="AW882" s="27">
        <f t="shared" si="293"/>
        <v>0.11026792439175388</v>
      </c>
      <c r="AY882" s="79"/>
      <c r="AZ882" s="79"/>
    </row>
    <row r="883" spans="1:52" x14ac:dyDescent="0.3">
      <c r="A883" s="95" t="str">
        <f t="shared" si="270"/>
        <v>BD MM Volatilisation</v>
      </c>
      <c r="B883" s="95" t="s">
        <v>1228</v>
      </c>
      <c r="C883" s="95" t="s">
        <v>1332</v>
      </c>
      <c r="D883" t="s">
        <v>369</v>
      </c>
      <c r="E883" t="s">
        <v>64</v>
      </c>
      <c r="F883" t="s">
        <v>62</v>
      </c>
      <c r="G883" t="s">
        <v>1152</v>
      </c>
      <c r="H883" t="s">
        <v>1290</v>
      </c>
      <c r="I883" t="s">
        <v>139</v>
      </c>
      <c r="J883" t="s">
        <v>287</v>
      </c>
      <c r="K883" s="27">
        <f t="shared" ref="K883:AW883" si="294">K1531</f>
        <v>0.39609736661915962</v>
      </c>
      <c r="L883" s="27">
        <f t="shared" si="294"/>
        <v>0.39831175345583031</v>
      </c>
      <c r="M883" s="27">
        <f t="shared" si="294"/>
        <v>0.40145358914715529</v>
      </c>
      <c r="N883" s="27">
        <f t="shared" si="294"/>
        <v>0.40347255325329029</v>
      </c>
      <c r="O883" s="27">
        <f t="shared" si="294"/>
        <v>0.40481416413578264</v>
      </c>
      <c r="P883" s="27">
        <f t="shared" si="294"/>
        <v>0.40546521734783814</v>
      </c>
      <c r="Q883" s="27">
        <f t="shared" si="294"/>
        <v>0.40690363619044922</v>
      </c>
      <c r="R883" s="27">
        <f t="shared" si="294"/>
        <v>0.40855374420631185</v>
      </c>
      <c r="S883" s="27">
        <f t="shared" si="294"/>
        <v>0.39627278224994505</v>
      </c>
      <c r="T883" s="27">
        <f t="shared" si="294"/>
        <v>0.40043963770604657</v>
      </c>
      <c r="U883" s="27">
        <f t="shared" si="294"/>
        <v>0.40653881152865828</v>
      </c>
      <c r="V883" s="27">
        <f t="shared" si="294"/>
        <v>0.4097001600416656</v>
      </c>
      <c r="W883" s="27">
        <f t="shared" si="294"/>
        <v>0.41331316056610856</v>
      </c>
      <c r="X883" s="27">
        <f t="shared" si="294"/>
        <v>0.41749483013247579</v>
      </c>
      <c r="Y883" s="27">
        <f t="shared" si="294"/>
        <v>0.42176510375665716</v>
      </c>
      <c r="Z883" s="27">
        <f t="shared" si="294"/>
        <v>0.42649174593727851</v>
      </c>
      <c r="AA883" s="27">
        <f t="shared" si="294"/>
        <v>0.43136480656999721</v>
      </c>
      <c r="AB883" s="27">
        <f t="shared" si="294"/>
        <v>0.43666405575288475</v>
      </c>
      <c r="AC883" s="27">
        <f t="shared" si="294"/>
        <v>0.44208284608865023</v>
      </c>
      <c r="AD883" s="27">
        <f t="shared" si="294"/>
        <v>0.44793692741043817</v>
      </c>
      <c r="AE883" s="27">
        <f t="shared" si="294"/>
        <v>0.45371177751541658</v>
      </c>
      <c r="AF883" s="27">
        <f t="shared" si="294"/>
        <v>0.45980708874384696</v>
      </c>
      <c r="AG883" s="27">
        <f t="shared" si="294"/>
        <v>0.4667018933762529</v>
      </c>
      <c r="AH883" s="27">
        <f t="shared" si="294"/>
        <v>0.47325726684756153</v>
      </c>
      <c r="AI883" s="27">
        <f t="shared" si="294"/>
        <v>0.47997976762000966</v>
      </c>
      <c r="AJ883" s="27">
        <f t="shared" si="294"/>
        <v>0.48716917791574549</v>
      </c>
      <c r="AK883" s="27">
        <f t="shared" si="294"/>
        <v>0.49390478893176154</v>
      </c>
      <c r="AL883" s="27">
        <f t="shared" si="294"/>
        <v>0.50060384763887944</v>
      </c>
      <c r="AM883" s="27">
        <f t="shared" si="294"/>
        <v>0.50728498742813199</v>
      </c>
      <c r="AN883" s="27">
        <f t="shared" si="294"/>
        <v>0.51435343301423675</v>
      </c>
      <c r="AO883" s="27">
        <f t="shared" si="294"/>
        <v>0.52113757148367401</v>
      </c>
      <c r="AP883" s="27">
        <f t="shared" si="294"/>
        <v>0.52818514749495915</v>
      </c>
      <c r="AQ883" s="27">
        <f t="shared" si="294"/>
        <v>0.5355283037572397</v>
      </c>
      <c r="AR883" s="27">
        <f t="shared" si="294"/>
        <v>0.5432187291547913</v>
      </c>
      <c r="AS883" s="27">
        <f t="shared" si="294"/>
        <v>0.55104518804876201</v>
      </c>
      <c r="AT883" s="27">
        <f t="shared" si="294"/>
        <v>0.55290077890622136</v>
      </c>
      <c r="AU883" s="27">
        <f t="shared" si="294"/>
        <v>0.55422139724319897</v>
      </c>
      <c r="AV883" s="27">
        <f t="shared" si="294"/>
        <v>0.55476247870419659</v>
      </c>
      <c r="AW883" s="27">
        <f t="shared" si="294"/>
        <v>0.55508919829714432</v>
      </c>
      <c r="AY883" s="79"/>
      <c r="AZ883" s="79"/>
    </row>
    <row r="884" spans="1:52" x14ac:dyDescent="0.3">
      <c r="A884" s="95" t="str">
        <f t="shared" si="270"/>
        <v>BD MM Volatilisation</v>
      </c>
      <c r="B884" s="95" t="s">
        <v>1228</v>
      </c>
      <c r="C884" s="95" t="s">
        <v>1332</v>
      </c>
      <c r="D884" t="s">
        <v>369</v>
      </c>
      <c r="E884" t="s">
        <v>64</v>
      </c>
      <c r="F884" t="s">
        <v>62</v>
      </c>
      <c r="G884" t="s">
        <v>1154</v>
      </c>
      <c r="H884" t="s">
        <v>1291</v>
      </c>
      <c r="I884" t="s">
        <v>139</v>
      </c>
      <c r="J884" t="s">
        <v>287</v>
      </c>
      <c r="K884" s="27">
        <f t="shared" ref="K884:AW884" si="295">K1532</f>
        <v>3.1249813656142676E-2</v>
      </c>
      <c r="L884" s="27">
        <f t="shared" si="295"/>
        <v>3.1424516095088978E-2</v>
      </c>
      <c r="M884" s="27">
        <f t="shared" si="295"/>
        <v>3.1672388936885787E-2</v>
      </c>
      <c r="N884" s="27">
        <f t="shared" si="295"/>
        <v>3.1831673641638247E-2</v>
      </c>
      <c r="O884" s="27">
        <f t="shared" si="295"/>
        <v>3.1937519056453256E-2</v>
      </c>
      <c r="P884" s="27">
        <f t="shared" si="295"/>
        <v>3.198888342610464E-2</v>
      </c>
      <c r="Q884" s="27">
        <f t="shared" si="295"/>
        <v>3.2102366434524382E-2</v>
      </c>
      <c r="R884" s="27">
        <f t="shared" si="295"/>
        <v>3.2232550506305392E-2</v>
      </c>
      <c r="S884" s="27">
        <f t="shared" si="295"/>
        <v>3.1263652944752973E-2</v>
      </c>
      <c r="T884" s="27">
        <f t="shared" si="295"/>
        <v>3.1592393975390647E-2</v>
      </c>
      <c r="U884" s="27">
        <f t="shared" si="295"/>
        <v>3.2073583858170898E-2</v>
      </c>
      <c r="V884" s="27">
        <f t="shared" si="295"/>
        <v>3.2322996149842582E-2</v>
      </c>
      <c r="W884" s="27">
        <f t="shared" si="295"/>
        <v>3.2608041198468073E-2</v>
      </c>
      <c r="X884" s="27">
        <f t="shared" si="295"/>
        <v>3.2937950977560811E-2</v>
      </c>
      <c r="Y884" s="27">
        <f t="shared" si="295"/>
        <v>3.3274851109352674E-2</v>
      </c>
      <c r="Z884" s="27">
        <f t="shared" si="295"/>
        <v>3.3647756106486112E-2</v>
      </c>
      <c r="AA884" s="27">
        <f t="shared" si="295"/>
        <v>3.4032212680907031E-2</v>
      </c>
      <c r="AB884" s="27">
        <f t="shared" si="295"/>
        <v>3.4450293091024778E-2</v>
      </c>
      <c r="AC884" s="27">
        <f t="shared" si="295"/>
        <v>3.4877804613456062E-2</v>
      </c>
      <c r="AD884" s="27">
        <f t="shared" si="295"/>
        <v>3.5339658101640622E-2</v>
      </c>
      <c r="AE884" s="27">
        <f t="shared" si="295"/>
        <v>3.5795260700600191E-2</v>
      </c>
      <c r="AF884" s="27">
        <f t="shared" si="295"/>
        <v>3.6276145846821803E-2</v>
      </c>
      <c r="AG884" s="27">
        <f t="shared" si="295"/>
        <v>3.682010644367513E-2</v>
      </c>
      <c r="AH884" s="27">
        <f t="shared" si="295"/>
        <v>3.7337287865943425E-2</v>
      </c>
      <c r="AI884" s="27">
        <f t="shared" si="295"/>
        <v>3.7867654675082699E-2</v>
      </c>
      <c r="AJ884" s="27">
        <f t="shared" si="295"/>
        <v>3.843485797147652E-2</v>
      </c>
      <c r="AK884" s="27">
        <f t="shared" si="295"/>
        <v>3.8966259103746965E-2</v>
      </c>
      <c r="AL884" s="27">
        <f t="shared" si="295"/>
        <v>3.9494776468191543E-2</v>
      </c>
      <c r="AM884" s="27">
        <f t="shared" si="295"/>
        <v>4.0021880132643621E-2</v>
      </c>
      <c r="AN884" s="27">
        <f t="shared" si="295"/>
        <v>4.0579540006249255E-2</v>
      </c>
      <c r="AO884" s="27">
        <f t="shared" si="295"/>
        <v>4.1114769676663131E-2</v>
      </c>
      <c r="AP884" s="27">
        <f t="shared" si="295"/>
        <v>4.167078306034188E-2</v>
      </c>
      <c r="AQ884" s="27">
        <f t="shared" si="295"/>
        <v>4.2250116032946157E-2</v>
      </c>
      <c r="AR884" s="27">
        <f t="shared" si="295"/>
        <v>4.2856846551407354E-2</v>
      </c>
      <c r="AS884" s="27">
        <f t="shared" si="295"/>
        <v>4.3474309333630792E-2</v>
      </c>
      <c r="AT884" s="27">
        <f t="shared" si="295"/>
        <v>4.3620704824751035E-2</v>
      </c>
      <c r="AU884" s="27">
        <f t="shared" si="295"/>
        <v>4.3724894047955633E-2</v>
      </c>
      <c r="AV884" s="27">
        <f t="shared" si="295"/>
        <v>4.376758227629024E-2</v>
      </c>
      <c r="AW884" s="27">
        <f t="shared" si="295"/>
        <v>4.3793358580951298E-2</v>
      </c>
      <c r="AY884" s="79"/>
      <c r="AZ884" s="79"/>
    </row>
    <row r="885" spans="1:52" x14ac:dyDescent="0.3">
      <c r="A885" s="95" t="str">
        <f t="shared" si="270"/>
        <v>BD MM Volatilisation</v>
      </c>
      <c r="B885" s="95" t="s">
        <v>1228</v>
      </c>
      <c r="C885" s="95" t="s">
        <v>1332</v>
      </c>
      <c r="D885" t="s">
        <v>369</v>
      </c>
      <c r="E885" t="s">
        <v>64</v>
      </c>
      <c r="F885" t="s">
        <v>62</v>
      </c>
      <c r="G885" t="s">
        <v>1156</v>
      </c>
      <c r="H885" t="s">
        <v>1292</v>
      </c>
      <c r="I885" t="s">
        <v>139</v>
      </c>
      <c r="J885" t="s">
        <v>287</v>
      </c>
      <c r="K885" s="27">
        <f t="shared" ref="K885:AW885" si="296">K1533</f>
        <v>2.8967336997006343E-4</v>
      </c>
      <c r="L885" s="27">
        <f t="shared" si="296"/>
        <v>2.9129279224209415E-4</v>
      </c>
      <c r="M885" s="27">
        <f t="shared" si="296"/>
        <v>2.9359047510821973E-4</v>
      </c>
      <c r="N885" s="27">
        <f t="shared" si="296"/>
        <v>2.9506698110336069E-4</v>
      </c>
      <c r="O885" s="27">
        <f t="shared" si="296"/>
        <v>2.9604812609010248E-4</v>
      </c>
      <c r="P885" s="27">
        <f t="shared" si="296"/>
        <v>2.9652425341095714E-4</v>
      </c>
      <c r="Q885" s="27">
        <f t="shared" si="296"/>
        <v>2.9757619585915883E-4</v>
      </c>
      <c r="R885" s="27">
        <f t="shared" si="296"/>
        <v>2.9878295053629647E-4</v>
      </c>
      <c r="S885" s="27">
        <f t="shared" si="296"/>
        <v>2.8980165468285715E-4</v>
      </c>
      <c r="T885" s="27">
        <f t="shared" si="296"/>
        <v>2.9284895356406268E-4</v>
      </c>
      <c r="U885" s="27">
        <f t="shared" si="296"/>
        <v>2.9730939279977176E-4</v>
      </c>
      <c r="V885" s="27">
        <f t="shared" si="296"/>
        <v>2.996213457552509E-4</v>
      </c>
      <c r="W885" s="27">
        <f t="shared" si="296"/>
        <v>3.0226360022553945E-4</v>
      </c>
      <c r="X885" s="27">
        <f t="shared" si="296"/>
        <v>3.0532173294106326E-4</v>
      </c>
      <c r="Y885" s="27">
        <f t="shared" si="296"/>
        <v>3.084446634517329E-4</v>
      </c>
      <c r="Z885" s="27">
        <f t="shared" si="296"/>
        <v>3.1190134477428172E-4</v>
      </c>
      <c r="AA885" s="27">
        <f t="shared" si="296"/>
        <v>3.1546510463362291E-4</v>
      </c>
      <c r="AB885" s="27">
        <f t="shared" si="296"/>
        <v>3.1934054410503462E-4</v>
      </c>
      <c r="AC885" s="27">
        <f t="shared" si="296"/>
        <v>3.2330340624451355E-4</v>
      </c>
      <c r="AD885" s="27">
        <f t="shared" si="296"/>
        <v>3.2758460477667038E-4</v>
      </c>
      <c r="AE885" s="27">
        <f t="shared" si="296"/>
        <v>3.3180786004660364E-4</v>
      </c>
      <c r="AF885" s="27">
        <f t="shared" si="296"/>
        <v>3.3626547449535976E-4</v>
      </c>
      <c r="AG885" s="27">
        <f t="shared" si="296"/>
        <v>3.4130777333769093E-4</v>
      </c>
      <c r="AH885" s="27">
        <f t="shared" si="296"/>
        <v>3.4610183985990577E-4</v>
      </c>
      <c r="AI885" s="27">
        <f t="shared" si="296"/>
        <v>3.5101812968531553E-4</v>
      </c>
      <c r="AJ885" s="27">
        <f t="shared" si="296"/>
        <v>3.5627587912767834E-4</v>
      </c>
      <c r="AK885" s="27">
        <f t="shared" si="296"/>
        <v>3.6120175671800533E-4</v>
      </c>
      <c r="AL885" s="27">
        <f t="shared" si="296"/>
        <v>3.661009029251144E-4</v>
      </c>
      <c r="AM885" s="27">
        <f t="shared" si="296"/>
        <v>3.7098694469437114E-4</v>
      </c>
      <c r="AN885" s="27">
        <f t="shared" si="296"/>
        <v>3.7615623039514106E-4</v>
      </c>
      <c r="AO885" s="27">
        <f t="shared" si="296"/>
        <v>3.8111759701456354E-4</v>
      </c>
      <c r="AP885" s="27">
        <f t="shared" si="296"/>
        <v>3.8627162040718048E-4</v>
      </c>
      <c r="AQ885" s="27">
        <f t="shared" si="296"/>
        <v>3.916418071339122E-4</v>
      </c>
      <c r="AR885" s="27">
        <f t="shared" si="296"/>
        <v>3.9726595823702738E-4</v>
      </c>
      <c r="AS885" s="27">
        <f t="shared" si="296"/>
        <v>4.0298959316573016E-4</v>
      </c>
      <c r="AT885" s="27">
        <f t="shared" si="296"/>
        <v>4.0434662126605264E-4</v>
      </c>
      <c r="AU885" s="27">
        <f t="shared" si="296"/>
        <v>4.0531241401388569E-4</v>
      </c>
      <c r="AV885" s="27">
        <f t="shared" si="296"/>
        <v>4.0570811694817522E-4</v>
      </c>
      <c r="AW885" s="27">
        <f t="shared" si="296"/>
        <v>4.0594705306212152E-4</v>
      </c>
      <c r="AY885" s="79"/>
      <c r="AZ885" s="79"/>
    </row>
    <row r="886" spans="1:52" x14ac:dyDescent="0.3">
      <c r="A886" s="95" t="str">
        <f t="shared" si="270"/>
        <v>BD MM Volatilisation</v>
      </c>
      <c r="B886" s="95" t="s">
        <v>1228</v>
      </c>
      <c r="C886" s="95" t="s">
        <v>1332</v>
      </c>
      <c r="D886" t="s">
        <v>369</v>
      </c>
      <c r="E886" t="s">
        <v>64</v>
      </c>
      <c r="F886" t="s">
        <v>62</v>
      </c>
      <c r="G886" t="s">
        <v>1158</v>
      </c>
      <c r="H886" t="s">
        <v>1293</v>
      </c>
      <c r="I886" t="s">
        <v>139</v>
      </c>
      <c r="J886" t="s">
        <v>287</v>
      </c>
      <c r="K886" s="27">
        <f t="shared" ref="K886:AW886" si="297">K1534</f>
        <v>3.2323215352203891E-3</v>
      </c>
      <c r="L886" s="27">
        <f t="shared" si="297"/>
        <v>3.2042886428129448E-3</v>
      </c>
      <c r="M886" s="27">
        <f t="shared" si="297"/>
        <v>3.193617369300608E-3</v>
      </c>
      <c r="N886" s="27">
        <f t="shared" si="297"/>
        <v>3.150970789688672E-3</v>
      </c>
      <c r="O886" s="27">
        <f t="shared" si="297"/>
        <v>3.0890682378804119E-3</v>
      </c>
      <c r="P886" s="27">
        <f t="shared" si="297"/>
        <v>3.0091897617382942E-3</v>
      </c>
      <c r="Q886" s="27">
        <f t="shared" si="297"/>
        <v>2.9461872714039495E-3</v>
      </c>
      <c r="R886" s="27">
        <f t="shared" si="297"/>
        <v>2.8865797531671877E-3</v>
      </c>
      <c r="S886" s="27">
        <f t="shared" si="297"/>
        <v>2.5393486840215836E-3</v>
      </c>
      <c r="T886" s="27">
        <f t="shared" si="297"/>
        <v>2.580595358897255E-3</v>
      </c>
      <c r="U886" s="27">
        <f t="shared" si="297"/>
        <v>2.657542332078646E-3</v>
      </c>
      <c r="V886" s="27">
        <f t="shared" si="297"/>
        <v>2.672909531392759E-3</v>
      </c>
      <c r="W886" s="27">
        <f t="shared" si="297"/>
        <v>2.69507345244463E-3</v>
      </c>
      <c r="X886" s="27">
        <f t="shared" si="297"/>
        <v>2.7259926112042248E-3</v>
      </c>
      <c r="Y886" s="27">
        <f t="shared" si="297"/>
        <v>2.7614582970453471E-3</v>
      </c>
      <c r="Z886" s="27">
        <f t="shared" si="297"/>
        <v>2.8030399515039583E-3</v>
      </c>
      <c r="AA886" s="27">
        <f t="shared" si="297"/>
        <v>2.8448133898556971E-3</v>
      </c>
      <c r="AB886" s="27">
        <f t="shared" si="297"/>
        <v>2.8917956180905236E-3</v>
      </c>
      <c r="AC886" s="27">
        <f t="shared" si="297"/>
        <v>2.9383115991341744E-3</v>
      </c>
      <c r="AD886" s="27">
        <f t="shared" si="297"/>
        <v>2.9686122408824826E-3</v>
      </c>
      <c r="AE886" s="27">
        <f t="shared" si="297"/>
        <v>2.9934911793624186E-3</v>
      </c>
      <c r="AF886" s="27">
        <f t="shared" si="297"/>
        <v>3.0197743682154753E-3</v>
      </c>
      <c r="AG886" s="27">
        <f t="shared" si="297"/>
        <v>3.0549409795984986E-3</v>
      </c>
      <c r="AH886" s="27">
        <f t="shared" si="297"/>
        <v>3.0802316239663852E-3</v>
      </c>
      <c r="AI886" s="27">
        <f t="shared" si="297"/>
        <v>3.1071852189437066E-3</v>
      </c>
      <c r="AJ886" s="27">
        <f t="shared" si="297"/>
        <v>3.1368555493036434E-3</v>
      </c>
      <c r="AK886" s="27">
        <f t="shared" si="297"/>
        <v>3.1553441150186925E-3</v>
      </c>
      <c r="AL886" s="27">
        <f t="shared" si="297"/>
        <v>3.1692145745473945E-3</v>
      </c>
      <c r="AM886" s="27">
        <f t="shared" si="297"/>
        <v>3.1788623674795236E-3</v>
      </c>
      <c r="AN886" s="27">
        <f t="shared" si="297"/>
        <v>3.2088548057950931E-3</v>
      </c>
      <c r="AO886" s="27">
        <f t="shared" si="297"/>
        <v>3.2316528557922693E-3</v>
      </c>
      <c r="AP886" s="27">
        <f t="shared" si="297"/>
        <v>3.2547386832550949E-3</v>
      </c>
      <c r="AQ886" s="27">
        <f t="shared" si="297"/>
        <v>3.2783763796135966E-3</v>
      </c>
      <c r="AR886" s="27">
        <f t="shared" si="297"/>
        <v>3.3030426066013221E-3</v>
      </c>
      <c r="AS886" s="27">
        <f t="shared" si="297"/>
        <v>3.3283682698185247E-3</v>
      </c>
      <c r="AT886" s="27">
        <f t="shared" si="297"/>
        <v>3.2784104491001818E-3</v>
      </c>
      <c r="AU886" s="27">
        <f t="shared" si="297"/>
        <v>3.2218166400979921E-3</v>
      </c>
      <c r="AV886" s="27">
        <f t="shared" si="297"/>
        <v>3.1562062621096833E-3</v>
      </c>
      <c r="AW886" s="27">
        <f t="shared" si="297"/>
        <v>3.0885397025865453E-3</v>
      </c>
      <c r="AY886" s="79"/>
      <c r="AZ886" s="79"/>
    </row>
    <row r="887" spans="1:52" x14ac:dyDescent="0.3">
      <c r="A887" s="95" t="str">
        <f t="shared" si="270"/>
        <v>BD MM Volatilisation</v>
      </c>
      <c r="B887" s="95" t="s">
        <v>1228</v>
      </c>
      <c r="C887" s="95" t="s">
        <v>1332</v>
      </c>
      <c r="D887" t="s">
        <v>369</v>
      </c>
      <c r="E887" t="s">
        <v>64</v>
      </c>
      <c r="F887" t="s">
        <v>62</v>
      </c>
      <c r="G887" t="s">
        <v>1160</v>
      </c>
      <c r="H887" t="s">
        <v>1294</v>
      </c>
      <c r="I887" t="s">
        <v>139</v>
      </c>
      <c r="J887" t="s">
        <v>287</v>
      </c>
      <c r="K887" s="27">
        <f t="shared" ref="K887:AW887" si="298">K1535</f>
        <v>1.6090517274103575E-2</v>
      </c>
      <c r="L887" s="27">
        <f t="shared" si="298"/>
        <v>1.5950969356419605E-2</v>
      </c>
      <c r="M887" s="27">
        <f t="shared" si="298"/>
        <v>1.5897847688628834E-2</v>
      </c>
      <c r="N887" s="27">
        <f t="shared" si="298"/>
        <v>1.5685552742581484E-2</v>
      </c>
      <c r="O887" s="27">
        <f t="shared" si="298"/>
        <v>1.5377401443792458E-2</v>
      </c>
      <c r="P887" s="27">
        <f t="shared" si="298"/>
        <v>1.4979765878707444E-2</v>
      </c>
      <c r="Q887" s="27">
        <f t="shared" si="298"/>
        <v>1.4666139078901097E-2</v>
      </c>
      <c r="R887" s="27">
        <f t="shared" si="298"/>
        <v>1.4369412471908495E-2</v>
      </c>
      <c r="S887" s="27">
        <f t="shared" si="298"/>
        <v>1.2640893989042949E-2</v>
      </c>
      <c r="T887" s="27">
        <f t="shared" si="298"/>
        <v>1.284622020036031E-2</v>
      </c>
      <c r="U887" s="27">
        <f t="shared" si="298"/>
        <v>1.322926272495888E-2</v>
      </c>
      <c r="V887" s="27">
        <f t="shared" si="298"/>
        <v>1.3305760741422912E-2</v>
      </c>
      <c r="W887" s="27">
        <f t="shared" si="298"/>
        <v>1.3416092882164809E-2</v>
      </c>
      <c r="X887" s="27">
        <f t="shared" si="298"/>
        <v>1.3570008652208428E-2</v>
      </c>
      <c r="Y887" s="27">
        <f t="shared" si="298"/>
        <v>1.3746557063140447E-2</v>
      </c>
      <c r="Z887" s="27">
        <f t="shared" si="298"/>
        <v>1.3953550804963992E-2</v>
      </c>
      <c r="AA887" s="27">
        <f t="shared" si="298"/>
        <v>1.4161499248234047E-2</v>
      </c>
      <c r="AB887" s="27">
        <f t="shared" si="298"/>
        <v>1.439537708085406E-2</v>
      </c>
      <c r="AC887" s="27">
        <f t="shared" si="298"/>
        <v>1.4626933931974607E-2</v>
      </c>
      <c r="AD887" s="27">
        <f t="shared" si="298"/>
        <v>1.4777770720380409E-2</v>
      </c>
      <c r="AE887" s="27">
        <f t="shared" si="298"/>
        <v>1.4901618235242655E-2</v>
      </c>
      <c r="AF887" s="27">
        <f t="shared" si="298"/>
        <v>1.5032456117442953E-2</v>
      </c>
      <c r="AG887" s="27">
        <f t="shared" si="298"/>
        <v>1.5207515733809875E-2</v>
      </c>
      <c r="AH887" s="27">
        <f t="shared" si="298"/>
        <v>1.5333412723215338E-2</v>
      </c>
      <c r="AI887" s="27">
        <f t="shared" si="298"/>
        <v>1.5467587891389686E-2</v>
      </c>
      <c r="AJ887" s="27">
        <f t="shared" si="298"/>
        <v>1.5615286985673127E-2</v>
      </c>
      <c r="AK887" s="27">
        <f t="shared" si="298"/>
        <v>1.5707323184043206E-2</v>
      </c>
      <c r="AL887" s="27">
        <f t="shared" si="298"/>
        <v>1.5776370420283306E-2</v>
      </c>
      <c r="AM887" s="27">
        <f t="shared" si="298"/>
        <v>1.5824397195200308E-2</v>
      </c>
      <c r="AN887" s="27">
        <f t="shared" si="298"/>
        <v>1.5973699744946876E-2</v>
      </c>
      <c r="AO887" s="27">
        <f t="shared" si="298"/>
        <v>1.608718858363397E-2</v>
      </c>
      <c r="AP887" s="27">
        <f t="shared" si="298"/>
        <v>1.6202109980385494E-2</v>
      </c>
      <c r="AQ887" s="27">
        <f t="shared" si="298"/>
        <v>1.6319778584029082E-2</v>
      </c>
      <c r="AR887" s="27">
        <f t="shared" si="298"/>
        <v>1.6442567219722745E-2</v>
      </c>
      <c r="AS887" s="27">
        <f t="shared" si="298"/>
        <v>1.6568638533184063E-2</v>
      </c>
      <c r="AT887" s="27">
        <f t="shared" si="298"/>
        <v>1.6319948182151194E-2</v>
      </c>
      <c r="AU887" s="27">
        <f t="shared" si="298"/>
        <v>1.603822383900198E-2</v>
      </c>
      <c r="AV887" s="27">
        <f t="shared" si="298"/>
        <v>1.5711614957775871E-2</v>
      </c>
      <c r="AW887" s="27">
        <f t="shared" si="298"/>
        <v>1.5374770391719434E-2</v>
      </c>
      <c r="AY887" s="79"/>
      <c r="AZ887" s="79"/>
    </row>
    <row r="888" spans="1:52" x14ac:dyDescent="0.3">
      <c r="A888" s="95" t="str">
        <f t="shared" si="270"/>
        <v>BD MM Volatilisation</v>
      </c>
      <c r="B888" s="95" t="s">
        <v>1228</v>
      </c>
      <c r="C888" s="95" t="s">
        <v>1332</v>
      </c>
      <c r="D888" t="s">
        <v>369</v>
      </c>
      <c r="E888" t="s">
        <v>64</v>
      </c>
      <c r="F888" t="s">
        <v>62</v>
      </c>
      <c r="G888" t="s">
        <v>1162</v>
      </c>
      <c r="H888" t="s">
        <v>1295</v>
      </c>
      <c r="I888" t="s">
        <v>139</v>
      </c>
      <c r="J888" t="s">
        <v>287</v>
      </c>
      <c r="K888" s="27">
        <f t="shared" ref="K888:AW888" si="299">K1536</f>
        <v>0.15836052531214873</v>
      </c>
      <c r="L888" s="27">
        <f t="shared" si="299"/>
        <v>0.16370016056893641</v>
      </c>
      <c r="M888" s="27">
        <f t="shared" si="299"/>
        <v>0.17003774892948584</v>
      </c>
      <c r="N888" s="27">
        <f t="shared" si="299"/>
        <v>0.17476418316081974</v>
      </c>
      <c r="O888" s="27">
        <f t="shared" si="299"/>
        <v>0.1784091501709566</v>
      </c>
      <c r="P888" s="27">
        <f t="shared" si="299"/>
        <v>0.18092055691117107</v>
      </c>
      <c r="Q888" s="27">
        <f t="shared" si="299"/>
        <v>0.18434967364231716</v>
      </c>
      <c r="R888" s="27">
        <f t="shared" si="299"/>
        <v>0.18794438918293385</v>
      </c>
      <c r="S888" s="27">
        <f t="shared" si="299"/>
        <v>0.17201843471628311</v>
      </c>
      <c r="T888" s="27">
        <f t="shared" si="299"/>
        <v>0.17902423727078304</v>
      </c>
      <c r="U888" s="27">
        <f t="shared" si="299"/>
        <v>0.18874308750279975</v>
      </c>
      <c r="V888" s="27">
        <f t="shared" si="299"/>
        <v>0.19428798010301845</v>
      </c>
      <c r="W888" s="27">
        <f t="shared" si="299"/>
        <v>0.20044069379465723</v>
      </c>
      <c r="X888" s="27">
        <f t="shared" si="299"/>
        <v>0.20738925990441343</v>
      </c>
      <c r="Y888" s="27">
        <f t="shared" si="299"/>
        <v>0.21485625224208699</v>
      </c>
      <c r="Z888" s="27">
        <f t="shared" si="299"/>
        <v>0.22299569523633012</v>
      </c>
      <c r="AA888" s="27">
        <f t="shared" si="299"/>
        <v>0.23136404347242787</v>
      </c>
      <c r="AB888" s="27">
        <f t="shared" si="299"/>
        <v>0.24038568507894228</v>
      </c>
      <c r="AC888" s="27">
        <f t="shared" si="299"/>
        <v>0.24961351882279642</v>
      </c>
      <c r="AD888" s="27">
        <f t="shared" si="299"/>
        <v>0.26055082309019489</v>
      </c>
      <c r="AE888" s="27">
        <f t="shared" si="299"/>
        <v>0.27146409989499087</v>
      </c>
      <c r="AF888" s="27">
        <f t="shared" si="299"/>
        <v>0.28296976129835516</v>
      </c>
      <c r="AG888" s="27">
        <f t="shared" si="299"/>
        <v>0.29583119296374027</v>
      </c>
      <c r="AH888" s="27">
        <f t="shared" si="299"/>
        <v>0.30828569818364093</v>
      </c>
      <c r="AI888" s="27">
        <f t="shared" si="299"/>
        <v>0.32146078881891821</v>
      </c>
      <c r="AJ888" s="27">
        <f t="shared" si="299"/>
        <v>0.33551892419975027</v>
      </c>
      <c r="AK888" s="27">
        <f t="shared" si="299"/>
        <v>0.34898799967344624</v>
      </c>
      <c r="AL888" s="27">
        <f t="shared" si="299"/>
        <v>0.36253110288155638</v>
      </c>
      <c r="AM888" s="27">
        <f t="shared" si="299"/>
        <v>0.3761776209722954</v>
      </c>
      <c r="AN888" s="27">
        <f t="shared" si="299"/>
        <v>0.39044092384449941</v>
      </c>
      <c r="AO888" s="27">
        <f t="shared" si="299"/>
        <v>0.40434790587507169</v>
      </c>
      <c r="AP888" s="27">
        <f t="shared" si="299"/>
        <v>0.41881133165575385</v>
      </c>
      <c r="AQ888" s="27">
        <f t="shared" si="299"/>
        <v>0.43389523168298461</v>
      </c>
      <c r="AR888" s="27">
        <f t="shared" si="299"/>
        <v>0.44969846219520337</v>
      </c>
      <c r="AS888" s="27">
        <f t="shared" si="299"/>
        <v>0.46621113351536414</v>
      </c>
      <c r="AT888" s="27">
        <f t="shared" si="299"/>
        <v>0.47252748572368597</v>
      </c>
      <c r="AU888" s="27">
        <f t="shared" si="299"/>
        <v>0.47791554113176593</v>
      </c>
      <c r="AV888" s="27">
        <f t="shared" si="299"/>
        <v>0.48192801076931108</v>
      </c>
      <c r="AW888" s="27">
        <f t="shared" si="299"/>
        <v>0.48553688587906652</v>
      </c>
      <c r="AY888" s="79"/>
      <c r="AZ888" s="79"/>
    </row>
    <row r="889" spans="1:52" x14ac:dyDescent="0.3">
      <c r="A889" s="95" t="str">
        <f t="shared" si="270"/>
        <v>BD MM Volatilisation</v>
      </c>
      <c r="B889" s="95" t="s">
        <v>1228</v>
      </c>
      <c r="C889" s="95" t="s">
        <v>1332</v>
      </c>
      <c r="D889" t="s">
        <v>369</v>
      </c>
      <c r="E889" t="s">
        <v>64</v>
      </c>
      <c r="F889" t="s">
        <v>62</v>
      </c>
      <c r="G889" t="s">
        <v>1164</v>
      </c>
      <c r="H889" t="s">
        <v>1296</v>
      </c>
      <c r="I889" t="s">
        <v>139</v>
      </c>
      <c r="J889" t="s">
        <v>287</v>
      </c>
      <c r="K889" s="27">
        <f t="shared" ref="K889:AW889" si="300">K1537</f>
        <v>1.1718831875652189E-4</v>
      </c>
      <c r="L889" s="27">
        <f t="shared" si="300"/>
        <v>1.1725168210757805E-4</v>
      </c>
      <c r="M889" s="27">
        <f t="shared" si="300"/>
        <v>1.1740318150277543E-4</v>
      </c>
      <c r="N889" s="27">
        <f t="shared" si="300"/>
        <v>1.1762656857541023E-4</v>
      </c>
      <c r="O889" s="27">
        <f t="shared" si="300"/>
        <v>1.179204237689029E-4</v>
      </c>
      <c r="P889" s="27">
        <f t="shared" si="300"/>
        <v>1.1828164409401504E-4</v>
      </c>
      <c r="Q889" s="27">
        <f t="shared" si="300"/>
        <v>1.1868734382429133E-4</v>
      </c>
      <c r="R889" s="27">
        <f t="shared" si="300"/>
        <v>1.1913496163447935E-4</v>
      </c>
      <c r="S889" s="27">
        <f t="shared" si="300"/>
        <v>1.1954428347803586E-4</v>
      </c>
      <c r="T889" s="27">
        <f t="shared" si="300"/>
        <v>1.1972414940561896E-4</v>
      </c>
      <c r="U889" s="27">
        <f t="shared" si="300"/>
        <v>1.1994380434419684E-4</v>
      </c>
      <c r="V889" s="27">
        <f t="shared" si="300"/>
        <v>1.201746788301286E-4</v>
      </c>
      <c r="W889" s="27">
        <f t="shared" si="300"/>
        <v>1.2043388472990403E-4</v>
      </c>
      <c r="X889" s="27">
        <f t="shared" si="300"/>
        <v>1.207206967802894E-4</v>
      </c>
      <c r="Y889" s="27">
        <f t="shared" si="300"/>
        <v>1.2089981812671622E-4</v>
      </c>
      <c r="Z889" s="27">
        <f t="shared" si="300"/>
        <v>1.2110217984152869E-4</v>
      </c>
      <c r="AA889" s="27">
        <f t="shared" si="300"/>
        <v>1.2132504756910802E-4</v>
      </c>
      <c r="AB889" s="27">
        <f t="shared" si="300"/>
        <v>1.2156903411725496E-4</v>
      </c>
      <c r="AC889" s="27">
        <f t="shared" si="300"/>
        <v>1.2183162117803533E-4</v>
      </c>
      <c r="AD889" s="27">
        <f t="shared" si="300"/>
        <v>1.2200776858907327E-4</v>
      </c>
      <c r="AE889" s="27">
        <f t="shared" si="300"/>
        <v>1.2219899661673858E-4</v>
      </c>
      <c r="AF889" s="27">
        <f t="shared" si="300"/>
        <v>1.2240684242118336E-4</v>
      </c>
      <c r="AG889" s="27">
        <f t="shared" si="300"/>
        <v>1.2263333491271974E-4</v>
      </c>
      <c r="AH889" s="27">
        <f t="shared" si="300"/>
        <v>1.2287167298468532E-4</v>
      </c>
      <c r="AI889" s="27">
        <f t="shared" si="300"/>
        <v>1.2302401792252464E-4</v>
      </c>
      <c r="AJ889" s="27">
        <f t="shared" si="300"/>
        <v>1.2319088645114677E-4</v>
      </c>
      <c r="AK889" s="27">
        <f t="shared" si="300"/>
        <v>1.2336677489796816E-4</v>
      </c>
      <c r="AL889" s="27">
        <f t="shared" si="300"/>
        <v>1.2355355577482136E-4</v>
      </c>
      <c r="AM889" s="27">
        <f t="shared" si="300"/>
        <v>1.2375094588099321E-4</v>
      </c>
      <c r="AN889" s="27">
        <f t="shared" si="300"/>
        <v>1.2386757855810271E-4</v>
      </c>
      <c r="AO889" s="27">
        <f t="shared" si="300"/>
        <v>1.2399208535623994E-4</v>
      </c>
      <c r="AP889" s="27">
        <f t="shared" si="300"/>
        <v>1.2412714040619619E-4</v>
      </c>
      <c r="AQ889" s="27">
        <f t="shared" si="300"/>
        <v>1.242726131383893E-4</v>
      </c>
      <c r="AR889" s="27">
        <f t="shared" si="300"/>
        <v>1.2442850053815514E-4</v>
      </c>
      <c r="AS889" s="27">
        <f t="shared" si="300"/>
        <v>1.2449922291454818E-4</v>
      </c>
      <c r="AT889" s="27">
        <f t="shared" si="300"/>
        <v>1.2454479881058539E-4</v>
      </c>
      <c r="AU889" s="27">
        <f t="shared" si="300"/>
        <v>1.2459475860623469E-4</v>
      </c>
      <c r="AV889" s="27">
        <f t="shared" si="300"/>
        <v>1.2464752954530566E-4</v>
      </c>
      <c r="AW889" s="27">
        <f t="shared" si="300"/>
        <v>1.2470598620434531E-4</v>
      </c>
      <c r="AY889" s="79"/>
      <c r="AZ889" s="79"/>
    </row>
    <row r="890" spans="1:52" x14ac:dyDescent="0.3">
      <c r="A890" s="95" t="str">
        <f t="shared" si="270"/>
        <v>BD MM Volatilisation</v>
      </c>
      <c r="B890" s="95" t="s">
        <v>1228</v>
      </c>
      <c r="C890" s="95" t="s">
        <v>1332</v>
      </c>
      <c r="D890" t="s">
        <v>369</v>
      </c>
      <c r="E890" t="s">
        <v>64</v>
      </c>
      <c r="F890" t="s">
        <v>62</v>
      </c>
      <c r="G890" t="s">
        <v>1166</v>
      </c>
      <c r="H890" t="s">
        <v>1297</v>
      </c>
      <c r="I890" t="s">
        <v>139</v>
      </c>
      <c r="J890" t="s">
        <v>287</v>
      </c>
      <c r="K890" s="27">
        <f t="shared" ref="K890:AW890" si="301">K1538</f>
        <v>8.042066176599371E-4</v>
      </c>
      <c r="L890" s="27">
        <f t="shared" si="301"/>
        <v>8.046414496191049E-4</v>
      </c>
      <c r="M890" s="27">
        <f t="shared" si="301"/>
        <v>8.0568111652005547E-4</v>
      </c>
      <c r="N890" s="27">
        <f t="shared" si="301"/>
        <v>8.0721411369945729E-4</v>
      </c>
      <c r="O890" s="27">
        <f t="shared" si="301"/>
        <v>8.0923069942871869E-4</v>
      </c>
      <c r="P890" s="27">
        <f t="shared" si="301"/>
        <v>8.117095793970544E-4</v>
      </c>
      <c r="Q890" s="27">
        <f t="shared" si="301"/>
        <v>8.1449369995900982E-4</v>
      </c>
      <c r="R890" s="27">
        <f t="shared" si="301"/>
        <v>8.1756548398113221E-4</v>
      </c>
      <c r="S890" s="27">
        <f t="shared" si="301"/>
        <v>8.2037446135049667E-4</v>
      </c>
      <c r="T890" s="27">
        <f t="shared" si="301"/>
        <v>8.2160879401085645E-4</v>
      </c>
      <c r="U890" s="27">
        <f t="shared" si="301"/>
        <v>8.2311617936359845E-4</v>
      </c>
      <c r="V890" s="27">
        <f t="shared" si="301"/>
        <v>8.2470055903049121E-4</v>
      </c>
      <c r="W890" s="27">
        <f t="shared" si="301"/>
        <v>8.2647936345526477E-4</v>
      </c>
      <c r="X890" s="27">
        <f t="shared" si="301"/>
        <v>8.2844761550796096E-4</v>
      </c>
      <c r="Y890" s="27">
        <f t="shared" si="301"/>
        <v>8.2967683846882541E-4</v>
      </c>
      <c r="Z890" s="27">
        <f t="shared" si="301"/>
        <v>8.3106554881077761E-4</v>
      </c>
      <c r="AA890" s="27">
        <f t="shared" si="301"/>
        <v>8.3259498197684714E-4</v>
      </c>
      <c r="AB890" s="27">
        <f t="shared" si="301"/>
        <v>8.3426934336987486E-4</v>
      </c>
      <c r="AC890" s="27">
        <f t="shared" si="301"/>
        <v>8.3607135106340792E-4</v>
      </c>
      <c r="AD890" s="27">
        <f t="shared" si="301"/>
        <v>8.3728016534748921E-4</v>
      </c>
      <c r="AE890" s="27">
        <f t="shared" si="301"/>
        <v>8.3859247059226414E-4</v>
      </c>
      <c r="AF890" s="27">
        <f t="shared" si="301"/>
        <v>8.4001881558262628E-4</v>
      </c>
      <c r="AG890" s="27">
        <f t="shared" si="301"/>
        <v>8.4157312374641413E-4</v>
      </c>
      <c r="AH890" s="27">
        <f t="shared" si="301"/>
        <v>8.4320872238584225E-4</v>
      </c>
      <c r="AI890" s="27">
        <f t="shared" si="301"/>
        <v>8.4425419183601768E-4</v>
      </c>
      <c r="AJ890" s="27">
        <f t="shared" si="301"/>
        <v>8.4539932964856662E-4</v>
      </c>
      <c r="AK890" s="27">
        <f t="shared" si="301"/>
        <v>8.4660636678677789E-4</v>
      </c>
      <c r="AL890" s="27">
        <f t="shared" si="301"/>
        <v>8.4788815339154825E-4</v>
      </c>
      <c r="AM890" s="27">
        <f t="shared" si="301"/>
        <v>8.4924274599368159E-4</v>
      </c>
      <c r="AN890" s="27">
        <f t="shared" si="301"/>
        <v>8.5004313951209814E-4</v>
      </c>
      <c r="AO890" s="27">
        <f t="shared" si="301"/>
        <v>8.5089756930568201E-4</v>
      </c>
      <c r="AP890" s="27">
        <f t="shared" si="301"/>
        <v>8.5182438663761119E-4</v>
      </c>
      <c r="AQ890" s="27">
        <f t="shared" si="301"/>
        <v>8.5282269547214476E-4</v>
      </c>
      <c r="AR890" s="27">
        <f t="shared" si="301"/>
        <v>8.5389247512110444E-4</v>
      </c>
      <c r="AS890" s="27">
        <f t="shared" si="301"/>
        <v>8.5437780850343642E-4</v>
      </c>
      <c r="AT890" s="27">
        <f t="shared" si="301"/>
        <v>8.5469057378232966E-4</v>
      </c>
      <c r="AU890" s="27">
        <f t="shared" si="301"/>
        <v>8.5503342363890623E-4</v>
      </c>
      <c r="AV890" s="27">
        <f t="shared" si="301"/>
        <v>8.5539556500991744E-4</v>
      </c>
      <c r="AW890" s="27">
        <f t="shared" si="301"/>
        <v>8.5579672472058501E-4</v>
      </c>
      <c r="AY890" s="79"/>
      <c r="AZ890" s="79"/>
    </row>
    <row r="891" spans="1:52" x14ac:dyDescent="0.3">
      <c r="A891" s="95" t="str">
        <f t="shared" si="270"/>
        <v>BD MM Volatilisation</v>
      </c>
      <c r="B891" s="95" t="s">
        <v>1228</v>
      </c>
      <c r="C891" s="95" t="s">
        <v>1332</v>
      </c>
      <c r="D891" t="s">
        <v>369</v>
      </c>
      <c r="E891" t="s">
        <v>64</v>
      </c>
      <c r="F891" t="s">
        <v>62</v>
      </c>
      <c r="G891" t="s">
        <v>1168</v>
      </c>
      <c r="H891" t="s">
        <v>1298</v>
      </c>
      <c r="I891" t="s">
        <v>139</v>
      </c>
      <c r="J891" t="s">
        <v>287</v>
      </c>
      <c r="K891" s="27">
        <f t="shared" ref="K891:AW891" si="302">K1539</f>
        <v>1.4486129996083085E-5</v>
      </c>
      <c r="L891" s="27">
        <f t="shared" si="302"/>
        <v>1.4523786941695515E-5</v>
      </c>
      <c r="M891" s="27">
        <f t="shared" si="302"/>
        <v>1.4575733367418309E-5</v>
      </c>
      <c r="N891" s="27">
        <f t="shared" si="302"/>
        <v>1.4639017833045655E-5</v>
      </c>
      <c r="O891" s="27">
        <f t="shared" si="302"/>
        <v>1.471355007817218E-5</v>
      </c>
      <c r="P891" s="27">
        <f t="shared" si="302"/>
        <v>1.4798876460462532E-5</v>
      </c>
      <c r="Q891" s="27">
        <f t="shared" si="302"/>
        <v>1.489070601115726E-5</v>
      </c>
      <c r="R891" s="27">
        <f t="shared" si="302"/>
        <v>1.4988675221399694E-5</v>
      </c>
      <c r="S891" s="27">
        <f t="shared" si="302"/>
        <v>1.5077522200056562E-5</v>
      </c>
      <c r="T891" s="27">
        <f t="shared" si="302"/>
        <v>1.5120920467659651E-5</v>
      </c>
      <c r="U891" s="27">
        <f t="shared" si="302"/>
        <v>1.5170664566545744E-5</v>
      </c>
      <c r="V891" s="27">
        <f t="shared" si="302"/>
        <v>1.5221371307810579E-5</v>
      </c>
      <c r="W891" s="27">
        <f t="shared" si="302"/>
        <v>1.5276366577947841E-5</v>
      </c>
      <c r="X891" s="27">
        <f t="shared" si="302"/>
        <v>1.5335559486365855E-5</v>
      </c>
      <c r="Y891" s="27">
        <f t="shared" si="302"/>
        <v>1.5373440359637545E-5</v>
      </c>
      <c r="Z891" s="27">
        <f t="shared" si="302"/>
        <v>1.5414884136013281E-5</v>
      </c>
      <c r="AA891" s="27">
        <f t="shared" si="302"/>
        <v>1.5459406079654033E-5</v>
      </c>
      <c r="AB891" s="27">
        <f t="shared" si="302"/>
        <v>1.5507149153927191E-5</v>
      </c>
      <c r="AC891" s="27">
        <f t="shared" si="302"/>
        <v>1.5557665060375898E-5</v>
      </c>
      <c r="AD891" s="27">
        <f t="shared" si="302"/>
        <v>1.5591353436562986E-5</v>
      </c>
      <c r="AE891" s="27">
        <f t="shared" si="302"/>
        <v>1.5627280085252664E-5</v>
      </c>
      <c r="AF891" s="27">
        <f t="shared" si="302"/>
        <v>1.5665749106164008E-5</v>
      </c>
      <c r="AG891" s="27">
        <f t="shared" si="302"/>
        <v>1.5707151218007595E-5</v>
      </c>
      <c r="AH891" s="27">
        <f t="shared" si="302"/>
        <v>1.5750235619215941E-5</v>
      </c>
      <c r="AI891" s="27">
        <f t="shared" si="302"/>
        <v>1.5776918897393027E-5</v>
      </c>
      <c r="AJ891" s="27">
        <f t="shared" si="302"/>
        <v>1.5805875112600263E-5</v>
      </c>
      <c r="AK891" s="27">
        <f t="shared" si="302"/>
        <v>1.5836097205917668E-5</v>
      </c>
      <c r="AL891" s="27">
        <f t="shared" si="302"/>
        <v>1.5867941184595161E-5</v>
      </c>
      <c r="AM891" s="27">
        <f t="shared" si="302"/>
        <v>1.5901363449816974E-5</v>
      </c>
      <c r="AN891" s="27">
        <f t="shared" si="302"/>
        <v>1.5919623331121566E-5</v>
      </c>
      <c r="AO891" s="27">
        <f t="shared" si="302"/>
        <v>1.5939033537312695E-5</v>
      </c>
      <c r="AP891" s="27">
        <f t="shared" si="302"/>
        <v>1.5960089556991586E-5</v>
      </c>
      <c r="AQ891" s="27">
        <f t="shared" si="302"/>
        <v>1.5982771280705936E-5</v>
      </c>
      <c r="AR891" s="27">
        <f t="shared" si="302"/>
        <v>1.6007081325051207E-5</v>
      </c>
      <c r="AS891" s="27">
        <f t="shared" si="302"/>
        <v>1.6015649873683189E-5</v>
      </c>
      <c r="AT891" s="27">
        <f t="shared" si="302"/>
        <v>1.6019455168078908E-5</v>
      </c>
      <c r="AU891" s="27">
        <f t="shared" si="302"/>
        <v>1.6023878849097448E-5</v>
      </c>
      <c r="AV891" s="27">
        <f t="shared" si="302"/>
        <v>1.6028641289399774E-5</v>
      </c>
      <c r="AW891" s="27">
        <f t="shared" si="302"/>
        <v>1.6034267352361545E-5</v>
      </c>
      <c r="AY891" s="79"/>
      <c r="AZ891" s="79"/>
    </row>
    <row r="892" spans="1:52" x14ac:dyDescent="0.3">
      <c r="A892" s="95" t="str">
        <f t="shared" si="270"/>
        <v>BD MM Volatilisation</v>
      </c>
      <c r="B892" s="95" t="s">
        <v>1228</v>
      </c>
      <c r="C892" s="95" t="s">
        <v>1332</v>
      </c>
      <c r="D892" t="s">
        <v>369</v>
      </c>
      <c r="E892" t="s">
        <v>64</v>
      </c>
      <c r="F892" t="s">
        <v>62</v>
      </c>
      <c r="G892" t="s">
        <v>1170</v>
      </c>
      <c r="H892" t="s">
        <v>1299</v>
      </c>
      <c r="I892" t="s">
        <v>139</v>
      </c>
      <c r="J892" t="s">
        <v>287</v>
      </c>
      <c r="K892" s="27">
        <f t="shared" ref="K892:AW892" si="303">K1540</f>
        <v>1.4738364076719787E-3</v>
      </c>
      <c r="L892" s="27">
        <f t="shared" si="303"/>
        <v>1.4776676709189833E-3</v>
      </c>
      <c r="M892" s="27">
        <f t="shared" si="303"/>
        <v>1.4829527631761549E-3</v>
      </c>
      <c r="N892" s="27">
        <f t="shared" si="303"/>
        <v>1.4893914013429305E-3</v>
      </c>
      <c r="O892" s="27">
        <f t="shared" si="303"/>
        <v>1.4969744022163664E-3</v>
      </c>
      <c r="P892" s="27">
        <f t="shared" si="303"/>
        <v>1.5056556116759296E-3</v>
      </c>
      <c r="Q892" s="27">
        <f t="shared" si="303"/>
        <v>1.5149984613639169E-3</v>
      </c>
      <c r="R892" s="27">
        <f t="shared" si="303"/>
        <v>1.5249659674490626E-3</v>
      </c>
      <c r="S892" s="27">
        <f t="shared" si="303"/>
        <v>1.5340053666461951E-3</v>
      </c>
      <c r="T892" s="27">
        <f t="shared" si="303"/>
        <v>1.5384207589449399E-3</v>
      </c>
      <c r="U892" s="27">
        <f t="shared" si="303"/>
        <v>1.5434817838028542E-3</v>
      </c>
      <c r="V892" s="27">
        <f t="shared" si="303"/>
        <v>1.5486407490620871E-3</v>
      </c>
      <c r="W892" s="27">
        <f t="shared" si="303"/>
        <v>1.5542360344419619E-3</v>
      </c>
      <c r="X892" s="27">
        <f t="shared" si="303"/>
        <v>1.5602583926236193E-3</v>
      </c>
      <c r="Y892" s="27">
        <f t="shared" si="303"/>
        <v>1.5641124385418405E-3</v>
      </c>
      <c r="Z892" s="27">
        <f t="shared" si="303"/>
        <v>1.5683289785363378E-3</v>
      </c>
      <c r="AA892" s="27">
        <f t="shared" si="303"/>
        <v>1.5728586949958615E-3</v>
      </c>
      <c r="AB892" s="27">
        <f t="shared" si="303"/>
        <v>1.5777161331865307E-3</v>
      </c>
      <c r="AC892" s="27">
        <f t="shared" si="303"/>
        <v>1.5828556826804803E-3</v>
      </c>
      <c r="AD892" s="27">
        <f t="shared" si="303"/>
        <v>1.5862831788684411E-3</v>
      </c>
      <c r="AE892" s="27">
        <f t="shared" si="303"/>
        <v>1.5899383996112353E-3</v>
      </c>
      <c r="AF892" s="27">
        <f t="shared" si="303"/>
        <v>1.5938522843825273E-3</v>
      </c>
      <c r="AG892" s="27">
        <f t="shared" si="303"/>
        <v>1.5980645853770706E-3</v>
      </c>
      <c r="AH892" s="27">
        <f t="shared" si="303"/>
        <v>1.6024480445287401E-3</v>
      </c>
      <c r="AI892" s="27">
        <f t="shared" si="303"/>
        <v>1.6051628335623928E-3</v>
      </c>
      <c r="AJ892" s="27">
        <f t="shared" si="303"/>
        <v>1.6081088739618883E-3</v>
      </c>
      <c r="AK892" s="27">
        <f t="shared" si="303"/>
        <v>1.611183706333218E-3</v>
      </c>
      <c r="AL892" s="27">
        <f t="shared" si="303"/>
        <v>1.6144235512850938E-3</v>
      </c>
      <c r="AM892" s="27">
        <f t="shared" si="303"/>
        <v>1.6178239730212022E-3</v>
      </c>
      <c r="AN892" s="27">
        <f t="shared" si="303"/>
        <v>1.6196817554567978E-3</v>
      </c>
      <c r="AO892" s="27">
        <f t="shared" si="303"/>
        <v>1.6216565733393274E-3</v>
      </c>
      <c r="AP892" s="27">
        <f t="shared" si="303"/>
        <v>1.623798838279086E-3</v>
      </c>
      <c r="AQ892" s="27">
        <f t="shared" si="303"/>
        <v>1.6261065043160481E-3</v>
      </c>
      <c r="AR892" s="27">
        <f t="shared" si="303"/>
        <v>1.6285798376658015E-3</v>
      </c>
      <c r="AS892" s="27">
        <f t="shared" si="303"/>
        <v>1.6294516121796393E-3</v>
      </c>
      <c r="AT892" s="27">
        <f t="shared" si="303"/>
        <v>1.6298387674394525E-3</v>
      </c>
      <c r="AU892" s="27">
        <f t="shared" si="303"/>
        <v>1.630288838103102E-3</v>
      </c>
      <c r="AV892" s="27">
        <f t="shared" si="303"/>
        <v>1.6307733745465026E-3</v>
      </c>
      <c r="AW892" s="27">
        <f t="shared" si="303"/>
        <v>1.6313457770050716E-3</v>
      </c>
      <c r="AY892" s="79"/>
      <c r="AZ892" s="79"/>
    </row>
    <row r="893" spans="1:52" x14ac:dyDescent="0.3">
      <c r="A893" s="95" t="str">
        <f t="shared" si="270"/>
        <v>BD MM Volatilisation</v>
      </c>
      <c r="B893" s="95" t="s">
        <v>1228</v>
      </c>
      <c r="C893" s="95" t="s">
        <v>1332</v>
      </c>
      <c r="D893" t="s">
        <v>369</v>
      </c>
      <c r="E893" t="s">
        <v>64</v>
      </c>
      <c r="F893" t="s">
        <v>62</v>
      </c>
      <c r="G893" t="s">
        <v>1172</v>
      </c>
      <c r="H893" t="s">
        <v>1300</v>
      </c>
      <c r="I893" t="s">
        <v>139</v>
      </c>
      <c r="J893" t="s">
        <v>287</v>
      </c>
      <c r="K893" s="27">
        <f t="shared" ref="K893:AW893" si="304">K1541</f>
        <v>0</v>
      </c>
      <c r="L893" s="27">
        <f t="shared" si="304"/>
        <v>0</v>
      </c>
      <c r="M893" s="27">
        <f t="shared" si="304"/>
        <v>0</v>
      </c>
      <c r="N893" s="27">
        <f t="shared" si="304"/>
        <v>0</v>
      </c>
      <c r="O893" s="27">
        <f t="shared" si="304"/>
        <v>0</v>
      </c>
      <c r="P893" s="27">
        <f t="shared" si="304"/>
        <v>0</v>
      </c>
      <c r="Q893" s="27">
        <f t="shared" si="304"/>
        <v>0</v>
      </c>
      <c r="R893" s="27">
        <f t="shared" si="304"/>
        <v>0</v>
      </c>
      <c r="S893" s="27">
        <f t="shared" si="304"/>
        <v>0</v>
      </c>
      <c r="T893" s="27">
        <f t="shared" si="304"/>
        <v>0</v>
      </c>
      <c r="U893" s="27">
        <f t="shared" si="304"/>
        <v>0</v>
      </c>
      <c r="V893" s="27">
        <f t="shared" si="304"/>
        <v>0</v>
      </c>
      <c r="W893" s="27">
        <f t="shared" si="304"/>
        <v>0</v>
      </c>
      <c r="X893" s="27">
        <f t="shared" si="304"/>
        <v>0</v>
      </c>
      <c r="Y893" s="27">
        <f t="shared" si="304"/>
        <v>0</v>
      </c>
      <c r="Z893" s="27">
        <f t="shared" si="304"/>
        <v>0</v>
      </c>
      <c r="AA893" s="27">
        <f t="shared" si="304"/>
        <v>0</v>
      </c>
      <c r="AB893" s="27">
        <f t="shared" si="304"/>
        <v>0</v>
      </c>
      <c r="AC893" s="27">
        <f t="shared" si="304"/>
        <v>0</v>
      </c>
      <c r="AD893" s="27">
        <f t="shared" si="304"/>
        <v>0</v>
      </c>
      <c r="AE893" s="27">
        <f t="shared" si="304"/>
        <v>0</v>
      </c>
      <c r="AF893" s="27">
        <f t="shared" si="304"/>
        <v>0</v>
      </c>
      <c r="AG893" s="27">
        <f t="shared" si="304"/>
        <v>0</v>
      </c>
      <c r="AH893" s="27">
        <f t="shared" si="304"/>
        <v>0</v>
      </c>
      <c r="AI893" s="27">
        <f t="shared" si="304"/>
        <v>0</v>
      </c>
      <c r="AJ893" s="27">
        <f t="shared" si="304"/>
        <v>0</v>
      </c>
      <c r="AK893" s="27">
        <f t="shared" si="304"/>
        <v>0</v>
      </c>
      <c r="AL893" s="27">
        <f t="shared" si="304"/>
        <v>0</v>
      </c>
      <c r="AM893" s="27">
        <f t="shared" si="304"/>
        <v>0</v>
      </c>
      <c r="AN893" s="27">
        <f t="shared" si="304"/>
        <v>0</v>
      </c>
      <c r="AO893" s="27">
        <f t="shared" si="304"/>
        <v>0</v>
      </c>
      <c r="AP893" s="27">
        <f t="shared" si="304"/>
        <v>0</v>
      </c>
      <c r="AQ893" s="27">
        <f t="shared" si="304"/>
        <v>0</v>
      </c>
      <c r="AR893" s="27">
        <f t="shared" si="304"/>
        <v>0</v>
      </c>
      <c r="AS893" s="27">
        <f t="shared" si="304"/>
        <v>0</v>
      </c>
      <c r="AT893" s="27">
        <f t="shared" si="304"/>
        <v>0</v>
      </c>
      <c r="AU893" s="27">
        <f t="shared" si="304"/>
        <v>0</v>
      </c>
      <c r="AV893" s="27">
        <f t="shared" si="304"/>
        <v>0</v>
      </c>
      <c r="AW893" s="27">
        <f t="shared" si="304"/>
        <v>0</v>
      </c>
      <c r="AY893" s="79"/>
      <c r="AZ893" s="79"/>
    </row>
    <row r="894" spans="1:52" x14ac:dyDescent="0.3">
      <c r="A894" s="95" t="str">
        <f t="shared" si="270"/>
        <v>BD MM Volatilisation</v>
      </c>
      <c r="B894" s="95" t="s">
        <v>1228</v>
      </c>
      <c r="C894" s="95" t="s">
        <v>1332</v>
      </c>
      <c r="D894" t="s">
        <v>369</v>
      </c>
      <c r="E894" t="s">
        <v>64</v>
      </c>
      <c r="F894" t="s">
        <v>62</v>
      </c>
      <c r="G894" t="s">
        <v>1174</v>
      </c>
      <c r="H894" t="s">
        <v>1301</v>
      </c>
      <c r="I894" t="s">
        <v>139</v>
      </c>
      <c r="J894" t="s">
        <v>287</v>
      </c>
      <c r="K894" s="27">
        <f t="shared" ref="K894:AW894" si="305">K1542</f>
        <v>0</v>
      </c>
      <c r="L894" s="27">
        <f t="shared" si="305"/>
        <v>0</v>
      </c>
      <c r="M894" s="27">
        <f t="shared" si="305"/>
        <v>0</v>
      </c>
      <c r="N894" s="27">
        <f t="shared" si="305"/>
        <v>0</v>
      </c>
      <c r="O894" s="27">
        <f t="shared" si="305"/>
        <v>0</v>
      </c>
      <c r="P894" s="27">
        <f t="shared" si="305"/>
        <v>0</v>
      </c>
      <c r="Q894" s="27">
        <f t="shared" si="305"/>
        <v>0</v>
      </c>
      <c r="R894" s="27">
        <f t="shared" si="305"/>
        <v>0</v>
      </c>
      <c r="S894" s="27">
        <f t="shared" si="305"/>
        <v>0</v>
      </c>
      <c r="T894" s="27">
        <f t="shared" si="305"/>
        <v>0</v>
      </c>
      <c r="U894" s="27">
        <f t="shared" si="305"/>
        <v>0</v>
      </c>
      <c r="V894" s="27">
        <f t="shared" si="305"/>
        <v>0</v>
      </c>
      <c r="W894" s="27">
        <f t="shared" si="305"/>
        <v>0</v>
      </c>
      <c r="X894" s="27">
        <f t="shared" si="305"/>
        <v>0</v>
      </c>
      <c r="Y894" s="27">
        <f t="shared" si="305"/>
        <v>0</v>
      </c>
      <c r="Z894" s="27">
        <f t="shared" si="305"/>
        <v>0</v>
      </c>
      <c r="AA894" s="27">
        <f t="shared" si="305"/>
        <v>0</v>
      </c>
      <c r="AB894" s="27">
        <f t="shared" si="305"/>
        <v>0</v>
      </c>
      <c r="AC894" s="27">
        <f t="shared" si="305"/>
        <v>0</v>
      </c>
      <c r="AD894" s="27">
        <f t="shared" si="305"/>
        <v>0</v>
      </c>
      <c r="AE894" s="27">
        <f t="shared" si="305"/>
        <v>0</v>
      </c>
      <c r="AF894" s="27">
        <f t="shared" si="305"/>
        <v>0</v>
      </c>
      <c r="AG894" s="27">
        <f t="shared" si="305"/>
        <v>0</v>
      </c>
      <c r="AH894" s="27">
        <f t="shared" si="305"/>
        <v>0</v>
      </c>
      <c r="AI894" s="27">
        <f t="shared" si="305"/>
        <v>0</v>
      </c>
      <c r="AJ894" s="27">
        <f t="shared" si="305"/>
        <v>0</v>
      </c>
      <c r="AK894" s="27">
        <f t="shared" si="305"/>
        <v>0</v>
      </c>
      <c r="AL894" s="27">
        <f t="shared" si="305"/>
        <v>0</v>
      </c>
      <c r="AM894" s="27">
        <f t="shared" si="305"/>
        <v>0</v>
      </c>
      <c r="AN894" s="27">
        <f t="shared" si="305"/>
        <v>0</v>
      </c>
      <c r="AO894" s="27">
        <f t="shared" si="305"/>
        <v>0</v>
      </c>
      <c r="AP894" s="27">
        <f t="shared" si="305"/>
        <v>0</v>
      </c>
      <c r="AQ894" s="27">
        <f t="shared" si="305"/>
        <v>0</v>
      </c>
      <c r="AR894" s="27">
        <f t="shared" si="305"/>
        <v>0</v>
      </c>
      <c r="AS894" s="27">
        <f t="shared" si="305"/>
        <v>0</v>
      </c>
      <c r="AT894" s="27">
        <f t="shared" si="305"/>
        <v>0</v>
      </c>
      <c r="AU894" s="27">
        <f t="shared" si="305"/>
        <v>0</v>
      </c>
      <c r="AV894" s="27">
        <f t="shared" si="305"/>
        <v>0</v>
      </c>
      <c r="AW894" s="27">
        <f t="shared" si="305"/>
        <v>0</v>
      </c>
      <c r="AY894" s="79"/>
      <c r="AZ894" s="79"/>
    </row>
    <row r="895" spans="1:52" x14ac:dyDescent="0.3">
      <c r="A895" s="95" t="str">
        <f t="shared" si="270"/>
        <v>BD MM Volatilisation</v>
      </c>
      <c r="B895" s="95" t="s">
        <v>1228</v>
      </c>
      <c r="C895" s="95" t="s">
        <v>1332</v>
      </c>
      <c r="D895" t="s">
        <v>369</v>
      </c>
      <c r="E895" t="s">
        <v>64</v>
      </c>
      <c r="F895" t="s">
        <v>62</v>
      </c>
      <c r="G895" t="s">
        <v>1176</v>
      </c>
      <c r="H895" t="s">
        <v>1302</v>
      </c>
      <c r="I895" t="s">
        <v>139</v>
      </c>
      <c r="J895" t="s">
        <v>287</v>
      </c>
      <c r="K895" s="27">
        <f t="shared" ref="K895:AW895" si="306">K1543</f>
        <v>0.13075625264316332</v>
      </c>
      <c r="L895" s="27">
        <f t="shared" si="306"/>
        <v>0.13004550543955862</v>
      </c>
      <c r="M895" s="27">
        <f t="shared" si="306"/>
        <v>0.13010384136507711</v>
      </c>
      <c r="N895" s="27">
        <f t="shared" si="306"/>
        <v>0.1289093884029483</v>
      </c>
      <c r="O895" s="27">
        <f t="shared" si="306"/>
        <v>0.12695857121838472</v>
      </c>
      <c r="P895" s="27">
        <f t="shared" si="306"/>
        <v>0.12428257569245393</v>
      </c>
      <c r="Q895" s="27">
        <f t="shared" si="306"/>
        <v>0.12233950618032063</v>
      </c>
      <c r="R895" s="27">
        <f t="shared" si="306"/>
        <v>0.1205683722616282</v>
      </c>
      <c r="S895" s="27">
        <f t="shared" si="306"/>
        <v>0.1064558326136491</v>
      </c>
      <c r="T895" s="27">
        <f t="shared" si="306"/>
        <v>0.10780203870685764</v>
      </c>
      <c r="U895" s="27">
        <f t="shared" si="306"/>
        <v>0.11069073271596624</v>
      </c>
      <c r="V895" s="27">
        <f t="shared" si="306"/>
        <v>0.11095301112483856</v>
      </c>
      <c r="W895" s="27">
        <f t="shared" si="306"/>
        <v>0.11152098959254672</v>
      </c>
      <c r="X895" s="27">
        <f t="shared" si="306"/>
        <v>0.11247596118460781</v>
      </c>
      <c r="Y895" s="27">
        <f t="shared" si="306"/>
        <v>0.11367425965304444</v>
      </c>
      <c r="Z895" s="27">
        <f t="shared" si="306"/>
        <v>0.11514267283955164</v>
      </c>
      <c r="AA895" s="27">
        <f t="shared" si="306"/>
        <v>0.11662825764737823</v>
      </c>
      <c r="AB895" s="27">
        <f t="shared" si="306"/>
        <v>0.11834343516699931</v>
      </c>
      <c r="AC895" s="27">
        <f t="shared" si="306"/>
        <v>0.12004677457127924</v>
      </c>
      <c r="AD895" s="27">
        <f t="shared" si="306"/>
        <v>0.12216447018435615</v>
      </c>
      <c r="AE895" s="27">
        <f t="shared" si="306"/>
        <v>0.12411396366852792</v>
      </c>
      <c r="AF895" s="27">
        <f t="shared" si="306"/>
        <v>0.12618838059713719</v>
      </c>
      <c r="AG895" s="27">
        <f t="shared" si="306"/>
        <v>0.12871889862830188</v>
      </c>
      <c r="AH895" s="27">
        <f t="shared" si="306"/>
        <v>0.13089178183294797</v>
      </c>
      <c r="AI895" s="27">
        <f t="shared" si="306"/>
        <v>0.13323707488889489</v>
      </c>
      <c r="AJ895" s="27">
        <f t="shared" si="306"/>
        <v>0.13578249309813545</v>
      </c>
      <c r="AK895" s="27">
        <f t="shared" si="306"/>
        <v>0.13790594882017243</v>
      </c>
      <c r="AL895" s="27">
        <f t="shared" si="306"/>
        <v>0.13989729447599811</v>
      </c>
      <c r="AM895" s="27">
        <f t="shared" si="306"/>
        <v>0.14177259067901168</v>
      </c>
      <c r="AN895" s="27">
        <f t="shared" si="306"/>
        <v>0.14393792175478221</v>
      </c>
      <c r="AO895" s="27">
        <f t="shared" si="306"/>
        <v>0.14581606733158803</v>
      </c>
      <c r="AP895" s="27">
        <f t="shared" si="306"/>
        <v>0.14775479067393846</v>
      </c>
      <c r="AQ895" s="27">
        <f t="shared" si="306"/>
        <v>0.14976871512687839</v>
      </c>
      <c r="AR895" s="27">
        <f t="shared" si="306"/>
        <v>0.15188303991230881</v>
      </c>
      <c r="AS895" s="27">
        <f t="shared" si="306"/>
        <v>0.15410322114057187</v>
      </c>
      <c r="AT895" s="27">
        <f t="shared" si="306"/>
        <v>0.15275221037305547</v>
      </c>
      <c r="AU895" s="27">
        <f t="shared" si="306"/>
        <v>0.15108898692169739</v>
      </c>
      <c r="AV895" s="27">
        <f t="shared" si="306"/>
        <v>0.14899028797623304</v>
      </c>
      <c r="AW895" s="27">
        <f t="shared" si="306"/>
        <v>0.14678866203706492</v>
      </c>
      <c r="AY895" s="79"/>
      <c r="AZ895" s="79"/>
    </row>
    <row r="896" spans="1:52" x14ac:dyDescent="0.3">
      <c r="A896" s="95" t="str">
        <f t="shared" si="270"/>
        <v>BD MM Volatilisation</v>
      </c>
      <c r="B896" s="95" t="s">
        <v>1228</v>
      </c>
      <c r="C896" s="95" t="s">
        <v>1332</v>
      </c>
      <c r="D896" t="s">
        <v>369</v>
      </c>
      <c r="E896" t="s">
        <v>64</v>
      </c>
      <c r="F896" t="s">
        <v>62</v>
      </c>
      <c r="G896" t="s">
        <v>1178</v>
      </c>
      <c r="H896" t="s">
        <v>1303</v>
      </c>
      <c r="I896" t="s">
        <v>139</v>
      </c>
      <c r="J896" t="s">
        <v>287</v>
      </c>
      <c r="K896" s="27">
        <f t="shared" ref="K896:AW896" si="307">K1544</f>
        <v>1.2724633182830876E-2</v>
      </c>
      <c r="L896" s="27">
        <f t="shared" si="307"/>
        <v>1.2655466337890209E-2</v>
      </c>
      <c r="M896" s="27">
        <f t="shared" si="307"/>
        <v>1.2661143337946407E-2</v>
      </c>
      <c r="N896" s="27">
        <f t="shared" si="307"/>
        <v>1.2544904339887072E-2</v>
      </c>
      <c r="O896" s="27">
        <f t="shared" si="307"/>
        <v>1.2355059245839611E-2</v>
      </c>
      <c r="P896" s="27">
        <f t="shared" si="307"/>
        <v>1.2094642930917434E-2</v>
      </c>
      <c r="Q896" s="27">
        <f t="shared" si="307"/>
        <v>1.1905551806853844E-2</v>
      </c>
      <c r="R896" s="27">
        <f t="shared" si="307"/>
        <v>1.1733192711380723E-2</v>
      </c>
      <c r="S896" s="27">
        <f t="shared" si="307"/>
        <v>1.0359821368376874E-2</v>
      </c>
      <c r="T896" s="27">
        <f t="shared" si="307"/>
        <v>1.049082832504853E-2</v>
      </c>
      <c r="U896" s="27">
        <f t="shared" si="307"/>
        <v>1.0771943536752097E-2</v>
      </c>
      <c r="V896" s="27">
        <f t="shared" si="307"/>
        <v>1.0797467337543365E-2</v>
      </c>
      <c r="W896" s="27">
        <f t="shared" si="307"/>
        <v>1.0852740546366932E-2</v>
      </c>
      <c r="X896" s="27">
        <f t="shared" si="307"/>
        <v>1.0945674252888513E-2</v>
      </c>
      <c r="Y896" s="27">
        <f t="shared" si="307"/>
        <v>1.1062287478995693E-2</v>
      </c>
      <c r="Z896" s="27">
        <f t="shared" si="307"/>
        <v>1.1205187101625038E-2</v>
      </c>
      <c r="AA896" s="27">
        <f t="shared" si="307"/>
        <v>1.1349757792199721E-2</v>
      </c>
      <c r="AB896" s="27">
        <f t="shared" si="307"/>
        <v>1.1516671452842603E-2</v>
      </c>
      <c r="AC896" s="27">
        <f t="shared" si="307"/>
        <v>1.1682433079282552E-2</v>
      </c>
      <c r="AD896" s="27">
        <f t="shared" si="307"/>
        <v>1.1888518060494371E-2</v>
      </c>
      <c r="AE896" s="27">
        <f t="shared" si="307"/>
        <v>1.2078234337742711E-2</v>
      </c>
      <c r="AF896" s="27">
        <f t="shared" si="307"/>
        <v>1.2280107624497444E-2</v>
      </c>
      <c r="AG896" s="27">
        <f t="shared" si="307"/>
        <v>1.2526366698600652E-2</v>
      </c>
      <c r="AH896" s="27">
        <f t="shared" si="307"/>
        <v>1.2737822297620535E-2</v>
      </c>
      <c r="AI896" s="27">
        <f t="shared" si="307"/>
        <v>1.2966056077955363E-2</v>
      </c>
      <c r="AJ896" s="27">
        <f t="shared" si="307"/>
        <v>1.3213765172968019E-2</v>
      </c>
      <c r="AK896" s="27">
        <f t="shared" si="307"/>
        <v>1.3420410703080012E-2</v>
      </c>
      <c r="AL896" s="27">
        <f t="shared" si="307"/>
        <v>1.3614199852725929E-2</v>
      </c>
      <c r="AM896" s="27">
        <f t="shared" si="307"/>
        <v>1.3796695571363754E-2</v>
      </c>
      <c r="AN896" s="27">
        <f t="shared" si="307"/>
        <v>1.4007416229853083E-2</v>
      </c>
      <c r="AO896" s="27">
        <f t="shared" si="307"/>
        <v>1.419018923722911E-2</v>
      </c>
      <c r="AP896" s="27">
        <f t="shared" si="307"/>
        <v>1.4378857410840086E-2</v>
      </c>
      <c r="AQ896" s="27">
        <f t="shared" si="307"/>
        <v>1.4574843831401781E-2</v>
      </c>
      <c r="AR896" s="27">
        <f t="shared" si="307"/>
        <v>1.4780600778240808E-2</v>
      </c>
      <c r="AS896" s="27">
        <f t="shared" si="307"/>
        <v>1.4996659216426185E-2</v>
      </c>
      <c r="AT896" s="27">
        <f t="shared" si="307"/>
        <v>1.4865184689623886E-2</v>
      </c>
      <c r="AU896" s="27">
        <f t="shared" si="307"/>
        <v>1.4703326974281053E-2</v>
      </c>
      <c r="AV896" s="27">
        <f t="shared" si="307"/>
        <v>1.4499090666629237E-2</v>
      </c>
      <c r="AW896" s="27">
        <f t="shared" si="307"/>
        <v>1.4284837948954819E-2</v>
      </c>
      <c r="AY896" s="79"/>
      <c r="AZ896" s="79"/>
    </row>
    <row r="897" spans="1:52" x14ac:dyDescent="0.3">
      <c r="A897" s="95" t="str">
        <f t="shared" si="270"/>
        <v>BD MM Volatilisation</v>
      </c>
      <c r="B897" s="95" t="s">
        <v>1228</v>
      </c>
      <c r="C897" s="95" t="s">
        <v>1332</v>
      </c>
      <c r="D897" t="s">
        <v>369</v>
      </c>
      <c r="E897" t="s">
        <v>64</v>
      </c>
      <c r="F897" t="s">
        <v>62</v>
      </c>
      <c r="G897" t="s">
        <v>1180</v>
      </c>
      <c r="H897" t="s">
        <v>1304</v>
      </c>
      <c r="I897" t="s">
        <v>139</v>
      </c>
      <c r="J897" t="s">
        <v>287</v>
      </c>
      <c r="K897" s="27">
        <f t="shared" ref="K897:AW897" si="308">K1545</f>
        <v>6.4453339767617107E-2</v>
      </c>
      <c r="L897" s="27">
        <f t="shared" si="308"/>
        <v>6.5763803942104543E-2</v>
      </c>
      <c r="M897" s="27">
        <f t="shared" si="308"/>
        <v>6.7295612361813625E-2</v>
      </c>
      <c r="N897" s="27">
        <f t="shared" si="308"/>
        <v>6.8471619369899747E-2</v>
      </c>
      <c r="O897" s="27">
        <f t="shared" si="308"/>
        <v>6.94156577655035E-2</v>
      </c>
      <c r="P897" s="27">
        <f t="shared" si="308"/>
        <v>7.0122113289878316E-2</v>
      </c>
      <c r="Q897" s="27">
        <f t="shared" si="308"/>
        <v>7.1027984276732931E-2</v>
      </c>
      <c r="R897" s="27">
        <f t="shared" si="308"/>
        <v>7.1969839340941838E-2</v>
      </c>
      <c r="S897" s="27">
        <f t="shared" si="308"/>
        <v>6.8766563459968802E-2</v>
      </c>
      <c r="T897" s="27">
        <f t="shared" si="308"/>
        <v>7.0478152358708523E-2</v>
      </c>
      <c r="U897" s="27">
        <f t="shared" si="308"/>
        <v>7.2759128000714796E-2</v>
      </c>
      <c r="V897" s="27">
        <f t="shared" si="308"/>
        <v>7.4154122533566028E-2</v>
      </c>
      <c r="W897" s="27">
        <f t="shared" si="308"/>
        <v>7.5674972830257564E-2</v>
      </c>
      <c r="X897" s="27">
        <f t="shared" si="308"/>
        <v>7.7360161163039912E-2</v>
      </c>
      <c r="Y897" s="27">
        <f t="shared" si="308"/>
        <v>7.9100740420260676E-2</v>
      </c>
      <c r="Z897" s="27">
        <f t="shared" si="308"/>
        <v>8.0976740364442315E-2</v>
      </c>
      <c r="AA897" s="27">
        <f t="shared" si="308"/>
        <v>8.2894928844752261E-2</v>
      </c>
      <c r="AB897" s="27">
        <f t="shared" si="308"/>
        <v>8.4943030682698137E-2</v>
      </c>
      <c r="AC897" s="27">
        <f t="shared" si="308"/>
        <v>8.7027608507248444E-2</v>
      </c>
      <c r="AD897" s="27">
        <f t="shared" si="308"/>
        <v>8.9276729497460336E-2</v>
      </c>
      <c r="AE897" s="27">
        <f t="shared" si="308"/>
        <v>9.1502625848092475E-2</v>
      </c>
      <c r="AF897" s="27">
        <f t="shared" si="308"/>
        <v>9.3831227517320093E-2</v>
      </c>
      <c r="AG897" s="27">
        <f t="shared" si="308"/>
        <v>9.6415651387216014E-2</v>
      </c>
      <c r="AH897" s="27">
        <f t="shared" si="308"/>
        <v>9.8896773571356525E-2</v>
      </c>
      <c r="AI897" s="27">
        <f t="shared" si="308"/>
        <v>0.10146265551465955</v>
      </c>
      <c r="AJ897" s="27">
        <f t="shared" si="308"/>
        <v>0.10418290059990712</v>
      </c>
      <c r="AK897" s="27">
        <f t="shared" si="308"/>
        <v>0.10676300622740972</v>
      </c>
      <c r="AL897" s="27">
        <f t="shared" si="308"/>
        <v>0.1093360798195923</v>
      </c>
      <c r="AM897" s="27">
        <f t="shared" si="308"/>
        <v>0.11190804099965344</v>
      </c>
      <c r="AN897" s="27">
        <f t="shared" si="308"/>
        <v>0.11463676938939842</v>
      </c>
      <c r="AO897" s="27">
        <f t="shared" si="308"/>
        <v>0.11727861184981632</v>
      </c>
      <c r="AP897" s="27">
        <f t="shared" si="308"/>
        <v>0.12001194210770205</v>
      </c>
      <c r="AQ897" s="27">
        <f t="shared" si="308"/>
        <v>0.12284817048623448</v>
      </c>
      <c r="AR897" s="27">
        <f t="shared" si="308"/>
        <v>0.12580525852431573</v>
      </c>
      <c r="AS897" s="27">
        <f t="shared" si="308"/>
        <v>0.12884131843333302</v>
      </c>
      <c r="AT897" s="27">
        <f t="shared" si="308"/>
        <v>0.12990474262387622</v>
      </c>
      <c r="AU897" s="27">
        <f t="shared" si="308"/>
        <v>0.13078551683241871</v>
      </c>
      <c r="AV897" s="27">
        <f t="shared" si="308"/>
        <v>0.13140059443899127</v>
      </c>
      <c r="AW897" s="27">
        <f t="shared" si="308"/>
        <v>0.13193699884155385</v>
      </c>
      <c r="AY897" s="79"/>
      <c r="AZ897" s="79"/>
    </row>
    <row r="898" spans="1:52" x14ac:dyDescent="0.3">
      <c r="A898" s="95" t="str">
        <f t="shared" si="270"/>
        <v>BD MM Volatilisation</v>
      </c>
      <c r="B898" s="95" t="s">
        <v>1228</v>
      </c>
      <c r="C898" s="95" t="s">
        <v>1332</v>
      </c>
      <c r="D898" t="s">
        <v>369</v>
      </c>
      <c r="E898" t="s">
        <v>64</v>
      </c>
      <c r="F898" t="s">
        <v>62</v>
      </c>
      <c r="G898" t="s">
        <v>1182</v>
      </c>
      <c r="H898" t="s">
        <v>1305</v>
      </c>
      <c r="I898" t="s">
        <v>139</v>
      </c>
      <c r="J898" t="s">
        <v>287</v>
      </c>
      <c r="K898" s="27">
        <f t="shared" ref="K898:AW898" si="309">K1546</f>
        <v>0.31034319165291718</v>
      </c>
      <c r="L898" s="27">
        <f t="shared" si="309"/>
        <v>0.31442985679016972</v>
      </c>
      <c r="M898" s="27">
        <f t="shared" si="309"/>
        <v>0.32099421325528477</v>
      </c>
      <c r="N898" s="27">
        <f t="shared" si="309"/>
        <v>0.3228790317815291</v>
      </c>
      <c r="O898" s="27">
        <f t="shared" si="309"/>
        <v>0.32172327535887091</v>
      </c>
      <c r="P898" s="27">
        <f t="shared" si="309"/>
        <v>0.31753924052538912</v>
      </c>
      <c r="Q898" s="27">
        <f t="shared" si="309"/>
        <v>0.31577785743754239</v>
      </c>
      <c r="R898" s="27">
        <f t="shared" si="309"/>
        <v>0.31441607582114939</v>
      </c>
      <c r="S898" s="27">
        <f t="shared" si="309"/>
        <v>0.2650364312253965</v>
      </c>
      <c r="T898" s="27">
        <f t="shared" si="309"/>
        <v>0.27553316275566697</v>
      </c>
      <c r="U898" s="27">
        <f t="shared" si="309"/>
        <v>0.29228527136368948</v>
      </c>
      <c r="V898" s="27">
        <f t="shared" si="309"/>
        <v>0.29874340186404968</v>
      </c>
      <c r="W898" s="27">
        <f t="shared" si="309"/>
        <v>0.30647179876243097</v>
      </c>
      <c r="X898" s="27">
        <f t="shared" si="309"/>
        <v>0.3158631034162086</v>
      </c>
      <c r="Y898" s="27">
        <f t="shared" si="309"/>
        <v>0.32664711376847955</v>
      </c>
      <c r="Z898" s="27">
        <f t="shared" si="309"/>
        <v>0.3387235871621958</v>
      </c>
      <c r="AA898" s="27">
        <f t="shared" si="309"/>
        <v>0.35105651101096136</v>
      </c>
      <c r="AB898" s="27">
        <f t="shared" si="309"/>
        <v>0.36458195379680847</v>
      </c>
      <c r="AC898" s="27">
        <f t="shared" si="309"/>
        <v>0.37828081857860674</v>
      </c>
      <c r="AD898" s="27">
        <f t="shared" si="309"/>
        <v>0.39427261879187497</v>
      </c>
      <c r="AE898" s="27">
        <f t="shared" si="309"/>
        <v>0.40979186242957388</v>
      </c>
      <c r="AF898" s="27">
        <f t="shared" si="309"/>
        <v>0.42616228566496256</v>
      </c>
      <c r="AG898" s="27">
        <f t="shared" si="309"/>
        <v>0.44495226630702778</v>
      </c>
      <c r="AH898" s="27">
        <f t="shared" si="309"/>
        <v>0.46242618458210583</v>
      </c>
      <c r="AI898" s="27">
        <f t="shared" si="309"/>
        <v>0.48124875752773738</v>
      </c>
      <c r="AJ898" s="27">
        <f t="shared" si="309"/>
        <v>0.50140117317613597</v>
      </c>
      <c r="AK898" s="27">
        <f t="shared" si="309"/>
        <v>0.51989325002843578</v>
      </c>
      <c r="AL898" s="27">
        <f t="shared" si="309"/>
        <v>0.53809144777835283</v>
      </c>
      <c r="AM898" s="27">
        <f t="shared" si="309"/>
        <v>0.55606219814879432</v>
      </c>
      <c r="AN898" s="27">
        <f t="shared" si="309"/>
        <v>0.57603307954485361</v>
      </c>
      <c r="AO898" s="27">
        <f t="shared" si="309"/>
        <v>0.59492740362722618</v>
      </c>
      <c r="AP898" s="27">
        <f t="shared" si="309"/>
        <v>0.61451021406332851</v>
      </c>
      <c r="AQ898" s="27">
        <f t="shared" si="309"/>
        <v>0.6348825242649947</v>
      </c>
      <c r="AR898" s="27">
        <f t="shared" si="309"/>
        <v>0.65620656209687755</v>
      </c>
      <c r="AS898" s="27">
        <f t="shared" si="309"/>
        <v>0.67872441504873171</v>
      </c>
      <c r="AT898" s="27">
        <f t="shared" si="309"/>
        <v>0.6821526428447654</v>
      </c>
      <c r="AU898" s="27">
        <f t="shared" si="309"/>
        <v>0.68382516110267277</v>
      </c>
      <c r="AV898" s="27">
        <f t="shared" si="309"/>
        <v>0.68298338603927977</v>
      </c>
      <c r="AW898" s="27">
        <f t="shared" si="309"/>
        <v>0.68142585829620028</v>
      </c>
      <c r="AY898" s="79"/>
      <c r="AZ898" s="79"/>
    </row>
    <row r="899" spans="1:52" x14ac:dyDescent="0.3">
      <c r="A899" s="95" t="str">
        <f t="shared" si="270"/>
        <v>BD MM Leaching</v>
      </c>
      <c r="B899" s="95" t="s">
        <v>1228</v>
      </c>
      <c r="C899" s="95" t="s">
        <v>1333</v>
      </c>
      <c r="D899" t="s">
        <v>369</v>
      </c>
      <c r="E899" t="s">
        <v>64</v>
      </c>
      <c r="F899" t="s">
        <v>63</v>
      </c>
      <c r="G899" t="s">
        <v>1152</v>
      </c>
      <c r="H899" t="s">
        <v>1306</v>
      </c>
      <c r="I899" t="s">
        <v>139</v>
      </c>
      <c r="J899" t="s">
        <v>287</v>
      </c>
      <c r="K899" s="27">
        <f t="shared" ref="K899:AW899" si="310">K1547</f>
        <v>8.9211118607918846E-2</v>
      </c>
      <c r="L899" s="27">
        <f t="shared" si="310"/>
        <v>8.9709854381943774E-2</v>
      </c>
      <c r="M899" s="27">
        <f t="shared" si="310"/>
        <v>9.0417475033143083E-2</v>
      </c>
      <c r="N899" s="27">
        <f t="shared" si="310"/>
        <v>9.0872196678668984E-2</v>
      </c>
      <c r="O899" s="27">
        <f t="shared" si="310"/>
        <v>9.1174361291842934E-2</v>
      </c>
      <c r="P899" s="27">
        <f t="shared" si="310"/>
        <v>9.1320994898161728E-2</v>
      </c>
      <c r="Q899" s="27">
        <f t="shared" si="310"/>
        <v>9.1644963105957017E-2</v>
      </c>
      <c r="R899" s="27">
        <f t="shared" si="310"/>
        <v>9.2016609055475651E-2</v>
      </c>
      <c r="S899" s="27">
        <f t="shared" si="310"/>
        <v>8.9250626632870506E-2</v>
      </c>
      <c r="T899" s="27">
        <f t="shared" si="310"/>
        <v>9.018910759145192E-2</v>
      </c>
      <c r="U899" s="27">
        <f t="shared" si="310"/>
        <v>9.1562795389337467E-2</v>
      </c>
      <c r="V899" s="27">
        <f t="shared" si="310"/>
        <v>9.2274810820194952E-2</v>
      </c>
      <c r="W899" s="27">
        <f t="shared" si="310"/>
        <v>9.3088549677051477E-2</v>
      </c>
      <c r="X899" s="27">
        <f t="shared" si="310"/>
        <v>9.4030367146954022E-2</v>
      </c>
      <c r="Y899" s="27">
        <f t="shared" si="310"/>
        <v>9.4992140485733595E-2</v>
      </c>
      <c r="Z899" s="27">
        <f t="shared" si="310"/>
        <v>9.605669953542309E-2</v>
      </c>
      <c r="AA899" s="27">
        <f t="shared" si="310"/>
        <v>9.7154235713963338E-2</v>
      </c>
      <c r="AB899" s="27">
        <f t="shared" si="310"/>
        <v>9.8347760304703769E-2</v>
      </c>
      <c r="AC899" s="27">
        <f t="shared" si="310"/>
        <v>9.9568208578524817E-2</v>
      </c>
      <c r="AD899" s="27">
        <f t="shared" si="310"/>
        <v>0.10088669536271129</v>
      </c>
      <c r="AE899" s="27">
        <f t="shared" si="310"/>
        <v>0.10218733727824697</v>
      </c>
      <c r="AF899" s="27">
        <f t="shared" si="310"/>
        <v>0.10356015512248805</v>
      </c>
      <c r="AG899" s="27">
        <f t="shared" si="310"/>
        <v>0.1051130390487056</v>
      </c>
      <c r="AH899" s="27">
        <f t="shared" si="310"/>
        <v>0.10658947451521658</v>
      </c>
      <c r="AI899" s="27">
        <f t="shared" si="310"/>
        <v>0.10810355126576793</v>
      </c>
      <c r="AJ899" s="27">
        <f t="shared" si="310"/>
        <v>0.10972278781886159</v>
      </c>
      <c r="AK899" s="27">
        <f t="shared" si="310"/>
        <v>0.1112398173269733</v>
      </c>
      <c r="AL899" s="27">
        <f t="shared" si="310"/>
        <v>0.11274861433308095</v>
      </c>
      <c r="AM899" s="27">
        <f t="shared" si="310"/>
        <v>0.11425337554687653</v>
      </c>
      <c r="AN899" s="27">
        <f t="shared" si="310"/>
        <v>0.11584536779599926</v>
      </c>
      <c r="AO899" s="27">
        <f t="shared" si="310"/>
        <v>0.11737332691073739</v>
      </c>
      <c r="AP899" s="27">
        <f t="shared" si="310"/>
        <v>0.11896061880517098</v>
      </c>
      <c r="AQ899" s="27">
        <f t="shared" si="310"/>
        <v>0.12061448282820714</v>
      </c>
      <c r="AR899" s="27">
        <f t="shared" si="310"/>
        <v>0.12234656062044848</v>
      </c>
      <c r="AS899" s="27">
        <f t="shared" si="310"/>
        <v>0.12410927658755902</v>
      </c>
      <c r="AT899" s="27">
        <f t="shared" si="310"/>
        <v>0.12452720245635615</v>
      </c>
      <c r="AU899" s="27">
        <f t="shared" si="310"/>
        <v>0.12482463901873847</v>
      </c>
      <c r="AV899" s="27">
        <f t="shared" si="310"/>
        <v>0.12494650421265691</v>
      </c>
      <c r="AW899" s="27">
        <f t="shared" si="310"/>
        <v>0.12502008970656403</v>
      </c>
      <c r="AY899" s="79"/>
      <c r="AZ899" s="79"/>
    </row>
    <row r="900" spans="1:52" x14ac:dyDescent="0.3">
      <c r="A900" s="95" t="str">
        <f t="shared" si="270"/>
        <v>BD MM Leaching</v>
      </c>
      <c r="B900" s="95" t="s">
        <v>1228</v>
      </c>
      <c r="C900" s="95" t="s">
        <v>1333</v>
      </c>
      <c r="D900" t="s">
        <v>369</v>
      </c>
      <c r="E900" t="s">
        <v>64</v>
      </c>
      <c r="F900" t="s">
        <v>63</v>
      </c>
      <c r="G900" t="s">
        <v>1154</v>
      </c>
      <c r="H900" t="s">
        <v>1307</v>
      </c>
      <c r="I900" t="s">
        <v>139</v>
      </c>
      <c r="J900" t="s">
        <v>287</v>
      </c>
      <c r="K900" s="27">
        <f t="shared" ref="K900:AW900" si="311">K1548</f>
        <v>2.6939494531157477E-2</v>
      </c>
      <c r="L900" s="27">
        <f t="shared" si="311"/>
        <v>2.709010008197326E-2</v>
      </c>
      <c r="M900" s="27">
        <f t="shared" si="311"/>
        <v>2.730378356628085E-2</v>
      </c>
      <c r="N900" s="27">
        <f t="shared" si="311"/>
        <v>2.7441097966929517E-2</v>
      </c>
      <c r="O900" s="27">
        <f t="shared" si="311"/>
        <v>2.7532344014183842E-2</v>
      </c>
      <c r="P900" s="27">
        <f t="shared" si="311"/>
        <v>2.757662364319366E-2</v>
      </c>
      <c r="Q900" s="27">
        <f t="shared" si="311"/>
        <v>2.7674453822865853E-2</v>
      </c>
      <c r="R900" s="27">
        <f t="shared" si="311"/>
        <v>2.7786681470952927E-2</v>
      </c>
      <c r="S900" s="27">
        <f t="shared" si="311"/>
        <v>2.6951424952373251E-2</v>
      </c>
      <c r="T900" s="27">
        <f t="shared" si="311"/>
        <v>2.7234822392578142E-2</v>
      </c>
      <c r="U900" s="27">
        <f t="shared" si="311"/>
        <v>2.7649641257043878E-2</v>
      </c>
      <c r="V900" s="27">
        <f t="shared" si="311"/>
        <v>2.7864651853312578E-2</v>
      </c>
      <c r="W900" s="27">
        <f t="shared" si="311"/>
        <v>2.8110380343506967E-2</v>
      </c>
      <c r="X900" s="27">
        <f t="shared" si="311"/>
        <v>2.8394785325483455E-2</v>
      </c>
      <c r="Y900" s="27">
        <f t="shared" si="311"/>
        <v>2.8685216473579894E-2</v>
      </c>
      <c r="Z900" s="27">
        <f t="shared" si="311"/>
        <v>2.9006686298694923E-2</v>
      </c>
      <c r="AA900" s="27">
        <f t="shared" si="311"/>
        <v>2.9338114380092265E-2</v>
      </c>
      <c r="AB900" s="27">
        <f t="shared" si="311"/>
        <v>2.9698528526745503E-2</v>
      </c>
      <c r="AC900" s="27">
        <f t="shared" si="311"/>
        <v>3.006707294263454E-2</v>
      </c>
      <c r="AD900" s="27">
        <f t="shared" si="311"/>
        <v>3.046522250141433E-2</v>
      </c>
      <c r="AE900" s="27">
        <f t="shared" si="311"/>
        <v>3.0857983362586373E-2</v>
      </c>
      <c r="AF900" s="27">
        <f t="shared" si="311"/>
        <v>3.1272539523122242E-2</v>
      </c>
      <c r="AG900" s="27">
        <f t="shared" si="311"/>
        <v>3.1741471072133737E-2</v>
      </c>
      <c r="AH900" s="27">
        <f t="shared" si="311"/>
        <v>3.2187317125813304E-2</v>
      </c>
      <c r="AI900" s="27">
        <f t="shared" si="311"/>
        <v>3.2644529892312681E-2</v>
      </c>
      <c r="AJ900" s="27">
        <f t="shared" si="311"/>
        <v>3.3133498251272868E-2</v>
      </c>
      <c r="AK900" s="27">
        <f t="shared" si="311"/>
        <v>3.3591602675643942E-2</v>
      </c>
      <c r="AL900" s="27">
        <f t="shared" si="311"/>
        <v>3.4047221093268576E-2</v>
      </c>
      <c r="AM900" s="27">
        <f t="shared" si="311"/>
        <v>3.4501620804003125E-2</v>
      </c>
      <c r="AN900" s="27">
        <f t="shared" si="311"/>
        <v>3.4982362074352798E-2</v>
      </c>
      <c r="AO900" s="27">
        <f t="shared" si="311"/>
        <v>3.5443766962640642E-2</v>
      </c>
      <c r="AP900" s="27">
        <f t="shared" si="311"/>
        <v>3.5923088845122318E-2</v>
      </c>
      <c r="AQ900" s="27">
        <f t="shared" si="311"/>
        <v>3.6422513821505312E-2</v>
      </c>
      <c r="AR900" s="27">
        <f t="shared" si="311"/>
        <v>3.6945557371902887E-2</v>
      </c>
      <c r="AS900" s="27">
        <f t="shared" si="311"/>
        <v>3.7477852873819655E-2</v>
      </c>
      <c r="AT900" s="27">
        <f t="shared" si="311"/>
        <v>3.7604055883406068E-2</v>
      </c>
      <c r="AU900" s="27">
        <f t="shared" si="311"/>
        <v>3.7693874179272106E-2</v>
      </c>
      <c r="AV900" s="27">
        <f t="shared" si="311"/>
        <v>3.7730674376112279E-2</v>
      </c>
      <c r="AW900" s="27">
        <f t="shared" si="311"/>
        <v>3.7752895328406304E-2</v>
      </c>
      <c r="AY900" s="79"/>
      <c r="AZ900" s="79"/>
    </row>
    <row r="901" spans="1:52" x14ac:dyDescent="0.3">
      <c r="A901" s="95" t="str">
        <f t="shared" si="270"/>
        <v>BD MM Leaching</v>
      </c>
      <c r="B901" s="95" t="s">
        <v>1228</v>
      </c>
      <c r="C901" s="95" t="s">
        <v>1333</v>
      </c>
      <c r="D901" t="s">
        <v>369</v>
      </c>
      <c r="E901" t="s">
        <v>64</v>
      </c>
      <c r="F901" t="s">
        <v>63</v>
      </c>
      <c r="G901" t="s">
        <v>1156</v>
      </c>
      <c r="H901" t="s">
        <v>1308</v>
      </c>
      <c r="I901" t="s">
        <v>139</v>
      </c>
      <c r="J901" t="s">
        <v>287</v>
      </c>
      <c r="K901" s="27">
        <f t="shared" ref="K901:AW901" si="312">K1549</f>
        <v>1.4483668498503175E-3</v>
      </c>
      <c r="L901" s="27">
        <f t="shared" si="312"/>
        <v>1.4564639612104709E-3</v>
      </c>
      <c r="M901" s="27">
        <f t="shared" si="312"/>
        <v>1.4679523755410987E-3</v>
      </c>
      <c r="N901" s="27">
        <f t="shared" si="312"/>
        <v>1.4753349055168039E-3</v>
      </c>
      <c r="O901" s="27">
        <f t="shared" si="312"/>
        <v>1.4802406304505124E-3</v>
      </c>
      <c r="P901" s="27">
        <f t="shared" si="312"/>
        <v>1.4826212670547858E-3</v>
      </c>
      <c r="Q901" s="27">
        <f t="shared" si="312"/>
        <v>1.4878809792957942E-3</v>
      </c>
      <c r="R901" s="27">
        <f t="shared" si="312"/>
        <v>1.4939147526814823E-3</v>
      </c>
      <c r="S901" s="27">
        <f t="shared" si="312"/>
        <v>1.4490082734142855E-3</v>
      </c>
      <c r="T901" s="27">
        <f t="shared" si="312"/>
        <v>1.4642447678203134E-3</v>
      </c>
      <c r="U901" s="27">
        <f t="shared" si="312"/>
        <v>1.4865469639988589E-3</v>
      </c>
      <c r="V901" s="27">
        <f t="shared" si="312"/>
        <v>1.4981067287762548E-3</v>
      </c>
      <c r="W901" s="27">
        <f t="shared" si="312"/>
        <v>1.5113180011276973E-3</v>
      </c>
      <c r="X901" s="27">
        <f t="shared" si="312"/>
        <v>1.5266086647053162E-3</v>
      </c>
      <c r="Y901" s="27">
        <f t="shared" si="312"/>
        <v>1.5422233172586648E-3</v>
      </c>
      <c r="Z901" s="27">
        <f t="shared" si="312"/>
        <v>1.5595067238714088E-3</v>
      </c>
      <c r="AA901" s="27">
        <f t="shared" si="312"/>
        <v>1.5773255231681144E-3</v>
      </c>
      <c r="AB901" s="27">
        <f t="shared" si="312"/>
        <v>1.5967027205251731E-3</v>
      </c>
      <c r="AC901" s="27">
        <f t="shared" si="312"/>
        <v>1.6165170312225675E-3</v>
      </c>
      <c r="AD901" s="27">
        <f t="shared" si="312"/>
        <v>1.6379230238833516E-3</v>
      </c>
      <c r="AE901" s="27">
        <f t="shared" si="312"/>
        <v>1.6590393002330185E-3</v>
      </c>
      <c r="AF901" s="27">
        <f t="shared" si="312"/>
        <v>1.6813273724767988E-3</v>
      </c>
      <c r="AG901" s="27">
        <f t="shared" si="312"/>
        <v>1.7065388666884546E-3</v>
      </c>
      <c r="AH901" s="27">
        <f t="shared" si="312"/>
        <v>1.7305091992995292E-3</v>
      </c>
      <c r="AI901" s="27">
        <f t="shared" si="312"/>
        <v>1.7550906484265776E-3</v>
      </c>
      <c r="AJ901" s="27">
        <f t="shared" si="312"/>
        <v>1.7813793956383919E-3</v>
      </c>
      <c r="AK901" s="27">
        <f t="shared" si="312"/>
        <v>1.8060087835900271E-3</v>
      </c>
      <c r="AL901" s="27">
        <f t="shared" si="312"/>
        <v>1.8305045146255719E-3</v>
      </c>
      <c r="AM901" s="27">
        <f t="shared" si="312"/>
        <v>1.8549347234718561E-3</v>
      </c>
      <c r="AN901" s="27">
        <f t="shared" si="312"/>
        <v>1.8807811519757052E-3</v>
      </c>
      <c r="AO901" s="27">
        <f t="shared" si="312"/>
        <v>1.9055879850728176E-3</v>
      </c>
      <c r="AP901" s="27">
        <f t="shared" si="312"/>
        <v>1.9313581020359023E-3</v>
      </c>
      <c r="AQ901" s="27">
        <f t="shared" si="312"/>
        <v>1.9582090356695609E-3</v>
      </c>
      <c r="AR901" s="27">
        <f t="shared" si="312"/>
        <v>1.9863297911851367E-3</v>
      </c>
      <c r="AS901" s="27">
        <f t="shared" si="312"/>
        <v>2.014947965828651E-3</v>
      </c>
      <c r="AT901" s="27">
        <f t="shared" si="312"/>
        <v>2.0217331063302627E-3</v>
      </c>
      <c r="AU901" s="27">
        <f t="shared" si="312"/>
        <v>2.0265620700694281E-3</v>
      </c>
      <c r="AV901" s="27">
        <f t="shared" si="312"/>
        <v>2.0285405847408761E-3</v>
      </c>
      <c r="AW901" s="27">
        <f t="shared" si="312"/>
        <v>2.0297352653106076E-3</v>
      </c>
      <c r="AY901" s="79"/>
      <c r="AZ901" s="79"/>
    </row>
    <row r="902" spans="1:52" x14ac:dyDescent="0.3">
      <c r="A902" s="95" t="str">
        <f t="shared" si="270"/>
        <v>BD MM Leaching</v>
      </c>
      <c r="B902" s="95" t="s">
        <v>1228</v>
      </c>
      <c r="C902" s="95" t="s">
        <v>1333</v>
      </c>
      <c r="D902" t="s">
        <v>369</v>
      </c>
      <c r="E902" t="s">
        <v>64</v>
      </c>
      <c r="F902" t="s">
        <v>63</v>
      </c>
      <c r="G902" t="s">
        <v>1158</v>
      </c>
      <c r="H902" t="s">
        <v>1309</v>
      </c>
      <c r="I902" t="s">
        <v>139</v>
      </c>
      <c r="J902" t="s">
        <v>287</v>
      </c>
      <c r="K902" s="27">
        <f t="shared" ref="K902:AW902" si="313">K1550</f>
        <v>3.030301439269115E-2</v>
      </c>
      <c r="L902" s="27">
        <f t="shared" si="313"/>
        <v>3.0040206026371356E-2</v>
      </c>
      <c r="M902" s="27">
        <f t="shared" si="313"/>
        <v>2.99401628371932E-2</v>
      </c>
      <c r="N902" s="27">
        <f t="shared" si="313"/>
        <v>2.9540351153331298E-2</v>
      </c>
      <c r="O902" s="27">
        <f t="shared" si="313"/>
        <v>2.8960014730128859E-2</v>
      </c>
      <c r="P902" s="27">
        <f t="shared" si="313"/>
        <v>2.8211154016296501E-2</v>
      </c>
      <c r="Q902" s="27">
        <f t="shared" si="313"/>
        <v>2.7620505669412022E-2</v>
      </c>
      <c r="R902" s="27">
        <f t="shared" si="313"/>
        <v>2.7061685185942385E-2</v>
      </c>
      <c r="S902" s="27">
        <f t="shared" si="313"/>
        <v>2.3806393912702346E-2</v>
      </c>
      <c r="T902" s="27">
        <f t="shared" si="313"/>
        <v>2.4193081489661764E-2</v>
      </c>
      <c r="U902" s="27">
        <f t="shared" si="313"/>
        <v>2.4914459363237305E-2</v>
      </c>
      <c r="V902" s="27">
        <f t="shared" si="313"/>
        <v>2.5058526856807112E-2</v>
      </c>
      <c r="W902" s="27">
        <f t="shared" si="313"/>
        <v>2.5266313616668409E-2</v>
      </c>
      <c r="X902" s="27">
        <f t="shared" si="313"/>
        <v>2.5556180730039606E-2</v>
      </c>
      <c r="Y902" s="27">
        <f t="shared" si="313"/>
        <v>2.588867153480013E-2</v>
      </c>
      <c r="Z902" s="27">
        <f t="shared" si="313"/>
        <v>2.627849954534961E-2</v>
      </c>
      <c r="AA902" s="27">
        <f t="shared" si="313"/>
        <v>2.6670125529897157E-2</v>
      </c>
      <c r="AB902" s="27">
        <f t="shared" si="313"/>
        <v>2.7110583919598655E-2</v>
      </c>
      <c r="AC902" s="27">
        <f t="shared" si="313"/>
        <v>2.7546671241882887E-2</v>
      </c>
      <c r="AD902" s="27">
        <f t="shared" si="313"/>
        <v>2.7830739758273274E-2</v>
      </c>
      <c r="AE902" s="27">
        <f t="shared" si="313"/>
        <v>2.8063979806522674E-2</v>
      </c>
      <c r="AF902" s="27">
        <f t="shared" si="313"/>
        <v>2.8310384702020075E-2</v>
      </c>
      <c r="AG902" s="27">
        <f t="shared" si="313"/>
        <v>2.8640071683735925E-2</v>
      </c>
      <c r="AH902" s="27">
        <f t="shared" si="313"/>
        <v>2.8877171474684857E-2</v>
      </c>
      <c r="AI902" s="27">
        <f t="shared" si="313"/>
        <v>2.9129861427597242E-2</v>
      </c>
      <c r="AJ902" s="27">
        <f t="shared" si="313"/>
        <v>2.9408020774721655E-2</v>
      </c>
      <c r="AK902" s="27">
        <f t="shared" si="313"/>
        <v>2.958135107830024E-2</v>
      </c>
      <c r="AL902" s="27">
        <f t="shared" si="313"/>
        <v>2.9711386636381822E-2</v>
      </c>
      <c r="AM902" s="27">
        <f t="shared" si="313"/>
        <v>2.9801834695120533E-2</v>
      </c>
      <c r="AN902" s="27">
        <f t="shared" si="313"/>
        <v>3.0083013804328998E-2</v>
      </c>
      <c r="AO902" s="27">
        <f t="shared" si="313"/>
        <v>3.0296745523052525E-2</v>
      </c>
      <c r="AP902" s="27">
        <f t="shared" si="313"/>
        <v>3.0513175155516516E-2</v>
      </c>
      <c r="AQ902" s="27">
        <f t="shared" si="313"/>
        <v>3.0734778558877459E-2</v>
      </c>
      <c r="AR902" s="27">
        <f t="shared" si="313"/>
        <v>3.0966024436887393E-2</v>
      </c>
      <c r="AS902" s="27">
        <f t="shared" si="313"/>
        <v>3.1203452529548665E-2</v>
      </c>
      <c r="AT902" s="27">
        <f t="shared" si="313"/>
        <v>3.0735097960314203E-2</v>
      </c>
      <c r="AU902" s="27">
        <f t="shared" si="313"/>
        <v>3.0204531000918678E-2</v>
      </c>
      <c r="AV902" s="27">
        <f t="shared" si="313"/>
        <v>2.9589433707278279E-2</v>
      </c>
      <c r="AW902" s="27">
        <f t="shared" si="313"/>
        <v>2.8955059711748863E-2</v>
      </c>
      <c r="AY902" s="79"/>
      <c r="AZ902" s="79"/>
    </row>
    <row r="903" spans="1:52" x14ac:dyDescent="0.3">
      <c r="A903" s="95" t="str">
        <f t="shared" si="270"/>
        <v>BD MM Leaching</v>
      </c>
      <c r="B903" s="95" t="s">
        <v>1228</v>
      </c>
      <c r="C903" s="95" t="s">
        <v>1333</v>
      </c>
      <c r="D903" t="s">
        <v>369</v>
      </c>
      <c r="E903" t="s">
        <v>64</v>
      </c>
      <c r="F903" t="s">
        <v>63</v>
      </c>
      <c r="G903" t="s">
        <v>1160</v>
      </c>
      <c r="H903" t="s">
        <v>1310</v>
      </c>
      <c r="I903" t="s">
        <v>139</v>
      </c>
      <c r="J903" t="s">
        <v>287</v>
      </c>
      <c r="K903" s="27">
        <f t="shared" ref="K903:AW903" si="314">K1551</f>
        <v>4.0226293185258936E-2</v>
      </c>
      <c r="L903" s="27">
        <f t="shared" si="314"/>
        <v>3.9877423391049015E-2</v>
      </c>
      <c r="M903" s="27">
        <f t="shared" si="314"/>
        <v>3.9744619221572089E-2</v>
      </c>
      <c r="N903" s="27">
        <f t="shared" si="314"/>
        <v>3.9213881856453713E-2</v>
      </c>
      <c r="O903" s="27">
        <f t="shared" si="314"/>
        <v>3.8443503609481157E-2</v>
      </c>
      <c r="P903" s="27">
        <f t="shared" si="314"/>
        <v>3.7449414696768608E-2</v>
      </c>
      <c r="Q903" s="27">
        <f t="shared" si="314"/>
        <v>3.666534769725275E-2</v>
      </c>
      <c r="R903" s="27">
        <f t="shared" si="314"/>
        <v>3.5923531179771241E-2</v>
      </c>
      <c r="S903" s="27">
        <f t="shared" si="314"/>
        <v>3.160223497260737E-2</v>
      </c>
      <c r="T903" s="27">
        <f t="shared" si="314"/>
        <v>3.2115550500900779E-2</v>
      </c>
      <c r="U903" s="27">
        <f t="shared" si="314"/>
        <v>3.3073156812397204E-2</v>
      </c>
      <c r="V903" s="27">
        <f t="shared" si="314"/>
        <v>3.3264401853557279E-2</v>
      </c>
      <c r="W903" s="27">
        <f t="shared" si="314"/>
        <v>3.3540232205412031E-2</v>
      </c>
      <c r="X903" s="27">
        <f t="shared" si="314"/>
        <v>3.3925021630521073E-2</v>
      </c>
      <c r="Y903" s="27">
        <f t="shared" si="314"/>
        <v>3.4366392657851123E-2</v>
      </c>
      <c r="Z903" s="27">
        <f t="shared" si="314"/>
        <v>3.4883877012409983E-2</v>
      </c>
      <c r="AA903" s="27">
        <f t="shared" si="314"/>
        <v>3.5403748120585117E-2</v>
      </c>
      <c r="AB903" s="27">
        <f t="shared" si="314"/>
        <v>3.5988442702135158E-2</v>
      </c>
      <c r="AC903" s="27">
        <f t="shared" si="314"/>
        <v>3.6567334829936515E-2</v>
      </c>
      <c r="AD903" s="27">
        <f t="shared" si="314"/>
        <v>3.6944426800951023E-2</v>
      </c>
      <c r="AE903" s="27">
        <f t="shared" si="314"/>
        <v>3.7254045588106646E-2</v>
      </c>
      <c r="AF903" s="27">
        <f t="shared" si="314"/>
        <v>3.7581140293607394E-2</v>
      </c>
      <c r="AG903" s="27">
        <f t="shared" si="314"/>
        <v>3.801878933452469E-2</v>
      </c>
      <c r="AH903" s="27">
        <f t="shared" si="314"/>
        <v>3.8333531808038356E-2</v>
      </c>
      <c r="AI903" s="27">
        <f t="shared" si="314"/>
        <v>3.8668969728474223E-2</v>
      </c>
      <c r="AJ903" s="27">
        <f t="shared" si="314"/>
        <v>3.9038217464182824E-2</v>
      </c>
      <c r="AK903" s="27">
        <f t="shared" si="314"/>
        <v>3.9268307960108023E-2</v>
      </c>
      <c r="AL903" s="27">
        <f t="shared" si="314"/>
        <v>3.9440926050708265E-2</v>
      </c>
      <c r="AM903" s="27">
        <f t="shared" si="314"/>
        <v>3.9560992988000768E-2</v>
      </c>
      <c r="AN903" s="27">
        <f t="shared" si="314"/>
        <v>3.9934249362367197E-2</v>
      </c>
      <c r="AO903" s="27">
        <f t="shared" si="314"/>
        <v>4.0217971459084928E-2</v>
      </c>
      <c r="AP903" s="27">
        <f t="shared" si="314"/>
        <v>4.0505274950963739E-2</v>
      </c>
      <c r="AQ903" s="27">
        <f t="shared" si="314"/>
        <v>4.0799446460072705E-2</v>
      </c>
      <c r="AR903" s="27">
        <f t="shared" si="314"/>
        <v>4.1106418049306863E-2</v>
      </c>
      <c r="AS903" s="27">
        <f t="shared" si="314"/>
        <v>4.1421596332960157E-2</v>
      </c>
      <c r="AT903" s="27">
        <f t="shared" si="314"/>
        <v>4.0799870455377994E-2</v>
      </c>
      <c r="AU903" s="27">
        <f t="shared" si="314"/>
        <v>4.0095559597504944E-2</v>
      </c>
      <c r="AV903" s="27">
        <f t="shared" si="314"/>
        <v>3.9279037394439685E-2</v>
      </c>
      <c r="AW903" s="27">
        <f t="shared" si="314"/>
        <v>3.843692597929859E-2</v>
      </c>
      <c r="AY903" s="79"/>
      <c r="AZ903" s="79"/>
    </row>
    <row r="904" spans="1:52" x14ac:dyDescent="0.3">
      <c r="A904" s="95" t="str">
        <f t="shared" si="270"/>
        <v>BD MM Leaching</v>
      </c>
      <c r="B904" s="95" t="s">
        <v>1228</v>
      </c>
      <c r="C904" s="95" t="s">
        <v>1333</v>
      </c>
      <c r="D904" t="s">
        <v>369</v>
      </c>
      <c r="E904" t="s">
        <v>64</v>
      </c>
      <c r="F904" t="s">
        <v>63</v>
      </c>
      <c r="G904" t="s">
        <v>1162</v>
      </c>
      <c r="H904" t="s">
        <v>1311</v>
      </c>
      <c r="I904" t="s">
        <v>139</v>
      </c>
      <c r="J904" t="s">
        <v>287</v>
      </c>
      <c r="K904" s="27">
        <f t="shared" ref="K904:AW904" si="315">K1552</f>
        <v>4.1968337096859203E-2</v>
      </c>
      <c r="L904" s="27">
        <f t="shared" si="315"/>
        <v>4.3383434779753462E-2</v>
      </c>
      <c r="M904" s="27">
        <f t="shared" si="315"/>
        <v>4.5063007666824861E-2</v>
      </c>
      <c r="N904" s="27">
        <f t="shared" si="315"/>
        <v>4.6315596244033502E-2</v>
      </c>
      <c r="O904" s="27">
        <f t="shared" si="315"/>
        <v>4.7281576900430194E-2</v>
      </c>
      <c r="P904" s="27">
        <f t="shared" si="315"/>
        <v>4.7947144057730852E-2</v>
      </c>
      <c r="Q904" s="27">
        <f t="shared" si="315"/>
        <v>4.8855920576585825E-2</v>
      </c>
      <c r="R904" s="27">
        <f t="shared" si="315"/>
        <v>4.9808583705724517E-2</v>
      </c>
      <c r="S904" s="27">
        <f t="shared" si="315"/>
        <v>4.558792439477468E-2</v>
      </c>
      <c r="T904" s="27">
        <f t="shared" si="315"/>
        <v>4.7444585849147458E-2</v>
      </c>
      <c r="U904" s="27">
        <f t="shared" si="315"/>
        <v>5.0020252871766716E-2</v>
      </c>
      <c r="V904" s="27">
        <f t="shared" si="315"/>
        <v>5.1489747377125035E-2</v>
      </c>
      <c r="W904" s="27">
        <f t="shared" si="315"/>
        <v>5.3120325210598208E-2</v>
      </c>
      <c r="X904" s="27">
        <f t="shared" si="315"/>
        <v>5.4961817995869279E-2</v>
      </c>
      <c r="Y904" s="27">
        <f t="shared" si="315"/>
        <v>5.6940702891012454E-2</v>
      </c>
      <c r="Z904" s="27">
        <f t="shared" si="315"/>
        <v>5.909779909090021E-2</v>
      </c>
      <c r="AA904" s="27">
        <f t="shared" si="315"/>
        <v>6.1315559224141662E-2</v>
      </c>
      <c r="AB904" s="27">
        <f t="shared" si="315"/>
        <v>6.3706453642829244E-2</v>
      </c>
      <c r="AC904" s="27">
        <f t="shared" si="315"/>
        <v>6.6151992620882463E-2</v>
      </c>
      <c r="AD904" s="27">
        <f t="shared" si="315"/>
        <v>6.9050571490334375E-2</v>
      </c>
      <c r="AE904" s="27">
        <f t="shared" si="315"/>
        <v>7.1942782657683113E-2</v>
      </c>
      <c r="AF904" s="27">
        <f t="shared" si="315"/>
        <v>7.499198620981147E-2</v>
      </c>
      <c r="AG904" s="27">
        <f t="shared" si="315"/>
        <v>7.8400492834913502E-2</v>
      </c>
      <c r="AH904" s="27">
        <f t="shared" si="315"/>
        <v>8.1701156762449018E-2</v>
      </c>
      <c r="AI904" s="27">
        <f t="shared" si="315"/>
        <v>8.5192788556250426E-2</v>
      </c>
      <c r="AJ904" s="27">
        <f t="shared" si="315"/>
        <v>8.8918442809121118E-2</v>
      </c>
      <c r="AK904" s="27">
        <f t="shared" si="315"/>
        <v>9.248798577918188E-2</v>
      </c>
      <c r="AL904" s="27">
        <f t="shared" si="315"/>
        <v>9.6077147406772881E-2</v>
      </c>
      <c r="AM904" s="27">
        <f t="shared" si="315"/>
        <v>9.9693715805378641E-2</v>
      </c>
      <c r="AN904" s="27">
        <f t="shared" si="315"/>
        <v>0.10347374306833025</v>
      </c>
      <c r="AO904" s="27">
        <f t="shared" si="315"/>
        <v>0.1071593390128282</v>
      </c>
      <c r="AP904" s="27">
        <f t="shared" si="315"/>
        <v>0.11099240238226693</v>
      </c>
      <c r="AQ904" s="27">
        <f t="shared" si="315"/>
        <v>0.11498990238948355</v>
      </c>
      <c r="AR904" s="27">
        <f t="shared" si="315"/>
        <v>0.11917803768424121</v>
      </c>
      <c r="AS904" s="27">
        <f t="shared" si="315"/>
        <v>0.12355418732739334</v>
      </c>
      <c r="AT904" s="27">
        <f t="shared" si="315"/>
        <v>0.1252281322589274</v>
      </c>
      <c r="AU904" s="27">
        <f t="shared" si="315"/>
        <v>0.1266560621373938</v>
      </c>
      <c r="AV904" s="27">
        <f t="shared" si="315"/>
        <v>0.12771943748303299</v>
      </c>
      <c r="AW904" s="27">
        <f t="shared" si="315"/>
        <v>0.12867585314816252</v>
      </c>
      <c r="AY904" s="79"/>
      <c r="AZ904" s="79"/>
    </row>
    <row r="905" spans="1:52" x14ac:dyDescent="0.3">
      <c r="A905" s="95" t="str">
        <f t="shared" si="270"/>
        <v>BD MM Leaching</v>
      </c>
      <c r="B905" s="95" t="s">
        <v>1228</v>
      </c>
      <c r="C905" s="95" t="s">
        <v>1333</v>
      </c>
      <c r="D905" t="s">
        <v>369</v>
      </c>
      <c r="E905" t="s">
        <v>64</v>
      </c>
      <c r="F905" t="s">
        <v>63</v>
      </c>
      <c r="G905" t="s">
        <v>1164</v>
      </c>
      <c r="H905" t="s">
        <v>1312</v>
      </c>
      <c r="I905" t="s">
        <v>139</v>
      </c>
      <c r="J905" t="s">
        <v>287</v>
      </c>
      <c r="K905" s="27">
        <f t="shared" ref="K905:AW905" si="316">K1553</f>
        <v>4.3945619533695716E-3</v>
      </c>
      <c r="L905" s="27">
        <f t="shared" si="316"/>
        <v>4.3969380790341763E-3</v>
      </c>
      <c r="M905" s="27">
        <f t="shared" si="316"/>
        <v>4.4026193063540784E-3</v>
      </c>
      <c r="N905" s="27">
        <f t="shared" si="316"/>
        <v>4.4109963215778836E-3</v>
      </c>
      <c r="O905" s="27">
        <f t="shared" si="316"/>
        <v>4.4220158913338588E-3</v>
      </c>
      <c r="P905" s="27">
        <f t="shared" si="316"/>
        <v>4.4355616535255637E-3</v>
      </c>
      <c r="Q905" s="27">
        <f t="shared" si="316"/>
        <v>4.4507753934109251E-3</v>
      </c>
      <c r="R905" s="27">
        <f t="shared" si="316"/>
        <v>4.467561061292976E-3</v>
      </c>
      <c r="S905" s="27">
        <f t="shared" si="316"/>
        <v>4.4829106304263445E-3</v>
      </c>
      <c r="T905" s="27">
        <f t="shared" si="316"/>
        <v>4.4896556027107107E-3</v>
      </c>
      <c r="U905" s="27">
        <f t="shared" si="316"/>
        <v>4.4978926629073816E-3</v>
      </c>
      <c r="V905" s="27">
        <f t="shared" si="316"/>
        <v>4.5065504561298229E-3</v>
      </c>
      <c r="W905" s="27">
        <f t="shared" si="316"/>
        <v>4.5162706773714013E-3</v>
      </c>
      <c r="X905" s="27">
        <f t="shared" si="316"/>
        <v>4.527026129260852E-3</v>
      </c>
      <c r="Y905" s="27">
        <f t="shared" si="316"/>
        <v>4.5337431797518573E-3</v>
      </c>
      <c r="Z905" s="27">
        <f t="shared" si="316"/>
        <v>4.5413317440573253E-3</v>
      </c>
      <c r="AA905" s="27">
        <f t="shared" si="316"/>
        <v>4.5496892838415501E-3</v>
      </c>
      <c r="AB905" s="27">
        <f t="shared" si="316"/>
        <v>4.5588387793970616E-3</v>
      </c>
      <c r="AC905" s="27">
        <f t="shared" si="316"/>
        <v>4.5686857941763257E-3</v>
      </c>
      <c r="AD905" s="27">
        <f t="shared" si="316"/>
        <v>4.5752913220902473E-3</v>
      </c>
      <c r="AE905" s="27">
        <f t="shared" si="316"/>
        <v>4.582462373127697E-3</v>
      </c>
      <c r="AF905" s="27">
        <f t="shared" si="316"/>
        <v>4.5902565907943761E-3</v>
      </c>
      <c r="AG905" s="27">
        <f t="shared" si="316"/>
        <v>4.59875005922699E-3</v>
      </c>
      <c r="AH905" s="27">
        <f t="shared" si="316"/>
        <v>4.6076877369256993E-3</v>
      </c>
      <c r="AI905" s="27">
        <f t="shared" si="316"/>
        <v>4.6134006720946743E-3</v>
      </c>
      <c r="AJ905" s="27">
        <f t="shared" si="316"/>
        <v>4.6196582419180043E-3</v>
      </c>
      <c r="AK905" s="27">
        <f t="shared" si="316"/>
        <v>4.626254058673806E-3</v>
      </c>
      <c r="AL905" s="27">
        <f t="shared" si="316"/>
        <v>4.6332583415557996E-3</v>
      </c>
      <c r="AM905" s="27">
        <f t="shared" si="316"/>
        <v>4.6406604705372459E-3</v>
      </c>
      <c r="AN905" s="27">
        <f t="shared" si="316"/>
        <v>4.6450341959288514E-3</v>
      </c>
      <c r="AO905" s="27">
        <f t="shared" si="316"/>
        <v>4.6497032008589968E-3</v>
      </c>
      <c r="AP905" s="27">
        <f t="shared" si="316"/>
        <v>4.6547677652323564E-3</v>
      </c>
      <c r="AQ905" s="27">
        <f t="shared" si="316"/>
        <v>4.6602229926895984E-3</v>
      </c>
      <c r="AR905" s="27">
        <f t="shared" si="316"/>
        <v>4.6660687701808173E-3</v>
      </c>
      <c r="AS905" s="27">
        <f t="shared" si="316"/>
        <v>4.6687208592955552E-3</v>
      </c>
      <c r="AT905" s="27">
        <f t="shared" si="316"/>
        <v>4.6704299553969519E-3</v>
      </c>
      <c r="AU905" s="27">
        <f t="shared" si="316"/>
        <v>4.6723034477338006E-3</v>
      </c>
      <c r="AV905" s="27">
        <f t="shared" si="316"/>
        <v>4.6742823579489622E-3</v>
      </c>
      <c r="AW905" s="27">
        <f t="shared" si="316"/>
        <v>4.6764744826629494E-3</v>
      </c>
      <c r="AY905" s="79"/>
      <c r="AZ905" s="79"/>
    </row>
    <row r="906" spans="1:52" x14ac:dyDescent="0.3">
      <c r="A906" s="95" t="str">
        <f t="shared" si="270"/>
        <v>BD MM Leaching</v>
      </c>
      <c r="B906" s="95" t="s">
        <v>1228</v>
      </c>
      <c r="C906" s="95" t="s">
        <v>1333</v>
      </c>
      <c r="D906" t="s">
        <v>369</v>
      </c>
      <c r="E906" t="s">
        <v>64</v>
      </c>
      <c r="F906" t="s">
        <v>63</v>
      </c>
      <c r="G906" t="s">
        <v>1166</v>
      </c>
      <c r="H906" t="s">
        <v>1313</v>
      </c>
      <c r="I906" t="s">
        <v>139</v>
      </c>
      <c r="J906" t="s">
        <v>287</v>
      </c>
      <c r="K906" s="27">
        <f t="shared" ref="K906:AW906" si="317">K1554</f>
        <v>3.6554846257269864E-3</v>
      </c>
      <c r="L906" s="27">
        <f t="shared" si="317"/>
        <v>3.6574611346322943E-3</v>
      </c>
      <c r="M906" s="27">
        <f t="shared" si="317"/>
        <v>3.662186893272979E-3</v>
      </c>
      <c r="N906" s="27">
        <f t="shared" si="317"/>
        <v>3.6691550622702605E-3</v>
      </c>
      <c r="O906" s="27">
        <f t="shared" si="317"/>
        <v>3.6783213610396305E-3</v>
      </c>
      <c r="P906" s="27">
        <f t="shared" si="317"/>
        <v>3.6895889972593382E-3</v>
      </c>
      <c r="Q906" s="27">
        <f t="shared" si="317"/>
        <v>3.7022440907227717E-3</v>
      </c>
      <c r="R906" s="27">
        <f t="shared" si="317"/>
        <v>3.7162067453687837E-3</v>
      </c>
      <c r="S906" s="27">
        <f t="shared" si="317"/>
        <v>3.7289748243204386E-3</v>
      </c>
      <c r="T906" s="27">
        <f t="shared" si="317"/>
        <v>3.7345854273220752E-3</v>
      </c>
      <c r="U906" s="27">
        <f t="shared" si="317"/>
        <v>3.7414371789254476E-3</v>
      </c>
      <c r="V906" s="27">
        <f t="shared" si="317"/>
        <v>3.7486389046840498E-3</v>
      </c>
      <c r="W906" s="27">
        <f t="shared" si="317"/>
        <v>3.7567243793421119E-3</v>
      </c>
      <c r="X906" s="27">
        <f t="shared" si="317"/>
        <v>3.7656709795816407E-3</v>
      </c>
      <c r="Y906" s="27">
        <f t="shared" si="317"/>
        <v>3.7712583566764787E-3</v>
      </c>
      <c r="Z906" s="27">
        <f t="shared" si="317"/>
        <v>3.7775706764126256E-3</v>
      </c>
      <c r="AA906" s="27">
        <f t="shared" si="317"/>
        <v>3.784522645349305E-3</v>
      </c>
      <c r="AB906" s="27">
        <f t="shared" si="317"/>
        <v>3.7921333789539768E-3</v>
      </c>
      <c r="AC906" s="27">
        <f t="shared" si="317"/>
        <v>3.8003243230154901E-3</v>
      </c>
      <c r="AD906" s="27">
        <f t="shared" si="317"/>
        <v>3.805818933397678E-3</v>
      </c>
      <c r="AE906" s="27">
        <f t="shared" si="317"/>
        <v>3.8117839572375635E-3</v>
      </c>
      <c r="AF906" s="27">
        <f t="shared" si="317"/>
        <v>3.8182673435573919E-3</v>
      </c>
      <c r="AG906" s="27">
        <f t="shared" si="317"/>
        <v>3.8253323806655189E-3</v>
      </c>
      <c r="AH906" s="27">
        <f t="shared" si="317"/>
        <v>3.8327669199356464E-3</v>
      </c>
      <c r="AI906" s="27">
        <f t="shared" si="317"/>
        <v>3.8375190538000809E-3</v>
      </c>
      <c r="AJ906" s="27">
        <f t="shared" si="317"/>
        <v>3.8427242256753023E-3</v>
      </c>
      <c r="AK906" s="27">
        <f t="shared" si="317"/>
        <v>3.8482107581217181E-3</v>
      </c>
      <c r="AL906" s="27">
        <f t="shared" si="317"/>
        <v>3.8540370608706733E-3</v>
      </c>
      <c r="AM906" s="27">
        <f t="shared" si="317"/>
        <v>3.8601942999712795E-3</v>
      </c>
      <c r="AN906" s="27">
        <f t="shared" si="317"/>
        <v>3.8638324523277176E-3</v>
      </c>
      <c r="AO906" s="27">
        <f t="shared" si="317"/>
        <v>3.8677162241167358E-3</v>
      </c>
      <c r="AP906" s="27">
        <f t="shared" si="317"/>
        <v>3.87192903017096E-3</v>
      </c>
      <c r="AQ906" s="27">
        <f t="shared" si="317"/>
        <v>3.8764667976006581E-3</v>
      </c>
      <c r="AR906" s="27">
        <f t="shared" si="317"/>
        <v>3.8813294323686563E-3</v>
      </c>
      <c r="AS906" s="27">
        <f t="shared" si="317"/>
        <v>3.8835354931974382E-3</v>
      </c>
      <c r="AT906" s="27">
        <f t="shared" si="317"/>
        <v>3.8849571535560438E-3</v>
      </c>
      <c r="AU906" s="27">
        <f t="shared" si="317"/>
        <v>3.8865155619950283E-3</v>
      </c>
      <c r="AV906" s="27">
        <f t="shared" si="317"/>
        <v>3.8881616591359886E-3</v>
      </c>
      <c r="AW906" s="27">
        <f t="shared" si="317"/>
        <v>3.8899851123662963E-3</v>
      </c>
      <c r="AY906" s="79"/>
      <c r="AZ906" s="79"/>
    </row>
    <row r="907" spans="1:52" x14ac:dyDescent="0.3">
      <c r="A907" s="95" t="str">
        <f t="shared" si="270"/>
        <v>BD MM Leaching</v>
      </c>
      <c r="B907" s="95" t="s">
        <v>1228</v>
      </c>
      <c r="C907" s="95" t="s">
        <v>1333</v>
      </c>
      <c r="D907" t="s">
        <v>369</v>
      </c>
      <c r="E907" t="s">
        <v>64</v>
      </c>
      <c r="F907" t="s">
        <v>63</v>
      </c>
      <c r="G907" t="s">
        <v>1168</v>
      </c>
      <c r="H907" t="s">
        <v>1314</v>
      </c>
      <c r="I907" t="s">
        <v>139</v>
      </c>
      <c r="J907" t="s">
        <v>287</v>
      </c>
      <c r="K907" s="27">
        <f t="shared" ref="K907:AW907" si="318">K1555</f>
        <v>5.4322987485311562E-4</v>
      </c>
      <c r="L907" s="27">
        <f t="shared" si="318"/>
        <v>5.4464201031358182E-4</v>
      </c>
      <c r="M907" s="27">
        <f t="shared" si="318"/>
        <v>5.4659000127818655E-4</v>
      </c>
      <c r="N907" s="27">
        <f t="shared" si="318"/>
        <v>5.4896316873921213E-4</v>
      </c>
      <c r="O907" s="27">
        <f t="shared" si="318"/>
        <v>5.5175812793145673E-4</v>
      </c>
      <c r="P907" s="27">
        <f t="shared" si="318"/>
        <v>5.5495786726734487E-4</v>
      </c>
      <c r="Q907" s="27">
        <f t="shared" si="318"/>
        <v>5.5840147541839718E-4</v>
      </c>
      <c r="R907" s="27">
        <f t="shared" si="318"/>
        <v>5.620753208024884E-4</v>
      </c>
      <c r="S907" s="27">
        <f t="shared" si="318"/>
        <v>5.65407082502121E-4</v>
      </c>
      <c r="T907" s="27">
        <f t="shared" si="318"/>
        <v>5.6703451753723681E-4</v>
      </c>
      <c r="U907" s="27">
        <f t="shared" si="318"/>
        <v>5.6889992124546543E-4</v>
      </c>
      <c r="V907" s="27">
        <f t="shared" si="318"/>
        <v>5.7080142404289684E-4</v>
      </c>
      <c r="W907" s="27">
        <f t="shared" si="318"/>
        <v>5.7286374667304399E-4</v>
      </c>
      <c r="X907" s="27">
        <f t="shared" si="318"/>
        <v>5.7508348073871955E-4</v>
      </c>
      <c r="Y907" s="27">
        <f t="shared" si="318"/>
        <v>5.765040134864081E-4</v>
      </c>
      <c r="Z907" s="27">
        <f t="shared" si="318"/>
        <v>5.7805815510049798E-4</v>
      </c>
      <c r="AA907" s="27">
        <f t="shared" si="318"/>
        <v>5.7972772798702628E-4</v>
      </c>
      <c r="AB907" s="27">
        <f t="shared" si="318"/>
        <v>5.8151809327226973E-4</v>
      </c>
      <c r="AC907" s="27">
        <f t="shared" si="318"/>
        <v>5.8341243976409618E-4</v>
      </c>
      <c r="AD907" s="27">
        <f t="shared" si="318"/>
        <v>5.8467575387111191E-4</v>
      </c>
      <c r="AE907" s="27">
        <f t="shared" si="318"/>
        <v>5.8602300319697499E-4</v>
      </c>
      <c r="AF907" s="27">
        <f t="shared" si="318"/>
        <v>5.8746559148115021E-4</v>
      </c>
      <c r="AG907" s="27">
        <f t="shared" si="318"/>
        <v>5.8901817067528485E-4</v>
      </c>
      <c r="AH907" s="27">
        <f t="shared" si="318"/>
        <v>5.9063383572059778E-4</v>
      </c>
      <c r="AI907" s="27">
        <f t="shared" si="318"/>
        <v>5.9163445865223843E-4</v>
      </c>
      <c r="AJ907" s="27">
        <f t="shared" si="318"/>
        <v>5.927203167225099E-4</v>
      </c>
      <c r="AK907" s="27">
        <f t="shared" si="318"/>
        <v>5.9385364522191255E-4</v>
      </c>
      <c r="AL907" s="27">
        <f t="shared" si="318"/>
        <v>5.9504779442231843E-4</v>
      </c>
      <c r="AM907" s="27">
        <f t="shared" si="318"/>
        <v>5.9630112936813668E-4</v>
      </c>
      <c r="AN907" s="27">
        <f t="shared" si="318"/>
        <v>5.9698587491705869E-4</v>
      </c>
      <c r="AO907" s="27">
        <f t="shared" si="318"/>
        <v>5.9771375764922606E-4</v>
      </c>
      <c r="AP907" s="27">
        <f t="shared" si="318"/>
        <v>5.9850335838718442E-4</v>
      </c>
      <c r="AQ907" s="27">
        <f t="shared" si="318"/>
        <v>5.993539230264727E-4</v>
      </c>
      <c r="AR907" s="27">
        <f t="shared" si="318"/>
        <v>6.0026554968942018E-4</v>
      </c>
      <c r="AS907" s="27">
        <f t="shared" si="318"/>
        <v>6.0058687026311956E-4</v>
      </c>
      <c r="AT907" s="27">
        <f t="shared" si="318"/>
        <v>6.0072956880295909E-4</v>
      </c>
      <c r="AU907" s="27">
        <f t="shared" si="318"/>
        <v>6.0089545684115426E-4</v>
      </c>
      <c r="AV907" s="27">
        <f t="shared" si="318"/>
        <v>6.0107404835249166E-4</v>
      </c>
      <c r="AW907" s="27">
        <f t="shared" si="318"/>
        <v>6.0128502571355803E-4</v>
      </c>
      <c r="AY907" s="79"/>
      <c r="AZ907" s="79"/>
    </row>
    <row r="908" spans="1:52" x14ac:dyDescent="0.3">
      <c r="A908" s="95" t="str">
        <f t="shared" si="270"/>
        <v>BD MM Leaching</v>
      </c>
      <c r="B908" s="95" t="s">
        <v>1228</v>
      </c>
      <c r="C908" s="95" t="s">
        <v>1333</v>
      </c>
      <c r="D908" t="s">
        <v>369</v>
      </c>
      <c r="E908" t="s">
        <v>64</v>
      </c>
      <c r="F908" t="s">
        <v>63</v>
      </c>
      <c r="G908" t="s">
        <v>1170</v>
      </c>
      <c r="H908" t="s">
        <v>1315</v>
      </c>
      <c r="I908" t="s">
        <v>139</v>
      </c>
      <c r="J908" t="s">
        <v>287</v>
      </c>
      <c r="K908" s="27">
        <f t="shared" ref="K908:AW908" si="319">K1556</f>
        <v>6.6992563985089947E-3</v>
      </c>
      <c r="L908" s="27">
        <f t="shared" si="319"/>
        <v>6.716671231449923E-3</v>
      </c>
      <c r="M908" s="27">
        <f t="shared" si="319"/>
        <v>6.7406943780734313E-3</v>
      </c>
      <c r="N908" s="27">
        <f t="shared" si="319"/>
        <v>6.7699609151951386E-3</v>
      </c>
      <c r="O908" s="27">
        <f t="shared" si="319"/>
        <v>6.8044291009834836E-3</v>
      </c>
      <c r="P908" s="27">
        <f t="shared" si="319"/>
        <v>6.8438891439814974E-3</v>
      </c>
      <c r="Q908" s="27">
        <f t="shared" si="319"/>
        <v>6.8863566425632575E-3</v>
      </c>
      <c r="R908" s="27">
        <f t="shared" si="319"/>
        <v>6.9316634884048298E-3</v>
      </c>
      <c r="S908" s="27">
        <f t="shared" si="319"/>
        <v>6.9727516665736141E-3</v>
      </c>
      <c r="T908" s="27">
        <f t="shared" si="319"/>
        <v>6.9928216315679071E-3</v>
      </c>
      <c r="U908" s="27">
        <f t="shared" si="319"/>
        <v>7.0158262900129739E-3</v>
      </c>
      <c r="V908" s="27">
        <f t="shared" si="319"/>
        <v>7.0392761321003963E-3</v>
      </c>
      <c r="W908" s="27">
        <f t="shared" si="319"/>
        <v>7.0647092474634627E-3</v>
      </c>
      <c r="X908" s="27">
        <f t="shared" si="319"/>
        <v>7.0920836028346328E-3</v>
      </c>
      <c r="Y908" s="27">
        <f t="shared" si="319"/>
        <v>7.1096019933720011E-3</v>
      </c>
      <c r="Z908" s="27">
        <f t="shared" si="319"/>
        <v>7.1287680842560801E-3</v>
      </c>
      <c r="AA908" s="27">
        <f t="shared" si="319"/>
        <v>7.1493577045266439E-3</v>
      </c>
      <c r="AB908" s="27">
        <f t="shared" si="319"/>
        <v>7.1714369690296844E-3</v>
      </c>
      <c r="AC908" s="27">
        <f t="shared" si="319"/>
        <v>7.1947985576385452E-3</v>
      </c>
      <c r="AD908" s="27">
        <f t="shared" si="319"/>
        <v>7.2103780857656428E-3</v>
      </c>
      <c r="AE908" s="27">
        <f t="shared" si="319"/>
        <v>7.2269927255056137E-3</v>
      </c>
      <c r="AF908" s="27">
        <f t="shared" si="319"/>
        <v>7.2447831108296695E-3</v>
      </c>
      <c r="AG908" s="27">
        <f t="shared" si="319"/>
        <v>7.2639299335321393E-3</v>
      </c>
      <c r="AH908" s="27">
        <f t="shared" si="319"/>
        <v>7.2838547478579095E-3</v>
      </c>
      <c r="AI908" s="27">
        <f t="shared" si="319"/>
        <v>7.2961946980108746E-3</v>
      </c>
      <c r="AJ908" s="27">
        <f t="shared" si="319"/>
        <v>7.3095857907358557E-3</v>
      </c>
      <c r="AK908" s="27">
        <f t="shared" si="319"/>
        <v>7.3235623015146271E-3</v>
      </c>
      <c r="AL908" s="27">
        <f t="shared" si="319"/>
        <v>7.3382888694777E-3</v>
      </c>
      <c r="AM908" s="27">
        <f t="shared" si="319"/>
        <v>7.3537453319145558E-3</v>
      </c>
      <c r="AN908" s="27">
        <f t="shared" si="319"/>
        <v>7.3621897975308988E-3</v>
      </c>
      <c r="AO908" s="27">
        <f t="shared" si="319"/>
        <v>7.3711662424514879E-3</v>
      </c>
      <c r="AP908" s="27">
        <f t="shared" si="319"/>
        <v>7.3809038103594829E-3</v>
      </c>
      <c r="AQ908" s="27">
        <f t="shared" si="319"/>
        <v>7.3913932014365797E-3</v>
      </c>
      <c r="AR908" s="27">
        <f t="shared" si="319"/>
        <v>7.4026356257536402E-3</v>
      </c>
      <c r="AS908" s="27">
        <f t="shared" si="319"/>
        <v>7.4065982371801786E-3</v>
      </c>
      <c r="AT908" s="27">
        <f t="shared" si="319"/>
        <v>7.408358033815691E-3</v>
      </c>
      <c r="AU908" s="27">
        <f t="shared" si="319"/>
        <v>7.4104038095595542E-3</v>
      </c>
      <c r="AV908" s="27">
        <f t="shared" si="319"/>
        <v>7.4126062479386483E-3</v>
      </c>
      <c r="AW908" s="27">
        <f t="shared" si="319"/>
        <v>7.4152080772957795E-3</v>
      </c>
      <c r="AY908" s="79"/>
      <c r="AZ908" s="79"/>
    </row>
    <row r="909" spans="1:52" x14ac:dyDescent="0.3">
      <c r="A909" s="95" t="str">
        <f t="shared" si="270"/>
        <v>BD MM Leaching</v>
      </c>
      <c r="B909" s="95" t="s">
        <v>1228</v>
      </c>
      <c r="C909" s="95" t="s">
        <v>1333</v>
      </c>
      <c r="D909" t="s">
        <v>369</v>
      </c>
      <c r="E909" t="s">
        <v>64</v>
      </c>
      <c r="F909" t="s">
        <v>63</v>
      </c>
      <c r="G909" t="s">
        <v>1172</v>
      </c>
      <c r="H909" t="s">
        <v>1316</v>
      </c>
      <c r="I909" t="s">
        <v>139</v>
      </c>
      <c r="J909" t="s">
        <v>287</v>
      </c>
      <c r="K909" s="27">
        <f t="shared" ref="K909:AW909" si="320">K1557</f>
        <v>0</v>
      </c>
      <c r="L909" s="27">
        <f t="shared" si="320"/>
        <v>0</v>
      </c>
      <c r="M909" s="27">
        <f t="shared" si="320"/>
        <v>0</v>
      </c>
      <c r="N909" s="27">
        <f t="shared" si="320"/>
        <v>0</v>
      </c>
      <c r="O909" s="27">
        <f t="shared" si="320"/>
        <v>0</v>
      </c>
      <c r="P909" s="27">
        <f t="shared" si="320"/>
        <v>0</v>
      </c>
      <c r="Q909" s="27">
        <f t="shared" si="320"/>
        <v>0</v>
      </c>
      <c r="R909" s="27">
        <f t="shared" si="320"/>
        <v>0</v>
      </c>
      <c r="S909" s="27">
        <f t="shared" si="320"/>
        <v>0</v>
      </c>
      <c r="T909" s="27">
        <f t="shared" si="320"/>
        <v>0</v>
      </c>
      <c r="U909" s="27">
        <f t="shared" si="320"/>
        <v>0</v>
      </c>
      <c r="V909" s="27">
        <f t="shared" si="320"/>
        <v>0</v>
      </c>
      <c r="W909" s="27">
        <f t="shared" si="320"/>
        <v>0</v>
      </c>
      <c r="X909" s="27">
        <f t="shared" si="320"/>
        <v>0</v>
      </c>
      <c r="Y909" s="27">
        <f t="shared" si="320"/>
        <v>0</v>
      </c>
      <c r="Z909" s="27">
        <f t="shared" si="320"/>
        <v>0</v>
      </c>
      <c r="AA909" s="27">
        <f t="shared" si="320"/>
        <v>0</v>
      </c>
      <c r="AB909" s="27">
        <f t="shared" si="320"/>
        <v>0</v>
      </c>
      <c r="AC909" s="27">
        <f t="shared" si="320"/>
        <v>0</v>
      </c>
      <c r="AD909" s="27">
        <f t="shared" si="320"/>
        <v>0</v>
      </c>
      <c r="AE909" s="27">
        <f t="shared" si="320"/>
        <v>0</v>
      </c>
      <c r="AF909" s="27">
        <f t="shared" si="320"/>
        <v>0</v>
      </c>
      <c r="AG909" s="27">
        <f t="shared" si="320"/>
        <v>0</v>
      </c>
      <c r="AH909" s="27">
        <f t="shared" si="320"/>
        <v>0</v>
      </c>
      <c r="AI909" s="27">
        <f t="shared" si="320"/>
        <v>0</v>
      </c>
      <c r="AJ909" s="27">
        <f t="shared" si="320"/>
        <v>0</v>
      </c>
      <c r="AK909" s="27">
        <f t="shared" si="320"/>
        <v>0</v>
      </c>
      <c r="AL909" s="27">
        <f t="shared" si="320"/>
        <v>0</v>
      </c>
      <c r="AM909" s="27">
        <f t="shared" si="320"/>
        <v>0</v>
      </c>
      <c r="AN909" s="27">
        <f t="shared" si="320"/>
        <v>0</v>
      </c>
      <c r="AO909" s="27">
        <f t="shared" si="320"/>
        <v>0</v>
      </c>
      <c r="AP909" s="27">
        <f t="shared" si="320"/>
        <v>0</v>
      </c>
      <c r="AQ909" s="27">
        <f t="shared" si="320"/>
        <v>0</v>
      </c>
      <c r="AR909" s="27">
        <f t="shared" si="320"/>
        <v>0</v>
      </c>
      <c r="AS909" s="27">
        <f t="shared" si="320"/>
        <v>0</v>
      </c>
      <c r="AT909" s="27">
        <f t="shared" si="320"/>
        <v>0</v>
      </c>
      <c r="AU909" s="27">
        <f t="shared" si="320"/>
        <v>0</v>
      </c>
      <c r="AV909" s="27">
        <f t="shared" si="320"/>
        <v>0</v>
      </c>
      <c r="AW909" s="27">
        <f t="shared" si="320"/>
        <v>0</v>
      </c>
      <c r="AY909" s="79"/>
      <c r="AZ909" s="79"/>
    </row>
    <row r="910" spans="1:52" x14ac:dyDescent="0.3">
      <c r="A910" s="95" t="str">
        <f t="shared" si="270"/>
        <v>BD MM Leaching</v>
      </c>
      <c r="B910" s="95" t="s">
        <v>1228</v>
      </c>
      <c r="C910" s="95" t="s">
        <v>1333</v>
      </c>
      <c r="D910" t="s">
        <v>369</v>
      </c>
      <c r="E910" t="s">
        <v>64</v>
      </c>
      <c r="F910" t="s">
        <v>63</v>
      </c>
      <c r="G910" t="s">
        <v>1174</v>
      </c>
      <c r="H910" t="s">
        <v>1317</v>
      </c>
      <c r="I910" t="s">
        <v>139</v>
      </c>
      <c r="J910" t="s">
        <v>287</v>
      </c>
      <c r="K910" s="27">
        <f t="shared" ref="K910:AW910" si="321">K1558</f>
        <v>0</v>
      </c>
      <c r="L910" s="27">
        <f t="shared" si="321"/>
        <v>0</v>
      </c>
      <c r="M910" s="27">
        <f t="shared" si="321"/>
        <v>0</v>
      </c>
      <c r="N910" s="27">
        <f t="shared" si="321"/>
        <v>0</v>
      </c>
      <c r="O910" s="27">
        <f t="shared" si="321"/>
        <v>0</v>
      </c>
      <c r="P910" s="27">
        <f t="shared" si="321"/>
        <v>0</v>
      </c>
      <c r="Q910" s="27">
        <f t="shared" si="321"/>
        <v>0</v>
      </c>
      <c r="R910" s="27">
        <f t="shared" si="321"/>
        <v>0</v>
      </c>
      <c r="S910" s="27">
        <f t="shared" si="321"/>
        <v>0</v>
      </c>
      <c r="T910" s="27">
        <f t="shared" si="321"/>
        <v>0</v>
      </c>
      <c r="U910" s="27">
        <f t="shared" si="321"/>
        <v>0</v>
      </c>
      <c r="V910" s="27">
        <f t="shared" si="321"/>
        <v>0</v>
      </c>
      <c r="W910" s="27">
        <f t="shared" si="321"/>
        <v>0</v>
      </c>
      <c r="X910" s="27">
        <f t="shared" si="321"/>
        <v>0</v>
      </c>
      <c r="Y910" s="27">
        <f t="shared" si="321"/>
        <v>0</v>
      </c>
      <c r="Z910" s="27">
        <f t="shared" si="321"/>
        <v>0</v>
      </c>
      <c r="AA910" s="27">
        <f t="shared" si="321"/>
        <v>0</v>
      </c>
      <c r="AB910" s="27">
        <f t="shared" si="321"/>
        <v>0</v>
      </c>
      <c r="AC910" s="27">
        <f t="shared" si="321"/>
        <v>0</v>
      </c>
      <c r="AD910" s="27">
        <f t="shared" si="321"/>
        <v>0</v>
      </c>
      <c r="AE910" s="27">
        <f t="shared" si="321"/>
        <v>0</v>
      </c>
      <c r="AF910" s="27">
        <f t="shared" si="321"/>
        <v>0</v>
      </c>
      <c r="AG910" s="27">
        <f t="shared" si="321"/>
        <v>0</v>
      </c>
      <c r="AH910" s="27">
        <f t="shared" si="321"/>
        <v>0</v>
      </c>
      <c r="AI910" s="27">
        <f t="shared" si="321"/>
        <v>0</v>
      </c>
      <c r="AJ910" s="27">
        <f t="shared" si="321"/>
        <v>0</v>
      </c>
      <c r="AK910" s="27">
        <f t="shared" si="321"/>
        <v>0</v>
      </c>
      <c r="AL910" s="27">
        <f t="shared" si="321"/>
        <v>0</v>
      </c>
      <c r="AM910" s="27">
        <f t="shared" si="321"/>
        <v>0</v>
      </c>
      <c r="AN910" s="27">
        <f t="shared" si="321"/>
        <v>0</v>
      </c>
      <c r="AO910" s="27">
        <f t="shared" si="321"/>
        <v>0</v>
      </c>
      <c r="AP910" s="27">
        <f t="shared" si="321"/>
        <v>0</v>
      </c>
      <c r="AQ910" s="27">
        <f t="shared" si="321"/>
        <v>0</v>
      </c>
      <c r="AR910" s="27">
        <f t="shared" si="321"/>
        <v>0</v>
      </c>
      <c r="AS910" s="27">
        <f t="shared" si="321"/>
        <v>0</v>
      </c>
      <c r="AT910" s="27">
        <f t="shared" si="321"/>
        <v>0</v>
      </c>
      <c r="AU910" s="27">
        <f t="shared" si="321"/>
        <v>0</v>
      </c>
      <c r="AV910" s="27">
        <f t="shared" si="321"/>
        <v>0</v>
      </c>
      <c r="AW910" s="27">
        <f t="shared" si="321"/>
        <v>0</v>
      </c>
      <c r="AY910" s="79"/>
      <c r="AZ910" s="79"/>
    </row>
    <row r="911" spans="1:52" x14ac:dyDescent="0.3">
      <c r="A911" s="95" t="str">
        <f t="shared" si="270"/>
        <v>BD MM Leaching</v>
      </c>
      <c r="B911" s="95" t="s">
        <v>1228</v>
      </c>
      <c r="C911" s="95" t="s">
        <v>1333</v>
      </c>
      <c r="D911" t="s">
        <v>369</v>
      </c>
      <c r="E911" t="s">
        <v>64</v>
      </c>
      <c r="F911" t="s">
        <v>63</v>
      </c>
      <c r="G911" t="s">
        <v>1176</v>
      </c>
      <c r="H911" t="s">
        <v>1318</v>
      </c>
      <c r="I911" t="s">
        <v>139</v>
      </c>
      <c r="J911" t="s">
        <v>287</v>
      </c>
      <c r="K911" s="27">
        <f t="shared" ref="K911:AW911" si="322">K1559</f>
        <v>2.6875086183165937E-2</v>
      </c>
      <c r="L911" s="27">
        <f t="shared" si="322"/>
        <v>2.6729002214214568E-2</v>
      </c>
      <c r="M911" s="27">
        <f t="shared" si="322"/>
        <v>2.6740992333189318E-2</v>
      </c>
      <c r="N911" s="27">
        <f t="shared" si="322"/>
        <v>2.6495489531984443E-2</v>
      </c>
      <c r="O911" s="27">
        <f t="shared" si="322"/>
        <v>2.609452683304701E-2</v>
      </c>
      <c r="P911" s="27">
        <f t="shared" si="322"/>
        <v>2.5544514050244025E-2</v>
      </c>
      <c r="Q911" s="27">
        <f t="shared" si="322"/>
        <v>2.5145143775072754E-2</v>
      </c>
      <c r="R911" s="27">
        <f t="shared" si="322"/>
        <v>2.4781112413324514E-2</v>
      </c>
      <c r="S911" s="27">
        <f t="shared" si="322"/>
        <v>2.1880480805765091E-2</v>
      </c>
      <c r="T911" s="27">
        <f t="shared" si="322"/>
        <v>2.2157174302587897E-2</v>
      </c>
      <c r="U911" s="27">
        <f t="shared" si="322"/>
        <v>2.2750904230467162E-2</v>
      </c>
      <c r="V911" s="27">
        <f t="shared" si="322"/>
        <v>2.2804811823411601E-2</v>
      </c>
      <c r="W911" s="27">
        <f t="shared" si="322"/>
        <v>2.292155171126611E-2</v>
      </c>
      <c r="X911" s="27">
        <f t="shared" si="322"/>
        <v>2.3117832526296487E-2</v>
      </c>
      <c r="Y911" s="27">
        <f t="shared" si="322"/>
        <v>2.3364125716575319E-2</v>
      </c>
      <c r="Z911" s="27">
        <f t="shared" si="322"/>
        <v>2.3665937141590494E-2</v>
      </c>
      <c r="AA911" s="27">
        <f t="shared" si="322"/>
        <v>2.3971277948899337E-2</v>
      </c>
      <c r="AB911" s="27">
        <f t="shared" si="322"/>
        <v>2.4323808269457244E-2</v>
      </c>
      <c r="AC911" s="27">
        <f t="shared" si="322"/>
        <v>2.4673905433943388E-2</v>
      </c>
      <c r="AD911" s="27">
        <f t="shared" si="322"/>
        <v>2.5109167618050737E-2</v>
      </c>
      <c r="AE911" s="27">
        <f t="shared" si="322"/>
        <v>2.5509858249217851E-2</v>
      </c>
      <c r="AF911" s="27">
        <f t="shared" si="322"/>
        <v>2.5936225115881856E-2</v>
      </c>
      <c r="AG911" s="27">
        <f t="shared" si="322"/>
        <v>2.6456337070766354E-2</v>
      </c>
      <c r="AH911" s="27">
        <f t="shared" si="322"/>
        <v>2.6902942278627297E-2</v>
      </c>
      <c r="AI911" s="27">
        <f t="shared" si="322"/>
        <v>2.7384983876862477E-2</v>
      </c>
      <c r="AJ911" s="27">
        <f t="shared" si="322"/>
        <v>2.7908158351219941E-2</v>
      </c>
      <c r="AK911" s="27">
        <f t="shared" si="322"/>
        <v>2.8344604443718637E-2</v>
      </c>
      <c r="AL911" s="27">
        <f t="shared" si="322"/>
        <v>2.8753897192929187E-2</v>
      </c>
      <c r="AM911" s="27">
        <f t="shared" si="322"/>
        <v>2.9139337629284397E-2</v>
      </c>
      <c r="AN911" s="27">
        <f t="shared" si="322"/>
        <v>2.9584390604572932E-2</v>
      </c>
      <c r="AO911" s="27">
        <f t="shared" si="322"/>
        <v>2.9970416689145254E-2</v>
      </c>
      <c r="AP911" s="27">
        <f t="shared" si="322"/>
        <v>3.0368893670993099E-2</v>
      </c>
      <c r="AQ911" s="27">
        <f t="shared" si="322"/>
        <v>3.0782827170501174E-2</v>
      </c>
      <c r="AR911" s="27">
        <f t="shared" si="322"/>
        <v>3.1217396528975507E-2</v>
      </c>
      <c r="AS911" s="27">
        <f t="shared" si="322"/>
        <v>3.1673723172219483E-2</v>
      </c>
      <c r="AT911" s="27">
        <f t="shared" si="322"/>
        <v>3.1396042142995774E-2</v>
      </c>
      <c r="AU911" s="27">
        <f t="shared" si="322"/>
        <v>3.1054190241510845E-2</v>
      </c>
      <c r="AV911" s="27">
        <f t="shared" si="322"/>
        <v>3.0622832551979947E-2</v>
      </c>
      <c r="AW911" s="27">
        <f t="shared" si="322"/>
        <v>3.01703196842419E-2</v>
      </c>
      <c r="AY911" s="79"/>
      <c r="AZ911" s="79"/>
    </row>
    <row r="912" spans="1:52" x14ac:dyDescent="0.3">
      <c r="A912" s="95" t="str">
        <f t="shared" si="270"/>
        <v>BD MM Leaching</v>
      </c>
      <c r="B912" s="95" t="s">
        <v>1228</v>
      </c>
      <c r="C912" s="95" t="s">
        <v>1333</v>
      </c>
      <c r="D912" t="s">
        <v>369</v>
      </c>
      <c r="E912" t="s">
        <v>64</v>
      </c>
      <c r="F912" t="s">
        <v>63</v>
      </c>
      <c r="G912" t="s">
        <v>1178</v>
      </c>
      <c r="H912" t="s">
        <v>1319</v>
      </c>
      <c r="I912" t="s">
        <v>139</v>
      </c>
      <c r="J912" t="s">
        <v>287</v>
      </c>
      <c r="K912" s="27">
        <f t="shared" ref="K912:AW912" si="323">K1560</f>
        <v>4.0166140097319695E-3</v>
      </c>
      <c r="L912" s="27">
        <f t="shared" si="323"/>
        <v>3.994781041000697E-3</v>
      </c>
      <c r="M912" s="27">
        <f t="shared" si="323"/>
        <v>3.9965730233416695E-3</v>
      </c>
      <c r="N912" s="27">
        <f t="shared" si="323"/>
        <v>3.9598814204188995E-3</v>
      </c>
      <c r="O912" s="27">
        <f t="shared" si="323"/>
        <v>3.8999555700251301E-3</v>
      </c>
      <c r="P912" s="27">
        <f t="shared" si="323"/>
        <v>3.8177534504158571E-3</v>
      </c>
      <c r="Q912" s="27">
        <f t="shared" si="323"/>
        <v>3.7580655955978047E-3</v>
      </c>
      <c r="R912" s="27">
        <f t="shared" si="323"/>
        <v>3.7036593154610871E-3</v>
      </c>
      <c r="S912" s="27">
        <f t="shared" si="323"/>
        <v>3.2701456339573466E-3</v>
      </c>
      <c r="T912" s="27">
        <f t="shared" si="323"/>
        <v>3.31149883997744E-3</v>
      </c>
      <c r="U912" s="27">
        <f t="shared" si="323"/>
        <v>3.4002347022576052E-3</v>
      </c>
      <c r="V912" s="27">
        <f t="shared" si="323"/>
        <v>3.40829145755788E-3</v>
      </c>
      <c r="W912" s="27">
        <f t="shared" si="323"/>
        <v>3.4257388088279458E-3</v>
      </c>
      <c r="X912" s="27">
        <f t="shared" si="323"/>
        <v>3.4550739434622826E-3</v>
      </c>
      <c r="Y912" s="27">
        <f t="shared" si="323"/>
        <v>3.491883673925408E-3</v>
      </c>
      <c r="Z912" s="27">
        <f t="shared" si="323"/>
        <v>3.5369908780382062E-3</v>
      </c>
      <c r="AA912" s="27">
        <f t="shared" si="323"/>
        <v>3.5826255657196082E-3</v>
      </c>
      <c r="AB912" s="27">
        <f t="shared" si="323"/>
        <v>3.6353129585993062E-3</v>
      </c>
      <c r="AC912" s="27">
        <f t="shared" si="323"/>
        <v>3.6876367043189875E-3</v>
      </c>
      <c r="AD912" s="27">
        <f t="shared" si="323"/>
        <v>3.7526887817217083E-3</v>
      </c>
      <c r="AE912" s="27">
        <f t="shared" si="323"/>
        <v>3.8125739702470681E-3</v>
      </c>
      <c r="AF912" s="27">
        <f t="shared" si="323"/>
        <v>3.87629659864187E-3</v>
      </c>
      <c r="AG912" s="27">
        <f t="shared" si="323"/>
        <v>3.9540298922350536E-3</v>
      </c>
      <c r="AH912" s="27">
        <f t="shared" si="323"/>
        <v>4.0207772404105219E-3</v>
      </c>
      <c r="AI912" s="27">
        <f t="shared" si="323"/>
        <v>4.0928207316778291E-3</v>
      </c>
      <c r="AJ912" s="27">
        <f t="shared" si="323"/>
        <v>4.1710117338914204E-3</v>
      </c>
      <c r="AK912" s="27">
        <f t="shared" si="323"/>
        <v>4.2362407522348522E-3</v>
      </c>
      <c r="AL912" s="27">
        <f t="shared" si="323"/>
        <v>4.2974115696735888E-3</v>
      </c>
      <c r="AM912" s="27">
        <f t="shared" si="323"/>
        <v>4.3550175414658315E-3</v>
      </c>
      <c r="AN912" s="27">
        <f t="shared" si="323"/>
        <v>4.4215329008374625E-3</v>
      </c>
      <c r="AO912" s="27">
        <f t="shared" si="323"/>
        <v>4.479226400640501E-3</v>
      </c>
      <c r="AP912" s="27">
        <f t="shared" si="323"/>
        <v>4.5387807483712392E-3</v>
      </c>
      <c r="AQ912" s="27">
        <f t="shared" si="323"/>
        <v>4.6006451488010665E-3</v>
      </c>
      <c r="AR912" s="27">
        <f t="shared" si="323"/>
        <v>4.665593680000254E-3</v>
      </c>
      <c r="AS912" s="27">
        <f t="shared" si="323"/>
        <v>4.7337939445789724E-3</v>
      </c>
      <c r="AT912" s="27">
        <f t="shared" si="323"/>
        <v>4.6922931469772361E-3</v>
      </c>
      <c r="AU912" s="27">
        <f t="shared" si="323"/>
        <v>4.6412016964271002E-3</v>
      </c>
      <c r="AV912" s="27">
        <f t="shared" si="323"/>
        <v>4.5767331649713494E-3</v>
      </c>
      <c r="AW912" s="27">
        <f t="shared" si="323"/>
        <v>4.5091028879276577E-3</v>
      </c>
      <c r="AY912" s="79"/>
      <c r="AZ912" s="79"/>
    </row>
    <row r="913" spans="1:52" x14ac:dyDescent="0.3">
      <c r="A913" s="95" t="str">
        <f t="shared" si="270"/>
        <v>BD MM Leaching</v>
      </c>
      <c r="B913" s="95" t="s">
        <v>1228</v>
      </c>
      <c r="C913" s="95" t="s">
        <v>1333</v>
      </c>
      <c r="D913" t="s">
        <v>369</v>
      </c>
      <c r="E913" t="s">
        <v>64</v>
      </c>
      <c r="F913" t="s">
        <v>63</v>
      </c>
      <c r="G913" t="s">
        <v>1180</v>
      </c>
      <c r="H913" t="s">
        <v>1320</v>
      </c>
      <c r="I913" t="s">
        <v>139</v>
      </c>
      <c r="J913" t="s">
        <v>287</v>
      </c>
      <c r="K913" s="27">
        <f t="shared" ref="K913:AW913" si="324">K1561</f>
        <v>1.6726645268412742E-2</v>
      </c>
      <c r="L913" s="27">
        <f t="shared" si="324"/>
        <v>1.7066731126843739E-2</v>
      </c>
      <c r="M913" s="27">
        <f t="shared" si="324"/>
        <v>1.7464259263446445E-2</v>
      </c>
      <c r="N913" s="27">
        <f t="shared" si="324"/>
        <v>1.77694513935726E-2</v>
      </c>
      <c r="O913" s="27">
        <f t="shared" si="324"/>
        <v>1.8014444056791569E-2</v>
      </c>
      <c r="P913" s="27">
        <f t="shared" si="324"/>
        <v>1.8197780265539362E-2</v>
      </c>
      <c r="Q913" s="27">
        <f t="shared" si="324"/>
        <v>1.8432867891885713E-2</v>
      </c>
      <c r="R913" s="27">
        <f t="shared" si="324"/>
        <v>1.8677293946611207E-2</v>
      </c>
      <c r="S913" s="27">
        <f t="shared" si="324"/>
        <v>1.7845993977500554E-2</v>
      </c>
      <c r="T913" s="27">
        <f t="shared" si="324"/>
        <v>1.8290177947761724E-2</v>
      </c>
      <c r="U913" s="27">
        <f t="shared" si="324"/>
        <v>1.8882126643784119E-2</v>
      </c>
      <c r="V913" s="27">
        <f t="shared" si="324"/>
        <v>1.9244149446427172E-2</v>
      </c>
      <c r="W913" s="27">
        <f t="shared" si="324"/>
        <v>1.9638833779478608E-2</v>
      </c>
      <c r="X913" s="27">
        <f t="shared" si="324"/>
        <v>2.0076166391792365E-2</v>
      </c>
      <c r="Y913" s="27">
        <f t="shared" si="324"/>
        <v>2.0527873811486335E-2</v>
      </c>
      <c r="Z913" s="27">
        <f t="shared" si="324"/>
        <v>2.1014725008073262E-2</v>
      </c>
      <c r="AA913" s="27">
        <f t="shared" si="324"/>
        <v>2.1512524786700418E-2</v>
      </c>
      <c r="AB913" s="27">
        <f t="shared" si="324"/>
        <v>2.204403910450644E-2</v>
      </c>
      <c r="AC913" s="27">
        <f t="shared" si="324"/>
        <v>2.2585019508801499E-2</v>
      </c>
      <c r="AD913" s="27">
        <f t="shared" si="324"/>
        <v>2.3168701426676565E-2</v>
      </c>
      <c r="AE913" s="27">
        <f t="shared" si="324"/>
        <v>2.3746356188951337E-2</v>
      </c>
      <c r="AF913" s="27">
        <f t="shared" si="324"/>
        <v>2.4350664580619397E-2</v>
      </c>
      <c r="AG913" s="27">
        <f t="shared" si="324"/>
        <v>2.5021362816751564E-2</v>
      </c>
      <c r="AH913" s="27">
        <f t="shared" si="324"/>
        <v>2.5665252656926436E-2</v>
      </c>
      <c r="AI913" s="27">
        <f t="shared" si="324"/>
        <v>2.6331138974392616E-2</v>
      </c>
      <c r="AJ913" s="27">
        <f t="shared" si="324"/>
        <v>2.7037084930771747E-2</v>
      </c>
      <c r="AK913" s="27">
        <f t="shared" si="324"/>
        <v>2.7706662515763772E-2</v>
      </c>
      <c r="AL913" s="27">
        <f t="shared" si="324"/>
        <v>2.8374415178094886E-2</v>
      </c>
      <c r="AM913" s="27">
        <f t="shared" si="324"/>
        <v>2.9041879152159198E-2</v>
      </c>
      <c r="AN913" s="27">
        <f t="shared" si="324"/>
        <v>2.9750026658148378E-2</v>
      </c>
      <c r="AO913" s="27">
        <f t="shared" si="324"/>
        <v>3.0435625912582094E-2</v>
      </c>
      <c r="AP913" s="27">
        <f t="shared" si="324"/>
        <v>3.1144967675009176E-2</v>
      </c>
      <c r="AQ913" s="27">
        <f t="shared" si="324"/>
        <v>3.1881013101963972E-2</v>
      </c>
      <c r="AR913" s="27">
        <f t="shared" si="324"/>
        <v>3.2648423492469485E-2</v>
      </c>
      <c r="AS913" s="27">
        <f t="shared" si="324"/>
        <v>3.3436328313148703E-2</v>
      </c>
      <c r="AT913" s="27">
        <f t="shared" si="324"/>
        <v>3.371230344910283E-2</v>
      </c>
      <c r="AU913" s="27">
        <f t="shared" si="324"/>
        <v>3.39408780706969E-2</v>
      </c>
      <c r="AV913" s="27">
        <f t="shared" si="324"/>
        <v>3.4100500286935446E-2</v>
      </c>
      <c r="AW913" s="27">
        <f t="shared" si="324"/>
        <v>3.4239705581718134E-2</v>
      </c>
      <c r="AY913" s="79"/>
      <c r="AZ913" s="79"/>
    </row>
    <row r="914" spans="1:52" x14ac:dyDescent="0.3">
      <c r="A914" s="95" t="str">
        <f t="shared" si="270"/>
        <v>BD MM Leaching</v>
      </c>
      <c r="B914" s="95" t="s">
        <v>1228</v>
      </c>
      <c r="C914" s="95" t="s">
        <v>1333</v>
      </c>
      <c r="D914" t="s">
        <v>369</v>
      </c>
      <c r="E914" t="s">
        <v>64</v>
      </c>
      <c r="F914" t="s">
        <v>63</v>
      </c>
      <c r="G914" t="s">
        <v>1182</v>
      </c>
      <c r="H914" t="s">
        <v>1321</v>
      </c>
      <c r="I914" t="s">
        <v>139</v>
      </c>
      <c r="J914" t="s">
        <v>287</v>
      </c>
      <c r="K914" s="27">
        <f t="shared" ref="K914:AW914" si="325">K1562</f>
        <v>7.758579791322931E-2</v>
      </c>
      <c r="L914" s="27">
        <f t="shared" si="325"/>
        <v>7.8607464197542429E-2</v>
      </c>
      <c r="M914" s="27">
        <f t="shared" si="325"/>
        <v>8.0248553313821205E-2</v>
      </c>
      <c r="N914" s="27">
        <f t="shared" si="325"/>
        <v>8.0719757945382262E-2</v>
      </c>
      <c r="O914" s="27">
        <f t="shared" si="325"/>
        <v>8.0430818839717741E-2</v>
      </c>
      <c r="P914" s="27">
        <f t="shared" si="325"/>
        <v>7.938481013134728E-2</v>
      </c>
      <c r="Q914" s="27">
        <f t="shared" si="325"/>
        <v>7.8944464359385597E-2</v>
      </c>
      <c r="R914" s="27">
        <f t="shared" si="325"/>
        <v>7.8604018955287347E-2</v>
      </c>
      <c r="S914" s="27">
        <f t="shared" si="325"/>
        <v>6.6259107806349124E-2</v>
      </c>
      <c r="T914" s="27">
        <f t="shared" si="325"/>
        <v>6.8883290688916743E-2</v>
      </c>
      <c r="U914" s="27">
        <f t="shared" si="325"/>
        <v>7.307131784092237E-2</v>
      </c>
      <c r="V914" s="27">
        <f t="shared" si="325"/>
        <v>7.4685850466012449E-2</v>
      </c>
      <c r="W914" s="27">
        <f t="shared" si="325"/>
        <v>7.6617949690607756E-2</v>
      </c>
      <c r="X914" s="27">
        <f t="shared" si="325"/>
        <v>7.8965775854052137E-2</v>
      </c>
      <c r="Y914" s="27">
        <f t="shared" si="325"/>
        <v>8.1661778442119887E-2</v>
      </c>
      <c r="Z914" s="27">
        <f t="shared" si="325"/>
        <v>8.4680896790548951E-2</v>
      </c>
      <c r="AA914" s="27">
        <f t="shared" si="325"/>
        <v>8.776412775274034E-2</v>
      </c>
      <c r="AB914" s="27">
        <f t="shared" si="325"/>
        <v>9.1145488449202117E-2</v>
      </c>
      <c r="AC914" s="27">
        <f t="shared" si="325"/>
        <v>9.4570204644651698E-2</v>
      </c>
      <c r="AD914" s="27">
        <f t="shared" si="325"/>
        <v>9.8568154697968743E-2</v>
      </c>
      <c r="AE914" s="27">
        <f t="shared" si="325"/>
        <v>0.10244796560739347</v>
      </c>
      <c r="AF914" s="27">
        <f t="shared" si="325"/>
        <v>0.10654057141624064</v>
      </c>
      <c r="AG914" s="27">
        <f t="shared" si="325"/>
        <v>0.11123806657675694</v>
      </c>
      <c r="AH914" s="27">
        <f t="shared" si="325"/>
        <v>0.11560654614552646</v>
      </c>
      <c r="AI914" s="27">
        <f t="shared" si="325"/>
        <v>0.12031218938193437</v>
      </c>
      <c r="AJ914" s="27">
        <f t="shared" si="325"/>
        <v>0.12535029329403399</v>
      </c>
      <c r="AK914" s="27">
        <f t="shared" si="325"/>
        <v>0.12997331250710895</v>
      </c>
      <c r="AL914" s="27">
        <f t="shared" si="325"/>
        <v>0.13452286194458821</v>
      </c>
      <c r="AM914" s="27">
        <f t="shared" si="325"/>
        <v>0.13901554953719861</v>
      </c>
      <c r="AN914" s="27">
        <f t="shared" si="325"/>
        <v>0.1440082698862134</v>
      </c>
      <c r="AO914" s="27">
        <f t="shared" si="325"/>
        <v>0.14873185090680655</v>
      </c>
      <c r="AP914" s="27">
        <f t="shared" si="325"/>
        <v>0.15362755351583215</v>
      </c>
      <c r="AQ914" s="27">
        <f t="shared" si="325"/>
        <v>0.15872063106624867</v>
      </c>
      <c r="AR914" s="27">
        <f t="shared" si="325"/>
        <v>0.16405164052421939</v>
      </c>
      <c r="AS914" s="27">
        <f t="shared" si="325"/>
        <v>0.16968110376218293</v>
      </c>
      <c r="AT914" s="27">
        <f t="shared" si="325"/>
        <v>0.17053816071119138</v>
      </c>
      <c r="AU914" s="27">
        <f t="shared" si="325"/>
        <v>0.17095629027566819</v>
      </c>
      <c r="AV914" s="27">
        <f t="shared" si="325"/>
        <v>0.17074584650981994</v>
      </c>
      <c r="AW914" s="27">
        <f t="shared" si="325"/>
        <v>0.17035646457405007</v>
      </c>
      <c r="AY914" s="79"/>
      <c r="AZ914" s="79"/>
    </row>
    <row r="916" spans="1:52" x14ac:dyDescent="0.3">
      <c r="A916" s="95" t="str">
        <f t="shared" ref="A916:A979" si="326">B916&amp;" "&amp;C916</f>
        <v>DS Cattle</v>
      </c>
      <c r="B916" s="95" t="s">
        <v>974</v>
      </c>
      <c r="C916" s="95" t="s">
        <v>1108</v>
      </c>
      <c r="D916" t="s">
        <v>15</v>
      </c>
      <c r="E916" t="s">
        <v>16</v>
      </c>
      <c r="F916" t="s">
        <v>6</v>
      </c>
      <c r="G916" t="s">
        <v>136</v>
      </c>
      <c r="H916" t="s">
        <v>1020</v>
      </c>
      <c r="I916" t="s">
        <v>121</v>
      </c>
      <c r="J916" t="s">
        <v>286</v>
      </c>
      <c r="K916" s="27">
        <f>K1379</f>
        <v>72.246065125367707</v>
      </c>
      <c r="L916" s="27">
        <f t="shared" ref="L916:AW918" si="327">L1379</f>
        <v>72.649957574793376</v>
      </c>
      <c r="M916" s="27">
        <f t="shared" si="327"/>
        <v>73.223011790998029</v>
      </c>
      <c r="N916" s="27">
        <f t="shared" si="327"/>
        <v>73.591260167761035</v>
      </c>
      <c r="O916" s="27">
        <f t="shared" si="327"/>
        <v>73.835962898346551</v>
      </c>
      <c r="P916" s="27">
        <f t="shared" si="327"/>
        <v>73.954711561483904</v>
      </c>
      <c r="Q916" s="27">
        <f t="shared" si="327"/>
        <v>74.217071552078707</v>
      </c>
      <c r="R916" s="27">
        <f t="shared" si="327"/>
        <v>74.518042528471312</v>
      </c>
      <c r="S916" s="27">
        <f t="shared" si="327"/>
        <v>72.278060008832611</v>
      </c>
      <c r="T916" s="27">
        <f t="shared" si="327"/>
        <v>73.038072409871731</v>
      </c>
      <c r="U916" s="27">
        <f t="shared" si="327"/>
        <v>74.1505294629453</v>
      </c>
      <c r="V916" s="27">
        <f t="shared" si="327"/>
        <v>74.727142714641815</v>
      </c>
      <c r="W916" s="27">
        <f t="shared" si="327"/>
        <v>75.386134904907664</v>
      </c>
      <c r="X916" s="27">
        <f t="shared" si="327"/>
        <v>76.148849321322899</v>
      </c>
      <c r="Y916" s="27">
        <f t="shared" si="327"/>
        <v>76.927724649348932</v>
      </c>
      <c r="Z916" s="27">
        <f t="shared" si="327"/>
        <v>77.789839188812167</v>
      </c>
      <c r="AA916" s="27">
        <f t="shared" si="327"/>
        <v>78.678659679683463</v>
      </c>
      <c r="AB916" s="27">
        <f t="shared" si="327"/>
        <v>79.645214708438644</v>
      </c>
      <c r="AC916" s="27">
        <f t="shared" si="327"/>
        <v>80.63357341135027</v>
      </c>
      <c r="AD916" s="27">
        <f t="shared" si="327"/>
        <v>81.701326888312266</v>
      </c>
      <c r="AE916" s="27">
        <f t="shared" si="327"/>
        <v>82.754629010299467</v>
      </c>
      <c r="AF916" s="27">
        <f t="shared" si="327"/>
        <v>83.866381546619579</v>
      </c>
      <c r="AG916" s="27">
        <f t="shared" si="327"/>
        <v>85.123957452137844</v>
      </c>
      <c r="AH916" s="27">
        <f t="shared" si="327"/>
        <v>86.31962290876946</v>
      </c>
      <c r="AI916" s="27">
        <f t="shared" si="327"/>
        <v>87.545771501366829</v>
      </c>
      <c r="AJ916" s="27">
        <f t="shared" si="327"/>
        <v>88.857081922014302</v>
      </c>
      <c r="AK916" s="27">
        <f t="shared" si="327"/>
        <v>90.085621753712104</v>
      </c>
      <c r="AL916" s="27">
        <f t="shared" si="327"/>
        <v>91.307494637553916</v>
      </c>
      <c r="AM916" s="27">
        <f t="shared" si="327"/>
        <v>92.526099205531537</v>
      </c>
      <c r="AN916" s="27">
        <f t="shared" si="327"/>
        <v>93.815346302798517</v>
      </c>
      <c r="AO916" s="27">
        <f t="shared" si="327"/>
        <v>95.052737285389242</v>
      </c>
      <c r="AP916" s="27">
        <f t="shared" si="327"/>
        <v>96.338177882566526</v>
      </c>
      <c r="AQ916" s="27">
        <f t="shared" si="327"/>
        <v>97.677530754509618</v>
      </c>
      <c r="AR916" s="27">
        <f t="shared" si="327"/>
        <v>99.08022368038182</v>
      </c>
      <c r="AS916" s="27">
        <f t="shared" si="327"/>
        <v>100.50772839666152</v>
      </c>
      <c r="AT916" s="27">
        <f t="shared" si="327"/>
        <v>100.84617835677685</v>
      </c>
      <c r="AU916" s="27">
        <f t="shared" si="327"/>
        <v>101.08705215806816</v>
      </c>
      <c r="AV916" s="27">
        <f t="shared" si="327"/>
        <v>101.18574255533849</v>
      </c>
      <c r="AW916" s="27">
        <f t="shared" si="327"/>
        <v>101.24533448141288</v>
      </c>
      <c r="AY916" s="79"/>
      <c r="AZ916" s="79"/>
    </row>
    <row r="917" spans="1:52" x14ac:dyDescent="0.3">
      <c r="A917" s="95" t="str">
        <f t="shared" si="326"/>
        <v>DS Cattle</v>
      </c>
      <c r="B917" s="95" t="s">
        <v>974</v>
      </c>
      <c r="C917" s="95" t="s">
        <v>1108</v>
      </c>
      <c r="D917" t="s">
        <v>15</v>
      </c>
      <c r="E917" t="s">
        <v>16</v>
      </c>
      <c r="F917" t="s">
        <v>6</v>
      </c>
      <c r="G917" t="s">
        <v>137</v>
      </c>
      <c r="H917" t="s">
        <v>1020</v>
      </c>
      <c r="I917" t="s">
        <v>121</v>
      </c>
      <c r="J917" t="s">
        <v>286</v>
      </c>
      <c r="K917" s="27">
        <f t="shared" ref="K917:Z918" si="328">K1380</f>
        <v>57.783598896292567</v>
      </c>
      <c r="L917" s="27">
        <f t="shared" si="328"/>
        <v>58.106638763645272</v>
      </c>
      <c r="M917" s="27">
        <f t="shared" si="328"/>
        <v>58.564977012483297</v>
      </c>
      <c r="N917" s="27">
        <f t="shared" si="328"/>
        <v>58.859508160444918</v>
      </c>
      <c r="O917" s="27">
        <f t="shared" si="328"/>
        <v>59.055225455337649</v>
      </c>
      <c r="P917" s="27">
        <f t="shared" si="328"/>
        <v>59.150202601958597</v>
      </c>
      <c r="Q917" s="27">
        <f t="shared" si="328"/>
        <v>59.360042465716688</v>
      </c>
      <c r="R917" s="27">
        <f t="shared" si="328"/>
        <v>59.600764035107602</v>
      </c>
      <c r="S917" s="27">
        <f t="shared" si="328"/>
        <v>57.809188933752196</v>
      </c>
      <c r="T917" s="27">
        <f t="shared" si="328"/>
        <v>58.417059433849957</v>
      </c>
      <c r="U917" s="27">
        <f t="shared" si="328"/>
        <v>59.306821001246142</v>
      </c>
      <c r="V917" s="27">
        <f t="shared" si="328"/>
        <v>59.768005825589199</v>
      </c>
      <c r="W917" s="27">
        <f t="shared" si="328"/>
        <v>60.295078688755297</v>
      </c>
      <c r="X917" s="27">
        <f t="shared" si="328"/>
        <v>60.905110305481806</v>
      </c>
      <c r="Y917" s="27">
        <f t="shared" si="328"/>
        <v>61.528067686853028</v>
      </c>
      <c r="Z917" s="27">
        <f t="shared" si="328"/>
        <v>62.217601167528549</v>
      </c>
      <c r="AA917" s="27">
        <f t="shared" si="327"/>
        <v>62.928494510248186</v>
      </c>
      <c r="AB917" s="27">
        <f t="shared" si="327"/>
        <v>63.701561223236183</v>
      </c>
      <c r="AC917" s="27">
        <f t="shared" si="327"/>
        <v>64.492066875766909</v>
      </c>
      <c r="AD917" s="27">
        <f t="shared" si="327"/>
        <v>65.346073782936557</v>
      </c>
      <c r="AE917" s="27">
        <f t="shared" si="327"/>
        <v>66.18852225716013</v>
      </c>
      <c r="AF917" s="27">
        <f t="shared" si="327"/>
        <v>67.077720340393881</v>
      </c>
      <c r="AG917" s="27">
        <f t="shared" si="327"/>
        <v>68.083550368368549</v>
      </c>
      <c r="AH917" s="27">
        <f t="shared" si="327"/>
        <v>69.039863394417281</v>
      </c>
      <c r="AI917" s="27">
        <f t="shared" si="327"/>
        <v>70.020557337249372</v>
      </c>
      <c r="AJ917" s="27">
        <f t="shared" si="327"/>
        <v>71.069365119981001</v>
      </c>
      <c r="AK917" s="27">
        <f t="shared" si="327"/>
        <v>72.051971615431754</v>
      </c>
      <c r="AL917" s="27">
        <f t="shared" si="327"/>
        <v>73.029245775618222</v>
      </c>
      <c r="AM917" s="27">
        <f t="shared" si="327"/>
        <v>74.003905882670679</v>
      </c>
      <c r="AN917" s="27">
        <f t="shared" si="327"/>
        <v>75.035067054111778</v>
      </c>
      <c r="AO917" s="27">
        <f t="shared" si="327"/>
        <v>76.024752846574486</v>
      </c>
      <c r="AP917" s="27">
        <f t="shared" si="327"/>
        <v>77.05286951622854</v>
      </c>
      <c r="AQ917" s="27">
        <f t="shared" si="327"/>
        <v>78.12410611573965</v>
      </c>
      <c r="AR917" s="27">
        <f t="shared" si="327"/>
        <v>79.246003138956311</v>
      </c>
      <c r="AS917" s="27">
        <f t="shared" si="327"/>
        <v>80.387745042891623</v>
      </c>
      <c r="AT917" s="27">
        <f t="shared" si="327"/>
        <v>80.658442923915771</v>
      </c>
      <c r="AU917" s="27">
        <f t="shared" si="327"/>
        <v>80.851097777772381</v>
      </c>
      <c r="AV917" s="27">
        <f t="shared" si="327"/>
        <v>80.930031991295138</v>
      </c>
      <c r="AW917" s="27">
        <f t="shared" si="327"/>
        <v>80.977694600293489</v>
      </c>
      <c r="AY917" s="79"/>
      <c r="AZ917" s="79"/>
    </row>
    <row r="918" spans="1:52" x14ac:dyDescent="0.3">
      <c r="A918" s="95" t="str">
        <f t="shared" si="326"/>
        <v>DS Cattle</v>
      </c>
      <c r="B918" s="95" t="s">
        <v>974</v>
      </c>
      <c r="C918" s="95" t="s">
        <v>1108</v>
      </c>
      <c r="D918" t="s">
        <v>15</v>
      </c>
      <c r="E918" t="s">
        <v>16</v>
      </c>
      <c r="F918" t="s">
        <v>67</v>
      </c>
      <c r="G918" t="s">
        <v>307</v>
      </c>
      <c r="H918" t="s">
        <v>1020</v>
      </c>
      <c r="I918" t="s">
        <v>121</v>
      </c>
      <c r="J918" t="s">
        <v>286</v>
      </c>
      <c r="K918" s="27">
        <f t="shared" si="328"/>
        <v>26.126191807126649</v>
      </c>
      <c r="L918" s="27">
        <f t="shared" si="327"/>
        <v>26.272250579806297</v>
      </c>
      <c r="M918" s="27">
        <f t="shared" si="327"/>
        <v>26.479482964607669</v>
      </c>
      <c r="N918" s="27">
        <f t="shared" si="327"/>
        <v>26.61265184663991</v>
      </c>
      <c r="O918" s="27">
        <f t="shared" si="327"/>
        <v>26.701143177813595</v>
      </c>
      <c r="P918" s="27">
        <f t="shared" si="327"/>
        <v>26.744086005835889</v>
      </c>
      <c r="Q918" s="27">
        <f t="shared" si="327"/>
        <v>26.838962694620271</v>
      </c>
      <c r="R918" s="27">
        <f t="shared" si="327"/>
        <v>26.947802192577246</v>
      </c>
      <c r="S918" s="27">
        <f t="shared" si="327"/>
        <v>26.137762049198656</v>
      </c>
      <c r="T918" s="27">
        <f t="shared" si="327"/>
        <v>26.412603727162519</v>
      </c>
      <c r="U918" s="27">
        <f t="shared" si="327"/>
        <v>26.814899219593229</v>
      </c>
      <c r="V918" s="27">
        <f t="shared" si="327"/>
        <v>27.023418650875932</v>
      </c>
      <c r="W918" s="27">
        <f t="shared" si="327"/>
        <v>27.261728603568962</v>
      </c>
      <c r="X918" s="27">
        <f t="shared" si="327"/>
        <v>27.53754740564138</v>
      </c>
      <c r="Y918" s="27">
        <f t="shared" si="327"/>
        <v>27.819210444016349</v>
      </c>
      <c r="Z918" s="27">
        <f t="shared" si="327"/>
        <v>28.13097510246029</v>
      </c>
      <c r="AA918" s="27">
        <f t="shared" si="327"/>
        <v>28.452397377657032</v>
      </c>
      <c r="AB918" s="27">
        <f t="shared" si="327"/>
        <v>28.801930629462248</v>
      </c>
      <c r="AC918" s="27">
        <f t="shared" si="327"/>
        <v>29.159348697860899</v>
      </c>
      <c r="AD918" s="27">
        <f t="shared" si="327"/>
        <v>29.545478130563247</v>
      </c>
      <c r="AE918" s="27">
        <f t="shared" si="327"/>
        <v>29.92638155031543</v>
      </c>
      <c r="AF918" s="27">
        <f t="shared" si="327"/>
        <v>30.328422269841898</v>
      </c>
      <c r="AG918" s="27">
        <f t="shared" si="327"/>
        <v>30.783196786108999</v>
      </c>
      <c r="AH918" s="27">
        <f t="shared" si="327"/>
        <v>31.215582757620478</v>
      </c>
      <c r="AI918" s="27">
        <f t="shared" si="327"/>
        <v>31.658992281151598</v>
      </c>
      <c r="AJ918" s="27">
        <f t="shared" si="327"/>
        <v>32.133198696533107</v>
      </c>
      <c r="AK918" s="27">
        <f t="shared" si="327"/>
        <v>32.57747295880516</v>
      </c>
      <c r="AL918" s="27">
        <f t="shared" si="327"/>
        <v>33.019336266817611</v>
      </c>
      <c r="AM918" s="27">
        <f t="shared" si="327"/>
        <v>33.460017660673138</v>
      </c>
      <c r="AN918" s="27">
        <f t="shared" si="327"/>
        <v>33.926245363061206</v>
      </c>
      <c r="AO918" s="27">
        <f t="shared" si="327"/>
        <v>34.37372044831983</v>
      </c>
      <c r="AP918" s="27">
        <f t="shared" si="327"/>
        <v>34.838571614127183</v>
      </c>
      <c r="AQ918" s="27">
        <f t="shared" si="327"/>
        <v>35.322918961890544</v>
      </c>
      <c r="AR918" s="27">
        <f t="shared" si="327"/>
        <v>35.830171839458941</v>
      </c>
      <c r="AS918" s="27">
        <f t="shared" si="327"/>
        <v>36.346397352341668</v>
      </c>
      <c r="AT918" s="27">
        <f t="shared" si="327"/>
        <v>36.468790295953795</v>
      </c>
      <c r="AU918" s="27">
        <f t="shared" si="327"/>
        <v>36.555896979520966</v>
      </c>
      <c r="AV918" s="27">
        <f t="shared" si="327"/>
        <v>36.591586179259828</v>
      </c>
      <c r="AW918" s="27">
        <f t="shared" si="327"/>
        <v>36.613136281512098</v>
      </c>
      <c r="AY918" s="79"/>
      <c r="AZ918" s="79"/>
    </row>
    <row r="919" spans="1:52" x14ac:dyDescent="0.3">
      <c r="A919" s="95" t="str">
        <f t="shared" si="326"/>
        <v>DS Cattle</v>
      </c>
      <c r="B919" s="95" t="s">
        <v>974</v>
      </c>
      <c r="C919" s="95" t="s">
        <v>1108</v>
      </c>
      <c r="D919" t="s">
        <v>15</v>
      </c>
      <c r="E919" t="s">
        <v>16</v>
      </c>
      <c r="F919" t="s">
        <v>67</v>
      </c>
      <c r="G919" t="s">
        <v>122</v>
      </c>
      <c r="H919" t="s">
        <v>1020</v>
      </c>
      <c r="I919" t="s">
        <v>121</v>
      </c>
      <c r="J919" t="s">
        <v>286</v>
      </c>
      <c r="K919" s="93">
        <f>IF('Net zero activities &amp; levers'!$C$12="Off",('Activity data'!AD8*EF!$H7)*kgtoGg,('Net zero Activity data'!AD8*EF!$H7)*kgtoGg)</f>
        <v>463.23498593143194</v>
      </c>
      <c r="L919" s="93">
        <f>IF('Net zero activities &amp; levers'!$C$12="Off",('Activity data'!AE8*EF!$H7)*kgtoGg,('Net zero Activity data'!AE8*EF!$H7)*kgtoGg)</f>
        <v>459.2174968362159</v>
      </c>
      <c r="M919" s="93">
        <f>IF('Net zero activities &amp; levers'!$C$12="Off",('Activity data'!AF8*EF!$H7)*kgtoGg,('Net zero Activity data'!AF8*EF!$H7)*kgtoGg)</f>
        <v>457.68816035731248</v>
      </c>
      <c r="N919" s="93">
        <f>IF('Net zero activities &amp; levers'!$C$12="Off",('Activity data'!AG8*EF!$H7)*kgtoGg,('Net zero Activity data'!AG8*EF!$H7)*kgtoGg)</f>
        <v>451.57633407663525</v>
      </c>
      <c r="O919" s="93">
        <f>IF('Net zero activities &amp; levers'!$C$12="Off",('Activity data'!AH8*EF!$H7)*kgtoGg,('Net zero Activity data'!AH8*EF!$H7)*kgtoGg)</f>
        <v>442.70486896910717</v>
      </c>
      <c r="P919" s="93">
        <f>IF('Net zero activities &amp; levers'!$C$12="Off",('Activity data'!AI8*EF!$H7)*kgtoGg,('Net zero Activity data'!AI8*EF!$H7)*kgtoGg)</f>
        <v>431.25721304480408</v>
      </c>
      <c r="Q919" s="93">
        <f>IF('Net zero activities &amp; levers'!$C$12="Off",('Activity data'!AJ8*EF!$H7)*kgtoGg,('Net zero Activity data'!AJ8*EF!$H7)*kgtoGg)</f>
        <v>422.22811200839215</v>
      </c>
      <c r="R919" s="93">
        <f>IF('Net zero activities &amp; levers'!$C$12="Off",('Activity data'!AK8*EF!$H7)*kgtoGg,('Net zero Activity data'!AK8*EF!$H7)*kgtoGg)</f>
        <v>413.68555596285586</v>
      </c>
      <c r="S919" s="93">
        <f>IF('Net zero activities &amp; levers'!$C$12="Off",('Activity data'!AL8*EF!$H7)*kgtoGg,('Net zero Activity data'!AL8*EF!$H7)*kgtoGg)</f>
        <v>363.92269119895411</v>
      </c>
      <c r="T919" s="93">
        <f>IF('Net zero activities &amp; levers'!$C$12="Off",('Activity data'!AM8*EF!$H7)*kgtoGg,('Net zero Activity data'!AM8*EF!$H7)*kgtoGg)</f>
        <v>369.83389237357579</v>
      </c>
      <c r="U919" s="93">
        <f>IF('Net zero activities &amp; levers'!$C$12="Off",('Activity data'!AN8*EF!$H7)*kgtoGg,('Net zero Activity data'!AN8*EF!$H7)*kgtoGg)</f>
        <v>380.86142464434585</v>
      </c>
      <c r="V919" s="93">
        <f>IF('Net zero activities &amp; levers'!$C$12="Off",('Activity data'!AO8*EF!$H7)*kgtoGg,('Net zero Activity data'!AO8*EF!$H7)*kgtoGg)</f>
        <v>383.06375021143805</v>
      </c>
      <c r="W919" s="93">
        <f>IF('Net zero activities &amp; levers'!$C$12="Off",('Activity data'!AP8*EF!$H7)*kgtoGg,('Net zero Activity data'!AP8*EF!$H7)*kgtoGg)</f>
        <v>386.24013707294779</v>
      </c>
      <c r="X919" s="93">
        <f>IF('Net zero activities &amp; levers'!$C$12="Off",('Activity data'!AQ8*EF!$H7)*kgtoGg,('Net zero Activity data'!AQ8*EF!$H7)*kgtoGg)</f>
        <v>390.6712668095617</v>
      </c>
      <c r="Y919" s="93">
        <f>IF('Net zero activities &amp; levers'!$C$12="Off",('Activity data'!AR8*EF!$H7)*kgtoGg,('Net zero Activity data'!AR8*EF!$H7)*kgtoGg)</f>
        <v>395.75397479595648</v>
      </c>
      <c r="Z919" s="93">
        <f>IF('Net zero activities &amp; levers'!$C$12="Off",('Activity data'!AS8*EF!$H7)*kgtoGg,('Net zero Activity data'!AS8*EF!$H7)*kgtoGg)</f>
        <v>401.71318303321101</v>
      </c>
      <c r="AA919" s="93">
        <f>IF('Net zero activities &amp; levers'!$C$12="Off",('Activity data'!AT8*EF!$H7)*kgtoGg,('Net zero Activity data'!AT8*EF!$H7)*kgtoGg)</f>
        <v>407.69987647206653</v>
      </c>
      <c r="AB919" s="93">
        <f>IF('Net zero activities &amp; levers'!$C$12="Off",('Activity data'!AU8*EF!$H7)*kgtoGg,('Net zero Activity data'!AU8*EF!$H7)*kgtoGg)</f>
        <v>414.43305929383774</v>
      </c>
      <c r="AC919" s="93">
        <f>IF('Net zero activities &amp; levers'!$C$12="Off",('Activity data'!AV8*EF!$H7)*kgtoGg,('Net zero Activity data'!AV8*EF!$H7)*kgtoGg)</f>
        <v>421.09942264585908</v>
      </c>
      <c r="AD919" s="93">
        <f>IF('Net zero activities &amp; levers'!$C$12="Off",('Activity data'!AW8*EF!$H7)*kgtoGg,('Net zero Activity data'!AW8*EF!$H7)*kgtoGg)</f>
        <v>425.44191060723506</v>
      </c>
      <c r="AE919" s="93">
        <f>IF('Net zero activities &amp; levers'!$C$12="Off",('Activity data'!AX8*EF!$H7)*kgtoGg,('Net zero Activity data'!AX8*EF!$H7)*kgtoGg)</f>
        <v>429.00739584475377</v>
      </c>
      <c r="AF919" s="93">
        <f>IF('Net zero activities &amp; levers'!$C$12="Off",('Activity data'!AY8*EF!$H7)*kgtoGg,('Net zero Activity data'!AY8*EF!$H7)*kgtoGg)</f>
        <v>432.77412897631666</v>
      </c>
      <c r="AG919" s="93">
        <f>IF('Net zero activities &amp; levers'!$C$12="Off",('Activity data'!AZ8*EF!$H7)*kgtoGg,('Net zero Activity data'!AZ8*EF!$H7)*kgtoGg)</f>
        <v>437.81397558556199</v>
      </c>
      <c r="AH919" s="93">
        <f>IF('Net zero activities &amp; levers'!$C$12="Off",('Activity data'!BA8*EF!$H7)*kgtoGg,('Net zero Activity data'!BA8*EF!$H7)*kgtoGg)</f>
        <v>441.43846379327863</v>
      </c>
      <c r="AI919" s="93">
        <f>IF('Net zero activities &amp; levers'!$C$12="Off",('Activity data'!BB8*EF!$H7)*kgtoGg,('Net zero Activity data'!BB8*EF!$H7)*kgtoGg)</f>
        <v>445.30127510523226</v>
      </c>
      <c r="AJ919" s="93">
        <f>IF('Net zero activities &amp; levers'!$C$12="Off",('Activity data'!BC8*EF!$H7)*kgtoGg,('Net zero Activity data'!BC8*EF!$H7)*kgtoGg)</f>
        <v>449.5534309991009</v>
      </c>
      <c r="AK919" s="93">
        <f>IF('Net zero activities &amp; levers'!$C$12="Off",('Activity data'!BD8*EF!$H7)*kgtoGg,('Net zero Activity data'!BD8*EF!$H7)*kgtoGg)</f>
        <v>452.20309019469192</v>
      </c>
      <c r="AL919" s="93">
        <f>IF('Net zero activities &amp; levers'!$C$12="Off",('Activity data'!BE8*EF!$H7)*kgtoGg,('Net zero Activity data'!BE8*EF!$H7)*kgtoGg)</f>
        <v>454.19091289569144</v>
      </c>
      <c r="AM919" s="93">
        <f>IF('Net zero activities &amp; levers'!$C$12="Off",('Activity data'!BF8*EF!$H7)*kgtoGg,('Net zero Activity data'!BF8*EF!$H7)*kgtoGg)</f>
        <v>455.5735708938164</v>
      </c>
      <c r="AN919" s="93">
        <f>IF('Net zero activities &amp; levers'!$C$12="Off",('Activity data'!BG8*EF!$H7)*kgtoGg,('Net zero Activity data'!BG8*EF!$H7)*kgtoGg)</f>
        <v>459.87188917365768</v>
      </c>
      <c r="AO919" s="93">
        <f>IF('Net zero activities &amp; levers'!$C$12="Off",('Activity data'!BH8*EF!$H7)*kgtoGg,('Net zero Activity data'!BH8*EF!$H7)*kgtoGg)</f>
        <v>463.13915520973467</v>
      </c>
      <c r="AP919" s="93">
        <f>IF('Net zero activities &amp; levers'!$C$12="Off",('Activity data'!BI8*EF!$H7)*kgtoGg,('Net zero Activity data'!BI8*EF!$H7)*kgtoGg)</f>
        <v>466.44766361257473</v>
      </c>
      <c r="AQ919" s="93">
        <f>IF('Net zero activities &amp; levers'!$C$12="Off",('Activity data'!BJ8*EF!$H7)*kgtoGg,('Net zero Activity data'!BJ8*EF!$H7)*kgtoGg)</f>
        <v>469.83526222266636</v>
      </c>
      <c r="AR919" s="93">
        <f>IF('Net zero activities &amp; levers'!$C$12="Off",('Activity data'!BK8*EF!$H7)*kgtoGg,('Net zero Activity data'!BK8*EF!$H7)*kgtoGg)</f>
        <v>473.37026305322627</v>
      </c>
      <c r="AS919" s="93">
        <f>IF('Net zero activities &amp; levers'!$C$12="Off",('Activity data'!BL8*EF!$H7)*kgtoGg,('Net zero Activity data'!BL8*EF!$H7)*kgtoGg)</f>
        <v>476.99976993126808</v>
      </c>
      <c r="AT919" s="93">
        <f>IF('Net zero activities &amp; levers'!$C$12="Off",('Activity data'!BM8*EF!$H7)*kgtoGg,('Net zero Activity data'!BM8*EF!$H7)*kgtoGg)</f>
        <v>469.84014483659178</v>
      </c>
      <c r="AU919" s="93">
        <f>IF('Net zero activities &amp; levers'!$C$12="Off",('Activity data'!BN8*EF!$H7)*kgtoGg,('Net zero Activity data'!BN8*EF!$H7)*kgtoGg)</f>
        <v>461.72949370511395</v>
      </c>
      <c r="AV919" s="93">
        <f>IF('Net zero activities &amp; levers'!$C$12="Off",('Activity data'!BO8*EF!$H7)*kgtoGg,('Net zero Activity data'!BO8*EF!$H7)*kgtoGg)</f>
        <v>452.32664742475527</v>
      </c>
      <c r="AW919" s="93">
        <f>IF('Net zero activities &amp; levers'!$C$12="Off",('Activity data'!BP8*EF!$H7)*kgtoGg,('Net zero Activity data'!BP8*EF!$H7)*kgtoGg)</f>
        <v>442.62912277964222</v>
      </c>
      <c r="AY919" s="79"/>
      <c r="AZ919" s="79"/>
    </row>
    <row r="920" spans="1:52" x14ac:dyDescent="0.3">
      <c r="A920" s="95" t="str">
        <f t="shared" si="326"/>
        <v>DS Cattle</v>
      </c>
      <c r="B920" s="95" t="s">
        <v>974</v>
      </c>
      <c r="C920" s="95" t="s">
        <v>1108</v>
      </c>
      <c r="D920" t="s">
        <v>15</v>
      </c>
      <c r="E920" t="s">
        <v>16</v>
      </c>
      <c r="F920" t="s">
        <v>67</v>
      </c>
      <c r="G920" t="s">
        <v>123</v>
      </c>
      <c r="H920" t="s">
        <v>1020</v>
      </c>
      <c r="I920" t="s">
        <v>121</v>
      </c>
      <c r="J920" t="s">
        <v>286</v>
      </c>
      <c r="K920" s="93">
        <f>IF('Net zero activities &amp; levers'!$C$12="Off",('Activity data'!AD9*EF!$H8)*kgtoGg,('Net zero Activity data'!AD9*EF!$H8)*kgtoGg)</f>
        <v>326.20040935577742</v>
      </c>
      <c r="L920" s="93">
        <f>IF('Net zero activities &amp; levers'!$C$12="Off",('Activity data'!AE9*EF!$H8)*kgtoGg,('Net zero Activity data'!AE9*EF!$H8)*kgtoGg)</f>
        <v>323.37137738012308</v>
      </c>
      <c r="M920" s="93">
        <f>IF('Net zero activities &amp; levers'!$C$12="Off",('Activity data'!AF9*EF!$H8)*kgtoGg,('Net zero Activity data'!AF9*EF!$H8)*kgtoGg)</f>
        <v>322.29445054900748</v>
      </c>
      <c r="N920" s="93">
        <f>IF('Net zero activities &amp; levers'!$C$12="Off",('Activity data'!AG9*EF!$H8)*kgtoGg,('Net zero Activity data'!AG9*EF!$H8)*kgtoGg)</f>
        <v>317.99063003627219</v>
      </c>
      <c r="O920" s="93">
        <f>IF('Net zero activities &amp; levers'!$C$12="Off",('Activity data'!AH9*EF!$H8)*kgtoGg,('Net zero Activity data'!AH9*EF!$H8)*kgtoGg)</f>
        <v>311.74352945546792</v>
      </c>
      <c r="P920" s="93">
        <f>IF('Net zero activities &amp; levers'!$C$12="Off",('Activity data'!AI9*EF!$H8)*kgtoGg,('Net zero Activity data'!AI9*EF!$H8)*kgtoGg)</f>
        <v>303.68232906672063</v>
      </c>
      <c r="Q920" s="93">
        <f>IF('Net zero activities &amp; levers'!$C$12="Off",('Activity data'!AJ9*EF!$H8)*kgtoGg,('Net zero Activity data'!AJ9*EF!$H8)*kgtoGg)</f>
        <v>297.32422455466599</v>
      </c>
      <c r="R920" s="93">
        <f>IF('Net zero activities &amp; levers'!$C$12="Off",('Activity data'!AK9*EF!$H8)*kgtoGg,('Net zero Activity data'!AK9*EF!$H8)*kgtoGg)</f>
        <v>291.30873487096773</v>
      </c>
      <c r="S920" s="93">
        <f>IF('Net zero activities &amp; levers'!$C$12="Off",('Activity data'!AL9*EF!$H8)*kgtoGg,('Net zero Activity data'!AL9*EF!$H8)*kgtoGg)</f>
        <v>256.26676405768438</v>
      </c>
      <c r="T920" s="93">
        <f>IF('Net zero activities &amp; levers'!$C$12="Off",('Activity data'!AM9*EF!$H8)*kgtoGg,('Net zero Activity data'!AM9*EF!$H8)*kgtoGg)</f>
        <v>260.42930855779127</v>
      </c>
      <c r="U920" s="93">
        <f>IF('Net zero activities &amp; levers'!$C$12="Off",('Activity data'!AN9*EF!$H8)*kgtoGg,('Net zero Activity data'!AN9*EF!$H8)*kgtoGg)</f>
        <v>268.19466663772192</v>
      </c>
      <c r="V920" s="93">
        <f>IF('Net zero activities &amp; levers'!$C$12="Off",('Activity data'!AO9*EF!$H8)*kgtoGg,('Net zero Activity data'!AO9*EF!$H8)*kgtoGg)</f>
        <v>269.7454983394245</v>
      </c>
      <c r="W920" s="93">
        <f>IF('Net zero activities &amp; levers'!$C$12="Off",('Activity data'!AP9*EF!$H8)*kgtoGg,('Net zero Activity data'!AP9*EF!$H8)*kgtoGg)</f>
        <v>271.98224367594827</v>
      </c>
      <c r="X920" s="93">
        <f>IF('Net zero activities &amp; levers'!$C$12="Off",('Activity data'!AQ9*EF!$H8)*kgtoGg,('Net zero Activity data'!AQ9*EF!$H8)*kgtoGg)</f>
        <v>275.10255275857435</v>
      </c>
      <c r="Y920" s="93">
        <f>IF('Net zero activities &amp; levers'!$C$12="Off",('Activity data'!AR9*EF!$H8)*kgtoGg,('Net zero Activity data'!AR9*EF!$H8)*kgtoGg)</f>
        <v>278.68168964622578</v>
      </c>
      <c r="Z920" s="93">
        <f>IF('Net zero activities &amp; levers'!$C$12="Off",('Activity data'!AS9*EF!$H8)*kgtoGg,('Net zero Activity data'!AS9*EF!$H8)*kgtoGg)</f>
        <v>282.87803971792886</v>
      </c>
      <c r="AA920" s="93">
        <f>IF('Net zero activities &amp; levers'!$C$12="Off",('Activity data'!AT9*EF!$H8)*kgtoGg,('Net zero Activity data'!AT9*EF!$H8)*kgtoGg)</f>
        <v>287.09374429498189</v>
      </c>
      <c r="AB920" s="93">
        <f>IF('Net zero activities &amp; levers'!$C$12="Off",('Activity data'!AU9*EF!$H8)*kgtoGg,('Net zero Activity data'!AU9*EF!$H8)*kgtoGg)</f>
        <v>291.83511111621357</v>
      </c>
      <c r="AC920" s="93">
        <f>IF('Net zero activities &amp; levers'!$C$12="Off",('Activity data'!AV9*EF!$H8)*kgtoGg,('Net zero Activity data'!AV9*EF!$H8)*kgtoGg)</f>
        <v>296.52942506137316</v>
      </c>
      <c r="AD920" s="93">
        <f>IF('Net zero activities &amp; levers'!$C$12="Off",('Activity data'!AW9*EF!$H8)*kgtoGg,('Net zero Activity data'!AW9*EF!$H8)*kgtoGg)</f>
        <v>299.58731445583493</v>
      </c>
      <c r="AE920" s="93">
        <f>IF('Net zero activities &amp; levers'!$C$12="Off",('Activity data'!AX9*EF!$H8)*kgtoGg,('Net zero Activity data'!AX9*EF!$H8)*kgtoGg)</f>
        <v>302.09805474824185</v>
      </c>
      <c r="AF920" s="93">
        <f>IF('Net zero activities &amp; levers'!$C$12="Off",('Activity data'!AY9*EF!$H8)*kgtoGg,('Net zero Activity data'!AY9*EF!$H8)*kgtoGg)</f>
        <v>304.75050960758114</v>
      </c>
      <c r="AG920" s="93">
        <f>IF('Net zero activities &amp; levers'!$C$12="Off",('Activity data'!AZ9*EF!$H8)*kgtoGg,('Net zero Activity data'!AZ9*EF!$H8)*kgtoGg)</f>
        <v>308.29946440796289</v>
      </c>
      <c r="AH920" s="93">
        <f>IF('Net zero activities &amp; levers'!$C$12="Off",('Activity data'!BA9*EF!$H8)*kgtoGg,('Net zero Activity data'!BA9*EF!$H8)*kgtoGg)</f>
        <v>310.85175336058825</v>
      </c>
      <c r="AI920" s="93">
        <f>IF('Net zero activities &amp; levers'!$C$12="Off",('Activity data'!BB9*EF!$H8)*kgtoGg,('Net zero Activity data'!BB9*EF!$H8)*kgtoGg)</f>
        <v>313.57186446940221</v>
      </c>
      <c r="AJ920" s="93">
        <f>IF('Net zero activities &amp; levers'!$C$12="Off",('Activity data'!BC9*EF!$H8)*kgtoGg,('Net zero Activity data'!BC9*EF!$H8)*kgtoGg)</f>
        <v>316.5661439071601</v>
      </c>
      <c r="AK920" s="93">
        <f>IF('Net zero activities &amp; levers'!$C$12="Off",('Activity data'!BD9*EF!$H8)*kgtoGg,('Net zero Activity data'!BD9*EF!$H8)*kgtoGg)</f>
        <v>318.43197861417656</v>
      </c>
      <c r="AL920" s="93">
        <f>IF('Net zero activities &amp; levers'!$C$12="Off",('Activity data'!BE9*EF!$H8)*kgtoGg,('Net zero Activity data'!BE9*EF!$H8)*kgtoGg)</f>
        <v>319.83176187426193</v>
      </c>
      <c r="AM920" s="93">
        <f>IF('Net zero activities &amp; levers'!$C$12="Off",('Activity data'!BF9*EF!$H8)*kgtoGg,('Net zero Activity data'!BF9*EF!$H8)*kgtoGg)</f>
        <v>320.80540078040053</v>
      </c>
      <c r="AN920" s="93">
        <f>IF('Net zero activities &amp; levers'!$C$12="Off",('Activity data'!BG9*EF!$H8)*kgtoGg,('Net zero Activity data'!BG9*EF!$H8)*kgtoGg)</f>
        <v>323.83218680694904</v>
      </c>
      <c r="AO920" s="93">
        <f>IF('Net zero activities &amp; levers'!$C$12="Off",('Activity data'!BH9*EF!$H8)*kgtoGg,('Net zero Activity data'!BH9*EF!$H8)*kgtoGg)</f>
        <v>326.13292736155017</v>
      </c>
      <c r="AP920" s="93">
        <f>IF('Net zero activities &amp; levers'!$C$12="Off",('Activity data'!BI9*EF!$H8)*kgtoGg,('Net zero Activity data'!BI9*EF!$H8)*kgtoGg)</f>
        <v>328.46270993009568</v>
      </c>
      <c r="AQ920" s="93">
        <f>IF('Net zero activities &amp; levers'!$C$12="Off",('Activity data'!BJ9*EF!$H8)*kgtoGg,('Net zero Activity data'!BJ9*EF!$H8)*kgtoGg)</f>
        <v>330.84818617197112</v>
      </c>
      <c r="AR920" s="93">
        <f>IF('Net zero activities &amp; levers'!$C$12="Off",('Activity data'!BK9*EF!$H8)*kgtoGg,('Net zero Activity data'!BK9*EF!$H8)*kgtoGg)</f>
        <v>333.33745998120867</v>
      </c>
      <c r="AS920" s="93">
        <f>IF('Net zero activities &amp; levers'!$C$12="Off",('Activity data'!BL9*EF!$H8)*kgtoGg,('Net zero Activity data'!BL9*EF!$H8)*kgtoGg)</f>
        <v>335.89328297673717</v>
      </c>
      <c r="AT920" s="93">
        <f>IF('Net zero activities &amp; levers'!$C$12="Off",('Activity data'!BM9*EF!$H8)*kgtoGg,('Net zero Activity data'!BM9*EF!$H8)*kgtoGg)</f>
        <v>330.85162440679704</v>
      </c>
      <c r="AU920" s="93">
        <f>IF('Net zero activities &amp; levers'!$C$12="Off",('Activity data'!BN9*EF!$H8)*kgtoGg,('Net zero Activity data'!BN9*EF!$H8)*kgtoGg)</f>
        <v>325.14027314970184</v>
      </c>
      <c r="AV920" s="93">
        <f>IF('Net zero activities &amp; levers'!$C$12="Off",('Activity data'!BO9*EF!$H8)*kgtoGg,('Net zero Activity data'!BO9*EF!$H8)*kgtoGg)</f>
        <v>318.5189850369415</v>
      </c>
      <c r="AW920" s="93">
        <f>IF('Net zero activities &amp; levers'!$C$12="Off",('Activity data'!BP9*EF!$H8)*kgtoGg,('Net zero Activity data'!BP9*EF!$H8)*kgtoGg)</f>
        <v>311.6901905696734</v>
      </c>
      <c r="AY920" s="79"/>
      <c r="AZ920" s="79"/>
    </row>
    <row r="921" spans="1:52" x14ac:dyDescent="0.3">
      <c r="A921" s="95" t="str">
        <f t="shared" si="326"/>
        <v>DS Cattle</v>
      </c>
      <c r="B921" s="95" t="s">
        <v>974</v>
      </c>
      <c r="C921" s="95" t="s">
        <v>1108</v>
      </c>
      <c r="D921" t="s">
        <v>15</v>
      </c>
      <c r="E921" t="s">
        <v>16</v>
      </c>
      <c r="F921" t="s">
        <v>67</v>
      </c>
      <c r="G921" t="s">
        <v>135</v>
      </c>
      <c r="H921" t="s">
        <v>1020</v>
      </c>
      <c r="I921" t="s">
        <v>121</v>
      </c>
      <c r="J921" t="s">
        <v>286</v>
      </c>
      <c r="K921" s="93">
        <f>IF('Net zero activities &amp; levers'!$C$12="Off",('Activity data'!AD10*EF!$H9)*kgtoGg,('Net zero Activity data'!AD10*EF!$H9)*kgtoGg)</f>
        <v>31.891995988947272</v>
      </c>
      <c r="L921" s="93">
        <f>IF('Net zero activities &amp; levers'!$C$12="Off",('Activity data'!AE10*EF!$H9)*kgtoGg,('Net zero Activity data'!AE10*EF!$H9)*kgtoGg)</f>
        <v>32.967337371253535</v>
      </c>
      <c r="M921" s="93">
        <f>IF('Net zero activities &amp; levers'!$C$12="Off",('Activity data'!AF10*EF!$H9)*kgtoGg,('Net zero Activity data'!AF10*EF!$H9)*kgtoGg)</f>
        <v>34.243655078433662</v>
      </c>
      <c r="N921" s="93">
        <f>IF('Net zero activities &amp; levers'!$C$12="Off",('Activity data'!AG10*EF!$H9)*kgtoGg,('Net zero Activity data'!AG10*EF!$H9)*kgtoGg)</f>
        <v>35.19550479761466</v>
      </c>
      <c r="O921" s="93">
        <f>IF('Net zero activities &amp; levers'!$C$12="Off",('Activity data'!AH10*EF!$H9)*kgtoGg,('Net zero Activity data'!AH10*EF!$H9)*kgtoGg)</f>
        <v>35.929559405213332</v>
      </c>
      <c r="P921" s="93">
        <f>IF('Net zero activities &amp; levers'!$C$12="Off",('Activity data'!AI10*EF!$H9)*kgtoGg,('Net zero Activity data'!AI10*EF!$H9)*kgtoGg)</f>
        <v>36.435327957872907</v>
      </c>
      <c r="Q921" s="93">
        <f>IF('Net zero activities &amp; levers'!$C$12="Off",('Activity data'!AJ10*EF!$H9)*kgtoGg,('Net zero Activity data'!AJ10*EF!$H9)*kgtoGg)</f>
        <v>37.125912791560339</v>
      </c>
      <c r="R921" s="93">
        <f>IF('Net zero activities &amp; levers'!$C$12="Off",('Activity data'!AK10*EF!$H9)*kgtoGg,('Net zero Activity data'!AK10*EF!$H9)*kgtoGg)</f>
        <v>37.849847328761314</v>
      </c>
      <c r="S921" s="93">
        <f>IF('Net zero activities &amp; levers'!$C$12="Off",('Activity data'!AL10*EF!$H9)*kgtoGg,('Net zero Activity data'!AL10*EF!$H9)*kgtoGg)</f>
        <v>34.642542509776739</v>
      </c>
      <c r="T921" s="93">
        <f>IF('Net zero activities &amp; levers'!$C$12="Off",('Activity data'!AM10*EF!$H9)*kgtoGg,('Net zero Activity data'!AM10*EF!$H9)*kgtoGg)</f>
        <v>36.053430902114805</v>
      </c>
      <c r="U921" s="93">
        <f>IF('Net zero activities &amp; levers'!$C$12="Off",('Activity data'!AN10*EF!$H9)*kgtoGg,('Net zero Activity data'!AN10*EF!$H9)*kgtoGg)</f>
        <v>38.010696022356719</v>
      </c>
      <c r="V921" s="93">
        <f>IF('Net zero activities &amp; levers'!$C$12="Off",('Activity data'!AO10*EF!$H9)*kgtoGg,('Net zero Activity data'!AO10*EF!$H9)*kgtoGg)</f>
        <v>39.127373882680487</v>
      </c>
      <c r="W921" s="93">
        <f>IF('Net zero activities &amp; levers'!$C$12="Off",('Activity data'!AP10*EF!$H9)*kgtoGg,('Net zero Activity data'!AP10*EF!$H9)*kgtoGg)</f>
        <v>40.366459949035139</v>
      </c>
      <c r="X921" s="93">
        <f>IF('Net zero activities &amp; levers'!$C$12="Off",('Activity data'!AQ10*EF!$H9)*kgtoGg,('Net zero Activity data'!AQ10*EF!$H9)*kgtoGg)</f>
        <v>41.765821576969046</v>
      </c>
      <c r="Y921" s="93">
        <f>IF('Net zero activities &amp; levers'!$C$12="Off",('Activity data'!AR10*EF!$H9)*kgtoGg,('Net zero Activity data'!AR10*EF!$H9)*kgtoGg)</f>
        <v>43.269588309323517</v>
      </c>
      <c r="Z921" s="93">
        <f>IF('Net zero activities &amp; levers'!$C$12="Off",('Activity data'!AS10*EF!$H9)*kgtoGg,('Net zero Activity data'!AS10*EF!$H9)*kgtoGg)</f>
        <v>44.908778901884347</v>
      </c>
      <c r="AA921" s="93">
        <f>IF('Net zero activities &amp; levers'!$C$12="Off",('Activity data'!AT10*EF!$H9)*kgtoGg,('Net zero Activity data'!AT10*EF!$H9)*kgtoGg)</f>
        <v>46.594068388350003</v>
      </c>
      <c r="AB921" s="93">
        <f>IF('Net zero activities &amp; levers'!$C$12="Off",('Activity data'!AU10*EF!$H9)*kgtoGg,('Net zero Activity data'!AU10*EF!$H9)*kgtoGg)</f>
        <v>48.410923677012072</v>
      </c>
      <c r="AC921" s="93">
        <f>IF('Net zero activities &amp; levers'!$C$12="Off",('Activity data'!AV10*EF!$H9)*kgtoGg,('Net zero Activity data'!AV10*EF!$H9)*kgtoGg)</f>
        <v>50.269303700477998</v>
      </c>
      <c r="AD921" s="93">
        <f>IF('Net zero activities &amp; levers'!$C$12="Off",('Activity data'!AW10*EF!$H9)*kgtoGg,('Net zero Activity data'!AW10*EF!$H9)*kgtoGg)</f>
        <v>52.471951507677524</v>
      </c>
      <c r="AE921" s="93">
        <f>IF('Net zero activities &amp; levers'!$C$12="Off",('Activity data'!AX10*EF!$H9)*kgtoGg,('Net zero Activity data'!AX10*EF!$H9)*kgtoGg)</f>
        <v>54.669760459111487</v>
      </c>
      <c r="AF921" s="93">
        <f>IF('Net zero activities &amp; levers'!$C$12="Off",('Activity data'!AY10*EF!$H9)*kgtoGg,('Net zero Activity data'!AY10*EF!$H9)*kgtoGg)</f>
        <v>56.986868883720433</v>
      </c>
      <c r="AG921" s="93">
        <f>IF('Net zero activities &amp; levers'!$C$12="Off",('Activity data'!AZ10*EF!$H9)*kgtoGg,('Net zero Activity data'!AZ10*EF!$H9)*kgtoGg)</f>
        <v>59.577013910557568</v>
      </c>
      <c r="AH921" s="93">
        <f>IF('Net zero activities &amp; levers'!$C$12="Off",('Activity data'!BA10*EF!$H9)*kgtoGg,('Net zero Activity data'!BA10*EF!$H9)*kgtoGg)</f>
        <v>62.085208612074666</v>
      </c>
      <c r="AI921" s="93">
        <f>IF('Net zero activities &amp; levers'!$C$12="Off",('Activity data'!BB10*EF!$H9)*kgtoGg,('Net zero Activity data'!BB10*EF!$H9)*kgtoGg)</f>
        <v>64.738520962902328</v>
      </c>
      <c r="AJ921" s="93">
        <f>IF('Net zero activities &amp; levers'!$C$12="Off",('Activity data'!BC10*EF!$H9)*kgtoGg,('Net zero Activity data'!BC10*EF!$H9)*kgtoGg)</f>
        <v>67.569668411383148</v>
      </c>
      <c r="AK921" s="93">
        <f>IF('Net zero activities &amp; levers'!$C$12="Off",('Activity data'!BD10*EF!$H9)*kgtoGg,('Net zero Activity data'!BD10*EF!$H9)*kgtoGg)</f>
        <v>70.282185941463524</v>
      </c>
      <c r="AL921" s="93">
        <f>IF('Net zero activities &amp; levers'!$C$12="Off",('Activity data'!BE10*EF!$H9)*kgtoGg,('Net zero Activity data'!BE10*EF!$H9)*kgtoGg)</f>
        <v>73.009611809365794</v>
      </c>
      <c r="AM921" s="93">
        <f>IF('Net zero activities &amp; levers'!$C$12="Off",('Activity data'!BF10*EF!$H9)*kgtoGg,('Net zero Activity data'!BF10*EF!$H9)*kgtoGg)</f>
        <v>75.757864250149765</v>
      </c>
      <c r="AN921" s="93">
        <f>IF('Net zero activities &amp; levers'!$C$12="Off",('Activity data'!BG10*EF!$H9)*kgtoGg,('Net zero Activity data'!BG10*EF!$H9)*kgtoGg)</f>
        <v>78.63033008147255</v>
      </c>
      <c r="AO921" s="93">
        <f>IF('Net zero activities &amp; levers'!$C$12="Off",('Activity data'!BH10*EF!$H9)*kgtoGg,('Net zero Activity data'!BH10*EF!$H9)*kgtoGg)</f>
        <v>81.431036976471376</v>
      </c>
      <c r="AP921" s="93">
        <f>IF('Net zero activities &amp; levers'!$C$12="Off",('Activity data'!BI10*EF!$H9)*kgtoGg,('Net zero Activity data'!BI10*EF!$H9)*kgtoGg)</f>
        <v>84.343805269420216</v>
      </c>
      <c r="AQ921" s="93">
        <f>IF('Net zero activities &amp; levers'!$C$12="Off",('Activity data'!BJ10*EF!$H9)*kgtoGg,('Net zero Activity data'!BJ10*EF!$H9)*kgtoGg)</f>
        <v>87.381529968917789</v>
      </c>
      <c r="AR921" s="93">
        <f>IF('Net zero activities &amp; levers'!$C$12="Off",('Activity data'!BK10*EF!$H9)*kgtoGg,('Net zero Activity data'!BK10*EF!$H9)*kgtoGg)</f>
        <v>90.56411958911923</v>
      </c>
      <c r="AS921" s="93">
        <f>IF('Net zero activities &amp; levers'!$C$12="Off",('Activity data'!BL10*EF!$H9)*kgtoGg,('Net zero Activity data'!BL10*EF!$H9)*kgtoGg)</f>
        <v>93.889582462340528</v>
      </c>
      <c r="AT921" s="93">
        <f>IF('Net zero activities &amp; levers'!$C$12="Off",('Activity data'!BM10*EF!$H9)*kgtoGg,('Net zero Activity data'!BM10*EF!$H9)*kgtoGg)</f>
        <v>95.161623451693828</v>
      </c>
      <c r="AU921" s="93">
        <f>IF('Net zero activities &amp; levers'!$C$12="Off",('Activity data'!BN10*EF!$H9)*kgtoGg,('Net zero Activity data'!BN10*EF!$H9)*kgtoGg)</f>
        <v>96.246716097882043</v>
      </c>
      <c r="AV921" s="93">
        <f>IF('Net zero activities &amp; levers'!$C$12="Off",('Activity data'!BO10*EF!$H9)*kgtoGg,('Net zero Activity data'!BO10*EF!$H9)*kgtoGg)</f>
        <v>97.054781525387583</v>
      </c>
      <c r="AW921" s="93">
        <f>IF('Net zero activities &amp; levers'!$C$12="Off",('Activity data'!BP10*EF!$H9)*kgtoGg,('Net zero Activity data'!BP10*EF!$H9)*kgtoGg)</f>
        <v>97.781567637634097</v>
      </c>
      <c r="AY921" s="79"/>
      <c r="AZ921" s="79"/>
    </row>
    <row r="922" spans="1:52" x14ac:dyDescent="0.3">
      <c r="A922" s="95" t="str">
        <f t="shared" si="326"/>
        <v>DS Sheep</v>
      </c>
      <c r="B922" s="95" t="s">
        <v>974</v>
      </c>
      <c r="C922" s="95" t="s">
        <v>152</v>
      </c>
      <c r="D922" t="s">
        <v>15</v>
      </c>
      <c r="E922" t="s">
        <v>16</v>
      </c>
      <c r="F922" t="s">
        <v>18</v>
      </c>
      <c r="G922" t="s">
        <v>122</v>
      </c>
      <c r="H922" t="s">
        <v>1020</v>
      </c>
      <c r="I922" t="s">
        <v>121</v>
      </c>
      <c r="J922" t="s">
        <v>286</v>
      </c>
      <c r="K922" s="93">
        <f>IF('Net zero activities &amp; levers'!$C$12="Off",('Activity data'!AD11*EF!$H10)*kgtoGg,('Net zero Activity data'!AD11*EF!$H10)*kgtoGg)</f>
        <v>132.59034293279757</v>
      </c>
      <c r="L922" s="93">
        <f>IF('Net zero activities &amp; levers'!$C$12="Off",('Activity data'!AE11*EF!$H10)*kgtoGg,('Net zero Activity data'!AE11*EF!$H10)*kgtoGg)</f>
        <v>132.66203410931632</v>
      </c>
      <c r="M922" s="93">
        <f>IF('Net zero activities &amp; levers'!$C$12="Off",('Activity data'!AF11*EF!$H10)*kgtoGg,('Net zero Activity data'!AF11*EF!$H10)*kgtoGg)</f>
        <v>132.83344502276296</v>
      </c>
      <c r="N922" s="93">
        <f>IF('Net zero activities &amp; levers'!$C$12="Off",('Activity data'!AG11*EF!$H10)*kgtoGg,('Net zero Activity data'!AG11*EF!$H10)*kgtoGg)</f>
        <v>133.08619178866664</v>
      </c>
      <c r="O922" s="93">
        <f>IF('Net zero activities &amp; levers'!$C$12="Off",('Activity data'!AH11*EF!$H10)*kgtoGg,('Net zero Activity data'!AH11*EF!$H10)*kgtoGg)</f>
        <v>133.41866827856941</v>
      </c>
      <c r="P922" s="93">
        <f>IF('Net zero activities &amp; levers'!$C$12="Off",('Activity data'!AI11*EF!$H10)*kgtoGg,('Net zero Activity data'!AI11*EF!$H10)*kgtoGg)</f>
        <v>133.8273636783253</v>
      </c>
      <c r="Q922" s="93">
        <f>IF('Net zero activities &amp; levers'!$C$12="Off",('Activity data'!AJ11*EF!$H10)*kgtoGg,('Net zero Activity data'!AJ11*EF!$H10)*kgtoGg)</f>
        <v>134.2863843975903</v>
      </c>
      <c r="R922" s="93">
        <f>IF('Net zero activities &amp; levers'!$C$12="Off",('Activity data'!AK11*EF!$H10)*kgtoGg,('Net zero Activity data'!AK11*EF!$H10)*kgtoGg)</f>
        <v>134.79283247693314</v>
      </c>
      <c r="S922" s="93">
        <f>IF('Net zero activities &amp; levers'!$C$12="Off",('Activity data'!AL11*EF!$H10)*kgtoGg,('Net zero Activity data'!AL11*EF!$H10)*kgtoGg)</f>
        <v>135.25595136269689</v>
      </c>
      <c r="T922" s="93">
        <f>IF('Net zero activities &amp; levers'!$C$12="Off",('Activity data'!AM11*EF!$H10)*kgtoGg,('Net zero Activity data'!AM11*EF!$H10)*kgtoGg)</f>
        <v>135.45945701303151</v>
      </c>
      <c r="U922" s="93">
        <f>IF('Net zero activities &amp; levers'!$C$12="Off",('Activity data'!AN11*EF!$H10)*kgtoGg,('Net zero Activity data'!AN11*EF!$H10)*kgtoGg)</f>
        <v>135.70798113166347</v>
      </c>
      <c r="V922" s="93">
        <f>IF('Net zero activities &amp; levers'!$C$12="Off",('Activity data'!AO11*EF!$H10)*kgtoGg,('Net zero Activity data'!AO11*EF!$H10)*kgtoGg)</f>
        <v>135.96919937925796</v>
      </c>
      <c r="W922" s="93">
        <f>IF('Net zero activities &amp; levers'!$C$12="Off",('Activity data'!AP11*EF!$H10)*kgtoGg,('Net zero Activity data'!AP11*EF!$H10)*kgtoGg)</f>
        <v>136.26247262957938</v>
      </c>
      <c r="X922" s="93">
        <f>IF('Net zero activities &amp; levers'!$C$12="Off",('Activity data'!AQ11*EF!$H10)*kgtoGg,('Net zero Activity data'!AQ11*EF!$H10)*kgtoGg)</f>
        <v>136.58698029827343</v>
      </c>
      <c r="Y922" s="93">
        <f>IF('Net zero activities &amp; levers'!$C$12="Off",('Activity data'!AR11*EF!$H10)*kgtoGg,('Net zero Activity data'!AR11*EF!$H10)*kgtoGg)</f>
        <v>136.78964350738272</v>
      </c>
      <c r="Z922" s="93">
        <f>IF('Net zero activities &amp; levers'!$C$12="Off",('Activity data'!AS11*EF!$H10)*kgtoGg,('Net zero Activity data'!AS11*EF!$H10)*kgtoGg)</f>
        <v>137.0186015592445</v>
      </c>
      <c r="AA922" s="93">
        <f>IF('Net zero activities &amp; levers'!$C$12="Off",('Activity data'!AT11*EF!$H10)*kgtoGg,('Net zero Activity data'!AT11*EF!$H10)*kgtoGg)</f>
        <v>137.27076072273411</v>
      </c>
      <c r="AB922" s="93">
        <f>IF('Net zero activities &amp; levers'!$C$12="Off",('Activity data'!AU11*EF!$H10)*kgtoGg,('Net zero Activity data'!AU11*EF!$H10)*kgtoGg)</f>
        <v>137.54681434679034</v>
      </c>
      <c r="AC922" s="93">
        <f>IF('Net zero activities &amp; levers'!$C$12="Off",('Activity data'!AV11*EF!$H10)*kgtoGg,('Net zero Activity data'!AV11*EF!$H10)*kgtoGg)</f>
        <v>137.84391314305282</v>
      </c>
      <c r="AD922" s="93">
        <f>IF('Net zero activities &amp; levers'!$C$12="Off",('Activity data'!AW11*EF!$H10)*kgtoGg,('Net zero Activity data'!AW11*EF!$H10)*kgtoGg)</f>
        <v>138.04321155337277</v>
      </c>
      <c r="AE922" s="93">
        <f>IF('Net zero activities &amp; levers'!$C$12="Off",('Activity data'!AX11*EF!$H10)*kgtoGg,('Net zero Activity data'!AX11*EF!$H10)*kgtoGg)</f>
        <v>138.25957262105894</v>
      </c>
      <c r="AF922" s="93">
        <f>IF('Net zero activities &amp; levers'!$C$12="Off",('Activity data'!AY11*EF!$H10)*kgtoGg,('Net zero Activity data'!AY11*EF!$H10)*kgtoGg)</f>
        <v>138.49473553474263</v>
      </c>
      <c r="AG922" s="93">
        <f>IF('Net zero activities &amp; levers'!$C$12="Off",('Activity data'!AZ11*EF!$H10)*kgtoGg,('Net zero Activity data'!AZ11*EF!$H10)*kgtoGg)</f>
        <v>138.75099586378536</v>
      </c>
      <c r="AH922" s="93">
        <f>IF('Net zero activities &amp; levers'!$C$12="Off",('Activity data'!BA11*EF!$H10)*kgtoGg,('Net zero Activity data'!BA11*EF!$H10)*kgtoGg)</f>
        <v>139.02065863419776</v>
      </c>
      <c r="AI922" s="93">
        <f>IF('Net zero activities &amp; levers'!$C$12="Off",('Activity data'!BB11*EF!$H10)*kgtoGg,('Net zero Activity data'!BB11*EF!$H10)*kgtoGg)</f>
        <v>139.193026219692</v>
      </c>
      <c r="AJ922" s="93">
        <f>IF('Net zero activities &amp; levers'!$C$12="Off",('Activity data'!BC11*EF!$H10)*kgtoGg,('Net zero Activity data'!BC11*EF!$H10)*kgtoGg)</f>
        <v>139.38182622697491</v>
      </c>
      <c r="AK922" s="93">
        <f>IF('Net zero activities &amp; levers'!$C$12="Off",('Activity data'!BD11*EF!$H10)*kgtoGg,('Net zero Activity data'!BD11*EF!$H10)*kgtoGg)</f>
        <v>139.58083163749211</v>
      </c>
      <c r="AL922" s="93">
        <f>IF('Net zero activities &amp; levers'!$C$12="Off",('Activity data'!BE11*EF!$H10)*kgtoGg,('Net zero Activity data'!BE11*EF!$H10)*kgtoGg)</f>
        <v>139.79216106672223</v>
      </c>
      <c r="AM922" s="93">
        <f>IF('Net zero activities &amp; levers'!$C$12="Off",('Activity data'!BF11*EF!$H10)*kgtoGg,('Net zero Activity data'!BF11*EF!$H10)*kgtoGg)</f>
        <v>140.01549409297075</v>
      </c>
      <c r="AN922" s="93">
        <f>IF('Net zero activities &amp; levers'!$C$12="Off",('Activity data'!BG11*EF!$H10)*kgtoGg,('Net zero Activity data'!BG11*EF!$H10)*kgtoGg)</f>
        <v>140.14745576644822</v>
      </c>
      <c r="AO922" s="93">
        <f>IF('Net zero activities &amp; levers'!$C$12="Off",('Activity data'!BH11*EF!$H10)*kgtoGg,('Net zero Activity data'!BH11*EF!$H10)*kgtoGg)</f>
        <v>140.28832645422361</v>
      </c>
      <c r="AP922" s="93">
        <f>IF('Net zero activities &amp; levers'!$C$12="Off",('Activity data'!BI11*EF!$H10)*kgtoGg,('Net zero Activity data'!BI11*EF!$H10)*kgtoGg)</f>
        <v>140.44113174726405</v>
      </c>
      <c r="AQ922" s="93">
        <f>IF('Net zero activities &amp; levers'!$C$12="Off",('Activity data'!BJ11*EF!$H10)*kgtoGg,('Net zero Activity data'!BJ11*EF!$H10)*kgtoGg)</f>
        <v>140.60572391526784</v>
      </c>
      <c r="AR922" s="93">
        <f>IF('Net zero activities &amp; levers'!$C$12="Off",('Activity data'!BK11*EF!$H10)*kgtoGg,('Net zero Activity data'!BK11*EF!$H10)*kgtoGg)</f>
        <v>140.78209954735451</v>
      </c>
      <c r="AS922" s="93">
        <f>IF('Net zero activities &amp; levers'!$C$12="Off",('Activity data'!BL11*EF!$H10)*kgtoGg,('Net zero Activity data'!BL11*EF!$H10)*kgtoGg)</f>
        <v>140.86211694361444</v>
      </c>
      <c r="AT922" s="93">
        <f>IF('Net zero activities &amp; levers'!$C$12="Off",('Activity data'!BM11*EF!$H10)*kgtoGg,('Net zero Activity data'!BM11*EF!$H10)*kgtoGg)</f>
        <v>140.91368286545006</v>
      </c>
      <c r="AU922" s="93">
        <f>IF('Net zero activities &amp; levers'!$C$12="Off",('Activity data'!BN11*EF!$H10)*kgtoGg,('Net zero Activity data'!BN11*EF!$H10)*kgtoGg)</f>
        <v>140.97020886145611</v>
      </c>
      <c r="AV922" s="93">
        <f>IF('Net zero activities &amp; levers'!$C$12="Off",('Activity data'!BO11*EF!$H10)*kgtoGg,('Net zero Activity data'!BO11*EF!$H10)*kgtoGg)</f>
        <v>141.02991546858686</v>
      </c>
      <c r="AW922" s="93">
        <f>IF('Net zero activities &amp; levers'!$C$12="Off",('Activity data'!BP11*EF!$H10)*kgtoGg,('Net zero Activity data'!BP11*EF!$H10)*kgtoGg)</f>
        <v>141.09605506808808</v>
      </c>
      <c r="AY922" s="79"/>
      <c r="AZ922" s="79"/>
    </row>
    <row r="923" spans="1:52" x14ac:dyDescent="0.3">
      <c r="A923" s="95" t="str">
        <f t="shared" si="326"/>
        <v>DS Sheep</v>
      </c>
      <c r="B923" s="95" t="s">
        <v>974</v>
      </c>
      <c r="C923" s="95" t="s">
        <v>152</v>
      </c>
      <c r="D923" t="s">
        <v>15</v>
      </c>
      <c r="E923" t="s">
        <v>16</v>
      </c>
      <c r="F923" t="s">
        <v>18</v>
      </c>
      <c r="G923" t="s">
        <v>123</v>
      </c>
      <c r="H923" t="s">
        <v>1020</v>
      </c>
      <c r="I923" t="s">
        <v>121</v>
      </c>
      <c r="J923" t="s">
        <v>286</v>
      </c>
      <c r="K923" s="93">
        <f>IF('Net zero activities &amp; levers'!$C$12="Off",('Activity data'!AD12*EF!$H11)*kgtoGg,('Net zero Activity data'!AD12*EF!$H11)*kgtoGg)</f>
        <v>14.369321450610597</v>
      </c>
      <c r="L923" s="93">
        <f>IF('Net zero activities &amp; levers'!$C$12="Off",('Activity data'!AE12*EF!$H11)*kgtoGg,('Net zero Activity data'!AE12*EF!$H11)*kgtoGg)</f>
        <v>14.377090896995487</v>
      </c>
      <c r="M923" s="93">
        <f>IF('Net zero activities &amp; levers'!$C$12="Off",('Activity data'!AF12*EF!$H11)*kgtoGg,('Net zero Activity data'!AF12*EF!$H11)*kgtoGg)</f>
        <v>14.395667351818489</v>
      </c>
      <c r="N923" s="93">
        <f>IF('Net zero activities &amp; levers'!$C$12="Off",('Activity data'!AG12*EF!$H11)*kgtoGg,('Net zero Activity data'!AG12*EF!$H11)*kgtoGg)</f>
        <v>14.423058483363512</v>
      </c>
      <c r="O923" s="93">
        <f>IF('Net zero activities &amp; levers'!$C$12="Off",('Activity data'!AH12*EF!$H11)*kgtoGg,('Net zero Activity data'!AH12*EF!$H11)*kgtoGg)</f>
        <v>14.459090229360317</v>
      </c>
      <c r="P923" s="93">
        <f>IF('Net zero activities &amp; levers'!$C$12="Off",('Activity data'!AI12*EF!$H11)*kgtoGg,('Net zero Activity data'!AI12*EF!$H11)*kgtoGg)</f>
        <v>14.503382109482045</v>
      </c>
      <c r="Q923" s="93">
        <f>IF('Net zero activities &amp; levers'!$C$12="Off",('Activity data'!AJ12*EF!$H11)*kgtoGg,('Net zero Activity data'!AJ12*EF!$H11)*kgtoGg)</f>
        <v>14.553127936528831</v>
      </c>
      <c r="R923" s="93">
        <f>IF('Net zero activities &amp; levers'!$C$12="Off",('Activity data'!AK12*EF!$H11)*kgtoGg,('Net zero Activity data'!AK12*EF!$H11)*kgtoGg)</f>
        <v>14.608013647578019</v>
      </c>
      <c r="S923" s="93">
        <f>IF('Net zero activities &amp; levers'!$C$12="Off",('Activity data'!AL12*EF!$H11)*kgtoGg,('Net zero Activity data'!AL12*EF!$H11)*kgtoGg)</f>
        <v>14.658203608567563</v>
      </c>
      <c r="T923" s="93">
        <f>IF('Net zero activities &amp; levers'!$C$12="Off",('Activity data'!AM12*EF!$H11)*kgtoGg,('Net zero Activity data'!AM12*EF!$H11)*kgtoGg)</f>
        <v>14.680258292506014</v>
      </c>
      <c r="U923" s="93">
        <f>IF('Net zero activities &amp; levers'!$C$12="Off",('Activity data'!AN12*EF!$H11)*kgtoGg,('Net zero Activity data'!AN12*EF!$H11)*kgtoGg)</f>
        <v>14.707191799651872</v>
      </c>
      <c r="V923" s="93">
        <f>IF('Net zero activities &amp; levers'!$C$12="Off",('Activity data'!AO12*EF!$H11)*kgtoGg,('Net zero Activity data'!AO12*EF!$H11)*kgtoGg)</f>
        <v>14.735501017996329</v>
      </c>
      <c r="W923" s="93">
        <f>IF('Net zero activities &amp; levers'!$C$12="Off",('Activity data'!AP12*EF!$H11)*kgtoGg,('Net zero Activity data'!AP12*EF!$H11)*kgtoGg)</f>
        <v>14.767284159313563</v>
      </c>
      <c r="X923" s="93">
        <f>IF('Net zero activities &amp; levers'!$C$12="Off",('Activity data'!AQ12*EF!$H11)*kgtoGg,('Net zero Activity data'!AQ12*EF!$H11)*kgtoGg)</f>
        <v>14.802452293745619</v>
      </c>
      <c r="Y923" s="93">
        <f>IF('Net zero activities &amp; levers'!$C$12="Off",('Activity data'!AR12*EF!$H11)*kgtoGg,('Net zero Activity data'!AR12*EF!$H11)*kgtoGg)</f>
        <v>14.824415679113581</v>
      </c>
      <c r="Z923" s="93">
        <f>IF('Net zero activities &amp; levers'!$C$12="Off",('Activity data'!AS12*EF!$H11)*kgtoGg,('Net zero Activity data'!AS12*EF!$H11)*kgtoGg)</f>
        <v>14.849228736936167</v>
      </c>
      <c r="AA923" s="93">
        <f>IF('Net zero activities &amp; levers'!$C$12="Off",('Activity data'!AT12*EF!$H11)*kgtoGg,('Net zero Activity data'!AT12*EF!$H11)*kgtoGg)</f>
        <v>14.876556187765189</v>
      </c>
      <c r="AB923" s="93">
        <f>IF('Net zero activities &amp; levers'!$C$12="Off",('Activity data'!AU12*EF!$H11)*kgtoGg,('Net zero Activity data'!AU12*EF!$H11)*kgtoGg)</f>
        <v>14.906473172471083</v>
      </c>
      <c r="AC923" s="93">
        <f>IF('Net zero activities &amp; levers'!$C$12="Off",('Activity data'!AV12*EF!$H11)*kgtoGg,('Net zero Activity data'!AV12*EF!$H11)*kgtoGg)</f>
        <v>14.938670902800874</v>
      </c>
      <c r="AD923" s="93">
        <f>IF('Net zero activities &amp; levers'!$C$12="Off",('Activity data'!AW12*EF!$H11)*kgtoGg,('Net zero Activity data'!AW12*EF!$H11)*kgtoGg)</f>
        <v>14.960269632083405</v>
      </c>
      <c r="AE923" s="93">
        <f>IF('Net zero activities &amp; levers'!$C$12="Off",('Activity data'!AX12*EF!$H11)*kgtoGg,('Net zero Activity data'!AX12*EF!$H11)*kgtoGg)</f>
        <v>14.983717506658669</v>
      </c>
      <c r="AF923" s="93">
        <f>IF('Net zero activities &amp; levers'!$C$12="Off",('Activity data'!AY12*EF!$H11)*kgtoGg,('Net zero Activity data'!AY12*EF!$H11)*kgtoGg)</f>
        <v>15.009203009035685</v>
      </c>
      <c r="AG923" s="93">
        <f>IF('Net zero activities &amp; levers'!$C$12="Off",('Activity data'!AZ12*EF!$H11)*kgtoGg,('Net zero Activity data'!AZ12*EF!$H11)*kgtoGg)</f>
        <v>15.036974918826434</v>
      </c>
      <c r="AH923" s="93">
        <f>IF('Net zero activities &amp; levers'!$C$12="Off",('Activity data'!BA12*EF!$H11)*kgtoGg,('Net zero Activity data'!BA12*EF!$H11)*kgtoGg)</f>
        <v>15.066199302334384</v>
      </c>
      <c r="AI923" s="93">
        <f>IF('Net zero activities &amp; levers'!$C$12="Off",('Activity data'!BB12*EF!$H11)*kgtoGg,('Net zero Activity data'!BB12*EF!$H11)*kgtoGg)</f>
        <v>15.084879435358006</v>
      </c>
      <c r="AJ923" s="93">
        <f>IF('Net zero activities &amp; levers'!$C$12="Off",('Activity data'!BC12*EF!$H11)*kgtoGg,('Net zero Activity data'!BC12*EF!$H11)*kgtoGg)</f>
        <v>15.105340412639743</v>
      </c>
      <c r="AK923" s="93">
        <f>IF('Net zero activities &amp; levers'!$C$12="Off",('Activity data'!BD12*EF!$H11)*kgtoGg,('Net zero Activity data'!BD12*EF!$H11)*kgtoGg)</f>
        <v>15.126907388415511</v>
      </c>
      <c r="AL923" s="93">
        <f>IF('Net zero activities &amp; levers'!$C$12="Off",('Activity data'!BE12*EF!$H11)*kgtoGg,('Net zero Activity data'!BE12*EF!$H11)*kgtoGg)</f>
        <v>15.14980996512972</v>
      </c>
      <c r="AM923" s="93">
        <f>IF('Net zero activities &amp; levers'!$C$12="Off",('Activity data'!BF12*EF!$H11)*kgtoGg,('Net zero Activity data'!BF12*EF!$H11)*kgtoGg)</f>
        <v>15.174013417460552</v>
      </c>
      <c r="AN923" s="93">
        <f>IF('Net zero activities &amp; levers'!$C$12="Off",('Activity data'!BG12*EF!$H11)*kgtoGg,('Net zero Activity data'!BG12*EF!$H11)*kgtoGg)</f>
        <v>15.188314607603177</v>
      </c>
      <c r="AO923" s="93">
        <f>IF('Net zero activities &amp; levers'!$C$12="Off",('Activity data'!BH12*EF!$H11)*kgtoGg,('Net zero Activity data'!BH12*EF!$H11)*kgtoGg)</f>
        <v>15.203581301623565</v>
      </c>
      <c r="AP923" s="93">
        <f>IF('Net zero activities &amp; levers'!$C$12="Off",('Activity data'!BI12*EF!$H11)*kgtoGg,('Net zero Activity data'!BI12*EF!$H11)*kgtoGg)</f>
        <v>15.220141394360979</v>
      </c>
      <c r="AQ923" s="93">
        <f>IF('Net zero activities &amp; levers'!$C$12="Off",('Activity data'!BJ12*EF!$H11)*kgtoGg,('Net zero Activity data'!BJ12*EF!$H11)*kgtoGg)</f>
        <v>15.237978875718865</v>
      </c>
      <c r="AR923" s="93">
        <f>IF('Net zero activities &amp; levers'!$C$12="Off",('Activity data'!BK12*EF!$H11)*kgtoGg,('Net zero Activity data'!BK12*EF!$H11)*kgtoGg)</f>
        <v>15.25709337604709</v>
      </c>
      <c r="AS923" s="93">
        <f>IF('Net zero activities &amp; levers'!$C$12="Off",('Activity data'!BL12*EF!$H11)*kgtoGg,('Net zero Activity data'!BL12*EF!$H11)*kgtoGg)</f>
        <v>15.265765166639579</v>
      </c>
      <c r="AT923" s="93">
        <f>IF('Net zero activities &amp; levers'!$C$12="Off",('Activity data'!BM12*EF!$H11)*kgtoGg,('Net zero Activity data'!BM12*EF!$H11)*kgtoGg)</f>
        <v>15.271353562373108</v>
      </c>
      <c r="AU923" s="93">
        <f>IF('Net zero activities &amp; levers'!$C$12="Off",('Activity data'!BN12*EF!$H11)*kgtoGg,('Net zero Activity data'!BN12*EF!$H11)*kgtoGg)</f>
        <v>15.277479500272968</v>
      </c>
      <c r="AV923" s="93">
        <f>IF('Net zero activities &amp; levers'!$C$12="Off",('Activity data'!BO12*EF!$H11)*kgtoGg,('Net zero Activity data'!BO12*EF!$H11)*kgtoGg)</f>
        <v>15.283950133138154</v>
      </c>
      <c r="AW923" s="93">
        <f>IF('Net zero activities &amp; levers'!$C$12="Off",('Activity data'!BP12*EF!$H11)*kgtoGg,('Net zero Activity data'!BP12*EF!$H11)*kgtoGg)</f>
        <v>15.291117933935899</v>
      </c>
      <c r="AY923" s="79"/>
      <c r="AZ923" s="79"/>
    </row>
    <row r="924" spans="1:52" x14ac:dyDescent="0.3">
      <c r="A924" s="95" t="str">
        <f t="shared" si="326"/>
        <v>DS Goats</v>
      </c>
      <c r="B924" s="95" t="s">
        <v>974</v>
      </c>
      <c r="C924" s="95" t="s">
        <v>153</v>
      </c>
      <c r="D924" t="s">
        <v>15</v>
      </c>
      <c r="E924" t="s">
        <v>16</v>
      </c>
      <c r="F924" t="s">
        <v>19</v>
      </c>
      <c r="G924" t="s">
        <v>122</v>
      </c>
      <c r="H924" t="s">
        <v>1020</v>
      </c>
      <c r="I924" t="s">
        <v>121</v>
      </c>
      <c r="J924" t="s">
        <v>286</v>
      </c>
      <c r="K924" s="27">
        <f t="shared" ref="K924:Z927" si="329">K1387</f>
        <v>15.123414197798359</v>
      </c>
      <c r="L924" s="27">
        <f t="shared" si="329"/>
        <v>15.162727774721576</v>
      </c>
      <c r="M924" s="27">
        <f t="shared" si="329"/>
        <v>15.216959464794312</v>
      </c>
      <c r="N924" s="27">
        <f t="shared" si="329"/>
        <v>15.283027985940228</v>
      </c>
      <c r="O924" s="27">
        <f t="shared" si="329"/>
        <v>15.360839106953575</v>
      </c>
      <c r="P924" s="27">
        <f t="shared" si="329"/>
        <v>15.449919228540612</v>
      </c>
      <c r="Q924" s="27">
        <f t="shared" si="329"/>
        <v>15.545788610572222</v>
      </c>
      <c r="R924" s="27">
        <f t="shared" si="329"/>
        <v>15.648067752449878</v>
      </c>
      <c r="S924" s="27">
        <f t="shared" si="329"/>
        <v>15.740823350999253</v>
      </c>
      <c r="T924" s="27">
        <f t="shared" si="329"/>
        <v>15.786130826260475</v>
      </c>
      <c r="U924" s="27">
        <f t="shared" si="329"/>
        <v>15.838063303157622</v>
      </c>
      <c r="V924" s="27">
        <f t="shared" si="329"/>
        <v>15.891000771686212</v>
      </c>
      <c r="W924" s="27">
        <f t="shared" si="329"/>
        <v>15.94841543311963</v>
      </c>
      <c r="X924" s="27">
        <f t="shared" si="329"/>
        <v>16.010212398342233</v>
      </c>
      <c r="Y924" s="27">
        <f t="shared" si="329"/>
        <v>16.04975975411061</v>
      </c>
      <c r="Z924" s="27">
        <f t="shared" si="329"/>
        <v>16.093026754767141</v>
      </c>
      <c r="AA924" s="27">
        <f t="shared" ref="L924:AW927" si="330">AA1387</f>
        <v>16.139507339626743</v>
      </c>
      <c r="AB924" s="27">
        <f t="shared" si="330"/>
        <v>16.189350761403606</v>
      </c>
      <c r="AC924" s="27">
        <f t="shared" si="330"/>
        <v>16.242088999774211</v>
      </c>
      <c r="AD924" s="27">
        <f t="shared" si="330"/>
        <v>16.277259419124743</v>
      </c>
      <c r="AE924" s="27">
        <f t="shared" si="330"/>
        <v>16.31476657866423</v>
      </c>
      <c r="AF924" s="27">
        <f t="shared" si="330"/>
        <v>16.354927956284293</v>
      </c>
      <c r="AG924" s="27">
        <f t="shared" si="330"/>
        <v>16.39815145947275</v>
      </c>
      <c r="AH924" s="27">
        <f t="shared" si="330"/>
        <v>16.443131260504089</v>
      </c>
      <c r="AI924" s="27">
        <f t="shared" si="330"/>
        <v>16.470988408557865</v>
      </c>
      <c r="AJ924" s="27">
        <f t="shared" si="330"/>
        <v>16.501218486314869</v>
      </c>
      <c r="AK924" s="27">
        <f t="shared" si="330"/>
        <v>16.532770131598127</v>
      </c>
      <c r="AL924" s="27">
        <f t="shared" si="330"/>
        <v>16.566015013383382</v>
      </c>
      <c r="AM924" s="27">
        <f t="shared" si="330"/>
        <v>16.600907614824543</v>
      </c>
      <c r="AN924" s="27">
        <f t="shared" si="330"/>
        <v>16.619970797900123</v>
      </c>
      <c r="AO924" s="27">
        <f t="shared" si="330"/>
        <v>16.64023491177819</v>
      </c>
      <c r="AP924" s="27">
        <f t="shared" si="330"/>
        <v>16.662217242949243</v>
      </c>
      <c r="AQ924" s="27">
        <f t="shared" si="330"/>
        <v>16.685896797291566</v>
      </c>
      <c r="AR924" s="27">
        <f t="shared" si="330"/>
        <v>16.711276306511749</v>
      </c>
      <c r="AS924" s="27">
        <f t="shared" si="330"/>
        <v>16.720221808869553</v>
      </c>
      <c r="AT924" s="27">
        <f t="shared" si="330"/>
        <v>16.72419450850062</v>
      </c>
      <c r="AU924" s="27">
        <f t="shared" si="330"/>
        <v>16.728812799261537</v>
      </c>
      <c r="AV924" s="27">
        <f t="shared" si="330"/>
        <v>16.733784752247175</v>
      </c>
      <c r="AW924" s="27">
        <f t="shared" si="330"/>
        <v>16.739658320998576</v>
      </c>
      <c r="AY924" s="79"/>
      <c r="AZ924" s="79"/>
    </row>
    <row r="925" spans="1:52" x14ac:dyDescent="0.3">
      <c r="A925" s="95" t="str">
        <f t="shared" si="326"/>
        <v>DS Goats</v>
      </c>
      <c r="B925" s="95" t="s">
        <v>974</v>
      </c>
      <c r="C925" s="95" t="s">
        <v>153</v>
      </c>
      <c r="D925" t="s">
        <v>15</v>
      </c>
      <c r="E925" t="s">
        <v>16</v>
      </c>
      <c r="F925" t="s">
        <v>19</v>
      </c>
      <c r="G925" t="s">
        <v>123</v>
      </c>
      <c r="H925" t="s">
        <v>1020</v>
      </c>
      <c r="I925" t="s">
        <v>121</v>
      </c>
      <c r="J925" t="s">
        <v>286</v>
      </c>
      <c r="K925" s="27">
        <f t="shared" si="329"/>
        <v>22.381101687842744</v>
      </c>
      <c r="L925" s="27">
        <f t="shared" si="330"/>
        <v>22.439281748993185</v>
      </c>
      <c r="M925" s="27">
        <f t="shared" si="330"/>
        <v>22.519539087339325</v>
      </c>
      <c r="N925" s="27">
        <f t="shared" si="330"/>
        <v>22.617313721478975</v>
      </c>
      <c r="O925" s="27">
        <f t="shared" si="330"/>
        <v>22.73246619889365</v>
      </c>
      <c r="P925" s="27">
        <f t="shared" si="330"/>
        <v>22.864295641209328</v>
      </c>
      <c r="Q925" s="27">
        <f t="shared" si="330"/>
        <v>23.006172492556328</v>
      </c>
      <c r="R925" s="27">
        <f t="shared" si="330"/>
        <v>23.157535130977113</v>
      </c>
      <c r="S925" s="27">
        <f t="shared" si="330"/>
        <v>23.294803902175122</v>
      </c>
      <c r="T925" s="27">
        <f t="shared" si="330"/>
        <v>23.361854318025564</v>
      </c>
      <c r="U925" s="27">
        <f t="shared" si="330"/>
        <v>23.438709056719805</v>
      </c>
      <c r="V925" s="27">
        <f t="shared" si="330"/>
        <v>23.517051079938867</v>
      </c>
      <c r="W925" s="27">
        <f t="shared" si="330"/>
        <v>23.602018889396962</v>
      </c>
      <c r="X925" s="27">
        <f t="shared" si="330"/>
        <v>23.693472058936443</v>
      </c>
      <c r="Y925" s="27">
        <f t="shared" si="330"/>
        <v>23.75199808879723</v>
      </c>
      <c r="Z925" s="27">
        <f t="shared" si="330"/>
        <v>23.816028811539901</v>
      </c>
      <c r="AA925" s="27">
        <f t="shared" si="330"/>
        <v>23.884815309261068</v>
      </c>
      <c r="AB925" s="27">
        <f t="shared" si="330"/>
        <v>23.958578460667738</v>
      </c>
      <c r="AC925" s="27">
        <f t="shared" si="330"/>
        <v>24.036625643689554</v>
      </c>
      <c r="AD925" s="27">
        <f t="shared" si="330"/>
        <v>24.088674256627954</v>
      </c>
      <c r="AE925" s="27">
        <f t="shared" si="330"/>
        <v>24.144181005348596</v>
      </c>
      <c r="AF925" s="27">
        <f t="shared" si="330"/>
        <v>24.20361572456493</v>
      </c>
      <c r="AG925" s="27">
        <f t="shared" si="330"/>
        <v>24.267582075516717</v>
      </c>
      <c r="AH925" s="27">
        <f t="shared" si="330"/>
        <v>24.334147567119</v>
      </c>
      <c r="AI925" s="27">
        <f t="shared" si="330"/>
        <v>24.375373288716684</v>
      </c>
      <c r="AJ925" s="27">
        <f t="shared" si="330"/>
        <v>24.420110702865486</v>
      </c>
      <c r="AK925" s="27">
        <f t="shared" si="330"/>
        <v>24.466803901389813</v>
      </c>
      <c r="AL925" s="27">
        <f t="shared" si="330"/>
        <v>24.516002916248802</v>
      </c>
      <c r="AM925" s="27">
        <f t="shared" si="330"/>
        <v>24.567640387179249</v>
      </c>
      <c r="AN925" s="27">
        <f t="shared" si="330"/>
        <v>24.595851942673818</v>
      </c>
      <c r="AO925" s="27">
        <f t="shared" si="330"/>
        <v>24.625840752567356</v>
      </c>
      <c r="AP925" s="27">
        <f t="shared" si="330"/>
        <v>24.658372347803756</v>
      </c>
      <c r="AQ925" s="27">
        <f t="shared" si="330"/>
        <v>24.693415659236397</v>
      </c>
      <c r="AR925" s="27">
        <f t="shared" si="330"/>
        <v>24.730974729510827</v>
      </c>
      <c r="AS925" s="27">
        <f t="shared" si="330"/>
        <v>24.744213155391417</v>
      </c>
      <c r="AT925" s="27">
        <f t="shared" si="330"/>
        <v>24.750092343335041</v>
      </c>
      <c r="AU925" s="27">
        <f t="shared" si="330"/>
        <v>24.756926939927592</v>
      </c>
      <c r="AV925" s="27">
        <f t="shared" si="330"/>
        <v>24.764284920334894</v>
      </c>
      <c r="AW925" s="27">
        <f t="shared" si="330"/>
        <v>24.772977199589842</v>
      </c>
      <c r="AY925" s="79"/>
      <c r="AZ925" s="79"/>
    </row>
    <row r="926" spans="1:52" x14ac:dyDescent="0.3">
      <c r="A926" s="95" t="str">
        <f t="shared" si="326"/>
        <v>DS Horses</v>
      </c>
      <c r="B926" s="95" t="s">
        <v>974</v>
      </c>
      <c r="C926" s="95" t="s">
        <v>3</v>
      </c>
      <c r="D926" t="s">
        <v>15</v>
      </c>
      <c r="E926" t="s">
        <v>16</v>
      </c>
      <c r="F926" t="s">
        <v>20</v>
      </c>
      <c r="G926" t="s">
        <v>3</v>
      </c>
      <c r="H926" t="s">
        <v>1020</v>
      </c>
      <c r="I926" t="s">
        <v>121</v>
      </c>
      <c r="J926" t="s">
        <v>286</v>
      </c>
      <c r="K926" s="27">
        <f t="shared" si="329"/>
        <v>5.5526214800767901</v>
      </c>
      <c r="L926" s="27">
        <f t="shared" si="330"/>
        <v>5.5795235710196511</v>
      </c>
      <c r="M926" s="27">
        <f t="shared" si="330"/>
        <v>5.6203482259438022</v>
      </c>
      <c r="N926" s="27">
        <f t="shared" si="330"/>
        <v>5.629075655008374</v>
      </c>
      <c r="O926" s="27">
        <f t="shared" si="330"/>
        <v>5.6165815405282276</v>
      </c>
      <c r="P926" s="27">
        <f t="shared" si="330"/>
        <v>5.5833231296706103</v>
      </c>
      <c r="Q926" s="27">
        <f t="shared" si="330"/>
        <v>5.5648827699457346</v>
      </c>
      <c r="R926" s="27">
        <f t="shared" si="330"/>
        <v>5.5483103177944013</v>
      </c>
      <c r="S926" s="27">
        <f t="shared" si="330"/>
        <v>5.2311192904529218</v>
      </c>
      <c r="T926" s="27">
        <f t="shared" si="330"/>
        <v>5.2959023096135693</v>
      </c>
      <c r="U926" s="27">
        <f t="shared" si="330"/>
        <v>5.3988006154965325</v>
      </c>
      <c r="V926" s="27">
        <f t="shared" si="330"/>
        <v>5.4367829372956962</v>
      </c>
      <c r="W926" s="27">
        <f t="shared" si="330"/>
        <v>5.4819188324690939</v>
      </c>
      <c r="X926" s="27">
        <f t="shared" si="330"/>
        <v>5.5365687700280883</v>
      </c>
      <c r="Y926" s="27">
        <f t="shared" si="330"/>
        <v>5.601958980764981</v>
      </c>
      <c r="Z926" s="27">
        <f t="shared" si="330"/>
        <v>5.6746319691397513</v>
      </c>
      <c r="AA926" s="27">
        <f t="shared" si="330"/>
        <v>5.7481685306176677</v>
      </c>
      <c r="AB926" s="27">
        <f t="shared" si="330"/>
        <v>5.8282774259733703</v>
      </c>
      <c r="AC926" s="27">
        <f t="shared" si="330"/>
        <v>5.9086647601730373</v>
      </c>
      <c r="AD926" s="27">
        <f t="shared" si="330"/>
        <v>6.0051030471917946</v>
      </c>
      <c r="AE926" s="27">
        <f t="shared" si="330"/>
        <v>6.0980124130473197</v>
      </c>
      <c r="AF926" s="27">
        <f t="shared" si="330"/>
        <v>6.195439489414623</v>
      </c>
      <c r="AG926" s="27">
        <f t="shared" si="330"/>
        <v>6.3068676222722697</v>
      </c>
      <c r="AH926" s="27">
        <f t="shared" si="330"/>
        <v>6.4095401663804648</v>
      </c>
      <c r="AI926" s="27">
        <f t="shared" si="330"/>
        <v>6.5228948238532292</v>
      </c>
      <c r="AJ926" s="27">
        <f t="shared" si="330"/>
        <v>6.6437484965413081</v>
      </c>
      <c r="AK926" s="27">
        <f t="shared" si="330"/>
        <v>6.7539654911689828</v>
      </c>
      <c r="AL926" s="27">
        <f t="shared" si="330"/>
        <v>6.8618111039503944</v>
      </c>
      <c r="AM926" s="27">
        <f t="shared" si="330"/>
        <v>6.9676727679478478</v>
      </c>
      <c r="AN926" s="27">
        <f t="shared" si="330"/>
        <v>7.0885986695240639</v>
      </c>
      <c r="AO926" s="27">
        <f t="shared" si="330"/>
        <v>7.202615789032512</v>
      </c>
      <c r="AP926" s="27">
        <f t="shared" si="330"/>
        <v>7.3203542233012309</v>
      </c>
      <c r="AQ926" s="27">
        <f t="shared" si="330"/>
        <v>7.4423988374450394</v>
      </c>
      <c r="AR926" s="27">
        <f t="shared" si="330"/>
        <v>7.5697005662835739</v>
      </c>
      <c r="AS926" s="27">
        <f t="shared" si="330"/>
        <v>7.7079925213190776</v>
      </c>
      <c r="AT926" s="27">
        <f t="shared" si="330"/>
        <v>7.7309775584942866</v>
      </c>
      <c r="AU926" s="27">
        <f t="shared" si="330"/>
        <v>7.7430605044202654</v>
      </c>
      <c r="AV926" s="27">
        <f t="shared" si="330"/>
        <v>7.7396666487885506</v>
      </c>
      <c r="AW926" s="27">
        <f t="shared" si="330"/>
        <v>7.7316472006042485</v>
      </c>
      <c r="AY926" s="79"/>
      <c r="AZ926" s="79"/>
    </row>
    <row r="927" spans="1:52" x14ac:dyDescent="0.3">
      <c r="A927" s="95" t="str">
        <f t="shared" si="326"/>
        <v>DS Mules&amp;Asses</v>
      </c>
      <c r="B927" s="95" t="s">
        <v>974</v>
      </c>
      <c r="C927" s="95" t="s">
        <v>1323</v>
      </c>
      <c r="D927" t="s">
        <v>15</v>
      </c>
      <c r="E927" t="s">
        <v>16</v>
      </c>
      <c r="F927" t="s">
        <v>140</v>
      </c>
      <c r="G927" t="s">
        <v>124</v>
      </c>
      <c r="H927" t="s">
        <v>1020</v>
      </c>
      <c r="I927" t="s">
        <v>121</v>
      </c>
      <c r="J927" t="s">
        <v>286</v>
      </c>
      <c r="K927" s="27">
        <f t="shared" si="329"/>
        <v>1.67</v>
      </c>
      <c r="L927" s="27">
        <f t="shared" si="330"/>
        <v>1.67</v>
      </c>
      <c r="M927" s="27">
        <f t="shared" si="330"/>
        <v>1.67</v>
      </c>
      <c r="N927" s="27">
        <f t="shared" si="330"/>
        <v>1.67</v>
      </c>
      <c r="O927" s="27">
        <f t="shared" si="330"/>
        <v>1.67</v>
      </c>
      <c r="P927" s="27">
        <f t="shared" si="330"/>
        <v>1.67</v>
      </c>
      <c r="Q927" s="27">
        <f t="shared" si="330"/>
        <v>1.67</v>
      </c>
      <c r="R927" s="27">
        <f t="shared" si="330"/>
        <v>1.67</v>
      </c>
      <c r="S927" s="27">
        <f t="shared" si="330"/>
        <v>1.67</v>
      </c>
      <c r="T927" s="27">
        <f t="shared" si="330"/>
        <v>1.67</v>
      </c>
      <c r="U927" s="27">
        <f t="shared" si="330"/>
        <v>1.67</v>
      </c>
      <c r="V927" s="27">
        <f t="shared" si="330"/>
        <v>1.67</v>
      </c>
      <c r="W927" s="27">
        <f t="shared" si="330"/>
        <v>1.67</v>
      </c>
      <c r="X927" s="27">
        <f t="shared" si="330"/>
        <v>1.67</v>
      </c>
      <c r="Y927" s="27">
        <f t="shared" si="330"/>
        <v>1.67</v>
      </c>
      <c r="Z927" s="27">
        <f t="shared" si="330"/>
        <v>1.67</v>
      </c>
      <c r="AA927" s="27">
        <f t="shared" si="330"/>
        <v>1.67</v>
      </c>
      <c r="AB927" s="27">
        <f t="shared" si="330"/>
        <v>1.67</v>
      </c>
      <c r="AC927" s="27">
        <f t="shared" si="330"/>
        <v>1.67</v>
      </c>
      <c r="AD927" s="27">
        <f t="shared" si="330"/>
        <v>1.67</v>
      </c>
      <c r="AE927" s="27">
        <f t="shared" si="330"/>
        <v>1.67</v>
      </c>
      <c r="AF927" s="27">
        <f t="shared" si="330"/>
        <v>1.67</v>
      </c>
      <c r="AG927" s="27">
        <f t="shared" si="330"/>
        <v>1.67</v>
      </c>
      <c r="AH927" s="27">
        <f t="shared" si="330"/>
        <v>1.67</v>
      </c>
      <c r="AI927" s="27">
        <f t="shared" si="330"/>
        <v>1.67</v>
      </c>
      <c r="AJ927" s="27">
        <f t="shared" si="330"/>
        <v>1.67</v>
      </c>
      <c r="AK927" s="27">
        <f t="shared" si="330"/>
        <v>1.67</v>
      </c>
      <c r="AL927" s="27">
        <f t="shared" si="330"/>
        <v>1.67</v>
      </c>
      <c r="AM927" s="27">
        <f t="shared" si="330"/>
        <v>1.67</v>
      </c>
      <c r="AN927" s="27">
        <f t="shared" si="330"/>
        <v>1.67</v>
      </c>
      <c r="AO927" s="27">
        <f t="shared" si="330"/>
        <v>1.67</v>
      </c>
      <c r="AP927" s="27">
        <f t="shared" si="330"/>
        <v>1.67</v>
      </c>
      <c r="AQ927" s="27">
        <f t="shared" si="330"/>
        <v>1.67</v>
      </c>
      <c r="AR927" s="27">
        <f t="shared" si="330"/>
        <v>1.67</v>
      </c>
      <c r="AS927" s="27">
        <f t="shared" si="330"/>
        <v>1.67</v>
      </c>
      <c r="AT927" s="27">
        <f t="shared" si="330"/>
        <v>1.67</v>
      </c>
      <c r="AU927" s="27">
        <f t="shared" si="330"/>
        <v>1.67</v>
      </c>
      <c r="AV927" s="27">
        <f t="shared" si="330"/>
        <v>1.67</v>
      </c>
      <c r="AW927" s="27">
        <f t="shared" si="330"/>
        <v>1.67</v>
      </c>
      <c r="AY927" s="79"/>
      <c r="AZ927" s="79"/>
    </row>
    <row r="928" spans="1:52" x14ac:dyDescent="0.3">
      <c r="A928" s="95" t="str">
        <f t="shared" si="326"/>
        <v>DS Swine</v>
      </c>
      <c r="B928" s="95" t="s">
        <v>974</v>
      </c>
      <c r="C928" s="95" t="s">
        <v>155</v>
      </c>
      <c r="D928" t="s">
        <v>15</v>
      </c>
      <c r="E928" t="s">
        <v>16</v>
      </c>
      <c r="F928" t="s">
        <v>21</v>
      </c>
      <c r="G928" t="s">
        <v>122</v>
      </c>
      <c r="H928" t="s">
        <v>1020</v>
      </c>
      <c r="I928" t="s">
        <v>121</v>
      </c>
      <c r="J928" t="s">
        <v>286</v>
      </c>
      <c r="K928" s="93">
        <f>IF('Net zero activities &amp; levers'!$C$12="Off",('Activity data'!AD17*EF!$H16)*kgtoGg,('Net zero Activity data'!AD17*EF!$H16)*kgtoGg)</f>
        <v>1.8400999552016302</v>
      </c>
      <c r="L928" s="93">
        <f>IF('Net zero activities &amp; levers'!$C$12="Off",('Activity data'!AE17*EF!$H16)*kgtoGg,('Net zero Activity data'!AE17*EF!$H16)*kgtoGg)</f>
        <v>1.8300977880312246</v>
      </c>
      <c r="M928" s="93">
        <f>IF('Net zero activities &amp; levers'!$C$12="Off",('Activity data'!AF17*EF!$H16)*kgtoGg,('Net zero Activity data'!AF17*EF!$H16)*kgtoGg)</f>
        <v>1.8309187348828151</v>
      </c>
      <c r="N928" s="93">
        <f>IF('Net zero activities &amp; levers'!$C$12="Off",('Activity data'!AG17*EF!$H16)*kgtoGg,('Net zero Activity data'!AG17*EF!$H16)*kgtoGg)</f>
        <v>1.8141094978660448</v>
      </c>
      <c r="O928" s="93">
        <f>IF('Net zero activities &amp; levers'!$C$12="Off",('Activity data'!AH17*EF!$H16)*kgtoGg,('Net zero Activity data'!AH17*EF!$H16)*kgtoGg)</f>
        <v>1.7866561368117295</v>
      </c>
      <c r="P928" s="93">
        <f>IF('Net zero activities &amp; levers'!$C$12="Off",('Activity data'!AI17*EF!$H16)*kgtoGg,('Net zero Activity data'!AI17*EF!$H16)*kgtoGg)</f>
        <v>1.7489975228040078</v>
      </c>
      <c r="Q928" s="93">
        <f>IF('Net zero activities &amp; levers'!$C$12="Off",('Activity data'!AJ17*EF!$H16)*kgtoGg,('Net zero Activity data'!AJ17*EF!$H16)*kgtoGg)</f>
        <v>1.721653192801009</v>
      </c>
      <c r="R928" s="93">
        <f>IF('Net zero activities &amp; levers'!$C$12="Off",('Activity data'!AK17*EF!$H16)*kgtoGg,('Net zero Activity data'!AK17*EF!$H16)*kgtoGg)</f>
        <v>1.6967284692901872</v>
      </c>
      <c r="S928" s="93">
        <f>IF('Net zero activities &amp; levers'!$C$12="Off",('Activity data'!AL17*EF!$H16)*kgtoGg,('Net zero Activity data'!AL17*EF!$H16)*kgtoGg)</f>
        <v>1.4981262376638635</v>
      </c>
      <c r="T928" s="93">
        <f>IF('Net zero activities &amp; levers'!$C$12="Off",('Activity data'!AM17*EF!$H16)*kgtoGg,('Net zero Activity data'!AM17*EF!$H16)*kgtoGg)</f>
        <v>1.5170710584409277</v>
      </c>
      <c r="U928" s="93">
        <f>IF('Net zero activities &amp; levers'!$C$12="Off",('Activity data'!AN17*EF!$H16)*kgtoGg,('Net zero Activity data'!AN17*EF!$H16)*kgtoGg)</f>
        <v>1.5577229248664515</v>
      </c>
      <c r="V928" s="93">
        <f>IF('Net zero activities &amp; levers'!$C$12="Off",('Activity data'!AO17*EF!$H16)*kgtoGg,('Net zero Activity data'!AO17*EF!$H16)*kgtoGg)</f>
        <v>1.561413903145964</v>
      </c>
      <c r="W928" s="93">
        <f>IF('Net zero activities &amp; levers'!$C$12="Off",('Activity data'!AP17*EF!$H16)*kgtoGg,('Net zero Activity data'!AP17*EF!$H16)*kgtoGg)</f>
        <v>1.5694069216965754</v>
      </c>
      <c r="X928" s="93">
        <f>IF('Net zero activities &amp; levers'!$C$12="Off",('Activity data'!AQ17*EF!$H16)*kgtoGg,('Net zero Activity data'!AQ17*EF!$H16)*kgtoGg)</f>
        <v>1.5828459974443794</v>
      </c>
      <c r="Y928" s="93">
        <f>IF('Net zero activities &amp; levers'!$C$12="Off",('Activity data'!AR17*EF!$H16)*kgtoGg,('Net zero Activity data'!AR17*EF!$H16)*kgtoGg)</f>
        <v>1.5997093513071265</v>
      </c>
      <c r="Z928" s="93">
        <f>IF('Net zero activities &amp; levers'!$C$12="Off",('Activity data'!AS17*EF!$H16)*kgtoGg,('Net zero Activity data'!AS17*EF!$H16)*kgtoGg)</f>
        <v>1.6203739618637112</v>
      </c>
      <c r="AA928" s="93">
        <f>IF('Net zero activities &amp; levers'!$C$12="Off",('Activity data'!AT17*EF!$H16)*kgtoGg,('Net zero Activity data'!AT17*EF!$H16)*kgtoGg)</f>
        <v>1.6412802243411935</v>
      </c>
      <c r="AB928" s="93">
        <f>IF('Net zero activities &amp; levers'!$C$12="Off",('Activity data'!AU17*EF!$H16)*kgtoGg,('Net zero Activity data'!AU17*EF!$H16)*kgtoGg)</f>
        <v>1.6654174874794287</v>
      </c>
      <c r="AC928" s="93">
        <f>IF('Net zero activities &amp; levers'!$C$12="Off",('Activity data'!AV17*EF!$H16)*kgtoGg,('Net zero Activity data'!AV17*EF!$H16)*kgtoGg)</f>
        <v>1.6893881557889758</v>
      </c>
      <c r="AD928" s="93">
        <f>IF('Net zero activities &amp; levers'!$C$12="Off",('Activity data'!AW17*EF!$H16)*kgtoGg,('Net zero Activity data'!AW17*EF!$H16)*kgtoGg)</f>
        <v>1.7191899551215701</v>
      </c>
      <c r="AE928" s="93">
        <f>IF('Net zero activities &amp; levers'!$C$12="Off",('Activity data'!AX17*EF!$H16)*kgtoGg,('Net zero Activity data'!AX17*EF!$H16)*kgtoGg)</f>
        <v>1.7466246880722003</v>
      </c>
      <c r="AF928" s="93">
        <f>IF('Net zero activities &amp; levers'!$C$12="Off",('Activity data'!AY17*EF!$H16)*kgtoGg,('Net zero Activity data'!AY17*EF!$H16)*kgtoGg)</f>
        <v>1.7758174373307805</v>
      </c>
      <c r="AG928" s="93">
        <f>IF('Net zero activities &amp; levers'!$C$12="Off",('Activity data'!AZ17*EF!$H16)*kgtoGg,('Net zero Activity data'!AZ17*EF!$H16)*kgtoGg)</f>
        <v>1.8114287830343814</v>
      </c>
      <c r="AH928" s="93">
        <f>IF('Net zero activities &amp; levers'!$C$12="Off",('Activity data'!BA17*EF!$H16)*kgtoGg,('Net zero Activity data'!BA17*EF!$H16)*kgtoGg)</f>
        <v>1.8420072235043694</v>
      </c>
      <c r="AI928" s="93">
        <f>IF('Net zero activities &amp; levers'!$C$12="Off",('Activity data'!BB17*EF!$H16)*kgtoGg,('Net zero Activity data'!BB17*EF!$H16)*kgtoGg)</f>
        <v>1.8750119445784728</v>
      </c>
      <c r="AJ928" s="93">
        <f>IF('Net zero activities &amp; levers'!$C$12="Off",('Activity data'!BC17*EF!$H16)*kgtoGg,('Net zero Activity data'!BC17*EF!$H16)*kgtoGg)</f>
        <v>1.9108329767517882</v>
      </c>
      <c r="AK928" s="93">
        <f>IF('Net zero activities &amp; levers'!$C$12="Off",('Activity data'!BD17*EF!$H16)*kgtoGg,('Net zero Activity data'!BD17*EF!$H16)*kgtoGg)</f>
        <v>1.940715836653381</v>
      </c>
      <c r="AL928" s="93">
        <f>IF('Net zero activities &amp; levers'!$C$12="Off",('Activity data'!BE17*EF!$H16)*kgtoGg,('Net zero Activity data'!BE17*EF!$H16)*kgtoGg)</f>
        <v>1.9687395447209077</v>
      </c>
      <c r="AM928" s="93">
        <f>IF('Net zero activities &amp; levers'!$C$12="Off",('Activity data'!BF17*EF!$H16)*kgtoGg,('Net zero Activity data'!BF17*EF!$H16)*kgtoGg)</f>
        <v>1.9951301179393999</v>
      </c>
      <c r="AN928" s="93">
        <f>IF('Net zero activities &amp; levers'!$C$12="Off",('Activity data'!BG17*EF!$H16)*kgtoGg,('Net zero Activity data'!BG17*EF!$H16)*kgtoGg)</f>
        <v>2.0256022791934827</v>
      </c>
      <c r="AO928" s="93">
        <f>IF('Net zero activities &amp; levers'!$C$12="Off",('Activity data'!BH17*EF!$H16)*kgtoGg,('Net zero Activity data'!BH17*EF!$H16)*kgtoGg)</f>
        <v>2.0520329509348483</v>
      </c>
      <c r="AP928" s="93">
        <f>IF('Net zero activities &amp; levers'!$C$12="Off",('Activity data'!BI17*EF!$H16)*kgtoGg,('Net zero Activity data'!BI17*EF!$H16)*kgtoGg)</f>
        <v>2.0793161183803317</v>
      </c>
      <c r="AQ928" s="93">
        <f>IF('Net zero activities &amp; levers'!$C$12="Off",('Activity data'!BJ17*EF!$H16)*kgtoGg,('Net zero Activity data'!BJ17*EF!$H16)*kgtoGg)</f>
        <v>2.1076575721978217</v>
      </c>
      <c r="AR928" s="93">
        <f>IF('Net zero activities &amp; levers'!$C$12="Off",('Activity data'!BK17*EF!$H16)*kgtoGg,('Net zero Activity data'!BK17*EF!$H16)*kgtoGg)</f>
        <v>2.1374119347182106</v>
      </c>
      <c r="AS928" s="93">
        <f>IF('Net zero activities &amp; levers'!$C$12="Off",('Activity data'!BL17*EF!$H16)*kgtoGg,('Net zero Activity data'!BL17*EF!$H16)*kgtoGg)</f>
        <v>2.1686559884141765</v>
      </c>
      <c r="AT928" s="93">
        <f>IF('Net zero activities &amp; levers'!$C$12="Off",('Activity data'!BM17*EF!$H16)*kgtoGg,('Net zero Activity data'!BM17*EF!$H16)*kgtoGg)</f>
        <v>2.149643552660391</v>
      </c>
      <c r="AU928" s="93">
        <f>IF('Net zero activities &amp; levers'!$C$12="Off",('Activity data'!BN17*EF!$H16)*kgtoGg,('Net zero Activity data'!BN17*EF!$H16)*kgtoGg)</f>
        <v>2.1262374260968961</v>
      </c>
      <c r="AV928" s="93">
        <f>IF('Net zero activities &amp; levers'!$C$12="Off",('Activity data'!BO17*EF!$H16)*kgtoGg,('Net zero Activity data'!BO17*EF!$H16)*kgtoGg)</f>
        <v>2.0967029621040374</v>
      </c>
      <c r="AW928" s="93">
        <f>IF('Net zero activities &amp; levers'!$C$12="Off",('Activity data'!BP17*EF!$H16)*kgtoGg,('Net zero Activity data'!BP17*EF!$H16)*kgtoGg)</f>
        <v>2.0657200323386067</v>
      </c>
      <c r="AY928" s="79"/>
      <c r="AZ928" s="79"/>
    </row>
    <row r="929" spans="1:52" x14ac:dyDescent="0.3">
      <c r="A929" s="95" t="str">
        <f t="shared" si="326"/>
        <v>DS Swine</v>
      </c>
      <c r="B929" s="95" t="s">
        <v>974</v>
      </c>
      <c r="C929" s="95" t="s">
        <v>155</v>
      </c>
      <c r="D929" t="s">
        <v>15</v>
      </c>
      <c r="E929" t="s">
        <v>16</v>
      </c>
      <c r="F929" t="s">
        <v>21</v>
      </c>
      <c r="G929" t="s">
        <v>123</v>
      </c>
      <c r="H929" t="s">
        <v>1020</v>
      </c>
      <c r="I929" t="s">
        <v>121</v>
      </c>
      <c r="J929" t="s">
        <v>286</v>
      </c>
      <c r="K929" s="93">
        <f>IF('Net zero activities &amp; levers'!$C$12="Off",('Activity data'!AD18*EF!$H17)*kgtoGg,('Net zero Activity data'!AD18*EF!$H17)*kgtoGg)</f>
        <v>0.25496723934882604</v>
      </c>
      <c r="L929" s="93">
        <f>IF('Net zero activities &amp; levers'!$C$12="Off",('Activity data'!AE18*EF!$H17)*kgtoGg,('Net zero Activity data'!AE18*EF!$H17)*kgtoGg)</f>
        <v>0.25358132281546886</v>
      </c>
      <c r="M929" s="93">
        <f>IF('Net zero activities &amp; levers'!$C$12="Off",('Activity data'!AF18*EF!$H17)*kgtoGg,('Net zero Activity data'!AF18*EF!$H17)*kgtoGg)</f>
        <v>0.25369507454499335</v>
      </c>
      <c r="N929" s="93">
        <f>IF('Net zero activities &amp; levers'!$C$12="Off",('Activity data'!AG18*EF!$H17)*kgtoGg,('Net zero Activity data'!AG18*EF!$H17)*kgtoGg)</f>
        <v>0.25136595935447842</v>
      </c>
      <c r="O929" s="93">
        <f>IF('Net zero activities &amp; levers'!$C$12="Off",('Activity data'!AH18*EF!$H17)*kgtoGg,('Net zero Activity data'!AH18*EF!$H17)*kgtoGg)</f>
        <v>0.247561977044127</v>
      </c>
      <c r="P929" s="93">
        <f>IF('Net zero activities &amp; levers'!$C$12="Off",('Activity data'!AI18*EF!$H17)*kgtoGg,('Net zero Activity data'!AI18*EF!$H17)*kgtoGg)</f>
        <v>0.24234393830437836</v>
      </c>
      <c r="Q929" s="93">
        <f>IF('Net zero activities &amp; levers'!$C$12="Off",('Activity data'!AJ18*EF!$H17)*kgtoGg,('Net zero Activity data'!AJ18*EF!$H17)*kgtoGg)</f>
        <v>0.23855506351363695</v>
      </c>
      <c r="R929" s="93">
        <f>IF('Net zero activities &amp; levers'!$C$12="Off",('Activity data'!AK18*EF!$H17)*kgtoGg,('Net zero Activity data'!AK18*EF!$H17)*kgtoGg)</f>
        <v>0.23510145332951485</v>
      </c>
      <c r="S929" s="93">
        <f>IF('Net zero activities &amp; levers'!$C$12="Off",('Activity data'!AL18*EF!$H17)*kgtoGg,('Net zero Activity data'!AL18*EF!$H17)*kgtoGg)</f>
        <v>0.2075828054521873</v>
      </c>
      <c r="T929" s="93">
        <f>IF('Net zero activities &amp; levers'!$C$12="Off",('Activity data'!AM18*EF!$H17)*kgtoGg,('Net zero Activity data'!AM18*EF!$H17)*kgtoGg)</f>
        <v>0.21020783059814849</v>
      </c>
      <c r="U929" s="93">
        <f>IF('Net zero activities &amp; levers'!$C$12="Off",('Activity data'!AN18*EF!$H17)*kgtoGg,('Net zero Activity data'!AN18*EF!$H17)*kgtoGg)</f>
        <v>0.21584061925595663</v>
      </c>
      <c r="V929" s="93">
        <f>IF('Net zero activities &amp; levers'!$C$12="Off",('Activity data'!AO18*EF!$H17)*kgtoGg,('Net zero Activity data'!AO18*EF!$H17)*kgtoGg)</f>
        <v>0.21635204720298934</v>
      </c>
      <c r="W929" s="93">
        <f>IF('Net zero activities &amp; levers'!$C$12="Off",('Activity data'!AP18*EF!$H17)*kgtoGg,('Net zero Activity data'!AP18*EF!$H17)*kgtoGg)</f>
        <v>0.21745957283938341</v>
      </c>
      <c r="X929" s="93">
        <f>IF('Net zero activities &amp; levers'!$C$12="Off",('Activity data'!AQ18*EF!$H17)*kgtoGg,('Net zero Activity data'!AQ18*EF!$H17)*kgtoGg)</f>
        <v>0.21932171300906883</v>
      </c>
      <c r="Y929" s="93">
        <f>IF('Net zero activities &amp; levers'!$C$12="Off",('Activity data'!AR18*EF!$H17)*kgtoGg,('Net zero Activity data'!AR18*EF!$H17)*kgtoGg)</f>
        <v>0.22165832671768446</v>
      </c>
      <c r="Z929" s="93">
        <f>IF('Net zero activities &amp; levers'!$C$12="Off",('Activity data'!AS18*EF!$H17)*kgtoGg,('Net zero Activity data'!AS18*EF!$H17)*kgtoGg)</f>
        <v>0.22452164872958766</v>
      </c>
      <c r="AA929" s="93">
        <f>IF('Net zero activities &amp; levers'!$C$12="Off",('Activity data'!AT18*EF!$H17)*kgtoGg,('Net zero Activity data'!AT18*EF!$H17)*kgtoGg)</f>
        <v>0.22741845442425518</v>
      </c>
      <c r="AB929" s="93">
        <f>IF('Net zero activities &amp; levers'!$C$12="Off",('Activity data'!AU18*EF!$H17)*kgtoGg,('Net zero Activity data'!AU18*EF!$H17)*kgtoGg)</f>
        <v>0.23076295281978809</v>
      </c>
      <c r="AC929" s="93">
        <f>IF('Net zero activities &amp; levers'!$C$12="Off",('Activity data'!AV18*EF!$H17)*kgtoGg,('Net zero Activity data'!AV18*EF!$H17)*kgtoGg)</f>
        <v>0.23408436756519632</v>
      </c>
      <c r="AD929" s="93">
        <f>IF('Net zero activities &amp; levers'!$C$12="Off",('Activity data'!AW18*EF!$H17)*kgtoGg,('Net zero Activity data'!AW18*EF!$H17)*kgtoGg)</f>
        <v>0.23821375329882435</v>
      </c>
      <c r="AE929" s="93">
        <f>IF('Net zero activities &amp; levers'!$C$12="Off",('Activity data'!AX18*EF!$H17)*kgtoGg,('Net zero Activity data'!AX18*EF!$H17)*kgtoGg)</f>
        <v>0.24201515446886457</v>
      </c>
      <c r="AF929" s="93">
        <f>IF('Net zero activities &amp; levers'!$C$12="Off",('Activity data'!AY18*EF!$H17)*kgtoGg,('Net zero Activity data'!AY18*EF!$H17)*kgtoGg)</f>
        <v>0.24606014923473155</v>
      </c>
      <c r="AG929" s="93">
        <f>IF('Net zero activities &amp; levers'!$C$12="Off",('Activity data'!AZ18*EF!$H17)*kgtoGg,('Net zero Activity data'!AZ18*EF!$H17)*kgtoGg)</f>
        <v>0.2509945151521249</v>
      </c>
      <c r="AH929" s="93">
        <f>IF('Net zero activities &amp; levers'!$C$12="Off",('Activity data'!BA18*EF!$H17)*kgtoGg,('Net zero Activity data'!BA18*EF!$H17)*kgtoGg)</f>
        <v>0.25523151354353607</v>
      </c>
      <c r="AI929" s="93">
        <f>IF('Net zero activities &amp; levers'!$C$12="Off",('Activity data'!BB18*EF!$H17)*kgtoGg,('Net zero Activity data'!BB18*EF!$H17)*kgtoGg)</f>
        <v>0.25980470131736011</v>
      </c>
      <c r="AJ929" s="93">
        <f>IF('Net zero activities &amp; levers'!$C$12="Off",('Activity data'!BC18*EF!$H17)*kgtoGg,('Net zero Activity data'!BC18*EF!$H17)*kgtoGg)</f>
        <v>0.26476812173266839</v>
      </c>
      <c r="AK929" s="93">
        <f>IF('Net zero activities &amp; levers'!$C$12="Off",('Activity data'!BD18*EF!$H17)*kgtoGg,('Net zero Activity data'!BD18*EF!$H17)*kgtoGg)</f>
        <v>0.26890873935043363</v>
      </c>
      <c r="AL929" s="93">
        <f>IF('Net zero activities &amp; levers'!$C$12="Off",('Activity data'!BE18*EF!$H17)*kgtoGg,('Net zero Activity data'!BE18*EF!$H17)*kgtoGg)</f>
        <v>0.27279174986956156</v>
      </c>
      <c r="AM929" s="93">
        <f>IF('Net zero activities &amp; levers'!$C$12="Off",('Activity data'!BF18*EF!$H17)*kgtoGg,('Net zero Activity data'!BF18*EF!$H17)*kgtoGg)</f>
        <v>0.27644847057070121</v>
      </c>
      <c r="AN929" s="93">
        <f>IF('Net zero activities &amp; levers'!$C$12="Off",('Activity data'!BG18*EF!$H17)*kgtoGg,('Net zero Activity data'!BG18*EF!$H17)*kgtoGg)</f>
        <v>0.28067074274128789</v>
      </c>
      <c r="AO929" s="93">
        <f>IF('Net zero activities &amp; levers'!$C$12="Off",('Activity data'!BH18*EF!$H17)*kgtoGg,('Net zero Activity data'!BH18*EF!$H17)*kgtoGg)</f>
        <v>0.28433301955890389</v>
      </c>
      <c r="AP929" s="93">
        <f>IF('Net zero activities &amp; levers'!$C$12="Off",('Activity data'!BI18*EF!$H17)*kgtoGg,('Net zero Activity data'!BI18*EF!$H17)*kgtoGg)</f>
        <v>0.28811341956630698</v>
      </c>
      <c r="AQ929" s="93">
        <f>IF('Net zero activities &amp; levers'!$C$12="Off",('Activity data'!BJ18*EF!$H17)*kgtoGg,('Net zero Activity data'!BJ18*EF!$H17)*kgtoGg)</f>
        <v>0.29204045745278195</v>
      </c>
      <c r="AR929" s="93">
        <f>IF('Net zero activities &amp; levers'!$C$12="Off",('Activity data'!BK18*EF!$H17)*kgtoGg,('Net zero Activity data'!BK18*EF!$H17)*kgtoGg)</f>
        <v>0.29616327026464162</v>
      </c>
      <c r="AS929" s="93">
        <f>IF('Net zero activities &amp; levers'!$C$12="Off",('Activity data'!BL18*EF!$H17)*kgtoGg,('Net zero Activity data'!BL18*EF!$H17)*kgtoGg)</f>
        <v>0.30049249710604664</v>
      </c>
      <c r="AT929" s="93">
        <f>IF('Net zero activities &amp; levers'!$C$12="Off",('Activity data'!BM18*EF!$H17)*kgtoGg,('Net zero Activity data'!BM18*EF!$H17)*kgtoGg)</f>
        <v>0.2978581031190588</v>
      </c>
      <c r="AU929" s="93">
        <f>IF('Net zero activities &amp; levers'!$C$12="Off",('Activity data'!BN18*EF!$H17)*kgtoGg,('Net zero Activity data'!BN18*EF!$H17)*kgtoGg)</f>
        <v>0.29461491219517799</v>
      </c>
      <c r="AV929" s="93">
        <f>IF('Net zero activities &amp; levers'!$C$12="Off",('Activity data'!BO18*EF!$H17)*kgtoGg,('Net zero Activity data'!BO18*EF!$H17)*kgtoGg)</f>
        <v>0.2905225688805555</v>
      </c>
      <c r="AW929" s="93">
        <f>IF('Net zero activities &amp; levers'!$C$12="Off",('Activity data'!BP18*EF!$H17)*kgtoGg,('Net zero Activity data'!BP18*EF!$H17)*kgtoGg)</f>
        <v>0.28622952379520583</v>
      </c>
      <c r="AY929" s="79"/>
      <c r="AZ929" s="79"/>
    </row>
    <row r="930" spans="1:52" x14ac:dyDescent="0.3">
      <c r="A930" s="95" t="str">
        <f t="shared" si="326"/>
        <v>DS Cattle MMCH4</v>
      </c>
      <c r="B930" s="95" t="s">
        <v>974</v>
      </c>
      <c r="C930" s="95" t="s">
        <v>1229</v>
      </c>
      <c r="D930" t="s">
        <v>15</v>
      </c>
      <c r="E930" t="s">
        <v>22</v>
      </c>
      <c r="F930" t="s">
        <v>6</v>
      </c>
      <c r="G930" t="s">
        <v>136</v>
      </c>
      <c r="H930" t="s">
        <v>1227</v>
      </c>
      <c r="I930" t="s">
        <v>121</v>
      </c>
      <c r="J930" t="s">
        <v>286</v>
      </c>
      <c r="K930" s="27">
        <f t="shared" ref="K930:Z932" si="331">K1393</f>
        <v>7.351330651107908</v>
      </c>
      <c r="L930" s="27">
        <f t="shared" si="331"/>
        <v>7.392428348789597</v>
      </c>
      <c r="M930" s="27">
        <f t="shared" si="331"/>
        <v>7.4507389435191715</v>
      </c>
      <c r="N930" s="27">
        <f t="shared" si="331"/>
        <v>7.4882097119910753</v>
      </c>
      <c r="O930" s="27">
        <f t="shared" si="331"/>
        <v>7.5131092090175429</v>
      </c>
      <c r="P930" s="27">
        <f t="shared" si="331"/>
        <v>7.5251923679492405</v>
      </c>
      <c r="Q930" s="27">
        <f t="shared" si="331"/>
        <v>7.5518885629203734</v>
      </c>
      <c r="R930" s="27">
        <f t="shared" si="331"/>
        <v>7.5825135825669046</v>
      </c>
      <c r="S930" s="27">
        <f t="shared" si="331"/>
        <v>7.3545862604907306</v>
      </c>
      <c r="T930" s="27">
        <f t="shared" si="331"/>
        <v>7.4319206101094348</v>
      </c>
      <c r="U930" s="27">
        <f t="shared" si="331"/>
        <v>7.5451176350008202</v>
      </c>
      <c r="V930" s="27">
        <f t="shared" si="331"/>
        <v>7.6037903760515064</v>
      </c>
      <c r="W930" s="27">
        <f t="shared" si="331"/>
        <v>7.6708455087945229</v>
      </c>
      <c r="X930" s="27">
        <f t="shared" si="331"/>
        <v>7.748454799455617</v>
      </c>
      <c r="Y930" s="27">
        <f t="shared" si="331"/>
        <v>7.8277085285324004</v>
      </c>
      <c r="Z930" s="27">
        <f t="shared" si="331"/>
        <v>7.9154321855609755</v>
      </c>
      <c r="AA930" s="27">
        <f t="shared" ref="L930:AW932" si="332">AA1393</f>
        <v>8.0058732816474745</v>
      </c>
      <c r="AB930" s="27">
        <f t="shared" si="332"/>
        <v>8.10422418278708</v>
      </c>
      <c r="AC930" s="27">
        <f t="shared" si="332"/>
        <v>8.2047936963570631</v>
      </c>
      <c r="AD930" s="27">
        <f t="shared" si="332"/>
        <v>8.3134419507553705</v>
      </c>
      <c r="AE930" s="27">
        <f t="shared" si="332"/>
        <v>8.4206197210713736</v>
      </c>
      <c r="AF930" s="27">
        <f t="shared" si="332"/>
        <v>8.5337450585207524</v>
      </c>
      <c r="AG930" s="27">
        <f t="shared" si="332"/>
        <v>8.6617085162438627</v>
      </c>
      <c r="AH930" s="27">
        <f t="shared" si="332"/>
        <v>8.7833723342601697</v>
      </c>
      <c r="AI930" s="27">
        <f t="shared" si="332"/>
        <v>8.9081379352092647</v>
      </c>
      <c r="AJ930" s="27">
        <f t="shared" si="332"/>
        <v>9.0415690981618067</v>
      </c>
      <c r="AK930" s="27">
        <f t="shared" si="332"/>
        <v>9.1665780174046034</v>
      </c>
      <c r="AL930" s="27">
        <f t="shared" si="332"/>
        <v>9.290908547616274</v>
      </c>
      <c r="AM930" s="27">
        <f t="shared" si="332"/>
        <v>9.414906513410104</v>
      </c>
      <c r="AN930" s="27">
        <f t="shared" si="332"/>
        <v>9.5460926435688069</v>
      </c>
      <c r="AO930" s="27">
        <f t="shared" si="332"/>
        <v>9.6720022033758184</v>
      </c>
      <c r="AP930" s="27">
        <f t="shared" si="332"/>
        <v>9.8028010066851721</v>
      </c>
      <c r="AQ930" s="27">
        <f t="shared" si="332"/>
        <v>9.939085602989195</v>
      </c>
      <c r="AR930" s="27">
        <f t="shared" si="332"/>
        <v>10.081815307121353</v>
      </c>
      <c r="AS930" s="27">
        <f t="shared" si="332"/>
        <v>10.227069711733948</v>
      </c>
      <c r="AT930" s="27">
        <f t="shared" si="332"/>
        <v>10.261508370245586</v>
      </c>
      <c r="AU930" s="27">
        <f t="shared" si="332"/>
        <v>10.28601825816002</v>
      </c>
      <c r="AV930" s="27">
        <f t="shared" si="332"/>
        <v>10.296060407046117</v>
      </c>
      <c r="AW930" s="27">
        <f t="shared" si="332"/>
        <v>10.302124127636974</v>
      </c>
      <c r="AY930" s="79"/>
      <c r="AZ930" s="79"/>
    </row>
    <row r="931" spans="1:52" x14ac:dyDescent="0.3">
      <c r="A931" s="95" t="str">
        <f t="shared" si="326"/>
        <v>DS Cattle MMCH4</v>
      </c>
      <c r="B931" s="95" t="s">
        <v>974</v>
      </c>
      <c r="C931" s="95" t="s">
        <v>1229</v>
      </c>
      <c r="D931" t="s">
        <v>15</v>
      </c>
      <c r="E931" t="s">
        <v>22</v>
      </c>
      <c r="F931" t="s">
        <v>6</v>
      </c>
      <c r="G931" t="s">
        <v>137</v>
      </c>
      <c r="H931" t="s">
        <v>1227</v>
      </c>
      <c r="I931" t="s">
        <v>121</v>
      </c>
      <c r="J931" t="s">
        <v>286</v>
      </c>
      <c r="K931" s="27">
        <f t="shared" si="331"/>
        <v>2.0944490884992821</v>
      </c>
      <c r="L931" s="27">
        <f t="shared" si="332"/>
        <v>2.1061581299686467</v>
      </c>
      <c r="M931" s="27">
        <f t="shared" si="332"/>
        <v>2.1227712545548472</v>
      </c>
      <c r="N931" s="27">
        <f t="shared" si="332"/>
        <v>2.1334469567638776</v>
      </c>
      <c r="O931" s="27">
        <f t="shared" si="332"/>
        <v>2.1405410097083357</v>
      </c>
      <c r="P931" s="27">
        <f t="shared" si="332"/>
        <v>2.143983592066792</v>
      </c>
      <c r="Q931" s="27">
        <f t="shared" si="332"/>
        <v>2.151589537694508</v>
      </c>
      <c r="R931" s="27">
        <f t="shared" si="332"/>
        <v>2.1603148348588084</v>
      </c>
      <c r="S931" s="27">
        <f t="shared" si="332"/>
        <v>2.0953766359635408</v>
      </c>
      <c r="T931" s="27">
        <f t="shared" si="332"/>
        <v>2.117409770610283</v>
      </c>
      <c r="U931" s="27">
        <f t="shared" si="332"/>
        <v>2.149660449685487</v>
      </c>
      <c r="V931" s="27">
        <f t="shared" si="332"/>
        <v>2.1663767524673299</v>
      </c>
      <c r="W931" s="27">
        <f t="shared" si="332"/>
        <v>2.1854812613403793</v>
      </c>
      <c r="X931" s="27">
        <f t="shared" si="332"/>
        <v>2.207592728746584</v>
      </c>
      <c r="Y931" s="27">
        <f t="shared" si="332"/>
        <v>2.23017270895738</v>
      </c>
      <c r="Z931" s="27">
        <f t="shared" si="332"/>
        <v>2.2551658349944512</v>
      </c>
      <c r="AA931" s="27">
        <f t="shared" si="332"/>
        <v>2.2809331797448467</v>
      </c>
      <c r="AB931" s="27">
        <f t="shared" si="332"/>
        <v>2.3089540871181105</v>
      </c>
      <c r="AC931" s="27">
        <f t="shared" si="332"/>
        <v>2.3376070937674198</v>
      </c>
      <c r="AD931" s="27">
        <f t="shared" si="332"/>
        <v>2.3685617941055517</v>
      </c>
      <c r="AE931" s="27">
        <f t="shared" si="332"/>
        <v>2.3990975425298058</v>
      </c>
      <c r="AF931" s="27">
        <f t="shared" si="332"/>
        <v>2.4313277973165794</v>
      </c>
      <c r="AG931" s="27">
        <f t="shared" si="332"/>
        <v>2.4677855435545331</v>
      </c>
      <c r="AH931" s="27">
        <f t="shared" si="332"/>
        <v>2.5024484753203891</v>
      </c>
      <c r="AI931" s="27">
        <f t="shared" si="332"/>
        <v>2.5379951282443072</v>
      </c>
      <c r="AJ931" s="27">
        <f t="shared" si="332"/>
        <v>2.5760106645991079</v>
      </c>
      <c r="AK931" s="27">
        <f t="shared" si="332"/>
        <v>2.6116266407248583</v>
      </c>
      <c r="AL931" s="27">
        <f t="shared" si="332"/>
        <v>2.6470493387414713</v>
      </c>
      <c r="AM931" s="27">
        <f t="shared" si="332"/>
        <v>2.6823772866679478</v>
      </c>
      <c r="AN931" s="27">
        <f t="shared" si="332"/>
        <v>2.719753196387535</v>
      </c>
      <c r="AO931" s="27">
        <f t="shared" si="332"/>
        <v>2.755625771746582</v>
      </c>
      <c r="AP931" s="27">
        <f t="shared" si="332"/>
        <v>2.792891329149688</v>
      </c>
      <c r="AQ931" s="27">
        <f t="shared" si="332"/>
        <v>2.8317198300092477</v>
      </c>
      <c r="AR931" s="27">
        <f t="shared" si="332"/>
        <v>2.8723845902967362</v>
      </c>
      <c r="AS931" s="27">
        <f t="shared" si="332"/>
        <v>2.9137686566351899</v>
      </c>
      <c r="AT931" s="27">
        <f t="shared" si="332"/>
        <v>2.9235804880371647</v>
      </c>
      <c r="AU931" s="27">
        <f t="shared" si="332"/>
        <v>2.9305635384314317</v>
      </c>
      <c r="AV931" s="27">
        <f t="shared" si="332"/>
        <v>2.9334246217616835</v>
      </c>
      <c r="AW931" s="27">
        <f t="shared" si="332"/>
        <v>2.9351522211130368</v>
      </c>
      <c r="AY931" s="79"/>
      <c r="AZ931" s="79"/>
    </row>
    <row r="932" spans="1:52" x14ac:dyDescent="0.3">
      <c r="A932" s="95" t="str">
        <f t="shared" si="326"/>
        <v>DS Cattle MMCH4</v>
      </c>
      <c r="B932" s="95" t="s">
        <v>974</v>
      </c>
      <c r="C932" s="95" t="s">
        <v>1229</v>
      </c>
      <c r="D932" t="s">
        <v>15</v>
      </c>
      <c r="E932" t="s">
        <v>22</v>
      </c>
      <c r="F932" t="s">
        <v>67</v>
      </c>
      <c r="G932" t="s">
        <v>307</v>
      </c>
      <c r="H932" t="s">
        <v>1227</v>
      </c>
      <c r="I932" t="s">
        <v>121</v>
      </c>
      <c r="J932" t="s">
        <v>286</v>
      </c>
      <c r="K932" s="27">
        <f t="shared" si="331"/>
        <v>0.43258377187145641</v>
      </c>
      <c r="L932" s="27">
        <f t="shared" si="332"/>
        <v>0.43500213637199736</v>
      </c>
      <c r="M932" s="27">
        <f t="shared" si="332"/>
        <v>0.43843338143569016</v>
      </c>
      <c r="N932" s="27">
        <f t="shared" si="332"/>
        <v>0.44063832189202168</v>
      </c>
      <c r="O932" s="27">
        <f t="shared" si="332"/>
        <v>0.44210351490980387</v>
      </c>
      <c r="P932" s="27">
        <f t="shared" si="332"/>
        <v>0.44281453971808232</v>
      </c>
      <c r="Q932" s="27">
        <f t="shared" si="332"/>
        <v>0.44438545813589125</v>
      </c>
      <c r="R932" s="27">
        <f t="shared" si="332"/>
        <v>0.44618756541973886</v>
      </c>
      <c r="S932" s="27">
        <f t="shared" si="332"/>
        <v>0.43277534586715866</v>
      </c>
      <c r="T932" s="27">
        <f t="shared" si="332"/>
        <v>0.4373260301229735</v>
      </c>
      <c r="U932" s="27">
        <f t="shared" si="332"/>
        <v>0.44398702774586812</v>
      </c>
      <c r="V932" s="27">
        <f t="shared" si="332"/>
        <v>0.44743958304970527</v>
      </c>
      <c r="W932" s="27">
        <f t="shared" si="332"/>
        <v>0.45138539417179691</v>
      </c>
      <c r="X932" s="27">
        <f t="shared" si="332"/>
        <v>0.45595225713576731</v>
      </c>
      <c r="Y932" s="27">
        <f t="shared" si="332"/>
        <v>0.46061588589714619</v>
      </c>
      <c r="Z932" s="27">
        <f t="shared" si="332"/>
        <v>0.46577792148509239</v>
      </c>
      <c r="AA932" s="27">
        <f t="shared" si="332"/>
        <v>0.47109986282252775</v>
      </c>
      <c r="AB932" s="27">
        <f t="shared" si="332"/>
        <v>0.47688725095688084</v>
      </c>
      <c r="AC932" s="27">
        <f t="shared" si="332"/>
        <v>0.48280519174612069</v>
      </c>
      <c r="AD932" s="27">
        <f t="shared" si="332"/>
        <v>0.48919852023662819</v>
      </c>
      <c r="AE932" s="27">
        <f t="shared" si="332"/>
        <v>0.4955053191475276</v>
      </c>
      <c r="AF932" s="27">
        <f t="shared" si="332"/>
        <v>0.50216209837438885</v>
      </c>
      <c r="AG932" s="27">
        <f t="shared" si="332"/>
        <v>0.50969201613087478</v>
      </c>
      <c r="AH932" s="27">
        <f t="shared" si="332"/>
        <v>0.51685123611370132</v>
      </c>
      <c r="AI932" s="27">
        <f t="shared" si="332"/>
        <v>0.52419297828526779</v>
      </c>
      <c r="AJ932" s="27">
        <f t="shared" si="332"/>
        <v>0.53204463922865186</v>
      </c>
      <c r="AK932" s="27">
        <f t="shared" si="332"/>
        <v>0.53940069929044132</v>
      </c>
      <c r="AL932" s="27">
        <f t="shared" si="332"/>
        <v>0.54671684003696541</v>
      </c>
      <c r="AM932" s="27">
        <f t="shared" si="332"/>
        <v>0.55401341126919512</v>
      </c>
      <c r="AN932" s="27">
        <f t="shared" si="332"/>
        <v>0.56173296487038149</v>
      </c>
      <c r="AO932" s="27">
        <f t="shared" si="332"/>
        <v>0.56914202247926249</v>
      </c>
      <c r="AP932" s="27">
        <f t="shared" si="332"/>
        <v>0.57683878411020695</v>
      </c>
      <c r="AQ932" s="27">
        <f t="shared" si="332"/>
        <v>0.58485835328960278</v>
      </c>
      <c r="AR932" s="27">
        <f t="shared" si="332"/>
        <v>0.59325718020977147</v>
      </c>
      <c r="AS932" s="27">
        <f t="shared" si="332"/>
        <v>0.60180457131627674</v>
      </c>
      <c r="AT932" s="27">
        <f t="shared" si="332"/>
        <v>0.60383108943989172</v>
      </c>
      <c r="AU932" s="27">
        <f t="shared" si="332"/>
        <v>0.60527335618932376</v>
      </c>
      <c r="AV932" s="27">
        <f t="shared" si="332"/>
        <v>0.60586427922747954</v>
      </c>
      <c r="AW932" s="27">
        <f t="shared" si="332"/>
        <v>0.60622109451021655</v>
      </c>
      <c r="AY932" s="79"/>
      <c r="AZ932" s="79"/>
    </row>
    <row r="933" spans="1:52" x14ac:dyDescent="0.3">
      <c r="A933" s="95" t="str">
        <f t="shared" si="326"/>
        <v>DS Cattle MMCH4</v>
      </c>
      <c r="B933" s="95" t="s">
        <v>974</v>
      </c>
      <c r="C933" s="95" t="s">
        <v>1229</v>
      </c>
      <c r="D933" t="s">
        <v>15</v>
      </c>
      <c r="E933" t="s">
        <v>22</v>
      </c>
      <c r="F933" t="s">
        <v>67</v>
      </c>
      <c r="G933" t="s">
        <v>122</v>
      </c>
      <c r="H933" t="s">
        <v>1227</v>
      </c>
      <c r="I933" t="s">
        <v>121</v>
      </c>
      <c r="J933" t="s">
        <v>286</v>
      </c>
      <c r="K933" s="93">
        <f>IF('Net zero activities &amp; levers'!$C$12="Off",('Activity data'!AD8*EF!$H21)*kgtoGg,('Net zero Activity data'!AD8*EF!$H21)*kgtoGg)</f>
        <v>9.4871637196006553E-2</v>
      </c>
      <c r="L933" s="93">
        <f>IF('Net zero activities &amp; levers'!$C$12="Off",('Activity data'!AE8*EF!$H21)*kgtoGg,('Net zero Activity data'!AE8*EF!$H21)*kgtoGg)</f>
        <v>9.404884578461549E-2</v>
      </c>
      <c r="M933" s="93">
        <f>IF('Net zero activities &amp; levers'!$C$12="Off",('Activity data'!AF8*EF!$H21)*kgtoGg,('Net zero Activity data'!AF8*EF!$H21)*kgtoGg)</f>
        <v>9.3735634002294246E-2</v>
      </c>
      <c r="N933" s="93">
        <f>IF('Net zero activities &amp; levers'!$C$12="Off",('Activity data'!AG8*EF!$H21)*kgtoGg,('Net zero Activity data'!AG8*EF!$H21)*kgtoGg)</f>
        <v>9.2483917307495084E-2</v>
      </c>
      <c r="O933" s="93">
        <f>IF('Net zero activities &amp; levers'!$C$12="Off",('Activity data'!AH8*EF!$H21)*kgtoGg,('Net zero Activity data'!AH8*EF!$H21)*kgtoGg)</f>
        <v>9.0667019955957343E-2</v>
      </c>
      <c r="P933" s="93">
        <f>IF('Net zero activities &amp; levers'!$C$12="Off",('Activity data'!AI8*EF!$H21)*kgtoGg,('Net zero Activity data'!AI8*EF!$H21)*kgtoGg)</f>
        <v>8.8322512540543865E-2</v>
      </c>
      <c r="Q933" s="93">
        <f>IF('Net zero activities &amp; levers'!$C$12="Off",('Activity data'!AJ8*EF!$H21)*kgtoGg,('Net zero Activity data'!AJ8*EF!$H21)*kgtoGg)</f>
        <v>8.6473330972337892E-2</v>
      </c>
      <c r="R933" s="93">
        <f>IF('Net zero activities &amp; levers'!$C$12="Off",('Activity data'!AK8*EF!$H21)*kgtoGg,('Net zero Activity data'!AK8*EF!$H21)*kgtoGg)</f>
        <v>8.4723794986300283E-2</v>
      </c>
      <c r="S933" s="93">
        <f>IF('Net zero activities &amp; levers'!$C$12="Off",('Activity data'!AL8*EF!$H21)*kgtoGg,('Net zero Activity data'!AL8*EF!$H21)*kgtoGg)</f>
        <v>7.4532240818123416E-2</v>
      </c>
      <c r="T933" s="93">
        <f>IF('Net zero activities &amp; levers'!$C$12="Off",('Activity data'!AM8*EF!$H21)*kgtoGg,('Net zero Activity data'!AM8*EF!$H21)*kgtoGg)</f>
        <v>7.5742869009566477E-2</v>
      </c>
      <c r="U933" s="93">
        <f>IF('Net zero activities &amp; levers'!$C$12="Off",('Activity data'!AN8*EF!$H21)*kgtoGg,('Net zero Activity data'!AN8*EF!$H21)*kgtoGg)</f>
        <v>7.8001334092155483E-2</v>
      </c>
      <c r="V933" s="93">
        <f>IF('Net zero activities &amp; levers'!$C$12="Off",('Activity data'!AO8*EF!$H21)*kgtoGg,('Net zero Activity data'!AO8*EF!$H21)*kgtoGg)</f>
        <v>7.8452375655366738E-2</v>
      </c>
      <c r="W933" s="93">
        <f>IF('Net zero activities &amp; levers'!$C$12="Off",('Activity data'!AP8*EF!$H21)*kgtoGg,('Net zero Activity data'!AP8*EF!$H21)*kgtoGg)</f>
        <v>7.9102907310080586E-2</v>
      </c>
      <c r="X933" s="93">
        <f>IF('Net zero activities &amp; levers'!$C$12="Off",('Activity data'!AQ8*EF!$H21)*kgtoGg,('Net zero Activity data'!AQ8*EF!$H21)*kgtoGg)</f>
        <v>8.0010413317847237E-2</v>
      </c>
      <c r="Y933" s="93">
        <f>IF('Net zero activities &amp; levers'!$C$12="Off",('Activity data'!AR8*EF!$H21)*kgtoGg,('Net zero Activity data'!AR8*EF!$H21)*kgtoGg)</f>
        <v>8.1051364115397456E-2</v>
      </c>
      <c r="Z933" s="93">
        <f>IF('Net zero activities &amp; levers'!$C$12="Off",('Activity data'!AS8*EF!$H21)*kgtoGg,('Net zero Activity data'!AS8*EF!$H21)*kgtoGg)</f>
        <v>8.2271824268517132E-2</v>
      </c>
      <c r="AA933" s="93">
        <f>IF('Net zero activities &amp; levers'!$C$12="Off",('Activity data'!AT8*EF!$H21)*kgtoGg,('Net zero Activity data'!AT8*EF!$H21)*kgtoGg)</f>
        <v>8.3497913456907769E-2</v>
      </c>
      <c r="AB933" s="93">
        <f>IF('Net zero activities &amp; levers'!$C$12="Off",('Activity data'!AU8*EF!$H21)*kgtoGg,('Net zero Activity data'!AU8*EF!$H21)*kgtoGg)</f>
        <v>8.4876885462998888E-2</v>
      </c>
      <c r="AC933" s="93">
        <f>IF('Net zero activities &amp; levers'!$C$12="Off",('Activity data'!AV8*EF!$H21)*kgtoGg,('Net zero Activity data'!AV8*EF!$H21)*kgtoGg)</f>
        <v>8.6242172681273321E-2</v>
      </c>
      <c r="AD933" s="93">
        <f>IF('Net zero activities &amp; levers'!$C$12="Off",('Activity data'!AW8*EF!$H21)*kgtoGg,('Net zero Activity data'!AW8*EF!$H21)*kgtoGg)</f>
        <v>8.7131524640671032E-2</v>
      </c>
      <c r="AE933" s="93">
        <f>IF('Net zero activities &amp; levers'!$C$12="Off",('Activity data'!AX8*EF!$H21)*kgtoGg,('Net zero Activity data'!AX8*EF!$H21)*kgtoGg)</f>
        <v>8.7861744576890749E-2</v>
      </c>
      <c r="AF933" s="93">
        <f>IF('Net zero activities &amp; levers'!$C$12="Off",('Activity data'!AY8*EF!$H21)*kgtoGg,('Net zero Activity data'!AY8*EF!$H21)*kgtoGg)</f>
        <v>8.863318056494178E-2</v>
      </c>
      <c r="AG933" s="93">
        <f>IF('Net zero activities &amp; levers'!$C$12="Off",('Activity data'!AZ8*EF!$H21)*kgtoGg,('Net zero Activity data'!AZ8*EF!$H21)*kgtoGg)</f>
        <v>8.9665353249555477E-2</v>
      </c>
      <c r="AH933" s="93">
        <f>IF('Net zero activities &amp; levers'!$C$12="Off",('Activity data'!BA8*EF!$H21)*kgtoGg,('Net zero Activity data'!BA8*EF!$H21)*kgtoGg)</f>
        <v>9.0407657135718758E-2</v>
      </c>
      <c r="AI933" s="93">
        <f>IF('Net zero activities &amp; levers'!$C$12="Off",('Activity data'!BB8*EF!$H21)*kgtoGg,('Net zero Activity data'!BB8*EF!$H21)*kgtoGg)</f>
        <v>9.1198770165766427E-2</v>
      </c>
      <c r="AJ933" s="93">
        <f>IF('Net zero activities &amp; levers'!$C$12="Off",('Activity data'!BC8*EF!$H21)*kgtoGg,('Net zero Activity data'!BC8*EF!$H21)*kgtoGg)</f>
        <v>9.2069621900880569E-2</v>
      </c>
      <c r="AK933" s="93">
        <f>IF('Net zero activities &amp; levers'!$C$12="Off",('Activity data'!BD8*EF!$H21)*kgtoGg,('Net zero Activity data'!BD8*EF!$H21)*kgtoGg)</f>
        <v>9.2612278465111636E-2</v>
      </c>
      <c r="AL933" s="93">
        <f>IF('Net zero activities &amp; levers'!$C$12="Off",('Activity data'!BE8*EF!$H21)*kgtoGg,('Net zero Activity data'!BE8*EF!$H21)*kgtoGg)</f>
        <v>9.3019389326395155E-2</v>
      </c>
      <c r="AM933" s="93">
        <f>IF('Net zero activities &amp; levers'!$C$12="Off",('Activity data'!BF8*EF!$H21)*kgtoGg,('Net zero Activity data'!BF8*EF!$H21)*kgtoGg)</f>
        <v>9.3302561003725443E-2</v>
      </c>
      <c r="AN933" s="93">
        <f>IF('Net zero activities &amp; levers'!$C$12="Off",('Activity data'!BG8*EF!$H21)*kgtoGg,('Net zero Activity data'!BG8*EF!$H21)*kgtoGg)</f>
        <v>9.4182866906307741E-2</v>
      </c>
      <c r="AO933" s="93">
        <f>IF('Net zero activities &amp; levers'!$C$12="Off",('Activity data'!BH8*EF!$H21)*kgtoGg,('Net zero Activity data'!BH8*EF!$H21)*kgtoGg)</f>
        <v>9.4852010834144421E-2</v>
      </c>
      <c r="AP933" s="93">
        <f>IF('Net zero activities &amp; levers'!$C$12="Off",('Activity data'!BI8*EF!$H21)*kgtoGg,('Net zero Activity data'!BI8*EF!$H21)*kgtoGg)</f>
        <v>9.5529601297703756E-2</v>
      </c>
      <c r="AQ933" s="93">
        <f>IF('Net zero activities &amp; levers'!$C$12="Off",('Activity data'!BJ8*EF!$H21)*kgtoGg,('Net zero Activity data'!BJ8*EF!$H21)*kgtoGg)</f>
        <v>9.6223389625578193E-2</v>
      </c>
      <c r="AR933" s="93">
        <f>IF('Net zero activities &amp; levers'!$C$12="Off",('Activity data'!BK8*EF!$H21)*kgtoGg,('Net zero Activity data'!BK8*EF!$H21)*kgtoGg)</f>
        <v>9.6947366282069555E-2</v>
      </c>
      <c r="AS933" s="93">
        <f>IF('Net zero activities &amp; levers'!$C$12="Off",('Activity data'!BL8*EF!$H21)*kgtoGg,('Net zero Activity data'!BL8*EF!$H21)*kgtoGg)</f>
        <v>9.7690698003963641E-2</v>
      </c>
      <c r="AT933" s="93">
        <f>IF('Net zero activities &amp; levers'!$C$12="Off",('Activity data'!BM8*EF!$H21)*kgtoGg,('Net zero Activity data'!BM8*EF!$H21)*kgtoGg)</f>
        <v>9.6224389596631696E-2</v>
      </c>
      <c r="AU933" s="93">
        <f>IF('Net zero activities &amp; levers'!$C$12="Off",('Activity data'!BN8*EF!$H21)*kgtoGg,('Net zero Activity data'!BN8*EF!$H21)*kgtoGg)</f>
        <v>9.4563308773857144E-2</v>
      </c>
      <c r="AV933" s="93">
        <f>IF('Net zero activities &amp; levers'!$C$12="Off",('Activity data'!BO8*EF!$H21)*kgtoGg,('Net zero Activity data'!BO8*EF!$H21)*kgtoGg)</f>
        <v>9.2637583282449518E-2</v>
      </c>
      <c r="AW933" s="93">
        <f>IF('Net zero activities &amp; levers'!$C$12="Off",('Activity data'!BP8*EF!$H21)*kgtoGg,('Net zero Activity data'!BP8*EF!$H21)*kgtoGg)</f>
        <v>9.065150695451285E-2</v>
      </c>
      <c r="AY933" s="79"/>
      <c r="AZ933" s="79"/>
    </row>
    <row r="934" spans="1:52" x14ac:dyDescent="0.3">
      <c r="A934" s="95" t="str">
        <f t="shared" si="326"/>
        <v>DS Cattle MMCH4</v>
      </c>
      <c r="B934" s="95" t="s">
        <v>974</v>
      </c>
      <c r="C934" s="95" t="s">
        <v>1229</v>
      </c>
      <c r="D934" t="s">
        <v>15</v>
      </c>
      <c r="E934" t="s">
        <v>22</v>
      </c>
      <c r="F934" t="s">
        <v>67</v>
      </c>
      <c r="G934" t="s">
        <v>123</v>
      </c>
      <c r="H934" t="s">
        <v>1227</v>
      </c>
      <c r="I934" t="s">
        <v>121</v>
      </c>
      <c r="J934" t="s">
        <v>286</v>
      </c>
      <c r="K934" s="93">
        <f>IF('Net zero activities &amp; levers'!$C$12="Off",('Activity data'!AD9*EF!$H22)*kgtoGg,('Net zero Activity data'!AD9*EF!$H22)*kgtoGg)</f>
        <v>6.9689449734106304E-2</v>
      </c>
      <c r="L934" s="93">
        <f>IF('Net zero activities &amp; levers'!$C$12="Off",('Activity data'!AE9*EF!$H22)*kgtoGg,('Net zero Activity data'!AE9*EF!$H22)*kgtoGg)</f>
        <v>6.9085055392440989E-2</v>
      </c>
      <c r="M934" s="93">
        <f>IF('Net zero activities &amp; levers'!$C$12="Off",('Activity data'!AF9*EF!$H22)*kgtoGg,('Net zero Activity data'!AF9*EF!$H22)*kgtoGg)</f>
        <v>6.8854980763127793E-2</v>
      </c>
      <c r="N934" s="93">
        <f>IF('Net zero activities &amp; levers'!$C$12="Off",('Activity data'!AG9*EF!$H22)*kgtoGg,('Net zero Activity data'!AG9*EF!$H22)*kgtoGg)</f>
        <v>6.7935512624264269E-2</v>
      </c>
      <c r="O934" s="93">
        <f>IF('Net zero activities &amp; levers'!$C$12="Off",('Activity data'!AH9*EF!$H22)*kgtoGg,('Net zero Activity data'!AH9*EF!$H22)*kgtoGg)</f>
        <v>6.660088216573827E-2</v>
      </c>
      <c r="P934" s="93">
        <f>IF('Net zero activities &amp; levers'!$C$12="Off",('Activity data'!AI9*EF!$H22)*kgtoGg,('Net zero Activity data'!AI9*EF!$H22)*kgtoGg)</f>
        <v>6.4878687456057696E-2</v>
      </c>
      <c r="Q934" s="93">
        <f>IF('Net zero activities &amp; levers'!$C$12="Off",('Activity data'!AJ9*EF!$H22)*kgtoGg,('Net zero Activity data'!AJ9*EF!$H22)*kgtoGg)</f>
        <v>6.3520342119606069E-2</v>
      </c>
      <c r="R934" s="93">
        <f>IF('Net zero activities &amp; levers'!$C$12="Off",('Activity data'!AK9*EF!$H22)*kgtoGg,('Net zero Activity data'!AK9*EF!$H22)*kgtoGg)</f>
        <v>6.2235193009075998E-2</v>
      </c>
      <c r="S934" s="93">
        <f>IF('Net zero activities &amp; levers'!$C$12="Off",('Activity data'!AL9*EF!$H22)*kgtoGg,('Net zero Activity data'!AL9*EF!$H22)*kgtoGg)</f>
        <v>5.4748826979066356E-2</v>
      </c>
      <c r="T934" s="93">
        <f>IF('Net zero activities &amp; levers'!$C$12="Off",('Activity data'!AM9*EF!$H22)*kgtoGg,('Net zero Activity data'!AM9*EF!$H22)*kgtoGg)</f>
        <v>5.5638112913069561E-2</v>
      </c>
      <c r="U934" s="93">
        <f>IF('Net zero activities &amp; levers'!$C$12="Off",('Activity data'!AN9*EF!$H22)*kgtoGg,('Net zero Activity data'!AN9*EF!$H22)*kgtoGg)</f>
        <v>5.7297103877082825E-2</v>
      </c>
      <c r="V934" s="93">
        <f>IF('Net zero activities &amp; levers'!$C$12="Off",('Activity data'!AO9*EF!$H22)*kgtoGg,('Net zero Activity data'!AO9*EF!$H22)*kgtoGg)</f>
        <v>5.7628423534637221E-2</v>
      </c>
      <c r="W934" s="93">
        <f>IF('Net zero activities &amp; levers'!$C$12="Off",('Activity data'!AP9*EF!$H22)*kgtoGg,('Net zero Activity data'!AP9*EF!$H22)*kgtoGg)</f>
        <v>5.8106281769105768E-2</v>
      </c>
      <c r="X934" s="93">
        <f>IF('Net zero activities &amp; levers'!$C$12="Off",('Activity data'!AQ9*EF!$H22)*kgtoGg,('Net zero Activity data'!AQ9*EF!$H22)*kgtoGg)</f>
        <v>5.8772904546796331E-2</v>
      </c>
      <c r="Y934" s="93">
        <f>IF('Net zero activities &amp; levers'!$C$12="Off",('Activity data'!AR9*EF!$H22)*kgtoGg,('Net zero Activity data'!AR9*EF!$H22)*kgtoGg)</f>
        <v>5.9537551288705921E-2</v>
      </c>
      <c r="Z934" s="93">
        <f>IF('Net zero activities &amp; levers'!$C$12="Off",('Activity data'!AS9*EF!$H22)*kgtoGg,('Net zero Activity data'!AS9*EF!$H22)*kgtoGg)</f>
        <v>6.0434059444432087E-2</v>
      </c>
      <c r="AA934" s="93">
        <f>IF('Net zero activities &amp; levers'!$C$12="Off",('Activity data'!AT9*EF!$H22)*kgtoGg,('Net zero Activity data'!AT9*EF!$H22)*kgtoGg)</f>
        <v>6.1334702496341778E-2</v>
      </c>
      <c r="AB934" s="93">
        <f>IF('Net zero activities &amp; levers'!$C$12="Off",('Activity data'!AU9*EF!$H22)*kgtoGg,('Net zero Activity data'!AU9*EF!$H22)*kgtoGg)</f>
        <v>6.2347648020879123E-2</v>
      </c>
      <c r="AC934" s="93">
        <f>IF('Net zero activities &amp; levers'!$C$12="Off",('Activity data'!AV9*EF!$H22)*kgtoGg,('Net zero Activity data'!AV9*EF!$H22)*kgtoGg)</f>
        <v>6.3350541169797603E-2</v>
      </c>
      <c r="AD934" s="93">
        <f>IF('Net zero activities &amp; levers'!$C$12="Off",('Activity data'!AW9*EF!$H22)*kgtoGg,('Net zero Activity data'!AW9*EF!$H22)*kgtoGg)</f>
        <v>6.4003828606403412E-2</v>
      </c>
      <c r="AE934" s="93">
        <f>IF('Net zero activities &amp; levers'!$C$12="Off",('Activity data'!AX9*EF!$H22)*kgtoGg,('Net zero Activity data'!AX9*EF!$H22)*kgtoGg)</f>
        <v>6.4540223118441709E-2</v>
      </c>
      <c r="AF934" s="93">
        <f>IF('Net zero activities &amp; levers'!$C$12="Off",('Activity data'!AY9*EF!$H22)*kgtoGg,('Net zero Activity data'!AY9*EF!$H22)*kgtoGg)</f>
        <v>6.5106893528074167E-2</v>
      </c>
      <c r="AG934" s="93">
        <f>IF('Net zero activities &amp; levers'!$C$12="Off",('Activity data'!AZ9*EF!$H22)*kgtoGg,('Net zero Activity data'!AZ9*EF!$H22)*kgtoGg)</f>
        <v>6.5865092169388781E-2</v>
      </c>
      <c r="AH934" s="93">
        <f>IF('Net zero activities &amp; levers'!$C$12="Off",('Activity data'!BA9*EF!$H22)*kgtoGg,('Net zero Activity data'!BA9*EF!$H22)*kgtoGg)</f>
        <v>6.641036313646749E-2</v>
      </c>
      <c r="AI934" s="93">
        <f>IF('Net zero activities &amp; levers'!$C$12="Off",('Activity data'!BB9*EF!$H22)*kgtoGg,('Net zero Activity data'!BB9*EF!$H22)*kgtoGg)</f>
        <v>6.6991487626051227E-2</v>
      </c>
      <c r="AJ934" s="93">
        <f>IF('Net zero activities &amp; levers'!$C$12="Off",('Activity data'!BC9*EF!$H22)*kgtoGg,('Net zero Activity data'!BC9*EF!$H22)*kgtoGg)</f>
        <v>6.7631185432622337E-2</v>
      </c>
      <c r="AK934" s="93">
        <f>IF('Net zero activities &amp; levers'!$C$12="Off",('Activity data'!BD9*EF!$H22)*kgtoGg,('Net zero Activity data'!BD9*EF!$H22)*kgtoGg)</f>
        <v>6.8029802326707703E-2</v>
      </c>
      <c r="AL934" s="93">
        <f>IF('Net zero activities &amp; levers'!$C$12="Off",('Activity data'!BE9*EF!$H22)*kgtoGg,('Net zero Activity data'!BE9*EF!$H22)*kgtoGg)</f>
        <v>6.832885199784397E-2</v>
      </c>
      <c r="AM934" s="93">
        <f>IF('Net zero activities &amp; levers'!$C$12="Off",('Activity data'!BF9*EF!$H22)*kgtoGg,('Net zero Activity data'!BF9*EF!$H22)*kgtoGg)</f>
        <v>6.8536860196676486E-2</v>
      </c>
      <c r="AN934" s="93">
        <f>IF('Net zero activities &amp; levers'!$C$12="Off",('Activity data'!BG9*EF!$H22)*kgtoGg,('Net zero Activity data'!BG9*EF!$H22)*kgtoGg)</f>
        <v>6.9183502710306752E-2</v>
      </c>
      <c r="AO934" s="93">
        <f>IF('Net zero activities &amp; levers'!$C$12="Off",('Activity data'!BH9*EF!$H22)*kgtoGg,('Net zero Activity data'!BH9*EF!$H22)*kgtoGg)</f>
        <v>6.9675032882043061E-2</v>
      </c>
      <c r="AP934" s="93">
        <f>IF('Net zero activities &amp; levers'!$C$12="Off",('Activity data'!BI9*EF!$H22)*kgtoGg,('Net zero Activity data'!BI9*EF!$H22)*kgtoGg)</f>
        <v>7.0172767589129104E-2</v>
      </c>
      <c r="AQ934" s="93">
        <f>IF('Net zero activities &amp; levers'!$C$12="Off",('Activity data'!BJ9*EF!$H22)*kgtoGg,('Net zero Activity data'!BJ9*EF!$H22)*kgtoGg)</f>
        <v>7.0682400691608652E-2</v>
      </c>
      <c r="AR934" s="93">
        <f>IF('Net zero activities &amp; levers'!$C$12="Off",('Activity data'!BK9*EF!$H22)*kgtoGg,('Net zero Activity data'!BK9*EF!$H22)*kgtoGg)</f>
        <v>7.1214209104559126E-2</v>
      </c>
      <c r="AS934" s="93">
        <f>IF('Net zero activities &amp; levers'!$C$12="Off",('Activity data'!BL9*EF!$H22)*kgtoGg,('Net zero Activity data'!BL9*EF!$H22)*kgtoGg)</f>
        <v>7.1760235084501689E-2</v>
      </c>
      <c r="AT934" s="93">
        <f>IF('Net zero activities &amp; levers'!$C$12="Off",('Activity data'!BM9*EF!$H22)*kgtoGg,('Net zero Activity data'!BM9*EF!$H22)*kgtoGg)</f>
        <v>7.0683135236036573E-2</v>
      </c>
      <c r="AU934" s="93">
        <f>IF('Net zero activities &amp; levers'!$C$12="Off",('Activity data'!BN9*EF!$H22)*kgtoGg,('Net zero Activity data'!BN9*EF!$H22)*kgtoGg)</f>
        <v>6.9462962253632216E-2</v>
      </c>
      <c r="AV934" s="93">
        <f>IF('Net zero activities &amp; levers'!$C$12="Off",('Activity data'!BO9*EF!$H22)*kgtoGg,('Net zero Activity data'!BO9*EF!$H22)*kgtoGg)</f>
        <v>6.8048390377341353E-2</v>
      </c>
      <c r="AW934" s="93">
        <f>IF('Net zero activities &amp; levers'!$C$12="Off",('Activity data'!BP9*EF!$H22)*kgtoGg,('Net zero Activity data'!BP9*EF!$H22)*kgtoGg)</f>
        <v>6.658948684711255E-2</v>
      </c>
      <c r="AY934" s="79"/>
      <c r="AZ934" s="79"/>
    </row>
    <row r="935" spans="1:52" x14ac:dyDescent="0.3">
      <c r="A935" s="95" t="str">
        <f t="shared" si="326"/>
        <v>DS Cattle MMCH4</v>
      </c>
      <c r="B935" s="95" t="s">
        <v>974</v>
      </c>
      <c r="C935" s="95" t="s">
        <v>1229</v>
      </c>
      <c r="D935" t="s">
        <v>15</v>
      </c>
      <c r="E935" t="s">
        <v>22</v>
      </c>
      <c r="F935" t="s">
        <v>67</v>
      </c>
      <c r="G935" t="s">
        <v>135</v>
      </c>
      <c r="H935" t="s">
        <v>1227</v>
      </c>
      <c r="I935" t="s">
        <v>121</v>
      </c>
      <c r="J935" t="s">
        <v>286</v>
      </c>
      <c r="K935" s="93">
        <f>IF('Net zero activities &amp; levers'!$C$12="Off",('Activity data'!AD10*EF!$H23)*kgtoGg,('Net zero Activity data'!AD10*EF!$H23)*kgtoGg)</f>
        <v>0.47107022937833831</v>
      </c>
      <c r="L935" s="93">
        <f>IF('Net zero activities &amp; levers'!$C$12="Off",('Activity data'!AE10*EF!$H23)*kgtoGg,('Net zero Activity data'!AE10*EF!$H23)*kgtoGg)</f>
        <v>0.48695387967725939</v>
      </c>
      <c r="M935" s="93">
        <f>IF('Net zero activities &amp; levers'!$C$12="Off",('Activity data'!AF10*EF!$H23)*kgtoGg,('Net zero Activity data'!AF10*EF!$H23)*kgtoGg)</f>
        <v>0.50580611066616787</v>
      </c>
      <c r="N935" s="93">
        <f>IF('Net zero activities &amp; levers'!$C$12="Off",('Activity data'!AG10*EF!$H23)*kgtoGg,('Net zero Activity data'!AG10*EF!$H23)*kgtoGg)</f>
        <v>0.51986569055899412</v>
      </c>
      <c r="O935" s="93">
        <f>IF('Net zero activities &amp; levers'!$C$12="Off",('Activity data'!AH10*EF!$H23)*kgtoGg,('Net zero Activity data'!AH10*EF!$H23)*kgtoGg)</f>
        <v>0.5307082628613855</v>
      </c>
      <c r="P935" s="93">
        <f>IF('Net zero activities &amp; levers'!$C$12="Off",('Activity data'!AI10*EF!$H23)*kgtoGg,('Net zero Activity data'!AI10*EF!$H23)*kgtoGg)</f>
        <v>0.53817886796858128</v>
      </c>
      <c r="Q935" s="93">
        <f>IF('Net zero activities &amp; levers'!$C$12="Off",('Activity data'!AJ10*EF!$H23)*kgtoGg,('Net zero Activity data'!AJ10*EF!$H23)*kgtoGg)</f>
        <v>0.54837935702304741</v>
      </c>
      <c r="R935" s="93">
        <f>IF('Net zero activities &amp; levers'!$C$12="Off",('Activity data'!AK10*EF!$H23)*kgtoGg,('Net zero Activity data'!AK10*EF!$H23)*kgtoGg)</f>
        <v>0.55907244781022658</v>
      </c>
      <c r="S935" s="93">
        <f>IF('Net zero activities &amp; levers'!$C$12="Off",('Activity data'!AL10*EF!$H23)*kgtoGg,('Net zero Activity data'!AL10*EF!$H23)*kgtoGg)</f>
        <v>0.5116979963243764</v>
      </c>
      <c r="T935" s="93">
        <f>IF('Net zero activities &amp; levers'!$C$12="Off",('Activity data'!AM10*EF!$H23)*kgtoGg,('Net zero Activity data'!AM10*EF!$H23)*kgtoGg)</f>
        <v>0.53253794371544794</v>
      </c>
      <c r="U935" s="93">
        <f>IF('Net zero activities &amp; levers'!$C$12="Off",('Activity data'!AN10*EF!$H23)*kgtoGg,('Net zero Activity data'!AN10*EF!$H23)*kgtoGg)</f>
        <v>0.56144831136588025</v>
      </c>
      <c r="V935" s="93">
        <f>IF('Net zero activities &amp; levers'!$C$12="Off",('Activity data'!AO10*EF!$H23)*kgtoGg,('Net zero Activity data'!AO10*EF!$H23)*kgtoGg)</f>
        <v>0.57794253443008525</v>
      </c>
      <c r="W935" s="93">
        <f>IF('Net zero activities &amp; levers'!$C$12="Off",('Activity data'!AP10*EF!$H23)*kgtoGg,('Net zero Activity data'!AP10*EF!$H23)*kgtoGg)</f>
        <v>0.59624482437454274</v>
      </c>
      <c r="X935" s="93">
        <f>IF('Net zero activities &amp; levers'!$C$12="Off",('Activity data'!AQ10*EF!$H23)*kgtoGg,('Net zero Activity data'!AQ10*EF!$H23)*kgtoGg)</f>
        <v>0.61691451225743765</v>
      </c>
      <c r="Y935" s="93">
        <f>IF('Net zero activities &amp; levers'!$C$12="Off",('Activity data'!AR10*EF!$H23)*kgtoGg,('Net zero Activity data'!AR10*EF!$H23)*kgtoGg)</f>
        <v>0.63912634684399761</v>
      </c>
      <c r="Z935" s="93">
        <f>IF('Net zero activities &amp; levers'!$C$12="Off",('Activity data'!AS10*EF!$H23)*kgtoGg,('Net zero Activity data'!AS10*EF!$H23)*kgtoGg)</f>
        <v>0.66333849990898774</v>
      </c>
      <c r="AA935" s="93">
        <f>IF('Net zero activities &amp; levers'!$C$12="Off",('Activity data'!AT10*EF!$H23)*kgtoGg,('Net zero Activity data'!AT10*EF!$H23)*kgtoGg)</f>
        <v>0.68823157042214766</v>
      </c>
      <c r="AB935" s="93">
        <f>IF('Net zero activities &amp; levers'!$C$12="Off",('Activity data'!AU10*EF!$H23)*kgtoGg,('Net zero Activity data'!AU10*EF!$H23)*kgtoGg)</f>
        <v>0.71506797281834467</v>
      </c>
      <c r="AC935" s="93">
        <f>IF('Net zero activities &amp; levers'!$C$12="Off",('Activity data'!AV10*EF!$H23)*kgtoGg,('Net zero Activity data'!AV10*EF!$H23)*kgtoGg)</f>
        <v>0.74251772868278199</v>
      </c>
      <c r="AD935" s="93">
        <f>IF('Net zero activities &amp; levers'!$C$12="Off",('Activity data'!AW10*EF!$H23)*kgtoGg,('Net zero Activity data'!AW10*EF!$H23)*kgtoGg)</f>
        <v>0.7750525944257971</v>
      </c>
      <c r="AE935" s="93">
        <f>IF('Net zero activities &amp; levers'!$C$12="Off",('Activity data'!AX10*EF!$H23)*kgtoGg,('Net zero Activity data'!AX10*EF!$H23)*kgtoGg)</f>
        <v>0.80751598640792854</v>
      </c>
      <c r="AF935" s="93">
        <f>IF('Net zero activities &amp; levers'!$C$12="Off",('Activity data'!AY10*EF!$H23)*kgtoGg,('Net zero Activity data'!AY10*EF!$H23)*kgtoGg)</f>
        <v>0.84174152680537817</v>
      </c>
      <c r="AG935" s="93">
        <f>IF('Net zero activities &amp; levers'!$C$12="Off",('Activity data'!AZ10*EF!$H23)*kgtoGg,('Net zero Activity data'!AZ10*EF!$H23)*kgtoGg)</f>
        <v>0.88000003569074847</v>
      </c>
      <c r="AH935" s="93">
        <f>IF('Net zero activities &amp; levers'!$C$12="Off",('Activity data'!BA10*EF!$H23)*kgtoGg,('Net zero Activity data'!BA10*EF!$H23)*kgtoGg)</f>
        <v>0.91704807287784318</v>
      </c>
      <c r="AI935" s="93">
        <f>IF('Net zero activities &amp; levers'!$C$12="Off",('Activity data'!BB10*EF!$H23)*kgtoGg,('Net zero Activity data'!BB10*EF!$H23)*kgtoGg)</f>
        <v>0.95623961354371867</v>
      </c>
      <c r="AJ935" s="93">
        <f>IF('Net zero activities &amp; levers'!$C$12="Off",('Activity data'!BC10*EF!$H23)*kgtoGg,('Net zero Activity data'!BC10*EF!$H23)*kgtoGg)</f>
        <v>0.99805792050769693</v>
      </c>
      <c r="AK935" s="93">
        <f>IF('Net zero activities &amp; levers'!$C$12="Off",('Activity data'!BD10*EF!$H23)*kgtoGg,('Net zero Activity data'!BD10*EF!$H23)*kgtoGg)</f>
        <v>1.0381239689146564</v>
      </c>
      <c r="AL935" s="93">
        <f>IF('Net zero activities &amp; levers'!$C$12="Off",('Activity data'!BE10*EF!$H23)*kgtoGg,('Net zero Activity data'!BE10*EF!$H23)*kgtoGg)</f>
        <v>1.0784102253675423</v>
      </c>
      <c r="AM935" s="93">
        <f>IF('Net zero activities &amp; levers'!$C$12="Off",('Activity data'!BF10*EF!$H23)*kgtoGg,('Net zero Activity data'!BF10*EF!$H23)*kgtoGg)</f>
        <v>1.1190041069207182</v>
      </c>
      <c r="AN935" s="93">
        <f>IF('Net zero activities &amp; levers'!$C$12="Off",('Activity data'!BG10*EF!$H23)*kgtoGg,('Net zero Activity data'!BG10*EF!$H23)*kgtoGg)</f>
        <v>1.1614327193697984</v>
      </c>
      <c r="AO935" s="93">
        <f>IF('Net zero activities &amp; levers'!$C$12="Off",('Activity data'!BH10*EF!$H23)*kgtoGg,('Net zero Activity data'!BH10*EF!$H23)*kgtoGg)</f>
        <v>1.2028013950684227</v>
      </c>
      <c r="AP935" s="93">
        <f>IF('Net zero activities &amp; levers'!$C$12="Off",('Activity data'!BI10*EF!$H23)*kgtoGg,('Net zero Activity data'!BI10*EF!$H23)*kgtoGg)</f>
        <v>1.2458253070355789</v>
      </c>
      <c r="AQ935" s="93">
        <f>IF('Net zero activities &amp; levers'!$C$12="Off",('Activity data'!BJ10*EF!$H23)*kgtoGg,('Net zero Activity data'!BJ10*EF!$H23)*kgtoGg)</f>
        <v>1.2906949248380046</v>
      </c>
      <c r="AR935" s="93">
        <f>IF('Net zero activities &amp; levers'!$C$12="Off",('Activity data'!BK10*EF!$H23)*kgtoGg,('Net zero Activity data'!BK10*EF!$H23)*kgtoGg)</f>
        <v>1.3377043131160224</v>
      </c>
      <c r="AS935" s="93">
        <f>IF('Net zero activities &amp; levers'!$C$12="Off",('Activity data'!BL10*EF!$H23)*kgtoGg,('Net zero Activity data'!BL10*EF!$H23)*kgtoGg)</f>
        <v>1.3868240533486631</v>
      </c>
      <c r="AT935" s="93">
        <f>IF('Net zero activities &amp; levers'!$C$12="Off",('Activity data'!BM10*EF!$H23)*kgtoGg,('Net zero Activity data'!BM10*EF!$H23)*kgtoGg)</f>
        <v>1.4056131138026084</v>
      </c>
      <c r="AU935" s="93">
        <f>IF('Net zero activities &amp; levers'!$C$12="Off",('Activity data'!BN10*EF!$H23)*kgtoGg,('Net zero Activity data'!BN10*EF!$H23)*kgtoGg)</f>
        <v>1.4216407980502102</v>
      </c>
      <c r="AV935" s="93">
        <f>IF('Net zero activities &amp; levers'!$C$12="Off",('Activity data'!BO10*EF!$H23)*kgtoGg,('Net zero Activity data'!BO10*EF!$H23)*kgtoGg)</f>
        <v>1.4335765692204958</v>
      </c>
      <c r="AW935" s="93">
        <f>IF('Net zero activities &amp; levers'!$C$12="Off",('Activity data'!BP10*EF!$H23)*kgtoGg,('Net zero Activity data'!BP10*EF!$H23)*kgtoGg)</f>
        <v>1.4443117800465477</v>
      </c>
      <c r="AY935" s="79"/>
      <c r="AZ935" s="79"/>
    </row>
    <row r="936" spans="1:52" x14ac:dyDescent="0.3">
      <c r="A936" s="95" t="str">
        <f t="shared" si="326"/>
        <v>DS Sheep MMCH4</v>
      </c>
      <c r="B936" s="95" t="s">
        <v>974</v>
      </c>
      <c r="C936" s="95" t="s">
        <v>1324</v>
      </c>
      <c r="D936" t="s">
        <v>15</v>
      </c>
      <c r="E936" t="s">
        <v>22</v>
      </c>
      <c r="F936" t="s">
        <v>18</v>
      </c>
      <c r="G936" t="s">
        <v>122</v>
      </c>
      <c r="H936" t="s">
        <v>1227</v>
      </c>
      <c r="I936" t="s">
        <v>121</v>
      </c>
      <c r="J936" t="s">
        <v>286</v>
      </c>
      <c r="K936" s="93">
        <f>IF('Net zero activities &amp; levers'!$C$12="Off",('Activity data'!AD11*EF!$H24)*kgtoGg,IF('Net zero activities &amp; levers'!$C$12="PB",('Activity data'!AD11*EF!$H24)*kgtoGg,IF('Net zero activities &amp; levers'!$C$12="MS",('Net zero Activity data'!AD11*EF!$H24)*kgtoGg,"ERROR")))</f>
        <v>3.6054675351507588E-2</v>
      </c>
      <c r="L936" s="93">
        <f>IF('Net zero activities &amp; levers'!$C$12="Off",('Activity data'!AE11*EF!$H24)*kgtoGg,IF('Net zero activities &amp; levers'!$C$12="PB",('Activity data'!AE11*EF!$H24)*kgtoGg,IF('Net zero activities &amp; levers'!$C$12="MS",('Net zero Activity data'!AE11*EF!$H24)*kgtoGg,"ERROR")))</f>
        <v>3.6074169999743479E-2</v>
      </c>
      <c r="M936" s="93">
        <f>IF('Net zero activities &amp; levers'!$C$12="Off",('Activity data'!AF11*EF!$H24)*kgtoGg,IF('Net zero activities &amp; levers'!$C$12="PB",('Activity data'!AF11*EF!$H24)*kgtoGg,IF('Net zero activities &amp; levers'!$C$12="MS",('Net zero Activity data'!AF11*EF!$H24)*kgtoGg,"ERROR")))</f>
        <v>3.6120780972302438E-2</v>
      </c>
      <c r="N936" s="93">
        <f>IF('Net zero activities &amp; levers'!$C$12="Off",('Activity data'!AG11*EF!$H24)*kgtoGg,IF('Net zero activities &amp; levers'!$C$12="PB",('Activity data'!AG11*EF!$H24)*kgtoGg,IF('Net zero activities &amp; levers'!$C$12="MS",('Net zero Activity data'!AG11*EF!$H24)*kgtoGg,"ERROR")))</f>
        <v>3.6189509224973292E-2</v>
      </c>
      <c r="O936" s="93">
        <f>IF('Net zero activities &amp; levers'!$C$12="Off",('Activity data'!AH11*EF!$H24)*kgtoGg,IF('Net zero activities &amp; levers'!$C$12="PB",('Activity data'!AH11*EF!$H24)*kgtoGg,IF('Net zero activities &amp; levers'!$C$12="MS",('Net zero Activity data'!AH11*EF!$H24)*kgtoGg,"ERROR")))</f>
        <v>3.6279918010713667E-2</v>
      </c>
      <c r="P936" s="93">
        <f>IF('Net zero activities &amp; levers'!$C$12="Off",('Activity data'!AI11*EF!$H24)*kgtoGg,IF('Net zero activities &amp; levers'!$C$12="PB",('Activity data'!AI11*EF!$H24)*kgtoGg,IF('Net zero activities &amp; levers'!$C$12="MS",('Net zero Activity data'!AI11*EF!$H24)*kgtoGg,"ERROR")))</f>
        <v>3.6391052650159628E-2</v>
      </c>
      <c r="Q936" s="93">
        <f>IF('Net zero activities &amp; levers'!$C$12="Off",('Activity data'!AJ11*EF!$H24)*kgtoGg,IF('Net zero activities &amp; levers'!$C$12="PB",('Activity data'!AJ11*EF!$H24)*kgtoGg,IF('Net zero activities &amp; levers'!$C$12="MS",('Net zero Activity data'!AJ11*EF!$H24)*kgtoGg,"ERROR")))</f>
        <v>3.6515872019705298E-2</v>
      </c>
      <c r="R936" s="93">
        <f>IF('Net zero activities &amp; levers'!$C$12="Off",('Activity data'!AK11*EF!$H24)*kgtoGg,IF('Net zero activities &amp; levers'!$C$12="PB",('Activity data'!AK11*EF!$H24)*kgtoGg,IF('Net zero activities &amp; levers'!$C$12="MS",('Net zero Activity data'!AK11*EF!$H24)*kgtoGg,"ERROR")))</f>
        <v>3.6653588090719266E-2</v>
      </c>
      <c r="S936" s="93">
        <f>IF('Net zero activities &amp; levers'!$C$12="Off",('Activity data'!AL11*EF!$H24)*kgtoGg,IF('Net zero activities &amp; levers'!$C$12="PB",('Activity data'!AL11*EF!$H24)*kgtoGg,IF('Net zero activities &amp; levers'!$C$12="MS",('Net zero Activity data'!AL11*EF!$H24)*kgtoGg,"ERROR")))</f>
        <v>3.6779521855622693E-2</v>
      </c>
      <c r="T936" s="93">
        <f>IF('Net zero activities &amp; levers'!$C$12="Off",('Activity data'!AM11*EF!$H24)*kgtoGg,IF('Net zero activities &amp; levers'!$C$12="PB",('Activity data'!AM11*EF!$H24)*kgtoGg,IF('Net zero activities &amp; levers'!$C$12="MS",('Net zero Activity data'!AM11*EF!$H24)*kgtoGg,"ERROR")))</f>
        <v>3.6834860200729257E-2</v>
      </c>
      <c r="U936" s="93">
        <f>IF('Net zero activities &amp; levers'!$C$12="Off",('Activity data'!AN11*EF!$H24)*kgtoGg,IF('Net zero activities &amp; levers'!$C$12="PB",('Activity data'!AN11*EF!$H24)*kgtoGg,IF('Net zero activities &amp; levers'!$C$12="MS",('Net zero Activity data'!AN11*EF!$H24)*kgtoGg,"ERROR")))</f>
        <v>3.6902440208564632E-2</v>
      </c>
      <c r="V936" s="93">
        <f>IF('Net zero activities &amp; levers'!$C$12="Off",('Activity data'!AO11*EF!$H24)*kgtoGg,IF('Net zero activities &amp; levers'!$C$12="PB",('Activity data'!AO11*EF!$H24)*kgtoGg,IF('Net zero activities &amp; levers'!$C$12="MS",('Net zero Activity data'!AO11*EF!$H24)*kgtoGg,"ERROR")))</f>
        <v>3.697347207185564E-2</v>
      </c>
      <c r="W936" s="93">
        <f>IF('Net zero activities &amp; levers'!$C$12="Off",('Activity data'!AP11*EF!$H24)*kgtoGg,IF('Net zero activities &amp; levers'!$C$12="PB",('Activity data'!AP11*EF!$H24)*kgtoGg,IF('Net zero activities &amp; levers'!$C$12="MS",('Net zero Activity data'!AP11*EF!$H24)*kgtoGg,"ERROR")))</f>
        <v>3.7053220502968609E-2</v>
      </c>
      <c r="X936" s="93">
        <f>IF('Net zero activities &amp; levers'!$C$12="Off",('Activity data'!AQ11*EF!$H24)*kgtoGg,IF('Net zero activities &amp; levers'!$C$12="PB",('Activity data'!AQ11*EF!$H24)*kgtoGg,IF('Net zero activities &amp; levers'!$C$12="MS",('Net zero Activity data'!AQ11*EF!$H24)*kgtoGg,"ERROR")))</f>
        <v>3.714146236421613E-2</v>
      </c>
      <c r="Y936" s="93">
        <f>IF('Net zero activities &amp; levers'!$C$12="Off",('Activity data'!AR11*EF!$H24)*kgtoGg,IF('Net zero activities &amp; levers'!$C$12="PB",('Activity data'!AR11*EF!$H24)*kgtoGg,IF('Net zero activities &amp; levers'!$C$12="MS",('Net zero Activity data'!AR11*EF!$H24)*kgtoGg,"ERROR")))</f>
        <v>3.7196571628197998E-2</v>
      </c>
      <c r="Z936" s="93">
        <f>IF('Net zero activities &amp; levers'!$C$12="Off",('Activity data'!AS11*EF!$H24)*kgtoGg,IF('Net zero activities &amp; levers'!$C$12="PB",('Activity data'!AS11*EF!$H24)*kgtoGg,IF('Net zero activities &amp; levers'!$C$12="MS",('Net zero Activity data'!AS11*EF!$H24)*kgtoGg,"ERROR")))</f>
        <v>3.7258831126487216E-2</v>
      </c>
      <c r="AA936" s="93">
        <f>IF('Net zero activities &amp; levers'!$C$12="Off",('Activity data'!AT11*EF!$H24)*kgtoGg,IF('Net zero activities &amp; levers'!$C$12="PB",('Activity data'!AT11*EF!$H24)*kgtoGg,IF('Net zero activities &amp; levers'!$C$12="MS",('Net zero Activity data'!AT11*EF!$H24)*kgtoGg,"ERROR")))</f>
        <v>3.7327399595166219E-2</v>
      </c>
      <c r="AB936" s="93">
        <f>IF('Net zero activities &amp; levers'!$C$12="Off",('Activity data'!AU11*EF!$H24)*kgtoGg,IF('Net zero activities &amp; levers'!$C$12="PB",('Activity data'!AU11*EF!$H24)*kgtoGg,IF('Net zero activities &amp; levers'!$C$12="MS",('Net zero Activity data'!AU11*EF!$H24)*kgtoGg,"ERROR")))</f>
        <v>3.7402465573387562E-2</v>
      </c>
      <c r="AC936" s="93">
        <f>IF('Net zero activities &amp; levers'!$C$12="Off",('Activity data'!AV11*EF!$H24)*kgtoGg,IF('Net zero activities &amp; levers'!$C$12="PB",('Activity data'!AV11*EF!$H24)*kgtoGg,IF('Net zero activities &amp; levers'!$C$12="MS",('Net zero Activity data'!AV11*EF!$H24)*kgtoGg,"ERROR")))</f>
        <v>3.7483254267417832E-2</v>
      </c>
      <c r="AD936" s="93">
        <f>IF('Net zero activities &amp; levers'!$C$12="Off",('Activity data'!AW11*EF!$H24)*kgtoGg,IF('Net zero activities &amp; levers'!$C$12="PB",('Activity data'!AW11*EF!$H24)*kgtoGg,IF('Net zero activities &amp; levers'!$C$12="MS",('Net zero Activity data'!AW11*EF!$H24)*kgtoGg,"ERROR")))</f>
        <v>3.7537448557312683E-2</v>
      </c>
      <c r="AE936" s="93">
        <f>IF('Net zero activities &amp; levers'!$C$12="Off",('Activity data'!AX11*EF!$H24)*kgtoGg,IF('Net zero activities &amp; levers'!$C$12="PB",('Activity data'!AX11*EF!$H24)*kgtoGg,IF('Net zero activities &amp; levers'!$C$12="MS",('Net zero Activity data'!AX11*EF!$H24)*kgtoGg,"ERROR")))</f>
        <v>3.759628261627642E-2</v>
      </c>
      <c r="AF936" s="93">
        <f>IF('Net zero activities &amp; levers'!$C$12="Off",('Activity data'!AY11*EF!$H24)*kgtoGg,IF('Net zero activities &amp; levers'!$C$12="PB",('Activity data'!AY11*EF!$H24)*kgtoGg,IF('Net zero activities &amp; levers'!$C$12="MS",('Net zero Activity data'!AY11*EF!$H24)*kgtoGg,"ERROR")))</f>
        <v>3.7660229373785575E-2</v>
      </c>
      <c r="AG936" s="93">
        <f>IF('Net zero activities &amp; levers'!$C$12="Off",('Activity data'!AZ11*EF!$H24)*kgtoGg,IF('Net zero activities &amp; levers'!$C$12="PB",('Activity data'!AZ11*EF!$H24)*kgtoGg,IF('Net zero activities &amp; levers'!$C$12="MS",('Net zero Activity data'!AZ11*EF!$H24)*kgtoGg,"ERROR")))</f>
        <v>3.7729913053341259E-2</v>
      </c>
      <c r="AH936" s="93">
        <f>IF('Net zero activities &amp; levers'!$C$12="Off",('Activity data'!BA11*EF!$H24)*kgtoGg,IF('Net zero activities &amp; levers'!$C$12="PB",('Activity data'!BA11*EF!$H24)*kgtoGg,IF('Net zero activities &amp; levers'!$C$12="MS",('Net zero Activity data'!BA11*EF!$H24)*kgtoGg,"ERROR")))</f>
        <v>3.7803241196451468E-2</v>
      </c>
      <c r="AI936" s="93">
        <f>IF('Net zero activities &amp; levers'!$C$12="Off",('Activity data'!BB11*EF!$H24)*kgtoGg,IF('Net zero activities &amp; levers'!$C$12="PB",('Activity data'!BB11*EF!$H24)*kgtoGg,IF('Net zero activities &amp; levers'!$C$12="MS",('Net zero Activity data'!BB11*EF!$H24)*kgtoGg,"ERROR")))</f>
        <v>3.7850112312391396E-2</v>
      </c>
      <c r="AJ936" s="93">
        <f>IF('Net zero activities &amp; levers'!$C$12="Off",('Activity data'!BC11*EF!$H24)*kgtoGg,IF('Net zero activities &amp; levers'!$C$12="PB",('Activity data'!BC11*EF!$H24)*kgtoGg,IF('Net zero activities &amp; levers'!$C$12="MS",('Net zero Activity data'!BC11*EF!$H24)*kgtoGg,"ERROR")))</f>
        <v>3.7901451820370476E-2</v>
      </c>
      <c r="AK936" s="93">
        <f>IF('Net zero activities &amp; levers'!$C$12="Off",('Activity data'!BD11*EF!$H24)*kgtoGg,IF('Net zero activities &amp; levers'!$C$12="PB",('Activity data'!BD11*EF!$H24)*kgtoGg,IF('Net zero activities &amp; levers'!$C$12="MS",('Net zero Activity data'!BD11*EF!$H24)*kgtoGg,"ERROR")))</f>
        <v>3.7955566436191537E-2</v>
      </c>
      <c r="AL936" s="93">
        <f>IF('Net zero activities &amp; levers'!$C$12="Off",('Activity data'!BE11*EF!$H24)*kgtoGg,IF('Net zero activities &amp; levers'!$C$12="PB",('Activity data'!BE11*EF!$H24)*kgtoGg,IF('Net zero activities &amp; levers'!$C$12="MS",('Net zero Activity data'!BE11*EF!$H24)*kgtoGg,"ERROR")))</f>
        <v>3.8013032265109208E-2</v>
      </c>
      <c r="AM936" s="93">
        <f>IF('Net zero activities &amp; levers'!$C$12="Off",('Activity data'!BF11*EF!$H24)*kgtoGg,IF('Net zero activities &amp; levers'!$C$12="PB",('Activity data'!BF11*EF!$H24)*kgtoGg,IF('Net zero activities &amp; levers'!$C$12="MS",('Net zero Activity data'!BF11*EF!$H24)*kgtoGg,"ERROR")))</f>
        <v>3.8073762176342195E-2</v>
      </c>
      <c r="AN936" s="93">
        <f>IF('Net zero activities &amp; levers'!$C$12="Off",('Activity data'!BG11*EF!$H24)*kgtoGg,IF('Net zero activities &amp; levers'!$C$12="PB",('Activity data'!BG11*EF!$H24)*kgtoGg,IF('Net zero activities &amp; levers'!$C$12="MS",('Net zero Activity data'!BG11*EF!$H24)*kgtoGg,"ERROR")))</f>
        <v>3.8109645900532299E-2</v>
      </c>
      <c r="AO936" s="93">
        <f>IF('Net zero activities &amp; levers'!$C$12="Off",('Activity data'!BH11*EF!$H24)*kgtoGg,IF('Net zero activities &amp; levers'!$C$12="PB",('Activity data'!BH11*EF!$H24)*kgtoGg,IF('Net zero activities &amp; levers'!$C$12="MS",('Net zero Activity data'!BH11*EF!$H24)*kgtoGg,"ERROR")))</f>
        <v>3.8147952211549679E-2</v>
      </c>
      <c r="AP936" s="93">
        <f>IF('Net zero activities &amp; levers'!$C$12="Off",('Activity data'!BI11*EF!$H24)*kgtoGg,IF('Net zero activities &amp; levers'!$C$12="PB",('Activity data'!BI11*EF!$H24)*kgtoGg,IF('Net zero activities &amp; levers'!$C$12="MS",('Net zero Activity data'!BI11*EF!$H24)*kgtoGg,"ERROR")))</f>
        <v>3.8189503844275732E-2</v>
      </c>
      <c r="AQ936" s="93">
        <f>IF('Net zero activities &amp; levers'!$C$12="Off",('Activity data'!BJ11*EF!$H24)*kgtoGg,IF('Net zero activities &amp; levers'!$C$12="PB",('Activity data'!BJ11*EF!$H24)*kgtoGg,IF('Net zero activities &amp; levers'!$C$12="MS",('Net zero Activity data'!BJ11*EF!$H24)*kgtoGg,"ERROR")))</f>
        <v>3.8234260627096527E-2</v>
      </c>
      <c r="AR936" s="93">
        <f>IF('Net zero activities &amp; levers'!$C$12="Off",('Activity data'!BK11*EF!$H24)*kgtoGg,IF('Net zero activities &amp; levers'!$C$12="PB",('Activity data'!BK11*EF!$H24)*kgtoGg,IF('Net zero activities &amp; levers'!$C$12="MS",('Net zero Activity data'!BK11*EF!$H24)*kgtoGg,"ERROR")))</f>
        <v>3.8282221632507191E-2</v>
      </c>
      <c r="AS936" s="93">
        <f>IF('Net zero activities &amp; levers'!$C$12="Off",('Activity data'!BL11*EF!$H24)*kgtoGg,IF('Net zero activities &amp; levers'!$C$12="PB",('Activity data'!BL11*EF!$H24)*kgtoGg,IF('Net zero activities &amp; levers'!$C$12="MS",('Net zero Activity data'!BL11*EF!$H24)*kgtoGg,"ERROR")))</f>
        <v>3.8303980390956796E-2</v>
      </c>
      <c r="AT936" s="93">
        <f>IF('Net zero activities &amp; levers'!$C$12="Off",('Activity data'!BM11*EF!$H24)*kgtoGg,IF('Net zero activities &amp; levers'!$C$12="PB",('Activity data'!BM11*EF!$H24)*kgtoGg,IF('Net zero activities &amp; levers'!$C$12="MS",('Net zero Activity data'!BM11*EF!$H24)*kgtoGg,"ERROR")))</f>
        <v>3.8318002472277804E-2</v>
      </c>
      <c r="AU936" s="93">
        <f>IF('Net zero activities &amp; levers'!$C$12="Off",('Activity data'!BN11*EF!$H24)*kgtoGg,IF('Net zero activities &amp; levers'!$C$12="PB",('Activity data'!BN11*EF!$H24)*kgtoGg,IF('Net zero activities &amp; levers'!$C$12="MS",('Net zero Activity data'!BN11*EF!$H24)*kgtoGg,"ERROR")))</f>
        <v>3.8333373323501507E-2</v>
      </c>
      <c r="AV936" s="93">
        <f>IF('Net zero activities &amp; levers'!$C$12="Off",('Activity data'!BO11*EF!$H24)*kgtoGg,IF('Net zero activities &amp; levers'!$C$12="PB",('Activity data'!BO11*EF!$H24)*kgtoGg,IF('Net zero activities &amp; levers'!$C$12="MS",('Net zero Activity data'!BO11*EF!$H24)*kgtoGg,"ERROR")))</f>
        <v>3.8349609063517129E-2</v>
      </c>
      <c r="AW936" s="93">
        <f>IF('Net zero activities &amp; levers'!$C$12="Off",('Activity data'!BP11*EF!$H24)*kgtoGg,IF('Net zero activities &amp; levers'!$C$12="PB",('Activity data'!BP11*EF!$H24)*kgtoGg,IF('Net zero activities &amp; levers'!$C$12="MS",('Net zero Activity data'!BP11*EF!$H24)*kgtoGg,"ERROR")))</f>
        <v>3.8367594097231859E-2</v>
      </c>
      <c r="AY936" s="79"/>
      <c r="AZ936" s="79"/>
    </row>
    <row r="937" spans="1:52" x14ac:dyDescent="0.3">
      <c r="A937" s="95" t="str">
        <f t="shared" si="326"/>
        <v>DS Sheep MMCH4</v>
      </c>
      <c r="B937" s="95" t="s">
        <v>974</v>
      </c>
      <c r="C937" s="95" t="s">
        <v>1324</v>
      </c>
      <c r="D937" t="s">
        <v>15</v>
      </c>
      <c r="E937" t="s">
        <v>22</v>
      </c>
      <c r="F937" t="s">
        <v>18</v>
      </c>
      <c r="G937" t="s">
        <v>123</v>
      </c>
      <c r="H937" t="s">
        <v>1227</v>
      </c>
      <c r="I937" t="s">
        <v>121</v>
      </c>
      <c r="J937" t="s">
        <v>286</v>
      </c>
      <c r="K937" s="93">
        <f>IF('Net zero activities &amp; levers'!$C$12="Off",('Activity data'!AD12*EF!$H25)*kgtoGg,IF('Net zero activities &amp; levers'!$C$12="PB",('Activity data'!AD12*EF!$H25)*kgtoGg,IF('Net zero activities &amp; levers'!$C$12="MS",('Net zero Activity data'!AD12*EF!$H25)*kgtoGg,"ERROR")))</f>
        <v>4.1176157807460215E-3</v>
      </c>
      <c r="L937" s="93">
        <f>IF('Net zero activities &amp; levers'!$C$12="Off",('Activity data'!AE12*EF!$H25)*kgtoGg,IF('Net zero activities &amp; levers'!$C$12="PB",('Activity data'!AE12*EF!$H25)*kgtoGg,IF('Net zero activities &amp; levers'!$C$12="MS",('Net zero Activity data'!AE12*EF!$H25)*kgtoGg,"ERROR")))</f>
        <v>4.1198421624963379E-3</v>
      </c>
      <c r="M937" s="93">
        <f>IF('Net zero activities &amp; levers'!$C$12="Off",('Activity data'!AF12*EF!$H25)*kgtoGg,IF('Net zero activities &amp; levers'!$C$12="PB",('Activity data'!AF12*EF!$H25)*kgtoGg,IF('Net zero activities &amp; levers'!$C$12="MS",('Net zero Activity data'!AF12*EF!$H25)*kgtoGg,"ERROR")))</f>
        <v>4.1251653577350569E-3</v>
      </c>
      <c r="N937" s="93">
        <f>IF('Net zero activities &amp; levers'!$C$12="Off",('Activity data'!AG12*EF!$H25)*kgtoGg,IF('Net zero activities &amp; levers'!$C$12="PB",('Activity data'!AG12*EF!$H25)*kgtoGg,IF('Net zero activities &amp; levers'!$C$12="MS",('Net zero Activity data'!AG12*EF!$H25)*kgtoGg,"ERROR")))</f>
        <v>4.1330144517851795E-3</v>
      </c>
      <c r="O937" s="93">
        <f>IF('Net zero activities &amp; levers'!$C$12="Off",('Activity data'!AH12*EF!$H25)*kgtoGg,IF('Net zero activities &amp; levers'!$C$12="PB",('Activity data'!AH12*EF!$H25)*kgtoGg,IF('Net zero activities &amp; levers'!$C$12="MS",('Net zero Activity data'!AH12*EF!$H25)*kgtoGg,"ERROR")))</f>
        <v>4.1433395660526989E-3</v>
      </c>
      <c r="P937" s="93">
        <f>IF('Net zero activities &amp; levers'!$C$12="Off",('Activity data'!AI12*EF!$H25)*kgtoGg,IF('Net zero activities &amp; levers'!$C$12="PB",('Activity data'!AI12*EF!$H25)*kgtoGg,IF('Net zero activities &amp; levers'!$C$12="MS",('Net zero Activity data'!AI12*EF!$H25)*kgtoGg,"ERROR")))</f>
        <v>4.1560316716037502E-3</v>
      </c>
      <c r="Q937" s="93">
        <f>IF('Net zero activities &amp; levers'!$C$12="Off",('Activity data'!AJ12*EF!$H25)*kgtoGg,IF('Net zero activities &amp; levers'!$C$12="PB",('Activity data'!AJ12*EF!$H25)*kgtoGg,IF('Net zero activities &amp; levers'!$C$12="MS",('Net zero Activity data'!AJ12*EF!$H25)*kgtoGg,"ERROR")))</f>
        <v>4.1702866385608306E-3</v>
      </c>
      <c r="R937" s="93">
        <f>IF('Net zero activities &amp; levers'!$C$12="Off",('Activity data'!AK12*EF!$H25)*kgtoGg,IF('Net zero activities &amp; levers'!$C$12="PB",('Activity data'!AK12*EF!$H25)*kgtoGg,IF('Net zero activities &amp; levers'!$C$12="MS",('Net zero Activity data'!AK12*EF!$H25)*kgtoGg,"ERROR")))</f>
        <v>4.1860144702980757E-3</v>
      </c>
      <c r="S937" s="93">
        <f>IF('Net zero activities &amp; levers'!$C$12="Off",('Activity data'!AL12*EF!$H25)*kgtoGg,IF('Net zero activities &amp; levers'!$C$12="PB",('Activity data'!AL12*EF!$H25)*kgtoGg,IF('Net zero activities &amp; levers'!$C$12="MS",('Net zero Activity data'!AL12*EF!$H25)*kgtoGg,"ERROR")))</f>
        <v>4.2003967065168081E-3</v>
      </c>
      <c r="T937" s="93">
        <f>IF('Net zero activities &amp; levers'!$C$12="Off",('Activity data'!AM12*EF!$H25)*kgtoGg,IF('Net zero activities &amp; levers'!$C$12="PB",('Activity data'!AM12*EF!$H25)*kgtoGg,IF('Net zero activities &amp; levers'!$C$12="MS",('Net zero Activity data'!AM12*EF!$H25)*kgtoGg,"ERROR")))</f>
        <v>4.2067166092997236E-3</v>
      </c>
      <c r="U937" s="93">
        <f>IF('Net zero activities &amp; levers'!$C$12="Off",('Activity data'!AN12*EF!$H25)*kgtoGg,IF('Net zero activities &amp; levers'!$C$12="PB",('Activity data'!AN12*EF!$H25)*kgtoGg,IF('Net zero activities &amp; levers'!$C$12="MS",('Net zero Activity data'!AN12*EF!$H25)*kgtoGg,"ERROR")))</f>
        <v>4.2144345683164958E-3</v>
      </c>
      <c r="V937" s="93">
        <f>IF('Net zero activities &amp; levers'!$C$12="Off",('Activity data'!AO12*EF!$H25)*kgtoGg,IF('Net zero activities &amp; levers'!$C$12="PB",('Activity data'!AO12*EF!$H25)*kgtoGg,IF('Net zero activities &amp; levers'!$C$12="MS",('Net zero Activity data'!AO12*EF!$H25)*kgtoGg,"ERROR")))</f>
        <v>4.2225467456796619E-3</v>
      </c>
      <c r="W937" s="93">
        <f>IF('Net zero activities &amp; levers'!$C$12="Off",('Activity data'!AP12*EF!$H25)*kgtoGg,IF('Net zero activities &amp; levers'!$C$12="PB",('Activity data'!AP12*EF!$H25)*kgtoGg,IF('Net zero activities &amp; levers'!$C$12="MS",('Net zero Activity data'!AP12*EF!$H25)*kgtoGg,"ERROR")))</f>
        <v>4.2316543966358575E-3</v>
      </c>
      <c r="X937" s="93">
        <f>IF('Net zero activities &amp; levers'!$C$12="Off",('Activity data'!AQ12*EF!$H25)*kgtoGg,IF('Net zero activities &amp; levers'!$C$12="PB",('Activity data'!AQ12*EF!$H25)*kgtoGg,IF('Net zero activities &amp; levers'!$C$12="MS",('Net zero Activity data'!AQ12*EF!$H25)*kgtoGg,"ERROR")))</f>
        <v>4.2417320377975895E-3</v>
      </c>
      <c r="Y937" s="93">
        <f>IF('Net zero activities &amp; levers'!$C$12="Off",('Activity data'!AR12*EF!$H25)*kgtoGg,IF('Net zero activities &amp; levers'!$C$12="PB",('Activity data'!AR12*EF!$H25)*kgtoGg,IF('Net zero activities &amp; levers'!$C$12="MS",('Net zero Activity data'!AR12*EF!$H25)*kgtoGg,"ERROR")))</f>
        <v>4.2480257784241436E-3</v>
      </c>
      <c r="Z937" s="93">
        <f>IF('Net zero activities &amp; levers'!$C$12="Off",('Activity data'!AS12*EF!$H25)*kgtoGg,IF('Net zero activities &amp; levers'!$C$12="PB",('Activity data'!AS12*EF!$H25)*kgtoGg,IF('Net zero activities &amp; levers'!$C$12="MS",('Net zero Activity data'!AS12*EF!$H25)*kgtoGg,"ERROR")))</f>
        <v>4.2551361098903872E-3</v>
      </c>
      <c r="AA937" s="93">
        <f>IF('Net zero activities &amp; levers'!$C$12="Off",('Activity data'!AT12*EF!$H25)*kgtoGg,IF('Net zero activities &amp; levers'!$C$12="PB",('Activity data'!AT12*EF!$H25)*kgtoGg,IF('Net zero activities &amp; levers'!$C$12="MS",('Net zero Activity data'!AT12*EF!$H25)*kgtoGg,"ERROR")))</f>
        <v>4.2629669558470248E-3</v>
      </c>
      <c r="AB937" s="93">
        <f>IF('Net zero activities &amp; levers'!$C$12="Off",('Activity data'!AU12*EF!$H25)*kgtoGg,IF('Net zero activities &amp; levers'!$C$12="PB",('Activity data'!AU12*EF!$H25)*kgtoGg,IF('Net zero activities &amp; levers'!$C$12="MS",('Net zero Activity data'!AU12*EF!$H25)*kgtoGg,"ERROR")))</f>
        <v>4.2715398483639559E-3</v>
      </c>
      <c r="AC937" s="93">
        <f>IF('Net zero activities &amp; levers'!$C$12="Off",('Activity data'!AV12*EF!$H25)*kgtoGg,IF('Net zero activities &amp; levers'!$C$12="PB",('Activity data'!AV12*EF!$H25)*kgtoGg,IF('Net zero activities &amp; levers'!$C$12="MS",('Net zero Activity data'!AV12*EF!$H25)*kgtoGg,"ERROR")))</f>
        <v>4.2807663023037507E-3</v>
      </c>
      <c r="AD937" s="93">
        <f>IF('Net zero activities &amp; levers'!$C$12="Off",('Activity data'!AW12*EF!$H25)*kgtoGg,IF('Net zero activities &amp; levers'!$C$12="PB",('Activity data'!AW12*EF!$H25)*kgtoGg,IF('Net zero activities &amp; levers'!$C$12="MS",('Net zero Activity data'!AW12*EF!$H25)*kgtoGg,"ERROR")))</f>
        <v>4.2869555485283185E-3</v>
      </c>
      <c r="AE937" s="93">
        <f>IF('Net zero activities &amp; levers'!$C$12="Off",('Activity data'!AX12*EF!$H25)*kgtoGg,IF('Net zero activities &amp; levers'!$C$12="PB",('Activity data'!AX12*EF!$H25)*kgtoGg,IF('Net zero activities &amp; levers'!$C$12="MS",('Net zero Activity data'!AX12*EF!$H25)*kgtoGg,"ERROR")))</f>
        <v>4.2936746784961411E-3</v>
      </c>
      <c r="AF937" s="93">
        <f>IF('Net zero activities &amp; levers'!$C$12="Off",('Activity data'!AY12*EF!$H25)*kgtoGg,IF('Net zero activities &amp; levers'!$C$12="PB",('Activity data'!AY12*EF!$H25)*kgtoGg,IF('Net zero activities &amp; levers'!$C$12="MS",('Net zero Activity data'!AY12*EF!$H25)*kgtoGg,"ERROR")))</f>
        <v>4.3009777030076704E-3</v>
      </c>
      <c r="AG937" s="93">
        <f>IF('Net zero activities &amp; levers'!$C$12="Off",('Activity data'!AZ12*EF!$H25)*kgtoGg,IF('Net zero activities &amp; levers'!$C$12="PB",('Activity data'!AZ12*EF!$H25)*kgtoGg,IF('Net zero activities &amp; levers'!$C$12="MS",('Net zero Activity data'!AZ12*EF!$H25)*kgtoGg,"ERROR")))</f>
        <v>4.3089359113621063E-3</v>
      </c>
      <c r="AH937" s="93">
        <f>IF('Net zero activities &amp; levers'!$C$12="Off",('Activity data'!BA12*EF!$H25)*kgtoGg,IF('Net zero activities &amp; levers'!$C$12="PB",('Activity data'!BA12*EF!$H25)*kgtoGg,IF('Net zero activities &amp; levers'!$C$12="MS",('Net zero Activity data'!BA12*EF!$H25)*kgtoGg,"ERROR")))</f>
        <v>4.3173103348259087E-3</v>
      </c>
      <c r="AI937" s="93">
        <f>IF('Net zero activities &amp; levers'!$C$12="Off",('Activity data'!BB12*EF!$H25)*kgtoGg,IF('Net zero activities &amp; levers'!$C$12="PB",('Activity data'!BB12*EF!$H25)*kgtoGg,IF('Net zero activities &amp; levers'!$C$12="MS",('Net zero Activity data'!BB12*EF!$H25)*kgtoGg,"ERROR")))</f>
        <v>4.3226632396787153E-3</v>
      </c>
      <c r="AJ937" s="93">
        <f>IF('Net zero activities &amp; levers'!$C$12="Off",('Activity data'!BC12*EF!$H25)*kgtoGg,IF('Net zero activities &amp; levers'!$C$12="PB",('Activity data'!BC12*EF!$H25)*kgtoGg,IF('Net zero activities &amp; levers'!$C$12="MS",('Net zero Activity data'!BC12*EF!$H25)*kgtoGg,"ERROR")))</f>
        <v>4.3285264562011056E-3</v>
      </c>
      <c r="AK937" s="93">
        <f>IF('Net zero activities &amp; levers'!$C$12="Off",('Activity data'!BD12*EF!$H25)*kgtoGg,IF('Net zero activities &amp; levers'!$C$12="PB",('Activity data'!BD12*EF!$H25)*kgtoGg,IF('Net zero activities &amp; levers'!$C$12="MS",('Net zero Activity data'!BD12*EF!$H25)*kgtoGg,"ERROR")))</f>
        <v>4.3347066032666795E-3</v>
      </c>
      <c r="AL937" s="93">
        <f>IF('Net zero activities &amp; levers'!$C$12="Off",('Activity data'!BE12*EF!$H25)*kgtoGg,IF('Net zero activities &amp; levers'!$C$12="PB",('Activity data'!BE12*EF!$H25)*kgtoGg,IF('Net zero activities &amp; levers'!$C$12="MS",('Net zero Activity data'!BE12*EF!$H25)*kgtoGg,"ERROR")))</f>
        <v>4.3412694748415342E-3</v>
      </c>
      <c r="AM937" s="93">
        <f>IF('Net zero activities &amp; levers'!$C$12="Off",('Activity data'!BF12*EF!$H25)*kgtoGg,IF('Net zero activities &amp; levers'!$C$12="PB",('Activity data'!BF12*EF!$H25)*kgtoGg,IF('Net zero activities &amp; levers'!$C$12="MS",('Net zero Activity data'!BF12*EF!$H25)*kgtoGg,"ERROR")))</f>
        <v>4.3482051201751372E-3</v>
      </c>
      <c r="AN937" s="93">
        <f>IF('Net zero activities &amp; levers'!$C$12="Off",('Activity data'!BG12*EF!$H25)*kgtoGg,IF('Net zero activities &amp; levers'!$C$12="PB",('Activity data'!BG12*EF!$H25)*kgtoGg,IF('Net zero activities &amp; levers'!$C$12="MS",('Net zero Activity data'!BG12*EF!$H25)*kgtoGg,"ERROR")))</f>
        <v>4.3523032125184075E-3</v>
      </c>
      <c r="AO937" s="93">
        <f>IF('Net zero activities &amp; levers'!$C$12="Off",('Activity data'!BH12*EF!$H25)*kgtoGg,IF('Net zero activities &amp; levers'!$C$12="PB",('Activity data'!BH12*EF!$H25)*kgtoGg,IF('Net zero activities &amp; levers'!$C$12="MS",('Net zero Activity data'!BH12*EF!$H25)*kgtoGg,"ERROR")))</f>
        <v>4.3566779758246795E-3</v>
      </c>
      <c r="AP937" s="93">
        <f>IF('Net zero activities &amp; levers'!$C$12="Off",('Activity data'!BI12*EF!$H25)*kgtoGg,IF('Net zero activities &amp; levers'!$C$12="PB",('Activity data'!BI12*EF!$H25)*kgtoGg,IF('Net zero activities &amp; levers'!$C$12="MS",('Net zero Activity data'!BI12*EF!$H25)*kgtoGg,"ERROR")))</f>
        <v>4.361423370338997E-3</v>
      </c>
      <c r="AQ937" s="93">
        <f>IF('Net zero activities &amp; levers'!$C$12="Off",('Activity data'!BJ12*EF!$H25)*kgtoGg,IF('Net zero activities &amp; levers'!$C$12="PB",('Activity data'!BJ12*EF!$H25)*kgtoGg,IF('Net zero activities &amp; levers'!$C$12="MS",('Net zero Activity data'!BJ12*EF!$H25)*kgtoGg,"ERROR")))</f>
        <v>4.3665348082715704E-3</v>
      </c>
      <c r="AR937" s="93">
        <f>IF('Net zero activities &amp; levers'!$C$12="Off",('Activity data'!BK12*EF!$H25)*kgtoGg,IF('Net zero activities &amp; levers'!$C$12="PB",('Activity data'!BK12*EF!$H25)*kgtoGg,IF('Net zero activities &amp; levers'!$C$12="MS",('Net zero Activity data'!BK12*EF!$H25)*kgtoGg,"ERROR")))</f>
        <v>4.3720121836969238E-3</v>
      </c>
      <c r="AS937" s="93">
        <f>IF('Net zero activities &amp; levers'!$C$12="Off",('Activity data'!BL12*EF!$H25)*kgtoGg,IF('Net zero activities &amp; levers'!$C$12="PB",('Activity data'!BL12*EF!$H25)*kgtoGg,IF('Net zero activities &amp; levers'!$C$12="MS",('Net zero Activity data'!BL12*EF!$H25)*kgtoGg,"ERROR")))</f>
        <v>4.3744971376255895E-3</v>
      </c>
      <c r="AT937" s="93">
        <f>IF('Net zero activities &amp; levers'!$C$12="Off",('Activity data'!BM12*EF!$H25)*kgtoGg,IF('Net zero activities &amp; levers'!$C$12="PB",('Activity data'!BM12*EF!$H25)*kgtoGg,IF('Net zero activities &amp; levers'!$C$12="MS",('Net zero Activity data'!BM12*EF!$H25)*kgtoGg,"ERROR")))</f>
        <v>4.3760985261490854E-3</v>
      </c>
      <c r="AU937" s="93">
        <f>IF('Net zero activities &amp; levers'!$C$12="Off",('Activity data'!BN12*EF!$H25)*kgtoGg,IF('Net zero activities &amp; levers'!$C$12="PB",('Activity data'!BN12*EF!$H25)*kgtoGg,IF('Net zero activities &amp; levers'!$C$12="MS",('Net zero Activity data'!BN12*EF!$H25)*kgtoGg,"ERROR")))</f>
        <v>4.3778539506244196E-3</v>
      </c>
      <c r="AV937" s="93">
        <f>IF('Net zero activities &amp; levers'!$C$12="Off",('Activity data'!BO12*EF!$H25)*kgtoGg,IF('Net zero activities &amp; levers'!$C$12="PB",('Activity data'!BO12*EF!$H25)*kgtoGg,IF('Net zero activities &amp; levers'!$C$12="MS",('Net zero Activity data'!BO12*EF!$H25)*kgtoGg,"ERROR")))</f>
        <v>4.3797081495223055E-3</v>
      </c>
      <c r="AW937" s="93">
        <f>IF('Net zero activities &amp; levers'!$C$12="Off",('Activity data'!BP12*EF!$H25)*kgtoGg,IF('Net zero activities &amp; levers'!$C$12="PB",('Activity data'!BP12*EF!$H25)*kgtoGg,IF('Net zero activities &amp; levers'!$C$12="MS",('Net zero Activity data'!BP12*EF!$H25)*kgtoGg,"ERROR")))</f>
        <v>4.381762126098687E-3</v>
      </c>
      <c r="AY937" s="79"/>
      <c r="AZ937" s="79"/>
    </row>
    <row r="938" spans="1:52" x14ac:dyDescent="0.3">
      <c r="A938" s="95" t="str">
        <f t="shared" si="326"/>
        <v>DS Goats MMCH4</v>
      </c>
      <c r="B938" s="95" t="s">
        <v>974</v>
      </c>
      <c r="C938" s="95" t="s">
        <v>1325</v>
      </c>
      <c r="D938" t="s">
        <v>15</v>
      </c>
      <c r="E938" t="s">
        <v>22</v>
      </c>
      <c r="F938" t="s">
        <v>19</v>
      </c>
      <c r="G938" t="s">
        <v>122</v>
      </c>
      <c r="H938" t="s">
        <v>1227</v>
      </c>
      <c r="I938" t="s">
        <v>121</v>
      </c>
      <c r="J938" t="s">
        <v>286</v>
      </c>
      <c r="K938" s="27">
        <f t="shared" ref="K938:Z941" si="333">K1401</f>
        <v>1.5789672763163301E-2</v>
      </c>
      <c r="L938" s="27">
        <f t="shared" si="333"/>
        <v>1.5830718290757027E-2</v>
      </c>
      <c r="M938" s="27">
        <f t="shared" si="333"/>
        <v>1.588733914557475E-2</v>
      </c>
      <c r="N938" s="27">
        <f t="shared" si="333"/>
        <v>1.5956318300360577E-2</v>
      </c>
      <c r="O938" s="27">
        <f t="shared" si="333"/>
        <v>1.6037557372574476E-2</v>
      </c>
      <c r="P938" s="27">
        <f t="shared" si="333"/>
        <v>1.6130561898613765E-2</v>
      </c>
      <c r="Q938" s="27">
        <f t="shared" si="333"/>
        <v>1.6230654784419023E-2</v>
      </c>
      <c r="R938" s="27">
        <f t="shared" si="333"/>
        <v>1.6337439810579345E-2</v>
      </c>
      <c r="S938" s="27">
        <f t="shared" si="333"/>
        <v>1.6434281735880792E-2</v>
      </c>
      <c r="T938" s="27">
        <f t="shared" si="333"/>
        <v>1.6481585221637597E-2</v>
      </c>
      <c r="U938" s="27">
        <f t="shared" si="333"/>
        <v>1.6535805571967339E-2</v>
      </c>
      <c r="V938" s="27">
        <f t="shared" si="333"/>
        <v>1.6591075188605784E-2</v>
      </c>
      <c r="W938" s="27">
        <f t="shared" si="333"/>
        <v>1.6651019239861981E-2</v>
      </c>
      <c r="X938" s="27">
        <f t="shared" si="333"/>
        <v>1.6715538656301921E-2</v>
      </c>
      <c r="Y938" s="27">
        <f t="shared" si="333"/>
        <v>1.675682826181454E-2</v>
      </c>
      <c r="Z938" s="27">
        <f t="shared" si="333"/>
        <v>1.6802001380323034E-2</v>
      </c>
      <c r="AA938" s="27">
        <f t="shared" ref="L938:AW941" si="334">AA1401</f>
        <v>1.6850529656754189E-2</v>
      </c>
      <c r="AB938" s="27">
        <f t="shared" si="334"/>
        <v>1.6902568919116488E-2</v>
      </c>
      <c r="AC938" s="27">
        <f t="shared" si="334"/>
        <v>1.6957630528557751E-2</v>
      </c>
      <c r="AD938" s="27">
        <f t="shared" si="334"/>
        <v>1.6994350372716287E-2</v>
      </c>
      <c r="AE938" s="27">
        <f t="shared" si="334"/>
        <v>1.7033509901620177E-2</v>
      </c>
      <c r="AF938" s="27">
        <f t="shared" si="334"/>
        <v>1.7075440579577206E-2</v>
      </c>
      <c r="AG938" s="27">
        <f t="shared" si="334"/>
        <v>1.7120568284346587E-2</v>
      </c>
      <c r="AH938" s="27">
        <f t="shared" si="334"/>
        <v>1.7167529660259997E-2</v>
      </c>
      <c r="AI938" s="27">
        <f t="shared" si="334"/>
        <v>1.7196614048621731E-2</v>
      </c>
      <c r="AJ938" s="27">
        <f t="shared" si="334"/>
        <v>1.7228175905563897E-2</v>
      </c>
      <c r="AK938" s="27">
        <f t="shared" si="334"/>
        <v>1.7261117551388462E-2</v>
      </c>
      <c r="AL938" s="27">
        <f t="shared" si="334"/>
        <v>1.7295827028863175E-2</v>
      </c>
      <c r="AM938" s="27">
        <f t="shared" si="334"/>
        <v>1.7332256815907665E-2</v>
      </c>
      <c r="AN938" s="27">
        <f t="shared" si="334"/>
        <v>1.7352159823168515E-2</v>
      </c>
      <c r="AO938" s="27">
        <f t="shared" si="334"/>
        <v>1.7373316667964631E-2</v>
      </c>
      <c r="AP938" s="27">
        <f t="shared" si="334"/>
        <v>1.7396267425724934E-2</v>
      </c>
      <c r="AQ938" s="27">
        <f t="shared" si="334"/>
        <v>1.7420990177436466E-2</v>
      </c>
      <c r="AR938" s="27">
        <f t="shared" si="334"/>
        <v>1.7447487775150525E-2</v>
      </c>
      <c r="AS938" s="27">
        <f t="shared" si="334"/>
        <v>1.7456827369575736E-2</v>
      </c>
      <c r="AT938" s="27">
        <f t="shared" si="334"/>
        <v>1.746097508558354E-2</v>
      </c>
      <c r="AU938" s="27">
        <f t="shared" si="334"/>
        <v>1.746579683409127E-2</v>
      </c>
      <c r="AV938" s="27">
        <f t="shared" si="334"/>
        <v>1.7470987825332424E-2</v>
      </c>
      <c r="AW938" s="27">
        <f t="shared" si="334"/>
        <v>1.7477120152816387E-2</v>
      </c>
      <c r="AY938" s="79"/>
      <c r="AZ938" s="79"/>
    </row>
    <row r="939" spans="1:52" x14ac:dyDescent="0.3">
      <c r="A939" s="95" t="str">
        <f t="shared" si="326"/>
        <v>DS Goats MMCH4</v>
      </c>
      <c r="B939" s="95" t="s">
        <v>974</v>
      </c>
      <c r="C939" s="95" t="s">
        <v>1325</v>
      </c>
      <c r="D939" t="s">
        <v>15</v>
      </c>
      <c r="E939" t="s">
        <v>22</v>
      </c>
      <c r="F939" t="s">
        <v>19</v>
      </c>
      <c r="G939" t="s">
        <v>123</v>
      </c>
      <c r="H939" t="s">
        <v>1227</v>
      </c>
      <c r="I939" t="s">
        <v>121</v>
      </c>
      <c r="J939" t="s">
        <v>286</v>
      </c>
      <c r="K939" s="27">
        <f t="shared" si="333"/>
        <v>2.6592218800664803E-2</v>
      </c>
      <c r="L939" s="27">
        <f t="shared" si="334"/>
        <v>2.6661345733624896E-2</v>
      </c>
      <c r="M939" s="27">
        <f t="shared" si="334"/>
        <v>2.6756703894783639E-2</v>
      </c>
      <c r="N939" s="27">
        <f t="shared" si="334"/>
        <v>2.6872875319249704E-2</v>
      </c>
      <c r="O939" s="27">
        <f t="shared" si="334"/>
        <v>2.7009694315810229E-2</v>
      </c>
      <c r="P939" s="27">
        <f t="shared" si="334"/>
        <v>2.7166328132291764E-2</v>
      </c>
      <c r="Q939" s="27">
        <f t="shared" si="334"/>
        <v>2.7334899828466052E-2</v>
      </c>
      <c r="R939" s="27">
        <f t="shared" si="334"/>
        <v>2.7514742110372921E-2</v>
      </c>
      <c r="S939" s="27">
        <f t="shared" si="334"/>
        <v>2.7677838692887386E-2</v>
      </c>
      <c r="T939" s="27">
        <f t="shared" si="334"/>
        <v>2.7757504982502564E-2</v>
      </c>
      <c r="U939" s="27">
        <f t="shared" si="334"/>
        <v>2.7848820327731318E-2</v>
      </c>
      <c r="V939" s="27">
        <f t="shared" si="334"/>
        <v>2.7941902797566111E-2</v>
      </c>
      <c r="W939" s="27">
        <f t="shared" si="334"/>
        <v>2.804285772872351E-2</v>
      </c>
      <c r="X939" s="27">
        <f t="shared" si="334"/>
        <v>2.8151518273156369E-2</v>
      </c>
      <c r="Y939" s="27">
        <f t="shared" si="334"/>
        <v>2.82210562705838E-2</v>
      </c>
      <c r="Z939" s="27">
        <f t="shared" si="334"/>
        <v>2.8297134696609751E-2</v>
      </c>
      <c r="AA939" s="27">
        <f t="shared" si="334"/>
        <v>2.8378863720651775E-2</v>
      </c>
      <c r="AB939" s="27">
        <f t="shared" si="334"/>
        <v>2.8466505780859123E-2</v>
      </c>
      <c r="AC939" s="27">
        <f t="shared" si="334"/>
        <v>2.8559237934827175E-2</v>
      </c>
      <c r="AD939" s="27">
        <f t="shared" si="334"/>
        <v>2.8621079756683557E-2</v>
      </c>
      <c r="AE939" s="27">
        <f t="shared" si="334"/>
        <v>2.8687030380003167E-2</v>
      </c>
      <c r="AF939" s="27">
        <f t="shared" si="334"/>
        <v>2.8757648041269384E-2</v>
      </c>
      <c r="AG939" s="27">
        <f t="shared" si="334"/>
        <v>2.8833649983627477E-2</v>
      </c>
      <c r="AH939" s="27">
        <f t="shared" si="334"/>
        <v>2.8912740108052549E-2</v>
      </c>
      <c r="AI939" s="27">
        <f t="shared" si="334"/>
        <v>2.8961722657000817E-2</v>
      </c>
      <c r="AJ939" s="27">
        <f t="shared" si="334"/>
        <v>2.9014877641157257E-2</v>
      </c>
      <c r="AK939" s="27">
        <f t="shared" si="334"/>
        <v>2.9070356400379201E-2</v>
      </c>
      <c r="AL939" s="27">
        <f t="shared" si="334"/>
        <v>2.9128812457911796E-2</v>
      </c>
      <c r="AM939" s="27">
        <f t="shared" si="334"/>
        <v>2.9190165779318728E-2</v>
      </c>
      <c r="AN939" s="27">
        <f t="shared" si="334"/>
        <v>2.9223685481203028E-2</v>
      </c>
      <c r="AO939" s="27">
        <f t="shared" si="334"/>
        <v>2.9259316836861168E-2</v>
      </c>
      <c r="AP939" s="27">
        <f t="shared" si="334"/>
        <v>2.9297969415743415E-2</v>
      </c>
      <c r="AQ939" s="27">
        <f t="shared" si="334"/>
        <v>2.9339606302886588E-2</v>
      </c>
      <c r="AR939" s="27">
        <f t="shared" si="334"/>
        <v>2.9384232301580378E-2</v>
      </c>
      <c r="AS939" s="27">
        <f t="shared" si="334"/>
        <v>2.939996160402952E-2</v>
      </c>
      <c r="AT939" s="27">
        <f t="shared" si="334"/>
        <v>2.9406946990823593E-2</v>
      </c>
      <c r="AU939" s="27">
        <f t="shared" si="334"/>
        <v>2.9415067551220409E-2</v>
      </c>
      <c r="AV939" s="27">
        <f t="shared" si="334"/>
        <v>2.9423809972735263E-2</v>
      </c>
      <c r="AW939" s="27">
        <f t="shared" si="334"/>
        <v>2.9434137748152581E-2</v>
      </c>
      <c r="AY939" s="79"/>
      <c r="AZ939" s="79"/>
    </row>
    <row r="940" spans="1:52" x14ac:dyDescent="0.3">
      <c r="A940" s="95" t="str">
        <f t="shared" si="326"/>
        <v>DS Horses MMCH4</v>
      </c>
      <c r="B940" s="95" t="s">
        <v>974</v>
      </c>
      <c r="C940" s="95" t="s">
        <v>1326</v>
      </c>
      <c r="D940" t="s">
        <v>15</v>
      </c>
      <c r="E940" t="s">
        <v>22</v>
      </c>
      <c r="F940" t="s">
        <v>20</v>
      </c>
      <c r="G940" t="s">
        <v>3</v>
      </c>
      <c r="H940" t="s">
        <v>1227</v>
      </c>
      <c r="I940" t="s">
        <v>121</v>
      </c>
      <c r="J940" t="s">
        <v>286</v>
      </c>
      <c r="K940" s="27">
        <f t="shared" si="333"/>
        <v>4.1336182129460552E-3</v>
      </c>
      <c r="L940" s="27">
        <f t="shared" si="334"/>
        <v>4.1536453250924071E-3</v>
      </c>
      <c r="M940" s="27">
        <f t="shared" si="334"/>
        <v>4.1840370126470534E-3</v>
      </c>
      <c r="N940" s="27">
        <f t="shared" si="334"/>
        <v>4.1905340987284569E-3</v>
      </c>
      <c r="O940" s="27">
        <f t="shared" si="334"/>
        <v>4.1812329246154589E-3</v>
      </c>
      <c r="P940" s="27">
        <f t="shared" si="334"/>
        <v>4.1564738854214548E-3</v>
      </c>
      <c r="Q940" s="27">
        <f t="shared" si="334"/>
        <v>4.1427460620707141E-3</v>
      </c>
      <c r="R940" s="27">
        <f t="shared" si="334"/>
        <v>4.1304087921358321E-3</v>
      </c>
      <c r="S940" s="27">
        <f t="shared" si="334"/>
        <v>3.8942776940038416E-3</v>
      </c>
      <c r="T940" s="27">
        <f t="shared" si="334"/>
        <v>3.9425050527123239E-3</v>
      </c>
      <c r="U940" s="27">
        <f t="shared" si="334"/>
        <v>4.0191071248696416E-3</v>
      </c>
      <c r="V940" s="27">
        <f t="shared" si="334"/>
        <v>4.0473828533201294E-3</v>
      </c>
      <c r="W940" s="27">
        <f t="shared" si="334"/>
        <v>4.0809840197269919E-3</v>
      </c>
      <c r="X940" s="27">
        <f t="shared" si="334"/>
        <v>4.1216678621320202E-3</v>
      </c>
      <c r="Y940" s="27">
        <f t="shared" si="334"/>
        <v>4.1703472412361522E-3</v>
      </c>
      <c r="Z940" s="27">
        <f t="shared" si="334"/>
        <v>4.2244482436929265E-3</v>
      </c>
      <c r="AA940" s="27">
        <f t="shared" si="334"/>
        <v>4.2791921283487086E-3</v>
      </c>
      <c r="AB940" s="27">
        <f t="shared" si="334"/>
        <v>4.3388287504468421E-3</v>
      </c>
      <c r="AC940" s="27">
        <f t="shared" si="334"/>
        <v>4.3986726547954836E-3</v>
      </c>
      <c r="AD940" s="27">
        <f t="shared" si="334"/>
        <v>4.4704656017983358E-3</v>
      </c>
      <c r="AE940" s="27">
        <f t="shared" si="334"/>
        <v>4.539631463046338E-3</v>
      </c>
      <c r="AF940" s="27">
        <f t="shared" si="334"/>
        <v>4.6121605087864415E-3</v>
      </c>
      <c r="AG940" s="27">
        <f t="shared" si="334"/>
        <v>4.6951125632471334E-3</v>
      </c>
      <c r="AH940" s="27">
        <f t="shared" si="334"/>
        <v>4.7715465683054572E-3</v>
      </c>
      <c r="AI940" s="27">
        <f t="shared" si="334"/>
        <v>4.855932813312959E-3</v>
      </c>
      <c r="AJ940" s="27">
        <f t="shared" si="334"/>
        <v>4.945901658536307E-3</v>
      </c>
      <c r="AK940" s="27">
        <f t="shared" si="334"/>
        <v>5.0279520878702428E-3</v>
      </c>
      <c r="AL940" s="27">
        <f t="shared" si="334"/>
        <v>5.1082371551630715E-3</v>
      </c>
      <c r="AM940" s="27">
        <f t="shared" si="334"/>
        <v>5.1870452828056204E-3</v>
      </c>
      <c r="AN940" s="27">
        <f t="shared" si="334"/>
        <v>5.27706789842347E-3</v>
      </c>
      <c r="AO940" s="27">
        <f t="shared" si="334"/>
        <v>5.3619473096130918E-3</v>
      </c>
      <c r="AP940" s="27">
        <f t="shared" si="334"/>
        <v>5.4495970329020271E-3</v>
      </c>
      <c r="AQ940" s="27">
        <f t="shared" si="334"/>
        <v>5.5404524678757516E-3</v>
      </c>
      <c r="AR940" s="27">
        <f t="shared" si="334"/>
        <v>5.6352215326777718E-3</v>
      </c>
      <c r="AS940" s="27">
        <f t="shared" si="334"/>
        <v>5.7381722103153144E-3</v>
      </c>
      <c r="AT940" s="27">
        <f t="shared" si="334"/>
        <v>5.7552832935457467E-3</v>
      </c>
      <c r="AU940" s="27">
        <f t="shared" si="334"/>
        <v>5.7642783755128633E-3</v>
      </c>
      <c r="AV940" s="27">
        <f t="shared" si="334"/>
        <v>5.7617518385425876E-3</v>
      </c>
      <c r="AW940" s="27">
        <f t="shared" si="334"/>
        <v>5.7557818048942742E-3</v>
      </c>
      <c r="AY940" s="79"/>
      <c r="AZ940" s="79"/>
    </row>
    <row r="941" spans="1:52" x14ac:dyDescent="0.3">
      <c r="A941" s="95" t="str">
        <f t="shared" si="326"/>
        <v>DS Mules MMCH4</v>
      </c>
      <c r="B941" s="95" t="s">
        <v>974</v>
      </c>
      <c r="C941" s="95" t="s">
        <v>1327</v>
      </c>
      <c r="D941" t="s">
        <v>15</v>
      </c>
      <c r="E941" t="s">
        <v>22</v>
      </c>
      <c r="F941" t="s">
        <v>140</v>
      </c>
      <c r="G941" t="s">
        <v>124</v>
      </c>
      <c r="H941" t="s">
        <v>1227</v>
      </c>
      <c r="I941" t="s">
        <v>121</v>
      </c>
      <c r="J941" t="s">
        <v>286</v>
      </c>
      <c r="K941" s="27">
        <f t="shared" si="333"/>
        <v>7.515E-4</v>
      </c>
      <c r="L941" s="27">
        <f t="shared" si="334"/>
        <v>7.515E-4</v>
      </c>
      <c r="M941" s="27">
        <f t="shared" si="334"/>
        <v>7.515E-4</v>
      </c>
      <c r="N941" s="27">
        <f t="shared" si="334"/>
        <v>7.515E-4</v>
      </c>
      <c r="O941" s="27">
        <f t="shared" si="334"/>
        <v>7.515E-4</v>
      </c>
      <c r="P941" s="27">
        <f t="shared" si="334"/>
        <v>7.515E-4</v>
      </c>
      <c r="Q941" s="27">
        <f t="shared" si="334"/>
        <v>7.515E-4</v>
      </c>
      <c r="R941" s="27">
        <f t="shared" si="334"/>
        <v>7.515E-4</v>
      </c>
      <c r="S941" s="27">
        <f t="shared" si="334"/>
        <v>7.515E-4</v>
      </c>
      <c r="T941" s="27">
        <f t="shared" si="334"/>
        <v>7.515E-4</v>
      </c>
      <c r="U941" s="27">
        <f t="shared" si="334"/>
        <v>7.515E-4</v>
      </c>
      <c r="V941" s="27">
        <f t="shared" si="334"/>
        <v>7.515E-4</v>
      </c>
      <c r="W941" s="27">
        <f t="shared" si="334"/>
        <v>7.515E-4</v>
      </c>
      <c r="X941" s="27">
        <f t="shared" si="334"/>
        <v>7.515E-4</v>
      </c>
      <c r="Y941" s="27">
        <f t="shared" si="334"/>
        <v>7.515E-4</v>
      </c>
      <c r="Z941" s="27">
        <f t="shared" si="334"/>
        <v>7.515E-4</v>
      </c>
      <c r="AA941" s="27">
        <f t="shared" si="334"/>
        <v>7.515E-4</v>
      </c>
      <c r="AB941" s="27">
        <f t="shared" si="334"/>
        <v>7.515E-4</v>
      </c>
      <c r="AC941" s="27">
        <f t="shared" si="334"/>
        <v>7.515E-4</v>
      </c>
      <c r="AD941" s="27">
        <f t="shared" si="334"/>
        <v>7.515E-4</v>
      </c>
      <c r="AE941" s="27">
        <f t="shared" si="334"/>
        <v>7.515E-4</v>
      </c>
      <c r="AF941" s="27">
        <f t="shared" si="334"/>
        <v>7.515E-4</v>
      </c>
      <c r="AG941" s="27">
        <f t="shared" si="334"/>
        <v>7.515E-4</v>
      </c>
      <c r="AH941" s="27">
        <f t="shared" si="334"/>
        <v>7.515E-4</v>
      </c>
      <c r="AI941" s="27">
        <f t="shared" si="334"/>
        <v>7.515E-4</v>
      </c>
      <c r="AJ941" s="27">
        <f t="shared" si="334"/>
        <v>7.515E-4</v>
      </c>
      <c r="AK941" s="27">
        <f t="shared" si="334"/>
        <v>7.515E-4</v>
      </c>
      <c r="AL941" s="27">
        <f t="shared" si="334"/>
        <v>7.515E-4</v>
      </c>
      <c r="AM941" s="27">
        <f t="shared" si="334"/>
        <v>7.515E-4</v>
      </c>
      <c r="AN941" s="27">
        <f t="shared" si="334"/>
        <v>7.515E-4</v>
      </c>
      <c r="AO941" s="27">
        <f t="shared" si="334"/>
        <v>7.515E-4</v>
      </c>
      <c r="AP941" s="27">
        <f t="shared" si="334"/>
        <v>7.515E-4</v>
      </c>
      <c r="AQ941" s="27">
        <f t="shared" si="334"/>
        <v>7.515E-4</v>
      </c>
      <c r="AR941" s="27">
        <f t="shared" si="334"/>
        <v>7.515E-4</v>
      </c>
      <c r="AS941" s="27">
        <f t="shared" si="334"/>
        <v>7.515E-4</v>
      </c>
      <c r="AT941" s="27">
        <f t="shared" si="334"/>
        <v>7.515E-4</v>
      </c>
      <c r="AU941" s="27">
        <f t="shared" si="334"/>
        <v>7.515E-4</v>
      </c>
      <c r="AV941" s="27">
        <f t="shared" si="334"/>
        <v>7.515E-4</v>
      </c>
      <c r="AW941" s="27">
        <f t="shared" si="334"/>
        <v>7.515E-4</v>
      </c>
      <c r="AY941" s="79"/>
      <c r="AZ941" s="79"/>
    </row>
    <row r="942" spans="1:52" x14ac:dyDescent="0.3">
      <c r="A942" s="95" t="str">
        <f t="shared" si="326"/>
        <v>DS Swine MMCH4</v>
      </c>
      <c r="B942" s="95" t="s">
        <v>974</v>
      </c>
      <c r="C942" s="95" t="s">
        <v>1230</v>
      </c>
      <c r="D942" t="s">
        <v>15</v>
      </c>
      <c r="E942" t="s">
        <v>22</v>
      </c>
      <c r="F942" t="s">
        <v>21</v>
      </c>
      <c r="G942" t="s">
        <v>122</v>
      </c>
      <c r="H942" t="s">
        <v>1227</v>
      </c>
      <c r="I942" t="s">
        <v>121</v>
      </c>
      <c r="J942" t="s">
        <v>286</v>
      </c>
      <c r="K942" s="93">
        <f>IF('Net zero activities &amp; levers'!$C$12="Off",('Activity data'!AD17*EF!$H30)*kgtoGg,IF('Net zero activities &amp; levers'!$C$12="PB",('Activity data'!AD17*EF!$H30)*kgtoGg,IF('Net zero activities &amp; levers'!$C$12="MS",('Net zero Activity data'!AD17*EF!$H30)*kgtoGg,"ERROR")))</f>
        <v>23.279067868377393</v>
      </c>
      <c r="L942" s="93">
        <f>IF('Net zero activities &amp; levers'!$C$12="Off",('Activity data'!AE17*EF!$H30)*kgtoGg,IF('Net zero activities &amp; levers'!$C$12="PB",('Activity data'!AE17*EF!$H30)*kgtoGg,IF('Net zero activities &amp; levers'!$C$12="MS",('Net zero Activity data'!AE17*EF!$H30)*kgtoGg,"ERROR")))</f>
        <v>23.152530650802596</v>
      </c>
      <c r="M942" s="93">
        <f>IF('Net zero activities &amp; levers'!$C$12="Off",('Activity data'!AF17*EF!$H30)*kgtoGg,IF('Net zero activities &amp; levers'!$C$12="PB",('Activity data'!AF17*EF!$H30)*kgtoGg,IF('Net zero activities &amp; levers'!$C$12="MS",('Net zero Activity data'!AF17*EF!$H30)*kgtoGg,"ERROR")))</f>
        <v>23.162916433064304</v>
      </c>
      <c r="N942" s="93">
        <f>IF('Net zero activities &amp; levers'!$C$12="Off",('Activity data'!AG17*EF!$H30)*kgtoGg,IF('Net zero activities &amp; levers'!$C$12="PB",('Activity data'!AG17*EF!$H30)*kgtoGg,IF('Net zero activities &amp; levers'!$C$12="MS",('Net zero Activity data'!AG17*EF!$H30)*kgtoGg,"ERROR")))</f>
        <v>22.950263110497293</v>
      </c>
      <c r="O942" s="93">
        <f>IF('Net zero activities &amp; levers'!$C$12="Off",('Activity data'!AH17*EF!$H30)*kgtoGg,IF('Net zero activities &amp; levers'!$C$12="PB",('Activity data'!AH17*EF!$H30)*kgtoGg,IF('Net zero activities &amp; levers'!$C$12="MS",('Net zero Activity data'!AH17*EF!$H30)*kgtoGg,"ERROR")))</f>
        <v>22.602951186820601</v>
      </c>
      <c r="P942" s="93">
        <f>IF('Net zero activities &amp; levers'!$C$12="Off",('Activity data'!AI17*EF!$H30)*kgtoGg,IF('Net zero activities &amp; levers'!$C$12="PB",('Activity data'!AI17*EF!$H30)*kgtoGg,IF('Net zero activities &amp; levers'!$C$12="MS",('Net zero Activity data'!AI17*EF!$H30)*kgtoGg,"ERROR")))</f>
        <v>22.126532811374943</v>
      </c>
      <c r="Q942" s="93">
        <f>IF('Net zero activities &amp; levers'!$C$12="Off",('Activity data'!AJ17*EF!$H30)*kgtoGg,IF('Net zero activities &amp; levers'!$C$12="PB",('Activity data'!AJ17*EF!$H30)*kgtoGg,IF('Net zero activities &amp; levers'!$C$12="MS",('Net zero Activity data'!AJ17*EF!$H30)*kgtoGg,"ERROR")))</f>
        <v>21.780600237355962</v>
      </c>
      <c r="R942" s="93">
        <f>IF('Net zero activities &amp; levers'!$C$12="Off",('Activity data'!AK17*EF!$H30)*kgtoGg,IF('Net zero activities &amp; levers'!$C$12="PB",('Activity data'!AK17*EF!$H30)*kgtoGg,IF('Net zero activities &amp; levers'!$C$12="MS",('Net zero Activity data'!AK17*EF!$H30)*kgtoGg,"ERROR")))</f>
        <v>21.465278056857681</v>
      </c>
      <c r="S942" s="93">
        <f>IF('Net zero activities &amp; levers'!$C$12="Off",('Activity data'!AL17*EF!$H30)*kgtoGg,IF('Net zero activities &amp; levers'!$C$12="PB",('Activity data'!AL17*EF!$H30)*kgtoGg,IF('Net zero activities &amp; levers'!$C$12="MS",('Net zero Activity data'!AL17*EF!$H30)*kgtoGg,"ERROR")))</f>
        <v>18.952765181798245</v>
      </c>
      <c r="T942" s="93">
        <f>IF('Net zero activities &amp; levers'!$C$12="Off",('Activity data'!AM17*EF!$H30)*kgtoGg,IF('Net zero activities &amp; levers'!$C$12="PB",('Activity data'!AM17*EF!$H30)*kgtoGg,IF('Net zero activities &amp; levers'!$C$12="MS",('Net zero Activity data'!AM17*EF!$H30)*kgtoGg,"ERROR")))</f>
        <v>19.192435731964196</v>
      </c>
      <c r="U942" s="93">
        <f>IF('Net zero activities &amp; levers'!$C$12="Off",('Activity data'!AN17*EF!$H30)*kgtoGg,IF('Net zero activities &amp; levers'!$C$12="PB",('Activity data'!AN17*EF!$H30)*kgtoGg,IF('Net zero activities &amp; levers'!$C$12="MS",('Net zero Activity data'!AN17*EF!$H30)*kgtoGg,"ERROR")))</f>
        <v>19.706721684105471</v>
      </c>
      <c r="V942" s="93">
        <f>IF('Net zero activities &amp; levers'!$C$12="Off",('Activity data'!AO17*EF!$H30)*kgtoGg,IF('Net zero activities &amp; levers'!$C$12="PB",('Activity data'!AO17*EF!$H30)*kgtoGg,IF('Net zero activities &amp; levers'!$C$12="MS",('Net zero Activity data'!AO17*EF!$H30)*kgtoGg,"ERROR")))</f>
        <v>19.753416176775058</v>
      </c>
      <c r="W942" s="93">
        <f>IF('Net zero activities &amp; levers'!$C$12="Off",('Activity data'!AP17*EF!$H30)*kgtoGg,IF('Net zero activities &amp; levers'!$C$12="PB",('Activity data'!AP17*EF!$H30)*kgtoGg,IF('Net zero activities &amp; levers'!$C$12="MS",('Net zero Activity data'!AP17*EF!$H30)*kgtoGg,"ERROR")))</f>
        <v>19.854535695194098</v>
      </c>
      <c r="X942" s="93">
        <f>IF('Net zero activities &amp; levers'!$C$12="Off",('Activity data'!AQ17*EF!$H30)*kgtoGg,IF('Net zero activities &amp; levers'!$C$12="PB",('Activity data'!AQ17*EF!$H30)*kgtoGg,IF('Net zero activities &amp; levers'!$C$12="MS",('Net zero Activity data'!AQ17*EF!$H30)*kgtoGg,"ERROR")))</f>
        <v>20.024553174699502</v>
      </c>
      <c r="Y942" s="93">
        <f>IF('Net zero activities &amp; levers'!$C$12="Off",('Activity data'!AR17*EF!$H30)*kgtoGg,IF('Net zero activities &amp; levers'!$C$12="PB",('Activity data'!AR17*EF!$H30)*kgtoGg,IF('Net zero activities &amp; levers'!$C$12="MS",('Net zero Activity data'!AR17*EF!$H30)*kgtoGg,"ERROR")))</f>
        <v>20.23789112840667</v>
      </c>
      <c r="Z942" s="93">
        <f>IF('Net zero activities &amp; levers'!$C$12="Off",('Activity data'!AS17*EF!$H30)*kgtoGg,IF('Net zero activities &amp; levers'!$C$12="PB",('Activity data'!AS17*EF!$H30)*kgtoGg,IF('Net zero activities &amp; levers'!$C$12="MS",('Net zero Activity data'!AS17*EF!$H30)*kgtoGg,"ERROR")))</f>
        <v>20.499318704805695</v>
      </c>
      <c r="AA942" s="93">
        <f>IF('Net zero activities &amp; levers'!$C$12="Off",('Activity data'!AT17*EF!$H30)*kgtoGg,IF('Net zero activities &amp; levers'!$C$12="PB",('Activity data'!AT17*EF!$H30)*kgtoGg,IF('Net zero activities &amp; levers'!$C$12="MS",('Net zero Activity data'!AT17*EF!$H30)*kgtoGg,"ERROR")))</f>
        <v>20.763803414840964</v>
      </c>
      <c r="AB942" s="93">
        <f>IF('Net zero activities &amp; levers'!$C$12="Off",('Activity data'!AU17*EF!$H30)*kgtoGg,IF('Net zero activities &amp; levers'!$C$12="PB",('Activity data'!AU17*EF!$H30)*kgtoGg,IF('Net zero activities &amp; levers'!$C$12="MS",('Net zero Activity data'!AU17*EF!$H30)*kgtoGg,"ERROR")))</f>
        <v>21.06916344985618</v>
      </c>
      <c r="AC942" s="93">
        <f>IF('Net zero activities &amp; levers'!$C$12="Off",('Activity data'!AV17*EF!$H30)*kgtoGg,IF('Net zero activities &amp; levers'!$C$12="PB",('Activity data'!AV17*EF!$H30)*kgtoGg,IF('Net zero activities &amp; levers'!$C$12="MS",('Net zero Activity data'!AV17*EF!$H30)*kgtoGg,"ERROR")))</f>
        <v>21.372415897013145</v>
      </c>
      <c r="AD942" s="93">
        <f>IF('Net zero activities &amp; levers'!$C$12="Off",('Activity data'!AW17*EF!$H30)*kgtoGg,IF('Net zero activities &amp; levers'!$C$12="PB",('Activity data'!AW17*EF!$H30)*kgtoGg,IF('Net zero activities &amp; levers'!$C$12="MS",('Net zero Activity data'!AW17*EF!$H30)*kgtoGg,"ERROR")))</f>
        <v>21.74943786655458</v>
      </c>
      <c r="AE942" s="93">
        <f>IF('Net zero activities &amp; levers'!$C$12="Off",('Activity data'!AX17*EF!$H30)*kgtoGg,IF('Net zero activities &amp; levers'!$C$12="PB",('Activity data'!AX17*EF!$H30)*kgtoGg,IF('Net zero activities &amp; levers'!$C$12="MS",('Net zero Activity data'!AX17*EF!$H30)*kgtoGg,"ERROR")))</f>
        <v>22.096514126462726</v>
      </c>
      <c r="AF942" s="93">
        <f>IF('Net zero activities &amp; levers'!$C$12="Off",('Activity data'!AY17*EF!$H30)*kgtoGg,IF('Net zero activities &amp; levers'!$C$12="PB",('Activity data'!AY17*EF!$H30)*kgtoGg,IF('Net zero activities &amp; levers'!$C$12="MS",('Net zero Activity data'!AY17*EF!$H30)*kgtoGg,"ERROR")))</f>
        <v>22.465831015653421</v>
      </c>
      <c r="AG942" s="93">
        <f>IF('Net zero activities &amp; levers'!$C$12="Off",('Activity data'!AZ17*EF!$H30)*kgtoGg,IF('Net zero activities &amp; levers'!$C$12="PB",('Activity data'!AZ17*EF!$H30)*kgtoGg,IF('Net zero activities &amp; levers'!$C$12="MS",('Net zero Activity data'!AZ17*EF!$H30)*kgtoGg,"ERROR")))</f>
        <v>22.916349440576454</v>
      </c>
      <c r="AH942" s="93">
        <f>IF('Net zero activities &amp; levers'!$C$12="Off",('Activity data'!BA17*EF!$H30)*kgtoGg,IF('Net zero activities &amp; levers'!$C$12="PB",('Activity data'!BA17*EF!$H30)*kgtoGg,IF('Net zero activities &amp; levers'!$C$12="MS",('Net zero Activity data'!BA17*EF!$H30)*kgtoGg,"ERROR")))</f>
        <v>23.303196681672105</v>
      </c>
      <c r="AI942" s="93">
        <f>IF('Net zero activities &amp; levers'!$C$12="Off",('Activity data'!BB17*EF!$H30)*kgtoGg,IF('Net zero activities &amp; levers'!$C$12="PB",('Activity data'!BB17*EF!$H30)*kgtoGg,IF('Net zero activities &amp; levers'!$C$12="MS",('Net zero Activity data'!BB17*EF!$H30)*kgtoGg,"ERROR")))</f>
        <v>23.720738750345618</v>
      </c>
      <c r="AJ942" s="93">
        <f>IF('Net zero activities &amp; levers'!$C$12="Off",('Activity data'!BC17*EF!$H30)*kgtoGg,IF('Net zero activities &amp; levers'!$C$12="PB",('Activity data'!BC17*EF!$H30)*kgtoGg,IF('Net zero activities &amp; levers'!$C$12="MS",('Net zero Activity data'!BC17*EF!$H30)*kgtoGg,"ERROR")))</f>
        <v>24.1739099146189</v>
      </c>
      <c r="AK942" s="93">
        <f>IF('Net zero activities &amp; levers'!$C$12="Off",('Activity data'!BD17*EF!$H30)*kgtoGg,IF('Net zero activities &amp; levers'!$C$12="PB",('Activity data'!BD17*EF!$H30)*kgtoGg,IF('Net zero activities &amp; levers'!$C$12="MS",('Net zero Activity data'!BD17*EF!$H30)*kgtoGg,"ERROR")))</f>
        <v>24.551957379803568</v>
      </c>
      <c r="AL942" s="93">
        <f>IF('Net zero activities &amp; levers'!$C$12="Off",('Activity data'!BE17*EF!$H30)*kgtoGg,IF('Net zero activities &amp; levers'!$C$12="PB",('Activity data'!BE17*EF!$H30)*kgtoGg,IF('Net zero activities &amp; levers'!$C$12="MS",('Net zero Activity data'!BE17*EF!$H30)*kgtoGg,"ERROR")))</f>
        <v>24.90648475217996</v>
      </c>
      <c r="AM942" s="93">
        <f>IF('Net zero activities &amp; levers'!$C$12="Off",('Activity data'!BF17*EF!$H30)*kgtoGg,IF('Net zero activities &amp; levers'!$C$12="PB",('Activity data'!BF17*EF!$H30)*kgtoGg,IF('Net zero activities &amp; levers'!$C$12="MS",('Net zero Activity data'!BF17*EF!$H30)*kgtoGg,"ERROR")))</f>
        <v>25.240351368122212</v>
      </c>
      <c r="AN942" s="93">
        <f>IF('Net zero activities &amp; levers'!$C$12="Off",('Activity data'!BG17*EF!$H30)*kgtoGg,IF('Net zero activities &amp; levers'!$C$12="PB",('Activity data'!BG17*EF!$H30)*kgtoGg,IF('Net zero activities &amp; levers'!$C$12="MS",('Net zero Activity data'!BG17*EF!$H30)*kgtoGg,"ERROR")))</f>
        <v>25.625854072975109</v>
      </c>
      <c r="AO942" s="93">
        <f>IF('Net zero activities &amp; levers'!$C$12="Off",('Activity data'!BH17*EF!$H30)*kgtoGg,IF('Net zero activities &amp; levers'!$C$12="PB",('Activity data'!BH17*EF!$H30)*kgtoGg,IF('Net zero activities &amp; levers'!$C$12="MS",('Net zero Activity data'!BH17*EF!$H30)*kgtoGg,"ERROR")))</f>
        <v>25.960227974531257</v>
      </c>
      <c r="AP942" s="93">
        <f>IF('Net zero activities &amp; levers'!$C$12="Off",('Activity data'!BI17*EF!$H30)*kgtoGg,IF('Net zero activities &amp; levers'!$C$12="PB",('Activity data'!BI17*EF!$H30)*kgtoGg,IF('Net zero activities &amp; levers'!$C$12="MS",('Net zero Activity data'!BI17*EF!$H30)*kgtoGg,"ERROR")))</f>
        <v>26.305386782253809</v>
      </c>
      <c r="AQ942" s="93">
        <f>IF('Net zero activities &amp; levers'!$C$12="Off",('Activity data'!BJ17*EF!$H30)*kgtoGg,IF('Net zero activities &amp; levers'!$C$12="PB",('Activity data'!BJ17*EF!$H30)*kgtoGg,IF('Net zero activities &amp; levers'!$C$12="MS",('Net zero Activity data'!BJ17*EF!$H30)*kgtoGg,"ERROR")))</f>
        <v>26.663933949781747</v>
      </c>
      <c r="AR942" s="93">
        <f>IF('Net zero activities &amp; levers'!$C$12="Off",('Activity data'!BK17*EF!$H30)*kgtoGg,IF('Net zero activities &amp; levers'!$C$12="PB",('Activity data'!BK17*EF!$H30)*kgtoGg,IF('Net zero activities &amp; levers'!$C$12="MS",('Net zero Activity data'!BK17*EF!$H30)*kgtoGg,"ERROR")))</f>
        <v>27.040355797157176</v>
      </c>
      <c r="AS942" s="93">
        <f>IF('Net zero activities &amp; levers'!$C$12="Off",('Activity data'!BL17*EF!$H30)*kgtoGg,IF('Net zero activities &amp; levers'!$C$12="PB",('Activity data'!BL17*EF!$H30)*kgtoGg,IF('Net zero activities &amp; levers'!$C$12="MS",('Net zero Activity data'!BL17*EF!$H30)*kgtoGg,"ERROR")))</f>
        <v>27.435623697912018</v>
      </c>
      <c r="AT942" s="93">
        <f>IF('Net zero activities &amp; levers'!$C$12="Off",('Activity data'!BM17*EF!$H30)*kgtoGg,IF('Net zero activities &amp; levers'!$C$12="PB",('Activity data'!BM17*EF!$H30)*kgtoGg,IF('Net zero activities &amp; levers'!$C$12="MS",('Net zero Activity data'!BM17*EF!$H30)*kgtoGg,"ERROR")))</f>
        <v>27.195097752022821</v>
      </c>
      <c r="AU942" s="93">
        <f>IF('Net zero activities &amp; levers'!$C$12="Off",('Activity data'!BN17*EF!$H30)*kgtoGg,IF('Net zero activities &amp; levers'!$C$12="PB",('Activity data'!BN17*EF!$H30)*kgtoGg,IF('Net zero activities &amp; levers'!$C$12="MS",('Net zero Activity data'!BN17*EF!$H30)*kgtoGg,"ERROR")))</f>
        <v>26.898987311246398</v>
      </c>
      <c r="AV942" s="93">
        <f>IF('Net zero activities &amp; levers'!$C$12="Off",('Activity data'!BO17*EF!$H30)*kgtoGg,IF('Net zero activities &amp; levers'!$C$12="PB",('Activity data'!BO17*EF!$H30)*kgtoGg,IF('Net zero activities &amp; levers'!$C$12="MS",('Net zero Activity data'!BO17*EF!$H30)*kgtoGg,"ERROR")))</f>
        <v>26.52534739576117</v>
      </c>
      <c r="AW942" s="93">
        <f>IF('Net zero activities &amp; levers'!$C$12="Off",('Activity data'!BP17*EF!$H30)*kgtoGg,IF('Net zero activities &amp; levers'!$C$12="PB",('Activity data'!BP17*EF!$H30)*kgtoGg,IF('Net zero activities &amp; levers'!$C$12="MS",('Net zero Activity data'!BP17*EF!$H30)*kgtoGg,"ERROR")))</f>
        <v>26.133382968648512</v>
      </c>
      <c r="AY942" s="79"/>
      <c r="AZ942" s="79"/>
    </row>
    <row r="943" spans="1:52" x14ac:dyDescent="0.3">
      <c r="A943" s="95" t="str">
        <f t="shared" si="326"/>
        <v>DS Swine MMCH4</v>
      </c>
      <c r="B943" s="95" t="s">
        <v>974</v>
      </c>
      <c r="C943" s="95" t="s">
        <v>1230</v>
      </c>
      <c r="D943" t="s">
        <v>15</v>
      </c>
      <c r="E943" t="s">
        <v>22</v>
      </c>
      <c r="F943" t="s">
        <v>21</v>
      </c>
      <c r="G943" t="s">
        <v>123</v>
      </c>
      <c r="H943" t="s">
        <v>1227</v>
      </c>
      <c r="I943" t="s">
        <v>121</v>
      </c>
      <c r="J943" t="s">
        <v>286</v>
      </c>
      <c r="K943" s="93">
        <f>IF('Net zero activities &amp; levers'!$C$12="Off",('Activity data'!AD18*EF!$H31)*kgtoGg,IF('Net zero activities &amp; levers'!$C$12="PB",('Activity data'!AD18*EF!$H31)*kgtoGg,IF('Net zero activities &amp; levers'!$C$12="MS",('Net zero Activity data'!AD18*EF!$H31)*kgtoGg,"ERROR")))</f>
        <v>7.7932061732677776E-2</v>
      </c>
      <c r="L943" s="93">
        <f>IF('Net zero activities &amp; levers'!$C$12="Off",('Activity data'!AE18*EF!$H31)*kgtoGg,IF('Net zero activities &amp; levers'!$C$12="PB",('Activity data'!AE18*EF!$H31)*kgtoGg,IF('Net zero activities &amp; levers'!$C$12="MS",('Net zero Activity data'!AE18*EF!$H31)*kgtoGg,"ERROR")))</f>
        <v>7.7508449141861113E-2</v>
      </c>
      <c r="M943" s="93">
        <f>IF('Net zero activities &amp; levers'!$C$12="Off",('Activity data'!AF18*EF!$H31)*kgtoGg,IF('Net zero activities &amp; levers'!$C$12="PB",('Activity data'!AF18*EF!$H31)*kgtoGg,IF('Net zero activities &amp; levers'!$C$12="MS",('Net zero Activity data'!AF18*EF!$H31)*kgtoGg,"ERROR")))</f>
        <v>7.7543217949140597E-2</v>
      </c>
      <c r="N943" s="93">
        <f>IF('Net zero activities &amp; levers'!$C$12="Off",('Activity data'!AG18*EF!$H31)*kgtoGg,IF('Net zero activities &amp; levers'!$C$12="PB",('Activity data'!AG18*EF!$H31)*kgtoGg,IF('Net zero activities &amp; levers'!$C$12="MS",('Net zero Activity data'!AG18*EF!$H31)*kgtoGg,"ERROR")))</f>
        <v>7.6831311787104617E-2</v>
      </c>
      <c r="O943" s="93">
        <f>IF('Net zero activities &amp; levers'!$C$12="Off",('Activity data'!AH18*EF!$H31)*kgtoGg,IF('Net zero activities &amp; levers'!$C$12="PB",('Activity data'!AH18*EF!$H31)*kgtoGg,IF('Net zero activities &amp; levers'!$C$12="MS",('Net zero Activity data'!AH18*EF!$H31)*kgtoGg,"ERROR")))</f>
        <v>7.5668604825232008E-2</v>
      </c>
      <c r="P943" s="93">
        <f>IF('Net zero activities &amp; levers'!$C$12="Off",('Activity data'!AI18*EF!$H31)*kgtoGg,IF('Net zero activities &amp; levers'!$C$12="PB",('Activity data'!AI18*EF!$H31)*kgtoGg,IF('Net zero activities &amp; levers'!$C$12="MS",('Net zero Activity data'!AI18*EF!$H31)*kgtoGg,"ERROR")))</f>
        <v>7.4073684167079379E-2</v>
      </c>
      <c r="Q943" s="93">
        <f>IF('Net zero activities &amp; levers'!$C$12="Off",('Activity data'!AJ18*EF!$H31)*kgtoGg,IF('Net zero activities &amp; levers'!$C$12="PB",('Activity data'!AJ18*EF!$H31)*kgtoGg,IF('Net zero activities &amp; levers'!$C$12="MS",('Net zero Activity data'!AJ18*EF!$H31)*kgtoGg,"ERROR")))</f>
        <v>7.2915594897087016E-2</v>
      </c>
      <c r="R943" s="93">
        <f>IF('Net zero activities &amp; levers'!$C$12="Off",('Activity data'!AK18*EF!$H31)*kgtoGg,IF('Net zero activities &amp; levers'!$C$12="PB",('Activity data'!AK18*EF!$H31)*kgtoGg,IF('Net zero activities &amp; levers'!$C$12="MS",('Net zero Activity data'!AK18*EF!$H31)*kgtoGg,"ERROR")))</f>
        <v>7.1859980996426681E-2</v>
      </c>
      <c r="S943" s="93">
        <f>IF('Net zero activities &amp; levers'!$C$12="Off",('Activity data'!AL18*EF!$H31)*kgtoGg,IF('Net zero activities &amp; levers'!$C$12="PB",('Activity data'!AL18*EF!$H31)*kgtoGg,IF('Net zero activities &amp; levers'!$C$12="MS",('Net zero Activity data'!AL18*EF!$H31)*kgtoGg,"ERROR")))</f>
        <v>6.344876326252144E-2</v>
      </c>
      <c r="T943" s="93">
        <f>IF('Net zero activities &amp; levers'!$C$12="Off",('Activity data'!AM18*EF!$H31)*kgtoGg,IF('Net zero activities &amp; levers'!$C$12="PB",('Activity data'!AM18*EF!$H31)*kgtoGg,IF('Net zero activities &amp; levers'!$C$12="MS",('Net zero Activity data'!AM18*EF!$H31)*kgtoGg,"ERROR")))</f>
        <v>6.4251115840238279E-2</v>
      </c>
      <c r="U943" s="93">
        <f>IF('Net zero activities &amp; levers'!$C$12="Off",('Activity data'!AN18*EF!$H31)*kgtoGg,IF('Net zero activities &amp; levers'!$C$12="PB",('Activity data'!AN18*EF!$H31)*kgtoGg,IF('Net zero activities &amp; levers'!$C$12="MS",('Net zero Activity data'!AN18*EF!$H31)*kgtoGg,"ERROR")))</f>
        <v>6.5972806966237654E-2</v>
      </c>
      <c r="V943" s="93">
        <f>IF('Net zero activities &amp; levers'!$C$12="Off",('Activity data'!AO18*EF!$H31)*kgtoGg,IF('Net zero activities &amp; levers'!$C$12="PB",('Activity data'!AO18*EF!$H31)*kgtoGg,IF('Net zero activities &amp; levers'!$C$12="MS",('Net zero Activity data'!AO18*EF!$H31)*kgtoGg,"ERROR")))</f>
        <v>6.6129127576060945E-2</v>
      </c>
      <c r="W943" s="93">
        <f>IF('Net zero activities &amp; levers'!$C$12="Off",('Activity data'!AP18*EF!$H31)*kgtoGg,IF('Net zero activities &amp; levers'!$C$12="PB",('Activity data'!AP18*EF!$H31)*kgtoGg,IF('Net zero activities &amp; levers'!$C$12="MS",('Net zero Activity data'!AP18*EF!$H31)*kgtoGg,"ERROR")))</f>
        <v>6.6467648542465979E-2</v>
      </c>
      <c r="X943" s="93">
        <f>IF('Net zero activities &amp; levers'!$C$12="Off",('Activity data'!AQ18*EF!$H31)*kgtoGg,IF('Net zero activities &amp; levers'!$C$12="PB",('Activity data'!AQ18*EF!$H31)*kgtoGg,IF('Net zero activities &amp; levers'!$C$12="MS",('Net zero Activity data'!AQ18*EF!$H31)*kgtoGg,"ERROR")))</f>
        <v>6.7036821362587692E-2</v>
      </c>
      <c r="Y943" s="93">
        <f>IF('Net zero activities &amp; levers'!$C$12="Off",('Activity data'!AR18*EF!$H31)*kgtoGg,IF('Net zero activities &amp; levers'!$C$12="PB",('Activity data'!AR18*EF!$H31)*kgtoGg,IF('Net zero activities &amp; levers'!$C$12="MS",('Net zero Activity data'!AR18*EF!$H31)*kgtoGg,"ERROR")))</f>
        <v>6.775101948564978E-2</v>
      </c>
      <c r="Z943" s="93">
        <f>IF('Net zero activities &amp; levers'!$C$12="Off",('Activity data'!AS18*EF!$H31)*kgtoGg,IF('Net zero activities &amp; levers'!$C$12="PB",('Activity data'!AS18*EF!$H31)*kgtoGg,IF('Net zero activities &amp; levers'!$C$12="MS",('Net zero Activity data'!AS18*EF!$H31)*kgtoGg,"ERROR")))</f>
        <v>6.8626208738834141E-2</v>
      </c>
      <c r="AA943" s="93">
        <f>IF('Net zero activities &amp; levers'!$C$12="Off",('Activity data'!AT18*EF!$H31)*kgtoGg,IF('Net zero activities &amp; levers'!$C$12="PB",('Activity data'!AT18*EF!$H31)*kgtoGg,IF('Net zero activities &amp; levers'!$C$12="MS",('Net zero Activity data'!AT18*EF!$H31)*kgtoGg,"ERROR")))</f>
        <v>6.951163245366497E-2</v>
      </c>
      <c r="AB943" s="93">
        <f>IF('Net zero activities &amp; levers'!$C$12="Off",('Activity data'!AU18*EF!$H31)*kgtoGg,IF('Net zero activities &amp; levers'!$C$12="PB",('Activity data'!AU18*EF!$H31)*kgtoGg,IF('Net zero activities &amp; levers'!$C$12="MS",('Net zero Activity data'!AU18*EF!$H31)*kgtoGg,"ERROR")))</f>
        <v>7.0533895769105751E-2</v>
      </c>
      <c r="AC943" s="93">
        <f>IF('Net zero activities &amp; levers'!$C$12="Off",('Activity data'!AV18*EF!$H31)*kgtoGg,IF('Net zero activities &amp; levers'!$C$12="PB",('Activity data'!AV18*EF!$H31)*kgtoGg,IF('Net zero activities &amp; levers'!$C$12="MS",('Net zero Activity data'!AV18*EF!$H31)*kgtoGg,"ERROR")))</f>
        <v>7.1549103446923737E-2</v>
      </c>
      <c r="AD943" s="93">
        <f>IF('Net zero activities &amp; levers'!$C$12="Off",('Activity data'!AW18*EF!$H31)*kgtoGg,IF('Net zero activities &amp; levers'!$C$12="PB",('Activity data'!AW18*EF!$H31)*kgtoGg,IF('Net zero activities &amp; levers'!$C$12="MS",('Net zero Activity data'!AW18*EF!$H31)*kgtoGg,"ERROR")))</f>
        <v>7.2811271656192611E-2</v>
      </c>
      <c r="AE943" s="93">
        <f>IF('Net zero activities &amp; levers'!$C$12="Off",('Activity data'!AX18*EF!$H31)*kgtoGg,IF('Net zero activities &amp; levers'!$C$12="PB",('Activity data'!AX18*EF!$H31)*kgtoGg,IF('Net zero activities &amp; levers'!$C$12="MS",('Net zero Activity data'!AX18*EF!$H31)*kgtoGg,"ERROR")))</f>
        <v>7.3973189679115328E-2</v>
      </c>
      <c r="AF943" s="93">
        <f>IF('Net zero activities &amp; levers'!$C$12="Off",('Activity data'!AY18*EF!$H31)*kgtoGg,IF('Net zero activities &amp; levers'!$C$12="PB",('Activity data'!AY18*EF!$H31)*kgtoGg,IF('Net zero activities &amp; levers'!$C$12="MS",('Net zero Activity data'!AY18*EF!$H31)*kgtoGg,"ERROR")))</f>
        <v>7.5209563350521091E-2</v>
      </c>
      <c r="AG943" s="93">
        <f>IF('Net zero activities &amp; levers'!$C$12="Off",('Activity data'!AZ18*EF!$H31)*kgtoGg,IF('Net zero activities &amp; levers'!$C$12="PB",('Activity data'!AZ18*EF!$H31)*kgtoGg,IF('Net zero activities &amp; levers'!$C$12="MS",('Net zero Activity data'!AZ18*EF!$H31)*kgtoGg,"ERROR")))</f>
        <v>7.6717777936316622E-2</v>
      </c>
      <c r="AH943" s="93">
        <f>IF('Net zero activities &amp; levers'!$C$12="Off",('Activity data'!BA18*EF!$H31)*kgtoGg,IF('Net zero activities &amp; levers'!$C$12="PB",('Activity data'!BA18*EF!$H31)*kgtoGg,IF('Net zero activities &amp; levers'!$C$12="MS",('Net zero Activity data'!BA18*EF!$H31)*kgtoGg,"ERROR")))</f>
        <v>7.801283851368343E-2</v>
      </c>
      <c r="AI943" s="93">
        <f>IF('Net zero activities &amp; levers'!$C$12="Off",('Activity data'!BB18*EF!$H31)*kgtoGg,IF('Net zero activities &amp; levers'!$C$12="PB",('Activity data'!BB18*EF!$H31)*kgtoGg,IF('Net zero activities &amp; levers'!$C$12="MS",('Net zero Activity data'!BB18*EF!$H31)*kgtoGg,"ERROR")))</f>
        <v>7.9410657122909484E-2</v>
      </c>
      <c r="AJ943" s="93">
        <f>IF('Net zero activities &amp; levers'!$C$12="Off",('Activity data'!BC18*EF!$H31)*kgtoGg,IF('Net zero activities &amp; levers'!$C$12="PB",('Activity data'!BC18*EF!$H31)*kgtoGg,IF('Net zero activities &amp; levers'!$C$12="MS",('Net zero Activity data'!BC18*EF!$H31)*kgtoGg,"ERROR")))</f>
        <v>8.0927752366984504E-2</v>
      </c>
      <c r="AK943" s="93">
        <f>IF('Net zero activities &amp; levers'!$C$12="Off",('Activity data'!BD18*EF!$H31)*kgtoGg,IF('Net zero activities &amp; levers'!$C$12="PB",('Activity data'!BD18*EF!$H31)*kgtoGg,IF('Net zero activities &amp; levers'!$C$12="MS",('Net zero Activity data'!BD18*EF!$H31)*kgtoGg,"ERROR")))</f>
        <v>8.2193353660010307E-2</v>
      </c>
      <c r="AL943" s="93">
        <f>IF('Net zero activities &amp; levers'!$C$12="Off",('Activity data'!BE18*EF!$H31)*kgtoGg,IF('Net zero activities &amp; levers'!$C$12="PB",('Activity data'!BE18*EF!$H31)*kgtoGg,IF('Net zero activities &amp; levers'!$C$12="MS",('Net zero Activity data'!BE18*EF!$H31)*kgtoGg,"ERROR")))</f>
        <v>8.3380216004592958E-2</v>
      </c>
      <c r="AM943" s="93">
        <f>IF('Net zero activities &amp; levers'!$C$12="Off",('Activity data'!BF18*EF!$H31)*kgtoGg,IF('Net zero activities &amp; levers'!$C$12="PB",('Activity data'!BF18*EF!$H31)*kgtoGg,IF('Net zero activities &amp; levers'!$C$12="MS",('Net zero Activity data'!BF18*EF!$H31)*kgtoGg,"ERROR")))</f>
        <v>8.4497911690313968E-2</v>
      </c>
      <c r="AN943" s="93">
        <f>IF('Net zero activities &amp; levers'!$C$12="Off",('Activity data'!BG18*EF!$H31)*kgtoGg,IF('Net zero activities &amp; levers'!$C$12="PB",('Activity data'!BG18*EF!$H31)*kgtoGg,IF('Net zero activities &amp; levers'!$C$12="MS",('Net zero Activity data'!BG18*EF!$H31)*kgtoGg,"ERROR")))</f>
        <v>8.5788471121755847E-2</v>
      </c>
      <c r="AO943" s="93">
        <f>IF('Net zero activities &amp; levers'!$C$12="Off",('Activity data'!BH18*EF!$H31)*kgtoGg,IF('Net zero activities &amp; levers'!$C$12="PB",('Activity data'!BH18*EF!$H31)*kgtoGg,IF('Net zero activities &amp; levers'!$C$12="MS",('Net zero Activity data'!BH18*EF!$H31)*kgtoGg,"ERROR")))</f>
        <v>8.6907865063352116E-2</v>
      </c>
      <c r="AP943" s="93">
        <f>IF('Net zero activities &amp; levers'!$C$12="Off",('Activity data'!BI18*EF!$H31)*kgtoGg,IF('Net zero activities &amp; levers'!$C$12="PB",('Activity data'!BI18*EF!$H31)*kgtoGg,IF('Net zero activities &amp; levers'!$C$12="MS",('Net zero Activity data'!BI18*EF!$H31)*kgtoGg,"ERROR")))</f>
        <v>8.8063363971774958E-2</v>
      </c>
      <c r="AQ943" s="93">
        <f>IF('Net zero activities &amp; levers'!$C$12="Off",('Activity data'!BJ18*EF!$H31)*kgtoGg,IF('Net zero activities &amp; levers'!$C$12="PB",('Activity data'!BJ18*EF!$H31)*kgtoGg,IF('Net zero activities &amp; levers'!$C$12="MS",('Net zero Activity data'!BJ18*EF!$H31)*kgtoGg,"ERROR")))</f>
        <v>8.9263683509990727E-2</v>
      </c>
      <c r="AR943" s="93">
        <f>IF('Net zero activities &amp; levers'!$C$12="Off",('Activity data'!BK18*EF!$H31)*kgtoGg,IF('Net zero activities &amp; levers'!$C$12="PB",('Activity data'!BK18*EF!$H31)*kgtoGg,IF('Net zero activities &amp; levers'!$C$12="MS",('Net zero Activity data'!BK18*EF!$H31)*kgtoGg,"ERROR")))</f>
        <v>9.0523842671562632E-2</v>
      </c>
      <c r="AS943" s="93">
        <f>IF('Net zero activities &amp; levers'!$C$12="Off",('Activity data'!BL18*EF!$H31)*kgtoGg,IF('Net zero activities &amp; levers'!$C$12="PB",('Activity data'!BL18*EF!$H31)*kgtoGg,IF('Net zero activities &amp; levers'!$C$12="MS",('Net zero Activity data'!BL18*EF!$H31)*kgtoGg,"ERROR")))</f>
        <v>9.1847093353967207E-2</v>
      </c>
      <c r="AT943" s="93">
        <f>IF('Net zero activities &amp; levers'!$C$12="Off",('Activity data'!BM18*EF!$H31)*kgtoGg,IF('Net zero activities &amp; levers'!$C$12="PB",('Activity data'!BM18*EF!$H31)*kgtoGg,IF('Net zero activities &amp; levers'!$C$12="MS",('Net zero Activity data'!BM18*EF!$H31)*kgtoGg,"ERROR")))</f>
        <v>9.1041877141302144E-2</v>
      </c>
      <c r="AU943" s="93">
        <f>IF('Net zero activities &amp; levers'!$C$12="Off",('Activity data'!BN18*EF!$H31)*kgtoGg,IF('Net zero activities &amp; levers'!$C$12="PB",('Activity data'!BN18*EF!$H31)*kgtoGg,IF('Net zero activities &amp; levers'!$C$12="MS",('Net zero Activity data'!BN18*EF!$H31)*kgtoGg,"ERROR")))</f>
        <v>9.0050578981051232E-2</v>
      </c>
      <c r="AV943" s="93">
        <f>IF('Net zero activities &amp; levers'!$C$12="Off",('Activity data'!BO18*EF!$H31)*kgtoGg,IF('Net zero activities &amp; levers'!$C$12="PB",('Activity data'!BO18*EF!$H31)*kgtoGg,IF('Net zero activities &amp; levers'!$C$12="MS",('Net zero Activity data'!BO18*EF!$H31)*kgtoGg,"ERROR")))</f>
        <v>8.8799732979655169E-2</v>
      </c>
      <c r="AW943" s="93">
        <f>IF('Net zero activities &amp; levers'!$C$12="Off",('Activity data'!BP18*EF!$H31)*kgtoGg,IF('Net zero activities &amp; levers'!$C$12="PB",('Activity data'!BP18*EF!$H31)*kgtoGg,IF('Net zero activities &amp; levers'!$C$12="MS",('Net zero Activity data'!BP18*EF!$H31)*kgtoGg,"ERROR")))</f>
        <v>8.7487541439019989E-2</v>
      </c>
      <c r="AY943" s="79"/>
      <c r="AZ943" s="79"/>
    </row>
    <row r="944" spans="1:52" x14ac:dyDescent="0.3">
      <c r="A944" s="95" t="str">
        <f t="shared" si="326"/>
        <v>DS Poultry MMCH4</v>
      </c>
      <c r="B944" s="95" t="s">
        <v>974</v>
      </c>
      <c r="C944" s="95" t="s">
        <v>1231</v>
      </c>
      <c r="D944" t="s">
        <v>15</v>
      </c>
      <c r="E944" t="s">
        <v>22</v>
      </c>
      <c r="F944" t="s">
        <v>28</v>
      </c>
      <c r="G944" t="s">
        <v>131</v>
      </c>
      <c r="H944" t="s">
        <v>1227</v>
      </c>
      <c r="I944" t="s">
        <v>121</v>
      </c>
      <c r="J944" t="s">
        <v>286</v>
      </c>
      <c r="K944" s="93">
        <f>IF('Net zero activities &amp; levers'!$C$12="Off",('Activity data'!AD19*EF!$H32)*kgtoGg,IF('Net zero activities &amp; levers'!$C$12="PB",('Activity data'!AD19*EF!$H32)*kgtoGg,IF('Net zero activities &amp; levers'!$C$12="MS",('Net zero Activity data'!AD19*EF!$H32)*kgtoGg,"ERROR")))</f>
        <v>0.55586528215230246</v>
      </c>
      <c r="L944" s="93">
        <f>IF('Net zero activities &amp; levers'!$C$12="Off",('Activity data'!AE19*EF!$H32)*kgtoGg,IF('Net zero activities &amp; levers'!$C$12="PB",('Activity data'!AE19*EF!$H32)*kgtoGg,IF('Net zero activities &amp; levers'!$C$12="MS",('Net zero Activity data'!AE19*EF!$H32)*kgtoGg,"ERROR")))</f>
        <v>0.56716712532642333</v>
      </c>
      <c r="M944" s="93">
        <f>IF('Net zero activities &amp; levers'!$C$12="Off",('Activity data'!AF19*EF!$H32)*kgtoGg,IF('Net zero activities &amp; levers'!$C$12="PB",('Activity data'!AF19*EF!$H32)*kgtoGg,IF('Net zero activities &amp; levers'!$C$12="MS",('Net zero Activity data'!AF19*EF!$H32)*kgtoGg,"ERROR")))</f>
        <v>0.58037790885594753</v>
      </c>
      <c r="N944" s="93">
        <f>IF('Net zero activities &amp; levers'!$C$12="Off",('Activity data'!AG19*EF!$H32)*kgtoGg,IF('Net zero activities &amp; levers'!$C$12="PB",('Activity data'!AG19*EF!$H32)*kgtoGg,IF('Net zero activities &amp; levers'!$C$12="MS",('Net zero Activity data'!AG19*EF!$H32)*kgtoGg,"ERROR")))</f>
        <v>0.5905201523722613</v>
      </c>
      <c r="O944" s="93">
        <f>IF('Net zero activities &amp; levers'!$C$12="Off",('Activity data'!AH19*EF!$H32)*kgtoGg,IF('Net zero activities &amp; levers'!$C$12="PB",('Activity data'!AH19*EF!$H32)*kgtoGg,IF('Net zero activities &amp; levers'!$C$12="MS",('Net zero Activity data'!AH19*EF!$H32)*kgtoGg,"ERROR")))</f>
        <v>0.5986618277459016</v>
      </c>
      <c r="P944" s="93">
        <f>IF('Net zero activities &amp; levers'!$C$12="Off",('Activity data'!AI19*EF!$H32)*kgtoGg,IF('Net zero activities &amp; levers'!$C$12="PB",('Activity data'!AI19*EF!$H32)*kgtoGg,IF('Net zero activities &amp; levers'!$C$12="MS",('Net zero Activity data'!AI19*EF!$H32)*kgtoGg,"ERROR")))</f>
        <v>0.60475451589519691</v>
      </c>
      <c r="Q944" s="93">
        <f>IF('Net zero activities &amp; levers'!$C$12="Off",('Activity data'!AJ19*EF!$H32)*kgtoGg,IF('Net zero activities &amp; levers'!$C$12="PB",('Activity data'!AJ19*EF!$H32)*kgtoGg,IF('Net zero activities &amp; levers'!$C$12="MS",('Net zero Activity data'!AJ19*EF!$H32)*kgtoGg,"ERROR")))</f>
        <v>0.61256702388185857</v>
      </c>
      <c r="R944" s="93">
        <f>IF('Net zero activities &amp; levers'!$C$12="Off",('Activity data'!AK19*EF!$H32)*kgtoGg,IF('Net zero activities &amp; levers'!$C$12="PB",('Activity data'!AK19*EF!$H32)*kgtoGg,IF('Net zero activities &amp; levers'!$C$12="MS",('Net zero Activity data'!AK19*EF!$H32)*kgtoGg,"ERROR")))</f>
        <v>0.6206898695388976</v>
      </c>
      <c r="S944" s="93">
        <f>IF('Net zero activities &amp; levers'!$C$12="Off",('Activity data'!AL19*EF!$H32)*kgtoGg,IF('Net zero activities &amp; levers'!$C$12="PB",('Activity data'!AL19*EF!$H32)*kgtoGg,IF('Net zero activities &amp; levers'!$C$12="MS",('Net zero Activity data'!AL19*EF!$H32)*kgtoGg,"ERROR")))</f>
        <v>0.59306384026239212</v>
      </c>
      <c r="T944" s="93">
        <f>IF('Net zero activities &amp; levers'!$C$12="Off",('Activity data'!AM19*EF!$H32)*kgtoGg,IF('Net zero activities &amp; levers'!$C$12="PB",('Activity data'!AM19*EF!$H32)*kgtoGg,IF('Net zero activities &amp; levers'!$C$12="MS",('Net zero Activity data'!AM19*EF!$H32)*kgtoGg,"ERROR")))</f>
        <v>0.60782510553672808</v>
      </c>
      <c r="U944" s="93">
        <f>IF('Net zero activities &amp; levers'!$C$12="Off",('Activity data'!AN19*EF!$H32)*kgtoGg,IF('Net zero activities &amp; levers'!$C$12="PB",('Activity data'!AN19*EF!$H32)*kgtoGg,IF('Net zero activities &amp; levers'!$C$12="MS",('Net zero Activity data'!AN19*EF!$H32)*kgtoGg,"ERROR")))</f>
        <v>0.62749693593989653</v>
      </c>
      <c r="V944" s="93">
        <f>IF('Net zero activities &amp; levers'!$C$12="Off",('Activity data'!AO19*EF!$H32)*kgtoGg,IF('Net zero activities &amp; levers'!$C$12="PB",('Activity data'!AO19*EF!$H32)*kgtoGg,IF('Net zero activities &amp; levers'!$C$12="MS",('Net zero Activity data'!AO19*EF!$H32)*kgtoGg,"ERROR")))</f>
        <v>0.63952779473480192</v>
      </c>
      <c r="W944" s="93">
        <f>IF('Net zero activities &amp; levers'!$C$12="Off",('Activity data'!AP19*EF!$H32)*kgtoGg,IF('Net zero activities &amp; levers'!$C$12="PB",('Activity data'!AP19*EF!$H32)*kgtoGg,IF('Net zero activities &amp; levers'!$C$12="MS",('Net zero Activity data'!AP19*EF!$H32)*kgtoGg,"ERROR")))</f>
        <v>0.65264407206550135</v>
      </c>
      <c r="X944" s="93">
        <f>IF('Net zero activities &amp; levers'!$C$12="Off",('Activity data'!AQ19*EF!$H32)*kgtoGg,IF('Net zero activities &amp; levers'!$C$12="PB",('Activity data'!AQ19*EF!$H32)*kgtoGg,IF('Net zero activities &amp; levers'!$C$12="MS",('Net zero Activity data'!AQ19*EF!$H32)*kgtoGg,"ERROR")))</f>
        <v>0.66717765079794833</v>
      </c>
      <c r="Y944" s="93">
        <f>IF('Net zero activities &amp; levers'!$C$12="Off",('Activity data'!AR19*EF!$H32)*kgtoGg,IF('Net zero activities &amp; levers'!$C$12="PB",('Activity data'!AR19*EF!$H32)*kgtoGg,IF('Net zero activities &amp; levers'!$C$12="MS",('Net zero Activity data'!AR19*EF!$H32)*kgtoGg,"ERROR")))</f>
        <v>0.68218893777565714</v>
      </c>
      <c r="Z944" s="93">
        <f>IF('Net zero activities &amp; levers'!$C$12="Off",('Activity data'!AS19*EF!$H32)*kgtoGg,IF('Net zero activities &amp; levers'!$C$12="PB",('Activity data'!AS19*EF!$H32)*kgtoGg,IF('Net zero activities &amp; levers'!$C$12="MS",('Net zero Activity data'!AS19*EF!$H32)*kgtoGg,"ERROR")))</f>
        <v>0.6983681341066772</v>
      </c>
      <c r="AA944" s="93">
        <f>IF('Net zero activities &amp; levers'!$C$12="Off",('Activity data'!AT19*EF!$H32)*kgtoGg,IF('Net zero activities &amp; levers'!$C$12="PB",('Activity data'!AT19*EF!$H32)*kgtoGg,IF('Net zero activities &amp; levers'!$C$12="MS",('Net zero Activity data'!AT19*EF!$H32)*kgtoGg,"ERROR")))</f>
        <v>0.71491117725499365</v>
      </c>
      <c r="AB944" s="93">
        <f>IF('Net zero activities &amp; levers'!$C$12="Off",('Activity data'!AU19*EF!$H32)*kgtoGg,IF('Net zero activities &amp; levers'!$C$12="PB",('Activity data'!AU19*EF!$H32)*kgtoGg,IF('Net zero activities &amp; levers'!$C$12="MS",('Net zero Activity data'!AU19*EF!$H32)*kgtoGg,"ERROR")))</f>
        <v>0.73257463286693114</v>
      </c>
      <c r="AC944" s="93">
        <f>IF('Net zero activities &amp; levers'!$C$12="Off",('Activity data'!AV19*EF!$H32)*kgtoGg,IF('Net zero activities &amp; levers'!$C$12="PB",('Activity data'!AV19*EF!$H32)*kgtoGg,IF('Net zero activities &amp; levers'!$C$12="MS",('Net zero Activity data'!AV19*EF!$H32)*kgtoGg,"ERROR")))</f>
        <v>0.7505526685248175</v>
      </c>
      <c r="AD944" s="93">
        <f>IF('Net zero activities &amp; levers'!$C$12="Off",('Activity data'!AW19*EF!$H32)*kgtoGg,IF('Net zero activities &amp; levers'!$C$12="PB",('Activity data'!AW19*EF!$H32)*kgtoGg,IF('Net zero activities &amp; levers'!$C$12="MS",('Net zero Activity data'!AW19*EF!$H32)*kgtoGg,"ERROR")))</f>
        <v>0.76994977468450398</v>
      </c>
      <c r="AE944" s="93">
        <f>IF('Net zero activities &amp; levers'!$C$12="Off",('Activity data'!AX19*EF!$H32)*kgtoGg,IF('Net zero activities &amp; levers'!$C$12="PB",('Activity data'!AX19*EF!$H32)*kgtoGg,IF('Net zero activities &amp; levers'!$C$12="MS",('Net zero Activity data'!AX19*EF!$H32)*kgtoGg,"ERROR")))</f>
        <v>0.78914658446111008</v>
      </c>
      <c r="AF944" s="93">
        <f>IF('Net zero activities &amp; levers'!$C$12="Off",('Activity data'!AY19*EF!$H32)*kgtoGg,IF('Net zero activities &amp; levers'!$C$12="PB",('Activity data'!AY19*EF!$H32)*kgtoGg,IF('Net zero activities &amp; levers'!$C$12="MS",('Net zero Activity data'!AY19*EF!$H32)*kgtoGg,"ERROR")))</f>
        <v>0.80922915626502845</v>
      </c>
      <c r="AG944" s="93">
        <f>IF('Net zero activities &amp; levers'!$C$12="Off",('Activity data'!AZ19*EF!$H32)*kgtoGg,IF('Net zero activities &amp; levers'!$C$12="PB",('Activity data'!AZ19*EF!$H32)*kgtoGg,IF('Net zero activities &amp; levers'!$C$12="MS",('Net zero Activity data'!AZ19*EF!$H32)*kgtoGg,"ERROR")))</f>
        <v>0.83151801683952153</v>
      </c>
      <c r="AH944" s="93">
        <f>IF('Net zero activities &amp; levers'!$C$12="Off",('Activity data'!BA19*EF!$H32)*kgtoGg,IF('Net zero activities &amp; levers'!$C$12="PB",('Activity data'!BA19*EF!$H32)*kgtoGg,IF('Net zero activities &amp; levers'!$C$12="MS",('Net zero Activity data'!BA19*EF!$H32)*kgtoGg,"ERROR")))</f>
        <v>0.85291597213422199</v>
      </c>
      <c r="AI944" s="93">
        <f>IF('Net zero activities &amp; levers'!$C$12="Off",('Activity data'!BB19*EF!$H32)*kgtoGg,IF('Net zero activities &amp; levers'!$C$12="PB",('Activity data'!BB19*EF!$H32)*kgtoGg,IF('Net zero activities &amp; levers'!$C$12="MS",('Net zero Activity data'!BB19*EF!$H32)*kgtoGg,"ERROR")))</f>
        <v>0.87504492147223956</v>
      </c>
      <c r="AJ944" s="93">
        <f>IF('Net zero activities &amp; levers'!$C$12="Off",('Activity data'!BC19*EF!$H32)*kgtoGg,IF('Net zero activities &amp; levers'!$C$12="PB",('Activity data'!BC19*EF!$H32)*kgtoGg,IF('Net zero activities &amp; levers'!$C$12="MS",('Net zero Activity data'!BC19*EF!$H32)*kgtoGg,"ERROR")))</f>
        <v>0.89850514567918238</v>
      </c>
      <c r="AK944" s="93">
        <f>IF('Net zero activities &amp; levers'!$C$12="Off",('Activity data'!BD19*EF!$H32)*kgtoGg,IF('Net zero activities &amp; levers'!$C$12="PB",('Activity data'!BD19*EF!$H32)*kgtoGg,IF('Net zero activities &amp; levers'!$C$12="MS",('Net zero Activity data'!BD19*EF!$H32)*kgtoGg,"ERROR")))</f>
        <v>0.92075676441275556</v>
      </c>
      <c r="AL944" s="93">
        <f>IF('Net zero activities &amp; levers'!$C$12="Off",('Activity data'!BE19*EF!$H32)*kgtoGg,IF('Net zero activities &amp; levers'!$C$12="PB",('Activity data'!BE19*EF!$H32)*kgtoGg,IF('Net zero activities &amp; levers'!$C$12="MS",('Net zero Activity data'!BE19*EF!$H32)*kgtoGg,"ERROR")))</f>
        <v>0.94294773672658772</v>
      </c>
      <c r="AM944" s="93">
        <f>IF('Net zero activities &amp; levers'!$C$12="Off",('Activity data'!BF19*EF!$H32)*kgtoGg,IF('Net zero activities &amp; levers'!$C$12="PB",('Activity data'!BF19*EF!$H32)*kgtoGg,IF('Net zero activities &amp; levers'!$C$12="MS",('Net zero Activity data'!BF19*EF!$H32)*kgtoGg,"ERROR")))</f>
        <v>0.96512911525862388</v>
      </c>
      <c r="AN944" s="93">
        <f>IF('Net zero activities &amp; levers'!$C$12="Off",('Activity data'!BG19*EF!$H32)*kgtoGg,IF('Net zero activities &amp; levers'!$C$12="PB",('Activity data'!BG19*EF!$H32)*kgtoGg,IF('Net zero activities &amp; levers'!$C$12="MS",('Net zero Activity data'!BG19*EF!$H32)*kgtoGg,"ERROR")))</f>
        <v>0.98866250207381989</v>
      </c>
      <c r="AO944" s="93">
        <f>IF('Net zero activities &amp; levers'!$C$12="Off",('Activity data'!BH19*EF!$H32)*kgtoGg,IF('Net zero activities &amp; levers'!$C$12="PB",('Activity data'!BH19*EF!$H32)*kgtoGg,IF('Net zero activities &amp; levers'!$C$12="MS",('Net zero Activity data'!BH19*EF!$H32)*kgtoGg,"ERROR")))</f>
        <v>1.0114465581050009</v>
      </c>
      <c r="AP944" s="93">
        <f>IF('Net zero activities &amp; levers'!$C$12="Off",('Activity data'!BI19*EF!$H32)*kgtoGg,IF('Net zero activities &amp; levers'!$C$12="PB",('Activity data'!BI19*EF!$H32)*kgtoGg,IF('Net zero activities &amp; levers'!$C$12="MS",('Net zero Activity data'!BI19*EF!$H32)*kgtoGg,"ERROR")))</f>
        <v>1.0350196328361636</v>
      </c>
      <c r="AQ944" s="93">
        <f>IF('Net zero activities &amp; levers'!$C$12="Off",('Activity data'!BJ19*EF!$H32)*kgtoGg,IF('Net zero activities &amp; levers'!$C$12="PB",('Activity data'!BJ19*EF!$H32)*kgtoGg,IF('Net zero activities &amp; levers'!$C$12="MS",('Net zero Activity data'!BJ19*EF!$H32)*kgtoGg,"ERROR")))</f>
        <v>1.0594801323783987</v>
      </c>
      <c r="AR944" s="93">
        <f>IF('Net zero activities &amp; levers'!$C$12="Off",('Activity data'!BK19*EF!$H32)*kgtoGg,IF('Net zero activities &amp; levers'!$C$12="PB",('Activity data'!BK19*EF!$H32)*kgtoGg,IF('Net zero activities &amp; levers'!$C$12="MS",('Net zero Activity data'!BK19*EF!$H32)*kgtoGg,"ERROR")))</f>
        <v>1.0849829625275211</v>
      </c>
      <c r="AS944" s="93">
        <f>IF('Net zero activities &amp; levers'!$C$12="Off",('Activity data'!BL19*EF!$H32)*kgtoGg,IF('Net zero activities &amp; levers'!$C$12="PB",('Activity data'!BL19*EF!$H32)*kgtoGg,IF('Net zero activities &amp; levers'!$C$12="MS",('Net zero Activity data'!BL19*EF!$H32)*kgtoGg,"ERROR")))</f>
        <v>1.1111668702046387</v>
      </c>
      <c r="AT944" s="93">
        <f>IF('Net zero activities &amp; levers'!$C$12="Off",('Activity data'!BM19*EF!$H32)*kgtoGg,IF('Net zero activities &amp; levers'!$C$12="PB",('Activity data'!BM19*EF!$H32)*kgtoGg,IF('Net zero activities &amp; levers'!$C$12="MS",('Net zero Activity data'!BM19*EF!$H32)*kgtoGg,"ERROR")))</f>
        <v>1.1203381651267506</v>
      </c>
      <c r="AU944" s="93">
        <f>IF('Net zero activities &amp; levers'!$C$12="Off",('Activity data'!BN19*EF!$H32)*kgtoGg,IF('Net zero activities &amp; levers'!$C$12="PB",('Activity data'!BN19*EF!$H32)*kgtoGg,IF('Net zero activities &amp; levers'!$C$12="MS",('Net zero Activity data'!BN19*EF!$H32)*kgtoGg,"ERROR")))</f>
        <v>1.1279342308342708</v>
      </c>
      <c r="AV944" s="93">
        <f>IF('Net zero activities &amp; levers'!$C$12="Off",('Activity data'!BO19*EF!$H32)*kgtoGg,IF('Net zero activities &amp; levers'!$C$12="PB",('Activity data'!BO19*EF!$H32)*kgtoGg,IF('Net zero activities &amp; levers'!$C$12="MS",('Net zero Activity data'!BO19*EF!$H32)*kgtoGg,"ERROR")))</f>
        <v>1.13323884791937</v>
      </c>
      <c r="AW944" s="93">
        <f>IF('Net zero activities &amp; levers'!$C$12="Off",('Activity data'!BP19*EF!$H32)*kgtoGg,IF('Net zero activities &amp; levers'!$C$12="PB",('Activity data'!BP19*EF!$H32)*kgtoGg,IF('Net zero activities &amp; levers'!$C$12="MS",('Net zero Activity data'!BP19*EF!$H32)*kgtoGg,"ERROR")))</f>
        <v>1.137864963271239</v>
      </c>
      <c r="AY944" s="79"/>
      <c r="AZ944" s="79"/>
    </row>
    <row r="945" spans="1:52" x14ac:dyDescent="0.3">
      <c r="A945" s="95" t="str">
        <f t="shared" si="326"/>
        <v>DS Poultry MMCH4</v>
      </c>
      <c r="B945" s="95" t="s">
        <v>974</v>
      </c>
      <c r="C945" s="95" t="s">
        <v>1231</v>
      </c>
      <c r="D945" t="s">
        <v>15</v>
      </c>
      <c r="E945" t="s">
        <v>22</v>
      </c>
      <c r="F945" t="s">
        <v>28</v>
      </c>
      <c r="G945" t="s">
        <v>132</v>
      </c>
      <c r="H945" t="s">
        <v>1227</v>
      </c>
      <c r="I945" t="s">
        <v>121</v>
      </c>
      <c r="J945" t="s">
        <v>286</v>
      </c>
      <c r="K945" s="93">
        <f>IF('Net zero activities &amp; levers'!$C$12="Off",('Activity data'!AD20*EF!$H33)*kgtoGg,IF('Net zero activities &amp; levers'!$C$12="PB",('Activity data'!AD20*EF!$H33)*kgtoGg,IF('Net zero activities &amp; levers'!$C$12="MS",('Net zero Activity data'!AD20*EF!$H33)*kgtoGg,"ERROR")))</f>
        <v>2.2100196981344111</v>
      </c>
      <c r="L945" s="93">
        <f>IF('Net zero activities &amp; levers'!$C$12="Off",('Activity data'!AE20*EF!$H33)*kgtoGg,IF('Net zero activities &amp; levers'!$C$12="PB",('Activity data'!AE20*EF!$H33)*kgtoGg,IF('Net zero activities &amp; levers'!$C$12="MS",('Net zero Activity data'!AE20*EF!$H33)*kgtoGg,"ERROR")))</f>
        <v>2.2391217074451477</v>
      </c>
      <c r="M945" s="93">
        <f>IF('Net zero activities &amp; levers'!$C$12="Off",('Activity data'!AF20*EF!$H33)*kgtoGg,IF('Net zero activities &amp; levers'!$C$12="PB",('Activity data'!AF20*EF!$H33)*kgtoGg,IF('Net zero activities &amp; levers'!$C$12="MS",('Net zero Activity data'!AF20*EF!$H33)*kgtoGg,"ERROR")))</f>
        <v>2.2858678822724823</v>
      </c>
      <c r="N945" s="93">
        <f>IF('Net zero activities &amp; levers'!$C$12="Off",('Activity data'!AG20*EF!$H33)*kgtoGg,IF('Net zero activities &amp; levers'!$C$12="PB",('Activity data'!AG20*EF!$H33)*kgtoGg,IF('Net zero activities &amp; levers'!$C$12="MS",('Net zero Activity data'!AG20*EF!$H33)*kgtoGg,"ERROR")))</f>
        <v>2.2992900748078591</v>
      </c>
      <c r="O945" s="93">
        <f>IF('Net zero activities &amp; levers'!$C$12="Off",('Activity data'!AH20*EF!$H33)*kgtoGg,IF('Net zero activities &amp; levers'!$C$12="PB",('Activity data'!AH20*EF!$H33)*kgtoGg,IF('Net zero activities &amp; levers'!$C$12="MS",('Net zero Activity data'!AH20*EF!$H33)*kgtoGg,"ERROR")))</f>
        <v>2.2910596881616572</v>
      </c>
      <c r="P945" s="93">
        <f>IF('Net zero activities &amp; levers'!$C$12="Off",('Activity data'!AI20*EF!$H33)*kgtoGg,IF('Net zero activities &amp; levers'!$C$12="PB",('Activity data'!AI20*EF!$H33)*kgtoGg,IF('Net zero activities &amp; levers'!$C$12="MS",('Net zero Activity data'!AI20*EF!$H33)*kgtoGg,"ERROR")))</f>
        <v>2.2612642885898917</v>
      </c>
      <c r="Q945" s="93">
        <f>IF('Net zero activities &amp; levers'!$C$12="Off",('Activity data'!AJ20*EF!$H33)*kgtoGg,IF('Net zero activities &amp; levers'!$C$12="PB",('Activity data'!AJ20*EF!$H33)*kgtoGg,IF('Net zero activities &amp; levers'!$C$12="MS",('Net zero Activity data'!AJ20*EF!$H33)*kgtoGg,"ERROR")))</f>
        <v>2.2487211059946204</v>
      </c>
      <c r="R945" s="93">
        <f>IF('Net zero activities &amp; levers'!$C$12="Off",('Activity data'!AK20*EF!$H33)*kgtoGg,IF('Net zero activities &amp; levers'!$C$12="PB",('Activity data'!AK20*EF!$H33)*kgtoGg,IF('Net zero activities &amp; levers'!$C$12="MS",('Net zero Activity data'!AK20*EF!$H33)*kgtoGg,"ERROR")))</f>
        <v>2.2390235702415184</v>
      </c>
      <c r="S945" s="93">
        <f>IF('Net zero activities &amp; levers'!$C$12="Off",('Activity data'!AL20*EF!$H33)*kgtoGg,IF('Net zero activities &amp; levers'!$C$12="PB",('Activity data'!AL20*EF!$H33)*kgtoGg,IF('Net zero activities &amp; levers'!$C$12="MS",('Net zero Activity data'!AL20*EF!$H33)*kgtoGg,"ERROR")))</f>
        <v>1.8873806466050964</v>
      </c>
      <c r="T945" s="93">
        <f>IF('Net zero activities &amp; levers'!$C$12="Off",('Activity data'!AM20*EF!$H33)*kgtoGg,IF('Net zero activities &amp; levers'!$C$12="PB",('Activity data'!AM20*EF!$H33)*kgtoGg,IF('Net zero activities &amp; levers'!$C$12="MS",('Net zero Activity data'!AM20*EF!$H33)*kgtoGg,"ERROR")))</f>
        <v>1.9621300984115682</v>
      </c>
      <c r="U945" s="93">
        <f>IF('Net zero activities &amp; levers'!$C$12="Off",('Activity data'!AN20*EF!$H33)*kgtoGg,IF('Net zero activities &amp; levers'!$C$12="PB",('Activity data'!AN20*EF!$H33)*kgtoGg,IF('Net zero activities &amp; levers'!$C$12="MS",('Net zero Activity data'!AN20*EF!$H33)*kgtoGg,"ERROR")))</f>
        <v>2.0814254172868796</v>
      </c>
      <c r="V945" s="93">
        <f>IF('Net zero activities &amp; levers'!$C$12="Off",('Activity data'!AO20*EF!$H33)*kgtoGg,IF('Net zero activities &amp; levers'!$C$12="PB",('Activity data'!AO20*EF!$H33)*kgtoGg,IF('Net zero activities &amp; levers'!$C$12="MS",('Net zero Activity data'!AO20*EF!$H33)*kgtoGg,"ERROR")))</f>
        <v>2.1274151344864149</v>
      </c>
      <c r="W945" s="93">
        <f>IF('Net zero activities &amp; levers'!$C$12="Off",('Activity data'!AP20*EF!$H33)*kgtoGg,IF('Net zero activities &amp; levers'!$C$12="PB",('Activity data'!AP20*EF!$H33)*kgtoGg,IF('Net zero activities &amp; levers'!$C$12="MS",('Net zero Activity data'!AP20*EF!$H33)*kgtoGg,"ERROR")))</f>
        <v>2.1824506881567056</v>
      </c>
      <c r="X945" s="93">
        <f>IF('Net zero activities &amp; levers'!$C$12="Off",('Activity data'!AQ20*EF!$H33)*kgtoGg,IF('Net zero activities &amp; levers'!$C$12="PB",('Activity data'!AQ20*EF!$H33)*kgtoGg,IF('Net zero activities &amp; levers'!$C$12="MS",('Net zero Activity data'!AQ20*EF!$H33)*kgtoGg,"ERROR")))</f>
        <v>2.2493281606911828</v>
      </c>
      <c r="Y945" s="93">
        <f>IF('Net zero activities &amp; levers'!$C$12="Off",('Activity data'!AR20*EF!$H33)*kgtoGg,IF('Net zero activities &amp; levers'!$C$12="PB",('Activity data'!AR20*EF!$H33)*kgtoGg,IF('Net zero activities &amp; levers'!$C$12="MS",('Net zero Activity data'!AR20*EF!$H33)*kgtoGg,"ERROR")))</f>
        <v>2.3261233859270511</v>
      </c>
      <c r="Z945" s="93">
        <f>IF('Net zero activities &amp; levers'!$C$12="Off",('Activity data'!AS20*EF!$H33)*kgtoGg,IF('Net zero activities &amp; levers'!$C$12="PB",('Activity data'!AS20*EF!$H33)*kgtoGg,IF('Net zero activities &amp; levers'!$C$12="MS",('Net zero Activity data'!AS20*EF!$H33)*kgtoGg,"ERROR")))</f>
        <v>2.4121225146398793</v>
      </c>
      <c r="AA945" s="93">
        <f>IF('Net zero activities &amp; levers'!$C$12="Off",('Activity data'!AT20*EF!$H33)*kgtoGg,IF('Net zero activities &amp; levers'!$C$12="PB",('Activity data'!AT20*EF!$H33)*kgtoGg,IF('Net zero activities &amp; levers'!$C$12="MS",('Net zero Activity data'!AT20*EF!$H33)*kgtoGg,"ERROR")))</f>
        <v>2.4999478814416944</v>
      </c>
      <c r="AB945" s="93">
        <f>IF('Net zero activities &amp; levers'!$C$12="Off",('Activity data'!AU20*EF!$H33)*kgtoGg,IF('Net zero activities &amp; levers'!$C$12="PB",('Activity data'!AU20*EF!$H33)*kgtoGg,IF('Net zero activities &amp; levers'!$C$12="MS",('Net zero Activity data'!AU20*EF!$H33)*kgtoGg,"ERROR")))</f>
        <v>2.5962654285530302</v>
      </c>
      <c r="AC945" s="93">
        <f>IF('Net zero activities &amp; levers'!$C$12="Off",('Activity data'!AV20*EF!$H33)*kgtoGg,IF('Net zero activities &amp; levers'!$C$12="PB",('Activity data'!AV20*EF!$H33)*kgtoGg,IF('Net zero activities &amp; levers'!$C$12="MS",('Net zero Activity data'!AV20*EF!$H33)*kgtoGg,"ERROR")))</f>
        <v>2.6938179504840183</v>
      </c>
      <c r="AD945" s="93">
        <f>IF('Net zero activities &amp; levers'!$C$12="Off",('Activity data'!AW20*EF!$H33)*kgtoGg,IF('Net zero activities &amp; levers'!$C$12="PB",('Activity data'!AW20*EF!$H33)*kgtoGg,IF('Net zero activities &amp; levers'!$C$12="MS",('Net zero Activity data'!AW20*EF!$H33)*kgtoGg,"ERROR")))</f>
        <v>2.8076989520027458</v>
      </c>
      <c r="AE945" s="93">
        <f>IF('Net zero activities &amp; levers'!$C$12="Off",('Activity data'!AX20*EF!$H33)*kgtoGg,IF('Net zero activities &amp; levers'!$C$12="PB",('Activity data'!AX20*EF!$H33)*kgtoGg,IF('Net zero activities &amp; levers'!$C$12="MS",('Net zero Activity data'!AX20*EF!$H33)*kgtoGg,"ERROR")))</f>
        <v>2.9182147779075716</v>
      </c>
      <c r="AF945" s="93">
        <f>IF('Net zero activities &amp; levers'!$C$12="Off",('Activity data'!AY20*EF!$H33)*kgtoGg,IF('Net zero activities &amp; levers'!$C$12="PB",('Activity data'!AY20*EF!$H33)*kgtoGg,IF('Net zero activities &amp; levers'!$C$12="MS",('Net zero Activity data'!AY20*EF!$H33)*kgtoGg,"ERROR")))</f>
        <v>3.0347920342807941</v>
      </c>
      <c r="AG945" s="93">
        <f>IF('Net zero activities &amp; levers'!$C$12="Off",('Activity data'!AZ20*EF!$H33)*kgtoGg,IF('Net zero activities &amp; levers'!$C$12="PB",('Activity data'!AZ20*EF!$H33)*kgtoGg,IF('Net zero activities &amp; levers'!$C$12="MS",('Net zero Activity data'!AZ20*EF!$H33)*kgtoGg,"ERROR")))</f>
        <v>3.1685994721864104</v>
      </c>
      <c r="AH945" s="93">
        <f>IF('Net zero activities &amp; levers'!$C$12="Off",('Activity data'!BA20*EF!$H33)*kgtoGg,IF('Net zero activities &amp; levers'!$C$12="PB",('Activity data'!BA20*EF!$H33)*kgtoGg,IF('Net zero activities &amp; levers'!$C$12="MS",('Net zero Activity data'!BA20*EF!$H33)*kgtoGg,"ERROR")))</f>
        <v>3.2930349508119656</v>
      </c>
      <c r="AI945" s="93">
        <f>IF('Net zero activities &amp; levers'!$C$12="Off",('Activity data'!BB20*EF!$H33)*kgtoGg,IF('Net zero activities &amp; levers'!$C$12="PB",('Activity data'!BB20*EF!$H33)*kgtoGg,IF('Net zero activities &amp; levers'!$C$12="MS",('Net zero Activity data'!BB20*EF!$H33)*kgtoGg,"ERROR")))</f>
        <v>3.427074485424797</v>
      </c>
      <c r="AJ945" s="93">
        <f>IF('Net zero activities &amp; levers'!$C$12="Off",('Activity data'!BC20*EF!$H33)*kgtoGg,IF('Net zero activities &amp; levers'!$C$12="PB",('Activity data'!BC20*EF!$H33)*kgtoGg,IF('Net zero activities &amp; levers'!$C$12="MS",('Net zero Activity data'!BC20*EF!$H33)*kgtoGg,"ERROR")))</f>
        <v>3.5705841120118782</v>
      </c>
      <c r="AK945" s="93">
        <f>IF('Net zero activities &amp; levers'!$C$12="Off",('Activity data'!BD20*EF!$H33)*kgtoGg,IF('Net zero activities &amp; levers'!$C$12="PB",('Activity data'!BD20*EF!$H33)*kgtoGg,IF('Net zero activities &amp; levers'!$C$12="MS",('Net zero Activity data'!BD20*EF!$H33)*kgtoGg,"ERROR")))</f>
        <v>3.702270113838861</v>
      </c>
      <c r="AL945" s="93">
        <f>IF('Net zero activities &amp; levers'!$C$12="Off",('Activity data'!BE20*EF!$H33)*kgtoGg,IF('Net zero activities &amp; levers'!$C$12="PB",('Activity data'!BE20*EF!$H33)*kgtoGg,IF('Net zero activities &amp; levers'!$C$12="MS",('Net zero Activity data'!BE20*EF!$H33)*kgtoGg,"ERROR")))</f>
        <v>3.8318633402397859</v>
      </c>
      <c r="AM945" s="93">
        <f>IF('Net zero activities &amp; levers'!$C$12="Off",('Activity data'!BF20*EF!$H33)*kgtoGg,IF('Net zero activities &amp; levers'!$C$12="PB",('Activity data'!BF20*EF!$H33)*kgtoGg,IF('Net zero activities &amp; levers'!$C$12="MS",('Net zero Activity data'!BF20*EF!$H33)*kgtoGg,"ERROR")))</f>
        <v>3.9598368656050509</v>
      </c>
      <c r="AN945" s="93">
        <f>IF('Net zero activities &amp; levers'!$C$12="Off",('Activity data'!BG20*EF!$H33)*kgtoGg,IF('Net zero activities &amp; levers'!$C$12="PB",('Activity data'!BG20*EF!$H33)*kgtoGg,IF('Net zero activities &amp; levers'!$C$12="MS",('Net zero Activity data'!BG20*EF!$H33)*kgtoGg,"ERROR")))</f>
        <v>4.1020537482739581</v>
      </c>
      <c r="AO945" s="93">
        <f>IF('Net zero activities &amp; levers'!$C$12="Off",('Activity data'!BH20*EF!$H33)*kgtoGg,IF('Net zero activities &amp; levers'!$C$12="PB",('Activity data'!BH20*EF!$H33)*kgtoGg,IF('Net zero activities &amp; levers'!$C$12="MS",('Net zero Activity data'!BH20*EF!$H33)*kgtoGg,"ERROR")))</f>
        <v>4.2366042379514601</v>
      </c>
      <c r="AP945" s="93">
        <f>IF('Net zero activities &amp; levers'!$C$12="Off",('Activity data'!BI20*EF!$H33)*kgtoGg,IF('Net zero activities &amp; levers'!$C$12="PB",('Activity data'!BI20*EF!$H33)*kgtoGg,IF('Net zero activities &amp; levers'!$C$12="MS",('Net zero Activity data'!BI20*EF!$H33)*kgtoGg,"ERROR")))</f>
        <v>4.376057584996432</v>
      </c>
      <c r="AQ945" s="93">
        <f>IF('Net zero activities &amp; levers'!$C$12="Off",('Activity data'!BJ20*EF!$H33)*kgtoGg,IF('Net zero activities &amp; levers'!$C$12="PB",('Activity data'!BJ20*EF!$H33)*kgtoGg,IF('Net zero activities &amp; levers'!$C$12="MS",('Net zero Activity data'!BJ20*EF!$H33)*kgtoGg,"ERROR")))</f>
        <v>4.5211331273416295</v>
      </c>
      <c r="AR945" s="93">
        <f>IF('Net zero activities &amp; levers'!$C$12="Off",('Activity data'!BK20*EF!$H33)*kgtoGg,IF('Net zero activities &amp; levers'!$C$12="PB",('Activity data'!BK20*EF!$H33)*kgtoGg,IF('Net zero activities &amp; levers'!$C$12="MS",('Net zero Activity data'!BK20*EF!$H33)*kgtoGg,"ERROR")))</f>
        <v>4.67298612402322</v>
      </c>
      <c r="AS945" s="93">
        <f>IF('Net zero activities &amp; levers'!$C$12="Off",('Activity data'!BL20*EF!$H33)*kgtoGg,IF('Net zero activities &amp; levers'!$C$12="PB",('Activity data'!BL20*EF!$H33)*kgtoGg,IF('Net zero activities &amp; levers'!$C$12="MS",('Net zero Activity data'!BL20*EF!$H33)*kgtoGg,"ERROR")))</f>
        <v>4.8333405314076359</v>
      </c>
      <c r="AT945" s="93">
        <f>IF('Net zero activities &amp; levers'!$C$12="Off",('Activity data'!BM20*EF!$H33)*kgtoGg,IF('Net zero activities &amp; levers'!$C$12="PB",('Activity data'!BM20*EF!$H33)*kgtoGg,IF('Net zero activities &amp; levers'!$C$12="MS",('Net zero Activity data'!BM20*EF!$H33)*kgtoGg,"ERROR")))</f>
        <v>4.8577536687430269</v>
      </c>
      <c r="AU945" s="93">
        <f>IF('Net zero activities &amp; levers'!$C$12="Off",('Activity data'!BN20*EF!$H33)*kgtoGg,IF('Net zero activities &amp; levers'!$C$12="PB",('Activity data'!BN20*EF!$H33)*kgtoGg,IF('Net zero activities &amp; levers'!$C$12="MS",('Net zero Activity data'!BN20*EF!$H33)*kgtoGg,"ERROR")))</f>
        <v>4.8696640260341857</v>
      </c>
      <c r="AV945" s="93">
        <f>IF('Net zero activities &amp; levers'!$C$12="Off",('Activity data'!BO20*EF!$H33)*kgtoGg,IF('Net zero activities &amp; levers'!$C$12="PB",('Activity data'!BO20*EF!$H33)*kgtoGg,IF('Net zero activities &amp; levers'!$C$12="MS",('Net zero Activity data'!BO20*EF!$H33)*kgtoGg,"ERROR")))</f>
        <v>4.8636695672494161</v>
      </c>
      <c r="AW945" s="93">
        <f>IF('Net zero activities &amp; levers'!$C$12="Off",('Activity data'!BP20*EF!$H33)*kgtoGg,IF('Net zero activities &amp; levers'!$C$12="PB",('Activity data'!BP20*EF!$H33)*kgtoGg,IF('Net zero activities &amp; levers'!$C$12="MS",('Net zero Activity data'!BP20*EF!$H33)*kgtoGg,"ERROR")))</f>
        <v>4.8525780818062749</v>
      </c>
      <c r="AY945" s="79"/>
      <c r="AZ945" s="79"/>
    </row>
    <row r="946" spans="1:52" x14ac:dyDescent="0.3">
      <c r="A946" s="95" t="str">
        <f t="shared" si="326"/>
        <v>DS Poultry MMCH4</v>
      </c>
      <c r="B946" s="95" t="s">
        <v>974</v>
      </c>
      <c r="C946" s="95" t="s">
        <v>1231</v>
      </c>
      <c r="D946" t="s">
        <v>15</v>
      </c>
      <c r="E946" t="s">
        <v>22</v>
      </c>
      <c r="F946" t="s">
        <v>28</v>
      </c>
      <c r="G946" t="s">
        <v>134</v>
      </c>
      <c r="H946" t="s">
        <v>1227</v>
      </c>
      <c r="I946" t="s">
        <v>121</v>
      </c>
      <c r="J946" t="s">
        <v>286</v>
      </c>
      <c r="K946" s="93">
        <f>IF('Net zero activities &amp; levers'!$C$12="Off",('Activity data'!AD21*EF!$H34)*kgtoGg,IF('Net zero activities &amp; levers'!$C$12="PB",('Activity data'!AD21*EF!$H34)*kgtoGg,IF('Net zero activities &amp; levers'!$C$12="MS",('Net zero Activity data'!AD21*EF!$H34)*kgtoGg,"ERROR")))</f>
        <v>2.3161053423012622E-2</v>
      </c>
      <c r="L946" s="93">
        <f>IF('Net zero activities &amp; levers'!$C$12="Off",('Activity data'!AE21*EF!$H34)*kgtoGg,IF('Net zero activities &amp; levers'!$C$12="PB",('Activity data'!AE21*EF!$H34)*kgtoGg,IF('Net zero activities &amp; levers'!$C$12="MS",('Net zero Activity data'!AE21*EF!$H34)*kgtoGg,"ERROR")))</f>
        <v>2.3631963555267657E-2</v>
      </c>
      <c r="M946" s="93">
        <f>IF('Net zero activities &amp; levers'!$C$12="Off",('Activity data'!AF21*EF!$H34)*kgtoGg,IF('Net zero activities &amp; levers'!$C$12="PB",('Activity data'!AF21*EF!$H34)*kgtoGg,IF('Net zero activities &amp; levers'!$C$12="MS",('Net zero Activity data'!AF21*EF!$H34)*kgtoGg,"ERROR")))</f>
        <v>2.4182412868997839E-2</v>
      </c>
      <c r="N946" s="93">
        <f>IF('Net zero activities &amp; levers'!$C$12="Off",('Activity data'!AG21*EF!$H34)*kgtoGg,IF('Net zero activities &amp; levers'!$C$12="PB",('Activity data'!AG21*EF!$H34)*kgtoGg,IF('Net zero activities &amp; levers'!$C$12="MS",('Net zero Activity data'!AG21*EF!$H34)*kgtoGg,"ERROR")))</f>
        <v>2.460500634884424E-2</v>
      </c>
      <c r="O946" s="93">
        <f>IF('Net zero activities &amp; levers'!$C$12="Off",('Activity data'!AH21*EF!$H34)*kgtoGg,IF('Net zero activities &amp; levers'!$C$12="PB",('Activity data'!AH21*EF!$H34)*kgtoGg,IF('Net zero activities &amp; levers'!$C$12="MS",('Net zero Activity data'!AH21*EF!$H34)*kgtoGg,"ERROR")))</f>
        <v>2.4944242822745925E-2</v>
      </c>
      <c r="P946" s="93">
        <f>IF('Net zero activities &amp; levers'!$C$12="Off",('Activity data'!AI21*EF!$H34)*kgtoGg,IF('Net zero activities &amp; levers'!$C$12="PB",('Activity data'!AI21*EF!$H34)*kgtoGg,IF('Net zero activities &amp; levers'!$C$12="MS",('Net zero Activity data'!AI21*EF!$H34)*kgtoGg,"ERROR")))</f>
        <v>2.5198104828966561E-2</v>
      </c>
      <c r="Q946" s="93">
        <f>IF('Net zero activities &amp; levers'!$C$12="Off",('Activity data'!AJ21*EF!$H34)*kgtoGg,IF('Net zero activities &amp; levers'!$C$12="PB",('Activity data'!AJ21*EF!$H34)*kgtoGg,IF('Net zero activities &amp; levers'!$C$12="MS",('Net zero Activity data'!AJ21*EF!$H34)*kgtoGg,"ERROR")))</f>
        <v>2.5523625995077459E-2</v>
      </c>
      <c r="R946" s="93">
        <f>IF('Net zero activities &amp; levers'!$C$12="Off",('Activity data'!AK21*EF!$H34)*kgtoGg,IF('Net zero activities &amp; levers'!$C$12="PB",('Activity data'!AK21*EF!$H34)*kgtoGg,IF('Net zero activities &amp; levers'!$C$12="MS",('Net zero Activity data'!AK21*EF!$H34)*kgtoGg,"ERROR")))</f>
        <v>2.5862077897454098E-2</v>
      </c>
      <c r="S946" s="93">
        <f>IF('Net zero activities &amp; levers'!$C$12="Off",('Activity data'!AL21*EF!$H34)*kgtoGg,IF('Net zero activities &amp; levers'!$C$12="PB",('Activity data'!AL21*EF!$H34)*kgtoGg,IF('Net zero activities &amp; levers'!$C$12="MS",('Net zero Activity data'!AL21*EF!$H34)*kgtoGg,"ERROR")))</f>
        <v>2.4710993344266366E-2</v>
      </c>
      <c r="T946" s="93">
        <f>IF('Net zero activities &amp; levers'!$C$12="Off",('Activity data'!AM21*EF!$H34)*kgtoGg,IF('Net zero activities &amp; levers'!$C$12="PB",('Activity data'!AM21*EF!$H34)*kgtoGg,IF('Net zero activities &amp; levers'!$C$12="MS",('Net zero Activity data'!AM21*EF!$H34)*kgtoGg,"ERROR")))</f>
        <v>2.5326046064030362E-2</v>
      </c>
      <c r="U946" s="93">
        <f>IF('Net zero activities &amp; levers'!$C$12="Off",('Activity data'!AN21*EF!$H34)*kgtoGg,IF('Net zero activities &amp; levers'!$C$12="PB",('Activity data'!AN21*EF!$H34)*kgtoGg,IF('Net zero activities &amp; levers'!$C$12="MS",('Net zero Activity data'!AN21*EF!$H34)*kgtoGg,"ERROR")))</f>
        <v>2.6145705664162376E-2</v>
      </c>
      <c r="V946" s="93">
        <f>IF('Net zero activities &amp; levers'!$C$12="Off",('Activity data'!AO21*EF!$H34)*kgtoGg,IF('Net zero activities &amp; levers'!$C$12="PB",('Activity data'!AO21*EF!$H34)*kgtoGg,IF('Net zero activities &amp; levers'!$C$12="MS",('Net zero Activity data'!AO21*EF!$H34)*kgtoGg,"ERROR")))</f>
        <v>2.6646991447283438E-2</v>
      </c>
      <c r="W946" s="93">
        <f>IF('Net zero activities &amp; levers'!$C$12="Off",('Activity data'!AP21*EF!$H34)*kgtoGg,IF('Net zero activities &amp; levers'!$C$12="PB",('Activity data'!AP21*EF!$H34)*kgtoGg,IF('Net zero activities &amp; levers'!$C$12="MS",('Net zero Activity data'!AP21*EF!$H34)*kgtoGg,"ERROR")))</f>
        <v>2.7193503002729248E-2</v>
      </c>
      <c r="X946" s="93">
        <f>IF('Net zero activities &amp; levers'!$C$12="Off",('Activity data'!AQ21*EF!$H34)*kgtoGg,IF('Net zero activities &amp; levers'!$C$12="PB",('Activity data'!AQ21*EF!$H34)*kgtoGg,IF('Net zero activities &amp; levers'!$C$12="MS",('Net zero Activity data'!AQ21*EF!$H34)*kgtoGg,"ERROR")))</f>
        <v>2.7799068783247873E-2</v>
      </c>
      <c r="Y946" s="93">
        <f>IF('Net zero activities &amp; levers'!$C$12="Off",('Activity data'!AR21*EF!$H34)*kgtoGg,IF('Net zero activities &amp; levers'!$C$12="PB",('Activity data'!AR21*EF!$H34)*kgtoGg,IF('Net zero activities &amp; levers'!$C$12="MS",('Net zero Activity data'!AR21*EF!$H34)*kgtoGg,"ERROR")))</f>
        <v>2.842453907398574E-2</v>
      </c>
      <c r="Z946" s="93">
        <f>IF('Net zero activities &amp; levers'!$C$12="Off",('Activity data'!AS21*EF!$H34)*kgtoGg,IF('Net zero activities &amp; levers'!$C$12="PB",('Activity data'!AS21*EF!$H34)*kgtoGg,IF('Net zero activities &amp; levers'!$C$12="MS",('Net zero Activity data'!AS21*EF!$H34)*kgtoGg,"ERROR")))</f>
        <v>2.9098672254444909E-2</v>
      </c>
      <c r="AA946" s="93">
        <f>IF('Net zero activities &amp; levers'!$C$12="Off",('Activity data'!AT21*EF!$H34)*kgtoGg,IF('Net zero activities &amp; levers'!$C$12="PB",('Activity data'!AT21*EF!$H34)*kgtoGg,IF('Net zero activities &amp; levers'!$C$12="MS",('Net zero Activity data'!AT21*EF!$H34)*kgtoGg,"ERROR")))</f>
        <v>2.9787965718958094E-2</v>
      </c>
      <c r="AB946" s="93">
        <f>IF('Net zero activities &amp; levers'!$C$12="Off",('Activity data'!AU21*EF!$H34)*kgtoGg,IF('Net zero activities &amp; levers'!$C$12="PB",('Activity data'!AU21*EF!$H34)*kgtoGg,IF('Net zero activities &amp; levers'!$C$12="MS",('Net zero Activity data'!AU21*EF!$H34)*kgtoGg,"ERROR")))</f>
        <v>3.0523943036122159E-2</v>
      </c>
      <c r="AC946" s="93">
        <f>IF('Net zero activities &amp; levers'!$C$12="Off",('Activity data'!AV21*EF!$H34)*kgtoGg,IF('Net zero activities &amp; levers'!$C$12="PB",('Activity data'!AV21*EF!$H34)*kgtoGg,IF('Net zero activities &amp; levers'!$C$12="MS",('Net zero Activity data'!AV21*EF!$H34)*kgtoGg,"ERROR")))</f>
        <v>3.1273027855200759E-2</v>
      </c>
      <c r="AD946" s="93">
        <f>IF('Net zero activities &amp; levers'!$C$12="Off",('Activity data'!AW21*EF!$H34)*kgtoGg,IF('Net zero activities &amp; levers'!$C$12="PB",('Activity data'!AW21*EF!$H34)*kgtoGg,IF('Net zero activities &amp; levers'!$C$12="MS",('Net zero Activity data'!AW21*EF!$H34)*kgtoGg,"ERROR")))</f>
        <v>3.2081240611854363E-2</v>
      </c>
      <c r="AE946" s="93">
        <f>IF('Net zero activities &amp; levers'!$C$12="Off",('Activity data'!AX21*EF!$H34)*kgtoGg,IF('Net zero activities &amp; levers'!$C$12="PB",('Activity data'!AX21*EF!$H34)*kgtoGg,IF('Net zero activities &amp; levers'!$C$12="MS",('Net zero Activity data'!AX21*EF!$H34)*kgtoGg,"ERROR")))</f>
        <v>3.2881107685879617E-2</v>
      </c>
      <c r="AF946" s="93">
        <f>IF('Net zero activities &amp; levers'!$C$12="Off",('Activity data'!AY21*EF!$H34)*kgtoGg,IF('Net zero activities &amp; levers'!$C$12="PB",('Activity data'!AY21*EF!$H34)*kgtoGg,IF('Net zero activities &amp; levers'!$C$12="MS",('Net zero Activity data'!AY21*EF!$H34)*kgtoGg,"ERROR")))</f>
        <v>3.3717881511042887E-2</v>
      </c>
      <c r="AG946" s="93">
        <f>IF('Net zero activities &amp; levers'!$C$12="Off",('Activity data'!AZ21*EF!$H34)*kgtoGg,IF('Net zero activities &amp; levers'!$C$12="PB",('Activity data'!AZ21*EF!$H34)*kgtoGg,IF('Net zero activities &amp; levers'!$C$12="MS",('Net zero Activity data'!AZ21*EF!$H34)*kgtoGg,"ERROR")))</f>
        <v>3.4646584034980096E-2</v>
      </c>
      <c r="AH946" s="93">
        <f>IF('Net zero activities &amp; levers'!$C$12="Off",('Activity data'!BA21*EF!$H34)*kgtoGg,IF('Net zero activities &amp; levers'!$C$12="PB",('Activity data'!BA21*EF!$H34)*kgtoGg,IF('Net zero activities &amp; levers'!$C$12="MS",('Net zero Activity data'!BA21*EF!$H34)*kgtoGg,"ERROR")))</f>
        <v>3.5538165505592613E-2</v>
      </c>
      <c r="AI946" s="93">
        <f>IF('Net zero activities &amp; levers'!$C$12="Off",('Activity data'!BB21*EF!$H34)*kgtoGg,IF('Net zero activities &amp; levers'!$C$12="PB",('Activity data'!BB21*EF!$H34)*kgtoGg,IF('Net zero activities &amp; levers'!$C$12="MS",('Net zero Activity data'!BB21*EF!$H34)*kgtoGg,"ERROR")))</f>
        <v>3.6460205061343343E-2</v>
      </c>
      <c r="AJ946" s="93">
        <f>IF('Net zero activities &amp; levers'!$C$12="Off",('Activity data'!BC21*EF!$H34)*kgtoGg,IF('Net zero activities &amp; levers'!$C$12="PB",('Activity data'!BC21*EF!$H34)*kgtoGg,IF('Net zero activities &amp; levers'!$C$12="MS",('Net zero Activity data'!BC21*EF!$H34)*kgtoGg,"ERROR")))</f>
        <v>3.7437714403299294E-2</v>
      </c>
      <c r="AK946" s="93">
        <f>IF('Net zero activities &amp; levers'!$C$12="Off",('Activity data'!BD21*EF!$H34)*kgtoGg,IF('Net zero activities &amp; levers'!$C$12="PB",('Activity data'!BD21*EF!$H34)*kgtoGg,IF('Net zero activities &amp; levers'!$C$12="MS",('Net zero Activity data'!BD21*EF!$H34)*kgtoGg,"ERROR")))</f>
        <v>3.8364865183864859E-2</v>
      </c>
      <c r="AL946" s="93">
        <f>IF('Net zero activities &amp; levers'!$C$12="Off",('Activity data'!BE21*EF!$H34)*kgtoGg,IF('Net zero activities &amp; levers'!$C$12="PB",('Activity data'!BE21*EF!$H34)*kgtoGg,IF('Net zero activities &amp; levers'!$C$12="MS",('Net zero Activity data'!BE21*EF!$H34)*kgtoGg,"ERROR")))</f>
        <v>3.9289489030274523E-2</v>
      </c>
      <c r="AM946" s="93">
        <f>IF('Net zero activities &amp; levers'!$C$12="Off",('Activity data'!BF21*EF!$H34)*kgtoGg,IF('Net zero activities &amp; levers'!$C$12="PB",('Activity data'!BF21*EF!$H34)*kgtoGg,IF('Net zero activities &amp; levers'!$C$12="MS",('Net zero Activity data'!BF21*EF!$H34)*kgtoGg,"ERROR")))</f>
        <v>4.0213713135776041E-2</v>
      </c>
      <c r="AN946" s="93">
        <f>IF('Net zero activities &amp; levers'!$C$12="Off",('Activity data'!BG21*EF!$H34)*kgtoGg,IF('Net zero activities &amp; levers'!$C$12="PB",('Activity data'!BG21*EF!$H34)*kgtoGg,IF('Net zero activities &amp; levers'!$C$12="MS",('Net zero Activity data'!BG21*EF!$H34)*kgtoGg,"ERROR")))</f>
        <v>4.1194270919742537E-2</v>
      </c>
      <c r="AO946" s="93">
        <f>IF('Net zero activities &amp; levers'!$C$12="Off",('Activity data'!BH21*EF!$H34)*kgtoGg,IF('Net zero activities &amp; levers'!$C$12="PB",('Activity data'!BH21*EF!$H34)*kgtoGg,IF('Net zero activities &amp; levers'!$C$12="MS",('Net zero Activity data'!BH21*EF!$H34)*kgtoGg,"ERROR")))</f>
        <v>4.2143606587708417E-2</v>
      </c>
      <c r="AP946" s="93">
        <f>IF('Net zero activities &amp; levers'!$C$12="Off",('Activity data'!BI21*EF!$H34)*kgtoGg,IF('Net zero activities &amp; levers'!$C$12="PB",('Activity data'!BI21*EF!$H34)*kgtoGg,IF('Net zero activities &amp; levers'!$C$12="MS",('Net zero Activity data'!BI21*EF!$H34)*kgtoGg,"ERROR")))</f>
        <v>4.312581803484019E-2</v>
      </c>
      <c r="AQ946" s="93">
        <f>IF('Net zero activities &amp; levers'!$C$12="Off",('Activity data'!BJ21*EF!$H34)*kgtoGg,IF('Net zero activities &amp; levers'!$C$12="PB",('Activity data'!BJ21*EF!$H34)*kgtoGg,IF('Net zero activities &amp; levers'!$C$12="MS",('Net zero Activity data'!BJ21*EF!$H34)*kgtoGg,"ERROR")))</f>
        <v>4.4145005515766646E-2</v>
      </c>
      <c r="AR946" s="93">
        <f>IF('Net zero activities &amp; levers'!$C$12="Off",('Activity data'!BK21*EF!$H34)*kgtoGg,IF('Net zero activities &amp; levers'!$C$12="PB",('Activity data'!BK21*EF!$H34)*kgtoGg,IF('Net zero activities &amp; levers'!$C$12="MS",('Net zero Activity data'!BK21*EF!$H34)*kgtoGg,"ERROR")))</f>
        <v>4.5207623438646753E-2</v>
      </c>
      <c r="AS946" s="93">
        <f>IF('Net zero activities &amp; levers'!$C$12="Off",('Activity data'!BL21*EF!$H34)*kgtoGg,IF('Net zero activities &amp; levers'!$C$12="PB",('Activity data'!BL21*EF!$H34)*kgtoGg,IF('Net zero activities &amp; levers'!$C$12="MS",('Net zero Activity data'!BL21*EF!$H34)*kgtoGg,"ERROR")))</f>
        <v>4.6298619591859998E-2</v>
      </c>
      <c r="AT946" s="93">
        <f>IF('Net zero activities &amp; levers'!$C$12="Off",('Activity data'!BM21*EF!$H34)*kgtoGg,IF('Net zero activities &amp; levers'!$C$12="PB",('Activity data'!BM21*EF!$H34)*kgtoGg,IF('Net zero activities &amp; levers'!$C$12="MS",('Net zero Activity data'!BM21*EF!$H34)*kgtoGg,"ERROR")))</f>
        <v>4.6680756880281324E-2</v>
      </c>
      <c r="AU946" s="93">
        <f>IF('Net zero activities &amp; levers'!$C$12="Off",('Activity data'!BN21*EF!$H34)*kgtoGg,IF('Net zero activities &amp; levers'!$C$12="PB",('Activity data'!BN21*EF!$H34)*kgtoGg,IF('Net zero activities &amp; levers'!$C$12="MS",('Net zero Activity data'!BN21*EF!$H34)*kgtoGg,"ERROR")))</f>
        <v>4.6997259618094658E-2</v>
      </c>
      <c r="AV946" s="93">
        <f>IF('Net zero activities &amp; levers'!$C$12="Off",('Activity data'!BO21*EF!$H34)*kgtoGg,IF('Net zero activities &amp; levers'!$C$12="PB",('Activity data'!BO21*EF!$H34)*kgtoGg,IF('Net zero activities &amp; levers'!$C$12="MS",('Net zero Activity data'!BO21*EF!$H34)*kgtoGg,"ERROR")))</f>
        <v>4.721828532997379E-2</v>
      </c>
      <c r="AW946" s="93">
        <f>IF('Net zero activities &amp; levers'!$C$12="Off",('Activity data'!BP21*EF!$H34)*kgtoGg,IF('Net zero activities &amp; levers'!$C$12="PB",('Activity data'!BP21*EF!$H34)*kgtoGg,IF('Net zero activities &amp; levers'!$C$12="MS",('Net zero Activity data'!BP21*EF!$H34)*kgtoGg,"ERROR")))</f>
        <v>4.7411040136301673E-2</v>
      </c>
      <c r="AY946" s="79"/>
      <c r="AZ946" s="79"/>
    </row>
    <row r="947" spans="1:52" x14ac:dyDescent="0.3">
      <c r="A947" s="95" t="str">
        <f t="shared" si="326"/>
        <v>DS Poultry MMCH4</v>
      </c>
      <c r="B947" s="95" t="s">
        <v>974</v>
      </c>
      <c r="C947" s="95" t="s">
        <v>1231</v>
      </c>
      <c r="D947" t="s">
        <v>15</v>
      </c>
      <c r="E947" t="s">
        <v>22</v>
      </c>
      <c r="F947" t="s">
        <v>28</v>
      </c>
      <c r="G947" t="s">
        <v>133</v>
      </c>
      <c r="H947" t="s">
        <v>1227</v>
      </c>
      <c r="I947" t="s">
        <v>121</v>
      </c>
      <c r="J947" t="s">
        <v>286</v>
      </c>
      <c r="K947" s="93">
        <f>IF('Net zero activities &amp; levers'!$C$12="Off",('Activity data'!AD22*EF!$H35)*kgtoGg,IF('Net zero activities &amp; levers'!$C$12="PB",('Activity data'!AD22*EF!$H35)*kgtoGg,IF('Net zero activities &amp; levers'!$C$12="MS",('Net zero Activity data'!AD22*EF!$H35)*kgtoGg,"ERROR")))</f>
        <v>9.2084154088933862E-2</v>
      </c>
      <c r="L947" s="93">
        <f>IF('Net zero activities &amp; levers'!$C$12="Off",('Activity data'!AE22*EF!$H35)*kgtoGg,IF('Net zero activities &amp; levers'!$C$12="PB",('Activity data'!AE22*EF!$H35)*kgtoGg,IF('Net zero activities &amp; levers'!$C$12="MS",('Net zero Activity data'!AE22*EF!$H35)*kgtoGg,"ERROR")))</f>
        <v>9.3296737810214581E-2</v>
      </c>
      <c r="M947" s="93">
        <f>IF('Net zero activities &amp; levers'!$C$12="Off",('Activity data'!AF22*EF!$H35)*kgtoGg,IF('Net zero activities &amp; levers'!$C$12="PB",('Activity data'!AF22*EF!$H35)*kgtoGg,IF('Net zero activities &amp; levers'!$C$12="MS",('Net zero Activity data'!AF22*EF!$H35)*kgtoGg,"ERROR")))</f>
        <v>9.5244495094686854E-2</v>
      </c>
      <c r="N947" s="93">
        <f>IF('Net zero activities &amp; levers'!$C$12="Off",('Activity data'!AG22*EF!$H35)*kgtoGg,IF('Net zero activities &amp; levers'!$C$12="PB",('Activity data'!AG22*EF!$H35)*kgtoGg,IF('Net zero activities &amp; levers'!$C$12="MS",('Net zero Activity data'!AG22*EF!$H35)*kgtoGg,"ERROR")))</f>
        <v>9.5803753116994225E-2</v>
      </c>
      <c r="O947" s="93">
        <f>IF('Net zero activities &amp; levers'!$C$12="Off",('Activity data'!AH22*EF!$H35)*kgtoGg,IF('Net zero activities &amp; levers'!$C$12="PB",('Activity data'!AH22*EF!$H35)*kgtoGg,IF('Net zero activities &amp; levers'!$C$12="MS",('Net zero Activity data'!AH22*EF!$H35)*kgtoGg,"ERROR")))</f>
        <v>9.5460820340069155E-2</v>
      </c>
      <c r="P947" s="93">
        <f>IF('Net zero activities &amp; levers'!$C$12="Off",('Activity data'!AI22*EF!$H35)*kgtoGg,IF('Net zero activities &amp; levers'!$C$12="PB",('Activity data'!AI22*EF!$H35)*kgtoGg,IF('Net zero activities &amp; levers'!$C$12="MS",('Net zero Activity data'!AI22*EF!$H35)*kgtoGg,"ERROR")))</f>
        <v>9.4219345357912251E-2</v>
      </c>
      <c r="Q947" s="93">
        <f>IF('Net zero activities &amp; levers'!$C$12="Off",('Activity data'!AJ22*EF!$H35)*kgtoGg,IF('Net zero activities &amp; levers'!$C$12="PB",('Activity data'!AJ22*EF!$H35)*kgtoGg,IF('Net zero activities &amp; levers'!$C$12="MS",('Net zero Activity data'!AJ22*EF!$H35)*kgtoGg,"ERROR")))</f>
        <v>9.3696712749775937E-2</v>
      </c>
      <c r="R947" s="93">
        <f>IF('Net zero activities &amp; levers'!$C$12="Off",('Activity data'!AK22*EF!$H35)*kgtoGg,IF('Net zero activities &amp; levers'!$C$12="PB",('Activity data'!AK22*EF!$H35)*kgtoGg,IF('Net zero activities &amp; levers'!$C$12="MS",('Net zero Activity data'!AK22*EF!$H35)*kgtoGg,"ERROR")))</f>
        <v>9.3292648760063338E-2</v>
      </c>
      <c r="S947" s="93">
        <f>IF('Net zero activities &amp; levers'!$C$12="Off",('Activity data'!AL22*EF!$H35)*kgtoGg,IF('Net zero activities &amp; levers'!$C$12="PB",('Activity data'!AL22*EF!$H35)*kgtoGg,IF('Net zero activities &amp; levers'!$C$12="MS",('Net zero Activity data'!AL22*EF!$H35)*kgtoGg,"ERROR")))</f>
        <v>7.8640860275212429E-2</v>
      </c>
      <c r="T947" s="93">
        <f>IF('Net zero activities &amp; levers'!$C$12="Off",('Activity data'!AM22*EF!$H35)*kgtoGg,IF('Net zero activities &amp; levers'!$C$12="PB",('Activity data'!AM22*EF!$H35)*kgtoGg,IF('Net zero activities &amp; levers'!$C$12="MS",('Net zero Activity data'!AM22*EF!$H35)*kgtoGg,"ERROR")))</f>
        <v>8.1755420767148743E-2</v>
      </c>
      <c r="U947" s="93">
        <f>IF('Net zero activities &amp; levers'!$C$12="Off",('Activity data'!AN22*EF!$H35)*kgtoGg,IF('Net zero activities &amp; levers'!$C$12="PB",('Activity data'!AN22*EF!$H35)*kgtoGg,IF('Net zero activities &amp; levers'!$C$12="MS",('Net zero Activity data'!AN22*EF!$H35)*kgtoGg,"ERROR")))</f>
        <v>8.6726059053620061E-2</v>
      </c>
      <c r="V947" s="93">
        <f>IF('Net zero activities &amp; levers'!$C$12="Off",('Activity data'!AO22*EF!$H35)*kgtoGg,IF('Net zero activities &amp; levers'!$C$12="PB",('Activity data'!AO22*EF!$H35)*kgtoGg,IF('Net zero activities &amp; levers'!$C$12="MS",('Net zero Activity data'!AO22*EF!$H35)*kgtoGg,"ERROR")))</f>
        <v>8.8642297270267373E-2</v>
      </c>
      <c r="W947" s="93">
        <f>IF('Net zero activities &amp; levers'!$C$12="Off",('Activity data'!AP22*EF!$H35)*kgtoGg,IF('Net zero activities &amp; levers'!$C$12="PB",('Activity data'!AP22*EF!$H35)*kgtoGg,IF('Net zero activities &amp; levers'!$C$12="MS",('Net zero Activity data'!AP22*EF!$H35)*kgtoGg,"ERROR")))</f>
        <v>9.0935445339862836E-2</v>
      </c>
      <c r="X947" s="93">
        <f>IF('Net zero activities &amp; levers'!$C$12="Off",('Activity data'!AQ22*EF!$H35)*kgtoGg,IF('Net zero activities &amp; levers'!$C$12="PB",('Activity data'!AQ22*EF!$H35)*kgtoGg,IF('Net zero activities &amp; levers'!$C$12="MS",('Net zero Activity data'!AQ22*EF!$H35)*kgtoGg,"ERROR")))</f>
        <v>9.3722006695466042E-2</v>
      </c>
      <c r="Y947" s="93">
        <f>IF('Net zero activities &amp; levers'!$C$12="Off",('Activity data'!AR22*EF!$H35)*kgtoGg,IF('Net zero activities &amp; levers'!$C$12="PB",('Activity data'!AR22*EF!$H35)*kgtoGg,IF('Net zero activities &amp; levers'!$C$12="MS",('Net zero Activity data'!AR22*EF!$H35)*kgtoGg,"ERROR")))</f>
        <v>9.6921807746960562E-2</v>
      </c>
      <c r="Z947" s="93">
        <f>IF('Net zero activities &amp; levers'!$C$12="Off",('Activity data'!AS22*EF!$H35)*kgtoGg,IF('Net zero activities &amp; levers'!$C$12="PB",('Activity data'!AS22*EF!$H35)*kgtoGg,IF('Net zero activities &amp; levers'!$C$12="MS",('Net zero Activity data'!AS22*EF!$H35)*kgtoGg,"ERROR")))</f>
        <v>0.10050510477666173</v>
      </c>
      <c r="AA947" s="93">
        <f>IF('Net zero activities &amp; levers'!$C$12="Off",('Activity data'!AT22*EF!$H35)*kgtoGg,IF('Net zero activities &amp; levers'!$C$12="PB",('Activity data'!AT22*EF!$H35)*kgtoGg,IF('Net zero activities &amp; levers'!$C$12="MS",('Net zero Activity data'!AT22*EF!$H35)*kgtoGg,"ERROR")))</f>
        <v>0.10416449506007071</v>
      </c>
      <c r="AB947" s="93">
        <f>IF('Net zero activities &amp; levers'!$C$12="Off",('Activity data'!AU22*EF!$H35)*kgtoGg,IF('Net zero activities &amp; levers'!$C$12="PB",('Activity data'!AU22*EF!$H35)*kgtoGg,IF('Net zero activities &amp; levers'!$C$12="MS",('Net zero Activity data'!AU22*EF!$H35)*kgtoGg,"ERROR")))</f>
        <v>0.10817772618970968</v>
      </c>
      <c r="AC947" s="93">
        <f>IF('Net zero activities &amp; levers'!$C$12="Off",('Activity data'!AV22*EF!$H35)*kgtoGg,IF('Net zero activities &amp; levers'!$C$12="PB",('Activity data'!AV22*EF!$H35)*kgtoGg,IF('Net zero activities &amp; levers'!$C$12="MS",('Net zero Activity data'!AV22*EF!$H35)*kgtoGg,"ERROR")))</f>
        <v>0.11224241460350089</v>
      </c>
      <c r="AD947" s="93">
        <f>IF('Net zero activities &amp; levers'!$C$12="Off",('Activity data'!AW22*EF!$H35)*kgtoGg,IF('Net zero activities &amp; levers'!$C$12="PB",('Activity data'!AW22*EF!$H35)*kgtoGg,IF('Net zero activities &amp; levers'!$C$12="MS",('Net zero Activity data'!AW22*EF!$H35)*kgtoGg,"ERROR")))</f>
        <v>0.11698745633344786</v>
      </c>
      <c r="AE947" s="93">
        <f>IF('Net zero activities &amp; levers'!$C$12="Off",('Activity data'!AX22*EF!$H35)*kgtoGg,IF('Net zero activities &amp; levers'!$C$12="PB",('Activity data'!AX22*EF!$H35)*kgtoGg,IF('Net zero activities &amp; levers'!$C$12="MS",('Net zero Activity data'!AX22*EF!$H35)*kgtoGg,"ERROR")))</f>
        <v>0.12159228241281558</v>
      </c>
      <c r="AF947" s="93">
        <f>IF('Net zero activities &amp; levers'!$C$12="Off",('Activity data'!AY22*EF!$H35)*kgtoGg,IF('Net zero activities &amp; levers'!$C$12="PB",('Activity data'!AY22*EF!$H35)*kgtoGg,IF('Net zero activities &amp; levers'!$C$12="MS",('Net zero Activity data'!AY22*EF!$H35)*kgtoGg,"ERROR")))</f>
        <v>0.12644966809503322</v>
      </c>
      <c r="AG947" s="93">
        <f>IF('Net zero activities &amp; levers'!$C$12="Off",('Activity data'!AZ22*EF!$H35)*kgtoGg,IF('Net zero activities &amp; levers'!$C$12="PB",('Activity data'!AZ22*EF!$H35)*kgtoGg,IF('Net zero activities &amp; levers'!$C$12="MS",('Net zero Activity data'!AZ22*EF!$H35)*kgtoGg,"ERROR")))</f>
        <v>0.13202497800776722</v>
      </c>
      <c r="AH947" s="93">
        <f>IF('Net zero activities &amp; levers'!$C$12="Off",('Activity data'!BA22*EF!$H35)*kgtoGg,IF('Net zero activities &amp; levers'!$C$12="PB",('Activity data'!BA22*EF!$H35)*kgtoGg,IF('Net zero activities &amp; levers'!$C$12="MS",('Net zero Activity data'!BA22*EF!$H35)*kgtoGg,"ERROR")))</f>
        <v>0.13720978961716535</v>
      </c>
      <c r="AI947" s="93">
        <f>IF('Net zero activities &amp; levers'!$C$12="Off",('Activity data'!BB22*EF!$H35)*kgtoGg,IF('Net zero activities &amp; levers'!$C$12="PB",('Activity data'!BB22*EF!$H35)*kgtoGg,IF('Net zero activities &amp; levers'!$C$12="MS",('Net zero Activity data'!BB22*EF!$H35)*kgtoGg,"ERROR")))</f>
        <v>0.14279477022603335</v>
      </c>
      <c r="AJ947" s="93">
        <f>IF('Net zero activities &amp; levers'!$C$12="Off",('Activity data'!BC22*EF!$H35)*kgtoGg,IF('Net zero activities &amp; levers'!$C$12="PB",('Activity data'!BC22*EF!$H35)*kgtoGg,IF('Net zero activities &amp; levers'!$C$12="MS",('Net zero Activity data'!BC22*EF!$H35)*kgtoGg,"ERROR")))</f>
        <v>0.14877433800049503</v>
      </c>
      <c r="AK947" s="93">
        <f>IF('Net zero activities &amp; levers'!$C$12="Off",('Activity data'!BD22*EF!$H35)*kgtoGg,IF('Net zero activities &amp; levers'!$C$12="PB",('Activity data'!BD22*EF!$H35)*kgtoGg,IF('Net zero activities &amp; levers'!$C$12="MS",('Net zero Activity data'!BD22*EF!$H35)*kgtoGg,"ERROR")))</f>
        <v>0.15426125474328603</v>
      </c>
      <c r="AL947" s="93">
        <f>IF('Net zero activities &amp; levers'!$C$12="Off",('Activity data'!BE22*EF!$H35)*kgtoGg,IF('Net zero activities &amp; levers'!$C$12="PB",('Activity data'!BE22*EF!$H35)*kgtoGg,IF('Net zero activities &amp; levers'!$C$12="MS",('Net zero Activity data'!BE22*EF!$H35)*kgtoGg,"ERROR")))</f>
        <v>0.15966097250999123</v>
      </c>
      <c r="AM947" s="93">
        <f>IF('Net zero activities &amp; levers'!$C$12="Off",('Activity data'!BF22*EF!$H35)*kgtoGg,IF('Net zero activities &amp; levers'!$C$12="PB",('Activity data'!BF22*EF!$H35)*kgtoGg,IF('Net zero activities &amp; levers'!$C$12="MS",('Net zero Activity data'!BF22*EF!$H35)*kgtoGg,"ERROR")))</f>
        <v>0.16499320273354395</v>
      </c>
      <c r="AN947" s="93">
        <f>IF('Net zero activities &amp; levers'!$C$12="Off",('Activity data'!BG22*EF!$H35)*kgtoGg,IF('Net zero activities &amp; levers'!$C$12="PB",('Activity data'!BG22*EF!$H35)*kgtoGg,IF('Net zero activities &amp; levers'!$C$12="MS",('Net zero Activity data'!BG22*EF!$H35)*kgtoGg,"ERROR")))</f>
        <v>0.17091890617808173</v>
      </c>
      <c r="AO947" s="93">
        <f>IF('Net zero activities &amp; levers'!$C$12="Off",('Activity data'!BH22*EF!$H35)*kgtoGg,IF('Net zero activities &amp; levers'!$C$12="PB",('Activity data'!BH22*EF!$H35)*kgtoGg,IF('Net zero activities &amp; levers'!$C$12="MS",('Net zero Activity data'!BH22*EF!$H35)*kgtoGg,"ERROR")))</f>
        <v>0.17652517658131101</v>
      </c>
      <c r="AP947" s="93">
        <f>IF('Net zero activities &amp; levers'!$C$12="Off",('Activity data'!BI22*EF!$H35)*kgtoGg,IF('Net zero activities &amp; levers'!$C$12="PB",('Activity data'!BI22*EF!$H35)*kgtoGg,IF('Net zero activities &amp; levers'!$C$12="MS",('Net zero Activity data'!BI22*EF!$H35)*kgtoGg,"ERROR")))</f>
        <v>0.18233573270818484</v>
      </c>
      <c r="AQ947" s="93">
        <f>IF('Net zero activities &amp; levers'!$C$12="Off",('Activity data'!BJ22*EF!$H35)*kgtoGg,IF('Net zero activities &amp; levers'!$C$12="PB",('Activity data'!BJ22*EF!$H35)*kgtoGg,IF('Net zero activities &amp; levers'!$C$12="MS",('Net zero Activity data'!BJ22*EF!$H35)*kgtoGg,"ERROR")))</f>
        <v>0.18838054697256806</v>
      </c>
      <c r="AR947" s="93">
        <f>IF('Net zero activities &amp; levers'!$C$12="Off",('Activity data'!BK22*EF!$H35)*kgtoGg,IF('Net zero activities &amp; levers'!$C$12="PB",('Activity data'!BK22*EF!$H35)*kgtoGg,IF('Net zero activities &amp; levers'!$C$12="MS",('Net zero Activity data'!BK22*EF!$H35)*kgtoGg,"ERROR")))</f>
        <v>0.19470775516763436</v>
      </c>
      <c r="AS947" s="93">
        <f>IF('Net zero activities &amp; levers'!$C$12="Off",('Activity data'!BL22*EF!$H35)*kgtoGg,IF('Net zero activities &amp; levers'!$C$12="PB",('Activity data'!BL22*EF!$H35)*kgtoGg,IF('Net zero activities &amp; levers'!$C$12="MS",('Net zero Activity data'!BL22*EF!$H35)*kgtoGg,"ERROR")))</f>
        <v>0.2013891888086517</v>
      </c>
      <c r="AT947" s="93">
        <f>IF('Net zero activities &amp; levers'!$C$12="Off",('Activity data'!BM22*EF!$H35)*kgtoGg,IF('Net zero activities &amp; levers'!$C$12="PB",('Activity data'!BM22*EF!$H35)*kgtoGg,IF('Net zero activities &amp; levers'!$C$12="MS",('Net zero Activity data'!BM22*EF!$H35)*kgtoGg,"ERROR")))</f>
        <v>0.20240640286429301</v>
      </c>
      <c r="AU947" s="93">
        <f>IF('Net zero activities &amp; levers'!$C$12="Off",('Activity data'!BN22*EF!$H35)*kgtoGg,IF('Net zero activities &amp; levers'!$C$12="PB",('Activity data'!BN22*EF!$H35)*kgtoGg,IF('Net zero activities &amp; levers'!$C$12="MS",('Net zero Activity data'!BN22*EF!$H35)*kgtoGg,"ERROR")))</f>
        <v>0.20290266775142457</v>
      </c>
      <c r="AV947" s="93">
        <f>IF('Net zero activities &amp; levers'!$C$12="Off",('Activity data'!BO22*EF!$H35)*kgtoGg,IF('Net zero activities &amp; levers'!$C$12="PB",('Activity data'!BO22*EF!$H35)*kgtoGg,IF('Net zero activities &amp; levers'!$C$12="MS",('Net zero Activity data'!BO22*EF!$H35)*kgtoGg,"ERROR")))</f>
        <v>0.20265289863539254</v>
      </c>
      <c r="AW947" s="93">
        <f>IF('Net zero activities &amp; levers'!$C$12="Off",('Activity data'!BP22*EF!$H35)*kgtoGg,IF('Net zero activities &amp; levers'!$C$12="PB",('Activity data'!BP22*EF!$H35)*kgtoGg,IF('Net zero activities &amp; levers'!$C$12="MS",('Net zero Activity data'!BP22*EF!$H35)*kgtoGg,"ERROR")))</f>
        <v>0.20219075340859499</v>
      </c>
      <c r="AY947" s="79"/>
      <c r="AZ947" s="79"/>
    </row>
    <row r="948" spans="1:52" x14ac:dyDescent="0.3">
      <c r="A948" s="95" t="str">
        <f t="shared" si="326"/>
        <v>DS Cattle MMN2O</v>
      </c>
      <c r="B948" s="95" t="s">
        <v>974</v>
      </c>
      <c r="C948" s="95" t="s">
        <v>1232</v>
      </c>
      <c r="D948" t="s">
        <v>15</v>
      </c>
      <c r="E948" t="s">
        <v>657</v>
      </c>
      <c r="F948" t="s">
        <v>6</v>
      </c>
      <c r="G948" t="s">
        <v>136</v>
      </c>
      <c r="H948" t="s">
        <v>1227</v>
      </c>
      <c r="I948" t="s">
        <v>139</v>
      </c>
      <c r="J948" t="s">
        <v>287</v>
      </c>
      <c r="K948" s="27">
        <f t="shared" ref="K948:Z950" si="335">K1411</f>
        <v>5.9474079071945893E-2</v>
      </c>
      <c r="L948" s="27">
        <f t="shared" si="335"/>
        <v>5.9806569587962516E-2</v>
      </c>
      <c r="M948" s="27">
        <f t="shared" si="335"/>
        <v>6.0278316688762053E-2</v>
      </c>
      <c r="N948" s="27">
        <f t="shared" si="335"/>
        <v>6.0581464452445992E-2</v>
      </c>
      <c r="O948" s="27">
        <f t="shared" si="335"/>
        <v>6.078290752789528E-2</v>
      </c>
      <c r="P948" s="27">
        <f t="shared" si="335"/>
        <v>6.0880663265441157E-2</v>
      </c>
      <c r="Q948" s="27">
        <f t="shared" si="335"/>
        <v>6.1096642070638009E-2</v>
      </c>
      <c r="R948" s="27">
        <f t="shared" si="335"/>
        <v>6.1344406036983767E-2</v>
      </c>
      <c r="S948" s="27">
        <f t="shared" si="335"/>
        <v>5.9500417755247011E-2</v>
      </c>
      <c r="T948" s="27">
        <f t="shared" si="335"/>
        <v>6.0126071727634615E-2</v>
      </c>
      <c r="U948" s="27">
        <f t="shared" si="335"/>
        <v>6.104186359289164E-2</v>
      </c>
      <c r="V948" s="27">
        <f t="shared" si="335"/>
        <v>6.1516540546796637E-2</v>
      </c>
      <c r="W948" s="27">
        <f t="shared" si="335"/>
        <v>6.2059033118034318E-2</v>
      </c>
      <c r="X948" s="27">
        <f t="shared" si="335"/>
        <v>6.2686911431302672E-2</v>
      </c>
      <c r="Y948" s="27">
        <f t="shared" si="335"/>
        <v>6.3328093657155735E-2</v>
      </c>
      <c r="Z948" s="27">
        <f t="shared" si="335"/>
        <v>6.403779969028206E-2</v>
      </c>
      <c r="AA948" s="27">
        <f t="shared" ref="L948:AW950" si="336">AA1411</f>
        <v>6.476949047597555E-2</v>
      </c>
      <c r="AB948" s="27">
        <f t="shared" si="336"/>
        <v>6.5565173536469165E-2</v>
      </c>
      <c r="AC948" s="27">
        <f t="shared" si="336"/>
        <v>6.637880571901654E-2</v>
      </c>
      <c r="AD948" s="27">
        <f t="shared" si="336"/>
        <v>6.7257796908474193E-2</v>
      </c>
      <c r="AE948" s="27">
        <f t="shared" si="336"/>
        <v>6.8124891518831304E-2</v>
      </c>
      <c r="AF948" s="27">
        <f t="shared" si="336"/>
        <v>6.9040103414992046E-2</v>
      </c>
      <c r="AG948" s="27">
        <f t="shared" si="336"/>
        <v>7.0075359365803738E-2</v>
      </c>
      <c r="AH948" s="27">
        <f t="shared" si="336"/>
        <v>7.1059649676811054E-2</v>
      </c>
      <c r="AI948" s="27">
        <f t="shared" si="336"/>
        <v>7.2069034177178609E-2</v>
      </c>
      <c r="AJ948" s="27">
        <f t="shared" si="336"/>
        <v>7.3148525212574408E-2</v>
      </c>
      <c r="AK948" s="27">
        <f t="shared" si="336"/>
        <v>7.4159878217982214E-2</v>
      </c>
      <c r="AL948" s="27">
        <f t="shared" si="336"/>
        <v>7.5165742888720646E-2</v>
      </c>
      <c r="AM948" s="27">
        <f t="shared" si="336"/>
        <v>7.6168917031251032E-2</v>
      </c>
      <c r="AN948" s="27">
        <f t="shared" si="336"/>
        <v>7.7230245197332834E-2</v>
      </c>
      <c r="AO948" s="27">
        <f t="shared" si="336"/>
        <v>7.8248884607158259E-2</v>
      </c>
      <c r="AP948" s="27">
        <f t="shared" si="336"/>
        <v>7.9307079203447303E-2</v>
      </c>
      <c r="AQ948" s="27">
        <f t="shared" si="336"/>
        <v>8.0409655218804749E-2</v>
      </c>
      <c r="AR948" s="27">
        <f t="shared" si="336"/>
        <v>8.1564373746965665E-2</v>
      </c>
      <c r="AS948" s="27">
        <f t="shared" si="336"/>
        <v>8.2739517725039347E-2</v>
      </c>
      <c r="AT948" s="27">
        <f t="shared" si="336"/>
        <v>8.3018134970904087E-2</v>
      </c>
      <c r="AU948" s="27">
        <f t="shared" si="336"/>
        <v>8.3216426012492323E-2</v>
      </c>
      <c r="AV948" s="27">
        <f t="shared" si="336"/>
        <v>8.3297669475104599E-2</v>
      </c>
      <c r="AW948" s="27">
        <f t="shared" si="336"/>
        <v>8.3346726471042673E-2</v>
      </c>
      <c r="AY948" s="79"/>
      <c r="AZ948" s="79"/>
    </row>
    <row r="949" spans="1:52" x14ac:dyDescent="0.3">
      <c r="A949" s="95" t="str">
        <f t="shared" si="326"/>
        <v>DS Cattle MMN2O</v>
      </c>
      <c r="B949" s="95" t="s">
        <v>974</v>
      </c>
      <c r="C949" s="95" t="s">
        <v>1232</v>
      </c>
      <c r="D949" t="s">
        <v>15</v>
      </c>
      <c r="E949" t="s">
        <v>657</v>
      </c>
      <c r="F949" t="s">
        <v>6</v>
      </c>
      <c r="G949" t="s">
        <v>137</v>
      </c>
      <c r="H949" t="s">
        <v>1227</v>
      </c>
      <c r="I949" t="s">
        <v>139</v>
      </c>
      <c r="J949" t="s">
        <v>287</v>
      </c>
      <c r="K949" s="27">
        <f t="shared" si="335"/>
        <v>0.26041511380118898</v>
      </c>
      <c r="L949" s="27">
        <f t="shared" si="336"/>
        <v>0.26187096745907484</v>
      </c>
      <c r="M949" s="27">
        <f t="shared" si="336"/>
        <v>0.26393657447404822</v>
      </c>
      <c r="N949" s="27">
        <f t="shared" si="336"/>
        <v>0.26526394701365208</v>
      </c>
      <c r="O949" s="27">
        <f t="shared" si="336"/>
        <v>0.26614599213711043</v>
      </c>
      <c r="P949" s="27">
        <f t="shared" si="336"/>
        <v>0.26657402855087203</v>
      </c>
      <c r="Q949" s="27">
        <f t="shared" si="336"/>
        <v>0.26751972028770321</v>
      </c>
      <c r="R949" s="27">
        <f t="shared" si="336"/>
        <v>0.26860458755254496</v>
      </c>
      <c r="S949" s="27">
        <f t="shared" si="336"/>
        <v>0.26053044120627478</v>
      </c>
      <c r="T949" s="27">
        <f t="shared" si="336"/>
        <v>0.26326994979492208</v>
      </c>
      <c r="U949" s="27">
        <f t="shared" si="336"/>
        <v>0.26727986548475752</v>
      </c>
      <c r="V949" s="27">
        <f t="shared" si="336"/>
        <v>0.2693583012486882</v>
      </c>
      <c r="W949" s="27">
        <f t="shared" si="336"/>
        <v>0.27173367665390064</v>
      </c>
      <c r="X949" s="27">
        <f t="shared" si="336"/>
        <v>0.27448292481300673</v>
      </c>
      <c r="Y949" s="27">
        <f t="shared" si="336"/>
        <v>0.27729042591127234</v>
      </c>
      <c r="Z949" s="27">
        <f t="shared" si="336"/>
        <v>0.28039796755405094</v>
      </c>
      <c r="AA949" s="27">
        <f t="shared" si="336"/>
        <v>0.28360177234089196</v>
      </c>
      <c r="AB949" s="27">
        <f t="shared" si="336"/>
        <v>0.28708577575853983</v>
      </c>
      <c r="AC949" s="27">
        <f t="shared" si="336"/>
        <v>0.29064837177880054</v>
      </c>
      <c r="AD949" s="27">
        <f t="shared" si="336"/>
        <v>0.29449715084700523</v>
      </c>
      <c r="AE949" s="27">
        <f t="shared" si="336"/>
        <v>0.29829383917166835</v>
      </c>
      <c r="AF949" s="27">
        <f t="shared" si="336"/>
        <v>0.30230121539018168</v>
      </c>
      <c r="AG949" s="27">
        <f t="shared" si="336"/>
        <v>0.30683422036395941</v>
      </c>
      <c r="AH949" s="27">
        <f t="shared" si="336"/>
        <v>0.31114406554952856</v>
      </c>
      <c r="AI949" s="27">
        <f t="shared" si="336"/>
        <v>0.31556378895902254</v>
      </c>
      <c r="AJ949" s="27">
        <f t="shared" si="336"/>
        <v>0.32029048309563773</v>
      </c>
      <c r="AK949" s="27">
        <f t="shared" si="336"/>
        <v>0.32471882586455802</v>
      </c>
      <c r="AL949" s="27">
        <f t="shared" si="336"/>
        <v>0.32912313723492953</v>
      </c>
      <c r="AM949" s="27">
        <f t="shared" si="336"/>
        <v>0.33351566777203023</v>
      </c>
      <c r="AN949" s="27">
        <f t="shared" si="336"/>
        <v>0.33816283338541037</v>
      </c>
      <c r="AO949" s="27">
        <f t="shared" si="336"/>
        <v>0.34262308063885955</v>
      </c>
      <c r="AP949" s="27">
        <f t="shared" si="336"/>
        <v>0.34725652550284908</v>
      </c>
      <c r="AQ949" s="27">
        <f t="shared" si="336"/>
        <v>0.35208430027455134</v>
      </c>
      <c r="AR949" s="27">
        <f t="shared" si="336"/>
        <v>0.3571403879283947</v>
      </c>
      <c r="AS949" s="27">
        <f t="shared" si="336"/>
        <v>0.36228591111358999</v>
      </c>
      <c r="AT949" s="27">
        <f t="shared" si="336"/>
        <v>0.36350587353959202</v>
      </c>
      <c r="AU949" s="27">
        <f t="shared" si="336"/>
        <v>0.36437411706629697</v>
      </c>
      <c r="AV949" s="27">
        <f t="shared" si="336"/>
        <v>0.36472985230241872</v>
      </c>
      <c r="AW949" s="27">
        <f t="shared" si="336"/>
        <v>0.36494465484126087</v>
      </c>
      <c r="AY949" s="79"/>
      <c r="AZ949" s="79"/>
    </row>
    <row r="950" spans="1:52" x14ac:dyDescent="0.3">
      <c r="A950" s="95" t="str">
        <f t="shared" si="326"/>
        <v>DS Cattle MMN2O</v>
      </c>
      <c r="B950" s="95" t="s">
        <v>974</v>
      </c>
      <c r="C950" s="95" t="s">
        <v>1232</v>
      </c>
      <c r="D950" t="s">
        <v>15</v>
      </c>
      <c r="E950" t="s">
        <v>657</v>
      </c>
      <c r="F950" t="s">
        <v>67</v>
      </c>
      <c r="G950" t="s">
        <v>307</v>
      </c>
      <c r="H950" t="s">
        <v>1227</v>
      </c>
      <c r="I950" t="s">
        <v>139</v>
      </c>
      <c r="J950" t="s">
        <v>287</v>
      </c>
      <c r="K950" s="27">
        <f t="shared" si="335"/>
        <v>1.1586934798802538E-2</v>
      </c>
      <c r="L950" s="27">
        <f t="shared" si="336"/>
        <v>1.1651711689683764E-2</v>
      </c>
      <c r="M950" s="27">
        <f t="shared" si="336"/>
        <v>1.1743619004328788E-2</v>
      </c>
      <c r="N950" s="27">
        <f t="shared" si="336"/>
        <v>1.1802679244134426E-2</v>
      </c>
      <c r="O950" s="27">
        <f t="shared" si="336"/>
        <v>1.1841925043604099E-2</v>
      </c>
      <c r="P950" s="27">
        <f t="shared" si="336"/>
        <v>1.1860970136438286E-2</v>
      </c>
      <c r="Q950" s="27">
        <f t="shared" si="336"/>
        <v>1.1903047834366352E-2</v>
      </c>
      <c r="R950" s="27">
        <f t="shared" si="336"/>
        <v>1.1951318021451857E-2</v>
      </c>
      <c r="S950" s="27">
        <f t="shared" si="336"/>
        <v>1.1592066187314282E-2</v>
      </c>
      <c r="T950" s="27">
        <f t="shared" si="336"/>
        <v>1.1713958142562505E-2</v>
      </c>
      <c r="U950" s="27">
        <f t="shared" si="336"/>
        <v>1.1892375711990867E-2</v>
      </c>
      <c r="V950" s="27">
        <f t="shared" si="336"/>
        <v>1.1984853830210035E-2</v>
      </c>
      <c r="W950" s="27">
        <f t="shared" si="336"/>
        <v>1.2090544009021577E-2</v>
      </c>
      <c r="X950" s="27">
        <f t="shared" si="336"/>
        <v>1.221286931764253E-2</v>
      </c>
      <c r="Y950" s="27">
        <f t="shared" si="336"/>
        <v>1.2337786538069315E-2</v>
      </c>
      <c r="Z950" s="27">
        <f t="shared" si="336"/>
        <v>1.2476053790971267E-2</v>
      </c>
      <c r="AA950" s="27">
        <f t="shared" si="336"/>
        <v>1.2618604185344915E-2</v>
      </c>
      <c r="AB950" s="27">
        <f t="shared" si="336"/>
        <v>1.2773621764201382E-2</v>
      </c>
      <c r="AC950" s="27">
        <f t="shared" si="336"/>
        <v>1.293213624978054E-2</v>
      </c>
      <c r="AD950" s="27">
        <f t="shared" si="336"/>
        <v>1.3103384191066813E-2</v>
      </c>
      <c r="AE950" s="27">
        <f t="shared" si="336"/>
        <v>1.3272314401864145E-2</v>
      </c>
      <c r="AF950" s="27">
        <f t="shared" si="336"/>
        <v>1.345061897981439E-2</v>
      </c>
      <c r="AG950" s="27">
        <f t="shared" si="336"/>
        <v>1.3652310933507637E-2</v>
      </c>
      <c r="AH950" s="27">
        <f t="shared" si="336"/>
        <v>1.3844073594396234E-2</v>
      </c>
      <c r="AI950" s="27">
        <f t="shared" si="336"/>
        <v>1.4040725187412617E-2</v>
      </c>
      <c r="AJ950" s="27">
        <f t="shared" si="336"/>
        <v>1.4251035165107133E-2</v>
      </c>
      <c r="AK950" s="27">
        <f t="shared" si="336"/>
        <v>1.4448070268720213E-2</v>
      </c>
      <c r="AL950" s="27">
        <f t="shared" si="336"/>
        <v>1.4644036117004574E-2</v>
      </c>
      <c r="AM950" s="27">
        <f t="shared" si="336"/>
        <v>1.4839477787774847E-2</v>
      </c>
      <c r="AN950" s="27">
        <f t="shared" si="336"/>
        <v>1.5046249215805637E-2</v>
      </c>
      <c r="AO950" s="27">
        <f t="shared" si="336"/>
        <v>1.5244703880582538E-2</v>
      </c>
      <c r="AP950" s="27">
        <f t="shared" si="336"/>
        <v>1.5450864816287217E-2</v>
      </c>
      <c r="AQ950" s="27">
        <f t="shared" si="336"/>
        <v>1.5665672285356487E-2</v>
      </c>
      <c r="AR950" s="27">
        <f t="shared" si="336"/>
        <v>1.589063832948109E-2</v>
      </c>
      <c r="AS950" s="27">
        <f t="shared" si="336"/>
        <v>1.6119583726629205E-2</v>
      </c>
      <c r="AT950" s="27">
        <f t="shared" si="336"/>
        <v>1.6173864850642101E-2</v>
      </c>
      <c r="AU950" s="27">
        <f t="shared" si="336"/>
        <v>1.6212496560555425E-2</v>
      </c>
      <c r="AV950" s="27">
        <f t="shared" si="336"/>
        <v>1.6228324677927005E-2</v>
      </c>
      <c r="AW950" s="27">
        <f t="shared" si="336"/>
        <v>1.6237882122484858E-2</v>
      </c>
      <c r="AY950" s="79"/>
      <c r="AZ950" s="79"/>
    </row>
    <row r="951" spans="1:52" x14ac:dyDescent="0.3">
      <c r="A951" s="95" t="str">
        <f t="shared" si="326"/>
        <v>DS Cattle MMN2O</v>
      </c>
      <c r="B951" s="95" t="s">
        <v>974</v>
      </c>
      <c r="C951" s="95" t="s">
        <v>1232</v>
      </c>
      <c r="D951" t="s">
        <v>15</v>
      </c>
      <c r="E951" t="s">
        <v>657</v>
      </c>
      <c r="F951" t="s">
        <v>67</v>
      </c>
      <c r="G951" t="s">
        <v>122</v>
      </c>
      <c r="H951" t="s">
        <v>1227</v>
      </c>
      <c r="I951" t="s">
        <v>139</v>
      </c>
      <c r="J951" t="s">
        <v>287</v>
      </c>
      <c r="K951" s="93">
        <f>IF('Net zero activities &amp; levers'!$C$12="Off",('Activity data'!AD8*EF!$H39*EF!$H57)*NtoN2O*kgtoGg,('Net zero Activity data'!AD8*EF!$H39*EF!$H57)*NtoN2O*kgtoGg)</f>
        <v>0.52525224947331306</v>
      </c>
      <c r="L951" s="93">
        <f>IF('Net zero activities &amp; levers'!$C$12="Off",('Activity data'!AE8*EF!$H39*EF!$H57)*NtoN2O*kgtoGg,('Net zero Activity data'!AE8*EF!$H39*EF!$H57)*NtoN2O*kgtoGg)</f>
        <v>0.52069690445710348</v>
      </c>
      <c r="M951" s="93">
        <f>IF('Net zero activities &amp; levers'!$C$12="Off",('Activity data'!AF8*EF!$H39*EF!$H57)*NtoN2O*kgtoGg,('Net zero Activity data'!AF8*EF!$H39*EF!$H57)*NtoN2O*kgtoGg)</f>
        <v>0.51896282251134873</v>
      </c>
      <c r="N951" s="93">
        <f>IF('Net zero activities &amp; levers'!$C$12="Off",('Activity data'!AG8*EF!$H39*EF!$H57)*NtoN2O*kgtoGg,('Net zero Activity data'!AG8*EF!$H39*EF!$H57)*NtoN2O*kgtoGg)</f>
        <v>0.51203275332440912</v>
      </c>
      <c r="O951" s="93">
        <f>IF('Net zero activities &amp; levers'!$C$12="Off",('Activity data'!AH8*EF!$H39*EF!$H57)*NtoN2O*kgtoGg,('Net zero Activity data'!AH8*EF!$H39*EF!$H57)*NtoN2O*kgtoGg)</f>
        <v>0.50197358865556674</v>
      </c>
      <c r="P951" s="93">
        <f>IF('Net zero activities &amp; levers'!$C$12="Off",('Activity data'!AI8*EF!$H39*EF!$H57)*NtoN2O*kgtoGg,('Net zero Activity data'!AI8*EF!$H39*EF!$H57)*NtoN2O*kgtoGg)</f>
        <v>0.48899333628247271</v>
      </c>
      <c r="Q951" s="93">
        <f>IF('Net zero activities &amp; levers'!$C$12="Off",('Activity data'!AJ8*EF!$H39*EF!$H57)*NtoN2O*kgtoGg,('Net zero Activity data'!AJ8*EF!$H39*EF!$H57)*NtoN2O*kgtoGg)</f>
        <v>0.47875543160314177</v>
      </c>
      <c r="R951" s="93">
        <f>IF('Net zero activities &amp; levers'!$C$12="Off",('Activity data'!AK8*EF!$H39*EF!$H57)*NtoN2O*kgtoGg,('Net zero Activity data'!AK8*EF!$H39*EF!$H57)*NtoN2O*kgtoGg)</f>
        <v>0.46906920988966794</v>
      </c>
      <c r="S951" s="93">
        <f>IF('Net zero activities &amp; levers'!$C$12="Off",('Activity data'!AL8*EF!$H39*EF!$H57)*NtoN2O*kgtoGg,('Net zero Activity data'!AL8*EF!$H39*EF!$H57)*NtoN2O*kgtoGg)</f>
        <v>0.41264416115350733</v>
      </c>
      <c r="T951" s="93">
        <f>IF('Net zero activities &amp; levers'!$C$12="Off",('Activity data'!AM8*EF!$H39*EF!$H57)*NtoN2O*kgtoGg,('Net zero Activity data'!AM8*EF!$H39*EF!$H57)*NtoN2O*kgtoGg)</f>
        <v>0.41934674582080395</v>
      </c>
      <c r="U951" s="93">
        <f>IF('Net zero activities &amp; levers'!$C$12="Off",('Activity data'!AN8*EF!$H39*EF!$H57)*NtoN2O*kgtoGg,('Net zero Activity data'!AN8*EF!$H39*EF!$H57)*NtoN2O*kgtoGg)</f>
        <v>0.43185062896277993</v>
      </c>
      <c r="V951" s="93">
        <f>IF('Net zero activities &amp; levers'!$C$12="Off",('Activity data'!AO8*EF!$H39*EF!$H57)*NtoN2O*kgtoGg,('Net zero Activity data'!AO8*EF!$H39*EF!$H57)*NtoN2O*kgtoGg)</f>
        <v>0.43434779885132324</v>
      </c>
      <c r="W951" s="93">
        <f>IF('Net zero activities &amp; levers'!$C$12="Off",('Activity data'!AP8*EF!$H39*EF!$H57)*NtoN2O*kgtoGg,('Net zero Activity data'!AP8*EF!$H39*EF!$H57)*NtoN2O*kgtoGg)</f>
        <v>0.43794943602225234</v>
      </c>
      <c r="X951" s="93">
        <f>IF('Net zero activities &amp; levers'!$C$12="Off",('Activity data'!AQ8*EF!$H39*EF!$H57)*NtoN2O*kgtoGg,('Net zero Activity data'!AQ8*EF!$H39*EF!$H57)*NtoN2O*kgtoGg)</f>
        <v>0.44297379932068648</v>
      </c>
      <c r="Y951" s="93">
        <f>IF('Net zero activities &amp; levers'!$C$12="Off",('Activity data'!AR8*EF!$H39*EF!$H57)*NtoN2O*kgtoGg,('Net zero Activity data'!AR8*EF!$H39*EF!$H57)*NtoN2O*kgtoGg)</f>
        <v>0.44873697326986872</v>
      </c>
      <c r="Z951" s="93">
        <f>IF('Net zero activities &amp; levers'!$C$12="Off",('Activity data'!AS8*EF!$H39*EF!$H57)*NtoN2O*kgtoGg,('Net zero Activity data'!AS8*EF!$H39*EF!$H57)*NtoN2O*kgtoGg)</f>
        <v>0.45549399211939318</v>
      </c>
      <c r="AA951" s="93">
        <f>IF('Net zero activities &amp; levers'!$C$12="Off",('Activity data'!AT8*EF!$H39*EF!$H57)*NtoN2O*kgtoGg,('Net zero Activity data'!AT8*EF!$H39*EF!$H57)*NtoN2O*kgtoGg)</f>
        <v>0.46228217585155068</v>
      </c>
      <c r="AB951" s="93">
        <f>IF('Net zero activities &amp; levers'!$C$12="Off",('Activity data'!AU8*EF!$H39*EF!$H57)*NtoN2O*kgtoGg,('Net zero Activity data'!AU8*EF!$H39*EF!$H57)*NtoN2O*kgtoGg)</f>
        <v>0.46991678793970998</v>
      </c>
      <c r="AC951" s="93">
        <f>IF('Net zero activities &amp; levers'!$C$12="Off",('Activity data'!AV8*EF!$H39*EF!$H57)*NtoN2O*kgtoGg,('Net zero Activity data'!AV8*EF!$H39*EF!$H57)*NtoN2O*kgtoGg)</f>
        <v>0.47747563485930333</v>
      </c>
      <c r="AD951" s="93">
        <f>IF('Net zero activities &amp; levers'!$C$12="Off",('Activity data'!AW8*EF!$H39*EF!$H57)*NtoN2O*kgtoGg,('Net zero Activity data'!AW8*EF!$H39*EF!$H57)*NtoN2O*kgtoGg)</f>
        <v>0.48239948914340336</v>
      </c>
      <c r="AE951" s="93">
        <f>IF('Net zero activities &amp; levers'!$C$12="Off",('Activity data'!AX8*EF!$H39*EF!$H57)*NtoN2O*kgtoGg,('Net zero Activity data'!AX8*EF!$H39*EF!$H57)*NtoN2O*kgtoGg)</f>
        <v>0.48644231664639292</v>
      </c>
      <c r="AF951" s="93">
        <f>IF('Net zero activities &amp; levers'!$C$12="Off",('Activity data'!AY8*EF!$H39*EF!$H57)*NtoN2O*kgtoGg,('Net zero Activity data'!AY8*EF!$H39*EF!$H57)*NtoN2O*kgtoGg)</f>
        <v>0.49071333483501467</v>
      </c>
      <c r="AG951" s="93">
        <f>IF('Net zero activities &amp; levers'!$C$12="Off",('Activity data'!AZ8*EF!$H39*EF!$H57)*NtoN2O*kgtoGg,('Net zero Activity data'!AZ8*EF!$H39*EF!$H57)*NtoN2O*kgtoGg)</f>
        <v>0.49642790918475599</v>
      </c>
      <c r="AH951" s="93">
        <f>IF('Net zero activities &amp; levers'!$C$12="Off",('Activity data'!BA8*EF!$H39*EF!$H57)*NtoN2O*kgtoGg,('Net zero Activity data'!BA8*EF!$H39*EF!$H57)*NtoN2O*kgtoGg)</f>
        <v>0.50053763889453751</v>
      </c>
      <c r="AI951" s="93">
        <f>IF('Net zero activities &amp; levers'!$C$12="Off",('Activity data'!BB8*EF!$H39*EF!$H57)*NtoN2O*kgtoGg,('Net zero Activity data'!BB8*EF!$H39*EF!$H57)*NtoN2O*kgtoGg)</f>
        <v>0.50491759807835224</v>
      </c>
      <c r="AJ951" s="93">
        <f>IF('Net zero activities &amp; levers'!$C$12="Off",('Activity data'!BC8*EF!$H39*EF!$H57)*NtoN2O*kgtoGg,('Net zero Activity data'!BC8*EF!$H39*EF!$H57)*NtoN2O*kgtoGg)</f>
        <v>0.50973902676184191</v>
      </c>
      <c r="AK951" s="93">
        <f>IF('Net zero activities &amp; levers'!$C$12="Off",('Activity data'!BD8*EF!$H39*EF!$H57)*NtoN2O*kgtoGg,('Net zero Activity data'!BD8*EF!$H39*EF!$H57)*NtoN2O*kgtoGg)</f>
        <v>0.51274341869053752</v>
      </c>
      <c r="AL951" s="93">
        <f>IF('Net zero activities &amp; levers'!$C$12="Off",('Activity data'!BE8*EF!$H39*EF!$H57)*NtoN2O*kgtoGg,('Net zero Activity data'!BE8*EF!$H39*EF!$H57)*NtoN2O*kgtoGg)</f>
        <v>0.51499736836395149</v>
      </c>
      <c r="AM951" s="93">
        <f>IF('Net zero activities &amp; levers'!$C$12="Off",('Activity data'!BF8*EF!$H39*EF!$H57)*NtoN2O*kgtoGg,('Net zero Activity data'!BF8*EF!$H39*EF!$H57)*NtoN2O*kgtoGg)</f>
        <v>0.51656513471542254</v>
      </c>
      <c r="AN951" s="93">
        <f>IF('Net zero activities &amp; levers'!$C$12="Off",('Activity data'!BG8*EF!$H39*EF!$H57)*NtoN2O*kgtoGg,('Net zero Activity data'!BG8*EF!$H39*EF!$H57)*NtoN2O*kgtoGg)</f>
        <v>0.52143890594170261</v>
      </c>
      <c r="AO951" s="93">
        <f>IF('Net zero activities &amp; levers'!$C$12="Off",('Activity data'!BH8*EF!$H39*EF!$H57)*NtoN2O*kgtoGg,('Net zero Activity data'!BH8*EF!$H39*EF!$H57)*NtoN2O*kgtoGg)</f>
        <v>0.52514358906624359</v>
      </c>
      <c r="AP951" s="93">
        <f>IF('Net zero activities &amp; levers'!$C$12="Off",('Activity data'!BI8*EF!$H39*EF!$H57)*NtoN2O*kgtoGg,('Net zero Activity data'!BI8*EF!$H39*EF!$H57)*NtoN2O*kgtoGg)</f>
        <v>0.52889503602895283</v>
      </c>
      <c r="AQ951" s="93">
        <f>IF('Net zero activities &amp; levers'!$C$12="Off",('Activity data'!BJ8*EF!$H39*EF!$H57)*NtoN2O*kgtoGg,('Net zero Activity data'!BJ8*EF!$H39*EF!$H57)*NtoN2O*kgtoGg)</f>
        <v>0.53273616168720928</v>
      </c>
      <c r="AR951" s="93">
        <f>IF('Net zero activities &amp; levers'!$C$12="Off",('Activity data'!BK8*EF!$H39*EF!$H57)*NtoN2O*kgtoGg,('Net zero Activity data'!BK8*EF!$H39*EF!$H57)*NtoN2O*kgtoGg)</f>
        <v>0.53674442357271479</v>
      </c>
      <c r="AS951" s="93">
        <f>IF('Net zero activities &amp; levers'!$C$12="Off",('Activity data'!BL8*EF!$H39*EF!$H57)*NtoN2O*kgtoGg,('Net zero Activity data'!BL8*EF!$H39*EF!$H57)*NtoN2O*kgtoGg)</f>
        <v>0.54085984384551011</v>
      </c>
      <c r="AT951" s="93">
        <f>IF('Net zero activities &amp; levers'!$C$12="Off",('Activity data'!BM8*EF!$H39*EF!$H57)*NtoN2O*kgtoGg,('Net zero Activity data'!BM8*EF!$H39*EF!$H57)*NtoN2O*kgtoGg)</f>
        <v>0.53274169797877946</v>
      </c>
      <c r="AU951" s="93">
        <f>IF('Net zero activities &amp; levers'!$C$12="Off",('Activity data'!BN8*EF!$H39*EF!$H57)*NtoN2O*kgtoGg,('Net zero Activity data'!BN8*EF!$H39*EF!$H57)*NtoN2O*kgtoGg)</f>
        <v>0.52354520401592364</v>
      </c>
      <c r="AV951" s="93">
        <f>IF('Net zero activities &amp; levers'!$C$12="Off",('Activity data'!BO8*EF!$H39*EF!$H57)*NtoN2O*kgtoGg,('Net zero Activity data'!BO8*EF!$H39*EF!$H57)*NtoN2O*kgtoGg)</f>
        <v>0.51288351759282347</v>
      </c>
      <c r="AW951" s="93">
        <f>IF('Net zero activities &amp; levers'!$C$12="Off",('Activity data'!BP8*EF!$H39*EF!$H57)*NtoN2O*kgtoGg,('Net zero Activity data'!BP8*EF!$H39*EF!$H57)*NtoN2O*kgtoGg)</f>
        <v>0.50188770167031349</v>
      </c>
      <c r="AY951" s="79"/>
      <c r="AZ951" s="79"/>
    </row>
    <row r="952" spans="1:52" x14ac:dyDescent="0.3">
      <c r="A952" s="95" t="str">
        <f t="shared" si="326"/>
        <v>DS Cattle MMN2O</v>
      </c>
      <c r="B952" s="95" t="s">
        <v>974</v>
      </c>
      <c r="C952" s="95" t="s">
        <v>1232</v>
      </c>
      <c r="D952" t="s">
        <v>15</v>
      </c>
      <c r="E952" t="s">
        <v>657</v>
      </c>
      <c r="F952" t="s">
        <v>67</v>
      </c>
      <c r="G952" t="s">
        <v>123</v>
      </c>
      <c r="H952" t="s">
        <v>1227</v>
      </c>
      <c r="I952" t="s">
        <v>139</v>
      </c>
      <c r="J952" t="s">
        <v>287</v>
      </c>
      <c r="K952" s="93">
        <f>IF('Net zero activities &amp; levers'!$C$12="Off",('Activity data'!AD9*EF!$H40*EF!$H58)*NtoN2O*kgtoGg,('Net zero Activity data'!AD9*EF!$H40*EF!$H58)*NtoN2O*kgtoGg)</f>
        <v>0.80452586370517887</v>
      </c>
      <c r="L952" s="93">
        <f>IF('Net zero activities &amp; levers'!$C$12="Off",('Activity data'!AE9*EF!$H40*EF!$H58)*NtoN2O*kgtoGg,('Net zero Activity data'!AE9*EF!$H40*EF!$H58)*NtoN2O*kgtoGg)</f>
        <v>0.79754846782098032</v>
      </c>
      <c r="M952" s="93">
        <f>IF('Net zero activities &amp; levers'!$C$12="Off",('Activity data'!AF9*EF!$H40*EF!$H58)*NtoN2O*kgtoGg,('Net zero Activity data'!AF9*EF!$H40*EF!$H58)*NtoN2O*kgtoGg)</f>
        <v>0.79489238443144172</v>
      </c>
      <c r="N952" s="93">
        <f>IF('Net zero activities &amp; levers'!$C$12="Off",('Activity data'!AG9*EF!$H40*EF!$H58)*NtoN2O*kgtoGg,('Net zero Activity data'!AG9*EF!$H40*EF!$H58)*NtoN2O*kgtoGg)</f>
        <v>0.78427763712907439</v>
      </c>
      <c r="O952" s="93">
        <f>IF('Net zero activities &amp; levers'!$C$12="Off",('Activity data'!AH9*EF!$H40*EF!$H58)*NtoN2O*kgtoGg,('Net zero Activity data'!AH9*EF!$H40*EF!$H58)*NtoN2O*kgtoGg)</f>
        <v>0.76887007218962322</v>
      </c>
      <c r="P952" s="93">
        <f>IF('Net zero activities &amp; levers'!$C$12="Off",('Activity data'!AI9*EF!$H40*EF!$H58)*NtoN2O*kgtoGg,('Net zero Activity data'!AI9*EF!$H40*EF!$H58)*NtoN2O*kgtoGg)</f>
        <v>0.74898829393537225</v>
      </c>
      <c r="Q952" s="93">
        <f>IF('Net zero activities &amp; levers'!$C$12="Off",('Activity data'!AJ9*EF!$H40*EF!$H58)*NtoN2O*kgtoGg,('Net zero Activity data'!AJ9*EF!$H40*EF!$H58)*NtoN2O*kgtoGg)</f>
        <v>0.73330695394505496</v>
      </c>
      <c r="R952" s="93">
        <f>IF('Net zero activities &amp; levers'!$C$12="Off",('Activity data'!AK9*EF!$H40*EF!$H58)*NtoN2O*kgtoGg,('Net zero Activity data'!AK9*EF!$H40*EF!$H58)*NtoN2O*kgtoGg)</f>
        <v>0.71847062359542491</v>
      </c>
      <c r="S952" s="93">
        <f>IF('Net zero activities &amp; levers'!$C$12="Off",('Activity data'!AL9*EF!$H40*EF!$H58)*NtoN2O*kgtoGg,('Net zero Activity data'!AL9*EF!$H40*EF!$H58)*NtoN2O*kgtoGg)</f>
        <v>0.63204469945214758</v>
      </c>
      <c r="T952" s="93">
        <f>IF('Net zero activities &amp; levers'!$C$12="Off",('Activity data'!AM9*EF!$H40*EF!$H58)*NtoN2O*kgtoGg,('Net zero Activity data'!AM9*EF!$H40*EF!$H58)*NtoN2O*kgtoGg)</f>
        <v>0.6423110100180156</v>
      </c>
      <c r="U952" s="93">
        <f>IF('Net zero activities &amp; levers'!$C$12="Off",('Activity data'!AN9*EF!$H40*EF!$H58)*NtoN2O*kgtoGg,('Net zero Activity data'!AN9*EF!$H40*EF!$H58)*NtoN2O*kgtoGg)</f>
        <v>0.66146313624794417</v>
      </c>
      <c r="V952" s="93">
        <f>IF('Net zero activities &amp; levers'!$C$12="Off",('Activity data'!AO9*EF!$H40*EF!$H58)*NtoN2O*kgtoGg,('Net zero Activity data'!AO9*EF!$H40*EF!$H58)*NtoN2O*kgtoGg)</f>
        <v>0.6652880370711457</v>
      </c>
      <c r="W952" s="93">
        <f>IF('Net zero activities &amp; levers'!$C$12="Off",('Activity data'!AP9*EF!$H40*EF!$H58)*NtoN2O*kgtoGg,('Net zero Activity data'!AP9*EF!$H40*EF!$H58)*NtoN2O*kgtoGg)</f>
        <v>0.6708046441082407</v>
      </c>
      <c r="X952" s="93">
        <f>IF('Net zero activities &amp; levers'!$C$12="Off",('Activity data'!AQ9*EF!$H40*EF!$H58)*NtoN2O*kgtoGg,('Net zero Activity data'!AQ9*EF!$H40*EF!$H58)*NtoN2O*kgtoGg)</f>
        <v>0.67850043261042148</v>
      </c>
      <c r="Y952" s="93">
        <f>IF('Net zero activities &amp; levers'!$C$12="Off",('Activity data'!AR9*EF!$H40*EF!$H58)*NtoN2O*kgtoGg,('Net zero Activity data'!AR9*EF!$H40*EF!$H58)*NtoN2O*kgtoGg)</f>
        <v>0.68732785315702249</v>
      </c>
      <c r="Z952" s="93">
        <f>IF('Net zero activities &amp; levers'!$C$12="Off",('Activity data'!AS9*EF!$H40*EF!$H58)*NtoN2O*kgtoGg,('Net zero Activity data'!AS9*EF!$H40*EF!$H58)*NtoN2O*kgtoGg)</f>
        <v>0.69767754024819972</v>
      </c>
      <c r="AA952" s="93">
        <f>IF('Net zero activities &amp; levers'!$C$12="Off",('Activity data'!AT9*EF!$H40*EF!$H58)*NtoN2O*kgtoGg,('Net zero Activity data'!AT9*EF!$H40*EF!$H58)*NtoN2O*kgtoGg)</f>
        <v>0.70807496241170254</v>
      </c>
      <c r="AB952" s="93">
        <f>IF('Net zero activities &amp; levers'!$C$12="Off",('Activity data'!AU9*EF!$H40*EF!$H58)*NtoN2O*kgtoGg,('Net zero Activity data'!AU9*EF!$H40*EF!$H58)*NtoN2O*kgtoGg)</f>
        <v>0.71976885404270319</v>
      </c>
      <c r="AC952" s="93">
        <f>IF('Net zero activities &amp; levers'!$C$12="Off",('Activity data'!AV9*EF!$H40*EF!$H58)*NtoN2O*kgtoGg,('Net zero Activity data'!AV9*EF!$H40*EF!$H58)*NtoN2O*kgtoGg)</f>
        <v>0.73134669659873019</v>
      </c>
      <c r="AD952" s="93">
        <f>IF('Net zero activities &amp; levers'!$C$12="Off",('Activity data'!AW9*EF!$H40*EF!$H58)*NtoN2O*kgtoGg,('Net zero Activity data'!AW9*EF!$H40*EF!$H58)*NtoN2O*kgtoGg)</f>
        <v>0.73888853601902071</v>
      </c>
      <c r="AE952" s="93">
        <f>IF('Net zero activities &amp; levers'!$C$12="Off",('Activity data'!AX9*EF!$H40*EF!$H58)*NtoN2O*kgtoGg,('Net zero Activity data'!AX9*EF!$H40*EF!$H58)*NtoN2O*kgtoGg)</f>
        <v>0.74508091176213287</v>
      </c>
      <c r="AF952" s="93">
        <f>IF('Net zero activities &amp; levers'!$C$12="Off",('Activity data'!AY9*EF!$H40*EF!$H58)*NtoN2O*kgtoGg,('Net zero Activity data'!AY9*EF!$H40*EF!$H58)*NtoN2O*kgtoGg)</f>
        <v>0.7516228058721478</v>
      </c>
      <c r="AG952" s="93">
        <f>IF('Net zero activities &amp; levers'!$C$12="Off",('Activity data'!AZ9*EF!$H40*EF!$H58)*NtoN2O*kgtoGg,('Net zero Activity data'!AZ9*EF!$H40*EF!$H58)*NtoN2O*kgtoGg)</f>
        <v>0.76037578669049388</v>
      </c>
      <c r="AH952" s="93">
        <f>IF('Net zero activities &amp; levers'!$C$12="Off",('Activity data'!BA9*EF!$H40*EF!$H58)*NtoN2O*kgtoGg,('Net zero Activity data'!BA9*EF!$H40*EF!$H58)*NtoN2O*kgtoGg)</f>
        <v>0.76667063616076714</v>
      </c>
      <c r="AI952" s="93">
        <f>IF('Net zero activities &amp; levers'!$C$12="Off",('Activity data'!BB9*EF!$H40*EF!$H58)*NtoN2O*kgtoGg,('Net zero Activity data'!BB9*EF!$H40*EF!$H58)*NtoN2O*kgtoGg)</f>
        <v>0.77337939456948435</v>
      </c>
      <c r="AJ952" s="93">
        <f>IF('Net zero activities &amp; levers'!$C$12="Off",('Activity data'!BC9*EF!$H40*EF!$H58)*NtoN2O*kgtoGg,('Net zero Activity data'!BC9*EF!$H40*EF!$H58)*NtoN2O*kgtoGg)</f>
        <v>0.78076434928365657</v>
      </c>
      <c r="AK952" s="93">
        <f>IF('Net zero activities &amp; levers'!$C$12="Off",('Activity data'!BD9*EF!$H40*EF!$H58)*NtoN2O*kgtoGg,('Net zero Activity data'!BD9*EF!$H40*EF!$H58)*NtoN2O*kgtoGg)</f>
        <v>0.78536615920216046</v>
      </c>
      <c r="AL952" s="93">
        <f>IF('Net zero activities &amp; levers'!$C$12="Off",('Activity data'!BE9*EF!$H40*EF!$H58)*NtoN2O*kgtoGg,('Net zero Activity data'!BE9*EF!$H40*EF!$H58)*NtoN2O*kgtoGg)</f>
        <v>0.78881852101416539</v>
      </c>
      <c r="AM952" s="93">
        <f>IF('Net zero activities &amp; levers'!$C$12="Off",('Activity data'!BF9*EF!$H40*EF!$H58)*NtoN2O*kgtoGg,('Net zero Activity data'!BF9*EF!$H40*EF!$H58)*NtoN2O*kgtoGg)</f>
        <v>0.79121985976001552</v>
      </c>
      <c r="AN952" s="93">
        <f>IF('Net zero activities &amp; levers'!$C$12="Off",('Activity data'!BG9*EF!$H40*EF!$H58)*NtoN2O*kgtoGg,('Net zero Activity data'!BG9*EF!$H40*EF!$H58)*NtoN2O*kgtoGg)</f>
        <v>0.79868498724734416</v>
      </c>
      <c r="AO952" s="93">
        <f>IF('Net zero activities &amp; levers'!$C$12="Off",('Activity data'!BH9*EF!$H40*EF!$H58)*NtoN2O*kgtoGg,('Net zero Activity data'!BH9*EF!$H40*EF!$H58)*NtoN2O*kgtoGg)</f>
        <v>0.80435942918169867</v>
      </c>
      <c r="AP952" s="93">
        <f>IF('Net zero activities &amp; levers'!$C$12="Off",('Activity data'!BI9*EF!$H40*EF!$H58)*NtoN2O*kgtoGg,('Net zero Activity data'!BI9*EF!$H40*EF!$H58)*NtoN2O*kgtoGg)</f>
        <v>0.81010549901927509</v>
      </c>
      <c r="AQ952" s="93">
        <f>IF('Net zero activities &amp; levers'!$C$12="Off",('Activity data'!BJ9*EF!$H40*EF!$H58)*NtoN2O*kgtoGg,('Net zero Activity data'!BJ9*EF!$H40*EF!$H58)*NtoN2O*kgtoGg)</f>
        <v>0.81598892920145427</v>
      </c>
      <c r="AR952" s="93">
        <f>IF('Net zero activities &amp; levers'!$C$12="Off",('Activity data'!BK9*EF!$H40*EF!$H58)*NtoN2O*kgtoGg,('Net zero Activity data'!BK9*EF!$H40*EF!$H58)*NtoN2O*kgtoGg)</f>
        <v>0.82212836098613751</v>
      </c>
      <c r="AS952" s="93">
        <f>IF('Net zero activities &amp; levers'!$C$12="Off",('Activity data'!BL9*EF!$H40*EF!$H58)*NtoN2O*kgtoGg,('Net zero Activity data'!BL9*EF!$H40*EF!$H58)*NtoN2O*kgtoGg)</f>
        <v>0.82843192665920329</v>
      </c>
      <c r="AT952" s="93">
        <f>IF('Net zero activities &amp; levers'!$C$12="Off",('Activity data'!BM9*EF!$H40*EF!$H58)*NtoN2O*kgtoGg,('Net zero Activity data'!BM9*EF!$H40*EF!$H58)*NtoN2O*kgtoGg)</f>
        <v>0.81599740910755991</v>
      </c>
      <c r="AU952" s="93">
        <f>IF('Net zero activities &amp; levers'!$C$12="Off",('Activity data'!BN9*EF!$H40*EF!$H58)*NtoN2O*kgtoGg,('Net zero Activity data'!BN9*EF!$H40*EF!$H58)*NtoN2O*kgtoGg)</f>
        <v>0.80191119195009897</v>
      </c>
      <c r="AV952" s="93">
        <f>IF('Net zero activities &amp; levers'!$C$12="Off",('Activity data'!BO9*EF!$H40*EF!$H58)*NtoN2O*kgtoGg,('Net zero Activity data'!BO9*EF!$H40*EF!$H58)*NtoN2O*kgtoGg)</f>
        <v>0.78558074788879373</v>
      </c>
      <c r="AW952" s="93">
        <f>IF('Net zero activities &amp; levers'!$C$12="Off",('Activity data'!BP9*EF!$H40*EF!$H58)*NtoN2O*kgtoGg,('Net zero Activity data'!BP9*EF!$H40*EF!$H58)*NtoN2O*kgtoGg)</f>
        <v>0.76873851958597172</v>
      </c>
      <c r="AY952" s="79"/>
      <c r="AZ952" s="79"/>
    </row>
    <row r="953" spans="1:52" x14ac:dyDescent="0.3">
      <c r="A953" s="95" t="str">
        <f t="shared" si="326"/>
        <v>DS Cattle MMN2O</v>
      </c>
      <c r="B953" s="95" t="s">
        <v>974</v>
      </c>
      <c r="C953" s="95" t="s">
        <v>1232</v>
      </c>
      <c r="D953" t="s">
        <v>15</v>
      </c>
      <c r="E953" t="s">
        <v>657</v>
      </c>
      <c r="F953" t="s">
        <v>67</v>
      </c>
      <c r="G953" t="s">
        <v>135</v>
      </c>
      <c r="H953" t="s">
        <v>1227</v>
      </c>
      <c r="I953" t="s">
        <v>139</v>
      </c>
      <c r="J953" t="s">
        <v>287</v>
      </c>
      <c r="K953" s="93">
        <f>IF('Net zero activities &amp; levers'!$C$12="Off",('Activity data'!AD10*EF!$H41*EF!$H59)*NtoN2O*kgtoGg,('Net zero Activity data'!AD10*EF!$H41*EF!$H59)*NtoN2O*kgtoGg)</f>
        <v>0.97926119892671493</v>
      </c>
      <c r="L953" s="93">
        <f>IF('Net zero activities &amp; levers'!$C$12="Off",('Activity data'!AE10*EF!$H41*EF!$H59)*NtoN2O*kgtoGg,('Net zero Activity data'!AE10*EF!$H41*EF!$H59)*NtoN2O*kgtoGg)</f>
        <v>1.0122801448609142</v>
      </c>
      <c r="M953" s="93">
        <f>IF('Net zero activities &amp; levers'!$C$12="Off",('Activity data'!AF10*EF!$H41*EF!$H59)*NtoN2O*kgtoGg,('Net zero Activity data'!AF10*EF!$H41*EF!$H59)*NtoN2O*kgtoGg)</f>
        <v>1.0514701788925804</v>
      </c>
      <c r="N953" s="93">
        <f>IF('Net zero activities &amp; levers'!$C$12="Off",('Activity data'!AG10*EF!$H41*EF!$H59)*NtoN2O*kgtoGg,('Net zero Activity data'!AG10*EF!$H41*EF!$H59)*NtoN2O*kgtoGg)</f>
        <v>1.0806972456941153</v>
      </c>
      <c r="O953" s="93">
        <f>IF('Net zero activities &amp; levers'!$C$12="Off",('Activity data'!AH10*EF!$H41*EF!$H59)*NtoN2O*kgtoGg,('Net zero Activity data'!AH10*EF!$H41*EF!$H59)*NtoN2O*kgtoGg)</f>
        <v>1.1032367943433714</v>
      </c>
      <c r="P953" s="93">
        <f>IF('Net zero activities &amp; levers'!$C$12="Off",('Activity data'!AI10*EF!$H41*EF!$H59)*NtoN2O*kgtoGg,('Net zero Activity data'!AI10*EF!$H41*EF!$H59)*NtoN2O*kgtoGg)</f>
        <v>1.1187666946803865</v>
      </c>
      <c r="Q953" s="93">
        <f>IF('Net zero activities &amp; levers'!$C$12="Off",('Activity data'!AJ10*EF!$H41*EF!$H59)*NtoN2O*kgtoGg,('Net zero Activity data'!AJ10*EF!$H41*EF!$H59)*NtoN2O*kgtoGg)</f>
        <v>1.1399714801203362</v>
      </c>
      <c r="R953" s="93">
        <f>IF('Net zero activities &amp; levers'!$C$12="Off",('Activity data'!AK10*EF!$H41*EF!$H59)*NtoN2O*kgtoGg,('Net zero Activity data'!AK10*EF!$H41*EF!$H59)*NtoN2O*kgtoGg)</f>
        <v>1.1622002864669057</v>
      </c>
      <c r="S953" s="93">
        <f>IF('Net zero activities &amp; levers'!$C$12="Off",('Activity data'!AL10*EF!$H41*EF!$H59)*NtoN2O*kgtoGg,('Net zero Activity data'!AL10*EF!$H41*EF!$H59)*NtoN2O*kgtoGg)</f>
        <v>1.0637182358780759</v>
      </c>
      <c r="T953" s="93">
        <f>IF('Net zero activities &amp; levers'!$C$12="Off",('Activity data'!AM10*EF!$H41*EF!$H59)*NtoN2O*kgtoGg,('Net zero Activity data'!AM10*EF!$H41*EF!$H59)*NtoN2O*kgtoGg)</f>
        <v>1.1070403364801074</v>
      </c>
      <c r="U953" s="93">
        <f>IF('Net zero activities &amp; levers'!$C$12="Off",('Activity data'!AN10*EF!$H41*EF!$H59)*NtoN2O*kgtoGg,('Net zero Activity data'!AN10*EF!$H41*EF!$H59)*NtoN2O*kgtoGg)</f>
        <v>1.167139233674557</v>
      </c>
      <c r="V953" s="93">
        <f>IF('Net zero activities &amp; levers'!$C$12="Off",('Activity data'!AO10*EF!$H41*EF!$H59)*NtoN2O*kgtoGg,('Net zero Activity data'!AO10*EF!$H41*EF!$H59)*NtoN2O*kgtoGg)</f>
        <v>1.2014274387995842</v>
      </c>
      <c r="W953" s="93">
        <f>IF('Net zero activities &amp; levers'!$C$12="Off",('Activity data'!AP10*EF!$H41*EF!$H59)*NtoN2O*kgtoGg,('Net zero Activity data'!AP10*EF!$H41*EF!$H59)*NtoN2O*kgtoGg)</f>
        <v>1.2394742549139584</v>
      </c>
      <c r="X953" s="93">
        <f>IF('Net zero activities &amp; levers'!$C$12="Off",('Activity data'!AQ10*EF!$H41*EF!$H59)*NtoN2O*kgtoGg,('Net zero Activity data'!AQ10*EF!$H41*EF!$H59)*NtoN2O*kgtoGg)</f>
        <v>1.2824424199036168</v>
      </c>
      <c r="Y953" s="93">
        <f>IF('Net zero activities &amp; levers'!$C$12="Off",('Activity data'!AR10*EF!$H41*EF!$H59)*NtoN2O*kgtoGg,('Net zero Activity data'!AR10*EF!$H41*EF!$H59)*NtoN2O*kgtoGg)</f>
        <v>1.3286164007902908</v>
      </c>
      <c r="Z953" s="93">
        <f>IF('Net zero activities &amp; levers'!$C$12="Off",('Activity data'!AS10*EF!$H41*EF!$H59)*NtoN2O*kgtoGg,('Net zero Activity data'!AS10*EF!$H41*EF!$H59)*NtoN2O*kgtoGg)</f>
        <v>1.3789486454543383</v>
      </c>
      <c r="AA953" s="93">
        <f>IF('Net zero activities &amp; levers'!$C$12="Off",('Activity data'!AT10*EF!$H41*EF!$H59)*NtoN2O*kgtoGg,('Net zero Activity data'!AT10*EF!$H41*EF!$H59)*NtoN2O*kgtoGg)</f>
        <v>1.4306963818966387</v>
      </c>
      <c r="AB953" s="93">
        <f>IF('Net zero activities &amp; levers'!$C$12="Off",('Activity data'!AU10*EF!$H41*EF!$H59)*NtoN2O*kgtoGg,('Net zero Activity data'!AU10*EF!$H41*EF!$H59)*NtoN2O*kgtoGg)</f>
        <v>1.4864839183326823</v>
      </c>
      <c r="AC953" s="93">
        <f>IF('Net zero activities &amp; levers'!$C$12="Off",('Activity data'!AV10*EF!$H41*EF!$H59)*NtoN2O*kgtoGg,('Net zero Activity data'!AV10*EF!$H41*EF!$H59)*NtoN2O*kgtoGg)</f>
        <v>1.5435464944872577</v>
      </c>
      <c r="AD953" s="93">
        <f>IF('Net zero activities &amp; levers'!$C$12="Off",('Activity data'!AW10*EF!$H41*EF!$H59)*NtoN2O*kgtoGg,('Net zero Activity data'!AW10*EF!$H41*EF!$H59)*NtoN2O*kgtoGg)</f>
        <v>1.6111800014411353</v>
      </c>
      <c r="AE953" s="93">
        <f>IF('Net zero activities &amp; levers'!$C$12="Off",('Activity data'!AX10*EF!$H41*EF!$H59)*NtoN2O*kgtoGg,('Net zero Activity data'!AX10*EF!$H41*EF!$H59)*NtoN2O*kgtoGg)</f>
        <v>1.6786649286792732</v>
      </c>
      <c r="AF953" s="93">
        <f>IF('Net zero activities &amp; levers'!$C$12="Off",('Activity data'!AY10*EF!$H41*EF!$H59)*NtoN2O*kgtoGg,('Net zero Activity data'!AY10*EF!$H41*EF!$H59)*NtoN2O*kgtoGg)</f>
        <v>1.7498130115622672</v>
      </c>
      <c r="AG953" s="93">
        <f>IF('Net zero activities &amp; levers'!$C$12="Off",('Activity data'!AZ10*EF!$H41*EF!$H59)*NtoN2O*kgtoGg,('Net zero Activity data'!AZ10*EF!$H41*EF!$H59)*NtoN2O*kgtoGg)</f>
        <v>1.8293448328146484</v>
      </c>
      <c r="AH953" s="93">
        <f>IF('Net zero activities &amp; levers'!$C$12="Off",('Activity data'!BA10*EF!$H41*EF!$H59)*NtoN2O*kgtoGg,('Net zero Activity data'!BA10*EF!$H41*EF!$H59)*NtoN2O*kgtoGg)</f>
        <v>1.9063603244571439</v>
      </c>
      <c r="AI953" s="93">
        <f>IF('Net zero activities &amp; levers'!$C$12="Off",('Activity data'!BB10*EF!$H41*EF!$H59)*NtoN2O*kgtoGg,('Net zero Activity data'!BB10*EF!$H41*EF!$H59)*NtoN2O*kgtoGg)</f>
        <v>1.9878317329791768</v>
      </c>
      <c r="AJ953" s="93">
        <f>IF('Net zero activities &amp; levers'!$C$12="Off",('Activity data'!BC10*EF!$H41*EF!$H59)*NtoN2O*kgtoGg,('Net zero Activity data'!BC10*EF!$H41*EF!$H59)*NtoN2O*kgtoGg)</f>
        <v>2.0747636655461594</v>
      </c>
      <c r="AK953" s="93">
        <f>IF('Net zero activities &amp; levers'!$C$12="Off",('Activity data'!BD10*EF!$H41*EF!$H59)*NtoN2O*kgtoGg,('Net zero Activity data'!BD10*EF!$H41*EF!$H59)*NtoN2O*kgtoGg)</f>
        <v>2.1580530015142441</v>
      </c>
      <c r="AL953" s="93">
        <f>IF('Net zero activities &amp; levers'!$C$12="Off",('Activity data'!BE10*EF!$H41*EF!$H59)*NtoN2O*kgtoGg,('Net zero Activity data'!BE10*EF!$H41*EF!$H59)*NtoN2O*kgtoGg)</f>
        <v>2.2418001061580344</v>
      </c>
      <c r="AM953" s="93">
        <f>IF('Net zero activities &amp; levers'!$C$12="Off",('Activity data'!BF10*EF!$H41*EF!$H59)*NtoN2O*kgtoGg,('Net zero Activity data'!BF10*EF!$H41*EF!$H59)*NtoN2O*kgtoGg)</f>
        <v>2.326186702125502</v>
      </c>
      <c r="AN953" s="93">
        <f>IF('Net zero activities &amp; levers'!$C$12="Off",('Activity data'!BG10*EF!$H41*EF!$H59)*NtoN2O*kgtoGg,('Net zero Activity data'!BG10*EF!$H41*EF!$H59)*NtoN2O*kgtoGg)</f>
        <v>2.4143873382610392</v>
      </c>
      <c r="AO953" s="93">
        <f>IF('Net zero activities &amp; levers'!$C$12="Off",('Activity data'!BH10*EF!$H41*EF!$H59)*NtoN2O*kgtoGg,('Net zero Activity data'!BH10*EF!$H41*EF!$H59)*NtoN2O*kgtoGg)</f>
        <v>2.5003845769659914</v>
      </c>
      <c r="AP953" s="93">
        <f>IF('Net zero activities &amp; levers'!$C$12="Off",('Activity data'!BI10*EF!$H41*EF!$H59)*NtoN2O*kgtoGg,('Net zero Activity data'!BI10*EF!$H41*EF!$H59)*NtoN2O*kgtoGg)</f>
        <v>2.5898227222528956</v>
      </c>
      <c r="AQ953" s="93">
        <f>IF('Net zero activities &amp; levers'!$C$12="Off",('Activity data'!BJ10*EF!$H41*EF!$H59)*NtoN2O*kgtoGg,('Net zero Activity data'!BJ10*EF!$H41*EF!$H59)*NtoN2O*kgtoGg)</f>
        <v>2.6830977224212833</v>
      </c>
      <c r="AR953" s="93">
        <f>IF('Net zero activities &amp; levers'!$C$12="Off",('Activity data'!BK10*EF!$H41*EF!$H59)*NtoN2O*kgtoGg,('Net zero Activity data'!BK10*EF!$H41*EF!$H59)*NtoN2O*kgtoGg)</f>
        <v>2.7808208792989615</v>
      </c>
      <c r="AS953" s="93">
        <f>IF('Net zero activities &amp; levers'!$C$12="Off",('Activity data'!BL10*EF!$H41*EF!$H59)*NtoN2O*kgtoGg,('Net zero Activity data'!BL10*EF!$H41*EF!$H59)*NtoN2O*kgtoGg)</f>
        <v>2.8829310376391781</v>
      </c>
      <c r="AT953" s="93">
        <f>IF('Net zero activities &amp; levers'!$C$12="Off",('Activity data'!BM10*EF!$H41*EF!$H59)*NtoN2O*kgtoGg,('Net zero Activity data'!BM10*EF!$H41*EF!$H59)*NtoN2O*kgtoGg)</f>
        <v>2.9219897527083054</v>
      </c>
      <c r="AU953" s="93">
        <f>IF('Net zero activities &amp; levers'!$C$12="Off",('Activity data'!BN10*EF!$H41*EF!$H59)*NtoN2O*kgtoGg,('Net zero Activity data'!BN10*EF!$H41*EF!$H59)*NtoN2O*kgtoGg)</f>
        <v>2.955308116539189</v>
      </c>
      <c r="AV953" s="93">
        <f>IF('Net zero activities &amp; levers'!$C$12="Off",('Activity data'!BO10*EF!$H41*EF!$H59)*NtoN2O*kgtoGg,('Net zero Activity data'!BO10*EF!$H41*EF!$H59)*NtoN2O*kgtoGg)</f>
        <v>2.9801202079374365</v>
      </c>
      <c r="AW953" s="93">
        <f>IF('Net zero activities &amp; levers'!$C$12="Off",('Activity data'!BP10*EF!$H41*EF!$H59)*NtoN2O*kgtoGg,('Net zero Activity data'!BP10*EF!$H41*EF!$H59)*NtoN2O*kgtoGg)</f>
        <v>3.0024365734571252</v>
      </c>
      <c r="AY953" s="79"/>
      <c r="AZ953" s="79"/>
    </row>
    <row r="954" spans="1:52" x14ac:dyDescent="0.3">
      <c r="A954" s="95" t="str">
        <f t="shared" si="326"/>
        <v>DS Sheep MMN2O</v>
      </c>
      <c r="B954" s="95" t="s">
        <v>974</v>
      </c>
      <c r="C954" s="95" t="s">
        <v>1328</v>
      </c>
      <c r="D954" t="s">
        <v>15</v>
      </c>
      <c r="E954" t="s">
        <v>657</v>
      </c>
      <c r="F954" t="s">
        <v>18</v>
      </c>
      <c r="G954" t="s">
        <v>122</v>
      </c>
      <c r="H954" t="s">
        <v>1227</v>
      </c>
      <c r="I954" t="s">
        <v>139</v>
      </c>
      <c r="J954" t="s">
        <v>287</v>
      </c>
      <c r="K954" s="93">
        <f>IF('Net zero activities &amp; levers'!$C$12="Off",('Activity data'!AD11*EF!$H42*EF!$H60)*NtoN2O*kgtoGg,IF('Net zero activities &amp; levers'!$C$12="PB",('Activity data'!AD11*EF!$H42*EF!$H60)*NtoN2O*kgtoGg,IF('Net zero activities &amp; levers'!$C$12="MS",('Net zero Activity data'!AD11*EF!$H42*EF!$H60)*NtoN2O*kgtoGg,"ERROR")))</f>
        <v>0.1171883187565219</v>
      </c>
      <c r="L954" s="93">
        <f>IF('Net zero activities &amp; levers'!$C$12="Off",('Activity data'!AE11*EF!$H42*EF!$H60)*NtoN2O*kgtoGg,IF('Net zero activities &amp; levers'!$C$12="PB",('Activity data'!AE11*EF!$H42*EF!$H60)*NtoN2O*kgtoGg,IF('Net zero activities &amp; levers'!$C$12="MS",('Net zero Activity data'!AE11*EF!$H42*EF!$H60)*NtoN2O*kgtoGg,"ERROR")))</f>
        <v>0.11725168210757804</v>
      </c>
      <c r="M954" s="93">
        <f>IF('Net zero activities &amp; levers'!$C$12="Off",('Activity data'!AF11*EF!$H42*EF!$H60)*NtoN2O*kgtoGg,IF('Net zero activities &amp; levers'!$C$12="PB",('Activity data'!AF11*EF!$H42*EF!$H60)*NtoN2O*kgtoGg,IF('Net zero activities &amp; levers'!$C$12="MS",('Net zero Activity data'!AF11*EF!$H42*EF!$H60)*NtoN2O*kgtoGg,"ERROR")))</f>
        <v>0.11740318150277541</v>
      </c>
      <c r="N954" s="93">
        <f>IF('Net zero activities &amp; levers'!$C$12="Off",('Activity data'!AG11*EF!$H42*EF!$H60)*NtoN2O*kgtoGg,IF('Net zero activities &amp; levers'!$C$12="PB",('Activity data'!AG11*EF!$H42*EF!$H60)*NtoN2O*kgtoGg,IF('Net zero activities &amp; levers'!$C$12="MS",('Net zero Activity data'!AG11*EF!$H42*EF!$H60)*NtoN2O*kgtoGg,"ERROR")))</f>
        <v>0.11762656857541021</v>
      </c>
      <c r="O954" s="93">
        <f>IF('Net zero activities &amp; levers'!$C$12="Off",('Activity data'!AH11*EF!$H42*EF!$H60)*NtoN2O*kgtoGg,IF('Net zero activities &amp; levers'!$C$12="PB",('Activity data'!AH11*EF!$H42*EF!$H60)*NtoN2O*kgtoGg,IF('Net zero activities &amp; levers'!$C$12="MS",('Net zero Activity data'!AH11*EF!$H42*EF!$H60)*NtoN2O*kgtoGg,"ERROR")))</f>
        <v>0.1179204237689029</v>
      </c>
      <c r="P954" s="93">
        <f>IF('Net zero activities &amp; levers'!$C$12="Off",('Activity data'!AI11*EF!$H42*EF!$H60)*NtoN2O*kgtoGg,IF('Net zero activities &amp; levers'!$C$12="PB",('Activity data'!AI11*EF!$H42*EF!$H60)*NtoN2O*kgtoGg,IF('Net zero activities &amp; levers'!$C$12="MS",('Net zero Activity data'!AI11*EF!$H42*EF!$H60)*NtoN2O*kgtoGg,"ERROR")))</f>
        <v>0.11828164409401502</v>
      </c>
      <c r="Q954" s="93">
        <f>IF('Net zero activities &amp; levers'!$C$12="Off",('Activity data'!AJ11*EF!$H42*EF!$H60)*NtoN2O*kgtoGg,IF('Net zero activities &amp; levers'!$C$12="PB",('Activity data'!AJ11*EF!$H42*EF!$H60)*NtoN2O*kgtoGg,IF('Net zero activities &amp; levers'!$C$12="MS",('Net zero Activity data'!AJ11*EF!$H42*EF!$H60)*NtoN2O*kgtoGg,"ERROR")))</f>
        <v>0.1186873438242913</v>
      </c>
      <c r="R954" s="93">
        <f>IF('Net zero activities &amp; levers'!$C$12="Off",('Activity data'!AK11*EF!$H42*EF!$H60)*NtoN2O*kgtoGg,IF('Net zero activities &amp; levers'!$C$12="PB",('Activity data'!AK11*EF!$H42*EF!$H60)*NtoN2O*kgtoGg,IF('Net zero activities &amp; levers'!$C$12="MS",('Net zero Activity data'!AK11*EF!$H42*EF!$H60)*NtoN2O*kgtoGg,"ERROR")))</f>
        <v>0.11913496163447934</v>
      </c>
      <c r="S954" s="93">
        <f>IF('Net zero activities &amp; levers'!$C$12="Off",('Activity data'!AL11*EF!$H42*EF!$H60)*NtoN2O*kgtoGg,IF('Net zero activities &amp; levers'!$C$12="PB",('Activity data'!AL11*EF!$H42*EF!$H60)*NtoN2O*kgtoGg,IF('Net zero activities &amp; levers'!$C$12="MS",('Net zero Activity data'!AL11*EF!$H42*EF!$H60)*NtoN2O*kgtoGg,"ERROR")))</f>
        <v>0.11954428347803586</v>
      </c>
      <c r="T954" s="93">
        <f>IF('Net zero activities &amp; levers'!$C$12="Off",('Activity data'!AM11*EF!$H42*EF!$H60)*NtoN2O*kgtoGg,IF('Net zero activities &amp; levers'!$C$12="PB",('Activity data'!AM11*EF!$H42*EF!$H60)*NtoN2O*kgtoGg,IF('Net zero activities &amp; levers'!$C$12="MS",('Net zero Activity data'!AM11*EF!$H42*EF!$H60)*NtoN2O*kgtoGg,"ERROR")))</f>
        <v>0.11972414940561894</v>
      </c>
      <c r="U954" s="93">
        <f>IF('Net zero activities &amp; levers'!$C$12="Off",('Activity data'!AN11*EF!$H42*EF!$H60)*NtoN2O*kgtoGg,IF('Net zero activities &amp; levers'!$C$12="PB",('Activity data'!AN11*EF!$H42*EF!$H60)*NtoN2O*kgtoGg,IF('Net zero activities &amp; levers'!$C$12="MS",('Net zero Activity data'!AN11*EF!$H42*EF!$H60)*NtoN2O*kgtoGg,"ERROR")))</f>
        <v>0.11994380434419684</v>
      </c>
      <c r="V954" s="93">
        <f>IF('Net zero activities &amp; levers'!$C$12="Off",('Activity data'!AO11*EF!$H42*EF!$H60)*NtoN2O*kgtoGg,IF('Net zero activities &amp; levers'!$C$12="PB",('Activity data'!AO11*EF!$H42*EF!$H60)*NtoN2O*kgtoGg,IF('Net zero activities &amp; levers'!$C$12="MS",('Net zero Activity data'!AO11*EF!$H42*EF!$H60)*NtoN2O*kgtoGg,"ERROR")))</f>
        <v>0.12017467883012861</v>
      </c>
      <c r="W954" s="93">
        <f>IF('Net zero activities &amp; levers'!$C$12="Off",('Activity data'!AP11*EF!$H42*EF!$H60)*NtoN2O*kgtoGg,IF('Net zero activities &amp; levers'!$C$12="PB",('Activity data'!AP11*EF!$H42*EF!$H60)*NtoN2O*kgtoGg,IF('Net zero activities &amp; levers'!$C$12="MS",('Net zero Activity data'!AP11*EF!$H42*EF!$H60)*NtoN2O*kgtoGg,"ERROR")))</f>
        <v>0.12043388472990403</v>
      </c>
      <c r="X954" s="93">
        <f>IF('Net zero activities &amp; levers'!$C$12="Off",('Activity data'!AQ11*EF!$H42*EF!$H60)*NtoN2O*kgtoGg,IF('Net zero activities &amp; levers'!$C$12="PB",('Activity data'!AQ11*EF!$H42*EF!$H60)*NtoN2O*kgtoGg,IF('Net zero activities &amp; levers'!$C$12="MS",('Net zero Activity data'!AQ11*EF!$H42*EF!$H60)*NtoN2O*kgtoGg,"ERROR")))</f>
        <v>0.12072069678028939</v>
      </c>
      <c r="Y954" s="93">
        <f>IF('Net zero activities &amp; levers'!$C$12="Off",('Activity data'!AR11*EF!$H42*EF!$H60)*NtoN2O*kgtoGg,IF('Net zero activities &amp; levers'!$C$12="PB",('Activity data'!AR11*EF!$H42*EF!$H60)*NtoN2O*kgtoGg,IF('Net zero activities &amp; levers'!$C$12="MS",('Net zero Activity data'!AR11*EF!$H42*EF!$H60)*NtoN2O*kgtoGg,"ERROR")))</f>
        <v>0.12089981812671623</v>
      </c>
      <c r="Z954" s="93">
        <f>IF('Net zero activities &amp; levers'!$C$12="Off",('Activity data'!AS11*EF!$H42*EF!$H60)*NtoN2O*kgtoGg,IF('Net zero activities &amp; levers'!$C$12="PB",('Activity data'!AS11*EF!$H42*EF!$H60)*NtoN2O*kgtoGg,IF('Net zero activities &amp; levers'!$C$12="MS",('Net zero Activity data'!AS11*EF!$H42*EF!$H60)*NtoN2O*kgtoGg,"ERROR")))</f>
        <v>0.12110217984152867</v>
      </c>
      <c r="AA954" s="93">
        <f>IF('Net zero activities &amp; levers'!$C$12="Off",('Activity data'!AT11*EF!$H42*EF!$H60)*NtoN2O*kgtoGg,IF('Net zero activities &amp; levers'!$C$12="PB",('Activity data'!AT11*EF!$H42*EF!$H60)*NtoN2O*kgtoGg,IF('Net zero activities &amp; levers'!$C$12="MS",('Net zero Activity data'!AT11*EF!$H42*EF!$H60)*NtoN2O*kgtoGg,"ERROR")))</f>
        <v>0.12132504756910802</v>
      </c>
      <c r="AB954" s="93">
        <f>IF('Net zero activities &amp; levers'!$C$12="Off",('Activity data'!AU11*EF!$H42*EF!$H60)*NtoN2O*kgtoGg,IF('Net zero activities &amp; levers'!$C$12="PB",('Activity data'!AU11*EF!$H42*EF!$H60)*NtoN2O*kgtoGg,IF('Net zero activities &amp; levers'!$C$12="MS",('Net zero Activity data'!AU11*EF!$H42*EF!$H60)*NtoN2O*kgtoGg,"ERROR")))</f>
        <v>0.12156903411725499</v>
      </c>
      <c r="AC954" s="93">
        <f>IF('Net zero activities &amp; levers'!$C$12="Off",('Activity data'!AV11*EF!$H42*EF!$H60)*NtoN2O*kgtoGg,IF('Net zero activities &amp; levers'!$C$12="PB",('Activity data'!AV11*EF!$H42*EF!$H60)*NtoN2O*kgtoGg,IF('Net zero activities &amp; levers'!$C$12="MS",('Net zero Activity data'!AV11*EF!$H42*EF!$H60)*NtoN2O*kgtoGg,"ERROR")))</f>
        <v>0.12183162117803532</v>
      </c>
      <c r="AD954" s="93">
        <f>IF('Net zero activities &amp; levers'!$C$12="Off",('Activity data'!AW11*EF!$H42*EF!$H60)*NtoN2O*kgtoGg,IF('Net zero activities &amp; levers'!$C$12="PB",('Activity data'!AW11*EF!$H42*EF!$H60)*NtoN2O*kgtoGg,IF('Net zero activities &amp; levers'!$C$12="MS",('Net zero Activity data'!AW11*EF!$H42*EF!$H60)*NtoN2O*kgtoGg,"ERROR")))</f>
        <v>0.12200776858907328</v>
      </c>
      <c r="AE954" s="93">
        <f>IF('Net zero activities &amp; levers'!$C$12="Off",('Activity data'!AX11*EF!$H42*EF!$H60)*NtoN2O*kgtoGg,IF('Net zero activities &amp; levers'!$C$12="PB",('Activity data'!AX11*EF!$H42*EF!$H60)*NtoN2O*kgtoGg,IF('Net zero activities &amp; levers'!$C$12="MS",('Net zero Activity data'!AX11*EF!$H42*EF!$H60)*NtoN2O*kgtoGg,"ERROR")))</f>
        <v>0.12219899661673859</v>
      </c>
      <c r="AF954" s="93">
        <f>IF('Net zero activities &amp; levers'!$C$12="Off",('Activity data'!AY11*EF!$H42*EF!$H60)*NtoN2O*kgtoGg,IF('Net zero activities &amp; levers'!$C$12="PB",('Activity data'!AY11*EF!$H42*EF!$H60)*NtoN2O*kgtoGg,IF('Net zero activities &amp; levers'!$C$12="MS",('Net zero Activity data'!AY11*EF!$H42*EF!$H60)*NtoN2O*kgtoGg,"ERROR")))</f>
        <v>0.12240684242118335</v>
      </c>
      <c r="AG954" s="93">
        <f>IF('Net zero activities &amp; levers'!$C$12="Off",('Activity data'!AZ11*EF!$H42*EF!$H60)*NtoN2O*kgtoGg,IF('Net zero activities &amp; levers'!$C$12="PB",('Activity data'!AZ11*EF!$H42*EF!$H60)*NtoN2O*kgtoGg,IF('Net zero activities &amp; levers'!$C$12="MS",('Net zero Activity data'!AZ11*EF!$H42*EF!$H60)*NtoN2O*kgtoGg,"ERROR")))</f>
        <v>0.12263333491271973</v>
      </c>
      <c r="AH954" s="93">
        <f>IF('Net zero activities &amp; levers'!$C$12="Off",('Activity data'!BA11*EF!$H42*EF!$H60)*NtoN2O*kgtoGg,IF('Net zero activities &amp; levers'!$C$12="PB",('Activity data'!BA11*EF!$H42*EF!$H60)*NtoN2O*kgtoGg,IF('Net zero activities &amp; levers'!$C$12="MS",('Net zero Activity data'!BA11*EF!$H42*EF!$H60)*NtoN2O*kgtoGg,"ERROR")))</f>
        <v>0.12287167298468532</v>
      </c>
      <c r="AI954" s="93">
        <f>IF('Net zero activities &amp; levers'!$C$12="Off",('Activity data'!BB11*EF!$H42*EF!$H60)*NtoN2O*kgtoGg,IF('Net zero activities &amp; levers'!$C$12="PB",('Activity data'!BB11*EF!$H42*EF!$H60)*NtoN2O*kgtoGg,IF('Net zero activities &amp; levers'!$C$12="MS",('Net zero Activity data'!BB11*EF!$H42*EF!$H60)*NtoN2O*kgtoGg,"ERROR")))</f>
        <v>0.12302401792252464</v>
      </c>
      <c r="AJ954" s="93">
        <f>IF('Net zero activities &amp; levers'!$C$12="Off",('Activity data'!BC11*EF!$H42*EF!$H60)*NtoN2O*kgtoGg,IF('Net zero activities &amp; levers'!$C$12="PB",('Activity data'!BC11*EF!$H42*EF!$H60)*NtoN2O*kgtoGg,IF('Net zero activities &amp; levers'!$C$12="MS",('Net zero Activity data'!BC11*EF!$H42*EF!$H60)*NtoN2O*kgtoGg,"ERROR")))</f>
        <v>0.12319088645114676</v>
      </c>
      <c r="AK954" s="93">
        <f>IF('Net zero activities &amp; levers'!$C$12="Off",('Activity data'!BD11*EF!$H42*EF!$H60)*NtoN2O*kgtoGg,IF('Net zero activities &amp; levers'!$C$12="PB",('Activity data'!BD11*EF!$H42*EF!$H60)*NtoN2O*kgtoGg,IF('Net zero activities &amp; levers'!$C$12="MS",('Net zero Activity data'!BD11*EF!$H42*EF!$H60)*NtoN2O*kgtoGg,"ERROR")))</f>
        <v>0.12336677489796816</v>
      </c>
      <c r="AL954" s="93">
        <f>IF('Net zero activities &amp; levers'!$C$12="Off",('Activity data'!BE11*EF!$H42*EF!$H60)*NtoN2O*kgtoGg,IF('Net zero activities &amp; levers'!$C$12="PB",('Activity data'!BE11*EF!$H42*EF!$H60)*NtoN2O*kgtoGg,IF('Net zero activities &amp; levers'!$C$12="MS",('Net zero Activity data'!BE11*EF!$H42*EF!$H60)*NtoN2O*kgtoGg,"ERROR")))</f>
        <v>0.12355355577482134</v>
      </c>
      <c r="AM954" s="93">
        <f>IF('Net zero activities &amp; levers'!$C$12="Off",('Activity data'!BF11*EF!$H42*EF!$H60)*NtoN2O*kgtoGg,IF('Net zero activities &amp; levers'!$C$12="PB",('Activity data'!BF11*EF!$H42*EF!$H60)*NtoN2O*kgtoGg,IF('Net zero activities &amp; levers'!$C$12="MS",('Net zero Activity data'!BF11*EF!$H42*EF!$H60)*NtoN2O*kgtoGg,"ERROR")))</f>
        <v>0.12375094588099321</v>
      </c>
      <c r="AN954" s="93">
        <f>IF('Net zero activities &amp; levers'!$C$12="Off",('Activity data'!BG11*EF!$H42*EF!$H60)*NtoN2O*kgtoGg,IF('Net zero activities &amp; levers'!$C$12="PB",('Activity data'!BG11*EF!$H42*EF!$H60)*NtoN2O*kgtoGg,IF('Net zero activities &amp; levers'!$C$12="MS",('Net zero Activity data'!BG11*EF!$H42*EF!$H60)*NtoN2O*kgtoGg,"ERROR")))</f>
        <v>0.12386757855810271</v>
      </c>
      <c r="AO954" s="93">
        <f>IF('Net zero activities &amp; levers'!$C$12="Off",('Activity data'!BH11*EF!$H42*EF!$H60)*NtoN2O*kgtoGg,IF('Net zero activities &amp; levers'!$C$12="PB",('Activity data'!BH11*EF!$H42*EF!$H60)*NtoN2O*kgtoGg,IF('Net zero activities &amp; levers'!$C$12="MS",('Net zero Activity data'!BH11*EF!$H42*EF!$H60)*NtoN2O*kgtoGg,"ERROR")))</f>
        <v>0.12399208535623993</v>
      </c>
      <c r="AP954" s="93">
        <f>IF('Net zero activities &amp; levers'!$C$12="Off",('Activity data'!BI11*EF!$H42*EF!$H60)*NtoN2O*kgtoGg,IF('Net zero activities &amp; levers'!$C$12="PB",('Activity data'!BI11*EF!$H42*EF!$H60)*NtoN2O*kgtoGg,IF('Net zero activities &amp; levers'!$C$12="MS",('Net zero Activity data'!BI11*EF!$H42*EF!$H60)*NtoN2O*kgtoGg,"ERROR")))</f>
        <v>0.12412714040619617</v>
      </c>
      <c r="AQ954" s="93">
        <f>IF('Net zero activities &amp; levers'!$C$12="Off",('Activity data'!BJ11*EF!$H42*EF!$H60)*NtoN2O*kgtoGg,IF('Net zero activities &amp; levers'!$C$12="PB",('Activity data'!BJ11*EF!$H42*EF!$H60)*NtoN2O*kgtoGg,IF('Net zero activities &amp; levers'!$C$12="MS",('Net zero Activity data'!BJ11*EF!$H42*EF!$H60)*NtoN2O*kgtoGg,"ERROR")))</f>
        <v>0.1242726131383893</v>
      </c>
      <c r="AR954" s="93">
        <f>IF('Net zero activities &amp; levers'!$C$12="Off",('Activity data'!BK11*EF!$H42*EF!$H60)*NtoN2O*kgtoGg,IF('Net zero activities &amp; levers'!$C$12="PB",('Activity data'!BK11*EF!$H42*EF!$H60)*NtoN2O*kgtoGg,IF('Net zero activities &amp; levers'!$C$12="MS",('Net zero Activity data'!BK11*EF!$H42*EF!$H60)*NtoN2O*kgtoGg,"ERROR")))</f>
        <v>0.12442850053815514</v>
      </c>
      <c r="AS954" s="93">
        <f>IF('Net zero activities &amp; levers'!$C$12="Off",('Activity data'!BL11*EF!$H42*EF!$H60)*NtoN2O*kgtoGg,IF('Net zero activities &amp; levers'!$C$12="PB",('Activity data'!BL11*EF!$H42*EF!$H60)*NtoN2O*kgtoGg,IF('Net zero activities &amp; levers'!$C$12="MS",('Net zero Activity data'!BL11*EF!$H42*EF!$H60)*NtoN2O*kgtoGg,"ERROR")))</f>
        <v>0.12449922291454818</v>
      </c>
      <c r="AT954" s="93">
        <f>IF('Net zero activities &amp; levers'!$C$12="Off",('Activity data'!BM11*EF!$H42*EF!$H60)*NtoN2O*kgtoGg,IF('Net zero activities &amp; levers'!$C$12="PB",('Activity data'!BM11*EF!$H42*EF!$H60)*NtoN2O*kgtoGg,IF('Net zero activities &amp; levers'!$C$12="MS",('Net zero Activity data'!BM11*EF!$H42*EF!$H60)*NtoN2O*kgtoGg,"ERROR")))</f>
        <v>0.12454479881058539</v>
      </c>
      <c r="AU954" s="93">
        <f>IF('Net zero activities &amp; levers'!$C$12="Off",('Activity data'!BN11*EF!$H42*EF!$H60)*NtoN2O*kgtoGg,IF('Net zero activities &amp; levers'!$C$12="PB",('Activity data'!BN11*EF!$H42*EF!$H60)*NtoN2O*kgtoGg,IF('Net zero activities &amp; levers'!$C$12="MS",('Net zero Activity data'!BN11*EF!$H42*EF!$H60)*NtoN2O*kgtoGg,"ERROR")))</f>
        <v>0.12459475860623467</v>
      </c>
      <c r="AV954" s="93">
        <f>IF('Net zero activities &amp; levers'!$C$12="Off",('Activity data'!BO11*EF!$H42*EF!$H60)*NtoN2O*kgtoGg,IF('Net zero activities &amp; levers'!$C$12="PB",('Activity data'!BO11*EF!$H42*EF!$H60)*NtoN2O*kgtoGg,IF('Net zero activities &amp; levers'!$C$12="MS",('Net zero Activity data'!BO11*EF!$H42*EF!$H60)*NtoN2O*kgtoGg,"ERROR")))</f>
        <v>0.12464752954530567</v>
      </c>
      <c r="AW954" s="93">
        <f>IF('Net zero activities &amp; levers'!$C$12="Off",('Activity data'!BP11*EF!$H42*EF!$H60)*NtoN2O*kgtoGg,IF('Net zero activities &amp; levers'!$C$12="PB",('Activity data'!BP11*EF!$H42*EF!$H60)*NtoN2O*kgtoGg,IF('Net zero activities &amp; levers'!$C$12="MS",('Net zero Activity data'!BP11*EF!$H42*EF!$H60)*NtoN2O*kgtoGg,"ERROR")))</f>
        <v>0.12470598620434532</v>
      </c>
      <c r="AY954" s="79"/>
      <c r="AZ954" s="79"/>
    </row>
    <row r="955" spans="1:52" x14ac:dyDescent="0.3">
      <c r="A955" s="95" t="str">
        <f t="shared" si="326"/>
        <v>DS Sheep MMN2O</v>
      </c>
      <c r="B955" s="95" t="s">
        <v>974</v>
      </c>
      <c r="C955" s="95" t="s">
        <v>1328</v>
      </c>
      <c r="D955" t="s">
        <v>15</v>
      </c>
      <c r="E955" t="s">
        <v>657</v>
      </c>
      <c r="F955" t="s">
        <v>18</v>
      </c>
      <c r="G955" t="s">
        <v>123</v>
      </c>
      <c r="H955" t="s">
        <v>1227</v>
      </c>
      <c r="I955" t="s">
        <v>139</v>
      </c>
      <c r="J955" t="s">
        <v>287</v>
      </c>
      <c r="K955" s="93">
        <f>IF('Net zero activities &amp; levers'!$C$12="Off",('Activity data'!AD12*EF!$H43*EF!$H61)*NtoN2O*kgtoGg,IF('Net zero activities &amp; levers'!$C$12="PB",('Activity data'!AD12*EF!$H43*EF!$H61)*NtoN2O*kgtoGg,IF('Net zero activities &amp; levers'!$C$12="MS",('Net zero Activity data'!AD12*EF!$H43*EF!$H61)*NtoN2O*kgtoGg,"ERROR")))</f>
        <v>6.266545072674834E-2</v>
      </c>
      <c r="L955" s="93">
        <f>IF('Net zero activities &amp; levers'!$C$12="Off",('Activity data'!AE12*EF!$H43*EF!$H61)*NtoN2O*kgtoGg,IF('Net zero activities &amp; levers'!$C$12="PB",('Activity data'!AE12*EF!$H43*EF!$H61)*NtoN2O*kgtoGg,IF('Net zero activities &amp; levers'!$C$12="MS",('Net zero Activity data'!AE12*EF!$H43*EF!$H61)*NtoN2O*kgtoGg,"ERROR")))</f>
        <v>6.269933373655362E-2</v>
      </c>
      <c r="M955" s="93">
        <f>IF('Net zero activities &amp; levers'!$C$12="Off",('Activity data'!AF12*EF!$H43*EF!$H61)*NtoN2O*kgtoGg,IF('Net zero activities &amp; levers'!$C$12="PB",('Activity data'!AF12*EF!$H43*EF!$H61)*NtoN2O*kgtoGg,IF('Net zero activities &amp; levers'!$C$12="MS",('Net zero Activity data'!AF12*EF!$H43*EF!$H61)*NtoN2O*kgtoGg,"ERROR")))</f>
        <v>6.2780346741822493E-2</v>
      </c>
      <c r="N955" s="93">
        <f>IF('Net zero activities &amp; levers'!$C$12="Off",('Activity data'!AG12*EF!$H43*EF!$H61)*NtoN2O*kgtoGg,IF('Net zero activities &amp; levers'!$C$12="PB",('Activity data'!AG12*EF!$H43*EF!$H61)*NtoN2O*kgtoGg,IF('Net zero activities &amp; levers'!$C$12="MS",('Net zero Activity data'!AG12*EF!$H43*EF!$H61)*NtoN2O*kgtoGg,"ERROR")))</f>
        <v>6.2899801067490158E-2</v>
      </c>
      <c r="O955" s="93">
        <f>IF('Net zero activities &amp; levers'!$C$12="Off",('Activity data'!AH12*EF!$H43*EF!$H61)*NtoN2O*kgtoGg,IF('Net zero activities &amp; levers'!$C$12="PB",('Activity data'!AH12*EF!$H43*EF!$H61)*NtoN2O*kgtoGg,IF('Net zero activities &amp; levers'!$C$12="MS",('Net zero Activity data'!AH12*EF!$H43*EF!$H61)*NtoN2O*kgtoGg,"ERROR")))</f>
        <v>6.3056937617822231E-2</v>
      </c>
      <c r="P955" s="93">
        <f>IF('Net zero activities &amp; levers'!$C$12="Off",('Activity data'!AI12*EF!$H43*EF!$H61)*NtoN2O*kgtoGg,IF('Net zero activities &amp; levers'!$C$12="PB",('Activity data'!AI12*EF!$H43*EF!$H61)*NtoN2O*kgtoGg,IF('Net zero activities &amp; levers'!$C$12="MS",('Net zero Activity data'!AI12*EF!$H43*EF!$H61)*NtoN2O*kgtoGg,"ERROR")))</f>
        <v>6.3250097095874355E-2</v>
      </c>
      <c r="Q955" s="93">
        <f>IF('Net zero activities &amp; levers'!$C$12="Off",('Activity data'!AJ12*EF!$H43*EF!$H61)*NtoN2O*kgtoGg,IF('Net zero activities &amp; levers'!$C$12="PB",('Activity data'!AJ12*EF!$H43*EF!$H61)*NtoN2O*kgtoGg,IF('Net zero activities &amp; levers'!$C$12="MS",('Net zero Activity data'!AJ12*EF!$H43*EF!$H61)*NtoN2O*kgtoGg,"ERROR")))</f>
        <v>6.3467041555247503E-2</v>
      </c>
      <c r="R955" s="93">
        <f>IF('Net zero activities &amp; levers'!$C$12="Off",('Activity data'!AK12*EF!$H43*EF!$H61)*NtoN2O*kgtoGg,IF('Net zero activities &amp; levers'!$C$12="PB",('Activity data'!AK12*EF!$H43*EF!$H61)*NtoN2O*kgtoGg,IF('Net zero activities &amp; levers'!$C$12="MS",('Net zero Activity data'!AK12*EF!$H43*EF!$H61)*NtoN2O*kgtoGg,"ERROR")))</f>
        <v>6.3706401349179126E-2</v>
      </c>
      <c r="S955" s="93">
        <f>IF('Net zero activities &amp; levers'!$C$12="Off",('Activity data'!AL12*EF!$H43*EF!$H61)*NtoN2O*kgtoGg,IF('Net zero activities &amp; levers'!$C$12="PB",('Activity data'!AL12*EF!$H43*EF!$H61)*NtoN2O*kgtoGg,IF('Net zero activities &amp; levers'!$C$12="MS",('Net zero Activity data'!AL12*EF!$H43*EF!$H61)*NtoN2O*kgtoGg,"ERROR")))</f>
        <v>6.3925282702636074E-2</v>
      </c>
      <c r="T955" s="93">
        <f>IF('Net zero activities &amp; levers'!$C$12="Off",('Activity data'!AM12*EF!$H43*EF!$H61)*NtoN2O*kgtoGg,IF('Net zero activities &amp; levers'!$C$12="PB",('Activity data'!AM12*EF!$H43*EF!$H61)*NtoN2O*kgtoGg,IF('Net zero activities &amp; levers'!$C$12="MS",('Net zero Activity data'!AM12*EF!$H43*EF!$H61)*NtoN2O*kgtoGg,"ERROR")))</f>
        <v>6.402146446837842E-2</v>
      </c>
      <c r="U955" s="93">
        <f>IF('Net zero activities &amp; levers'!$C$12="Off",('Activity data'!AN12*EF!$H43*EF!$H61)*NtoN2O*kgtoGg,IF('Net zero activities &amp; levers'!$C$12="PB",('Activity data'!AN12*EF!$H43*EF!$H61)*NtoN2O*kgtoGg,IF('Net zero activities &amp; levers'!$C$12="MS",('Net zero Activity data'!AN12*EF!$H43*EF!$H61)*NtoN2O*kgtoGg,"ERROR")))</f>
        <v>6.4138923067293366E-2</v>
      </c>
      <c r="V955" s="93">
        <f>IF('Net zero activities &amp; levers'!$C$12="Off",('Activity data'!AO12*EF!$H43*EF!$H61)*NtoN2O*kgtoGg,IF('Net zero activities &amp; levers'!$C$12="PB",('Activity data'!AO12*EF!$H43*EF!$H61)*NtoN2O*kgtoGg,IF('Net zero activities &amp; levers'!$C$12="MS",('Net zero Activity data'!AO12*EF!$H43*EF!$H61)*NtoN2O*kgtoGg,"ERROR")))</f>
        <v>6.4262381223155141E-2</v>
      </c>
      <c r="W955" s="93">
        <f>IF('Net zero activities &amp; levers'!$C$12="Off",('Activity data'!AP12*EF!$H43*EF!$H61)*NtoN2O*kgtoGg,IF('Net zero activities &amp; levers'!$C$12="PB",('Activity data'!AP12*EF!$H43*EF!$H61)*NtoN2O*kgtoGg,IF('Net zero activities &amp; levers'!$C$12="MS",('Net zero Activity data'!AP12*EF!$H43*EF!$H61)*NtoN2O*kgtoGg,"ERROR")))</f>
        <v>6.4400989360150498E-2</v>
      </c>
      <c r="X955" s="93">
        <f>IF('Net zero activities &amp; levers'!$C$12="Off",('Activity data'!AQ12*EF!$H43*EF!$H61)*NtoN2O*kgtoGg,IF('Net zero activities &amp; levers'!$C$12="PB",('Activity data'!AQ12*EF!$H43*EF!$H61)*NtoN2O*kgtoGg,IF('Net zero activities &amp; levers'!$C$12="MS",('Net zero Activity data'!AQ12*EF!$H43*EF!$H61)*NtoN2O*kgtoGg,"ERROR")))</f>
        <v>6.4554359649970958E-2</v>
      </c>
      <c r="Y955" s="93">
        <f>IF('Net zero activities &amp; levers'!$C$12="Off",('Activity data'!AR12*EF!$H43*EF!$H61)*NtoN2O*kgtoGg,IF('Net zero activities &amp; levers'!$C$12="PB",('Activity data'!AR12*EF!$H43*EF!$H61)*NtoN2O*kgtoGg,IF('Net zero activities &amp; levers'!$C$12="MS",('Net zero Activity data'!AR12*EF!$H43*EF!$H61)*NtoN2O*kgtoGg,"ERROR")))</f>
        <v>6.4650143257311041E-2</v>
      </c>
      <c r="Z955" s="93">
        <f>IF('Net zero activities &amp; levers'!$C$12="Off",('Activity data'!AS12*EF!$H43*EF!$H61)*NtoN2O*kgtoGg,IF('Net zero activities &amp; levers'!$C$12="PB",('Activity data'!AS12*EF!$H43*EF!$H61)*NtoN2O*kgtoGg,IF('Net zero activities &amp; levers'!$C$12="MS",('Net zero Activity data'!AS12*EF!$H43*EF!$H61)*NtoN2O*kgtoGg,"ERROR")))</f>
        <v>6.4758354452787853E-2</v>
      </c>
      <c r="AA955" s="93">
        <f>IF('Net zero activities &amp; levers'!$C$12="Off",('Activity data'!AT12*EF!$H43*EF!$H61)*NtoN2O*kgtoGg,IF('Net zero activities &amp; levers'!$C$12="PB",('Activity data'!AT12*EF!$H43*EF!$H61)*NtoN2O*kgtoGg,IF('Net zero activities &amp; levers'!$C$12="MS",('Net zero Activity data'!AT12*EF!$H43*EF!$H61)*NtoN2O*kgtoGg,"ERROR")))</f>
        <v>6.4877531063130933E-2</v>
      </c>
      <c r="AB955" s="93">
        <f>IF('Net zero activities &amp; levers'!$C$12="Off",('Activity data'!AU12*EF!$H43*EF!$H61)*NtoN2O*kgtoGg,IF('Net zero activities &amp; levers'!$C$12="PB",('Activity data'!AU12*EF!$H43*EF!$H61)*NtoN2O*kgtoGg,IF('Net zero activities &amp; levers'!$C$12="MS",('Net zero Activity data'!AU12*EF!$H43*EF!$H61)*NtoN2O*kgtoGg,"ERROR")))</f>
        <v>6.500800078206817E-2</v>
      </c>
      <c r="AC955" s="93">
        <f>IF('Net zero activities &amp; levers'!$C$12="Off",('Activity data'!AV12*EF!$H43*EF!$H61)*NtoN2O*kgtoGg,IF('Net zero activities &amp; levers'!$C$12="PB",('Activity data'!AV12*EF!$H43*EF!$H61)*NtoN2O*kgtoGg,IF('Net zero activities &amp; levers'!$C$12="MS",('Net zero Activity data'!AV12*EF!$H43*EF!$H61)*NtoN2O*kgtoGg,"ERROR")))</f>
        <v>6.5148416965979825E-2</v>
      </c>
      <c r="AD955" s="93">
        <f>IF('Net zero activities &amp; levers'!$C$12="Off",('Activity data'!AW12*EF!$H43*EF!$H61)*NtoN2O*kgtoGg,IF('Net zero activities &amp; levers'!$C$12="PB",('Activity data'!AW12*EF!$H43*EF!$H61)*NtoN2O*kgtoGg,IF('Net zero activities &amp; levers'!$C$12="MS",('Net zero Activity data'!AW12*EF!$H43*EF!$H61)*NtoN2O*kgtoGg,"ERROR")))</f>
        <v>6.5242610286817326E-2</v>
      </c>
      <c r="AE955" s="93">
        <f>IF('Net zero activities &amp; levers'!$C$12="Off",('Activity data'!AX12*EF!$H43*EF!$H61)*NtoN2O*kgtoGg,IF('Net zero activities &amp; levers'!$C$12="PB",('Activity data'!AX12*EF!$H43*EF!$H61)*NtoN2O*kgtoGg,IF('Net zero activities &amp; levers'!$C$12="MS",('Net zero Activity data'!AX12*EF!$H43*EF!$H61)*NtoN2O*kgtoGg,"ERROR")))</f>
        <v>6.5344867838358231E-2</v>
      </c>
      <c r="AF955" s="93">
        <f>IF('Net zero activities &amp; levers'!$C$12="Off",('Activity data'!AY12*EF!$H43*EF!$H61)*NtoN2O*kgtoGg,IF('Net zero activities &amp; levers'!$C$12="PB",('Activity data'!AY12*EF!$H43*EF!$H61)*NtoN2O*kgtoGg,IF('Net zero activities &amp; levers'!$C$12="MS",('Net zero Activity data'!AY12*EF!$H43*EF!$H61)*NtoN2O*kgtoGg,"ERROR")))</f>
        <v>6.5456011603840999E-2</v>
      </c>
      <c r="AG955" s="93">
        <f>IF('Net zero activities &amp; levers'!$C$12="Off",('Activity data'!AZ12*EF!$H43*EF!$H61)*NtoN2O*kgtoGg,IF('Net zero activities &amp; levers'!$C$12="PB",('Activity data'!AZ12*EF!$H43*EF!$H61)*NtoN2O*kgtoGg,IF('Net zero activities &amp; levers'!$C$12="MS",('Net zero Activity data'!AZ12*EF!$H43*EF!$H61)*NtoN2O*kgtoGg,"ERROR")))</f>
        <v>6.5577126525694585E-2</v>
      </c>
      <c r="AH955" s="93">
        <f>IF('Net zero activities &amp; levers'!$C$12="Off",('Activity data'!BA12*EF!$H43*EF!$H61)*NtoN2O*kgtoGg,IF('Net zero activities &amp; levers'!$C$12="PB",('Activity data'!BA12*EF!$H43*EF!$H61)*NtoN2O*kgtoGg,IF('Net zero activities &amp; levers'!$C$12="MS",('Net zero Activity data'!BA12*EF!$H43*EF!$H61)*NtoN2O*kgtoGg,"ERROR")))</f>
        <v>6.570457577032536E-2</v>
      </c>
      <c r="AI955" s="93">
        <f>IF('Net zero activities &amp; levers'!$C$12="Off",('Activity data'!BB12*EF!$H43*EF!$H61)*NtoN2O*kgtoGg,IF('Net zero activities &amp; levers'!$C$12="PB",('Activity data'!BB12*EF!$H43*EF!$H61)*NtoN2O*kgtoGg,IF('Net zero activities &amp; levers'!$C$12="MS",('Net zero Activity data'!BB12*EF!$H43*EF!$H61)*NtoN2O*kgtoGg,"ERROR")))</f>
        <v>6.5786040922287098E-2</v>
      </c>
      <c r="AJ955" s="93">
        <f>IF('Net zero activities &amp; levers'!$C$12="Off",('Activity data'!BC12*EF!$H43*EF!$H61)*NtoN2O*kgtoGg,IF('Net zero activities &amp; levers'!$C$12="PB",('Activity data'!BC12*EF!$H43*EF!$H61)*NtoN2O*kgtoGg,IF('Net zero activities &amp; levers'!$C$12="MS",('Net zero Activity data'!BC12*EF!$H43*EF!$H61)*NtoN2O*kgtoGg,"ERROR")))</f>
        <v>6.5875272440148028E-2</v>
      </c>
      <c r="AK955" s="93">
        <f>IF('Net zero activities &amp; levers'!$C$12="Off",('Activity data'!BD12*EF!$H43*EF!$H61)*NtoN2O*kgtoGg,IF('Net zero activities &amp; levers'!$C$12="PB",('Activity data'!BD12*EF!$H43*EF!$H61)*NtoN2O*kgtoGg,IF('Net zero activities &amp; levers'!$C$12="MS",('Net zero Activity data'!BD12*EF!$H43*EF!$H61)*NtoN2O*kgtoGg,"ERROR")))</f>
        <v>6.5969327282086584E-2</v>
      </c>
      <c r="AL955" s="93">
        <f>IF('Net zero activities &amp; levers'!$C$12="Off",('Activity data'!BE12*EF!$H43*EF!$H61)*NtoN2O*kgtoGg,IF('Net zero activities &amp; levers'!$C$12="PB",('Activity data'!BE12*EF!$H43*EF!$H61)*NtoN2O*kgtoGg,IF('Net zero activities &amp; levers'!$C$12="MS",('Net zero Activity data'!BE12*EF!$H43*EF!$H61)*NtoN2O*kgtoGg,"ERROR")))</f>
        <v>6.6069206757782967E-2</v>
      </c>
      <c r="AM955" s="93">
        <f>IF('Net zero activities &amp; levers'!$C$12="Off",('Activity data'!BF12*EF!$H43*EF!$H61)*NtoN2O*kgtoGg,IF('Net zero activities &amp; levers'!$C$12="PB",('Activity data'!BF12*EF!$H43*EF!$H61)*NtoN2O*kgtoGg,IF('Net zero activities &amp; levers'!$C$12="MS",('Net zero Activity data'!BF12*EF!$H43*EF!$H61)*NtoN2O*kgtoGg,"ERROR")))</f>
        <v>6.6174759428079058E-2</v>
      </c>
      <c r="AN955" s="93">
        <f>IF('Net zero activities &amp; levers'!$C$12="Off",('Activity data'!BG12*EF!$H43*EF!$H61)*NtoN2O*kgtoGg,IF('Net zero activities &amp; levers'!$C$12="PB",('Activity data'!BG12*EF!$H43*EF!$H61)*NtoN2O*kgtoGg,IF('Net zero activities &amp; levers'!$C$12="MS",('Net zero Activity data'!BG12*EF!$H43*EF!$H61)*NtoN2O*kgtoGg,"ERROR")))</f>
        <v>6.623712775418944E-2</v>
      </c>
      <c r="AO955" s="93">
        <f>IF('Net zero activities &amp; levers'!$C$12="Off",('Activity data'!BH12*EF!$H43*EF!$H61)*NtoN2O*kgtoGg,IF('Net zero activities &amp; levers'!$C$12="PB",('Activity data'!BH12*EF!$H43*EF!$H61)*NtoN2O*kgtoGg,IF('Net zero activities &amp; levers'!$C$12="MS",('Net zero Activity data'!BH12*EF!$H43*EF!$H61)*NtoN2O*kgtoGg,"ERROR")))</f>
        <v>6.6303706699144024E-2</v>
      </c>
      <c r="AP955" s="93">
        <f>IF('Net zero activities &amp; levers'!$C$12="Off",('Activity data'!BI12*EF!$H43*EF!$H61)*NtoN2O*kgtoGg,IF('Net zero activities &amp; levers'!$C$12="PB",('Activity data'!BI12*EF!$H43*EF!$H61)*NtoN2O*kgtoGg,IF('Net zero activities &amp; levers'!$C$12="MS",('Net zero Activity data'!BI12*EF!$H43*EF!$H61)*NtoN2O*kgtoGg,"ERROR")))</f>
        <v>6.6375926231502153E-2</v>
      </c>
      <c r="AQ955" s="93">
        <f>IF('Net zero activities &amp; levers'!$C$12="Off",('Activity data'!BJ12*EF!$H43*EF!$H61)*NtoN2O*kgtoGg,IF('Net zero activities &amp; levers'!$C$12="PB",('Activity data'!BJ12*EF!$H43*EF!$H61)*NtoN2O*kgtoGg,IF('Net zero activities &amp; levers'!$C$12="MS",('Net zero Activity data'!BJ12*EF!$H43*EF!$H61)*NtoN2O*kgtoGg,"ERROR")))</f>
        <v>6.6453716530296997E-2</v>
      </c>
      <c r="AR955" s="93">
        <f>IF('Net zero activities &amp; levers'!$C$12="Off",('Activity data'!BK12*EF!$H43*EF!$H61)*NtoN2O*kgtoGg,IF('Net zero activities &amp; levers'!$C$12="PB",('Activity data'!BK12*EF!$H43*EF!$H61)*NtoN2O*kgtoGg,IF('Net zero activities &amp; levers'!$C$12="MS",('Net zero Activity data'!BK12*EF!$H43*EF!$H61)*NtoN2O*kgtoGg,"ERROR")))</f>
        <v>6.653707598346266E-2</v>
      </c>
      <c r="AS955" s="93">
        <f>IF('Net zero activities &amp; levers'!$C$12="Off",('Activity data'!BL12*EF!$H43*EF!$H61)*NtoN2O*kgtoGg,IF('Net zero activities &amp; levers'!$C$12="PB",('Activity data'!BL12*EF!$H43*EF!$H61)*NtoN2O*kgtoGg,IF('Net zero activities &amp; levers'!$C$12="MS",('Net zero Activity data'!BL12*EF!$H43*EF!$H61)*NtoN2O*kgtoGg,"ERROR")))</f>
        <v>6.6574894169098925E-2</v>
      </c>
      <c r="AT955" s="93">
        <f>IF('Net zero activities &amp; levers'!$C$12="Off",('Activity data'!BM12*EF!$H43*EF!$H61)*NtoN2O*kgtoGg,IF('Net zero activities &amp; levers'!$C$12="PB",('Activity data'!BM12*EF!$H43*EF!$H61)*NtoN2O*kgtoGg,IF('Net zero activities &amp; levers'!$C$12="MS",('Net zero Activity data'!BM12*EF!$H43*EF!$H61)*NtoN2O*kgtoGg,"ERROR")))</f>
        <v>6.659926548953217E-2</v>
      </c>
      <c r="AU955" s="93">
        <f>IF('Net zero activities &amp; levers'!$C$12="Off",('Activity data'!BN12*EF!$H43*EF!$H61)*NtoN2O*kgtoGg,IF('Net zero activities &amp; levers'!$C$12="PB",('Activity data'!BN12*EF!$H43*EF!$H61)*NtoN2O*kgtoGg,IF('Net zero activities &amp; levers'!$C$12="MS",('Net zero Activity data'!BN12*EF!$H43*EF!$H61)*NtoN2O*kgtoGg,"ERROR")))</f>
        <v>6.66259810627719E-2</v>
      </c>
      <c r="AV955" s="93">
        <f>IF('Net zero activities &amp; levers'!$C$12="Off",('Activity data'!BO12*EF!$H43*EF!$H61)*NtoN2O*kgtoGg,IF('Net zero activities &amp; levers'!$C$12="PB",('Activity data'!BO12*EF!$H43*EF!$H61)*NtoN2O*kgtoGg,IF('Net zero activities &amp; levers'!$C$12="MS",('Net zero Activity data'!BO12*EF!$H43*EF!$H61)*NtoN2O*kgtoGg,"ERROR")))</f>
        <v>6.6654199870902653E-2</v>
      </c>
      <c r="AW955" s="93">
        <f>IF('Net zero activities &amp; levers'!$C$12="Off",('Activity data'!BP12*EF!$H43*EF!$H61)*NtoN2O*kgtoGg,IF('Net zero activities &amp; levers'!$C$12="PB",('Activity data'!BP12*EF!$H43*EF!$H61)*NtoN2O*kgtoGg,IF('Net zero activities &amp; levers'!$C$12="MS",('Net zero Activity data'!BP12*EF!$H43*EF!$H61)*NtoN2O*kgtoGg,"ERROR")))</f>
        <v>6.6685459069136477E-2</v>
      </c>
      <c r="AY955" s="79"/>
      <c r="AZ955" s="79"/>
    </row>
    <row r="956" spans="1:52" x14ac:dyDescent="0.3">
      <c r="A956" s="95" t="str">
        <f t="shared" si="326"/>
        <v>DS Goats MMN2O</v>
      </c>
      <c r="B956" s="95" t="s">
        <v>974</v>
      </c>
      <c r="C956" s="95" t="s">
        <v>1329</v>
      </c>
      <c r="D956" t="s">
        <v>15</v>
      </c>
      <c r="E956" t="s">
        <v>657</v>
      </c>
      <c r="F956" t="s">
        <v>19</v>
      </c>
      <c r="G956" t="s">
        <v>122</v>
      </c>
      <c r="H956" t="s">
        <v>1227</v>
      </c>
      <c r="I956" t="s">
        <v>139</v>
      </c>
      <c r="J956" t="s">
        <v>287</v>
      </c>
      <c r="K956" s="27">
        <f t="shared" ref="K956:Z959" si="337">K1419</f>
        <v>1.4486129996083084E-2</v>
      </c>
      <c r="L956" s="27">
        <f t="shared" si="337"/>
        <v>1.4523786941695514E-2</v>
      </c>
      <c r="M956" s="27">
        <f t="shared" si="337"/>
        <v>1.457573336741831E-2</v>
      </c>
      <c r="N956" s="27">
        <f t="shared" si="337"/>
        <v>1.4639017833045654E-2</v>
      </c>
      <c r="O956" s="27">
        <f t="shared" si="337"/>
        <v>1.4713550078172181E-2</v>
      </c>
      <c r="P956" s="27">
        <f t="shared" si="337"/>
        <v>1.4798876460462532E-2</v>
      </c>
      <c r="Q956" s="27">
        <f t="shared" si="337"/>
        <v>1.4890706011157261E-2</v>
      </c>
      <c r="R956" s="27">
        <f t="shared" si="337"/>
        <v>1.4988675221399694E-2</v>
      </c>
      <c r="S956" s="27">
        <f t="shared" si="337"/>
        <v>1.5077522200056563E-2</v>
      </c>
      <c r="T956" s="27">
        <f t="shared" si="337"/>
        <v>1.5120920467659648E-2</v>
      </c>
      <c r="U956" s="27">
        <f t="shared" si="337"/>
        <v>1.5170664566545743E-2</v>
      </c>
      <c r="V956" s="27">
        <f t="shared" si="337"/>
        <v>1.522137130781058E-2</v>
      </c>
      <c r="W956" s="27">
        <f t="shared" si="337"/>
        <v>1.527636657794784E-2</v>
      </c>
      <c r="X956" s="27">
        <f t="shared" si="337"/>
        <v>1.5335559486365858E-2</v>
      </c>
      <c r="Y956" s="27">
        <f t="shared" si="337"/>
        <v>1.5373440359637548E-2</v>
      </c>
      <c r="Z956" s="27">
        <f t="shared" si="337"/>
        <v>1.5414884136013281E-2</v>
      </c>
      <c r="AA956" s="27">
        <f t="shared" ref="L956:AW959" si="338">AA1419</f>
        <v>1.5459406079654034E-2</v>
      </c>
      <c r="AB956" s="27">
        <f t="shared" si="338"/>
        <v>1.5507149153927192E-2</v>
      </c>
      <c r="AC956" s="27">
        <f t="shared" si="338"/>
        <v>1.55576650603759E-2</v>
      </c>
      <c r="AD956" s="27">
        <f t="shared" si="338"/>
        <v>1.5591353436562988E-2</v>
      </c>
      <c r="AE956" s="27">
        <f t="shared" si="338"/>
        <v>1.5627280085252663E-2</v>
      </c>
      <c r="AF956" s="27">
        <f t="shared" si="338"/>
        <v>1.5665749106164011E-2</v>
      </c>
      <c r="AG956" s="27">
        <f t="shared" si="338"/>
        <v>1.5707151218007597E-2</v>
      </c>
      <c r="AH956" s="27">
        <f t="shared" si="338"/>
        <v>1.575023561921594E-2</v>
      </c>
      <c r="AI956" s="27">
        <f t="shared" si="338"/>
        <v>1.5776918897393025E-2</v>
      </c>
      <c r="AJ956" s="27">
        <f t="shared" si="338"/>
        <v>1.5805875112600263E-2</v>
      </c>
      <c r="AK956" s="27">
        <f t="shared" si="338"/>
        <v>1.5836097205917665E-2</v>
      </c>
      <c r="AL956" s="27">
        <f t="shared" si="338"/>
        <v>1.5867941184595159E-2</v>
      </c>
      <c r="AM956" s="27">
        <f t="shared" si="338"/>
        <v>1.5901363449816974E-2</v>
      </c>
      <c r="AN956" s="27">
        <f t="shared" si="338"/>
        <v>1.5919623331121565E-2</v>
      </c>
      <c r="AO956" s="27">
        <f t="shared" si="338"/>
        <v>1.5939033537312693E-2</v>
      </c>
      <c r="AP956" s="27">
        <f t="shared" si="338"/>
        <v>1.5960089556991585E-2</v>
      </c>
      <c r="AQ956" s="27">
        <f t="shared" si="338"/>
        <v>1.5982771280705937E-2</v>
      </c>
      <c r="AR956" s="27">
        <f t="shared" si="338"/>
        <v>1.6007081325051208E-2</v>
      </c>
      <c r="AS956" s="27">
        <f t="shared" si="338"/>
        <v>1.6015649873683192E-2</v>
      </c>
      <c r="AT956" s="27">
        <f t="shared" si="338"/>
        <v>1.601945516807891E-2</v>
      </c>
      <c r="AU956" s="27">
        <f t="shared" si="338"/>
        <v>1.602387884909745E-2</v>
      </c>
      <c r="AV956" s="27">
        <f t="shared" si="338"/>
        <v>1.6028641289399778E-2</v>
      </c>
      <c r="AW956" s="27">
        <f t="shared" si="338"/>
        <v>1.6034267352361548E-2</v>
      </c>
      <c r="AY956" s="79"/>
      <c r="AZ956" s="79"/>
    </row>
    <row r="957" spans="1:52" x14ac:dyDescent="0.3">
      <c r="A957" s="95" t="str">
        <f t="shared" si="326"/>
        <v>DS Goats MMN2O</v>
      </c>
      <c r="B957" s="95" t="s">
        <v>974</v>
      </c>
      <c r="C957" s="95" t="s">
        <v>1329</v>
      </c>
      <c r="D957" t="s">
        <v>15</v>
      </c>
      <c r="E957" t="s">
        <v>657</v>
      </c>
      <c r="F957" t="s">
        <v>19</v>
      </c>
      <c r="G957" t="s">
        <v>123</v>
      </c>
      <c r="H957" t="s">
        <v>1227</v>
      </c>
      <c r="I957" t="s">
        <v>139</v>
      </c>
      <c r="J957" t="s">
        <v>287</v>
      </c>
      <c r="K957" s="27">
        <f t="shared" si="337"/>
        <v>0.11484439540301131</v>
      </c>
      <c r="L957" s="27">
        <f t="shared" si="338"/>
        <v>0.11514293539628438</v>
      </c>
      <c r="M957" s="27">
        <f t="shared" si="338"/>
        <v>0.1155547607669731</v>
      </c>
      <c r="N957" s="27">
        <f t="shared" si="338"/>
        <v>0.11605647283191664</v>
      </c>
      <c r="O957" s="27">
        <f t="shared" si="338"/>
        <v>0.11664735601685972</v>
      </c>
      <c r="P957" s="27">
        <f t="shared" si="338"/>
        <v>0.11732381389682567</v>
      </c>
      <c r="Q957" s="27">
        <f t="shared" si="338"/>
        <v>0.11805182815822728</v>
      </c>
      <c r="R957" s="27">
        <f t="shared" si="338"/>
        <v>0.11882851694408277</v>
      </c>
      <c r="S957" s="27">
        <f t="shared" si="338"/>
        <v>0.11953288571269048</v>
      </c>
      <c r="T957" s="27">
        <f t="shared" si="338"/>
        <v>0.11987694225544984</v>
      </c>
      <c r="U957" s="27">
        <f t="shared" si="338"/>
        <v>0.12027130782879383</v>
      </c>
      <c r="V957" s="27">
        <f t="shared" si="338"/>
        <v>0.12067330512172106</v>
      </c>
      <c r="W957" s="27">
        <f t="shared" si="338"/>
        <v>0.12110930138508789</v>
      </c>
      <c r="X957" s="27">
        <f t="shared" si="338"/>
        <v>0.12157857604859369</v>
      </c>
      <c r="Y957" s="27">
        <f t="shared" si="338"/>
        <v>0.12187889131494858</v>
      </c>
      <c r="Z957" s="27">
        <f t="shared" si="338"/>
        <v>0.12220745287296136</v>
      </c>
      <c r="AA957" s="27">
        <f t="shared" si="338"/>
        <v>0.1225604177918853</v>
      </c>
      <c r="AB957" s="27">
        <f t="shared" si="338"/>
        <v>0.12293891946908028</v>
      </c>
      <c r="AC957" s="27">
        <f t="shared" si="338"/>
        <v>0.1233394038452322</v>
      </c>
      <c r="AD957" s="27">
        <f t="shared" si="338"/>
        <v>0.12360648147026812</v>
      </c>
      <c r="AE957" s="27">
        <f t="shared" si="338"/>
        <v>0.12389130386581051</v>
      </c>
      <c r="AF957" s="27">
        <f t="shared" si="338"/>
        <v>0.12419628189993717</v>
      </c>
      <c r="AG957" s="27">
        <f t="shared" si="338"/>
        <v>0.12452451314626521</v>
      </c>
      <c r="AH957" s="27">
        <f t="shared" si="338"/>
        <v>0.12486608139184988</v>
      </c>
      <c r="AI957" s="27">
        <f t="shared" si="338"/>
        <v>0.12507762339447212</v>
      </c>
      <c r="AJ957" s="27">
        <f t="shared" si="338"/>
        <v>0.12530718498404322</v>
      </c>
      <c r="AK957" s="27">
        <f t="shared" si="338"/>
        <v>0.12554678231167932</v>
      </c>
      <c r="AL957" s="27">
        <f t="shared" si="338"/>
        <v>0.12579923776247484</v>
      </c>
      <c r="AM957" s="27">
        <f t="shared" si="338"/>
        <v>0.12606420568996382</v>
      </c>
      <c r="AN957" s="27">
        <f t="shared" si="338"/>
        <v>0.12620896795767253</v>
      </c>
      <c r="AO957" s="27">
        <f t="shared" si="338"/>
        <v>0.1263628498705969</v>
      </c>
      <c r="AP957" s="27">
        <f t="shared" si="338"/>
        <v>0.12652977960616255</v>
      </c>
      <c r="AQ957" s="27">
        <f t="shared" si="338"/>
        <v>0.1267095977389128</v>
      </c>
      <c r="AR957" s="27">
        <f t="shared" si="338"/>
        <v>0.12690232501291954</v>
      </c>
      <c r="AS957" s="27">
        <f t="shared" si="338"/>
        <v>0.12697025549451732</v>
      </c>
      <c r="AT957" s="27">
        <f t="shared" si="338"/>
        <v>0.1270004234368404</v>
      </c>
      <c r="AU957" s="27">
        <f t="shared" si="338"/>
        <v>0.12703549387816376</v>
      </c>
      <c r="AV957" s="27">
        <f t="shared" si="338"/>
        <v>0.12707324996466249</v>
      </c>
      <c r="AW957" s="27">
        <f t="shared" si="338"/>
        <v>0.1271178527536419</v>
      </c>
      <c r="AY957" s="79"/>
      <c r="AZ957" s="79"/>
    </row>
    <row r="958" spans="1:52" x14ac:dyDescent="0.3">
      <c r="A958" s="95" t="str">
        <f t="shared" si="326"/>
        <v>DS Horses MMN2O</v>
      </c>
      <c r="B958" s="95" t="s">
        <v>974</v>
      </c>
      <c r="C958" s="95" t="s">
        <v>1330</v>
      </c>
      <c r="D958" t="s">
        <v>15</v>
      </c>
      <c r="E958" t="s">
        <v>657</v>
      </c>
      <c r="F958" t="s">
        <v>20</v>
      </c>
      <c r="G958" t="s">
        <v>3</v>
      </c>
      <c r="H958" t="s">
        <v>1227</v>
      </c>
      <c r="I958" t="s">
        <v>139</v>
      </c>
      <c r="J958" t="s">
        <v>287</v>
      </c>
      <c r="K958" s="27" t="str">
        <f t="shared" si="337"/>
        <v>NO</v>
      </c>
      <c r="L958" s="27" t="str">
        <f t="shared" si="338"/>
        <v>NO</v>
      </c>
      <c r="M958" s="27" t="str">
        <f t="shared" si="338"/>
        <v>NO</v>
      </c>
      <c r="N958" s="27" t="str">
        <f t="shared" si="338"/>
        <v>NO</v>
      </c>
      <c r="O958" s="27" t="str">
        <f t="shared" si="338"/>
        <v>NO</v>
      </c>
      <c r="P958" s="27" t="str">
        <f t="shared" si="338"/>
        <v>NO</v>
      </c>
      <c r="Q958" s="27" t="str">
        <f t="shared" si="338"/>
        <v>NO</v>
      </c>
      <c r="R958" s="27" t="str">
        <f t="shared" si="338"/>
        <v>NO</v>
      </c>
      <c r="S958" s="27" t="str">
        <f t="shared" si="338"/>
        <v>NO</v>
      </c>
      <c r="T958" s="27" t="str">
        <f t="shared" si="338"/>
        <v>NO</v>
      </c>
      <c r="U958" s="27" t="str">
        <f t="shared" si="338"/>
        <v>NO</v>
      </c>
      <c r="V958" s="27" t="str">
        <f t="shared" si="338"/>
        <v>NO</v>
      </c>
      <c r="W958" s="27" t="str">
        <f t="shared" si="338"/>
        <v>NO</v>
      </c>
      <c r="X958" s="27" t="str">
        <f t="shared" si="338"/>
        <v>NO</v>
      </c>
      <c r="Y958" s="27" t="str">
        <f t="shared" si="338"/>
        <v>NO</v>
      </c>
      <c r="Z958" s="27" t="str">
        <f t="shared" si="338"/>
        <v>NO</v>
      </c>
      <c r="AA958" s="27" t="str">
        <f t="shared" si="338"/>
        <v>NO</v>
      </c>
      <c r="AB958" s="27" t="str">
        <f t="shared" si="338"/>
        <v>NO</v>
      </c>
      <c r="AC958" s="27" t="str">
        <f t="shared" si="338"/>
        <v>NO</v>
      </c>
      <c r="AD958" s="27" t="str">
        <f t="shared" si="338"/>
        <v>NO</v>
      </c>
      <c r="AE958" s="27" t="str">
        <f t="shared" si="338"/>
        <v>NO</v>
      </c>
      <c r="AF958" s="27" t="str">
        <f t="shared" si="338"/>
        <v>NO</v>
      </c>
      <c r="AG958" s="27" t="str">
        <f t="shared" si="338"/>
        <v>NO</v>
      </c>
      <c r="AH958" s="27" t="str">
        <f t="shared" si="338"/>
        <v>NO</v>
      </c>
      <c r="AI958" s="27" t="str">
        <f t="shared" si="338"/>
        <v>NO</v>
      </c>
      <c r="AJ958" s="27" t="str">
        <f t="shared" si="338"/>
        <v>NO</v>
      </c>
      <c r="AK958" s="27" t="str">
        <f t="shared" si="338"/>
        <v>NO</v>
      </c>
      <c r="AL958" s="27" t="str">
        <f t="shared" si="338"/>
        <v>NO</v>
      </c>
      <c r="AM958" s="27" t="str">
        <f t="shared" si="338"/>
        <v>NO</v>
      </c>
      <c r="AN958" s="27" t="str">
        <f t="shared" si="338"/>
        <v>NO</v>
      </c>
      <c r="AO958" s="27" t="str">
        <f t="shared" si="338"/>
        <v>NO</v>
      </c>
      <c r="AP958" s="27" t="str">
        <f t="shared" si="338"/>
        <v>NO</v>
      </c>
      <c r="AQ958" s="27" t="str">
        <f t="shared" si="338"/>
        <v>NO</v>
      </c>
      <c r="AR958" s="27" t="str">
        <f t="shared" si="338"/>
        <v>NO</v>
      </c>
      <c r="AS958" s="27" t="str">
        <f t="shared" si="338"/>
        <v>NO</v>
      </c>
      <c r="AT958" s="27" t="str">
        <f t="shared" si="338"/>
        <v>NO</v>
      </c>
      <c r="AU958" s="27" t="str">
        <f t="shared" si="338"/>
        <v>NO</v>
      </c>
      <c r="AV958" s="27" t="str">
        <f t="shared" si="338"/>
        <v>NO</v>
      </c>
      <c r="AW958" s="27" t="str">
        <f t="shared" si="338"/>
        <v>NO</v>
      </c>
      <c r="AY958" s="79"/>
      <c r="AZ958" s="79"/>
    </row>
    <row r="959" spans="1:52" x14ac:dyDescent="0.3">
      <c r="A959" s="95" t="str">
        <f t="shared" si="326"/>
        <v>DS Mules MMN2O</v>
      </c>
      <c r="B959" s="95" t="s">
        <v>974</v>
      </c>
      <c r="C959" s="95" t="s">
        <v>1331</v>
      </c>
      <c r="D959" t="s">
        <v>15</v>
      </c>
      <c r="E959" t="s">
        <v>657</v>
      </c>
      <c r="F959" t="s">
        <v>140</v>
      </c>
      <c r="G959" t="s">
        <v>124</v>
      </c>
      <c r="H959" t="s">
        <v>1227</v>
      </c>
      <c r="I959" t="s">
        <v>139</v>
      </c>
      <c r="J959" t="s">
        <v>287</v>
      </c>
      <c r="K959" s="27" t="str">
        <f t="shared" si="337"/>
        <v>NO</v>
      </c>
      <c r="L959" s="27" t="str">
        <f t="shared" si="338"/>
        <v>NO</v>
      </c>
      <c r="M959" s="27" t="str">
        <f t="shared" si="338"/>
        <v>NO</v>
      </c>
      <c r="N959" s="27" t="str">
        <f t="shared" si="338"/>
        <v>NO</v>
      </c>
      <c r="O959" s="27" t="str">
        <f t="shared" si="338"/>
        <v>NO</v>
      </c>
      <c r="P959" s="27" t="str">
        <f t="shared" si="338"/>
        <v>NO</v>
      </c>
      <c r="Q959" s="27" t="str">
        <f t="shared" si="338"/>
        <v>NO</v>
      </c>
      <c r="R959" s="27" t="str">
        <f t="shared" si="338"/>
        <v>NO</v>
      </c>
      <c r="S959" s="27" t="str">
        <f t="shared" si="338"/>
        <v>NO</v>
      </c>
      <c r="T959" s="27" t="str">
        <f t="shared" si="338"/>
        <v>NO</v>
      </c>
      <c r="U959" s="27" t="str">
        <f t="shared" si="338"/>
        <v>NO</v>
      </c>
      <c r="V959" s="27" t="str">
        <f t="shared" si="338"/>
        <v>NO</v>
      </c>
      <c r="W959" s="27" t="str">
        <f t="shared" si="338"/>
        <v>NO</v>
      </c>
      <c r="X959" s="27" t="str">
        <f t="shared" si="338"/>
        <v>NO</v>
      </c>
      <c r="Y959" s="27" t="str">
        <f t="shared" si="338"/>
        <v>NO</v>
      </c>
      <c r="Z959" s="27" t="str">
        <f t="shared" si="338"/>
        <v>NO</v>
      </c>
      <c r="AA959" s="27" t="str">
        <f t="shared" si="338"/>
        <v>NO</v>
      </c>
      <c r="AB959" s="27" t="str">
        <f t="shared" si="338"/>
        <v>NO</v>
      </c>
      <c r="AC959" s="27" t="str">
        <f t="shared" si="338"/>
        <v>NO</v>
      </c>
      <c r="AD959" s="27" t="str">
        <f t="shared" si="338"/>
        <v>NO</v>
      </c>
      <c r="AE959" s="27" t="str">
        <f t="shared" si="338"/>
        <v>NO</v>
      </c>
      <c r="AF959" s="27" t="str">
        <f t="shared" si="338"/>
        <v>NO</v>
      </c>
      <c r="AG959" s="27" t="str">
        <f t="shared" si="338"/>
        <v>NO</v>
      </c>
      <c r="AH959" s="27" t="str">
        <f t="shared" si="338"/>
        <v>NO</v>
      </c>
      <c r="AI959" s="27" t="str">
        <f t="shared" si="338"/>
        <v>NO</v>
      </c>
      <c r="AJ959" s="27" t="str">
        <f t="shared" si="338"/>
        <v>NO</v>
      </c>
      <c r="AK959" s="27" t="str">
        <f t="shared" si="338"/>
        <v>NO</v>
      </c>
      <c r="AL959" s="27" t="str">
        <f t="shared" si="338"/>
        <v>NO</v>
      </c>
      <c r="AM959" s="27" t="str">
        <f t="shared" si="338"/>
        <v>NO</v>
      </c>
      <c r="AN959" s="27" t="str">
        <f t="shared" si="338"/>
        <v>NO</v>
      </c>
      <c r="AO959" s="27" t="str">
        <f t="shared" si="338"/>
        <v>NO</v>
      </c>
      <c r="AP959" s="27" t="str">
        <f t="shared" si="338"/>
        <v>NO</v>
      </c>
      <c r="AQ959" s="27" t="str">
        <f t="shared" si="338"/>
        <v>NO</v>
      </c>
      <c r="AR959" s="27" t="str">
        <f t="shared" si="338"/>
        <v>NO</v>
      </c>
      <c r="AS959" s="27" t="str">
        <f t="shared" si="338"/>
        <v>NO</v>
      </c>
      <c r="AT959" s="27" t="str">
        <f t="shared" si="338"/>
        <v>NO</v>
      </c>
      <c r="AU959" s="27" t="str">
        <f t="shared" si="338"/>
        <v>NO</v>
      </c>
      <c r="AV959" s="27" t="str">
        <f t="shared" si="338"/>
        <v>NO</v>
      </c>
      <c r="AW959" s="27" t="str">
        <f t="shared" si="338"/>
        <v>NO</v>
      </c>
      <c r="AY959" s="79"/>
      <c r="AZ959" s="79"/>
    </row>
    <row r="960" spans="1:52" x14ac:dyDescent="0.3">
      <c r="A960" s="95" t="str">
        <f t="shared" si="326"/>
        <v>DS Swine MMN2O</v>
      </c>
      <c r="B960" s="95" t="s">
        <v>974</v>
      </c>
      <c r="C960" s="95" t="s">
        <v>1233</v>
      </c>
      <c r="D960" t="s">
        <v>15</v>
      </c>
      <c r="E960" t="s">
        <v>657</v>
      </c>
      <c r="F960" t="s">
        <v>21</v>
      </c>
      <c r="G960" t="s">
        <v>122</v>
      </c>
      <c r="H960" t="s">
        <v>1227</v>
      </c>
      <c r="I960" t="s">
        <v>139</v>
      </c>
      <c r="J960" t="s">
        <v>287</v>
      </c>
      <c r="K960" s="93">
        <f>IF('Net zero activities &amp; levers'!$C$12="Off",('Activity data'!AD17*EF!$H48*EF!$H66)*NtoN2O*kgtoGg,IF('Net zero activities &amp; levers'!$C$12="PB",('Activity data'!AD17*EF!$H48*EF!$H66)*NtoN2O*kgtoGg,IF('Net zero activities &amp; levers'!$C$12="MS",('Net zero Activity data'!AD17*EF!$H48*EF!$H66)*NtoN2O*kgtoGg,"ERROR")))</f>
        <v>9.7466979224281824E-2</v>
      </c>
      <c r="L960" s="93">
        <f>IF('Net zero activities &amp; levers'!$C$12="Off",('Activity data'!AE17*EF!$H48*EF!$H66)*NtoN2O*kgtoGg,IF('Net zero activities &amp; levers'!$C$12="PB",('Activity data'!AE17*EF!$H48*EF!$H66)*NtoN2O*kgtoGg,IF('Net zero activities &amp; levers'!$C$12="MS",('Net zero Activity data'!AE17*EF!$H48*EF!$H66)*NtoN2O*kgtoGg,"ERROR")))</f>
        <v>9.6937181363551506E-2</v>
      </c>
      <c r="M960" s="93">
        <f>IF('Net zero activities &amp; levers'!$C$12="Off",('Activity data'!AF17*EF!$H48*EF!$H66)*NtoN2O*kgtoGg,IF('Net zero activities &amp; levers'!$C$12="PB",('Activity data'!AF17*EF!$H48*EF!$H66)*NtoN2O*kgtoGg,IF('Net zero activities &amp; levers'!$C$12="MS",('Net zero Activity data'!AF17*EF!$H48*EF!$H66)*NtoN2O*kgtoGg,"ERROR")))</f>
        <v>9.6980665528366608E-2</v>
      </c>
      <c r="N960" s="93">
        <f>IF('Net zero activities &amp; levers'!$C$12="Off",('Activity data'!AG17*EF!$H48*EF!$H66)*NtoN2O*kgtoGg,IF('Net zero activities &amp; levers'!$C$12="PB",('Activity data'!AG17*EF!$H48*EF!$H66)*NtoN2O*kgtoGg,IF('Net zero activities &amp; levers'!$C$12="MS",('Net zero Activity data'!AG17*EF!$H48*EF!$H66)*NtoN2O*kgtoGg,"ERROR")))</f>
        <v>9.6090308702663593E-2</v>
      </c>
      <c r="O960" s="93">
        <f>IF('Net zero activities &amp; levers'!$C$12="Off",('Activity data'!AH17*EF!$H48*EF!$H66)*NtoN2O*kgtoGg,IF('Net zero activities &amp; levers'!$C$12="PB",('Activity data'!AH17*EF!$H48*EF!$H66)*NtoN2O*kgtoGg,IF('Net zero activities &amp; levers'!$C$12="MS",('Net zero Activity data'!AH17*EF!$H48*EF!$H66)*NtoN2O*kgtoGg,"ERROR")))</f>
        <v>9.4636150647850484E-2</v>
      </c>
      <c r="P960" s="93">
        <f>IF('Net zero activities &amp; levers'!$C$12="Off",('Activity data'!AI17*EF!$H48*EF!$H66)*NtoN2O*kgtoGg,IF('Net zero activities &amp; levers'!$C$12="PB",('Activity data'!AI17*EF!$H48*EF!$H66)*NtoN2O*kgtoGg,IF('Net zero activities &amp; levers'!$C$12="MS",('Net zero Activity data'!AI17*EF!$H48*EF!$H66)*NtoN2O*kgtoGg,"ERROR")))</f>
        <v>9.2641437622218326E-2</v>
      </c>
      <c r="Q960" s="93">
        <f>IF('Net zero activities &amp; levers'!$C$12="Off",('Activity data'!AJ17*EF!$H48*EF!$H66)*NtoN2O*kgtoGg,IF('Net zero activities &amp; levers'!$C$12="PB",('Activity data'!AJ17*EF!$H48*EF!$H66)*NtoN2O*kgtoGg,IF('Net zero activities &amp; levers'!$C$12="MS",('Net zero Activity data'!AJ17*EF!$H48*EF!$H66)*NtoN2O*kgtoGg,"ERROR")))</f>
        <v>9.1193054757597189E-2</v>
      </c>
      <c r="R960" s="93">
        <f>IF('Net zero activities &amp; levers'!$C$12="Off",('Activity data'!AK17*EF!$H48*EF!$H66)*NtoN2O*kgtoGg,IF('Net zero activities &amp; levers'!$C$12="PB",('Activity data'!AK17*EF!$H48*EF!$H66)*NtoN2O*kgtoGg,IF('Net zero activities &amp; levers'!$C$12="MS",('Net zero Activity data'!AK17*EF!$H48*EF!$H66)*NtoN2O*kgtoGg,"ERROR")))</f>
        <v>8.9872834352323558E-2</v>
      </c>
      <c r="S960" s="93">
        <f>IF('Net zero activities &amp; levers'!$C$12="Off",('Activity data'!AL17*EF!$H48*EF!$H66)*NtoN2O*kgtoGg,IF('Net zero activities &amp; levers'!$C$12="PB",('Activity data'!AL17*EF!$H48*EF!$H66)*NtoN2O*kgtoGg,IF('Net zero activities &amp; levers'!$C$12="MS",('Net zero Activity data'!AL17*EF!$H48*EF!$H66)*NtoN2O*kgtoGg,"ERROR")))</f>
        <v>7.9353210388908066E-2</v>
      </c>
      <c r="T960" s="93">
        <f>IF('Net zero activities &amp; levers'!$C$12="Off",('Activity data'!AM17*EF!$H48*EF!$H66)*NtoN2O*kgtoGg,IF('Net zero activities &amp; levers'!$C$12="PB",('Activity data'!AM17*EF!$H48*EF!$H66)*NtoN2O*kgtoGg,IF('Net zero activities &amp; levers'!$C$12="MS",('Net zero Activity data'!AM17*EF!$H48*EF!$H66)*NtoN2O*kgtoGg,"ERROR")))</f>
        <v>8.0356685470718767E-2</v>
      </c>
      <c r="U960" s="93">
        <f>IF('Net zero activities &amp; levers'!$C$12="Off",('Activity data'!AN17*EF!$H48*EF!$H66)*NtoN2O*kgtoGg,IF('Net zero activities &amp; levers'!$C$12="PB",('Activity data'!AN17*EF!$H48*EF!$H66)*NtoN2O*kgtoGg,IF('Net zero activities &amp; levers'!$C$12="MS",('Net zero Activity data'!AN17*EF!$H48*EF!$H66)*NtoN2O*kgtoGg,"ERROR")))</f>
        <v>8.2509946009160923E-2</v>
      </c>
      <c r="V960" s="93">
        <f>IF('Net zero activities &amp; levers'!$C$12="Off",('Activity data'!AO17*EF!$H48*EF!$H66)*NtoN2O*kgtoGg,IF('Net zero activities &amp; levers'!$C$12="PB",('Activity data'!AO17*EF!$H48*EF!$H66)*NtoN2O*kgtoGg,IF('Net zero activities &amp; levers'!$C$12="MS",('Net zero Activity data'!AO17*EF!$H48*EF!$H66)*NtoN2O*kgtoGg,"ERROR")))</f>
        <v>8.2705450879572748E-2</v>
      </c>
      <c r="W960" s="93">
        <f>IF('Net zero activities &amp; levers'!$C$12="Off",('Activity data'!AP17*EF!$H48*EF!$H66)*NtoN2O*kgtoGg,IF('Net zero activities &amp; levers'!$C$12="PB",('Activity data'!AP17*EF!$H48*EF!$H66)*NtoN2O*kgtoGg,IF('Net zero activities &amp; levers'!$C$12="MS",('Net zero Activity data'!AP17*EF!$H48*EF!$H66)*NtoN2O*kgtoGg,"ERROR")))</f>
        <v>8.3128827539525094E-2</v>
      </c>
      <c r="X960" s="93">
        <f>IF('Net zero activities &amp; levers'!$C$12="Off",('Activity data'!AQ17*EF!$H48*EF!$H66)*NtoN2O*kgtoGg,IF('Net zero activities &amp; levers'!$C$12="PB",('Activity data'!AQ17*EF!$H48*EF!$H66)*NtoN2O*kgtoGg,IF('Net zero activities &amp; levers'!$C$12="MS",('Net zero Activity data'!AQ17*EF!$H48*EF!$H66)*NtoN2O*kgtoGg,"ERROR")))</f>
        <v>8.3840672628701915E-2</v>
      </c>
      <c r="Y960" s="93">
        <f>IF('Net zero activities &amp; levers'!$C$12="Off",('Activity data'!AR17*EF!$H48*EF!$H66)*NtoN2O*kgtoGg,IF('Net zero activities &amp; levers'!$C$12="PB",('Activity data'!AR17*EF!$H48*EF!$H66)*NtoN2O*kgtoGg,IF('Net zero activities &amp; levers'!$C$12="MS",('Net zero Activity data'!AR17*EF!$H48*EF!$H66)*NtoN2O*kgtoGg,"ERROR")))</f>
        <v>8.4733895932113168E-2</v>
      </c>
      <c r="Z960" s="93">
        <f>IF('Net zero activities &amp; levers'!$C$12="Off",('Activity data'!AS17*EF!$H48*EF!$H66)*NtoN2O*kgtoGg,IF('Net zero activities &amp; levers'!$C$12="PB",('Activity data'!AS17*EF!$H48*EF!$H66)*NtoN2O*kgtoGg,IF('Net zero activities &amp; levers'!$C$12="MS",('Net zero Activity data'!AS17*EF!$H48*EF!$H66)*NtoN2O*kgtoGg,"ERROR")))</f>
        <v>8.5828465366834875E-2</v>
      </c>
      <c r="AA960" s="93">
        <f>IF('Net zero activities &amp; levers'!$C$12="Off",('Activity data'!AT17*EF!$H48*EF!$H66)*NtoN2O*kgtoGg,IF('Net zero activities &amp; levers'!$C$12="PB",('Activity data'!AT17*EF!$H48*EF!$H66)*NtoN2O*kgtoGg,IF('Net zero activities &amp; levers'!$C$12="MS",('Net zero Activity data'!AT17*EF!$H48*EF!$H66)*NtoN2O*kgtoGg,"ERROR")))</f>
        <v>8.6935834694674932E-2</v>
      </c>
      <c r="AB960" s="93">
        <f>IF('Net zero activities &amp; levers'!$C$12="Off",('Activity data'!AU17*EF!$H48*EF!$H66)*NtoN2O*kgtoGg,IF('Net zero activities &amp; levers'!$C$12="PB",('Activity data'!AU17*EF!$H48*EF!$H66)*NtoN2O*kgtoGg,IF('Net zero activities &amp; levers'!$C$12="MS",('Net zero Activity data'!AU17*EF!$H48*EF!$H66)*NtoN2O*kgtoGg,"ERROR")))</f>
        <v>8.8214344657231616E-2</v>
      </c>
      <c r="AC960" s="93">
        <f>IF('Net zero activities &amp; levers'!$C$12="Off",('Activity data'!AV17*EF!$H48*EF!$H66)*NtoN2O*kgtoGg,IF('Net zero activities &amp; levers'!$C$12="PB",('Activity data'!AV17*EF!$H48*EF!$H66)*NtoN2O*kgtoGg,IF('Net zero activities &amp; levers'!$C$12="MS",('Net zero Activity data'!AV17*EF!$H48*EF!$H66)*NtoN2O*kgtoGg,"ERROR")))</f>
        <v>8.9484030373768036E-2</v>
      </c>
      <c r="AD960" s="93">
        <f>IF('Net zero activities &amp; levers'!$C$12="Off",('Activity data'!AW17*EF!$H48*EF!$H66)*NtoN2O*kgtoGg,IF('Net zero activities &amp; levers'!$C$12="PB",('Activity data'!AW17*EF!$H48*EF!$H66)*NtoN2O*kgtoGg,IF('Net zero activities &amp; levers'!$C$12="MS",('Net zero Activity data'!AW17*EF!$H48*EF!$H66)*NtoN2O*kgtoGg,"ERROR")))</f>
        <v>9.1062581228130657E-2</v>
      </c>
      <c r="AE960" s="93">
        <f>IF('Net zero activities &amp; levers'!$C$12="Off",('Activity data'!AX17*EF!$H48*EF!$H66)*NtoN2O*kgtoGg,IF('Net zero activities &amp; levers'!$C$12="PB",('Activity data'!AX17*EF!$H48*EF!$H66)*NtoN2O*kgtoGg,IF('Net zero activities &amp; levers'!$C$12="MS",('Net zero Activity data'!AX17*EF!$H48*EF!$H66)*NtoN2O*kgtoGg,"ERROR")))</f>
        <v>9.2515752583830088E-2</v>
      </c>
      <c r="AF960" s="93">
        <f>IF('Net zero activities &amp; levers'!$C$12="Off",('Activity data'!AY17*EF!$H48*EF!$H66)*NtoN2O*kgtoGg,IF('Net zero activities &amp; levers'!$C$12="PB",('Activity data'!AY17*EF!$H48*EF!$H66)*NtoN2O*kgtoGg,IF('Net zero activities &amp; levers'!$C$12="MS",('Net zero Activity data'!AY17*EF!$H48*EF!$H66)*NtoN2O*kgtoGg,"ERROR")))</f>
        <v>9.4062043086931529E-2</v>
      </c>
      <c r="AG960" s="93">
        <f>IF('Net zero activities &amp; levers'!$C$12="Off",('Activity data'!AZ17*EF!$H48*EF!$H66)*NtoN2O*kgtoGg,IF('Net zero activities &amp; levers'!$C$12="PB",('Activity data'!AZ17*EF!$H48*EF!$H66)*NtoN2O*kgtoGg,IF('Net zero activities &amp; levers'!$C$12="MS",('Net zero Activity data'!AZ17*EF!$H48*EF!$H66)*NtoN2O*kgtoGg,"ERROR")))</f>
        <v>9.5948315776645976E-2</v>
      </c>
      <c r="AH960" s="93">
        <f>IF('Net zero activities &amp; levers'!$C$12="Off",('Activity data'!BA17*EF!$H48*EF!$H66)*NtoN2O*kgtoGg,IF('Net zero activities &amp; levers'!$C$12="PB",('Activity data'!BA17*EF!$H48*EF!$H66)*NtoN2O*kgtoGg,IF('Net zero activities &amp; levers'!$C$12="MS",('Net zero Activity data'!BA17*EF!$H48*EF!$H66)*NtoN2O*kgtoGg,"ERROR")))</f>
        <v>9.7568003997154984E-2</v>
      </c>
      <c r="AI960" s="93">
        <f>IF('Net zero activities &amp; levers'!$C$12="Off",('Activity data'!BB17*EF!$H48*EF!$H66)*NtoN2O*kgtoGg,IF('Net zero activities &amp; levers'!$C$12="PB",('Activity data'!BB17*EF!$H48*EF!$H66)*NtoN2O*kgtoGg,IF('Net zero activities &amp; levers'!$C$12="MS",('Net zero Activity data'!BB17*EF!$H48*EF!$H66)*NtoN2O*kgtoGg,"ERROR")))</f>
        <v>9.931620819342124E-2</v>
      </c>
      <c r="AJ960" s="93">
        <f>IF('Net zero activities &amp; levers'!$C$12="Off",('Activity data'!BC17*EF!$H48*EF!$H66)*NtoN2O*kgtoGg,IF('Net zero activities &amp; levers'!$C$12="PB",('Activity data'!BC17*EF!$H48*EF!$H66)*NtoN2O*kgtoGg,IF('Net zero activities &amp; levers'!$C$12="MS",('Net zero Activity data'!BC17*EF!$H48*EF!$H66)*NtoN2O*kgtoGg,"ERROR")))</f>
        <v>0.10121358762042433</v>
      </c>
      <c r="AK960" s="93">
        <f>IF('Net zero activities &amp; levers'!$C$12="Off",('Activity data'!BD17*EF!$H48*EF!$H66)*NtoN2O*kgtoGg,IF('Net zero activities &amp; levers'!$C$12="PB",('Activity data'!BD17*EF!$H48*EF!$H66)*NtoN2O*kgtoGg,IF('Net zero activities &amp; levers'!$C$12="MS",('Net zero Activity data'!BD17*EF!$H48*EF!$H66)*NtoN2O*kgtoGg,"ERROR")))</f>
        <v>0.10279643211588628</v>
      </c>
      <c r="AL960" s="93">
        <f>IF('Net zero activities &amp; levers'!$C$12="Off",('Activity data'!BE17*EF!$H48*EF!$H66)*NtoN2O*kgtoGg,IF('Net zero activities &amp; levers'!$C$12="PB",('Activity data'!BE17*EF!$H48*EF!$H66)*NtoN2O*kgtoGg,IF('Net zero activities &amp; levers'!$C$12="MS",('Net zero Activity data'!BE17*EF!$H48*EF!$H66)*NtoN2O*kgtoGg,"ERROR")))</f>
        <v>0.10428080048635653</v>
      </c>
      <c r="AM960" s="93">
        <f>IF('Net zero activities &amp; levers'!$C$12="Off",('Activity data'!BF17*EF!$H48*EF!$H66)*NtoN2O*kgtoGg,IF('Net zero activities &amp; levers'!$C$12="PB",('Activity data'!BF17*EF!$H48*EF!$H66)*NtoN2O*kgtoGg,IF('Net zero activities &amp; levers'!$C$12="MS",('Net zero Activity data'!BF17*EF!$H48*EF!$H66)*NtoN2O*kgtoGg,"ERROR")))</f>
        <v>0.10567866446887142</v>
      </c>
      <c r="AN960" s="93">
        <f>IF('Net zero activities &amp; levers'!$C$12="Off",('Activity data'!BG17*EF!$H48*EF!$H66)*NtoN2O*kgtoGg,IF('Net zero activities &amp; levers'!$C$12="PB",('Activity data'!BG17*EF!$H48*EF!$H66)*NtoN2O*kgtoGg,IF('Net zero activities &amp; levers'!$C$12="MS",('Net zero Activity data'!BG17*EF!$H48*EF!$H66)*NtoN2O*kgtoGg,"ERROR")))</f>
        <v>0.10729272325925118</v>
      </c>
      <c r="AO960" s="93">
        <f>IF('Net zero activities &amp; levers'!$C$12="Off",('Activity data'!BH17*EF!$H48*EF!$H66)*NtoN2O*kgtoGg,IF('Net zero activities &amp; levers'!$C$12="PB",('Activity data'!BH17*EF!$H48*EF!$H66)*NtoN2O*kgtoGg,IF('Net zero activities &amp; levers'!$C$12="MS",('Net zero Activity data'!BH17*EF!$H48*EF!$H66)*NtoN2O*kgtoGg,"ERROR")))</f>
        <v>0.10869271119263345</v>
      </c>
      <c r="AP960" s="93">
        <f>IF('Net zero activities &amp; levers'!$C$12="Off",('Activity data'!BI17*EF!$H48*EF!$H66)*NtoN2O*kgtoGg,IF('Net zero activities &amp; levers'!$C$12="PB",('Activity data'!BI17*EF!$H48*EF!$H66)*NtoN2O*kgtoGg,IF('Net zero activities &amp; levers'!$C$12="MS",('Net zero Activity data'!BI17*EF!$H48*EF!$H66)*NtoN2O*kgtoGg,"ERROR")))</f>
        <v>0.110137854380135</v>
      </c>
      <c r="AQ960" s="93">
        <f>IF('Net zero activities &amp; levers'!$C$12="Off",('Activity data'!BJ17*EF!$H48*EF!$H66)*NtoN2O*kgtoGg,IF('Net zero activities &amp; levers'!$C$12="PB",('Activity data'!BJ17*EF!$H48*EF!$H66)*NtoN2O*kgtoGg,IF('Net zero activities &amp; levers'!$C$12="MS",('Net zero Activity data'!BJ17*EF!$H48*EF!$H66)*NtoN2O*kgtoGg,"ERROR")))</f>
        <v>0.1116390532050176</v>
      </c>
      <c r="AR960" s="93">
        <f>IF('Net zero activities &amp; levers'!$C$12="Off",('Activity data'!BK17*EF!$H48*EF!$H66)*NtoN2O*kgtoGg,IF('Net zero activities &amp; levers'!$C$12="PB",('Activity data'!BK17*EF!$H48*EF!$H66)*NtoN2O*kgtoGg,IF('Net zero activities &amp; levers'!$C$12="MS",('Net zero Activity data'!BK17*EF!$H48*EF!$H66)*NtoN2O*kgtoGg,"ERROR")))</f>
        <v>0.11321509141175116</v>
      </c>
      <c r="AS960" s="93">
        <f>IF('Net zero activities &amp; levers'!$C$12="Off",('Activity data'!BL17*EF!$H48*EF!$H66)*NtoN2O*kgtoGg,IF('Net zero activities &amp; levers'!$C$12="PB",('Activity data'!BL17*EF!$H48*EF!$H66)*NtoN2O*kgtoGg,IF('Net zero activities &amp; levers'!$C$12="MS",('Net zero Activity data'!BL17*EF!$H48*EF!$H66)*NtoN2O*kgtoGg,"ERROR")))</f>
        <v>0.114870036037916</v>
      </c>
      <c r="AT960" s="93">
        <f>IF('Net zero activities &amp; levers'!$C$12="Off",('Activity data'!BM17*EF!$H48*EF!$H66)*NtoN2O*kgtoGg,IF('Net zero activities &amp; levers'!$C$12="PB",('Activity data'!BM17*EF!$H48*EF!$H66)*NtoN2O*kgtoGg,IF('Net zero activities &amp; levers'!$C$12="MS",('Net zero Activity data'!BM17*EF!$H48*EF!$H66)*NtoN2O*kgtoGg,"ERROR")))</f>
        <v>0.11386297950526468</v>
      </c>
      <c r="AU960" s="93">
        <f>IF('Net zero activities &amp; levers'!$C$12="Off",('Activity data'!BN17*EF!$H48*EF!$H66)*NtoN2O*kgtoGg,IF('Net zero activities &amp; levers'!$C$12="PB",('Activity data'!BN17*EF!$H48*EF!$H66)*NtoN2O*kgtoGg,IF('Net zero activities &amp; levers'!$C$12="MS",('Net zero Activity data'!BN17*EF!$H48*EF!$H66)*NtoN2O*kgtoGg,"ERROR")))</f>
        <v>0.11262319660921266</v>
      </c>
      <c r="AV960" s="93">
        <f>IF('Net zero activities &amp; levers'!$C$12="Off",('Activity data'!BO17*EF!$H48*EF!$H66)*NtoN2O*kgtoGg,IF('Net zero activities &amp; levers'!$C$12="PB",('Activity data'!BO17*EF!$H48*EF!$H66)*NtoN2O*kgtoGg,IF('Net zero activities &amp; levers'!$C$12="MS",('Net zero Activity data'!BO17*EF!$H48*EF!$H66)*NtoN2O*kgtoGg,"ERROR")))</f>
        <v>0.11105880605518059</v>
      </c>
      <c r="AW960" s="93">
        <f>IF('Net zero activities &amp; levers'!$C$12="Off",('Activity data'!BP17*EF!$H48*EF!$H66)*NtoN2O*kgtoGg,IF('Net zero activities &amp; levers'!$C$12="PB",('Activity data'!BP17*EF!$H48*EF!$H66)*NtoN2O*kgtoGg,IF('Net zero activities &amp; levers'!$C$12="MS",('Net zero Activity data'!BP17*EF!$H48*EF!$H66)*NtoN2O*kgtoGg,"ERROR")))</f>
        <v>0.1094176927215173</v>
      </c>
      <c r="AY960" s="79"/>
      <c r="AZ960" s="79"/>
    </row>
    <row r="961" spans="1:52" x14ac:dyDescent="0.3">
      <c r="A961" s="95" t="str">
        <f t="shared" si="326"/>
        <v>DS Swine MMN2O</v>
      </c>
      <c r="B961" s="95" t="s">
        <v>974</v>
      </c>
      <c r="C961" s="95" t="s">
        <v>1233</v>
      </c>
      <c r="D961" t="s">
        <v>15</v>
      </c>
      <c r="E961" t="s">
        <v>657</v>
      </c>
      <c r="F961" t="s">
        <v>21</v>
      </c>
      <c r="G961" t="s">
        <v>123</v>
      </c>
      <c r="H961" t="s">
        <v>1227</v>
      </c>
      <c r="I961" t="s">
        <v>139</v>
      </c>
      <c r="J961" t="s">
        <v>287</v>
      </c>
      <c r="K961" s="93">
        <f>IF('Net zero activities &amp; levers'!$C$12="Off",('Activity data'!AD18*EF!$H49*EF!$H67)*NtoN2O*kgtoGg,IF('Net zero activities &amp; levers'!$C$12="PB",('Activity data'!AD18*EF!$H49*EF!$H67)*NtoN2O*kgtoGg,IF('Net zero activities &amp; levers'!$C$12="MS",('Net zero Activity data'!AD18*EF!$H49*EF!$H67)*NtoN2O*kgtoGg,"ERROR")))</f>
        <v>3.8131055665722169E-2</v>
      </c>
      <c r="L961" s="93">
        <f>IF('Net zero activities &amp; levers'!$C$12="Off",('Activity data'!AE18*EF!$H49*EF!$H67)*NtoN2O*kgtoGg,IF('Net zero activities &amp; levers'!$C$12="PB",('Activity data'!AE18*EF!$H49*EF!$H67)*NtoN2O*kgtoGg,IF('Net zero activities &amp; levers'!$C$12="MS",('Net zero Activity data'!AE18*EF!$H49*EF!$H67)*NtoN2O*kgtoGg,"ERROR")))</f>
        <v>3.7923788015899962E-2</v>
      </c>
      <c r="M961" s="93">
        <f>IF('Net zero activities &amp; levers'!$C$12="Off",('Activity data'!AF18*EF!$H49*EF!$H67)*NtoN2O*kgtoGg,IF('Net zero activities &amp; levers'!$C$12="PB",('Activity data'!AF18*EF!$H49*EF!$H67)*NtoN2O*kgtoGg,IF('Net zero activities &amp; levers'!$C$12="MS",('Net zero Activity data'!AF18*EF!$H49*EF!$H67)*NtoN2O*kgtoGg,"ERROR")))</f>
        <v>3.7940799901590251E-2</v>
      </c>
      <c r="N961" s="93">
        <f>IF('Net zero activities &amp; levers'!$C$12="Off",('Activity data'!AG18*EF!$H49*EF!$H67)*NtoN2O*kgtoGg,IF('Net zero activities &amp; levers'!$C$12="PB",('Activity data'!AG18*EF!$H49*EF!$H67)*NtoN2O*kgtoGg,IF('Net zero activities &amp; levers'!$C$12="MS",('Net zero Activity data'!AG18*EF!$H49*EF!$H67)*NtoN2O*kgtoGg,"ERROR")))</f>
        <v>3.759247428451009E-2</v>
      </c>
      <c r="O961" s="93">
        <f>IF('Net zero activities &amp; levers'!$C$12="Off",('Activity data'!AH18*EF!$H49*EF!$H67)*NtoN2O*kgtoGg,IF('Net zero activities &amp; levers'!$C$12="PB",('Activity data'!AH18*EF!$H49*EF!$H67)*NtoN2O*kgtoGg,IF('Net zero activities &amp; levers'!$C$12="MS",('Net zero Activity data'!AH18*EF!$H49*EF!$H67)*NtoN2O*kgtoGg,"ERROR")))</f>
        <v>3.7023578211438569E-2</v>
      </c>
      <c r="P961" s="93">
        <f>IF('Net zero activities &amp; levers'!$C$12="Off",('Activity data'!AI18*EF!$H49*EF!$H67)*NtoN2O*kgtoGg,IF('Net zero activities &amp; levers'!$C$12="PB",('Activity data'!AI18*EF!$H49*EF!$H67)*NtoN2O*kgtoGg,IF('Net zero activities &amp; levers'!$C$12="MS",('Net zero Activity data'!AI18*EF!$H49*EF!$H67)*NtoN2O*kgtoGg,"ERROR")))</f>
        <v>3.6243206089281201E-2</v>
      </c>
      <c r="Q961" s="93">
        <f>IF('Net zero activities &amp; levers'!$C$12="Off",('Activity data'!AJ18*EF!$H49*EF!$H67)*NtoN2O*kgtoGg,IF('Net zero activities &amp; levers'!$C$12="PB",('Activity data'!AJ18*EF!$H49*EF!$H67)*NtoN2O*kgtoGg,IF('Net zero activities &amp; levers'!$C$12="MS",('Net zero Activity data'!AJ18*EF!$H49*EF!$H67)*NtoN2O*kgtoGg,"ERROR")))</f>
        <v>3.567656938754183E-2</v>
      </c>
      <c r="R961" s="93">
        <f>IF('Net zero activities &amp; levers'!$C$12="Off",('Activity data'!AK18*EF!$H49*EF!$H67)*NtoN2O*kgtoGg,IF('Net zero activities &amp; levers'!$C$12="PB",('Activity data'!AK18*EF!$H49*EF!$H67)*NtoN2O*kgtoGg,IF('Net zero activities &amp; levers'!$C$12="MS",('Net zero Activity data'!AK18*EF!$H49*EF!$H67)*NtoN2O*kgtoGg,"ERROR")))</f>
        <v>3.5160072434777256E-2</v>
      </c>
      <c r="S961" s="93">
        <f>IF('Net zero activities &amp; levers'!$C$12="Off",('Activity data'!AL18*EF!$H49*EF!$H67)*NtoN2O*kgtoGg,IF('Net zero activities &amp; levers'!$C$12="PB",('Activity data'!AL18*EF!$H49*EF!$H67)*NtoN2O*kgtoGg,IF('Net zero activities &amp; levers'!$C$12="MS",('Net zero Activity data'!AL18*EF!$H49*EF!$H67)*NtoN2O*kgtoGg,"ERROR")))</f>
        <v>3.1044582551701744E-2</v>
      </c>
      <c r="T961" s="93">
        <f>IF('Net zero activities &amp; levers'!$C$12="Off",('Activity data'!AM18*EF!$H49*EF!$H67)*NtoN2O*kgtoGg,IF('Net zero activities &amp; levers'!$C$12="PB",('Activity data'!AM18*EF!$H49*EF!$H67)*NtoN2O*kgtoGg,IF('Net zero activities &amp; levers'!$C$12="MS",('Net zero Activity data'!AM18*EF!$H49*EF!$H67)*NtoN2O*kgtoGg,"ERROR")))</f>
        <v>3.1437162320852502E-2</v>
      </c>
      <c r="U961" s="93">
        <f>IF('Net zero activities &amp; levers'!$C$12="Off",('Activity data'!AN18*EF!$H49*EF!$H67)*NtoN2O*kgtoGg,IF('Net zero activities &amp; levers'!$C$12="PB",('Activity data'!AN18*EF!$H49*EF!$H67)*NtoN2O*kgtoGg,IF('Net zero activities &amp; levers'!$C$12="MS",('Net zero Activity data'!AN18*EF!$H49*EF!$H67)*NtoN2O*kgtoGg,"ERROR")))</f>
        <v>3.2279561440098872E-2</v>
      </c>
      <c r="V961" s="93">
        <f>IF('Net zero activities &amp; levers'!$C$12="Off",('Activity data'!AO18*EF!$H49*EF!$H67)*NtoN2O*kgtoGg,IF('Net zero activities &amp; levers'!$C$12="PB",('Activity data'!AO18*EF!$H49*EF!$H67)*NtoN2O*kgtoGg,IF('Net zero activities &amp; levers'!$C$12="MS",('Net zero Activity data'!AO18*EF!$H49*EF!$H67)*NtoN2O*kgtoGg,"ERROR")))</f>
        <v>3.2356046903749484E-2</v>
      </c>
      <c r="W961" s="93">
        <f>IF('Net zero activities &amp; levers'!$C$12="Off",('Activity data'!AP18*EF!$H49*EF!$H67)*NtoN2O*kgtoGg,IF('Net zero activities &amp; levers'!$C$12="PB",('Activity data'!AP18*EF!$H49*EF!$H67)*NtoN2O*kgtoGg,IF('Net zero activities &amp; levers'!$C$12="MS",('Net zero Activity data'!AP18*EF!$H49*EF!$H67)*NtoN2O*kgtoGg,"ERROR")))</f>
        <v>3.2521680425139969E-2</v>
      </c>
      <c r="X961" s="93">
        <f>IF('Net zero activities &amp; levers'!$C$12="Off",('Activity data'!AQ18*EF!$H49*EF!$H67)*NtoN2O*kgtoGg,IF('Net zero activities &amp; levers'!$C$12="PB",('Activity data'!AQ18*EF!$H49*EF!$H67)*NtoN2O*kgtoGg,IF('Net zero activities &amp; levers'!$C$12="MS",('Net zero Activity data'!AQ18*EF!$H49*EF!$H67)*NtoN2O*kgtoGg,"ERROR")))</f>
        <v>3.2800168636601942E-2</v>
      </c>
      <c r="Y961" s="93">
        <f>IF('Net zero activities &amp; levers'!$C$12="Off",('Activity data'!AR18*EF!$H49*EF!$H67)*NtoN2O*kgtoGg,IF('Net zero activities &amp; levers'!$C$12="PB",('Activity data'!AR18*EF!$H49*EF!$H67)*NtoN2O*kgtoGg,IF('Net zero activities &amp; levers'!$C$12="MS",('Net zero Activity data'!AR18*EF!$H49*EF!$H67)*NtoN2O*kgtoGg,"ERROR")))</f>
        <v>3.314961567779854E-2</v>
      </c>
      <c r="Z961" s="93">
        <f>IF('Net zero activities &amp; levers'!$C$12="Off",('Activity data'!AS18*EF!$H49*EF!$H67)*NtoN2O*kgtoGg,IF('Net zero activities &amp; levers'!$C$12="PB",('Activity data'!AS18*EF!$H49*EF!$H67)*NtoN2O*kgtoGg,IF('Net zero activities &amp; levers'!$C$12="MS",('Net zero Activity data'!AS18*EF!$H49*EF!$H67)*NtoN2O*kgtoGg,"ERROR")))</f>
        <v>3.3577833402176044E-2</v>
      </c>
      <c r="AA961" s="93">
        <f>IF('Net zero activities &amp; levers'!$C$12="Off",('Activity data'!AT18*EF!$H49*EF!$H67)*NtoN2O*kgtoGg,IF('Net zero activities &amp; levers'!$C$12="PB",('Activity data'!AT18*EF!$H49*EF!$H67)*NtoN2O*kgtoGg,IF('Net zero activities &amp; levers'!$C$12="MS",('Net zero Activity data'!AT18*EF!$H49*EF!$H67)*NtoN2O*kgtoGg,"ERROR")))</f>
        <v>3.4011058703898145E-2</v>
      </c>
      <c r="AB961" s="93">
        <f>IF('Net zero activities &amp; levers'!$C$12="Off",('Activity data'!AU18*EF!$H49*EF!$H67)*NtoN2O*kgtoGg,IF('Net zero activities &amp; levers'!$C$12="PB",('Activity data'!AU18*EF!$H49*EF!$H67)*NtoN2O*kgtoGg,IF('Net zero activities &amp; levers'!$C$12="MS",('Net zero Activity data'!AU18*EF!$H49*EF!$H67)*NtoN2O*kgtoGg,"ERROR")))</f>
        <v>3.4511237686969419E-2</v>
      </c>
      <c r="AC961" s="93">
        <f>IF('Net zero activities &amp; levers'!$C$12="Off",('Activity data'!AV18*EF!$H49*EF!$H67)*NtoN2O*kgtoGg,IF('Net zero activities &amp; levers'!$C$12="PB",('Activity data'!AV18*EF!$H49*EF!$H67)*NtoN2O*kgtoGg,IF('Net zero activities &amp; levers'!$C$12="MS",('Net zero Activity data'!AV18*EF!$H49*EF!$H67)*NtoN2O*kgtoGg,"ERROR")))</f>
        <v>3.5007964446334923E-2</v>
      </c>
      <c r="AD961" s="93">
        <f>IF('Net zero activities &amp; levers'!$C$12="Off",('Activity data'!AW18*EF!$H49*EF!$H67)*NtoN2O*kgtoGg,IF('Net zero activities &amp; levers'!$C$12="PB",('Activity data'!AW18*EF!$H49*EF!$H67)*NtoN2O*kgtoGg,IF('Net zero activities &amp; levers'!$C$12="MS",('Net zero Activity data'!AW18*EF!$H49*EF!$H67)*NtoN2O*kgtoGg,"ERROR")))</f>
        <v>3.5625525501144749E-2</v>
      </c>
      <c r="AE961" s="93">
        <f>IF('Net zero activities &amp; levers'!$C$12="Off",('Activity data'!AX18*EF!$H49*EF!$H67)*NtoN2O*kgtoGg,IF('Net zero activities &amp; levers'!$C$12="PB",('Activity data'!AX18*EF!$H49*EF!$H67)*NtoN2O*kgtoGg,IF('Net zero activities &amp; levers'!$C$12="MS",('Net zero Activity data'!AX18*EF!$H49*EF!$H67)*NtoN2O*kgtoGg,"ERROR")))</f>
        <v>3.6194035557545495E-2</v>
      </c>
      <c r="AF961" s="93">
        <f>IF('Net zero activities &amp; levers'!$C$12="Off",('Activity data'!AY18*EF!$H49*EF!$H67)*NtoN2O*kgtoGg,IF('Net zero activities &amp; levers'!$C$12="PB",('Activity data'!AY18*EF!$H49*EF!$H67)*NtoN2O*kgtoGg,IF('Net zero activities &amp; levers'!$C$12="MS",('Net zero Activity data'!AY18*EF!$H49*EF!$H67)*NtoN2O*kgtoGg,"ERROR")))</f>
        <v>3.6798975709773488E-2</v>
      </c>
      <c r="AG961" s="93">
        <f>IF('Net zero activities &amp; levers'!$C$12="Off",('Activity data'!AZ18*EF!$H49*EF!$H67)*NtoN2O*kgtoGg,IF('Net zero activities &amp; levers'!$C$12="PB",('Activity data'!AZ18*EF!$H49*EF!$H67)*NtoN2O*kgtoGg,IF('Net zero activities &amp; levers'!$C$12="MS",('Net zero Activity data'!AZ18*EF!$H49*EF!$H67)*NtoN2O*kgtoGg,"ERROR")))</f>
        <v>3.7536923776951441E-2</v>
      </c>
      <c r="AH961" s="93">
        <f>IF('Net zero activities &amp; levers'!$C$12="Off",('Activity data'!BA18*EF!$H49*EF!$H67)*NtoN2O*kgtoGg,IF('Net zero activities &amp; levers'!$C$12="PB",('Activity data'!BA18*EF!$H49*EF!$H67)*NtoN2O*kgtoGg,IF('Net zero activities &amp; levers'!$C$12="MS",('Net zero Activity data'!BA18*EF!$H49*EF!$H67)*NtoN2O*kgtoGg,"ERROR")))</f>
        <v>3.817057860229723E-2</v>
      </c>
      <c r="AI961" s="93">
        <f>IF('Net zero activities &amp; levers'!$C$12="Off",('Activity data'!BB18*EF!$H49*EF!$H67)*NtoN2O*kgtoGg,IF('Net zero activities &amp; levers'!$C$12="PB",('Activity data'!BB18*EF!$H49*EF!$H67)*NtoN2O*kgtoGg,IF('Net zero activities &amp; levers'!$C$12="MS",('Net zero Activity data'!BB18*EF!$H49*EF!$H67)*NtoN2O*kgtoGg,"ERROR")))</f>
        <v>3.8854511479394858E-2</v>
      </c>
      <c r="AJ961" s="93">
        <f>IF('Net zero activities &amp; levers'!$C$12="Off",('Activity data'!BC18*EF!$H49*EF!$H67)*NtoN2O*kgtoGg,IF('Net zero activities &amp; levers'!$C$12="PB",('Activity data'!BC18*EF!$H49*EF!$H67)*NtoN2O*kgtoGg,IF('Net zero activities &amp; levers'!$C$12="MS",('Net zero Activity data'!BC18*EF!$H49*EF!$H67)*NtoN2O*kgtoGg,"ERROR")))</f>
        <v>3.9596804727075885E-2</v>
      </c>
      <c r="AK961" s="93">
        <f>IF('Net zero activities &amp; levers'!$C$12="Off",('Activity data'!BD18*EF!$H49*EF!$H67)*NtoN2O*kgtoGg,IF('Net zero activities &amp; levers'!$C$12="PB",('Activity data'!BD18*EF!$H49*EF!$H67)*NtoN2O*kgtoGg,IF('Net zero activities &amp; levers'!$C$12="MS",('Net zero Activity data'!BD18*EF!$H49*EF!$H67)*NtoN2O*kgtoGg,"ERROR")))</f>
        <v>4.0216045541216196E-2</v>
      </c>
      <c r="AL961" s="93">
        <f>IF('Net zero activities &amp; levers'!$C$12="Off",('Activity data'!BE18*EF!$H49*EF!$H67)*NtoN2O*kgtoGg,IF('Net zero activities &amp; levers'!$C$12="PB",('Activity data'!BE18*EF!$H49*EF!$H67)*NtoN2O*kgtoGg,IF('Net zero activities &amp; levers'!$C$12="MS",('Net zero Activity data'!BE18*EF!$H49*EF!$H67)*NtoN2O*kgtoGg,"ERROR")))</f>
        <v>4.0796760501434604E-2</v>
      </c>
      <c r="AM961" s="93">
        <f>IF('Net zero activities &amp; levers'!$C$12="Off",('Activity data'!BF18*EF!$H49*EF!$H67)*NtoN2O*kgtoGg,IF('Net zero activities &amp; levers'!$C$12="PB",('Activity data'!BF18*EF!$H49*EF!$H67)*NtoN2O*kgtoGg,IF('Net zero activities &amp; levers'!$C$12="MS",('Net zero Activity data'!BF18*EF!$H49*EF!$H67)*NtoN2O*kgtoGg,"ERROR")))</f>
        <v>4.1343633193648956E-2</v>
      </c>
      <c r="AN961" s="93">
        <f>IF('Net zero activities &amp; levers'!$C$12="Off",('Activity data'!BG18*EF!$H49*EF!$H67)*NtoN2O*kgtoGg,IF('Net zero activities &amp; levers'!$C$12="PB",('Activity data'!BG18*EF!$H49*EF!$H67)*NtoN2O*kgtoGg,IF('Net zero activities &amp; levers'!$C$12="MS",('Net zero Activity data'!BG18*EF!$H49*EF!$H67)*NtoN2O*kgtoGg,"ERROR")))</f>
        <v>4.1975085671950317E-2</v>
      </c>
      <c r="AO961" s="93">
        <f>IF('Net zero activities &amp; levers'!$C$12="Off",('Activity data'!BH18*EF!$H49*EF!$H67)*NtoN2O*kgtoGg,IF('Net zero activities &amp; levers'!$C$12="PB",('Activity data'!BH18*EF!$H49*EF!$H67)*NtoN2O*kgtoGg,IF('Net zero activities &amp; levers'!$C$12="MS",('Net zero Activity data'!BH18*EF!$H49*EF!$H67)*NtoN2O*kgtoGg,"ERROR")))</f>
        <v>4.252278929674716E-2</v>
      </c>
      <c r="AP961" s="93">
        <f>IF('Net zero activities &amp; levers'!$C$12="Off",('Activity data'!BI18*EF!$H49*EF!$H67)*NtoN2O*kgtoGg,IF('Net zero activities &amp; levers'!$C$12="PB",('Activity data'!BI18*EF!$H49*EF!$H67)*NtoN2O*kgtoGg,IF('Net zero activities &amp; levers'!$C$12="MS",('Net zero Activity data'!BI18*EF!$H49*EF!$H67)*NtoN2O*kgtoGg,"ERROR")))</f>
        <v>4.3088158571204301E-2</v>
      </c>
      <c r="AQ961" s="93">
        <f>IF('Net zero activities &amp; levers'!$C$12="Off",('Activity data'!BJ18*EF!$H49*EF!$H67)*NtoN2O*kgtoGg,IF('Net zero activities &amp; levers'!$C$12="PB",('Activity data'!BJ18*EF!$H49*EF!$H67)*NtoN2O*kgtoGg,IF('Net zero activities &amp; levers'!$C$12="MS",('Net zero Activity data'!BJ18*EF!$H49*EF!$H67)*NtoN2O*kgtoGg,"ERROR")))</f>
        <v>4.3675457945951471E-2</v>
      </c>
      <c r="AR961" s="93">
        <f>IF('Net zero activities &amp; levers'!$C$12="Off",('Activity data'!BK18*EF!$H49*EF!$H67)*NtoN2O*kgtoGg,IF('Net zero activities &amp; levers'!$C$12="PB",('Activity data'!BK18*EF!$H49*EF!$H67)*NtoN2O*kgtoGg,IF('Net zero activities &amp; levers'!$C$12="MS",('Net zero Activity data'!BK18*EF!$H49*EF!$H67)*NtoN2O*kgtoGg,"ERROR")))</f>
        <v>4.4292036002135757E-2</v>
      </c>
      <c r="AS961" s="93">
        <f>IF('Net zero activities &amp; levers'!$C$12="Off",('Activity data'!BL18*EF!$H49*EF!$H67)*NtoN2O*kgtoGg,IF('Net zero activities &amp; levers'!$C$12="PB",('Activity data'!BL18*EF!$H49*EF!$H67)*NtoN2O*kgtoGg,IF('Net zero activities &amp; levers'!$C$12="MS",('Net zero Activity data'!BL18*EF!$H49*EF!$H67)*NtoN2O*kgtoGg,"ERROR")))</f>
        <v>4.4939483847203046E-2</v>
      </c>
      <c r="AT961" s="93">
        <f>IF('Net zero activities &amp; levers'!$C$12="Off",('Activity data'!BM18*EF!$H49*EF!$H67)*NtoN2O*kgtoGg,IF('Net zero activities &amp; levers'!$C$12="PB",('Activity data'!BM18*EF!$H49*EF!$H67)*NtoN2O*kgtoGg,IF('Net zero activities &amp; levers'!$C$12="MS",('Net zero Activity data'!BM18*EF!$H49*EF!$H67)*NtoN2O*kgtoGg,"ERROR")))</f>
        <v>4.4545502941970565E-2</v>
      </c>
      <c r="AU961" s="93">
        <f>IF('Net zero activities &amp; levers'!$C$12="Off",('Activity data'!BN18*EF!$H49*EF!$H67)*NtoN2O*kgtoGg,IF('Net zero activities &amp; levers'!$C$12="PB",('Activity data'!BN18*EF!$H49*EF!$H67)*NtoN2O*kgtoGg,IF('Net zero activities &amp; levers'!$C$12="MS",('Net zero Activity data'!BN18*EF!$H49*EF!$H67)*NtoN2O*kgtoGg,"ERROR")))</f>
        <v>4.4060474771414608E-2</v>
      </c>
      <c r="AV961" s="93">
        <f>IF('Net zero activities &amp; levers'!$C$12="Off",('Activity data'!BO18*EF!$H49*EF!$H67)*NtoN2O*kgtoGg,IF('Net zero activities &amp; levers'!$C$12="PB",('Activity data'!BO18*EF!$H49*EF!$H67)*NtoN2O*kgtoGg,IF('Net zero activities &amp; levers'!$C$12="MS",('Net zero Activity data'!BO18*EF!$H49*EF!$H67)*NtoN2O*kgtoGg,"ERROR")))</f>
        <v>4.3448453512794687E-2</v>
      </c>
      <c r="AW961" s="93">
        <f>IF('Net zero activities &amp; levers'!$C$12="Off",('Activity data'!BP18*EF!$H49*EF!$H67)*NtoN2O*kgtoGg,IF('Net zero activities &amp; levers'!$C$12="PB",('Activity data'!BP18*EF!$H49*EF!$H67)*NtoN2O*kgtoGg,IF('Net zero activities &amp; levers'!$C$12="MS",('Net zero Activity data'!BP18*EF!$H49*EF!$H67)*NtoN2O*kgtoGg,"ERROR")))</f>
        <v>4.2806416749393235E-2</v>
      </c>
      <c r="AY961" s="79"/>
      <c r="AZ961" s="79"/>
    </row>
    <row r="962" spans="1:52" x14ac:dyDescent="0.3">
      <c r="A962" s="95" t="str">
        <f t="shared" si="326"/>
        <v>DS Poultry MMN2O</v>
      </c>
      <c r="B962" s="95" t="s">
        <v>974</v>
      </c>
      <c r="C962" s="95" t="s">
        <v>1234</v>
      </c>
      <c r="D962" t="s">
        <v>15</v>
      </c>
      <c r="E962" t="s">
        <v>657</v>
      </c>
      <c r="F962" t="s">
        <v>28</v>
      </c>
      <c r="G962" t="s">
        <v>131</v>
      </c>
      <c r="H962" t="s">
        <v>1227</v>
      </c>
      <c r="I962" t="s">
        <v>139</v>
      </c>
      <c r="J962" t="s">
        <v>287</v>
      </c>
      <c r="K962" s="93">
        <f>IF('Net zero activities &amp; levers'!$C$12="Off",('Activity data'!AD19*EF!$H50*EF!$H68)*NtoN2O*kgtoGg,IF('Net zero activities &amp; levers'!$C$12="PB",('Activity data'!AD19*EF!$H50*EF!$H68)*NtoN2O*kgtoGg,IF('Net zero activities &amp; levers'!$C$12="MS",('Net zero Activity data'!AD19*EF!$H50*EF!$H68)*NtoN2O*kgtoGg,"ERROR")))</f>
        <v>0.32784224726088984</v>
      </c>
      <c r="L962" s="93">
        <f>IF('Net zero activities &amp; levers'!$C$12="Off",('Activity data'!AE19*EF!$H50*EF!$H68)*NtoN2O*kgtoGg,IF('Net zero activities &amp; levers'!$C$12="PB",('Activity data'!AE19*EF!$H50*EF!$H68)*NtoN2O*kgtoGg,IF('Net zero activities &amp; levers'!$C$12="MS",('Net zero Activity data'!AE19*EF!$H50*EF!$H68)*NtoN2O*kgtoGg,"ERROR")))</f>
        <v>0.33450793008613733</v>
      </c>
      <c r="M962" s="93">
        <f>IF('Net zero activities &amp; levers'!$C$12="Off",('Activity data'!AF19*EF!$H50*EF!$H68)*NtoN2O*kgtoGg,IF('Net zero activities &amp; levers'!$C$12="PB",('Activity data'!AF19*EF!$H50*EF!$H68)*NtoN2O*kgtoGg,IF('Net zero activities &amp; levers'!$C$12="MS",('Net zero Activity data'!AF19*EF!$H50*EF!$H68)*NtoN2O*kgtoGg,"ERROR")))</f>
        <v>0.34229948156355033</v>
      </c>
      <c r="N962" s="93">
        <f>IF('Net zero activities &amp; levers'!$C$12="Off",('Activity data'!AG19*EF!$H50*EF!$H68)*NtoN2O*kgtoGg,IF('Net zero activities &amp; levers'!$C$12="PB",('Activity data'!AG19*EF!$H50*EF!$H68)*NtoN2O*kgtoGg,IF('Net zero activities &amp; levers'!$C$12="MS",('Net zero Activity data'!AG19*EF!$H50*EF!$H68)*NtoN2O*kgtoGg,"ERROR")))</f>
        <v>0.34828124731402299</v>
      </c>
      <c r="O962" s="93">
        <f>IF('Net zero activities &amp; levers'!$C$12="Off",('Activity data'!AH19*EF!$H50*EF!$H68)*NtoN2O*kgtoGg,IF('Net zero activities &amp; levers'!$C$12="PB",('Activity data'!AH19*EF!$H50*EF!$H68)*NtoN2O*kgtoGg,IF('Net zero activities &amp; levers'!$C$12="MS",('Net zero Activity data'!AH19*EF!$H50*EF!$H68)*NtoN2O*kgtoGg,"ERROR")))</f>
        <v>0.35308310351311478</v>
      </c>
      <c r="P962" s="93">
        <f>IF('Net zero activities &amp; levers'!$C$12="Off",('Activity data'!AI19*EF!$H50*EF!$H68)*NtoN2O*kgtoGg,IF('Net zero activities &amp; levers'!$C$12="PB",('Activity data'!AI19*EF!$H50*EF!$H68)*NtoN2O*kgtoGg,IF('Net zero activities &amp; levers'!$C$12="MS",('Net zero Activity data'!AI19*EF!$H50*EF!$H68)*NtoN2O*kgtoGg,"ERROR")))</f>
        <v>0.3566764932045714</v>
      </c>
      <c r="Q962" s="93">
        <f>IF('Net zero activities &amp; levers'!$C$12="Off",('Activity data'!AJ19*EF!$H50*EF!$H68)*NtoN2O*kgtoGg,IF('Net zero activities &amp; levers'!$C$12="PB",('Activity data'!AJ19*EF!$H50*EF!$H68)*NtoN2O*kgtoGg,IF('Net zero activities &amp; levers'!$C$12="MS",('Net zero Activity data'!AJ19*EF!$H50*EF!$H68)*NtoN2O*kgtoGg,"ERROR")))</f>
        <v>0.36128421068096001</v>
      </c>
      <c r="R962" s="93">
        <f>IF('Net zero activities &amp; levers'!$C$12="Off",('Activity data'!AK19*EF!$H50*EF!$H68)*NtoN2O*kgtoGg,IF('Net zero activities &amp; levers'!$C$12="PB",('Activity data'!AK19*EF!$H50*EF!$H68)*NtoN2O*kgtoGg,IF('Net zero activities &amp; levers'!$C$12="MS",('Net zero Activity data'!AK19*EF!$H50*EF!$H68)*NtoN2O*kgtoGg,"ERROR")))</f>
        <v>0.36607496135357964</v>
      </c>
      <c r="S962" s="93">
        <f>IF('Net zero activities &amp; levers'!$C$12="Off",('Activity data'!AL19*EF!$H50*EF!$H68)*NtoN2O*kgtoGg,IF('Net zero activities &amp; levers'!$C$12="PB",('Activity data'!AL19*EF!$H50*EF!$H68)*NtoN2O*kgtoGg,IF('Net zero activities &amp; levers'!$C$12="MS",('Net zero Activity data'!AL19*EF!$H50*EF!$H68)*NtoN2O*kgtoGg,"ERROR")))</f>
        <v>0.34978148195901088</v>
      </c>
      <c r="T962" s="93">
        <f>IF('Net zero activities &amp; levers'!$C$12="Off",('Activity data'!AM19*EF!$H50*EF!$H68)*NtoN2O*kgtoGg,IF('Net zero activities &amp; levers'!$C$12="PB",('Activity data'!AM19*EF!$H50*EF!$H68)*NtoN2O*kgtoGg,IF('Net zero activities &amp; levers'!$C$12="MS",('Net zero Activity data'!AM19*EF!$H50*EF!$H68)*NtoN2O*kgtoGg,"ERROR")))</f>
        <v>0.35848748777612982</v>
      </c>
      <c r="U962" s="93">
        <f>IF('Net zero activities &amp; levers'!$C$12="Off",('Activity data'!AN19*EF!$H50*EF!$H68)*NtoN2O*kgtoGg,IF('Net zero activities &amp; levers'!$C$12="PB",('Activity data'!AN19*EF!$H50*EF!$H68)*NtoN2O*kgtoGg,IF('Net zero activities &amp; levers'!$C$12="MS",('Net zero Activity data'!AN19*EF!$H50*EF!$H68)*NtoN2O*kgtoGg,"ERROR")))</f>
        <v>0.37008968221816879</v>
      </c>
      <c r="V962" s="93">
        <f>IF('Net zero activities &amp; levers'!$C$12="Off",('Activity data'!AO19*EF!$H50*EF!$H68)*NtoN2O*kgtoGg,IF('Net zero activities &amp; levers'!$C$12="PB",('Activity data'!AO19*EF!$H50*EF!$H68)*NtoN2O*kgtoGg,IF('Net zero activities &amp; levers'!$C$12="MS",('Net zero Activity data'!AO19*EF!$H50*EF!$H68)*NtoN2O*kgtoGg,"ERROR")))</f>
        <v>0.37718532914997255</v>
      </c>
      <c r="W962" s="93">
        <f>IF('Net zero activities &amp; levers'!$C$12="Off",('Activity data'!AP19*EF!$H50*EF!$H68)*NtoN2O*kgtoGg,IF('Net zero activities &amp; levers'!$C$12="PB",('Activity data'!AP19*EF!$H50*EF!$H68)*NtoN2O*kgtoGg,IF('Net zero activities &amp; levers'!$C$12="MS",('Net zero Activity data'!AP19*EF!$H50*EF!$H68)*NtoN2O*kgtoGg,"ERROR")))</f>
        <v>0.38492114207778078</v>
      </c>
      <c r="X962" s="93">
        <f>IF('Net zero activities &amp; levers'!$C$12="Off",('Activity data'!AQ19*EF!$H50*EF!$H68)*NtoN2O*kgtoGg,IF('Net zero activities &amp; levers'!$C$12="PB",('Activity data'!AQ19*EF!$H50*EF!$H68)*NtoN2O*kgtoGg,IF('Net zero activities &amp; levers'!$C$12="MS",('Net zero Activity data'!AQ19*EF!$H50*EF!$H68)*NtoN2O*kgtoGg,"ERROR")))</f>
        <v>0.39349286127913036</v>
      </c>
      <c r="Y962" s="93">
        <f>IF('Net zero activities &amp; levers'!$C$12="Off",('Activity data'!AR19*EF!$H50*EF!$H68)*NtoN2O*kgtoGg,IF('Net zero activities &amp; levers'!$C$12="PB",('Activity data'!AR19*EF!$H50*EF!$H68)*NtoN2O*kgtoGg,IF('Net zero activities &amp; levers'!$C$12="MS",('Net zero Activity data'!AR19*EF!$H50*EF!$H68)*NtoN2O*kgtoGg,"ERROR")))</f>
        <v>0.40234632670513226</v>
      </c>
      <c r="Z962" s="93">
        <f>IF('Net zero activities &amp; levers'!$C$12="Off",('Activity data'!AS19*EF!$H50*EF!$H68)*NtoN2O*kgtoGg,IF('Net zero activities &amp; levers'!$C$12="PB",('Activity data'!AS19*EF!$H50*EF!$H68)*NtoN2O*kgtoGg,IF('Net zero activities &amp; levers'!$C$12="MS",('Net zero Activity data'!AS19*EF!$H50*EF!$H68)*NtoN2O*kgtoGg,"ERROR")))</f>
        <v>0.41188861015823597</v>
      </c>
      <c r="AA962" s="93">
        <f>IF('Net zero activities &amp; levers'!$C$12="Off",('Activity data'!AT19*EF!$H50*EF!$H68)*NtoN2O*kgtoGg,IF('Net zero activities &amp; levers'!$C$12="PB",('Activity data'!AT19*EF!$H50*EF!$H68)*NtoN2O*kgtoGg,IF('Net zero activities &amp; levers'!$C$12="MS",('Net zero Activity data'!AT19*EF!$H50*EF!$H68)*NtoN2O*kgtoGg,"ERROR")))</f>
        <v>0.42164548581932815</v>
      </c>
      <c r="AB962" s="93">
        <f>IF('Net zero activities &amp; levers'!$C$12="Off",('Activity data'!AU19*EF!$H50*EF!$H68)*NtoN2O*kgtoGg,IF('Net zero activities &amp; levers'!$C$12="PB",('Activity data'!AU19*EF!$H50*EF!$H68)*NtoN2O*kgtoGg,IF('Net zero activities &amp; levers'!$C$12="MS",('Net zero Activity data'!AU19*EF!$H50*EF!$H68)*NtoN2O*kgtoGg,"ERROR")))</f>
        <v>0.43206316644832626</v>
      </c>
      <c r="AC962" s="93">
        <f>IF('Net zero activities &amp; levers'!$C$12="Off",('Activity data'!AV19*EF!$H50*EF!$H68)*NtoN2O*kgtoGg,IF('Net zero activities &amp; levers'!$C$12="PB",('Activity data'!AV19*EF!$H50*EF!$H68)*NtoN2O*kgtoGg,IF('Net zero activities &amp; levers'!$C$12="MS",('Net zero Activity data'!AV19*EF!$H50*EF!$H68)*NtoN2O*kgtoGg,"ERROR")))</f>
        <v>0.44266638237250944</v>
      </c>
      <c r="AD962" s="93">
        <f>IF('Net zero activities &amp; levers'!$C$12="Off",('Activity data'!AW19*EF!$H50*EF!$H68)*NtoN2O*kgtoGg,IF('Net zero activities &amp; levers'!$C$12="PB",('Activity data'!AW19*EF!$H50*EF!$H68)*NtoN2O*kgtoGg,IF('Net zero activities &amp; levers'!$C$12="MS",('Net zero Activity data'!AW19*EF!$H50*EF!$H68)*NtoN2O*kgtoGg,"ERROR")))</f>
        <v>0.45410654796286065</v>
      </c>
      <c r="AE962" s="93">
        <f>IF('Net zero activities &amp; levers'!$C$12="Off",('Activity data'!AX19*EF!$H50*EF!$H68)*NtoN2O*kgtoGg,IF('Net zero activities &amp; levers'!$C$12="PB",('Activity data'!AX19*EF!$H50*EF!$H68)*NtoN2O*kgtoGg,IF('Net zero activities &amp; levers'!$C$12="MS",('Net zero Activity data'!AX19*EF!$H50*EF!$H68)*NtoN2O*kgtoGg,"ERROR")))</f>
        <v>0.46542858130344616</v>
      </c>
      <c r="AF962" s="93">
        <f>IF('Net zero activities &amp; levers'!$C$12="Off",('Activity data'!AY19*EF!$H50*EF!$H68)*NtoN2O*kgtoGg,IF('Net zero activities &amp; levers'!$C$12="PB",('Activity data'!AY19*EF!$H50*EF!$H68)*NtoN2O*kgtoGg,IF('Net zero activities &amp; levers'!$C$12="MS",('Net zero Activity data'!AY19*EF!$H50*EF!$H68)*NtoN2O*kgtoGg,"ERROR")))</f>
        <v>0.4772730257801403</v>
      </c>
      <c r="AG962" s="93">
        <f>IF('Net zero activities &amp; levers'!$C$12="Off",('Activity data'!AZ19*EF!$H50*EF!$H68)*NtoN2O*kgtoGg,IF('Net zero activities &amp; levers'!$C$12="PB",('Activity data'!AZ19*EF!$H50*EF!$H68)*NtoN2O*kgtoGg,IF('Net zero activities &amp; levers'!$C$12="MS",('Net zero Activity data'!AZ19*EF!$H50*EF!$H68)*NtoN2O*kgtoGg,"ERROR")))</f>
        <v>0.49041871120833058</v>
      </c>
      <c r="AH962" s="93">
        <f>IF('Net zero activities &amp; levers'!$C$12="Off",('Activity data'!BA19*EF!$H50*EF!$H68)*NtoN2O*kgtoGg,IF('Net zero activities &amp; levers'!$C$12="PB",('Activity data'!BA19*EF!$H50*EF!$H68)*NtoN2O*kgtoGg,IF('Net zero activities &amp; levers'!$C$12="MS",('Net zero Activity data'!BA19*EF!$H50*EF!$H68)*NtoN2O*kgtoGg,"ERROR")))</f>
        <v>0.50303895207575822</v>
      </c>
      <c r="AI962" s="93">
        <f>IF('Net zero activities &amp; levers'!$C$12="Off",('Activity data'!BB19*EF!$H50*EF!$H68)*NtoN2O*kgtoGg,IF('Net zero activities &amp; levers'!$C$12="PB",('Activity data'!BB19*EF!$H50*EF!$H68)*NtoN2O*kgtoGg,IF('Net zero activities &amp; levers'!$C$12="MS",('Net zero Activity data'!BB19*EF!$H50*EF!$H68)*NtoN2O*kgtoGg,"ERROR")))</f>
        <v>0.51609032389809528</v>
      </c>
      <c r="AJ962" s="93">
        <f>IF('Net zero activities &amp; levers'!$C$12="Off",('Activity data'!BC19*EF!$H50*EF!$H68)*NtoN2O*kgtoGg,IF('Net zero activities &amp; levers'!$C$12="PB",('Activity data'!BC19*EF!$H50*EF!$H68)*NtoN2O*kgtoGg,IF('Net zero activities &amp; levers'!$C$12="MS",('Net zero Activity data'!BC19*EF!$H50*EF!$H68)*NtoN2O*kgtoGg,"ERROR")))</f>
        <v>0.52992686464312622</v>
      </c>
      <c r="AK962" s="93">
        <f>IF('Net zero activities &amp; levers'!$C$12="Off",('Activity data'!BD19*EF!$H50*EF!$H68)*NtoN2O*kgtoGg,IF('Net zero activities &amp; levers'!$C$12="PB",('Activity data'!BD19*EF!$H50*EF!$H68)*NtoN2O*kgtoGg,IF('Net zero activities &amp; levers'!$C$12="MS",('Net zero Activity data'!BD19*EF!$H50*EF!$H68)*NtoN2O*kgtoGg,"ERROR")))</f>
        <v>0.54305058530896999</v>
      </c>
      <c r="AL962" s="93">
        <f>IF('Net zero activities &amp; levers'!$C$12="Off",('Activity data'!BE19*EF!$H50*EF!$H68)*NtoN2O*kgtoGg,IF('Net zero activities &amp; levers'!$C$12="PB",('Activity data'!BE19*EF!$H50*EF!$H68)*NtoN2O*kgtoGg,IF('Net zero activities &amp; levers'!$C$12="MS",('Net zero Activity data'!BE19*EF!$H50*EF!$H68)*NtoN2O*kgtoGg,"ERROR")))</f>
        <v>0.55613853749065978</v>
      </c>
      <c r="AM962" s="93">
        <f>IF('Net zero activities &amp; levers'!$C$12="Off",('Activity data'!BF19*EF!$H50*EF!$H68)*NtoN2O*kgtoGg,IF('Net zero activities &amp; levers'!$C$12="PB",('Activity data'!BF19*EF!$H50*EF!$H68)*NtoN2O*kgtoGg,IF('Net zero activities &amp; levers'!$C$12="MS",('Net zero Activity data'!BF19*EF!$H50*EF!$H68)*NtoN2O*kgtoGg,"ERROR")))</f>
        <v>0.56922083138232038</v>
      </c>
      <c r="AN962" s="93">
        <f>IF('Net zero activities &amp; levers'!$C$12="Off",('Activity data'!BG19*EF!$H50*EF!$H68)*NtoN2O*kgtoGg,IF('Net zero activities &amp; levers'!$C$12="PB",('Activity data'!BG19*EF!$H50*EF!$H68)*NtoN2O*kgtoGg,IF('Net zero activities &amp; levers'!$C$12="MS",('Net zero Activity data'!BG19*EF!$H50*EF!$H68)*NtoN2O*kgtoGg,"ERROR")))</f>
        <v>0.58310052249970834</v>
      </c>
      <c r="AO962" s="93">
        <f>IF('Net zero activities &amp; levers'!$C$12="Off",('Activity data'!BH19*EF!$H50*EF!$H68)*NtoN2O*kgtoGg,IF('Net zero activities &amp; levers'!$C$12="PB",('Activity data'!BH19*EF!$H50*EF!$H68)*NtoN2O*kgtoGg,IF('Net zero activities &amp; levers'!$C$12="MS",('Net zero Activity data'!BH19*EF!$H50*EF!$H68)*NtoN2O*kgtoGg,"ERROR")))</f>
        <v>0.59653826788660902</v>
      </c>
      <c r="AP962" s="93">
        <f>IF('Net zero activities &amp; levers'!$C$12="Off",('Activity data'!BI19*EF!$H50*EF!$H68)*NtoN2O*kgtoGg,IF('Net zero activities &amp; levers'!$C$12="PB",('Activity data'!BI19*EF!$H50*EF!$H68)*NtoN2O*kgtoGg,IF('Net zero activities &amp; levers'!$C$12="MS",('Net zero Activity data'!BI19*EF!$H50*EF!$H68)*NtoN2O*kgtoGg,"ERROR")))</f>
        <v>0.61044136643017999</v>
      </c>
      <c r="AQ962" s="93">
        <f>IF('Net zero activities &amp; levers'!$C$12="Off",('Activity data'!BJ19*EF!$H50*EF!$H68)*NtoN2O*kgtoGg,IF('Net zero activities &amp; levers'!$C$12="PB",('Activity data'!BJ19*EF!$H50*EF!$H68)*NtoN2O*kgtoGg,IF('Net zero activities &amp; levers'!$C$12="MS",('Net zero Activity data'!BJ19*EF!$H50*EF!$H68)*NtoN2O*kgtoGg,"ERROR")))</f>
        <v>0.62486785679849377</v>
      </c>
      <c r="AR962" s="93">
        <f>IF('Net zero activities &amp; levers'!$C$12="Off",('Activity data'!BK19*EF!$H50*EF!$H68)*NtoN2O*kgtoGg,IF('Net zero activities &amp; levers'!$C$12="PB",('Activity data'!BK19*EF!$H50*EF!$H68)*NtoN2O*kgtoGg,IF('Net zero activities &amp; levers'!$C$12="MS",('Net zero Activity data'!BK19*EF!$H50*EF!$H68)*NtoN2O*kgtoGg,"ERROR")))</f>
        <v>0.6399091004524019</v>
      </c>
      <c r="AS962" s="93">
        <f>IF('Net zero activities &amp; levers'!$C$12="Off",('Activity data'!BL19*EF!$H50*EF!$H68)*NtoN2O*kgtoGg,IF('Net zero activities &amp; levers'!$C$12="PB",('Activity data'!BL19*EF!$H50*EF!$H68)*NtoN2O*kgtoGg,IF('Net zero activities &amp; levers'!$C$12="MS",('Net zero Activity data'!BL19*EF!$H50*EF!$H68)*NtoN2O*kgtoGg,"ERROR")))</f>
        <v>0.65535203493771454</v>
      </c>
      <c r="AT962" s="93">
        <f>IF('Net zero activities &amp; levers'!$C$12="Off",('Activity data'!BM19*EF!$H50*EF!$H68)*NtoN2O*kgtoGg,IF('Net zero activities &amp; levers'!$C$12="PB",('Activity data'!BM19*EF!$H50*EF!$H68)*NtoN2O*kgtoGg,IF('Net zero activities &amp; levers'!$C$12="MS",('Net zero Activity data'!BM19*EF!$H50*EF!$H68)*NtoN2O*kgtoGg,"ERROR")))</f>
        <v>0.66076114760241544</v>
      </c>
      <c r="AU962" s="93">
        <f>IF('Net zero activities &amp; levers'!$C$12="Off",('Activity data'!BN19*EF!$H50*EF!$H68)*NtoN2O*kgtoGg,IF('Net zero activities &amp; levers'!$C$12="PB",('Activity data'!BN19*EF!$H50*EF!$H68)*NtoN2O*kgtoGg,IF('Net zero activities &amp; levers'!$C$12="MS",('Net zero Activity data'!BN19*EF!$H50*EF!$H68)*NtoN2O*kgtoGg,"ERROR")))</f>
        <v>0.6652412101856594</v>
      </c>
      <c r="AV962" s="93">
        <f>IF('Net zero activities &amp; levers'!$C$12="Off",('Activity data'!BO19*EF!$H50*EF!$H68)*NtoN2O*kgtoGg,IF('Net zero activities &amp; levers'!$C$12="PB",('Activity data'!BO19*EF!$H50*EF!$H68)*NtoN2O*kgtoGg,IF('Net zero activities &amp; levers'!$C$12="MS",('Net zero Activity data'!BO19*EF!$H50*EF!$H68)*NtoN2O*kgtoGg,"ERROR")))</f>
        <v>0.66836980562393489</v>
      </c>
      <c r="AW962" s="93">
        <f>IF('Net zero activities &amp; levers'!$C$12="Off",('Activity data'!BP19*EF!$H50*EF!$H68)*NtoN2O*kgtoGg,IF('Net zero activities &amp; levers'!$C$12="PB",('Activity data'!BP19*EF!$H50*EF!$H68)*NtoN2O*kgtoGg,IF('Net zero activities &amp; levers'!$C$12="MS",('Net zero Activity data'!BP19*EF!$H50*EF!$H68)*NtoN2O*kgtoGg,"ERROR")))</f>
        <v>0.67109822940167552</v>
      </c>
      <c r="AY962" s="79"/>
      <c r="AZ962" s="79"/>
    </row>
    <row r="963" spans="1:52" x14ac:dyDescent="0.3">
      <c r="A963" s="95" t="str">
        <f t="shared" si="326"/>
        <v>DS Poultry MMN2O</v>
      </c>
      <c r="B963" s="95" t="s">
        <v>974</v>
      </c>
      <c r="C963" s="95" t="s">
        <v>1234</v>
      </c>
      <c r="D963" t="s">
        <v>15</v>
      </c>
      <c r="E963" t="s">
        <v>657</v>
      </c>
      <c r="F963" t="s">
        <v>28</v>
      </c>
      <c r="G963" t="s">
        <v>132</v>
      </c>
      <c r="H963" t="s">
        <v>1227</v>
      </c>
      <c r="I963" t="s">
        <v>139</v>
      </c>
      <c r="J963" t="s">
        <v>287</v>
      </c>
      <c r="K963" s="93">
        <f>IF('Net zero activities &amp; levers'!$C$12="Off",('Activity data'!AD20*EF!$H51*EF!$H69)*NtoN2O*kgtoGg,IF('Net zero activities &amp; levers'!$C$12="PB",('Activity data'!AD20*EF!$H51*EF!$H69)*NtoN2O*kgtoGg,IF('Net zero activities &amp; levers'!$C$12="MS",('Net zero Activity data'!AD20*EF!$H51*EF!$H69)*NtoN2O*kgtoGg,"ERROR")))</f>
        <v>1.7017151675634961</v>
      </c>
      <c r="L963" s="93">
        <f>IF('Net zero activities &amp; levers'!$C$12="Off",('Activity data'!AE20*EF!$H51*EF!$H69)*NtoN2O*kgtoGg,IF('Net zero activities &amp; levers'!$C$12="PB",('Activity data'!AE20*EF!$H51*EF!$H69)*NtoN2O*kgtoGg,IF('Net zero activities &amp; levers'!$C$12="MS",('Net zero Activity data'!AE20*EF!$H51*EF!$H69)*NtoN2O*kgtoGg,"ERROR")))</f>
        <v>1.7241237147327637</v>
      </c>
      <c r="M963" s="93">
        <f>IF('Net zero activities &amp; levers'!$C$12="Off",('Activity data'!AF20*EF!$H51*EF!$H69)*NtoN2O*kgtoGg,IF('Net zero activities &amp; levers'!$C$12="PB",('Activity data'!AF20*EF!$H51*EF!$H69)*NtoN2O*kgtoGg,IF('Net zero activities &amp; levers'!$C$12="MS",('Net zero Activity data'!AF20*EF!$H51*EF!$H69)*NtoN2O*kgtoGg,"ERROR")))</f>
        <v>1.7601182693498112</v>
      </c>
      <c r="N963" s="93">
        <f>IF('Net zero activities &amp; levers'!$C$12="Off",('Activity data'!AG20*EF!$H51*EF!$H69)*NtoN2O*kgtoGg,IF('Net zero activities &amp; levers'!$C$12="PB",('Activity data'!AG20*EF!$H51*EF!$H69)*NtoN2O*kgtoGg,IF('Net zero activities &amp; levers'!$C$12="MS",('Net zero Activity data'!AG20*EF!$H51*EF!$H69)*NtoN2O*kgtoGg,"ERROR")))</f>
        <v>1.7704533576020511</v>
      </c>
      <c r="O963" s="93">
        <f>IF('Net zero activities &amp; levers'!$C$12="Off",('Activity data'!AH20*EF!$H51*EF!$H69)*NtoN2O*kgtoGg,IF('Net zero activities &amp; levers'!$C$12="PB",('Activity data'!AH20*EF!$H51*EF!$H69)*NtoN2O*kgtoGg,IF('Net zero activities &amp; levers'!$C$12="MS",('Net zero Activity data'!AH20*EF!$H51*EF!$H69)*NtoN2O*kgtoGg,"ERROR")))</f>
        <v>1.7641159598844758</v>
      </c>
      <c r="P963" s="93">
        <f>IF('Net zero activities &amp; levers'!$C$12="Off",('Activity data'!AI20*EF!$H51*EF!$H69)*NtoN2O*kgtoGg,IF('Net zero activities &amp; levers'!$C$12="PB",('Activity data'!AI20*EF!$H51*EF!$H69)*NtoN2O*kgtoGg,IF('Net zero activities &amp; levers'!$C$12="MS",('Net zero Activity data'!AI20*EF!$H51*EF!$H69)*NtoN2O*kgtoGg,"ERROR")))</f>
        <v>1.7411735022142167</v>
      </c>
      <c r="Q963" s="93">
        <f>IF('Net zero activities &amp; levers'!$C$12="Off",('Activity data'!AJ20*EF!$H51*EF!$H69)*NtoN2O*kgtoGg,IF('Net zero activities &amp; levers'!$C$12="PB",('Activity data'!AJ20*EF!$H51*EF!$H69)*NtoN2O*kgtoGg,IF('Net zero activities &amp; levers'!$C$12="MS",('Net zero Activity data'!AJ20*EF!$H51*EF!$H69)*NtoN2O*kgtoGg,"ERROR")))</f>
        <v>1.7315152516158574</v>
      </c>
      <c r="R963" s="93">
        <f>IF('Net zero activities &amp; levers'!$C$12="Off",('Activity data'!AK20*EF!$H51*EF!$H69)*NtoN2O*kgtoGg,IF('Net zero activities &amp; levers'!$C$12="PB",('Activity data'!AK20*EF!$H51*EF!$H69)*NtoN2O*kgtoGg,IF('Net zero activities &amp; levers'!$C$12="MS",('Net zero Activity data'!AK20*EF!$H51*EF!$H69)*NtoN2O*kgtoGg,"ERROR")))</f>
        <v>1.7240481490859689</v>
      </c>
      <c r="S963" s="93">
        <f>IF('Net zero activities &amp; levers'!$C$12="Off",('Activity data'!AL20*EF!$H51*EF!$H69)*NtoN2O*kgtoGg,IF('Net zero activities &amp; levers'!$C$12="PB",('Activity data'!AL20*EF!$H51*EF!$H69)*NtoN2O*kgtoGg,IF('Net zero activities &amp; levers'!$C$12="MS",('Net zero Activity data'!AL20*EF!$H51*EF!$H69)*NtoN2O*kgtoGg,"ERROR")))</f>
        <v>1.4532830978859241</v>
      </c>
      <c r="T963" s="93">
        <f>IF('Net zero activities &amp; levers'!$C$12="Off",('Activity data'!AM20*EF!$H51*EF!$H69)*NtoN2O*kgtoGg,IF('Net zero activities &amp; levers'!$C$12="PB",('Activity data'!AM20*EF!$H51*EF!$H69)*NtoN2O*kgtoGg,IF('Net zero activities &amp; levers'!$C$12="MS",('Net zero Activity data'!AM20*EF!$H51*EF!$H69)*NtoN2O*kgtoGg,"ERROR")))</f>
        <v>1.5108401757769072</v>
      </c>
      <c r="U963" s="93">
        <f>IF('Net zero activities &amp; levers'!$C$12="Off",('Activity data'!AN20*EF!$H51*EF!$H69)*NtoN2O*kgtoGg,IF('Net zero activities &amp; levers'!$C$12="PB",('Activity data'!AN20*EF!$H51*EF!$H69)*NtoN2O*kgtoGg,IF('Net zero activities &amp; levers'!$C$12="MS",('Net zero Activity data'!AN20*EF!$H51*EF!$H69)*NtoN2O*kgtoGg,"ERROR")))</f>
        <v>1.6026975713108973</v>
      </c>
      <c r="V963" s="93">
        <f>IF('Net zero activities &amp; levers'!$C$12="Off",('Activity data'!AO20*EF!$H51*EF!$H69)*NtoN2O*kgtoGg,IF('Net zero activities &amp; levers'!$C$12="PB",('Activity data'!AO20*EF!$H51*EF!$H69)*NtoN2O*kgtoGg,IF('Net zero activities &amp; levers'!$C$12="MS",('Net zero Activity data'!AO20*EF!$H51*EF!$H69)*NtoN2O*kgtoGg,"ERROR")))</f>
        <v>1.6381096535545392</v>
      </c>
      <c r="W963" s="93">
        <f>IF('Net zero activities &amp; levers'!$C$12="Off",('Activity data'!AP20*EF!$H51*EF!$H69)*NtoN2O*kgtoGg,IF('Net zero activities &amp; levers'!$C$12="PB",('Activity data'!AP20*EF!$H51*EF!$H69)*NtoN2O*kgtoGg,IF('Net zero activities &amp; levers'!$C$12="MS",('Net zero Activity data'!AP20*EF!$H51*EF!$H69)*NtoN2O*kgtoGg,"ERROR")))</f>
        <v>1.6804870298806631</v>
      </c>
      <c r="X963" s="93">
        <f>IF('Net zero activities &amp; levers'!$C$12="Off",('Activity data'!AQ20*EF!$H51*EF!$H69)*NtoN2O*kgtoGg,IF('Net zero activities &amp; levers'!$C$12="PB",('Activity data'!AQ20*EF!$H51*EF!$H69)*NtoN2O*kgtoGg,IF('Net zero activities &amp; levers'!$C$12="MS",('Net zero Activity data'!AQ20*EF!$H51*EF!$H69)*NtoN2O*kgtoGg,"ERROR")))</f>
        <v>1.7319826837322108</v>
      </c>
      <c r="Y963" s="93">
        <f>IF('Net zero activities &amp; levers'!$C$12="Off",('Activity data'!AR20*EF!$H51*EF!$H69)*NtoN2O*kgtoGg,IF('Net zero activities &amp; levers'!$C$12="PB",('Activity data'!AR20*EF!$H51*EF!$H69)*NtoN2O*kgtoGg,IF('Net zero activities &amp; levers'!$C$12="MS",('Net zero Activity data'!AR20*EF!$H51*EF!$H69)*NtoN2O*kgtoGg,"ERROR")))</f>
        <v>1.7911150071638293</v>
      </c>
      <c r="Z963" s="93">
        <f>IF('Net zero activities &amp; levers'!$C$12="Off",('Activity data'!AS20*EF!$H51*EF!$H69)*NtoN2O*kgtoGg,IF('Net zero activities &amp; levers'!$C$12="PB",('Activity data'!AS20*EF!$H51*EF!$H69)*NtoN2O*kgtoGg,IF('Net zero activities &amp; levers'!$C$12="MS",('Net zero Activity data'!AS20*EF!$H51*EF!$H69)*NtoN2O*kgtoGg,"ERROR")))</f>
        <v>1.8573343362727066</v>
      </c>
      <c r="AA963" s="93">
        <f>IF('Net zero activities &amp; levers'!$C$12="Off",('Activity data'!AT20*EF!$H51*EF!$H69)*NtoN2O*kgtoGg,IF('Net zero activities &amp; levers'!$C$12="PB",('Activity data'!AT20*EF!$H51*EF!$H69)*NtoN2O*kgtoGg,IF('Net zero activities &amp; levers'!$C$12="MS",('Net zero Activity data'!AT20*EF!$H51*EF!$H69)*NtoN2O*kgtoGg,"ERROR")))</f>
        <v>1.9249598687101048</v>
      </c>
      <c r="AB963" s="93">
        <f>IF('Net zero activities &amp; levers'!$C$12="Off",('Activity data'!AU20*EF!$H51*EF!$H69)*NtoN2O*kgtoGg,IF('Net zero activities &amp; levers'!$C$12="PB",('Activity data'!AU20*EF!$H51*EF!$H69)*NtoN2O*kgtoGg,IF('Net zero activities &amp; levers'!$C$12="MS",('Net zero Activity data'!AU20*EF!$H51*EF!$H69)*NtoN2O*kgtoGg,"ERROR")))</f>
        <v>1.9991243799858327</v>
      </c>
      <c r="AC963" s="93">
        <f>IF('Net zero activities &amp; levers'!$C$12="Off",('Activity data'!AV20*EF!$H51*EF!$H69)*NtoN2O*kgtoGg,IF('Net zero activities &amp; levers'!$C$12="PB",('Activity data'!AV20*EF!$H51*EF!$H69)*NtoN2O*kgtoGg,IF('Net zero activities &amp; levers'!$C$12="MS",('Net zero Activity data'!AV20*EF!$H51*EF!$H69)*NtoN2O*kgtoGg,"ERROR")))</f>
        <v>2.0742398218726938</v>
      </c>
      <c r="AD963" s="93">
        <f>IF('Net zero activities &amp; levers'!$C$12="Off",('Activity data'!AW20*EF!$H51*EF!$H69)*NtoN2O*kgtoGg,IF('Net zero activities &amp; levers'!$C$12="PB",('Activity data'!AW20*EF!$H51*EF!$H69)*NtoN2O*kgtoGg,IF('Net zero activities &amp; levers'!$C$12="MS",('Net zero Activity data'!AW20*EF!$H51*EF!$H69)*NtoN2O*kgtoGg,"ERROR")))</f>
        <v>2.1619281930421144</v>
      </c>
      <c r="AE963" s="93">
        <f>IF('Net zero activities &amp; levers'!$C$12="Off",('Activity data'!AX20*EF!$H51*EF!$H69)*NtoN2O*kgtoGg,IF('Net zero activities &amp; levers'!$C$12="PB",('Activity data'!AX20*EF!$H51*EF!$H69)*NtoN2O*kgtoGg,IF('Net zero activities &amp; levers'!$C$12="MS",('Net zero Activity data'!AX20*EF!$H51*EF!$H69)*NtoN2O*kgtoGg,"ERROR")))</f>
        <v>2.2470253789888299</v>
      </c>
      <c r="AF963" s="93">
        <f>IF('Net zero activities &amp; levers'!$C$12="Off",('Activity data'!AY20*EF!$H51*EF!$H69)*NtoN2O*kgtoGg,IF('Net zero activities &amp; levers'!$C$12="PB",('Activity data'!AY20*EF!$H51*EF!$H69)*NtoN2O*kgtoGg,IF('Net zero activities &amp; levers'!$C$12="MS",('Net zero Activity data'!AY20*EF!$H51*EF!$H69)*NtoN2O*kgtoGg,"ERROR")))</f>
        <v>2.3367898663962117</v>
      </c>
      <c r="AG963" s="93">
        <f>IF('Net zero activities &amp; levers'!$C$12="Off",('Activity data'!AZ20*EF!$H51*EF!$H69)*NtoN2O*kgtoGg,IF('Net zero activities &amp; levers'!$C$12="PB",('Activity data'!AZ20*EF!$H51*EF!$H69)*NtoN2O*kgtoGg,IF('Net zero activities &amp; levers'!$C$12="MS",('Net zero Activity data'!AZ20*EF!$H51*EF!$H69)*NtoN2O*kgtoGg,"ERROR")))</f>
        <v>2.4398215935835355</v>
      </c>
      <c r="AH963" s="93">
        <f>IF('Net zero activities &amp; levers'!$C$12="Off",('Activity data'!BA20*EF!$H51*EF!$H69)*NtoN2O*kgtoGg,IF('Net zero activities &amp; levers'!$C$12="PB",('Activity data'!BA20*EF!$H51*EF!$H69)*NtoN2O*kgtoGg,IF('Net zero activities &amp; levers'!$C$12="MS",('Net zero Activity data'!BA20*EF!$H51*EF!$H69)*NtoN2O*kgtoGg,"ERROR")))</f>
        <v>2.5356369121252129</v>
      </c>
      <c r="AI963" s="93">
        <f>IF('Net zero activities &amp; levers'!$C$12="Off",('Activity data'!BB20*EF!$H51*EF!$H69)*NtoN2O*kgtoGg,IF('Net zero activities &amp; levers'!$C$12="PB",('Activity data'!BB20*EF!$H51*EF!$H69)*NtoN2O*kgtoGg,IF('Net zero activities &amp; levers'!$C$12="MS",('Net zero Activity data'!BB20*EF!$H51*EF!$H69)*NtoN2O*kgtoGg,"ERROR")))</f>
        <v>2.6388473537770931</v>
      </c>
      <c r="AJ963" s="93">
        <f>IF('Net zero activities &amp; levers'!$C$12="Off",('Activity data'!BC20*EF!$H51*EF!$H69)*NtoN2O*kgtoGg,IF('Net zero activities &amp; levers'!$C$12="PB",('Activity data'!BC20*EF!$H51*EF!$H69)*NtoN2O*kgtoGg,IF('Net zero activities &amp; levers'!$C$12="MS",('Net zero Activity data'!BC20*EF!$H51*EF!$H69)*NtoN2O*kgtoGg,"ERROR")))</f>
        <v>2.7493497662491455</v>
      </c>
      <c r="AK963" s="93">
        <f>IF('Net zero activities &amp; levers'!$C$12="Off",('Activity data'!BD20*EF!$H51*EF!$H69)*NtoN2O*kgtoGg,IF('Net zero activities &amp; levers'!$C$12="PB",('Activity data'!BD20*EF!$H51*EF!$H69)*NtoN2O*kgtoGg,IF('Net zero activities &amp; levers'!$C$12="MS",('Net zero Activity data'!BD20*EF!$H51*EF!$H69)*NtoN2O*kgtoGg,"ERROR")))</f>
        <v>2.8507479876559225</v>
      </c>
      <c r="AL963" s="93">
        <f>IF('Net zero activities &amp; levers'!$C$12="Off",('Activity data'!BE20*EF!$H51*EF!$H69)*NtoN2O*kgtoGg,IF('Net zero activities &amp; levers'!$C$12="PB",('Activity data'!BE20*EF!$H51*EF!$H69)*NtoN2O*kgtoGg,IF('Net zero activities &amp; levers'!$C$12="MS",('Net zero Activity data'!BE20*EF!$H51*EF!$H69)*NtoN2O*kgtoGg,"ERROR")))</f>
        <v>2.9505347719846347</v>
      </c>
      <c r="AM963" s="93">
        <f>IF('Net zero activities &amp; levers'!$C$12="Off",('Activity data'!BF20*EF!$H51*EF!$H69)*NtoN2O*kgtoGg,IF('Net zero activities &amp; levers'!$C$12="PB",('Activity data'!BF20*EF!$H51*EF!$H69)*NtoN2O*kgtoGg,IF('Net zero activities &amp; levers'!$C$12="MS",('Net zero Activity data'!BF20*EF!$H51*EF!$H69)*NtoN2O*kgtoGg,"ERROR")))</f>
        <v>3.0490743865158891</v>
      </c>
      <c r="AN963" s="93">
        <f>IF('Net zero activities &amp; levers'!$C$12="Off",('Activity data'!BG20*EF!$H51*EF!$H69)*NtoN2O*kgtoGg,IF('Net zero activities &amp; levers'!$C$12="PB",('Activity data'!BG20*EF!$H51*EF!$H69)*NtoN2O*kgtoGg,IF('Net zero activities &amp; levers'!$C$12="MS",('Net zero Activity data'!BG20*EF!$H51*EF!$H69)*NtoN2O*kgtoGg,"ERROR")))</f>
        <v>3.1585813861709466</v>
      </c>
      <c r="AO963" s="93">
        <f>IF('Net zero activities &amp; levers'!$C$12="Off",('Activity data'!BH20*EF!$H51*EF!$H69)*NtoN2O*kgtoGg,IF('Net zero activities &amp; levers'!$C$12="PB",('Activity data'!BH20*EF!$H51*EF!$H69)*NtoN2O*kgtoGg,IF('Net zero activities &amp; levers'!$C$12="MS",('Net zero Activity data'!BH20*EF!$H51*EF!$H69)*NtoN2O*kgtoGg,"ERROR")))</f>
        <v>3.2621852632226234</v>
      </c>
      <c r="AP963" s="93">
        <f>IF('Net zero activities &amp; levers'!$C$12="Off",('Activity data'!BI20*EF!$H51*EF!$H69)*NtoN2O*kgtoGg,IF('Net zero activities &amp; levers'!$C$12="PB",('Activity data'!BI20*EF!$H51*EF!$H69)*NtoN2O*kgtoGg,IF('Net zero activities &amp; levers'!$C$12="MS",('Net zero Activity data'!BI20*EF!$H51*EF!$H69)*NtoN2O*kgtoGg,"ERROR")))</f>
        <v>3.3695643404472522</v>
      </c>
      <c r="AQ963" s="93">
        <f>IF('Net zero activities &amp; levers'!$C$12="Off",('Activity data'!BJ20*EF!$H51*EF!$H69)*NtoN2O*kgtoGg,IF('Net zero activities &amp; levers'!$C$12="PB",('Activity data'!BJ20*EF!$H51*EF!$H69)*NtoN2O*kgtoGg,IF('Net zero activities &amp; levers'!$C$12="MS",('Net zero Activity data'!BJ20*EF!$H51*EF!$H69)*NtoN2O*kgtoGg,"ERROR")))</f>
        <v>3.4812725080530544</v>
      </c>
      <c r="AR963" s="93">
        <f>IF('Net zero activities &amp; levers'!$C$12="Off",('Activity data'!BK20*EF!$H51*EF!$H69)*NtoN2O*kgtoGg,IF('Net zero activities &amp; levers'!$C$12="PB",('Activity data'!BK20*EF!$H51*EF!$H69)*NtoN2O*kgtoGg,IF('Net zero activities &amp; levers'!$C$12="MS",('Net zero Activity data'!BK20*EF!$H51*EF!$H69)*NtoN2O*kgtoGg,"ERROR")))</f>
        <v>3.5981993154978791</v>
      </c>
      <c r="AS963" s="93">
        <f>IF('Net zero activities &amp; levers'!$C$12="Off",('Activity data'!BL20*EF!$H51*EF!$H69)*NtoN2O*kgtoGg,IF('Net zero activities &amp; levers'!$C$12="PB",('Activity data'!BL20*EF!$H51*EF!$H69)*NtoN2O*kgtoGg,IF('Net zero activities &amp; levers'!$C$12="MS",('Net zero Activity data'!BL20*EF!$H51*EF!$H69)*NtoN2O*kgtoGg,"ERROR")))</f>
        <v>3.7216722091838785</v>
      </c>
      <c r="AT963" s="93">
        <f>IF('Net zero activities &amp; levers'!$C$12="Off",('Activity data'!BM20*EF!$H51*EF!$H69)*NtoN2O*kgtoGg,IF('Net zero activities &amp; levers'!$C$12="PB",('Activity data'!BM20*EF!$H51*EF!$H69)*NtoN2O*kgtoGg,IF('Net zero activities &amp; levers'!$C$12="MS",('Net zero Activity data'!BM20*EF!$H51*EF!$H69)*NtoN2O*kgtoGg,"ERROR")))</f>
        <v>3.7404703249321303</v>
      </c>
      <c r="AU963" s="93">
        <f>IF('Net zero activities &amp; levers'!$C$12="Off",('Activity data'!BN20*EF!$H51*EF!$H69)*NtoN2O*kgtoGg,IF('Net zero activities &amp; levers'!$C$12="PB",('Activity data'!BN20*EF!$H51*EF!$H69)*NtoN2O*kgtoGg,IF('Net zero activities &amp; levers'!$C$12="MS",('Net zero Activity data'!BN20*EF!$H51*EF!$H69)*NtoN2O*kgtoGg,"ERROR")))</f>
        <v>3.749641300046322</v>
      </c>
      <c r="AV963" s="93">
        <f>IF('Net zero activities &amp; levers'!$C$12="Off",('Activity data'!BO20*EF!$H51*EF!$H69)*NtoN2O*kgtoGg,IF('Net zero activities &amp; levers'!$C$12="PB",('Activity data'!BO20*EF!$H51*EF!$H69)*NtoN2O*kgtoGg,IF('Net zero activities &amp; levers'!$C$12="MS",('Net zero Activity data'!BO20*EF!$H51*EF!$H69)*NtoN2O*kgtoGg,"ERROR")))</f>
        <v>3.7450255667820502</v>
      </c>
      <c r="AW963" s="93">
        <f>IF('Net zero activities &amp; levers'!$C$12="Off",('Activity data'!BP20*EF!$H51*EF!$H69)*NtoN2O*kgtoGg,IF('Net zero activities &amp; levers'!$C$12="PB",('Activity data'!BP20*EF!$H51*EF!$H69)*NtoN2O*kgtoGg,IF('Net zero activities &amp; levers'!$C$12="MS",('Net zero Activity data'!BP20*EF!$H51*EF!$H69)*NtoN2O*kgtoGg,"ERROR")))</f>
        <v>3.7364851229908305</v>
      </c>
      <c r="AY963" s="79"/>
      <c r="AZ963" s="79"/>
    </row>
    <row r="964" spans="1:52" x14ac:dyDescent="0.3">
      <c r="A964" s="95" t="str">
        <f t="shared" si="326"/>
        <v>DS Poultry MMN2O</v>
      </c>
      <c r="B964" s="95" t="s">
        <v>974</v>
      </c>
      <c r="C964" s="95" t="s">
        <v>1234</v>
      </c>
      <c r="D964" t="s">
        <v>15</v>
      </c>
      <c r="E964" t="s">
        <v>657</v>
      </c>
      <c r="F964" t="s">
        <v>28</v>
      </c>
      <c r="G964" t="s">
        <v>134</v>
      </c>
      <c r="H964" t="s">
        <v>1227</v>
      </c>
      <c r="I964" t="s">
        <v>139</v>
      </c>
      <c r="J964" t="s">
        <v>287</v>
      </c>
      <c r="K964" s="93">
        <f>IF('Net zero activities &amp; levers'!$C$12="Off",('Activity data'!AD21*EF!$H52*EF!$H70)*NtoN2O*kgtoGg,IF('Net zero activities &amp; levers'!$C$12="PB",('Activity data'!AD21*EF!$H52*EF!$H70)*NtoN2O*kgtoGg,IF('Net zero activities &amp; levers'!$C$12="MS",('Net zero Activity data'!AD21*EF!$H52*EF!$H70)*NtoN2O*kgtoGg,"ERROR")))</f>
        <v>1.3660093635870424E-2</v>
      </c>
      <c r="L964" s="93">
        <f>IF('Net zero activities &amp; levers'!$C$12="Off",('Activity data'!AE21*EF!$H52*EF!$H70)*NtoN2O*kgtoGg,IF('Net zero activities &amp; levers'!$C$12="PB",('Activity data'!AE21*EF!$H52*EF!$H70)*NtoN2O*kgtoGg,IF('Net zero activities &amp; levers'!$C$12="MS",('Net zero Activity data'!AE21*EF!$H52*EF!$H70)*NtoN2O*kgtoGg,"ERROR")))</f>
        <v>1.3937830420255735E-2</v>
      </c>
      <c r="M964" s="93">
        <f>IF('Net zero activities &amp; levers'!$C$12="Off",('Activity data'!AF21*EF!$H52*EF!$H70)*NtoN2O*kgtoGg,IF('Net zero activities &amp; levers'!$C$12="PB",('Activity data'!AF21*EF!$H52*EF!$H70)*NtoN2O*kgtoGg,IF('Net zero activities &amp; levers'!$C$12="MS",('Net zero Activity data'!AF21*EF!$H52*EF!$H70)*NtoN2O*kgtoGg,"ERROR")))</f>
        <v>1.4262478398481276E-2</v>
      </c>
      <c r="N964" s="93">
        <f>IF('Net zero activities &amp; levers'!$C$12="Off",('Activity data'!AG21*EF!$H52*EF!$H70)*NtoN2O*kgtoGg,IF('Net zero activities &amp; levers'!$C$12="PB",('Activity data'!AG21*EF!$H52*EF!$H70)*NtoN2O*kgtoGg,IF('Net zero activities &amp; levers'!$C$12="MS",('Net zero Activity data'!AG21*EF!$H52*EF!$H70)*NtoN2O*kgtoGg,"ERROR")))</f>
        <v>1.4511718638084306E-2</v>
      </c>
      <c r="O964" s="93">
        <f>IF('Net zero activities &amp; levers'!$C$12="Off",('Activity data'!AH21*EF!$H52*EF!$H70)*NtoN2O*kgtoGg,IF('Net zero activities &amp; levers'!$C$12="PB",('Activity data'!AH21*EF!$H52*EF!$H70)*NtoN2O*kgtoGg,IF('Net zero activities &amp; levers'!$C$12="MS",('Net zero Activity data'!AH21*EF!$H52*EF!$H70)*NtoN2O*kgtoGg,"ERROR")))</f>
        <v>1.4711795979713132E-2</v>
      </c>
      <c r="P964" s="93">
        <f>IF('Net zero activities &amp; levers'!$C$12="Off",('Activity data'!AI21*EF!$H52*EF!$H70)*NtoN2O*kgtoGg,IF('Net zero activities &amp; levers'!$C$12="PB",('Activity data'!AI21*EF!$H52*EF!$H70)*NtoN2O*kgtoGg,IF('Net zero activities &amp; levers'!$C$12="MS",('Net zero Activity data'!AI21*EF!$H52*EF!$H70)*NtoN2O*kgtoGg,"ERROR")))</f>
        <v>1.4861520550190493E-2</v>
      </c>
      <c r="Q964" s="93">
        <f>IF('Net zero activities &amp; levers'!$C$12="Off",('Activity data'!AJ21*EF!$H52*EF!$H70)*NtoN2O*kgtoGg,IF('Net zero activities &amp; levers'!$C$12="PB",('Activity data'!AJ21*EF!$H52*EF!$H70)*NtoN2O*kgtoGg,IF('Net zero activities &amp; levers'!$C$12="MS",('Net zero Activity data'!AJ21*EF!$H52*EF!$H70)*NtoN2O*kgtoGg,"ERROR")))</f>
        <v>1.5053508778373347E-2</v>
      </c>
      <c r="R964" s="93">
        <f>IF('Net zero activities &amp; levers'!$C$12="Off",('Activity data'!AK21*EF!$H52*EF!$H70)*NtoN2O*kgtoGg,IF('Net zero activities &amp; levers'!$C$12="PB",('Activity data'!AK21*EF!$H52*EF!$H70)*NtoN2O*kgtoGg,IF('Net zero activities &amp; levers'!$C$12="MS",('Net zero Activity data'!AK21*EF!$H52*EF!$H70)*NtoN2O*kgtoGg,"ERROR")))</f>
        <v>1.5253123389732504E-2</v>
      </c>
      <c r="S964" s="93">
        <f>IF('Net zero activities &amp; levers'!$C$12="Off",('Activity data'!AL21*EF!$H52*EF!$H70)*NtoN2O*kgtoGg,IF('Net zero activities &amp; levers'!$C$12="PB",('Activity data'!AL21*EF!$H52*EF!$H70)*NtoN2O*kgtoGg,IF('Net zero activities &amp; levers'!$C$12="MS",('Net zero Activity data'!AL21*EF!$H52*EF!$H70)*NtoN2O*kgtoGg,"ERROR")))</f>
        <v>1.45742284149588E-2</v>
      </c>
      <c r="T964" s="93">
        <f>IF('Net zero activities &amp; levers'!$C$12="Off",('Activity data'!AM21*EF!$H52*EF!$H70)*NtoN2O*kgtoGg,IF('Net zero activities &amp; levers'!$C$12="PB",('Activity data'!AM21*EF!$H52*EF!$H70)*NtoN2O*kgtoGg,IF('Net zero activities &amp; levers'!$C$12="MS",('Net zero Activity data'!AM21*EF!$H52*EF!$H70)*NtoN2O*kgtoGg,"ERROR")))</f>
        <v>1.4936978657338758E-2</v>
      </c>
      <c r="U964" s="93">
        <f>IF('Net zero activities &amp; levers'!$C$12="Off",('Activity data'!AN21*EF!$H52*EF!$H70)*NtoN2O*kgtoGg,IF('Net zero activities &amp; levers'!$C$12="PB",('Activity data'!AN21*EF!$H52*EF!$H70)*NtoN2O*kgtoGg,IF('Net zero activities &amp; levers'!$C$12="MS",('Net zero Activity data'!AN21*EF!$H52*EF!$H70)*NtoN2O*kgtoGg,"ERROR")))</f>
        <v>1.5420403425757045E-2</v>
      </c>
      <c r="V964" s="93">
        <f>IF('Net zero activities &amp; levers'!$C$12="Off",('Activity data'!AO21*EF!$H52*EF!$H70)*NtoN2O*kgtoGg,IF('Net zero activities &amp; levers'!$C$12="PB",('Activity data'!AO21*EF!$H52*EF!$H70)*NtoN2O*kgtoGg,IF('Net zero activities &amp; levers'!$C$12="MS",('Net zero Activity data'!AO21*EF!$H52*EF!$H70)*NtoN2O*kgtoGg,"ERROR")))</f>
        <v>1.5716055381248869E-2</v>
      </c>
      <c r="W964" s="93">
        <f>IF('Net zero activities &amp; levers'!$C$12="Off",('Activity data'!AP21*EF!$H52*EF!$H70)*NtoN2O*kgtoGg,IF('Net zero activities &amp; levers'!$C$12="PB",('Activity data'!AP21*EF!$H52*EF!$H70)*NtoN2O*kgtoGg,IF('Net zero activities &amp; levers'!$C$12="MS",('Net zero Activity data'!AP21*EF!$H52*EF!$H70)*NtoN2O*kgtoGg,"ERROR")))</f>
        <v>1.6038380919907547E-2</v>
      </c>
      <c r="X964" s="93">
        <f>IF('Net zero activities &amp; levers'!$C$12="Off",('Activity data'!AQ21*EF!$H52*EF!$H70)*NtoN2O*kgtoGg,IF('Net zero activities &amp; levers'!$C$12="PB",('Activity data'!AQ21*EF!$H52*EF!$H70)*NtoN2O*kgtoGg,IF('Net zero activities &amp; levers'!$C$12="MS",('Net zero Activity data'!AQ21*EF!$H52*EF!$H70)*NtoN2O*kgtoGg,"ERROR")))</f>
        <v>1.6395535886630449E-2</v>
      </c>
      <c r="Y964" s="93">
        <f>IF('Net zero activities &amp; levers'!$C$12="Off",('Activity data'!AR21*EF!$H52*EF!$H70)*NtoN2O*kgtoGg,IF('Net zero activities &amp; levers'!$C$12="PB",('Activity data'!AR21*EF!$H52*EF!$H70)*NtoN2O*kgtoGg,IF('Net zero activities &amp; levers'!$C$12="MS",('Net zero Activity data'!AR21*EF!$H52*EF!$H70)*NtoN2O*kgtoGg,"ERROR")))</f>
        <v>1.6764430279380526E-2</v>
      </c>
      <c r="Z964" s="93">
        <f>IF('Net zero activities &amp; levers'!$C$12="Off",('Activity data'!AS21*EF!$H52*EF!$H70)*NtoN2O*kgtoGg,IF('Net zero activities &amp; levers'!$C$12="PB",('Activity data'!AS21*EF!$H52*EF!$H70)*NtoN2O*kgtoGg,IF('Net zero activities &amp; levers'!$C$12="MS",('Net zero Activity data'!AS21*EF!$H52*EF!$H70)*NtoN2O*kgtoGg,"ERROR")))</f>
        <v>1.7162025423259852E-2</v>
      </c>
      <c r="AA964" s="93">
        <f>IF('Net zero activities &amp; levers'!$C$12="Off",('Activity data'!AT21*EF!$H52*EF!$H70)*NtoN2O*kgtoGg,IF('Net zero activities &amp; levers'!$C$12="PB",('Activity data'!AT21*EF!$H52*EF!$H70)*NtoN2O*kgtoGg,IF('Net zero activities &amp; levers'!$C$12="MS",('Net zero Activity data'!AT21*EF!$H52*EF!$H70)*NtoN2O*kgtoGg,"ERROR")))</f>
        <v>1.7568561909138691E-2</v>
      </c>
      <c r="AB964" s="93">
        <f>IF('Net zero activities &amp; levers'!$C$12="Off",('Activity data'!AU21*EF!$H52*EF!$H70)*NtoN2O*kgtoGg,IF('Net zero activities &amp; levers'!$C$12="PB",('Activity data'!AU21*EF!$H52*EF!$H70)*NtoN2O*kgtoGg,IF('Net zero activities &amp; levers'!$C$12="MS",('Net zero Activity data'!AU21*EF!$H52*EF!$H70)*NtoN2O*kgtoGg,"ERROR")))</f>
        <v>1.8002631935346944E-2</v>
      </c>
      <c r="AC964" s="93">
        <f>IF('Net zero activities &amp; levers'!$C$12="Off",('Activity data'!AV21*EF!$H52*EF!$H70)*NtoN2O*kgtoGg,IF('Net zero activities &amp; levers'!$C$12="PB",('Activity data'!AV21*EF!$H52*EF!$H70)*NtoN2O*kgtoGg,IF('Net zero activities &amp; levers'!$C$12="MS",('Net zero Activity data'!AV21*EF!$H52*EF!$H70)*NtoN2O*kgtoGg,"ERROR")))</f>
        <v>1.8444432598854574E-2</v>
      </c>
      <c r="AD964" s="93">
        <f>IF('Net zero activities &amp; levers'!$C$12="Off",('Activity data'!AW21*EF!$H52*EF!$H70)*NtoN2O*kgtoGg,IF('Net zero activities &amp; levers'!$C$12="PB",('Activity data'!AW21*EF!$H52*EF!$H70)*NtoN2O*kgtoGg,IF('Net zero activities &amp; levers'!$C$12="MS",('Net zero Activity data'!AW21*EF!$H52*EF!$H70)*NtoN2O*kgtoGg,"ERROR")))</f>
        <v>1.8921106165119213E-2</v>
      </c>
      <c r="AE964" s="93">
        <f>IF('Net zero activities &amp; levers'!$C$12="Off",('Activity data'!AX21*EF!$H52*EF!$H70)*NtoN2O*kgtoGg,IF('Net zero activities &amp; levers'!$C$12="PB",('Activity data'!AX21*EF!$H52*EF!$H70)*NtoN2O*kgtoGg,IF('Net zero activities &amp; levers'!$C$12="MS",('Net zero Activity data'!AX21*EF!$H52*EF!$H70)*NtoN2O*kgtoGg,"ERROR")))</f>
        <v>1.9392857554310274E-2</v>
      </c>
      <c r="AF964" s="93">
        <f>IF('Net zero activities &amp; levers'!$C$12="Off",('Activity data'!AY21*EF!$H52*EF!$H70)*NtoN2O*kgtoGg,IF('Net zero activities &amp; levers'!$C$12="PB",('Activity data'!AY21*EF!$H52*EF!$H70)*NtoN2O*kgtoGg,IF('Net zero activities &amp; levers'!$C$12="MS",('Net zero Activity data'!AY21*EF!$H52*EF!$H70)*NtoN2O*kgtoGg,"ERROR")))</f>
        <v>1.988637607417253E-2</v>
      </c>
      <c r="AG964" s="93">
        <f>IF('Net zero activities &amp; levers'!$C$12="Off",('Activity data'!AZ21*EF!$H52*EF!$H70)*NtoN2O*kgtoGg,IF('Net zero activities &amp; levers'!$C$12="PB",('Activity data'!AZ21*EF!$H52*EF!$H70)*NtoN2O*kgtoGg,IF('Net zero activities &amp; levers'!$C$12="MS",('Net zero Activity data'!AZ21*EF!$H52*EF!$H70)*NtoN2O*kgtoGg,"ERROR")))</f>
        <v>2.0434112967013793E-2</v>
      </c>
      <c r="AH964" s="93">
        <f>IF('Net zero activities &amp; levers'!$C$12="Off",('Activity data'!BA21*EF!$H52*EF!$H70)*NtoN2O*kgtoGg,IF('Net zero activities &amp; levers'!$C$12="PB",('Activity data'!BA21*EF!$H52*EF!$H70)*NtoN2O*kgtoGg,IF('Net zero activities &amp; levers'!$C$12="MS",('Net zero Activity data'!BA21*EF!$H52*EF!$H70)*NtoN2O*kgtoGg,"ERROR")))</f>
        <v>2.0959956336489938E-2</v>
      </c>
      <c r="AI964" s="93">
        <f>IF('Net zero activities &amp; levers'!$C$12="Off",('Activity data'!BB21*EF!$H52*EF!$H70)*NtoN2O*kgtoGg,IF('Net zero activities &amp; levers'!$C$12="PB",('Activity data'!BB21*EF!$H52*EF!$H70)*NtoN2O*kgtoGg,IF('Net zero activities &amp; levers'!$C$12="MS",('Net zero Activity data'!BB21*EF!$H52*EF!$H70)*NtoN2O*kgtoGg,"ERROR")))</f>
        <v>2.1503763495753996E-2</v>
      </c>
      <c r="AJ964" s="93">
        <f>IF('Net zero activities &amp; levers'!$C$12="Off",('Activity data'!BC21*EF!$H52*EF!$H70)*NtoN2O*kgtoGg,IF('Net zero activities &amp; levers'!$C$12="PB",('Activity data'!BC21*EF!$H52*EF!$H70)*NtoN2O*kgtoGg,IF('Net zero activities &amp; levers'!$C$12="MS",('Net zero Activity data'!BC21*EF!$H52*EF!$H70)*NtoN2O*kgtoGg,"ERROR")))</f>
        <v>2.2080286026796948E-2</v>
      </c>
      <c r="AK964" s="93">
        <f>IF('Net zero activities &amp; levers'!$C$12="Off",('Activity data'!BD21*EF!$H52*EF!$H70)*NtoN2O*kgtoGg,IF('Net zero activities &amp; levers'!$C$12="PB",('Activity data'!BD21*EF!$H52*EF!$H70)*NtoN2O*kgtoGg,IF('Net zero activities &amp; levers'!$C$12="MS",('Net zero Activity data'!BD21*EF!$H52*EF!$H70)*NtoN2O*kgtoGg,"ERROR")))</f>
        <v>2.2627107721207101E-2</v>
      </c>
      <c r="AL964" s="93">
        <f>IF('Net zero activities &amp; levers'!$C$12="Off",('Activity data'!BE21*EF!$H52*EF!$H70)*NtoN2O*kgtoGg,IF('Net zero activities &amp; levers'!$C$12="PB",('Activity data'!BE21*EF!$H52*EF!$H70)*NtoN2O*kgtoGg,IF('Net zero activities &amp; levers'!$C$12="MS",('Net zero Activity data'!BE21*EF!$H52*EF!$H70)*NtoN2O*kgtoGg,"ERROR")))</f>
        <v>2.3172439062110847E-2</v>
      </c>
      <c r="AM964" s="93">
        <f>IF('Net zero activities &amp; levers'!$C$12="Off",('Activity data'!BF21*EF!$H52*EF!$H70)*NtoN2O*kgtoGg,IF('Net zero activities &amp; levers'!$C$12="PB",('Activity data'!BF21*EF!$H52*EF!$H70)*NtoN2O*kgtoGg,IF('Net zero activities &amp; levers'!$C$12="MS",('Net zero Activity data'!BF21*EF!$H52*EF!$H70)*NtoN2O*kgtoGg,"ERROR")))</f>
        <v>2.371753464093004E-2</v>
      </c>
      <c r="AN964" s="93">
        <f>IF('Net zero activities &amp; levers'!$C$12="Off",('Activity data'!BG21*EF!$H52*EF!$H70)*NtoN2O*kgtoGg,IF('Net zero activities &amp; levers'!$C$12="PB",('Activity data'!BG21*EF!$H52*EF!$H70)*NtoN2O*kgtoGg,IF('Net zero activities &amp; levers'!$C$12="MS",('Net zero Activity data'!BG21*EF!$H52*EF!$H70)*NtoN2O*kgtoGg,"ERROR")))</f>
        <v>2.4295855104154534E-2</v>
      </c>
      <c r="AO964" s="93">
        <f>IF('Net zero activities &amp; levers'!$C$12="Off",('Activity data'!BH21*EF!$H52*EF!$H70)*NtoN2O*kgtoGg,IF('Net zero activities &amp; levers'!$C$12="PB",('Activity data'!BH21*EF!$H52*EF!$H70)*NtoN2O*kgtoGg,IF('Net zero activities &amp; levers'!$C$12="MS",('Net zero Activity data'!BH21*EF!$H52*EF!$H70)*NtoN2O*kgtoGg,"ERROR")))</f>
        <v>2.4855761161942075E-2</v>
      </c>
      <c r="AP964" s="93">
        <f>IF('Net zero activities &amp; levers'!$C$12="Off",('Activity data'!BI21*EF!$H52*EF!$H70)*NtoN2O*kgtoGg,IF('Net zero activities &amp; levers'!$C$12="PB",('Activity data'!BI21*EF!$H52*EF!$H70)*NtoN2O*kgtoGg,IF('Net zero activities &amp; levers'!$C$12="MS",('Net zero Activity data'!BI21*EF!$H52*EF!$H70)*NtoN2O*kgtoGg,"ERROR")))</f>
        <v>2.5435056934590854E-2</v>
      </c>
      <c r="AQ964" s="93">
        <f>IF('Net zero activities &amp; levers'!$C$12="Off",('Activity data'!BJ21*EF!$H52*EF!$H70)*NtoN2O*kgtoGg,IF('Net zero activities &amp; levers'!$C$12="PB",('Activity data'!BJ21*EF!$H52*EF!$H70)*NtoN2O*kgtoGg,IF('Net zero activities &amp; levers'!$C$12="MS",('Net zero Activity data'!BJ21*EF!$H52*EF!$H70)*NtoN2O*kgtoGg,"ERROR")))</f>
        <v>2.6036160699937267E-2</v>
      </c>
      <c r="AR964" s="93">
        <f>IF('Net zero activities &amp; levers'!$C$12="Off",('Activity data'!BK21*EF!$H52*EF!$H70)*NtoN2O*kgtoGg,IF('Net zero activities &amp; levers'!$C$12="PB",('Activity data'!BK21*EF!$H52*EF!$H70)*NtoN2O*kgtoGg,IF('Net zero activities &amp; levers'!$C$12="MS",('Net zero Activity data'!BK21*EF!$H52*EF!$H70)*NtoN2O*kgtoGg,"ERROR")))</f>
        <v>2.6662879185516769E-2</v>
      </c>
      <c r="AS964" s="93">
        <f>IF('Net zero activities &amp; levers'!$C$12="Off",('Activity data'!BL21*EF!$H52*EF!$H70)*NtoN2O*kgtoGg,IF('Net zero activities &amp; levers'!$C$12="PB",('Activity data'!BL21*EF!$H52*EF!$H70)*NtoN2O*kgtoGg,IF('Net zero activities &amp; levers'!$C$12="MS",('Net zero Activity data'!BL21*EF!$H52*EF!$H70)*NtoN2O*kgtoGg,"ERROR")))</f>
        <v>2.7306334789071466E-2</v>
      </c>
      <c r="AT964" s="93">
        <f>IF('Net zero activities &amp; levers'!$C$12="Off",('Activity data'!BM21*EF!$H52*EF!$H70)*NtoN2O*kgtoGg,IF('Net zero activities &amp; levers'!$C$12="PB",('Activity data'!BM21*EF!$H52*EF!$H70)*NtoN2O*kgtoGg,IF('Net zero activities &amp; levers'!$C$12="MS",('Net zero Activity data'!BM21*EF!$H52*EF!$H70)*NtoN2O*kgtoGg,"ERROR")))</f>
        <v>2.7531714483434007E-2</v>
      </c>
      <c r="AU964" s="93">
        <f>IF('Net zero activities &amp; levers'!$C$12="Off",('Activity data'!BN21*EF!$H52*EF!$H70)*NtoN2O*kgtoGg,IF('Net zero activities &amp; levers'!$C$12="PB",('Activity data'!BN21*EF!$H52*EF!$H70)*NtoN2O*kgtoGg,IF('Net zero activities &amp; levers'!$C$12="MS",('Net zero Activity data'!BN21*EF!$H52*EF!$H70)*NtoN2O*kgtoGg,"ERROR")))</f>
        <v>2.7718383757735835E-2</v>
      </c>
      <c r="AV964" s="93">
        <f>IF('Net zero activities &amp; levers'!$C$12="Off",('Activity data'!BO21*EF!$H52*EF!$H70)*NtoN2O*kgtoGg,IF('Net zero activities &amp; levers'!$C$12="PB",('Activity data'!BO21*EF!$H52*EF!$H70)*NtoN2O*kgtoGg,IF('Net zero activities &amp; levers'!$C$12="MS",('Net zero Activity data'!BO21*EF!$H52*EF!$H70)*NtoN2O*kgtoGg,"ERROR")))</f>
        <v>2.7848741900997311E-2</v>
      </c>
      <c r="AW964" s="93">
        <f>IF('Net zero activities &amp; levers'!$C$12="Off",('Activity data'!BP21*EF!$H52*EF!$H70)*NtoN2O*kgtoGg,IF('Net zero activities &amp; levers'!$C$12="PB",('Activity data'!BP21*EF!$H52*EF!$H70)*NtoN2O*kgtoGg,IF('Net zero activities &amp; levers'!$C$12="MS",('Net zero Activity data'!BP21*EF!$H52*EF!$H70)*NtoN2O*kgtoGg,"ERROR")))</f>
        <v>2.7962426225069836E-2</v>
      </c>
      <c r="AY964" s="79"/>
      <c r="AZ964" s="79"/>
    </row>
    <row r="965" spans="1:52" x14ac:dyDescent="0.3">
      <c r="A965" s="95" t="str">
        <f t="shared" si="326"/>
        <v>DS Poultry MMN2O</v>
      </c>
      <c r="B965" s="95" t="s">
        <v>974</v>
      </c>
      <c r="C965" s="95" t="s">
        <v>1234</v>
      </c>
      <c r="D965" t="s">
        <v>15</v>
      </c>
      <c r="E965" t="s">
        <v>657</v>
      </c>
      <c r="F965" t="s">
        <v>28</v>
      </c>
      <c r="G965" t="s">
        <v>133</v>
      </c>
      <c r="H965" t="s">
        <v>1227</v>
      </c>
      <c r="I965" t="s">
        <v>139</v>
      </c>
      <c r="J965" t="s">
        <v>287</v>
      </c>
      <c r="K965" s="93">
        <f>IF('Net zero activities &amp; levers'!$C$12="Off",('Activity data'!AD22*EF!$H53*EF!$H71)*NtoN2O*kgtoGg,IF('Net zero activities &amp; levers'!$C$12="PB",('Activity data'!AD22*EF!$H53*EF!$H71)*NtoN2O*kgtoGg,IF('Net zero activities &amp; levers'!$C$12="MS",('Net zero Activity data'!AD22*EF!$H53*EF!$H71)*NtoN2O*kgtoGg,"ERROR")))</f>
        <v>7.0904798648479067E-2</v>
      </c>
      <c r="L965" s="93">
        <f>IF('Net zero activities &amp; levers'!$C$12="Off",('Activity data'!AE22*EF!$H53*EF!$H71)*NtoN2O*kgtoGg,IF('Net zero activities &amp; levers'!$C$12="PB",('Activity data'!AE22*EF!$H53*EF!$H71)*NtoN2O*kgtoGg,IF('Net zero activities &amp; levers'!$C$12="MS",('Net zero Activity data'!AE22*EF!$H53*EF!$H71)*NtoN2O*kgtoGg,"ERROR")))</f>
        <v>7.1838488113865229E-2</v>
      </c>
      <c r="M965" s="93">
        <f>IF('Net zero activities &amp; levers'!$C$12="Off",('Activity data'!AF22*EF!$H53*EF!$H71)*NtoN2O*kgtoGg,IF('Net zero activities &amp; levers'!$C$12="PB",('Activity data'!AF22*EF!$H53*EF!$H71)*NtoN2O*kgtoGg,IF('Net zero activities &amp; levers'!$C$12="MS",('Net zero Activity data'!AF22*EF!$H53*EF!$H71)*NtoN2O*kgtoGg,"ERROR")))</f>
        <v>7.333826122290886E-2</v>
      </c>
      <c r="N965" s="93">
        <f>IF('Net zero activities &amp; levers'!$C$12="Off",('Activity data'!AG22*EF!$H53*EF!$H71)*NtoN2O*kgtoGg,IF('Net zero activities &amp; levers'!$C$12="PB",('Activity data'!AG22*EF!$H53*EF!$H71)*NtoN2O*kgtoGg,IF('Net zero activities &amp; levers'!$C$12="MS",('Net zero Activity data'!AG22*EF!$H53*EF!$H71)*NtoN2O*kgtoGg,"ERROR")))</f>
        <v>7.3768889900085552E-2</v>
      </c>
      <c r="O965" s="93">
        <f>IF('Net zero activities &amp; levers'!$C$12="Off",('Activity data'!AH22*EF!$H53*EF!$H71)*NtoN2O*kgtoGg,IF('Net zero activities &amp; levers'!$C$12="PB",('Activity data'!AH22*EF!$H53*EF!$H71)*NtoN2O*kgtoGg,IF('Net zero activities &amp; levers'!$C$12="MS",('Net zero Activity data'!AH22*EF!$H53*EF!$H71)*NtoN2O*kgtoGg,"ERROR")))</f>
        <v>7.3504831661853232E-2</v>
      </c>
      <c r="P965" s="93">
        <f>IF('Net zero activities &amp; levers'!$C$12="Off",('Activity data'!AI22*EF!$H53*EF!$H71)*NtoN2O*kgtoGg,IF('Net zero activities &amp; levers'!$C$12="PB",('Activity data'!AI22*EF!$H53*EF!$H71)*NtoN2O*kgtoGg,IF('Net zero activities &amp; levers'!$C$12="MS",('Net zero Activity data'!AI22*EF!$H53*EF!$H71)*NtoN2O*kgtoGg,"ERROR")))</f>
        <v>7.2548895925592424E-2</v>
      </c>
      <c r="Q965" s="93">
        <f>IF('Net zero activities &amp; levers'!$C$12="Off",('Activity data'!AJ22*EF!$H53*EF!$H71)*NtoN2O*kgtoGg,IF('Net zero activities &amp; levers'!$C$12="PB",('Activity data'!AJ22*EF!$H53*EF!$H71)*NtoN2O*kgtoGg,IF('Net zero activities &amp; levers'!$C$12="MS",('Net zero Activity data'!AJ22*EF!$H53*EF!$H71)*NtoN2O*kgtoGg,"ERROR")))</f>
        <v>7.2146468817327461E-2</v>
      </c>
      <c r="R965" s="93">
        <f>IF('Net zero activities &amp; levers'!$C$12="Off",('Activity data'!AK22*EF!$H53*EF!$H71)*NtoN2O*kgtoGg,IF('Net zero activities &amp; levers'!$C$12="PB",('Activity data'!AK22*EF!$H53*EF!$H71)*NtoN2O*kgtoGg,IF('Net zero activities &amp; levers'!$C$12="MS",('Net zero Activity data'!AK22*EF!$H53*EF!$H71)*NtoN2O*kgtoGg,"ERROR")))</f>
        <v>7.1835339545248775E-2</v>
      </c>
      <c r="S965" s="93">
        <f>IF('Net zero activities &amp; levers'!$C$12="Off",('Activity data'!AL22*EF!$H53*EF!$H71)*NtoN2O*kgtoGg,IF('Net zero activities &amp; levers'!$C$12="PB",('Activity data'!AL22*EF!$H53*EF!$H71)*NtoN2O*kgtoGg,IF('Net zero activities &amp; levers'!$C$12="MS",('Net zero Activity data'!AL22*EF!$H53*EF!$H71)*NtoN2O*kgtoGg,"ERROR")))</f>
        <v>6.0553462411913554E-2</v>
      </c>
      <c r="T965" s="93">
        <f>IF('Net zero activities &amp; levers'!$C$12="Off",('Activity data'!AM22*EF!$H53*EF!$H71)*NtoN2O*kgtoGg,IF('Net zero activities &amp; levers'!$C$12="PB",('Activity data'!AM22*EF!$H53*EF!$H71)*NtoN2O*kgtoGg,IF('Net zero activities &amp; levers'!$C$12="MS",('Net zero Activity data'!AM22*EF!$H53*EF!$H71)*NtoN2O*kgtoGg,"ERROR")))</f>
        <v>6.2951673990704532E-2</v>
      </c>
      <c r="U965" s="93">
        <f>IF('Net zero activities &amp; levers'!$C$12="Off",('Activity data'!AN22*EF!$H53*EF!$H71)*NtoN2O*kgtoGg,IF('Net zero activities &amp; levers'!$C$12="PB",('Activity data'!AN22*EF!$H53*EF!$H71)*NtoN2O*kgtoGg,IF('Net zero activities &amp; levers'!$C$12="MS",('Net zero Activity data'!AN22*EF!$H53*EF!$H71)*NtoN2O*kgtoGg,"ERROR")))</f>
        <v>6.6779065471287438E-2</v>
      </c>
      <c r="V965" s="93">
        <f>IF('Net zero activities &amp; levers'!$C$12="Off",('Activity data'!AO22*EF!$H53*EF!$H71)*NtoN2O*kgtoGg,IF('Net zero activities &amp; levers'!$C$12="PB",('Activity data'!AO22*EF!$H53*EF!$H71)*NtoN2O*kgtoGg,IF('Net zero activities &amp; levers'!$C$12="MS",('Net zero Activity data'!AO22*EF!$H53*EF!$H71)*NtoN2O*kgtoGg,"ERROR")))</f>
        <v>6.8254568898105869E-2</v>
      </c>
      <c r="W965" s="93">
        <f>IF('Net zero activities &amp; levers'!$C$12="Off",('Activity data'!AP22*EF!$H53*EF!$H71)*NtoN2O*kgtoGg,IF('Net zero activities &amp; levers'!$C$12="PB",('Activity data'!AP22*EF!$H53*EF!$H71)*NtoN2O*kgtoGg,IF('Net zero activities &amp; levers'!$C$12="MS",('Net zero Activity data'!AP22*EF!$H53*EF!$H71)*NtoN2O*kgtoGg,"ERROR")))</f>
        <v>7.0020292911694371E-2</v>
      </c>
      <c r="X965" s="93">
        <f>IF('Net zero activities &amp; levers'!$C$12="Off",('Activity data'!AQ22*EF!$H53*EF!$H71)*NtoN2O*kgtoGg,IF('Net zero activities &amp; levers'!$C$12="PB",('Activity data'!AQ22*EF!$H53*EF!$H71)*NtoN2O*kgtoGg,IF('Net zero activities &amp; levers'!$C$12="MS",('Net zero Activity data'!AQ22*EF!$H53*EF!$H71)*NtoN2O*kgtoGg,"ERROR")))</f>
        <v>7.2165945155508851E-2</v>
      </c>
      <c r="Y965" s="93">
        <f>IF('Net zero activities &amp; levers'!$C$12="Off",('Activity data'!AR22*EF!$H53*EF!$H71)*NtoN2O*kgtoGg,IF('Net zero activities &amp; levers'!$C$12="PB",('Activity data'!AR22*EF!$H53*EF!$H71)*NtoN2O*kgtoGg,IF('Net zero activities &amp; levers'!$C$12="MS",('Net zero Activity data'!AR22*EF!$H53*EF!$H71)*NtoN2O*kgtoGg,"ERROR")))</f>
        <v>7.4629791965159634E-2</v>
      </c>
      <c r="Z965" s="93">
        <f>IF('Net zero activities &amp; levers'!$C$12="Off",('Activity data'!AS22*EF!$H53*EF!$H71)*NtoN2O*kgtoGg,IF('Net zero activities &amp; levers'!$C$12="PB",('Activity data'!AS22*EF!$H53*EF!$H71)*NtoN2O*kgtoGg,IF('Net zero activities &amp; levers'!$C$12="MS",('Net zero Activity data'!AS22*EF!$H53*EF!$H71)*NtoN2O*kgtoGg,"ERROR")))</f>
        <v>7.738893067802953E-2</v>
      </c>
      <c r="AA965" s="93">
        <f>IF('Net zero activities &amp; levers'!$C$12="Off",('Activity data'!AT22*EF!$H53*EF!$H71)*NtoN2O*kgtoGg,IF('Net zero activities &amp; levers'!$C$12="PB",('Activity data'!AT22*EF!$H53*EF!$H71)*NtoN2O*kgtoGg,IF('Net zero activities &amp; levers'!$C$12="MS",('Net zero Activity data'!AT22*EF!$H53*EF!$H71)*NtoN2O*kgtoGg,"ERROR")))</f>
        <v>8.0206661196254428E-2</v>
      </c>
      <c r="AB965" s="93">
        <f>IF('Net zero activities &amp; levers'!$C$12="Off",('Activity data'!AU22*EF!$H53*EF!$H71)*NtoN2O*kgtoGg,IF('Net zero activities &amp; levers'!$C$12="PB",('Activity data'!AU22*EF!$H53*EF!$H71)*NtoN2O*kgtoGg,IF('Net zero activities &amp; levers'!$C$12="MS",('Net zero Activity data'!AU22*EF!$H53*EF!$H71)*NtoN2O*kgtoGg,"ERROR")))</f>
        <v>8.3296849166076437E-2</v>
      </c>
      <c r="AC965" s="93">
        <f>IF('Net zero activities &amp; levers'!$C$12="Off",('Activity data'!AV22*EF!$H53*EF!$H71)*NtoN2O*kgtoGg,IF('Net zero activities &amp; levers'!$C$12="PB",('Activity data'!AV22*EF!$H53*EF!$H71)*NtoN2O*kgtoGg,IF('Net zero activities &amp; levers'!$C$12="MS",('Net zero Activity data'!AV22*EF!$H53*EF!$H71)*NtoN2O*kgtoGg,"ERROR")))</f>
        <v>8.6426659244695656E-2</v>
      </c>
      <c r="AD965" s="93">
        <f>IF('Net zero activities &amp; levers'!$C$12="Off",('Activity data'!AW22*EF!$H53*EF!$H71)*NtoN2O*kgtoGg,IF('Net zero activities &amp; levers'!$C$12="PB",('Activity data'!AW22*EF!$H53*EF!$H71)*NtoN2O*kgtoGg,IF('Net zero activities &amp; levers'!$C$12="MS",('Net zero Activity data'!AW22*EF!$H53*EF!$H71)*NtoN2O*kgtoGg,"ERROR")))</f>
        <v>9.0080341376754844E-2</v>
      </c>
      <c r="AE965" s="93">
        <f>IF('Net zero activities &amp; levers'!$C$12="Off",('Activity data'!AX22*EF!$H53*EF!$H71)*NtoN2O*kgtoGg,IF('Net zero activities &amp; levers'!$C$12="PB",('Activity data'!AX22*EF!$H53*EF!$H71)*NtoN2O*kgtoGg,IF('Net zero activities &amp; levers'!$C$12="MS",('Net zero Activity data'!AX22*EF!$H53*EF!$H71)*NtoN2O*kgtoGg,"ERROR")))</f>
        <v>9.3626057457867992E-2</v>
      </c>
      <c r="AF965" s="93">
        <f>IF('Net zero activities &amp; levers'!$C$12="Off",('Activity data'!AY22*EF!$H53*EF!$H71)*NtoN2O*kgtoGg,IF('Net zero activities &amp; levers'!$C$12="PB",('Activity data'!AY22*EF!$H53*EF!$H71)*NtoN2O*kgtoGg,IF('Net zero activities &amp; levers'!$C$12="MS",('Net zero Activity data'!AY22*EF!$H53*EF!$H71)*NtoN2O*kgtoGg,"ERROR")))</f>
        <v>9.7366244433175556E-2</v>
      </c>
      <c r="AG965" s="93">
        <f>IF('Net zero activities &amp; levers'!$C$12="Off",('Activity data'!AZ22*EF!$H53*EF!$H71)*NtoN2O*kgtoGg,IF('Net zero activities &amp; levers'!$C$12="PB",('Activity data'!AZ22*EF!$H53*EF!$H71)*NtoN2O*kgtoGg,IF('Net zero activities &amp; levers'!$C$12="MS",('Net zero Activity data'!AZ22*EF!$H53*EF!$H71)*NtoN2O*kgtoGg,"ERROR")))</f>
        <v>0.10165923306598072</v>
      </c>
      <c r="AH965" s="93">
        <f>IF('Net zero activities &amp; levers'!$C$12="Off",('Activity data'!BA22*EF!$H53*EF!$H71)*NtoN2O*kgtoGg,IF('Net zero activities &amp; levers'!$C$12="PB",('Activity data'!BA22*EF!$H53*EF!$H71)*NtoN2O*kgtoGg,IF('Net zero activities &amp; levers'!$C$12="MS",('Net zero Activity data'!BA22*EF!$H53*EF!$H71)*NtoN2O*kgtoGg,"ERROR")))</f>
        <v>0.10565153800521729</v>
      </c>
      <c r="AI965" s="93">
        <f>IF('Net zero activities &amp; levers'!$C$12="Off",('Activity data'!BB22*EF!$H53*EF!$H71)*NtoN2O*kgtoGg,IF('Net zero activities &amp; levers'!$C$12="PB",('Activity data'!BB22*EF!$H53*EF!$H71)*NtoN2O*kgtoGg,IF('Net zero activities &amp; levers'!$C$12="MS",('Net zero Activity data'!BB22*EF!$H53*EF!$H71)*NtoN2O*kgtoGg,"ERROR")))</f>
        <v>0.10995197307404567</v>
      </c>
      <c r="AJ965" s="93">
        <f>IF('Net zero activities &amp; levers'!$C$12="Off",('Activity data'!BC22*EF!$H53*EF!$H71)*NtoN2O*kgtoGg,IF('Net zero activities &amp; levers'!$C$12="PB",('Activity data'!BC22*EF!$H53*EF!$H71)*NtoN2O*kgtoGg,IF('Net zero activities &amp; levers'!$C$12="MS",('Net zero Activity data'!BC22*EF!$H53*EF!$H71)*NtoN2O*kgtoGg,"ERROR")))</f>
        <v>0.11455624026038116</v>
      </c>
      <c r="AK965" s="93">
        <f>IF('Net zero activities &amp; levers'!$C$12="Off",('Activity data'!BD22*EF!$H53*EF!$H71)*NtoN2O*kgtoGg,IF('Net zero activities &amp; levers'!$C$12="PB",('Activity data'!BD22*EF!$H53*EF!$H71)*NtoN2O*kgtoGg,IF('Net zero activities &amp; levers'!$C$12="MS",('Net zero Activity data'!BD22*EF!$H53*EF!$H71)*NtoN2O*kgtoGg,"ERROR")))</f>
        <v>0.11878116615233021</v>
      </c>
      <c r="AL965" s="93">
        <f>IF('Net zero activities &amp; levers'!$C$12="Off",('Activity data'!BE22*EF!$H53*EF!$H71)*NtoN2O*kgtoGg,IF('Net zero activities &amp; levers'!$C$12="PB",('Activity data'!BE22*EF!$H53*EF!$H71)*NtoN2O*kgtoGg,IF('Net zero activities &amp; levers'!$C$12="MS",('Net zero Activity data'!BE22*EF!$H53*EF!$H71)*NtoN2O*kgtoGg,"ERROR")))</f>
        <v>0.12293894883269324</v>
      </c>
      <c r="AM965" s="93">
        <f>IF('Net zero activities &amp; levers'!$C$12="Off",('Activity data'!BF22*EF!$H53*EF!$H71)*NtoN2O*kgtoGg,IF('Net zero activities &amp; levers'!$C$12="PB",('Activity data'!BF22*EF!$H53*EF!$H71)*NtoN2O*kgtoGg,IF('Net zero activities &amp; levers'!$C$12="MS",('Net zero Activity data'!BF22*EF!$H53*EF!$H71)*NtoN2O*kgtoGg,"ERROR")))</f>
        <v>0.12704476610482884</v>
      </c>
      <c r="AN965" s="93">
        <f>IF('Net zero activities &amp; levers'!$C$12="Off",('Activity data'!BG22*EF!$H53*EF!$H71)*NtoN2O*kgtoGg,IF('Net zero activities &amp; levers'!$C$12="PB",('Activity data'!BG22*EF!$H53*EF!$H71)*NtoN2O*kgtoGg,IF('Net zero activities &amp; levers'!$C$12="MS",('Net zero Activity data'!BG22*EF!$H53*EF!$H71)*NtoN2O*kgtoGg,"ERROR")))</f>
        <v>0.13160755775712291</v>
      </c>
      <c r="AO965" s="93">
        <f>IF('Net zero activities &amp; levers'!$C$12="Off",('Activity data'!BH22*EF!$H53*EF!$H71)*NtoN2O*kgtoGg,IF('Net zero activities &amp; levers'!$C$12="PB",('Activity data'!BH22*EF!$H53*EF!$H71)*NtoN2O*kgtoGg,IF('Net zero activities &amp; levers'!$C$12="MS",('Net zero Activity data'!BH22*EF!$H53*EF!$H71)*NtoN2O*kgtoGg,"ERROR")))</f>
        <v>0.13592438596760945</v>
      </c>
      <c r="AP965" s="93">
        <f>IF('Net zero activities &amp; levers'!$C$12="Off",('Activity data'!BI22*EF!$H53*EF!$H71)*NtoN2O*kgtoGg,IF('Net zero activities &amp; levers'!$C$12="PB",('Activity data'!BI22*EF!$H53*EF!$H71)*NtoN2O*kgtoGg,IF('Net zero activities &amp; levers'!$C$12="MS",('Net zero Activity data'!BI22*EF!$H53*EF!$H71)*NtoN2O*kgtoGg,"ERROR")))</f>
        <v>0.14039851418530233</v>
      </c>
      <c r="AQ965" s="93">
        <f>IF('Net zero activities &amp; levers'!$C$12="Off",('Activity data'!BJ22*EF!$H53*EF!$H71)*NtoN2O*kgtoGg,IF('Net zero activities &amp; levers'!$C$12="PB",('Activity data'!BJ22*EF!$H53*EF!$H71)*NtoN2O*kgtoGg,IF('Net zero activities &amp; levers'!$C$12="MS",('Net zero Activity data'!BJ22*EF!$H53*EF!$H71)*NtoN2O*kgtoGg,"ERROR")))</f>
        <v>0.14505302116887739</v>
      </c>
      <c r="AR965" s="93">
        <f>IF('Net zero activities &amp; levers'!$C$12="Off",('Activity data'!BK22*EF!$H53*EF!$H71)*NtoN2O*kgtoGg,IF('Net zero activities &amp; levers'!$C$12="PB",('Activity data'!BK22*EF!$H53*EF!$H71)*NtoN2O*kgtoGg,IF('Net zero activities &amp; levers'!$C$12="MS",('Net zero Activity data'!BK22*EF!$H53*EF!$H71)*NtoN2O*kgtoGg,"ERROR")))</f>
        <v>0.14992497147907843</v>
      </c>
      <c r="AS965" s="93">
        <f>IF('Net zero activities &amp; levers'!$C$12="Off",('Activity data'!BL22*EF!$H53*EF!$H71)*NtoN2O*kgtoGg,IF('Net zero activities &amp; levers'!$C$12="PB",('Activity data'!BL22*EF!$H53*EF!$H71)*NtoN2O*kgtoGg,IF('Net zero activities &amp; levers'!$C$12="MS",('Net zero Activity data'!BL22*EF!$H53*EF!$H71)*NtoN2O*kgtoGg,"ERROR")))</f>
        <v>0.15506967538266181</v>
      </c>
      <c r="AT965" s="93">
        <f>IF('Net zero activities &amp; levers'!$C$12="Off",('Activity data'!BM22*EF!$H53*EF!$H71)*NtoN2O*kgtoGg,IF('Net zero activities &amp; levers'!$C$12="PB",('Activity data'!BM22*EF!$H53*EF!$H71)*NtoN2O*kgtoGg,IF('Net zero activities &amp; levers'!$C$12="MS",('Net zero Activity data'!BM22*EF!$H53*EF!$H71)*NtoN2O*kgtoGg,"ERROR")))</f>
        <v>0.15585293020550561</v>
      </c>
      <c r="AU965" s="93">
        <f>IF('Net zero activities &amp; levers'!$C$12="Off",('Activity data'!BN22*EF!$H53*EF!$H71)*NtoN2O*kgtoGg,IF('Net zero activities &amp; levers'!$C$12="PB",('Activity data'!BN22*EF!$H53*EF!$H71)*NtoN2O*kgtoGg,IF('Net zero activities &amp; levers'!$C$12="MS",('Net zero Activity data'!BN22*EF!$H53*EF!$H71)*NtoN2O*kgtoGg,"ERROR")))</f>
        <v>0.1562350541685969</v>
      </c>
      <c r="AV965" s="93">
        <f>IF('Net zero activities &amp; levers'!$C$12="Off",('Activity data'!BO22*EF!$H53*EF!$H71)*NtoN2O*kgtoGg,IF('Net zero activities &amp; levers'!$C$12="PB",('Activity data'!BO22*EF!$H53*EF!$H71)*NtoN2O*kgtoGg,IF('Net zero activities &amp; levers'!$C$12="MS",('Net zero Activity data'!BO22*EF!$H53*EF!$H71)*NtoN2O*kgtoGg,"ERROR")))</f>
        <v>0.15604273194925225</v>
      </c>
      <c r="AW965" s="93">
        <f>IF('Net zero activities &amp; levers'!$C$12="Off",('Activity data'!BP22*EF!$H53*EF!$H71)*NtoN2O*kgtoGg,IF('Net zero activities &amp; levers'!$C$12="PB",('Activity data'!BP22*EF!$H53*EF!$H71)*NtoN2O*kgtoGg,IF('Net zero activities &amp; levers'!$C$12="MS",('Net zero Activity data'!BP22*EF!$H53*EF!$H71)*NtoN2O*kgtoGg,"ERROR")))</f>
        <v>0.15568688012461812</v>
      </c>
      <c r="AY965" s="79"/>
      <c r="AZ965" s="79"/>
    </row>
    <row r="966" spans="1:52" x14ac:dyDescent="0.3">
      <c r="A966" s="95" t="str">
        <f t="shared" si="326"/>
        <v>DS Synthetic</v>
      </c>
      <c r="B966" s="95" t="s">
        <v>974</v>
      </c>
      <c r="C966" s="95" t="s">
        <v>1126</v>
      </c>
      <c r="D966" t="s">
        <v>369</v>
      </c>
      <c r="E966" t="s">
        <v>55</v>
      </c>
      <c r="H966" t="s">
        <v>419</v>
      </c>
      <c r="I966" t="s">
        <v>139</v>
      </c>
      <c r="J966" t="s">
        <v>287</v>
      </c>
      <c r="K966" s="22">
        <f>K1463</f>
        <v>6.6064812063358538</v>
      </c>
      <c r="L966" s="22">
        <f t="shared" ref="L966:AW966" si="339">L1463</f>
        <v>6.6058242184852958</v>
      </c>
      <c r="M966" s="22">
        <f t="shared" si="339"/>
        <v>6.6046196765835479</v>
      </c>
      <c r="N966" s="22">
        <f t="shared" si="339"/>
        <v>6.6031799495417181</v>
      </c>
      <c r="O966" s="22">
        <f t="shared" si="339"/>
        <v>6.6022073532502725</v>
      </c>
      <c r="P966" s="22">
        <f t="shared" si="339"/>
        <v>6.6015380384919204</v>
      </c>
      <c r="Q966" s="22">
        <f t="shared" si="339"/>
        <v>6.6011715236312982</v>
      </c>
      <c r="R966" s="22">
        <f t="shared" si="339"/>
        <v>6.6005785698707236</v>
      </c>
      <c r="S966" s="22">
        <f t="shared" si="339"/>
        <v>6.599955716072432</v>
      </c>
      <c r="T966" s="22">
        <f t="shared" si="339"/>
        <v>6.6042852126323481</v>
      </c>
      <c r="U966" s="22">
        <f t="shared" si="339"/>
        <v>6.6025684208058211</v>
      </c>
      <c r="V966" s="22">
        <f t="shared" si="339"/>
        <v>6.6002252909433183</v>
      </c>
      <c r="W966" s="22">
        <f t="shared" si="339"/>
        <v>6.598966168189885</v>
      </c>
      <c r="X966" s="22">
        <f t="shared" si="339"/>
        <v>6.597589047711292</v>
      </c>
      <c r="Y966" s="22">
        <f t="shared" si="339"/>
        <v>6.5960579609281904</v>
      </c>
      <c r="Z966" s="22">
        <f t="shared" si="339"/>
        <v>6.5944507555305236</v>
      </c>
      <c r="AA966" s="22">
        <f t="shared" si="339"/>
        <v>6.5927354812209922</v>
      </c>
      <c r="AB966" s="22">
        <f t="shared" si="339"/>
        <v>6.5910165055066825</v>
      </c>
      <c r="AC966" s="22">
        <f t="shared" si="339"/>
        <v>6.589206056061478</v>
      </c>
      <c r="AD966" s="22">
        <f t="shared" si="339"/>
        <v>6.5874036822299606</v>
      </c>
      <c r="AE966" s="22">
        <f t="shared" si="339"/>
        <v>6.5854496085579246</v>
      </c>
      <c r="AF966" s="22">
        <f t="shared" si="339"/>
        <v>6.5835675614397218</v>
      </c>
      <c r="AG966" s="22">
        <f t="shared" si="339"/>
        <v>6.5816378763594336</v>
      </c>
      <c r="AH966" s="22">
        <f t="shared" si="339"/>
        <v>6.5795282781002431</v>
      </c>
      <c r="AI966" s="22">
        <f t="shared" si="339"/>
        <v>6.5775665224366495</v>
      </c>
      <c r="AJ966" s="22">
        <f t="shared" si="339"/>
        <v>6.5755521924304867</v>
      </c>
      <c r="AK966" s="22">
        <f t="shared" si="339"/>
        <v>6.573462792654313</v>
      </c>
      <c r="AL966" s="22">
        <f t="shared" si="339"/>
        <v>6.5715425101563261</v>
      </c>
      <c r="AM966" s="22">
        <f t="shared" si="339"/>
        <v>6.5696756052718408</v>
      </c>
      <c r="AN966" s="22">
        <f t="shared" si="339"/>
        <v>6.5678548596880235</v>
      </c>
      <c r="AO966" s="22">
        <f t="shared" si="339"/>
        <v>6.5659337062591927</v>
      </c>
      <c r="AP966" s="22">
        <f t="shared" si="339"/>
        <v>6.564123592040632</v>
      </c>
      <c r="AQ966" s="22">
        <f t="shared" si="339"/>
        <v>6.5622903638449301</v>
      </c>
      <c r="AR966" s="22">
        <f t="shared" si="339"/>
        <v>6.5604286486377719</v>
      </c>
      <c r="AS966" s="22">
        <f t="shared" si="339"/>
        <v>6.5585292511260116</v>
      </c>
      <c r="AT966" s="22">
        <f t="shared" si="339"/>
        <v>6.5566000956326942</v>
      </c>
      <c r="AU966" s="22">
        <f t="shared" si="339"/>
        <v>6.5560073347552805</v>
      </c>
      <c r="AV966" s="22">
        <f t="shared" si="339"/>
        <v>6.5555391486602428</v>
      </c>
      <c r="AW966" s="22">
        <f t="shared" si="339"/>
        <v>6.5552474687649953</v>
      </c>
      <c r="AY966" s="79"/>
      <c r="AZ966" s="79"/>
    </row>
    <row r="967" spans="1:52" x14ac:dyDescent="0.3">
      <c r="A967" s="95" t="str">
        <f t="shared" si="326"/>
        <v>DS Organic</v>
      </c>
      <c r="B967" s="95" t="s">
        <v>974</v>
      </c>
      <c r="C967" s="95" t="s">
        <v>1127</v>
      </c>
      <c r="D967" t="s">
        <v>369</v>
      </c>
      <c r="E967" t="s">
        <v>55</v>
      </c>
      <c r="H967" t="s">
        <v>420</v>
      </c>
      <c r="I967" t="s">
        <v>139</v>
      </c>
      <c r="J967" t="s">
        <v>287</v>
      </c>
      <c r="K967" s="94">
        <f>IF('Net zero activities &amp; levers'!$C$12="Off",'Activity data'!AD48*ttokg*ONEF*NtoN2O*kgtoGg,IF('Net zero activities &amp; levers'!$C$12="PB",'Activity data'!AD48*ttokg*ONEF*NtoN2O*kgtoGg,IF('Net zero activities &amp; levers'!$C$12="MS",'Net zero Activity data'!AD48*ttokg*ONEF*NtoN2O*kgtoGg,"ERROR")))</f>
        <v>4.3602775961816637E-2</v>
      </c>
      <c r="L967" s="94">
        <f>IF('Net zero activities &amp; levers'!$C$12="Off",'Activity data'!AE48*ttokg*ONEF*NtoN2O*kgtoGg,IF('Net zero activities &amp; levers'!$C$12="PB",'Activity data'!AE48*ttokg*ONEF*NtoN2O*kgtoGg,IF('Net zero activities &amp; levers'!$C$12="MS",'Net zero Activity data'!AE48*ttokg*ONEF*NtoN2O*kgtoGg,"ERROR")))</f>
        <v>4.3598439842002956E-2</v>
      </c>
      <c r="M967" s="94">
        <f>IF('Net zero activities &amp; levers'!$C$12="Off",'Activity data'!AF48*ttokg*ONEF*NtoN2O*kgtoGg,IF('Net zero activities &amp; levers'!$C$12="PB",'Activity data'!AF48*ttokg*ONEF*NtoN2O*kgtoGg,IF('Net zero activities &amp; levers'!$C$12="MS",'Net zero Activity data'!AF48*ttokg*ONEF*NtoN2O*kgtoGg,"ERROR")))</f>
        <v>4.3590489865451415E-2</v>
      </c>
      <c r="N967" s="94">
        <f>IF('Net zero activities &amp; levers'!$C$12="Off",'Activity data'!AG48*ttokg*ONEF*NtoN2O*kgtoGg,IF('Net zero activities &amp; levers'!$C$12="PB",'Activity data'!AG48*ttokg*ONEF*NtoN2O*kgtoGg,IF('Net zero activities &amp; levers'!$C$12="MS",'Net zero Activity data'!AG48*ttokg*ONEF*NtoN2O*kgtoGg,"ERROR")))</f>
        <v>4.3580987666975365E-2</v>
      </c>
      <c r="O967" s="94">
        <f>IF('Net zero activities &amp; levers'!$C$12="Off",'Activity data'!AH48*ttokg*ONEF*NtoN2O*kgtoGg,IF('Net zero activities &amp; levers'!$C$12="PB",'Activity data'!AH48*ttokg*ONEF*NtoN2O*kgtoGg,IF('Net zero activities &amp; levers'!$C$12="MS",'Net zero Activity data'!AH48*ttokg*ONEF*NtoN2O*kgtoGg,"ERROR")))</f>
        <v>4.3574568531451807E-2</v>
      </c>
      <c r="P967" s="94">
        <f>IF('Net zero activities &amp; levers'!$C$12="Off",'Activity data'!AI48*ttokg*ONEF*NtoN2O*kgtoGg,IF('Net zero activities &amp; levers'!$C$12="PB",'Activity data'!AI48*ttokg*ONEF*NtoN2O*kgtoGg,IF('Net zero activities &amp; levers'!$C$12="MS",'Net zero Activity data'!AI48*ttokg*ONEF*NtoN2O*kgtoGg,"ERROR")))</f>
        <v>4.3570151054046678E-2</v>
      </c>
      <c r="Q967" s="94">
        <f>IF('Net zero activities &amp; levers'!$C$12="Off",'Activity data'!AJ48*ttokg*ONEF*NtoN2O*kgtoGg,IF('Net zero activities &amp; levers'!$C$12="PB",'Activity data'!AJ48*ttokg*ONEF*NtoN2O*kgtoGg,IF('Net zero activities &amp; levers'!$C$12="MS",'Net zero Activity data'!AJ48*ttokg*ONEF*NtoN2O*kgtoGg,"ERROR")))</f>
        <v>4.356773205596657E-2</v>
      </c>
      <c r="R967" s="94">
        <f>IF('Net zero activities &amp; levers'!$C$12="Off",'Activity data'!AK48*ttokg*ONEF*NtoN2O*kgtoGg,IF('Net zero activities &amp; levers'!$C$12="PB",'Activity data'!AK48*ttokg*ONEF*NtoN2O*kgtoGg,IF('Net zero activities &amp; levers'!$C$12="MS",'Net zero Activity data'!AK48*ttokg*ONEF*NtoN2O*kgtoGg,"ERROR")))</f>
        <v>4.3563818561146786E-2</v>
      </c>
      <c r="S967" s="94">
        <f>IF('Net zero activities &amp; levers'!$C$12="Off",'Activity data'!AL48*ttokg*ONEF*NtoN2O*kgtoGg,IF('Net zero activities &amp; levers'!$C$12="PB",'Activity data'!AL48*ttokg*ONEF*NtoN2O*kgtoGg,IF('Net zero activities &amp; levers'!$C$12="MS",'Net zero Activity data'!AL48*ttokg*ONEF*NtoN2O*kgtoGg,"ERROR")))</f>
        <v>4.3559707726078062E-2</v>
      </c>
      <c r="T967" s="94">
        <f>IF('Net zero activities &amp; levers'!$C$12="Off",'Activity data'!AM48*ttokg*ONEF*NtoN2O*kgtoGg,IF('Net zero activities &amp; levers'!$C$12="PB",'Activity data'!AM48*ttokg*ONEF*NtoN2O*kgtoGg,IF('Net zero activities &amp; levers'!$C$12="MS",'Net zero Activity data'!AM48*ttokg*ONEF*NtoN2O*kgtoGg,"ERROR")))</f>
        <v>4.3588282403373507E-2</v>
      </c>
      <c r="U967" s="94">
        <f>IF('Net zero activities &amp; levers'!$C$12="Off",'Activity data'!AN48*ttokg*ONEF*NtoN2O*kgtoGg,IF('Net zero activities &amp; levers'!$C$12="PB",'Activity data'!AN48*ttokg*ONEF*NtoN2O*kgtoGg,IF('Net zero activities &amp; levers'!$C$12="MS",'Net zero Activity data'!AN48*ttokg*ONEF*NtoN2O*kgtoGg,"ERROR")))</f>
        <v>4.3576951577318432E-2</v>
      </c>
      <c r="V967" s="94">
        <f>IF('Net zero activities &amp; levers'!$C$12="Off",'Activity data'!AO48*ttokg*ONEF*NtoN2O*kgtoGg,IF('Net zero activities &amp; levers'!$C$12="PB",'Activity data'!AO48*ttokg*ONEF*NtoN2O*kgtoGg,IF('Net zero activities &amp; levers'!$C$12="MS",'Net zero Activity data'!AO48*ttokg*ONEF*NtoN2O*kgtoGg,"ERROR")))</f>
        <v>4.356148692022592E-2</v>
      </c>
      <c r="W967" s="94">
        <f>IF('Net zero activities &amp; levers'!$C$12="Off",'Activity data'!AP48*ttokg*ONEF*NtoN2O*kgtoGg,IF('Net zero activities &amp; levers'!$C$12="PB",'Activity data'!AP48*ttokg*ONEF*NtoN2O*kgtoGg,IF('Net zero activities &amp; levers'!$C$12="MS",'Net zero Activity data'!AP48*ttokg*ONEF*NtoN2O*kgtoGg,"ERROR")))</f>
        <v>4.3553176710053244E-2</v>
      </c>
      <c r="X967" s="94">
        <f>IF('Net zero activities &amp; levers'!$C$12="Off",'Activity data'!AQ48*ttokg*ONEF*NtoN2O*kgtoGg,IF('Net zero activities &amp; levers'!$C$12="PB",'Activity data'!AQ48*ttokg*ONEF*NtoN2O*kgtoGg,IF('Net zero activities &amp; levers'!$C$12="MS",'Net zero Activity data'!AQ48*ttokg*ONEF*NtoN2O*kgtoGg,"ERROR")))</f>
        <v>4.3544087714894535E-2</v>
      </c>
      <c r="Y967" s="94">
        <f>IF('Net zero activities &amp; levers'!$C$12="Off",'Activity data'!AR48*ttokg*ONEF*NtoN2O*kgtoGg,IF('Net zero activities &amp; levers'!$C$12="PB",'Activity data'!AR48*ttokg*ONEF*NtoN2O*kgtoGg,IF('Net zero activities &amp; levers'!$C$12="MS",'Net zero Activity data'!AR48*ttokg*ONEF*NtoN2O*kgtoGg,"ERROR")))</f>
        <v>4.3533982542126072E-2</v>
      </c>
      <c r="Z967" s="94">
        <f>IF('Net zero activities &amp; levers'!$C$12="Off",'Activity data'!AS48*ttokg*ONEF*NtoN2O*kgtoGg,IF('Net zero activities &amp; levers'!$C$12="PB",'Activity data'!AS48*ttokg*ONEF*NtoN2O*kgtoGg,IF('Net zero activities &amp; levers'!$C$12="MS",'Net zero Activity data'!AS48*ttokg*ONEF*NtoN2O*kgtoGg,"ERROR")))</f>
        <v>4.3523374986501467E-2</v>
      </c>
      <c r="AA967" s="94">
        <f>IF('Net zero activities &amp; levers'!$C$12="Off",'Activity data'!AT48*ttokg*ONEF*NtoN2O*kgtoGg,IF('Net zero activities &amp; levers'!$C$12="PB",'Activity data'!AT48*ttokg*ONEF*NtoN2O*kgtoGg,IF('Net zero activities &amp; levers'!$C$12="MS",'Net zero Activity data'!AT48*ttokg*ONEF*NtoN2O*kgtoGg,"ERROR")))</f>
        <v>4.3512054176058558E-2</v>
      </c>
      <c r="AB967" s="94">
        <f>IF('Net zero activities &amp; levers'!$C$12="Off",'Activity data'!AU48*ttokg*ONEF*NtoN2O*kgtoGg,IF('Net zero activities &amp; levers'!$C$12="PB",'Activity data'!AU48*ttokg*ONEF*NtoN2O*kgtoGg,IF('Net zero activities &amp; levers'!$C$12="MS",'Net zero Activity data'!AU48*ttokg*ONEF*NtoN2O*kgtoGg,"ERROR")))</f>
        <v>4.3500708936344119E-2</v>
      </c>
      <c r="AC967" s="94">
        <f>IF('Net zero activities &amp; levers'!$C$12="Off",'Activity data'!AV48*ttokg*ONEF*NtoN2O*kgtoGg,IF('Net zero activities &amp; levers'!$C$12="PB",'Activity data'!AV48*ttokg*ONEF*NtoN2O*kgtoGg,IF('Net zero activities &amp; levers'!$C$12="MS",'Net zero Activity data'!AV48*ttokg*ONEF*NtoN2O*kgtoGg,"ERROR")))</f>
        <v>4.3488759970005758E-2</v>
      </c>
      <c r="AD967" s="94">
        <f>IF('Net zero activities &amp; levers'!$C$12="Off",'Activity data'!AW48*ttokg*ONEF*NtoN2O*kgtoGg,IF('Net zero activities &amp; levers'!$C$12="PB",'Activity data'!AW48*ttokg*ONEF*NtoN2O*kgtoGg,IF('Net zero activities &amp; levers'!$C$12="MS",'Net zero Activity data'!AW48*ttokg*ONEF*NtoN2O*kgtoGg,"ERROR")))</f>
        <v>4.3476864302717751E-2</v>
      </c>
      <c r="AE967" s="94">
        <f>IF('Net zero activities &amp; levers'!$C$12="Off",'Activity data'!AX48*ttokg*ONEF*NtoN2O*kgtoGg,IF('Net zero activities &amp; levers'!$C$12="PB",'Activity data'!AX48*ttokg*ONEF*NtoN2O*kgtoGg,IF('Net zero activities &amp; levers'!$C$12="MS",'Net zero Activity data'!AX48*ttokg*ONEF*NtoN2O*kgtoGg,"ERROR")))</f>
        <v>4.3463967416482306E-2</v>
      </c>
      <c r="AF967" s="94">
        <f>IF('Net zero activities &amp; levers'!$C$12="Off",'Activity data'!AY48*ttokg*ONEF*NtoN2O*kgtoGg,IF('Net zero activities &amp; levers'!$C$12="PB",'Activity data'!AY48*ttokg*ONEF*NtoN2O*kgtoGg,IF('Net zero activities &amp; levers'!$C$12="MS",'Net zero Activity data'!AY48*ttokg*ONEF*NtoN2O*kgtoGg,"ERROR")))</f>
        <v>4.3451545905502167E-2</v>
      </c>
      <c r="AG967" s="94">
        <f>IF('Net zero activities &amp; levers'!$C$12="Off",'Activity data'!AZ48*ttokg*ONEF*NtoN2O*kgtoGg,IF('Net zero activities &amp; levers'!$C$12="PB",'Activity data'!AZ48*ttokg*ONEF*NtoN2O*kgtoGg,IF('Net zero activities &amp; levers'!$C$12="MS",'Net zero Activity data'!AZ48*ttokg*ONEF*NtoN2O*kgtoGg,"ERROR")))</f>
        <v>4.3438809983972274E-2</v>
      </c>
      <c r="AH967" s="94">
        <f>IF('Net zero activities &amp; levers'!$C$12="Off",'Activity data'!BA48*ttokg*ONEF*NtoN2O*kgtoGg,IF('Net zero activities &amp; levers'!$C$12="PB",'Activity data'!BA48*ttokg*ONEF*NtoN2O*kgtoGg,IF('Net zero activities &amp; levers'!$C$12="MS",'Net zero Activity data'!BA48*ttokg*ONEF*NtoN2O*kgtoGg,"ERROR")))</f>
        <v>4.342488663546161E-2</v>
      </c>
      <c r="AI967" s="94">
        <f>IF('Net zero activities &amp; levers'!$C$12="Off",'Activity data'!BB48*ttokg*ONEF*NtoN2O*kgtoGg,IF('Net zero activities &amp; levers'!$C$12="PB",'Activity data'!BB48*ttokg*ONEF*NtoN2O*kgtoGg,IF('Net zero activities &amp; levers'!$C$12="MS",'Net zero Activity data'!BB48*ttokg*ONEF*NtoN2O*kgtoGg,"ERROR")))</f>
        <v>4.3411939048081889E-2</v>
      </c>
      <c r="AJ967" s="94">
        <f>IF('Net zero activities &amp; levers'!$C$12="Off",'Activity data'!BC48*ttokg*ONEF*NtoN2O*kgtoGg,IF('Net zero activities &amp; levers'!$C$12="PB",'Activity data'!BC48*ttokg*ONEF*NtoN2O*kgtoGg,IF('Net zero activities &amp; levers'!$C$12="MS",'Net zero Activity data'!BC48*ttokg*ONEF*NtoN2O*kgtoGg,"ERROR")))</f>
        <v>4.3398644470041221E-2</v>
      </c>
      <c r="AK967" s="94">
        <f>IF('Net zero activities &amp; levers'!$C$12="Off",'Activity data'!BD48*ttokg*ONEF*NtoN2O*kgtoGg,IF('Net zero activities &amp; levers'!$C$12="PB",'Activity data'!BD48*ttokg*ONEF*NtoN2O*kgtoGg,IF('Net zero activities &amp; levers'!$C$12="MS",'Net zero Activity data'!BD48*ttokg*ONEF*NtoN2O*kgtoGg,"ERROR")))</f>
        <v>4.3384854431518481E-2</v>
      </c>
      <c r="AL967" s="94">
        <f>IF('Net zero activities &amp; levers'!$C$12="Off",'Activity data'!BE48*ttokg*ONEF*NtoN2O*kgtoGg,IF('Net zero activities &amp; levers'!$C$12="PB",'Activity data'!BE48*ttokg*ONEF*NtoN2O*kgtoGg,IF('Net zero activities &amp; levers'!$C$12="MS",'Net zero Activity data'!BE48*ttokg*ONEF*NtoN2O*kgtoGg,"ERROR")))</f>
        <v>4.3372180567031765E-2</v>
      </c>
      <c r="AM967" s="94">
        <f>IF('Net zero activities &amp; levers'!$C$12="Off",'Activity data'!BF48*ttokg*ONEF*NtoN2O*kgtoGg,IF('Net zero activities &amp; levers'!$C$12="PB",'Activity data'!BF48*ttokg*ONEF*NtoN2O*kgtoGg,IF('Net zero activities &amp; levers'!$C$12="MS",'Net zero Activity data'!BF48*ttokg*ONEF*NtoN2O*kgtoGg,"ERROR")))</f>
        <v>4.3359858994794151E-2</v>
      </c>
      <c r="AN967" s="94">
        <f>IF('Net zero activities &amp; levers'!$C$12="Off",'Activity data'!BG48*ttokg*ONEF*NtoN2O*kgtoGg,IF('Net zero activities &amp; levers'!$C$12="PB",'Activity data'!BG48*ttokg*ONEF*NtoN2O*kgtoGg,IF('Net zero activities &amp; levers'!$C$12="MS",'Net zero Activity data'!BG48*ttokg*ONEF*NtoN2O*kgtoGg,"ERROR")))</f>
        <v>4.3347842073940955E-2</v>
      </c>
      <c r="AO967" s="94">
        <f>IF('Net zero activities &amp; levers'!$C$12="Off",'Activity data'!BH48*ttokg*ONEF*NtoN2O*kgtoGg,IF('Net zero activities &amp; levers'!$C$12="PB",'Activity data'!BH48*ttokg*ONEF*NtoN2O*kgtoGg,IF('Net zero activities &amp; levers'!$C$12="MS",'Net zero Activity data'!BH48*ttokg*ONEF*NtoN2O*kgtoGg,"ERROR")))</f>
        <v>4.3335162461310681E-2</v>
      </c>
      <c r="AP967" s="94">
        <f>IF('Net zero activities &amp; levers'!$C$12="Off",'Activity data'!BI48*ttokg*ONEF*NtoN2O*kgtoGg,IF('Net zero activities &amp; levers'!$C$12="PB",'Activity data'!BI48*ttokg*ONEF*NtoN2O*kgtoGg,IF('Net zero activities &amp; levers'!$C$12="MS",'Net zero Activity data'!BI48*ttokg*ONEF*NtoN2O*kgtoGg,"ERROR")))</f>
        <v>4.3323215707468173E-2</v>
      </c>
      <c r="AQ967" s="94">
        <f>IF('Net zero activities &amp; levers'!$C$12="Off",'Activity data'!BJ48*ttokg*ONEF*NtoN2O*kgtoGg,IF('Net zero activities &amp; levers'!$C$12="PB",'Activity data'!BJ48*ttokg*ONEF*NtoN2O*kgtoGg,IF('Net zero activities &amp; levers'!$C$12="MS",'Net zero Activity data'!BJ48*ttokg*ONEF*NtoN2O*kgtoGg,"ERROR")))</f>
        <v>4.3311116401376547E-2</v>
      </c>
      <c r="AR967" s="94">
        <f>IF('Net zero activities &amp; levers'!$C$12="Off",'Activity data'!BK48*ttokg*ONEF*NtoN2O*kgtoGg,IF('Net zero activities &amp; levers'!$C$12="PB",'Activity data'!BK48*ttokg*ONEF*NtoN2O*kgtoGg,IF('Net zero activities &amp; levers'!$C$12="MS",'Net zero Activity data'!BK48*ttokg*ONEF*NtoN2O*kgtoGg,"ERROR")))</f>
        <v>4.32988290810093E-2</v>
      </c>
      <c r="AS967" s="94">
        <f>IF('Net zero activities &amp; levers'!$C$12="Off",'Activity data'!BL48*ttokg*ONEF*NtoN2O*kgtoGg,IF('Net zero activities &amp; levers'!$C$12="PB",'Activity data'!BL48*ttokg*ONEF*NtoN2O*kgtoGg,IF('Net zero activities &amp; levers'!$C$12="MS",'Net zero Activity data'!BL48*ttokg*ONEF*NtoN2O*kgtoGg,"ERROR")))</f>
        <v>4.3286293057431681E-2</v>
      </c>
      <c r="AT967" s="94">
        <f>IF('Net zero activities &amp; levers'!$C$12="Off",'Activity data'!BM48*ttokg*ONEF*NtoN2O*kgtoGg,IF('Net zero activities &amp; levers'!$C$12="PB",'Activity data'!BM48*ttokg*ONEF*NtoN2O*kgtoGg,IF('Net zero activities &amp; levers'!$C$12="MS",'Net zero Activity data'!BM48*ttokg*ONEF*NtoN2O*kgtoGg,"ERROR")))</f>
        <v>4.3273560631175802E-2</v>
      </c>
      <c r="AU967" s="94">
        <f>IF('Net zero activities &amp; levers'!$C$12="Off",'Activity data'!BN48*ttokg*ONEF*NtoN2O*kgtoGg,IF('Net zero activities &amp; levers'!$C$12="PB",'Activity data'!BN48*ttokg*ONEF*NtoN2O*kgtoGg,IF('Net zero activities &amp; levers'!$C$12="MS",'Net zero Activity data'!BN48*ttokg*ONEF*NtoN2O*kgtoGg,"ERROR")))</f>
        <v>4.326964840938486E-2</v>
      </c>
      <c r="AV967" s="94">
        <f>IF('Net zero activities &amp; levers'!$C$12="Off",'Activity data'!BO48*ttokg*ONEF*NtoN2O*kgtoGg,IF('Net zero activities &amp; levers'!$C$12="PB",'Activity data'!BO48*ttokg*ONEF*NtoN2O*kgtoGg,IF('Net zero activities &amp; levers'!$C$12="MS",'Net zero Activity data'!BO48*ttokg*ONEF*NtoN2O*kgtoGg,"ERROR")))</f>
        <v>4.3266558381157602E-2</v>
      </c>
      <c r="AW967" s="94">
        <f>IF('Net zero activities &amp; levers'!$C$12="Off",'Activity data'!BP48*ttokg*ONEF*NtoN2O*kgtoGg,IF('Net zero activities &amp; levers'!$C$12="PB",'Activity data'!BP48*ttokg*ONEF*NtoN2O*kgtoGg,IF('Net zero activities &amp; levers'!$C$12="MS",'Net zero Activity data'!BP48*ttokg*ONEF*NtoN2O*kgtoGg,"ERROR")))</f>
        <v>4.326463329384897E-2</v>
      </c>
      <c r="AY967" s="79"/>
      <c r="AZ967" s="79"/>
    </row>
    <row r="968" spans="1:52" x14ac:dyDescent="0.3">
      <c r="A968" s="95" t="str">
        <f t="shared" si="326"/>
        <v>DS Crop residues</v>
      </c>
      <c r="B968" s="95" t="s">
        <v>974</v>
      </c>
      <c r="C968" s="95" t="s">
        <v>58</v>
      </c>
      <c r="D968" t="s">
        <v>369</v>
      </c>
      <c r="E968" t="s">
        <v>55</v>
      </c>
      <c r="H968" t="s">
        <v>58</v>
      </c>
      <c r="I968" t="s">
        <v>139</v>
      </c>
      <c r="J968" t="s">
        <v>287</v>
      </c>
      <c r="K968" s="22">
        <f>K1465</f>
        <v>2.94930909510781</v>
      </c>
      <c r="L968" s="22">
        <f t="shared" ref="L968:AW968" si="340">L1465</f>
        <v>2.9542138952234782</v>
      </c>
      <c r="M968" s="22">
        <f t="shared" si="340"/>
        <v>2.9632065078783478</v>
      </c>
      <c r="N968" s="22">
        <f t="shared" si="340"/>
        <v>2.9739549157146588</v>
      </c>
      <c r="O968" s="22">
        <f t="shared" si="340"/>
        <v>2.9812159181802835</v>
      </c>
      <c r="P968" s="22">
        <f t="shared" si="340"/>
        <v>2.9862127459015309</v>
      </c>
      <c r="Q968" s="22">
        <f t="shared" si="340"/>
        <v>2.9889489945692191</v>
      </c>
      <c r="R968" s="22">
        <f t="shared" si="340"/>
        <v>2.993375742599615</v>
      </c>
      <c r="S968" s="22">
        <f t="shared" si="340"/>
        <v>2.9980257119701434</v>
      </c>
      <c r="T968" s="22">
        <f t="shared" si="340"/>
        <v>2.9657034776855355</v>
      </c>
      <c r="U968" s="22">
        <f t="shared" si="340"/>
        <v>2.9785203368438653</v>
      </c>
      <c r="V968" s="22">
        <f t="shared" si="340"/>
        <v>2.9960131772531153</v>
      </c>
      <c r="W968" s="22">
        <f t="shared" si="340"/>
        <v>3.0054132680180357</v>
      </c>
      <c r="X968" s="22">
        <f t="shared" si="340"/>
        <v>3.0156942810945373</v>
      </c>
      <c r="Y968" s="22">
        <f t="shared" si="340"/>
        <v>3.0271247430497872</v>
      </c>
      <c r="Z968" s="22">
        <f t="shared" si="340"/>
        <v>3.0391234751628531</v>
      </c>
      <c r="AA968" s="22">
        <f t="shared" si="340"/>
        <v>3.0519290051656554</v>
      </c>
      <c r="AB968" s="22">
        <f t="shared" si="340"/>
        <v>3.0647621683287483</v>
      </c>
      <c r="AC968" s="22">
        <f t="shared" si="340"/>
        <v>3.078278236610247</v>
      </c>
      <c r="AD968" s="22">
        <f t="shared" si="340"/>
        <v>3.0917340156932256</v>
      </c>
      <c r="AE968" s="22">
        <f t="shared" si="340"/>
        <v>3.1063223231702981</v>
      </c>
      <c r="AF968" s="22">
        <f t="shared" si="340"/>
        <v>3.1203729101259317</v>
      </c>
      <c r="AG968" s="22">
        <f t="shared" si="340"/>
        <v>3.1347791424435716</v>
      </c>
      <c r="AH968" s="22">
        <f t="shared" si="340"/>
        <v>3.1505285322943979</v>
      </c>
      <c r="AI968" s="22">
        <f t="shared" si="340"/>
        <v>3.165174190349632</v>
      </c>
      <c r="AJ968" s="22">
        <f t="shared" si="340"/>
        <v>3.1802123467460328</v>
      </c>
      <c r="AK968" s="22">
        <f t="shared" si="340"/>
        <v>3.1958109430597368</v>
      </c>
      <c r="AL968" s="22">
        <f t="shared" si="340"/>
        <v>3.2101469795788988</v>
      </c>
      <c r="AM968" s="22">
        <f t="shared" si="340"/>
        <v>3.2240845208676738</v>
      </c>
      <c r="AN968" s="22">
        <f t="shared" si="340"/>
        <v>3.2376774558702412</v>
      </c>
      <c r="AO968" s="22">
        <f t="shared" si="340"/>
        <v>3.2520199943996095</v>
      </c>
      <c r="AP968" s="22">
        <f t="shared" si="340"/>
        <v>3.2655335600173556</v>
      </c>
      <c r="AQ968" s="22">
        <f t="shared" si="340"/>
        <v>3.2792196850479614</v>
      </c>
      <c r="AR968" s="22">
        <f t="shared" si="340"/>
        <v>3.2931184823478818</v>
      </c>
      <c r="AS968" s="22">
        <f t="shared" si="340"/>
        <v>3.3072986001803124</v>
      </c>
      <c r="AT968" s="22">
        <f t="shared" si="340"/>
        <v>3.3217008788202178</v>
      </c>
      <c r="AU968" s="22">
        <f t="shared" si="340"/>
        <v>3.3261261868645517</v>
      </c>
      <c r="AV968" s="22">
        <f t="shared" si="340"/>
        <v>3.3296214710028345</v>
      </c>
      <c r="AW968" s="22">
        <f t="shared" si="340"/>
        <v>3.3317990327077256</v>
      </c>
      <c r="AY968" s="79"/>
      <c r="AZ968" s="79"/>
    </row>
    <row r="969" spans="1:52" x14ac:dyDescent="0.3">
      <c r="A969" s="95" t="str">
        <f t="shared" si="326"/>
        <v>DS Organic</v>
      </c>
      <c r="B969" s="95" t="s">
        <v>974</v>
      </c>
      <c r="C969" s="95" t="s">
        <v>1127</v>
      </c>
      <c r="D969" t="s">
        <v>369</v>
      </c>
      <c r="E969" t="s">
        <v>55</v>
      </c>
      <c r="F969" t="s">
        <v>421</v>
      </c>
      <c r="G969" t="s">
        <v>1152</v>
      </c>
      <c r="H969" t="s">
        <v>1153</v>
      </c>
      <c r="I969" t="s">
        <v>139</v>
      </c>
      <c r="J969" t="s">
        <v>287</v>
      </c>
      <c r="K969" s="22">
        <f>K1466</f>
        <v>0.31878106382562998</v>
      </c>
      <c r="L969" s="22">
        <f t="shared" ref="L969:AW971" si="341">L1466</f>
        <v>0.32056321299147905</v>
      </c>
      <c r="M969" s="22">
        <f t="shared" si="341"/>
        <v>0.32309177745176459</v>
      </c>
      <c r="N969" s="22">
        <f t="shared" si="341"/>
        <v>0.32471664946511047</v>
      </c>
      <c r="O969" s="22">
        <f t="shared" si="341"/>
        <v>0.32579638434951874</v>
      </c>
      <c r="P969" s="22">
        <f t="shared" si="341"/>
        <v>0.32632035510276458</v>
      </c>
      <c r="Q969" s="22">
        <f t="shared" si="341"/>
        <v>0.32747800149861978</v>
      </c>
      <c r="R969" s="22">
        <f t="shared" si="341"/>
        <v>0.32880601635823298</v>
      </c>
      <c r="S969" s="22">
        <f t="shared" si="341"/>
        <v>0.31892223916812396</v>
      </c>
      <c r="T969" s="22">
        <f t="shared" si="341"/>
        <v>0.32227574446012153</v>
      </c>
      <c r="U969" s="22">
        <f t="shared" si="341"/>
        <v>0.32718438885789924</v>
      </c>
      <c r="V969" s="22">
        <f t="shared" si="341"/>
        <v>0.3297286573308299</v>
      </c>
      <c r="W969" s="22">
        <f t="shared" si="341"/>
        <v>0.33263641751266398</v>
      </c>
      <c r="X969" s="22">
        <f t="shared" si="341"/>
        <v>0.3360018452717824</v>
      </c>
      <c r="Y969" s="22">
        <f t="shared" si="341"/>
        <v>0.33943858200235472</v>
      </c>
      <c r="Z969" s="22">
        <f t="shared" si="341"/>
        <v>0.34324260633991188</v>
      </c>
      <c r="AA969" s="22">
        <f t="shared" si="341"/>
        <v>0.34716446895122904</v>
      </c>
      <c r="AB969" s="22">
        <f t="shared" si="341"/>
        <v>0.35142933015547478</v>
      </c>
      <c r="AC969" s="22">
        <f t="shared" si="341"/>
        <v>0.3557903986539287</v>
      </c>
      <c r="AD969" s="22">
        <f t="shared" si="341"/>
        <v>0.36050179142942168</v>
      </c>
      <c r="AE969" s="22">
        <f t="shared" si="341"/>
        <v>0.36514941854093586</v>
      </c>
      <c r="AF969" s="22">
        <f t="shared" si="341"/>
        <v>0.37005495430435736</v>
      </c>
      <c r="AG969" s="22">
        <f t="shared" si="341"/>
        <v>0.37560392620070809</v>
      </c>
      <c r="AH969" s="22">
        <f t="shared" si="341"/>
        <v>0.38087972226770728</v>
      </c>
      <c r="AI969" s="22">
        <f t="shared" si="341"/>
        <v>0.38629002318967742</v>
      </c>
      <c r="AJ969" s="22">
        <f t="shared" si="341"/>
        <v>0.39207609513939878</v>
      </c>
      <c r="AK969" s="22">
        <f t="shared" si="341"/>
        <v>0.39749694724838469</v>
      </c>
      <c r="AL969" s="22">
        <f t="shared" si="341"/>
        <v>0.4028883818835427</v>
      </c>
      <c r="AM969" s="22">
        <f t="shared" si="341"/>
        <v>0.40826539528750555</v>
      </c>
      <c r="AN969" s="22">
        <f t="shared" si="341"/>
        <v>0.41395411425770406</v>
      </c>
      <c r="AO969" s="22">
        <f t="shared" si="341"/>
        <v>0.41941402149436835</v>
      </c>
      <c r="AP969" s="22">
        <f t="shared" si="341"/>
        <v>0.4250859445304776</v>
      </c>
      <c r="AQ969" s="22">
        <f t="shared" si="341"/>
        <v>0.43099575197279355</v>
      </c>
      <c r="AR969" s="22">
        <f t="shared" si="341"/>
        <v>0.43718504328373597</v>
      </c>
      <c r="AS969" s="22">
        <f t="shared" si="341"/>
        <v>0.44348381500621098</v>
      </c>
      <c r="AT969" s="22">
        <f t="shared" si="341"/>
        <v>0.44497720344404595</v>
      </c>
      <c r="AU969" s="22">
        <f t="shared" si="341"/>
        <v>0.44604004342695891</v>
      </c>
      <c r="AV969" s="22">
        <f t="shared" si="341"/>
        <v>0.44647550838656064</v>
      </c>
      <c r="AW969" s="22">
        <f t="shared" si="341"/>
        <v>0.44673845388478889</v>
      </c>
      <c r="AY969" s="79"/>
      <c r="AZ969" s="79"/>
    </row>
    <row r="970" spans="1:52" x14ac:dyDescent="0.3">
      <c r="A970" s="95" t="str">
        <f t="shared" si="326"/>
        <v>DS Organic</v>
      </c>
      <c r="B970" s="95" t="s">
        <v>974</v>
      </c>
      <c r="C970" s="95" t="s">
        <v>1127</v>
      </c>
      <c r="D970" t="s">
        <v>369</v>
      </c>
      <c r="E970" t="s">
        <v>55</v>
      </c>
      <c r="F970" t="s">
        <v>421</v>
      </c>
      <c r="G970" t="s">
        <v>1154</v>
      </c>
      <c r="H970" t="s">
        <v>1155</v>
      </c>
      <c r="I970" t="s">
        <v>139</v>
      </c>
      <c r="J970" t="s">
        <v>287</v>
      </c>
      <c r="K970" s="22">
        <f t="shared" ref="K970:Z971" si="342">K1467</f>
        <v>0.93210651077804862</v>
      </c>
      <c r="L970" s="22">
        <f t="shared" si="342"/>
        <v>0.93731746283627471</v>
      </c>
      <c r="M970" s="22">
        <f t="shared" si="342"/>
        <v>0.94471091139331731</v>
      </c>
      <c r="N970" s="22">
        <f t="shared" si="342"/>
        <v>0.94946198965576145</v>
      </c>
      <c r="O970" s="22">
        <f t="shared" si="342"/>
        <v>0.95261910289076079</v>
      </c>
      <c r="P970" s="22">
        <f t="shared" si="342"/>
        <v>0.95415117805450056</v>
      </c>
      <c r="Q970" s="22">
        <f t="shared" si="342"/>
        <v>0.95753610227115837</v>
      </c>
      <c r="R970" s="22">
        <f t="shared" si="342"/>
        <v>0.96141917889497119</v>
      </c>
      <c r="S970" s="22">
        <f t="shared" si="342"/>
        <v>0.93251930335211441</v>
      </c>
      <c r="T970" s="22">
        <f t="shared" si="342"/>
        <v>0.94232485478320349</v>
      </c>
      <c r="U970" s="22">
        <f t="shared" si="342"/>
        <v>0.95667758749371812</v>
      </c>
      <c r="V970" s="22">
        <f t="shared" si="342"/>
        <v>0.96411695412461496</v>
      </c>
      <c r="W970" s="22">
        <f t="shared" si="342"/>
        <v>0.97261915988534076</v>
      </c>
      <c r="X970" s="22">
        <f t="shared" si="342"/>
        <v>0.98245957226172753</v>
      </c>
      <c r="Y970" s="22">
        <f t="shared" si="342"/>
        <v>0.99250848998586416</v>
      </c>
      <c r="Z970" s="22">
        <f t="shared" si="342"/>
        <v>1.0036313459348443</v>
      </c>
      <c r="AA970" s="22">
        <f t="shared" si="341"/>
        <v>1.0150987575511923</v>
      </c>
      <c r="AB970" s="22">
        <f t="shared" si="341"/>
        <v>1.0275690870253942</v>
      </c>
      <c r="AC970" s="22">
        <f t="shared" si="341"/>
        <v>1.0403207238151548</v>
      </c>
      <c r="AD970" s="22">
        <f t="shared" si="341"/>
        <v>1.054096698548936</v>
      </c>
      <c r="AE970" s="22">
        <f t="shared" si="341"/>
        <v>1.0676862243454883</v>
      </c>
      <c r="AF970" s="22">
        <f t="shared" si="341"/>
        <v>1.0820298675000297</v>
      </c>
      <c r="AG970" s="22">
        <f t="shared" si="341"/>
        <v>1.0982548990958272</v>
      </c>
      <c r="AH970" s="22">
        <f t="shared" si="341"/>
        <v>1.1136811725531401</v>
      </c>
      <c r="AI970" s="22">
        <f t="shared" si="341"/>
        <v>1.1295007342740186</v>
      </c>
      <c r="AJ970" s="22">
        <f t="shared" si="341"/>
        <v>1.146419039494041</v>
      </c>
      <c r="AK970" s="22">
        <f t="shared" si="341"/>
        <v>1.1622694525772803</v>
      </c>
      <c r="AL970" s="22">
        <f t="shared" si="341"/>
        <v>1.1780338498270926</v>
      </c>
      <c r="AM970" s="22">
        <f t="shared" si="341"/>
        <v>1.1937560798185081</v>
      </c>
      <c r="AN970" s="22">
        <f t="shared" si="341"/>
        <v>1.2103897277726068</v>
      </c>
      <c r="AO970" s="22">
        <f t="shared" si="341"/>
        <v>1.2263543369073659</v>
      </c>
      <c r="AP970" s="22">
        <f t="shared" si="341"/>
        <v>1.2429388740412319</v>
      </c>
      <c r="AQ970" s="22">
        <f t="shared" si="341"/>
        <v>1.260218978224084</v>
      </c>
      <c r="AR970" s="22">
        <f t="shared" si="341"/>
        <v>1.2783162850678402</v>
      </c>
      <c r="AS970" s="22">
        <f t="shared" si="341"/>
        <v>1.2967337094341598</v>
      </c>
      <c r="AT970" s="22">
        <f t="shared" si="341"/>
        <v>1.3011003335658498</v>
      </c>
      <c r="AU970" s="22">
        <f t="shared" si="341"/>
        <v>1.3042080466028143</v>
      </c>
      <c r="AV970" s="22">
        <f t="shared" si="341"/>
        <v>1.3054813334134847</v>
      </c>
      <c r="AW970" s="22">
        <f t="shared" si="341"/>
        <v>1.3062501783628579</v>
      </c>
      <c r="AY970" s="79"/>
      <c r="AZ970" s="79"/>
    </row>
    <row r="971" spans="1:52" x14ac:dyDescent="0.3">
      <c r="A971" s="95" t="str">
        <f t="shared" si="326"/>
        <v>DS Organic</v>
      </c>
      <c r="B971" s="95" t="s">
        <v>974</v>
      </c>
      <c r="C971" s="95" t="s">
        <v>1127</v>
      </c>
      <c r="D971" t="s">
        <v>369</v>
      </c>
      <c r="E971" t="s">
        <v>55</v>
      </c>
      <c r="F971" t="s">
        <v>421</v>
      </c>
      <c r="G971" t="s">
        <v>1156</v>
      </c>
      <c r="H971" t="s">
        <v>1157</v>
      </c>
      <c r="I971" t="s">
        <v>139</v>
      </c>
      <c r="J971" t="s">
        <v>287</v>
      </c>
      <c r="K971" s="22">
        <f t="shared" si="342"/>
        <v>4.9862442750846919E-2</v>
      </c>
      <c r="L971" s="22">
        <f t="shared" si="341"/>
        <v>5.0141199304605803E-2</v>
      </c>
      <c r="M971" s="22">
        <f t="shared" si="341"/>
        <v>5.0536707115294892E-2</v>
      </c>
      <c r="N971" s="22">
        <f t="shared" si="341"/>
        <v>5.0790863013925151E-2</v>
      </c>
      <c r="O971" s="22">
        <f t="shared" si="341"/>
        <v>5.0959750770976316E-2</v>
      </c>
      <c r="P971" s="22">
        <f t="shared" si="341"/>
        <v>5.1041708153806091E-2</v>
      </c>
      <c r="Q971" s="22">
        <f t="shared" si="341"/>
        <v>5.122278251388987E-2</v>
      </c>
      <c r="R971" s="22">
        <f t="shared" si="341"/>
        <v>5.1430505218981168E-2</v>
      </c>
      <c r="S971" s="22">
        <f t="shared" si="341"/>
        <v>4.9884524826075798E-2</v>
      </c>
      <c r="T971" s="22">
        <f t="shared" si="341"/>
        <v>5.0409066540160655E-2</v>
      </c>
      <c r="U971" s="22">
        <f t="shared" si="341"/>
        <v>5.1176856813934052E-2</v>
      </c>
      <c r="V971" s="22">
        <f t="shared" si="341"/>
        <v>5.1574820982670536E-2</v>
      </c>
      <c r="W971" s="22">
        <f t="shared" si="341"/>
        <v>5.2029641052156198E-2</v>
      </c>
      <c r="X971" s="22">
        <f t="shared" si="341"/>
        <v>5.255604763025503E-2</v>
      </c>
      <c r="Y971" s="22">
        <f t="shared" si="341"/>
        <v>5.3093608068824946E-2</v>
      </c>
      <c r="Z971" s="22">
        <f t="shared" si="341"/>
        <v>5.3688618147146365E-2</v>
      </c>
      <c r="AA971" s="22">
        <f t="shared" si="341"/>
        <v>5.4302060010934287E-2</v>
      </c>
      <c r="AB971" s="22">
        <f t="shared" si="341"/>
        <v>5.4969152325279956E-2</v>
      </c>
      <c r="AC971" s="22">
        <f t="shared" si="341"/>
        <v>5.5651292994888926E-2</v>
      </c>
      <c r="AD971" s="22">
        <f t="shared" si="341"/>
        <v>5.6388229968890861E-2</v>
      </c>
      <c r="AE971" s="22">
        <f t="shared" si="341"/>
        <v>5.711519297602205E-2</v>
      </c>
      <c r="AF971" s="22">
        <f t="shared" si="341"/>
        <v>5.7882497009801276E-2</v>
      </c>
      <c r="AG971" s="22">
        <f t="shared" si="341"/>
        <v>5.8750444717194539E-2</v>
      </c>
      <c r="AH971" s="22">
        <f t="shared" si="341"/>
        <v>5.9575663367885126E-2</v>
      </c>
      <c r="AI971" s="22">
        <f t="shared" si="341"/>
        <v>6.0421920723165649E-2</v>
      </c>
      <c r="AJ971" s="22">
        <f t="shared" si="341"/>
        <v>6.1326954660511038E-2</v>
      </c>
      <c r="AK971" s="22">
        <f t="shared" si="341"/>
        <v>6.2174862389725999E-2</v>
      </c>
      <c r="AL971" s="22">
        <f t="shared" si="341"/>
        <v>6.3018168756843018E-2</v>
      </c>
      <c r="AM971" s="22">
        <f t="shared" si="341"/>
        <v>6.3859219413391094E-2</v>
      </c>
      <c r="AN971" s="22">
        <f t="shared" si="341"/>
        <v>6.4749025792016954E-2</v>
      </c>
      <c r="AO971" s="22">
        <f t="shared" si="341"/>
        <v>6.5603042366106867E-2</v>
      </c>
      <c r="AP971" s="22">
        <f t="shared" si="341"/>
        <v>6.6490221592755999E-2</v>
      </c>
      <c r="AQ971" s="22">
        <f t="shared" si="341"/>
        <v>6.7414609734650743E-2</v>
      </c>
      <c r="AR971" s="22">
        <f t="shared" si="341"/>
        <v>6.8382713611200324E-2</v>
      </c>
      <c r="AS971" s="22">
        <f t="shared" si="341"/>
        <v>6.9367941970261027E-2</v>
      </c>
      <c r="AT971" s="22">
        <f t="shared" si="341"/>
        <v>6.9601531740596523E-2</v>
      </c>
      <c r="AU971" s="22">
        <f t="shared" si="341"/>
        <v>6.9767776865590186E-2</v>
      </c>
      <c r="AV971" s="22">
        <f t="shared" si="341"/>
        <v>6.983589053067922E-2</v>
      </c>
      <c r="AW971" s="22">
        <f t="shared" si="341"/>
        <v>6.9877019400426524E-2</v>
      </c>
      <c r="AY971" s="79"/>
      <c r="AZ971" s="79"/>
    </row>
    <row r="972" spans="1:52" x14ac:dyDescent="0.3">
      <c r="A972" s="95" t="str">
        <f t="shared" si="326"/>
        <v>DS Organic</v>
      </c>
      <c r="B972" s="95" t="s">
        <v>974</v>
      </c>
      <c r="C972" s="95" t="s">
        <v>1127</v>
      </c>
      <c r="D972" t="s">
        <v>369</v>
      </c>
      <c r="E972" t="s">
        <v>55</v>
      </c>
      <c r="F972" t="s">
        <v>421</v>
      </c>
      <c r="G972" t="s">
        <v>1158</v>
      </c>
      <c r="H972" t="s">
        <v>1159</v>
      </c>
      <c r="I972" t="s">
        <v>139</v>
      </c>
      <c r="J972" t="s">
        <v>287</v>
      </c>
      <c r="K972" s="94">
        <f>IF('Net zero activities &amp; levers'!$C$12="Off",'Activity data'!AD53*ManureNEF*NtoN2O*kgtoGg,'Net zero Activity data'!AD53*ManureNEF*NtoN2O*kgtoGg)</f>
        <v>0.3999997899835232</v>
      </c>
      <c r="L972" s="94">
        <f>IF('Net zero activities &amp; levers'!$C$12="Off",'Activity data'!AE53*ManureNEF*NtoN2O*kgtoGg,'Net zero Activity data'!AE53*ManureNEF*NtoN2O*kgtoGg)</f>
        <v>0.39653071954810187</v>
      </c>
      <c r="M972" s="94">
        <f>IF('Net zero activities &amp; levers'!$C$12="Off",'Activity data'!AF53*ManureNEF*NtoN2O*kgtoGg,'Net zero Activity data'!AF53*ManureNEF*NtoN2O*kgtoGg)</f>
        <v>0.39521014945095023</v>
      </c>
      <c r="N972" s="94">
        <f>IF('Net zero activities &amp; levers'!$C$12="Off",'Activity data'!AG53*ManureNEF*NtoN2O*kgtoGg,'Net zero Activity data'!AG53*ManureNEF*NtoN2O*kgtoGg)</f>
        <v>0.38993263522397309</v>
      </c>
      <c r="O972" s="94">
        <f>IF('Net zero activities &amp; levers'!$C$12="Off",'Activity data'!AH53*ManureNEF*NtoN2O*kgtoGg,'Net zero Activity data'!AH53*ManureNEF*NtoN2O*kgtoGg)</f>
        <v>0.382272194437701</v>
      </c>
      <c r="P972" s="94">
        <f>IF('Net zero activities &amp; levers'!$C$12="Off",'Activity data'!AI53*ManureNEF*NtoN2O*kgtoGg,'Net zero Activity data'!AI53*ManureNEF*NtoN2O*kgtoGg)</f>
        <v>0.37238723301511378</v>
      </c>
      <c r="Q972" s="94">
        <f>IF('Net zero activities &amp; levers'!$C$12="Off",'Activity data'!AJ53*ManureNEF*NtoN2O*kgtoGg,'Net zero Activity data'!AJ53*ManureNEF*NtoN2O*kgtoGg)</f>
        <v>0.36459067483623875</v>
      </c>
      <c r="R972" s="94">
        <f>IF('Net zero activities &amp; levers'!$C$12="Off",'Activity data'!AK53*ManureNEF*NtoN2O*kgtoGg,'Net zero Activity data'!AK53*ManureNEF*NtoN2O*kgtoGg)</f>
        <v>0.3572142444544395</v>
      </c>
      <c r="S972" s="94">
        <f>IF('Net zero activities &amp; levers'!$C$12="Off",'Activity data'!AL53*ManureNEF*NtoN2O*kgtoGg,'Net zero Activity data'!AL53*ManureNEF*NtoN2O*kgtoGg)</f>
        <v>0.31424439964767104</v>
      </c>
      <c r="T972" s="94">
        <f>IF('Net zero activities &amp; levers'!$C$12="Off",'Activity data'!AM53*ManureNEF*NtoN2O*kgtoGg,'Net zero Activity data'!AM53*ManureNEF*NtoN2O*kgtoGg)</f>
        <v>0.31934867566353531</v>
      </c>
      <c r="U972" s="94">
        <f>IF('Net zero activities &amp; levers'!$C$12="Off",'Activity data'!AN53*ManureNEF*NtoN2O*kgtoGg,'Net zero Activity data'!AN53*ManureNEF*NtoN2O*kgtoGg)</f>
        <v>0.32887086359473244</v>
      </c>
      <c r="V972" s="94">
        <f>IF('Net zero activities &amp; levers'!$C$12="Off",'Activity data'!AO53*ManureNEF*NtoN2O*kgtoGg,'Net zero Activity data'!AO53*ManureNEF*NtoN2O*kgtoGg)</f>
        <v>0.33077255450985388</v>
      </c>
      <c r="W972" s="94">
        <f>IF('Net zero activities &amp; levers'!$C$12="Off",'Activity data'!AP53*ManureNEF*NtoN2O*kgtoGg,'Net zero Activity data'!AP53*ManureNEF*NtoN2O*kgtoGg)</f>
        <v>0.33351533974002295</v>
      </c>
      <c r="X972" s="94">
        <f>IF('Net zero activities &amp; levers'!$C$12="Off",'Activity data'!AQ53*ManureNEF*NtoN2O*kgtoGg,'Net zero Activity data'!AQ53*ManureNEF*NtoN2O*kgtoGg)</f>
        <v>0.33734158563652278</v>
      </c>
      <c r="Y972" s="94">
        <f>IF('Net zero activities &amp; levers'!$C$12="Off",'Activity data'!AR53*ManureNEF*NtoN2O*kgtoGg,'Net zero Activity data'!AR53*ManureNEF*NtoN2O*kgtoGg)</f>
        <v>0.34173046425936165</v>
      </c>
      <c r="Z972" s="94">
        <f>IF('Net zero activities &amp; levers'!$C$12="Off",'Activity data'!AS53*ManureNEF*NtoN2O*kgtoGg,'Net zero Activity data'!AS53*ManureNEF*NtoN2O*kgtoGg)</f>
        <v>0.34687619399861491</v>
      </c>
      <c r="AA972" s="94">
        <f>IF('Net zero activities &amp; levers'!$C$12="Off",'Activity data'!AT53*ManureNEF*NtoN2O*kgtoGg,'Net zero Activity data'!AT53*ManureNEF*NtoN2O*kgtoGg)</f>
        <v>0.35204565699464252</v>
      </c>
      <c r="AB972" s="94">
        <f>IF('Net zero activities &amp; levers'!$C$12="Off",'Activity data'!AU53*ManureNEF*NtoN2O*kgtoGg,'Net zero Activity data'!AU53*ManureNEF*NtoN2O*kgtoGg)</f>
        <v>0.35785970773870229</v>
      </c>
      <c r="AC972" s="94">
        <f>IF('Net zero activities &amp; levers'!$C$12="Off",'Activity data'!AV53*ManureNEF*NtoN2O*kgtoGg,'Net zero Activity data'!AV53*ManureNEF*NtoN2O*kgtoGg)</f>
        <v>0.36361606039285416</v>
      </c>
      <c r="AD972" s="94">
        <f>IF('Net zero activities &amp; levers'!$C$12="Off",'Activity data'!AW53*ManureNEF*NtoN2O*kgtoGg,'Net zero Activity data'!AW53*ManureNEF*NtoN2O*kgtoGg)</f>
        <v>0.36736576480920718</v>
      </c>
      <c r="AE972" s="94">
        <f>IF('Net zero activities &amp; levers'!$C$12="Off",'Activity data'!AX53*ManureNEF*NtoN2O*kgtoGg,'Net zero Activity data'!AX53*ManureNEF*NtoN2O*kgtoGg)</f>
        <v>0.37044453344609923</v>
      </c>
      <c r="AF972" s="94">
        <f>IF('Net zero activities &amp; levers'!$C$12="Off",'Activity data'!AY53*ManureNEF*NtoN2O*kgtoGg,'Net zero Activity data'!AY53*ManureNEF*NtoN2O*kgtoGg)</f>
        <v>0.37369707806666508</v>
      </c>
      <c r="AG972" s="94">
        <f>IF('Net zero activities &amp; levers'!$C$12="Off",'Activity data'!AZ53*ManureNEF*NtoN2O*kgtoGg,'Net zero Activity data'!AZ53*ManureNEF*NtoN2O*kgtoGg)</f>
        <v>0.37804894622531426</v>
      </c>
      <c r="AH972" s="94">
        <f>IF('Net zero activities &amp; levers'!$C$12="Off",'Activity data'!BA53*ManureNEF*NtoN2O*kgtoGg,'Net zero Activity data'!BA53*ManureNEF*NtoN2O*kgtoGg)</f>
        <v>0.38117866346584023</v>
      </c>
      <c r="AI972" s="94">
        <f>IF('Net zero activities &amp; levers'!$C$12="Off",'Activity data'!BB53*ManureNEF*NtoN2O*kgtoGg,'Net zero Activity data'!BB53*ManureNEF*NtoN2O*kgtoGg)</f>
        <v>0.38451417084428363</v>
      </c>
      <c r="AJ972" s="94">
        <f>IF('Net zero activities &amp; levers'!$C$12="Off",'Activity data'!BC53*ManureNEF*NtoN2O*kgtoGg,'Net zero Activity data'!BC53*ManureNEF*NtoN2O*kgtoGg)</f>
        <v>0.38818587422632583</v>
      </c>
      <c r="AK972" s="94">
        <f>IF('Net zero activities &amp; levers'!$C$12="Off",'Activity data'!BD53*ManureNEF*NtoN2O*kgtoGg,'Net zero Activity data'!BD53*ManureNEF*NtoN2O*kgtoGg)</f>
        <v>0.39047383423356319</v>
      </c>
      <c r="AL972" s="94">
        <f>IF('Net zero activities &amp; levers'!$C$12="Off",'Activity data'!BE53*ManureNEF*NtoN2O*kgtoGg,'Net zero Activity data'!BE53*ManureNEF*NtoN2O*kgtoGg)</f>
        <v>0.39219030360024004</v>
      </c>
      <c r="AM972" s="94">
        <f>IF('Net zero activities &amp; levers'!$C$12="Off",'Activity data'!BF53*ManureNEF*NtoN2O*kgtoGg,'Net zero Activity data'!BF53*ManureNEF*NtoN2O*kgtoGg)</f>
        <v>0.39338421797559098</v>
      </c>
      <c r="AN972" s="94">
        <f>IF('Net zero activities &amp; levers'!$C$12="Off",'Activity data'!BG53*ManureNEF*NtoN2O*kgtoGg,'Net zero Activity data'!BG53*ManureNEF*NtoN2O*kgtoGg)</f>
        <v>0.39709578221714281</v>
      </c>
      <c r="AO972" s="94">
        <f>IF('Net zero activities &amp; levers'!$C$12="Off",'Activity data'!BH53*ManureNEF*NtoN2O*kgtoGg,'Net zero Activity data'!BH53*ManureNEF*NtoN2O*kgtoGg)</f>
        <v>0.39991704090429331</v>
      </c>
      <c r="AP972" s="94">
        <f>IF('Net zero activities &amp; levers'!$C$12="Off",'Activity data'!BI53*ManureNEF*NtoN2O*kgtoGg,'Net zero Activity data'!BI53*ManureNEF*NtoN2O*kgtoGg)</f>
        <v>0.40277391205281804</v>
      </c>
      <c r="AQ972" s="94">
        <f>IF('Net zero activities &amp; levers'!$C$12="Off",'Activity data'!BJ53*ManureNEF*NtoN2O*kgtoGg,'Net zero Activity data'!BJ53*ManureNEF*NtoN2O*kgtoGg)</f>
        <v>0.40569907697718249</v>
      </c>
      <c r="AR972" s="94">
        <f>IF('Net zero activities &amp; levers'!$C$12="Off",'Activity data'!BK53*ManureNEF*NtoN2O*kgtoGg,'Net zero Activity data'!BK53*ManureNEF*NtoN2O*kgtoGg)</f>
        <v>0.40875152256691355</v>
      </c>
      <c r="AS972" s="94">
        <f>IF('Net zero activities &amp; levers'!$C$12="Off",'Activity data'!BL53*ManureNEF*NtoN2O*kgtoGg,'Net zero Activity data'!BL53*ManureNEF*NtoN2O*kgtoGg)</f>
        <v>0.41188557339004239</v>
      </c>
      <c r="AT972" s="94">
        <f>IF('Net zero activities &amp; levers'!$C$12="Off",'Activity data'!BM53*ManureNEF*NtoN2O*kgtoGg,'Net zero Activity data'!BM53*ManureNEF*NtoN2O*kgtoGg)</f>
        <v>0.4057032930761475</v>
      </c>
      <c r="AU972" s="94">
        <f>IF('Net zero activities &amp; levers'!$C$12="Off",'Activity data'!BN53*ManureNEF*NtoN2O*kgtoGg,'Net zero Activity data'!BN53*ManureNEF*NtoN2O*kgtoGg)</f>
        <v>0.3986998092121265</v>
      </c>
      <c r="AV972" s="94">
        <f>IF('Net zero activities &amp; levers'!$C$12="Off",'Activity data'!BO53*ManureNEF*NtoN2O*kgtoGg,'Net zero Activity data'!BO53*ManureNEF*NtoN2O*kgtoGg)</f>
        <v>0.39058052493607326</v>
      </c>
      <c r="AW972" s="94">
        <f>IF('Net zero activities &amp; levers'!$C$12="Off",'Activity data'!BP53*ManureNEF*NtoN2O*kgtoGg,'Net zero Activity data'!BP53*ManureNEF*NtoN2O*kgtoGg)</f>
        <v>0.38220678819508502</v>
      </c>
      <c r="AY972" s="79"/>
      <c r="AZ972" s="79"/>
    </row>
    <row r="973" spans="1:52" x14ac:dyDescent="0.3">
      <c r="A973" s="95" t="str">
        <f t="shared" si="326"/>
        <v>DS Organic</v>
      </c>
      <c r="B973" s="95" t="s">
        <v>974</v>
      </c>
      <c r="C973" s="95" t="s">
        <v>1127</v>
      </c>
      <c r="D973" t="s">
        <v>369</v>
      </c>
      <c r="E973" t="s">
        <v>55</v>
      </c>
      <c r="F973" t="s">
        <v>421</v>
      </c>
      <c r="G973" t="s">
        <v>1160</v>
      </c>
      <c r="H973" t="s">
        <v>1161</v>
      </c>
      <c r="I973" t="s">
        <v>139</v>
      </c>
      <c r="J973" t="s">
        <v>287</v>
      </c>
      <c r="K973" s="94">
        <f>IF('Net zero activities &amp; levers'!$C$12="Off",'Activity data'!AD54*ManureNEF*NtoN2O*kgtoGg,'Net zero Activity data'!AD54*ManureNEF*NtoN2O*kgtoGg)</f>
        <v>2.6602988559851246</v>
      </c>
      <c r="L973" s="94">
        <f>IF('Net zero activities &amp; levers'!$C$12="Off",'Activity data'!AE54*ManureNEF*NtoN2O*kgtoGg,'Net zero Activity data'!AE54*ManureNEF*NtoN2O*kgtoGg)</f>
        <v>2.6372269335947083</v>
      </c>
      <c r="M973" s="94">
        <f>IF('Net zero activities &amp; levers'!$C$12="Off",'Activity data'!AF54*ManureNEF*NtoN2O*kgtoGg,'Net zero Activity data'!AF54*ManureNEF*NtoN2O*kgtoGg)</f>
        <v>2.6284441511866339</v>
      </c>
      <c r="N973" s="94">
        <f>IF('Net zero activities &amp; levers'!$C$12="Off",'Activity data'!AG54*ManureNEF*NtoN2O*kgtoGg,'Net zero Activity data'!AG54*ManureNEF*NtoN2O*kgtoGg)</f>
        <v>2.5933447201068058</v>
      </c>
      <c r="O973" s="94">
        <f>IF('Net zero activities &amp; levers'!$C$12="Off",'Activity data'!AH54*ManureNEF*NtoN2O*kgtoGg,'Net zero Activity data'!AH54*ManureNEF*NtoN2O*kgtoGg)</f>
        <v>2.5423970387070201</v>
      </c>
      <c r="P973" s="94">
        <f>IF('Net zero activities &amp; levers'!$C$12="Off",'Activity data'!AI54*ManureNEF*NtoN2O*kgtoGg,'Net zero Activity data'!AI54*ManureNEF*NtoN2O*kgtoGg)</f>
        <v>2.4766546252796311</v>
      </c>
      <c r="Q973" s="94">
        <f>IF('Net zero activities &amp; levers'!$C$12="Off",'Activity data'!AJ54*ManureNEF*NtoN2O*kgtoGg,'Net zero Activity data'!AJ54*ManureNEF*NtoN2O*kgtoGg)</f>
        <v>2.4248016610449818</v>
      </c>
      <c r="R973" s="94">
        <f>IF('Net zero activities &amp; levers'!$C$12="Off",'Activity data'!AK54*ManureNEF*NtoN2O*kgtoGg,'Net zero Activity data'!AK54*ManureNEF*NtoN2O*kgtoGg)</f>
        <v>2.3757428620222045</v>
      </c>
      <c r="S973" s="94">
        <f>IF('Net zero activities &amp; levers'!$C$12="Off",'Activity data'!AL54*ManureNEF*NtoN2O*kgtoGg,'Net zero Activity data'!AL54*ManureNEF*NtoN2O*kgtoGg)</f>
        <v>2.0899611395217677</v>
      </c>
      <c r="T973" s="94">
        <f>IF('Net zero activities &amp; levers'!$C$12="Off",'Activity data'!AM54*ManureNEF*NtoN2O*kgtoGg,'Net zero Activity data'!AM54*ManureNEF*NtoN2O*kgtoGg)</f>
        <v>2.123908406459571</v>
      </c>
      <c r="U973" s="94">
        <f>IF('Net zero activities &amp; levers'!$C$12="Off",'Activity data'!AN54*ManureNEF*NtoN2O*kgtoGg,'Net zero Activity data'!AN54*ManureNEF*NtoN2O*kgtoGg)</f>
        <v>2.1872381038598681</v>
      </c>
      <c r="V973" s="94">
        <f>IF('Net zero activities &amp; levers'!$C$12="Off",'Activity data'!AO54*ManureNEF*NtoN2O*kgtoGg,'Net zero Activity data'!AO54*ManureNEF*NtoN2O*kgtoGg)</f>
        <v>2.1998857759152552</v>
      </c>
      <c r="W973" s="94">
        <f>IF('Net zero activities &amp; levers'!$C$12="Off",'Activity data'!AP54*ManureNEF*NtoN2O*kgtoGg,'Net zero Activity data'!AP54*ManureNEF*NtoN2O*kgtoGg)</f>
        <v>2.2181273565179156</v>
      </c>
      <c r="X973" s="94">
        <f>IF('Net zero activities &amp; levers'!$C$12="Off",'Activity data'!AQ54*ManureNEF*NtoN2O*kgtoGg,'Net zero Activity data'!AQ54*ManureNEF*NtoN2O*kgtoGg)</f>
        <v>2.2435747638317936</v>
      </c>
      <c r="Y973" s="94">
        <f>IF('Net zero activities &amp; levers'!$C$12="Off",'Activity data'!AR54*ManureNEF*NtoN2O*kgtoGg,'Net zero Activity data'!AR54*ManureNEF*NtoN2O*kgtoGg)</f>
        <v>2.2727641011058872</v>
      </c>
      <c r="Z973" s="94">
        <f>IF('Net zero activities &amp; levers'!$C$12="Off",'Activity data'!AS54*ManureNEF*NtoN2O*kgtoGg,'Net zero Activity data'!AS54*ManureNEF*NtoN2O*kgtoGg)</f>
        <v>2.3069870664207133</v>
      </c>
      <c r="AA973" s="94">
        <f>IF('Net zero activities &amp; levers'!$C$12="Off",'Activity data'!AT54*ManureNEF*NtoN2O*kgtoGg,'Net zero Activity data'!AT54*ManureNEF*NtoN2O*kgtoGg)</f>
        <v>2.3413678757080296</v>
      </c>
      <c r="AB973" s="94">
        <f>IF('Net zero activities &amp; levers'!$C$12="Off",'Activity data'!AU54*ManureNEF*NtoN2O*kgtoGg,'Net zero Activity data'!AU54*ManureNEF*NtoN2O*kgtoGg)</f>
        <v>2.380035677367871</v>
      </c>
      <c r="AC973" s="94">
        <f>IF('Net zero activities &amp; levers'!$C$12="Off",'Activity data'!AV54*ManureNEF*NtoN2O*kgtoGg,'Net zero Activity data'!AV54*ManureNEF*NtoN2O*kgtoGg)</f>
        <v>2.4183197434198012</v>
      </c>
      <c r="AD973" s="94">
        <f>IF('Net zero activities &amp; levers'!$C$12="Off",'Activity data'!AW54*ManureNEF*NtoN2O*kgtoGg,'Net zero Activity data'!AW54*ManureNEF*NtoN2O*kgtoGg)</f>
        <v>2.4432580924362282</v>
      </c>
      <c r="AE973" s="94">
        <f>IF('Net zero activities &amp; levers'!$C$12="Off",'Activity data'!AX54*ManureNEF*NtoN2O*kgtoGg,'Net zero Activity data'!AX54*ManureNEF*NtoN2O*kgtoGg)</f>
        <v>2.4637342148934525</v>
      </c>
      <c r="AF973" s="94">
        <f>IF('Net zero activities &amp; levers'!$C$12="Off",'Activity data'!AY54*ManureNEF*NtoN2O*kgtoGg,'Net zero Activity data'!AY54*ManureNEF*NtoN2O*kgtoGg)</f>
        <v>2.4853660780839015</v>
      </c>
      <c r="AG973" s="94">
        <f>IF('Net zero activities &amp; levers'!$C$12="Off",'Activity data'!AZ54*ManureNEF*NtoN2O*kgtoGg,'Net zero Activity data'!AZ54*ManureNEF*NtoN2O*kgtoGg)</f>
        <v>2.5143092679899</v>
      </c>
      <c r="AH973" s="94">
        <f>IF('Net zero activities &amp; levers'!$C$12="Off",'Activity data'!BA54*ManureNEF*NtoN2O*kgtoGg,'Net zero Activity data'!BA54*ManureNEF*NtoN2O*kgtoGg)</f>
        <v>2.5351242369049363</v>
      </c>
      <c r="AI973" s="94">
        <f>IF('Net zero activities &amp; levers'!$C$12="Off",'Activity data'!BB54*ManureNEF*NtoN2O*kgtoGg,'Net zero Activity data'!BB54*ManureNEF*NtoN2O*kgtoGg)</f>
        <v>2.5573078647097613</v>
      </c>
      <c r="AJ973" s="94">
        <f>IF('Net zero activities &amp; levers'!$C$12="Off",'Activity data'!BC54*ManureNEF*NtoN2O*kgtoGg,'Net zero Activity data'!BC54*ManureNEF*NtoN2O*kgtoGg)</f>
        <v>2.5817274482979573</v>
      </c>
      <c r="AK973" s="94">
        <f>IF('Net zero activities &amp; levers'!$C$12="Off",'Activity data'!BD54*ManureNEF*NtoN2O*kgtoGg,'Net zero Activity data'!BD54*ManureNEF*NtoN2O*kgtoGg)</f>
        <v>2.5969440997618101</v>
      </c>
      <c r="AL973" s="94">
        <f>IF('Net zero activities &amp; levers'!$C$12="Off",'Activity data'!BE54*ManureNEF*NtoN2O*kgtoGg,'Net zero Activity data'!BE54*ManureNEF*NtoN2O*kgtoGg)</f>
        <v>2.6083599094868397</v>
      </c>
      <c r="AM973" s="94">
        <f>IF('Net zero activities &amp; levers'!$C$12="Off",'Activity data'!BF54*ManureNEF*NtoN2O*kgtoGg,'Net zero Activity data'!BF54*ManureNEF*NtoN2O*kgtoGg)</f>
        <v>2.6163003362731181</v>
      </c>
      <c r="AN973" s="94">
        <f>IF('Net zero activities &amp; levers'!$C$12="Off",'Activity data'!BG54*ManureNEF*NtoN2O*kgtoGg,'Net zero Activity data'!BG54*ManureNEF*NtoN2O*kgtoGg)</f>
        <v>2.6409850244978843</v>
      </c>
      <c r="AO973" s="94">
        <f>IF('Net zero activities &amp; levers'!$C$12="Off",'Activity data'!BH54*ManureNEF*NtoN2O*kgtoGg,'Net zero Activity data'!BH54*ManureNEF*NtoN2O*kgtoGg)</f>
        <v>2.6597485124941493</v>
      </c>
      <c r="AP973" s="94">
        <f>IF('Net zero activities &amp; levers'!$C$12="Off",'Activity data'!BI54*ManureNEF*NtoN2O*kgtoGg,'Net zero Activity data'!BI54*ManureNEF*NtoN2O*kgtoGg)</f>
        <v>2.6787488500904026</v>
      </c>
      <c r="AQ973" s="94">
        <f>IF('Net zero activities &amp; levers'!$C$12="Off",'Activity data'!BJ54*ManureNEF*NtoN2O*kgtoGg,'Net zero Activity data'!BJ54*ManureNEF*NtoN2O*kgtoGg)</f>
        <v>2.6982033925594746</v>
      </c>
      <c r="AR973" s="94">
        <f>IF('Net zero activities &amp; levers'!$C$12="Off",'Activity data'!BK54*ManureNEF*NtoN2O*kgtoGg,'Net zero Activity data'!BK54*ManureNEF*NtoN2O*kgtoGg)</f>
        <v>2.7185044469941606</v>
      </c>
      <c r="AS973" s="94">
        <f>IF('Net zero activities &amp; levers'!$C$12="Off",'Activity data'!BL54*ManureNEF*NtoN2O*kgtoGg,'Net zero Activity data'!BL54*ManureNEF*NtoN2O*kgtoGg)</f>
        <v>2.739348237486432</v>
      </c>
      <c r="AT973" s="94">
        <f>IF('Net zero activities &amp; levers'!$C$12="Off",'Activity data'!BM54*ManureNEF*NtoN2O*kgtoGg,'Net zero Activity data'!BM54*ManureNEF*NtoN2O*kgtoGg)</f>
        <v>2.6982314327823316</v>
      </c>
      <c r="AU973" s="94">
        <f>IF('Net zero activities &amp; levers'!$C$12="Off",'Activity data'!BN54*ManureNEF*NtoN2O*kgtoGg,'Net zero Activity data'!BN54*ManureNEF*NtoN2O*kgtoGg)</f>
        <v>2.6516530080483269</v>
      </c>
      <c r="AV973" s="94">
        <f>IF('Net zero activities &amp; levers'!$C$12="Off",'Activity data'!BO54*ManureNEF*NtoN2O*kgtoGg,'Net zero Activity data'!BO54*ManureNEF*NtoN2O*kgtoGg)</f>
        <v>2.5976536730189443</v>
      </c>
      <c r="AW973" s="94">
        <f>IF('Net zero activities &amp; levers'!$C$12="Off",'Activity data'!BP54*ManureNEF*NtoN2O*kgtoGg,'Net zero Activity data'!BP54*ManureNEF*NtoN2O*kgtoGg)</f>
        <v>2.5419620380976129</v>
      </c>
      <c r="AY973" s="79"/>
      <c r="AZ973" s="79"/>
    </row>
    <row r="974" spans="1:52" x14ac:dyDescent="0.3">
      <c r="A974" s="95" t="str">
        <f t="shared" si="326"/>
        <v>DS Organic</v>
      </c>
      <c r="B974" s="95" t="s">
        <v>974</v>
      </c>
      <c r="C974" s="95" t="s">
        <v>1127</v>
      </c>
      <c r="D974" t="s">
        <v>369</v>
      </c>
      <c r="E974" t="s">
        <v>55</v>
      </c>
      <c r="F974" t="s">
        <v>421</v>
      </c>
      <c r="G974" t="s">
        <v>1162</v>
      </c>
      <c r="H974" t="s">
        <v>1163</v>
      </c>
      <c r="I974" t="s">
        <v>139</v>
      </c>
      <c r="J974" t="s">
        <v>287</v>
      </c>
      <c r="K974" s="94">
        <f>IF('Net zero activities &amp; levers'!$C$12="Off",'Activity data'!AD55*ManureNEF*NtoN2O*kgtoGg,'Net zero Activity data'!AD55*ManureNEF*NtoN2O*kgtoGg)</f>
        <v>0.34358078636628736</v>
      </c>
      <c r="L974" s="94">
        <f>IF('Net zero activities &amp; levers'!$C$12="Off",'Activity data'!AE55*ManureNEF*NtoN2O*kgtoGg,'Net zero Activity data'!AE55*ManureNEF*NtoN2O*kgtoGg)</f>
        <v>0.35516571939691499</v>
      </c>
      <c r="M974" s="94">
        <f>IF('Net zero activities &amp; levers'!$C$12="Off",'Activity data'!AF55*ManureNEF*NtoN2O*kgtoGg,'Net zero Activity data'!AF55*ManureNEF*NtoN2O*kgtoGg)</f>
        <v>0.36891582276573964</v>
      </c>
      <c r="N974" s="94">
        <f>IF('Net zero activities &amp; levers'!$C$12="Off",'Activity data'!AG55*ManureNEF*NtoN2O*kgtoGg,'Net zero Activity data'!AG55*ManureNEF*NtoN2O*kgtoGg)</f>
        <v>0.37917034791782095</v>
      </c>
      <c r="O974" s="94">
        <f>IF('Net zero activities &amp; levers'!$C$12="Off",'Activity data'!AH55*ManureNEF*NtoN2O*kgtoGg,'Net zero Activity data'!AH55*ManureNEF*NtoN2O*kgtoGg)</f>
        <v>0.38707850955818851</v>
      </c>
      <c r="P974" s="94">
        <f>IF('Net zero activities &amp; levers'!$C$12="Off",'Activity data'!AI55*ManureNEF*NtoN2O*kgtoGg,'Net zero Activity data'!AI55*ManureNEF*NtoN2O*kgtoGg)</f>
        <v>0.39252728601928993</v>
      </c>
      <c r="Q974" s="94">
        <f>IF('Net zero activities &amp; levers'!$C$12="Off",'Activity data'!AJ55*ManureNEF*NtoN2O*kgtoGg,'Net zero Activity data'!AJ55*ManureNEF*NtoN2O*kgtoGg)</f>
        <v>0.39996713645364929</v>
      </c>
      <c r="R974" s="94">
        <f>IF('Net zero activities &amp; levers'!$C$12="Off",'Activity data'!AK55*ManureNEF*NtoN2O*kgtoGg,'Net zero Activity data'!AK55*ManureNEF*NtoN2O*kgtoGg)</f>
        <v>0.40776627193753145</v>
      </c>
      <c r="S974" s="94">
        <f>IF('Net zero activities &amp; levers'!$C$12="Off",'Activity data'!AL55*ManureNEF*NtoN2O*kgtoGg,'Net zero Activity data'!AL55*ManureNEF*NtoN2O*kgtoGg)</f>
        <v>0.37321314104522196</v>
      </c>
      <c r="T974" s="94">
        <f>IF('Net zero activities &amp; levers'!$C$12="Off",'Activity data'!AM55*ManureNEF*NtoN2O*kgtoGg,'Net zero Activity data'!AM55*ManureNEF*NtoN2O*kgtoGg)</f>
        <v>0.3884130094850205</v>
      </c>
      <c r="U974" s="94">
        <f>IF('Net zero activities &amp; levers'!$C$12="Off",'Activity data'!AN55*ManureNEF*NtoN2O*kgtoGg,'Net zero Activity data'!AN55*ManureNEF*NtoN2O*kgtoGg)</f>
        <v>0.40949913684353023</v>
      </c>
      <c r="V974" s="94">
        <f>IF('Net zero activities &amp; levers'!$C$12="Off",'Activity data'!AO55*ManureNEF*NtoN2O*kgtoGg,'Net zero Activity data'!AO55*ManureNEF*NtoN2O*kgtoGg)</f>
        <v>0.4215293985273969</v>
      </c>
      <c r="W974" s="94">
        <f>IF('Net zero activities &amp; levers'!$C$12="Off",'Activity data'!AP55*ManureNEF*NtoN2O*kgtoGg,'Net zero Activity data'!AP55*ManureNEF*NtoN2O*kgtoGg)</f>
        <v>0.43487839572409737</v>
      </c>
      <c r="X974" s="94">
        <f>IF('Net zero activities &amp; levers'!$C$12="Off",'Activity data'!AQ55*ManureNEF*NtoN2O*kgtoGg,'Net zero Activity data'!AQ55*ManureNEF*NtoN2O*kgtoGg)</f>
        <v>0.4499540833261832</v>
      </c>
      <c r="Y974" s="94">
        <f>IF('Net zero activities &amp; levers'!$C$12="Off",'Activity data'!AR55*ManureNEF*NtoN2O*kgtoGg,'Net zero Activity data'!AR55*ManureNEF*NtoN2O*kgtoGg)</f>
        <v>0.46615455433442204</v>
      </c>
      <c r="Z974" s="94">
        <f>IF('Net zero activities &amp; levers'!$C$12="Off",'Activity data'!AS55*ManureNEF*NtoN2O*kgtoGg,'Net zero Activity data'!AS55*ManureNEF*NtoN2O*kgtoGg)</f>
        <v>0.48381398189083635</v>
      </c>
      <c r="AA974" s="94">
        <f>IF('Net zero activities &amp; levers'!$C$12="Off",'Activity data'!AT55*ManureNEF*NtoN2O*kgtoGg,'Net zero Activity data'!AT55*ManureNEF*NtoN2O*kgtoGg)</f>
        <v>0.50197004484830632</v>
      </c>
      <c r="AB974" s="94">
        <f>IF('Net zero activities &amp; levers'!$C$12="Off",'Activity data'!AU55*ManureNEF*NtoN2O*kgtoGg,'Net zero Activity data'!AU55*ManureNEF*NtoN2O*kgtoGg)</f>
        <v>0.52154350048929543</v>
      </c>
      <c r="AC974" s="94">
        <f>IF('Net zero activities &amp; levers'!$C$12="Off",'Activity data'!AV55*ManureNEF*NtoN2O*kgtoGg,'Net zero Activity data'!AV55*ManureNEF*NtoN2O*kgtoGg)</f>
        <v>0.5415643129229577</v>
      </c>
      <c r="AD974" s="94">
        <f>IF('Net zero activities &amp; levers'!$C$12="Off",'Activity data'!AW55*ManureNEF*NtoN2O*kgtoGg,'Net zero Activity data'!AW55*ManureNEF*NtoN2O*kgtoGg)</f>
        <v>0.56529401193420392</v>
      </c>
      <c r="AE974" s="94">
        <f>IF('Net zero activities &amp; levers'!$C$12="Off",'Activity data'!AX55*ManureNEF*NtoN2O*kgtoGg,'Net zero Activity data'!AX55*ManureNEF*NtoN2O*kgtoGg)</f>
        <v>0.58897158069089917</v>
      </c>
      <c r="AF974" s="94">
        <f>IF('Net zero activities &amp; levers'!$C$12="Off",'Activity data'!AY55*ManureNEF*NtoN2O*kgtoGg,'Net zero Activity data'!AY55*ManureNEF*NtoN2O*kgtoGg)</f>
        <v>0.61393439377098979</v>
      </c>
      <c r="AG974" s="94">
        <f>IF('Net zero activities &amp; levers'!$C$12="Off",'Activity data'!AZ55*ManureNEF*NtoN2O*kgtoGg,'Net zero Activity data'!AZ55*ManureNEF*NtoN2O*kgtoGg)</f>
        <v>0.64183870134182519</v>
      </c>
      <c r="AH974" s="94">
        <f>IF('Net zero activities &amp; levers'!$C$12="Off",'Activity data'!BA55*ManureNEF*NtoN2O*kgtoGg,'Net zero Activity data'!BA55*ManureNEF*NtoN2O*kgtoGg)</f>
        <v>0.66886013669524935</v>
      </c>
      <c r="AI974" s="94">
        <f>IF('Net zero activities &amp; levers'!$C$12="Off",'Activity data'!BB55*ManureNEF*NtoN2O*kgtoGg,'Net zero Activity data'!BB55*ManureNEF*NtoN2O*kgtoGg)</f>
        <v>0.6974449623138369</v>
      </c>
      <c r="AJ974" s="94">
        <f>IF('Net zero activities &amp; levers'!$C$12="Off",'Activity data'!BC55*ManureNEF*NtoN2O*kgtoGg,'Net zero Activity data'!BC55*ManureNEF*NtoN2O*kgtoGg)</f>
        <v>0.72794565179733817</v>
      </c>
      <c r="AK974" s="94">
        <f>IF('Net zero activities &amp; levers'!$C$12="Off",'Activity data'!BD55*ManureNEF*NtoN2O*kgtoGg,'Net zero Activity data'!BD55*ManureNEF*NtoN2O*kgtoGg)</f>
        <v>0.75716831024556897</v>
      </c>
      <c r="AL974" s="94">
        <f>IF('Net zero activities &amp; levers'!$C$12="Off",'Activity data'!BE55*ManureNEF*NtoN2O*kgtoGg,'Net zero Activity data'!BE55*ManureNEF*NtoN2O*kgtoGg)</f>
        <v>0.78655158010344739</v>
      </c>
      <c r="AM974" s="94">
        <f>IF('Net zero activities &amp; levers'!$C$12="Off",'Activity data'!BF55*ManureNEF*NtoN2O*kgtoGg,'Net zero Activity data'!BF55*ManureNEF*NtoN2O*kgtoGg)</f>
        <v>0.81615922006003327</v>
      </c>
      <c r="AN974" s="94">
        <f>IF('Net zero activities &amp; levers'!$C$12="Off",'Activity data'!BG55*ManureNEF*NtoN2O*kgtoGg,'Net zero Activity data'!BG55*ManureNEF*NtoN2O*kgtoGg)</f>
        <v>0.84710504325273028</v>
      </c>
      <c r="AO974" s="94">
        <f>IF('Net zero activities &amp; levers'!$C$12="Off",'Activity data'!BH55*ManureNEF*NtoN2O*kgtoGg,'Net zero Activity data'!BH55*ManureNEF*NtoN2O*kgtoGg)</f>
        <v>0.8772777887183536</v>
      </c>
      <c r="AP974" s="94">
        <f>IF('Net zero activities &amp; levers'!$C$12="Off",'Activity data'!BI55*ManureNEF*NtoN2O*kgtoGg,'Net zero Activity data'!BI55*ManureNEF*NtoN2O*kgtoGg)</f>
        <v>0.90865780083615855</v>
      </c>
      <c r="AQ974" s="94">
        <f>IF('Net zero activities &amp; levers'!$C$12="Off",'Activity data'!BJ55*ManureNEF*NtoN2O*kgtoGg,'Net zero Activity data'!BJ55*ManureNEF*NtoN2O*kgtoGg)</f>
        <v>0.94138400089523855</v>
      </c>
      <c r="AR974" s="94">
        <f>IF('Net zero activities &amp; levers'!$C$12="Off",'Activity data'!BK55*ManureNEF*NtoN2O*kgtoGg,'Net zero Activity data'!BK55*ManureNEF*NtoN2O*kgtoGg)</f>
        <v>0.9756708685083213</v>
      </c>
      <c r="AS974" s="94">
        <f>IF('Net zero activities &amp; levers'!$C$12="Off",'Activity data'!BL55*ManureNEF*NtoN2O*kgtoGg,'Net zero Activity data'!BL55*ManureNEF*NtoN2O*kgtoGg)</f>
        <v>1.0114969469202602</v>
      </c>
      <c r="AT974" s="94">
        <f>IF('Net zero activities &amp; levers'!$C$12="Off",'Activity data'!BM55*ManureNEF*NtoN2O*kgtoGg,'Net zero Activity data'!BM55*ManureNEF*NtoN2O*kgtoGg)</f>
        <v>1.0252009760930854</v>
      </c>
      <c r="AU974" s="94">
        <f>IF('Net zero activities &amp; levers'!$C$12="Off",'Activity data'!BN55*ManureNEF*NtoN2O*kgtoGg,'Net zero Activity data'!BN55*ManureNEF*NtoN2O*kgtoGg)</f>
        <v>1.0368909620314641</v>
      </c>
      <c r="AV974" s="94">
        <f>IF('Net zero activities &amp; levers'!$C$12="Off",'Activity data'!BO55*ManureNEF*NtoN2O*kgtoGg,'Net zero Activity data'!BO55*ManureNEF*NtoN2O*kgtoGg)</f>
        <v>1.0455964615277633</v>
      </c>
      <c r="AW974" s="94">
        <f>IF('Net zero activities &amp; levers'!$C$12="Off",'Activity data'!BP55*ManureNEF*NtoN2O*kgtoGg,'Net zero Activity data'!BP55*ManureNEF*NtoN2O*kgtoGg)</f>
        <v>1.0534263177729573</v>
      </c>
      <c r="AY974" s="79"/>
      <c r="AZ974" s="79"/>
    </row>
    <row r="975" spans="1:52" x14ac:dyDescent="0.3">
      <c r="A975" s="95" t="str">
        <f t="shared" si="326"/>
        <v>DS Organic</v>
      </c>
      <c r="B975" s="95" t="s">
        <v>974</v>
      </c>
      <c r="C975" s="95" t="s">
        <v>1127</v>
      </c>
      <c r="D975" t="s">
        <v>369</v>
      </c>
      <c r="E975" t="s">
        <v>55</v>
      </c>
      <c r="F975" t="s">
        <v>421</v>
      </c>
      <c r="G975" t="s">
        <v>1164</v>
      </c>
      <c r="H975" t="s">
        <v>1165</v>
      </c>
      <c r="I975" t="s">
        <v>139</v>
      </c>
      <c r="J975" t="s">
        <v>287</v>
      </c>
      <c r="K975" s="94">
        <f>IF('Net zero activities &amp; levers'!$C$12="Off",'Activity data'!AD56*ManureNEF*NtoN2O*kgtoGg,IF('Net zero activities &amp; levers'!$C$12="PB",'Activity data'!AD56*ManureNEF*NtoN2O*kgtoGg,IF('Net zero activities &amp; levers'!$C$12="MS",'Net zero Activity data'!AD56*ManureNEF*NtoN2O*kgtoGg,"ERROR")))</f>
        <v>5.8359782740747899E-2</v>
      </c>
      <c r="L975" s="94">
        <f>IF('Net zero activities &amp; levers'!$C$12="Off",'Activity data'!AE56*ManureNEF*NtoN2O*kgtoGg,IF('Net zero activities &amp; levers'!$C$12="PB",'Activity data'!AE56*ManureNEF*NtoN2O*kgtoGg,IF('Net zero activities &amp; levers'!$C$12="MS",'Net zero Activity data'!AE56*ManureNEF*NtoN2O*kgtoGg,"ERROR")))</f>
        <v>5.8391337689573865E-2</v>
      </c>
      <c r="M975" s="94">
        <f>IF('Net zero activities &amp; levers'!$C$12="Off",'Activity data'!AF56*ManureNEF*NtoN2O*kgtoGg,IF('Net zero activities &amp; levers'!$C$12="PB",'Activity data'!AF56*ManureNEF*NtoN2O*kgtoGg,IF('Net zero activities &amp; levers'!$C$12="MS",'Net zero Activity data'!AF56*ManureNEF*NtoN2O*kgtoGg,"ERROR")))</f>
        <v>5.8466784388382168E-2</v>
      </c>
      <c r="N975" s="94">
        <f>IF('Net zero activities &amp; levers'!$C$12="Off",'Activity data'!AG56*ManureNEF*NtoN2O*kgtoGg,IF('Net zero activities &amp; levers'!$C$12="PB",'Activity data'!AG56*ManureNEF*NtoN2O*kgtoGg,IF('Net zero activities &amp; levers'!$C$12="MS",'Net zero Activity data'!AG56*ManureNEF*NtoN2O*kgtoGg,"ERROR")))</f>
        <v>5.857803115055428E-2</v>
      </c>
      <c r="O975" s="94">
        <f>IF('Net zero activities &amp; levers'!$C$12="Off",'Activity data'!AH56*ManureNEF*NtoN2O*kgtoGg,IF('Net zero activities &amp; levers'!$C$12="PB",'Activity data'!AH56*ManureNEF*NtoN2O*kgtoGg,IF('Net zero activities &amp; levers'!$C$12="MS",'Net zero Activity data'!AH56*ManureNEF*NtoN2O*kgtoGg,"ERROR")))</f>
        <v>5.872437103691365E-2</v>
      </c>
      <c r="P975" s="94">
        <f>IF('Net zero activities &amp; levers'!$C$12="Off",'Activity data'!AI56*ManureNEF*NtoN2O*kgtoGg,IF('Net zero activities &amp; levers'!$C$12="PB",'Activity data'!AI56*ManureNEF*NtoN2O*kgtoGg,IF('Net zero activities &amp; levers'!$C$12="MS",'Net zero Activity data'!AI56*ManureNEF*NtoN2O*kgtoGg,"ERROR")))</f>
        <v>5.890425875881948E-2</v>
      </c>
      <c r="Q975" s="94">
        <f>IF('Net zero activities &amp; levers'!$C$12="Off",'Activity data'!AJ56*ManureNEF*NtoN2O*kgtoGg,IF('Net zero activities &amp; levers'!$C$12="PB",'Activity data'!AJ56*ManureNEF*NtoN2O*kgtoGg,IF('Net zero activities &amp; levers'!$C$12="MS",'Net zero Activity data'!AJ56*ManureNEF*NtoN2O*kgtoGg,"ERROR")))</f>
        <v>5.9106297224497076E-2</v>
      </c>
      <c r="R975" s="94">
        <f>IF('Net zero activities &amp; levers'!$C$12="Off",'Activity data'!AK56*ManureNEF*NtoN2O*kgtoGg,IF('Net zero activities &amp; levers'!$C$12="PB",'Activity data'!AK56*ManureNEF*NtoN2O*kgtoGg,IF('Net zero activities &amp; levers'!$C$12="MS",'Net zero Activity data'!AK56*ManureNEF*NtoN2O*kgtoGg,"ERROR")))</f>
        <v>5.932921089397071E-2</v>
      </c>
      <c r="S975" s="94">
        <f>IF('Net zero activities &amp; levers'!$C$12="Off",'Activity data'!AL56*ManureNEF*NtoN2O*kgtoGg,IF('Net zero activities &amp; levers'!$C$12="PB",'Activity data'!AL56*ManureNEF*NtoN2O*kgtoGg,IF('Net zero activities &amp; levers'!$C$12="MS",'Net zero Activity data'!AL56*ManureNEF*NtoN2O*kgtoGg,"ERROR")))</f>
        <v>5.9533053172061867E-2</v>
      </c>
      <c r="T975" s="94">
        <f>IF('Net zero activities &amp; levers'!$C$12="Off",'Activity data'!AM56*ManureNEF*NtoN2O*kgtoGg,IF('Net zero activities &amp; levers'!$C$12="PB",'Activity data'!AM56*ManureNEF*NtoN2O*kgtoGg,IF('Net zero activities &amp; levers'!$C$12="MS",'Net zero Activity data'!AM56*ManureNEF*NtoN2O*kgtoGg,"ERROR")))</f>
        <v>5.9622626403998236E-2</v>
      </c>
      <c r="U975" s="94">
        <f>IF('Net zero activities &amp; levers'!$C$12="Off",'Activity data'!AN56*ManureNEF*NtoN2O*kgtoGg,IF('Net zero activities &amp; levers'!$C$12="PB",'Activity data'!AN56*ManureNEF*NtoN2O*kgtoGg,IF('Net zero activities &amp; levers'!$C$12="MS",'Net zero Activity data'!AN56*ManureNEF*NtoN2O*kgtoGg,"ERROR")))</f>
        <v>5.9732014563410027E-2</v>
      </c>
      <c r="V975" s="94">
        <f>IF('Net zero activities &amp; levers'!$C$12="Off",'Activity data'!AO56*ManureNEF*NtoN2O*kgtoGg,IF('Net zero activities &amp; levers'!$C$12="PB",'Activity data'!AO56*ManureNEF*NtoN2O*kgtoGg,IF('Net zero activities &amp; levers'!$C$12="MS",'Net zero Activity data'!AO56*ManureNEF*NtoN2O*kgtoGg,"ERROR")))</f>
        <v>5.9846990057404043E-2</v>
      </c>
      <c r="W975" s="94">
        <f>IF('Net zero activities &amp; levers'!$C$12="Off",'Activity data'!AP56*ManureNEF*NtoN2O*kgtoGg,IF('Net zero activities &amp; levers'!$C$12="PB",'Activity data'!AP56*ManureNEF*NtoN2O*kgtoGg,IF('Net zero activities &amp; levers'!$C$12="MS",'Net zero Activity data'!AP56*ManureNEF*NtoN2O*kgtoGg,"ERROR")))</f>
        <v>5.9976074595492208E-2</v>
      </c>
      <c r="X975" s="94">
        <f>IF('Net zero activities &amp; levers'!$C$12="Off",'Activity data'!AQ56*ManureNEF*NtoN2O*kgtoGg,IF('Net zero activities &amp; levers'!$C$12="PB",'Activity data'!AQ56*ManureNEF*NtoN2O*kgtoGg,IF('Net zero activities &amp; levers'!$C$12="MS",'Net zero Activity data'!AQ56*ManureNEF*NtoN2O*kgtoGg,"ERROR")))</f>
        <v>6.0118906996584121E-2</v>
      </c>
      <c r="Y975" s="94">
        <f>IF('Net zero activities &amp; levers'!$C$12="Off",'Activity data'!AR56*ManureNEF*NtoN2O*kgtoGg,IF('Net zero activities &amp; levers'!$C$12="PB",'Activity data'!AR56*ManureNEF*NtoN2O*kgtoGg,IF('Net zero activities &amp; levers'!$C$12="MS",'Net zero Activity data'!AR56*ManureNEF*NtoN2O*kgtoGg,"ERROR")))</f>
        <v>6.0208109427104674E-2</v>
      </c>
      <c r="Z975" s="94">
        <f>IF('Net zero activities &amp; levers'!$C$12="Off",'Activity data'!AS56*ManureNEF*NtoN2O*kgtoGg,IF('Net zero activities &amp; levers'!$C$12="PB",'Activity data'!AS56*ManureNEF*NtoN2O*kgtoGg,IF('Net zero activities &amp; levers'!$C$12="MS",'Net zero Activity data'!AS56*ManureNEF*NtoN2O*kgtoGg,"ERROR")))</f>
        <v>6.0308885561081285E-2</v>
      </c>
      <c r="AA975" s="94">
        <f>IF('Net zero activities &amp; levers'!$C$12="Off",'Activity data'!AT56*ManureNEF*NtoN2O*kgtoGg,IF('Net zero activities &amp; levers'!$C$12="PB",'Activity data'!AT56*ManureNEF*NtoN2O*kgtoGg,IF('Net zero activities &amp; levers'!$C$12="MS",'Net zero Activity data'!AT56*ManureNEF*NtoN2O*kgtoGg,"ERROR")))</f>
        <v>6.0419873689415794E-2</v>
      </c>
      <c r="AB975" s="94">
        <f>IF('Net zero activities &amp; levers'!$C$12="Off",'Activity data'!AU56*ManureNEF*NtoN2O*kgtoGg,IF('Net zero activities &amp; levers'!$C$12="PB",'Activity data'!AU56*ManureNEF*NtoN2O*kgtoGg,IF('Net zero activities &amp; levers'!$C$12="MS",'Net zero Activity data'!AU56*ManureNEF*NtoN2O*kgtoGg,"ERROR")))</f>
        <v>6.0541378990392976E-2</v>
      </c>
      <c r="AC975" s="94">
        <f>IF('Net zero activities &amp; levers'!$C$12="Off",'Activity data'!AV56*ManureNEF*NtoN2O*kgtoGg,IF('Net zero activities &amp; levers'!$C$12="PB",'Activity data'!AV56*ManureNEF*NtoN2O*kgtoGg,IF('Net zero activities &amp; levers'!$C$12="MS",'Net zero Activity data'!AV56*ManureNEF*NtoN2O*kgtoGg,"ERROR")))</f>
        <v>6.0672147346661598E-2</v>
      </c>
      <c r="AD975" s="94">
        <f>IF('Net zero activities &amp; levers'!$C$12="Off",'Activity data'!AW56*ManureNEF*NtoN2O*kgtoGg,IF('Net zero activities &amp; levers'!$C$12="PB",'Activity data'!AW56*ManureNEF*NtoN2O*kgtoGg,IF('Net zero activities &amp; levers'!$C$12="MS",'Net zero Activity data'!AW56*ManureNEF*NtoN2O*kgtoGg,"ERROR")))</f>
        <v>6.075986875735849E-2</v>
      </c>
      <c r="AE975" s="94">
        <f>IF('Net zero activities &amp; levers'!$C$12="Off",'Activity data'!AX56*ManureNEF*NtoN2O*kgtoGg,IF('Net zero activities &amp; levers'!$C$12="PB",'Activity data'!AX56*ManureNEF*NtoN2O*kgtoGg,IF('Net zero activities &amp; levers'!$C$12="MS",'Net zero Activity data'!AX56*ManureNEF*NtoN2O*kgtoGg,"ERROR")))</f>
        <v>6.0855100315135816E-2</v>
      </c>
      <c r="AF975" s="94">
        <f>IF('Net zero activities &amp; levers'!$C$12="Off",'Activity data'!AY56*ManureNEF*NtoN2O*kgtoGg,IF('Net zero activities &amp; levers'!$C$12="PB",'Activity data'!AY56*ManureNEF*NtoN2O*kgtoGg,IF('Net zero activities &amp; levers'!$C$12="MS",'Net zero Activity data'!AY56*ManureNEF*NtoN2O*kgtoGg,"ERROR")))</f>
        <v>6.095860752574931E-2</v>
      </c>
      <c r="AG975" s="94">
        <f>IF('Net zero activities &amp; levers'!$C$12="Off",'Activity data'!AZ56*ManureNEF*NtoN2O*kgtoGg,IF('Net zero activities &amp; levers'!$C$12="PB",'Activity data'!AZ56*ManureNEF*NtoN2O*kgtoGg,IF('Net zero activities &amp; levers'!$C$12="MS",'Net zero Activity data'!AZ56*ManureNEF*NtoN2O*kgtoGg,"ERROR")))</f>
        <v>6.1071400786534412E-2</v>
      </c>
      <c r="AH975" s="94">
        <f>IF('Net zero activities &amp; levers'!$C$12="Off",'Activity data'!BA56*ManureNEF*NtoN2O*kgtoGg,IF('Net zero activities &amp; levers'!$C$12="PB",'Activity data'!BA56*ManureNEF*NtoN2O*kgtoGg,IF('Net zero activities &amp; levers'!$C$12="MS",'Net zero Activity data'!BA56*ManureNEF*NtoN2O*kgtoGg,"ERROR")))</f>
        <v>6.1190093146373289E-2</v>
      </c>
      <c r="AI975" s="94">
        <f>IF('Net zero activities &amp; levers'!$C$12="Off",'Activity data'!BB56*ManureNEF*NtoN2O*kgtoGg,IF('Net zero activities &amp; levers'!$C$12="PB",'Activity data'!BB56*ManureNEF*NtoN2O*kgtoGg,IF('Net zero activities &amp; levers'!$C$12="MS",'Net zero Activity data'!BB56*ManureNEF*NtoN2O*kgtoGg,"ERROR")))</f>
        <v>6.1265960925417272E-2</v>
      </c>
      <c r="AJ975" s="94">
        <f>IF('Net zero activities &amp; levers'!$C$12="Off",'Activity data'!BC56*ManureNEF*NtoN2O*kgtoGg,IF('Net zero activities &amp; levers'!$C$12="PB",'Activity data'!BC56*ManureNEF*NtoN2O*kgtoGg,IF('Net zero activities &amp; levers'!$C$12="MS",'Net zero Activity data'!BC56*ManureNEF*NtoN2O*kgtoGg,"ERROR")))</f>
        <v>6.1349061452671098E-2</v>
      </c>
      <c r="AK975" s="94">
        <f>IF('Net zero activities &amp; levers'!$C$12="Off",'Activity data'!BD56*ManureNEF*NtoN2O*kgtoGg,IF('Net zero activities &amp; levers'!$C$12="PB",'Activity data'!BD56*ManureNEF*NtoN2O*kgtoGg,IF('Net zero activities &amp; levers'!$C$12="MS",'Net zero Activity data'!BD56*ManureNEF*NtoN2O*kgtoGg,"ERROR")))</f>
        <v>6.1436653899188148E-2</v>
      </c>
      <c r="AL975" s="94">
        <f>IF('Net zero activities &amp; levers'!$C$12="Off",'Activity data'!BE56*ManureNEF*NtoN2O*kgtoGg,IF('Net zero activities &amp; levers'!$C$12="PB",'Activity data'!BE56*ManureNEF*NtoN2O*kgtoGg,IF('Net zero activities &amp; levers'!$C$12="MS",'Net zero Activity data'!BE56*ManureNEF*NtoN2O*kgtoGg,"ERROR")))</f>
        <v>6.152967077586103E-2</v>
      </c>
      <c r="AM975" s="94">
        <f>IF('Net zero activities &amp; levers'!$C$12="Off",'Activity data'!BF56*ManureNEF*NtoN2O*kgtoGg,IF('Net zero activities &amp; levers'!$C$12="PB",'Activity data'!BF56*ManureNEF*NtoN2O*kgtoGg,IF('Net zero activities &amp; levers'!$C$12="MS",'Net zero Activity data'!BF56*ManureNEF*NtoN2O*kgtoGg,"ERROR")))</f>
        <v>6.1627971048734624E-2</v>
      </c>
      <c r="AN975" s="94">
        <f>IF('Net zero activities &amp; levers'!$C$12="Off",'Activity data'!BG56*ManureNEF*NtoN2O*kgtoGg,IF('Net zero activities &amp; levers'!$C$12="PB",'Activity data'!BG56*ManureNEF*NtoN2O*kgtoGg,IF('Net zero activities &amp; levers'!$C$12="MS",'Net zero Activity data'!BG56*ManureNEF*NtoN2O*kgtoGg,"ERROR")))</f>
        <v>6.1686054121935154E-2</v>
      </c>
      <c r="AO975" s="94">
        <f>IF('Net zero activities &amp; levers'!$C$12="Off",'Activity data'!BH56*ManureNEF*NtoN2O*kgtoGg,IF('Net zero activities &amp; levers'!$C$12="PB",'Activity data'!BH56*ManureNEF*NtoN2O*kgtoGg,IF('Net zero activities &amp; levers'!$C$12="MS",'Net zero Activity data'!BH56*ManureNEF*NtoN2O*kgtoGg,"ERROR")))</f>
        <v>6.1748058507407479E-2</v>
      </c>
      <c r="AP975" s="94">
        <f>IF('Net zero activities &amp; levers'!$C$12="Off",'Activity data'!BI56*ManureNEF*NtoN2O*kgtoGg,IF('Net zero activities &amp; levers'!$C$12="PB",'Activity data'!BI56*ManureNEF*NtoN2O*kgtoGg,IF('Net zero activities &amp; levers'!$C$12="MS",'Net zero Activity data'!BI56*ManureNEF*NtoN2O*kgtoGg,"ERROR")))</f>
        <v>6.1815315922285695E-2</v>
      </c>
      <c r="AQ975" s="94">
        <f>IF('Net zero activities &amp; levers'!$C$12="Off",'Activity data'!BJ56*ManureNEF*NtoN2O*kgtoGg,IF('Net zero activities &amp; levers'!$C$12="PB",'Activity data'!BJ56*ManureNEF*NtoN2O*kgtoGg,IF('Net zero activities &amp; levers'!$C$12="MS",'Net zero Activity data'!BJ56*ManureNEF*NtoN2O*kgtoGg,"ERROR")))</f>
        <v>6.1887761342917867E-2</v>
      </c>
      <c r="AR975" s="94">
        <f>IF('Net zero activities &amp; levers'!$C$12="Off",'Activity data'!BK56*ManureNEF*NtoN2O*kgtoGg,IF('Net zero activities &amp; levers'!$C$12="PB",'Activity data'!BK56*ManureNEF*NtoN2O*kgtoGg,IF('Net zero activities &amp; levers'!$C$12="MS",'Net zero Activity data'!BK56*ManureNEF*NtoN2O*kgtoGg,"ERROR")))</f>
        <v>6.1965393268001254E-2</v>
      </c>
      <c r="AS975" s="94">
        <f>IF('Net zero activities &amp; levers'!$C$12="Off",'Activity data'!BL56*ManureNEF*NtoN2O*kgtoGg,IF('Net zero activities &amp; levers'!$C$12="PB",'Activity data'!BL56*ManureNEF*NtoN2O*kgtoGg,IF('Net zero activities &amp; levers'!$C$12="MS",'Net zero Activity data'!BL56*ManureNEF*NtoN2O*kgtoGg,"ERROR")))</f>
        <v>6.2000613011444994E-2</v>
      </c>
      <c r="AT975" s="94">
        <f>IF('Net zero activities &amp; levers'!$C$12="Off",'Activity data'!BM56*ManureNEF*NtoN2O*kgtoGg,IF('Net zero activities &amp; levers'!$C$12="PB",'Activity data'!BM56*ManureNEF*NtoN2O*kgtoGg,IF('Net zero activities &amp; levers'!$C$12="MS",'Net zero Activity data'!BM56*ManureNEF*NtoN2O*kgtoGg,"ERROR")))</f>
        <v>6.2023309807671526E-2</v>
      </c>
      <c r="AU975" s="94">
        <f>IF('Net zero activities &amp; levers'!$C$12="Off",'Activity data'!BN56*ManureNEF*NtoN2O*kgtoGg,IF('Net zero activities &amp; levers'!$C$12="PB",'Activity data'!BN56*ManureNEF*NtoN2O*kgtoGg,IF('Net zero activities &amp; levers'!$C$12="MS",'Net zero Activity data'!BN56*ManureNEF*NtoN2O*kgtoGg,"ERROR")))</f>
        <v>6.2048189785904866E-2</v>
      </c>
      <c r="AV975" s="94">
        <f>IF('Net zero activities &amp; levers'!$C$12="Off",'Activity data'!BO56*ManureNEF*NtoN2O*kgtoGg,IF('Net zero activities &amp; levers'!$C$12="PB",'Activity data'!BO56*ManureNEF*NtoN2O*kgtoGg,IF('Net zero activities &amp; levers'!$C$12="MS",'Net zero Activity data'!BO56*ManureNEF*NtoN2O*kgtoGg,"ERROR")))</f>
        <v>6.2074469713562223E-2</v>
      </c>
      <c r="AW975" s="94">
        <f>IF('Net zero activities &amp; levers'!$C$12="Off",'Activity data'!BP56*ManureNEF*NtoN2O*kgtoGg,IF('Net zero activities &amp; levers'!$C$12="PB",'Activity data'!BP56*ManureNEF*NtoN2O*kgtoGg,IF('Net zero activities &amp; levers'!$C$12="MS",'Net zero Activity data'!BP56*ManureNEF*NtoN2O*kgtoGg,"ERROR")))</f>
        <v>6.2103581129763968E-2</v>
      </c>
      <c r="AY975" s="79"/>
      <c r="AZ975" s="79"/>
    </row>
    <row r="976" spans="1:52" x14ac:dyDescent="0.3">
      <c r="A976" s="95" t="str">
        <f t="shared" si="326"/>
        <v>DS Organic</v>
      </c>
      <c r="B976" s="95" t="s">
        <v>974</v>
      </c>
      <c r="C976" s="95" t="s">
        <v>1127</v>
      </c>
      <c r="D976" t="s">
        <v>369</v>
      </c>
      <c r="E976" t="s">
        <v>55</v>
      </c>
      <c r="F976" t="s">
        <v>421</v>
      </c>
      <c r="G976" t="s">
        <v>1166</v>
      </c>
      <c r="H976" t="s">
        <v>1167</v>
      </c>
      <c r="I976" t="s">
        <v>139</v>
      </c>
      <c r="J976" t="s">
        <v>287</v>
      </c>
      <c r="K976" s="94">
        <f>IF('Net zero activities &amp; levers'!$C$12="Off",'Activity data'!AD57*ManureNEF*NtoN2O*kgtoGg,IF('Net zero activities &amp; levers'!$C$12="PB",'Activity data'!AD57*ManureNEF*NtoN2O*kgtoGg,IF('Net zero activities &amp; levers'!$C$12="MS",'Net zero Activity data'!AD57*ManureNEF*NtoN2O*kgtoGg,"ERROR")))</f>
        <v>4.7496930236945983E-2</v>
      </c>
      <c r="L976" s="94">
        <f>IF('Net zero activities &amp; levers'!$C$12="Off",'Activity data'!AE57*ManureNEF*NtoN2O*kgtoGg,IF('Net zero activities &amp; levers'!$C$12="PB",'Activity data'!AE57*ManureNEF*NtoN2O*kgtoGg,IF('Net zero activities &amp; levers'!$C$12="MS",'Net zero Activity data'!AE57*ManureNEF*NtoN2O*kgtoGg,"ERROR")))</f>
        <v>4.7522611675988952E-2</v>
      </c>
      <c r="M976" s="94">
        <f>IF('Net zero activities &amp; levers'!$C$12="Off",'Activity data'!AF57*ManureNEF*NtoN2O*kgtoGg,IF('Net zero activities &amp; levers'!$C$12="PB",'Activity data'!AF57*ManureNEF*NtoN2O*kgtoGg,IF('Net zero activities &amp; levers'!$C$12="MS",'Net zero Activity data'!AF57*ManureNEF*NtoN2O*kgtoGg,"ERROR")))</f>
        <v>4.7584015033260249E-2</v>
      </c>
      <c r="N976" s="94">
        <f>IF('Net zero activities &amp; levers'!$C$12="Off",'Activity data'!AG57*ManureNEF*NtoN2O*kgtoGg,IF('Net zero activities &amp; levers'!$C$12="PB",'Activity data'!AG57*ManureNEF*NtoN2O*kgtoGg,IF('Net zero activities &amp; levers'!$C$12="MS",'Net zero Activity data'!AG57*ManureNEF*NtoN2O*kgtoGg,"ERROR")))</f>
        <v>4.7674554775764919E-2</v>
      </c>
      <c r="O976" s="94">
        <f>IF('Net zero activities &amp; levers'!$C$12="Off",'Activity data'!AH57*ManureNEF*NtoN2O*kgtoGg,IF('Net zero activities &amp; levers'!$C$12="PB",'Activity data'!AH57*ManureNEF*NtoN2O*kgtoGg,IF('Net zero activities &amp; levers'!$C$12="MS",'Net zero Activity data'!AH57*ManureNEF*NtoN2O*kgtoGg,"ERROR")))</f>
        <v>4.7793655551108268E-2</v>
      </c>
      <c r="P976" s="94">
        <f>IF('Net zero activities &amp; levers'!$C$12="Off",'Activity data'!AI57*ManureNEF*NtoN2O*kgtoGg,IF('Net zero activities &amp; levers'!$C$12="PB",'Activity data'!AI57*ManureNEF*NtoN2O*kgtoGg,IF('Net zero activities &amp; levers'!$C$12="MS",'Net zero Activity data'!AI57*ManureNEF*NtoN2O*kgtoGg,"ERROR")))</f>
        <v>4.7940059704389672E-2</v>
      </c>
      <c r="Q976" s="94">
        <f>IF('Net zero activities &amp; levers'!$C$12="Off",'Activity data'!AJ57*ManureNEF*NtoN2O*kgtoGg,IF('Net zero activities &amp; levers'!$C$12="PB",'Activity data'!AJ57*ManureNEF*NtoN2O*kgtoGg,IF('Net zero activities &amp; levers'!$C$12="MS",'Net zero Activity data'!AJ57*ManureNEF*NtoN2O*kgtoGg,"ERROR")))</f>
        <v>4.8104491552124547E-2</v>
      </c>
      <c r="R976" s="94">
        <f>IF('Net zero activities &amp; levers'!$C$12="Off",'Activity data'!AK57*ManureNEF*NtoN2O*kgtoGg,IF('Net zero activities &amp; levers'!$C$12="PB",'Activity data'!AK57*ManureNEF*NtoN2O*kgtoGg,IF('Net zero activities &amp; levers'!$C$12="MS",'Net zero Activity data'!AK57*ManureNEF*NtoN2O*kgtoGg,"ERROR")))</f>
        <v>4.8285912978158388E-2</v>
      </c>
      <c r="S976" s="94">
        <f>IF('Net zero activities &amp; levers'!$C$12="Off",'Activity data'!AL57*ManureNEF*NtoN2O*kgtoGg,IF('Net zero activities &amp; levers'!$C$12="PB",'Activity data'!AL57*ManureNEF*NtoN2O*kgtoGg,IF('Net zero activities &amp; levers'!$C$12="MS",'Net zero Activity data'!AL57*ManureNEF*NtoN2O*kgtoGg,"ERROR")))</f>
        <v>4.8451812884003569E-2</v>
      </c>
      <c r="T976" s="94">
        <f>IF('Net zero activities &amp; levers'!$C$12="Off",'Activity data'!AM57*ManureNEF*NtoN2O*kgtoGg,IF('Net zero activities &amp; levers'!$C$12="PB",'Activity data'!AM57*ManureNEF*NtoN2O*kgtoGg,IF('Net zero activities &amp; levers'!$C$12="MS",'Net zero Activity data'!AM57*ManureNEF*NtoN2O*kgtoGg,"ERROR")))</f>
        <v>4.8524713319004827E-2</v>
      </c>
      <c r="U976" s="94">
        <f>IF('Net zero activities &amp; levers'!$C$12="Off",'Activity data'!AN57*ManureNEF*NtoN2O*kgtoGg,IF('Net zero activities &amp; levers'!$C$12="PB",'Activity data'!AN57*ManureNEF*NtoN2O*kgtoGg,IF('Net zero activities &amp; levers'!$C$12="MS",'Net zero Activity data'!AN57*ManureNEF*NtoN2O*kgtoGg,"ERROR")))</f>
        <v>4.8613740411504645E-2</v>
      </c>
      <c r="V976" s="94">
        <f>IF('Net zero activities &amp; levers'!$C$12="Off",'Activity data'!AO57*ManureNEF*NtoN2O*kgtoGg,IF('Net zero activities &amp; levers'!$C$12="PB",'Activity data'!AO57*ManureNEF*NtoN2O*kgtoGg,IF('Net zero activities &amp; levers'!$C$12="MS",'Net zero Activity data'!AO57*ManureNEF*NtoN2O*kgtoGg,"ERROR")))</f>
        <v>4.8707314834861425E-2</v>
      </c>
      <c r="W976" s="94">
        <f>IF('Net zero activities &amp; levers'!$C$12="Off",'Activity data'!AP57*ManureNEF*NtoN2O*kgtoGg,IF('Net zero activities &amp; levers'!$C$12="PB",'Activity data'!AP57*ManureNEF*NtoN2O*kgtoGg,IF('Net zero activities &amp; levers'!$C$12="MS",'Net zero Activity data'!AP57*ManureNEF*NtoN2O*kgtoGg,"ERROR")))</f>
        <v>4.8812372102251839E-2</v>
      </c>
      <c r="X976" s="94">
        <f>IF('Net zero activities &amp; levers'!$C$12="Off",'Activity data'!AQ57*ManureNEF*NtoN2O*kgtoGg,IF('Net zero activities &amp; levers'!$C$12="PB",'Activity data'!AQ57*ManureNEF*NtoN2O*kgtoGg,IF('Net zero activities &amp; levers'!$C$12="MS",'Net zero Activity data'!AQ57*ManureNEF*NtoN2O*kgtoGg,"ERROR")))</f>
        <v>4.8928618261364118E-2</v>
      </c>
      <c r="Y976" s="94">
        <f>IF('Net zero activities &amp; levers'!$C$12="Off",'Activity data'!AR57*ManureNEF*NtoN2O*kgtoGg,IF('Net zero activities &amp; levers'!$C$12="PB",'Activity data'!AR57*ManureNEF*NtoN2O*kgtoGg,IF('Net zero activities &amp; levers'!$C$12="MS",'Net zero Activity data'!AR57*ManureNEF*NtoN2O*kgtoGg,"ERROR")))</f>
        <v>4.9001216914416376E-2</v>
      </c>
      <c r="Z976" s="94">
        <f>IF('Net zero activities &amp; levers'!$C$12="Off",'Activity data'!AS57*ManureNEF*NtoN2O*kgtoGg,IF('Net zero activities &amp; levers'!$C$12="PB",'Activity data'!AS57*ManureNEF*NtoN2O*kgtoGg,IF('Net zero activities &amp; levers'!$C$12="MS",'Net zero Activity data'!AS57*ManureNEF*NtoN2O*kgtoGg,"ERROR")))</f>
        <v>4.908323498885471E-2</v>
      </c>
      <c r="AA976" s="94">
        <f>IF('Net zero activities &amp; levers'!$C$12="Off",'Activity data'!AT57*ManureNEF*NtoN2O*kgtoGg,IF('Net zero activities &amp; levers'!$C$12="PB",'Activity data'!AT57*ManureNEF*NtoN2O*kgtoGg,IF('Net zero activities &amp; levers'!$C$12="MS",'Net zero Activity data'!AT57*ManureNEF*NtoN2O*kgtoGg,"ERROR")))</f>
        <v>4.9173564238571964E-2</v>
      </c>
      <c r="AB976" s="94">
        <f>IF('Net zero activities &amp; levers'!$C$12="Off",'Activity data'!AU57*ManureNEF*NtoN2O*kgtoGg,IF('Net zero activities &amp; levers'!$C$12="PB",'Activity data'!AU57*ManureNEF*NtoN2O*kgtoGg,IF('Net zero activities &amp; levers'!$C$12="MS",'Net zero Activity data'!AU57*ManureNEF*NtoN2O*kgtoGg,"ERROR")))</f>
        <v>4.9272453037208674E-2</v>
      </c>
      <c r="AC976" s="94">
        <f>IF('Net zero activities &amp; levers'!$C$12="Off",'Activity data'!AV57*ManureNEF*NtoN2O*kgtoGg,IF('Net zero activities &amp; levers'!$C$12="PB",'Activity data'!AV57*ManureNEF*NtoN2O*kgtoGg,IF('Net zero activities &amp; levers'!$C$12="MS",'Net zero Activity data'!AV57*ManureNEF*NtoN2O*kgtoGg,"ERROR")))</f>
        <v>4.9378880703714607E-2</v>
      </c>
      <c r="AD976" s="94">
        <f>IF('Net zero activities &amp; levers'!$C$12="Off",'Activity data'!AW57*ManureNEF*NtoN2O*kgtoGg,IF('Net zero activities &amp; levers'!$C$12="PB",'Activity data'!AW57*ManureNEF*NtoN2O*kgtoGg,IF('Net zero activities &amp; levers'!$C$12="MS",'Net zero Activity data'!AW57*ManureNEF*NtoN2O*kgtoGg,"ERROR")))</f>
        <v>4.9450274007947166E-2</v>
      </c>
      <c r="AE976" s="94">
        <f>IF('Net zero activities &amp; levers'!$C$12="Off",'Activity data'!AX57*ManureNEF*NtoN2O*kgtoGg,IF('Net zero activities &amp; levers'!$C$12="PB",'Activity data'!AX57*ManureNEF*NtoN2O*kgtoGg,IF('Net zero activities &amp; levers'!$C$12="MS",'Net zero Activity data'!AX57*ManureNEF*NtoN2O*kgtoGg,"ERROR")))</f>
        <v>4.9527779551040076E-2</v>
      </c>
      <c r="AF976" s="94">
        <f>IF('Net zero activities &amp; levers'!$C$12="Off",'Activity data'!AY57*ManureNEF*NtoN2O*kgtoGg,IF('Net zero activities &amp; levers'!$C$12="PB",'Activity data'!AY57*ManureNEF*NtoN2O*kgtoGg,IF('Net zero activities &amp; levers'!$C$12="MS",'Net zero Activity data'!AY57*ManureNEF*NtoN2O*kgtoGg,"ERROR")))</f>
        <v>4.9612020350622385E-2</v>
      </c>
      <c r="AG976" s="94">
        <f>IF('Net zero activities &amp; levers'!$C$12="Off",'Activity data'!AZ57*ManureNEF*NtoN2O*kgtoGg,IF('Net zero activities &amp; levers'!$C$12="PB",'Activity data'!AZ57*ManureNEF*NtoN2O*kgtoGg,IF('Net zero activities &amp; levers'!$C$12="MS",'Net zero Activity data'!AZ57*ManureNEF*NtoN2O*kgtoGg,"ERROR")))</f>
        <v>4.9703818732780645E-2</v>
      </c>
      <c r="AH976" s="94">
        <f>IF('Net zero activities &amp; levers'!$C$12="Off",'Activity data'!BA57*ManureNEF*NtoN2O*kgtoGg,IF('Net zero activities &amp; levers'!$C$12="PB",'Activity data'!BA57*ManureNEF*NtoN2O*kgtoGg,IF('Net zero activities &amp; levers'!$C$12="MS",'Net zero Activity data'!BA57*ManureNEF*NtoN2O*kgtoGg,"ERROR")))</f>
        <v>4.9800418179697173E-2</v>
      </c>
      <c r="AI976" s="94">
        <f>IF('Net zero activities &amp; levers'!$C$12="Off",'Activity data'!BB57*ManureNEF*NtoN2O*kgtoGg,IF('Net zero activities &amp; levers'!$C$12="PB",'Activity data'!BB57*ManureNEF*NtoN2O*kgtoGg,IF('Net zero activities &amp; levers'!$C$12="MS",'Net zero Activity data'!BB57*ManureNEF*NtoN2O*kgtoGg,"ERROR")))</f>
        <v>4.9862164239042377E-2</v>
      </c>
      <c r="AJ976" s="94">
        <f>IF('Net zero activities &amp; levers'!$C$12="Off",'Activity data'!BC57*ManureNEF*NtoN2O*kgtoGg,IF('Net zero activities &amp; levers'!$C$12="PB",'Activity data'!BC57*ManureNEF*NtoN2O*kgtoGg,IF('Net zero activities &amp; levers'!$C$12="MS",'Net zero Activity data'!BC57*ManureNEF*NtoN2O*kgtoGg,"ERROR")))</f>
        <v>4.992979677227443E-2</v>
      </c>
      <c r="AK976" s="94">
        <f>IF('Net zero activities &amp; levers'!$C$12="Off",'Activity data'!BD57*ManureNEF*NtoN2O*kgtoGg,IF('Net zero activities &amp; levers'!$C$12="PB",'Activity data'!BD57*ManureNEF*NtoN2O*kgtoGg,IF('Net zero activities &amp; levers'!$C$12="MS",'Net zero Activity data'!BD57*ManureNEF*NtoN2O*kgtoGg,"ERROR")))</f>
        <v>5.0001085117194859E-2</v>
      </c>
      <c r="AL976" s="94">
        <f>IF('Net zero activities &amp; levers'!$C$12="Off",'Activity data'!BE57*ManureNEF*NtoN2O*kgtoGg,IF('Net zero activities &amp; levers'!$C$12="PB",'Activity data'!BE57*ManureNEF*NtoN2O*kgtoGg,IF('Net zero activities &amp; levers'!$C$12="MS",'Net zero Activity data'!BE57*ManureNEF*NtoN2O*kgtoGg,"ERROR")))</f>
        <v>5.0076788210912958E-2</v>
      </c>
      <c r="AM976" s="94">
        <f>IF('Net zero activities &amp; levers'!$C$12="Off",'Activity data'!BF57*ManureNEF*NtoN2O*kgtoGg,IF('Net zero activities &amp; levers'!$C$12="PB",'Activity data'!BF57*ManureNEF*NtoN2O*kgtoGg,IF('Net zero activities &amp; levers'!$C$12="MS",'Net zero Activity data'!BF57*ManureNEF*NtoN2O*kgtoGg,"ERROR")))</f>
        <v>5.0156791270960163E-2</v>
      </c>
      <c r="AN976" s="94">
        <f>IF('Net zero activities &amp; levers'!$C$12="Off",'Activity data'!BG57*ManureNEF*NtoN2O*kgtoGg,IF('Net zero activities &amp; levers'!$C$12="PB",'Activity data'!BG57*ManureNEF*NtoN2O*kgtoGg,IF('Net zero activities &amp; levers'!$C$12="MS",'Net zero Activity data'!BG57*ManureNEF*NtoN2O*kgtoGg,"ERROR")))</f>
        <v>5.0204062997244822E-2</v>
      </c>
      <c r="AO976" s="94">
        <f>IF('Net zero activities &amp; levers'!$C$12="Off",'Activity data'!BH57*ManureNEF*NtoN2O*kgtoGg,IF('Net zero activities &amp; levers'!$C$12="PB",'Activity data'!BH57*ManureNEF*NtoN2O*kgtoGg,IF('Net zero activities &amp; levers'!$C$12="MS",'Net zero Activity data'!BH57*ManureNEF*NtoN2O*kgtoGg,"ERROR")))</f>
        <v>5.0254526138690123E-2</v>
      </c>
      <c r="AP976" s="94">
        <f>IF('Net zero activities &amp; levers'!$C$12="Off",'Activity data'!BI57*ManureNEF*NtoN2O*kgtoGg,IF('Net zero activities &amp; levers'!$C$12="PB",'Activity data'!BI57*ManureNEF*NtoN2O*kgtoGg,IF('Net zero activities &amp; levers'!$C$12="MS",'Net zero Activity data'!BI57*ManureNEF*NtoN2O*kgtoGg,"ERROR")))</f>
        <v>5.0309264532021343E-2</v>
      </c>
      <c r="AQ976" s="94">
        <f>IF('Net zero activities &amp; levers'!$C$12="Off",'Activity data'!BJ57*ManureNEF*NtoN2O*kgtoGg,IF('Net zero activities &amp; levers'!$C$12="PB",'Activity data'!BJ57*ManureNEF*NtoN2O*kgtoGg,IF('Net zero activities &amp; levers'!$C$12="MS",'Net zero Activity data'!BJ57*ManureNEF*NtoN2O*kgtoGg,"ERROR")))</f>
        <v>5.036822525682455E-2</v>
      </c>
      <c r="AR976" s="94">
        <f>IF('Net zero activities &amp; levers'!$C$12="Off",'Activity data'!BK57*ManureNEF*NtoN2O*kgtoGg,IF('Net zero activities &amp; levers'!$C$12="PB",'Activity data'!BK57*ManureNEF*NtoN2O*kgtoGg,IF('Net zero activities &amp; levers'!$C$12="MS",'Net zero Activity data'!BK57*ManureNEF*NtoN2O*kgtoGg,"ERROR")))</f>
        <v>5.0431407091243406E-2</v>
      </c>
      <c r="AS976" s="94">
        <f>IF('Net zero activities &amp; levers'!$C$12="Off",'Activity data'!BL57*ManureNEF*NtoN2O*kgtoGg,IF('Net zero activities &amp; levers'!$C$12="PB",'Activity data'!BL57*ManureNEF*NtoN2O*kgtoGg,IF('Net zero activities &amp; levers'!$C$12="MS",'Net zero Activity data'!BL57*ManureNEF*NtoN2O*kgtoGg,"ERROR")))</f>
        <v>5.0460071174945387E-2</v>
      </c>
      <c r="AT976" s="94">
        <f>IF('Net zero activities &amp; levers'!$C$12="Off",'Activity data'!BM57*ManureNEF*NtoN2O*kgtoGg,IF('Net zero activities &amp; levers'!$C$12="PB",'Activity data'!BM57*ManureNEF*NtoN2O*kgtoGg,IF('Net zero activities &amp; levers'!$C$12="MS",'Net zero Activity data'!BM57*ManureNEF*NtoN2O*kgtoGg,"ERROR")))</f>
        <v>5.0478543281871534E-2</v>
      </c>
      <c r="AU976" s="94">
        <f>IF('Net zero activities &amp; levers'!$C$12="Off",'Activity data'!BN57*ManureNEF*NtoN2O*kgtoGg,IF('Net zero activities &amp; levers'!$C$12="PB",'Activity data'!BN57*ManureNEF*NtoN2O*kgtoGg,IF('Net zero activities &amp; levers'!$C$12="MS",'Net zero Activity data'!BN57*ManureNEF*NtoN2O*kgtoGg,"ERROR")))</f>
        <v>5.0498792202188725E-2</v>
      </c>
      <c r="AV976" s="94">
        <f>IF('Net zero activities &amp; levers'!$C$12="Off",'Activity data'!BO57*ManureNEF*NtoN2O*kgtoGg,IF('Net zero activities &amp; levers'!$C$12="PB",'Activity data'!BO57*ManureNEF*NtoN2O*kgtoGg,IF('Net zero activities &amp; levers'!$C$12="MS",'Net zero Activity data'!BO57*ManureNEF*NtoN2O*kgtoGg,"ERROR")))</f>
        <v>5.0520180491040283E-2</v>
      </c>
      <c r="AW976" s="94">
        <f>IF('Net zero activities &amp; levers'!$C$12="Off",'Activity data'!BP57*ManureNEF*NtoN2O*kgtoGg,IF('Net zero activities &amp; levers'!$C$12="PB",'Activity data'!BP57*ManureNEF*NtoN2O*kgtoGg,IF('Net zero activities &amp; levers'!$C$12="MS",'Net zero Activity data'!BP57*ManureNEF*NtoN2O*kgtoGg,"ERROR")))</f>
        <v>5.0543873226679401E-2</v>
      </c>
      <c r="AY976" s="79"/>
      <c r="AZ976" s="79"/>
    </row>
    <row r="977" spans="1:52" x14ac:dyDescent="0.3">
      <c r="A977" s="95" t="str">
        <f t="shared" si="326"/>
        <v>DS Organic</v>
      </c>
      <c r="B977" s="95" t="s">
        <v>974</v>
      </c>
      <c r="C977" s="95" t="s">
        <v>1127</v>
      </c>
      <c r="D977" t="s">
        <v>369</v>
      </c>
      <c r="E977" t="s">
        <v>55</v>
      </c>
      <c r="F977" t="s">
        <v>421</v>
      </c>
      <c r="G977" t="s">
        <v>1168</v>
      </c>
      <c r="H977" t="s">
        <v>1169</v>
      </c>
      <c r="I977" t="s">
        <v>139</v>
      </c>
      <c r="J977" t="s">
        <v>287</v>
      </c>
      <c r="K977" s="22">
        <f t="shared" ref="K977:Z980" si="343">K1474</f>
        <v>7.214092738049376E-3</v>
      </c>
      <c r="L977" s="22">
        <f t="shared" si="343"/>
        <v>7.2328458969643655E-3</v>
      </c>
      <c r="M977" s="22">
        <f t="shared" si="343"/>
        <v>7.2587152169743185E-3</v>
      </c>
      <c r="N977" s="22">
        <f t="shared" si="343"/>
        <v>7.2902308808567374E-3</v>
      </c>
      <c r="O977" s="22">
        <f t="shared" si="343"/>
        <v>7.3273479389297461E-3</v>
      </c>
      <c r="P977" s="22">
        <f t="shared" si="343"/>
        <v>7.3698404773103405E-3</v>
      </c>
      <c r="Q977" s="22">
        <f t="shared" si="343"/>
        <v>7.4155715935563154E-3</v>
      </c>
      <c r="R977" s="22">
        <f t="shared" si="343"/>
        <v>7.4643602602570466E-3</v>
      </c>
      <c r="S977" s="22">
        <f t="shared" si="343"/>
        <v>7.508606055628168E-3</v>
      </c>
      <c r="T977" s="22">
        <f t="shared" si="343"/>
        <v>7.530218392894506E-3</v>
      </c>
      <c r="U977" s="22">
        <f t="shared" si="343"/>
        <v>7.5549909541397786E-3</v>
      </c>
      <c r="V977" s="22">
        <f t="shared" si="343"/>
        <v>7.5802429112896688E-3</v>
      </c>
      <c r="W977" s="22">
        <f t="shared" si="343"/>
        <v>7.6076305558180233E-3</v>
      </c>
      <c r="X977" s="22">
        <f t="shared" si="343"/>
        <v>7.6371086242101958E-3</v>
      </c>
      <c r="Y977" s="22">
        <f t="shared" si="343"/>
        <v>7.6559732990994986E-3</v>
      </c>
      <c r="Z977" s="22">
        <f t="shared" si="343"/>
        <v>7.6766122997346123E-3</v>
      </c>
      <c r="AA977" s="22">
        <f t="shared" ref="L977:AW980" si="344">AA1474</f>
        <v>7.6987842276677087E-3</v>
      </c>
      <c r="AB977" s="22">
        <f t="shared" si="344"/>
        <v>7.7225602786557407E-3</v>
      </c>
      <c r="AC977" s="22">
        <f t="shared" si="344"/>
        <v>7.7477172000671966E-3</v>
      </c>
      <c r="AD977" s="22">
        <f t="shared" si="344"/>
        <v>7.7644940114083667E-3</v>
      </c>
      <c r="AE977" s="22">
        <f t="shared" si="344"/>
        <v>7.7823854824558272E-3</v>
      </c>
      <c r="AF977" s="22">
        <f t="shared" si="344"/>
        <v>7.8015430548696758E-3</v>
      </c>
      <c r="AG977" s="22">
        <f t="shared" si="344"/>
        <v>7.8221613065677827E-3</v>
      </c>
      <c r="AH977" s="22">
        <f t="shared" si="344"/>
        <v>7.8436173383695379E-3</v>
      </c>
      <c r="AI977" s="22">
        <f t="shared" si="344"/>
        <v>7.8569056109017259E-3</v>
      </c>
      <c r="AJ977" s="22">
        <f t="shared" si="344"/>
        <v>7.8713258060749292E-3</v>
      </c>
      <c r="AK977" s="22">
        <f t="shared" si="344"/>
        <v>7.8863764085469988E-3</v>
      </c>
      <c r="AL977" s="22">
        <f t="shared" si="344"/>
        <v>7.9022347099283879E-3</v>
      </c>
      <c r="AM977" s="22">
        <f t="shared" si="344"/>
        <v>7.9188789980088534E-3</v>
      </c>
      <c r="AN977" s="22">
        <f t="shared" si="344"/>
        <v>7.927972418898541E-3</v>
      </c>
      <c r="AO977" s="22">
        <f t="shared" si="344"/>
        <v>7.9376387015817219E-3</v>
      </c>
      <c r="AP977" s="22">
        <f t="shared" si="344"/>
        <v>7.9481245993818089E-3</v>
      </c>
      <c r="AQ977" s="22">
        <f t="shared" si="344"/>
        <v>7.9594200977915561E-3</v>
      </c>
      <c r="AR977" s="22">
        <f t="shared" si="344"/>
        <v>7.9715264998755E-3</v>
      </c>
      <c r="AS977" s="22">
        <f t="shared" si="344"/>
        <v>7.9757936370942299E-3</v>
      </c>
      <c r="AT977" s="22">
        <f t="shared" si="344"/>
        <v>7.9776886737032964E-3</v>
      </c>
      <c r="AU977" s="22">
        <f t="shared" si="344"/>
        <v>7.979891666850529E-3</v>
      </c>
      <c r="AV977" s="22">
        <f t="shared" si="344"/>
        <v>7.9822633621210899E-3</v>
      </c>
      <c r="AW977" s="22">
        <f t="shared" si="344"/>
        <v>7.9850651414760491E-3</v>
      </c>
      <c r="AY977" s="79"/>
      <c r="AZ977" s="79"/>
    </row>
    <row r="978" spans="1:52" x14ac:dyDescent="0.3">
      <c r="A978" s="95" t="str">
        <f t="shared" si="326"/>
        <v>DS Organic</v>
      </c>
      <c r="B978" s="95" t="s">
        <v>974</v>
      </c>
      <c r="C978" s="95" t="s">
        <v>1127</v>
      </c>
      <c r="D978" t="s">
        <v>369</v>
      </c>
      <c r="E978" t="s">
        <v>55</v>
      </c>
      <c r="F978" t="s">
        <v>421</v>
      </c>
      <c r="G978" t="s">
        <v>1170</v>
      </c>
      <c r="H978" t="s">
        <v>1171</v>
      </c>
      <c r="I978" t="s">
        <v>139</v>
      </c>
      <c r="J978" t="s">
        <v>287</v>
      </c>
      <c r="K978" s="22">
        <f t="shared" si="343"/>
        <v>8.7045671471293537E-2</v>
      </c>
      <c r="L978" s="22">
        <f t="shared" si="344"/>
        <v>8.7271948200639354E-2</v>
      </c>
      <c r="M978" s="22">
        <f t="shared" si="344"/>
        <v>8.7584088952434122E-2</v>
      </c>
      <c r="N978" s="22">
        <f t="shared" si="344"/>
        <v>8.7964358824768829E-2</v>
      </c>
      <c r="O978" s="22">
        <f t="shared" si="344"/>
        <v>8.8412215452112072E-2</v>
      </c>
      <c r="P978" s="22">
        <f t="shared" si="344"/>
        <v>8.8924932944132923E-2</v>
      </c>
      <c r="Q978" s="22">
        <f t="shared" si="344"/>
        <v>8.9476727309038592E-2</v>
      </c>
      <c r="R978" s="22">
        <f t="shared" si="344"/>
        <v>9.0065414259340087E-2</v>
      </c>
      <c r="S978" s="22">
        <f t="shared" si="344"/>
        <v>9.0599286654346481E-2</v>
      </c>
      <c r="T978" s="22">
        <f t="shared" si="344"/>
        <v>9.0860062399505684E-2</v>
      </c>
      <c r="U978" s="22">
        <f t="shared" si="344"/>
        <v>9.1158969594901898E-2</v>
      </c>
      <c r="V978" s="22">
        <f t="shared" si="344"/>
        <v>9.146366120975781E-2</v>
      </c>
      <c r="W978" s="22">
        <f t="shared" si="344"/>
        <v>9.1794122155375246E-2</v>
      </c>
      <c r="X978" s="22">
        <f t="shared" si="344"/>
        <v>9.2149806279498009E-2</v>
      </c>
      <c r="Y978" s="22">
        <f t="shared" si="344"/>
        <v>9.2377428567213551E-2</v>
      </c>
      <c r="Z978" s="22">
        <f t="shared" si="344"/>
        <v>9.2626459974767344E-2</v>
      </c>
      <c r="AA978" s="22">
        <f t="shared" si="344"/>
        <v>9.289398777414952E-2</v>
      </c>
      <c r="AB978" s="22">
        <f t="shared" si="344"/>
        <v>9.3180871017592357E-2</v>
      </c>
      <c r="AC978" s="22">
        <f t="shared" si="344"/>
        <v>9.34844159255835E-2</v>
      </c>
      <c r="AD978" s="22">
        <f t="shared" si="344"/>
        <v>9.368684592771491E-2</v>
      </c>
      <c r="AE978" s="22">
        <f t="shared" si="344"/>
        <v>9.3902725480069615E-2</v>
      </c>
      <c r="AF978" s="22">
        <f t="shared" si="344"/>
        <v>9.4133881886713511E-2</v>
      </c>
      <c r="AG978" s="22">
        <f t="shared" si="344"/>
        <v>9.4382662936360925E-2</v>
      </c>
      <c r="AH978" s="22">
        <f t="shared" si="344"/>
        <v>9.4641552690500438E-2</v>
      </c>
      <c r="AI978" s="22">
        <f t="shared" si="344"/>
        <v>9.4801889776154655E-2</v>
      </c>
      <c r="AJ978" s="22">
        <f t="shared" si="344"/>
        <v>9.4975884707627883E-2</v>
      </c>
      <c r="AK978" s="22">
        <f t="shared" si="344"/>
        <v>9.5157486171013425E-2</v>
      </c>
      <c r="AL978" s="22">
        <f t="shared" si="344"/>
        <v>9.534883337741358E-2</v>
      </c>
      <c r="AM978" s="22">
        <f t="shared" si="344"/>
        <v>9.5549664346009811E-2</v>
      </c>
      <c r="AN978" s="22">
        <f t="shared" si="344"/>
        <v>9.5659386102584815E-2</v>
      </c>
      <c r="AO978" s="22">
        <f t="shared" si="344"/>
        <v>9.5776020043586318E-2</v>
      </c>
      <c r="AP978" s="22">
        <f t="shared" si="344"/>
        <v>9.5902543509270868E-2</v>
      </c>
      <c r="AQ978" s="22">
        <f t="shared" si="344"/>
        <v>9.6038835663999289E-2</v>
      </c>
      <c r="AR978" s="22">
        <f t="shared" si="344"/>
        <v>9.6184912230625655E-2</v>
      </c>
      <c r="AS978" s="22">
        <f t="shared" si="344"/>
        <v>9.6236399761761113E-2</v>
      </c>
      <c r="AT978" s="22">
        <f t="shared" si="344"/>
        <v>9.625926538604522E-2</v>
      </c>
      <c r="AU978" s="22">
        <f t="shared" si="344"/>
        <v>9.6285846832210489E-2</v>
      </c>
      <c r="AV978" s="22">
        <f t="shared" si="344"/>
        <v>9.6314463848216167E-2</v>
      </c>
      <c r="AW978" s="22">
        <f t="shared" si="344"/>
        <v>9.6348270284329823E-2</v>
      </c>
      <c r="AY978" s="79"/>
      <c r="AZ978" s="79"/>
    </row>
    <row r="979" spans="1:52" x14ac:dyDescent="0.3">
      <c r="A979" s="95" t="str">
        <f t="shared" si="326"/>
        <v>DS Organic</v>
      </c>
      <c r="B979" s="95" t="s">
        <v>974</v>
      </c>
      <c r="C979" s="95" t="s">
        <v>1127</v>
      </c>
      <c r="D979" t="s">
        <v>369</v>
      </c>
      <c r="E979" t="s">
        <v>55</v>
      </c>
      <c r="F979" t="s">
        <v>421</v>
      </c>
      <c r="G979" t="s">
        <v>1172</v>
      </c>
      <c r="H979" t="s">
        <v>1173</v>
      </c>
      <c r="I979" t="s">
        <v>139</v>
      </c>
      <c r="J979" t="s">
        <v>287</v>
      </c>
      <c r="K979" s="22">
        <f t="shared" si="343"/>
        <v>0</v>
      </c>
      <c r="L979" s="22">
        <f t="shared" si="344"/>
        <v>0</v>
      </c>
      <c r="M979" s="22">
        <f t="shared" si="344"/>
        <v>0</v>
      </c>
      <c r="N979" s="22">
        <f t="shared" si="344"/>
        <v>0</v>
      </c>
      <c r="O979" s="22">
        <f t="shared" si="344"/>
        <v>0</v>
      </c>
      <c r="P979" s="22">
        <f t="shared" si="344"/>
        <v>0</v>
      </c>
      <c r="Q979" s="22">
        <f t="shared" si="344"/>
        <v>0</v>
      </c>
      <c r="R979" s="22">
        <f t="shared" si="344"/>
        <v>0</v>
      </c>
      <c r="S979" s="22">
        <f t="shared" si="344"/>
        <v>0</v>
      </c>
      <c r="T979" s="22">
        <f t="shared" si="344"/>
        <v>0</v>
      </c>
      <c r="U979" s="22">
        <f t="shared" si="344"/>
        <v>0</v>
      </c>
      <c r="V979" s="22">
        <f t="shared" si="344"/>
        <v>0</v>
      </c>
      <c r="W979" s="22">
        <f t="shared" si="344"/>
        <v>0</v>
      </c>
      <c r="X979" s="22">
        <f t="shared" si="344"/>
        <v>0</v>
      </c>
      <c r="Y979" s="22">
        <f t="shared" si="344"/>
        <v>0</v>
      </c>
      <c r="Z979" s="22">
        <f t="shared" si="344"/>
        <v>0</v>
      </c>
      <c r="AA979" s="22">
        <f t="shared" si="344"/>
        <v>0</v>
      </c>
      <c r="AB979" s="22">
        <f t="shared" si="344"/>
        <v>0</v>
      </c>
      <c r="AC979" s="22">
        <f t="shared" si="344"/>
        <v>0</v>
      </c>
      <c r="AD979" s="22">
        <f t="shared" si="344"/>
        <v>0</v>
      </c>
      <c r="AE979" s="22">
        <f t="shared" si="344"/>
        <v>0</v>
      </c>
      <c r="AF979" s="22">
        <f t="shared" si="344"/>
        <v>0</v>
      </c>
      <c r="AG979" s="22">
        <f t="shared" si="344"/>
        <v>0</v>
      </c>
      <c r="AH979" s="22">
        <f t="shared" si="344"/>
        <v>0</v>
      </c>
      <c r="AI979" s="22">
        <f t="shared" si="344"/>
        <v>0</v>
      </c>
      <c r="AJ979" s="22">
        <f t="shared" si="344"/>
        <v>0</v>
      </c>
      <c r="AK979" s="22">
        <f t="shared" si="344"/>
        <v>0</v>
      </c>
      <c r="AL979" s="22">
        <f t="shared" si="344"/>
        <v>0</v>
      </c>
      <c r="AM979" s="22">
        <f t="shared" si="344"/>
        <v>0</v>
      </c>
      <c r="AN979" s="22">
        <f t="shared" si="344"/>
        <v>0</v>
      </c>
      <c r="AO979" s="22">
        <f t="shared" si="344"/>
        <v>0</v>
      </c>
      <c r="AP979" s="22">
        <f t="shared" si="344"/>
        <v>0</v>
      </c>
      <c r="AQ979" s="22">
        <f t="shared" si="344"/>
        <v>0</v>
      </c>
      <c r="AR979" s="22">
        <f t="shared" si="344"/>
        <v>0</v>
      </c>
      <c r="AS979" s="22">
        <f t="shared" si="344"/>
        <v>0</v>
      </c>
      <c r="AT979" s="22">
        <f t="shared" si="344"/>
        <v>0</v>
      </c>
      <c r="AU979" s="22">
        <f t="shared" si="344"/>
        <v>0</v>
      </c>
      <c r="AV979" s="22">
        <f t="shared" si="344"/>
        <v>0</v>
      </c>
      <c r="AW979" s="22">
        <f t="shared" si="344"/>
        <v>0</v>
      </c>
      <c r="AY979" s="79"/>
      <c r="AZ979" s="79"/>
    </row>
    <row r="980" spans="1:52" x14ac:dyDescent="0.3">
      <c r="A980" s="95" t="str">
        <f t="shared" ref="A980:A1057" si="345">B980&amp;" "&amp;C980</f>
        <v>DS Organic</v>
      </c>
      <c r="B980" s="95" t="s">
        <v>974</v>
      </c>
      <c r="C980" s="95" t="s">
        <v>1127</v>
      </c>
      <c r="D980" t="s">
        <v>369</v>
      </c>
      <c r="E980" t="s">
        <v>55</v>
      </c>
      <c r="F980" t="s">
        <v>421</v>
      </c>
      <c r="G980" t="s">
        <v>1174</v>
      </c>
      <c r="H980" t="s">
        <v>1175</v>
      </c>
      <c r="I980" t="s">
        <v>139</v>
      </c>
      <c r="J980" t="s">
        <v>287</v>
      </c>
      <c r="K980" s="22">
        <f t="shared" si="343"/>
        <v>0</v>
      </c>
      <c r="L980" s="22">
        <f t="shared" si="344"/>
        <v>0</v>
      </c>
      <c r="M980" s="22">
        <f t="shared" si="344"/>
        <v>0</v>
      </c>
      <c r="N980" s="22">
        <f t="shared" si="344"/>
        <v>0</v>
      </c>
      <c r="O980" s="22">
        <f t="shared" si="344"/>
        <v>0</v>
      </c>
      <c r="P980" s="22">
        <f t="shared" si="344"/>
        <v>0</v>
      </c>
      <c r="Q980" s="22">
        <f t="shared" si="344"/>
        <v>0</v>
      </c>
      <c r="R980" s="22">
        <f t="shared" si="344"/>
        <v>0</v>
      </c>
      <c r="S980" s="22">
        <f t="shared" si="344"/>
        <v>0</v>
      </c>
      <c r="T980" s="22">
        <f t="shared" si="344"/>
        <v>0</v>
      </c>
      <c r="U980" s="22">
        <f t="shared" si="344"/>
        <v>0</v>
      </c>
      <c r="V980" s="22">
        <f t="shared" si="344"/>
        <v>0</v>
      </c>
      <c r="W980" s="22">
        <f t="shared" si="344"/>
        <v>0</v>
      </c>
      <c r="X980" s="22">
        <f t="shared" si="344"/>
        <v>0</v>
      </c>
      <c r="Y980" s="22">
        <f t="shared" si="344"/>
        <v>0</v>
      </c>
      <c r="Z980" s="22">
        <f t="shared" si="344"/>
        <v>0</v>
      </c>
      <c r="AA980" s="22">
        <f t="shared" si="344"/>
        <v>0</v>
      </c>
      <c r="AB980" s="22">
        <f t="shared" si="344"/>
        <v>0</v>
      </c>
      <c r="AC980" s="22">
        <f t="shared" si="344"/>
        <v>0</v>
      </c>
      <c r="AD980" s="22">
        <f t="shared" si="344"/>
        <v>0</v>
      </c>
      <c r="AE980" s="22">
        <f t="shared" si="344"/>
        <v>0</v>
      </c>
      <c r="AF980" s="22">
        <f t="shared" si="344"/>
        <v>0</v>
      </c>
      <c r="AG980" s="22">
        <f t="shared" si="344"/>
        <v>0</v>
      </c>
      <c r="AH980" s="22">
        <f t="shared" si="344"/>
        <v>0</v>
      </c>
      <c r="AI980" s="22">
        <f t="shared" si="344"/>
        <v>0</v>
      </c>
      <c r="AJ980" s="22">
        <f t="shared" si="344"/>
        <v>0</v>
      </c>
      <c r="AK980" s="22">
        <f t="shared" si="344"/>
        <v>0</v>
      </c>
      <c r="AL980" s="22">
        <f t="shared" si="344"/>
        <v>0</v>
      </c>
      <c r="AM980" s="22">
        <f t="shared" si="344"/>
        <v>0</v>
      </c>
      <c r="AN980" s="22">
        <f t="shared" si="344"/>
        <v>0</v>
      </c>
      <c r="AO980" s="22">
        <f t="shared" si="344"/>
        <v>0</v>
      </c>
      <c r="AP980" s="22">
        <f t="shared" si="344"/>
        <v>0</v>
      </c>
      <c r="AQ980" s="22">
        <f t="shared" si="344"/>
        <v>0</v>
      </c>
      <c r="AR980" s="22">
        <f t="shared" si="344"/>
        <v>0</v>
      </c>
      <c r="AS980" s="22">
        <f t="shared" si="344"/>
        <v>0</v>
      </c>
      <c r="AT980" s="22">
        <f t="shared" si="344"/>
        <v>0</v>
      </c>
      <c r="AU980" s="22">
        <f t="shared" si="344"/>
        <v>0</v>
      </c>
      <c r="AV980" s="22">
        <f t="shared" si="344"/>
        <v>0</v>
      </c>
      <c r="AW980" s="22">
        <f t="shared" si="344"/>
        <v>0</v>
      </c>
      <c r="AY980" s="79"/>
      <c r="AZ980" s="79"/>
    </row>
    <row r="981" spans="1:52" x14ac:dyDescent="0.3">
      <c r="A981" s="95" t="str">
        <f t="shared" si="345"/>
        <v>DS Organic</v>
      </c>
      <c r="B981" s="95" t="s">
        <v>974</v>
      </c>
      <c r="C981" s="95" t="s">
        <v>1127</v>
      </c>
      <c r="D981" t="s">
        <v>369</v>
      </c>
      <c r="E981" t="s">
        <v>55</v>
      </c>
      <c r="F981" t="s">
        <v>421</v>
      </c>
      <c r="G981" t="s">
        <v>1176</v>
      </c>
      <c r="H981" t="s">
        <v>1177</v>
      </c>
      <c r="I981" t="s">
        <v>139</v>
      </c>
      <c r="J981" t="s">
        <v>287</v>
      </c>
      <c r="K981" s="94">
        <f>IF('Net zero activities &amp; levers'!$C$12="Off",'Activity data'!AD62*ManureNEF*NtoN2O*kgtoGg,IF('Net zero activities &amp; levers'!$C$12="PB",'Activity data'!AD62*ManureNEF*NtoN2O*kgtoGg,IF('Net zero activities &amp; levers'!$C$12="MS",'Net zero Activity data'!AD62*ManureNEF*NtoN2O*kgtoGg,"ERROR")))</f>
        <v>0.12462873299340151</v>
      </c>
      <c r="L981" s="94">
        <f>IF('Net zero activities &amp; levers'!$C$12="Off",'Activity data'!AE62*ManureNEF*NtoN2O*kgtoGg,IF('Net zero activities &amp; levers'!$C$12="PB",'Activity data'!AE62*ManureNEF*NtoN2O*kgtoGg,IF('Net zero activities &amp; levers'!$C$12="MS",'Net zero Activity data'!AE62*ManureNEF*NtoN2O*kgtoGg,"ERROR")))</f>
        <v>0.1239512929347177</v>
      </c>
      <c r="M981" s="94">
        <f>IF('Net zero activities &amp; levers'!$C$12="Off",'Activity data'!AF62*ManureNEF*NtoN2O*kgtoGg,IF('Net zero activities &amp; levers'!$C$12="PB",'Activity data'!AF62*ManureNEF*NtoN2O*kgtoGg,IF('Net zero activities &amp; levers'!$C$12="MS",'Net zero Activity data'!AF62*ManureNEF*NtoN2O*kgtoGg,"ERROR")))</f>
        <v>0.12400689511310994</v>
      </c>
      <c r="N981" s="94">
        <f>IF('Net zero activities &amp; levers'!$C$12="Off",'Activity data'!AG62*ManureNEF*NtoN2O*kgtoGg,IF('Net zero activities &amp; levers'!$C$12="PB",'Activity data'!AG62*ManureNEF*NtoN2O*kgtoGg,IF('Net zero activities &amp; levers'!$C$12="MS",'Net zero Activity data'!AG62*ManureNEF*NtoN2O*kgtoGg,"ERROR")))</f>
        <v>0.12286841678965586</v>
      </c>
      <c r="O981" s="94">
        <f>IF('Net zero activities &amp; levers'!$C$12="Off",'Activity data'!AH62*ManureNEF*NtoN2O*kgtoGg,IF('Net zero activities &amp; levers'!$C$12="PB",'Activity data'!AH62*ManureNEF*NtoN2O*kgtoGg,IF('Net zero activities &amp; levers'!$C$12="MS",'Net zero Activity data'!AH62*ManureNEF*NtoN2O*kgtoGg,"ERROR")))</f>
        <v>0.12100901910044999</v>
      </c>
      <c r="P981" s="94">
        <f>IF('Net zero activities &amp; levers'!$C$12="Off",'Activity data'!AI62*ManureNEF*NtoN2O*kgtoGg,IF('Net zero activities &amp; levers'!$C$12="PB",'Activity data'!AI62*ManureNEF*NtoN2O*kgtoGg,IF('Net zero activities &amp; levers'!$C$12="MS",'Net zero Activity data'!AI62*ManureNEF*NtoN2O*kgtoGg,"ERROR")))</f>
        <v>0.11845842648899828</v>
      </c>
      <c r="Q981" s="94">
        <f>IF('Net zero activities &amp; levers'!$C$12="Off",'Activity data'!AJ62*ManureNEF*NtoN2O*kgtoGg,IF('Net zero activities &amp; levers'!$C$12="PB",'Activity data'!AJ62*ManureNEF*NtoN2O*kgtoGg,IF('Net zero activities &amp; levers'!$C$12="MS",'Net zero Activity data'!AJ62*ManureNEF*NtoN2O*kgtoGg,"ERROR")))</f>
        <v>0.11660641339960404</v>
      </c>
      <c r="R981" s="94">
        <f>IF('Net zero activities &amp; levers'!$C$12="Off",'Activity data'!AK62*ManureNEF*NtoN2O*kgtoGg,IF('Net zero activities &amp; levers'!$C$12="PB",'Activity data'!AK62*ManureNEF*NtoN2O*kgtoGg,IF('Net zero activities &amp; levers'!$C$12="MS",'Net zero Activity data'!AK62*ManureNEF*NtoN2O*kgtoGg,"ERROR")))</f>
        <v>0.1149182786313902</v>
      </c>
      <c r="S981" s="94">
        <f>IF('Net zero activities &amp; levers'!$C$12="Off",'Activity data'!AL62*ManureNEF*NtoN2O*kgtoGg,IF('Net zero activities &amp; levers'!$C$12="PB",'Activity data'!AL62*ManureNEF*NtoN2O*kgtoGg,IF('Net zero activities &amp; levers'!$C$12="MS",'Net zero Activity data'!AL62*ManureNEF*NtoN2O*kgtoGg,"ERROR")))</f>
        <v>0.10146708298993465</v>
      </c>
      <c r="T981" s="94">
        <f>IF('Net zero activities &amp; levers'!$C$12="Off",'Activity data'!AM62*ManureNEF*NtoN2O*kgtoGg,IF('Net zero activities &amp; levers'!$C$12="PB",'Activity data'!AM62*ManureNEF*NtoN2O*kgtoGg,IF('Net zero activities &amp; levers'!$C$12="MS",'Net zero Activity data'!AM62*ManureNEF*NtoN2O*kgtoGg,"ERROR")))</f>
        <v>0.10275020296586759</v>
      </c>
      <c r="U981" s="94">
        <f>IF('Net zero activities &amp; levers'!$C$12="Off",'Activity data'!AN62*ManureNEF*NtoN2O*kgtoGg,IF('Net zero activities &amp; levers'!$C$12="PB",'Activity data'!AN62*ManureNEF*NtoN2O*kgtoGg,IF('Net zero activities &amp; levers'!$C$12="MS",'Net zero Activity data'!AN62*ManureNEF*NtoN2O*kgtoGg,"ERROR")))</f>
        <v>0.10550352655141972</v>
      </c>
      <c r="V981" s="94">
        <f>IF('Net zero activities &amp; levers'!$C$12="Off",'Activity data'!AO62*ManureNEF*NtoN2O*kgtoGg,IF('Net zero activities &amp; levers'!$C$12="PB",'Activity data'!AO62*ManureNEF*NtoN2O*kgtoGg,IF('Net zero activities &amp; levers'!$C$12="MS",'Net zero Activity data'!AO62*ManureNEF*NtoN2O*kgtoGg,"ERROR")))</f>
        <v>0.10575351402910073</v>
      </c>
      <c r="W981" s="94">
        <f>IF('Net zero activities &amp; levers'!$C$12="Off",'Activity data'!AP62*ManureNEF*NtoN2O*kgtoGg,IF('Net zero activities &amp; levers'!$C$12="PB",'Activity data'!AP62*ManureNEF*NtoN2O*kgtoGg,IF('Net zero activities &amp; levers'!$C$12="MS",'Net zero Activity data'!AP62*ManureNEF*NtoN2O*kgtoGg,"ERROR")))</f>
        <v>0.10629487580237802</v>
      </c>
      <c r="X981" s="94">
        <f>IF('Net zero activities &amp; levers'!$C$12="Off",'Activity data'!AQ62*ManureNEF*NtoN2O*kgtoGg,IF('Net zero activities &amp; levers'!$C$12="PB",'Activity data'!AQ62*ManureNEF*NtoN2O*kgtoGg,IF('Net zero activities &amp; levers'!$C$12="MS",'Net zero Activity data'!AQ62*ManureNEF*NtoN2O*kgtoGg,"ERROR")))</f>
        <v>0.10720509536861222</v>
      </c>
      <c r="Y981" s="94">
        <f>IF('Net zero activities &amp; levers'!$C$12="Off",'Activity data'!AR62*ManureNEF*NtoN2O*kgtoGg,IF('Net zero activities &amp; levers'!$C$12="PB",'Activity data'!AR62*ManureNEF*NtoN2O*kgtoGg,IF('Net zero activities &amp; levers'!$C$12="MS",'Net zero Activity data'!AR62*ManureNEF*NtoN2O*kgtoGg,"ERROR")))</f>
        <v>0.10834723898966528</v>
      </c>
      <c r="Z981" s="94">
        <f>IF('Net zero activities &amp; levers'!$C$12="Off",'Activity data'!AS62*ManureNEF*NtoN2O*kgtoGg,IF('Net zero activities &amp; levers'!$C$12="PB",'Activity data'!AS62*ManureNEF*NtoN2O*kgtoGg,IF('Net zero activities &amp; levers'!$C$12="MS",'Net zero Activity data'!AS62*ManureNEF*NtoN2O*kgtoGg,"ERROR")))</f>
        <v>0.10974683917126901</v>
      </c>
      <c r="AA981" s="94">
        <f>IF('Net zero activities &amp; levers'!$C$12="Off",'Activity data'!AT62*ManureNEF*NtoN2O*kgtoGg,IF('Net zero activities &amp; levers'!$C$12="PB",'Activity data'!AT62*ManureNEF*NtoN2O*kgtoGg,IF('Net zero activities &amp; levers'!$C$12="MS",'Net zero Activity data'!AT62*ManureNEF*NtoN2O*kgtoGg,"ERROR")))</f>
        <v>0.1111628062750292</v>
      </c>
      <c r="AB981" s="94">
        <f>IF('Net zero activities &amp; levers'!$C$12="Off",'Activity data'!AU62*ManureNEF*NtoN2O*kgtoGg,IF('Net zero activities &amp; levers'!$C$12="PB",'Activity data'!AU62*ManureNEF*NtoN2O*kgtoGg,IF('Net zero activities &amp; levers'!$C$12="MS",'Net zero Activity data'!AU62*ManureNEF*NtoN2O*kgtoGg,"ERROR")))</f>
        <v>0.11279760688156307</v>
      </c>
      <c r="AC981" s="94">
        <f>IF('Net zero activities &amp; levers'!$C$12="Off",'Activity data'!AV62*ManureNEF*NtoN2O*kgtoGg,IF('Net zero activities &amp; levers'!$C$12="PB",'Activity data'!AV62*ManureNEF*NtoN2O*kgtoGg,IF('Net zero activities &amp; levers'!$C$12="MS",'Net zero Activity data'!AV62*ManureNEF*NtoN2O*kgtoGg,"ERROR")))</f>
        <v>0.11442112413234014</v>
      </c>
      <c r="AD981" s="94">
        <f>IF('Net zero activities &amp; levers'!$C$12="Off",'Activity data'!AW62*ManureNEF*NtoN2O*kgtoGg,IF('Net zero activities &amp; levers'!$C$12="PB",'Activity data'!AW62*ManureNEF*NtoN2O*kgtoGg,IF('Net zero activities &amp; levers'!$C$12="MS",'Net zero Activity data'!AW62*ManureNEF*NtoN2O*kgtoGg,"ERROR")))</f>
        <v>0.11643957996744059</v>
      </c>
      <c r="AE981" s="94">
        <f>IF('Net zero activities &amp; levers'!$C$12="Off",'Activity data'!AX62*ManureNEF*NtoN2O*kgtoGg,IF('Net zero activities &amp; levers'!$C$12="PB",'Activity data'!AX62*ManureNEF*NtoN2O*kgtoGg,IF('Net zero activities &amp; levers'!$C$12="MS",'Net zero Activity data'!AX62*ManureNEF*NtoN2O*kgtoGg,"ERROR")))</f>
        <v>0.11829771598770626</v>
      </c>
      <c r="AF981" s="94">
        <f>IF('Net zero activities &amp; levers'!$C$12="Off",'Activity data'!AY62*ManureNEF*NtoN2O*kgtoGg,IF('Net zero activities &amp; levers'!$C$12="PB",'Activity data'!AY62*ManureNEF*NtoN2O*kgtoGg,IF('Net zero activities &amp; levers'!$C$12="MS",'Net zero Activity data'!AY62*ManureNEF*NtoN2O*kgtoGg,"ERROR")))</f>
        <v>0.12027492127071612</v>
      </c>
      <c r="AG981" s="94">
        <f>IF('Net zero activities &amp; levers'!$C$12="Off",'Activity data'!AZ62*ManureNEF*NtoN2O*kgtoGg,IF('Net zero activities &amp; levers'!$C$12="PB",'Activity data'!AZ62*ManureNEF*NtoN2O*kgtoGg,IF('Net zero activities &amp; levers'!$C$12="MS",'Net zero Activity data'!AZ62*ManureNEF*NtoN2O*kgtoGg,"ERROR")))</f>
        <v>0.12268685377616716</v>
      </c>
      <c r="AH981" s="94">
        <f>IF('Net zero activities &amp; levers'!$C$12="Off",'Activity data'!BA62*ManureNEF*NtoN2O*kgtoGg,IF('Net zero activities &amp; levers'!$C$12="PB",'Activity data'!BA62*ManureNEF*NtoN2O*kgtoGg,IF('Net zero activities &amp; levers'!$C$12="MS",'Net zero Activity data'!BA62*ManureNEF*NtoN2O*kgtoGg,"ERROR")))</f>
        <v>0.12475791099342097</v>
      </c>
      <c r="AI981" s="94">
        <f>IF('Net zero activities &amp; levers'!$C$12="Off",'Activity data'!BB62*ManureNEF*NtoN2O*kgtoGg,IF('Net zero activities &amp; levers'!$C$12="PB",'Activity data'!BB62*ManureNEF*NtoN2O*kgtoGg,IF('Net zero activities &amp; levers'!$C$12="MS",'Net zero Activity data'!BB62*ManureNEF*NtoN2O*kgtoGg,"ERROR")))</f>
        <v>0.12699329856497024</v>
      </c>
      <c r="AJ981" s="94">
        <f>IF('Net zero activities &amp; levers'!$C$12="Off",'Activity data'!BC62*ManureNEF*NtoN2O*kgtoGg,IF('Net zero activities &amp; levers'!$C$12="PB",'Activity data'!BC62*ManureNEF*NtoN2O*kgtoGg,IF('Net zero activities &amp; levers'!$C$12="MS",'Net zero Activity data'!BC62*ManureNEF*NtoN2O*kgtoGg,"ERROR")))</f>
        <v>0.12941943299405728</v>
      </c>
      <c r="AK981" s="94">
        <f>IF('Net zero activities &amp; levers'!$C$12="Off",'Activity data'!BD62*ManureNEF*NtoN2O*kgtoGg,IF('Net zero activities &amp; levers'!$C$12="PB",'Activity data'!BD62*ManureNEF*NtoN2O*kgtoGg,IF('Net zero activities &amp; levers'!$C$12="MS",'Net zero Activity data'!BD62*ManureNEF*NtoN2O*kgtoGg,"ERROR")))</f>
        <v>0.13144337900700456</v>
      </c>
      <c r="AL981" s="94">
        <f>IF('Net zero activities &amp; levers'!$C$12="Off",'Activity data'!BE62*ManureNEF*NtoN2O*kgtoGg,IF('Net zero activities &amp; levers'!$C$12="PB",'Activity data'!BE62*ManureNEF*NtoN2O*kgtoGg,IF('Net zero activities &amp; levers'!$C$12="MS",'Net zero Activity data'!BE62*ManureNEF*NtoN2O*kgtoGg,"ERROR")))</f>
        <v>0.13334140591601026</v>
      </c>
      <c r="AM981" s="94">
        <f>IF('Net zero activities &amp; levers'!$C$12="Off",'Activity data'!BF62*ManureNEF*NtoN2O*kgtoGg,IF('Net zero activities &amp; levers'!$C$12="PB",'Activity data'!BF62*ManureNEF*NtoN2O*kgtoGg,IF('Net zero activities &amp; levers'!$C$12="MS",'Net zero Activity data'!BF62*ManureNEF*NtoN2O*kgtoGg,"ERROR")))</f>
        <v>0.13512882169953486</v>
      </c>
      <c r="AN981" s="94">
        <f>IF('Net zero activities &amp; levers'!$C$12="Off",'Activity data'!BG62*ManureNEF*NtoN2O*kgtoGg,IF('Net zero activities &amp; levers'!$C$12="PB",'Activity data'!BG62*ManureNEF*NtoN2O*kgtoGg,IF('Net zero activities &amp; levers'!$C$12="MS",'Net zero Activity data'!BG62*ManureNEF*NtoN2O*kgtoGg,"ERROR")))</f>
        <v>0.13719268069693955</v>
      </c>
      <c r="AO981" s="94">
        <f>IF('Net zero activities &amp; levers'!$C$12="Off",'Activity data'!BH62*ManureNEF*NtoN2O*kgtoGg,IF('Net zero activities &amp; levers'!$C$12="PB",'Activity data'!BH62*ManureNEF*NtoN2O*kgtoGg,IF('Net zero activities &amp; levers'!$C$12="MS",'Net zero Activity data'!BH62*ManureNEF*NtoN2O*kgtoGg,"ERROR")))</f>
        <v>0.13898281232646292</v>
      </c>
      <c r="AP981" s="94">
        <f>IF('Net zero activities &amp; levers'!$C$12="Off",'Activity data'!BI62*ManureNEF*NtoN2O*kgtoGg,IF('Net zero activities &amp; levers'!$C$12="PB",'Activity data'!BI62*ManureNEF*NtoN2O*kgtoGg,IF('Net zero activities &amp; levers'!$C$12="MS",'Net zero Activity data'!BI62*ManureNEF*NtoN2O*kgtoGg,"ERROR")))</f>
        <v>0.140830682916952</v>
      </c>
      <c r="AQ981" s="94">
        <f>IF('Net zero activities &amp; levers'!$C$12="Off",'Activity data'!BJ62*ManureNEF*NtoN2O*kgtoGg,IF('Net zero activities &amp; levers'!$C$12="PB",'Activity data'!BJ62*ManureNEF*NtoN2O*kgtoGg,IF('Net zero activities &amp; levers'!$C$12="MS",'Net zero Activity data'!BJ62*ManureNEF*NtoN2O*kgtoGg,"ERROR")))</f>
        <v>0.14275023053200411</v>
      </c>
      <c r="AR981" s="94">
        <f>IF('Net zero activities &amp; levers'!$C$12="Off",'Activity data'!BK62*ManureNEF*NtoN2O*kgtoGg,IF('Net zero activities &amp; levers'!$C$12="PB",'Activity data'!BK62*ManureNEF*NtoN2O*kgtoGg,IF('Net zero activities &amp; levers'!$C$12="MS",'Net zero Activity data'!BK62*ManureNEF*NtoN2O*kgtoGg,"ERROR")))</f>
        <v>0.14476547350370239</v>
      </c>
      <c r="AS981" s="94">
        <f>IF('Net zero activities &amp; levers'!$C$12="Off",'Activity data'!BL62*ManureNEF*NtoN2O*kgtoGg,IF('Net zero activities &amp; levers'!$C$12="PB",'Activity data'!BL62*ManureNEF*NtoN2O*kgtoGg,IF('Net zero activities &amp; levers'!$C$12="MS",'Net zero Activity data'!BL62*ManureNEF*NtoN2O*kgtoGg,"ERROR")))</f>
        <v>0.14688161225730581</v>
      </c>
      <c r="AT981" s="94">
        <f>IF('Net zero activities &amp; levers'!$C$12="Off",'Activity data'!BM62*ManureNEF*NtoN2O*kgtoGg,IF('Net zero activities &amp; levers'!$C$12="PB",'Activity data'!BM62*ManureNEF*NtoN2O*kgtoGg,IF('Net zero activities &amp; levers'!$C$12="MS",'Net zero Activity data'!BM62*ManureNEF*NtoN2O*kgtoGg,"ERROR")))</f>
        <v>0.14559391276445241</v>
      </c>
      <c r="AU981" s="94">
        <f>IF('Net zero activities &amp; levers'!$C$12="Off",'Activity data'!BN62*ManureNEF*NtoN2O*kgtoGg,IF('Net zero activities &amp; levers'!$C$12="PB",'Activity data'!BN62*ManureNEF*NtoN2O*kgtoGg,IF('Net zero activities &amp; levers'!$C$12="MS",'Net zero Activity data'!BN62*ManureNEF*NtoN2O*kgtoGg,"ERROR")))</f>
        <v>0.14400863154663293</v>
      </c>
      <c r="AV981" s="94">
        <f>IF('Net zero activities &amp; levers'!$C$12="Off",'Activity data'!BO62*ManureNEF*NtoN2O*kgtoGg,IF('Net zero activities &amp; levers'!$C$12="PB",'Activity data'!BO62*ManureNEF*NtoN2O*kgtoGg,IF('Net zero activities &amp; levers'!$C$12="MS",'Net zero Activity data'!BO62*ManureNEF*NtoN2O*kgtoGg,"ERROR")))</f>
        <v>0.1420082821543816</v>
      </c>
      <c r="AW981" s="94">
        <f>IF('Net zero activities &amp; levers'!$C$12="Off",'Activity data'!BP62*ManureNEF*NtoN2O*kgtoGg,IF('Net zero activities &amp; levers'!$C$12="PB",'Activity data'!BP62*ManureNEF*NtoN2O*kgtoGg,IF('Net zero activities &amp; levers'!$C$12="MS",'Net zero Activity data'!BP62*ManureNEF*NtoN2O*kgtoGg,"ERROR")))</f>
        <v>0.13990982914905775</v>
      </c>
      <c r="AY981" s="79"/>
      <c r="AZ981" s="79"/>
    </row>
    <row r="982" spans="1:52" x14ac:dyDescent="0.3">
      <c r="A982" s="95" t="str">
        <f t="shared" si="345"/>
        <v>DS Organic</v>
      </c>
      <c r="B982" s="95" t="s">
        <v>974</v>
      </c>
      <c r="C982" s="95" t="s">
        <v>1127</v>
      </c>
      <c r="D982" t="s">
        <v>369</v>
      </c>
      <c r="E982" t="s">
        <v>55</v>
      </c>
      <c r="F982" t="s">
        <v>421</v>
      </c>
      <c r="G982" t="s">
        <v>1178</v>
      </c>
      <c r="H982" t="s">
        <v>1179</v>
      </c>
      <c r="I982" t="s">
        <v>139</v>
      </c>
      <c r="J982" t="s">
        <v>287</v>
      </c>
      <c r="K982" s="94">
        <f>IF('Net zero activities &amp; levers'!$C$12="Off",'Activity data'!AD63*ManureNEF*NtoN2O*kgtoGg,IF('Net zero activities &amp; levers'!$C$12="PB",'Activity data'!AD63*ManureNEF*NtoN2O*kgtoGg,IF('Net zero activities &amp; levers'!$C$12="MS",'Net zero Activity data'!AD63*ManureNEF*NtoN2O*kgtoGg,"ERROR")))</f>
        <v>3.1618785484610064E-2</v>
      </c>
      <c r="L982" s="94">
        <f>IF('Net zero activities &amp; levers'!$C$12="Off",'Activity data'!AE63*ManureNEF*NtoN2O*kgtoGg,IF('Net zero activities &amp; levers'!$C$12="PB",'Activity data'!AE63*ManureNEF*NtoN2O*kgtoGg,IF('Net zero activities &amp; levers'!$C$12="MS",'Net zero Activity data'!AE63*ManureNEF*NtoN2O*kgtoGg,"ERROR")))</f>
        <v>3.1446916354757486E-2</v>
      </c>
      <c r="M982" s="94">
        <f>IF('Net zero activities &amp; levers'!$C$12="Off",'Activity data'!AF63*ManureNEF*NtoN2O*kgtoGg,IF('Net zero activities &amp; levers'!$C$12="PB",'Activity data'!AF63*ManureNEF*NtoN2O*kgtoGg,IF('Net zero activities &amp; levers'!$C$12="MS",'Net zero Activity data'!AF63*ManureNEF*NtoN2O*kgtoGg,"ERROR")))</f>
        <v>3.1461022839745618E-2</v>
      </c>
      <c r="N982" s="94">
        <f>IF('Net zero activities &amp; levers'!$C$12="Off",'Activity data'!AG63*ManureNEF*NtoN2O*kgtoGg,IF('Net zero activities &amp; levers'!$C$12="PB",'Activity data'!AG63*ManureNEF*NtoN2O*kgtoGg,IF('Net zero activities &amp; levers'!$C$12="MS",'Net zero Activity data'!AG63*ManureNEF*NtoN2O*kgtoGg,"ERROR")))</f>
        <v>3.1172186541537576E-2</v>
      </c>
      <c r="O982" s="94">
        <f>IF('Net zero activities &amp; levers'!$C$12="Off",'Activity data'!AH63*ManureNEF*NtoN2O*kgtoGg,IF('Net zero activities &amp; levers'!$C$12="PB",'Activity data'!AH63*ManureNEF*NtoN2O*kgtoGg,IF('Net zero activities &amp; levers'!$C$12="MS",'Net zero Activity data'!AH63*ManureNEF*NtoN2O*kgtoGg,"ERROR")))</f>
        <v>3.0700450247237825E-2</v>
      </c>
      <c r="P982" s="94">
        <f>IF('Net zero activities &amp; levers'!$C$12="Off",'Activity data'!AI63*ManureNEF*NtoN2O*kgtoGg,IF('Net zero activities &amp; levers'!$C$12="PB",'Activity data'!AI63*ManureNEF*NtoN2O*kgtoGg,IF('Net zero activities &amp; levers'!$C$12="MS",'Net zero Activity data'!AI63*ManureNEF*NtoN2O*kgtoGg,"ERROR")))</f>
        <v>3.0053355161673623E-2</v>
      </c>
      <c r="Q982" s="94">
        <f>IF('Net zero activities &amp; levers'!$C$12="Off",'Activity data'!AJ63*ManureNEF*NtoN2O*kgtoGg,IF('Net zero activities &amp; levers'!$C$12="PB",'Activity data'!AJ63*ManureNEF*NtoN2O*kgtoGg,IF('Net zero activities &amp; levers'!$C$12="MS",'Net zero Activity data'!AJ63*ManureNEF*NtoN2O*kgtoGg,"ERROR")))</f>
        <v>2.9583492368545915E-2</v>
      </c>
      <c r="R982" s="94">
        <f>IF('Net zero activities &amp; levers'!$C$12="Off",'Activity data'!AK63*ManureNEF*NtoN2O*kgtoGg,IF('Net zero activities &amp; levers'!$C$12="PB",'Activity data'!AK63*ManureNEF*NtoN2O*kgtoGg,IF('Net zero activities &amp; levers'!$C$12="MS",'Net zero Activity data'!AK63*ManureNEF*NtoN2O*kgtoGg,"ERROR")))</f>
        <v>2.9155206131309674E-2</v>
      </c>
      <c r="S982" s="94">
        <f>IF('Net zero activities &amp; levers'!$C$12="Off",'Activity data'!AL63*ManureNEF*NtoN2O*kgtoGg,IF('Net zero activities &amp; levers'!$C$12="PB",'Activity data'!AL63*ManureNEF*NtoN2O*kgtoGg,IF('Net zero activities &amp; levers'!$C$12="MS",'Net zero Activity data'!AL63*ManureNEF*NtoN2O*kgtoGg,"ERROR")))</f>
        <v>2.5742586430512242E-2</v>
      </c>
      <c r="T982" s="94">
        <f>IF('Net zero activities &amp; levers'!$C$12="Off",'Activity data'!AM63*ManureNEF*NtoN2O*kgtoGg,IF('Net zero activities &amp; levers'!$C$12="PB",'Activity data'!AM63*ManureNEF*NtoN2O*kgtoGg,IF('Net zero activities &amp; levers'!$C$12="MS",'Net zero Activity data'!AM63*ManureNEF*NtoN2O*kgtoGg,"ERROR")))</f>
        <v>2.6068118868302407E-2</v>
      </c>
      <c r="U982" s="94">
        <f>IF('Net zero activities &amp; levers'!$C$12="Off",'Activity data'!AN63*ManureNEF*NtoN2O*kgtoGg,IF('Net zero activities &amp; levers'!$C$12="PB",'Activity data'!AN63*ManureNEF*NtoN2O*kgtoGg,IF('Net zero activities &amp; levers'!$C$12="MS",'Net zero Activity data'!AN63*ManureNEF*NtoN2O*kgtoGg,"ERROR")))</f>
        <v>2.6766647576171875E-2</v>
      </c>
      <c r="V982" s="94">
        <f>IF('Net zero activities &amp; levers'!$C$12="Off",'Activity data'!AO63*ManureNEF*NtoN2O*kgtoGg,IF('Net zero activities &amp; levers'!$C$12="PB",'Activity data'!AO63*ManureNEF*NtoN2O*kgtoGg,IF('Net zero activities &amp; levers'!$C$12="MS",'Net zero Activity data'!AO63*ManureNEF*NtoN2O*kgtoGg,"ERROR")))</f>
        <v>2.6830070353895639E-2</v>
      </c>
      <c r="W982" s="94">
        <f>IF('Net zero activities &amp; levers'!$C$12="Off",'Activity data'!AP63*ManureNEF*NtoN2O*kgtoGg,IF('Net zero activities &amp; levers'!$C$12="PB",'Activity data'!AP63*ManureNEF*NtoN2O*kgtoGg,IF('Net zero activities &amp; levers'!$C$12="MS",'Net zero Activity data'!AP63*ManureNEF*NtoN2O*kgtoGg,"ERROR")))</f>
        <v>2.6967415903093594E-2</v>
      </c>
      <c r="X982" s="94">
        <f>IF('Net zero activities &amp; levers'!$C$12="Off",'Activity data'!AQ63*ManureNEF*NtoN2O*kgtoGg,IF('Net zero activities &amp; levers'!$C$12="PB",'Activity data'!AQ63*ManureNEF*NtoN2O*kgtoGg,IF('Net zero activities &amp; levers'!$C$12="MS",'Net zero Activity data'!AQ63*ManureNEF*NtoN2O*kgtoGg,"ERROR")))</f>
        <v>2.7198342082935097E-2</v>
      </c>
      <c r="Y982" s="94">
        <f>IF('Net zero activities &amp; levers'!$C$12="Off",'Activity data'!AR63*ManureNEF*NtoN2O*kgtoGg,IF('Net zero activities &amp; levers'!$C$12="PB",'Activity data'!AR63*ManureNEF*NtoN2O*kgtoGg,IF('Net zero activities &amp; levers'!$C$12="MS",'Net zero Activity data'!AR63*ManureNEF*NtoN2O*kgtoGg,"ERROR")))</f>
        <v>2.7488108281140813E-2</v>
      </c>
      <c r="Z982" s="94">
        <f>IF('Net zero activities &amp; levers'!$C$12="Off",'Activity data'!AS63*ManureNEF*NtoN2O*kgtoGg,IF('Net zero activities &amp; levers'!$C$12="PB",'Activity data'!AS63*ManureNEF*NtoN2O*kgtoGg,IF('Net zero activities &amp; levers'!$C$12="MS",'Net zero Activity data'!AS63*ManureNEF*NtoN2O*kgtoGg,"ERROR")))</f>
        <v>2.7843192191916763E-2</v>
      </c>
      <c r="AA982" s="94">
        <f>IF('Net zero activities &amp; levers'!$C$12="Off",'Activity data'!AT63*ManureNEF*NtoN2O*kgtoGg,IF('Net zero activities &amp; levers'!$C$12="PB",'Activity data'!AT63*ManureNEF*NtoN2O*kgtoGg,IF('Net zero activities &amp; levers'!$C$12="MS",'Net zero Activity data'!AT63*ManureNEF*NtoN2O*kgtoGg,"ERROR")))</f>
        <v>2.8202428453344759E-2</v>
      </c>
      <c r="AB982" s="94">
        <f>IF('Net zero activities &amp; levers'!$C$12="Off",'Activity data'!AU63*ManureNEF*NtoN2O*kgtoGg,IF('Net zero activities &amp; levers'!$C$12="PB",'Activity data'!AU63*ManureNEF*NtoN2O*kgtoGg,IF('Net zero activities &amp; levers'!$C$12="MS",'Net zero Activity data'!AU63*ManureNEF*NtoN2O*kgtoGg,"ERROR")))</f>
        <v>2.8617183610093744E-2</v>
      </c>
      <c r="AC982" s="94">
        <f>IF('Net zero activities &amp; levers'!$C$12="Off",'Activity data'!AV63*ManureNEF*NtoN2O*kgtoGg,IF('Net zero activities &amp; levers'!$C$12="PB",'Activity data'!AV63*ManureNEF*NtoN2O*kgtoGg,IF('Net zero activities &amp; levers'!$C$12="MS",'Net zero Activity data'!AV63*ManureNEF*NtoN2O*kgtoGg,"ERROR")))</f>
        <v>2.902907613639907E-2</v>
      </c>
      <c r="AD982" s="94">
        <f>IF('Net zero activities &amp; levers'!$C$12="Off",'Activity data'!AW63*ManureNEF*NtoN2O*kgtoGg,IF('Net zero activities &amp; levers'!$C$12="PB",'Activity data'!AW63*ManureNEF*NtoN2O*kgtoGg,IF('Net zero activities &amp; levers'!$C$12="MS",'Net zero Activity data'!AW63*ManureNEF*NtoN2O*kgtoGg,"ERROR")))</f>
        <v>2.9541166089713286E-2</v>
      </c>
      <c r="AE982" s="94">
        <f>IF('Net zero activities &amp; levers'!$C$12="Off",'Activity data'!AX63*ManureNEF*NtoN2O*kgtoGg,IF('Net zero activities &amp; levers'!$C$12="PB",'Activity data'!AX63*ManureNEF*NtoN2O*kgtoGg,IF('Net zero activities &amp; levers'!$C$12="MS",'Net zero Activity data'!AX63*ManureNEF*NtoN2O*kgtoGg,"ERROR")))</f>
        <v>3.0012582293784919E-2</v>
      </c>
      <c r="AF982" s="94">
        <f>IF('Net zero activities &amp; levers'!$C$12="Off",'Activity data'!AY63*ManureNEF*NtoN2O*kgtoGg,IF('Net zero activities &amp; levers'!$C$12="PB",'Activity data'!AY63*ManureNEF*NtoN2O*kgtoGg,IF('Net zero activities &amp; levers'!$C$12="MS",'Net zero Activity data'!AY63*ManureNEF*NtoN2O*kgtoGg,"ERROR")))</f>
        <v>3.05142068245088E-2</v>
      </c>
      <c r="AG982" s="94">
        <f>IF('Net zero activities &amp; levers'!$C$12="Off",'Activity data'!AZ63*ManureNEF*NtoN2O*kgtoGg,IF('Net zero activities &amp; levers'!$C$12="PB",'Activity data'!AZ63*ManureNEF*NtoN2O*kgtoGg,IF('Net zero activities &amp; levers'!$C$12="MS",'Net zero Activity data'!AZ63*ManureNEF*NtoN2O*kgtoGg,"ERROR")))</f>
        <v>3.1126123311674345E-2</v>
      </c>
      <c r="AH982" s="94">
        <f>IF('Net zero activities &amp; levers'!$C$12="Off",'Activity data'!BA63*ManureNEF*NtoN2O*kgtoGg,IF('Net zero activities &amp; levers'!$C$12="PB",'Activity data'!BA63*ManureNEF*NtoN2O*kgtoGg,IF('Net zero activities &amp; levers'!$C$12="MS",'Net zero Activity data'!BA63*ManureNEF*NtoN2O*kgtoGg,"ERROR")))</f>
        <v>3.1651558436511636E-2</v>
      </c>
      <c r="AI982" s="94">
        <f>IF('Net zero activities &amp; levers'!$C$12="Off",'Activity data'!BB63*ManureNEF*NtoN2O*kgtoGg,IF('Net zero activities &amp; levers'!$C$12="PB",'Activity data'!BB63*ManureNEF*NtoN2O*kgtoGg,IF('Net zero activities &amp; levers'!$C$12="MS",'Net zero Activity data'!BB63*ManureNEF*NtoN2O*kgtoGg,"ERROR")))</f>
        <v>3.2218684799767874E-2</v>
      </c>
      <c r="AJ982" s="94">
        <f>IF('Net zero activities &amp; levers'!$C$12="Off",'Activity data'!BC63*ManureNEF*NtoN2O*kgtoGg,IF('Net zero activities &amp; levers'!$C$12="PB",'Activity data'!BC63*ManureNEF*NtoN2O*kgtoGg,IF('Net zero activities &amp; levers'!$C$12="MS",'Net zero Activity data'!BC63*ManureNEF*NtoN2O*kgtoGg,"ERROR")))</f>
        <v>3.2834204369193265E-2</v>
      </c>
      <c r="AK982" s="94">
        <f>IF('Net zero activities &amp; levers'!$C$12="Off",'Activity data'!BD63*ManureNEF*NtoN2O*kgtoGg,IF('Net zero activities &amp; levers'!$C$12="PB",'Activity data'!BD63*ManureNEF*NtoN2O*kgtoGg,IF('Net zero activities &amp; levers'!$C$12="MS",'Net zero Activity data'!BD63*ManureNEF*NtoN2O*kgtoGg,"ERROR")))</f>
        <v>3.334768720159275E-2</v>
      </c>
      <c r="AL982" s="94">
        <f>IF('Net zero activities &amp; levers'!$C$12="Off",'Activity data'!BE63*ManureNEF*NtoN2O*kgtoGg,IF('Net zero activities &amp; levers'!$C$12="PB",'Activity data'!BE63*ManureNEF*NtoN2O*kgtoGg,IF('Net zero activities &amp; levers'!$C$12="MS",'Net zero Activity data'!BE63*ManureNEF*NtoN2O*kgtoGg,"ERROR")))</f>
        <v>3.3829223876470492E-2</v>
      </c>
      <c r="AM982" s="94">
        <f>IF('Net zero activities &amp; levers'!$C$12="Off",'Activity data'!BF63*ManureNEF*NtoN2O*kgtoGg,IF('Net zero activities &amp; levers'!$C$12="PB",'Activity data'!BF63*ManureNEF*NtoN2O*kgtoGg,IF('Net zero activities &amp; levers'!$C$12="MS",'Net zero Activity data'!BF63*ManureNEF*NtoN2O*kgtoGg,"ERROR")))</f>
        <v>3.4282698086419032E-2</v>
      </c>
      <c r="AN982" s="94">
        <f>IF('Net zero activities &amp; levers'!$C$12="Off",'Activity data'!BG63*ManureNEF*NtoN2O*kgtoGg,IF('Net zero activities &amp; levers'!$C$12="PB",'Activity data'!BG63*ManureNEF*NtoN2O*kgtoGg,IF('Net zero activities &amp; levers'!$C$12="MS",'Net zero Activity data'!BG63*ManureNEF*NtoN2O*kgtoGg,"ERROR")))</f>
        <v>3.4806306995392507E-2</v>
      </c>
      <c r="AO982" s="94">
        <f>IF('Net zero activities &amp; levers'!$C$12="Off",'Activity data'!BH63*ManureNEF*NtoN2O*kgtoGg,IF('Net zero activities &amp; levers'!$C$12="PB",'Activity data'!BH63*ManureNEF*NtoN2O*kgtoGg,IF('Net zero activities &amp; levers'!$C$12="MS",'Net zero Activity data'!BH63*ManureNEF*NtoN2O*kgtoGg,"ERROR")))</f>
        <v>3.5260470225842028E-2</v>
      </c>
      <c r="AP982" s="94">
        <f>IF('Net zero activities &amp; levers'!$C$12="Off",'Activity data'!BI63*ManureNEF*NtoN2O*kgtoGg,IF('Net zero activities &amp; levers'!$C$12="PB",'Activity data'!BI63*ManureNEF*NtoN2O*kgtoGg,IF('Net zero activities &amp; levers'!$C$12="MS",'Net zero Activity data'!BI63*ManureNEF*NtoN2O*kgtoGg,"ERROR")))</f>
        <v>3.5729282051178403E-2</v>
      </c>
      <c r="AQ982" s="94">
        <f>IF('Net zero activities &amp; levers'!$C$12="Off",'Activity data'!BJ63*ManureNEF*NtoN2O*kgtoGg,IF('Net zero activities &amp; levers'!$C$12="PB",'Activity data'!BJ63*ManureNEF*NtoN2O*kgtoGg,IF('Net zero activities &amp; levers'!$C$12="MS",'Net zero Activity data'!BJ63*ManureNEF*NtoN2O*kgtoGg,"ERROR")))</f>
        <v>3.6216278611362E-2</v>
      </c>
      <c r="AR982" s="94">
        <f>IF('Net zero activities &amp; levers'!$C$12="Off",'Activity data'!BK63*ManureNEF*NtoN2O*kgtoGg,IF('Net zero activities &amp; levers'!$C$12="PB",'Activity data'!BK63*ManureNEF*NtoN2O*kgtoGg,IF('Net zero activities &amp; levers'!$C$12="MS",'Net zero Activity data'!BK63*ManureNEF*NtoN2O*kgtoGg,"ERROR")))</f>
        <v>3.672755344896201E-2</v>
      </c>
      <c r="AS982" s="94">
        <f>IF('Net zero activities &amp; levers'!$C$12="Off",'Activity data'!BL63*ManureNEF*NtoN2O*kgtoGg,IF('Net zero activities &amp; levers'!$C$12="PB",'Activity data'!BL63*ManureNEF*NtoN2O*kgtoGg,IF('Net zero activities &amp; levers'!$C$12="MS",'Net zero Activity data'!BL63*ManureNEF*NtoN2O*kgtoGg,"ERROR")))</f>
        <v>3.7264425931725673E-2</v>
      </c>
      <c r="AT982" s="94">
        <f>IF('Net zero activities &amp; levers'!$C$12="Off",'Activity data'!BM63*ManureNEF*NtoN2O*kgtoGg,IF('Net zero activities &amp; levers'!$C$12="PB",'Activity data'!BM63*ManureNEF*NtoN2O*kgtoGg,IF('Net zero activities &amp; levers'!$C$12="MS",'Net zero Activity data'!BM63*ManureNEF*NtoN2O*kgtoGg,"ERROR")))</f>
        <v>3.6937731653004804E-2</v>
      </c>
      <c r="AU982" s="94">
        <f>IF('Net zero activities &amp; levers'!$C$12="Off",'Activity data'!BN63*ManureNEF*NtoN2O*kgtoGg,IF('Net zero activities &amp; levers'!$C$12="PB",'Activity data'!BN63*ManureNEF*NtoN2O*kgtoGg,IF('Net zero activities &amp; levers'!$C$12="MS",'Net zero Activity data'!BN63*ManureNEF*NtoN2O*kgtoGg,"ERROR")))</f>
        <v>3.6535539754274135E-2</v>
      </c>
      <c r="AV982" s="94">
        <f>IF('Net zero activities &amp; levers'!$C$12="Off",'Activity data'!BO63*ManureNEF*NtoN2O*kgtoGg,IF('Net zero activities &amp; levers'!$C$12="PB",'Activity data'!BO63*ManureNEF*NtoN2O*kgtoGg,IF('Net zero activities &amp; levers'!$C$12="MS",'Net zero Activity data'!BO63*ManureNEF*NtoN2O*kgtoGg,"ERROR")))</f>
        <v>3.6028043474654464E-2</v>
      </c>
      <c r="AW982" s="94">
        <f>IF('Net zero activities &amp; levers'!$C$12="Off",'Activity data'!BP63*ManureNEF*NtoN2O*kgtoGg,IF('Net zero activities &amp; levers'!$C$12="PB",'Activity data'!BP63*ManureNEF*NtoN2O*kgtoGg,IF('Net zero activities &amp; levers'!$C$12="MS",'Net zero Activity data'!BP63*ManureNEF*NtoN2O*kgtoGg,"ERROR")))</f>
        <v>3.5495657933766529E-2</v>
      </c>
      <c r="AY982" s="79"/>
      <c r="AZ982" s="79"/>
    </row>
    <row r="983" spans="1:52" x14ac:dyDescent="0.3">
      <c r="A983" s="95" t="str">
        <f t="shared" si="345"/>
        <v>DS Organic</v>
      </c>
      <c r="B983" s="95" t="s">
        <v>974</v>
      </c>
      <c r="C983" s="95" t="s">
        <v>1127</v>
      </c>
      <c r="D983" t="s">
        <v>369</v>
      </c>
      <c r="E983" t="s">
        <v>55</v>
      </c>
      <c r="F983" t="s">
        <v>421</v>
      </c>
      <c r="G983" t="s">
        <v>1180</v>
      </c>
      <c r="H983" t="s">
        <v>1181</v>
      </c>
      <c r="I983" t="s">
        <v>139</v>
      </c>
      <c r="J983" t="s">
        <v>287</v>
      </c>
      <c r="K983" s="94">
        <f>IF('Net zero activities &amp; levers'!$C$12="Off",'Activity data'!AD64*ManureNEF*NtoN2O*kgtoGg,IF('Net zero activities &amp; levers'!$C$12="PB",'Activity data'!AD64*ManureNEF*NtoN2O*kgtoGg,IF('Net zero activities &amp; levers'!$C$12="MS",'Net zero Activity data'!AD64*ManureNEF*NtoN2O*kgtoGg,"ERROR")))</f>
        <v>0.15700744358616764</v>
      </c>
      <c r="L983" s="94">
        <f>IF('Net zero activities &amp; levers'!$C$12="Off",'Activity data'!AE64*ManureNEF*NtoN2O*kgtoGg,IF('Net zero activities &amp; levers'!$C$12="PB",'Activity data'!AE64*ManureNEF*NtoN2O*kgtoGg,IF('Net zero activities &amp; levers'!$C$12="MS",'Net zero Activity data'!AE64*ManureNEF*NtoN2O*kgtoGg,"ERROR")))</f>
        <v>0.16019971617730658</v>
      </c>
      <c r="M983" s="94">
        <f>IF('Net zero activities &amp; levers'!$C$12="Off",'Activity data'!AF64*ManureNEF*NtoN2O*kgtoGg,IF('Net zero activities &amp; levers'!$C$12="PB",'Activity data'!AF64*ManureNEF*NtoN2O*kgtoGg,IF('Net zero activities &amp; levers'!$C$12="MS",'Net zero Activity data'!AF64*ManureNEF*NtoN2O*kgtoGg,"ERROR")))</f>
        <v>0.16393118028621728</v>
      </c>
      <c r="N983" s="94">
        <f>IF('Net zero activities &amp; levers'!$C$12="Off",'Activity data'!AG64*ManureNEF*NtoN2O*kgtoGg,IF('Net zero activities &amp; levers'!$C$12="PB",'Activity data'!AG64*ManureNEF*NtoN2O*kgtoGg,IF('Net zero activities &amp; levers'!$C$12="MS",'Net zero Activity data'!AG64*ManureNEF*NtoN2O*kgtoGg,"ERROR")))</f>
        <v>0.1667959170810015</v>
      </c>
      <c r="O983" s="94">
        <f>IF('Net zero activities &amp; levers'!$C$12="Off",'Activity data'!AH64*ManureNEF*NtoN2O*kgtoGg,IF('Net zero activities &amp; levers'!$C$12="PB",'Activity data'!AH64*ManureNEF*NtoN2O*kgtoGg,IF('Net zero activities &amp; levers'!$C$12="MS",'Net zero Activity data'!AH64*ManureNEF*NtoN2O*kgtoGg,"ERROR")))</f>
        <v>0.16909558154641685</v>
      </c>
      <c r="P983" s="94">
        <f>IF('Net zero activities &amp; levers'!$C$12="Off",'Activity data'!AI64*ManureNEF*NtoN2O*kgtoGg,IF('Net zero activities &amp; levers'!$C$12="PB",'Activity data'!AI64*ManureNEF*NtoN2O*kgtoGg,IF('Net zero activities &amp; levers'!$C$12="MS",'Net zero Activity data'!AI64*ManureNEF*NtoN2O*kgtoGg,"ERROR")))</f>
        <v>0.17081649742586277</v>
      </c>
      <c r="Q983" s="94">
        <f>IF('Net zero activities &amp; levers'!$C$12="Off",'Activity data'!AJ64*ManureNEF*NtoN2O*kgtoGg,IF('Net zero activities &amp; levers'!$C$12="PB",'Activity data'!AJ64*ManureNEF*NtoN2O*kgtoGg,IF('Net zero activities &amp; levers'!$C$12="MS",'Net zero Activity data'!AJ64*ManureNEF*NtoN2O*kgtoGg,"ERROR")))</f>
        <v>0.17302318661183388</v>
      </c>
      <c r="R983" s="94">
        <f>IF('Net zero activities &amp; levers'!$C$12="Off",'Activity data'!AK64*ManureNEF*NtoN2O*kgtoGg,IF('Net zero activities &amp; levers'!$C$12="PB",'Activity data'!AK64*ManureNEF*NtoN2O*kgtoGg,IF('Net zero activities &amp; levers'!$C$12="MS",'Net zero Activity data'!AK64*ManureNEF*NtoN2O*kgtoGg,"ERROR")))</f>
        <v>0.17531753251219051</v>
      </c>
      <c r="S983" s="94">
        <f>IF('Net zero activities &amp; levers'!$C$12="Off",'Activity data'!AL64*ManureNEF*NtoN2O*kgtoGg,IF('Net zero activities &amp; levers'!$C$12="PB",'Activity data'!AL64*ManureNEF*NtoN2O*kgtoGg,IF('Net zero activities &amp; levers'!$C$12="MS",'Net zero Activity data'!AL64*ManureNEF*NtoN2O*kgtoGg,"ERROR")))</f>
        <v>0.16751439680213853</v>
      </c>
      <c r="T983" s="94">
        <f>IF('Net zero activities &amp; levers'!$C$12="Off",'Activity data'!AM64*ManureNEF*NtoN2O*kgtoGg,IF('Net zero activities &amp; levers'!$C$12="PB",'Activity data'!AM64*ManureNEF*NtoN2O*kgtoGg,IF('Net zero activities &amp; levers'!$C$12="MS",'Net zero Activity data'!AM64*ManureNEF*NtoN2O*kgtoGg,"ERROR")))</f>
        <v>0.17168380366965671</v>
      </c>
      <c r="U983" s="94">
        <f>IF('Net zero activities &amp; levers'!$C$12="Off",'Activity data'!AN64*ManureNEF*NtoN2O*kgtoGg,IF('Net zero activities &amp; levers'!$C$12="PB",'Activity data'!AN64*ManureNEF*NtoN2O*kgtoGg,IF('Net zero activities &amp; levers'!$C$12="MS",'Net zero Activity data'!AN64*ManureNEF*NtoN2O*kgtoGg,"ERROR")))</f>
        <v>0.17724022876298692</v>
      </c>
      <c r="V983" s="94">
        <f>IF('Net zero activities &amp; levers'!$C$12="Off",'Activity data'!AO64*ManureNEF*NtoN2O*kgtoGg,IF('Net zero activities &amp; levers'!$C$12="PB",'Activity data'!AO64*ManureNEF*NtoN2O*kgtoGg,IF('Net zero activities &amp; levers'!$C$12="MS",'Net zero Activity data'!AO64*ManureNEF*NtoN2O*kgtoGg,"ERROR")))</f>
        <v>0.18063841613712966</v>
      </c>
      <c r="W983" s="94">
        <f>IF('Net zero activities &amp; levers'!$C$12="Off",'Activity data'!AP64*ManureNEF*NtoN2O*kgtoGg,IF('Net zero activities &amp; levers'!$C$12="PB",'Activity data'!AP64*ManureNEF*NtoN2O*kgtoGg,IF('Net zero activities &amp; levers'!$C$12="MS",'Net zero Activity data'!AP64*ManureNEF*NtoN2O*kgtoGg,"ERROR")))</f>
        <v>0.18434318641003919</v>
      </c>
      <c r="X983" s="94">
        <f>IF('Net zero activities &amp; levers'!$C$12="Off",'Activity data'!AQ64*ManureNEF*NtoN2O*kgtoGg,IF('Net zero activities &amp; levers'!$C$12="PB",'Activity data'!AQ64*ManureNEF*NtoN2O*kgtoGg,IF('Net zero activities &amp; levers'!$C$12="MS",'Net zero Activity data'!AQ64*ManureNEF*NtoN2O*kgtoGg,"ERROR")))</f>
        <v>0.188448281864291</v>
      </c>
      <c r="Y983" s="94">
        <f>IF('Net zero activities &amp; levers'!$C$12="Off",'Activity data'!AR64*ManureNEF*NtoN2O*kgtoGg,IF('Net zero activities &amp; levers'!$C$12="PB",'Activity data'!AR64*ManureNEF*NtoN2O*kgtoGg,IF('Net zero activities &amp; levers'!$C$12="MS",'Net zero Activity data'!AR64*ManureNEF*NtoN2O*kgtoGg,"ERROR")))</f>
        <v>0.19268830884381843</v>
      </c>
      <c r="Z983" s="94">
        <f>IF('Net zero activities &amp; levers'!$C$12="Off",'Activity data'!AS64*ManureNEF*NtoN2O*kgtoGg,IF('Net zero activities &amp; levers'!$C$12="PB",'Activity data'!AS64*ManureNEF*NtoN2O*kgtoGg,IF('Net zero activities &amp; levers'!$C$12="MS",'Net zero Activity data'!AS64*ManureNEF*NtoN2O*kgtoGg,"ERROR")))</f>
        <v>0.19725821874244767</v>
      </c>
      <c r="AA983" s="94">
        <f>IF('Net zero activities &amp; levers'!$C$12="Off",'Activity data'!AT64*ManureNEF*NtoN2O*kgtoGg,IF('Net zero activities &amp; levers'!$C$12="PB",'Activity data'!AT64*ManureNEF*NtoN2O*kgtoGg,IF('Net zero activities &amp; levers'!$C$12="MS",'Net zero Activity data'!AT64*ManureNEF*NtoN2O*kgtoGg,"ERROR")))</f>
        <v>0.20193089933116126</v>
      </c>
      <c r="AB983" s="94">
        <f>IF('Net zero activities &amp; levers'!$C$12="Off",'Activity data'!AU64*ManureNEF*NtoN2O*kgtoGg,IF('Net zero activities &amp; levers'!$C$12="PB",'Activity data'!AU64*ManureNEF*NtoN2O*kgtoGg,IF('Net zero activities &amp; levers'!$C$12="MS",'Net zero Activity data'!AU64*ManureNEF*NtoN2O*kgtoGg,"ERROR")))</f>
        <v>0.20692004706096712</v>
      </c>
      <c r="AC983" s="94">
        <f>IF('Net zero activities &amp; levers'!$C$12="Off",'Activity data'!AV64*ManureNEF*NtoN2O*kgtoGg,IF('Net zero activities &amp; levers'!$C$12="PB",'Activity data'!AV64*ManureNEF*NtoN2O*kgtoGg,IF('Net zero activities &amp; levers'!$C$12="MS",'Net zero Activity data'!AV64*ManureNEF*NtoN2O*kgtoGg,"ERROR")))</f>
        <v>0.21199804978928341</v>
      </c>
      <c r="AD983" s="94">
        <f>IF('Net zero activities &amp; levers'!$C$12="Off",'Activity data'!AW64*ManureNEF*NtoN2O*kgtoGg,IF('Net zero activities &amp; levers'!$C$12="PB",'Activity data'!AW64*ManureNEF*NtoN2O*kgtoGg,IF('Net zero activities &amp; levers'!$C$12="MS",'Net zero Activity data'!AW64*ManureNEF*NtoN2O*kgtoGg,"ERROR")))</f>
        <v>0.21747687739173732</v>
      </c>
      <c r="AE983" s="94">
        <f>IF('Net zero activities &amp; levers'!$C$12="Off",'Activity data'!AX64*ManureNEF*NtoN2O*kgtoGg,IF('Net zero activities &amp; levers'!$C$12="PB",'Activity data'!AX64*ManureNEF*NtoN2O*kgtoGg,IF('Net zero activities &amp; levers'!$C$12="MS",'Net zero Activity data'!AX64*ManureNEF*NtoN2O*kgtoGg,"ERROR")))</f>
        <v>0.22289913009362322</v>
      </c>
      <c r="AF983" s="94">
        <f>IF('Net zero activities &amp; levers'!$C$12="Off",'Activity data'!AY64*ManureNEF*NtoN2O*kgtoGg,IF('Net zero activities &amp; levers'!$C$12="PB",'Activity data'!AY64*ManureNEF*NtoN2O*kgtoGg,IF('Net zero activities &amp; levers'!$C$12="MS",'Net zero Activity data'!AY64*ManureNEF*NtoN2O*kgtoGg,"ERROR")))</f>
        <v>0.22857157153008073</v>
      </c>
      <c r="AG983" s="94">
        <f>IF('Net zero activities &amp; levers'!$C$12="Off",'Activity data'!AZ64*ManureNEF*NtoN2O*kgtoGg,IF('Net zero activities &amp; levers'!$C$12="PB",'Activity data'!AZ64*ManureNEF*NtoN2O*kgtoGg,IF('Net zero activities &amp; levers'!$C$12="MS",'Net zero Activity data'!AZ64*ManureNEF*NtoN2O*kgtoGg,"ERROR")))</f>
        <v>0.23486719230657463</v>
      </c>
      <c r="AH983" s="94">
        <f>IF('Net zero activities &amp; levers'!$C$12="Off",'Activity data'!BA64*ManureNEF*NtoN2O*kgtoGg,IF('Net zero activities &amp; levers'!$C$12="PB",'Activity data'!BA64*ManureNEF*NtoN2O*kgtoGg,IF('Net zero activities &amp; levers'!$C$12="MS",'Net zero Activity data'!BA64*ManureNEF*NtoN2O*kgtoGg,"ERROR")))</f>
        <v>0.24091117160634945</v>
      </c>
      <c r="AI983" s="94">
        <f>IF('Net zero activities &amp; levers'!$C$12="Off",'Activity data'!BB64*ManureNEF*NtoN2O*kgtoGg,IF('Net zero activities &amp; levers'!$C$12="PB",'Activity data'!BB64*ManureNEF*NtoN2O*kgtoGg,IF('Net zero activities &amp; levers'!$C$12="MS",'Net zero Activity data'!BB64*ManureNEF*NtoN2O*kgtoGg,"ERROR")))</f>
        <v>0.24716162450629867</v>
      </c>
      <c r="AJ983" s="94">
        <f>IF('Net zero activities &amp; levers'!$C$12="Off",'Activity data'!BC64*ManureNEF*NtoN2O*kgtoGg,IF('Net zero activities &amp; levers'!$C$12="PB",'Activity data'!BC64*ManureNEF*NtoN2O*kgtoGg,IF('Net zero activities &amp; levers'!$C$12="MS",'Net zero Activity data'!BC64*ManureNEF*NtoN2O*kgtoGg,"ERROR")))</f>
        <v>0.25378810388351081</v>
      </c>
      <c r="AK983" s="94">
        <f>IF('Net zero activities &amp; levers'!$C$12="Off",'Activity data'!BD64*ManureNEF*NtoN2O*kgtoGg,IF('Net zero activities &amp; levers'!$C$12="PB",'Activity data'!BD64*ManureNEF*NtoN2O*kgtoGg,IF('Net zero activities &amp; levers'!$C$12="MS",'Net zero Activity data'!BD64*ManureNEF*NtoN2O*kgtoGg,"ERROR")))</f>
        <v>0.26007320548130258</v>
      </c>
      <c r="AL983" s="94">
        <f>IF('Net zero activities &amp; levers'!$C$12="Off",'Activity data'!BE64*ManureNEF*NtoN2O*kgtoGg,IF('Net zero activities &amp; levers'!$C$12="PB",'Activity data'!BE64*ManureNEF*NtoN2O*kgtoGg,IF('Net zero activities &amp; levers'!$C$12="MS",'Net zero Activity data'!BE64*ManureNEF*NtoN2O*kgtoGg,"ERROR")))</f>
        <v>0.26634117713838401</v>
      </c>
      <c r="AM983" s="94">
        <f>IF('Net zero activities &amp; levers'!$C$12="Off",'Activity data'!BF64*ManureNEF*NtoN2O*kgtoGg,IF('Net zero activities &amp; levers'!$C$12="PB",'Activity data'!BF64*ManureNEF*NtoN2O*kgtoGg,IF('Net zero activities &amp; levers'!$C$12="MS",'Net zero Activity data'!BF64*ManureNEF*NtoN2O*kgtoGg,"ERROR")))</f>
        <v>0.27260643897493425</v>
      </c>
      <c r="AN983" s="94">
        <f>IF('Net zero activities &amp; levers'!$C$12="Off",'Activity data'!BG64*ManureNEF*NtoN2O*kgtoGg,IF('Net zero activities &amp; levers'!$C$12="PB",'Activity data'!BG64*ManureNEF*NtoN2O*kgtoGg,IF('Net zero activities &amp; levers'!$C$12="MS",'Net zero Activity data'!BG64*ManureNEF*NtoN2O*kgtoGg,"ERROR")))</f>
        <v>0.2792535835644861</v>
      </c>
      <c r="AO983" s="94">
        <f>IF('Net zero activities &amp; levers'!$C$12="Off",'Activity data'!BH64*ManureNEF*NtoN2O*kgtoGg,IF('Net zero activities &amp; levers'!$C$12="PB",'Activity data'!BH64*ManureNEF*NtoN2O*kgtoGg,IF('Net zero activities &amp; levers'!$C$12="MS",'Net zero Activity data'!BH64*ManureNEF*NtoN2O*kgtoGg,"ERROR")))</f>
        <v>0.2856890752327706</v>
      </c>
      <c r="AP983" s="94">
        <f>IF('Net zero activities &amp; levers'!$C$12="Off",'Activity data'!BI64*ManureNEF*NtoN2O*kgtoGg,IF('Net zero activities &amp; levers'!$C$12="PB",'Activity data'!BI64*ManureNEF*NtoN2O*kgtoGg,IF('Net zero activities &amp; levers'!$C$12="MS",'Net zero Activity data'!BI64*ManureNEF*NtoN2O*kgtoGg,"ERROR")))</f>
        <v>0.29234742990941948</v>
      </c>
      <c r="AQ983" s="94">
        <f>IF('Net zero activities &amp; levers'!$C$12="Off",'Activity data'!BJ64*ManureNEF*NtoN2O*kgtoGg,IF('Net zero activities &amp; levers'!$C$12="PB",'Activity data'!BJ64*ManureNEF*NtoN2O*kgtoGg,IF('Net zero activities &amp; levers'!$C$12="MS",'Net zero Activity data'!BJ64*ManureNEF*NtoN2O*kgtoGg,"ERROR")))</f>
        <v>0.29925644298376841</v>
      </c>
      <c r="AR983" s="94">
        <f>IF('Net zero activities &amp; levers'!$C$12="Off",'Activity data'!BK64*ManureNEF*NtoN2O*kgtoGg,IF('Net zero activities &amp; levers'!$C$12="PB",'Activity data'!BK64*ManureNEF*NtoN2O*kgtoGg,IF('Net zero activities &amp; levers'!$C$12="MS",'Net zero Activity data'!BK64*ManureNEF*NtoN2O*kgtoGg,"ERROR")))</f>
        <v>0.30645986851598017</v>
      </c>
      <c r="AS983" s="94">
        <f>IF('Net zero activities &amp; levers'!$C$12="Off",'Activity data'!BL64*ManureNEF*NtoN2O*kgtoGg,IF('Net zero activities &amp; levers'!$C$12="PB",'Activity data'!BL64*ManureNEF*NtoN2O*kgtoGg,IF('Net zero activities &amp; levers'!$C$12="MS",'Net zero Activity data'!BL64*ManureNEF*NtoN2O*kgtoGg,"ERROR")))</f>
        <v>0.31385566843275581</v>
      </c>
      <c r="AT983" s="94">
        <f>IF('Net zero activities &amp; levers'!$C$12="Off",'Activity data'!BM64*ManureNEF*NtoN2O*kgtoGg,IF('Net zero activities &amp; levers'!$C$12="PB",'Activity data'!BM64*ManureNEF*NtoN2O*kgtoGg,IF('Net zero activities &amp; levers'!$C$12="MS",'Net zero Activity data'!BM64*ManureNEF*NtoN2O*kgtoGg,"ERROR")))</f>
        <v>0.31644615504224521</v>
      </c>
      <c r="AU983" s="94">
        <f>IF('Net zero activities &amp; levers'!$C$12="Off",'Activity data'!BN64*ManureNEF*NtoN2O*kgtoGg,IF('Net zero activities &amp; levers'!$C$12="PB",'Activity data'!BN64*ManureNEF*NtoN2O*kgtoGg,IF('Net zero activities &amp; levers'!$C$12="MS",'Net zero Activity data'!BN64*ManureNEF*NtoN2O*kgtoGg,"ERROR")))</f>
        <v>0.31859170882360827</v>
      </c>
      <c r="AV983" s="94">
        <f>IF('Net zero activities &amp; levers'!$C$12="Off",'Activity data'!BO64*ManureNEF*NtoN2O*kgtoGg,IF('Net zero activities &amp; levers'!$C$12="PB",'Activity data'!BO64*ManureNEF*NtoN2O*kgtoGg,IF('Net zero activities &amp; levers'!$C$12="MS",'Net zero Activity data'!BO64*ManureNEF*NtoN2O*kgtoGg,"ERROR")))</f>
        <v>0.32009002936003406</v>
      </c>
      <c r="AW983" s="94">
        <f>IF('Net zero activities &amp; levers'!$C$12="Off",'Activity data'!BP64*ManureNEF*NtoN2O*kgtoGg,IF('Net zero activities &amp; levers'!$C$12="PB",'Activity data'!BP64*ManureNEF*NtoN2O*kgtoGg,IF('Net zero activities &amp; levers'!$C$12="MS",'Net zero Activity data'!BP64*ManureNEF*NtoN2O*kgtoGg,"ERROR")))</f>
        <v>0.3213967030603942</v>
      </c>
      <c r="AY983" s="79"/>
      <c r="AZ983" s="79"/>
    </row>
    <row r="984" spans="1:52" x14ac:dyDescent="0.3">
      <c r="A984" s="95" t="str">
        <f t="shared" si="345"/>
        <v>DS Organic</v>
      </c>
      <c r="B984" s="95" t="s">
        <v>974</v>
      </c>
      <c r="C984" s="95" t="s">
        <v>1127</v>
      </c>
      <c r="D984" t="s">
        <v>369</v>
      </c>
      <c r="E984" t="s">
        <v>55</v>
      </c>
      <c r="F984" t="s">
        <v>421</v>
      </c>
      <c r="G984" t="s">
        <v>1182</v>
      </c>
      <c r="H984" t="s">
        <v>1183</v>
      </c>
      <c r="I984" t="s">
        <v>139</v>
      </c>
      <c r="J984" t="s">
        <v>287</v>
      </c>
      <c r="K984" s="94">
        <f>IF('Net zero activities &amp; levers'!$C$12="Off",'Activity data'!AD65*ManureNEF*NtoN2O*kgtoGg,IF('Net zero activities &amp; levers'!$C$12="PB",'Activity data'!AD65*ManureNEF*NtoN2O*kgtoGg,IF('Net zero activities &amp; levers'!$C$12="MS",'Net zero Activity data'!AD65*ManureNEF*NtoN2O*kgtoGg,"ERROR")))</f>
        <v>0.78620275218739033</v>
      </c>
      <c r="L984" s="94">
        <f>IF('Net zero activities &amp; levers'!$C$12="Off",'Activity data'!AE65*ManureNEF*NtoN2O*kgtoGg,IF('Net zero activities &amp; levers'!$C$12="PB",'Activity data'!AE65*ManureNEF*NtoN2O*kgtoGg,IF('Net zero activities &amp; levers'!$C$12="MS",'Net zero Activity data'!AE65*ManureNEF*NtoN2O*kgtoGg,"ERROR")))</f>
        <v>0.79655563720176326</v>
      </c>
      <c r="M984" s="94">
        <f>IF('Net zero activities &amp; levers'!$C$12="Off",'Activity data'!AF65*ManureNEF*NtoN2O*kgtoGg,IF('Net zero activities &amp; levers'!$C$12="PB",'Activity data'!AF65*ManureNEF*NtoN2O*kgtoGg,IF('Net zero activities &amp; levers'!$C$12="MS",'Net zero Activity data'!AF65*ManureNEF*NtoN2O*kgtoGg,"ERROR")))</f>
        <v>0.8131853402467214</v>
      </c>
      <c r="N984" s="94">
        <f>IF('Net zero activities &amp; levers'!$C$12="Off",'Activity data'!AG65*ManureNEF*NtoN2O*kgtoGg,IF('Net zero activities &amp; levers'!$C$12="PB",'Activity data'!AG65*ManureNEF*NtoN2O*kgtoGg,IF('Net zero activities &amp; levers'!$C$12="MS",'Net zero Activity data'!AG65*ManureNEF*NtoN2O*kgtoGg,"ERROR")))</f>
        <v>0.81796021384654038</v>
      </c>
      <c r="O984" s="94">
        <f>IF('Net zero activities &amp; levers'!$C$12="Off",'Activity data'!AH65*ManureNEF*NtoN2O*kgtoGg,IF('Net zero activities &amp; levers'!$C$12="PB",'Activity data'!AH65*ManureNEF*NtoN2O*kgtoGg,IF('Net zero activities &amp; levers'!$C$12="MS",'Net zero Activity data'!AH65*ManureNEF*NtoN2O*kgtoGg,"ERROR")))</f>
        <v>0.81503229757580642</v>
      </c>
      <c r="P984" s="94">
        <f>IF('Net zero activities &amp; levers'!$C$12="Off",'Activity data'!AI65*ManureNEF*NtoN2O*kgtoGg,IF('Net zero activities &amp; levers'!$C$12="PB",'Activity data'!AI65*ManureNEF*NtoN2O*kgtoGg,IF('Net zero activities &amp; levers'!$C$12="MS",'Net zero Activity data'!AI65*ManureNEF*NtoN2O*kgtoGg,"ERROR")))</f>
        <v>0.80443274266431908</v>
      </c>
      <c r="Q984" s="94">
        <f>IF('Net zero activities &amp; levers'!$C$12="Off",'Activity data'!AJ65*ManureNEF*NtoN2O*kgtoGg,IF('Net zero activities &amp; levers'!$C$12="PB",'Activity data'!AJ65*ManureNEF*NtoN2O*kgtoGg,IF('Net zero activities &amp; levers'!$C$12="MS",'Net zero Activity data'!AJ65*ManureNEF*NtoN2O*kgtoGg,"ERROR")))</f>
        <v>0.79997057217510736</v>
      </c>
      <c r="R984" s="94">
        <f>IF('Net zero activities &amp; levers'!$C$12="Off",'Activity data'!AK65*ManureNEF*NtoN2O*kgtoGg,IF('Net zero activities &amp; levers'!$C$12="PB",'Activity data'!AK65*ManureNEF*NtoN2O*kgtoGg,IF('Net zero activities &amp; levers'!$C$12="MS",'Net zero Activity data'!AK65*ManureNEF*NtoN2O*kgtoGg,"ERROR")))</f>
        <v>0.79652072541357855</v>
      </c>
      <c r="S984" s="94">
        <f>IF('Net zero activities &amp; levers'!$C$12="Off",'Activity data'!AL65*ManureNEF*NtoN2O*kgtoGg,IF('Net zero activities &amp; levers'!$C$12="PB",'Activity data'!AL65*ManureNEF*NtoN2O*kgtoGg,IF('Net zero activities &amp; levers'!$C$12="MS",'Net zero Activity data'!AL65*ManureNEF*NtoN2O*kgtoGg,"ERROR")))</f>
        <v>0.6714256257710044</v>
      </c>
      <c r="T984" s="94">
        <f>IF('Net zero activities &amp; levers'!$C$12="Off",'Activity data'!AM65*ManureNEF*NtoN2O*kgtoGg,IF('Net zero activities &amp; levers'!$C$12="PB",'Activity data'!AM65*ManureNEF*NtoN2O*kgtoGg,IF('Net zero activities &amp; levers'!$C$12="MS",'Net zero Activity data'!AM65*ManureNEF*NtoN2O*kgtoGg,"ERROR")))</f>
        <v>0.69801734564768969</v>
      </c>
      <c r="U984" s="94">
        <f>IF('Net zero activities &amp; levers'!$C$12="Off",'Activity data'!AN65*ManureNEF*NtoN2O*kgtoGg,IF('Net zero activities &amp; levers'!$C$12="PB",'Activity data'!AN65*ManureNEF*NtoN2O*kgtoGg,IF('Net zero activities &amp; levers'!$C$12="MS",'Net zero Activity data'!AN65*ManureNEF*NtoN2O*kgtoGg,"ERROR")))</f>
        <v>0.74045602078801331</v>
      </c>
      <c r="V984" s="94">
        <f>IF('Net zero activities &amp; levers'!$C$12="Off",'Activity data'!AO65*ManureNEF*NtoN2O*kgtoGg,IF('Net zero activities &amp; levers'!$C$12="PB",'Activity data'!AO65*ManureNEF*NtoN2O*kgtoGg,IF('Net zero activities &amp; levers'!$C$12="MS",'Net zero Activity data'!AO65*ManureNEF*NtoN2O*kgtoGg,"ERROR")))</f>
        <v>0.75681661805559275</v>
      </c>
      <c r="W984" s="94">
        <f>IF('Net zero activities &amp; levers'!$C$12="Off",'Activity data'!AP65*ManureNEF*NtoN2O*kgtoGg,IF('Net zero activities &amp; levers'!$C$12="PB",'Activity data'!AP65*ManureNEF*NtoN2O*kgtoGg,IF('Net zero activities &amp; levers'!$C$12="MS",'Net zero Activity data'!AP65*ManureNEF*NtoN2O*kgtoGg,"ERROR")))</f>
        <v>0.77639522353149193</v>
      </c>
      <c r="X984" s="94">
        <f>IF('Net zero activities &amp; levers'!$C$12="Off",'Activity data'!AQ65*ManureNEF*NtoN2O*kgtoGg,IF('Net zero activities &amp; levers'!$C$12="PB",'Activity data'!AQ65*ManureNEF*NtoN2O*kgtoGg,IF('Net zero activities &amp; levers'!$C$12="MS",'Net zero Activity data'!AQ65*ManureNEF*NtoN2O*kgtoGg,"ERROR")))</f>
        <v>0.8001865286543951</v>
      </c>
      <c r="Y984" s="94">
        <f>IF('Net zero activities &amp; levers'!$C$12="Off",'Activity data'!AR65*ManureNEF*NtoN2O*kgtoGg,IF('Net zero activities &amp; levers'!$C$12="PB",'Activity data'!AR65*ManureNEF*NtoN2O*kgtoGg,IF('Net zero activities &amp; levers'!$C$12="MS",'Net zero Activity data'!AR65*ManureNEF*NtoN2O*kgtoGg,"ERROR")))</f>
        <v>0.82750602154681474</v>
      </c>
      <c r="Z984" s="94">
        <f>IF('Net zero activities &amp; levers'!$C$12="Off",'Activity data'!AS65*ManureNEF*NtoN2O*kgtoGg,IF('Net zero activities &amp; levers'!$C$12="PB",'Activity data'!AS65*ManureNEF*NtoN2O*kgtoGg,IF('Net zero activities &amp; levers'!$C$12="MS",'Net zero Activity data'!AS65*ManureNEF*NtoN2O*kgtoGg,"ERROR")))</f>
        <v>0.85809975414422934</v>
      </c>
      <c r="AA984" s="94">
        <f>IF('Net zero activities &amp; levers'!$C$12="Off",'Activity data'!AT65*ManureNEF*NtoN2O*kgtoGg,IF('Net zero activities &amp; levers'!$C$12="PB",'Activity data'!AT65*ManureNEF*NtoN2O*kgtoGg,IF('Net zero activities &amp; levers'!$C$12="MS",'Net zero Activity data'!AT65*ManureNEF*NtoN2O*kgtoGg,"ERROR")))</f>
        <v>0.88934316122776869</v>
      </c>
      <c r="AB984" s="94">
        <f>IF('Net zero activities &amp; levers'!$C$12="Off",'Activity data'!AU65*ManureNEF*NtoN2O*kgtoGg,IF('Net zero activities &amp; levers'!$C$12="PB",'Activity data'!AU65*ManureNEF*NtoN2O*kgtoGg,IF('Net zero activities &amp; levers'!$C$12="MS",'Net zero Activity data'!AU65*ManureNEF*NtoN2O*kgtoGg,"ERROR")))</f>
        <v>0.92360761628524812</v>
      </c>
      <c r="AC984" s="94">
        <f>IF('Net zero activities &amp; levers'!$C$12="Off",'Activity data'!AV65*ManureNEF*NtoN2O*kgtoGg,IF('Net zero activities &amp; levers'!$C$12="PB",'Activity data'!AV65*ManureNEF*NtoN2O*kgtoGg,IF('Net zero activities &amp; levers'!$C$12="MS",'Net zero Activity data'!AV65*ManureNEF*NtoN2O*kgtoGg,"ERROR")))</f>
        <v>0.95831140706580387</v>
      </c>
      <c r="AD984" s="94">
        <f>IF('Net zero activities &amp; levers'!$C$12="Off",'Activity data'!AW65*ManureNEF*NtoN2O*kgtoGg,IF('Net zero activities &amp; levers'!$C$12="PB",'Activity data'!AW65*ManureNEF*NtoN2O*kgtoGg,IF('Net zero activities &amp; levers'!$C$12="MS",'Net zero Activity data'!AW65*ManureNEF*NtoN2O*kgtoGg,"ERROR")))</f>
        <v>0.99882396760608316</v>
      </c>
      <c r="AE984" s="94">
        <f>IF('Net zero activities &amp; levers'!$C$12="Off",'Activity data'!AX65*ManureNEF*NtoN2O*kgtoGg,IF('Net zero activities &amp; levers'!$C$12="PB",'Activity data'!AX65*ManureNEF*NtoN2O*kgtoGg,IF('Net zero activities &amp; levers'!$C$12="MS",'Net zero Activity data'!AX65*ManureNEF*NtoN2O*kgtoGg,"ERROR")))</f>
        <v>1.0381393848215872</v>
      </c>
      <c r="AF984" s="94">
        <f>IF('Net zero activities &amp; levers'!$C$12="Off",'Activity data'!AY65*ManureNEF*NtoN2O*kgtoGg,IF('Net zero activities &amp; levers'!$C$12="PB",'Activity data'!AY65*ManureNEF*NtoN2O*kgtoGg,IF('Net zero activities &amp; levers'!$C$12="MS",'Net zero Activity data'!AY65*ManureNEF*NtoN2O*kgtoGg,"ERROR")))</f>
        <v>1.079611123684572</v>
      </c>
      <c r="AG984" s="94">
        <f>IF('Net zero activities &amp; levers'!$C$12="Off",'Activity data'!AZ65*ManureNEF*NtoN2O*kgtoGg,IF('Net zero activities &amp; levers'!$C$12="PB",'Activity data'!AZ65*ManureNEF*NtoN2O*kgtoGg,IF('Net zero activities &amp; levers'!$C$12="MS",'Net zero Activity data'!AZ65*ManureNEF*NtoN2O*kgtoGg,"ERROR")))</f>
        <v>1.1272124079778039</v>
      </c>
      <c r="AH984" s="94">
        <f>IF('Net zero activities &amp; levers'!$C$12="Off",'Activity data'!BA65*ManureNEF*NtoN2O*kgtoGg,IF('Net zero activities &amp; levers'!$C$12="PB",'Activity data'!BA65*ManureNEF*NtoN2O*kgtoGg,IF('Net zero activities &amp; levers'!$C$12="MS",'Net zero Activity data'!BA65*ManureNEF*NtoN2O*kgtoGg,"ERROR")))</f>
        <v>1.1714796676080013</v>
      </c>
      <c r="AI984" s="94">
        <f>IF('Net zero activities &amp; levers'!$C$12="Off",'Activity data'!BB65*ManureNEF*NtoN2O*kgtoGg,IF('Net zero activities &amp; levers'!$C$12="PB",'Activity data'!BB65*ManureNEF*NtoN2O*kgtoGg,IF('Net zero activities &amp; levers'!$C$12="MS",'Net zero Activity data'!BB65*ManureNEF*NtoN2O*kgtoGg,"ERROR")))</f>
        <v>1.2191635190702683</v>
      </c>
      <c r="AJ984" s="94">
        <f>IF('Net zero activities &amp; levers'!$C$12="Off",'Activity data'!BC65*ManureNEF*NtoN2O*kgtoGg,IF('Net zero activities &amp; levers'!$C$12="PB",'Activity data'!BC65*ManureNEF*NtoN2O*kgtoGg,IF('Net zero activities &amp; levers'!$C$12="MS",'Net zero Activity data'!BC65*ManureNEF*NtoN2O*kgtoGg,"ERROR")))</f>
        <v>1.2702163053795446</v>
      </c>
      <c r="AK984" s="94">
        <f>IF('Net zero activities &amp; levers'!$C$12="Off",'Activity data'!BD65*ManureNEF*NtoN2O*kgtoGg,IF('Net zero activities &amp; levers'!$C$12="PB",'Activity data'!BD65*ManureNEF*NtoN2O*kgtoGg,IF('Net zero activities &amp; levers'!$C$12="MS",'Net zero Activity data'!BD65*ManureNEF*NtoN2O*kgtoGg,"ERROR")))</f>
        <v>1.3170629000720371</v>
      </c>
      <c r="AL984" s="94">
        <f>IF('Net zero activities &amp; levers'!$C$12="Off",'Activity data'!BE65*ManureNEF*NtoN2O*kgtoGg,IF('Net zero activities &amp; levers'!$C$12="PB",'Activity data'!BE65*ManureNEF*NtoN2O*kgtoGg,IF('Net zero activities &amp; levers'!$C$12="MS",'Net zero Activity data'!BE65*ManureNEF*NtoN2O*kgtoGg,"ERROR")))</f>
        <v>1.3631650010384939</v>
      </c>
      <c r="AM984" s="94">
        <f>IF('Net zero activities &amp; levers'!$C$12="Off",'Activity data'!BF65*ManureNEF*NtoN2O*kgtoGg,IF('Net zero activities &amp; levers'!$C$12="PB",'Activity data'!BF65*ManureNEF*NtoN2O*kgtoGg,IF('Net zero activities &amp; levers'!$C$12="MS",'Net zero Activity data'!BF65*ManureNEF*NtoN2O*kgtoGg,"ERROR")))</f>
        <v>1.4086909019769458</v>
      </c>
      <c r="AN984" s="94">
        <f>IF('Net zero activities &amp; levers'!$C$12="Off",'Activity data'!BG65*ManureNEF*NtoN2O*kgtoGg,IF('Net zero activities &amp; levers'!$C$12="PB",'Activity data'!BG65*ManureNEF*NtoN2O*kgtoGg,IF('Net zero activities &amp; levers'!$C$12="MS",'Net zero Activity data'!BG65*ManureNEF*NtoN2O*kgtoGg,"ERROR")))</f>
        <v>1.4592838015136291</v>
      </c>
      <c r="AO984" s="94">
        <f>IF('Net zero activities &amp; levers'!$C$12="Off",'Activity data'!BH65*ManureNEF*NtoN2O*kgtoGg,IF('Net zero activities &amp; levers'!$C$12="PB",'Activity data'!BH65*ManureNEF*NtoN2O*kgtoGg,IF('Net zero activities &amp; levers'!$C$12="MS",'Net zero Activity data'!BH65*ManureNEF*NtoN2O*kgtoGg,"ERROR")))</f>
        <v>1.5071494225223063</v>
      </c>
      <c r="AP984" s="94">
        <f>IF('Net zero activities &amp; levers'!$C$12="Off",'Activity data'!BI65*ManureNEF*NtoN2O*kgtoGg,IF('Net zero activities &amp; levers'!$C$12="PB",'Activity data'!BI65*ManureNEF*NtoN2O*kgtoGg,IF('Net zero activities &amp; levers'!$C$12="MS",'Net zero Activity data'!BI65*ManureNEF*NtoN2O*kgtoGg,"ERROR")))</f>
        <v>1.5567592089604327</v>
      </c>
      <c r="AQ984" s="94">
        <f>IF('Net zero activities &amp; levers'!$C$12="Off",'Activity data'!BJ65*ManureNEF*NtoN2O*kgtoGg,IF('Net zero activities &amp; levers'!$C$12="PB",'Activity data'!BJ65*ManureNEF*NtoN2O*kgtoGg,IF('Net zero activities &amp; levers'!$C$12="MS",'Net zero Activity data'!BJ65*ManureNEF*NtoN2O*kgtoGg,"ERROR")))</f>
        <v>1.6083690614713202</v>
      </c>
      <c r="AR984" s="94">
        <f>IF('Net zero activities &amp; levers'!$C$12="Off",'Activity data'!BK65*ManureNEF*NtoN2O*kgtoGg,IF('Net zero activities &amp; levers'!$C$12="PB",'Activity data'!BK65*ManureNEF*NtoN2O*kgtoGg,IF('Net zero activities &amp; levers'!$C$12="MS",'Net zero Activity data'!BK65*ManureNEF*NtoN2O*kgtoGg,"ERROR")))</f>
        <v>1.6623899573120902</v>
      </c>
      <c r="AS984" s="94">
        <f>IF('Net zero activities &amp; levers'!$C$12="Off",'Activity data'!BL65*ManureNEF*NtoN2O*kgtoGg,IF('Net zero activities &amp; levers'!$C$12="PB",'Activity data'!BL65*ManureNEF*NtoN2O*kgtoGg,IF('Net zero activities &amp; levers'!$C$12="MS",'Net zero Activity data'!BL65*ManureNEF*NtoN2O*kgtoGg,"ERROR")))</f>
        <v>1.7194351847901206</v>
      </c>
      <c r="AT984" s="94">
        <f>IF('Net zero activities &amp; levers'!$C$12="Off",'Activity data'!BM65*ManureNEF*NtoN2O*kgtoGg,IF('Net zero activities &amp; levers'!$C$12="PB",'Activity data'!BM65*ManureNEF*NtoN2O*kgtoGg,IF('Net zero activities &amp; levers'!$C$12="MS",'Net zero Activity data'!BM65*ManureNEF*NtoN2O*kgtoGg,"ERROR")))</f>
        <v>1.7281200285400726</v>
      </c>
      <c r="AU984" s="94">
        <f>IF('Net zero activities &amp; levers'!$C$12="Off",'Activity data'!BN65*ManureNEF*NtoN2O*kgtoGg,IF('Net zero activities &amp; levers'!$C$12="PB",'Activity data'!BN65*ManureNEF*NtoN2O*kgtoGg,IF('Net zero activities &amp; levers'!$C$12="MS",'Net zero Activity data'!BN65*ManureNEF*NtoN2O*kgtoGg,"ERROR")))</f>
        <v>1.7323570747934378</v>
      </c>
      <c r="AV984" s="94">
        <f>IF('Net zero activities &amp; levers'!$C$12="Off",'Activity data'!BO65*ManureNEF*NtoN2O*kgtoGg,IF('Net zero activities &amp; levers'!$C$12="PB",'Activity data'!BO65*ManureNEF*NtoN2O*kgtoGg,IF('Net zero activities &amp; levers'!$C$12="MS",'Net zero Activity data'!BO65*ManureNEF*NtoN2O*kgtoGg,"ERROR")))</f>
        <v>1.7302245779661751</v>
      </c>
      <c r="AW984" s="94">
        <f>IF('Net zero activities &amp; levers'!$C$12="Off",'Activity data'!BP65*ManureNEF*NtoN2O*kgtoGg,IF('Net zero activities &amp; levers'!$C$12="PB",'Activity data'!BP65*ManureNEF*NtoN2O*kgtoGg,IF('Net zero activities &amp; levers'!$C$12="MS",'Net zero Activity data'!BP65*ManureNEF*NtoN2O*kgtoGg,"ERROR")))</f>
        <v>1.7262788410170404</v>
      </c>
      <c r="AY984" s="79"/>
      <c r="AZ984" s="79"/>
    </row>
    <row r="985" spans="1:52" x14ac:dyDescent="0.3">
      <c r="A985" s="95" t="str">
        <f t="shared" si="345"/>
        <v>DS U&amp;D</v>
      </c>
      <c r="B985" s="95" t="s">
        <v>974</v>
      </c>
      <c r="C985" s="95" t="s">
        <v>1336</v>
      </c>
      <c r="D985" t="s">
        <v>369</v>
      </c>
      <c r="E985" t="s">
        <v>55</v>
      </c>
      <c r="F985" t="s">
        <v>422</v>
      </c>
      <c r="G985" t="s">
        <v>1152</v>
      </c>
      <c r="H985" t="s">
        <v>1240</v>
      </c>
      <c r="I985" t="s">
        <v>139</v>
      </c>
      <c r="J985" t="s">
        <v>287</v>
      </c>
      <c r="K985" s="22">
        <f>K1482</f>
        <v>0</v>
      </c>
      <c r="L985" s="22">
        <f t="shared" ref="L985:AW987" si="346">L1482</f>
        <v>0</v>
      </c>
      <c r="M985" s="22">
        <f t="shared" si="346"/>
        <v>0</v>
      </c>
      <c r="N985" s="22">
        <f t="shared" si="346"/>
        <v>0</v>
      </c>
      <c r="O985" s="22">
        <f t="shared" si="346"/>
        <v>0</v>
      </c>
      <c r="P985" s="22">
        <f t="shared" si="346"/>
        <v>0</v>
      </c>
      <c r="Q985" s="22">
        <f t="shared" si="346"/>
        <v>0</v>
      </c>
      <c r="R985" s="22">
        <f t="shared" si="346"/>
        <v>0</v>
      </c>
      <c r="S985" s="22">
        <f t="shared" si="346"/>
        <v>0</v>
      </c>
      <c r="T985" s="22">
        <f t="shared" si="346"/>
        <v>0</v>
      </c>
      <c r="U985" s="22">
        <f t="shared" si="346"/>
        <v>0</v>
      </c>
      <c r="V985" s="22">
        <f t="shared" si="346"/>
        <v>0</v>
      </c>
      <c r="W985" s="22">
        <f t="shared" si="346"/>
        <v>0</v>
      </c>
      <c r="X985" s="22">
        <f t="shared" si="346"/>
        <v>0</v>
      </c>
      <c r="Y985" s="22">
        <f t="shared" si="346"/>
        <v>0</v>
      </c>
      <c r="Z985" s="22">
        <f t="shared" si="346"/>
        <v>0</v>
      </c>
      <c r="AA985" s="22">
        <f t="shared" si="346"/>
        <v>0</v>
      </c>
      <c r="AB985" s="22">
        <f t="shared" si="346"/>
        <v>0</v>
      </c>
      <c r="AC985" s="22">
        <f t="shared" si="346"/>
        <v>0</v>
      </c>
      <c r="AD985" s="22">
        <f t="shared" si="346"/>
        <v>0</v>
      </c>
      <c r="AE985" s="22">
        <f t="shared" si="346"/>
        <v>0</v>
      </c>
      <c r="AF985" s="22">
        <f t="shared" si="346"/>
        <v>0</v>
      </c>
      <c r="AG985" s="22">
        <f t="shared" si="346"/>
        <v>0</v>
      </c>
      <c r="AH985" s="22">
        <f t="shared" si="346"/>
        <v>0</v>
      </c>
      <c r="AI985" s="22">
        <f t="shared" si="346"/>
        <v>0</v>
      </c>
      <c r="AJ985" s="22">
        <f t="shared" si="346"/>
        <v>0</v>
      </c>
      <c r="AK985" s="22">
        <f t="shared" si="346"/>
        <v>0</v>
      </c>
      <c r="AL985" s="22">
        <f t="shared" si="346"/>
        <v>0</v>
      </c>
      <c r="AM985" s="22">
        <f t="shared" si="346"/>
        <v>0</v>
      </c>
      <c r="AN985" s="22">
        <f t="shared" si="346"/>
        <v>0</v>
      </c>
      <c r="AO985" s="22">
        <f t="shared" si="346"/>
        <v>0</v>
      </c>
      <c r="AP985" s="22">
        <f t="shared" si="346"/>
        <v>0</v>
      </c>
      <c r="AQ985" s="22">
        <f t="shared" si="346"/>
        <v>0</v>
      </c>
      <c r="AR985" s="22">
        <f t="shared" si="346"/>
        <v>0</v>
      </c>
      <c r="AS985" s="22">
        <f t="shared" si="346"/>
        <v>0</v>
      </c>
      <c r="AT985" s="22">
        <f t="shared" si="346"/>
        <v>0</v>
      </c>
      <c r="AU985" s="22">
        <f t="shared" si="346"/>
        <v>0</v>
      </c>
      <c r="AV985" s="22">
        <f t="shared" si="346"/>
        <v>0</v>
      </c>
      <c r="AW985" s="22">
        <f t="shared" si="346"/>
        <v>0</v>
      </c>
      <c r="AY985" s="79"/>
      <c r="AZ985" s="79"/>
    </row>
    <row r="986" spans="1:52" x14ac:dyDescent="0.3">
      <c r="A986" s="95" t="str">
        <f t="shared" si="345"/>
        <v>DS U&amp;D</v>
      </c>
      <c r="B986" s="95" t="s">
        <v>974</v>
      </c>
      <c r="C986" s="95" t="s">
        <v>1336</v>
      </c>
      <c r="D986" t="s">
        <v>369</v>
      </c>
      <c r="E986" t="s">
        <v>55</v>
      </c>
      <c r="F986" t="s">
        <v>422</v>
      </c>
      <c r="G986" t="s">
        <v>1154</v>
      </c>
      <c r="H986" t="s">
        <v>1241</v>
      </c>
      <c r="I986" t="s">
        <v>139</v>
      </c>
      <c r="J986" t="s">
        <v>287</v>
      </c>
      <c r="K986" s="22">
        <f t="shared" ref="K986:Z987" si="347">K1483</f>
        <v>1.0775797812462991</v>
      </c>
      <c r="L986" s="22">
        <f t="shared" si="347"/>
        <v>1.0836040032789305</v>
      </c>
      <c r="M986" s="22">
        <f t="shared" si="347"/>
        <v>1.0921513426512339</v>
      </c>
      <c r="N986" s="22">
        <f t="shared" si="347"/>
        <v>1.0976439186771809</v>
      </c>
      <c r="O986" s="22">
        <f t="shared" si="347"/>
        <v>1.1012937605673538</v>
      </c>
      <c r="P986" s="22">
        <f t="shared" si="347"/>
        <v>1.1030649457277464</v>
      </c>
      <c r="Q986" s="22">
        <f t="shared" si="347"/>
        <v>1.1069781529146336</v>
      </c>
      <c r="R986" s="22">
        <f t="shared" si="347"/>
        <v>1.1114672588381171</v>
      </c>
      <c r="S986" s="22">
        <f t="shared" si="347"/>
        <v>1.0780569980949297</v>
      </c>
      <c r="T986" s="22">
        <f t="shared" si="347"/>
        <v>1.0893928957031254</v>
      </c>
      <c r="U986" s="22">
        <f t="shared" si="347"/>
        <v>1.1059856502817549</v>
      </c>
      <c r="V986" s="22">
        <f t="shared" si="347"/>
        <v>1.1145860741325027</v>
      </c>
      <c r="W986" s="22">
        <f t="shared" si="347"/>
        <v>1.1244152137402783</v>
      </c>
      <c r="X986" s="22">
        <f t="shared" si="347"/>
        <v>1.1357914130193381</v>
      </c>
      <c r="Y986" s="22">
        <f t="shared" si="347"/>
        <v>1.1474086589431955</v>
      </c>
      <c r="Z986" s="22">
        <f t="shared" si="347"/>
        <v>1.1602674519477969</v>
      </c>
      <c r="AA986" s="22">
        <f t="shared" si="346"/>
        <v>1.1735245752036907</v>
      </c>
      <c r="AB986" s="22">
        <f t="shared" si="346"/>
        <v>1.18794114106982</v>
      </c>
      <c r="AC986" s="22">
        <f t="shared" si="346"/>
        <v>1.2026829177053815</v>
      </c>
      <c r="AD986" s="22">
        <f t="shared" si="346"/>
        <v>1.218608900056573</v>
      </c>
      <c r="AE986" s="22">
        <f t="shared" si="346"/>
        <v>1.2343193345034551</v>
      </c>
      <c r="AF986" s="22">
        <f t="shared" si="346"/>
        <v>1.2509015809248898</v>
      </c>
      <c r="AG986" s="22">
        <f t="shared" si="346"/>
        <v>1.2696588428853492</v>
      </c>
      <c r="AH986" s="22">
        <f t="shared" si="346"/>
        <v>1.2874926850325319</v>
      </c>
      <c r="AI986" s="22">
        <f t="shared" si="346"/>
        <v>1.3057811956925069</v>
      </c>
      <c r="AJ986" s="22">
        <f t="shared" si="346"/>
        <v>1.3253399300509145</v>
      </c>
      <c r="AK986" s="22">
        <f t="shared" si="346"/>
        <v>1.3436641070257576</v>
      </c>
      <c r="AL986" s="22">
        <f t="shared" si="346"/>
        <v>1.361888843730743</v>
      </c>
      <c r="AM986" s="22">
        <f t="shared" si="346"/>
        <v>1.380064832160125</v>
      </c>
      <c r="AN986" s="22">
        <f t="shared" si="346"/>
        <v>1.3992944829741121</v>
      </c>
      <c r="AO986" s="22">
        <f t="shared" si="346"/>
        <v>1.4177506785056255</v>
      </c>
      <c r="AP986" s="22">
        <f t="shared" si="346"/>
        <v>1.4369235538048923</v>
      </c>
      <c r="AQ986" s="22">
        <f t="shared" si="346"/>
        <v>1.4569005528602124</v>
      </c>
      <c r="AR986" s="22">
        <f t="shared" si="346"/>
        <v>1.4778222948761157</v>
      </c>
      <c r="AS986" s="22">
        <f t="shared" si="346"/>
        <v>1.499114114952786</v>
      </c>
      <c r="AT986" s="22">
        <f t="shared" si="346"/>
        <v>1.5041622353362427</v>
      </c>
      <c r="AU986" s="22">
        <f t="shared" si="346"/>
        <v>1.5077549671708836</v>
      </c>
      <c r="AV986" s="22">
        <f t="shared" si="346"/>
        <v>1.5092269750444909</v>
      </c>
      <c r="AW986" s="22">
        <f t="shared" si="346"/>
        <v>1.5101158131362518</v>
      </c>
      <c r="AY986" s="79"/>
      <c r="AZ986" s="79"/>
    </row>
    <row r="987" spans="1:52" x14ac:dyDescent="0.3">
      <c r="A987" s="95" t="str">
        <f t="shared" si="345"/>
        <v>DS U&amp;D</v>
      </c>
      <c r="B987" s="95" t="s">
        <v>974</v>
      </c>
      <c r="C987" s="95" t="s">
        <v>1336</v>
      </c>
      <c r="D987" t="s">
        <v>369</v>
      </c>
      <c r="E987" t="s">
        <v>55</v>
      </c>
      <c r="F987" t="s">
        <v>422</v>
      </c>
      <c r="G987" t="s">
        <v>1156</v>
      </c>
      <c r="H987" t="s">
        <v>1242</v>
      </c>
      <c r="I987" t="s">
        <v>139</v>
      </c>
      <c r="J987" t="s">
        <v>287</v>
      </c>
      <c r="K987" s="22">
        <f t="shared" si="347"/>
        <v>0.73383920392416069</v>
      </c>
      <c r="L987" s="22">
        <f t="shared" si="346"/>
        <v>0.7379417403466384</v>
      </c>
      <c r="M987" s="22">
        <f t="shared" si="346"/>
        <v>0.74376253694082328</v>
      </c>
      <c r="N987" s="22">
        <f t="shared" si="346"/>
        <v>0.74750301879518044</v>
      </c>
      <c r="O987" s="22">
        <f t="shared" si="346"/>
        <v>0.74998858609492636</v>
      </c>
      <c r="P987" s="22">
        <f t="shared" si="346"/>
        <v>0.75119477530775824</v>
      </c>
      <c r="Q987" s="22">
        <f t="shared" si="346"/>
        <v>0.7538596961765357</v>
      </c>
      <c r="R987" s="22">
        <f t="shared" si="346"/>
        <v>0.75691680802528427</v>
      </c>
      <c r="S987" s="22">
        <f t="shared" si="346"/>
        <v>0.73416419186323789</v>
      </c>
      <c r="T987" s="22">
        <f t="shared" si="346"/>
        <v>0.74188401569562545</v>
      </c>
      <c r="U987" s="22">
        <f t="shared" si="346"/>
        <v>0.75318379509275502</v>
      </c>
      <c r="V987" s="22">
        <f t="shared" si="346"/>
        <v>0.75904074257996901</v>
      </c>
      <c r="W987" s="22">
        <f t="shared" si="346"/>
        <v>0.76573445390469996</v>
      </c>
      <c r="X987" s="22">
        <f t="shared" si="346"/>
        <v>0.77348172345069344</v>
      </c>
      <c r="Y987" s="22">
        <f t="shared" si="346"/>
        <v>0.78139314741105659</v>
      </c>
      <c r="Z987" s="22">
        <f t="shared" si="346"/>
        <v>0.79015007342818022</v>
      </c>
      <c r="AA987" s="22">
        <f t="shared" si="346"/>
        <v>0.79917826507184453</v>
      </c>
      <c r="AB987" s="22">
        <f t="shared" si="346"/>
        <v>0.80899604506608758</v>
      </c>
      <c r="AC987" s="22">
        <f t="shared" si="346"/>
        <v>0.81903529581943424</v>
      </c>
      <c r="AD987" s="22">
        <f t="shared" si="346"/>
        <v>0.82988099876756494</v>
      </c>
      <c r="AE987" s="22">
        <f t="shared" si="346"/>
        <v>0.84057991211806271</v>
      </c>
      <c r="AF987" s="22">
        <f t="shared" si="346"/>
        <v>0.8518725353882447</v>
      </c>
      <c r="AG987" s="22">
        <f t="shared" si="346"/>
        <v>0.86464635912215038</v>
      </c>
      <c r="AH987" s="22">
        <f t="shared" si="346"/>
        <v>0.87679132764509471</v>
      </c>
      <c r="AI987" s="22">
        <f t="shared" si="346"/>
        <v>0.88924592853613249</v>
      </c>
      <c r="AJ987" s="22">
        <f t="shared" si="346"/>
        <v>0.90256556045678527</v>
      </c>
      <c r="AK987" s="22">
        <f t="shared" si="346"/>
        <v>0.91504445035228033</v>
      </c>
      <c r="AL987" s="22">
        <f t="shared" si="346"/>
        <v>0.92745562074362309</v>
      </c>
      <c r="AM987" s="22">
        <f t="shared" si="346"/>
        <v>0.93983359322574034</v>
      </c>
      <c r="AN987" s="22">
        <f t="shared" si="346"/>
        <v>0.95292911700102378</v>
      </c>
      <c r="AO987" s="22">
        <f t="shared" si="346"/>
        <v>0.9654979124368942</v>
      </c>
      <c r="AP987" s="22">
        <f t="shared" si="346"/>
        <v>0.97855477169819061</v>
      </c>
      <c r="AQ987" s="22">
        <f t="shared" si="346"/>
        <v>0.99215924473924411</v>
      </c>
      <c r="AR987" s="22">
        <f t="shared" si="346"/>
        <v>1.0064070942004693</v>
      </c>
      <c r="AS987" s="22">
        <f t="shared" si="346"/>
        <v>1.0209069693531829</v>
      </c>
      <c r="AT987" s="22">
        <f t="shared" si="346"/>
        <v>1.0243447738739997</v>
      </c>
      <c r="AU987" s="22">
        <f t="shared" si="346"/>
        <v>1.0267914488351768</v>
      </c>
      <c r="AV987" s="22">
        <f t="shared" si="346"/>
        <v>1.0277938962687103</v>
      </c>
      <c r="AW987" s="22">
        <f t="shared" si="346"/>
        <v>1.0283992010907079</v>
      </c>
      <c r="AY987" s="79"/>
      <c r="AZ987" s="79"/>
    </row>
    <row r="988" spans="1:52" x14ac:dyDescent="0.3">
      <c r="A988" s="95" t="str">
        <f t="shared" si="345"/>
        <v>DS U&amp;D</v>
      </c>
      <c r="B988" s="95" t="s">
        <v>974</v>
      </c>
      <c r="C988" s="95" t="s">
        <v>1336</v>
      </c>
      <c r="D988" t="s">
        <v>369</v>
      </c>
      <c r="E988" t="s">
        <v>55</v>
      </c>
      <c r="F988" t="s">
        <v>422</v>
      </c>
      <c r="G988" t="s">
        <v>1158</v>
      </c>
      <c r="H988" t="s">
        <v>1243</v>
      </c>
      <c r="I988" t="s">
        <v>139</v>
      </c>
      <c r="J988" t="s">
        <v>287</v>
      </c>
      <c r="K988" s="94">
        <f>IF('Net zero activities &amp; levers'!$C$12="Off",'Activity data'!AD69*UDCPPEF*NtoN2O*kgtoGg,'Net zero Activity data'!AD69*UDCPPEF*NtoN2O*kgtoGg)</f>
        <v>15.353527292296844</v>
      </c>
      <c r="L988" s="94">
        <f>IF('Net zero activities &amp; levers'!$C$12="Off",'Activity data'!AE69*UDCPPEF*NtoN2O*kgtoGg,'Net zero Activity data'!AE69*UDCPPEF*NtoN2O*kgtoGg)</f>
        <v>15.220371053361486</v>
      </c>
      <c r="M988" s="94">
        <f>IF('Net zero activities &amp; levers'!$C$12="Off",'Activity data'!AF69*UDCPPEF*NtoN2O*kgtoGg,'Net zero Activity data'!AF69*UDCPPEF*NtoN2O*kgtoGg)</f>
        <v>15.169682504177887</v>
      </c>
      <c r="N988" s="94">
        <f>IF('Net zero activities &amp; levers'!$C$12="Off",'Activity data'!AG69*UDCPPEF*NtoN2O*kgtoGg,'Net zero Activity data'!AG69*UDCPPEF*NtoN2O*kgtoGg)</f>
        <v>14.967111251021189</v>
      </c>
      <c r="O988" s="94">
        <f>IF('Net zero activities &amp; levers'!$C$12="Off",'Activity data'!AH69*UDCPPEF*NtoN2O*kgtoGg,'Net zero Activity data'!AH69*UDCPPEF*NtoN2O*kgtoGg)</f>
        <v>14.673074129931953</v>
      </c>
      <c r="P988" s="94">
        <f>IF('Net zero activities &amp; levers'!$C$12="Off",'Activity data'!AI69*UDCPPEF*NtoN2O*kgtoGg,'Net zero Activity data'!AI69*UDCPPEF*NtoN2O*kgtoGg)</f>
        <v>14.293651368256896</v>
      </c>
      <c r="Q988" s="94">
        <f>IF('Net zero activities &amp; levers'!$C$12="Off",'Activity data'!AJ69*UDCPPEF*NtoN2O*kgtoGg,'Net zero Activity data'!AJ69*UDCPPEF*NtoN2O*kgtoGg)</f>
        <v>13.994389539168758</v>
      </c>
      <c r="R988" s="94">
        <f>IF('Net zero activities &amp; levers'!$C$12="Off",'Activity data'!AK69*UDCPPEF*NtoN2O*kgtoGg,'Net zero Activity data'!AK69*UDCPPEF*NtoN2O*kgtoGg)</f>
        <v>13.711253827544139</v>
      </c>
      <c r="S988" s="94">
        <f>IF('Net zero activities &amp; levers'!$C$12="Off",'Activity data'!AL69*UDCPPEF*NtoN2O*kgtoGg,'Net zero Activity data'!AL69*UDCPPEF*NtoN2O*kgtoGg)</f>
        <v>12.061906249102522</v>
      </c>
      <c r="T988" s="94">
        <f>IF('Net zero activities &amp; levers'!$C$12="Off",'Activity data'!AM69*UDCPPEF*NtoN2O*kgtoGg,'Net zero Activity data'!AM69*UDCPPEF*NtoN2O*kgtoGg)</f>
        <v>12.257827954761961</v>
      </c>
      <c r="U988" s="94">
        <f>IF('Net zero activities &amp; levers'!$C$12="Off",'Activity data'!AN69*UDCPPEF*NtoN2O*kgtoGg,'Net zero Activity data'!AN69*UDCPPEF*NtoN2O*kgtoGg)</f>
        <v>12.623326077373568</v>
      </c>
      <c r="V988" s="94">
        <f>IF('Net zero activities &amp; levers'!$C$12="Off",'Activity data'!AO69*UDCPPEF*NtoN2O*kgtoGg,'Net zero Activity data'!AO69*UDCPPEF*NtoN2O*kgtoGg)</f>
        <v>12.696320274115601</v>
      </c>
      <c r="W988" s="94">
        <f>IF('Net zero activities &amp; levers'!$C$12="Off",'Activity data'!AP69*UDCPPEF*NtoN2O*kgtoGg,'Net zero Activity data'!AP69*UDCPPEF*NtoN2O*kgtoGg)</f>
        <v>12.80159889911199</v>
      </c>
      <c r="X988" s="94">
        <f>IF('Net zero activities &amp; levers'!$C$12="Off",'Activity data'!AQ69*UDCPPEF*NtoN2O*kgtoGg,'Net zero Activity data'!AQ69*UDCPPEF*NtoN2O*kgtoGg)</f>
        <v>12.948464903220069</v>
      </c>
      <c r="Y988" s="94">
        <f>IF('Net zero activities &amp; levers'!$C$12="Off",'Activity data'!AR69*UDCPPEF*NtoN2O*kgtoGg,'Net zero Activity data'!AR69*UDCPPEF*NtoN2O*kgtoGg)</f>
        <v>13.116926910965395</v>
      </c>
      <c r="Z988" s="94">
        <f>IF('Net zero activities &amp; levers'!$C$12="Off",'Activity data'!AS69*UDCPPEF*NtoN2O*kgtoGg,'Net zero Activity data'!AS69*UDCPPEF*NtoN2O*kgtoGg)</f>
        <v>13.314439769643803</v>
      </c>
      <c r="AA988" s="94">
        <f>IF('Net zero activities &amp; levers'!$C$12="Off",'Activity data'!AT69*UDCPPEF*NtoN2O*kgtoGg,'Net zero Activity data'!AT69*UDCPPEF*NtoN2O*kgtoGg)</f>
        <v>13.51286360181456</v>
      </c>
      <c r="AB988" s="94">
        <f>IF('Net zero activities &amp; levers'!$C$12="Off",'Activity data'!AU69*UDCPPEF*NtoN2O*kgtoGg,'Net zero Activity data'!AU69*UDCPPEF*NtoN2O*kgtoGg)</f>
        <v>13.736029185929986</v>
      </c>
      <c r="AC988" s="94">
        <f>IF('Net zero activities &amp; levers'!$C$12="Off",'Activity data'!AV69*UDCPPEF*NtoN2O*kgtoGg,'Net zero Activity data'!AV69*UDCPPEF*NtoN2O*kgtoGg)</f>
        <v>13.956980095887328</v>
      </c>
      <c r="AD988" s="94">
        <f>IF('Net zero activities &amp; levers'!$C$12="Off",'Activity data'!AW69*UDCPPEF*NtoN2O*kgtoGg,'Net zero Activity data'!AW69*UDCPPEF*NtoN2O*kgtoGg)</f>
        <v>14.10090814419179</v>
      </c>
      <c r="AE988" s="94">
        <f>IF('Net zero activities &amp; levers'!$C$12="Off",'Activity data'!AX69*UDCPPEF*NtoN2O*kgtoGg,'Net zero Activity data'!AX69*UDCPPEF*NtoN2O*kgtoGg)</f>
        <v>14.219083101971489</v>
      </c>
      <c r="AF988" s="94">
        <f>IF('Net zero activities &amp; levers'!$C$12="Off",'Activity data'!AY69*UDCPPEF*NtoN2O*kgtoGg,'Net zero Activity data'!AY69*UDCPPEF*NtoN2O*kgtoGg)</f>
        <v>14.343928249023508</v>
      </c>
      <c r="AG988" s="94">
        <f>IF('Net zero activities &amp; levers'!$C$12="Off",'Activity data'!AZ69*UDCPPEF*NtoN2O*kgtoGg,'Net zero Activity data'!AZ69*UDCPPEF*NtoN2O*kgtoGg)</f>
        <v>14.51096965309287</v>
      </c>
      <c r="AH988" s="94">
        <f>IF('Net zero activities &amp; levers'!$C$12="Off",'Activity data'!BA69*UDCPPEF*NtoN2O*kgtoGg,'Net zero Activity data'!BA69*UDCPPEF*NtoN2O*kgtoGg)</f>
        <v>14.631100213840327</v>
      </c>
      <c r="AI988" s="94">
        <f>IF('Net zero activities &amp; levers'!$C$12="Off",'Activity data'!BB69*UDCPPEF*NtoN2O*kgtoGg,'Net zero Activity data'!BB69*UDCPPEF*NtoN2O*kgtoGg)</f>
        <v>14.759129789982603</v>
      </c>
      <c r="AJ988" s="94">
        <f>IF('Net zero activities &amp; levers'!$C$12="Off",'Activity data'!BC69*UDCPPEF*NtoN2O*kgtoGg,'Net zero Activity data'!BC69*UDCPPEF*NtoN2O*kgtoGg)</f>
        <v>14.900063859192302</v>
      </c>
      <c r="AK988" s="94">
        <f>IF('Net zero activities &amp; levers'!$C$12="Off",'Activity data'!BD69*UDCPPEF*NtoN2O*kgtoGg,'Net zero Activity data'!BD69*UDCPPEF*NtoN2O*kgtoGg)</f>
        <v>14.987884546338787</v>
      </c>
      <c r="AL988" s="94">
        <f>IF('Net zero activities &amp; levers'!$C$12="Off",'Activity data'!BE69*UDCPPEF*NtoN2O*kgtoGg,'Net zero Activity data'!BE69*UDCPPEF*NtoN2O*kgtoGg)</f>
        <v>15.053769229100121</v>
      </c>
      <c r="AM988" s="94">
        <f>IF('Net zero activities &amp; levers'!$C$12="Off",'Activity data'!BF69*UDCPPEF*NtoN2O*kgtoGg,'Net zero Activity data'!BF69*UDCPPEF*NtoN2O*kgtoGg)</f>
        <v>15.099596245527735</v>
      </c>
      <c r="AN988" s="94">
        <f>IF('Net zero activities &amp; levers'!$C$12="Off",'Activity data'!BG69*UDCPPEF*NtoN2O*kgtoGg,'Net zero Activity data'!BG69*UDCPPEF*NtoN2O*kgtoGg)</f>
        <v>15.242060327526691</v>
      </c>
      <c r="AO988" s="94">
        <f>IF('Net zero activities &amp; levers'!$C$12="Off",'Activity data'!BH69*UDCPPEF*NtoN2O*kgtoGg,'Net zero Activity data'!BH69*UDCPPEF*NtoN2O*kgtoGg)</f>
        <v>15.350351065013276</v>
      </c>
      <c r="AP988" s="94">
        <f>IF('Net zero activities &amp; levers'!$C$12="Off",'Activity data'!BI69*UDCPPEF*NtoN2O*kgtoGg,'Net zero Activity data'!BI69*UDCPPEF*NtoN2O*kgtoGg)</f>
        <v>15.4600087454617</v>
      </c>
      <c r="AQ988" s="94">
        <f>IF('Net zero activities &amp; levers'!$C$12="Off",'Activity data'!BJ69*UDCPPEF*NtoN2O*kgtoGg,'Net zero Activity data'!BJ69*UDCPPEF*NtoN2O*kgtoGg)</f>
        <v>15.572287803164578</v>
      </c>
      <c r="AR988" s="94">
        <f>IF('Net zero activities &amp; levers'!$C$12="Off",'Activity data'!BK69*UDCPPEF*NtoN2O*kgtoGg,'Net zero Activity data'!BK69*UDCPPEF*NtoN2O*kgtoGg)</f>
        <v>15.689452381356277</v>
      </c>
      <c r="AS988" s="94">
        <f>IF('Net zero activities &amp; levers'!$C$12="Off",'Activity data'!BL69*UDCPPEF*NtoN2O*kgtoGg,'Net zero Activity data'!BL69*UDCPPEF*NtoN2O*kgtoGg)</f>
        <v>15.809749281637989</v>
      </c>
      <c r="AT988" s="94">
        <f>IF('Net zero activities &amp; levers'!$C$12="Off",'Activity data'!BM69*UDCPPEF*NtoN2O*kgtoGg,'Net zero Activity data'!BM69*UDCPPEF*NtoN2O*kgtoGg)</f>
        <v>15.572449633225865</v>
      </c>
      <c r="AU988" s="94">
        <f>IF('Net zero activities &amp; levers'!$C$12="Off",'Activity data'!BN69*UDCPPEF*NtoN2O*kgtoGg,'Net zero Activity data'!BN69*UDCPPEF*NtoN2O*kgtoGg)</f>
        <v>15.303629040465463</v>
      </c>
      <c r="AV988" s="94">
        <f>IF('Net zero activities &amp; levers'!$C$12="Off",'Activity data'!BO69*UDCPPEF*NtoN2O*kgtoGg,'Net zero Activity data'!BO69*UDCPPEF*NtoN2O*kgtoGg)</f>
        <v>14.991979745020995</v>
      </c>
      <c r="AW988" s="94">
        <f>IF('Net zero activities &amp; levers'!$C$12="Off",'Activity data'!BP69*UDCPPEF*NtoN2O*kgtoGg,'Net zero Activity data'!BP69*UDCPPEF*NtoN2O*kgtoGg)</f>
        <v>14.670563587286086</v>
      </c>
      <c r="AY988" s="79"/>
      <c r="AZ988" s="79"/>
    </row>
    <row r="989" spans="1:52" x14ac:dyDescent="0.3">
      <c r="A989" s="95" t="str">
        <f t="shared" si="345"/>
        <v>DS U&amp;D</v>
      </c>
      <c r="B989" s="95" t="s">
        <v>974</v>
      </c>
      <c r="C989" s="95" t="s">
        <v>1336</v>
      </c>
      <c r="D989" t="s">
        <v>369</v>
      </c>
      <c r="E989" t="s">
        <v>55</v>
      </c>
      <c r="F989" t="s">
        <v>422</v>
      </c>
      <c r="G989" t="s">
        <v>1160</v>
      </c>
      <c r="H989" t="s">
        <v>1244</v>
      </c>
      <c r="I989" t="s">
        <v>139</v>
      </c>
      <c r="J989" t="s">
        <v>287</v>
      </c>
      <c r="K989" s="94">
        <f>IF('Net zero activities &amp; levers'!$C$12="Off",'Activity data'!AD70*UDCPPEF*NtoN2O*kgtoGg,'Net zero Activity data'!AD70*UDCPPEF*NtoN2O*kgtoGg)</f>
        <v>9.6543103644621464</v>
      </c>
      <c r="L989" s="94">
        <f>IF('Net zero activities &amp; levers'!$C$12="Off",'Activity data'!AE70*UDCPPEF*NtoN2O*kgtoGg,'Net zero Activity data'!AE70*UDCPPEF*NtoN2O*kgtoGg)</f>
        <v>9.570581613851763</v>
      </c>
      <c r="M989" s="94">
        <f>IF('Net zero activities &amp; levers'!$C$12="Off",'Activity data'!AF70*UDCPPEF*NtoN2O*kgtoGg,'Net zero Activity data'!AF70*UDCPPEF*NtoN2O*kgtoGg)</f>
        <v>9.5387086131773007</v>
      </c>
      <c r="N989" s="94">
        <f>IF('Net zero activities &amp; levers'!$C$12="Off",'Activity data'!AG70*UDCPPEF*NtoN2O*kgtoGg,'Net zero Activity data'!AG70*UDCPPEF*NtoN2O*kgtoGg)</f>
        <v>9.4113316455488931</v>
      </c>
      <c r="O989" s="94">
        <f>IF('Net zero activities &amp; levers'!$C$12="Off",'Activity data'!AH70*UDCPPEF*NtoN2O*kgtoGg,'Net zero Activity data'!AH70*UDCPPEF*NtoN2O*kgtoGg)</f>
        <v>9.2264408662754782</v>
      </c>
      <c r="P989" s="94">
        <f>IF('Net zero activities &amp; levers'!$C$12="Off",'Activity data'!AI70*UDCPPEF*NtoN2O*kgtoGg,'Net zero Activity data'!AI70*UDCPPEF*NtoN2O*kgtoGg)</f>
        <v>8.9878595272244652</v>
      </c>
      <c r="Q989" s="94">
        <f>IF('Net zero activities &amp; levers'!$C$12="Off",'Activity data'!AJ70*UDCPPEF*NtoN2O*kgtoGg,'Net zero Activity data'!AJ70*UDCPPEF*NtoN2O*kgtoGg)</f>
        <v>8.7996834473406587</v>
      </c>
      <c r="R989" s="94">
        <f>IF('Net zero activities &amp; levers'!$C$12="Off",'Activity data'!AK70*UDCPPEF*NtoN2O*kgtoGg,'Net zero Activity data'!AK70*UDCPPEF*NtoN2O*kgtoGg)</f>
        <v>8.6216474831450967</v>
      </c>
      <c r="S989" s="94">
        <f>IF('Net zero activities &amp; levers'!$C$12="Off",'Activity data'!AL70*UDCPPEF*NtoN2O*kgtoGg,'Net zero Activity data'!AL70*UDCPPEF*NtoN2O*kgtoGg)</f>
        <v>7.5845363934257692</v>
      </c>
      <c r="T989" s="94">
        <f>IF('Net zero activities &amp; levers'!$C$12="Off",'Activity data'!AM70*UDCPPEF*NtoN2O*kgtoGg,'Net zero Activity data'!AM70*UDCPPEF*NtoN2O*kgtoGg)</f>
        <v>7.7077321202161873</v>
      </c>
      <c r="U989" s="94">
        <f>IF('Net zero activities &amp; levers'!$C$12="Off",'Activity data'!AN70*UDCPPEF*NtoN2O*kgtoGg,'Net zero Activity data'!AN70*UDCPPEF*NtoN2O*kgtoGg)</f>
        <v>7.9375576349753283</v>
      </c>
      <c r="V989" s="94">
        <f>IF('Net zero activities &amp; levers'!$C$12="Off",'Activity data'!AO70*UDCPPEF*NtoN2O*kgtoGg,'Net zero Activity data'!AO70*UDCPPEF*NtoN2O*kgtoGg)</f>
        <v>7.9834564448537479</v>
      </c>
      <c r="W989" s="94">
        <f>IF('Net zero activities &amp; levers'!$C$12="Off",'Activity data'!AP70*UDCPPEF*NtoN2O*kgtoGg,'Net zero Activity data'!AP70*UDCPPEF*NtoN2O*kgtoGg)</f>
        <v>8.0496557292988875</v>
      </c>
      <c r="X989" s="94">
        <f>IF('Net zero activities &amp; levers'!$C$12="Off",'Activity data'!AQ70*UDCPPEF*NtoN2O*kgtoGg,'Net zero Activity data'!AQ70*UDCPPEF*NtoN2O*kgtoGg)</f>
        <v>8.1420051913250582</v>
      </c>
      <c r="Y989" s="94">
        <f>IF('Net zero activities &amp; levers'!$C$12="Off",'Activity data'!AR70*UDCPPEF*NtoN2O*kgtoGg,'Net zero Activity data'!AR70*UDCPPEF*NtoN2O*kgtoGg)</f>
        <v>8.2479342378842677</v>
      </c>
      <c r="Z989" s="94">
        <f>IF('Net zero activities &amp; levers'!$C$12="Off",'Activity data'!AS70*UDCPPEF*NtoN2O*kgtoGg,'Net zero Activity data'!AS70*UDCPPEF*NtoN2O*kgtoGg)</f>
        <v>8.3721304829783953</v>
      </c>
      <c r="AA989" s="94">
        <f>IF('Net zero activities &amp; levers'!$C$12="Off",'Activity data'!AT70*UDCPPEF*NtoN2O*kgtoGg,'Net zero Activity data'!AT70*UDCPPEF*NtoN2O*kgtoGg)</f>
        <v>8.4968995489404282</v>
      </c>
      <c r="AB989" s="94">
        <f>IF('Net zero activities &amp; levers'!$C$12="Off",'Activity data'!AU70*UDCPPEF*NtoN2O*kgtoGg,'Net zero Activity data'!AU70*UDCPPEF*NtoN2O*kgtoGg)</f>
        <v>8.6372262485124356</v>
      </c>
      <c r="AC989" s="94">
        <f>IF('Net zero activities &amp; levers'!$C$12="Off",'Activity data'!AV70*UDCPPEF*NtoN2O*kgtoGg,'Net zero Activity data'!AV70*UDCPPEF*NtoN2O*kgtoGg)</f>
        <v>8.7761603591847646</v>
      </c>
      <c r="AD989" s="94">
        <f>IF('Net zero activities &amp; levers'!$C$12="Off",'Activity data'!AW70*UDCPPEF*NtoN2O*kgtoGg,'Net zero Activity data'!AW70*UDCPPEF*NtoN2O*kgtoGg)</f>
        <v>8.8666624322282459</v>
      </c>
      <c r="AE989" s="94">
        <f>IF('Net zero activities &amp; levers'!$C$12="Off",'Activity data'!AX70*UDCPPEF*NtoN2O*kgtoGg,'Net zero Activity data'!AX70*UDCPPEF*NtoN2O*kgtoGg)</f>
        <v>8.9409709411455953</v>
      </c>
      <c r="AF989" s="94">
        <f>IF('Net zero activities &amp; levers'!$C$12="Off",'Activity data'!AY70*UDCPPEF*NtoN2O*kgtoGg,'Net zero Activity data'!AY70*UDCPPEF*NtoN2O*kgtoGg)</f>
        <v>9.0194736704657732</v>
      </c>
      <c r="AG989" s="94">
        <f>IF('Net zero activities &amp; levers'!$C$12="Off",'Activity data'!AZ70*UDCPPEF*NtoN2O*kgtoGg,'Net zero Activity data'!AZ70*UDCPPEF*NtoN2O*kgtoGg)</f>
        <v>9.1245094402859266</v>
      </c>
      <c r="AH989" s="94">
        <f>IF('Net zero activities &amp; levers'!$C$12="Off",'Activity data'!BA70*UDCPPEF*NtoN2O*kgtoGg,'Net zero Activity data'!BA70*UDCPPEF*NtoN2O*kgtoGg)</f>
        <v>9.2000476339292057</v>
      </c>
      <c r="AI989" s="94">
        <f>IF('Net zero activities &amp; levers'!$C$12="Off",'Activity data'!BB70*UDCPPEF*NtoN2O*kgtoGg,'Net zero Activity data'!BB70*UDCPPEF*NtoN2O*kgtoGg)</f>
        <v>9.2805527348338117</v>
      </c>
      <c r="AJ989" s="94">
        <f>IF('Net zero activities &amp; levers'!$C$12="Off",'Activity data'!BC70*UDCPPEF*NtoN2O*kgtoGg,'Net zero Activity data'!BC70*UDCPPEF*NtoN2O*kgtoGg)</f>
        <v>9.3691721914038766</v>
      </c>
      <c r="AK989" s="94">
        <f>IF('Net zero activities &amp; levers'!$C$12="Off",'Activity data'!BD70*UDCPPEF*NtoN2O*kgtoGg,'Net zero Activity data'!BD70*UDCPPEF*NtoN2O*kgtoGg)</f>
        <v>9.4243939104259251</v>
      </c>
      <c r="AL989" s="94">
        <f>IF('Net zero activities &amp; levers'!$C$12="Off",'Activity data'!BE70*UDCPPEF*NtoN2O*kgtoGg,'Net zero Activity data'!BE70*UDCPPEF*NtoN2O*kgtoGg)</f>
        <v>9.4658222521699837</v>
      </c>
      <c r="AM989" s="94">
        <f>IF('Net zero activities &amp; levers'!$C$12="Off",'Activity data'!BF70*UDCPPEF*NtoN2O*kgtoGg,'Net zero Activity data'!BF70*UDCPPEF*NtoN2O*kgtoGg)</f>
        <v>9.4946383171201845</v>
      </c>
      <c r="AN989" s="94">
        <f>IF('Net zero activities &amp; levers'!$C$12="Off",'Activity data'!BG70*UDCPPEF*NtoN2O*kgtoGg,'Net zero Activity data'!BG70*UDCPPEF*NtoN2O*kgtoGg)</f>
        <v>9.5842198469681268</v>
      </c>
      <c r="AO989" s="94">
        <f>IF('Net zero activities &amp; levers'!$C$12="Off",'Activity data'!BH70*UDCPPEF*NtoN2O*kgtoGg,'Net zero Activity data'!BH70*UDCPPEF*NtoN2O*kgtoGg)</f>
        <v>9.6523131501803814</v>
      </c>
      <c r="AP989" s="94">
        <f>IF('Net zero activities &amp; levers'!$C$12="Off",'Activity data'!BI70*UDCPPEF*NtoN2O*kgtoGg,'Net zero Activity data'!BI70*UDCPPEF*NtoN2O*kgtoGg)</f>
        <v>9.7212659882312984</v>
      </c>
      <c r="AQ989" s="94">
        <f>IF('Net zero activities &amp; levers'!$C$12="Off",'Activity data'!BJ70*UDCPPEF*NtoN2O*kgtoGg,'Net zero Activity data'!BJ70*UDCPPEF*NtoN2O*kgtoGg)</f>
        <v>9.7918671504174508</v>
      </c>
      <c r="AR989" s="94">
        <f>IF('Net zero activities &amp; levers'!$C$12="Off",'Activity data'!BK70*UDCPPEF*NtoN2O*kgtoGg,'Net zero Activity data'!BK70*UDCPPEF*NtoN2O*kgtoGg)</f>
        <v>9.8655403318336496</v>
      </c>
      <c r="AS989" s="94">
        <f>IF('Net zero activities &amp; levers'!$C$12="Off",'Activity data'!BL70*UDCPPEF*NtoN2O*kgtoGg,'Net zero Activity data'!BL70*UDCPPEF*NtoN2O*kgtoGg)</f>
        <v>9.9411831199104377</v>
      </c>
      <c r="AT989" s="94">
        <f>IF('Net zero activities &amp; levers'!$C$12="Off",'Activity data'!BM70*UDCPPEF*NtoN2O*kgtoGg,'Net zero Activity data'!BM70*UDCPPEF*NtoN2O*kgtoGg)</f>
        <v>9.7919689092907181</v>
      </c>
      <c r="AU989" s="94">
        <f>IF('Net zero activities &amp; levers'!$C$12="Off",'Activity data'!BN70*UDCPPEF*NtoN2O*kgtoGg,'Net zero Activity data'!BN70*UDCPPEF*NtoN2O*kgtoGg)</f>
        <v>9.6229343034011841</v>
      </c>
      <c r="AV989" s="94">
        <f>IF('Net zero activities &amp; levers'!$C$12="Off",'Activity data'!BO70*UDCPPEF*NtoN2O*kgtoGg,'Net zero Activity data'!BO70*UDCPPEF*NtoN2O*kgtoGg)</f>
        <v>9.4269689746655256</v>
      </c>
      <c r="AW989" s="94">
        <f>IF('Net zero activities &amp; levers'!$C$12="Off",'Activity data'!BP70*UDCPPEF*NtoN2O*kgtoGg,'Net zero Activity data'!BP70*UDCPPEF*NtoN2O*kgtoGg)</f>
        <v>9.2248622350316598</v>
      </c>
      <c r="AY989" s="79"/>
      <c r="AZ989" s="79"/>
    </row>
    <row r="990" spans="1:52" x14ac:dyDescent="0.3">
      <c r="A990" s="95" t="str">
        <f t="shared" si="345"/>
        <v>DS U&amp;D</v>
      </c>
      <c r="B990" s="95" t="s">
        <v>974</v>
      </c>
      <c r="C990" s="95" t="s">
        <v>1336</v>
      </c>
      <c r="D990" t="s">
        <v>369</v>
      </c>
      <c r="E990" t="s">
        <v>55</v>
      </c>
      <c r="F990" t="s">
        <v>422</v>
      </c>
      <c r="G990" t="s">
        <v>1162</v>
      </c>
      <c r="H990" t="s">
        <v>1245</v>
      </c>
      <c r="I990" t="s">
        <v>139</v>
      </c>
      <c r="J990" t="s">
        <v>287</v>
      </c>
      <c r="K990" s="94">
        <f>IF('Net zero activities &amp; levers'!$C$12="Off",'Activity data'!AD71*UDCPPEF*NtoN2O*kgtoGg,'Net zero Activity data'!AD71*UDCPPEF*NtoN2O*kgtoGg)</f>
        <v>0</v>
      </c>
      <c r="L990" s="94">
        <f>IF('Net zero activities &amp; levers'!$C$12="Off",'Activity data'!AE71*UDCPPEF*NtoN2O*kgtoGg,'Net zero Activity data'!AE71*UDCPPEF*NtoN2O*kgtoGg)</f>
        <v>0</v>
      </c>
      <c r="M990" s="94">
        <f>IF('Net zero activities &amp; levers'!$C$12="Off",'Activity data'!AF71*UDCPPEF*NtoN2O*kgtoGg,'Net zero Activity data'!AF71*UDCPPEF*NtoN2O*kgtoGg)</f>
        <v>0</v>
      </c>
      <c r="N990" s="94">
        <f>IF('Net zero activities &amp; levers'!$C$12="Off",'Activity data'!AG71*UDCPPEF*NtoN2O*kgtoGg,'Net zero Activity data'!AG71*UDCPPEF*NtoN2O*kgtoGg)</f>
        <v>0</v>
      </c>
      <c r="O990" s="94">
        <f>IF('Net zero activities &amp; levers'!$C$12="Off",'Activity data'!AH71*UDCPPEF*NtoN2O*kgtoGg,'Net zero Activity data'!AH71*UDCPPEF*NtoN2O*kgtoGg)</f>
        <v>0</v>
      </c>
      <c r="P990" s="94">
        <f>IF('Net zero activities &amp; levers'!$C$12="Off",'Activity data'!AI71*UDCPPEF*NtoN2O*kgtoGg,'Net zero Activity data'!AI71*UDCPPEF*NtoN2O*kgtoGg)</f>
        <v>0</v>
      </c>
      <c r="Q990" s="94">
        <f>IF('Net zero activities &amp; levers'!$C$12="Off",'Activity data'!AJ71*UDCPPEF*NtoN2O*kgtoGg,'Net zero Activity data'!AJ71*UDCPPEF*NtoN2O*kgtoGg)</f>
        <v>0</v>
      </c>
      <c r="R990" s="94">
        <f>IF('Net zero activities &amp; levers'!$C$12="Off",'Activity data'!AK71*UDCPPEF*NtoN2O*kgtoGg,'Net zero Activity data'!AK71*UDCPPEF*NtoN2O*kgtoGg)</f>
        <v>0</v>
      </c>
      <c r="S990" s="94">
        <f>IF('Net zero activities &amp; levers'!$C$12="Off",'Activity data'!AL71*UDCPPEF*NtoN2O*kgtoGg,'Net zero Activity data'!AL71*UDCPPEF*NtoN2O*kgtoGg)</f>
        <v>0</v>
      </c>
      <c r="T990" s="94">
        <f>IF('Net zero activities &amp; levers'!$C$12="Off",'Activity data'!AM71*UDCPPEF*NtoN2O*kgtoGg,'Net zero Activity data'!AM71*UDCPPEF*NtoN2O*kgtoGg)</f>
        <v>0</v>
      </c>
      <c r="U990" s="94">
        <f>IF('Net zero activities &amp; levers'!$C$12="Off",'Activity data'!AN71*UDCPPEF*NtoN2O*kgtoGg,'Net zero Activity data'!AN71*UDCPPEF*NtoN2O*kgtoGg)</f>
        <v>0</v>
      </c>
      <c r="V990" s="94">
        <f>IF('Net zero activities &amp; levers'!$C$12="Off",'Activity data'!AO71*UDCPPEF*NtoN2O*kgtoGg,'Net zero Activity data'!AO71*UDCPPEF*NtoN2O*kgtoGg)</f>
        <v>0</v>
      </c>
      <c r="W990" s="94">
        <f>IF('Net zero activities &amp; levers'!$C$12="Off",'Activity data'!AP71*UDCPPEF*NtoN2O*kgtoGg,'Net zero Activity data'!AP71*UDCPPEF*NtoN2O*kgtoGg)</f>
        <v>0</v>
      </c>
      <c r="X990" s="94">
        <f>IF('Net zero activities &amp; levers'!$C$12="Off",'Activity data'!AQ71*UDCPPEF*NtoN2O*kgtoGg,'Net zero Activity data'!AQ71*UDCPPEF*NtoN2O*kgtoGg)</f>
        <v>0</v>
      </c>
      <c r="Y990" s="94">
        <f>IF('Net zero activities &amp; levers'!$C$12="Off",'Activity data'!AR71*UDCPPEF*NtoN2O*kgtoGg,'Net zero Activity data'!AR71*UDCPPEF*NtoN2O*kgtoGg)</f>
        <v>0</v>
      </c>
      <c r="Z990" s="94">
        <f>IF('Net zero activities &amp; levers'!$C$12="Off",'Activity data'!AS71*UDCPPEF*NtoN2O*kgtoGg,'Net zero Activity data'!AS71*UDCPPEF*NtoN2O*kgtoGg)</f>
        <v>0</v>
      </c>
      <c r="AA990" s="94">
        <f>IF('Net zero activities &amp; levers'!$C$12="Off",'Activity data'!AT71*UDCPPEF*NtoN2O*kgtoGg,'Net zero Activity data'!AT71*UDCPPEF*NtoN2O*kgtoGg)</f>
        <v>0</v>
      </c>
      <c r="AB990" s="94">
        <f>IF('Net zero activities &amp; levers'!$C$12="Off",'Activity data'!AU71*UDCPPEF*NtoN2O*kgtoGg,'Net zero Activity data'!AU71*UDCPPEF*NtoN2O*kgtoGg)</f>
        <v>0</v>
      </c>
      <c r="AC990" s="94">
        <f>IF('Net zero activities &amp; levers'!$C$12="Off",'Activity data'!AV71*UDCPPEF*NtoN2O*kgtoGg,'Net zero Activity data'!AV71*UDCPPEF*NtoN2O*kgtoGg)</f>
        <v>0</v>
      </c>
      <c r="AD990" s="94">
        <f>IF('Net zero activities &amp; levers'!$C$12="Off",'Activity data'!AW71*UDCPPEF*NtoN2O*kgtoGg,'Net zero Activity data'!AW71*UDCPPEF*NtoN2O*kgtoGg)</f>
        <v>0</v>
      </c>
      <c r="AE990" s="94">
        <f>IF('Net zero activities &amp; levers'!$C$12="Off",'Activity data'!AX71*UDCPPEF*NtoN2O*kgtoGg,'Net zero Activity data'!AX71*UDCPPEF*NtoN2O*kgtoGg)</f>
        <v>0</v>
      </c>
      <c r="AF990" s="94">
        <f>IF('Net zero activities &amp; levers'!$C$12="Off",'Activity data'!AY71*UDCPPEF*NtoN2O*kgtoGg,'Net zero Activity data'!AY71*UDCPPEF*NtoN2O*kgtoGg)</f>
        <v>0</v>
      </c>
      <c r="AG990" s="94">
        <f>IF('Net zero activities &amp; levers'!$C$12="Off",'Activity data'!AZ71*UDCPPEF*NtoN2O*kgtoGg,'Net zero Activity data'!AZ71*UDCPPEF*NtoN2O*kgtoGg)</f>
        <v>0</v>
      </c>
      <c r="AH990" s="94">
        <f>IF('Net zero activities &amp; levers'!$C$12="Off",'Activity data'!BA71*UDCPPEF*NtoN2O*kgtoGg,'Net zero Activity data'!BA71*UDCPPEF*NtoN2O*kgtoGg)</f>
        <v>0</v>
      </c>
      <c r="AI990" s="94">
        <f>IF('Net zero activities &amp; levers'!$C$12="Off",'Activity data'!BB71*UDCPPEF*NtoN2O*kgtoGg,'Net zero Activity data'!BB71*UDCPPEF*NtoN2O*kgtoGg)</f>
        <v>0</v>
      </c>
      <c r="AJ990" s="94">
        <f>IF('Net zero activities &amp; levers'!$C$12="Off",'Activity data'!BC71*UDCPPEF*NtoN2O*kgtoGg,'Net zero Activity data'!BC71*UDCPPEF*NtoN2O*kgtoGg)</f>
        <v>0</v>
      </c>
      <c r="AK990" s="94">
        <f>IF('Net zero activities &amp; levers'!$C$12="Off",'Activity data'!BD71*UDCPPEF*NtoN2O*kgtoGg,'Net zero Activity data'!BD71*UDCPPEF*NtoN2O*kgtoGg)</f>
        <v>0</v>
      </c>
      <c r="AL990" s="94">
        <f>IF('Net zero activities &amp; levers'!$C$12="Off",'Activity data'!BE71*UDCPPEF*NtoN2O*kgtoGg,'Net zero Activity data'!BE71*UDCPPEF*NtoN2O*kgtoGg)</f>
        <v>0</v>
      </c>
      <c r="AM990" s="94">
        <f>IF('Net zero activities &amp; levers'!$C$12="Off",'Activity data'!BF71*UDCPPEF*NtoN2O*kgtoGg,'Net zero Activity data'!BF71*UDCPPEF*NtoN2O*kgtoGg)</f>
        <v>0</v>
      </c>
      <c r="AN990" s="94">
        <f>IF('Net zero activities &amp; levers'!$C$12="Off",'Activity data'!BG71*UDCPPEF*NtoN2O*kgtoGg,'Net zero Activity data'!BG71*UDCPPEF*NtoN2O*kgtoGg)</f>
        <v>0</v>
      </c>
      <c r="AO990" s="94">
        <f>IF('Net zero activities &amp; levers'!$C$12="Off",'Activity data'!BH71*UDCPPEF*NtoN2O*kgtoGg,'Net zero Activity data'!BH71*UDCPPEF*NtoN2O*kgtoGg)</f>
        <v>0</v>
      </c>
      <c r="AP990" s="94">
        <f>IF('Net zero activities &amp; levers'!$C$12="Off",'Activity data'!BI71*UDCPPEF*NtoN2O*kgtoGg,'Net zero Activity data'!BI71*UDCPPEF*NtoN2O*kgtoGg)</f>
        <v>0</v>
      </c>
      <c r="AQ990" s="94">
        <f>IF('Net zero activities &amp; levers'!$C$12="Off",'Activity data'!BJ71*UDCPPEF*NtoN2O*kgtoGg,'Net zero Activity data'!BJ71*UDCPPEF*NtoN2O*kgtoGg)</f>
        <v>0</v>
      </c>
      <c r="AR990" s="94">
        <f>IF('Net zero activities &amp; levers'!$C$12="Off",'Activity data'!BK71*UDCPPEF*NtoN2O*kgtoGg,'Net zero Activity data'!BK71*UDCPPEF*NtoN2O*kgtoGg)</f>
        <v>0</v>
      </c>
      <c r="AS990" s="94">
        <f>IF('Net zero activities &amp; levers'!$C$12="Off",'Activity data'!BL71*UDCPPEF*NtoN2O*kgtoGg,'Net zero Activity data'!BL71*UDCPPEF*NtoN2O*kgtoGg)</f>
        <v>0</v>
      </c>
      <c r="AT990" s="94">
        <f>IF('Net zero activities &amp; levers'!$C$12="Off",'Activity data'!BM71*UDCPPEF*NtoN2O*kgtoGg,'Net zero Activity data'!BM71*UDCPPEF*NtoN2O*kgtoGg)</f>
        <v>0</v>
      </c>
      <c r="AU990" s="94">
        <f>IF('Net zero activities &amp; levers'!$C$12="Off",'Activity data'!BN71*UDCPPEF*NtoN2O*kgtoGg,'Net zero Activity data'!BN71*UDCPPEF*NtoN2O*kgtoGg)</f>
        <v>0</v>
      </c>
      <c r="AV990" s="94">
        <f>IF('Net zero activities &amp; levers'!$C$12="Off",'Activity data'!BO71*UDCPPEF*NtoN2O*kgtoGg,'Net zero Activity data'!BO71*UDCPPEF*NtoN2O*kgtoGg)</f>
        <v>0</v>
      </c>
      <c r="AW990" s="94">
        <f>IF('Net zero activities &amp; levers'!$C$12="Off",'Activity data'!BP71*UDCPPEF*NtoN2O*kgtoGg,'Net zero Activity data'!BP71*UDCPPEF*NtoN2O*kgtoGg)</f>
        <v>0</v>
      </c>
      <c r="AY990" s="79"/>
      <c r="AZ990" s="79"/>
    </row>
    <row r="991" spans="1:52" x14ac:dyDescent="0.3">
      <c r="A991" s="95" t="str">
        <f t="shared" si="345"/>
        <v>DS U&amp;D</v>
      </c>
      <c r="B991" s="95" t="s">
        <v>974</v>
      </c>
      <c r="C991" s="95" t="s">
        <v>1336</v>
      </c>
      <c r="D991" t="s">
        <v>369</v>
      </c>
      <c r="E991" t="s">
        <v>55</v>
      </c>
      <c r="F991" t="s">
        <v>422</v>
      </c>
      <c r="G991" t="s">
        <v>1164</v>
      </c>
      <c r="H991" t="s">
        <v>1246</v>
      </c>
      <c r="I991" t="s">
        <v>139</v>
      </c>
      <c r="J991" t="s">
        <v>287</v>
      </c>
      <c r="K991" s="94">
        <f>IF('Net zero activities &amp; levers'!$C$12="Off",'Activity data'!AD72*UDSOEF*NtoN2O*kgtoGg,IF('Net zero activities &amp; levers'!$C$12="PB",'Activity data'!AD72*UDSOEF*NtoN2O*kgtoGg,IF('Net zero activities &amp; levers'!$C$12="MS",'Net zero Activity data'!AD72*UDSOEF*NtoN2O*kgtoGg,"ERROR")))</f>
        <v>5.8008217784478333</v>
      </c>
      <c r="L991" s="94">
        <f>IF('Net zero activities &amp; levers'!$C$12="Off",'Activity data'!AE72*UDSOEF*NtoN2O*kgtoGg,IF('Net zero activities &amp; levers'!$C$12="PB",'Activity data'!AE72*UDSOEF*NtoN2O*kgtoGg,IF('Net zero activities &amp; levers'!$C$12="MS",'Net zero Activity data'!AE72*UDSOEF*NtoN2O*kgtoGg,"ERROR")))</f>
        <v>5.8039582643251126</v>
      </c>
      <c r="M991" s="94">
        <f>IF('Net zero activities &amp; levers'!$C$12="Off",'Activity data'!AF72*UDSOEF*NtoN2O*kgtoGg,IF('Net zero activities &amp; levers'!$C$12="PB",'Activity data'!AF72*UDSOEF*NtoN2O*kgtoGg,IF('Net zero activities &amp; levers'!$C$12="MS",'Net zero Activity data'!AF72*UDSOEF*NtoN2O*kgtoGg,"ERROR")))</f>
        <v>5.8114574843873825</v>
      </c>
      <c r="N991" s="94">
        <f>IF('Net zero activities &amp; levers'!$C$12="Off",'Activity data'!AG72*UDSOEF*NtoN2O*kgtoGg,IF('Net zero activities &amp; levers'!$C$12="PB",'Activity data'!AG72*UDSOEF*NtoN2O*kgtoGg,IF('Net zero activities &amp; levers'!$C$12="MS",'Net zero Activity data'!AG72*UDSOEF*NtoN2O*kgtoGg,"ERROR")))</f>
        <v>5.8225151444828054</v>
      </c>
      <c r="O991" s="94">
        <f>IF('Net zero activities &amp; levers'!$C$12="Off",'Activity data'!AH72*UDSOEF*NtoN2O*kgtoGg,IF('Net zero activities &amp; levers'!$C$12="PB",'Activity data'!AH72*UDSOEF*NtoN2O*kgtoGg,IF('Net zero activities &amp; levers'!$C$12="MS",'Net zero Activity data'!AH72*UDSOEF*NtoN2O*kgtoGg,"ERROR")))</f>
        <v>5.8370609765606929</v>
      </c>
      <c r="P991" s="94">
        <f>IF('Net zero activities &amp; levers'!$C$12="Off",'Activity data'!AI72*UDSOEF*NtoN2O*kgtoGg,IF('Net zero activities &amp; levers'!$C$12="PB",'Activity data'!AI72*UDSOEF*NtoN2O*kgtoGg,IF('Net zero activities &amp; levers'!$C$12="MS",'Net zero Activity data'!AI72*UDSOEF*NtoN2O*kgtoGg,"ERROR")))</f>
        <v>5.8549413826537444</v>
      </c>
      <c r="Q991" s="94">
        <f>IF('Net zero activities &amp; levers'!$C$12="Off",'Activity data'!AJ72*UDSOEF*NtoN2O*kgtoGg,IF('Net zero activities &amp; levers'!$C$12="PB",'Activity data'!AJ72*UDSOEF*NtoN2O*kgtoGg,IF('Net zero activities &amp; levers'!$C$12="MS",'Net zero Activity data'!AJ72*UDSOEF*NtoN2O*kgtoGg,"ERROR")))</f>
        <v>5.8750235193024203</v>
      </c>
      <c r="R991" s="94">
        <f>IF('Net zero activities &amp; levers'!$C$12="Off",'Activity data'!AK72*UDSOEF*NtoN2O*kgtoGg,IF('Net zero activities &amp; levers'!$C$12="PB",'Activity data'!AK72*UDSOEF*NtoN2O*kgtoGg,IF('Net zero activities &amp; levers'!$C$12="MS",'Net zero Activity data'!AK72*UDSOEF*NtoN2O*kgtoGg,"ERROR")))</f>
        <v>5.8971806009067276</v>
      </c>
      <c r="S991" s="94">
        <f>IF('Net zero activities &amp; levers'!$C$12="Off",'Activity data'!AL72*UDSOEF*NtoN2O*kgtoGg,IF('Net zero activities &amp; levers'!$C$12="PB",'Activity data'!AL72*UDSOEF*NtoN2O*kgtoGg,IF('Net zero activities &amp; levers'!$C$12="MS",'Net zero Activity data'!AL72*UDSOEF*NtoN2O*kgtoGg,"ERROR")))</f>
        <v>5.917442032162775</v>
      </c>
      <c r="T991" s="94">
        <f>IF('Net zero activities &amp; levers'!$C$12="Off",'Activity data'!AM72*UDSOEF*NtoN2O*kgtoGg,IF('Net zero activities &amp; levers'!$C$12="PB",'Activity data'!AM72*UDSOEF*NtoN2O*kgtoGg,IF('Net zero activities &amp; levers'!$C$12="MS",'Net zero Activity data'!AM72*UDSOEF*NtoN2O*kgtoGg,"ERROR")))</f>
        <v>5.9263453955781369</v>
      </c>
      <c r="U991" s="94">
        <f>IF('Net zero activities &amp; levers'!$C$12="Off",'Activity data'!AN72*UDSOEF*NtoN2O*kgtoGg,IF('Net zero activities &amp; levers'!$C$12="PB",'Activity data'!AN72*UDSOEF*NtoN2O*kgtoGg,IF('Net zero activities &amp; levers'!$C$12="MS",'Net zero Activity data'!AN72*UDSOEF*NtoN2O*kgtoGg,"ERROR")))</f>
        <v>5.9372183150377431</v>
      </c>
      <c r="V991" s="94">
        <f>IF('Net zero activities &amp; levers'!$C$12="Off",'Activity data'!AO72*UDSOEF*NtoN2O*kgtoGg,IF('Net zero activities &amp; levers'!$C$12="PB",'Activity data'!AO72*UDSOEF*NtoN2O*kgtoGg,IF('Net zero activities &amp; levers'!$C$12="MS",'Net zero Activity data'!AO72*UDSOEF*NtoN2O*kgtoGg,"ERROR")))</f>
        <v>5.9486466020913653</v>
      </c>
      <c r="W991" s="94">
        <f>IF('Net zero activities &amp; levers'!$C$12="Off",'Activity data'!AP72*UDSOEF*NtoN2O*kgtoGg,IF('Net zero activities &amp; levers'!$C$12="PB",'Activity data'!AP72*UDSOEF*NtoN2O*kgtoGg,IF('Net zero activities &amp; levers'!$C$12="MS",'Net zero Activity data'!AP72*UDSOEF*NtoN2O*kgtoGg,"ERROR")))</f>
        <v>5.9614772941302494</v>
      </c>
      <c r="X991" s="94">
        <f>IF('Net zero activities &amp; levers'!$C$12="Off",'Activity data'!AQ72*UDSOEF*NtoN2O*kgtoGg,IF('Net zero activities &amp; levers'!$C$12="PB",'Activity data'!AQ72*UDSOEF*NtoN2O*kgtoGg,IF('Net zero activities &amp; levers'!$C$12="MS",'Net zero Activity data'!AQ72*UDSOEF*NtoN2O*kgtoGg,"ERROR")))</f>
        <v>5.975674490624324</v>
      </c>
      <c r="Y991" s="94">
        <f>IF('Net zero activities &amp; levers'!$C$12="Off",'Activity data'!AR72*UDSOEF*NtoN2O*kgtoGg,IF('Net zero activities &amp; levers'!$C$12="PB",'Activity data'!AR72*UDSOEF*NtoN2O*kgtoGg,IF('Net zero activities &amp; levers'!$C$12="MS",'Net zero Activity data'!AR72*UDSOEF*NtoN2O*kgtoGg,"ERROR")))</f>
        <v>5.984540997272453</v>
      </c>
      <c r="Z991" s="94">
        <f>IF('Net zero activities &amp; levers'!$C$12="Off",'Activity data'!AS72*UDSOEF*NtoN2O*kgtoGg,IF('Net zero activities &amp; levers'!$C$12="PB",'Activity data'!AS72*UDSOEF*NtoN2O*kgtoGg,IF('Net zero activities &amp; levers'!$C$12="MS",'Net zero Activity data'!AS72*UDSOEF*NtoN2O*kgtoGg,"ERROR")))</f>
        <v>5.9945579021556687</v>
      </c>
      <c r="AA991" s="94">
        <f>IF('Net zero activities &amp; levers'!$C$12="Off",'Activity data'!AT72*UDSOEF*NtoN2O*kgtoGg,IF('Net zero activities &amp; levers'!$C$12="PB",'Activity data'!AT72*UDSOEF*NtoN2O*kgtoGg,IF('Net zero activities &amp; levers'!$C$12="MS",'Net zero Activity data'!AT72*UDSOEF*NtoN2O*kgtoGg,"ERROR")))</f>
        <v>6.0055898546708475</v>
      </c>
      <c r="AB991" s="94">
        <f>IF('Net zero activities &amp; levers'!$C$12="Off",'Activity data'!AU72*UDSOEF*NtoN2O*kgtoGg,IF('Net zero activities &amp; levers'!$C$12="PB",'Activity data'!AU72*UDSOEF*NtoN2O*kgtoGg,IF('Net zero activities &amp; levers'!$C$12="MS",'Net zero Activity data'!AU72*UDSOEF*NtoN2O*kgtoGg,"ERROR")))</f>
        <v>6.0176671888041211</v>
      </c>
      <c r="AC991" s="94">
        <f>IF('Net zero activities &amp; levers'!$C$12="Off",'Activity data'!AV72*UDSOEF*NtoN2O*kgtoGg,IF('Net zero activities &amp; levers'!$C$12="PB",'Activity data'!AV72*UDSOEF*NtoN2O*kgtoGg,IF('Net zero activities &amp; levers'!$C$12="MS",'Net zero Activity data'!AV72*UDSOEF*NtoN2O*kgtoGg,"ERROR")))</f>
        <v>6.030665248312749</v>
      </c>
      <c r="AD991" s="94">
        <f>IF('Net zero activities &amp; levers'!$C$12="Off",'Activity data'!AW72*UDSOEF*NtoN2O*kgtoGg,IF('Net zero activities &amp; levers'!$C$12="PB",'Activity data'!AW72*UDSOEF*NtoN2O*kgtoGg,IF('Net zero activities &amp; levers'!$C$12="MS",'Net zero Activity data'!AW72*UDSOEF*NtoN2O*kgtoGg,"ERROR")))</f>
        <v>6.0393845451591259</v>
      </c>
      <c r="AE991" s="94">
        <f>IF('Net zero activities &amp; levers'!$C$12="Off",'Activity data'!AX72*UDSOEF*NtoN2O*kgtoGg,IF('Net zero activities &amp; levers'!$C$12="PB",'Activity data'!AX72*UDSOEF*NtoN2O*kgtoGg,IF('Net zero activities &amp; levers'!$C$12="MS",'Net zero Activity data'!AX72*UDSOEF*NtoN2O*kgtoGg,"ERROR")))</f>
        <v>6.0488503325285592</v>
      </c>
      <c r="AF991" s="94">
        <f>IF('Net zero activities &amp; levers'!$C$12="Off",'Activity data'!AY72*UDSOEF*NtoN2O*kgtoGg,IF('Net zero activities &amp; levers'!$C$12="PB",'Activity data'!AY72*UDSOEF*NtoN2O*kgtoGg,IF('Net zero activities &amp; levers'!$C$12="MS",'Net zero Activity data'!AY72*UDSOEF*NtoN2O*kgtoGg,"ERROR")))</f>
        <v>6.0591386998485763</v>
      </c>
      <c r="AG991" s="94">
        <f>IF('Net zero activities &amp; levers'!$C$12="Off",'Activity data'!AZ72*UDSOEF*NtoN2O*kgtoGg,IF('Net zero activities &amp; levers'!$C$12="PB",'Activity data'!AZ72*UDSOEF*NtoN2O*kgtoGg,IF('Net zero activities &amp; levers'!$C$12="MS",'Net zero Activity data'!AZ72*UDSOEF*NtoN2O*kgtoGg,"ERROR")))</f>
        <v>6.0703500781796258</v>
      </c>
      <c r="AH991" s="94">
        <f>IF('Net zero activities &amp; levers'!$C$12="Off",'Activity data'!BA72*UDSOEF*NtoN2O*kgtoGg,IF('Net zero activities &amp; levers'!$C$12="PB",'Activity data'!BA72*UDSOEF*NtoN2O*kgtoGg,IF('Net zero activities &amp; levers'!$C$12="MS",'Net zero Activity data'!BA72*UDSOEF*NtoN2O*kgtoGg,"ERROR")))</f>
        <v>6.0821478127419235</v>
      </c>
      <c r="AI991" s="94">
        <f>IF('Net zero activities &amp; levers'!$C$12="Off",'Activity data'!BB72*UDSOEF*NtoN2O*kgtoGg,IF('Net zero activities &amp; levers'!$C$12="PB",'Activity data'!BB72*UDSOEF*NtoN2O*kgtoGg,IF('Net zero activities &amp; levers'!$C$12="MS",'Net zero Activity data'!BB72*UDSOEF*NtoN2O*kgtoGg,"ERROR")))</f>
        <v>6.0896888871649706</v>
      </c>
      <c r="AJ991" s="94">
        <f>IF('Net zero activities &amp; levers'!$C$12="Off",'Activity data'!BC72*UDSOEF*NtoN2O*kgtoGg,IF('Net zero activities &amp; levers'!$C$12="PB",'Activity data'!BC72*UDSOEF*NtoN2O*kgtoGg,IF('Net zero activities &amp; levers'!$C$12="MS",'Net zero Activity data'!BC72*UDSOEF*NtoN2O*kgtoGg,"ERROR")))</f>
        <v>6.0979488793317644</v>
      </c>
      <c r="AK991" s="94">
        <f>IF('Net zero activities &amp; levers'!$C$12="Off",'Activity data'!BD72*UDSOEF*NtoN2O*kgtoGg,IF('Net zero activities &amp; levers'!$C$12="PB",'Activity data'!BD72*UDSOEF*NtoN2O*kgtoGg,IF('Net zero activities &amp; levers'!$C$12="MS",'Net zero Activity data'!BD72*UDSOEF*NtoN2O*kgtoGg,"ERROR")))</f>
        <v>6.1066553574494229</v>
      </c>
      <c r="AL991" s="94">
        <f>IF('Net zero activities &amp; levers'!$C$12="Off",'Activity data'!BE72*UDSOEF*NtoN2O*kgtoGg,IF('Net zero activities &amp; levers'!$C$12="PB",'Activity data'!BE72*UDSOEF*NtoN2O*kgtoGg,IF('Net zero activities &amp; levers'!$C$12="MS",'Net zero Activity data'!BE72*UDSOEF*NtoN2O*kgtoGg,"ERROR")))</f>
        <v>6.1159010108536567</v>
      </c>
      <c r="AM991" s="94">
        <f>IF('Net zero activities &amp; levers'!$C$12="Off",'Activity data'!BF72*UDSOEF*NtoN2O*kgtoGg,IF('Net zero activities &amp; levers'!$C$12="PB",'Activity data'!BF72*UDSOEF*NtoN2O*kgtoGg,IF('Net zero activities &amp; levers'!$C$12="MS",'Net zero Activity data'!BF72*UDSOEF*NtoN2O*kgtoGg,"ERROR")))</f>
        <v>6.1256718211091643</v>
      </c>
      <c r="AN991" s="94">
        <f>IF('Net zero activities &amp; levers'!$C$12="Off",'Activity data'!BG72*UDSOEF*NtoN2O*kgtoGg,IF('Net zero activities &amp; levers'!$C$12="PB",'Activity data'!BG72*UDSOEF*NtoN2O*kgtoGg,IF('Net zero activities &amp; levers'!$C$12="MS",'Net zero Activity data'!BG72*UDSOEF*NtoN2O*kgtoGg,"ERROR")))</f>
        <v>6.1314451386260842</v>
      </c>
      <c r="AO991" s="94">
        <f>IF('Net zero activities &amp; levers'!$C$12="Off",'Activity data'!BH72*UDSOEF*NtoN2O*kgtoGg,IF('Net zero activities &amp; levers'!$C$12="PB",'Activity data'!BH72*UDSOEF*NtoN2O*kgtoGg,IF('Net zero activities &amp; levers'!$C$12="MS",'Net zero Activity data'!BH72*UDSOEF*NtoN2O*kgtoGg,"ERROR")))</f>
        <v>6.1376082251338753</v>
      </c>
      <c r="AP991" s="94">
        <f>IF('Net zero activities &amp; levers'!$C$12="Off",'Activity data'!BI72*UDSOEF*NtoN2O*kgtoGg,IF('Net zero activities &amp; levers'!$C$12="PB",'Activity data'!BI72*UDSOEF*NtoN2O*kgtoGg,IF('Net zero activities &amp; levers'!$C$12="MS",'Net zero Activity data'!BI72*UDSOEF*NtoN2O*kgtoGg,"ERROR")))</f>
        <v>6.1442934501067121</v>
      </c>
      <c r="AQ991" s="94">
        <f>IF('Net zero activities &amp; levers'!$C$12="Off",'Activity data'!BJ72*UDSOEF*NtoN2O*kgtoGg,IF('Net zero activities &amp; levers'!$C$12="PB",'Activity data'!BJ72*UDSOEF*NtoN2O*kgtoGg,IF('Net zero activities &amp; levers'!$C$12="MS",'Net zero Activity data'!BJ72*UDSOEF*NtoN2O*kgtoGg,"ERROR")))</f>
        <v>6.1514943503502693</v>
      </c>
      <c r="AR991" s="94">
        <f>IF('Net zero activities &amp; levers'!$C$12="Off",'Activity data'!BK72*UDSOEF*NtoN2O*kgtoGg,IF('Net zero activities &amp; levers'!$C$12="PB",'Activity data'!BK72*UDSOEF*NtoN2O*kgtoGg,IF('Net zero activities &amp; levers'!$C$12="MS",'Net zero Activity data'!BK72*UDSOEF*NtoN2O*kgtoGg,"ERROR")))</f>
        <v>6.1592107766386786</v>
      </c>
      <c r="AS991" s="94">
        <f>IF('Net zero activities &amp; levers'!$C$12="Off",'Activity data'!BL72*UDSOEF*NtoN2O*kgtoGg,IF('Net zero activities &amp; levers'!$C$12="PB",'Activity data'!BL72*UDSOEF*NtoN2O*kgtoGg,IF('Net zero activities &amp; levers'!$C$12="MS",'Net zero Activity data'!BL72*UDSOEF*NtoN2O*kgtoGg,"ERROR")))</f>
        <v>6.1627115342701337</v>
      </c>
      <c r="AT991" s="94">
        <f>IF('Net zero activities &amp; levers'!$C$12="Off",'Activity data'!BM72*UDSOEF*NtoN2O*kgtoGg,IF('Net zero activities &amp; levers'!$C$12="PB",'Activity data'!BM72*UDSOEF*NtoN2O*kgtoGg,IF('Net zero activities &amp; levers'!$C$12="MS",'Net zero Activity data'!BM72*UDSOEF*NtoN2O*kgtoGg,"ERROR")))</f>
        <v>6.1649675411239766</v>
      </c>
      <c r="AU991" s="94">
        <f>IF('Net zero activities &amp; levers'!$C$12="Off",'Activity data'!BN72*UDSOEF*NtoN2O*kgtoGg,IF('Net zero activities &amp; levers'!$C$12="PB",'Activity data'!BN72*UDSOEF*NtoN2O*kgtoGg,IF('Net zero activities &amp; levers'!$C$12="MS",'Net zero Activity data'!BN72*UDSOEF*NtoN2O*kgtoGg,"ERROR")))</f>
        <v>6.1674405510086165</v>
      </c>
      <c r="AV991" s="94">
        <f>IF('Net zero activities &amp; levers'!$C$12="Off",'Activity data'!BO72*UDSOEF*NtoN2O*kgtoGg,IF('Net zero activities &amp; levers'!$C$12="PB",'Activity data'!BO72*UDSOEF*NtoN2O*kgtoGg,IF('Net zero activities &amp; levers'!$C$12="MS",'Net zero Activity data'!BO72*UDSOEF*NtoN2O*kgtoGg,"ERROR")))</f>
        <v>6.1700527124926303</v>
      </c>
      <c r="AW991" s="94">
        <f>IF('Net zero activities &amp; levers'!$C$12="Off",'Activity data'!BP72*UDSOEF*NtoN2O*kgtoGg,IF('Net zero activities &amp; levers'!$C$12="PB",'Activity data'!BP72*UDSOEF*NtoN2O*kgtoGg,IF('Net zero activities &amp; levers'!$C$12="MS",'Net zero Activity data'!BP72*UDSOEF*NtoN2O*kgtoGg,"ERROR")))</f>
        <v>6.1729463171150929</v>
      </c>
      <c r="AY991" s="79"/>
      <c r="AZ991" s="79"/>
    </row>
    <row r="992" spans="1:52" x14ac:dyDescent="0.3">
      <c r="A992" s="95" t="str">
        <f t="shared" si="345"/>
        <v>DS U&amp;D</v>
      </c>
      <c r="B992" s="95" t="s">
        <v>974</v>
      </c>
      <c r="C992" s="95" t="s">
        <v>1336</v>
      </c>
      <c r="D992" t="s">
        <v>369</v>
      </c>
      <c r="E992" t="s">
        <v>55</v>
      </c>
      <c r="F992" t="s">
        <v>422</v>
      </c>
      <c r="G992" t="s">
        <v>1166</v>
      </c>
      <c r="H992" t="s">
        <v>1247</v>
      </c>
      <c r="I992" t="s">
        <v>139</v>
      </c>
      <c r="J992" t="s">
        <v>287</v>
      </c>
      <c r="K992" s="94">
        <f>IF('Net zero activities &amp; levers'!$C$12="Off",'Activity data'!AD73*UDSOEF*NtoN2O*kgtoGg,IF('Net zero activities &amp; levers'!$C$12="PB",'Activity data'!AD73*UDSOEF*NtoN2O*kgtoGg,IF('Net zero activities &amp; levers'!$C$12="MS",'Net zero Activity data'!AD73*UDSOEF*NtoN2O*kgtoGg,"ERROR")))</f>
        <v>0.6475429908430661</v>
      </c>
      <c r="L992" s="94">
        <f>IF('Net zero activities &amp; levers'!$C$12="Off",'Activity data'!AE73*UDSOEF*NtoN2O*kgtoGg,IF('Net zero activities &amp; levers'!$C$12="PB",'Activity data'!AE73*UDSOEF*NtoN2O*kgtoGg,IF('Net zero activities &amp; levers'!$C$12="MS",'Net zero Activity data'!AE73*UDSOEF*NtoN2O*kgtoGg,"ERROR")))</f>
        <v>0.64789311527772075</v>
      </c>
      <c r="M992" s="94">
        <f>IF('Net zero activities &amp; levers'!$C$12="Off",'Activity data'!AF73*UDSOEF*NtoN2O*kgtoGg,IF('Net zero activities &amp; levers'!$C$12="PB",'Activity data'!AF73*UDSOEF*NtoN2O*kgtoGg,IF('Net zero activities &amp; levers'!$C$12="MS",'Net zero Activity data'!AF73*UDSOEF*NtoN2O*kgtoGg,"ERROR")))</f>
        <v>0.64873024966549919</v>
      </c>
      <c r="N992" s="94">
        <f>IF('Net zero activities &amp; levers'!$C$12="Off",'Activity data'!AG73*UDSOEF*NtoN2O*kgtoGg,IF('Net zero activities &amp; levers'!$C$12="PB",'Activity data'!AG73*UDSOEF*NtoN2O*kgtoGg,IF('Net zero activities &amp; levers'!$C$12="MS",'Net zero Activity data'!AG73*UDSOEF*NtoN2O*kgtoGg,"ERROR")))</f>
        <v>0.64996461103073178</v>
      </c>
      <c r="O992" s="94">
        <f>IF('Net zero activities &amp; levers'!$C$12="Off",'Activity data'!AH73*UDSOEF*NtoN2O*kgtoGg,IF('Net zero activities &amp; levers'!$C$12="PB",'Activity data'!AH73*UDSOEF*NtoN2O*kgtoGg,IF('Net zero activities &amp; levers'!$C$12="MS",'Net zero Activity data'!AH73*UDSOEF*NtoN2O*kgtoGg,"ERROR")))</f>
        <v>0.65158835538416293</v>
      </c>
      <c r="P992" s="94">
        <f>IF('Net zero activities &amp; levers'!$C$12="Off",'Activity data'!AI73*UDSOEF*NtoN2O*kgtoGg,IF('Net zero activities &amp; levers'!$C$12="PB",'Activity data'!AI73*UDSOEF*NtoN2O*kgtoGg,IF('Net zero activities &amp; levers'!$C$12="MS",'Net zero Activity data'!AI73*UDSOEF*NtoN2O*kgtoGg,"ERROR")))</f>
        <v>0.65358433665736837</v>
      </c>
      <c r="Q992" s="94">
        <f>IF('Net zero activities &amp; levers'!$C$12="Off",'Activity data'!AJ73*UDSOEF*NtoN2O*kgtoGg,IF('Net zero activities &amp; levers'!$C$12="PB",'Activity data'!AJ73*UDSOEF*NtoN2O*kgtoGg,IF('Net zero activities &amp; levers'!$C$12="MS",'Net zero Activity data'!AJ73*UDSOEF*NtoN2O*kgtoGg,"ERROR")))</f>
        <v>0.65582609607089082</v>
      </c>
      <c r="R992" s="94">
        <f>IF('Net zero activities &amp; levers'!$C$12="Off",'Activity data'!AK73*UDSOEF*NtoN2O*kgtoGg,IF('Net zero activities &amp; levers'!$C$12="PB",'Activity data'!AK73*UDSOEF*NtoN2O*kgtoGg,IF('Net zero activities &amp; levers'!$C$12="MS",'Net zero Activity data'!AK73*UDSOEF*NtoN2O*kgtoGg,"ERROR")))</f>
        <v>0.65829948060818433</v>
      </c>
      <c r="S992" s="94">
        <f>IF('Net zero activities &amp; levers'!$C$12="Off",'Activity data'!AL73*UDSOEF*NtoN2O*kgtoGg,IF('Net zero activities &amp; levers'!$C$12="PB",'Activity data'!AL73*UDSOEF*NtoN2O*kgtoGg,IF('Net zero activities &amp; levers'!$C$12="MS",'Net zero Activity data'!AL73*UDSOEF*NtoN2O*kgtoGg,"ERROR")))</f>
        <v>0.66056125459390613</v>
      </c>
      <c r="T992" s="94">
        <f>IF('Net zero activities &amp; levers'!$C$12="Off",'Activity data'!AM73*UDSOEF*NtoN2O*kgtoGg,IF('Net zero activities &amp; levers'!$C$12="PB",'Activity data'!AM73*UDSOEF*NtoN2O*kgtoGg,IF('Net zero activities &amp; levers'!$C$12="MS",'Net zero Activity data'!AM73*UDSOEF*NtoN2O*kgtoGg,"ERROR")))</f>
        <v>0.6615551328399103</v>
      </c>
      <c r="U992" s="94">
        <f>IF('Net zero activities &amp; levers'!$C$12="Off",'Activity data'!AN73*UDSOEF*NtoN2O*kgtoGg,IF('Net zero activities &amp; levers'!$C$12="PB",'Activity data'!AN73*UDSOEF*NtoN2O*kgtoGg,IF('Net zero activities &amp; levers'!$C$12="MS",'Net zero Activity data'!AN73*UDSOEF*NtoN2O*kgtoGg,"ERROR")))</f>
        <v>0.6627688716953648</v>
      </c>
      <c r="V992" s="94">
        <f>IF('Net zero activities &amp; levers'!$C$12="Off",'Activity data'!AO73*UDSOEF*NtoN2O*kgtoGg,IF('Net zero activities &amp; levers'!$C$12="PB",'Activity data'!AO73*UDSOEF*NtoN2O*kgtoGg,IF('Net zero activities &amp; levers'!$C$12="MS",'Net zero Activity data'!AO73*UDSOEF*NtoN2O*kgtoGg,"ERROR")))</f>
        <v>0.66404460597260306</v>
      </c>
      <c r="W992" s="94">
        <f>IF('Net zero activities &amp; levers'!$C$12="Off",'Activity data'!AP73*UDSOEF*NtoN2O*kgtoGg,IF('Net zero activities &amp; levers'!$C$12="PB",'Activity data'!AP73*UDSOEF*NtoN2O*kgtoGg,IF('Net zero activities &amp; levers'!$C$12="MS",'Net zero Activity data'!AP73*UDSOEF*NtoN2O*kgtoGg,"ERROR")))</f>
        <v>0.6654768900548883</v>
      </c>
      <c r="X992" s="94">
        <f>IF('Net zero activities &amp; levers'!$C$12="Off",'Activity data'!AQ73*UDSOEF*NtoN2O*kgtoGg,IF('Net zero activities &amp; levers'!$C$12="PB",'Activity data'!AQ73*UDSOEF*NtoN2O*kgtoGg,IF('Net zero activities &amp; levers'!$C$12="MS",'Net zero Activity data'!AQ73*UDSOEF*NtoN2O*kgtoGg,"ERROR")))</f>
        <v>0.66706171638303324</v>
      </c>
      <c r="Y992" s="94">
        <f>IF('Net zero activities &amp; levers'!$C$12="Off",'Activity data'!AR73*UDSOEF*NtoN2O*kgtoGg,IF('Net zero activities &amp; levers'!$C$12="PB",'Activity data'!AR73*UDSOEF*NtoN2O*kgtoGg,IF('Net zero activities &amp; levers'!$C$12="MS",'Net zero Activity data'!AR73*UDSOEF*NtoN2O*kgtoGg,"ERROR")))</f>
        <v>0.66805148032554751</v>
      </c>
      <c r="Z992" s="94">
        <f>IF('Net zero activities &amp; levers'!$C$12="Off",'Activity data'!AS73*UDSOEF*NtoN2O*kgtoGg,IF('Net zero activities &amp; levers'!$C$12="PB",'Activity data'!AS73*UDSOEF*NtoN2O*kgtoGg,IF('Net zero activities &amp; levers'!$C$12="MS",'Net zero Activity data'!AS73*UDSOEF*NtoN2O*kgtoGg,"ERROR")))</f>
        <v>0.66916966267880784</v>
      </c>
      <c r="AA992" s="94">
        <f>IF('Net zero activities &amp; levers'!$C$12="Off",'Activity data'!AT73*UDSOEF*NtoN2O*kgtoGg,IF('Net zero activities &amp; levers'!$C$12="PB",'Activity data'!AT73*UDSOEF*NtoN2O*kgtoGg,IF('Net zero activities &amp; levers'!$C$12="MS",'Net zero Activity data'!AT73*UDSOEF*NtoN2O*kgtoGg,"ERROR")))</f>
        <v>0.67040115431901948</v>
      </c>
      <c r="AB992" s="94">
        <f>IF('Net zero activities &amp; levers'!$C$12="Off",'Activity data'!AU73*UDSOEF*NtoN2O*kgtoGg,IF('Net zero activities &amp; levers'!$C$12="PB",'Activity data'!AU73*UDSOEF*NtoN2O*kgtoGg,IF('Net zero activities &amp; levers'!$C$12="MS",'Net zero Activity data'!AU73*UDSOEF*NtoN2O*kgtoGg,"ERROR")))</f>
        <v>0.67174934141470444</v>
      </c>
      <c r="AC992" s="94">
        <f>IF('Net zero activities &amp; levers'!$C$12="Off",'Activity data'!AV73*UDSOEF*NtoN2O*kgtoGg,IF('Net zero activities &amp; levers'!$C$12="PB",'Activity data'!AV73*UDSOEF*NtoN2O*kgtoGg,IF('Net zero activities &amp; levers'!$C$12="MS",'Net zero Activity data'!AV73*UDSOEF*NtoN2O*kgtoGg,"ERROR")))</f>
        <v>0.67320030864845803</v>
      </c>
      <c r="AD992" s="94">
        <f>IF('Net zero activities &amp; levers'!$C$12="Off",'Activity data'!AW73*UDSOEF*NtoN2O*kgtoGg,IF('Net zero activities &amp; levers'!$C$12="PB",'Activity data'!AW73*UDSOEF*NtoN2O*kgtoGg,IF('Net zero activities &amp; levers'!$C$12="MS",'Net zero Activity data'!AW73*UDSOEF*NtoN2O*kgtoGg,"ERROR")))</f>
        <v>0.67417363963044585</v>
      </c>
      <c r="AE992" s="94">
        <f>IF('Net zero activities &amp; levers'!$C$12="Off",'Activity data'!AX73*UDSOEF*NtoN2O*kgtoGg,IF('Net zero activities &amp; levers'!$C$12="PB",'Activity data'!AX73*UDSOEF*NtoN2O*kgtoGg,IF('Net zero activities &amp; levers'!$C$12="MS",'Net zero Activity data'!AX73*UDSOEF*NtoN2O*kgtoGg,"ERROR")))</f>
        <v>0.67523030099636827</v>
      </c>
      <c r="AF992" s="94">
        <f>IF('Net zero activities &amp; levers'!$C$12="Off",'Activity data'!AY73*UDSOEF*NtoN2O*kgtoGg,IF('Net zero activities &amp; levers'!$C$12="PB",'Activity data'!AY73*UDSOEF*NtoN2O*kgtoGg,IF('Net zero activities &amp; levers'!$C$12="MS",'Net zero Activity data'!AY73*UDSOEF*NtoN2O*kgtoGg,"ERROR")))</f>
        <v>0.67637878657302375</v>
      </c>
      <c r="AG992" s="94">
        <f>IF('Net zero activities &amp; levers'!$C$12="Off",'Activity data'!AZ73*UDSOEF*NtoN2O*kgtoGg,IF('Net zero activities &amp; levers'!$C$12="PB",'Activity data'!AZ73*UDSOEF*NtoN2O*kgtoGg,IF('Net zero activities &amp; levers'!$C$12="MS",'Net zero Activity data'!AZ73*UDSOEF*NtoN2O*kgtoGg,"ERROR")))</f>
        <v>0.67763030743217745</v>
      </c>
      <c r="AH992" s="94">
        <f>IF('Net zero activities &amp; levers'!$C$12="Off",'Activity data'!BA73*UDSOEF*NtoN2O*kgtoGg,IF('Net zero activities &amp; levers'!$C$12="PB",'Activity data'!BA73*UDSOEF*NtoN2O*kgtoGg,IF('Net zero activities &amp; levers'!$C$12="MS",'Net zero Activity data'!BA73*UDSOEF*NtoN2O*kgtoGg,"ERROR")))</f>
        <v>0.67894728296002871</v>
      </c>
      <c r="AI992" s="94">
        <f>IF('Net zero activities &amp; levers'!$C$12="Off",'Activity data'!BB73*UDSOEF*NtoN2O*kgtoGg,IF('Net zero activities &amp; levers'!$C$12="PB",'Activity data'!BB73*UDSOEF*NtoN2O*kgtoGg,IF('Net zero activities &amp; levers'!$C$12="MS",'Net zero Activity data'!BB73*UDSOEF*NtoN2O*kgtoGg,"ERROR")))</f>
        <v>0.67978908953029982</v>
      </c>
      <c r="AJ992" s="94">
        <f>IF('Net zero activities &amp; levers'!$C$12="Off",'Activity data'!BC73*UDSOEF*NtoN2O*kgtoGg,IF('Net zero activities &amp; levers'!$C$12="PB",'Activity data'!BC73*UDSOEF*NtoN2O*kgtoGg,IF('Net zero activities &amp; levers'!$C$12="MS",'Net zero Activity data'!BC73*UDSOEF*NtoN2O*kgtoGg,"ERROR")))</f>
        <v>0.68071114854819625</v>
      </c>
      <c r="AK992" s="94">
        <f>IF('Net zero activities &amp; levers'!$C$12="Off",'Activity data'!BD73*UDSOEF*NtoN2O*kgtoGg,IF('Net zero activities &amp; levers'!$C$12="PB",'Activity data'!BD73*UDSOEF*NtoN2O*kgtoGg,IF('Net zero activities &amp; levers'!$C$12="MS",'Net zero Activity data'!BD73*UDSOEF*NtoN2O*kgtoGg,"ERROR")))</f>
        <v>0.68168304858156126</v>
      </c>
      <c r="AL992" s="94">
        <f>IF('Net zero activities &amp; levers'!$C$12="Off",'Activity data'!BE73*UDSOEF*NtoN2O*kgtoGg,IF('Net zero activities &amp; levers'!$C$12="PB",'Activity data'!BE73*UDSOEF*NtoN2O*kgtoGg,IF('Net zero activities &amp; levers'!$C$12="MS",'Net zero Activity data'!BE73*UDSOEF*NtoN2O*kgtoGg,"ERROR")))</f>
        <v>0.68271513649709059</v>
      </c>
      <c r="AM992" s="94">
        <f>IF('Net zero activities &amp; levers'!$C$12="Off",'Activity data'!BF73*UDSOEF*NtoN2O*kgtoGg,IF('Net zero activities &amp; levers'!$C$12="PB",'Activity data'!BF73*UDSOEF*NtoN2O*kgtoGg,IF('Net zero activities &amp; levers'!$C$12="MS",'Net zero Activity data'!BF73*UDSOEF*NtoN2O*kgtoGg,"ERROR")))</f>
        <v>0.68380584742348371</v>
      </c>
      <c r="AN992" s="94">
        <f>IF('Net zero activities &amp; levers'!$C$12="Off",'Activity data'!BG73*UDSOEF*NtoN2O*kgtoGg,IF('Net zero activities &amp; levers'!$C$12="PB",'Activity data'!BG73*UDSOEF*NtoN2O*kgtoGg,IF('Net zero activities &amp; levers'!$C$12="MS",'Net zero Activity data'!BG73*UDSOEF*NtoN2O*kgtoGg,"ERROR")))</f>
        <v>0.68445032012662432</v>
      </c>
      <c r="AO992" s="94">
        <f>IF('Net zero activities &amp; levers'!$C$12="Off",'Activity data'!BH73*UDSOEF*NtoN2O*kgtoGg,IF('Net zero activities &amp; levers'!$C$12="PB",'Activity data'!BH73*UDSOEF*NtoN2O*kgtoGg,IF('Net zero activities &amp; levers'!$C$12="MS",'Net zero Activity data'!BH73*UDSOEF*NtoN2O*kgtoGg,"ERROR")))</f>
        <v>0.68513830255782171</v>
      </c>
      <c r="AP992" s="94">
        <f>IF('Net zero activities &amp; levers'!$C$12="Off",'Activity data'!BI73*UDSOEF*NtoN2O*kgtoGg,IF('Net zero activities &amp; levers'!$C$12="PB",'Activity data'!BI73*UDSOEF*NtoN2O*kgtoGg,IF('Net zero activities &amp; levers'!$C$12="MS",'Net zero Activity data'!BI73*UDSOEF*NtoN2O*kgtoGg,"ERROR")))</f>
        <v>0.6858845710588557</v>
      </c>
      <c r="AQ992" s="94">
        <f>IF('Net zero activities &amp; levers'!$C$12="Off",'Activity data'!BJ73*UDSOEF*NtoN2O*kgtoGg,IF('Net zero activities &amp; levers'!$C$12="PB",'Activity data'!BJ73*UDSOEF*NtoN2O*kgtoGg,IF('Net zero activities &amp; levers'!$C$12="MS",'Net zero Activity data'!BJ73*UDSOEF*NtoN2O*kgtoGg,"ERROR")))</f>
        <v>0.6866884041464022</v>
      </c>
      <c r="AR992" s="94">
        <f>IF('Net zero activities &amp; levers'!$C$12="Off",'Activity data'!BK73*UDSOEF*NtoN2O*kgtoGg,IF('Net zero activities &amp; levers'!$C$12="PB",'Activity data'!BK73*UDSOEF*NtoN2O*kgtoGg,IF('Net zero activities &amp; levers'!$C$12="MS",'Net zero Activity data'!BK73*UDSOEF*NtoN2O*kgtoGg,"ERROR")))</f>
        <v>0.68754978516244758</v>
      </c>
      <c r="AS992" s="94">
        <f>IF('Net zero activities &amp; levers'!$C$12="Off",'Activity data'!BL73*UDSOEF*NtoN2O*kgtoGg,IF('Net zero activities &amp; levers'!$C$12="PB",'Activity data'!BL73*UDSOEF*NtoN2O*kgtoGg,IF('Net zero activities &amp; levers'!$C$12="MS",'Net zero Activity data'!BL73*UDSOEF*NtoN2O*kgtoGg,"ERROR")))</f>
        <v>0.6879405730806889</v>
      </c>
      <c r="AT992" s="94">
        <f>IF('Net zero activities &amp; levers'!$C$12="Off",'Activity data'!BM73*UDSOEF*NtoN2O*kgtoGg,IF('Net zero activities &amp; levers'!$C$12="PB",'Activity data'!BM73*UDSOEF*NtoN2O*kgtoGg,IF('Net zero activities &amp; levers'!$C$12="MS",'Net zero Activity data'!BM73*UDSOEF*NtoN2O*kgtoGg,"ERROR")))</f>
        <v>0.68819241005849918</v>
      </c>
      <c r="AU992" s="94">
        <f>IF('Net zero activities &amp; levers'!$C$12="Off",'Activity data'!BN73*UDSOEF*NtoN2O*kgtoGg,IF('Net zero activities &amp; levers'!$C$12="PB",'Activity data'!BN73*UDSOEF*NtoN2O*kgtoGg,IF('Net zero activities &amp; levers'!$C$12="MS",'Net zero Activity data'!BN73*UDSOEF*NtoN2O*kgtoGg,"ERROR")))</f>
        <v>0.68846847098197617</v>
      </c>
      <c r="AV992" s="94">
        <f>IF('Net zero activities &amp; levers'!$C$12="Off",'Activity data'!BO73*UDSOEF*NtoN2O*kgtoGg,IF('Net zero activities &amp; levers'!$C$12="PB",'Activity data'!BO73*UDSOEF*NtoN2O*kgtoGg,IF('Net zero activities &amp; levers'!$C$12="MS",'Net zero Activity data'!BO73*UDSOEF*NtoN2O*kgtoGg,"ERROR")))</f>
        <v>0.68876006533266065</v>
      </c>
      <c r="AW992" s="94">
        <f>IF('Net zero activities &amp; levers'!$C$12="Off",'Activity data'!BP73*UDSOEF*NtoN2O*kgtoGg,IF('Net zero activities &amp; levers'!$C$12="PB",'Activity data'!BP73*UDSOEF*NtoN2O*kgtoGg,IF('Net zero activities &amp; levers'!$C$12="MS",'Net zero Activity data'!BP73*UDSOEF*NtoN2O*kgtoGg,"ERROR")))</f>
        <v>0.68908307704774374</v>
      </c>
      <c r="AY992" s="79"/>
      <c r="AZ992" s="79"/>
    </row>
    <row r="993" spans="1:52" x14ac:dyDescent="0.3">
      <c r="A993" s="95" t="str">
        <f t="shared" si="345"/>
        <v>DS U&amp;D</v>
      </c>
      <c r="B993" s="95" t="s">
        <v>974</v>
      </c>
      <c r="C993" s="95" t="s">
        <v>1336</v>
      </c>
      <c r="D993" t="s">
        <v>369</v>
      </c>
      <c r="E993" t="s">
        <v>55</v>
      </c>
      <c r="F993" t="s">
        <v>422</v>
      </c>
      <c r="G993" t="s">
        <v>1168</v>
      </c>
      <c r="H993" t="s">
        <v>1248</v>
      </c>
      <c r="I993" t="s">
        <v>139</v>
      </c>
      <c r="J993" t="s">
        <v>287</v>
      </c>
      <c r="K993" s="22">
        <f t="shared" ref="K993:Z996" si="348">K1490</f>
        <v>0.71706343480611268</v>
      </c>
      <c r="L993" s="22">
        <f t="shared" si="348"/>
        <v>0.71892745361392807</v>
      </c>
      <c r="M993" s="22">
        <f t="shared" si="348"/>
        <v>0.72149880168720626</v>
      </c>
      <c r="N993" s="22">
        <f t="shared" si="348"/>
        <v>0.72463138273575978</v>
      </c>
      <c r="O993" s="22">
        <f t="shared" si="348"/>
        <v>0.72832072886952293</v>
      </c>
      <c r="P993" s="22">
        <f t="shared" si="348"/>
        <v>0.7325443847928953</v>
      </c>
      <c r="Q993" s="22">
        <f t="shared" si="348"/>
        <v>0.73708994755228441</v>
      </c>
      <c r="R993" s="22">
        <f t="shared" si="348"/>
        <v>0.74193942345928476</v>
      </c>
      <c r="S993" s="22">
        <f t="shared" si="348"/>
        <v>0.74633734890279979</v>
      </c>
      <c r="T993" s="22">
        <f t="shared" si="348"/>
        <v>0.7484855631491526</v>
      </c>
      <c r="U993" s="22">
        <f t="shared" si="348"/>
        <v>0.75094789604401424</v>
      </c>
      <c r="V993" s="22">
        <f t="shared" si="348"/>
        <v>0.7534578797366237</v>
      </c>
      <c r="W993" s="22">
        <f t="shared" si="348"/>
        <v>0.75618014560841795</v>
      </c>
      <c r="X993" s="22">
        <f t="shared" si="348"/>
        <v>0.75911019457510998</v>
      </c>
      <c r="Y993" s="22">
        <f t="shared" si="348"/>
        <v>0.76098529780205848</v>
      </c>
      <c r="Z993" s="22">
        <f t="shared" si="348"/>
        <v>0.76303676473265736</v>
      </c>
      <c r="AA993" s="22">
        <f t="shared" ref="L993:AW996" si="349">AA1490</f>
        <v>0.7652406009428746</v>
      </c>
      <c r="AB993" s="22">
        <f t="shared" si="349"/>
        <v>0.76760388311939587</v>
      </c>
      <c r="AC993" s="22">
        <f t="shared" si="349"/>
        <v>0.77010442048860683</v>
      </c>
      <c r="AD993" s="22">
        <f t="shared" si="349"/>
        <v>0.77177199510986771</v>
      </c>
      <c r="AE993" s="22">
        <f t="shared" si="349"/>
        <v>0.773550364220007</v>
      </c>
      <c r="AF993" s="22">
        <f t="shared" si="349"/>
        <v>0.77545458075511842</v>
      </c>
      <c r="AG993" s="22">
        <f t="shared" si="349"/>
        <v>0.77750398529137599</v>
      </c>
      <c r="AH993" s="22">
        <f t="shared" si="349"/>
        <v>0.77963666315118907</v>
      </c>
      <c r="AI993" s="22">
        <f t="shared" si="349"/>
        <v>0.78095748542095478</v>
      </c>
      <c r="AJ993" s="22">
        <f t="shared" si="349"/>
        <v>0.78239081807371291</v>
      </c>
      <c r="AK993" s="22">
        <f t="shared" si="349"/>
        <v>0.78388681169292429</v>
      </c>
      <c r="AL993" s="22">
        <f t="shared" si="349"/>
        <v>0.78546308863746028</v>
      </c>
      <c r="AM993" s="22">
        <f t="shared" si="349"/>
        <v>0.78711749076594029</v>
      </c>
      <c r="AN993" s="22">
        <f t="shared" si="349"/>
        <v>0.7880213548905175</v>
      </c>
      <c r="AO993" s="22">
        <f t="shared" si="349"/>
        <v>0.7889821600969783</v>
      </c>
      <c r="AP993" s="22">
        <f t="shared" si="349"/>
        <v>0.7900244330710835</v>
      </c>
      <c r="AQ993" s="22">
        <f t="shared" si="349"/>
        <v>0.79114717839494386</v>
      </c>
      <c r="AR993" s="22">
        <f t="shared" si="349"/>
        <v>0.79235052559003472</v>
      </c>
      <c r="AS993" s="22">
        <f t="shared" si="349"/>
        <v>0.79277466874731783</v>
      </c>
      <c r="AT993" s="22">
        <f t="shared" si="349"/>
        <v>0.79296303081990593</v>
      </c>
      <c r="AU993" s="22">
        <f t="shared" si="349"/>
        <v>0.79318200303032371</v>
      </c>
      <c r="AV993" s="22">
        <f t="shared" si="349"/>
        <v>0.79341774382528896</v>
      </c>
      <c r="AW993" s="22">
        <f t="shared" si="349"/>
        <v>0.79369623394189648</v>
      </c>
      <c r="AY993" s="79"/>
      <c r="AZ993" s="79"/>
    </row>
    <row r="994" spans="1:52" x14ac:dyDescent="0.3">
      <c r="A994" s="95" t="str">
        <f t="shared" si="345"/>
        <v>DS U&amp;D</v>
      </c>
      <c r="B994" s="95" t="s">
        <v>974</v>
      </c>
      <c r="C994" s="95" t="s">
        <v>1336</v>
      </c>
      <c r="D994" t="s">
        <v>369</v>
      </c>
      <c r="E994" t="s">
        <v>55</v>
      </c>
      <c r="F994" t="s">
        <v>422</v>
      </c>
      <c r="G994" t="s">
        <v>1170</v>
      </c>
      <c r="H994" t="s">
        <v>1249</v>
      </c>
      <c r="I994" t="s">
        <v>139</v>
      </c>
      <c r="J994" t="s">
        <v>287</v>
      </c>
      <c r="K994" s="22">
        <f t="shared" si="348"/>
        <v>1.1867254191644503</v>
      </c>
      <c r="L994" s="22">
        <f t="shared" si="349"/>
        <v>1.1898103324282718</v>
      </c>
      <c r="M994" s="22">
        <f t="shared" si="349"/>
        <v>1.194065861258722</v>
      </c>
      <c r="N994" s="22">
        <f t="shared" si="349"/>
        <v>1.1992502192631385</v>
      </c>
      <c r="O994" s="22">
        <f t="shared" si="349"/>
        <v>1.2053560121742171</v>
      </c>
      <c r="P994" s="22">
        <f t="shared" si="349"/>
        <v>1.212346076933865</v>
      </c>
      <c r="Q994" s="22">
        <f t="shared" si="349"/>
        <v>1.2198688909683484</v>
      </c>
      <c r="R994" s="22">
        <f t="shared" si="349"/>
        <v>1.2278946750888551</v>
      </c>
      <c r="S994" s="22">
        <f t="shared" si="349"/>
        <v>1.2351731523644685</v>
      </c>
      <c r="T994" s="22">
        <f t="shared" si="349"/>
        <v>1.2387284033063148</v>
      </c>
      <c r="U994" s="22">
        <f t="shared" si="349"/>
        <v>1.2428035142308693</v>
      </c>
      <c r="V994" s="22">
        <f t="shared" si="349"/>
        <v>1.2469574862577844</v>
      </c>
      <c r="W994" s="22">
        <f t="shared" si="349"/>
        <v>1.2514627809792418</v>
      </c>
      <c r="X994" s="22">
        <f t="shared" si="349"/>
        <v>1.2563119525021347</v>
      </c>
      <c r="Y994" s="22">
        <f t="shared" si="349"/>
        <v>1.2594152102544689</v>
      </c>
      <c r="Z994" s="22">
        <f t="shared" si="349"/>
        <v>1.2628103463539342</v>
      </c>
      <c r="AA994" s="22">
        <f t="shared" si="349"/>
        <v>1.2664576505161484</v>
      </c>
      <c r="AB994" s="22">
        <f t="shared" si="349"/>
        <v>1.2703688345138295</v>
      </c>
      <c r="AC994" s="22">
        <f t="shared" si="349"/>
        <v>1.2745071730673998</v>
      </c>
      <c r="AD994" s="22">
        <f t="shared" si="349"/>
        <v>1.2772669751927705</v>
      </c>
      <c r="AE994" s="22">
        <f t="shared" si="349"/>
        <v>1.2802101399467087</v>
      </c>
      <c r="AF994" s="22">
        <f t="shared" si="349"/>
        <v>1.2833615796326843</v>
      </c>
      <c r="AG994" s="22">
        <f t="shared" si="349"/>
        <v>1.2867533025114073</v>
      </c>
      <c r="AH994" s="22">
        <f t="shared" si="349"/>
        <v>1.2902828410491152</v>
      </c>
      <c r="AI994" s="22">
        <f t="shared" si="349"/>
        <v>1.2924687750762118</v>
      </c>
      <c r="AJ994" s="22">
        <f t="shared" si="349"/>
        <v>1.2948409115017798</v>
      </c>
      <c r="AK994" s="22">
        <f t="shared" si="349"/>
        <v>1.2973167505540197</v>
      </c>
      <c r="AL994" s="22">
        <f t="shared" si="349"/>
        <v>1.2999254568789065</v>
      </c>
      <c r="AM994" s="22">
        <f t="shared" si="349"/>
        <v>1.3026634587962926</v>
      </c>
      <c r="AN994" s="22">
        <f t="shared" si="349"/>
        <v>1.3041593355626162</v>
      </c>
      <c r="AO994" s="22">
        <f t="shared" si="349"/>
        <v>1.3057494486628347</v>
      </c>
      <c r="AP994" s="22">
        <f t="shared" si="349"/>
        <v>1.3074743892636795</v>
      </c>
      <c r="AQ994" s="22">
        <f t="shared" si="349"/>
        <v>1.3093325099687654</v>
      </c>
      <c r="AR994" s="22">
        <f t="shared" si="349"/>
        <v>1.3113240251335019</v>
      </c>
      <c r="AS994" s="22">
        <f t="shared" si="349"/>
        <v>1.3120259734433455</v>
      </c>
      <c r="AT994" s="22">
        <f t="shared" si="349"/>
        <v>1.3123377088473509</v>
      </c>
      <c r="AU994" s="22">
        <f t="shared" si="349"/>
        <v>1.3127001034076922</v>
      </c>
      <c r="AV994" s="22">
        <f t="shared" si="349"/>
        <v>1.313090249634846</v>
      </c>
      <c r="AW994" s="22">
        <f t="shared" si="349"/>
        <v>1.3135511451209665</v>
      </c>
      <c r="AY994" s="79"/>
      <c r="AZ994" s="79"/>
    </row>
    <row r="995" spans="1:52" x14ac:dyDescent="0.3">
      <c r="A995" s="95" t="str">
        <f t="shared" si="345"/>
        <v>DS U&amp;D</v>
      </c>
      <c r="B995" s="95" t="s">
        <v>974</v>
      </c>
      <c r="C995" s="95" t="s">
        <v>1336</v>
      </c>
      <c r="D995" t="s">
        <v>369</v>
      </c>
      <c r="E995" t="s">
        <v>55</v>
      </c>
      <c r="F995" t="s">
        <v>422</v>
      </c>
      <c r="G995" t="s">
        <v>1172</v>
      </c>
      <c r="H995" t="s">
        <v>1250</v>
      </c>
      <c r="I995" t="s">
        <v>139</v>
      </c>
      <c r="J995" t="s">
        <v>287</v>
      </c>
      <c r="K995" s="22">
        <f t="shared" si="348"/>
        <v>0.19147730421375916</v>
      </c>
      <c r="L995" s="22">
        <f t="shared" si="349"/>
        <v>0.19240499933397132</v>
      </c>
      <c r="M995" s="22">
        <f t="shared" si="349"/>
        <v>0.19381280191845887</v>
      </c>
      <c r="N995" s="22">
        <f t="shared" si="349"/>
        <v>0.19411375969056655</v>
      </c>
      <c r="O995" s="22">
        <f t="shared" si="349"/>
        <v>0.19368291106027893</v>
      </c>
      <c r="P995" s="22">
        <f t="shared" si="349"/>
        <v>0.19253602379697463</v>
      </c>
      <c r="Q995" s="22">
        <f t="shared" si="349"/>
        <v>0.19190012409058904</v>
      </c>
      <c r="R995" s="22">
        <f t="shared" si="349"/>
        <v>0.19132863754616405</v>
      </c>
      <c r="S995" s="22">
        <f t="shared" si="349"/>
        <v>0.1803905818810948</v>
      </c>
      <c r="T995" s="22">
        <f t="shared" si="349"/>
        <v>0.18262456774024571</v>
      </c>
      <c r="U995" s="22">
        <f t="shared" si="349"/>
        <v>0.18617292598676535</v>
      </c>
      <c r="V995" s="22">
        <f t="shared" si="349"/>
        <v>0.1874827131948397</v>
      </c>
      <c r="W995" s="22">
        <f t="shared" si="349"/>
        <v>0.18903918513554135</v>
      </c>
      <c r="X995" s="22">
        <f t="shared" si="349"/>
        <v>0.19092374052200031</v>
      </c>
      <c r="Y995" s="22">
        <f t="shared" si="349"/>
        <v>0.19317866485257018</v>
      </c>
      <c r="Z995" s="22">
        <f t="shared" si="349"/>
        <v>0.19568472941200174</v>
      </c>
      <c r="AA995" s="22">
        <f t="shared" si="349"/>
        <v>0.19822057353598227</v>
      </c>
      <c r="AB995" s="22">
        <f t="shared" si="349"/>
        <v>0.20098305885598644</v>
      </c>
      <c r="AC995" s="22">
        <f t="shared" si="349"/>
        <v>0.20375514589644325</v>
      </c>
      <c r="AD995" s="22">
        <f t="shared" si="349"/>
        <v>0.20708073603212976</v>
      </c>
      <c r="AE995" s="22">
        <f t="shared" si="349"/>
        <v>0.21028463440230635</v>
      </c>
      <c r="AF995" s="22">
        <f t="shared" si="349"/>
        <v>0.2136443220754487</v>
      </c>
      <c r="AG995" s="22">
        <f t="shared" si="349"/>
        <v>0.21748682395851593</v>
      </c>
      <c r="AH995" s="22">
        <f t="shared" si="349"/>
        <v>0.22102739700732632</v>
      </c>
      <c r="AI995" s="22">
        <f t="shared" si="349"/>
        <v>0.22493633340985938</v>
      </c>
      <c r="AJ995" s="22">
        <f t="shared" si="349"/>
        <v>0.22910386680533321</v>
      </c>
      <c r="AK995" s="22">
        <f t="shared" si="349"/>
        <v>0.2329046036438828</v>
      </c>
      <c r="AL995" s="22">
        <f t="shared" si="349"/>
        <v>0.23662356544971794</v>
      </c>
      <c r="AM995" s="22">
        <f t="shared" si="349"/>
        <v>0.24027411251375713</v>
      </c>
      <c r="AN995" s="22">
        <f t="shared" si="349"/>
        <v>0.24444413665938144</v>
      </c>
      <c r="AO995" s="22">
        <f t="shared" si="349"/>
        <v>0.2483759174868751</v>
      </c>
      <c r="AP995" s="22">
        <f t="shared" si="349"/>
        <v>0.25243602460510989</v>
      </c>
      <c r="AQ995" s="22">
        <f t="shared" si="349"/>
        <v>0.25664462657697379</v>
      </c>
      <c r="AR995" s="22">
        <f t="shared" si="349"/>
        <v>0.26103451555954071</v>
      </c>
      <c r="AS995" s="22">
        <f t="shared" si="349"/>
        <v>0.26580339289786814</v>
      </c>
      <c r="AT995" s="22">
        <f t="shared" si="349"/>
        <v>0.26659601183855292</v>
      </c>
      <c r="AU995" s="22">
        <f t="shared" si="349"/>
        <v>0.26701268168020675</v>
      </c>
      <c r="AV995" s="22">
        <f t="shared" si="349"/>
        <v>0.26689564753163691</v>
      </c>
      <c r="AW995" s="22">
        <f t="shared" si="349"/>
        <v>0.2666191038621068</v>
      </c>
      <c r="AY995" s="79"/>
      <c r="AZ995" s="79"/>
    </row>
    <row r="996" spans="1:52" x14ac:dyDescent="0.3">
      <c r="A996" s="95" t="str">
        <f t="shared" si="345"/>
        <v>DS U&amp;D</v>
      </c>
      <c r="B996" s="95" t="s">
        <v>974</v>
      </c>
      <c r="C996" s="95" t="s">
        <v>1336</v>
      </c>
      <c r="D996" t="s">
        <v>369</v>
      </c>
      <c r="E996" t="s">
        <v>55</v>
      </c>
      <c r="F996" t="s">
        <v>422</v>
      </c>
      <c r="G996" t="s">
        <v>1174</v>
      </c>
      <c r="H996" t="s">
        <v>1251</v>
      </c>
      <c r="I996" t="s">
        <v>139</v>
      </c>
      <c r="J996" t="s">
        <v>287</v>
      </c>
      <c r="K996" s="22">
        <f t="shared" si="348"/>
        <v>3.4640571428571423E-2</v>
      </c>
      <c r="L996" s="22">
        <f t="shared" si="349"/>
        <v>3.4640571428571423E-2</v>
      </c>
      <c r="M996" s="22">
        <f t="shared" si="349"/>
        <v>3.4640571428571423E-2</v>
      </c>
      <c r="N996" s="22">
        <f t="shared" si="349"/>
        <v>3.4640571428571423E-2</v>
      </c>
      <c r="O996" s="22">
        <f t="shared" si="349"/>
        <v>3.4640571428571423E-2</v>
      </c>
      <c r="P996" s="22">
        <f t="shared" si="349"/>
        <v>3.4640571428571423E-2</v>
      </c>
      <c r="Q996" s="22">
        <f t="shared" si="349"/>
        <v>3.4640571428571423E-2</v>
      </c>
      <c r="R996" s="22">
        <f t="shared" si="349"/>
        <v>3.4640571428571423E-2</v>
      </c>
      <c r="S996" s="22">
        <f t="shared" si="349"/>
        <v>3.4640571428571423E-2</v>
      </c>
      <c r="T996" s="22">
        <f t="shared" si="349"/>
        <v>3.4640571428571423E-2</v>
      </c>
      <c r="U996" s="22">
        <f t="shared" si="349"/>
        <v>3.4640571428571423E-2</v>
      </c>
      <c r="V996" s="22">
        <f t="shared" si="349"/>
        <v>3.4640571428571423E-2</v>
      </c>
      <c r="W996" s="22">
        <f t="shared" si="349"/>
        <v>3.4640571428571423E-2</v>
      </c>
      <c r="X996" s="22">
        <f t="shared" si="349"/>
        <v>3.4640571428571423E-2</v>
      </c>
      <c r="Y996" s="22">
        <f t="shared" si="349"/>
        <v>3.4640571428571423E-2</v>
      </c>
      <c r="Z996" s="22">
        <f t="shared" si="349"/>
        <v>3.4640571428571423E-2</v>
      </c>
      <c r="AA996" s="22">
        <f t="shared" si="349"/>
        <v>3.4640571428571423E-2</v>
      </c>
      <c r="AB996" s="22">
        <f t="shared" si="349"/>
        <v>3.4640571428571423E-2</v>
      </c>
      <c r="AC996" s="22">
        <f t="shared" si="349"/>
        <v>3.4640571428571423E-2</v>
      </c>
      <c r="AD996" s="22">
        <f t="shared" si="349"/>
        <v>3.4640571428571423E-2</v>
      </c>
      <c r="AE996" s="22">
        <f t="shared" si="349"/>
        <v>3.4640571428571423E-2</v>
      </c>
      <c r="AF996" s="22">
        <f t="shared" si="349"/>
        <v>3.4640571428571423E-2</v>
      </c>
      <c r="AG996" s="22">
        <f t="shared" si="349"/>
        <v>3.4640571428571423E-2</v>
      </c>
      <c r="AH996" s="22">
        <f t="shared" si="349"/>
        <v>3.4640571428571423E-2</v>
      </c>
      <c r="AI996" s="22">
        <f t="shared" si="349"/>
        <v>3.4640571428571423E-2</v>
      </c>
      <c r="AJ996" s="22">
        <f t="shared" si="349"/>
        <v>3.4640571428571423E-2</v>
      </c>
      <c r="AK996" s="22">
        <f t="shared" si="349"/>
        <v>3.4640571428571423E-2</v>
      </c>
      <c r="AL996" s="22">
        <f t="shared" si="349"/>
        <v>3.4640571428571423E-2</v>
      </c>
      <c r="AM996" s="22">
        <f t="shared" si="349"/>
        <v>3.4640571428571423E-2</v>
      </c>
      <c r="AN996" s="22">
        <f t="shared" si="349"/>
        <v>3.4640571428571423E-2</v>
      </c>
      <c r="AO996" s="22">
        <f t="shared" si="349"/>
        <v>3.4640571428571423E-2</v>
      </c>
      <c r="AP996" s="22">
        <f t="shared" si="349"/>
        <v>3.4640571428571423E-2</v>
      </c>
      <c r="AQ996" s="22">
        <f t="shared" si="349"/>
        <v>3.4640571428571423E-2</v>
      </c>
      <c r="AR996" s="22">
        <f t="shared" si="349"/>
        <v>3.4640571428571423E-2</v>
      </c>
      <c r="AS996" s="22">
        <f t="shared" si="349"/>
        <v>3.4640571428571423E-2</v>
      </c>
      <c r="AT996" s="22">
        <f t="shared" si="349"/>
        <v>3.4640571428571423E-2</v>
      </c>
      <c r="AU996" s="22">
        <f t="shared" si="349"/>
        <v>3.4640571428571423E-2</v>
      </c>
      <c r="AV996" s="22">
        <f t="shared" si="349"/>
        <v>3.4640571428571423E-2</v>
      </c>
      <c r="AW996" s="22">
        <f t="shared" si="349"/>
        <v>3.4640571428571423E-2</v>
      </c>
      <c r="AY996" s="79"/>
      <c r="AZ996" s="79"/>
    </row>
    <row r="997" spans="1:52" x14ac:dyDescent="0.3">
      <c r="A997" s="95" t="str">
        <f t="shared" si="345"/>
        <v>DS U&amp;D</v>
      </c>
      <c r="B997" s="95" t="s">
        <v>974</v>
      </c>
      <c r="C997" s="95" t="s">
        <v>1336</v>
      </c>
      <c r="D997" t="s">
        <v>369</v>
      </c>
      <c r="E997" t="s">
        <v>55</v>
      </c>
      <c r="F997" t="s">
        <v>422</v>
      </c>
      <c r="G997" t="s">
        <v>1176</v>
      </c>
      <c r="H997" t="s">
        <v>1252</v>
      </c>
      <c r="I997" t="s">
        <v>139</v>
      </c>
      <c r="J997" t="s">
        <v>287</v>
      </c>
      <c r="K997" s="94">
        <f>IF('Net zero activities &amp; levers'!$C$12="Off",'Activity data'!AD78*UDCPPEF*NtoN2O*kgtoGg,IF('Net zero activities &amp; levers'!$C$12="PB",'Activity data'!AD78*UDCPPEF*NtoN2O*kgtoGg,IF('Net zero activities &amp; levers'!$C$12="MS",'Net zero Activity data'!AD78*UDCPPEF*NtoN2O*kgtoGg,"ERROR")))</f>
        <v>0</v>
      </c>
      <c r="L997" s="94">
        <f>IF('Net zero activities &amp; levers'!$C$12="Off",'Activity data'!AE78*UDCPPEF*NtoN2O*kgtoGg,IF('Net zero activities &amp; levers'!$C$12="PB",'Activity data'!AE78*UDCPPEF*NtoN2O*kgtoGg,IF('Net zero activities &amp; levers'!$C$12="MS",'Net zero Activity data'!AE78*UDCPPEF*NtoN2O*kgtoGg,"ERROR")))</f>
        <v>0</v>
      </c>
      <c r="M997" s="94">
        <f>IF('Net zero activities &amp; levers'!$C$12="Off",'Activity data'!AF78*UDCPPEF*NtoN2O*kgtoGg,IF('Net zero activities &amp; levers'!$C$12="PB",'Activity data'!AF78*UDCPPEF*NtoN2O*kgtoGg,IF('Net zero activities &amp; levers'!$C$12="MS",'Net zero Activity data'!AF78*UDCPPEF*NtoN2O*kgtoGg,"ERROR")))</f>
        <v>0</v>
      </c>
      <c r="N997" s="94">
        <f>IF('Net zero activities &amp; levers'!$C$12="Off",'Activity data'!AG78*UDCPPEF*NtoN2O*kgtoGg,IF('Net zero activities &amp; levers'!$C$12="PB",'Activity data'!AG78*UDCPPEF*NtoN2O*kgtoGg,IF('Net zero activities &amp; levers'!$C$12="MS",'Net zero Activity data'!AG78*UDCPPEF*NtoN2O*kgtoGg,"ERROR")))</f>
        <v>0</v>
      </c>
      <c r="O997" s="94">
        <f>IF('Net zero activities &amp; levers'!$C$12="Off",'Activity data'!AH78*UDCPPEF*NtoN2O*kgtoGg,IF('Net zero activities &amp; levers'!$C$12="PB",'Activity data'!AH78*UDCPPEF*NtoN2O*kgtoGg,IF('Net zero activities &amp; levers'!$C$12="MS",'Net zero Activity data'!AH78*UDCPPEF*NtoN2O*kgtoGg,"ERROR")))</f>
        <v>0</v>
      </c>
      <c r="P997" s="94">
        <f>IF('Net zero activities &amp; levers'!$C$12="Off",'Activity data'!AI78*UDCPPEF*NtoN2O*kgtoGg,IF('Net zero activities &amp; levers'!$C$12="PB",'Activity data'!AI78*UDCPPEF*NtoN2O*kgtoGg,IF('Net zero activities &amp; levers'!$C$12="MS",'Net zero Activity data'!AI78*UDCPPEF*NtoN2O*kgtoGg,"ERROR")))</f>
        <v>0</v>
      </c>
      <c r="Q997" s="94">
        <f>IF('Net zero activities &amp; levers'!$C$12="Off",'Activity data'!AJ78*UDCPPEF*NtoN2O*kgtoGg,IF('Net zero activities &amp; levers'!$C$12="PB",'Activity data'!AJ78*UDCPPEF*NtoN2O*kgtoGg,IF('Net zero activities &amp; levers'!$C$12="MS",'Net zero Activity data'!AJ78*UDCPPEF*NtoN2O*kgtoGg,"ERROR")))</f>
        <v>0</v>
      </c>
      <c r="R997" s="94">
        <f>IF('Net zero activities &amp; levers'!$C$12="Off",'Activity data'!AK78*UDCPPEF*NtoN2O*kgtoGg,IF('Net zero activities &amp; levers'!$C$12="PB",'Activity data'!AK78*UDCPPEF*NtoN2O*kgtoGg,IF('Net zero activities &amp; levers'!$C$12="MS",'Net zero Activity data'!AK78*UDCPPEF*NtoN2O*kgtoGg,"ERROR")))</f>
        <v>0</v>
      </c>
      <c r="S997" s="94">
        <f>IF('Net zero activities &amp; levers'!$C$12="Off",'Activity data'!AL78*UDCPPEF*NtoN2O*kgtoGg,IF('Net zero activities &amp; levers'!$C$12="PB",'Activity data'!AL78*UDCPPEF*NtoN2O*kgtoGg,IF('Net zero activities &amp; levers'!$C$12="MS",'Net zero Activity data'!AL78*UDCPPEF*NtoN2O*kgtoGg,"ERROR")))</f>
        <v>0</v>
      </c>
      <c r="T997" s="94">
        <f>IF('Net zero activities &amp; levers'!$C$12="Off",'Activity data'!AM78*UDCPPEF*NtoN2O*kgtoGg,IF('Net zero activities &amp; levers'!$C$12="PB",'Activity data'!AM78*UDCPPEF*NtoN2O*kgtoGg,IF('Net zero activities &amp; levers'!$C$12="MS",'Net zero Activity data'!AM78*UDCPPEF*NtoN2O*kgtoGg,"ERROR")))</f>
        <v>0</v>
      </c>
      <c r="U997" s="94">
        <f>IF('Net zero activities &amp; levers'!$C$12="Off",'Activity data'!AN78*UDCPPEF*NtoN2O*kgtoGg,IF('Net zero activities &amp; levers'!$C$12="PB",'Activity data'!AN78*UDCPPEF*NtoN2O*kgtoGg,IF('Net zero activities &amp; levers'!$C$12="MS",'Net zero Activity data'!AN78*UDCPPEF*NtoN2O*kgtoGg,"ERROR")))</f>
        <v>0</v>
      </c>
      <c r="V997" s="94">
        <f>IF('Net zero activities &amp; levers'!$C$12="Off",'Activity data'!AO78*UDCPPEF*NtoN2O*kgtoGg,IF('Net zero activities &amp; levers'!$C$12="PB",'Activity data'!AO78*UDCPPEF*NtoN2O*kgtoGg,IF('Net zero activities &amp; levers'!$C$12="MS",'Net zero Activity data'!AO78*UDCPPEF*NtoN2O*kgtoGg,"ERROR")))</f>
        <v>0</v>
      </c>
      <c r="W997" s="94">
        <f>IF('Net zero activities &amp; levers'!$C$12="Off",'Activity data'!AP78*UDCPPEF*NtoN2O*kgtoGg,IF('Net zero activities &amp; levers'!$C$12="PB",'Activity data'!AP78*UDCPPEF*NtoN2O*kgtoGg,IF('Net zero activities &amp; levers'!$C$12="MS",'Net zero Activity data'!AP78*UDCPPEF*NtoN2O*kgtoGg,"ERROR")))</f>
        <v>0</v>
      </c>
      <c r="X997" s="94">
        <f>IF('Net zero activities &amp; levers'!$C$12="Off",'Activity data'!AQ78*UDCPPEF*NtoN2O*kgtoGg,IF('Net zero activities &amp; levers'!$C$12="PB",'Activity data'!AQ78*UDCPPEF*NtoN2O*kgtoGg,IF('Net zero activities &amp; levers'!$C$12="MS",'Net zero Activity data'!AQ78*UDCPPEF*NtoN2O*kgtoGg,"ERROR")))</f>
        <v>0</v>
      </c>
      <c r="Y997" s="94">
        <f>IF('Net zero activities &amp; levers'!$C$12="Off",'Activity data'!AR78*UDCPPEF*NtoN2O*kgtoGg,IF('Net zero activities &amp; levers'!$C$12="PB",'Activity data'!AR78*UDCPPEF*NtoN2O*kgtoGg,IF('Net zero activities &amp; levers'!$C$12="MS",'Net zero Activity data'!AR78*UDCPPEF*NtoN2O*kgtoGg,"ERROR")))</f>
        <v>0</v>
      </c>
      <c r="Z997" s="94">
        <f>IF('Net zero activities &amp; levers'!$C$12="Off",'Activity data'!AS78*UDCPPEF*NtoN2O*kgtoGg,IF('Net zero activities &amp; levers'!$C$12="PB",'Activity data'!AS78*UDCPPEF*NtoN2O*kgtoGg,IF('Net zero activities &amp; levers'!$C$12="MS",'Net zero Activity data'!AS78*UDCPPEF*NtoN2O*kgtoGg,"ERROR")))</f>
        <v>0</v>
      </c>
      <c r="AA997" s="94">
        <f>IF('Net zero activities &amp; levers'!$C$12="Off",'Activity data'!AT78*UDCPPEF*NtoN2O*kgtoGg,IF('Net zero activities &amp; levers'!$C$12="PB",'Activity data'!AT78*UDCPPEF*NtoN2O*kgtoGg,IF('Net zero activities &amp; levers'!$C$12="MS",'Net zero Activity data'!AT78*UDCPPEF*NtoN2O*kgtoGg,"ERROR")))</f>
        <v>0</v>
      </c>
      <c r="AB997" s="94">
        <f>IF('Net zero activities &amp; levers'!$C$12="Off",'Activity data'!AU78*UDCPPEF*NtoN2O*kgtoGg,IF('Net zero activities &amp; levers'!$C$12="PB",'Activity data'!AU78*UDCPPEF*NtoN2O*kgtoGg,IF('Net zero activities &amp; levers'!$C$12="MS",'Net zero Activity data'!AU78*UDCPPEF*NtoN2O*kgtoGg,"ERROR")))</f>
        <v>0</v>
      </c>
      <c r="AC997" s="94">
        <f>IF('Net zero activities &amp; levers'!$C$12="Off",'Activity data'!AV78*UDCPPEF*NtoN2O*kgtoGg,IF('Net zero activities &amp; levers'!$C$12="PB",'Activity data'!AV78*UDCPPEF*NtoN2O*kgtoGg,IF('Net zero activities &amp; levers'!$C$12="MS",'Net zero Activity data'!AV78*UDCPPEF*NtoN2O*kgtoGg,"ERROR")))</f>
        <v>0</v>
      </c>
      <c r="AD997" s="94">
        <f>IF('Net zero activities &amp; levers'!$C$12="Off",'Activity data'!AW78*UDCPPEF*NtoN2O*kgtoGg,IF('Net zero activities &amp; levers'!$C$12="PB",'Activity data'!AW78*UDCPPEF*NtoN2O*kgtoGg,IF('Net zero activities &amp; levers'!$C$12="MS",'Net zero Activity data'!AW78*UDCPPEF*NtoN2O*kgtoGg,"ERROR")))</f>
        <v>0</v>
      </c>
      <c r="AE997" s="94">
        <f>IF('Net zero activities &amp; levers'!$C$12="Off",'Activity data'!AX78*UDCPPEF*NtoN2O*kgtoGg,IF('Net zero activities &amp; levers'!$C$12="PB",'Activity data'!AX78*UDCPPEF*NtoN2O*kgtoGg,IF('Net zero activities &amp; levers'!$C$12="MS",'Net zero Activity data'!AX78*UDCPPEF*NtoN2O*kgtoGg,"ERROR")))</f>
        <v>0</v>
      </c>
      <c r="AF997" s="94">
        <f>IF('Net zero activities &amp; levers'!$C$12="Off",'Activity data'!AY78*UDCPPEF*NtoN2O*kgtoGg,IF('Net zero activities &amp; levers'!$C$12="PB",'Activity data'!AY78*UDCPPEF*NtoN2O*kgtoGg,IF('Net zero activities &amp; levers'!$C$12="MS",'Net zero Activity data'!AY78*UDCPPEF*NtoN2O*kgtoGg,"ERROR")))</f>
        <v>0</v>
      </c>
      <c r="AG997" s="94">
        <f>IF('Net zero activities &amp; levers'!$C$12="Off",'Activity data'!AZ78*UDCPPEF*NtoN2O*kgtoGg,IF('Net zero activities &amp; levers'!$C$12="PB",'Activity data'!AZ78*UDCPPEF*NtoN2O*kgtoGg,IF('Net zero activities &amp; levers'!$C$12="MS",'Net zero Activity data'!AZ78*UDCPPEF*NtoN2O*kgtoGg,"ERROR")))</f>
        <v>0</v>
      </c>
      <c r="AH997" s="94">
        <f>IF('Net zero activities &amp; levers'!$C$12="Off",'Activity data'!BA78*UDCPPEF*NtoN2O*kgtoGg,IF('Net zero activities &amp; levers'!$C$12="PB",'Activity data'!BA78*UDCPPEF*NtoN2O*kgtoGg,IF('Net zero activities &amp; levers'!$C$12="MS",'Net zero Activity data'!BA78*UDCPPEF*NtoN2O*kgtoGg,"ERROR")))</f>
        <v>0</v>
      </c>
      <c r="AI997" s="94">
        <f>IF('Net zero activities &amp; levers'!$C$12="Off",'Activity data'!BB78*UDCPPEF*NtoN2O*kgtoGg,IF('Net zero activities &amp; levers'!$C$12="PB",'Activity data'!BB78*UDCPPEF*NtoN2O*kgtoGg,IF('Net zero activities &amp; levers'!$C$12="MS",'Net zero Activity data'!BB78*UDCPPEF*NtoN2O*kgtoGg,"ERROR")))</f>
        <v>0</v>
      </c>
      <c r="AJ997" s="94">
        <f>IF('Net zero activities &amp; levers'!$C$12="Off",'Activity data'!BC78*UDCPPEF*NtoN2O*kgtoGg,IF('Net zero activities &amp; levers'!$C$12="PB",'Activity data'!BC78*UDCPPEF*NtoN2O*kgtoGg,IF('Net zero activities &amp; levers'!$C$12="MS",'Net zero Activity data'!BC78*UDCPPEF*NtoN2O*kgtoGg,"ERROR")))</f>
        <v>0</v>
      </c>
      <c r="AK997" s="94">
        <f>IF('Net zero activities &amp; levers'!$C$12="Off",'Activity data'!BD78*UDCPPEF*NtoN2O*kgtoGg,IF('Net zero activities &amp; levers'!$C$12="PB",'Activity data'!BD78*UDCPPEF*NtoN2O*kgtoGg,IF('Net zero activities &amp; levers'!$C$12="MS",'Net zero Activity data'!BD78*UDCPPEF*NtoN2O*kgtoGg,"ERROR")))</f>
        <v>0</v>
      </c>
      <c r="AL997" s="94">
        <f>IF('Net zero activities &amp; levers'!$C$12="Off",'Activity data'!BE78*UDCPPEF*NtoN2O*kgtoGg,IF('Net zero activities &amp; levers'!$C$12="PB",'Activity data'!BE78*UDCPPEF*NtoN2O*kgtoGg,IF('Net zero activities &amp; levers'!$C$12="MS",'Net zero Activity data'!BE78*UDCPPEF*NtoN2O*kgtoGg,"ERROR")))</f>
        <v>0</v>
      </c>
      <c r="AM997" s="94">
        <f>IF('Net zero activities &amp; levers'!$C$12="Off",'Activity data'!BF78*UDCPPEF*NtoN2O*kgtoGg,IF('Net zero activities &amp; levers'!$C$12="PB",'Activity data'!BF78*UDCPPEF*NtoN2O*kgtoGg,IF('Net zero activities &amp; levers'!$C$12="MS",'Net zero Activity data'!BF78*UDCPPEF*NtoN2O*kgtoGg,"ERROR")))</f>
        <v>0</v>
      </c>
      <c r="AN997" s="94">
        <f>IF('Net zero activities &amp; levers'!$C$12="Off",'Activity data'!BG78*UDCPPEF*NtoN2O*kgtoGg,IF('Net zero activities &amp; levers'!$C$12="PB",'Activity data'!BG78*UDCPPEF*NtoN2O*kgtoGg,IF('Net zero activities &amp; levers'!$C$12="MS",'Net zero Activity data'!BG78*UDCPPEF*NtoN2O*kgtoGg,"ERROR")))</f>
        <v>0</v>
      </c>
      <c r="AO997" s="94">
        <f>IF('Net zero activities &amp; levers'!$C$12="Off",'Activity data'!BH78*UDCPPEF*NtoN2O*kgtoGg,IF('Net zero activities &amp; levers'!$C$12="PB",'Activity data'!BH78*UDCPPEF*NtoN2O*kgtoGg,IF('Net zero activities &amp; levers'!$C$12="MS",'Net zero Activity data'!BH78*UDCPPEF*NtoN2O*kgtoGg,"ERROR")))</f>
        <v>0</v>
      </c>
      <c r="AP997" s="94">
        <f>IF('Net zero activities &amp; levers'!$C$12="Off",'Activity data'!BI78*UDCPPEF*NtoN2O*kgtoGg,IF('Net zero activities &amp; levers'!$C$12="PB",'Activity data'!BI78*UDCPPEF*NtoN2O*kgtoGg,IF('Net zero activities &amp; levers'!$C$12="MS",'Net zero Activity data'!BI78*UDCPPEF*NtoN2O*kgtoGg,"ERROR")))</f>
        <v>0</v>
      </c>
      <c r="AQ997" s="94">
        <f>IF('Net zero activities &amp; levers'!$C$12="Off",'Activity data'!BJ78*UDCPPEF*NtoN2O*kgtoGg,IF('Net zero activities &amp; levers'!$C$12="PB",'Activity data'!BJ78*UDCPPEF*NtoN2O*kgtoGg,IF('Net zero activities &amp; levers'!$C$12="MS",'Net zero Activity data'!BJ78*UDCPPEF*NtoN2O*kgtoGg,"ERROR")))</f>
        <v>0</v>
      </c>
      <c r="AR997" s="94">
        <f>IF('Net zero activities &amp; levers'!$C$12="Off",'Activity data'!BK78*UDCPPEF*NtoN2O*kgtoGg,IF('Net zero activities &amp; levers'!$C$12="PB",'Activity data'!BK78*UDCPPEF*NtoN2O*kgtoGg,IF('Net zero activities &amp; levers'!$C$12="MS",'Net zero Activity data'!BK78*UDCPPEF*NtoN2O*kgtoGg,"ERROR")))</f>
        <v>0</v>
      </c>
      <c r="AS997" s="94">
        <f>IF('Net zero activities &amp; levers'!$C$12="Off",'Activity data'!BL78*UDCPPEF*NtoN2O*kgtoGg,IF('Net zero activities &amp; levers'!$C$12="PB",'Activity data'!BL78*UDCPPEF*NtoN2O*kgtoGg,IF('Net zero activities &amp; levers'!$C$12="MS",'Net zero Activity data'!BL78*UDCPPEF*NtoN2O*kgtoGg,"ERROR")))</f>
        <v>0</v>
      </c>
      <c r="AT997" s="94">
        <f>IF('Net zero activities &amp; levers'!$C$12="Off",'Activity data'!BM78*UDCPPEF*NtoN2O*kgtoGg,IF('Net zero activities &amp; levers'!$C$12="PB",'Activity data'!BM78*UDCPPEF*NtoN2O*kgtoGg,IF('Net zero activities &amp; levers'!$C$12="MS",'Net zero Activity data'!BM78*UDCPPEF*NtoN2O*kgtoGg,"ERROR")))</f>
        <v>0</v>
      </c>
      <c r="AU997" s="94">
        <f>IF('Net zero activities &amp; levers'!$C$12="Off",'Activity data'!BN78*UDCPPEF*NtoN2O*kgtoGg,IF('Net zero activities &amp; levers'!$C$12="PB",'Activity data'!BN78*UDCPPEF*NtoN2O*kgtoGg,IF('Net zero activities &amp; levers'!$C$12="MS",'Net zero Activity data'!BN78*UDCPPEF*NtoN2O*kgtoGg,"ERROR")))</f>
        <v>0</v>
      </c>
      <c r="AV997" s="94">
        <f>IF('Net zero activities &amp; levers'!$C$12="Off",'Activity data'!BO78*UDCPPEF*NtoN2O*kgtoGg,IF('Net zero activities &amp; levers'!$C$12="PB",'Activity data'!BO78*UDCPPEF*NtoN2O*kgtoGg,IF('Net zero activities &amp; levers'!$C$12="MS",'Net zero Activity data'!BO78*UDCPPEF*NtoN2O*kgtoGg,"ERROR")))</f>
        <v>0</v>
      </c>
      <c r="AW997" s="94">
        <f>IF('Net zero activities &amp; levers'!$C$12="Off",'Activity data'!BP78*UDCPPEF*NtoN2O*kgtoGg,IF('Net zero activities &amp; levers'!$C$12="PB",'Activity data'!BP78*UDCPPEF*NtoN2O*kgtoGg,IF('Net zero activities &amp; levers'!$C$12="MS",'Net zero Activity data'!BP78*UDCPPEF*NtoN2O*kgtoGg,"ERROR")))</f>
        <v>0</v>
      </c>
      <c r="AY997" s="79"/>
      <c r="AZ997" s="79"/>
    </row>
    <row r="998" spans="1:52" x14ac:dyDescent="0.3">
      <c r="A998" s="95" t="str">
        <f t="shared" si="345"/>
        <v>DS U&amp;D</v>
      </c>
      <c r="B998" s="95" t="s">
        <v>974</v>
      </c>
      <c r="C998" s="95" t="s">
        <v>1336</v>
      </c>
      <c r="D998" t="s">
        <v>369</v>
      </c>
      <c r="E998" t="s">
        <v>55</v>
      </c>
      <c r="F998" t="s">
        <v>422</v>
      </c>
      <c r="G998" t="s">
        <v>1178</v>
      </c>
      <c r="H998" t="s">
        <v>1253</v>
      </c>
      <c r="I998" t="s">
        <v>139</v>
      </c>
      <c r="J998" t="s">
        <v>287</v>
      </c>
      <c r="K998" s="94">
        <f>IF('Net zero activities &amp; levers'!$C$12="Off",'Activity data'!AD79*UDCPPEF*NtoN2O*kgtoGg,IF('Net zero activities &amp; levers'!$C$12="PB",'Activity data'!AD79*UDCPPEF*NtoN2O*kgtoGg,IF('Net zero activities &amp; levers'!$C$12="MS",'Net zero Activity data'!AD79*UDCPPEF*NtoN2O*kgtoGg,"ERROR")))</f>
        <v>0</v>
      </c>
      <c r="L998" s="94">
        <f>IF('Net zero activities &amp; levers'!$C$12="Off",'Activity data'!AE79*UDCPPEF*NtoN2O*kgtoGg,IF('Net zero activities &amp; levers'!$C$12="PB",'Activity data'!AE79*UDCPPEF*NtoN2O*kgtoGg,IF('Net zero activities &amp; levers'!$C$12="MS",'Net zero Activity data'!AE79*UDCPPEF*NtoN2O*kgtoGg,"ERROR")))</f>
        <v>0</v>
      </c>
      <c r="M998" s="94">
        <f>IF('Net zero activities &amp; levers'!$C$12="Off",'Activity data'!AF79*UDCPPEF*NtoN2O*kgtoGg,IF('Net zero activities &amp; levers'!$C$12="PB",'Activity data'!AF79*UDCPPEF*NtoN2O*kgtoGg,IF('Net zero activities &amp; levers'!$C$12="MS",'Net zero Activity data'!AF79*UDCPPEF*NtoN2O*kgtoGg,"ERROR")))</f>
        <v>0</v>
      </c>
      <c r="N998" s="94">
        <f>IF('Net zero activities &amp; levers'!$C$12="Off",'Activity data'!AG79*UDCPPEF*NtoN2O*kgtoGg,IF('Net zero activities &amp; levers'!$C$12="PB",'Activity data'!AG79*UDCPPEF*NtoN2O*kgtoGg,IF('Net zero activities &amp; levers'!$C$12="MS",'Net zero Activity data'!AG79*UDCPPEF*NtoN2O*kgtoGg,"ERROR")))</f>
        <v>0</v>
      </c>
      <c r="O998" s="94">
        <f>IF('Net zero activities &amp; levers'!$C$12="Off",'Activity data'!AH79*UDCPPEF*NtoN2O*kgtoGg,IF('Net zero activities &amp; levers'!$C$12="PB",'Activity data'!AH79*UDCPPEF*NtoN2O*kgtoGg,IF('Net zero activities &amp; levers'!$C$12="MS",'Net zero Activity data'!AH79*UDCPPEF*NtoN2O*kgtoGg,"ERROR")))</f>
        <v>0</v>
      </c>
      <c r="P998" s="94">
        <f>IF('Net zero activities &amp; levers'!$C$12="Off",'Activity data'!AI79*UDCPPEF*NtoN2O*kgtoGg,IF('Net zero activities &amp; levers'!$C$12="PB",'Activity data'!AI79*UDCPPEF*NtoN2O*kgtoGg,IF('Net zero activities &amp; levers'!$C$12="MS",'Net zero Activity data'!AI79*UDCPPEF*NtoN2O*kgtoGg,"ERROR")))</f>
        <v>0</v>
      </c>
      <c r="Q998" s="94">
        <f>IF('Net zero activities &amp; levers'!$C$12="Off",'Activity data'!AJ79*UDCPPEF*NtoN2O*kgtoGg,IF('Net zero activities &amp; levers'!$C$12="PB",'Activity data'!AJ79*UDCPPEF*NtoN2O*kgtoGg,IF('Net zero activities &amp; levers'!$C$12="MS",'Net zero Activity data'!AJ79*UDCPPEF*NtoN2O*kgtoGg,"ERROR")))</f>
        <v>0</v>
      </c>
      <c r="R998" s="94">
        <f>IF('Net zero activities &amp; levers'!$C$12="Off",'Activity data'!AK79*UDCPPEF*NtoN2O*kgtoGg,IF('Net zero activities &amp; levers'!$C$12="PB",'Activity data'!AK79*UDCPPEF*NtoN2O*kgtoGg,IF('Net zero activities &amp; levers'!$C$12="MS",'Net zero Activity data'!AK79*UDCPPEF*NtoN2O*kgtoGg,"ERROR")))</f>
        <v>0</v>
      </c>
      <c r="S998" s="94">
        <f>IF('Net zero activities &amp; levers'!$C$12="Off",'Activity data'!AL79*UDCPPEF*NtoN2O*kgtoGg,IF('Net zero activities &amp; levers'!$C$12="PB",'Activity data'!AL79*UDCPPEF*NtoN2O*kgtoGg,IF('Net zero activities &amp; levers'!$C$12="MS",'Net zero Activity data'!AL79*UDCPPEF*NtoN2O*kgtoGg,"ERROR")))</f>
        <v>0</v>
      </c>
      <c r="T998" s="94">
        <f>IF('Net zero activities &amp; levers'!$C$12="Off",'Activity data'!AM79*UDCPPEF*NtoN2O*kgtoGg,IF('Net zero activities &amp; levers'!$C$12="PB",'Activity data'!AM79*UDCPPEF*NtoN2O*kgtoGg,IF('Net zero activities &amp; levers'!$C$12="MS",'Net zero Activity data'!AM79*UDCPPEF*NtoN2O*kgtoGg,"ERROR")))</f>
        <v>0</v>
      </c>
      <c r="U998" s="94">
        <f>IF('Net zero activities &amp; levers'!$C$12="Off",'Activity data'!AN79*UDCPPEF*NtoN2O*kgtoGg,IF('Net zero activities &amp; levers'!$C$12="PB",'Activity data'!AN79*UDCPPEF*NtoN2O*kgtoGg,IF('Net zero activities &amp; levers'!$C$12="MS",'Net zero Activity data'!AN79*UDCPPEF*NtoN2O*kgtoGg,"ERROR")))</f>
        <v>0</v>
      </c>
      <c r="V998" s="94">
        <f>IF('Net zero activities &amp; levers'!$C$12="Off",'Activity data'!AO79*UDCPPEF*NtoN2O*kgtoGg,IF('Net zero activities &amp; levers'!$C$12="PB",'Activity data'!AO79*UDCPPEF*NtoN2O*kgtoGg,IF('Net zero activities &amp; levers'!$C$12="MS",'Net zero Activity data'!AO79*UDCPPEF*NtoN2O*kgtoGg,"ERROR")))</f>
        <v>0</v>
      </c>
      <c r="W998" s="94">
        <f>IF('Net zero activities &amp; levers'!$C$12="Off",'Activity data'!AP79*UDCPPEF*NtoN2O*kgtoGg,IF('Net zero activities &amp; levers'!$C$12="PB",'Activity data'!AP79*UDCPPEF*NtoN2O*kgtoGg,IF('Net zero activities &amp; levers'!$C$12="MS",'Net zero Activity data'!AP79*UDCPPEF*NtoN2O*kgtoGg,"ERROR")))</f>
        <v>0</v>
      </c>
      <c r="X998" s="94">
        <f>IF('Net zero activities &amp; levers'!$C$12="Off",'Activity data'!AQ79*UDCPPEF*NtoN2O*kgtoGg,IF('Net zero activities &amp; levers'!$C$12="PB",'Activity data'!AQ79*UDCPPEF*NtoN2O*kgtoGg,IF('Net zero activities &amp; levers'!$C$12="MS",'Net zero Activity data'!AQ79*UDCPPEF*NtoN2O*kgtoGg,"ERROR")))</f>
        <v>0</v>
      </c>
      <c r="Y998" s="94">
        <f>IF('Net zero activities &amp; levers'!$C$12="Off",'Activity data'!AR79*UDCPPEF*NtoN2O*kgtoGg,IF('Net zero activities &amp; levers'!$C$12="PB",'Activity data'!AR79*UDCPPEF*NtoN2O*kgtoGg,IF('Net zero activities &amp; levers'!$C$12="MS",'Net zero Activity data'!AR79*UDCPPEF*NtoN2O*kgtoGg,"ERROR")))</f>
        <v>0</v>
      </c>
      <c r="Z998" s="94">
        <f>IF('Net zero activities &amp; levers'!$C$12="Off",'Activity data'!AS79*UDCPPEF*NtoN2O*kgtoGg,IF('Net zero activities &amp; levers'!$C$12="PB",'Activity data'!AS79*UDCPPEF*NtoN2O*kgtoGg,IF('Net zero activities &amp; levers'!$C$12="MS",'Net zero Activity data'!AS79*UDCPPEF*NtoN2O*kgtoGg,"ERROR")))</f>
        <v>0</v>
      </c>
      <c r="AA998" s="94">
        <f>IF('Net zero activities &amp; levers'!$C$12="Off",'Activity data'!AT79*UDCPPEF*NtoN2O*kgtoGg,IF('Net zero activities &amp; levers'!$C$12="PB",'Activity data'!AT79*UDCPPEF*NtoN2O*kgtoGg,IF('Net zero activities &amp; levers'!$C$12="MS",'Net zero Activity data'!AT79*UDCPPEF*NtoN2O*kgtoGg,"ERROR")))</f>
        <v>0</v>
      </c>
      <c r="AB998" s="94">
        <f>IF('Net zero activities &amp; levers'!$C$12="Off",'Activity data'!AU79*UDCPPEF*NtoN2O*kgtoGg,IF('Net zero activities &amp; levers'!$C$12="PB",'Activity data'!AU79*UDCPPEF*NtoN2O*kgtoGg,IF('Net zero activities &amp; levers'!$C$12="MS",'Net zero Activity data'!AU79*UDCPPEF*NtoN2O*kgtoGg,"ERROR")))</f>
        <v>0</v>
      </c>
      <c r="AC998" s="94">
        <f>IF('Net zero activities &amp; levers'!$C$12="Off",'Activity data'!AV79*UDCPPEF*NtoN2O*kgtoGg,IF('Net zero activities &amp; levers'!$C$12="PB",'Activity data'!AV79*UDCPPEF*NtoN2O*kgtoGg,IF('Net zero activities &amp; levers'!$C$12="MS",'Net zero Activity data'!AV79*UDCPPEF*NtoN2O*kgtoGg,"ERROR")))</f>
        <v>0</v>
      </c>
      <c r="AD998" s="94">
        <f>IF('Net zero activities &amp; levers'!$C$12="Off",'Activity data'!AW79*UDCPPEF*NtoN2O*kgtoGg,IF('Net zero activities &amp; levers'!$C$12="PB",'Activity data'!AW79*UDCPPEF*NtoN2O*kgtoGg,IF('Net zero activities &amp; levers'!$C$12="MS",'Net zero Activity data'!AW79*UDCPPEF*NtoN2O*kgtoGg,"ERROR")))</f>
        <v>0</v>
      </c>
      <c r="AE998" s="94">
        <f>IF('Net zero activities &amp; levers'!$C$12="Off",'Activity data'!AX79*UDCPPEF*NtoN2O*kgtoGg,IF('Net zero activities &amp; levers'!$C$12="PB",'Activity data'!AX79*UDCPPEF*NtoN2O*kgtoGg,IF('Net zero activities &amp; levers'!$C$12="MS",'Net zero Activity data'!AX79*UDCPPEF*NtoN2O*kgtoGg,"ERROR")))</f>
        <v>0</v>
      </c>
      <c r="AF998" s="94">
        <f>IF('Net zero activities &amp; levers'!$C$12="Off",'Activity data'!AY79*UDCPPEF*NtoN2O*kgtoGg,IF('Net zero activities &amp; levers'!$C$12="PB",'Activity data'!AY79*UDCPPEF*NtoN2O*kgtoGg,IF('Net zero activities &amp; levers'!$C$12="MS",'Net zero Activity data'!AY79*UDCPPEF*NtoN2O*kgtoGg,"ERROR")))</f>
        <v>0</v>
      </c>
      <c r="AG998" s="94">
        <f>IF('Net zero activities &amp; levers'!$C$12="Off",'Activity data'!AZ79*UDCPPEF*NtoN2O*kgtoGg,IF('Net zero activities &amp; levers'!$C$12="PB",'Activity data'!AZ79*UDCPPEF*NtoN2O*kgtoGg,IF('Net zero activities &amp; levers'!$C$12="MS",'Net zero Activity data'!AZ79*UDCPPEF*NtoN2O*kgtoGg,"ERROR")))</f>
        <v>0</v>
      </c>
      <c r="AH998" s="94">
        <f>IF('Net zero activities &amp; levers'!$C$12="Off",'Activity data'!BA79*UDCPPEF*NtoN2O*kgtoGg,IF('Net zero activities &amp; levers'!$C$12="PB",'Activity data'!BA79*UDCPPEF*NtoN2O*kgtoGg,IF('Net zero activities &amp; levers'!$C$12="MS",'Net zero Activity data'!BA79*UDCPPEF*NtoN2O*kgtoGg,"ERROR")))</f>
        <v>0</v>
      </c>
      <c r="AI998" s="94">
        <f>IF('Net zero activities &amp; levers'!$C$12="Off",'Activity data'!BB79*UDCPPEF*NtoN2O*kgtoGg,IF('Net zero activities &amp; levers'!$C$12="PB",'Activity data'!BB79*UDCPPEF*NtoN2O*kgtoGg,IF('Net zero activities &amp; levers'!$C$12="MS",'Net zero Activity data'!BB79*UDCPPEF*NtoN2O*kgtoGg,"ERROR")))</f>
        <v>0</v>
      </c>
      <c r="AJ998" s="94">
        <f>IF('Net zero activities &amp; levers'!$C$12="Off",'Activity data'!BC79*UDCPPEF*NtoN2O*kgtoGg,IF('Net zero activities &amp; levers'!$C$12="PB",'Activity data'!BC79*UDCPPEF*NtoN2O*kgtoGg,IF('Net zero activities &amp; levers'!$C$12="MS",'Net zero Activity data'!BC79*UDCPPEF*NtoN2O*kgtoGg,"ERROR")))</f>
        <v>0</v>
      </c>
      <c r="AK998" s="94">
        <f>IF('Net zero activities &amp; levers'!$C$12="Off",'Activity data'!BD79*UDCPPEF*NtoN2O*kgtoGg,IF('Net zero activities &amp; levers'!$C$12="PB",'Activity data'!BD79*UDCPPEF*NtoN2O*kgtoGg,IF('Net zero activities &amp; levers'!$C$12="MS",'Net zero Activity data'!BD79*UDCPPEF*NtoN2O*kgtoGg,"ERROR")))</f>
        <v>0</v>
      </c>
      <c r="AL998" s="94">
        <f>IF('Net zero activities &amp; levers'!$C$12="Off",'Activity data'!BE79*UDCPPEF*NtoN2O*kgtoGg,IF('Net zero activities &amp; levers'!$C$12="PB",'Activity data'!BE79*UDCPPEF*NtoN2O*kgtoGg,IF('Net zero activities &amp; levers'!$C$12="MS",'Net zero Activity data'!BE79*UDCPPEF*NtoN2O*kgtoGg,"ERROR")))</f>
        <v>0</v>
      </c>
      <c r="AM998" s="94">
        <f>IF('Net zero activities &amp; levers'!$C$12="Off",'Activity data'!BF79*UDCPPEF*NtoN2O*kgtoGg,IF('Net zero activities &amp; levers'!$C$12="PB",'Activity data'!BF79*UDCPPEF*NtoN2O*kgtoGg,IF('Net zero activities &amp; levers'!$C$12="MS",'Net zero Activity data'!BF79*UDCPPEF*NtoN2O*kgtoGg,"ERROR")))</f>
        <v>0</v>
      </c>
      <c r="AN998" s="94">
        <f>IF('Net zero activities &amp; levers'!$C$12="Off",'Activity data'!BG79*UDCPPEF*NtoN2O*kgtoGg,IF('Net zero activities &amp; levers'!$C$12="PB",'Activity data'!BG79*UDCPPEF*NtoN2O*kgtoGg,IF('Net zero activities &amp; levers'!$C$12="MS",'Net zero Activity data'!BG79*UDCPPEF*NtoN2O*kgtoGg,"ERROR")))</f>
        <v>0</v>
      </c>
      <c r="AO998" s="94">
        <f>IF('Net zero activities &amp; levers'!$C$12="Off",'Activity data'!BH79*UDCPPEF*NtoN2O*kgtoGg,IF('Net zero activities &amp; levers'!$C$12="PB",'Activity data'!BH79*UDCPPEF*NtoN2O*kgtoGg,IF('Net zero activities &amp; levers'!$C$12="MS",'Net zero Activity data'!BH79*UDCPPEF*NtoN2O*kgtoGg,"ERROR")))</f>
        <v>0</v>
      </c>
      <c r="AP998" s="94">
        <f>IF('Net zero activities &amp; levers'!$C$12="Off",'Activity data'!BI79*UDCPPEF*NtoN2O*kgtoGg,IF('Net zero activities &amp; levers'!$C$12="PB",'Activity data'!BI79*UDCPPEF*NtoN2O*kgtoGg,IF('Net zero activities &amp; levers'!$C$12="MS",'Net zero Activity data'!BI79*UDCPPEF*NtoN2O*kgtoGg,"ERROR")))</f>
        <v>0</v>
      </c>
      <c r="AQ998" s="94">
        <f>IF('Net zero activities &amp; levers'!$C$12="Off",'Activity data'!BJ79*UDCPPEF*NtoN2O*kgtoGg,IF('Net zero activities &amp; levers'!$C$12="PB",'Activity data'!BJ79*UDCPPEF*NtoN2O*kgtoGg,IF('Net zero activities &amp; levers'!$C$12="MS",'Net zero Activity data'!BJ79*UDCPPEF*NtoN2O*kgtoGg,"ERROR")))</f>
        <v>0</v>
      </c>
      <c r="AR998" s="94">
        <f>IF('Net zero activities &amp; levers'!$C$12="Off",'Activity data'!BK79*UDCPPEF*NtoN2O*kgtoGg,IF('Net zero activities &amp; levers'!$C$12="PB",'Activity data'!BK79*UDCPPEF*NtoN2O*kgtoGg,IF('Net zero activities &amp; levers'!$C$12="MS",'Net zero Activity data'!BK79*UDCPPEF*NtoN2O*kgtoGg,"ERROR")))</f>
        <v>0</v>
      </c>
      <c r="AS998" s="94">
        <f>IF('Net zero activities &amp; levers'!$C$12="Off",'Activity data'!BL79*UDCPPEF*NtoN2O*kgtoGg,IF('Net zero activities &amp; levers'!$C$12="PB",'Activity data'!BL79*UDCPPEF*NtoN2O*kgtoGg,IF('Net zero activities &amp; levers'!$C$12="MS",'Net zero Activity data'!BL79*UDCPPEF*NtoN2O*kgtoGg,"ERROR")))</f>
        <v>0</v>
      </c>
      <c r="AT998" s="94">
        <f>IF('Net zero activities &amp; levers'!$C$12="Off",'Activity data'!BM79*UDCPPEF*NtoN2O*kgtoGg,IF('Net zero activities &amp; levers'!$C$12="PB",'Activity data'!BM79*UDCPPEF*NtoN2O*kgtoGg,IF('Net zero activities &amp; levers'!$C$12="MS",'Net zero Activity data'!BM79*UDCPPEF*NtoN2O*kgtoGg,"ERROR")))</f>
        <v>0</v>
      </c>
      <c r="AU998" s="94">
        <f>IF('Net zero activities &amp; levers'!$C$12="Off",'Activity data'!BN79*UDCPPEF*NtoN2O*kgtoGg,IF('Net zero activities &amp; levers'!$C$12="PB",'Activity data'!BN79*UDCPPEF*NtoN2O*kgtoGg,IF('Net zero activities &amp; levers'!$C$12="MS",'Net zero Activity data'!BN79*UDCPPEF*NtoN2O*kgtoGg,"ERROR")))</f>
        <v>0</v>
      </c>
      <c r="AV998" s="94">
        <f>IF('Net zero activities &amp; levers'!$C$12="Off",'Activity data'!BO79*UDCPPEF*NtoN2O*kgtoGg,IF('Net zero activities &amp; levers'!$C$12="PB",'Activity data'!BO79*UDCPPEF*NtoN2O*kgtoGg,IF('Net zero activities &amp; levers'!$C$12="MS",'Net zero Activity data'!BO79*UDCPPEF*NtoN2O*kgtoGg,"ERROR")))</f>
        <v>0</v>
      </c>
      <c r="AW998" s="94">
        <f>IF('Net zero activities &amp; levers'!$C$12="Off",'Activity data'!BP79*UDCPPEF*NtoN2O*kgtoGg,IF('Net zero activities &amp; levers'!$C$12="PB",'Activity data'!BP79*UDCPPEF*NtoN2O*kgtoGg,IF('Net zero activities &amp; levers'!$C$12="MS",'Net zero Activity data'!BP79*UDCPPEF*NtoN2O*kgtoGg,"ERROR")))</f>
        <v>0</v>
      </c>
      <c r="AY998" s="79"/>
      <c r="AZ998" s="79"/>
    </row>
    <row r="999" spans="1:52" x14ac:dyDescent="0.3">
      <c r="A999" s="95" t="str">
        <f t="shared" si="345"/>
        <v>DS U&amp;D</v>
      </c>
      <c r="B999" s="95" t="s">
        <v>974</v>
      </c>
      <c r="C999" s="95" t="s">
        <v>1336</v>
      </c>
      <c r="D999" t="s">
        <v>369</v>
      </c>
      <c r="E999" t="s">
        <v>55</v>
      </c>
      <c r="F999" t="s">
        <v>422</v>
      </c>
      <c r="G999" t="s">
        <v>1180</v>
      </c>
      <c r="H999" t="s">
        <v>1254</v>
      </c>
      <c r="I999" t="s">
        <v>139</v>
      </c>
      <c r="J999" t="s">
        <v>287</v>
      </c>
      <c r="K999" s="94">
        <f>IF('Net zero activities &amp; levers'!$C$12="Off",'Activity data'!AD80*UDCPPEF*NtoN2O*kgtoGg,IF('Net zero activities &amp; levers'!$C$12="PB",'Activity data'!AD80*UDCPPEF*NtoN2O*kgtoGg,IF('Net zero activities &amp; levers'!$C$12="MS",'Net zero Activity data'!AD80*UDCPPEF*NtoN2O*kgtoGg,"ERROR")))</f>
        <v>0</v>
      </c>
      <c r="L999" s="94">
        <f>IF('Net zero activities &amp; levers'!$C$12="Off",'Activity data'!AE80*UDCPPEF*NtoN2O*kgtoGg,IF('Net zero activities &amp; levers'!$C$12="PB",'Activity data'!AE80*UDCPPEF*NtoN2O*kgtoGg,IF('Net zero activities &amp; levers'!$C$12="MS",'Net zero Activity data'!AE80*UDCPPEF*NtoN2O*kgtoGg,"ERROR")))</f>
        <v>0</v>
      </c>
      <c r="M999" s="94">
        <f>IF('Net zero activities &amp; levers'!$C$12="Off",'Activity data'!AF80*UDCPPEF*NtoN2O*kgtoGg,IF('Net zero activities &amp; levers'!$C$12="PB",'Activity data'!AF80*UDCPPEF*NtoN2O*kgtoGg,IF('Net zero activities &amp; levers'!$C$12="MS",'Net zero Activity data'!AF80*UDCPPEF*NtoN2O*kgtoGg,"ERROR")))</f>
        <v>0</v>
      </c>
      <c r="N999" s="94">
        <f>IF('Net zero activities &amp; levers'!$C$12="Off",'Activity data'!AG80*UDCPPEF*NtoN2O*kgtoGg,IF('Net zero activities &amp; levers'!$C$12="PB",'Activity data'!AG80*UDCPPEF*NtoN2O*kgtoGg,IF('Net zero activities &amp; levers'!$C$12="MS",'Net zero Activity data'!AG80*UDCPPEF*NtoN2O*kgtoGg,"ERROR")))</f>
        <v>0</v>
      </c>
      <c r="O999" s="94">
        <f>IF('Net zero activities &amp; levers'!$C$12="Off",'Activity data'!AH80*UDCPPEF*NtoN2O*kgtoGg,IF('Net zero activities &amp; levers'!$C$12="PB",'Activity data'!AH80*UDCPPEF*NtoN2O*kgtoGg,IF('Net zero activities &amp; levers'!$C$12="MS",'Net zero Activity data'!AH80*UDCPPEF*NtoN2O*kgtoGg,"ERROR")))</f>
        <v>0</v>
      </c>
      <c r="P999" s="94">
        <f>IF('Net zero activities &amp; levers'!$C$12="Off",'Activity data'!AI80*UDCPPEF*NtoN2O*kgtoGg,IF('Net zero activities &amp; levers'!$C$12="PB",'Activity data'!AI80*UDCPPEF*NtoN2O*kgtoGg,IF('Net zero activities &amp; levers'!$C$12="MS",'Net zero Activity data'!AI80*UDCPPEF*NtoN2O*kgtoGg,"ERROR")))</f>
        <v>0</v>
      </c>
      <c r="Q999" s="94">
        <f>IF('Net zero activities &amp; levers'!$C$12="Off",'Activity data'!AJ80*UDCPPEF*NtoN2O*kgtoGg,IF('Net zero activities &amp; levers'!$C$12="PB",'Activity data'!AJ80*UDCPPEF*NtoN2O*kgtoGg,IF('Net zero activities &amp; levers'!$C$12="MS",'Net zero Activity data'!AJ80*UDCPPEF*NtoN2O*kgtoGg,"ERROR")))</f>
        <v>0</v>
      </c>
      <c r="R999" s="94">
        <f>IF('Net zero activities &amp; levers'!$C$12="Off",'Activity data'!AK80*UDCPPEF*NtoN2O*kgtoGg,IF('Net zero activities &amp; levers'!$C$12="PB",'Activity data'!AK80*UDCPPEF*NtoN2O*kgtoGg,IF('Net zero activities &amp; levers'!$C$12="MS",'Net zero Activity data'!AK80*UDCPPEF*NtoN2O*kgtoGg,"ERROR")))</f>
        <v>0</v>
      </c>
      <c r="S999" s="94">
        <f>IF('Net zero activities &amp; levers'!$C$12="Off",'Activity data'!AL80*UDCPPEF*NtoN2O*kgtoGg,IF('Net zero activities &amp; levers'!$C$12="PB",'Activity data'!AL80*UDCPPEF*NtoN2O*kgtoGg,IF('Net zero activities &amp; levers'!$C$12="MS",'Net zero Activity data'!AL80*UDCPPEF*NtoN2O*kgtoGg,"ERROR")))</f>
        <v>0</v>
      </c>
      <c r="T999" s="94">
        <f>IF('Net zero activities &amp; levers'!$C$12="Off",'Activity data'!AM80*UDCPPEF*NtoN2O*kgtoGg,IF('Net zero activities &amp; levers'!$C$12="PB",'Activity data'!AM80*UDCPPEF*NtoN2O*kgtoGg,IF('Net zero activities &amp; levers'!$C$12="MS",'Net zero Activity data'!AM80*UDCPPEF*NtoN2O*kgtoGg,"ERROR")))</f>
        <v>0</v>
      </c>
      <c r="U999" s="94">
        <f>IF('Net zero activities &amp; levers'!$C$12="Off",'Activity data'!AN80*UDCPPEF*NtoN2O*kgtoGg,IF('Net zero activities &amp; levers'!$C$12="PB",'Activity data'!AN80*UDCPPEF*NtoN2O*kgtoGg,IF('Net zero activities &amp; levers'!$C$12="MS",'Net zero Activity data'!AN80*UDCPPEF*NtoN2O*kgtoGg,"ERROR")))</f>
        <v>0</v>
      </c>
      <c r="V999" s="94">
        <f>IF('Net zero activities &amp; levers'!$C$12="Off",'Activity data'!AO80*UDCPPEF*NtoN2O*kgtoGg,IF('Net zero activities &amp; levers'!$C$12="PB",'Activity data'!AO80*UDCPPEF*NtoN2O*kgtoGg,IF('Net zero activities &amp; levers'!$C$12="MS",'Net zero Activity data'!AO80*UDCPPEF*NtoN2O*kgtoGg,"ERROR")))</f>
        <v>0</v>
      </c>
      <c r="W999" s="94">
        <f>IF('Net zero activities &amp; levers'!$C$12="Off",'Activity data'!AP80*UDCPPEF*NtoN2O*kgtoGg,IF('Net zero activities &amp; levers'!$C$12="PB",'Activity data'!AP80*UDCPPEF*NtoN2O*kgtoGg,IF('Net zero activities &amp; levers'!$C$12="MS",'Net zero Activity data'!AP80*UDCPPEF*NtoN2O*kgtoGg,"ERROR")))</f>
        <v>0</v>
      </c>
      <c r="X999" s="94">
        <f>IF('Net zero activities &amp; levers'!$C$12="Off",'Activity data'!AQ80*UDCPPEF*NtoN2O*kgtoGg,IF('Net zero activities &amp; levers'!$C$12="PB",'Activity data'!AQ80*UDCPPEF*NtoN2O*kgtoGg,IF('Net zero activities &amp; levers'!$C$12="MS",'Net zero Activity data'!AQ80*UDCPPEF*NtoN2O*kgtoGg,"ERROR")))</f>
        <v>0</v>
      </c>
      <c r="Y999" s="94">
        <f>IF('Net zero activities &amp; levers'!$C$12="Off",'Activity data'!AR80*UDCPPEF*NtoN2O*kgtoGg,IF('Net zero activities &amp; levers'!$C$12="PB",'Activity data'!AR80*UDCPPEF*NtoN2O*kgtoGg,IF('Net zero activities &amp; levers'!$C$12="MS",'Net zero Activity data'!AR80*UDCPPEF*NtoN2O*kgtoGg,"ERROR")))</f>
        <v>0</v>
      </c>
      <c r="Z999" s="94">
        <f>IF('Net zero activities &amp; levers'!$C$12="Off",'Activity data'!AS80*UDCPPEF*NtoN2O*kgtoGg,IF('Net zero activities &amp; levers'!$C$12="PB",'Activity data'!AS80*UDCPPEF*NtoN2O*kgtoGg,IF('Net zero activities &amp; levers'!$C$12="MS",'Net zero Activity data'!AS80*UDCPPEF*NtoN2O*kgtoGg,"ERROR")))</f>
        <v>0</v>
      </c>
      <c r="AA999" s="94">
        <f>IF('Net zero activities &amp; levers'!$C$12="Off",'Activity data'!AT80*UDCPPEF*NtoN2O*kgtoGg,IF('Net zero activities &amp; levers'!$C$12="PB",'Activity data'!AT80*UDCPPEF*NtoN2O*kgtoGg,IF('Net zero activities &amp; levers'!$C$12="MS",'Net zero Activity data'!AT80*UDCPPEF*NtoN2O*kgtoGg,"ERROR")))</f>
        <v>0</v>
      </c>
      <c r="AB999" s="94">
        <f>IF('Net zero activities &amp; levers'!$C$12="Off",'Activity data'!AU80*UDCPPEF*NtoN2O*kgtoGg,IF('Net zero activities &amp; levers'!$C$12="PB",'Activity data'!AU80*UDCPPEF*NtoN2O*kgtoGg,IF('Net zero activities &amp; levers'!$C$12="MS",'Net zero Activity data'!AU80*UDCPPEF*NtoN2O*kgtoGg,"ERROR")))</f>
        <v>0</v>
      </c>
      <c r="AC999" s="94">
        <f>IF('Net zero activities &amp; levers'!$C$12="Off",'Activity data'!AV80*UDCPPEF*NtoN2O*kgtoGg,IF('Net zero activities &amp; levers'!$C$12="PB",'Activity data'!AV80*UDCPPEF*NtoN2O*kgtoGg,IF('Net zero activities &amp; levers'!$C$12="MS",'Net zero Activity data'!AV80*UDCPPEF*NtoN2O*kgtoGg,"ERROR")))</f>
        <v>0</v>
      </c>
      <c r="AD999" s="94">
        <f>IF('Net zero activities &amp; levers'!$C$12="Off",'Activity data'!AW80*UDCPPEF*NtoN2O*kgtoGg,IF('Net zero activities &amp; levers'!$C$12="PB",'Activity data'!AW80*UDCPPEF*NtoN2O*kgtoGg,IF('Net zero activities &amp; levers'!$C$12="MS",'Net zero Activity data'!AW80*UDCPPEF*NtoN2O*kgtoGg,"ERROR")))</f>
        <v>0</v>
      </c>
      <c r="AE999" s="94">
        <f>IF('Net zero activities &amp; levers'!$C$12="Off",'Activity data'!AX80*UDCPPEF*NtoN2O*kgtoGg,IF('Net zero activities &amp; levers'!$C$12="PB",'Activity data'!AX80*UDCPPEF*NtoN2O*kgtoGg,IF('Net zero activities &amp; levers'!$C$12="MS",'Net zero Activity data'!AX80*UDCPPEF*NtoN2O*kgtoGg,"ERROR")))</f>
        <v>0</v>
      </c>
      <c r="AF999" s="94">
        <f>IF('Net zero activities &amp; levers'!$C$12="Off",'Activity data'!AY80*UDCPPEF*NtoN2O*kgtoGg,IF('Net zero activities &amp; levers'!$C$12="PB",'Activity data'!AY80*UDCPPEF*NtoN2O*kgtoGg,IF('Net zero activities &amp; levers'!$C$12="MS",'Net zero Activity data'!AY80*UDCPPEF*NtoN2O*kgtoGg,"ERROR")))</f>
        <v>0</v>
      </c>
      <c r="AG999" s="94">
        <f>IF('Net zero activities &amp; levers'!$C$12="Off",'Activity data'!AZ80*UDCPPEF*NtoN2O*kgtoGg,IF('Net zero activities &amp; levers'!$C$12="PB",'Activity data'!AZ80*UDCPPEF*NtoN2O*kgtoGg,IF('Net zero activities &amp; levers'!$C$12="MS",'Net zero Activity data'!AZ80*UDCPPEF*NtoN2O*kgtoGg,"ERROR")))</f>
        <v>0</v>
      </c>
      <c r="AH999" s="94">
        <f>IF('Net zero activities &amp; levers'!$C$12="Off",'Activity data'!BA80*UDCPPEF*NtoN2O*kgtoGg,IF('Net zero activities &amp; levers'!$C$12="PB",'Activity data'!BA80*UDCPPEF*NtoN2O*kgtoGg,IF('Net zero activities &amp; levers'!$C$12="MS",'Net zero Activity data'!BA80*UDCPPEF*NtoN2O*kgtoGg,"ERROR")))</f>
        <v>0</v>
      </c>
      <c r="AI999" s="94">
        <f>IF('Net zero activities &amp; levers'!$C$12="Off",'Activity data'!BB80*UDCPPEF*NtoN2O*kgtoGg,IF('Net zero activities &amp; levers'!$C$12="PB",'Activity data'!BB80*UDCPPEF*NtoN2O*kgtoGg,IF('Net zero activities &amp; levers'!$C$12="MS",'Net zero Activity data'!BB80*UDCPPEF*NtoN2O*kgtoGg,"ERROR")))</f>
        <v>0</v>
      </c>
      <c r="AJ999" s="94">
        <f>IF('Net zero activities &amp; levers'!$C$12="Off",'Activity data'!BC80*UDCPPEF*NtoN2O*kgtoGg,IF('Net zero activities &amp; levers'!$C$12="PB",'Activity data'!BC80*UDCPPEF*NtoN2O*kgtoGg,IF('Net zero activities &amp; levers'!$C$12="MS",'Net zero Activity data'!BC80*UDCPPEF*NtoN2O*kgtoGg,"ERROR")))</f>
        <v>0</v>
      </c>
      <c r="AK999" s="94">
        <f>IF('Net zero activities &amp; levers'!$C$12="Off",'Activity data'!BD80*UDCPPEF*NtoN2O*kgtoGg,IF('Net zero activities &amp; levers'!$C$12="PB",'Activity data'!BD80*UDCPPEF*NtoN2O*kgtoGg,IF('Net zero activities &amp; levers'!$C$12="MS",'Net zero Activity data'!BD80*UDCPPEF*NtoN2O*kgtoGg,"ERROR")))</f>
        <v>0</v>
      </c>
      <c r="AL999" s="94">
        <f>IF('Net zero activities &amp; levers'!$C$12="Off",'Activity data'!BE80*UDCPPEF*NtoN2O*kgtoGg,IF('Net zero activities &amp; levers'!$C$12="PB",'Activity data'!BE80*UDCPPEF*NtoN2O*kgtoGg,IF('Net zero activities &amp; levers'!$C$12="MS",'Net zero Activity data'!BE80*UDCPPEF*NtoN2O*kgtoGg,"ERROR")))</f>
        <v>0</v>
      </c>
      <c r="AM999" s="94">
        <f>IF('Net zero activities &amp; levers'!$C$12="Off",'Activity data'!BF80*UDCPPEF*NtoN2O*kgtoGg,IF('Net zero activities &amp; levers'!$C$12="PB",'Activity data'!BF80*UDCPPEF*NtoN2O*kgtoGg,IF('Net zero activities &amp; levers'!$C$12="MS",'Net zero Activity data'!BF80*UDCPPEF*NtoN2O*kgtoGg,"ERROR")))</f>
        <v>0</v>
      </c>
      <c r="AN999" s="94">
        <f>IF('Net zero activities &amp; levers'!$C$12="Off",'Activity data'!BG80*UDCPPEF*NtoN2O*kgtoGg,IF('Net zero activities &amp; levers'!$C$12="PB",'Activity data'!BG80*UDCPPEF*NtoN2O*kgtoGg,IF('Net zero activities &amp; levers'!$C$12="MS",'Net zero Activity data'!BG80*UDCPPEF*NtoN2O*kgtoGg,"ERROR")))</f>
        <v>0</v>
      </c>
      <c r="AO999" s="94">
        <f>IF('Net zero activities &amp; levers'!$C$12="Off",'Activity data'!BH80*UDCPPEF*NtoN2O*kgtoGg,IF('Net zero activities &amp; levers'!$C$12="PB",'Activity data'!BH80*UDCPPEF*NtoN2O*kgtoGg,IF('Net zero activities &amp; levers'!$C$12="MS",'Net zero Activity data'!BH80*UDCPPEF*NtoN2O*kgtoGg,"ERROR")))</f>
        <v>0</v>
      </c>
      <c r="AP999" s="94">
        <f>IF('Net zero activities &amp; levers'!$C$12="Off",'Activity data'!BI80*UDCPPEF*NtoN2O*kgtoGg,IF('Net zero activities &amp; levers'!$C$12="PB",'Activity data'!BI80*UDCPPEF*NtoN2O*kgtoGg,IF('Net zero activities &amp; levers'!$C$12="MS",'Net zero Activity data'!BI80*UDCPPEF*NtoN2O*kgtoGg,"ERROR")))</f>
        <v>0</v>
      </c>
      <c r="AQ999" s="94">
        <f>IF('Net zero activities &amp; levers'!$C$12="Off",'Activity data'!BJ80*UDCPPEF*NtoN2O*kgtoGg,IF('Net zero activities &amp; levers'!$C$12="PB",'Activity data'!BJ80*UDCPPEF*NtoN2O*kgtoGg,IF('Net zero activities &amp; levers'!$C$12="MS",'Net zero Activity data'!BJ80*UDCPPEF*NtoN2O*kgtoGg,"ERROR")))</f>
        <v>0</v>
      </c>
      <c r="AR999" s="94">
        <f>IF('Net zero activities &amp; levers'!$C$12="Off",'Activity data'!BK80*UDCPPEF*NtoN2O*kgtoGg,IF('Net zero activities &amp; levers'!$C$12="PB",'Activity data'!BK80*UDCPPEF*NtoN2O*kgtoGg,IF('Net zero activities &amp; levers'!$C$12="MS",'Net zero Activity data'!BK80*UDCPPEF*NtoN2O*kgtoGg,"ERROR")))</f>
        <v>0</v>
      </c>
      <c r="AS999" s="94">
        <f>IF('Net zero activities &amp; levers'!$C$12="Off",'Activity data'!BL80*UDCPPEF*NtoN2O*kgtoGg,IF('Net zero activities &amp; levers'!$C$12="PB",'Activity data'!BL80*UDCPPEF*NtoN2O*kgtoGg,IF('Net zero activities &amp; levers'!$C$12="MS",'Net zero Activity data'!BL80*UDCPPEF*NtoN2O*kgtoGg,"ERROR")))</f>
        <v>0</v>
      </c>
      <c r="AT999" s="94">
        <f>IF('Net zero activities &amp; levers'!$C$12="Off",'Activity data'!BM80*UDCPPEF*NtoN2O*kgtoGg,IF('Net zero activities &amp; levers'!$C$12="PB",'Activity data'!BM80*UDCPPEF*NtoN2O*kgtoGg,IF('Net zero activities &amp; levers'!$C$12="MS",'Net zero Activity data'!BM80*UDCPPEF*NtoN2O*kgtoGg,"ERROR")))</f>
        <v>0</v>
      </c>
      <c r="AU999" s="94">
        <f>IF('Net zero activities &amp; levers'!$C$12="Off",'Activity data'!BN80*UDCPPEF*NtoN2O*kgtoGg,IF('Net zero activities &amp; levers'!$C$12="PB",'Activity data'!BN80*UDCPPEF*NtoN2O*kgtoGg,IF('Net zero activities &amp; levers'!$C$12="MS",'Net zero Activity data'!BN80*UDCPPEF*NtoN2O*kgtoGg,"ERROR")))</f>
        <v>0</v>
      </c>
      <c r="AV999" s="94">
        <f>IF('Net zero activities &amp; levers'!$C$12="Off",'Activity data'!BO80*UDCPPEF*NtoN2O*kgtoGg,IF('Net zero activities &amp; levers'!$C$12="PB",'Activity data'!BO80*UDCPPEF*NtoN2O*kgtoGg,IF('Net zero activities &amp; levers'!$C$12="MS",'Net zero Activity data'!BO80*UDCPPEF*NtoN2O*kgtoGg,"ERROR")))</f>
        <v>0</v>
      </c>
      <c r="AW999" s="94">
        <f>IF('Net zero activities &amp; levers'!$C$12="Off",'Activity data'!BP80*UDCPPEF*NtoN2O*kgtoGg,IF('Net zero activities &amp; levers'!$C$12="PB",'Activity data'!BP80*UDCPPEF*NtoN2O*kgtoGg,IF('Net zero activities &amp; levers'!$C$12="MS",'Net zero Activity data'!BP80*UDCPPEF*NtoN2O*kgtoGg,"ERROR")))</f>
        <v>0</v>
      </c>
      <c r="AY999" s="79"/>
      <c r="AZ999" s="79"/>
    </row>
    <row r="1000" spans="1:52" x14ac:dyDescent="0.3">
      <c r="A1000" s="95" t="str">
        <f t="shared" si="345"/>
        <v>DS U&amp;D</v>
      </c>
      <c r="B1000" s="95" t="s">
        <v>974</v>
      </c>
      <c r="C1000" s="95" t="s">
        <v>1336</v>
      </c>
      <c r="D1000" t="s">
        <v>369</v>
      </c>
      <c r="E1000" t="s">
        <v>55</v>
      </c>
      <c r="F1000" t="s">
        <v>422</v>
      </c>
      <c r="G1000" t="s">
        <v>1182</v>
      </c>
      <c r="H1000" t="s">
        <v>1255</v>
      </c>
      <c r="I1000" t="s">
        <v>139</v>
      </c>
      <c r="J1000" t="s">
        <v>287</v>
      </c>
      <c r="K1000" s="94">
        <f>IF('Net zero activities &amp; levers'!$C$12="Off",'Activity data'!AD81*UDCPPEF*NtoN2O*kgtoGg,IF('Net zero activities &amp; levers'!$C$12="PB",'Activity data'!AD81*UDCPPEF*NtoN2O*kgtoGg,IF('Net zero activities &amp; levers'!$C$12="MS",'Net zero Activity data'!AD81*UDCPPEF*NtoN2O*kgtoGg,"ERROR")))</f>
        <v>0</v>
      </c>
      <c r="L1000" s="94">
        <f>IF('Net zero activities &amp; levers'!$C$12="Off",'Activity data'!AE81*UDCPPEF*NtoN2O*kgtoGg,IF('Net zero activities &amp; levers'!$C$12="PB",'Activity data'!AE81*UDCPPEF*NtoN2O*kgtoGg,IF('Net zero activities &amp; levers'!$C$12="MS",'Net zero Activity data'!AE81*UDCPPEF*NtoN2O*kgtoGg,"ERROR")))</f>
        <v>0</v>
      </c>
      <c r="M1000" s="94">
        <f>IF('Net zero activities &amp; levers'!$C$12="Off",'Activity data'!AF81*UDCPPEF*NtoN2O*kgtoGg,IF('Net zero activities &amp; levers'!$C$12="PB",'Activity data'!AF81*UDCPPEF*NtoN2O*kgtoGg,IF('Net zero activities &amp; levers'!$C$12="MS",'Net zero Activity data'!AF81*UDCPPEF*NtoN2O*kgtoGg,"ERROR")))</f>
        <v>0</v>
      </c>
      <c r="N1000" s="94">
        <f>IF('Net zero activities &amp; levers'!$C$12="Off",'Activity data'!AG81*UDCPPEF*NtoN2O*kgtoGg,IF('Net zero activities &amp; levers'!$C$12="PB",'Activity data'!AG81*UDCPPEF*NtoN2O*kgtoGg,IF('Net zero activities &amp; levers'!$C$12="MS",'Net zero Activity data'!AG81*UDCPPEF*NtoN2O*kgtoGg,"ERROR")))</f>
        <v>0</v>
      </c>
      <c r="O1000" s="94">
        <f>IF('Net zero activities &amp; levers'!$C$12="Off",'Activity data'!AH81*UDCPPEF*NtoN2O*kgtoGg,IF('Net zero activities &amp; levers'!$C$12="PB",'Activity data'!AH81*UDCPPEF*NtoN2O*kgtoGg,IF('Net zero activities &amp; levers'!$C$12="MS",'Net zero Activity data'!AH81*UDCPPEF*NtoN2O*kgtoGg,"ERROR")))</f>
        <v>0</v>
      </c>
      <c r="P1000" s="94">
        <f>IF('Net zero activities &amp; levers'!$C$12="Off",'Activity data'!AI81*UDCPPEF*NtoN2O*kgtoGg,IF('Net zero activities &amp; levers'!$C$12="PB",'Activity data'!AI81*UDCPPEF*NtoN2O*kgtoGg,IF('Net zero activities &amp; levers'!$C$12="MS",'Net zero Activity data'!AI81*UDCPPEF*NtoN2O*kgtoGg,"ERROR")))</f>
        <v>0</v>
      </c>
      <c r="Q1000" s="94">
        <f>IF('Net zero activities &amp; levers'!$C$12="Off",'Activity data'!AJ81*UDCPPEF*NtoN2O*kgtoGg,IF('Net zero activities &amp; levers'!$C$12="PB",'Activity data'!AJ81*UDCPPEF*NtoN2O*kgtoGg,IF('Net zero activities &amp; levers'!$C$12="MS",'Net zero Activity data'!AJ81*UDCPPEF*NtoN2O*kgtoGg,"ERROR")))</f>
        <v>0</v>
      </c>
      <c r="R1000" s="94">
        <f>IF('Net zero activities &amp; levers'!$C$12="Off",'Activity data'!AK81*UDCPPEF*NtoN2O*kgtoGg,IF('Net zero activities &amp; levers'!$C$12="PB",'Activity data'!AK81*UDCPPEF*NtoN2O*kgtoGg,IF('Net zero activities &amp; levers'!$C$12="MS",'Net zero Activity data'!AK81*UDCPPEF*NtoN2O*kgtoGg,"ERROR")))</f>
        <v>0</v>
      </c>
      <c r="S1000" s="94">
        <f>IF('Net zero activities &amp; levers'!$C$12="Off",'Activity data'!AL81*UDCPPEF*NtoN2O*kgtoGg,IF('Net zero activities &amp; levers'!$C$12="PB",'Activity data'!AL81*UDCPPEF*NtoN2O*kgtoGg,IF('Net zero activities &amp; levers'!$C$12="MS",'Net zero Activity data'!AL81*UDCPPEF*NtoN2O*kgtoGg,"ERROR")))</f>
        <v>0</v>
      </c>
      <c r="T1000" s="94">
        <f>IF('Net zero activities &amp; levers'!$C$12="Off",'Activity data'!AM81*UDCPPEF*NtoN2O*kgtoGg,IF('Net zero activities &amp; levers'!$C$12="PB",'Activity data'!AM81*UDCPPEF*NtoN2O*kgtoGg,IF('Net zero activities &amp; levers'!$C$12="MS",'Net zero Activity data'!AM81*UDCPPEF*NtoN2O*kgtoGg,"ERROR")))</f>
        <v>0</v>
      </c>
      <c r="U1000" s="94">
        <f>IF('Net zero activities &amp; levers'!$C$12="Off",'Activity data'!AN81*UDCPPEF*NtoN2O*kgtoGg,IF('Net zero activities &amp; levers'!$C$12="PB",'Activity data'!AN81*UDCPPEF*NtoN2O*kgtoGg,IF('Net zero activities &amp; levers'!$C$12="MS",'Net zero Activity data'!AN81*UDCPPEF*NtoN2O*kgtoGg,"ERROR")))</f>
        <v>0</v>
      </c>
      <c r="V1000" s="94">
        <f>IF('Net zero activities &amp; levers'!$C$12="Off",'Activity data'!AO81*UDCPPEF*NtoN2O*kgtoGg,IF('Net zero activities &amp; levers'!$C$12="PB",'Activity data'!AO81*UDCPPEF*NtoN2O*kgtoGg,IF('Net zero activities &amp; levers'!$C$12="MS",'Net zero Activity data'!AO81*UDCPPEF*NtoN2O*kgtoGg,"ERROR")))</f>
        <v>0</v>
      </c>
      <c r="W1000" s="94">
        <f>IF('Net zero activities &amp; levers'!$C$12="Off",'Activity data'!AP81*UDCPPEF*NtoN2O*kgtoGg,IF('Net zero activities &amp; levers'!$C$12="PB",'Activity data'!AP81*UDCPPEF*NtoN2O*kgtoGg,IF('Net zero activities &amp; levers'!$C$12="MS",'Net zero Activity data'!AP81*UDCPPEF*NtoN2O*kgtoGg,"ERROR")))</f>
        <v>0</v>
      </c>
      <c r="X1000" s="94">
        <f>IF('Net zero activities &amp; levers'!$C$12="Off",'Activity data'!AQ81*UDCPPEF*NtoN2O*kgtoGg,IF('Net zero activities &amp; levers'!$C$12="PB",'Activity data'!AQ81*UDCPPEF*NtoN2O*kgtoGg,IF('Net zero activities &amp; levers'!$C$12="MS",'Net zero Activity data'!AQ81*UDCPPEF*NtoN2O*kgtoGg,"ERROR")))</f>
        <v>0</v>
      </c>
      <c r="Y1000" s="94">
        <f>IF('Net zero activities &amp; levers'!$C$12="Off",'Activity data'!AR81*UDCPPEF*NtoN2O*kgtoGg,IF('Net zero activities &amp; levers'!$C$12="PB",'Activity data'!AR81*UDCPPEF*NtoN2O*kgtoGg,IF('Net zero activities &amp; levers'!$C$12="MS",'Net zero Activity data'!AR81*UDCPPEF*NtoN2O*kgtoGg,"ERROR")))</f>
        <v>0</v>
      </c>
      <c r="Z1000" s="94">
        <f>IF('Net zero activities &amp; levers'!$C$12="Off",'Activity data'!AS81*UDCPPEF*NtoN2O*kgtoGg,IF('Net zero activities &amp; levers'!$C$12="PB",'Activity data'!AS81*UDCPPEF*NtoN2O*kgtoGg,IF('Net zero activities &amp; levers'!$C$12="MS",'Net zero Activity data'!AS81*UDCPPEF*NtoN2O*kgtoGg,"ERROR")))</f>
        <v>0</v>
      </c>
      <c r="AA1000" s="94">
        <f>IF('Net zero activities &amp; levers'!$C$12="Off",'Activity data'!AT81*UDCPPEF*NtoN2O*kgtoGg,IF('Net zero activities &amp; levers'!$C$12="PB",'Activity data'!AT81*UDCPPEF*NtoN2O*kgtoGg,IF('Net zero activities &amp; levers'!$C$12="MS",'Net zero Activity data'!AT81*UDCPPEF*NtoN2O*kgtoGg,"ERROR")))</f>
        <v>0</v>
      </c>
      <c r="AB1000" s="94">
        <f>IF('Net zero activities &amp; levers'!$C$12="Off",'Activity data'!AU81*UDCPPEF*NtoN2O*kgtoGg,IF('Net zero activities &amp; levers'!$C$12="PB",'Activity data'!AU81*UDCPPEF*NtoN2O*kgtoGg,IF('Net zero activities &amp; levers'!$C$12="MS",'Net zero Activity data'!AU81*UDCPPEF*NtoN2O*kgtoGg,"ERROR")))</f>
        <v>0</v>
      </c>
      <c r="AC1000" s="94">
        <f>IF('Net zero activities &amp; levers'!$C$12="Off",'Activity data'!AV81*UDCPPEF*NtoN2O*kgtoGg,IF('Net zero activities &amp; levers'!$C$12="PB",'Activity data'!AV81*UDCPPEF*NtoN2O*kgtoGg,IF('Net zero activities &amp; levers'!$C$12="MS",'Net zero Activity data'!AV81*UDCPPEF*NtoN2O*kgtoGg,"ERROR")))</f>
        <v>0</v>
      </c>
      <c r="AD1000" s="94">
        <f>IF('Net zero activities &amp; levers'!$C$12="Off",'Activity data'!AW81*UDCPPEF*NtoN2O*kgtoGg,IF('Net zero activities &amp; levers'!$C$12="PB",'Activity data'!AW81*UDCPPEF*NtoN2O*kgtoGg,IF('Net zero activities &amp; levers'!$C$12="MS",'Net zero Activity data'!AW81*UDCPPEF*NtoN2O*kgtoGg,"ERROR")))</f>
        <v>0</v>
      </c>
      <c r="AE1000" s="94">
        <f>IF('Net zero activities &amp; levers'!$C$12="Off",'Activity data'!AX81*UDCPPEF*NtoN2O*kgtoGg,IF('Net zero activities &amp; levers'!$C$12="PB",'Activity data'!AX81*UDCPPEF*NtoN2O*kgtoGg,IF('Net zero activities &amp; levers'!$C$12="MS",'Net zero Activity data'!AX81*UDCPPEF*NtoN2O*kgtoGg,"ERROR")))</f>
        <v>0</v>
      </c>
      <c r="AF1000" s="94">
        <f>IF('Net zero activities &amp; levers'!$C$12="Off",'Activity data'!AY81*UDCPPEF*NtoN2O*kgtoGg,IF('Net zero activities &amp; levers'!$C$12="PB",'Activity data'!AY81*UDCPPEF*NtoN2O*kgtoGg,IF('Net zero activities &amp; levers'!$C$12="MS",'Net zero Activity data'!AY81*UDCPPEF*NtoN2O*kgtoGg,"ERROR")))</f>
        <v>0</v>
      </c>
      <c r="AG1000" s="94">
        <f>IF('Net zero activities &amp; levers'!$C$12="Off",'Activity data'!AZ81*UDCPPEF*NtoN2O*kgtoGg,IF('Net zero activities &amp; levers'!$C$12="PB",'Activity data'!AZ81*UDCPPEF*NtoN2O*kgtoGg,IF('Net zero activities &amp; levers'!$C$12="MS",'Net zero Activity data'!AZ81*UDCPPEF*NtoN2O*kgtoGg,"ERROR")))</f>
        <v>0</v>
      </c>
      <c r="AH1000" s="94">
        <f>IF('Net zero activities &amp; levers'!$C$12="Off",'Activity data'!BA81*UDCPPEF*NtoN2O*kgtoGg,IF('Net zero activities &amp; levers'!$C$12="PB",'Activity data'!BA81*UDCPPEF*NtoN2O*kgtoGg,IF('Net zero activities &amp; levers'!$C$12="MS",'Net zero Activity data'!BA81*UDCPPEF*NtoN2O*kgtoGg,"ERROR")))</f>
        <v>0</v>
      </c>
      <c r="AI1000" s="94">
        <f>IF('Net zero activities &amp; levers'!$C$12="Off",'Activity data'!BB81*UDCPPEF*NtoN2O*kgtoGg,IF('Net zero activities &amp; levers'!$C$12="PB",'Activity data'!BB81*UDCPPEF*NtoN2O*kgtoGg,IF('Net zero activities &amp; levers'!$C$12="MS",'Net zero Activity data'!BB81*UDCPPEF*NtoN2O*kgtoGg,"ERROR")))</f>
        <v>0</v>
      </c>
      <c r="AJ1000" s="94">
        <f>IF('Net zero activities &amp; levers'!$C$12="Off",'Activity data'!BC81*UDCPPEF*NtoN2O*kgtoGg,IF('Net zero activities &amp; levers'!$C$12="PB",'Activity data'!BC81*UDCPPEF*NtoN2O*kgtoGg,IF('Net zero activities &amp; levers'!$C$12="MS",'Net zero Activity data'!BC81*UDCPPEF*NtoN2O*kgtoGg,"ERROR")))</f>
        <v>0</v>
      </c>
      <c r="AK1000" s="94">
        <f>IF('Net zero activities &amp; levers'!$C$12="Off",'Activity data'!BD81*UDCPPEF*NtoN2O*kgtoGg,IF('Net zero activities &amp; levers'!$C$12="PB",'Activity data'!BD81*UDCPPEF*NtoN2O*kgtoGg,IF('Net zero activities &amp; levers'!$C$12="MS",'Net zero Activity data'!BD81*UDCPPEF*NtoN2O*kgtoGg,"ERROR")))</f>
        <v>0</v>
      </c>
      <c r="AL1000" s="94">
        <f>IF('Net zero activities &amp; levers'!$C$12="Off",'Activity data'!BE81*UDCPPEF*NtoN2O*kgtoGg,IF('Net zero activities &amp; levers'!$C$12="PB",'Activity data'!BE81*UDCPPEF*NtoN2O*kgtoGg,IF('Net zero activities &amp; levers'!$C$12="MS",'Net zero Activity data'!BE81*UDCPPEF*NtoN2O*kgtoGg,"ERROR")))</f>
        <v>0</v>
      </c>
      <c r="AM1000" s="94">
        <f>IF('Net zero activities &amp; levers'!$C$12="Off",'Activity data'!BF81*UDCPPEF*NtoN2O*kgtoGg,IF('Net zero activities &amp; levers'!$C$12="PB",'Activity data'!BF81*UDCPPEF*NtoN2O*kgtoGg,IF('Net zero activities &amp; levers'!$C$12="MS",'Net zero Activity data'!BF81*UDCPPEF*NtoN2O*kgtoGg,"ERROR")))</f>
        <v>0</v>
      </c>
      <c r="AN1000" s="94">
        <f>IF('Net zero activities &amp; levers'!$C$12="Off",'Activity data'!BG81*UDCPPEF*NtoN2O*kgtoGg,IF('Net zero activities &amp; levers'!$C$12="PB",'Activity data'!BG81*UDCPPEF*NtoN2O*kgtoGg,IF('Net zero activities &amp; levers'!$C$12="MS",'Net zero Activity data'!BG81*UDCPPEF*NtoN2O*kgtoGg,"ERROR")))</f>
        <v>0</v>
      </c>
      <c r="AO1000" s="94">
        <f>IF('Net zero activities &amp; levers'!$C$12="Off",'Activity data'!BH81*UDCPPEF*NtoN2O*kgtoGg,IF('Net zero activities &amp; levers'!$C$12="PB",'Activity data'!BH81*UDCPPEF*NtoN2O*kgtoGg,IF('Net zero activities &amp; levers'!$C$12="MS",'Net zero Activity data'!BH81*UDCPPEF*NtoN2O*kgtoGg,"ERROR")))</f>
        <v>0</v>
      </c>
      <c r="AP1000" s="94">
        <f>IF('Net zero activities &amp; levers'!$C$12="Off",'Activity data'!BI81*UDCPPEF*NtoN2O*kgtoGg,IF('Net zero activities &amp; levers'!$C$12="PB",'Activity data'!BI81*UDCPPEF*NtoN2O*kgtoGg,IF('Net zero activities &amp; levers'!$C$12="MS",'Net zero Activity data'!BI81*UDCPPEF*NtoN2O*kgtoGg,"ERROR")))</f>
        <v>0</v>
      </c>
      <c r="AQ1000" s="94">
        <f>IF('Net zero activities &amp; levers'!$C$12="Off",'Activity data'!BJ81*UDCPPEF*NtoN2O*kgtoGg,IF('Net zero activities &amp; levers'!$C$12="PB",'Activity data'!BJ81*UDCPPEF*NtoN2O*kgtoGg,IF('Net zero activities &amp; levers'!$C$12="MS",'Net zero Activity data'!BJ81*UDCPPEF*NtoN2O*kgtoGg,"ERROR")))</f>
        <v>0</v>
      </c>
      <c r="AR1000" s="94">
        <f>IF('Net zero activities &amp; levers'!$C$12="Off",'Activity data'!BK81*UDCPPEF*NtoN2O*kgtoGg,IF('Net zero activities &amp; levers'!$C$12="PB",'Activity data'!BK81*UDCPPEF*NtoN2O*kgtoGg,IF('Net zero activities &amp; levers'!$C$12="MS",'Net zero Activity data'!BK81*UDCPPEF*NtoN2O*kgtoGg,"ERROR")))</f>
        <v>0</v>
      </c>
      <c r="AS1000" s="94">
        <f>IF('Net zero activities &amp; levers'!$C$12="Off",'Activity data'!BL81*UDCPPEF*NtoN2O*kgtoGg,IF('Net zero activities &amp; levers'!$C$12="PB",'Activity data'!BL81*UDCPPEF*NtoN2O*kgtoGg,IF('Net zero activities &amp; levers'!$C$12="MS",'Net zero Activity data'!BL81*UDCPPEF*NtoN2O*kgtoGg,"ERROR")))</f>
        <v>0</v>
      </c>
      <c r="AT1000" s="94">
        <f>IF('Net zero activities &amp; levers'!$C$12="Off",'Activity data'!BM81*UDCPPEF*NtoN2O*kgtoGg,IF('Net zero activities &amp; levers'!$C$12="PB",'Activity data'!BM81*UDCPPEF*NtoN2O*kgtoGg,IF('Net zero activities &amp; levers'!$C$12="MS",'Net zero Activity data'!BM81*UDCPPEF*NtoN2O*kgtoGg,"ERROR")))</f>
        <v>0</v>
      </c>
      <c r="AU1000" s="94">
        <f>IF('Net zero activities &amp; levers'!$C$12="Off",'Activity data'!BN81*UDCPPEF*NtoN2O*kgtoGg,IF('Net zero activities &amp; levers'!$C$12="PB",'Activity data'!BN81*UDCPPEF*NtoN2O*kgtoGg,IF('Net zero activities &amp; levers'!$C$12="MS",'Net zero Activity data'!BN81*UDCPPEF*NtoN2O*kgtoGg,"ERROR")))</f>
        <v>0</v>
      </c>
      <c r="AV1000" s="94">
        <f>IF('Net zero activities &amp; levers'!$C$12="Off",'Activity data'!BO81*UDCPPEF*NtoN2O*kgtoGg,IF('Net zero activities &amp; levers'!$C$12="PB",'Activity data'!BO81*UDCPPEF*NtoN2O*kgtoGg,IF('Net zero activities &amp; levers'!$C$12="MS",'Net zero Activity data'!BO81*UDCPPEF*NtoN2O*kgtoGg,"ERROR")))</f>
        <v>0</v>
      </c>
      <c r="AW1000" s="94">
        <f>IF('Net zero activities &amp; levers'!$C$12="Off",'Activity data'!BP81*UDCPPEF*NtoN2O*kgtoGg,IF('Net zero activities &amp; levers'!$C$12="PB",'Activity data'!BP81*UDCPPEF*NtoN2O*kgtoGg,IF('Net zero activities &amp; levers'!$C$12="MS",'Net zero Activity data'!BP81*UDCPPEF*NtoN2O*kgtoGg,"ERROR")))</f>
        <v>0</v>
      </c>
      <c r="AY1000" s="79"/>
      <c r="AZ1000" s="79"/>
    </row>
    <row r="1001" spans="1:52" x14ac:dyDescent="0.3">
      <c r="A1001" s="95" t="str">
        <f t="shared" si="345"/>
        <v>DS FSOM</v>
      </c>
      <c r="B1001" s="95" t="s">
        <v>974</v>
      </c>
      <c r="C1001" s="95" t="s">
        <v>60</v>
      </c>
      <c r="D1001" t="s">
        <v>369</v>
      </c>
      <c r="E1001" t="s">
        <v>55</v>
      </c>
      <c r="F1001" t="s">
        <v>60</v>
      </c>
      <c r="G1001" t="s">
        <v>1266</v>
      </c>
      <c r="H1001" t="s">
        <v>1267</v>
      </c>
      <c r="J1001" t="s">
        <v>287</v>
      </c>
      <c r="K1001" s="22" t="str">
        <f t="shared" ref="K1001:Z1013" si="350">K1498</f>
        <v>NO</v>
      </c>
      <c r="L1001" s="22" t="str">
        <f t="shared" si="350"/>
        <v>NO</v>
      </c>
      <c r="M1001" s="22" t="str">
        <f t="shared" si="350"/>
        <v>NO</v>
      </c>
      <c r="N1001" s="22" t="str">
        <f t="shared" si="350"/>
        <v>NO</v>
      </c>
      <c r="O1001" s="22" t="str">
        <f t="shared" si="350"/>
        <v>NO</v>
      </c>
      <c r="P1001" s="22" t="str">
        <f t="shared" si="350"/>
        <v>NO</v>
      </c>
      <c r="Q1001" s="22" t="str">
        <f t="shared" si="350"/>
        <v>NO</v>
      </c>
      <c r="R1001" s="22" t="str">
        <f t="shared" si="350"/>
        <v>NO</v>
      </c>
      <c r="S1001" s="22" t="str">
        <f t="shared" si="350"/>
        <v>NO</v>
      </c>
      <c r="T1001" s="22" t="str">
        <f t="shared" si="350"/>
        <v>NO</v>
      </c>
      <c r="U1001" s="22" t="str">
        <f t="shared" si="350"/>
        <v>NO</v>
      </c>
      <c r="V1001" s="22" t="str">
        <f t="shared" si="350"/>
        <v>NO</v>
      </c>
      <c r="W1001" s="22" t="str">
        <f t="shared" si="350"/>
        <v>NO</v>
      </c>
      <c r="X1001" s="22" t="str">
        <f t="shared" si="350"/>
        <v>NO</v>
      </c>
      <c r="Y1001" s="22" t="str">
        <f t="shared" si="350"/>
        <v>NO</v>
      </c>
      <c r="Z1001" s="22" t="str">
        <f t="shared" si="350"/>
        <v>NO</v>
      </c>
      <c r="AA1001" s="22" t="str">
        <f t="shared" ref="L1001:AW1008" si="351">AA1498</f>
        <v>NO</v>
      </c>
      <c r="AB1001" s="22" t="str">
        <f t="shared" si="351"/>
        <v>NO</v>
      </c>
      <c r="AC1001" s="22" t="str">
        <f t="shared" si="351"/>
        <v>NO</v>
      </c>
      <c r="AD1001" s="22" t="str">
        <f t="shared" si="351"/>
        <v>NO</v>
      </c>
      <c r="AE1001" s="22" t="str">
        <f t="shared" si="351"/>
        <v>NO</v>
      </c>
      <c r="AF1001" s="22" t="str">
        <f t="shared" si="351"/>
        <v>NO</v>
      </c>
      <c r="AG1001" s="22" t="str">
        <f t="shared" si="351"/>
        <v>NO</v>
      </c>
      <c r="AH1001" s="22" t="str">
        <f t="shared" si="351"/>
        <v>NO</v>
      </c>
      <c r="AI1001" s="22" t="str">
        <f t="shared" si="351"/>
        <v>NO</v>
      </c>
      <c r="AJ1001" s="22" t="str">
        <f t="shared" si="351"/>
        <v>NO</v>
      </c>
      <c r="AK1001" s="22" t="str">
        <f t="shared" si="351"/>
        <v>NO</v>
      </c>
      <c r="AL1001" s="22" t="str">
        <f t="shared" si="351"/>
        <v>NO</v>
      </c>
      <c r="AM1001" s="22" t="str">
        <f t="shared" si="351"/>
        <v>NO</v>
      </c>
      <c r="AN1001" s="22" t="str">
        <f t="shared" si="351"/>
        <v>NO</v>
      </c>
      <c r="AO1001" s="22" t="str">
        <f t="shared" si="351"/>
        <v>NO</v>
      </c>
      <c r="AP1001" s="22" t="str">
        <f t="shared" si="351"/>
        <v>NO</v>
      </c>
      <c r="AQ1001" s="22" t="str">
        <f t="shared" si="351"/>
        <v>NO</v>
      </c>
      <c r="AR1001" s="22" t="str">
        <f t="shared" si="351"/>
        <v>NO</v>
      </c>
      <c r="AS1001" s="22" t="str">
        <f t="shared" si="351"/>
        <v>NO</v>
      </c>
      <c r="AT1001" s="22" t="str">
        <f t="shared" si="351"/>
        <v>NO</v>
      </c>
      <c r="AU1001" s="22" t="str">
        <f t="shared" si="351"/>
        <v>NO</v>
      </c>
      <c r="AV1001" s="22" t="str">
        <f t="shared" si="351"/>
        <v>NO</v>
      </c>
      <c r="AW1001" s="22" t="str">
        <f t="shared" si="351"/>
        <v>NO</v>
      </c>
      <c r="AY1001" s="79"/>
      <c r="AZ1001" s="79"/>
    </row>
    <row r="1002" spans="1:52" x14ac:dyDescent="0.3">
      <c r="A1002" s="95" t="str">
        <f t="shared" si="345"/>
        <v>DS FSOM</v>
      </c>
      <c r="B1002" s="95" t="s">
        <v>974</v>
      </c>
      <c r="C1002" s="95" t="s">
        <v>60</v>
      </c>
      <c r="D1002" t="s">
        <v>369</v>
      </c>
      <c r="E1002" t="s">
        <v>55</v>
      </c>
      <c r="F1002" t="s">
        <v>60</v>
      </c>
      <c r="G1002" t="s">
        <v>1268</v>
      </c>
      <c r="H1002" t="s">
        <v>1269</v>
      </c>
      <c r="J1002" t="s">
        <v>287</v>
      </c>
      <c r="K1002" s="22" t="str">
        <f t="shared" si="350"/>
        <v>NO</v>
      </c>
      <c r="L1002" s="22" t="str">
        <f t="shared" si="351"/>
        <v>NO</v>
      </c>
      <c r="M1002" s="22" t="str">
        <f t="shared" si="351"/>
        <v>NO</v>
      </c>
      <c r="N1002" s="22" t="str">
        <f t="shared" si="351"/>
        <v>NO</v>
      </c>
      <c r="O1002" s="22" t="str">
        <f t="shared" si="351"/>
        <v>NO</v>
      </c>
      <c r="P1002" s="22" t="str">
        <f t="shared" si="351"/>
        <v>NO</v>
      </c>
      <c r="Q1002" s="22" t="str">
        <f t="shared" si="351"/>
        <v>NO</v>
      </c>
      <c r="R1002" s="22" t="str">
        <f t="shared" si="351"/>
        <v>NO</v>
      </c>
      <c r="S1002" s="22" t="str">
        <f t="shared" si="351"/>
        <v>NO</v>
      </c>
      <c r="T1002" s="22" t="str">
        <f t="shared" si="351"/>
        <v>NO</v>
      </c>
      <c r="U1002" s="22" t="str">
        <f t="shared" si="351"/>
        <v>NO</v>
      </c>
      <c r="V1002" s="22" t="str">
        <f t="shared" si="351"/>
        <v>NO</v>
      </c>
      <c r="W1002" s="22" t="str">
        <f t="shared" si="351"/>
        <v>NO</v>
      </c>
      <c r="X1002" s="22" t="str">
        <f t="shared" si="351"/>
        <v>NO</v>
      </c>
      <c r="Y1002" s="22" t="str">
        <f t="shared" si="351"/>
        <v>NO</v>
      </c>
      <c r="Z1002" s="22" t="str">
        <f t="shared" si="351"/>
        <v>NO</v>
      </c>
      <c r="AA1002" s="22" t="str">
        <f t="shared" si="351"/>
        <v>NO</v>
      </c>
      <c r="AB1002" s="22" t="str">
        <f t="shared" si="351"/>
        <v>NO</v>
      </c>
      <c r="AC1002" s="22" t="str">
        <f t="shared" si="351"/>
        <v>NO</v>
      </c>
      <c r="AD1002" s="22" t="str">
        <f t="shared" si="351"/>
        <v>NO</v>
      </c>
      <c r="AE1002" s="22" t="str">
        <f t="shared" si="351"/>
        <v>NO</v>
      </c>
      <c r="AF1002" s="22" t="str">
        <f t="shared" si="351"/>
        <v>NO</v>
      </c>
      <c r="AG1002" s="22" t="str">
        <f t="shared" si="351"/>
        <v>NO</v>
      </c>
      <c r="AH1002" s="22" t="str">
        <f t="shared" si="351"/>
        <v>NO</v>
      </c>
      <c r="AI1002" s="22" t="str">
        <f t="shared" si="351"/>
        <v>NO</v>
      </c>
      <c r="AJ1002" s="22" t="str">
        <f t="shared" si="351"/>
        <v>NO</v>
      </c>
      <c r="AK1002" s="22" t="str">
        <f t="shared" si="351"/>
        <v>NO</v>
      </c>
      <c r="AL1002" s="22" t="str">
        <f t="shared" si="351"/>
        <v>NO</v>
      </c>
      <c r="AM1002" s="22" t="str">
        <f t="shared" si="351"/>
        <v>NO</v>
      </c>
      <c r="AN1002" s="22" t="str">
        <f t="shared" si="351"/>
        <v>NO</v>
      </c>
      <c r="AO1002" s="22" t="str">
        <f t="shared" si="351"/>
        <v>NO</v>
      </c>
      <c r="AP1002" s="22" t="str">
        <f t="shared" si="351"/>
        <v>NO</v>
      </c>
      <c r="AQ1002" s="22" t="str">
        <f t="shared" si="351"/>
        <v>NO</v>
      </c>
      <c r="AR1002" s="22" t="str">
        <f t="shared" si="351"/>
        <v>NO</v>
      </c>
      <c r="AS1002" s="22" t="str">
        <f t="shared" si="351"/>
        <v>NO</v>
      </c>
      <c r="AT1002" s="22" t="str">
        <f t="shared" si="351"/>
        <v>NO</v>
      </c>
      <c r="AU1002" s="22" t="str">
        <f t="shared" si="351"/>
        <v>NO</v>
      </c>
      <c r="AV1002" s="22" t="str">
        <f t="shared" si="351"/>
        <v>NO</v>
      </c>
      <c r="AW1002" s="22" t="str">
        <f t="shared" si="351"/>
        <v>NO</v>
      </c>
      <c r="AY1002" s="79"/>
      <c r="AZ1002" s="79"/>
    </row>
    <row r="1003" spans="1:52" x14ac:dyDescent="0.3">
      <c r="A1003" s="95" t="str">
        <f t="shared" si="345"/>
        <v>DS FSOM</v>
      </c>
      <c r="B1003" s="95" t="s">
        <v>974</v>
      </c>
      <c r="C1003" s="95" t="s">
        <v>60</v>
      </c>
      <c r="D1003" t="s">
        <v>369</v>
      </c>
      <c r="E1003" t="s">
        <v>55</v>
      </c>
      <c r="F1003" t="s">
        <v>60</v>
      </c>
      <c r="G1003" t="s">
        <v>1270</v>
      </c>
      <c r="H1003" t="s">
        <v>1271</v>
      </c>
      <c r="J1003" t="s">
        <v>287</v>
      </c>
      <c r="K1003" s="22">
        <f t="shared" si="350"/>
        <v>3.4398813895090996E-3</v>
      </c>
      <c r="L1003" s="22">
        <f t="shared" si="351"/>
        <v>3.4358310252377683E-3</v>
      </c>
      <c r="M1003" s="22">
        <f t="shared" si="351"/>
        <v>3.4317806609664363E-3</v>
      </c>
      <c r="N1003" s="22">
        <f t="shared" si="351"/>
        <v>3.4277302966951037E-3</v>
      </c>
      <c r="O1003" s="22">
        <f t="shared" si="351"/>
        <v>3.4236799324237725E-3</v>
      </c>
      <c r="P1003" s="22">
        <f t="shared" si="351"/>
        <v>3.4196295681524396E-3</v>
      </c>
      <c r="Q1003" s="22">
        <f t="shared" si="351"/>
        <v>3.4155792038811079E-3</v>
      </c>
      <c r="R1003" s="22">
        <f t="shared" si="351"/>
        <v>3.4115288396097763E-3</v>
      </c>
      <c r="S1003" s="22">
        <f t="shared" si="351"/>
        <v>3.4074784753384451E-3</v>
      </c>
      <c r="T1003" s="22">
        <f t="shared" si="351"/>
        <v>3.4034281110671134E-3</v>
      </c>
      <c r="U1003" s="22">
        <f t="shared" si="351"/>
        <v>3.39937774679578E-3</v>
      </c>
      <c r="V1003" s="22">
        <f t="shared" si="351"/>
        <v>3.3953273825244488E-3</v>
      </c>
      <c r="W1003" s="22">
        <f t="shared" si="351"/>
        <v>3.3912770182531172E-3</v>
      </c>
      <c r="X1003" s="22">
        <f t="shared" si="351"/>
        <v>3.387226653981786E-3</v>
      </c>
      <c r="Y1003" s="22">
        <f t="shared" si="351"/>
        <v>3.3831762897104547E-3</v>
      </c>
      <c r="Z1003" s="22">
        <f t="shared" si="351"/>
        <v>3.3791259254391218E-3</v>
      </c>
      <c r="AA1003" s="22">
        <f t="shared" si="351"/>
        <v>3.375075561167791E-3</v>
      </c>
      <c r="AB1003" s="22">
        <f t="shared" si="351"/>
        <v>3.3710251968964585E-3</v>
      </c>
      <c r="AC1003" s="22">
        <f t="shared" si="351"/>
        <v>3.3669748326251273E-3</v>
      </c>
      <c r="AD1003" s="22">
        <f t="shared" si="351"/>
        <v>3.3629244683537943E-3</v>
      </c>
      <c r="AE1003" s="22">
        <f t="shared" si="351"/>
        <v>3.358874104082464E-3</v>
      </c>
      <c r="AF1003" s="22">
        <f t="shared" si="351"/>
        <v>3.3548237398111319E-3</v>
      </c>
      <c r="AG1003" s="22">
        <f t="shared" si="351"/>
        <v>3.3507733755397998E-3</v>
      </c>
      <c r="AH1003" s="22">
        <f t="shared" si="351"/>
        <v>3.3467230112684673E-3</v>
      </c>
      <c r="AI1003" s="22">
        <f t="shared" si="351"/>
        <v>3.3426726469971361E-3</v>
      </c>
      <c r="AJ1003" s="22">
        <f t="shared" si="351"/>
        <v>3.3386222827258044E-3</v>
      </c>
      <c r="AK1003" s="22">
        <f t="shared" si="351"/>
        <v>3.3345719184544728E-3</v>
      </c>
      <c r="AL1003" s="22">
        <f t="shared" si="351"/>
        <v>3.3305215541831416E-3</v>
      </c>
      <c r="AM1003" s="22">
        <f t="shared" si="351"/>
        <v>3.3264711899118095E-3</v>
      </c>
      <c r="AN1003" s="22">
        <f t="shared" si="351"/>
        <v>3.3224208256404765E-3</v>
      </c>
      <c r="AO1003" s="22">
        <f t="shared" si="351"/>
        <v>3.3183704613691458E-3</v>
      </c>
      <c r="AP1003" s="22">
        <f t="shared" si="351"/>
        <v>3.3143200970978137E-3</v>
      </c>
      <c r="AQ1003" s="22">
        <f t="shared" si="351"/>
        <v>3.3102697328264833E-3</v>
      </c>
      <c r="AR1003" s="22">
        <f t="shared" si="351"/>
        <v>3.3062193685551499E-3</v>
      </c>
      <c r="AS1003" s="22">
        <f t="shared" si="351"/>
        <v>3.3021690042838187E-3</v>
      </c>
      <c r="AT1003" s="22">
        <f t="shared" si="351"/>
        <v>3.2981186400124866E-3</v>
      </c>
      <c r="AU1003" s="22">
        <f t="shared" si="351"/>
        <v>3.2940682757411541E-3</v>
      </c>
      <c r="AV1003" s="22">
        <f t="shared" si="351"/>
        <v>3.2900179114698229E-3</v>
      </c>
      <c r="AW1003" s="22">
        <f t="shared" si="351"/>
        <v>3.2859675471984908E-3</v>
      </c>
      <c r="AY1003" s="79"/>
      <c r="AZ1003" s="79"/>
    </row>
    <row r="1004" spans="1:52" x14ac:dyDescent="0.3">
      <c r="A1004" s="95" t="str">
        <f t="shared" si="345"/>
        <v>DS FSOM</v>
      </c>
      <c r="B1004" s="95" t="s">
        <v>974</v>
      </c>
      <c r="C1004" s="95" t="s">
        <v>60</v>
      </c>
      <c r="D1004" t="s">
        <v>369</v>
      </c>
      <c r="E1004" t="s">
        <v>55</v>
      </c>
      <c r="F1004" t="s">
        <v>60</v>
      </c>
      <c r="G1004" t="s">
        <v>1272</v>
      </c>
      <c r="H1004" t="s">
        <v>1273</v>
      </c>
      <c r="J1004" t="s">
        <v>287</v>
      </c>
      <c r="K1004" s="22">
        <f t="shared" si="350"/>
        <v>0.49020960547040615</v>
      </c>
      <c r="L1004" s="22">
        <f t="shared" si="351"/>
        <v>0.49134551154341793</v>
      </c>
      <c r="M1004" s="22">
        <f t="shared" si="351"/>
        <v>0.49248141761642988</v>
      </c>
      <c r="N1004" s="22">
        <f t="shared" si="351"/>
        <v>0.49361732368944172</v>
      </c>
      <c r="O1004" s="22">
        <f t="shared" si="351"/>
        <v>0.49475322976245356</v>
      </c>
      <c r="P1004" s="22">
        <f t="shared" si="351"/>
        <v>0.49588913583546534</v>
      </c>
      <c r="Q1004" s="22">
        <f t="shared" si="351"/>
        <v>0.49702504190847724</v>
      </c>
      <c r="R1004" s="22">
        <f t="shared" si="351"/>
        <v>0.49816094798148913</v>
      </c>
      <c r="S1004" s="22">
        <f t="shared" si="351"/>
        <v>0.49929685405450086</v>
      </c>
      <c r="T1004" s="22">
        <f t="shared" si="351"/>
        <v>0.50043276012751292</v>
      </c>
      <c r="U1004" s="22">
        <f t="shared" si="351"/>
        <v>0.50156866620052454</v>
      </c>
      <c r="V1004" s="22">
        <f t="shared" si="351"/>
        <v>0.50270457227353649</v>
      </c>
      <c r="W1004" s="22">
        <f t="shared" si="351"/>
        <v>0.50384047834654833</v>
      </c>
      <c r="X1004" s="22">
        <f t="shared" si="351"/>
        <v>0.50497638441956039</v>
      </c>
      <c r="Y1004" s="22">
        <f t="shared" si="351"/>
        <v>0.506112290492572</v>
      </c>
      <c r="Z1004" s="22">
        <f t="shared" si="351"/>
        <v>0.50724819656558406</v>
      </c>
      <c r="AA1004" s="22">
        <f t="shared" si="351"/>
        <v>0.50838410263859568</v>
      </c>
      <c r="AB1004" s="22">
        <f t="shared" si="351"/>
        <v>0.50952000871160763</v>
      </c>
      <c r="AC1004" s="22">
        <f t="shared" si="351"/>
        <v>0.51065591478461958</v>
      </c>
      <c r="AD1004" s="22">
        <f t="shared" si="351"/>
        <v>0.51179182085763142</v>
      </c>
      <c r="AE1004" s="22">
        <f t="shared" si="351"/>
        <v>0.51292772693064326</v>
      </c>
      <c r="AF1004" s="22">
        <f t="shared" si="351"/>
        <v>0.5140636330036551</v>
      </c>
      <c r="AG1004" s="22">
        <f t="shared" si="351"/>
        <v>0.51519953907666705</v>
      </c>
      <c r="AH1004" s="22">
        <f t="shared" si="351"/>
        <v>0.51633544514967877</v>
      </c>
      <c r="AI1004" s="22">
        <f t="shared" si="351"/>
        <v>0.51747135122269072</v>
      </c>
      <c r="AJ1004" s="22">
        <f t="shared" si="351"/>
        <v>0.51860725729570256</v>
      </c>
      <c r="AK1004" s="22">
        <f t="shared" si="351"/>
        <v>0.5197431633687144</v>
      </c>
      <c r="AL1004" s="22">
        <f t="shared" si="351"/>
        <v>0.52087906944172624</v>
      </c>
      <c r="AM1004" s="22">
        <f t="shared" si="351"/>
        <v>0.52201497551473808</v>
      </c>
      <c r="AN1004" s="22">
        <f t="shared" si="351"/>
        <v>0.52315088158774992</v>
      </c>
      <c r="AO1004" s="22">
        <f t="shared" si="351"/>
        <v>0.52428678766076187</v>
      </c>
      <c r="AP1004" s="22">
        <f t="shared" si="351"/>
        <v>0.52542269373377359</v>
      </c>
      <c r="AQ1004" s="22">
        <f t="shared" si="351"/>
        <v>0.52655859980678543</v>
      </c>
      <c r="AR1004" s="22">
        <f t="shared" si="351"/>
        <v>0.52769450587979749</v>
      </c>
      <c r="AS1004" s="22">
        <f t="shared" si="351"/>
        <v>0.52883041195280922</v>
      </c>
      <c r="AT1004" s="22">
        <f t="shared" si="351"/>
        <v>0.52996631802582106</v>
      </c>
      <c r="AU1004" s="22">
        <f t="shared" si="351"/>
        <v>0.53110222409883301</v>
      </c>
      <c r="AV1004" s="22">
        <f t="shared" si="351"/>
        <v>0.53223813017184474</v>
      </c>
      <c r="AW1004" s="22">
        <f t="shared" si="351"/>
        <v>0.5333740362448568</v>
      </c>
      <c r="AY1004" s="79"/>
      <c r="AZ1004" s="79"/>
    </row>
    <row r="1005" spans="1:52" x14ac:dyDescent="0.3">
      <c r="A1005" s="95" t="str">
        <f t="shared" si="345"/>
        <v>DS FSOM</v>
      </c>
      <c r="B1005" s="95" t="s">
        <v>974</v>
      </c>
      <c r="C1005" s="95" t="s">
        <v>60</v>
      </c>
      <c r="D1005" t="s">
        <v>369</v>
      </c>
      <c r="E1005" t="s">
        <v>55</v>
      </c>
      <c r="F1005" t="s">
        <v>60</v>
      </c>
      <c r="G1005" t="s">
        <v>1274</v>
      </c>
      <c r="H1005" t="s">
        <v>1275</v>
      </c>
      <c r="J1005" t="s">
        <v>287</v>
      </c>
      <c r="K1005" s="22">
        <f t="shared" si="350"/>
        <v>0.57597220909378744</v>
      </c>
      <c r="L1005" s="22">
        <f t="shared" si="351"/>
        <v>0.57597220909378744</v>
      </c>
      <c r="M1005" s="22">
        <f t="shared" si="351"/>
        <v>0.57597220909378744</v>
      </c>
      <c r="N1005" s="22">
        <f t="shared" si="351"/>
        <v>0.57597220909378744</v>
      </c>
      <c r="O1005" s="22">
        <f t="shared" si="351"/>
        <v>0.57597220909378744</v>
      </c>
      <c r="P1005" s="22">
        <f t="shared" si="351"/>
        <v>0.57597220909378744</v>
      </c>
      <c r="Q1005" s="22">
        <f t="shared" si="351"/>
        <v>0.57597220909378744</v>
      </c>
      <c r="R1005" s="22">
        <f t="shared" si="351"/>
        <v>0.57597220909378744</v>
      </c>
      <c r="S1005" s="22">
        <f t="shared" si="351"/>
        <v>0.57597220909378744</v>
      </c>
      <c r="T1005" s="22">
        <f t="shared" si="351"/>
        <v>0.57597220909378744</v>
      </c>
      <c r="U1005" s="22">
        <f t="shared" si="351"/>
        <v>0.57597220909378744</v>
      </c>
      <c r="V1005" s="22">
        <f t="shared" si="351"/>
        <v>0.57597220909378744</v>
      </c>
      <c r="W1005" s="22">
        <f t="shared" si="351"/>
        <v>0.57597220909378744</v>
      </c>
      <c r="X1005" s="22">
        <f t="shared" si="351"/>
        <v>0.57597220909378744</v>
      </c>
      <c r="Y1005" s="22">
        <f t="shared" si="351"/>
        <v>0.57597220909378744</v>
      </c>
      <c r="Z1005" s="22">
        <f t="shared" si="351"/>
        <v>0.57597220909378744</v>
      </c>
      <c r="AA1005" s="22">
        <f t="shared" si="351"/>
        <v>0.57597220909378744</v>
      </c>
      <c r="AB1005" s="22">
        <f t="shared" si="351"/>
        <v>0.57597220909378744</v>
      </c>
      <c r="AC1005" s="22">
        <f t="shared" si="351"/>
        <v>0.57597220909378744</v>
      </c>
      <c r="AD1005" s="22">
        <f t="shared" si="351"/>
        <v>0.57597220909378744</v>
      </c>
      <c r="AE1005" s="22">
        <f t="shared" si="351"/>
        <v>0.57597220909378744</v>
      </c>
      <c r="AF1005" s="22">
        <f t="shared" si="351"/>
        <v>0.57597220909378744</v>
      </c>
      <c r="AG1005" s="22">
        <f t="shared" si="351"/>
        <v>0.57597220909378744</v>
      </c>
      <c r="AH1005" s="22">
        <f t="shared" si="351"/>
        <v>0.57597220909378744</v>
      </c>
      <c r="AI1005" s="22">
        <f t="shared" si="351"/>
        <v>0.57597220909378744</v>
      </c>
      <c r="AJ1005" s="22">
        <f t="shared" si="351"/>
        <v>0.57597220909378744</v>
      </c>
      <c r="AK1005" s="22">
        <f t="shared" si="351"/>
        <v>0.57597220909378744</v>
      </c>
      <c r="AL1005" s="22">
        <f t="shared" si="351"/>
        <v>0.57597220909378744</v>
      </c>
      <c r="AM1005" s="22">
        <f t="shared" si="351"/>
        <v>0.57597220909378744</v>
      </c>
      <c r="AN1005" s="22">
        <f t="shared" si="351"/>
        <v>0.57597220909378744</v>
      </c>
      <c r="AO1005" s="22">
        <f t="shared" si="351"/>
        <v>0.57597220909378744</v>
      </c>
      <c r="AP1005" s="22">
        <f t="shared" si="351"/>
        <v>0.57597220909378744</v>
      </c>
      <c r="AQ1005" s="22">
        <f t="shared" si="351"/>
        <v>0.57597220909378744</v>
      </c>
      <c r="AR1005" s="22">
        <f t="shared" si="351"/>
        <v>0.57597220909378744</v>
      </c>
      <c r="AS1005" s="22">
        <f t="shared" si="351"/>
        <v>0.57597220909378744</v>
      </c>
      <c r="AT1005" s="22">
        <f t="shared" si="351"/>
        <v>0.57597220909378744</v>
      </c>
      <c r="AU1005" s="22">
        <f t="shared" si="351"/>
        <v>0.57597220909378744</v>
      </c>
      <c r="AV1005" s="22">
        <f t="shared" si="351"/>
        <v>0.57597220909378744</v>
      </c>
      <c r="AW1005" s="22">
        <f t="shared" si="351"/>
        <v>0.57597220909378744</v>
      </c>
      <c r="AY1005" s="79"/>
      <c r="AZ1005" s="79"/>
    </row>
    <row r="1006" spans="1:52" x14ac:dyDescent="0.3">
      <c r="A1006" s="95" t="str">
        <f t="shared" si="345"/>
        <v>DS FSOM</v>
      </c>
      <c r="B1006" s="95" t="s">
        <v>974</v>
      </c>
      <c r="C1006" s="95" t="s">
        <v>60</v>
      </c>
      <c r="D1006" t="s">
        <v>369</v>
      </c>
      <c r="E1006" t="s">
        <v>55</v>
      </c>
      <c r="F1006" t="s">
        <v>60</v>
      </c>
      <c r="G1006" t="s">
        <v>1276</v>
      </c>
      <c r="H1006" t="s">
        <v>1277</v>
      </c>
      <c r="J1006" t="s">
        <v>287</v>
      </c>
      <c r="K1006" s="22" t="str">
        <f t="shared" si="350"/>
        <v>NO</v>
      </c>
      <c r="L1006" s="22" t="str">
        <f t="shared" si="351"/>
        <v>NO</v>
      </c>
      <c r="M1006" s="22" t="str">
        <f t="shared" si="351"/>
        <v>NO</v>
      </c>
      <c r="N1006" s="22" t="str">
        <f t="shared" si="351"/>
        <v>NO</v>
      </c>
      <c r="O1006" s="22" t="str">
        <f t="shared" si="351"/>
        <v>NO</v>
      </c>
      <c r="P1006" s="22" t="str">
        <f t="shared" si="351"/>
        <v>NO</v>
      </c>
      <c r="Q1006" s="22" t="str">
        <f t="shared" si="351"/>
        <v>NO</v>
      </c>
      <c r="R1006" s="22" t="str">
        <f t="shared" si="351"/>
        <v>NO</v>
      </c>
      <c r="S1006" s="22" t="str">
        <f t="shared" si="351"/>
        <v>NO</v>
      </c>
      <c r="T1006" s="22" t="str">
        <f t="shared" si="351"/>
        <v>NO</v>
      </c>
      <c r="U1006" s="22" t="str">
        <f t="shared" si="351"/>
        <v>NO</v>
      </c>
      <c r="V1006" s="22" t="str">
        <f t="shared" si="351"/>
        <v>NO</v>
      </c>
      <c r="W1006" s="22" t="str">
        <f t="shared" si="351"/>
        <v>NO</v>
      </c>
      <c r="X1006" s="22" t="str">
        <f t="shared" si="351"/>
        <v>NO</v>
      </c>
      <c r="Y1006" s="22" t="str">
        <f t="shared" si="351"/>
        <v>NO</v>
      </c>
      <c r="Z1006" s="22" t="str">
        <f t="shared" si="351"/>
        <v>NO</v>
      </c>
      <c r="AA1006" s="22" t="str">
        <f t="shared" si="351"/>
        <v>NO</v>
      </c>
      <c r="AB1006" s="22" t="str">
        <f t="shared" si="351"/>
        <v>NO</v>
      </c>
      <c r="AC1006" s="22" t="str">
        <f t="shared" si="351"/>
        <v>NO</v>
      </c>
      <c r="AD1006" s="22" t="str">
        <f t="shared" si="351"/>
        <v>NO</v>
      </c>
      <c r="AE1006" s="22" t="str">
        <f t="shared" si="351"/>
        <v>NO</v>
      </c>
      <c r="AF1006" s="22" t="str">
        <f t="shared" si="351"/>
        <v>NO</v>
      </c>
      <c r="AG1006" s="22" t="str">
        <f t="shared" si="351"/>
        <v>NO</v>
      </c>
      <c r="AH1006" s="22" t="str">
        <f t="shared" si="351"/>
        <v>NO</v>
      </c>
      <c r="AI1006" s="22" t="str">
        <f t="shared" si="351"/>
        <v>NO</v>
      </c>
      <c r="AJ1006" s="22" t="str">
        <f t="shared" si="351"/>
        <v>NO</v>
      </c>
      <c r="AK1006" s="22" t="str">
        <f t="shared" si="351"/>
        <v>NO</v>
      </c>
      <c r="AL1006" s="22" t="str">
        <f t="shared" si="351"/>
        <v>NO</v>
      </c>
      <c r="AM1006" s="22" t="str">
        <f t="shared" si="351"/>
        <v>NO</v>
      </c>
      <c r="AN1006" s="22" t="str">
        <f t="shared" si="351"/>
        <v>NO</v>
      </c>
      <c r="AO1006" s="22" t="str">
        <f t="shared" si="351"/>
        <v>NO</v>
      </c>
      <c r="AP1006" s="22" t="str">
        <f t="shared" si="351"/>
        <v>NO</v>
      </c>
      <c r="AQ1006" s="22" t="str">
        <f t="shared" si="351"/>
        <v>NO</v>
      </c>
      <c r="AR1006" s="22" t="str">
        <f t="shared" si="351"/>
        <v>NO</v>
      </c>
      <c r="AS1006" s="22" t="str">
        <f t="shared" si="351"/>
        <v>NO</v>
      </c>
      <c r="AT1006" s="22" t="str">
        <f t="shared" si="351"/>
        <v>NO</v>
      </c>
      <c r="AU1006" s="22" t="str">
        <f t="shared" si="351"/>
        <v>NO</v>
      </c>
      <c r="AV1006" s="22" t="str">
        <f t="shared" si="351"/>
        <v>NO</v>
      </c>
      <c r="AW1006" s="22" t="str">
        <f t="shared" si="351"/>
        <v>NO</v>
      </c>
      <c r="AY1006" s="79"/>
      <c r="AZ1006" s="79"/>
    </row>
    <row r="1007" spans="1:52" x14ac:dyDescent="0.3">
      <c r="A1007" s="95" t="str">
        <f t="shared" si="345"/>
        <v>DS FSOM</v>
      </c>
      <c r="B1007" s="95" t="s">
        <v>974</v>
      </c>
      <c r="C1007" s="95" t="s">
        <v>60</v>
      </c>
      <c r="D1007" t="s">
        <v>369</v>
      </c>
      <c r="E1007" t="s">
        <v>55</v>
      </c>
      <c r="F1007" t="s">
        <v>60</v>
      </c>
      <c r="G1007" t="s">
        <v>1278</v>
      </c>
      <c r="H1007" t="s">
        <v>1279</v>
      </c>
      <c r="J1007" t="s">
        <v>287</v>
      </c>
      <c r="K1007" s="22" t="str">
        <f t="shared" si="350"/>
        <v>NO</v>
      </c>
      <c r="L1007" s="22" t="str">
        <f t="shared" si="351"/>
        <v>NO</v>
      </c>
      <c r="M1007" s="22" t="str">
        <f t="shared" si="351"/>
        <v>NO</v>
      </c>
      <c r="N1007" s="22" t="str">
        <f t="shared" si="351"/>
        <v>NO</v>
      </c>
      <c r="O1007" s="22" t="str">
        <f t="shared" si="351"/>
        <v>NO</v>
      </c>
      <c r="P1007" s="22" t="str">
        <f t="shared" si="351"/>
        <v>NO</v>
      </c>
      <c r="Q1007" s="22" t="str">
        <f t="shared" si="351"/>
        <v>NO</v>
      </c>
      <c r="R1007" s="22" t="str">
        <f t="shared" si="351"/>
        <v>NO</v>
      </c>
      <c r="S1007" s="22" t="str">
        <f t="shared" si="351"/>
        <v>NO</v>
      </c>
      <c r="T1007" s="22" t="str">
        <f t="shared" si="351"/>
        <v>NO</v>
      </c>
      <c r="U1007" s="22" t="str">
        <f t="shared" si="351"/>
        <v>NO</v>
      </c>
      <c r="V1007" s="22" t="str">
        <f t="shared" si="351"/>
        <v>NO</v>
      </c>
      <c r="W1007" s="22" t="str">
        <f t="shared" si="351"/>
        <v>NO</v>
      </c>
      <c r="X1007" s="22" t="str">
        <f t="shared" si="351"/>
        <v>NO</v>
      </c>
      <c r="Y1007" s="22" t="str">
        <f t="shared" si="351"/>
        <v>NO</v>
      </c>
      <c r="Z1007" s="22" t="str">
        <f t="shared" si="351"/>
        <v>NO</v>
      </c>
      <c r="AA1007" s="22" t="str">
        <f t="shared" si="351"/>
        <v>NO</v>
      </c>
      <c r="AB1007" s="22" t="str">
        <f t="shared" si="351"/>
        <v>NO</v>
      </c>
      <c r="AC1007" s="22" t="str">
        <f t="shared" si="351"/>
        <v>NO</v>
      </c>
      <c r="AD1007" s="22" t="str">
        <f t="shared" si="351"/>
        <v>NO</v>
      </c>
      <c r="AE1007" s="22" t="str">
        <f t="shared" si="351"/>
        <v>NO</v>
      </c>
      <c r="AF1007" s="22" t="str">
        <f t="shared" si="351"/>
        <v>NO</v>
      </c>
      <c r="AG1007" s="22" t="str">
        <f t="shared" si="351"/>
        <v>NO</v>
      </c>
      <c r="AH1007" s="22" t="str">
        <f t="shared" si="351"/>
        <v>NO</v>
      </c>
      <c r="AI1007" s="22" t="str">
        <f t="shared" si="351"/>
        <v>NO</v>
      </c>
      <c r="AJ1007" s="22" t="str">
        <f t="shared" si="351"/>
        <v>NO</v>
      </c>
      <c r="AK1007" s="22" t="str">
        <f t="shared" si="351"/>
        <v>NO</v>
      </c>
      <c r="AL1007" s="22" t="str">
        <f t="shared" si="351"/>
        <v>NO</v>
      </c>
      <c r="AM1007" s="22" t="str">
        <f t="shared" si="351"/>
        <v>NO</v>
      </c>
      <c r="AN1007" s="22" t="str">
        <f t="shared" si="351"/>
        <v>NO</v>
      </c>
      <c r="AO1007" s="22" t="str">
        <f t="shared" si="351"/>
        <v>NO</v>
      </c>
      <c r="AP1007" s="22" t="str">
        <f t="shared" si="351"/>
        <v>NO</v>
      </c>
      <c r="AQ1007" s="22" t="str">
        <f t="shared" si="351"/>
        <v>NO</v>
      </c>
      <c r="AR1007" s="22" t="str">
        <f t="shared" si="351"/>
        <v>NO</v>
      </c>
      <c r="AS1007" s="22" t="str">
        <f t="shared" si="351"/>
        <v>NO</v>
      </c>
      <c r="AT1007" s="22" t="str">
        <f t="shared" si="351"/>
        <v>NO</v>
      </c>
      <c r="AU1007" s="22" t="str">
        <f t="shared" si="351"/>
        <v>NO</v>
      </c>
      <c r="AV1007" s="22" t="str">
        <f t="shared" si="351"/>
        <v>NO</v>
      </c>
      <c r="AW1007" s="22" t="str">
        <f t="shared" si="351"/>
        <v>NO</v>
      </c>
      <c r="AY1007" s="79"/>
      <c r="AZ1007" s="79"/>
    </row>
    <row r="1008" spans="1:52" x14ac:dyDescent="0.3">
      <c r="A1008" s="95" t="str">
        <f t="shared" si="345"/>
        <v>DS FSOM</v>
      </c>
      <c r="B1008" s="95" t="s">
        <v>974</v>
      </c>
      <c r="C1008" s="95" t="s">
        <v>60</v>
      </c>
      <c r="D1008" t="s">
        <v>369</v>
      </c>
      <c r="E1008" t="s">
        <v>55</v>
      </c>
      <c r="F1008" t="s">
        <v>60</v>
      </c>
      <c r="G1008" t="s">
        <v>1280</v>
      </c>
      <c r="H1008" t="s">
        <v>1281</v>
      </c>
      <c r="J1008" t="s">
        <v>287</v>
      </c>
      <c r="K1008" s="22" t="str">
        <f t="shared" si="350"/>
        <v>NO</v>
      </c>
      <c r="L1008" s="22" t="str">
        <f t="shared" si="351"/>
        <v>NO</v>
      </c>
      <c r="M1008" s="22" t="str">
        <f t="shared" si="351"/>
        <v>NO</v>
      </c>
      <c r="N1008" s="22" t="str">
        <f t="shared" si="351"/>
        <v>NO</v>
      </c>
      <c r="O1008" s="22" t="str">
        <f t="shared" si="351"/>
        <v>NO</v>
      </c>
      <c r="P1008" s="22" t="str">
        <f t="shared" ref="L1008:AW1012" si="352">P1505</f>
        <v>NO</v>
      </c>
      <c r="Q1008" s="22" t="str">
        <f t="shared" si="352"/>
        <v>NO</v>
      </c>
      <c r="R1008" s="22" t="str">
        <f t="shared" si="352"/>
        <v>NO</v>
      </c>
      <c r="S1008" s="22" t="str">
        <f t="shared" si="352"/>
        <v>NO</v>
      </c>
      <c r="T1008" s="22" t="str">
        <f t="shared" si="352"/>
        <v>NO</v>
      </c>
      <c r="U1008" s="22" t="str">
        <f t="shared" si="352"/>
        <v>NO</v>
      </c>
      <c r="V1008" s="22" t="str">
        <f t="shared" si="352"/>
        <v>NO</v>
      </c>
      <c r="W1008" s="22" t="str">
        <f t="shared" si="352"/>
        <v>NO</v>
      </c>
      <c r="X1008" s="22" t="str">
        <f t="shared" si="352"/>
        <v>NO</v>
      </c>
      <c r="Y1008" s="22" t="str">
        <f t="shared" si="352"/>
        <v>NO</v>
      </c>
      <c r="Z1008" s="22" t="str">
        <f t="shared" si="352"/>
        <v>NO</v>
      </c>
      <c r="AA1008" s="22" t="str">
        <f t="shared" si="352"/>
        <v>NO</v>
      </c>
      <c r="AB1008" s="22" t="str">
        <f t="shared" si="352"/>
        <v>NO</v>
      </c>
      <c r="AC1008" s="22" t="str">
        <f t="shared" si="352"/>
        <v>NO</v>
      </c>
      <c r="AD1008" s="22" t="str">
        <f t="shared" si="352"/>
        <v>NO</v>
      </c>
      <c r="AE1008" s="22" t="str">
        <f t="shared" si="352"/>
        <v>NO</v>
      </c>
      <c r="AF1008" s="22" t="str">
        <f t="shared" si="352"/>
        <v>NO</v>
      </c>
      <c r="AG1008" s="22" t="str">
        <f t="shared" si="352"/>
        <v>NO</v>
      </c>
      <c r="AH1008" s="22" t="str">
        <f t="shared" si="352"/>
        <v>NO</v>
      </c>
      <c r="AI1008" s="22" t="str">
        <f t="shared" si="352"/>
        <v>NO</v>
      </c>
      <c r="AJ1008" s="22" t="str">
        <f t="shared" si="352"/>
        <v>NO</v>
      </c>
      <c r="AK1008" s="22" t="str">
        <f t="shared" si="352"/>
        <v>NO</v>
      </c>
      <c r="AL1008" s="22" t="str">
        <f t="shared" si="352"/>
        <v>NO</v>
      </c>
      <c r="AM1008" s="22" t="str">
        <f t="shared" si="352"/>
        <v>NO</v>
      </c>
      <c r="AN1008" s="22" t="str">
        <f t="shared" si="352"/>
        <v>NO</v>
      </c>
      <c r="AO1008" s="22" t="str">
        <f t="shared" si="352"/>
        <v>NO</v>
      </c>
      <c r="AP1008" s="22" t="str">
        <f t="shared" si="352"/>
        <v>NO</v>
      </c>
      <c r="AQ1008" s="22" t="str">
        <f t="shared" si="352"/>
        <v>NO</v>
      </c>
      <c r="AR1008" s="22" t="str">
        <f t="shared" si="352"/>
        <v>NO</v>
      </c>
      <c r="AS1008" s="22" t="str">
        <f t="shared" si="352"/>
        <v>NO</v>
      </c>
      <c r="AT1008" s="22" t="str">
        <f t="shared" si="352"/>
        <v>NO</v>
      </c>
      <c r="AU1008" s="22" t="str">
        <f t="shared" si="352"/>
        <v>NO</v>
      </c>
      <c r="AV1008" s="22" t="str">
        <f t="shared" si="352"/>
        <v>NO</v>
      </c>
      <c r="AW1008" s="22" t="str">
        <f t="shared" si="352"/>
        <v>NO</v>
      </c>
      <c r="AY1008" s="79"/>
      <c r="AZ1008" s="79"/>
    </row>
    <row r="1009" spans="1:52" x14ac:dyDescent="0.3">
      <c r="A1009" s="95" t="str">
        <f t="shared" si="345"/>
        <v>DS FSOM</v>
      </c>
      <c r="B1009" s="95" t="s">
        <v>974</v>
      </c>
      <c r="C1009" s="95" t="s">
        <v>60</v>
      </c>
      <c r="D1009" t="s">
        <v>369</v>
      </c>
      <c r="E1009" t="s">
        <v>55</v>
      </c>
      <c r="F1009" t="s">
        <v>60</v>
      </c>
      <c r="G1009" t="s">
        <v>1282</v>
      </c>
      <c r="H1009" t="s">
        <v>1283</v>
      </c>
      <c r="J1009" t="s">
        <v>287</v>
      </c>
      <c r="K1009" s="22">
        <f t="shared" si="350"/>
        <v>5.604018730639919E-5</v>
      </c>
      <c r="L1009" s="22">
        <f t="shared" si="352"/>
        <v>5.604018730639919E-5</v>
      </c>
      <c r="M1009" s="22">
        <f t="shared" si="352"/>
        <v>5.604018730639919E-5</v>
      </c>
      <c r="N1009" s="22">
        <f t="shared" si="352"/>
        <v>5.604018730639919E-5</v>
      </c>
      <c r="O1009" s="22">
        <f t="shared" si="352"/>
        <v>5.604018730639919E-5</v>
      </c>
      <c r="P1009" s="22">
        <f t="shared" si="352"/>
        <v>5.604018730639919E-5</v>
      </c>
      <c r="Q1009" s="22">
        <f t="shared" si="352"/>
        <v>5.604018730639919E-5</v>
      </c>
      <c r="R1009" s="22">
        <f t="shared" si="352"/>
        <v>5.604018730639919E-5</v>
      </c>
      <c r="S1009" s="22">
        <f t="shared" si="352"/>
        <v>5.604018730639919E-5</v>
      </c>
      <c r="T1009" s="22">
        <f t="shared" si="352"/>
        <v>5.604018730639919E-5</v>
      </c>
      <c r="U1009" s="22">
        <f t="shared" si="352"/>
        <v>5.604018730639919E-5</v>
      </c>
      <c r="V1009" s="22">
        <f t="shared" si="352"/>
        <v>5.604018730639919E-5</v>
      </c>
      <c r="W1009" s="22">
        <f t="shared" si="352"/>
        <v>5.604018730639919E-5</v>
      </c>
      <c r="X1009" s="22">
        <f t="shared" si="352"/>
        <v>5.604018730639919E-5</v>
      </c>
      <c r="Y1009" s="22">
        <f t="shared" si="352"/>
        <v>5.604018730639919E-5</v>
      </c>
      <c r="Z1009" s="22">
        <f t="shared" si="352"/>
        <v>5.604018730639919E-5</v>
      </c>
      <c r="AA1009" s="22">
        <f t="shared" si="352"/>
        <v>5.604018730639919E-5</v>
      </c>
      <c r="AB1009" s="22">
        <f t="shared" si="352"/>
        <v>5.604018730639919E-5</v>
      </c>
      <c r="AC1009" s="22">
        <f t="shared" si="352"/>
        <v>5.604018730639919E-5</v>
      </c>
      <c r="AD1009" s="22">
        <f t="shared" si="352"/>
        <v>5.604018730639919E-5</v>
      </c>
      <c r="AE1009" s="22">
        <f t="shared" si="352"/>
        <v>5.604018730639919E-5</v>
      </c>
      <c r="AF1009" s="22">
        <f t="shared" si="352"/>
        <v>5.604018730639919E-5</v>
      </c>
      <c r="AG1009" s="22">
        <f t="shared" si="352"/>
        <v>5.604018730639919E-5</v>
      </c>
      <c r="AH1009" s="22">
        <f t="shared" si="352"/>
        <v>5.604018730639919E-5</v>
      </c>
      <c r="AI1009" s="22">
        <f t="shared" si="352"/>
        <v>5.604018730639919E-5</v>
      </c>
      <c r="AJ1009" s="22">
        <f t="shared" si="352"/>
        <v>5.604018730639919E-5</v>
      </c>
      <c r="AK1009" s="22">
        <f t="shared" si="352"/>
        <v>5.604018730639919E-5</v>
      </c>
      <c r="AL1009" s="22">
        <f t="shared" si="352"/>
        <v>5.604018730639919E-5</v>
      </c>
      <c r="AM1009" s="22">
        <f t="shared" si="352"/>
        <v>5.604018730639919E-5</v>
      </c>
      <c r="AN1009" s="22">
        <f t="shared" si="352"/>
        <v>5.604018730639919E-5</v>
      </c>
      <c r="AO1009" s="22">
        <f t="shared" si="352"/>
        <v>5.604018730639919E-5</v>
      </c>
      <c r="AP1009" s="22">
        <f t="shared" si="352"/>
        <v>5.604018730639919E-5</v>
      </c>
      <c r="AQ1009" s="22">
        <f t="shared" si="352"/>
        <v>5.604018730639919E-5</v>
      </c>
      <c r="AR1009" s="22">
        <f t="shared" si="352"/>
        <v>5.604018730639919E-5</v>
      </c>
      <c r="AS1009" s="22">
        <f t="shared" si="352"/>
        <v>5.604018730639919E-5</v>
      </c>
      <c r="AT1009" s="22">
        <f t="shared" si="352"/>
        <v>5.604018730639919E-5</v>
      </c>
      <c r="AU1009" s="22">
        <f t="shared" si="352"/>
        <v>5.604018730639919E-5</v>
      </c>
      <c r="AV1009" s="22">
        <f t="shared" si="352"/>
        <v>5.604018730639919E-5</v>
      </c>
      <c r="AW1009" s="22">
        <f t="shared" si="352"/>
        <v>5.604018730639919E-5</v>
      </c>
      <c r="AY1009" s="79"/>
      <c r="AZ1009" s="79"/>
    </row>
    <row r="1010" spans="1:52" x14ac:dyDescent="0.3">
      <c r="A1010" s="95" t="str">
        <f t="shared" si="345"/>
        <v>DS FSOM</v>
      </c>
      <c r="B1010" s="95" t="s">
        <v>974</v>
      </c>
      <c r="C1010" s="95" t="s">
        <v>60</v>
      </c>
      <c r="D1010" t="s">
        <v>369</v>
      </c>
      <c r="E1010" t="s">
        <v>55</v>
      </c>
      <c r="F1010" t="s">
        <v>60</v>
      </c>
      <c r="G1010" t="s">
        <v>1284</v>
      </c>
      <c r="H1010" t="s">
        <v>1285</v>
      </c>
      <c r="J1010" t="s">
        <v>287</v>
      </c>
      <c r="K1010" s="22">
        <f t="shared" si="350"/>
        <v>6.110857899094551E-2</v>
      </c>
      <c r="L1010" s="22">
        <f t="shared" si="352"/>
        <v>6.110857899094551E-2</v>
      </c>
      <c r="M1010" s="22">
        <f t="shared" si="352"/>
        <v>6.110857899094551E-2</v>
      </c>
      <c r="N1010" s="22">
        <f t="shared" si="352"/>
        <v>6.110857899094551E-2</v>
      </c>
      <c r="O1010" s="22">
        <f t="shared" si="352"/>
        <v>6.110857899094551E-2</v>
      </c>
      <c r="P1010" s="22">
        <f t="shared" si="352"/>
        <v>6.110857899094551E-2</v>
      </c>
      <c r="Q1010" s="22">
        <f t="shared" si="352"/>
        <v>6.110857899094551E-2</v>
      </c>
      <c r="R1010" s="22">
        <f t="shared" si="352"/>
        <v>6.110857899094551E-2</v>
      </c>
      <c r="S1010" s="22">
        <f t="shared" si="352"/>
        <v>6.110857899094551E-2</v>
      </c>
      <c r="T1010" s="22">
        <f t="shared" si="352"/>
        <v>6.110857899094551E-2</v>
      </c>
      <c r="U1010" s="22">
        <f t="shared" si="352"/>
        <v>6.110857899094551E-2</v>
      </c>
      <c r="V1010" s="22">
        <f t="shared" si="352"/>
        <v>6.110857899094551E-2</v>
      </c>
      <c r="W1010" s="22">
        <f t="shared" si="352"/>
        <v>6.110857899094551E-2</v>
      </c>
      <c r="X1010" s="22">
        <f t="shared" si="352"/>
        <v>6.110857899094551E-2</v>
      </c>
      <c r="Y1010" s="22">
        <f t="shared" si="352"/>
        <v>6.110857899094551E-2</v>
      </c>
      <c r="Z1010" s="22">
        <f t="shared" si="352"/>
        <v>6.110857899094551E-2</v>
      </c>
      <c r="AA1010" s="22">
        <f t="shared" si="352"/>
        <v>6.110857899094551E-2</v>
      </c>
      <c r="AB1010" s="22">
        <f t="shared" si="352"/>
        <v>6.110857899094551E-2</v>
      </c>
      <c r="AC1010" s="22">
        <f t="shared" si="352"/>
        <v>6.110857899094551E-2</v>
      </c>
      <c r="AD1010" s="22">
        <f t="shared" si="352"/>
        <v>6.110857899094551E-2</v>
      </c>
      <c r="AE1010" s="22">
        <f t="shared" si="352"/>
        <v>6.110857899094551E-2</v>
      </c>
      <c r="AF1010" s="22">
        <f t="shared" si="352"/>
        <v>6.110857899094551E-2</v>
      </c>
      <c r="AG1010" s="22">
        <f t="shared" si="352"/>
        <v>6.110857899094551E-2</v>
      </c>
      <c r="AH1010" s="22">
        <f t="shared" si="352"/>
        <v>6.110857899094551E-2</v>
      </c>
      <c r="AI1010" s="22">
        <f t="shared" si="352"/>
        <v>6.110857899094551E-2</v>
      </c>
      <c r="AJ1010" s="22">
        <f t="shared" si="352"/>
        <v>6.110857899094551E-2</v>
      </c>
      <c r="AK1010" s="22">
        <f t="shared" si="352"/>
        <v>6.110857899094551E-2</v>
      </c>
      <c r="AL1010" s="22">
        <f t="shared" si="352"/>
        <v>6.110857899094551E-2</v>
      </c>
      <c r="AM1010" s="22">
        <f t="shared" si="352"/>
        <v>6.110857899094551E-2</v>
      </c>
      <c r="AN1010" s="22">
        <f t="shared" si="352"/>
        <v>6.110857899094551E-2</v>
      </c>
      <c r="AO1010" s="22">
        <f t="shared" si="352"/>
        <v>6.110857899094551E-2</v>
      </c>
      <c r="AP1010" s="22">
        <f t="shared" si="352"/>
        <v>6.110857899094551E-2</v>
      </c>
      <c r="AQ1010" s="22">
        <f t="shared" si="352"/>
        <v>6.110857899094551E-2</v>
      </c>
      <c r="AR1010" s="22">
        <f t="shared" si="352"/>
        <v>6.110857899094551E-2</v>
      </c>
      <c r="AS1010" s="22">
        <f t="shared" si="352"/>
        <v>6.110857899094551E-2</v>
      </c>
      <c r="AT1010" s="22">
        <f t="shared" si="352"/>
        <v>6.110857899094551E-2</v>
      </c>
      <c r="AU1010" s="22">
        <f t="shared" si="352"/>
        <v>6.110857899094551E-2</v>
      </c>
      <c r="AV1010" s="22">
        <f t="shared" si="352"/>
        <v>6.110857899094551E-2</v>
      </c>
      <c r="AW1010" s="22">
        <f t="shared" si="352"/>
        <v>6.110857899094551E-2</v>
      </c>
      <c r="AY1010" s="79"/>
      <c r="AZ1010" s="79"/>
    </row>
    <row r="1011" spans="1:52" x14ac:dyDescent="0.3">
      <c r="A1011" s="95" t="str">
        <f t="shared" si="345"/>
        <v>DS FSOM</v>
      </c>
      <c r="B1011" s="95" t="s">
        <v>974</v>
      </c>
      <c r="C1011" s="95" t="s">
        <v>60</v>
      </c>
      <c r="D1011" t="s">
        <v>369</v>
      </c>
      <c r="E1011" t="s">
        <v>55</v>
      </c>
      <c r="F1011" t="s">
        <v>60</v>
      </c>
      <c r="G1011" t="s">
        <v>1286</v>
      </c>
      <c r="H1011" t="s">
        <v>1287</v>
      </c>
      <c r="J1011" t="s">
        <v>287</v>
      </c>
      <c r="K1011" s="22" t="str">
        <f t="shared" si="350"/>
        <v>NO</v>
      </c>
      <c r="L1011" s="22" t="str">
        <f t="shared" si="352"/>
        <v>NO</v>
      </c>
      <c r="M1011" s="22" t="str">
        <f t="shared" si="352"/>
        <v>NO</v>
      </c>
      <c r="N1011" s="22" t="str">
        <f t="shared" si="352"/>
        <v>NO</v>
      </c>
      <c r="O1011" s="22" t="str">
        <f t="shared" si="352"/>
        <v>NO</v>
      </c>
      <c r="P1011" s="22" t="str">
        <f t="shared" si="352"/>
        <v>NO</v>
      </c>
      <c r="Q1011" s="22" t="str">
        <f t="shared" si="352"/>
        <v>NO</v>
      </c>
      <c r="R1011" s="22" t="str">
        <f t="shared" si="352"/>
        <v>NO</v>
      </c>
      <c r="S1011" s="22" t="str">
        <f t="shared" si="352"/>
        <v>NO</v>
      </c>
      <c r="T1011" s="22" t="str">
        <f t="shared" si="352"/>
        <v>NO</v>
      </c>
      <c r="U1011" s="22" t="str">
        <f t="shared" si="352"/>
        <v>NO</v>
      </c>
      <c r="V1011" s="22" t="str">
        <f t="shared" si="352"/>
        <v>NO</v>
      </c>
      <c r="W1011" s="22" t="str">
        <f t="shared" si="352"/>
        <v>NO</v>
      </c>
      <c r="X1011" s="22" t="str">
        <f t="shared" si="352"/>
        <v>NO</v>
      </c>
      <c r="Y1011" s="22" t="str">
        <f t="shared" si="352"/>
        <v>NO</v>
      </c>
      <c r="Z1011" s="22" t="str">
        <f t="shared" si="352"/>
        <v>NO</v>
      </c>
      <c r="AA1011" s="22" t="str">
        <f t="shared" si="352"/>
        <v>NO</v>
      </c>
      <c r="AB1011" s="22" t="str">
        <f t="shared" si="352"/>
        <v>NO</v>
      </c>
      <c r="AC1011" s="22" t="str">
        <f t="shared" si="352"/>
        <v>NO</v>
      </c>
      <c r="AD1011" s="22" t="str">
        <f t="shared" si="352"/>
        <v>NO</v>
      </c>
      <c r="AE1011" s="22" t="str">
        <f t="shared" si="352"/>
        <v>NO</v>
      </c>
      <c r="AF1011" s="22" t="str">
        <f t="shared" si="352"/>
        <v>NO</v>
      </c>
      <c r="AG1011" s="22" t="str">
        <f t="shared" si="352"/>
        <v>NO</v>
      </c>
      <c r="AH1011" s="22" t="str">
        <f t="shared" si="352"/>
        <v>NO</v>
      </c>
      <c r="AI1011" s="22" t="str">
        <f t="shared" si="352"/>
        <v>NO</v>
      </c>
      <c r="AJ1011" s="22" t="str">
        <f t="shared" si="352"/>
        <v>NO</v>
      </c>
      <c r="AK1011" s="22" t="str">
        <f t="shared" si="352"/>
        <v>NO</v>
      </c>
      <c r="AL1011" s="22" t="str">
        <f t="shared" si="352"/>
        <v>NO</v>
      </c>
      <c r="AM1011" s="22" t="str">
        <f t="shared" si="352"/>
        <v>NO</v>
      </c>
      <c r="AN1011" s="22" t="str">
        <f t="shared" si="352"/>
        <v>NO</v>
      </c>
      <c r="AO1011" s="22" t="str">
        <f t="shared" si="352"/>
        <v>NO</v>
      </c>
      <c r="AP1011" s="22" t="str">
        <f t="shared" si="352"/>
        <v>NO</v>
      </c>
      <c r="AQ1011" s="22" t="str">
        <f t="shared" si="352"/>
        <v>NO</v>
      </c>
      <c r="AR1011" s="22" t="str">
        <f t="shared" si="352"/>
        <v>NO</v>
      </c>
      <c r="AS1011" s="22" t="str">
        <f t="shared" si="352"/>
        <v>NO</v>
      </c>
      <c r="AT1011" s="22" t="str">
        <f t="shared" si="352"/>
        <v>NO</v>
      </c>
      <c r="AU1011" s="22" t="str">
        <f t="shared" si="352"/>
        <v>NO</v>
      </c>
      <c r="AV1011" s="22" t="str">
        <f t="shared" si="352"/>
        <v>NO</v>
      </c>
      <c r="AW1011" s="22" t="str">
        <f t="shared" si="352"/>
        <v>NO</v>
      </c>
      <c r="AY1011" s="79"/>
      <c r="AZ1011" s="79"/>
    </row>
    <row r="1012" spans="1:52" x14ac:dyDescent="0.3">
      <c r="A1012" s="95" t="str">
        <f t="shared" si="345"/>
        <v>DS FSOM</v>
      </c>
      <c r="B1012" s="95" t="s">
        <v>974</v>
      </c>
      <c r="C1012" s="95" t="s">
        <v>60</v>
      </c>
      <c r="D1012" t="s">
        <v>369</v>
      </c>
      <c r="E1012" t="s">
        <v>55</v>
      </c>
      <c r="F1012" t="s">
        <v>60</v>
      </c>
      <c r="G1012" t="s">
        <v>1288</v>
      </c>
      <c r="H1012" t="s">
        <v>1289</v>
      </c>
      <c r="J1012" t="s">
        <v>287</v>
      </c>
      <c r="K1012" s="22">
        <f t="shared" si="350"/>
        <v>3.1961717215001131</v>
      </c>
      <c r="L1012" s="22">
        <f t="shared" si="352"/>
        <v>3.1961717215001131</v>
      </c>
      <c r="M1012" s="22">
        <f t="shared" si="352"/>
        <v>3.1961717215001131</v>
      </c>
      <c r="N1012" s="22">
        <f t="shared" si="352"/>
        <v>3.1961717215001131</v>
      </c>
      <c r="O1012" s="22">
        <f t="shared" si="352"/>
        <v>3.1961717215001131</v>
      </c>
      <c r="P1012" s="22">
        <f t="shared" si="352"/>
        <v>3.1961717215001131</v>
      </c>
      <c r="Q1012" s="22">
        <f t="shared" si="352"/>
        <v>3.1961717215001131</v>
      </c>
      <c r="R1012" s="22">
        <f t="shared" si="352"/>
        <v>3.1961717215001131</v>
      </c>
      <c r="S1012" s="22">
        <f t="shared" si="352"/>
        <v>3.1961717215001131</v>
      </c>
      <c r="T1012" s="22">
        <f t="shared" si="352"/>
        <v>3.1961717215001131</v>
      </c>
      <c r="U1012" s="22">
        <f t="shared" si="352"/>
        <v>3.1961717215001131</v>
      </c>
      <c r="V1012" s="22">
        <f t="shared" si="352"/>
        <v>3.1961717215001131</v>
      </c>
      <c r="W1012" s="22">
        <f t="shared" si="352"/>
        <v>3.1961717215001131</v>
      </c>
      <c r="X1012" s="22">
        <f t="shared" si="352"/>
        <v>3.1961717215001131</v>
      </c>
      <c r="Y1012" s="22">
        <f t="shared" si="352"/>
        <v>3.1961717215001131</v>
      </c>
      <c r="Z1012" s="22">
        <f t="shared" si="352"/>
        <v>3.1961717215001131</v>
      </c>
      <c r="AA1012" s="22">
        <f t="shared" si="352"/>
        <v>3.1961717215001131</v>
      </c>
      <c r="AB1012" s="22">
        <f t="shared" si="352"/>
        <v>3.1961717215001131</v>
      </c>
      <c r="AC1012" s="22">
        <f t="shared" si="352"/>
        <v>3.1961717215001131</v>
      </c>
      <c r="AD1012" s="22">
        <f t="shared" si="352"/>
        <v>3.1961717215001131</v>
      </c>
      <c r="AE1012" s="22">
        <f t="shared" si="352"/>
        <v>3.1961717215001131</v>
      </c>
      <c r="AF1012" s="22">
        <f t="shared" si="352"/>
        <v>3.1961717215001131</v>
      </c>
      <c r="AG1012" s="22">
        <f t="shared" si="352"/>
        <v>3.1961717215001131</v>
      </c>
      <c r="AH1012" s="22">
        <f t="shared" si="352"/>
        <v>3.1961717215001131</v>
      </c>
      <c r="AI1012" s="22">
        <f t="shared" si="352"/>
        <v>3.1961717215001131</v>
      </c>
      <c r="AJ1012" s="22">
        <f t="shared" si="352"/>
        <v>3.1961717215001131</v>
      </c>
      <c r="AK1012" s="22">
        <f t="shared" si="352"/>
        <v>3.1961717215001131</v>
      </c>
      <c r="AL1012" s="22">
        <f t="shared" si="352"/>
        <v>3.1961717215001131</v>
      </c>
      <c r="AM1012" s="22">
        <f t="shared" si="352"/>
        <v>3.1961717215001131</v>
      </c>
      <c r="AN1012" s="22">
        <f t="shared" si="352"/>
        <v>3.1961717215001131</v>
      </c>
      <c r="AO1012" s="22">
        <f t="shared" si="352"/>
        <v>3.1961717215001131</v>
      </c>
      <c r="AP1012" s="22">
        <f t="shared" si="352"/>
        <v>3.1961717215001131</v>
      </c>
      <c r="AQ1012" s="22">
        <f t="shared" si="352"/>
        <v>3.1961717215001131</v>
      </c>
      <c r="AR1012" s="22">
        <f t="shared" si="352"/>
        <v>3.1961717215001131</v>
      </c>
      <c r="AS1012" s="22">
        <f t="shared" si="352"/>
        <v>3.1961717215001131</v>
      </c>
      <c r="AT1012" s="22">
        <f t="shared" si="352"/>
        <v>3.1961717215001131</v>
      </c>
      <c r="AU1012" s="22">
        <f t="shared" si="352"/>
        <v>3.1961717215001131</v>
      </c>
      <c r="AV1012" s="22">
        <f t="shared" si="352"/>
        <v>3.1961717215001131</v>
      </c>
      <c r="AW1012" s="22">
        <f t="shared" si="352"/>
        <v>3.1961717215001131</v>
      </c>
      <c r="AY1012" s="79"/>
      <c r="AZ1012" s="79"/>
    </row>
    <row r="1013" spans="1:52" x14ac:dyDescent="0.3">
      <c r="A1013" s="95" t="str">
        <f t="shared" si="345"/>
        <v>DS Volatilisation</v>
      </c>
      <c r="B1013" s="95" t="s">
        <v>974</v>
      </c>
      <c r="C1013" s="95" t="s">
        <v>62</v>
      </c>
      <c r="D1013" t="s">
        <v>369</v>
      </c>
      <c r="E1013" t="s">
        <v>61</v>
      </c>
      <c r="F1013" t="s">
        <v>62</v>
      </c>
      <c r="G1013" t="s">
        <v>435</v>
      </c>
      <c r="H1013" t="s">
        <v>1184</v>
      </c>
      <c r="I1013" t="s">
        <v>139</v>
      </c>
      <c r="J1013" t="s">
        <v>287</v>
      </c>
      <c r="K1013" s="22">
        <f t="shared" si="350"/>
        <v>0.66064812063358536</v>
      </c>
      <c r="L1013" s="22">
        <f t="shared" ref="L1013:AW1013" si="353">L1510</f>
        <v>0.66058242184852956</v>
      </c>
      <c r="M1013" s="22">
        <f t="shared" si="353"/>
        <v>0.66046196765835474</v>
      </c>
      <c r="N1013" s="22">
        <f t="shared" si="353"/>
        <v>0.66031799495417198</v>
      </c>
      <c r="O1013" s="22">
        <f t="shared" si="353"/>
        <v>0.66022073532502734</v>
      </c>
      <c r="P1013" s="22">
        <f t="shared" si="353"/>
        <v>0.66015380384919209</v>
      </c>
      <c r="Q1013" s="22">
        <f t="shared" si="353"/>
        <v>0.66011715236312984</v>
      </c>
      <c r="R1013" s="22">
        <f t="shared" si="353"/>
        <v>0.66005785698707231</v>
      </c>
      <c r="S1013" s="22">
        <f t="shared" si="353"/>
        <v>0.65999557160724309</v>
      </c>
      <c r="T1013" s="22">
        <f t="shared" si="353"/>
        <v>0.66042852126323504</v>
      </c>
      <c r="U1013" s="22">
        <f t="shared" si="353"/>
        <v>0.660256842080582</v>
      </c>
      <c r="V1013" s="22">
        <f t="shared" si="353"/>
        <v>0.66002252909433212</v>
      </c>
      <c r="W1013" s="22">
        <f t="shared" si="353"/>
        <v>0.65989661681898848</v>
      </c>
      <c r="X1013" s="22">
        <f t="shared" si="353"/>
        <v>0.6597589047711292</v>
      </c>
      <c r="Y1013" s="22">
        <f t="shared" si="353"/>
        <v>0.659605796092819</v>
      </c>
      <c r="Z1013" s="22">
        <f t="shared" si="353"/>
        <v>0.65944507555305243</v>
      </c>
      <c r="AA1013" s="22">
        <f t="shared" si="353"/>
        <v>0.65927354812209926</v>
      </c>
      <c r="AB1013" s="22">
        <f t="shared" si="353"/>
        <v>0.65910165055066838</v>
      </c>
      <c r="AC1013" s="22">
        <f t="shared" si="353"/>
        <v>0.65892060560614785</v>
      </c>
      <c r="AD1013" s="22">
        <f t="shared" si="353"/>
        <v>0.6587403682229962</v>
      </c>
      <c r="AE1013" s="22">
        <f t="shared" si="353"/>
        <v>0.6585449608557925</v>
      </c>
      <c r="AF1013" s="22">
        <f t="shared" si="353"/>
        <v>0.65835675614397215</v>
      </c>
      <c r="AG1013" s="22">
        <f t="shared" si="353"/>
        <v>0.65816378763594341</v>
      </c>
      <c r="AH1013" s="22">
        <f t="shared" si="353"/>
        <v>0.6579528278100244</v>
      </c>
      <c r="AI1013" s="22">
        <f t="shared" si="353"/>
        <v>0.65775665224366497</v>
      </c>
      <c r="AJ1013" s="22">
        <f t="shared" si="353"/>
        <v>0.65755521924304883</v>
      </c>
      <c r="AK1013" s="22">
        <f t="shared" si="353"/>
        <v>0.65734627926543143</v>
      </c>
      <c r="AL1013" s="22">
        <f t="shared" si="353"/>
        <v>0.65715425101563263</v>
      </c>
      <c r="AM1013" s="22">
        <f t="shared" si="353"/>
        <v>0.65696756052718408</v>
      </c>
      <c r="AN1013" s="22">
        <f t="shared" si="353"/>
        <v>0.65678548596880248</v>
      </c>
      <c r="AO1013" s="22">
        <f t="shared" si="353"/>
        <v>0.65659337062591927</v>
      </c>
      <c r="AP1013" s="22">
        <f t="shared" si="353"/>
        <v>0.65641235920406316</v>
      </c>
      <c r="AQ1013" s="22">
        <f t="shared" si="353"/>
        <v>0.65622903638449304</v>
      </c>
      <c r="AR1013" s="22">
        <f t="shared" si="353"/>
        <v>0.65604286486377728</v>
      </c>
      <c r="AS1013" s="22">
        <f t="shared" si="353"/>
        <v>0.65585292511260118</v>
      </c>
      <c r="AT1013" s="22">
        <f t="shared" si="353"/>
        <v>0.65566000956326953</v>
      </c>
      <c r="AU1013" s="22">
        <f t="shared" si="353"/>
        <v>0.65560073347552816</v>
      </c>
      <c r="AV1013" s="22">
        <f t="shared" si="353"/>
        <v>0.65555391486602432</v>
      </c>
      <c r="AW1013" s="22">
        <f t="shared" si="353"/>
        <v>0.65552474687649953</v>
      </c>
      <c r="AY1013" s="79"/>
      <c r="AZ1013" s="79"/>
    </row>
    <row r="1014" spans="1:52" x14ac:dyDescent="0.3">
      <c r="A1014" s="95" t="str">
        <f t="shared" si="345"/>
        <v>DS Volatilisation</v>
      </c>
      <c r="B1014" s="95" t="s">
        <v>974</v>
      </c>
      <c r="C1014" s="95" t="s">
        <v>62</v>
      </c>
      <c r="D1014" t="s">
        <v>369</v>
      </c>
      <c r="E1014" t="s">
        <v>61</v>
      </c>
      <c r="F1014" t="s">
        <v>62</v>
      </c>
      <c r="G1014" t="s">
        <v>436</v>
      </c>
      <c r="H1014" t="s">
        <v>1185</v>
      </c>
      <c r="I1014" t="s">
        <v>139</v>
      </c>
      <c r="J1014" t="s">
        <v>287</v>
      </c>
      <c r="K1014" s="94">
        <f>IF('Net zero activities &amp; levers'!$C$12="Off",'Activity data'!AD48*ttokg*FracGASM*MSVolatEF*NtoN2O*kgtoGg,'Net zero Activity data'!AD48*ttokg*FracGASM*MSVolatEF*NtoN2O*kgtoGg)</f>
        <v>8.720555192363328E-3</v>
      </c>
      <c r="L1014" s="94">
        <f>IF('Net zero activities &amp; levers'!$C$12="Off",'Activity data'!AE48*ttokg*FracGASM*MSVolatEF*NtoN2O*kgtoGg,'Net zero Activity data'!AE48*ttokg*FracGASM*MSVolatEF*NtoN2O*kgtoGg)</f>
        <v>8.7196879684005926E-3</v>
      </c>
      <c r="M1014" s="94">
        <f>IF('Net zero activities &amp; levers'!$C$12="Off",'Activity data'!AF48*ttokg*FracGASM*MSVolatEF*NtoN2O*kgtoGg,'Net zero Activity data'!AF48*ttokg*FracGASM*MSVolatEF*NtoN2O*kgtoGg)</f>
        <v>8.7180979730902847E-3</v>
      </c>
      <c r="N1014" s="94">
        <f>IF('Net zero activities &amp; levers'!$C$12="Off",'Activity data'!AG48*ttokg*FracGASM*MSVolatEF*NtoN2O*kgtoGg,'Net zero Activity data'!AG48*ttokg*FracGASM*MSVolatEF*NtoN2O*kgtoGg)</f>
        <v>8.7161975333950713E-3</v>
      </c>
      <c r="O1014" s="94">
        <f>IF('Net zero activities &amp; levers'!$C$12="Off",'Activity data'!AH48*ttokg*FracGASM*MSVolatEF*NtoN2O*kgtoGg,'Net zero Activity data'!AH48*ttokg*FracGASM*MSVolatEF*NtoN2O*kgtoGg)</f>
        <v>8.7149137062903607E-3</v>
      </c>
      <c r="P1014" s="94">
        <f>IF('Net zero activities &amp; levers'!$C$12="Off",'Activity data'!AI48*ttokg*FracGASM*MSVolatEF*NtoN2O*kgtoGg,'Net zero Activity data'!AI48*ttokg*FracGASM*MSVolatEF*NtoN2O*kgtoGg)</f>
        <v>8.7140302108093363E-3</v>
      </c>
      <c r="Q1014" s="94">
        <f>IF('Net zero activities &amp; levers'!$C$12="Off",'Activity data'!AJ48*ttokg*FracGASM*MSVolatEF*NtoN2O*kgtoGg,'Net zero Activity data'!AJ48*ttokg*FracGASM*MSVolatEF*NtoN2O*kgtoGg)</f>
        <v>8.7135464111933163E-3</v>
      </c>
      <c r="R1014" s="94">
        <f>IF('Net zero activities &amp; levers'!$C$12="Off",'Activity data'!AK48*ttokg*FracGASM*MSVolatEF*NtoN2O*kgtoGg,'Net zero Activity data'!AK48*ttokg*FracGASM*MSVolatEF*NtoN2O*kgtoGg)</f>
        <v>8.7127637122293555E-3</v>
      </c>
      <c r="S1014" s="94">
        <f>IF('Net zero activities &amp; levers'!$C$12="Off",'Activity data'!AL48*ttokg*FracGASM*MSVolatEF*NtoN2O*kgtoGg,'Net zero Activity data'!AL48*ttokg*FracGASM*MSVolatEF*NtoN2O*kgtoGg)</f>
        <v>8.7119415452156113E-3</v>
      </c>
      <c r="T1014" s="94">
        <f>IF('Net zero activities &amp; levers'!$C$12="Off",'Activity data'!AM48*ttokg*FracGASM*MSVolatEF*NtoN2O*kgtoGg,'Net zero Activity data'!AM48*ttokg*FracGASM*MSVolatEF*NtoN2O*kgtoGg)</f>
        <v>8.7176564806747021E-3</v>
      </c>
      <c r="U1014" s="94">
        <f>IF('Net zero activities &amp; levers'!$C$12="Off",'Activity data'!AN48*ttokg*FracGASM*MSVolatEF*NtoN2O*kgtoGg,'Net zero Activity data'!AN48*ttokg*FracGASM*MSVolatEF*NtoN2O*kgtoGg)</f>
        <v>8.7153903154636864E-3</v>
      </c>
      <c r="V1014" s="94">
        <f>IF('Net zero activities &amp; levers'!$C$12="Off",'Activity data'!AO48*ttokg*FracGASM*MSVolatEF*NtoN2O*kgtoGg,'Net zero Activity data'!AO48*ttokg*FracGASM*MSVolatEF*NtoN2O*kgtoGg)</f>
        <v>8.7122973840451836E-3</v>
      </c>
      <c r="W1014" s="94">
        <f>IF('Net zero activities &amp; levers'!$C$12="Off",'Activity data'!AP48*ttokg*FracGASM*MSVolatEF*NtoN2O*kgtoGg,'Net zero Activity data'!AP48*ttokg*FracGASM*MSVolatEF*NtoN2O*kgtoGg)</f>
        <v>8.7106353420106468E-3</v>
      </c>
      <c r="X1014" s="94">
        <f>IF('Net zero activities &amp; levers'!$C$12="Off",'Activity data'!AQ48*ttokg*FracGASM*MSVolatEF*NtoN2O*kgtoGg,'Net zero Activity data'!AQ48*ttokg*FracGASM*MSVolatEF*NtoN2O*kgtoGg)</f>
        <v>8.7088175429789073E-3</v>
      </c>
      <c r="Y1014" s="94">
        <f>IF('Net zero activities &amp; levers'!$C$12="Off",'Activity data'!AR48*ttokg*FracGASM*MSVolatEF*NtoN2O*kgtoGg,'Net zero Activity data'!AR48*ttokg*FracGASM*MSVolatEF*NtoN2O*kgtoGg)</f>
        <v>8.7067965084252144E-3</v>
      </c>
      <c r="Z1014" s="94">
        <f>IF('Net zero activities &amp; levers'!$C$12="Off",'Activity data'!AS48*ttokg*FracGASM*MSVolatEF*NtoN2O*kgtoGg,'Net zero Activity data'!AS48*ttokg*FracGASM*MSVolatEF*NtoN2O*kgtoGg)</f>
        <v>8.7046749973002935E-3</v>
      </c>
      <c r="AA1014" s="94">
        <f>IF('Net zero activities &amp; levers'!$C$12="Off",'Activity data'!AT48*ttokg*FracGASM*MSVolatEF*NtoN2O*kgtoGg,'Net zero Activity data'!AT48*ttokg*FracGASM*MSVolatEF*NtoN2O*kgtoGg)</f>
        <v>8.702410835211713E-3</v>
      </c>
      <c r="AB1014" s="94">
        <f>IF('Net zero activities &amp; levers'!$C$12="Off",'Activity data'!AU48*ttokg*FracGASM*MSVolatEF*NtoN2O*kgtoGg,'Net zero Activity data'!AU48*ttokg*FracGASM*MSVolatEF*NtoN2O*kgtoGg)</f>
        <v>8.7001417872688246E-3</v>
      </c>
      <c r="AC1014" s="94">
        <f>IF('Net zero activities &amp; levers'!$C$12="Off",'Activity data'!AV48*ttokg*FracGASM*MSVolatEF*NtoN2O*kgtoGg,'Net zero Activity data'!AV48*ttokg*FracGASM*MSVolatEF*NtoN2O*kgtoGg)</f>
        <v>8.6977519940011523E-3</v>
      </c>
      <c r="AD1014" s="94">
        <f>IF('Net zero activities &amp; levers'!$C$12="Off",'Activity data'!AW48*ttokg*FracGASM*MSVolatEF*NtoN2O*kgtoGg,'Net zero Activity data'!AW48*ttokg*FracGASM*MSVolatEF*NtoN2O*kgtoGg)</f>
        <v>8.6953728605435512E-3</v>
      </c>
      <c r="AE1014" s="94">
        <f>IF('Net zero activities &amp; levers'!$C$12="Off",'Activity data'!AX48*ttokg*FracGASM*MSVolatEF*NtoN2O*kgtoGg,'Net zero Activity data'!AX48*ttokg*FracGASM*MSVolatEF*NtoN2O*kgtoGg)</f>
        <v>8.6927934832964609E-3</v>
      </c>
      <c r="AF1014" s="94">
        <f>IF('Net zero activities &amp; levers'!$C$12="Off",'Activity data'!AY48*ttokg*FracGASM*MSVolatEF*NtoN2O*kgtoGg,'Net zero Activity data'!AY48*ttokg*FracGASM*MSVolatEF*NtoN2O*kgtoGg)</f>
        <v>8.6903091811004352E-3</v>
      </c>
      <c r="AG1014" s="94">
        <f>IF('Net zero activities &amp; levers'!$C$12="Off",'Activity data'!AZ48*ttokg*FracGASM*MSVolatEF*NtoN2O*kgtoGg,'Net zero Activity data'!AZ48*ttokg*FracGASM*MSVolatEF*NtoN2O*kgtoGg)</f>
        <v>8.6877619967944547E-3</v>
      </c>
      <c r="AH1014" s="94">
        <f>IF('Net zero activities &amp; levers'!$C$12="Off",'Activity data'!BA48*ttokg*FracGASM*MSVolatEF*NtoN2O*kgtoGg,'Net zero Activity data'!BA48*ttokg*FracGASM*MSVolatEF*NtoN2O*kgtoGg)</f>
        <v>8.6849773270923237E-3</v>
      </c>
      <c r="AI1014" s="94">
        <f>IF('Net zero activities &amp; levers'!$C$12="Off",'Activity data'!BB48*ttokg*FracGASM*MSVolatEF*NtoN2O*kgtoGg,'Net zero Activity data'!BB48*ttokg*FracGASM*MSVolatEF*NtoN2O*kgtoGg)</f>
        <v>8.6823878096163789E-3</v>
      </c>
      <c r="AJ1014" s="94">
        <f>IF('Net zero activities &amp; levers'!$C$12="Off",'Activity data'!BC48*ttokg*FracGASM*MSVolatEF*NtoN2O*kgtoGg,'Net zero Activity data'!BC48*ttokg*FracGASM*MSVolatEF*NtoN2O*kgtoGg)</f>
        <v>8.6797288940082453E-3</v>
      </c>
      <c r="AK1014" s="94">
        <f>IF('Net zero activities &amp; levers'!$C$12="Off",'Activity data'!BD48*ttokg*FracGASM*MSVolatEF*NtoN2O*kgtoGg,'Net zero Activity data'!BD48*ttokg*FracGASM*MSVolatEF*NtoN2O*kgtoGg)</f>
        <v>8.6769708863036962E-3</v>
      </c>
      <c r="AL1014" s="94">
        <f>IF('Net zero activities &amp; levers'!$C$12="Off",'Activity data'!BE48*ttokg*FracGASM*MSVolatEF*NtoN2O*kgtoGg,'Net zero Activity data'!BE48*ttokg*FracGASM*MSVolatEF*NtoN2O*kgtoGg)</f>
        <v>8.6744361134063527E-3</v>
      </c>
      <c r="AM1014" s="94">
        <f>IF('Net zero activities &amp; levers'!$C$12="Off",'Activity data'!BF48*ttokg*FracGASM*MSVolatEF*NtoN2O*kgtoGg,'Net zero Activity data'!BF48*ttokg*FracGASM*MSVolatEF*NtoN2O*kgtoGg)</f>
        <v>8.6719717989588319E-3</v>
      </c>
      <c r="AN1014" s="94">
        <f>IF('Net zero activities &amp; levers'!$C$12="Off",'Activity data'!BG48*ttokg*FracGASM*MSVolatEF*NtoN2O*kgtoGg,'Net zero Activity data'!BG48*ttokg*FracGASM*MSVolatEF*NtoN2O*kgtoGg)</f>
        <v>8.6695684147881907E-3</v>
      </c>
      <c r="AO1014" s="94">
        <f>IF('Net zero activities &amp; levers'!$C$12="Off",'Activity data'!BH48*ttokg*FracGASM*MSVolatEF*NtoN2O*kgtoGg,'Net zero Activity data'!BH48*ttokg*FracGASM*MSVolatEF*NtoN2O*kgtoGg)</f>
        <v>8.6670324922621354E-3</v>
      </c>
      <c r="AP1014" s="94">
        <f>IF('Net zero activities &amp; levers'!$C$12="Off",'Activity data'!BI48*ttokg*FracGASM*MSVolatEF*NtoN2O*kgtoGg,'Net zero Activity data'!BI48*ttokg*FracGASM*MSVolatEF*NtoN2O*kgtoGg)</f>
        <v>8.6646431414936359E-3</v>
      </c>
      <c r="AQ1014" s="94">
        <f>IF('Net zero activities &amp; levers'!$C$12="Off",'Activity data'!BJ48*ttokg*FracGASM*MSVolatEF*NtoN2O*kgtoGg,'Net zero Activity data'!BJ48*ttokg*FracGASM*MSVolatEF*NtoN2O*kgtoGg)</f>
        <v>8.6622232802753101E-3</v>
      </c>
      <c r="AR1014" s="94">
        <f>IF('Net zero activities &amp; levers'!$C$12="Off",'Activity data'!BK48*ttokg*FracGASM*MSVolatEF*NtoN2O*kgtoGg,'Net zero Activity data'!BK48*ttokg*FracGASM*MSVolatEF*NtoN2O*kgtoGg)</f>
        <v>8.6597658162018594E-3</v>
      </c>
      <c r="AS1014" s="94">
        <f>IF('Net zero activities &amp; levers'!$C$12="Off",'Activity data'!BL48*ttokg*FracGASM*MSVolatEF*NtoN2O*kgtoGg,'Net zero Activity data'!BL48*ttokg*FracGASM*MSVolatEF*NtoN2O*kgtoGg)</f>
        <v>8.6572586114863365E-3</v>
      </c>
      <c r="AT1014" s="94">
        <f>IF('Net zero activities &amp; levers'!$C$12="Off",'Activity data'!BM48*ttokg*FracGASM*MSVolatEF*NtoN2O*kgtoGg,'Net zero Activity data'!BM48*ttokg*FracGASM*MSVolatEF*NtoN2O*kgtoGg)</f>
        <v>8.6547121262351596E-3</v>
      </c>
      <c r="AU1014" s="94">
        <f>IF('Net zero activities &amp; levers'!$C$12="Off",'Activity data'!BN48*ttokg*FracGASM*MSVolatEF*NtoN2O*kgtoGg,'Net zero Activity data'!BN48*ttokg*FracGASM*MSVolatEF*NtoN2O*kgtoGg)</f>
        <v>8.6539296818769745E-3</v>
      </c>
      <c r="AV1014" s="94">
        <f>IF('Net zero activities &amp; levers'!$C$12="Off",'Activity data'!BO48*ttokg*FracGASM*MSVolatEF*NtoN2O*kgtoGg,'Net zero Activity data'!BO48*ttokg*FracGASM*MSVolatEF*NtoN2O*kgtoGg)</f>
        <v>8.6533116762315225E-3</v>
      </c>
      <c r="AW1014" s="94">
        <f>IF('Net zero activities &amp; levers'!$C$12="Off",'Activity data'!BP48*ttokg*FracGASM*MSVolatEF*NtoN2O*kgtoGg,'Net zero Activity data'!BP48*ttokg*FracGASM*MSVolatEF*NtoN2O*kgtoGg)</f>
        <v>8.6529266587697939E-3</v>
      </c>
      <c r="AY1014" s="79"/>
      <c r="AZ1014" s="79"/>
    </row>
    <row r="1015" spans="1:52" x14ac:dyDescent="0.3">
      <c r="A1015" s="95" t="str">
        <f t="shared" si="345"/>
        <v>DS Volatilisation</v>
      </c>
      <c r="B1015" s="95" t="s">
        <v>974</v>
      </c>
      <c r="C1015" s="95" t="s">
        <v>62</v>
      </c>
      <c r="D1015" t="s">
        <v>369</v>
      </c>
      <c r="E1015" t="s">
        <v>61</v>
      </c>
      <c r="F1015" t="s">
        <v>62</v>
      </c>
      <c r="G1015" t="s">
        <v>437</v>
      </c>
      <c r="H1015" t="s">
        <v>1186</v>
      </c>
      <c r="I1015" t="s">
        <v>139</v>
      </c>
      <c r="J1015" t="s">
        <v>287</v>
      </c>
      <c r="K1015" s="94">
        <f>IF('Net zero activities &amp; levers'!$C$12="Off",SUM('Activity data'!AD50:AD65)*FracGASM*MSVolatEF*NtoN2O*kgtoGg,SUM('Net zero Activity data'!AD50:AD65)*FracGASM*MSVolatEF*NtoN2O*kgtoGg)</f>
        <v>1.2008407282256135</v>
      </c>
      <c r="L1015" s="94">
        <f>IF('Net zero activities &amp; levers'!$C$12="Off",SUM('Activity data'!AE50:AE65)*FracGASM*MSVolatEF*NtoN2O*kgtoGg,SUM('Net zero Activity data'!AE50:AE65)*FracGASM*MSVolatEF*NtoN2O*kgtoGg)</f>
        <v>1.201903510760759</v>
      </c>
      <c r="M1015" s="94">
        <f>IF('Net zero activities &amp; levers'!$C$12="Off",SUM('Activity data'!AF50:AF65)*FracGASM*MSVolatEF*NtoN2O*kgtoGg,SUM('Net zero Activity data'!AF50:AF65)*FracGASM*MSVolatEF*NtoN2O*kgtoGg)</f>
        <v>1.2088775122881088</v>
      </c>
      <c r="N1015" s="94">
        <f>IF('Net zero activities &amp; levers'!$C$12="Off",SUM('Activity data'!AG50:AG65)*FracGASM*MSVolatEF*NtoN2O*kgtoGg,SUM('Net zero Activity data'!AG50:AG65)*FracGASM*MSVolatEF*NtoN2O*kgtoGg)</f>
        <v>1.2055442230548155</v>
      </c>
      <c r="O1015" s="94">
        <f>IF('Net zero activities &amp; levers'!$C$12="Off",SUM('Activity data'!AH50:AH65)*FracGASM*MSVolatEF*NtoN2O*kgtoGg,SUM('Net zero Activity data'!AH50:AH65)*FracGASM*MSVolatEF*NtoN2O*kgtoGg)</f>
        <v>1.195843583832628</v>
      </c>
      <c r="P1015" s="94">
        <f>IF('Net zero activities &amp; levers'!$C$12="Off",SUM('Activity data'!AI50:AI65)*FracGASM*MSVolatEF*NtoN2O*kgtoGg,SUM('Net zero Activity data'!AI50:AI65)*FracGASM*MSVolatEF*NtoN2O*kgtoGg)</f>
        <v>1.1799964998501222</v>
      </c>
      <c r="Q1015" s="94">
        <f>IF('Net zero activities &amp; levers'!$C$12="Off",SUM('Activity data'!AJ50:AJ65)*FracGASM*MSVolatEF*NtoN2O*kgtoGg,SUM('Net zero Activity data'!AJ50:AJ65)*FracGASM*MSVolatEF*NtoN2O*kgtoGg)</f>
        <v>1.169776622170569</v>
      </c>
      <c r="R1015" s="94">
        <f>IF('Net zero activities &amp; levers'!$C$12="Off",SUM('Activity data'!AK50:AK65)*FracGASM*MSVolatEF*NtoN2O*kgtoGg,SUM('Net zero Activity data'!AK50:AK65)*FracGASM*MSVolatEF*NtoN2O*kgtoGg)</f>
        <v>1.1606871439933113</v>
      </c>
      <c r="S1015" s="94">
        <f>IF('Net zero activities &amp; levers'!$C$12="Off",SUM('Activity data'!AL50:AL65)*FracGASM*MSVolatEF*NtoN2O*kgtoGg,SUM('Net zero Activity data'!AL50:AL65)*FracGASM*MSVolatEF*NtoN2O*kgtoGg)</f>
        <v>1.0501974396641209</v>
      </c>
      <c r="T1015" s="94">
        <f>IF('Net zero activities &amp; levers'!$C$12="Off",SUM('Activity data'!AM50:AM65)*FracGASM*MSVolatEF*NtoN2O*kgtoGg,SUM('Net zero Activity data'!AM50:AM65)*FracGASM*MSVolatEF*NtoN2O*kgtoGg)</f>
        <v>1.0703473698117068</v>
      </c>
      <c r="U1015" s="94">
        <f>IF('Net zero activities &amp; levers'!$C$12="Off",SUM('Activity data'!AN50:AN65)*FracGASM*MSVolatEF*NtoN2O*kgtoGg,SUM('Net zero Activity data'!AN50:AN65)*FracGASM*MSVolatEF*NtoN2O*kgtoGg)</f>
        <v>1.1035346153332457</v>
      </c>
      <c r="V1015" s="94">
        <f>IF('Net zero activities &amp; levers'!$C$12="Off",SUM('Activity data'!AO50:AO65)*FracGASM*MSVolatEF*NtoN2O*kgtoGg,SUM('Net zero Activity data'!AO50:AO65)*FracGASM*MSVolatEF*NtoN2O*kgtoGg)</f>
        <v>1.1150489977959306</v>
      </c>
      <c r="W1015" s="94">
        <f>IF('Net zero activities &amp; levers'!$C$12="Off",SUM('Activity data'!AP50:AP65)*FracGASM*MSVolatEF*NtoN2O*kgtoGg,SUM('Net zero Activity data'!AP50:AP65)*FracGASM*MSVolatEF*NtoN2O*kgtoGg)</f>
        <v>1.1291994422976275</v>
      </c>
      <c r="X1015" s="94">
        <f>IF('Net zero activities &amp; levers'!$C$12="Off",SUM('Activity data'!AQ50:AQ65)*FracGASM*MSVolatEF*NtoN2O*kgtoGg,SUM('Net zero Activity data'!AQ50:AQ65)*FracGASM*MSVolatEF*NtoN2O*kgtoGg)</f>
        <v>1.1467521172180308</v>
      </c>
      <c r="Y1015" s="94">
        <f>IF('Net zero activities &amp; levers'!$C$12="Off",SUM('Activity data'!AR50:AR65)*FracGASM*MSVolatEF*NtoN2O*kgtoGg,SUM('Net zero Activity data'!AR50:AR65)*FracGASM*MSVolatEF*NtoN2O*kgtoGg)</f>
        <v>1.1661924411251976</v>
      </c>
      <c r="Z1015" s="94">
        <f>IF('Net zero activities &amp; levers'!$C$12="Off",SUM('Activity data'!AS50:AS65)*FracGASM*MSVolatEF*NtoN2O*kgtoGg,SUM('Net zero Activity data'!AS50:AS65)*FracGASM*MSVolatEF*NtoN2O*kgtoGg)</f>
        <v>1.1881766019612736</v>
      </c>
      <c r="AA1015" s="94">
        <f>IF('Net zero activities &amp; levers'!$C$12="Off",SUM('Activity data'!AT50:AT65)*FracGASM*MSVolatEF*NtoN2O*kgtoGg,SUM('Net zero Activity data'!AT50:AT65)*FracGASM*MSVolatEF*NtoN2O*kgtoGg)</f>
        <v>1.2105548738562886</v>
      </c>
      <c r="AB1015" s="94">
        <f>IF('Net zero activities &amp; levers'!$C$12="Off",SUM('Activity data'!AU50:AU65)*FracGASM*MSVolatEF*NtoN2O*kgtoGg,SUM('Net zero Activity data'!AU50:AU65)*FracGASM*MSVolatEF*NtoN2O*kgtoGg)</f>
        <v>1.2352132344527478</v>
      </c>
      <c r="AC1015" s="94">
        <f>IF('Net zero activities &amp; levers'!$C$12="Off",SUM('Activity data'!AV50:AV65)*FracGASM*MSVolatEF*NtoN2O*kgtoGg,SUM('Net zero Activity data'!AV50:AV65)*FracGASM*MSVolatEF*NtoN2O*kgtoGg)</f>
        <v>1.2600610700998878</v>
      </c>
      <c r="AD1015" s="94">
        <f>IF('Net zero activities &amp; levers'!$C$12="Off",SUM('Activity data'!AW50:AW65)*FracGASM*MSVolatEF*NtoN2O*kgtoGg,SUM('Net zero Activity data'!AW50:AW65)*FracGASM*MSVolatEF*NtoN2O*kgtoGg)</f>
        <v>1.2841695325772586</v>
      </c>
      <c r="AE1015" s="94">
        <f>IF('Net zero activities &amp; levers'!$C$12="Off",SUM('Activity data'!AX50:AX65)*FracGASM*MSVolatEF*NtoN2O*kgtoGg,SUM('Net zero Activity data'!AX50:AX65)*FracGASM*MSVolatEF*NtoN2O*kgtoGg)</f>
        <v>1.3069035937836597</v>
      </c>
      <c r="AF1015" s="94">
        <f>IF('Net zero activities &amp; levers'!$C$12="Off",SUM('Activity data'!AY50:AY65)*FracGASM*MSVolatEF*NtoN2O*kgtoGg,SUM('Net zero Activity data'!AY50:AY65)*FracGASM*MSVolatEF*NtoN2O*kgtoGg)</f>
        <v>1.3308885489727156</v>
      </c>
      <c r="AG1015" s="94">
        <f>IF('Net zero activities &amp; levers'!$C$12="Off",SUM('Activity data'!AZ50:AZ65)*FracGASM*MSVolatEF*NtoN2O*kgtoGg,SUM('Net zero Activity data'!AZ50:AZ65)*FracGASM*MSVolatEF*NtoN2O*kgtoGg)</f>
        <v>1.3591357613410466</v>
      </c>
      <c r="AH1015" s="94">
        <f>IF('Net zero activities &amp; levers'!$C$12="Off",SUM('Activity data'!BA50:BA65)*FracGASM*MSVolatEF*NtoN2O*kgtoGg,SUM('Net zero Activity data'!BA50:BA65)*FracGASM*MSVolatEF*NtoN2O*kgtoGg)</f>
        <v>1.3843151170507964</v>
      </c>
      <c r="AI1015" s="94">
        <f>IF('Net zero activities &amp; levers'!$C$12="Off",SUM('Activity data'!BB50:BB65)*FracGASM*MSVolatEF*NtoN2O*kgtoGg,SUM('Net zero Activity data'!BB50:BB65)*FracGASM*MSVolatEF*NtoN2O*kgtoGg)</f>
        <v>1.4109607447095132</v>
      </c>
      <c r="AJ1015" s="94">
        <f>IF('Net zero activities &amp; levers'!$C$12="Off",SUM('Activity data'!BC50:BC65)*FracGASM*MSVolatEF*NtoN2O*kgtoGg,SUM('Net zero Activity data'!BC50:BC65)*FracGASM*MSVolatEF*NtoN2O*kgtoGg)</f>
        <v>1.439613035796105</v>
      </c>
      <c r="AK1015" s="94">
        <f>IF('Net zero activities &amp; levers'!$C$12="Off",SUM('Activity data'!BD50:BD65)*FracGASM*MSVolatEF*NtoN2O*kgtoGg,SUM('Net zero Activity data'!BD50:BD65)*FracGASM*MSVolatEF*NtoN2O*kgtoGg)</f>
        <v>1.4645872559628428</v>
      </c>
      <c r="AL1015" s="94">
        <f>IF('Net zero activities &amp; levers'!$C$12="Off",SUM('Activity data'!BE50:BE65)*FracGASM*MSVolatEF*NtoN2O*kgtoGg,SUM('Net zero Activity data'!BE50:BE65)*FracGASM*MSVolatEF*NtoN2O*kgtoGg)</f>
        <v>1.4885153057402958</v>
      </c>
      <c r="AM1015" s="94">
        <f>IF('Net zero activities &amp; levers'!$C$12="Off",SUM('Activity data'!BF50:BF65)*FracGASM*MSVolatEF*NtoN2O*kgtoGg,SUM('Net zero Activity data'!BF50:BF65)*FracGASM*MSVolatEF*NtoN2O*kgtoGg)</f>
        <v>1.5115373270459393</v>
      </c>
      <c r="AN1015" s="94">
        <f>IF('Net zero activities &amp; levers'!$C$12="Off",SUM('Activity data'!BG50:BG65)*FracGASM*MSVolatEF*NtoN2O*kgtoGg,SUM('Net zero Activity data'!BG50:BG65)*FracGASM*MSVolatEF*NtoN2O*kgtoGg)</f>
        <v>1.5400585132402391</v>
      </c>
      <c r="AO1015" s="94">
        <f>IF('Net zero activities &amp; levers'!$C$12="Off",SUM('Activity data'!BH50:BH65)*FracGASM*MSVolatEF*NtoN2O*kgtoGg,SUM('Net zero Activity data'!BH50:BH65)*FracGASM*MSVolatEF*NtoN2O*kgtoGg)</f>
        <v>1.5662225533166572</v>
      </c>
      <c r="AP1015" s="94">
        <f>IF('Net zero activities &amp; levers'!$C$12="Off",SUM('Activity data'!BI50:BI65)*FracGASM*MSVolatEF*NtoN2O*kgtoGg,SUM('Net zero Activity data'!BI50:BI65)*FracGASM*MSVolatEF*NtoN2O*kgtoGg)</f>
        <v>1.593267491108957</v>
      </c>
      <c r="AQ1015" s="94">
        <f>IF('Net zero activities &amp; levers'!$C$12="Off",SUM('Activity data'!BJ50:BJ65)*FracGASM*MSVolatEF*NtoN2O*kgtoGg,SUM('Net zero Activity data'!BJ50:BJ65)*FracGASM*MSVolatEF*NtoN2O*kgtoGg)</f>
        <v>1.6213524132646824</v>
      </c>
      <c r="AR1015" s="94">
        <f>IF('Net zero activities &amp; levers'!$C$12="Off",SUM('Activity data'!BK50:BK65)*FracGASM*MSVolatEF*NtoN2O*kgtoGg,SUM('Net zero Activity data'!BK50:BK65)*FracGASM*MSVolatEF*NtoN2O*kgtoGg)</f>
        <v>1.6507413943805305</v>
      </c>
      <c r="AS1015" s="94">
        <f>IF('Net zero activities &amp; levers'!$C$12="Off",SUM('Activity data'!BL50:BL65)*FracGASM*MSVolatEF*NtoN2O*kgtoGg,SUM('Net zero Activity data'!BL50:BL65)*FracGASM*MSVolatEF*NtoN2O*kgtoGg)</f>
        <v>1.6812851986409043</v>
      </c>
      <c r="AT1015" s="94">
        <f>IF('Net zero activities &amp; levers'!$C$12="Off",SUM('Activity data'!BM50:BM65)*FracGASM*MSVolatEF*NtoN2O*kgtoGg,SUM('Net zero Activity data'!BM50:BM65)*FracGASM*MSVolatEF*NtoN2O*kgtoGg)</f>
        <v>1.6777302811702246</v>
      </c>
      <c r="AU1015" s="94">
        <f>IF('Net zero activities &amp; levers'!$C$12="Off",SUM('Activity data'!BN50:BN65)*FracGASM*MSVolatEF*NtoN2O*kgtoGg,SUM('Net zero Activity data'!BN50:BN65)*FracGASM*MSVolatEF*NtoN2O*kgtoGg)</f>
        <v>1.6711130643184777</v>
      </c>
      <c r="AV1015" s="94">
        <f>IF('Net zero activities &amp; levers'!$C$12="Off",SUM('Activity data'!BO50:BO65)*FracGASM*MSVolatEF*NtoN2O*kgtoGg,SUM('Net zero Activity data'!BO50:BO65)*FracGASM*MSVolatEF*NtoN2O*kgtoGg)</f>
        <v>1.6601731404367381</v>
      </c>
      <c r="AW1015" s="94">
        <f>IF('Net zero activities &amp; levers'!$C$12="Off",SUM('Activity data'!BP50:BP65)*FracGASM*MSVolatEF*NtoN2O*kgtoGg,SUM('Net zero Activity data'!BP50:BP65)*FracGASM*MSVolatEF*NtoN2O*kgtoGg)</f>
        <v>1.6481045233312475</v>
      </c>
      <c r="AY1015" s="79"/>
      <c r="AZ1015" s="79"/>
    </row>
    <row r="1016" spans="1:52" x14ac:dyDescent="0.3">
      <c r="A1016" s="95" t="str">
        <f t="shared" si="345"/>
        <v>DS Volatilisation</v>
      </c>
      <c r="B1016" s="95" t="s">
        <v>974</v>
      </c>
      <c r="C1016" s="95" t="s">
        <v>62</v>
      </c>
      <c r="D1016" t="s">
        <v>369</v>
      </c>
      <c r="E1016" t="s">
        <v>61</v>
      </c>
      <c r="F1016" t="s">
        <v>62</v>
      </c>
      <c r="G1016" t="s">
        <v>438</v>
      </c>
      <c r="H1016" t="s">
        <v>1265</v>
      </c>
      <c r="I1016" t="s">
        <v>139</v>
      </c>
      <c r="J1016" t="s">
        <v>287</v>
      </c>
      <c r="K1016" s="94">
        <f>IF('Net zero activities &amp; levers'!$C$12="Off",SUM('Activity data'!AD66:AD81)*FracGASM*MSVolatEF*NtoN2O*kgtoGg,SUM('Net zero Activity data'!AD66:AD81)*FracGASM*MSVolatEF*NtoN2O*kgtoGg)</f>
        <v>4.3975799639737048</v>
      </c>
      <c r="L1016" s="94">
        <f>IF('Net zero activities &amp; levers'!$C$12="Off",SUM('Activity data'!AE66:AE81)*FracGASM*MSVolatEF*NtoN2O*kgtoGg,SUM('Net zero Activity data'!AE66:AE81)*FracGASM*MSVolatEF*NtoN2O*kgtoGg)</f>
        <v>4.3787767883653972</v>
      </c>
      <c r="M1016" s="94">
        <f>IF('Net zero activities &amp; levers'!$C$12="Off",SUM('Activity data'!AF66:AF81)*FracGASM*MSVolatEF*NtoN2O*kgtoGg,SUM('Net zero Activity data'!AF66:AF81)*FracGASM*MSVolatEF*NtoN2O*kgtoGg)</f>
        <v>4.3752716537638934</v>
      </c>
      <c r="N1016" s="94">
        <f>IF('Net zero activities &amp; levers'!$C$12="Off",SUM('Activity data'!AG66:AG81)*FracGASM*MSVolatEF*NtoN2O*kgtoGg,SUM('Net zero Activity data'!AG66:AG81)*FracGASM*MSVolatEF*NtoN2O*kgtoGg)</f>
        <v>4.3473821211305594</v>
      </c>
      <c r="O1016" s="94">
        <f>IF('Net zero activities &amp; levers'!$C$12="Off",SUM('Activity data'!AH66:AH81)*FracGASM*MSVolatEF*NtoN2O*kgtoGg,SUM('Net zero Activity data'!AH66:AH81)*FracGASM*MSVolatEF*NtoN2O*kgtoGg)</f>
        <v>4.3052096453824609</v>
      </c>
      <c r="P1016" s="94">
        <f>IF('Net zero activities &amp; levers'!$C$12="Off",SUM('Activity data'!AI66:AI81)*FracGASM*MSVolatEF*NtoN2O*kgtoGg,SUM('Net zero Activity data'!AI66:AI81)*FracGASM*MSVolatEF*NtoN2O*kgtoGg)</f>
        <v>4.2496956169043703</v>
      </c>
      <c r="Q1016" s="94">
        <f>IF('Net zero activities &amp; levers'!$C$12="Off",SUM('Activity data'!AJ66:AJ81)*FracGASM*MSVolatEF*NtoN2O*kgtoGg,SUM('Net zero Activity data'!AJ66:AJ81)*FracGASM*MSVolatEF*NtoN2O*kgtoGg)</f>
        <v>4.2083609134426787</v>
      </c>
      <c r="R1016" s="94">
        <f>IF('Net zero activities &amp; levers'!$C$12="Off",SUM('Activity data'!AK66:AK81)*FracGASM*MSVolatEF*NtoN2O*kgtoGg,SUM('Net zero Activity data'!AK66:AK81)*FracGASM*MSVolatEF*NtoN2O*kgtoGg)</f>
        <v>4.1703852155628214</v>
      </c>
      <c r="S1016" s="94">
        <f>IF('Net zero activities &amp; levers'!$C$12="Off",SUM('Activity data'!AL66:AL81)*FracGASM*MSVolatEF*NtoN2O*kgtoGg,SUM('Net zero Activity data'!AL66:AL81)*FracGASM*MSVolatEF*NtoN2O*kgtoGg)</f>
        <v>3.900775371515369</v>
      </c>
      <c r="T1016" s="94">
        <f>IF('Net zero activities &amp; levers'!$C$12="Off",SUM('Activity data'!AM66:AM81)*FracGASM*MSVolatEF*NtoN2O*kgtoGg,SUM('Net zero Activity data'!AM66:AM81)*FracGASM*MSVolatEF*NtoN2O*kgtoGg)</f>
        <v>3.9381596254461564</v>
      </c>
      <c r="U1016" s="94">
        <f>IF('Net zero activities &amp; levers'!$C$12="Off",SUM('Activity data'!AN66:AN81)*FracGASM*MSVolatEF*NtoN2O*kgtoGg,SUM('Net zero Activity data'!AN66:AN81)*FracGASM*MSVolatEF*NtoN2O*kgtoGg)</f>
        <v>4.0049157346570068</v>
      </c>
      <c r="V1016" s="94">
        <f>IF('Net zero activities &amp; levers'!$C$12="Off",SUM('Activity data'!AO66:AO81)*FracGASM*MSVolatEF*NtoN2O*kgtoGg,SUM('Net zero Activity data'!AO66:AO81)*FracGASM*MSVolatEF*NtoN2O*kgtoGg)</f>
        <v>4.0223863253045398</v>
      </c>
      <c r="W1016" s="94">
        <f>IF('Net zero activities &amp; levers'!$C$12="Off",SUM('Activity data'!AP66:AP81)*FracGASM*MSVolatEF*NtoN2O*kgtoGg,SUM('Net zero Activity data'!AP66:AP81)*FracGASM*MSVolatEF*NtoN2O*kgtoGg)</f>
        <v>4.045795803072969</v>
      </c>
      <c r="X1016" s="94">
        <f>IF('Net zero activities &amp; levers'!$C$12="Off",SUM('Activity data'!AQ66:AQ81)*FracGASM*MSVolatEF*NtoN2O*kgtoGg,SUM('Net zero Activity data'!AQ66:AQ81)*FracGASM*MSVolatEF*NtoN2O*kgtoGg)</f>
        <v>4.0767188563085508</v>
      </c>
      <c r="Y1016" s="94">
        <f>IF('Net zero activities &amp; levers'!$C$12="Off",SUM('Activity data'!AR66:AR81)*FracGASM*MSVolatEF*NtoN2O*kgtoGg,SUM('Net zero Activity data'!AR66:AR81)*FracGASM*MSVolatEF*NtoN2O*kgtoGg)</f>
        <v>4.1095287399075264</v>
      </c>
      <c r="Z1016" s="94">
        <f>IF('Net zero activities &amp; levers'!$C$12="Off",SUM('Activity data'!AS66:AS81)*FracGASM*MSVolatEF*NtoN2O*kgtoGg,SUM('Net zero Activity data'!AS66:AS81)*FracGASM*MSVolatEF*NtoN2O*kgtoGg)</f>
        <v>4.1476787731521458</v>
      </c>
      <c r="AA1016" s="94">
        <f>IF('Net zero activities &amp; levers'!$C$12="Off",SUM('Activity data'!AT66:AT81)*FracGASM*MSVolatEF*NtoN2O*kgtoGg,SUM('Net zero Activity data'!AT66:AT81)*FracGASM*MSVolatEF*NtoN2O*kgtoGg)</f>
        <v>4.1863566801857406</v>
      </c>
      <c r="AB1016" s="94">
        <f>IF('Net zero activities &amp; levers'!$C$12="Off",SUM('Activity data'!AU66:AU81)*FracGASM*MSVolatEF*NtoN2O*kgtoGg,SUM('Net zero Activity data'!AU66:AU81)*FracGASM*MSVolatEF*NtoN2O*kgtoGg)</f>
        <v>4.2296218376851549</v>
      </c>
      <c r="AC1016" s="94">
        <f>IF('Net zero activities &amp; levers'!$C$12="Off",SUM('Activity data'!AV66:AV81)*FracGASM*MSVolatEF*NtoN2O*kgtoGg,SUM('Net zero Activity data'!AV66:AV81)*FracGASM*MSVolatEF*NtoN2O*kgtoGg)</f>
        <v>4.2728604404281354</v>
      </c>
      <c r="AD1016" s="94">
        <f>IF('Net zero activities &amp; levers'!$C$12="Off",SUM('Activity data'!AW66:AW81)*FracGASM*MSVolatEF*NtoN2O*kgtoGg,SUM('Net zero Activity data'!AW66:AW81)*FracGASM*MSVolatEF*NtoN2O*kgtoGg)</f>
        <v>4.3024697400350007</v>
      </c>
      <c r="AE1016" s="94">
        <f>IF('Net zero activities &amp; levers'!$C$12="Off",SUM('Activity data'!AX66:AX81)*FracGASM*MSVolatEF*NtoN2O*kgtoGg,SUM('Net zero Activity data'!AX66:AX81)*FracGASM*MSVolatEF*NtoN2O*kgtoGg)</f>
        <v>4.3280485976783627</v>
      </c>
      <c r="AF1016" s="94">
        <f>IF('Net zero activities &amp; levers'!$C$12="Off",SUM('Activity data'!AY66:AY81)*FracGASM*MSVolatEF*NtoN2O*kgtoGg,SUM('Net zero Activity data'!AY66:AY81)*FracGASM*MSVolatEF*NtoN2O*kgtoGg)</f>
        <v>4.3551413116429245</v>
      </c>
      <c r="AG1016" s="94">
        <f>IF('Net zero activities &amp; levers'!$C$12="Off",SUM('Activity data'!AZ66:AZ81)*FracGASM*MSVolatEF*NtoN2O*kgtoGg,SUM('Net zero Activity data'!AZ66:AZ81)*FracGASM*MSVolatEF*NtoN2O*kgtoGg)</f>
        <v>4.3898514432989648</v>
      </c>
      <c r="AH1016" s="94">
        <f>IF('Net zero activities &amp; levers'!$C$12="Off",SUM('Activity data'!BA66:BA81)*FracGASM*MSVolatEF*NtoN2O*kgtoGg,SUM('Net zero Activity data'!BA66:BA81)*FracGASM*MSVolatEF*NtoN2O*kgtoGg)</f>
        <v>4.4168796997123483</v>
      </c>
      <c r="AI1016" s="94">
        <f>IF('Net zero activities &amp; levers'!$C$12="Off",SUM('Activity data'!BB66:BB81)*FracGASM*MSVolatEF*NtoN2O*kgtoGg,SUM('Net zero Activity data'!BB66:BB81)*FracGASM*MSVolatEF*NtoN2O*kgtoGg)</f>
        <v>4.4439671933106792</v>
      </c>
      <c r="AJ1016" s="94">
        <f>IF('Net zero activities &amp; levers'!$C$12="Off",SUM('Activity data'!BC66:BC81)*FracGASM*MSVolatEF*NtoN2O*kgtoGg,SUM('Net zero Activity data'!BC66:BC81)*FracGASM*MSVolatEF*NtoN2O*kgtoGg)</f>
        <v>4.4736413932482595</v>
      </c>
      <c r="AK1016" s="94">
        <f>IF('Net zero activities &amp; levers'!$C$12="Off",SUM('Activity data'!BD66:BD81)*FracGASM*MSVolatEF*NtoN2O*kgtoGg,SUM('Net zero Activity data'!BD66:BD81)*FracGASM*MSVolatEF*NtoN2O*kgtoGg)</f>
        <v>4.4945161300843504</v>
      </c>
      <c r="AL1016" s="94">
        <f>IF('Net zero activities &amp; levers'!$C$12="Off",SUM('Activity data'!BE66:BE81)*FracGASM*MSVolatEF*NtoN2O*kgtoGg,SUM('Net zero Activity data'!BE66:BE81)*FracGASM*MSVolatEF*NtoN2O*kgtoGg)</f>
        <v>4.5119473605235276</v>
      </c>
      <c r="AM1016" s="94">
        <f>IF('Net zero activities &amp; levers'!$C$12="Off",SUM('Activity data'!BF66:BF81)*FracGASM*MSVolatEF*NtoN2O*kgtoGg,SUM('Net zero Activity data'!BF66:BF81)*FracGASM*MSVolatEF*NtoN2O*kgtoGg)</f>
        <v>4.5262479592108207</v>
      </c>
      <c r="AN1016" s="94">
        <f>IF('Net zero activities &amp; levers'!$C$12="Off",SUM('Activity data'!BG66:BG81)*FracGASM*MSVolatEF*NtoN2O*kgtoGg,SUM('Net zero Activity data'!BG66:BG81)*FracGASM*MSVolatEF*NtoN2O*kgtoGg)</f>
        <v>4.5552825489057529</v>
      </c>
      <c r="AO1016" s="94">
        <f>IF('Net zero activities &amp; levers'!$C$12="Off",SUM('Activity data'!BH66:BH81)*FracGASM*MSVolatEF*NtoN2O*kgtoGg,SUM('Net zero Activity data'!BH66:BH81)*FracGASM*MSVolatEF*NtoN2O*kgtoGg)</f>
        <v>4.5786902056870105</v>
      </c>
      <c r="AP1016" s="94">
        <f>IF('Net zero activities &amp; levers'!$C$12="Off",SUM('Activity data'!BI66:BI81)*FracGASM*MSVolatEF*NtoN2O*kgtoGg,SUM('Net zero Activity data'!BI66:BI81)*FracGASM*MSVolatEF*NtoN2O*kgtoGg)</f>
        <v>4.6026259938264094</v>
      </c>
      <c r="AQ1016" s="94">
        <f>IF('Net zero activities &amp; levers'!$C$12="Off",SUM('Activity data'!BJ66:BJ81)*FracGASM*MSVolatEF*NtoN2O*kgtoGg,SUM('Net zero Activity data'!BJ66:BJ81)*FracGASM*MSVolatEF*NtoN2O*kgtoGg)</f>
        <v>4.6273110032913349</v>
      </c>
      <c r="AR1016" s="94">
        <f>IF('Net zero activities &amp; levers'!$C$12="Off",SUM('Activity data'!BK66:BK81)*FracGASM*MSVolatEF*NtoN2O*kgtoGg,SUM('Net zero Activity data'!BK66:BK81)*FracGASM*MSVolatEF*NtoN2O*kgtoGg)</f>
        <v>4.6531442501292055</v>
      </c>
      <c r="AS1016" s="94">
        <f>IF('Net zero activities &amp; levers'!$C$12="Off",SUM('Activity data'!BL66:BL81)*FracGASM*MSVolatEF*NtoN2O*kgtoGg,SUM('Net zero Activity data'!BL66:BL81)*FracGASM*MSVolatEF*NtoN2O*kgtoGg)</f>
        <v>4.6782746913590252</v>
      </c>
      <c r="AT1016" s="94">
        <f>IF('Net zero activities &amp; levers'!$C$12="Off",SUM('Activity data'!BM66:BM81)*FracGASM*MSVolatEF*NtoN2O*kgtoGg,SUM('Net zero Activity data'!BM66:BM81)*FracGASM*MSVolatEF*NtoN2O*kgtoGg)</f>
        <v>4.6412320099960542</v>
      </c>
      <c r="AU1016" s="94">
        <f>IF('Net zero activities &amp; levers'!$C$12="Off",SUM('Activity data'!BN66:BN81)*FracGASM*MSVolatEF*NtoN2O*kgtoGg,SUM('Net zero Activity data'!BN66:BN81)*FracGASM*MSVolatEF*NtoN2O*kgtoGg)</f>
        <v>4.5987998522947482</v>
      </c>
      <c r="AV1016" s="94">
        <f>IF('Net zero activities &amp; levers'!$C$12="Off",SUM('Activity data'!BO66:BO81)*FracGASM*MSVolatEF*NtoN2O*kgtoGg,SUM('Net zero Activity data'!BO66:BO81)*FracGASM*MSVolatEF*NtoN2O*kgtoGg)</f>
        <v>4.5489683571490982</v>
      </c>
      <c r="AW1016" s="94">
        <f>IF('Net zero activities &amp; levers'!$C$12="Off",SUM('Activity data'!BP66:BP81)*FracGASM*MSVolatEF*NtoN2O*kgtoGg,SUM('Net zero Activity data'!BP66:BP81)*FracGASM*MSVolatEF*NtoN2O*kgtoGg)</f>
        <v>4.4975013733577454</v>
      </c>
      <c r="AY1016" s="79"/>
      <c r="AZ1016" s="79"/>
    </row>
    <row r="1017" spans="1:52" x14ac:dyDescent="0.3">
      <c r="A1017" s="95" t="str">
        <f t="shared" si="345"/>
        <v>DS Leaching</v>
      </c>
      <c r="B1017" s="95" t="s">
        <v>974</v>
      </c>
      <c r="C1017" s="95" t="s">
        <v>1190</v>
      </c>
      <c r="D1017" t="s">
        <v>369</v>
      </c>
      <c r="E1017" t="s">
        <v>61</v>
      </c>
      <c r="F1017" t="s">
        <v>63</v>
      </c>
      <c r="G1017" t="s">
        <v>435</v>
      </c>
      <c r="H1017" t="s">
        <v>1187</v>
      </c>
      <c r="I1017" t="s">
        <v>139</v>
      </c>
      <c r="J1017" t="s">
        <v>287</v>
      </c>
      <c r="K1017" s="22">
        <f t="shared" ref="K1017" si="354">K1514</f>
        <v>2.2792360161858692E-4</v>
      </c>
      <c r="L1017" s="22">
        <f t="shared" ref="L1017:AW1017" si="355">L1514</f>
        <v>2.2790093553774266E-4</v>
      </c>
      <c r="M1017" s="22">
        <f t="shared" si="355"/>
        <v>2.278593788421324E-4</v>
      </c>
      <c r="N1017" s="22">
        <f t="shared" si="355"/>
        <v>2.2780970825918929E-4</v>
      </c>
      <c r="O1017" s="22">
        <f t="shared" si="355"/>
        <v>2.277761536871344E-4</v>
      </c>
      <c r="P1017" s="22">
        <f t="shared" si="355"/>
        <v>2.2775306232797126E-4</v>
      </c>
      <c r="Q1017" s="22">
        <f t="shared" si="355"/>
        <v>2.2774041756527976E-4</v>
      </c>
      <c r="R1017" s="22">
        <f t="shared" si="355"/>
        <v>2.2771996066053992E-4</v>
      </c>
      <c r="S1017" s="22">
        <f t="shared" si="355"/>
        <v>2.2769847220449889E-4</v>
      </c>
      <c r="T1017" s="22">
        <f t="shared" si="355"/>
        <v>2.2784783983581601E-4</v>
      </c>
      <c r="U1017" s="22">
        <f t="shared" si="355"/>
        <v>2.2778861051780079E-4</v>
      </c>
      <c r="V1017" s="22">
        <f t="shared" si="355"/>
        <v>2.2770777253754449E-4</v>
      </c>
      <c r="W1017" s="22">
        <f t="shared" si="355"/>
        <v>2.2766433280255099E-4</v>
      </c>
      <c r="X1017" s="22">
        <f t="shared" si="355"/>
        <v>2.2761682214603963E-4</v>
      </c>
      <c r="Y1017" s="22">
        <f t="shared" si="355"/>
        <v>2.2756399965202255E-4</v>
      </c>
      <c r="Z1017" s="22">
        <f t="shared" si="355"/>
        <v>2.2750855106580306E-4</v>
      </c>
      <c r="AA1017" s="22">
        <f t="shared" si="355"/>
        <v>2.2744937410212421E-4</v>
      </c>
      <c r="AB1017" s="22">
        <f t="shared" si="355"/>
        <v>2.273900694399806E-4</v>
      </c>
      <c r="AC1017" s="22">
        <f t="shared" si="355"/>
        <v>2.27327608934121E-4</v>
      </c>
      <c r="AD1017" s="22">
        <f t="shared" si="355"/>
        <v>2.2726542703693366E-4</v>
      </c>
      <c r="AE1017" s="22">
        <f t="shared" si="355"/>
        <v>2.2719801149524835E-4</v>
      </c>
      <c r="AF1017" s="22">
        <f t="shared" si="355"/>
        <v>2.2713308086967036E-4</v>
      </c>
      <c r="AG1017" s="22">
        <f t="shared" si="355"/>
        <v>2.2706650673440042E-4</v>
      </c>
      <c r="AH1017" s="22">
        <f t="shared" si="355"/>
        <v>2.2699372559445836E-4</v>
      </c>
      <c r="AI1017" s="22">
        <f t="shared" si="355"/>
        <v>2.2692604502406438E-4</v>
      </c>
      <c r="AJ1017" s="22">
        <f t="shared" si="355"/>
        <v>2.2685655063885179E-4</v>
      </c>
      <c r="AK1017" s="22">
        <f t="shared" si="355"/>
        <v>2.2678446634657377E-4</v>
      </c>
      <c r="AL1017" s="22">
        <f t="shared" si="355"/>
        <v>2.2671821660039324E-4</v>
      </c>
      <c r="AM1017" s="22">
        <f t="shared" si="355"/>
        <v>2.2665380838187847E-4</v>
      </c>
      <c r="AN1017" s="22">
        <f t="shared" si="355"/>
        <v>2.2659099265923683E-4</v>
      </c>
      <c r="AO1017" s="22">
        <f t="shared" si="355"/>
        <v>2.2652471286594214E-4</v>
      </c>
      <c r="AP1017" s="22">
        <f t="shared" si="355"/>
        <v>2.2646226392540174E-4</v>
      </c>
      <c r="AQ1017" s="22">
        <f t="shared" si="355"/>
        <v>2.2639901755265007E-4</v>
      </c>
      <c r="AR1017" s="22">
        <f t="shared" si="355"/>
        <v>2.2633478837800309E-4</v>
      </c>
      <c r="AS1017" s="22">
        <f t="shared" si="355"/>
        <v>2.2626925916384739E-4</v>
      </c>
      <c r="AT1017" s="22">
        <f t="shared" si="355"/>
        <v>2.2620270329932796E-4</v>
      </c>
      <c r="AU1017" s="22">
        <f t="shared" si="355"/>
        <v>2.261822530490572E-4</v>
      </c>
      <c r="AV1017" s="22">
        <f t="shared" si="355"/>
        <v>2.2616610062877842E-4</v>
      </c>
      <c r="AW1017" s="22">
        <f t="shared" si="355"/>
        <v>2.2615603767239231E-4</v>
      </c>
      <c r="AY1017" s="79"/>
      <c r="AZ1017" s="79"/>
    </row>
    <row r="1018" spans="1:52" x14ac:dyDescent="0.3">
      <c r="A1018" s="95" t="str">
        <f t="shared" si="345"/>
        <v>DS Leaching</v>
      </c>
      <c r="B1018" s="95" t="s">
        <v>974</v>
      </c>
      <c r="C1018" s="95" t="s">
        <v>1190</v>
      </c>
      <c r="D1018" t="s">
        <v>369</v>
      </c>
      <c r="E1018" t="s">
        <v>61</v>
      </c>
      <c r="F1018" t="s">
        <v>63</v>
      </c>
      <c r="G1018" t="s">
        <v>436</v>
      </c>
      <c r="H1018" t="s">
        <v>1188</v>
      </c>
      <c r="I1018" t="s">
        <v>139</v>
      </c>
      <c r="J1018" t="s">
        <v>287</v>
      </c>
      <c r="K1018" s="94">
        <f>IF('Net zero activities &amp; levers'!$C$12="Off",'Activity data'!AD48*FracLEACH*MSLeachEF*NtoN2O*kgtoGg,'Net zero Activity data'!H48*FracLEACH*MSLeachEF*NtoN2O*kgtoGg)</f>
        <v>1.5042957706826741E-6</v>
      </c>
      <c r="L1018" s="94">
        <f>IF('Net zero activities &amp; levers'!$C$12="Off",'Activity data'!AE48*FracLEACH*MSLeachEF*NtoN2O*kgtoGg,'Net zero Activity data'!I48*FracLEACH*MSLeachEF*NtoN2O*kgtoGg)</f>
        <v>1.5041461745491019E-6</v>
      </c>
      <c r="M1018" s="94">
        <f>IF('Net zero activities &amp; levers'!$C$12="Off",'Activity data'!AF48*FracLEACH*MSLeachEF*NtoN2O*kgtoGg,'Net zero Activity data'!J48*FracLEACH*MSLeachEF*NtoN2O*kgtoGg)</f>
        <v>1.5038719003580737E-6</v>
      </c>
      <c r="N1018" s="94">
        <f>IF('Net zero activities &amp; levers'!$C$12="Off",'Activity data'!AG48*FracLEACH*MSLeachEF*NtoN2O*kgtoGg,'Net zero Activity data'!K48*FracLEACH*MSLeachEF*NtoN2O*kgtoGg)</f>
        <v>1.5035440745106496E-6</v>
      </c>
      <c r="O1018" s="94">
        <f>IF('Net zero activities &amp; levers'!$C$12="Off",'Activity data'!AH48*FracLEACH*MSLeachEF*NtoN2O*kgtoGg,'Net zero Activity data'!L48*FracLEACH*MSLeachEF*NtoN2O*kgtoGg)</f>
        <v>1.5033226143350872E-6</v>
      </c>
      <c r="P1018" s="94">
        <f>IF('Net zero activities &amp; levers'!$C$12="Off",'Activity data'!AI48*FracLEACH*MSLeachEF*NtoN2O*kgtoGg,'Net zero Activity data'!M48*FracLEACH*MSLeachEF*NtoN2O*kgtoGg)</f>
        <v>1.5031702113646103E-6</v>
      </c>
      <c r="Q1018" s="94">
        <f>IF('Net zero activities &amp; levers'!$C$12="Off",'Activity data'!AJ48*FracLEACH*MSLeachEF*NtoN2O*kgtoGg,'Net zero Activity data'!N48*FracLEACH*MSLeachEF*NtoN2O*kgtoGg)</f>
        <v>1.5030867559308466E-6</v>
      </c>
      <c r="R1018" s="94">
        <f>IF('Net zero activities &amp; levers'!$C$12="Off",'Activity data'!AK48*FracLEACH*MSLeachEF*NtoN2O*kgtoGg,'Net zero Activity data'!O48*FracLEACH*MSLeachEF*NtoN2O*kgtoGg)</f>
        <v>1.5029517403595637E-6</v>
      </c>
      <c r="S1018" s="94">
        <f>IF('Net zero activities &amp; levers'!$C$12="Off",'Activity data'!AL48*FracLEACH*MSLeachEF*NtoN2O*kgtoGg,'Net zero Activity data'!P48*FracLEACH*MSLeachEF*NtoN2O*kgtoGg)</f>
        <v>1.5028099165496928E-6</v>
      </c>
      <c r="T1018" s="94">
        <f>IF('Net zero activities &amp; levers'!$C$12="Off",'Activity data'!AM48*FracLEACH*MSLeachEF*NtoN2O*kgtoGg,'Net zero Activity data'!Q48*FracLEACH*MSLeachEF*NtoN2O*kgtoGg)</f>
        <v>1.503795742916386E-6</v>
      </c>
      <c r="U1018" s="94">
        <f>IF('Net zero activities &amp; levers'!$C$12="Off",'Activity data'!AN48*FracLEACH*MSLeachEF*NtoN2O*kgtoGg,'Net zero Activity data'!R48*FracLEACH*MSLeachEF*NtoN2O*kgtoGg)</f>
        <v>1.5034048294174857E-6</v>
      </c>
      <c r="V1018" s="94">
        <f>IF('Net zero activities &amp; levers'!$C$12="Off",'Activity data'!AO48*FracLEACH*MSLeachEF*NtoN2O*kgtoGg,'Net zero Activity data'!S48*FracLEACH*MSLeachEF*NtoN2O*kgtoGg)</f>
        <v>1.502871298747794E-6</v>
      </c>
      <c r="W1018" s="94">
        <f>IF('Net zero activities &amp; levers'!$C$12="Off",'Activity data'!AP48*FracLEACH*MSLeachEF*NtoN2O*kgtoGg,'Net zero Activity data'!T48*FracLEACH*MSLeachEF*NtoN2O*kgtoGg)</f>
        <v>1.5025845964968368E-6</v>
      </c>
      <c r="X1018" s="94">
        <f>IF('Net zero activities &amp; levers'!$C$12="Off",'Activity data'!AQ48*FracLEACH*MSLeachEF*NtoN2O*kgtoGg,'Net zero Activity data'!U48*FracLEACH*MSLeachEF*NtoN2O*kgtoGg)</f>
        <v>1.5022710261638614E-6</v>
      </c>
      <c r="Y1018" s="94">
        <f>IF('Net zero activities &amp; levers'!$C$12="Off",'Activity data'!AR48*FracLEACH*MSLeachEF*NtoN2O*kgtoGg,'Net zero Activity data'!V48*FracLEACH*MSLeachEF*NtoN2O*kgtoGg)</f>
        <v>1.5019223977033493E-6</v>
      </c>
      <c r="Z1018" s="94">
        <f>IF('Net zero activities &amp; levers'!$C$12="Off",'Activity data'!AS48*FracLEACH*MSLeachEF*NtoN2O*kgtoGg,'Net zero Activity data'!W48*FracLEACH*MSLeachEF*NtoN2O*kgtoGg)</f>
        <v>1.5015564370343004E-6</v>
      </c>
      <c r="AA1018" s="94">
        <f>IF('Net zero activities &amp; levers'!$C$12="Off",'Activity data'!AT48*FracLEACH*MSLeachEF*NtoN2O*kgtoGg,'Net zero Activity data'!X48*FracLEACH*MSLeachEF*NtoN2O*kgtoGg)</f>
        <v>1.5011658690740202E-6</v>
      </c>
      <c r="AB1018" s="94">
        <f>IF('Net zero activities &amp; levers'!$C$12="Off",'Activity data'!AU48*FracLEACH*MSLeachEF*NtoN2O*kgtoGg,'Net zero Activity data'!Y48*FracLEACH*MSLeachEF*NtoN2O*kgtoGg)</f>
        <v>1.500774458303872E-6</v>
      </c>
      <c r="AC1018" s="94">
        <f>IF('Net zero activities &amp; levers'!$C$12="Off",'Activity data'!AV48*FracLEACH*MSLeachEF*NtoN2O*kgtoGg,'Net zero Activity data'!Z48*FracLEACH*MSLeachEF*NtoN2O*kgtoGg)</f>
        <v>1.5003622189651987E-6</v>
      </c>
      <c r="AD1018" s="94">
        <f>IF('Net zero activities &amp; levers'!$C$12="Off",'Activity data'!AW48*FracLEACH*MSLeachEF*NtoN2O*kgtoGg,'Net zero Activity data'!AA48*FracLEACH*MSLeachEF*NtoN2O*kgtoGg)</f>
        <v>1.4999518184437622E-6</v>
      </c>
      <c r="AE1018" s="94">
        <f>IF('Net zero activities &amp; levers'!$C$12="Off",'Activity data'!AX48*FracLEACH*MSLeachEF*NtoN2O*kgtoGg,'Net zero Activity data'!AB48*FracLEACH*MSLeachEF*NtoN2O*kgtoGg)</f>
        <v>1.4995068758686393E-6</v>
      </c>
      <c r="AF1018" s="94">
        <f>IF('Net zero activities &amp; levers'!$C$12="Off",'Activity data'!AY48*FracLEACH*MSLeachEF*NtoN2O*kgtoGg,'Net zero Activity data'!AC48*FracLEACH*MSLeachEF*NtoN2O*kgtoGg)</f>
        <v>1.4990783337398247E-6</v>
      </c>
      <c r="AG1018" s="94">
        <f>IF('Net zero activities &amp; levers'!$C$12="Off",'Activity data'!AZ48*FracLEACH*MSLeachEF*NtoN2O*kgtoGg,'Net zero Activity data'!AD48*FracLEACH*MSLeachEF*NtoN2O*kgtoGg)</f>
        <v>1.498638944447043E-6</v>
      </c>
      <c r="AH1018" s="94">
        <f>IF('Net zero activities &amp; levers'!$C$12="Off",'Activity data'!BA48*FracLEACH*MSLeachEF*NtoN2O*kgtoGg,'Net zero Activity data'!AE48*FracLEACH*MSLeachEF*NtoN2O*kgtoGg)</f>
        <v>1.4981585889234254E-6</v>
      </c>
      <c r="AI1018" s="94">
        <f>IF('Net zero activities &amp; levers'!$C$12="Off",'Activity data'!BB48*FracLEACH*MSLeachEF*NtoN2O*kgtoGg,'Net zero Activity data'!AF48*FracLEACH*MSLeachEF*NtoN2O*kgtoGg)</f>
        <v>1.497711897158825E-6</v>
      </c>
      <c r="AJ1018" s="94">
        <f>IF('Net zero activities &amp; levers'!$C$12="Off",'Activity data'!BC48*FracLEACH*MSLeachEF*NtoN2O*kgtoGg,'Net zero Activity data'!AG48*FracLEACH*MSLeachEF*NtoN2O*kgtoGg)</f>
        <v>1.4972532342164218E-6</v>
      </c>
      <c r="AK1018" s="94">
        <f>IF('Net zero activities &amp; levers'!$C$12="Off",'Activity data'!BD48*FracLEACH*MSLeachEF*NtoN2O*kgtoGg,'Net zero Activity data'!AH48*FracLEACH*MSLeachEF*NtoN2O*kgtoGg)</f>
        <v>1.4967774778873874E-6</v>
      </c>
      <c r="AL1018" s="94">
        <f>IF('Net zero activities &amp; levers'!$C$12="Off",'Activity data'!BE48*FracLEACH*MSLeachEF*NtoN2O*kgtoGg,'Net zero Activity data'!AI48*FracLEACH*MSLeachEF*NtoN2O*kgtoGg)</f>
        <v>1.4963402295625958E-6</v>
      </c>
      <c r="AM1018" s="94">
        <f>IF('Net zero activities &amp; levers'!$C$12="Off",'Activity data'!BF48*FracLEACH*MSLeachEF*NtoN2O*kgtoGg,'Net zero Activity data'!AJ48*FracLEACH*MSLeachEF*NtoN2O*kgtoGg)</f>
        <v>1.4959151353203979E-6</v>
      </c>
      <c r="AN1018" s="94">
        <f>IF('Net zero activities &amp; levers'!$C$12="Off",'Activity data'!BG48*FracLEACH*MSLeachEF*NtoN2O*kgtoGg,'Net zero Activity data'!AK48*FracLEACH*MSLeachEF*NtoN2O*kgtoGg)</f>
        <v>1.4955005515509629E-6</v>
      </c>
      <c r="AO1018" s="94">
        <f>IF('Net zero activities &amp; levers'!$C$12="Off",'Activity data'!BH48*FracLEACH*MSLeachEF*NtoN2O*kgtoGg,'Net zero Activity data'!AL48*FracLEACH*MSLeachEF*NtoN2O*kgtoGg)</f>
        <v>1.4950631049152183E-6</v>
      </c>
      <c r="AP1018" s="94">
        <f>IF('Net zero activities &amp; levers'!$C$12="Off",'Activity data'!BI48*FracLEACH*MSLeachEF*NtoN2O*kgtoGg,'Net zero Activity data'!AM48*FracLEACH*MSLeachEF*NtoN2O*kgtoGg)</f>
        <v>1.4946509419076516E-6</v>
      </c>
      <c r="AQ1018" s="94">
        <f>IF('Net zero activities &amp; levers'!$C$12="Off",'Activity data'!BJ48*FracLEACH*MSLeachEF*NtoN2O*kgtoGg,'Net zero Activity data'!AN48*FracLEACH*MSLeachEF*NtoN2O*kgtoGg)</f>
        <v>1.4942335158474905E-6</v>
      </c>
      <c r="AR1018" s="94">
        <f>IF('Net zero activities &amp; levers'!$C$12="Off",'Activity data'!BK48*FracLEACH*MSLeachEF*NtoN2O*kgtoGg,'Net zero Activity data'!AO48*FracLEACH*MSLeachEF*NtoN2O*kgtoGg)</f>
        <v>1.4938096032948206E-6</v>
      </c>
      <c r="AS1018" s="94">
        <f>IF('Net zero activities &amp; levers'!$C$12="Off",'Activity data'!BL48*FracLEACH*MSLeachEF*NtoN2O*kgtoGg,'Net zero Activity data'!AP48*FracLEACH*MSLeachEF*NtoN2O*kgtoGg)</f>
        <v>1.4933771104813929E-6</v>
      </c>
      <c r="AT1018" s="94">
        <f>IF('Net zero activities &amp; levers'!$C$12="Off",'Activity data'!BM48*FracLEACH*MSLeachEF*NtoN2O*kgtoGg,'Net zero Activity data'!AQ48*FracLEACH*MSLeachEF*NtoN2O*kgtoGg)</f>
        <v>1.4929378417755646E-6</v>
      </c>
      <c r="AU1018" s="94">
        <f>IF('Net zero activities &amp; levers'!$C$12="Off",'Activity data'!BN48*FracLEACH*MSLeachEF*NtoN2O*kgtoGg,'Net zero Activity data'!AR48*FracLEACH*MSLeachEF*NtoN2O*kgtoGg)</f>
        <v>1.4928028701237777E-6</v>
      </c>
      <c r="AV1018" s="94">
        <f>IF('Net zero activities &amp; levers'!$C$12="Off",'Activity data'!BO48*FracLEACH*MSLeachEF*NtoN2O*kgtoGg,'Net zero Activity data'!AS48*FracLEACH*MSLeachEF*NtoN2O*kgtoGg)</f>
        <v>1.4926962641499375E-6</v>
      </c>
      <c r="AW1018" s="94">
        <f>IF('Net zero activities &amp; levers'!$C$12="Off",'Activity data'!BP48*FracLEACH*MSLeachEF*NtoN2O*kgtoGg,'Net zero Activity data'!AT48*FracLEACH*MSLeachEF*NtoN2O*kgtoGg)</f>
        <v>1.4926298486377895E-6</v>
      </c>
      <c r="AY1018" s="79"/>
      <c r="AZ1018" s="79"/>
    </row>
    <row r="1019" spans="1:52" x14ac:dyDescent="0.3">
      <c r="A1019" s="95" t="str">
        <f t="shared" si="345"/>
        <v>DS Leaching</v>
      </c>
      <c r="B1019" s="95" t="s">
        <v>974</v>
      </c>
      <c r="C1019" s="95" t="s">
        <v>1190</v>
      </c>
      <c r="D1019" t="s">
        <v>369</v>
      </c>
      <c r="E1019" t="s">
        <v>61</v>
      </c>
      <c r="F1019" t="s">
        <v>63</v>
      </c>
      <c r="G1019" t="s">
        <v>437</v>
      </c>
      <c r="H1019" t="s">
        <v>1189</v>
      </c>
      <c r="I1019" t="s">
        <v>139</v>
      </c>
      <c r="J1019" t="s">
        <v>287</v>
      </c>
      <c r="K1019" s="94">
        <f>IF('Net zero activities &amp; levers'!$C$12="Off",SUM('Activity data'!AD50:AD65)*FracLEACH*MSLeachEF*NtoN2O*kgtoGg,SUM('Net zero Activity data'!AD50:AD65)*FracLEACH*MSLeachEF*NtoN2O*kgtoGg)</f>
        <v>0.20714502561891829</v>
      </c>
      <c r="L1019" s="94">
        <f>IF('Net zero activities &amp; levers'!$C$12="Off",SUM('Activity data'!AE50:AE65)*FracLEACH*MSLeachEF*NtoN2O*kgtoGg,SUM('Net zero Activity data'!AE50:AE65)*FracLEACH*MSLeachEF*NtoN2O*kgtoGg)</f>
        <v>0.20732835560623092</v>
      </c>
      <c r="M1019" s="94">
        <f>IF('Net zero activities &amp; levers'!$C$12="Off",SUM('Activity data'!AF50:AF65)*FracLEACH*MSLeachEF*NtoN2O*kgtoGg,SUM('Net zero Activity data'!AF50:AF65)*FracLEACH*MSLeachEF*NtoN2O*kgtoGg)</f>
        <v>0.20853137086969875</v>
      </c>
      <c r="N1019" s="94">
        <f>IF('Net zero activities &amp; levers'!$C$12="Off",SUM('Activity data'!AG50:AG65)*FracLEACH*MSLeachEF*NtoN2O*kgtoGg,SUM('Net zero Activity data'!AG50:AG65)*FracLEACH*MSLeachEF*NtoN2O*kgtoGg)</f>
        <v>0.20795637847695567</v>
      </c>
      <c r="O1019" s="94">
        <f>IF('Net zero activities &amp; levers'!$C$12="Off",SUM('Activity data'!AH50:AH65)*FracLEACH*MSLeachEF*NtoN2O*kgtoGg,SUM('Net zero Activity data'!AH50:AH65)*FracLEACH*MSLeachEF*NtoN2O*kgtoGg)</f>
        <v>0.20628301821112832</v>
      </c>
      <c r="P1019" s="94">
        <f>IF('Net zero activities &amp; levers'!$C$12="Off",SUM('Activity data'!AI50:AI65)*FracLEACH*MSLeachEF*NtoN2O*kgtoGg,SUM('Net zero Activity data'!AI50:AI65)*FracLEACH*MSLeachEF*NtoN2O*kgtoGg)</f>
        <v>0.20354939622414608</v>
      </c>
      <c r="Q1019" s="94">
        <f>IF('Net zero activities &amp; levers'!$C$12="Off",SUM('Activity data'!AJ50:AJ65)*FracLEACH*MSLeachEF*NtoN2O*kgtoGg,SUM('Net zero Activity data'!AJ50:AJ65)*FracLEACH*MSLeachEF*NtoN2O*kgtoGg)</f>
        <v>0.20178646732442315</v>
      </c>
      <c r="R1019" s="94">
        <f>IF('Net zero activities &amp; levers'!$C$12="Off",SUM('Activity data'!AK50:AK65)*FracLEACH*MSLeachEF*NtoN2O*kgtoGg,SUM('Net zero Activity data'!AK50:AK65)*FracLEACH*MSLeachEF*NtoN2O*kgtoGg)</f>
        <v>0.20021853233884618</v>
      </c>
      <c r="S1019" s="94">
        <f>IF('Net zero activities &amp; levers'!$C$12="Off",SUM('Activity data'!AL50:AL65)*FracLEACH*MSLeachEF*NtoN2O*kgtoGg,SUM('Net zero Activity data'!AL50:AL65)*FracLEACH*MSLeachEF*NtoN2O*kgtoGg)</f>
        <v>0.18115905834206086</v>
      </c>
      <c r="T1019" s="94">
        <f>IF('Net zero activities &amp; levers'!$C$12="Off",SUM('Activity data'!AM50:AM65)*FracLEACH*MSLeachEF*NtoN2O*kgtoGg,SUM('Net zero Activity data'!AM50:AM65)*FracLEACH*MSLeachEF*NtoN2O*kgtoGg)</f>
        <v>0.1846349212925194</v>
      </c>
      <c r="U1019" s="94">
        <f>IF('Net zero activities &amp; levers'!$C$12="Off",SUM('Activity data'!AN50:AN65)*FracLEACH*MSLeachEF*NtoN2O*kgtoGg,SUM('Net zero Activity data'!AN50:AN65)*FracLEACH*MSLeachEF*NtoN2O*kgtoGg)</f>
        <v>0.19035972114498487</v>
      </c>
      <c r="V1019" s="94">
        <f>IF('Net zero activities &amp; levers'!$C$12="Off",SUM('Activity data'!AO50:AO65)*FracLEACH*MSLeachEF*NtoN2O*kgtoGg,SUM('Net zero Activity data'!AO50:AO65)*FracLEACH*MSLeachEF*NtoN2O*kgtoGg)</f>
        <v>0.19234595211979802</v>
      </c>
      <c r="W1019" s="94">
        <f>IF('Net zero activities &amp; levers'!$C$12="Off",SUM('Activity data'!AP50:AP65)*FracLEACH*MSLeachEF*NtoN2O*kgtoGg,SUM('Net zero Activity data'!AP50:AP65)*FracLEACH*MSLeachEF*NtoN2O*kgtoGg)</f>
        <v>0.1947869037963407</v>
      </c>
      <c r="X1019" s="94">
        <f>IF('Net zero activities &amp; levers'!$C$12="Off",SUM('Activity data'!AQ50:AQ65)*FracLEACH*MSLeachEF*NtoN2O*kgtoGg,SUM('Net zero Activity data'!AQ50:AQ65)*FracLEACH*MSLeachEF*NtoN2O*kgtoGg)</f>
        <v>0.19781474022011031</v>
      </c>
      <c r="Y1019" s="94">
        <f>IF('Net zero activities &amp; levers'!$C$12="Off",SUM('Activity data'!AR50:AR65)*FracLEACH*MSLeachEF*NtoN2O*kgtoGg,SUM('Net zero Activity data'!AR50:AR65)*FracLEACH*MSLeachEF*NtoN2O*kgtoGg)</f>
        <v>0.20116819609409653</v>
      </c>
      <c r="Z1019" s="94">
        <f>IF('Net zero activities &amp; levers'!$C$12="Off",SUM('Activity data'!AS50:AS65)*FracLEACH*MSLeachEF*NtoN2O*kgtoGg,SUM('Net zero Activity data'!AS50:AS65)*FracLEACH*MSLeachEF*NtoN2O*kgtoGg)</f>
        <v>0.20496046383831973</v>
      </c>
      <c r="AA1019" s="94">
        <f>IF('Net zero activities &amp; levers'!$C$12="Off",SUM('Activity data'!AT50:AT65)*FracLEACH*MSLeachEF*NtoN2O*kgtoGg,SUM('Net zero Activity data'!AT50:AT65)*FracLEACH*MSLeachEF*NtoN2O*kgtoGg)</f>
        <v>0.20882071574020974</v>
      </c>
      <c r="AB1019" s="94">
        <f>IF('Net zero activities &amp; levers'!$C$12="Off",SUM('Activity data'!AU50:AU65)*FracLEACH*MSLeachEF*NtoN2O*kgtoGg,SUM('Net zero Activity data'!AU50:AU65)*FracLEACH*MSLeachEF*NtoN2O*kgtoGg)</f>
        <v>0.21307428294309891</v>
      </c>
      <c r="AC1019" s="94">
        <f>IF('Net zero activities &amp; levers'!$C$12="Off",SUM('Activity data'!AV50:AV65)*FracLEACH*MSLeachEF*NtoN2O*kgtoGg,SUM('Net zero Activity data'!AV50:AV65)*FracLEACH*MSLeachEF*NtoN2O*kgtoGg)</f>
        <v>0.21736053459223065</v>
      </c>
      <c r="AD1019" s="94">
        <f>IF('Net zero activities &amp; levers'!$C$12="Off",SUM('Activity data'!AW50:AW65)*FracLEACH*MSLeachEF*NtoN2O*kgtoGg,SUM('Net zero Activity data'!AW50:AW65)*FracLEACH*MSLeachEF*NtoN2O*kgtoGg)</f>
        <v>0.2215192443695771</v>
      </c>
      <c r="AE1019" s="94">
        <f>IF('Net zero activities &amp; levers'!$C$12="Off",SUM('Activity data'!AX50:AX65)*FracLEACH*MSLeachEF*NtoN2O*kgtoGg,SUM('Net zero Activity data'!AX50:AX65)*FracLEACH*MSLeachEF*NtoN2O*kgtoGg)</f>
        <v>0.22544086992768131</v>
      </c>
      <c r="AF1019" s="94">
        <f>IF('Net zero activities &amp; levers'!$C$12="Off",SUM('Activity data'!AY50:AY65)*FracLEACH*MSLeachEF*NtoN2O*kgtoGg,SUM('Net zero Activity data'!AY50:AY65)*FracLEACH*MSLeachEF*NtoN2O*kgtoGg)</f>
        <v>0.22957827469779338</v>
      </c>
      <c r="AG1019" s="94">
        <f>IF('Net zero activities &amp; levers'!$C$12="Off",SUM('Activity data'!AZ50:AZ65)*FracLEACH*MSLeachEF*NtoN2O*kgtoGg,SUM('Net zero Activity data'!AZ50:AZ65)*FracLEACH*MSLeachEF*NtoN2O*kgtoGg)</f>
        <v>0.23445091883133051</v>
      </c>
      <c r="AH1019" s="94">
        <f>IF('Net zero activities &amp; levers'!$C$12="Off",SUM('Activity data'!BA50:BA65)*FracLEACH*MSLeachEF*NtoN2O*kgtoGg,SUM('Net zero Activity data'!BA50:BA65)*FracLEACH*MSLeachEF*NtoN2O*kgtoGg)</f>
        <v>0.23879435769126237</v>
      </c>
      <c r="AI1019" s="94">
        <f>IF('Net zero activities &amp; levers'!$C$12="Off",SUM('Activity data'!BB50:BB65)*FracLEACH*MSLeachEF*NtoN2O*kgtoGg,SUM('Net zero Activity data'!BB50:BB65)*FracLEACH*MSLeachEF*NtoN2O*kgtoGg)</f>
        <v>0.24339072846239099</v>
      </c>
      <c r="AJ1019" s="94">
        <f>IF('Net zero activities &amp; levers'!$C$12="Off",SUM('Activity data'!BC50:BC65)*FracLEACH*MSLeachEF*NtoN2O*kgtoGg,SUM('Net zero Activity data'!BC50:BC65)*FracLEACH*MSLeachEF*NtoN2O*kgtoGg)</f>
        <v>0.24833324867482812</v>
      </c>
      <c r="AK1019" s="94">
        <f>IF('Net zero activities &amp; levers'!$C$12="Off",SUM('Activity data'!BD50:BD65)*FracLEACH*MSLeachEF*NtoN2O*kgtoGg,SUM('Net zero Activity data'!BD50:BD65)*FracLEACH*MSLeachEF*NtoN2O*kgtoGg)</f>
        <v>0.25264130165359039</v>
      </c>
      <c r="AL1019" s="94">
        <f>IF('Net zero activities &amp; levers'!$C$12="Off",SUM('Activity data'!BE50:BE65)*FracLEACH*MSLeachEF*NtoN2O*kgtoGg,SUM('Net zero Activity data'!BE50:BE65)*FracLEACH*MSLeachEF*NtoN2O*kgtoGg)</f>
        <v>0.256768890240201</v>
      </c>
      <c r="AM1019" s="94">
        <f>IF('Net zero activities &amp; levers'!$C$12="Off",SUM('Activity data'!BF50:BF65)*FracLEACH*MSLeachEF*NtoN2O*kgtoGg,SUM('Net zero Activity data'!BF50:BF65)*FracLEACH*MSLeachEF*NtoN2O*kgtoGg)</f>
        <v>0.26074018891542444</v>
      </c>
      <c r="AN1019" s="94">
        <f>IF('Net zero activities &amp; levers'!$C$12="Off",SUM('Activity data'!BG50:BG65)*FracLEACH*MSLeachEF*NtoN2O*kgtoGg,SUM('Net zero Activity data'!BG50:BG65)*FracLEACH*MSLeachEF*NtoN2O*kgtoGg)</f>
        <v>0.26566009353394121</v>
      </c>
      <c r="AO1019" s="94">
        <f>IF('Net zero activities &amp; levers'!$C$12="Off",SUM('Activity data'!BH50:BH65)*FracLEACH*MSLeachEF*NtoN2O*kgtoGg,SUM('Net zero Activity data'!BH50:BH65)*FracLEACH*MSLeachEF*NtoN2O*kgtoGg)</f>
        <v>0.2701733904471233</v>
      </c>
      <c r="AP1019" s="94">
        <f>IF('Net zero activities &amp; levers'!$C$12="Off",SUM('Activity data'!BI50:BI65)*FracLEACH*MSLeachEF*NtoN2O*kgtoGg,SUM('Net zero Activity data'!BI50:BI65)*FracLEACH*MSLeachEF*NtoN2O*kgtoGg)</f>
        <v>0.27483864221629506</v>
      </c>
      <c r="AQ1019" s="94">
        <f>IF('Net zero activities &amp; levers'!$C$12="Off",SUM('Activity data'!BJ50:BJ65)*FracLEACH*MSLeachEF*NtoN2O*kgtoGg,SUM('Net zero Activity data'!BJ50:BJ65)*FracLEACH*MSLeachEF*NtoN2O*kgtoGg)</f>
        <v>0.27968329128815766</v>
      </c>
      <c r="AR1019" s="94">
        <f>IF('Net zero activities &amp; levers'!$C$12="Off",SUM('Activity data'!BK50:BK65)*FracLEACH*MSLeachEF*NtoN2O*kgtoGg,SUM('Net zero Activity data'!BK50:BK65)*FracLEACH*MSLeachEF*NtoN2O*kgtoGg)</f>
        <v>0.28475289053064146</v>
      </c>
      <c r="AS1019" s="94">
        <f>IF('Net zero activities &amp; levers'!$C$12="Off",SUM('Activity data'!BL50:BL65)*FracLEACH*MSLeachEF*NtoN2O*kgtoGg,SUM('Net zero Activity data'!BL50:BL65)*FracLEACH*MSLeachEF*NtoN2O*kgtoGg)</f>
        <v>0.29002169676555595</v>
      </c>
      <c r="AT1019" s="94">
        <f>IF('Net zero activities &amp; levers'!$C$12="Off",SUM('Activity data'!BM50:BM65)*FracLEACH*MSLeachEF*NtoN2O*kgtoGg,SUM('Net zero Activity data'!BM50:BM65)*FracLEACH*MSLeachEF*NtoN2O*kgtoGg)</f>
        <v>0.28940847350186372</v>
      </c>
      <c r="AU1019" s="94">
        <f>IF('Net zero activities &amp; levers'!$C$12="Off",SUM('Activity data'!BN50:BN65)*FracLEACH*MSLeachEF*NtoN2O*kgtoGg,SUM('Net zero Activity data'!BN50:BN65)*FracLEACH*MSLeachEF*NtoN2O*kgtoGg)</f>
        <v>0.2882670035949374</v>
      </c>
      <c r="AV1019" s="94">
        <f>IF('Net zero activities &amp; levers'!$C$12="Off",SUM('Activity data'!BO50:BO65)*FracLEACH*MSLeachEF*NtoN2O*kgtoGg,SUM('Net zero Activity data'!BO50:BO65)*FracLEACH*MSLeachEF*NtoN2O*kgtoGg)</f>
        <v>0.28637986672533733</v>
      </c>
      <c r="AW1019" s="94">
        <f>IF('Net zero activities &amp; levers'!$C$12="Off",SUM('Activity data'!BP50:BP65)*FracLEACH*MSLeachEF*NtoN2O*kgtoGg,SUM('Net zero Activity data'!BP50:BP65)*FracLEACH*MSLeachEF*NtoN2O*kgtoGg)</f>
        <v>0.28429803027464012</v>
      </c>
      <c r="AY1019" s="79"/>
      <c r="AZ1019" s="79"/>
    </row>
    <row r="1020" spans="1:52" x14ac:dyDescent="0.3">
      <c r="A1020" s="95" t="str">
        <f t="shared" si="345"/>
        <v>DS Leaching</v>
      </c>
      <c r="B1020" s="95" t="s">
        <v>974</v>
      </c>
      <c r="C1020" s="95" t="s">
        <v>1190</v>
      </c>
      <c r="D1020" t="s">
        <v>369</v>
      </c>
      <c r="E1020" t="s">
        <v>61</v>
      </c>
      <c r="F1020" t="s">
        <v>63</v>
      </c>
      <c r="G1020" t="s">
        <v>438</v>
      </c>
      <c r="H1020" t="s">
        <v>1191</v>
      </c>
      <c r="I1020" t="s">
        <v>139</v>
      </c>
      <c r="J1020" t="s">
        <v>287</v>
      </c>
      <c r="K1020" s="94">
        <f>IF('Net zero activities &amp; levers'!$C$12="Off",SUM('Activity data'!AD66:AD81)*FracLEACHUD*MSLeachEF*NtoN2O*kgtoGg,SUM('Net zero Activity data'!AD66:AD81)*FracLEACHUD*MSLeachEF*NtoN2O*kgtoGg)</f>
        <v>0</v>
      </c>
      <c r="L1020" s="94">
        <f>IF('Net zero activities &amp; levers'!$C$12="Off",SUM('Activity data'!AE66:AE81)*FracLEACHUD*MSLeachEF*NtoN2O*kgtoGg,SUM('Net zero Activity data'!AE66:AE81)*FracLEACHUD*MSLeachEF*NtoN2O*kgtoGg)</f>
        <v>0</v>
      </c>
      <c r="M1020" s="94">
        <f>IF('Net zero activities &amp; levers'!$C$12="Off",SUM('Activity data'!AF66:AF81)*FracLEACHUD*MSLeachEF*NtoN2O*kgtoGg,SUM('Net zero Activity data'!AF66:AF81)*FracLEACHUD*MSLeachEF*NtoN2O*kgtoGg)</f>
        <v>0</v>
      </c>
      <c r="N1020" s="94">
        <f>IF('Net zero activities &amp; levers'!$C$12="Off",SUM('Activity data'!AG66:AG81)*FracLEACHUD*MSLeachEF*NtoN2O*kgtoGg,SUM('Net zero Activity data'!AG66:AG81)*FracLEACHUD*MSLeachEF*NtoN2O*kgtoGg)</f>
        <v>0</v>
      </c>
      <c r="O1020" s="94">
        <f>IF('Net zero activities &amp; levers'!$C$12="Off",SUM('Activity data'!AH66:AH81)*FracLEACHUD*MSLeachEF*NtoN2O*kgtoGg,SUM('Net zero Activity data'!AH66:AH81)*FracLEACHUD*MSLeachEF*NtoN2O*kgtoGg)</f>
        <v>0</v>
      </c>
      <c r="P1020" s="94">
        <f>IF('Net zero activities &amp; levers'!$C$12="Off",SUM('Activity data'!AI66:AI81)*FracLEACHUD*MSLeachEF*NtoN2O*kgtoGg,SUM('Net zero Activity data'!AI66:AI81)*FracLEACHUD*MSLeachEF*NtoN2O*kgtoGg)</f>
        <v>0</v>
      </c>
      <c r="Q1020" s="94">
        <f>IF('Net zero activities &amp; levers'!$C$12="Off",SUM('Activity data'!AJ66:AJ81)*FracLEACHUD*MSLeachEF*NtoN2O*kgtoGg,SUM('Net zero Activity data'!AJ66:AJ81)*FracLEACHUD*MSLeachEF*NtoN2O*kgtoGg)</f>
        <v>0</v>
      </c>
      <c r="R1020" s="94">
        <f>IF('Net zero activities &amp; levers'!$C$12="Off",SUM('Activity data'!AK66:AK81)*FracLEACHUD*MSLeachEF*NtoN2O*kgtoGg,SUM('Net zero Activity data'!AK66:AK81)*FracLEACHUD*MSLeachEF*NtoN2O*kgtoGg)</f>
        <v>0</v>
      </c>
      <c r="S1020" s="94">
        <f>IF('Net zero activities &amp; levers'!$C$12="Off",SUM('Activity data'!AL66:AL81)*FracLEACHUD*MSLeachEF*NtoN2O*kgtoGg,SUM('Net zero Activity data'!AL66:AL81)*FracLEACHUD*MSLeachEF*NtoN2O*kgtoGg)</f>
        <v>0</v>
      </c>
      <c r="T1020" s="94">
        <f>IF('Net zero activities &amp; levers'!$C$12="Off",SUM('Activity data'!AM66:AM81)*FracLEACHUD*MSLeachEF*NtoN2O*kgtoGg,SUM('Net zero Activity data'!AM66:AM81)*FracLEACHUD*MSLeachEF*NtoN2O*kgtoGg)</f>
        <v>0</v>
      </c>
      <c r="U1020" s="94">
        <f>IF('Net zero activities &amp; levers'!$C$12="Off",SUM('Activity data'!AN66:AN81)*FracLEACHUD*MSLeachEF*NtoN2O*kgtoGg,SUM('Net zero Activity data'!AN66:AN81)*FracLEACHUD*MSLeachEF*NtoN2O*kgtoGg)</f>
        <v>0</v>
      </c>
      <c r="V1020" s="94">
        <f>IF('Net zero activities &amp; levers'!$C$12="Off",SUM('Activity data'!AO66:AO81)*FracLEACHUD*MSLeachEF*NtoN2O*kgtoGg,SUM('Net zero Activity data'!AO66:AO81)*FracLEACHUD*MSLeachEF*NtoN2O*kgtoGg)</f>
        <v>0</v>
      </c>
      <c r="W1020" s="94">
        <f>IF('Net zero activities &amp; levers'!$C$12="Off",SUM('Activity data'!AP66:AP81)*FracLEACHUD*MSLeachEF*NtoN2O*kgtoGg,SUM('Net zero Activity data'!AP66:AP81)*FracLEACHUD*MSLeachEF*NtoN2O*kgtoGg)</f>
        <v>0</v>
      </c>
      <c r="X1020" s="94">
        <f>IF('Net zero activities &amp; levers'!$C$12="Off",SUM('Activity data'!AQ66:AQ81)*FracLEACHUD*MSLeachEF*NtoN2O*kgtoGg,SUM('Net zero Activity data'!AQ66:AQ81)*FracLEACHUD*MSLeachEF*NtoN2O*kgtoGg)</f>
        <v>0</v>
      </c>
      <c r="Y1020" s="94">
        <f>IF('Net zero activities &amp; levers'!$C$12="Off",SUM('Activity data'!AR66:AR81)*FracLEACHUD*MSLeachEF*NtoN2O*kgtoGg,SUM('Net zero Activity data'!AR66:AR81)*FracLEACHUD*MSLeachEF*NtoN2O*kgtoGg)</f>
        <v>0</v>
      </c>
      <c r="Z1020" s="94">
        <f>IF('Net zero activities &amp; levers'!$C$12="Off",SUM('Activity data'!AS66:AS81)*FracLEACHUD*MSLeachEF*NtoN2O*kgtoGg,SUM('Net zero Activity data'!AS66:AS81)*FracLEACHUD*MSLeachEF*NtoN2O*kgtoGg)</f>
        <v>0</v>
      </c>
      <c r="AA1020" s="94">
        <f>IF('Net zero activities &amp; levers'!$C$12="Off",SUM('Activity data'!AT66:AT81)*FracLEACHUD*MSLeachEF*NtoN2O*kgtoGg,SUM('Net zero Activity data'!AT66:AT81)*FracLEACHUD*MSLeachEF*NtoN2O*kgtoGg)</f>
        <v>0</v>
      </c>
      <c r="AB1020" s="94">
        <f>IF('Net zero activities &amp; levers'!$C$12="Off",SUM('Activity data'!AU66:AU81)*FracLEACHUD*MSLeachEF*NtoN2O*kgtoGg,SUM('Net zero Activity data'!AU66:AU81)*FracLEACHUD*MSLeachEF*NtoN2O*kgtoGg)</f>
        <v>0</v>
      </c>
      <c r="AC1020" s="94">
        <f>IF('Net zero activities &amp; levers'!$C$12="Off",SUM('Activity data'!AV66:AV81)*FracLEACHUD*MSLeachEF*NtoN2O*kgtoGg,SUM('Net zero Activity data'!AV66:AV81)*FracLEACHUD*MSLeachEF*NtoN2O*kgtoGg)</f>
        <v>0</v>
      </c>
      <c r="AD1020" s="94">
        <f>IF('Net zero activities &amp; levers'!$C$12="Off",SUM('Activity data'!AW66:AW81)*FracLEACHUD*MSLeachEF*NtoN2O*kgtoGg,SUM('Net zero Activity data'!AW66:AW81)*FracLEACHUD*MSLeachEF*NtoN2O*kgtoGg)</f>
        <v>0</v>
      </c>
      <c r="AE1020" s="94">
        <f>IF('Net zero activities &amp; levers'!$C$12="Off",SUM('Activity data'!AX66:AX81)*FracLEACHUD*MSLeachEF*NtoN2O*kgtoGg,SUM('Net zero Activity data'!AX66:AX81)*FracLEACHUD*MSLeachEF*NtoN2O*kgtoGg)</f>
        <v>0</v>
      </c>
      <c r="AF1020" s="94">
        <f>IF('Net zero activities &amp; levers'!$C$12="Off",SUM('Activity data'!AY66:AY81)*FracLEACHUD*MSLeachEF*NtoN2O*kgtoGg,SUM('Net zero Activity data'!AY66:AY81)*FracLEACHUD*MSLeachEF*NtoN2O*kgtoGg)</f>
        <v>0</v>
      </c>
      <c r="AG1020" s="94">
        <f>IF('Net zero activities &amp; levers'!$C$12="Off",SUM('Activity data'!AZ66:AZ81)*FracLEACHUD*MSLeachEF*NtoN2O*kgtoGg,SUM('Net zero Activity data'!AZ66:AZ81)*FracLEACHUD*MSLeachEF*NtoN2O*kgtoGg)</f>
        <v>0</v>
      </c>
      <c r="AH1020" s="94">
        <f>IF('Net zero activities &amp; levers'!$C$12="Off",SUM('Activity data'!BA66:BA81)*FracLEACHUD*MSLeachEF*NtoN2O*kgtoGg,SUM('Net zero Activity data'!BA66:BA81)*FracLEACHUD*MSLeachEF*NtoN2O*kgtoGg)</f>
        <v>0</v>
      </c>
      <c r="AI1020" s="94">
        <f>IF('Net zero activities &amp; levers'!$C$12="Off",SUM('Activity data'!BB66:BB81)*FracLEACHUD*MSLeachEF*NtoN2O*kgtoGg,SUM('Net zero Activity data'!BB66:BB81)*FracLEACHUD*MSLeachEF*NtoN2O*kgtoGg)</f>
        <v>0</v>
      </c>
      <c r="AJ1020" s="94">
        <f>IF('Net zero activities &amp; levers'!$C$12="Off",SUM('Activity data'!BC66:BC81)*FracLEACHUD*MSLeachEF*NtoN2O*kgtoGg,SUM('Net zero Activity data'!BC66:BC81)*FracLEACHUD*MSLeachEF*NtoN2O*kgtoGg)</f>
        <v>0</v>
      </c>
      <c r="AK1020" s="94">
        <f>IF('Net zero activities &amp; levers'!$C$12="Off",SUM('Activity data'!BD66:BD81)*FracLEACHUD*MSLeachEF*NtoN2O*kgtoGg,SUM('Net zero Activity data'!BD66:BD81)*FracLEACHUD*MSLeachEF*NtoN2O*kgtoGg)</f>
        <v>0</v>
      </c>
      <c r="AL1020" s="94">
        <f>IF('Net zero activities &amp; levers'!$C$12="Off",SUM('Activity data'!BE66:BE81)*FracLEACHUD*MSLeachEF*NtoN2O*kgtoGg,SUM('Net zero Activity data'!BE66:BE81)*FracLEACHUD*MSLeachEF*NtoN2O*kgtoGg)</f>
        <v>0</v>
      </c>
      <c r="AM1020" s="94">
        <f>IF('Net zero activities &amp; levers'!$C$12="Off",SUM('Activity data'!BF66:BF81)*FracLEACHUD*MSLeachEF*NtoN2O*kgtoGg,SUM('Net zero Activity data'!BF66:BF81)*FracLEACHUD*MSLeachEF*NtoN2O*kgtoGg)</f>
        <v>0</v>
      </c>
      <c r="AN1020" s="94">
        <f>IF('Net zero activities &amp; levers'!$C$12="Off",SUM('Activity data'!BG66:BG81)*FracLEACHUD*MSLeachEF*NtoN2O*kgtoGg,SUM('Net zero Activity data'!BG66:BG81)*FracLEACHUD*MSLeachEF*NtoN2O*kgtoGg)</f>
        <v>0</v>
      </c>
      <c r="AO1020" s="94">
        <f>IF('Net zero activities &amp; levers'!$C$12="Off",SUM('Activity data'!BH66:BH81)*FracLEACHUD*MSLeachEF*NtoN2O*kgtoGg,SUM('Net zero Activity data'!BH66:BH81)*FracLEACHUD*MSLeachEF*NtoN2O*kgtoGg)</f>
        <v>0</v>
      </c>
      <c r="AP1020" s="94">
        <f>IF('Net zero activities &amp; levers'!$C$12="Off",SUM('Activity data'!BI66:BI81)*FracLEACHUD*MSLeachEF*NtoN2O*kgtoGg,SUM('Net zero Activity data'!BI66:BI81)*FracLEACHUD*MSLeachEF*NtoN2O*kgtoGg)</f>
        <v>0</v>
      </c>
      <c r="AQ1020" s="94">
        <f>IF('Net zero activities &amp; levers'!$C$12="Off",SUM('Activity data'!BJ66:BJ81)*FracLEACHUD*MSLeachEF*NtoN2O*kgtoGg,SUM('Net zero Activity data'!BJ66:BJ81)*FracLEACHUD*MSLeachEF*NtoN2O*kgtoGg)</f>
        <v>0</v>
      </c>
      <c r="AR1020" s="94">
        <f>IF('Net zero activities &amp; levers'!$C$12="Off",SUM('Activity data'!BK66:BK81)*FracLEACHUD*MSLeachEF*NtoN2O*kgtoGg,SUM('Net zero Activity data'!BK66:BK81)*FracLEACHUD*MSLeachEF*NtoN2O*kgtoGg)</f>
        <v>0</v>
      </c>
      <c r="AS1020" s="94">
        <f>IF('Net zero activities &amp; levers'!$C$12="Off",SUM('Activity data'!BL66:BL81)*FracLEACHUD*MSLeachEF*NtoN2O*kgtoGg,SUM('Net zero Activity data'!BL66:BL81)*FracLEACHUD*MSLeachEF*NtoN2O*kgtoGg)</f>
        <v>0</v>
      </c>
      <c r="AT1020" s="94">
        <f>IF('Net zero activities &amp; levers'!$C$12="Off",SUM('Activity data'!BM66:BM81)*FracLEACHUD*MSLeachEF*NtoN2O*kgtoGg,SUM('Net zero Activity data'!BM66:BM81)*FracLEACHUD*MSLeachEF*NtoN2O*kgtoGg)</f>
        <v>0</v>
      </c>
      <c r="AU1020" s="94">
        <f>IF('Net zero activities &amp; levers'!$C$12="Off",SUM('Activity data'!BN66:BN81)*FracLEACHUD*MSLeachEF*NtoN2O*kgtoGg,SUM('Net zero Activity data'!BN66:BN81)*FracLEACHUD*MSLeachEF*NtoN2O*kgtoGg)</f>
        <v>0</v>
      </c>
      <c r="AV1020" s="94">
        <f>IF('Net zero activities &amp; levers'!$C$12="Off",SUM('Activity data'!BO66:BO81)*FracLEACHUD*MSLeachEF*NtoN2O*kgtoGg,SUM('Net zero Activity data'!BO66:BO81)*FracLEACHUD*MSLeachEF*NtoN2O*kgtoGg)</f>
        <v>0</v>
      </c>
      <c r="AW1020" s="94">
        <f>IF('Net zero activities &amp; levers'!$C$12="Off",SUM('Activity data'!BP66:BP81)*FracLEACHUD*MSLeachEF*NtoN2O*kgtoGg,SUM('Net zero Activity data'!BP66:BP81)*FracLEACHUD*MSLeachEF*NtoN2O*kgtoGg)</f>
        <v>0</v>
      </c>
      <c r="AY1020" s="79"/>
      <c r="AZ1020" s="79"/>
    </row>
    <row r="1021" spans="1:52" x14ac:dyDescent="0.3">
      <c r="A1021" s="95" t="str">
        <f t="shared" si="345"/>
        <v>DS Leaching</v>
      </c>
      <c r="B1021" s="95" t="s">
        <v>974</v>
      </c>
      <c r="C1021" s="95" t="s">
        <v>1190</v>
      </c>
      <c r="D1021" t="s">
        <v>369</v>
      </c>
      <c r="E1021" t="s">
        <v>61</v>
      </c>
      <c r="F1021" t="s">
        <v>63</v>
      </c>
      <c r="G1021" t="s">
        <v>439</v>
      </c>
      <c r="H1021" t="s">
        <v>1192</v>
      </c>
      <c r="I1021" t="s">
        <v>139</v>
      </c>
      <c r="J1021" t="s">
        <v>287</v>
      </c>
      <c r="K1021" s="22">
        <f t="shared" ref="K1021:AW1021" si="356">K1518</f>
        <v>0.10175116378121943</v>
      </c>
      <c r="L1021" s="22">
        <f t="shared" si="356"/>
        <v>0.10192037938520998</v>
      </c>
      <c r="M1021" s="22">
        <f t="shared" si="356"/>
        <v>0.102230624521803</v>
      </c>
      <c r="N1021" s="22">
        <f t="shared" si="356"/>
        <v>0.10260144459215571</v>
      </c>
      <c r="O1021" s="22">
        <f t="shared" si="356"/>
        <v>0.10285194917721978</v>
      </c>
      <c r="P1021" s="22">
        <f t="shared" si="356"/>
        <v>0.10302433973360284</v>
      </c>
      <c r="Q1021" s="22">
        <f t="shared" si="356"/>
        <v>0.10311874031263807</v>
      </c>
      <c r="R1021" s="22">
        <f t="shared" si="356"/>
        <v>0.10327146311968674</v>
      </c>
      <c r="S1021" s="22">
        <f t="shared" si="356"/>
        <v>0.10343188706296993</v>
      </c>
      <c r="T1021" s="22">
        <f t="shared" si="356"/>
        <v>0.10231676998015095</v>
      </c>
      <c r="U1021" s="22">
        <f t="shared" si="356"/>
        <v>0.10275895162111336</v>
      </c>
      <c r="V1021" s="22">
        <f t="shared" si="356"/>
        <v>0.10336245461523248</v>
      </c>
      <c r="W1021" s="22">
        <f t="shared" si="356"/>
        <v>0.10368675774662221</v>
      </c>
      <c r="X1021" s="22">
        <f t="shared" si="356"/>
        <v>0.10404145269776151</v>
      </c>
      <c r="Y1021" s="22">
        <f t="shared" si="356"/>
        <v>0.10443580363521765</v>
      </c>
      <c r="Z1021" s="22">
        <f t="shared" si="356"/>
        <v>0.1048497598931184</v>
      </c>
      <c r="AA1021" s="22">
        <f t="shared" si="356"/>
        <v>0.10529155067821512</v>
      </c>
      <c r="AB1021" s="22">
        <f t="shared" si="356"/>
        <v>0.10573429480734184</v>
      </c>
      <c r="AC1021" s="22">
        <f t="shared" si="356"/>
        <v>0.10620059916305352</v>
      </c>
      <c r="AD1021" s="22">
        <f t="shared" si="356"/>
        <v>0.10666482354141628</v>
      </c>
      <c r="AE1021" s="22">
        <f t="shared" si="356"/>
        <v>0.10716812014937527</v>
      </c>
      <c r="AF1021" s="22">
        <f t="shared" si="356"/>
        <v>0.10765286539934465</v>
      </c>
      <c r="AG1021" s="22">
        <f t="shared" si="356"/>
        <v>0.10814988041430322</v>
      </c>
      <c r="AH1021" s="22">
        <f t="shared" si="356"/>
        <v>0.1086932343641567</v>
      </c>
      <c r="AI1021" s="22">
        <f t="shared" si="356"/>
        <v>0.1091985095670623</v>
      </c>
      <c r="AJ1021" s="22">
        <f t="shared" si="356"/>
        <v>0.10971732596273812</v>
      </c>
      <c r="AK1021" s="22">
        <f t="shared" si="356"/>
        <v>0.11025547753556091</v>
      </c>
      <c r="AL1021" s="22">
        <f t="shared" si="356"/>
        <v>0.11075007079547201</v>
      </c>
      <c r="AM1021" s="22">
        <f t="shared" si="356"/>
        <v>0.11123091596993474</v>
      </c>
      <c r="AN1021" s="22">
        <f t="shared" si="356"/>
        <v>0.11169987222752331</v>
      </c>
      <c r="AO1021" s="22">
        <f t="shared" si="356"/>
        <v>0.11219468980678651</v>
      </c>
      <c r="AP1021" s="22">
        <f t="shared" si="356"/>
        <v>0.11266090782059876</v>
      </c>
      <c r="AQ1021" s="22">
        <f t="shared" si="356"/>
        <v>0.11313307913415467</v>
      </c>
      <c r="AR1021" s="22">
        <f t="shared" si="356"/>
        <v>0.11361258764100189</v>
      </c>
      <c r="AS1021" s="22">
        <f t="shared" si="356"/>
        <v>0.11410180170622075</v>
      </c>
      <c r="AT1021" s="22">
        <f t="shared" si="356"/>
        <v>0.1145986803192975</v>
      </c>
      <c r="AU1021" s="22">
        <f t="shared" si="356"/>
        <v>0.11475135344682705</v>
      </c>
      <c r="AV1021" s="22">
        <f t="shared" si="356"/>
        <v>0.11487194074959778</v>
      </c>
      <c r="AW1021" s="22">
        <f t="shared" si="356"/>
        <v>0.11494706662841653</v>
      </c>
      <c r="AY1021" s="79"/>
      <c r="AZ1021" s="79"/>
    </row>
    <row r="1022" spans="1:52" x14ac:dyDescent="0.3">
      <c r="A1022" s="95" t="str">
        <f t="shared" si="345"/>
        <v>DS Leaching</v>
      </c>
      <c r="B1022" s="95" t="s">
        <v>974</v>
      </c>
      <c r="C1022" s="95" t="s">
        <v>1190</v>
      </c>
      <c r="D1022" t="s">
        <v>369</v>
      </c>
      <c r="E1022" t="s">
        <v>61</v>
      </c>
      <c r="F1022" t="s">
        <v>63</v>
      </c>
      <c r="G1022" t="s">
        <v>1193</v>
      </c>
      <c r="H1022" t="s">
        <v>1194</v>
      </c>
      <c r="I1022" t="s">
        <v>139</v>
      </c>
      <c r="J1022" t="s">
        <v>287</v>
      </c>
      <c r="K1022" s="22" t="str">
        <f t="shared" ref="K1022:Z1033" si="357">K1519</f>
        <v>NO</v>
      </c>
      <c r="L1022" s="22" t="str">
        <f t="shared" si="357"/>
        <v>NO</v>
      </c>
      <c r="M1022" s="22" t="str">
        <f t="shared" si="357"/>
        <v>NO</v>
      </c>
      <c r="N1022" s="22" t="str">
        <f t="shared" si="357"/>
        <v>NO</v>
      </c>
      <c r="O1022" s="22" t="str">
        <f t="shared" si="357"/>
        <v>NO</v>
      </c>
      <c r="P1022" s="22" t="str">
        <f t="shared" si="357"/>
        <v>NO</v>
      </c>
      <c r="Q1022" s="22" t="str">
        <f t="shared" si="357"/>
        <v>NO</v>
      </c>
      <c r="R1022" s="22" t="str">
        <f t="shared" si="357"/>
        <v>NO</v>
      </c>
      <c r="S1022" s="22" t="str">
        <f t="shared" si="357"/>
        <v>NO</v>
      </c>
      <c r="T1022" s="22" t="str">
        <f t="shared" si="357"/>
        <v>NO</v>
      </c>
      <c r="U1022" s="22" t="str">
        <f t="shared" si="357"/>
        <v>NO</v>
      </c>
      <c r="V1022" s="22" t="str">
        <f t="shared" si="357"/>
        <v>NO</v>
      </c>
      <c r="W1022" s="22" t="str">
        <f t="shared" si="357"/>
        <v>NO</v>
      </c>
      <c r="X1022" s="22" t="str">
        <f t="shared" si="357"/>
        <v>NO</v>
      </c>
      <c r="Y1022" s="22" t="str">
        <f t="shared" si="357"/>
        <v>NO</v>
      </c>
      <c r="Z1022" s="22" t="str">
        <f t="shared" si="357"/>
        <v>NO</v>
      </c>
      <c r="AA1022" s="22" t="str">
        <f t="shared" ref="L1022:AW1029" si="358">AA1519</f>
        <v>NO</v>
      </c>
      <c r="AB1022" s="22" t="str">
        <f t="shared" si="358"/>
        <v>NO</v>
      </c>
      <c r="AC1022" s="22" t="str">
        <f t="shared" si="358"/>
        <v>NO</v>
      </c>
      <c r="AD1022" s="22" t="str">
        <f t="shared" si="358"/>
        <v>NO</v>
      </c>
      <c r="AE1022" s="22" t="str">
        <f t="shared" si="358"/>
        <v>NO</v>
      </c>
      <c r="AF1022" s="22" t="str">
        <f t="shared" si="358"/>
        <v>NO</v>
      </c>
      <c r="AG1022" s="22" t="str">
        <f t="shared" si="358"/>
        <v>NO</v>
      </c>
      <c r="AH1022" s="22" t="str">
        <f t="shared" si="358"/>
        <v>NO</v>
      </c>
      <c r="AI1022" s="22" t="str">
        <f t="shared" si="358"/>
        <v>NO</v>
      </c>
      <c r="AJ1022" s="22" t="str">
        <f t="shared" si="358"/>
        <v>NO</v>
      </c>
      <c r="AK1022" s="22" t="str">
        <f t="shared" si="358"/>
        <v>NO</v>
      </c>
      <c r="AL1022" s="22" t="str">
        <f t="shared" si="358"/>
        <v>NO</v>
      </c>
      <c r="AM1022" s="22" t="str">
        <f t="shared" si="358"/>
        <v>NO</v>
      </c>
      <c r="AN1022" s="22" t="str">
        <f t="shared" si="358"/>
        <v>NO</v>
      </c>
      <c r="AO1022" s="22" t="str">
        <f t="shared" si="358"/>
        <v>NO</v>
      </c>
      <c r="AP1022" s="22" t="str">
        <f t="shared" si="358"/>
        <v>NO</v>
      </c>
      <c r="AQ1022" s="22" t="str">
        <f t="shared" si="358"/>
        <v>NO</v>
      </c>
      <c r="AR1022" s="22" t="str">
        <f t="shared" si="358"/>
        <v>NO</v>
      </c>
      <c r="AS1022" s="22" t="str">
        <f t="shared" si="358"/>
        <v>NO</v>
      </c>
      <c r="AT1022" s="22" t="str">
        <f t="shared" si="358"/>
        <v>NO</v>
      </c>
      <c r="AU1022" s="22" t="str">
        <f t="shared" si="358"/>
        <v>NO</v>
      </c>
      <c r="AV1022" s="22" t="str">
        <f t="shared" si="358"/>
        <v>NO</v>
      </c>
      <c r="AW1022" s="22" t="str">
        <f t="shared" si="358"/>
        <v>NO</v>
      </c>
      <c r="AY1022" s="79"/>
      <c r="AZ1022" s="79"/>
    </row>
    <row r="1023" spans="1:52" x14ac:dyDescent="0.3">
      <c r="A1023" s="95" t="str">
        <f t="shared" si="345"/>
        <v>DS Leaching</v>
      </c>
      <c r="B1023" s="95" t="s">
        <v>974</v>
      </c>
      <c r="C1023" s="95" t="s">
        <v>1190</v>
      </c>
      <c r="D1023" t="s">
        <v>369</v>
      </c>
      <c r="E1023" t="s">
        <v>61</v>
      </c>
      <c r="F1023" t="s">
        <v>63</v>
      </c>
      <c r="G1023" t="s">
        <v>1195</v>
      </c>
      <c r="H1023" t="s">
        <v>1196</v>
      </c>
      <c r="I1023" t="s">
        <v>139</v>
      </c>
      <c r="J1023" t="s">
        <v>287</v>
      </c>
      <c r="K1023" s="22" t="str">
        <f t="shared" si="357"/>
        <v>NO</v>
      </c>
      <c r="L1023" s="22" t="str">
        <f t="shared" si="358"/>
        <v>NO</v>
      </c>
      <c r="M1023" s="22" t="str">
        <f t="shared" si="358"/>
        <v>NO</v>
      </c>
      <c r="N1023" s="22" t="str">
        <f t="shared" si="358"/>
        <v>NO</v>
      </c>
      <c r="O1023" s="22" t="str">
        <f t="shared" si="358"/>
        <v>NO</v>
      </c>
      <c r="P1023" s="22" t="str">
        <f t="shared" si="358"/>
        <v>NO</v>
      </c>
      <c r="Q1023" s="22" t="str">
        <f t="shared" si="358"/>
        <v>NO</v>
      </c>
      <c r="R1023" s="22" t="str">
        <f t="shared" si="358"/>
        <v>NO</v>
      </c>
      <c r="S1023" s="22" t="str">
        <f t="shared" si="358"/>
        <v>NO</v>
      </c>
      <c r="T1023" s="22" t="str">
        <f t="shared" si="358"/>
        <v>NO</v>
      </c>
      <c r="U1023" s="22" t="str">
        <f t="shared" si="358"/>
        <v>NO</v>
      </c>
      <c r="V1023" s="22" t="str">
        <f t="shared" si="358"/>
        <v>NO</v>
      </c>
      <c r="W1023" s="22" t="str">
        <f t="shared" si="358"/>
        <v>NO</v>
      </c>
      <c r="X1023" s="22" t="str">
        <f t="shared" si="358"/>
        <v>NO</v>
      </c>
      <c r="Y1023" s="22" t="str">
        <f t="shared" si="358"/>
        <v>NO</v>
      </c>
      <c r="Z1023" s="22" t="str">
        <f t="shared" si="358"/>
        <v>NO</v>
      </c>
      <c r="AA1023" s="22" t="str">
        <f t="shared" si="358"/>
        <v>NO</v>
      </c>
      <c r="AB1023" s="22" t="str">
        <f t="shared" si="358"/>
        <v>NO</v>
      </c>
      <c r="AC1023" s="22" t="str">
        <f t="shared" si="358"/>
        <v>NO</v>
      </c>
      <c r="AD1023" s="22" t="str">
        <f t="shared" si="358"/>
        <v>NO</v>
      </c>
      <c r="AE1023" s="22" t="str">
        <f t="shared" si="358"/>
        <v>NO</v>
      </c>
      <c r="AF1023" s="22" t="str">
        <f t="shared" si="358"/>
        <v>NO</v>
      </c>
      <c r="AG1023" s="22" t="str">
        <f t="shared" si="358"/>
        <v>NO</v>
      </c>
      <c r="AH1023" s="22" t="str">
        <f t="shared" si="358"/>
        <v>NO</v>
      </c>
      <c r="AI1023" s="22" t="str">
        <f t="shared" si="358"/>
        <v>NO</v>
      </c>
      <c r="AJ1023" s="22" t="str">
        <f t="shared" si="358"/>
        <v>NO</v>
      </c>
      <c r="AK1023" s="22" t="str">
        <f t="shared" si="358"/>
        <v>NO</v>
      </c>
      <c r="AL1023" s="22" t="str">
        <f t="shared" si="358"/>
        <v>NO</v>
      </c>
      <c r="AM1023" s="22" t="str">
        <f t="shared" si="358"/>
        <v>NO</v>
      </c>
      <c r="AN1023" s="22" t="str">
        <f t="shared" si="358"/>
        <v>NO</v>
      </c>
      <c r="AO1023" s="22" t="str">
        <f t="shared" si="358"/>
        <v>NO</v>
      </c>
      <c r="AP1023" s="22" t="str">
        <f t="shared" si="358"/>
        <v>NO</v>
      </c>
      <c r="AQ1023" s="22" t="str">
        <f t="shared" si="358"/>
        <v>NO</v>
      </c>
      <c r="AR1023" s="22" t="str">
        <f t="shared" si="358"/>
        <v>NO</v>
      </c>
      <c r="AS1023" s="22" t="str">
        <f t="shared" si="358"/>
        <v>NO</v>
      </c>
      <c r="AT1023" s="22" t="str">
        <f t="shared" si="358"/>
        <v>NO</v>
      </c>
      <c r="AU1023" s="22" t="str">
        <f t="shared" si="358"/>
        <v>NO</v>
      </c>
      <c r="AV1023" s="22" t="str">
        <f t="shared" si="358"/>
        <v>NO</v>
      </c>
      <c r="AW1023" s="22" t="str">
        <f t="shared" si="358"/>
        <v>NO</v>
      </c>
      <c r="AY1023" s="79"/>
      <c r="AZ1023" s="79"/>
    </row>
    <row r="1024" spans="1:52" x14ac:dyDescent="0.3">
      <c r="A1024" s="95" t="str">
        <f t="shared" si="345"/>
        <v>DS Leaching</v>
      </c>
      <c r="B1024" s="95" t="s">
        <v>974</v>
      </c>
      <c r="C1024" s="95" t="s">
        <v>1190</v>
      </c>
      <c r="D1024" t="s">
        <v>369</v>
      </c>
      <c r="E1024" t="s">
        <v>61</v>
      </c>
      <c r="F1024" t="s">
        <v>63</v>
      </c>
      <c r="G1024" t="s">
        <v>1197</v>
      </c>
      <c r="H1024" t="s">
        <v>1198</v>
      </c>
      <c r="I1024" t="s">
        <v>139</v>
      </c>
      <c r="J1024" t="s">
        <v>287</v>
      </c>
      <c r="K1024" s="22">
        <f t="shared" si="357"/>
        <v>1.1867590793806392E-4</v>
      </c>
      <c r="L1024" s="22">
        <f t="shared" si="358"/>
        <v>1.1853617037070301E-4</v>
      </c>
      <c r="M1024" s="22">
        <f t="shared" si="358"/>
        <v>1.1839643280334203E-4</v>
      </c>
      <c r="N1024" s="22">
        <f t="shared" si="358"/>
        <v>1.1825669523598106E-4</v>
      </c>
      <c r="O1024" s="22">
        <f t="shared" si="358"/>
        <v>1.1811695766862012E-4</v>
      </c>
      <c r="P1024" s="22">
        <f t="shared" si="358"/>
        <v>1.1797722010125916E-4</v>
      </c>
      <c r="Q1024" s="22">
        <f t="shared" si="358"/>
        <v>1.178374825338982E-4</v>
      </c>
      <c r="R1024" s="22">
        <f t="shared" si="358"/>
        <v>1.1769774496653728E-4</v>
      </c>
      <c r="S1024" s="22">
        <f t="shared" si="358"/>
        <v>1.1755800739917633E-4</v>
      </c>
      <c r="T1024" s="22">
        <f t="shared" si="358"/>
        <v>1.174182698318154E-4</v>
      </c>
      <c r="U1024" s="22">
        <f t="shared" si="358"/>
        <v>1.1727853226445441E-4</v>
      </c>
      <c r="V1024" s="22">
        <f t="shared" si="358"/>
        <v>1.1713879469709348E-4</v>
      </c>
      <c r="W1024" s="22">
        <f t="shared" si="358"/>
        <v>1.1699905712973254E-4</v>
      </c>
      <c r="X1024" s="22">
        <f t="shared" si="358"/>
        <v>1.168593195623716E-4</v>
      </c>
      <c r="Y1024" s="22">
        <f t="shared" si="358"/>
        <v>1.1671958199501069E-4</v>
      </c>
      <c r="Z1024" s="22">
        <f t="shared" si="358"/>
        <v>1.1657984442764968E-4</v>
      </c>
      <c r="AA1024" s="22">
        <f t="shared" si="358"/>
        <v>1.1644010686028878E-4</v>
      </c>
      <c r="AB1024" s="22">
        <f t="shared" si="358"/>
        <v>1.1630036929292779E-4</v>
      </c>
      <c r="AC1024" s="22">
        <f t="shared" si="358"/>
        <v>1.1616063172556689E-4</v>
      </c>
      <c r="AD1024" s="22">
        <f t="shared" si="358"/>
        <v>1.1602089415820588E-4</v>
      </c>
      <c r="AE1024" s="22">
        <f t="shared" si="358"/>
        <v>1.1588115659084502E-4</v>
      </c>
      <c r="AF1024" s="22">
        <f t="shared" si="358"/>
        <v>1.1574141902348403E-4</v>
      </c>
      <c r="AG1024" s="22">
        <f t="shared" si="358"/>
        <v>1.1560168145612309E-4</v>
      </c>
      <c r="AH1024" s="22">
        <f t="shared" si="358"/>
        <v>1.154619438887621E-4</v>
      </c>
      <c r="AI1024" s="22">
        <f t="shared" si="358"/>
        <v>1.1532220632140118E-4</v>
      </c>
      <c r="AJ1024" s="22">
        <f t="shared" si="358"/>
        <v>1.1518246875404022E-4</v>
      </c>
      <c r="AK1024" s="22">
        <f t="shared" si="358"/>
        <v>1.1504273118667928E-4</v>
      </c>
      <c r="AL1024" s="22">
        <f t="shared" si="358"/>
        <v>1.1490299361931835E-4</v>
      </c>
      <c r="AM1024" s="22">
        <f t="shared" si="358"/>
        <v>1.1476325605195744E-4</v>
      </c>
      <c r="AN1024" s="22">
        <f t="shared" si="358"/>
        <v>1.1462351848459642E-4</v>
      </c>
      <c r="AO1024" s="22">
        <f t="shared" si="358"/>
        <v>1.1448378091723552E-4</v>
      </c>
      <c r="AP1024" s="22">
        <f t="shared" si="358"/>
        <v>1.1434404334987458E-4</v>
      </c>
      <c r="AQ1024" s="22">
        <f t="shared" si="358"/>
        <v>1.1420430578251366E-4</v>
      </c>
      <c r="AR1024" s="22">
        <f t="shared" si="358"/>
        <v>1.1406456821515268E-4</v>
      </c>
      <c r="AS1024" s="22">
        <f t="shared" si="358"/>
        <v>1.1392483064779174E-4</v>
      </c>
      <c r="AT1024" s="22">
        <f t="shared" si="358"/>
        <v>1.1378509308043078E-4</v>
      </c>
      <c r="AU1024" s="22">
        <f t="shared" si="358"/>
        <v>1.136453555130698E-4</v>
      </c>
      <c r="AV1024" s="22">
        <f t="shared" si="358"/>
        <v>1.1350561794570888E-4</v>
      </c>
      <c r="AW1024" s="22">
        <f t="shared" si="358"/>
        <v>1.1336588037834792E-4</v>
      </c>
      <c r="AY1024" s="79"/>
      <c r="AZ1024" s="79"/>
    </row>
    <row r="1025" spans="1:52" x14ac:dyDescent="0.3">
      <c r="A1025" s="95" t="str">
        <f t="shared" si="345"/>
        <v>DS Leaching</v>
      </c>
      <c r="B1025" s="95" t="s">
        <v>974</v>
      </c>
      <c r="C1025" s="95" t="s">
        <v>1190</v>
      </c>
      <c r="D1025" t="s">
        <v>369</v>
      </c>
      <c r="E1025" t="s">
        <v>61</v>
      </c>
      <c r="F1025" t="s">
        <v>63</v>
      </c>
      <c r="G1025" t="s">
        <v>1199</v>
      </c>
      <c r="H1025" t="s">
        <v>1200</v>
      </c>
      <c r="I1025" t="s">
        <v>139</v>
      </c>
      <c r="J1025" t="s">
        <v>287</v>
      </c>
      <c r="K1025" s="22">
        <f t="shared" si="357"/>
        <v>1.6912231388729011E-2</v>
      </c>
      <c r="L1025" s="22">
        <f t="shared" si="358"/>
        <v>1.6951420148247919E-2</v>
      </c>
      <c r="M1025" s="22">
        <f t="shared" si="358"/>
        <v>1.6990608907766828E-2</v>
      </c>
      <c r="N1025" s="22">
        <f t="shared" si="358"/>
        <v>1.702979766728574E-2</v>
      </c>
      <c r="O1025" s="22">
        <f t="shared" si="358"/>
        <v>1.7068986426804648E-2</v>
      </c>
      <c r="P1025" s="22">
        <f t="shared" si="358"/>
        <v>1.7108175186323554E-2</v>
      </c>
      <c r="Q1025" s="22">
        <f t="shared" si="358"/>
        <v>1.7147363945842466E-2</v>
      </c>
      <c r="R1025" s="22">
        <f t="shared" si="358"/>
        <v>1.7186552705361371E-2</v>
      </c>
      <c r="S1025" s="22">
        <f t="shared" si="358"/>
        <v>1.7225741464880276E-2</v>
      </c>
      <c r="T1025" s="22">
        <f t="shared" si="358"/>
        <v>1.7264930224399191E-2</v>
      </c>
      <c r="U1025" s="22">
        <f t="shared" si="358"/>
        <v>1.7304118983918097E-2</v>
      </c>
      <c r="V1025" s="22">
        <f t="shared" si="358"/>
        <v>1.7343307743437009E-2</v>
      </c>
      <c r="W1025" s="22">
        <f t="shared" si="358"/>
        <v>1.7382496502955917E-2</v>
      </c>
      <c r="X1025" s="22">
        <f t="shared" si="358"/>
        <v>1.7421685262474829E-2</v>
      </c>
      <c r="Y1025" s="22">
        <f t="shared" si="358"/>
        <v>1.7460874021993734E-2</v>
      </c>
      <c r="Z1025" s="22">
        <f t="shared" si="358"/>
        <v>1.750006278151265E-2</v>
      </c>
      <c r="AA1025" s="22">
        <f t="shared" si="358"/>
        <v>1.7539251541031548E-2</v>
      </c>
      <c r="AB1025" s="22">
        <f t="shared" si="358"/>
        <v>1.7578440300550464E-2</v>
      </c>
      <c r="AC1025" s="22">
        <f t="shared" si="358"/>
        <v>1.7617629060069376E-2</v>
      </c>
      <c r="AD1025" s="22">
        <f t="shared" si="358"/>
        <v>1.7656817819588281E-2</v>
      </c>
      <c r="AE1025" s="22">
        <f t="shared" si="358"/>
        <v>1.769600657910719E-2</v>
      </c>
      <c r="AF1025" s="22">
        <f t="shared" si="358"/>
        <v>1.7735195338626102E-2</v>
      </c>
      <c r="AG1025" s="22">
        <f t="shared" si="358"/>
        <v>1.777438409814501E-2</v>
      </c>
      <c r="AH1025" s="22">
        <f t="shared" si="358"/>
        <v>1.7813572857663919E-2</v>
      </c>
      <c r="AI1025" s="22">
        <f t="shared" si="358"/>
        <v>1.7852761617182831E-2</v>
      </c>
      <c r="AJ1025" s="22">
        <f t="shared" si="358"/>
        <v>1.7891950376701736E-2</v>
      </c>
      <c r="AK1025" s="22">
        <f t="shared" si="358"/>
        <v>1.7931139136220645E-2</v>
      </c>
      <c r="AL1025" s="22">
        <f t="shared" si="358"/>
        <v>1.7970327895739557E-2</v>
      </c>
      <c r="AM1025" s="22">
        <f t="shared" si="358"/>
        <v>1.8009516655258465E-2</v>
      </c>
      <c r="AN1025" s="22">
        <f t="shared" si="358"/>
        <v>1.8048705414777374E-2</v>
      </c>
      <c r="AO1025" s="22">
        <f t="shared" si="358"/>
        <v>1.8087894174296286E-2</v>
      </c>
      <c r="AP1025" s="22">
        <f t="shared" si="358"/>
        <v>1.8127082933815188E-2</v>
      </c>
      <c r="AQ1025" s="22">
        <f t="shared" si="358"/>
        <v>1.8166271693334096E-2</v>
      </c>
      <c r="AR1025" s="22">
        <f t="shared" si="358"/>
        <v>1.8205460452853015E-2</v>
      </c>
      <c r="AS1025" s="22">
        <f t="shared" si="358"/>
        <v>1.8244649212371917E-2</v>
      </c>
      <c r="AT1025" s="22">
        <f t="shared" si="358"/>
        <v>1.8283837971890825E-2</v>
      </c>
      <c r="AU1025" s="22">
        <f t="shared" si="358"/>
        <v>1.8323026731409734E-2</v>
      </c>
      <c r="AV1025" s="22">
        <f t="shared" si="358"/>
        <v>1.8362215490928643E-2</v>
      </c>
      <c r="AW1025" s="22">
        <f t="shared" si="358"/>
        <v>1.8401404250447555E-2</v>
      </c>
      <c r="AY1025" s="79"/>
      <c r="AZ1025" s="79"/>
    </row>
    <row r="1026" spans="1:52" x14ac:dyDescent="0.3">
      <c r="A1026" s="95" t="str">
        <f t="shared" si="345"/>
        <v>DS Leaching</v>
      </c>
      <c r="B1026" s="95" t="s">
        <v>974</v>
      </c>
      <c r="C1026" s="95" t="s">
        <v>1190</v>
      </c>
      <c r="D1026" t="s">
        <v>369</v>
      </c>
      <c r="E1026" t="s">
        <v>61</v>
      </c>
      <c r="F1026" t="s">
        <v>63</v>
      </c>
      <c r="G1026" t="s">
        <v>1201</v>
      </c>
      <c r="H1026" t="s">
        <v>1202</v>
      </c>
      <c r="I1026" t="s">
        <v>139</v>
      </c>
      <c r="J1026" t="s">
        <v>287</v>
      </c>
      <c r="K1026" s="22">
        <f t="shared" si="357"/>
        <v>1.9871041213735664E-2</v>
      </c>
      <c r="L1026" s="22">
        <f t="shared" si="358"/>
        <v>1.9871041213735664E-2</v>
      </c>
      <c r="M1026" s="22">
        <f t="shared" si="358"/>
        <v>1.9871041213735664E-2</v>
      </c>
      <c r="N1026" s="22">
        <f t="shared" si="358"/>
        <v>1.9871041213735664E-2</v>
      </c>
      <c r="O1026" s="22">
        <f t="shared" si="358"/>
        <v>1.9871041213735664E-2</v>
      </c>
      <c r="P1026" s="22">
        <f t="shared" si="358"/>
        <v>1.9871041213735664E-2</v>
      </c>
      <c r="Q1026" s="22">
        <f t="shared" si="358"/>
        <v>1.9871041213735664E-2</v>
      </c>
      <c r="R1026" s="22">
        <f t="shared" si="358"/>
        <v>1.9871041213735664E-2</v>
      </c>
      <c r="S1026" s="22">
        <f t="shared" si="358"/>
        <v>1.9871041213735664E-2</v>
      </c>
      <c r="T1026" s="22">
        <f t="shared" si="358"/>
        <v>1.9871041213735664E-2</v>
      </c>
      <c r="U1026" s="22">
        <f t="shared" si="358"/>
        <v>1.9871041213735664E-2</v>
      </c>
      <c r="V1026" s="22">
        <f t="shared" si="358"/>
        <v>1.9871041213735664E-2</v>
      </c>
      <c r="W1026" s="22">
        <f t="shared" si="358"/>
        <v>1.9871041213735664E-2</v>
      </c>
      <c r="X1026" s="22">
        <f t="shared" si="358"/>
        <v>1.9871041213735664E-2</v>
      </c>
      <c r="Y1026" s="22">
        <f t="shared" si="358"/>
        <v>1.9871041213735664E-2</v>
      </c>
      <c r="Z1026" s="22">
        <f t="shared" si="358"/>
        <v>1.9871041213735664E-2</v>
      </c>
      <c r="AA1026" s="22">
        <f t="shared" si="358"/>
        <v>1.9871041213735664E-2</v>
      </c>
      <c r="AB1026" s="22">
        <f t="shared" si="358"/>
        <v>1.9871041213735664E-2</v>
      </c>
      <c r="AC1026" s="22">
        <f t="shared" si="358"/>
        <v>1.9871041213735664E-2</v>
      </c>
      <c r="AD1026" s="22">
        <f t="shared" si="358"/>
        <v>1.9871041213735664E-2</v>
      </c>
      <c r="AE1026" s="22">
        <f t="shared" si="358"/>
        <v>1.9871041213735664E-2</v>
      </c>
      <c r="AF1026" s="22">
        <f t="shared" si="358"/>
        <v>1.9871041213735664E-2</v>
      </c>
      <c r="AG1026" s="22">
        <f t="shared" si="358"/>
        <v>1.9871041213735664E-2</v>
      </c>
      <c r="AH1026" s="22">
        <f t="shared" si="358"/>
        <v>1.9871041213735664E-2</v>
      </c>
      <c r="AI1026" s="22">
        <f t="shared" si="358"/>
        <v>1.9871041213735664E-2</v>
      </c>
      <c r="AJ1026" s="22">
        <f t="shared" si="358"/>
        <v>1.9871041213735664E-2</v>
      </c>
      <c r="AK1026" s="22">
        <f t="shared" si="358"/>
        <v>1.9871041213735664E-2</v>
      </c>
      <c r="AL1026" s="22">
        <f t="shared" si="358"/>
        <v>1.9871041213735664E-2</v>
      </c>
      <c r="AM1026" s="22">
        <f t="shared" si="358"/>
        <v>1.9871041213735664E-2</v>
      </c>
      <c r="AN1026" s="22">
        <f t="shared" si="358"/>
        <v>1.9871041213735664E-2</v>
      </c>
      <c r="AO1026" s="22">
        <f t="shared" si="358"/>
        <v>1.9871041213735664E-2</v>
      </c>
      <c r="AP1026" s="22">
        <f t="shared" si="358"/>
        <v>1.9871041213735664E-2</v>
      </c>
      <c r="AQ1026" s="22">
        <f t="shared" si="358"/>
        <v>1.9871041213735664E-2</v>
      </c>
      <c r="AR1026" s="22">
        <f t="shared" si="358"/>
        <v>1.9871041213735664E-2</v>
      </c>
      <c r="AS1026" s="22">
        <f t="shared" si="358"/>
        <v>1.9871041213735664E-2</v>
      </c>
      <c r="AT1026" s="22">
        <f t="shared" si="358"/>
        <v>1.9871041213735664E-2</v>
      </c>
      <c r="AU1026" s="22">
        <f t="shared" si="358"/>
        <v>1.9871041213735664E-2</v>
      </c>
      <c r="AV1026" s="22">
        <f t="shared" si="358"/>
        <v>1.9871041213735664E-2</v>
      </c>
      <c r="AW1026" s="22">
        <f t="shared" si="358"/>
        <v>1.9871041213735664E-2</v>
      </c>
      <c r="AY1026" s="79"/>
      <c r="AZ1026" s="79"/>
    </row>
    <row r="1027" spans="1:52" x14ac:dyDescent="0.3">
      <c r="A1027" s="95" t="str">
        <f t="shared" si="345"/>
        <v>DS Leaching</v>
      </c>
      <c r="B1027" s="95" t="s">
        <v>974</v>
      </c>
      <c r="C1027" s="95" t="s">
        <v>1190</v>
      </c>
      <c r="D1027" t="s">
        <v>369</v>
      </c>
      <c r="E1027" t="s">
        <v>61</v>
      </c>
      <c r="F1027" t="s">
        <v>63</v>
      </c>
      <c r="G1027" t="s">
        <v>1203</v>
      </c>
      <c r="H1027" t="s">
        <v>1204</v>
      </c>
      <c r="I1027" t="s">
        <v>139</v>
      </c>
      <c r="J1027" t="s">
        <v>287</v>
      </c>
      <c r="K1027" s="22" t="str">
        <f t="shared" si="357"/>
        <v>NO</v>
      </c>
      <c r="L1027" s="22" t="str">
        <f t="shared" si="358"/>
        <v>NO</v>
      </c>
      <c r="M1027" s="22" t="str">
        <f t="shared" si="358"/>
        <v>NO</v>
      </c>
      <c r="N1027" s="22" t="str">
        <f t="shared" si="358"/>
        <v>NO</v>
      </c>
      <c r="O1027" s="22" t="str">
        <f t="shared" si="358"/>
        <v>NO</v>
      </c>
      <c r="P1027" s="22" t="str">
        <f t="shared" si="358"/>
        <v>NO</v>
      </c>
      <c r="Q1027" s="22" t="str">
        <f t="shared" si="358"/>
        <v>NO</v>
      </c>
      <c r="R1027" s="22" t="str">
        <f t="shared" si="358"/>
        <v>NO</v>
      </c>
      <c r="S1027" s="22" t="str">
        <f t="shared" si="358"/>
        <v>NO</v>
      </c>
      <c r="T1027" s="22" t="str">
        <f t="shared" si="358"/>
        <v>NO</v>
      </c>
      <c r="U1027" s="22" t="str">
        <f t="shared" si="358"/>
        <v>NO</v>
      </c>
      <c r="V1027" s="22" t="str">
        <f t="shared" si="358"/>
        <v>NO</v>
      </c>
      <c r="W1027" s="22" t="str">
        <f t="shared" si="358"/>
        <v>NO</v>
      </c>
      <c r="X1027" s="22" t="str">
        <f t="shared" si="358"/>
        <v>NO</v>
      </c>
      <c r="Y1027" s="22" t="str">
        <f t="shared" si="358"/>
        <v>NO</v>
      </c>
      <c r="Z1027" s="22" t="str">
        <f t="shared" si="358"/>
        <v>NO</v>
      </c>
      <c r="AA1027" s="22" t="str">
        <f t="shared" si="358"/>
        <v>NO</v>
      </c>
      <c r="AB1027" s="22" t="str">
        <f t="shared" si="358"/>
        <v>NO</v>
      </c>
      <c r="AC1027" s="22" t="str">
        <f t="shared" si="358"/>
        <v>NO</v>
      </c>
      <c r="AD1027" s="22" t="str">
        <f t="shared" si="358"/>
        <v>NO</v>
      </c>
      <c r="AE1027" s="22" t="str">
        <f t="shared" si="358"/>
        <v>NO</v>
      </c>
      <c r="AF1027" s="22" t="str">
        <f t="shared" si="358"/>
        <v>NO</v>
      </c>
      <c r="AG1027" s="22" t="str">
        <f t="shared" si="358"/>
        <v>NO</v>
      </c>
      <c r="AH1027" s="22" t="str">
        <f t="shared" si="358"/>
        <v>NO</v>
      </c>
      <c r="AI1027" s="22" t="str">
        <f t="shared" si="358"/>
        <v>NO</v>
      </c>
      <c r="AJ1027" s="22" t="str">
        <f t="shared" si="358"/>
        <v>NO</v>
      </c>
      <c r="AK1027" s="22" t="str">
        <f t="shared" si="358"/>
        <v>NO</v>
      </c>
      <c r="AL1027" s="22" t="str">
        <f t="shared" si="358"/>
        <v>NO</v>
      </c>
      <c r="AM1027" s="22" t="str">
        <f t="shared" si="358"/>
        <v>NO</v>
      </c>
      <c r="AN1027" s="22" t="str">
        <f t="shared" si="358"/>
        <v>NO</v>
      </c>
      <c r="AO1027" s="22" t="str">
        <f t="shared" si="358"/>
        <v>NO</v>
      </c>
      <c r="AP1027" s="22" t="str">
        <f t="shared" si="358"/>
        <v>NO</v>
      </c>
      <c r="AQ1027" s="22" t="str">
        <f t="shared" si="358"/>
        <v>NO</v>
      </c>
      <c r="AR1027" s="22" t="str">
        <f t="shared" si="358"/>
        <v>NO</v>
      </c>
      <c r="AS1027" s="22" t="str">
        <f t="shared" si="358"/>
        <v>NO</v>
      </c>
      <c r="AT1027" s="22" t="str">
        <f t="shared" si="358"/>
        <v>NO</v>
      </c>
      <c r="AU1027" s="22" t="str">
        <f t="shared" si="358"/>
        <v>NO</v>
      </c>
      <c r="AV1027" s="22" t="str">
        <f t="shared" si="358"/>
        <v>NO</v>
      </c>
      <c r="AW1027" s="22" t="str">
        <f t="shared" si="358"/>
        <v>NO</v>
      </c>
      <c r="AY1027" s="79"/>
      <c r="AZ1027" s="79"/>
    </row>
    <row r="1028" spans="1:52" x14ac:dyDescent="0.3">
      <c r="A1028" s="95" t="str">
        <f t="shared" si="345"/>
        <v>DS Leaching</v>
      </c>
      <c r="B1028" s="95" t="s">
        <v>974</v>
      </c>
      <c r="C1028" s="95" t="s">
        <v>1190</v>
      </c>
      <c r="D1028" t="s">
        <v>369</v>
      </c>
      <c r="E1028" t="s">
        <v>61</v>
      </c>
      <c r="F1028" t="s">
        <v>63</v>
      </c>
      <c r="G1028" t="s">
        <v>1205</v>
      </c>
      <c r="H1028" t="s">
        <v>1206</v>
      </c>
      <c r="I1028" t="s">
        <v>139</v>
      </c>
      <c r="J1028" t="s">
        <v>287</v>
      </c>
      <c r="K1028" s="22" t="str">
        <f t="shared" si="357"/>
        <v>NO</v>
      </c>
      <c r="L1028" s="22" t="str">
        <f t="shared" si="358"/>
        <v>NO</v>
      </c>
      <c r="M1028" s="22" t="str">
        <f t="shared" si="358"/>
        <v>NO</v>
      </c>
      <c r="N1028" s="22" t="str">
        <f t="shared" si="358"/>
        <v>NO</v>
      </c>
      <c r="O1028" s="22" t="str">
        <f t="shared" si="358"/>
        <v>NO</v>
      </c>
      <c r="P1028" s="22" t="str">
        <f t="shared" si="358"/>
        <v>NO</v>
      </c>
      <c r="Q1028" s="22" t="str">
        <f t="shared" si="358"/>
        <v>NO</v>
      </c>
      <c r="R1028" s="22" t="str">
        <f t="shared" si="358"/>
        <v>NO</v>
      </c>
      <c r="S1028" s="22" t="str">
        <f t="shared" si="358"/>
        <v>NO</v>
      </c>
      <c r="T1028" s="22" t="str">
        <f t="shared" si="358"/>
        <v>NO</v>
      </c>
      <c r="U1028" s="22" t="str">
        <f t="shared" si="358"/>
        <v>NO</v>
      </c>
      <c r="V1028" s="22" t="str">
        <f t="shared" si="358"/>
        <v>NO</v>
      </c>
      <c r="W1028" s="22" t="str">
        <f t="shared" si="358"/>
        <v>NO</v>
      </c>
      <c r="X1028" s="22" t="str">
        <f t="shared" si="358"/>
        <v>NO</v>
      </c>
      <c r="Y1028" s="22" t="str">
        <f t="shared" si="358"/>
        <v>NO</v>
      </c>
      <c r="Z1028" s="22" t="str">
        <f t="shared" si="358"/>
        <v>NO</v>
      </c>
      <c r="AA1028" s="22" t="str">
        <f t="shared" si="358"/>
        <v>NO</v>
      </c>
      <c r="AB1028" s="22" t="str">
        <f t="shared" si="358"/>
        <v>NO</v>
      </c>
      <c r="AC1028" s="22" t="str">
        <f t="shared" si="358"/>
        <v>NO</v>
      </c>
      <c r="AD1028" s="22" t="str">
        <f t="shared" si="358"/>
        <v>NO</v>
      </c>
      <c r="AE1028" s="22" t="str">
        <f t="shared" si="358"/>
        <v>NO</v>
      </c>
      <c r="AF1028" s="22" t="str">
        <f t="shared" si="358"/>
        <v>NO</v>
      </c>
      <c r="AG1028" s="22" t="str">
        <f t="shared" si="358"/>
        <v>NO</v>
      </c>
      <c r="AH1028" s="22" t="str">
        <f t="shared" si="358"/>
        <v>NO</v>
      </c>
      <c r="AI1028" s="22" t="str">
        <f t="shared" si="358"/>
        <v>NO</v>
      </c>
      <c r="AJ1028" s="22" t="str">
        <f t="shared" si="358"/>
        <v>NO</v>
      </c>
      <c r="AK1028" s="22" t="str">
        <f t="shared" si="358"/>
        <v>NO</v>
      </c>
      <c r="AL1028" s="22" t="str">
        <f t="shared" si="358"/>
        <v>NO</v>
      </c>
      <c r="AM1028" s="22" t="str">
        <f t="shared" si="358"/>
        <v>NO</v>
      </c>
      <c r="AN1028" s="22" t="str">
        <f t="shared" si="358"/>
        <v>NO</v>
      </c>
      <c r="AO1028" s="22" t="str">
        <f t="shared" si="358"/>
        <v>NO</v>
      </c>
      <c r="AP1028" s="22" t="str">
        <f t="shared" si="358"/>
        <v>NO</v>
      </c>
      <c r="AQ1028" s="22" t="str">
        <f t="shared" si="358"/>
        <v>NO</v>
      </c>
      <c r="AR1028" s="22" t="str">
        <f t="shared" si="358"/>
        <v>NO</v>
      </c>
      <c r="AS1028" s="22" t="str">
        <f t="shared" si="358"/>
        <v>NO</v>
      </c>
      <c r="AT1028" s="22" t="str">
        <f t="shared" si="358"/>
        <v>NO</v>
      </c>
      <c r="AU1028" s="22" t="str">
        <f t="shared" si="358"/>
        <v>NO</v>
      </c>
      <c r="AV1028" s="22" t="str">
        <f t="shared" si="358"/>
        <v>NO</v>
      </c>
      <c r="AW1028" s="22" t="str">
        <f t="shared" si="358"/>
        <v>NO</v>
      </c>
      <c r="AY1028" s="79"/>
      <c r="AZ1028" s="79"/>
    </row>
    <row r="1029" spans="1:52" x14ac:dyDescent="0.3">
      <c r="A1029" s="95" t="str">
        <f t="shared" si="345"/>
        <v>DS Leaching</v>
      </c>
      <c r="B1029" s="95" t="s">
        <v>974</v>
      </c>
      <c r="C1029" s="95" t="s">
        <v>1190</v>
      </c>
      <c r="D1029" t="s">
        <v>369</v>
      </c>
      <c r="E1029" t="s">
        <v>61</v>
      </c>
      <c r="F1029" t="s">
        <v>63</v>
      </c>
      <c r="G1029" t="s">
        <v>1207</v>
      </c>
      <c r="H1029" t="s">
        <v>1208</v>
      </c>
      <c r="I1029" t="s">
        <v>139</v>
      </c>
      <c r="J1029" t="s">
        <v>287</v>
      </c>
      <c r="K1029" s="22" t="str">
        <f t="shared" si="357"/>
        <v>NO</v>
      </c>
      <c r="L1029" s="22" t="str">
        <f t="shared" si="358"/>
        <v>NO</v>
      </c>
      <c r="M1029" s="22" t="str">
        <f t="shared" si="358"/>
        <v>NO</v>
      </c>
      <c r="N1029" s="22" t="str">
        <f t="shared" si="358"/>
        <v>NO</v>
      </c>
      <c r="O1029" s="22" t="str">
        <f t="shared" si="358"/>
        <v>NO</v>
      </c>
      <c r="P1029" s="22" t="str">
        <f t="shared" ref="L1029:AW1033" si="359">P1526</f>
        <v>NO</v>
      </c>
      <c r="Q1029" s="22" t="str">
        <f t="shared" si="359"/>
        <v>NO</v>
      </c>
      <c r="R1029" s="22" t="str">
        <f t="shared" si="359"/>
        <v>NO</v>
      </c>
      <c r="S1029" s="22" t="str">
        <f t="shared" si="359"/>
        <v>NO</v>
      </c>
      <c r="T1029" s="22" t="str">
        <f t="shared" si="359"/>
        <v>NO</v>
      </c>
      <c r="U1029" s="22" t="str">
        <f t="shared" si="359"/>
        <v>NO</v>
      </c>
      <c r="V1029" s="22" t="str">
        <f t="shared" si="359"/>
        <v>NO</v>
      </c>
      <c r="W1029" s="22" t="str">
        <f t="shared" si="359"/>
        <v>NO</v>
      </c>
      <c r="X1029" s="22" t="str">
        <f t="shared" si="359"/>
        <v>NO</v>
      </c>
      <c r="Y1029" s="22" t="str">
        <f t="shared" si="359"/>
        <v>NO</v>
      </c>
      <c r="Z1029" s="22" t="str">
        <f t="shared" si="359"/>
        <v>NO</v>
      </c>
      <c r="AA1029" s="22" t="str">
        <f t="shared" si="359"/>
        <v>NO</v>
      </c>
      <c r="AB1029" s="22" t="str">
        <f t="shared" si="359"/>
        <v>NO</v>
      </c>
      <c r="AC1029" s="22" t="str">
        <f t="shared" si="359"/>
        <v>NO</v>
      </c>
      <c r="AD1029" s="22" t="str">
        <f t="shared" si="359"/>
        <v>NO</v>
      </c>
      <c r="AE1029" s="22" t="str">
        <f t="shared" si="359"/>
        <v>NO</v>
      </c>
      <c r="AF1029" s="22" t="str">
        <f t="shared" si="359"/>
        <v>NO</v>
      </c>
      <c r="AG1029" s="22" t="str">
        <f t="shared" si="359"/>
        <v>NO</v>
      </c>
      <c r="AH1029" s="22" t="str">
        <f t="shared" si="359"/>
        <v>NO</v>
      </c>
      <c r="AI1029" s="22" t="str">
        <f t="shared" si="359"/>
        <v>NO</v>
      </c>
      <c r="AJ1029" s="22" t="str">
        <f t="shared" si="359"/>
        <v>NO</v>
      </c>
      <c r="AK1029" s="22" t="str">
        <f t="shared" si="359"/>
        <v>NO</v>
      </c>
      <c r="AL1029" s="22" t="str">
        <f t="shared" si="359"/>
        <v>NO</v>
      </c>
      <c r="AM1029" s="22" t="str">
        <f t="shared" si="359"/>
        <v>NO</v>
      </c>
      <c r="AN1029" s="22" t="str">
        <f t="shared" si="359"/>
        <v>NO</v>
      </c>
      <c r="AO1029" s="22" t="str">
        <f t="shared" si="359"/>
        <v>NO</v>
      </c>
      <c r="AP1029" s="22" t="str">
        <f t="shared" si="359"/>
        <v>NO</v>
      </c>
      <c r="AQ1029" s="22" t="str">
        <f t="shared" si="359"/>
        <v>NO</v>
      </c>
      <c r="AR1029" s="22" t="str">
        <f t="shared" si="359"/>
        <v>NO</v>
      </c>
      <c r="AS1029" s="22" t="str">
        <f t="shared" si="359"/>
        <v>NO</v>
      </c>
      <c r="AT1029" s="22" t="str">
        <f t="shared" si="359"/>
        <v>NO</v>
      </c>
      <c r="AU1029" s="22" t="str">
        <f t="shared" si="359"/>
        <v>NO</v>
      </c>
      <c r="AV1029" s="22" t="str">
        <f t="shared" si="359"/>
        <v>NO</v>
      </c>
      <c r="AW1029" s="22" t="str">
        <f t="shared" si="359"/>
        <v>NO</v>
      </c>
      <c r="AY1029" s="79"/>
      <c r="AZ1029" s="79"/>
    </row>
    <row r="1030" spans="1:52" x14ac:dyDescent="0.3">
      <c r="A1030" s="95" t="str">
        <f t="shared" si="345"/>
        <v>DS Leaching</v>
      </c>
      <c r="B1030" s="95" t="s">
        <v>974</v>
      </c>
      <c r="C1030" s="95" t="s">
        <v>1190</v>
      </c>
      <c r="D1030" t="s">
        <v>369</v>
      </c>
      <c r="E1030" t="s">
        <v>61</v>
      </c>
      <c r="F1030" t="s">
        <v>63</v>
      </c>
      <c r="G1030" t="s">
        <v>1209</v>
      </c>
      <c r="H1030" t="s">
        <v>1210</v>
      </c>
      <c r="I1030" t="s">
        <v>139</v>
      </c>
      <c r="J1030" t="s">
        <v>287</v>
      </c>
      <c r="K1030" s="22">
        <f t="shared" si="357"/>
        <v>1.9333864620707719E-6</v>
      </c>
      <c r="L1030" s="22">
        <f t="shared" si="359"/>
        <v>1.9333864620707719E-6</v>
      </c>
      <c r="M1030" s="22">
        <f t="shared" si="359"/>
        <v>1.9333864620707719E-6</v>
      </c>
      <c r="N1030" s="22">
        <f t="shared" si="359"/>
        <v>1.9333864620707719E-6</v>
      </c>
      <c r="O1030" s="22">
        <f t="shared" si="359"/>
        <v>1.9333864620707719E-6</v>
      </c>
      <c r="P1030" s="22">
        <f t="shared" si="359"/>
        <v>1.9333864620707719E-6</v>
      </c>
      <c r="Q1030" s="22">
        <f t="shared" si="359"/>
        <v>1.9333864620707719E-6</v>
      </c>
      <c r="R1030" s="22">
        <f t="shared" si="359"/>
        <v>1.9333864620707719E-6</v>
      </c>
      <c r="S1030" s="22">
        <f t="shared" si="359"/>
        <v>1.9333864620707719E-6</v>
      </c>
      <c r="T1030" s="22">
        <f t="shared" si="359"/>
        <v>1.9333864620707719E-6</v>
      </c>
      <c r="U1030" s="22">
        <f t="shared" si="359"/>
        <v>1.9333864620707719E-6</v>
      </c>
      <c r="V1030" s="22">
        <f t="shared" si="359"/>
        <v>1.9333864620707719E-6</v>
      </c>
      <c r="W1030" s="22">
        <f t="shared" si="359"/>
        <v>1.9333864620707719E-6</v>
      </c>
      <c r="X1030" s="22">
        <f t="shared" si="359"/>
        <v>1.9333864620707719E-6</v>
      </c>
      <c r="Y1030" s="22">
        <f t="shared" si="359"/>
        <v>1.9333864620707719E-6</v>
      </c>
      <c r="Z1030" s="22">
        <f t="shared" si="359"/>
        <v>1.9333864620707719E-6</v>
      </c>
      <c r="AA1030" s="22">
        <f t="shared" si="359"/>
        <v>1.9333864620707719E-6</v>
      </c>
      <c r="AB1030" s="22">
        <f t="shared" si="359"/>
        <v>1.9333864620707719E-6</v>
      </c>
      <c r="AC1030" s="22">
        <f t="shared" si="359"/>
        <v>1.9333864620707719E-6</v>
      </c>
      <c r="AD1030" s="22">
        <f t="shared" si="359"/>
        <v>1.9333864620707719E-6</v>
      </c>
      <c r="AE1030" s="22">
        <f t="shared" si="359"/>
        <v>1.9333864620707719E-6</v>
      </c>
      <c r="AF1030" s="22">
        <f t="shared" si="359"/>
        <v>1.9333864620707719E-6</v>
      </c>
      <c r="AG1030" s="22">
        <f t="shared" si="359"/>
        <v>1.9333864620707719E-6</v>
      </c>
      <c r="AH1030" s="22">
        <f t="shared" si="359"/>
        <v>1.9333864620707719E-6</v>
      </c>
      <c r="AI1030" s="22">
        <f t="shared" si="359"/>
        <v>1.9333864620707719E-6</v>
      </c>
      <c r="AJ1030" s="22">
        <f t="shared" si="359"/>
        <v>1.9333864620707719E-6</v>
      </c>
      <c r="AK1030" s="22">
        <f t="shared" si="359"/>
        <v>1.9333864620707719E-6</v>
      </c>
      <c r="AL1030" s="22">
        <f t="shared" si="359"/>
        <v>1.9333864620707719E-6</v>
      </c>
      <c r="AM1030" s="22">
        <f t="shared" si="359"/>
        <v>1.9333864620707719E-6</v>
      </c>
      <c r="AN1030" s="22">
        <f t="shared" si="359"/>
        <v>1.9333864620707719E-6</v>
      </c>
      <c r="AO1030" s="22">
        <f t="shared" si="359"/>
        <v>1.9333864620707719E-6</v>
      </c>
      <c r="AP1030" s="22">
        <f t="shared" si="359"/>
        <v>1.9333864620707719E-6</v>
      </c>
      <c r="AQ1030" s="22">
        <f t="shared" si="359"/>
        <v>1.9333864620707719E-6</v>
      </c>
      <c r="AR1030" s="22">
        <f t="shared" si="359"/>
        <v>1.9333864620707719E-6</v>
      </c>
      <c r="AS1030" s="22">
        <f t="shared" si="359"/>
        <v>1.9333864620707719E-6</v>
      </c>
      <c r="AT1030" s="22">
        <f t="shared" si="359"/>
        <v>1.9333864620707719E-6</v>
      </c>
      <c r="AU1030" s="22">
        <f t="shared" si="359"/>
        <v>1.9333864620707719E-6</v>
      </c>
      <c r="AV1030" s="22">
        <f t="shared" si="359"/>
        <v>1.9333864620707719E-6</v>
      </c>
      <c r="AW1030" s="22">
        <f t="shared" si="359"/>
        <v>1.9333864620707719E-6</v>
      </c>
      <c r="AY1030" s="79"/>
      <c r="AZ1030" s="79"/>
    </row>
    <row r="1031" spans="1:52" x14ac:dyDescent="0.3">
      <c r="A1031" s="95" t="str">
        <f t="shared" si="345"/>
        <v>DS Leaching</v>
      </c>
      <c r="B1031" s="95" t="s">
        <v>974</v>
      </c>
      <c r="C1031" s="95" t="s">
        <v>1190</v>
      </c>
      <c r="D1031" t="s">
        <v>369</v>
      </c>
      <c r="E1031" t="s">
        <v>61</v>
      </c>
      <c r="F1031" t="s">
        <v>63</v>
      </c>
      <c r="G1031" t="s">
        <v>1211</v>
      </c>
      <c r="H1031" t="s">
        <v>1212</v>
      </c>
      <c r="I1031" t="s">
        <v>139</v>
      </c>
      <c r="J1031" t="s">
        <v>287</v>
      </c>
      <c r="K1031" s="22">
        <f t="shared" si="357"/>
        <v>2.1082459751876198E-3</v>
      </c>
      <c r="L1031" s="22">
        <f t="shared" si="359"/>
        <v>2.1082459751876198E-3</v>
      </c>
      <c r="M1031" s="22">
        <f t="shared" si="359"/>
        <v>2.1082459751876198E-3</v>
      </c>
      <c r="N1031" s="22">
        <f t="shared" si="359"/>
        <v>2.1082459751876198E-3</v>
      </c>
      <c r="O1031" s="22">
        <f t="shared" si="359"/>
        <v>2.1082459751876198E-3</v>
      </c>
      <c r="P1031" s="22">
        <f t="shared" si="359"/>
        <v>2.1082459751876198E-3</v>
      </c>
      <c r="Q1031" s="22">
        <f t="shared" si="359"/>
        <v>2.1082459751876198E-3</v>
      </c>
      <c r="R1031" s="22">
        <f t="shared" si="359"/>
        <v>2.1082459751876198E-3</v>
      </c>
      <c r="S1031" s="22">
        <f t="shared" si="359"/>
        <v>2.1082459751876198E-3</v>
      </c>
      <c r="T1031" s="22">
        <f t="shared" si="359"/>
        <v>2.1082459751876198E-3</v>
      </c>
      <c r="U1031" s="22">
        <f t="shared" si="359"/>
        <v>2.1082459751876198E-3</v>
      </c>
      <c r="V1031" s="22">
        <f t="shared" si="359"/>
        <v>2.1082459751876198E-3</v>
      </c>
      <c r="W1031" s="22">
        <f t="shared" si="359"/>
        <v>2.1082459751876198E-3</v>
      </c>
      <c r="X1031" s="22">
        <f t="shared" si="359"/>
        <v>2.1082459751876198E-3</v>
      </c>
      <c r="Y1031" s="22">
        <f t="shared" si="359"/>
        <v>2.1082459751876198E-3</v>
      </c>
      <c r="Z1031" s="22">
        <f t="shared" si="359"/>
        <v>2.1082459751876198E-3</v>
      </c>
      <c r="AA1031" s="22">
        <f t="shared" si="359"/>
        <v>2.1082459751876198E-3</v>
      </c>
      <c r="AB1031" s="22">
        <f t="shared" si="359"/>
        <v>2.1082459751876198E-3</v>
      </c>
      <c r="AC1031" s="22">
        <f t="shared" si="359"/>
        <v>2.1082459751876198E-3</v>
      </c>
      <c r="AD1031" s="22">
        <f t="shared" si="359"/>
        <v>2.1082459751876198E-3</v>
      </c>
      <c r="AE1031" s="22">
        <f t="shared" si="359"/>
        <v>2.1082459751876198E-3</v>
      </c>
      <c r="AF1031" s="22">
        <f t="shared" si="359"/>
        <v>2.1082459751876198E-3</v>
      </c>
      <c r="AG1031" s="22">
        <f t="shared" si="359"/>
        <v>2.1082459751876198E-3</v>
      </c>
      <c r="AH1031" s="22">
        <f t="shared" si="359"/>
        <v>2.1082459751876198E-3</v>
      </c>
      <c r="AI1031" s="22">
        <f t="shared" si="359"/>
        <v>2.1082459751876198E-3</v>
      </c>
      <c r="AJ1031" s="22">
        <f t="shared" si="359"/>
        <v>2.1082459751876198E-3</v>
      </c>
      <c r="AK1031" s="22">
        <f t="shared" si="359"/>
        <v>2.1082459751876198E-3</v>
      </c>
      <c r="AL1031" s="22">
        <f t="shared" si="359"/>
        <v>2.1082459751876198E-3</v>
      </c>
      <c r="AM1031" s="22">
        <f t="shared" si="359"/>
        <v>2.1082459751876198E-3</v>
      </c>
      <c r="AN1031" s="22">
        <f t="shared" si="359"/>
        <v>2.1082459751876198E-3</v>
      </c>
      <c r="AO1031" s="22">
        <f t="shared" si="359"/>
        <v>2.1082459751876198E-3</v>
      </c>
      <c r="AP1031" s="22">
        <f t="shared" si="359"/>
        <v>2.1082459751876198E-3</v>
      </c>
      <c r="AQ1031" s="22">
        <f t="shared" si="359"/>
        <v>2.1082459751876198E-3</v>
      </c>
      <c r="AR1031" s="22">
        <f t="shared" si="359"/>
        <v>2.1082459751876198E-3</v>
      </c>
      <c r="AS1031" s="22">
        <f t="shared" si="359"/>
        <v>2.1082459751876198E-3</v>
      </c>
      <c r="AT1031" s="22">
        <f t="shared" si="359"/>
        <v>2.1082459751876198E-3</v>
      </c>
      <c r="AU1031" s="22">
        <f t="shared" si="359"/>
        <v>2.1082459751876198E-3</v>
      </c>
      <c r="AV1031" s="22">
        <f t="shared" si="359"/>
        <v>2.1082459751876198E-3</v>
      </c>
      <c r="AW1031" s="22">
        <f t="shared" si="359"/>
        <v>2.1082459751876198E-3</v>
      </c>
      <c r="AY1031" s="79"/>
      <c r="AZ1031" s="79"/>
    </row>
    <row r="1032" spans="1:52" x14ac:dyDescent="0.3">
      <c r="A1032" s="95" t="str">
        <f t="shared" si="345"/>
        <v>DS Leaching</v>
      </c>
      <c r="B1032" s="95" t="s">
        <v>974</v>
      </c>
      <c r="C1032" s="95" t="s">
        <v>1190</v>
      </c>
      <c r="D1032" t="s">
        <v>369</v>
      </c>
      <c r="E1032" t="s">
        <v>61</v>
      </c>
      <c r="F1032" t="s">
        <v>63</v>
      </c>
      <c r="G1032" t="s">
        <v>1213</v>
      </c>
      <c r="H1032" t="s">
        <v>1214</v>
      </c>
      <c r="I1032" t="s">
        <v>139</v>
      </c>
      <c r="J1032" t="s">
        <v>287</v>
      </c>
      <c r="K1032" s="22" t="str">
        <f t="shared" si="357"/>
        <v>NO</v>
      </c>
      <c r="L1032" s="22" t="str">
        <f t="shared" si="359"/>
        <v>NO</v>
      </c>
      <c r="M1032" s="22" t="str">
        <f t="shared" si="359"/>
        <v>NO</v>
      </c>
      <c r="N1032" s="22" t="str">
        <f t="shared" si="359"/>
        <v>NO</v>
      </c>
      <c r="O1032" s="22" t="str">
        <f t="shared" si="359"/>
        <v>NO</v>
      </c>
      <c r="P1032" s="22" t="str">
        <f t="shared" si="359"/>
        <v>NO</v>
      </c>
      <c r="Q1032" s="22" t="str">
        <f t="shared" si="359"/>
        <v>NO</v>
      </c>
      <c r="R1032" s="22" t="str">
        <f t="shared" si="359"/>
        <v>NO</v>
      </c>
      <c r="S1032" s="22" t="str">
        <f t="shared" si="359"/>
        <v>NO</v>
      </c>
      <c r="T1032" s="22" t="str">
        <f t="shared" si="359"/>
        <v>NO</v>
      </c>
      <c r="U1032" s="22" t="str">
        <f t="shared" si="359"/>
        <v>NO</v>
      </c>
      <c r="V1032" s="22" t="str">
        <f t="shared" si="359"/>
        <v>NO</v>
      </c>
      <c r="W1032" s="22" t="str">
        <f t="shared" si="359"/>
        <v>NO</v>
      </c>
      <c r="X1032" s="22" t="str">
        <f t="shared" si="359"/>
        <v>NO</v>
      </c>
      <c r="Y1032" s="22" t="str">
        <f t="shared" si="359"/>
        <v>NO</v>
      </c>
      <c r="Z1032" s="22" t="str">
        <f t="shared" si="359"/>
        <v>NO</v>
      </c>
      <c r="AA1032" s="22" t="str">
        <f t="shared" si="359"/>
        <v>NO</v>
      </c>
      <c r="AB1032" s="22" t="str">
        <f t="shared" si="359"/>
        <v>NO</v>
      </c>
      <c r="AC1032" s="22" t="str">
        <f t="shared" si="359"/>
        <v>NO</v>
      </c>
      <c r="AD1032" s="22" t="str">
        <f t="shared" si="359"/>
        <v>NO</v>
      </c>
      <c r="AE1032" s="22" t="str">
        <f t="shared" si="359"/>
        <v>NO</v>
      </c>
      <c r="AF1032" s="22" t="str">
        <f t="shared" si="359"/>
        <v>NO</v>
      </c>
      <c r="AG1032" s="22" t="str">
        <f t="shared" si="359"/>
        <v>NO</v>
      </c>
      <c r="AH1032" s="22" t="str">
        <f t="shared" si="359"/>
        <v>NO</v>
      </c>
      <c r="AI1032" s="22" t="str">
        <f t="shared" si="359"/>
        <v>NO</v>
      </c>
      <c r="AJ1032" s="22" t="str">
        <f t="shared" si="359"/>
        <v>NO</v>
      </c>
      <c r="AK1032" s="22" t="str">
        <f t="shared" si="359"/>
        <v>NO</v>
      </c>
      <c r="AL1032" s="22" t="str">
        <f t="shared" si="359"/>
        <v>NO</v>
      </c>
      <c r="AM1032" s="22" t="str">
        <f t="shared" si="359"/>
        <v>NO</v>
      </c>
      <c r="AN1032" s="22" t="str">
        <f t="shared" si="359"/>
        <v>NO</v>
      </c>
      <c r="AO1032" s="22" t="str">
        <f t="shared" si="359"/>
        <v>NO</v>
      </c>
      <c r="AP1032" s="22" t="str">
        <f t="shared" si="359"/>
        <v>NO</v>
      </c>
      <c r="AQ1032" s="22" t="str">
        <f t="shared" si="359"/>
        <v>NO</v>
      </c>
      <c r="AR1032" s="22" t="str">
        <f t="shared" si="359"/>
        <v>NO</v>
      </c>
      <c r="AS1032" s="22" t="str">
        <f t="shared" si="359"/>
        <v>NO</v>
      </c>
      <c r="AT1032" s="22" t="str">
        <f t="shared" si="359"/>
        <v>NO</v>
      </c>
      <c r="AU1032" s="22" t="str">
        <f t="shared" si="359"/>
        <v>NO</v>
      </c>
      <c r="AV1032" s="22" t="str">
        <f t="shared" si="359"/>
        <v>NO</v>
      </c>
      <c r="AW1032" s="22" t="str">
        <f t="shared" si="359"/>
        <v>NO</v>
      </c>
      <c r="AY1032" s="79"/>
      <c r="AZ1032" s="79"/>
    </row>
    <row r="1033" spans="1:52" x14ac:dyDescent="0.3">
      <c r="A1033" s="95" t="str">
        <f t="shared" si="345"/>
        <v xml:space="preserve">DS </v>
      </c>
      <c r="B1033" s="95" t="s">
        <v>974</v>
      </c>
      <c r="C1033" s="95"/>
      <c r="D1033" t="s">
        <v>369</v>
      </c>
      <c r="E1033" t="s">
        <v>61</v>
      </c>
      <c r="F1033" t="s">
        <v>63</v>
      </c>
      <c r="G1033" t="s">
        <v>1215</v>
      </c>
      <c r="H1033" t="s">
        <v>1216</v>
      </c>
      <c r="I1033" t="s">
        <v>139</v>
      </c>
      <c r="J1033" t="s">
        <v>287</v>
      </c>
      <c r="K1033" s="22">
        <f t="shared" si="357"/>
        <v>0.11026792439175388</v>
      </c>
      <c r="L1033" s="22">
        <f t="shared" si="359"/>
        <v>0.11026792439175388</v>
      </c>
      <c r="M1033" s="22">
        <f t="shared" si="359"/>
        <v>0.11026792439175388</v>
      </c>
      <c r="N1033" s="22">
        <f t="shared" si="359"/>
        <v>0.11026792439175388</v>
      </c>
      <c r="O1033" s="22">
        <f t="shared" si="359"/>
        <v>0.11026792439175388</v>
      </c>
      <c r="P1033" s="22">
        <f t="shared" si="359"/>
        <v>0.11026792439175388</v>
      </c>
      <c r="Q1033" s="22">
        <f t="shared" si="359"/>
        <v>0.11026792439175388</v>
      </c>
      <c r="R1033" s="22">
        <f t="shared" si="359"/>
        <v>0.11026792439175388</v>
      </c>
      <c r="S1033" s="22">
        <f t="shared" si="359"/>
        <v>0.11026792439175388</v>
      </c>
      <c r="T1033" s="22">
        <f t="shared" si="359"/>
        <v>0.11026792439175388</v>
      </c>
      <c r="U1033" s="22">
        <f t="shared" si="359"/>
        <v>0.11026792439175388</v>
      </c>
      <c r="V1033" s="22">
        <f t="shared" si="359"/>
        <v>0.11026792439175388</v>
      </c>
      <c r="W1033" s="22">
        <f t="shared" si="359"/>
        <v>0.11026792439175388</v>
      </c>
      <c r="X1033" s="22">
        <f t="shared" si="359"/>
        <v>0.11026792439175388</v>
      </c>
      <c r="Y1033" s="22">
        <f t="shared" si="359"/>
        <v>0.11026792439175388</v>
      </c>
      <c r="Z1033" s="22">
        <f t="shared" si="359"/>
        <v>0.11026792439175388</v>
      </c>
      <c r="AA1033" s="22">
        <f t="shared" si="359"/>
        <v>0.11026792439175388</v>
      </c>
      <c r="AB1033" s="22">
        <f t="shared" si="359"/>
        <v>0.11026792439175388</v>
      </c>
      <c r="AC1033" s="22">
        <f t="shared" si="359"/>
        <v>0.11026792439175388</v>
      </c>
      <c r="AD1033" s="22">
        <f t="shared" si="359"/>
        <v>0.11026792439175388</v>
      </c>
      <c r="AE1033" s="22">
        <f t="shared" si="359"/>
        <v>0.11026792439175388</v>
      </c>
      <c r="AF1033" s="22">
        <f t="shared" si="359"/>
        <v>0.11026792439175388</v>
      </c>
      <c r="AG1033" s="22">
        <f t="shared" si="359"/>
        <v>0.11026792439175388</v>
      </c>
      <c r="AH1033" s="22">
        <f t="shared" si="359"/>
        <v>0.11026792439175388</v>
      </c>
      <c r="AI1033" s="22">
        <f t="shared" si="359"/>
        <v>0.11026792439175388</v>
      </c>
      <c r="AJ1033" s="22">
        <f t="shared" si="359"/>
        <v>0.11026792439175388</v>
      </c>
      <c r="AK1033" s="22">
        <f t="shared" si="359"/>
        <v>0.11026792439175388</v>
      </c>
      <c r="AL1033" s="22">
        <f t="shared" si="359"/>
        <v>0.11026792439175388</v>
      </c>
      <c r="AM1033" s="22">
        <f t="shared" si="359"/>
        <v>0.11026792439175388</v>
      </c>
      <c r="AN1033" s="22">
        <f t="shared" si="359"/>
        <v>0.11026792439175388</v>
      </c>
      <c r="AO1033" s="22">
        <f t="shared" si="359"/>
        <v>0.11026792439175388</v>
      </c>
      <c r="AP1033" s="22">
        <f t="shared" si="359"/>
        <v>0.11026792439175388</v>
      </c>
      <c r="AQ1033" s="22">
        <f t="shared" si="359"/>
        <v>0.11026792439175388</v>
      </c>
      <c r="AR1033" s="22">
        <f t="shared" si="359"/>
        <v>0.11026792439175388</v>
      </c>
      <c r="AS1033" s="22">
        <f t="shared" si="359"/>
        <v>0.11026792439175388</v>
      </c>
      <c r="AT1033" s="22">
        <f t="shared" si="359"/>
        <v>0.11026792439175388</v>
      </c>
      <c r="AU1033" s="22">
        <f t="shared" si="359"/>
        <v>0.11026792439175388</v>
      </c>
      <c r="AV1033" s="22">
        <f t="shared" si="359"/>
        <v>0.11026792439175388</v>
      </c>
      <c r="AW1033" s="22">
        <f t="shared" si="359"/>
        <v>0.11026792439175388</v>
      </c>
      <c r="AY1033" s="79"/>
      <c r="AZ1033" s="79"/>
    </row>
    <row r="1034" spans="1:52" x14ac:dyDescent="0.3">
      <c r="A1034" s="95" t="str">
        <f t="shared" si="345"/>
        <v>DS MM Volatilisation</v>
      </c>
      <c r="B1034" s="95" t="s">
        <v>974</v>
      </c>
      <c r="C1034" s="95" t="s">
        <v>1332</v>
      </c>
      <c r="D1034" t="s">
        <v>369</v>
      </c>
      <c r="E1034" t="s">
        <v>64</v>
      </c>
      <c r="F1034" t="s">
        <v>62</v>
      </c>
      <c r="G1034" t="s">
        <v>1152</v>
      </c>
      <c r="H1034" t="s">
        <v>1290</v>
      </c>
      <c r="I1034" t="s">
        <v>139</v>
      </c>
      <c r="J1034" t="s">
        <v>287</v>
      </c>
      <c r="K1034" s="22">
        <f t="shared" ref="K1034:AW1034" si="360">K1531</f>
        <v>0.39609736661915962</v>
      </c>
      <c r="L1034" s="22">
        <f t="shared" si="360"/>
        <v>0.39831175345583031</v>
      </c>
      <c r="M1034" s="22">
        <f t="shared" si="360"/>
        <v>0.40145358914715529</v>
      </c>
      <c r="N1034" s="22">
        <f t="shared" si="360"/>
        <v>0.40347255325329029</v>
      </c>
      <c r="O1034" s="22">
        <f t="shared" si="360"/>
        <v>0.40481416413578264</v>
      </c>
      <c r="P1034" s="22">
        <f t="shared" si="360"/>
        <v>0.40546521734783814</v>
      </c>
      <c r="Q1034" s="22">
        <f t="shared" si="360"/>
        <v>0.40690363619044922</v>
      </c>
      <c r="R1034" s="22">
        <f t="shared" si="360"/>
        <v>0.40855374420631185</v>
      </c>
      <c r="S1034" s="22">
        <f t="shared" si="360"/>
        <v>0.39627278224994505</v>
      </c>
      <c r="T1034" s="22">
        <f t="shared" si="360"/>
        <v>0.40043963770604657</v>
      </c>
      <c r="U1034" s="22">
        <f t="shared" si="360"/>
        <v>0.40653881152865828</v>
      </c>
      <c r="V1034" s="22">
        <f t="shared" si="360"/>
        <v>0.4097001600416656</v>
      </c>
      <c r="W1034" s="22">
        <f t="shared" si="360"/>
        <v>0.41331316056610856</v>
      </c>
      <c r="X1034" s="22">
        <f t="shared" si="360"/>
        <v>0.41749483013247579</v>
      </c>
      <c r="Y1034" s="22">
        <f t="shared" si="360"/>
        <v>0.42176510375665716</v>
      </c>
      <c r="Z1034" s="22">
        <f t="shared" si="360"/>
        <v>0.42649174593727851</v>
      </c>
      <c r="AA1034" s="22">
        <f t="shared" si="360"/>
        <v>0.43136480656999721</v>
      </c>
      <c r="AB1034" s="22">
        <f t="shared" si="360"/>
        <v>0.43666405575288475</v>
      </c>
      <c r="AC1034" s="22">
        <f t="shared" si="360"/>
        <v>0.44208284608865023</v>
      </c>
      <c r="AD1034" s="22">
        <f t="shared" si="360"/>
        <v>0.44793692741043817</v>
      </c>
      <c r="AE1034" s="22">
        <f t="shared" si="360"/>
        <v>0.45371177751541658</v>
      </c>
      <c r="AF1034" s="22">
        <f t="shared" si="360"/>
        <v>0.45980708874384696</v>
      </c>
      <c r="AG1034" s="22">
        <f t="shared" si="360"/>
        <v>0.4667018933762529</v>
      </c>
      <c r="AH1034" s="22">
        <f t="shared" si="360"/>
        <v>0.47325726684756153</v>
      </c>
      <c r="AI1034" s="22">
        <f t="shared" si="360"/>
        <v>0.47997976762000966</v>
      </c>
      <c r="AJ1034" s="22">
        <f t="shared" si="360"/>
        <v>0.48716917791574549</v>
      </c>
      <c r="AK1034" s="22">
        <f t="shared" si="360"/>
        <v>0.49390478893176154</v>
      </c>
      <c r="AL1034" s="22">
        <f t="shared" si="360"/>
        <v>0.50060384763887944</v>
      </c>
      <c r="AM1034" s="22">
        <f t="shared" si="360"/>
        <v>0.50728498742813199</v>
      </c>
      <c r="AN1034" s="22">
        <f t="shared" si="360"/>
        <v>0.51435343301423675</v>
      </c>
      <c r="AO1034" s="22">
        <f t="shared" si="360"/>
        <v>0.52113757148367401</v>
      </c>
      <c r="AP1034" s="22">
        <f t="shared" si="360"/>
        <v>0.52818514749495915</v>
      </c>
      <c r="AQ1034" s="22">
        <f t="shared" si="360"/>
        <v>0.5355283037572397</v>
      </c>
      <c r="AR1034" s="22">
        <f t="shared" si="360"/>
        <v>0.5432187291547913</v>
      </c>
      <c r="AS1034" s="22">
        <f t="shared" si="360"/>
        <v>0.55104518804876201</v>
      </c>
      <c r="AT1034" s="22">
        <f t="shared" si="360"/>
        <v>0.55290077890622136</v>
      </c>
      <c r="AU1034" s="22">
        <f t="shared" si="360"/>
        <v>0.55422139724319897</v>
      </c>
      <c r="AV1034" s="22">
        <f t="shared" si="360"/>
        <v>0.55476247870419659</v>
      </c>
      <c r="AW1034" s="22">
        <f t="shared" si="360"/>
        <v>0.55508919829714432</v>
      </c>
      <c r="AY1034" s="79"/>
      <c r="AZ1034" s="79"/>
    </row>
    <row r="1035" spans="1:52" x14ac:dyDescent="0.3">
      <c r="A1035" s="95" t="str">
        <f t="shared" si="345"/>
        <v>DS MM Volatilisation</v>
      </c>
      <c r="B1035" s="95" t="s">
        <v>974</v>
      </c>
      <c r="C1035" s="95" t="s">
        <v>1332</v>
      </c>
      <c r="D1035" t="s">
        <v>369</v>
      </c>
      <c r="E1035" t="s">
        <v>64</v>
      </c>
      <c r="F1035" t="s">
        <v>62</v>
      </c>
      <c r="G1035" t="s">
        <v>1154</v>
      </c>
      <c r="H1035" t="s">
        <v>1291</v>
      </c>
      <c r="I1035" t="s">
        <v>139</v>
      </c>
      <c r="J1035" t="s">
        <v>287</v>
      </c>
      <c r="K1035" s="22">
        <f t="shared" ref="K1035:AW1035" si="361">K1532</f>
        <v>3.1249813656142676E-2</v>
      </c>
      <c r="L1035" s="22">
        <f t="shared" si="361"/>
        <v>3.1424516095088978E-2</v>
      </c>
      <c r="M1035" s="22">
        <f t="shared" si="361"/>
        <v>3.1672388936885787E-2</v>
      </c>
      <c r="N1035" s="22">
        <f t="shared" si="361"/>
        <v>3.1831673641638247E-2</v>
      </c>
      <c r="O1035" s="22">
        <f t="shared" si="361"/>
        <v>3.1937519056453256E-2</v>
      </c>
      <c r="P1035" s="22">
        <f t="shared" si="361"/>
        <v>3.198888342610464E-2</v>
      </c>
      <c r="Q1035" s="22">
        <f t="shared" si="361"/>
        <v>3.2102366434524382E-2</v>
      </c>
      <c r="R1035" s="22">
        <f t="shared" si="361"/>
        <v>3.2232550506305392E-2</v>
      </c>
      <c r="S1035" s="22">
        <f t="shared" si="361"/>
        <v>3.1263652944752973E-2</v>
      </c>
      <c r="T1035" s="22">
        <f t="shared" si="361"/>
        <v>3.1592393975390647E-2</v>
      </c>
      <c r="U1035" s="22">
        <f t="shared" si="361"/>
        <v>3.2073583858170898E-2</v>
      </c>
      <c r="V1035" s="22">
        <f t="shared" si="361"/>
        <v>3.2322996149842582E-2</v>
      </c>
      <c r="W1035" s="22">
        <f t="shared" si="361"/>
        <v>3.2608041198468073E-2</v>
      </c>
      <c r="X1035" s="22">
        <f t="shared" si="361"/>
        <v>3.2937950977560811E-2</v>
      </c>
      <c r="Y1035" s="22">
        <f t="shared" si="361"/>
        <v>3.3274851109352674E-2</v>
      </c>
      <c r="Z1035" s="22">
        <f t="shared" si="361"/>
        <v>3.3647756106486112E-2</v>
      </c>
      <c r="AA1035" s="22">
        <f t="shared" si="361"/>
        <v>3.4032212680907031E-2</v>
      </c>
      <c r="AB1035" s="22">
        <f t="shared" si="361"/>
        <v>3.4450293091024778E-2</v>
      </c>
      <c r="AC1035" s="22">
        <f t="shared" si="361"/>
        <v>3.4877804613456062E-2</v>
      </c>
      <c r="AD1035" s="22">
        <f t="shared" si="361"/>
        <v>3.5339658101640622E-2</v>
      </c>
      <c r="AE1035" s="22">
        <f t="shared" si="361"/>
        <v>3.5795260700600191E-2</v>
      </c>
      <c r="AF1035" s="22">
        <f t="shared" si="361"/>
        <v>3.6276145846821803E-2</v>
      </c>
      <c r="AG1035" s="22">
        <f t="shared" si="361"/>
        <v>3.682010644367513E-2</v>
      </c>
      <c r="AH1035" s="22">
        <f t="shared" si="361"/>
        <v>3.7337287865943425E-2</v>
      </c>
      <c r="AI1035" s="22">
        <f t="shared" si="361"/>
        <v>3.7867654675082699E-2</v>
      </c>
      <c r="AJ1035" s="22">
        <f t="shared" si="361"/>
        <v>3.843485797147652E-2</v>
      </c>
      <c r="AK1035" s="22">
        <f t="shared" si="361"/>
        <v>3.8966259103746965E-2</v>
      </c>
      <c r="AL1035" s="22">
        <f t="shared" si="361"/>
        <v>3.9494776468191543E-2</v>
      </c>
      <c r="AM1035" s="22">
        <f t="shared" si="361"/>
        <v>4.0021880132643621E-2</v>
      </c>
      <c r="AN1035" s="22">
        <f t="shared" si="361"/>
        <v>4.0579540006249255E-2</v>
      </c>
      <c r="AO1035" s="22">
        <f t="shared" si="361"/>
        <v>4.1114769676663131E-2</v>
      </c>
      <c r="AP1035" s="22">
        <f t="shared" si="361"/>
        <v>4.167078306034188E-2</v>
      </c>
      <c r="AQ1035" s="22">
        <f t="shared" si="361"/>
        <v>4.2250116032946157E-2</v>
      </c>
      <c r="AR1035" s="22">
        <f t="shared" si="361"/>
        <v>4.2856846551407354E-2</v>
      </c>
      <c r="AS1035" s="22">
        <f t="shared" si="361"/>
        <v>4.3474309333630792E-2</v>
      </c>
      <c r="AT1035" s="22">
        <f t="shared" si="361"/>
        <v>4.3620704824751035E-2</v>
      </c>
      <c r="AU1035" s="22">
        <f t="shared" si="361"/>
        <v>4.3724894047955633E-2</v>
      </c>
      <c r="AV1035" s="22">
        <f t="shared" si="361"/>
        <v>4.376758227629024E-2</v>
      </c>
      <c r="AW1035" s="22">
        <f t="shared" si="361"/>
        <v>4.3793358580951298E-2</v>
      </c>
      <c r="AY1035" s="79"/>
      <c r="AZ1035" s="79"/>
    </row>
    <row r="1036" spans="1:52" x14ac:dyDescent="0.3">
      <c r="A1036" s="95" t="str">
        <f t="shared" si="345"/>
        <v>DS MM Volatilisation</v>
      </c>
      <c r="B1036" s="95" t="s">
        <v>974</v>
      </c>
      <c r="C1036" s="95" t="s">
        <v>1332</v>
      </c>
      <c r="D1036" t="s">
        <v>369</v>
      </c>
      <c r="E1036" t="s">
        <v>64</v>
      </c>
      <c r="F1036" t="s">
        <v>62</v>
      </c>
      <c r="G1036" t="s">
        <v>1156</v>
      </c>
      <c r="H1036" t="s">
        <v>1292</v>
      </c>
      <c r="I1036" t="s">
        <v>139</v>
      </c>
      <c r="J1036" t="s">
        <v>287</v>
      </c>
      <c r="K1036" s="22">
        <f t="shared" ref="K1036:AW1036" si="362">K1533</f>
        <v>2.8967336997006343E-4</v>
      </c>
      <c r="L1036" s="22">
        <f t="shared" si="362"/>
        <v>2.9129279224209415E-4</v>
      </c>
      <c r="M1036" s="22">
        <f t="shared" si="362"/>
        <v>2.9359047510821973E-4</v>
      </c>
      <c r="N1036" s="22">
        <f t="shared" si="362"/>
        <v>2.9506698110336069E-4</v>
      </c>
      <c r="O1036" s="22">
        <f t="shared" si="362"/>
        <v>2.9604812609010248E-4</v>
      </c>
      <c r="P1036" s="22">
        <f t="shared" si="362"/>
        <v>2.9652425341095714E-4</v>
      </c>
      <c r="Q1036" s="22">
        <f t="shared" si="362"/>
        <v>2.9757619585915883E-4</v>
      </c>
      <c r="R1036" s="22">
        <f t="shared" si="362"/>
        <v>2.9878295053629647E-4</v>
      </c>
      <c r="S1036" s="22">
        <f t="shared" si="362"/>
        <v>2.8980165468285715E-4</v>
      </c>
      <c r="T1036" s="22">
        <f t="shared" si="362"/>
        <v>2.9284895356406268E-4</v>
      </c>
      <c r="U1036" s="22">
        <f t="shared" si="362"/>
        <v>2.9730939279977176E-4</v>
      </c>
      <c r="V1036" s="22">
        <f t="shared" si="362"/>
        <v>2.996213457552509E-4</v>
      </c>
      <c r="W1036" s="22">
        <f t="shared" si="362"/>
        <v>3.0226360022553945E-4</v>
      </c>
      <c r="X1036" s="22">
        <f t="shared" si="362"/>
        <v>3.0532173294106326E-4</v>
      </c>
      <c r="Y1036" s="22">
        <f t="shared" si="362"/>
        <v>3.084446634517329E-4</v>
      </c>
      <c r="Z1036" s="22">
        <f t="shared" si="362"/>
        <v>3.1190134477428172E-4</v>
      </c>
      <c r="AA1036" s="22">
        <f t="shared" si="362"/>
        <v>3.1546510463362291E-4</v>
      </c>
      <c r="AB1036" s="22">
        <f t="shared" si="362"/>
        <v>3.1934054410503462E-4</v>
      </c>
      <c r="AC1036" s="22">
        <f t="shared" si="362"/>
        <v>3.2330340624451355E-4</v>
      </c>
      <c r="AD1036" s="22">
        <f t="shared" si="362"/>
        <v>3.2758460477667038E-4</v>
      </c>
      <c r="AE1036" s="22">
        <f t="shared" si="362"/>
        <v>3.3180786004660364E-4</v>
      </c>
      <c r="AF1036" s="22">
        <f t="shared" si="362"/>
        <v>3.3626547449535976E-4</v>
      </c>
      <c r="AG1036" s="22">
        <f t="shared" si="362"/>
        <v>3.4130777333769093E-4</v>
      </c>
      <c r="AH1036" s="22">
        <f t="shared" si="362"/>
        <v>3.4610183985990577E-4</v>
      </c>
      <c r="AI1036" s="22">
        <f t="shared" si="362"/>
        <v>3.5101812968531553E-4</v>
      </c>
      <c r="AJ1036" s="22">
        <f t="shared" si="362"/>
        <v>3.5627587912767834E-4</v>
      </c>
      <c r="AK1036" s="22">
        <f t="shared" si="362"/>
        <v>3.6120175671800533E-4</v>
      </c>
      <c r="AL1036" s="22">
        <f t="shared" si="362"/>
        <v>3.661009029251144E-4</v>
      </c>
      <c r="AM1036" s="22">
        <f t="shared" si="362"/>
        <v>3.7098694469437114E-4</v>
      </c>
      <c r="AN1036" s="22">
        <f t="shared" si="362"/>
        <v>3.7615623039514106E-4</v>
      </c>
      <c r="AO1036" s="22">
        <f t="shared" si="362"/>
        <v>3.8111759701456354E-4</v>
      </c>
      <c r="AP1036" s="22">
        <f t="shared" si="362"/>
        <v>3.8627162040718048E-4</v>
      </c>
      <c r="AQ1036" s="22">
        <f t="shared" si="362"/>
        <v>3.916418071339122E-4</v>
      </c>
      <c r="AR1036" s="22">
        <f t="shared" si="362"/>
        <v>3.9726595823702738E-4</v>
      </c>
      <c r="AS1036" s="22">
        <f t="shared" si="362"/>
        <v>4.0298959316573016E-4</v>
      </c>
      <c r="AT1036" s="22">
        <f t="shared" si="362"/>
        <v>4.0434662126605264E-4</v>
      </c>
      <c r="AU1036" s="22">
        <f t="shared" si="362"/>
        <v>4.0531241401388569E-4</v>
      </c>
      <c r="AV1036" s="22">
        <f t="shared" si="362"/>
        <v>4.0570811694817522E-4</v>
      </c>
      <c r="AW1036" s="22">
        <f t="shared" si="362"/>
        <v>4.0594705306212152E-4</v>
      </c>
      <c r="AY1036" s="79"/>
      <c r="AZ1036" s="79"/>
    </row>
    <row r="1037" spans="1:52" x14ac:dyDescent="0.3">
      <c r="A1037" s="95" t="str">
        <f t="shared" si="345"/>
        <v>DS MM Volatilisation</v>
      </c>
      <c r="B1037" s="95" t="s">
        <v>974</v>
      </c>
      <c r="C1037" s="95" t="s">
        <v>1332</v>
      </c>
      <c r="D1037" t="s">
        <v>369</v>
      </c>
      <c r="E1037" t="s">
        <v>64</v>
      </c>
      <c r="F1037" t="s">
        <v>62</v>
      </c>
      <c r="G1037" t="s">
        <v>1158</v>
      </c>
      <c r="H1037" t="s">
        <v>1293</v>
      </c>
      <c r="I1037" t="s">
        <v>139</v>
      </c>
      <c r="J1037" t="s">
        <v>287</v>
      </c>
      <c r="K1037" s="94">
        <f>IF('Net zero activities &amp; levers'!$C$12="Off",Constants!$H66*'Activity data'!AD8*Constants!$H84*EF!$H209*MMVolatEF*NtoN2O*kgtoGg,Constants!$H66*'Net zero Activity data'!AD8*Constants!$H84*EF!$H209*MMVolatEF*NtoN2O*kgtoGg)</f>
        <v>3.2323215352203891E-3</v>
      </c>
      <c r="L1037" s="94">
        <f>IF('Net zero activities &amp; levers'!$C$12="Off",Constants!$H66*'Activity data'!AE8*Constants!$H84*EF!$H209*MMVolatEF*NtoN2O*kgtoGg,Constants!$H66*'Net zero Activity data'!AE8*Constants!$H84*EF!$H209*MMVolatEF*NtoN2O*kgtoGg)</f>
        <v>3.2042886428129448E-3</v>
      </c>
      <c r="M1037" s="94">
        <f>IF('Net zero activities &amp; levers'!$C$12="Off",Constants!$H66*'Activity data'!AF8*Constants!$H84*EF!$H209*MMVolatEF*NtoN2O*kgtoGg,Constants!$H66*'Net zero Activity data'!AF8*Constants!$H84*EF!$H209*MMVolatEF*NtoN2O*kgtoGg)</f>
        <v>3.193617369300608E-3</v>
      </c>
      <c r="N1037" s="94">
        <f>IF('Net zero activities &amp; levers'!$C$12="Off",Constants!$H66*'Activity data'!AG8*Constants!$H84*EF!$H209*MMVolatEF*NtoN2O*kgtoGg,Constants!$H66*'Net zero Activity data'!AG8*Constants!$H84*EF!$H209*MMVolatEF*NtoN2O*kgtoGg)</f>
        <v>3.150970789688672E-3</v>
      </c>
      <c r="O1037" s="94">
        <f>IF('Net zero activities &amp; levers'!$C$12="Off",Constants!$H66*'Activity data'!AH8*Constants!$H84*EF!$H209*MMVolatEF*NtoN2O*kgtoGg,Constants!$H66*'Net zero Activity data'!AH8*Constants!$H84*EF!$H209*MMVolatEF*NtoN2O*kgtoGg)</f>
        <v>3.0890682378804119E-3</v>
      </c>
      <c r="P1037" s="94">
        <f>IF('Net zero activities &amp; levers'!$C$12="Off",Constants!$H66*'Activity data'!AI8*Constants!$H84*EF!$H209*MMVolatEF*NtoN2O*kgtoGg,Constants!$H66*'Net zero Activity data'!AI8*Constants!$H84*EF!$H209*MMVolatEF*NtoN2O*kgtoGg)</f>
        <v>3.0091897617382942E-3</v>
      </c>
      <c r="Q1037" s="94">
        <f>IF('Net zero activities &amp; levers'!$C$12="Off",Constants!$H66*'Activity data'!AJ8*Constants!$H84*EF!$H209*MMVolatEF*NtoN2O*kgtoGg,Constants!$H66*'Net zero Activity data'!AJ8*Constants!$H84*EF!$H209*MMVolatEF*NtoN2O*kgtoGg)</f>
        <v>2.9461872714039495E-3</v>
      </c>
      <c r="R1037" s="94">
        <f>IF('Net zero activities &amp; levers'!$C$12="Off",Constants!$H66*'Activity data'!AK8*Constants!$H84*EF!$H209*MMVolatEF*NtoN2O*kgtoGg,Constants!$H66*'Net zero Activity data'!AK8*Constants!$H84*EF!$H209*MMVolatEF*NtoN2O*kgtoGg)</f>
        <v>2.8865797531671877E-3</v>
      </c>
      <c r="S1037" s="94">
        <f>IF('Net zero activities &amp; levers'!$C$12="Off",Constants!$H66*'Activity data'!AL8*Constants!$H84*EF!$H209*MMVolatEF*NtoN2O*kgtoGg,Constants!$H66*'Net zero Activity data'!AL8*Constants!$H84*EF!$H209*MMVolatEF*NtoN2O*kgtoGg)</f>
        <v>2.5393486840215836E-3</v>
      </c>
      <c r="T1037" s="94">
        <f>IF('Net zero activities &amp; levers'!$C$12="Off",Constants!$H66*'Activity data'!AM8*Constants!$H84*EF!$H209*MMVolatEF*NtoN2O*kgtoGg,Constants!$H66*'Net zero Activity data'!AM8*Constants!$H84*EF!$H209*MMVolatEF*NtoN2O*kgtoGg)</f>
        <v>2.580595358897255E-3</v>
      </c>
      <c r="U1037" s="94">
        <f>IF('Net zero activities &amp; levers'!$C$12="Off",Constants!$H66*'Activity data'!AN8*Constants!$H84*EF!$H209*MMVolatEF*NtoN2O*kgtoGg,Constants!$H66*'Net zero Activity data'!AN8*Constants!$H84*EF!$H209*MMVolatEF*NtoN2O*kgtoGg)</f>
        <v>2.657542332078646E-3</v>
      </c>
      <c r="V1037" s="94">
        <f>IF('Net zero activities &amp; levers'!$C$12="Off",Constants!$H66*'Activity data'!AO8*Constants!$H84*EF!$H209*MMVolatEF*NtoN2O*kgtoGg,Constants!$H66*'Net zero Activity data'!AO8*Constants!$H84*EF!$H209*MMVolatEF*NtoN2O*kgtoGg)</f>
        <v>2.672909531392759E-3</v>
      </c>
      <c r="W1037" s="94">
        <f>IF('Net zero activities &amp; levers'!$C$12="Off",Constants!$H66*'Activity data'!AP8*Constants!$H84*EF!$H209*MMVolatEF*NtoN2O*kgtoGg,Constants!$H66*'Net zero Activity data'!AP8*Constants!$H84*EF!$H209*MMVolatEF*NtoN2O*kgtoGg)</f>
        <v>2.69507345244463E-3</v>
      </c>
      <c r="X1037" s="94">
        <f>IF('Net zero activities &amp; levers'!$C$12="Off",Constants!$H66*'Activity data'!AQ8*Constants!$H84*EF!$H209*MMVolatEF*NtoN2O*kgtoGg,Constants!$H66*'Net zero Activity data'!AQ8*Constants!$H84*EF!$H209*MMVolatEF*NtoN2O*kgtoGg)</f>
        <v>2.7259926112042248E-3</v>
      </c>
      <c r="Y1037" s="94">
        <f>IF('Net zero activities &amp; levers'!$C$12="Off",Constants!$H66*'Activity data'!AR8*Constants!$H84*EF!$H209*MMVolatEF*NtoN2O*kgtoGg,Constants!$H66*'Net zero Activity data'!AR8*Constants!$H84*EF!$H209*MMVolatEF*NtoN2O*kgtoGg)</f>
        <v>2.7614582970453471E-3</v>
      </c>
      <c r="Z1037" s="94">
        <f>IF('Net zero activities &amp; levers'!$C$12="Off",Constants!$H66*'Activity data'!AS8*Constants!$H84*EF!$H209*MMVolatEF*NtoN2O*kgtoGg,Constants!$H66*'Net zero Activity data'!AS8*Constants!$H84*EF!$H209*MMVolatEF*NtoN2O*kgtoGg)</f>
        <v>2.8030399515039583E-3</v>
      </c>
      <c r="AA1037" s="94">
        <f>IF('Net zero activities &amp; levers'!$C$12="Off",Constants!$H66*'Activity data'!AT8*Constants!$H84*EF!$H209*MMVolatEF*NtoN2O*kgtoGg,Constants!$H66*'Net zero Activity data'!AT8*Constants!$H84*EF!$H209*MMVolatEF*NtoN2O*kgtoGg)</f>
        <v>2.8448133898556971E-3</v>
      </c>
      <c r="AB1037" s="94">
        <f>IF('Net zero activities &amp; levers'!$C$12="Off",Constants!$H66*'Activity data'!AU8*Constants!$H84*EF!$H209*MMVolatEF*NtoN2O*kgtoGg,Constants!$H66*'Net zero Activity data'!AU8*Constants!$H84*EF!$H209*MMVolatEF*NtoN2O*kgtoGg)</f>
        <v>2.8917956180905236E-3</v>
      </c>
      <c r="AC1037" s="94">
        <f>IF('Net zero activities &amp; levers'!$C$12="Off",Constants!$H66*'Activity data'!AV8*Constants!$H84*EF!$H209*MMVolatEF*NtoN2O*kgtoGg,Constants!$H66*'Net zero Activity data'!AV8*Constants!$H84*EF!$H209*MMVolatEF*NtoN2O*kgtoGg)</f>
        <v>2.9383115991341744E-3</v>
      </c>
      <c r="AD1037" s="94">
        <f>IF('Net zero activities &amp; levers'!$C$12="Off",Constants!$H66*'Activity data'!AW8*Constants!$H84*EF!$H209*MMVolatEF*NtoN2O*kgtoGg,Constants!$H66*'Net zero Activity data'!AW8*Constants!$H84*EF!$H209*MMVolatEF*NtoN2O*kgtoGg)</f>
        <v>2.9686122408824826E-3</v>
      </c>
      <c r="AE1037" s="94">
        <f>IF('Net zero activities &amp; levers'!$C$12="Off",Constants!$H66*'Activity data'!AX8*Constants!$H84*EF!$H209*MMVolatEF*NtoN2O*kgtoGg,Constants!$H66*'Net zero Activity data'!AX8*Constants!$H84*EF!$H209*MMVolatEF*NtoN2O*kgtoGg)</f>
        <v>2.9934911793624186E-3</v>
      </c>
      <c r="AF1037" s="94">
        <f>IF('Net zero activities &amp; levers'!$C$12="Off",Constants!$H66*'Activity data'!AY8*Constants!$H84*EF!$H209*MMVolatEF*NtoN2O*kgtoGg,Constants!$H66*'Net zero Activity data'!AY8*Constants!$H84*EF!$H209*MMVolatEF*NtoN2O*kgtoGg)</f>
        <v>3.0197743682154753E-3</v>
      </c>
      <c r="AG1037" s="94">
        <f>IF('Net zero activities &amp; levers'!$C$12="Off",Constants!$H66*'Activity data'!AZ8*Constants!$H84*EF!$H209*MMVolatEF*NtoN2O*kgtoGg,Constants!$H66*'Net zero Activity data'!AZ8*Constants!$H84*EF!$H209*MMVolatEF*NtoN2O*kgtoGg)</f>
        <v>3.0549409795984986E-3</v>
      </c>
      <c r="AH1037" s="94">
        <f>IF('Net zero activities &amp; levers'!$C$12="Off",Constants!$H66*'Activity data'!BA8*Constants!$H84*EF!$H209*MMVolatEF*NtoN2O*kgtoGg,Constants!$H66*'Net zero Activity data'!BA8*Constants!$H84*EF!$H209*MMVolatEF*NtoN2O*kgtoGg)</f>
        <v>3.0802316239663852E-3</v>
      </c>
      <c r="AI1037" s="94">
        <f>IF('Net zero activities &amp; levers'!$C$12="Off",Constants!$H66*'Activity data'!BB8*Constants!$H84*EF!$H209*MMVolatEF*NtoN2O*kgtoGg,Constants!$H66*'Net zero Activity data'!BB8*Constants!$H84*EF!$H209*MMVolatEF*NtoN2O*kgtoGg)</f>
        <v>3.1071852189437066E-3</v>
      </c>
      <c r="AJ1037" s="94">
        <f>IF('Net zero activities &amp; levers'!$C$12="Off",Constants!$H66*'Activity data'!BC8*Constants!$H84*EF!$H209*MMVolatEF*NtoN2O*kgtoGg,Constants!$H66*'Net zero Activity data'!BC8*Constants!$H84*EF!$H209*MMVolatEF*NtoN2O*kgtoGg)</f>
        <v>3.1368555493036434E-3</v>
      </c>
      <c r="AK1037" s="94">
        <f>IF('Net zero activities &amp; levers'!$C$12="Off",Constants!$H66*'Activity data'!BD8*Constants!$H84*EF!$H209*MMVolatEF*NtoN2O*kgtoGg,Constants!$H66*'Net zero Activity data'!BD8*Constants!$H84*EF!$H209*MMVolatEF*NtoN2O*kgtoGg)</f>
        <v>3.1553441150186925E-3</v>
      </c>
      <c r="AL1037" s="94">
        <f>IF('Net zero activities &amp; levers'!$C$12="Off",Constants!$H66*'Activity data'!BE8*Constants!$H84*EF!$H209*MMVolatEF*NtoN2O*kgtoGg,Constants!$H66*'Net zero Activity data'!BE8*Constants!$H84*EF!$H209*MMVolatEF*NtoN2O*kgtoGg)</f>
        <v>3.1692145745473945E-3</v>
      </c>
      <c r="AM1037" s="94">
        <f>IF('Net zero activities &amp; levers'!$C$12="Off",Constants!$H66*'Activity data'!BF8*Constants!$H84*EF!$H209*MMVolatEF*NtoN2O*kgtoGg,Constants!$H66*'Net zero Activity data'!BF8*Constants!$H84*EF!$H209*MMVolatEF*NtoN2O*kgtoGg)</f>
        <v>3.1788623674795236E-3</v>
      </c>
      <c r="AN1037" s="94">
        <f>IF('Net zero activities &amp; levers'!$C$12="Off",Constants!$H66*'Activity data'!BG8*Constants!$H84*EF!$H209*MMVolatEF*NtoN2O*kgtoGg,Constants!$H66*'Net zero Activity data'!BG8*Constants!$H84*EF!$H209*MMVolatEF*NtoN2O*kgtoGg)</f>
        <v>3.2088548057950931E-3</v>
      </c>
      <c r="AO1037" s="94">
        <f>IF('Net zero activities &amp; levers'!$C$12="Off",Constants!$H66*'Activity data'!BH8*Constants!$H84*EF!$H209*MMVolatEF*NtoN2O*kgtoGg,Constants!$H66*'Net zero Activity data'!BH8*Constants!$H84*EF!$H209*MMVolatEF*NtoN2O*kgtoGg)</f>
        <v>3.2316528557922693E-3</v>
      </c>
      <c r="AP1037" s="94">
        <f>IF('Net zero activities &amp; levers'!$C$12="Off",Constants!$H66*'Activity data'!BI8*Constants!$H84*EF!$H209*MMVolatEF*NtoN2O*kgtoGg,Constants!$H66*'Net zero Activity data'!BI8*Constants!$H84*EF!$H209*MMVolatEF*NtoN2O*kgtoGg)</f>
        <v>3.2547386832550949E-3</v>
      </c>
      <c r="AQ1037" s="94">
        <f>IF('Net zero activities &amp; levers'!$C$12="Off",Constants!$H66*'Activity data'!BJ8*Constants!$H84*EF!$H209*MMVolatEF*NtoN2O*kgtoGg,Constants!$H66*'Net zero Activity data'!BJ8*Constants!$H84*EF!$H209*MMVolatEF*NtoN2O*kgtoGg)</f>
        <v>3.2783763796135966E-3</v>
      </c>
      <c r="AR1037" s="94">
        <f>IF('Net zero activities &amp; levers'!$C$12="Off",Constants!$H66*'Activity data'!BK8*Constants!$H84*EF!$H209*MMVolatEF*NtoN2O*kgtoGg,Constants!$H66*'Net zero Activity data'!BK8*Constants!$H84*EF!$H209*MMVolatEF*NtoN2O*kgtoGg)</f>
        <v>3.3030426066013221E-3</v>
      </c>
      <c r="AS1037" s="94">
        <f>IF('Net zero activities &amp; levers'!$C$12="Off",Constants!$H66*'Activity data'!BL8*Constants!$H84*EF!$H209*MMVolatEF*NtoN2O*kgtoGg,Constants!$H66*'Net zero Activity data'!BL8*Constants!$H84*EF!$H209*MMVolatEF*NtoN2O*kgtoGg)</f>
        <v>3.3283682698185247E-3</v>
      </c>
      <c r="AT1037" s="94">
        <f>IF('Net zero activities &amp; levers'!$C$12="Off",Constants!$H66*'Activity data'!BM8*Constants!$H84*EF!$H209*MMVolatEF*NtoN2O*kgtoGg,Constants!$H66*'Net zero Activity data'!BM8*Constants!$H84*EF!$H209*MMVolatEF*NtoN2O*kgtoGg)</f>
        <v>3.2784104491001818E-3</v>
      </c>
      <c r="AU1037" s="94">
        <f>IF('Net zero activities &amp; levers'!$C$12="Off",Constants!$H66*'Activity data'!BN8*Constants!$H84*EF!$H209*MMVolatEF*NtoN2O*kgtoGg,Constants!$H66*'Net zero Activity data'!BN8*Constants!$H84*EF!$H209*MMVolatEF*NtoN2O*kgtoGg)</f>
        <v>3.2218166400979921E-3</v>
      </c>
      <c r="AV1037" s="94">
        <f>IF('Net zero activities &amp; levers'!$C$12="Off",Constants!$H66*'Activity data'!BO8*Constants!$H84*EF!$H209*MMVolatEF*NtoN2O*kgtoGg,Constants!$H66*'Net zero Activity data'!BO8*Constants!$H84*EF!$H209*MMVolatEF*NtoN2O*kgtoGg)</f>
        <v>3.1562062621096833E-3</v>
      </c>
      <c r="AW1037" s="94">
        <f>IF('Net zero activities &amp; levers'!$C$12="Off",Constants!$H66*'Activity data'!BP8*Constants!$H84*EF!$H209*MMVolatEF*NtoN2O*kgtoGg,Constants!$H66*'Net zero Activity data'!BP8*Constants!$H84*EF!$H209*MMVolatEF*NtoN2O*kgtoGg)</f>
        <v>3.0885397025865453E-3</v>
      </c>
      <c r="AY1037" s="79"/>
      <c r="AZ1037" s="79"/>
    </row>
    <row r="1038" spans="1:52" x14ac:dyDescent="0.3">
      <c r="A1038" s="95" t="str">
        <f t="shared" si="345"/>
        <v>DS MM Volatilisation</v>
      </c>
      <c r="B1038" s="95" t="s">
        <v>974</v>
      </c>
      <c r="C1038" s="95" t="s">
        <v>1332</v>
      </c>
      <c r="D1038" t="s">
        <v>369</v>
      </c>
      <c r="E1038" t="s">
        <v>64</v>
      </c>
      <c r="F1038" t="s">
        <v>62</v>
      </c>
      <c r="G1038" t="s">
        <v>1160</v>
      </c>
      <c r="H1038" t="s">
        <v>1294</v>
      </c>
      <c r="I1038" t="s">
        <v>139</v>
      </c>
      <c r="J1038" t="s">
        <v>287</v>
      </c>
      <c r="K1038" s="94">
        <f>IF('Net zero activities &amp; levers'!$C$12="Off",Constants!$H67*'Activity data'!AD9*Constants!$H85*EF!$H210*MMVolatEF*NtoN2O*kgtoGg,Constants!$H67*'Net zero Activity data'!AD9*Constants!$H85*EF!$H210*MMVolatEF*NtoN2O*kgtoGg)</f>
        <v>1.6090517274103575E-2</v>
      </c>
      <c r="L1038" s="94">
        <f>IF('Net zero activities &amp; levers'!$C$12="Off",Constants!$H67*'Activity data'!AE9*Constants!$H85*EF!$H210*MMVolatEF*NtoN2O*kgtoGg,Constants!$H67*'Net zero Activity data'!AE9*Constants!$H85*EF!$H210*MMVolatEF*NtoN2O*kgtoGg)</f>
        <v>1.5950969356419605E-2</v>
      </c>
      <c r="M1038" s="94">
        <f>IF('Net zero activities &amp; levers'!$C$12="Off",Constants!$H67*'Activity data'!AF9*Constants!$H85*EF!$H210*MMVolatEF*NtoN2O*kgtoGg,Constants!$H67*'Net zero Activity data'!AF9*Constants!$H85*EF!$H210*MMVolatEF*NtoN2O*kgtoGg)</f>
        <v>1.5897847688628834E-2</v>
      </c>
      <c r="N1038" s="94">
        <f>IF('Net zero activities &amp; levers'!$C$12="Off",Constants!$H67*'Activity data'!AG9*Constants!$H85*EF!$H210*MMVolatEF*NtoN2O*kgtoGg,Constants!$H67*'Net zero Activity data'!AG9*Constants!$H85*EF!$H210*MMVolatEF*NtoN2O*kgtoGg)</f>
        <v>1.5685552742581484E-2</v>
      </c>
      <c r="O1038" s="94">
        <f>IF('Net zero activities &amp; levers'!$C$12="Off",Constants!$H67*'Activity data'!AH9*Constants!$H85*EF!$H210*MMVolatEF*NtoN2O*kgtoGg,Constants!$H67*'Net zero Activity data'!AH9*Constants!$H85*EF!$H210*MMVolatEF*NtoN2O*kgtoGg)</f>
        <v>1.5377401443792458E-2</v>
      </c>
      <c r="P1038" s="94">
        <f>IF('Net zero activities &amp; levers'!$C$12="Off",Constants!$H67*'Activity data'!AI9*Constants!$H85*EF!$H210*MMVolatEF*NtoN2O*kgtoGg,Constants!$H67*'Net zero Activity data'!AI9*Constants!$H85*EF!$H210*MMVolatEF*NtoN2O*kgtoGg)</f>
        <v>1.4979765878707444E-2</v>
      </c>
      <c r="Q1038" s="94">
        <f>IF('Net zero activities &amp; levers'!$C$12="Off",Constants!$H67*'Activity data'!AJ9*Constants!$H85*EF!$H210*MMVolatEF*NtoN2O*kgtoGg,Constants!$H67*'Net zero Activity data'!AJ9*Constants!$H85*EF!$H210*MMVolatEF*NtoN2O*kgtoGg)</f>
        <v>1.4666139078901097E-2</v>
      </c>
      <c r="R1038" s="94">
        <f>IF('Net zero activities &amp; levers'!$C$12="Off",Constants!$H67*'Activity data'!AK9*Constants!$H85*EF!$H210*MMVolatEF*NtoN2O*kgtoGg,Constants!$H67*'Net zero Activity data'!AK9*Constants!$H85*EF!$H210*MMVolatEF*NtoN2O*kgtoGg)</f>
        <v>1.4369412471908495E-2</v>
      </c>
      <c r="S1038" s="94">
        <f>IF('Net zero activities &amp; levers'!$C$12="Off",Constants!$H67*'Activity data'!AL9*Constants!$H85*EF!$H210*MMVolatEF*NtoN2O*kgtoGg,Constants!$H67*'Net zero Activity data'!AL9*Constants!$H85*EF!$H210*MMVolatEF*NtoN2O*kgtoGg)</f>
        <v>1.2640893989042949E-2</v>
      </c>
      <c r="T1038" s="94">
        <f>IF('Net zero activities &amp; levers'!$C$12="Off",Constants!$H67*'Activity data'!AM9*Constants!$H85*EF!$H210*MMVolatEF*NtoN2O*kgtoGg,Constants!$H67*'Net zero Activity data'!AM9*Constants!$H85*EF!$H210*MMVolatEF*NtoN2O*kgtoGg)</f>
        <v>1.284622020036031E-2</v>
      </c>
      <c r="U1038" s="94">
        <f>IF('Net zero activities &amp; levers'!$C$12="Off",Constants!$H67*'Activity data'!AN9*Constants!$H85*EF!$H210*MMVolatEF*NtoN2O*kgtoGg,Constants!$H67*'Net zero Activity data'!AN9*Constants!$H85*EF!$H210*MMVolatEF*NtoN2O*kgtoGg)</f>
        <v>1.322926272495888E-2</v>
      </c>
      <c r="V1038" s="94">
        <f>IF('Net zero activities &amp; levers'!$C$12="Off",Constants!$H67*'Activity data'!AO9*Constants!$H85*EF!$H210*MMVolatEF*NtoN2O*kgtoGg,Constants!$H67*'Net zero Activity data'!AO9*Constants!$H85*EF!$H210*MMVolatEF*NtoN2O*kgtoGg)</f>
        <v>1.3305760741422912E-2</v>
      </c>
      <c r="W1038" s="94">
        <f>IF('Net zero activities &amp; levers'!$C$12="Off",Constants!$H67*'Activity data'!AP9*Constants!$H85*EF!$H210*MMVolatEF*NtoN2O*kgtoGg,Constants!$H67*'Net zero Activity data'!AP9*Constants!$H85*EF!$H210*MMVolatEF*NtoN2O*kgtoGg)</f>
        <v>1.3416092882164809E-2</v>
      </c>
      <c r="X1038" s="94">
        <f>IF('Net zero activities &amp; levers'!$C$12="Off",Constants!$H67*'Activity data'!AQ9*Constants!$H85*EF!$H210*MMVolatEF*NtoN2O*kgtoGg,Constants!$H67*'Net zero Activity data'!AQ9*Constants!$H85*EF!$H210*MMVolatEF*NtoN2O*kgtoGg)</f>
        <v>1.3570008652208428E-2</v>
      </c>
      <c r="Y1038" s="94">
        <f>IF('Net zero activities &amp; levers'!$C$12="Off",Constants!$H67*'Activity data'!AR9*Constants!$H85*EF!$H210*MMVolatEF*NtoN2O*kgtoGg,Constants!$H67*'Net zero Activity data'!AR9*Constants!$H85*EF!$H210*MMVolatEF*NtoN2O*kgtoGg)</f>
        <v>1.3746557063140447E-2</v>
      </c>
      <c r="Z1038" s="94">
        <f>IF('Net zero activities &amp; levers'!$C$12="Off",Constants!$H67*'Activity data'!AS9*Constants!$H85*EF!$H210*MMVolatEF*NtoN2O*kgtoGg,Constants!$H67*'Net zero Activity data'!AS9*Constants!$H85*EF!$H210*MMVolatEF*NtoN2O*kgtoGg)</f>
        <v>1.3953550804963992E-2</v>
      </c>
      <c r="AA1038" s="94">
        <f>IF('Net zero activities &amp; levers'!$C$12="Off",Constants!$H67*'Activity data'!AT9*Constants!$H85*EF!$H210*MMVolatEF*NtoN2O*kgtoGg,Constants!$H67*'Net zero Activity data'!AT9*Constants!$H85*EF!$H210*MMVolatEF*NtoN2O*kgtoGg)</f>
        <v>1.4161499248234047E-2</v>
      </c>
      <c r="AB1038" s="94">
        <f>IF('Net zero activities &amp; levers'!$C$12="Off",Constants!$H67*'Activity data'!AU9*Constants!$H85*EF!$H210*MMVolatEF*NtoN2O*kgtoGg,Constants!$H67*'Net zero Activity data'!AU9*Constants!$H85*EF!$H210*MMVolatEF*NtoN2O*kgtoGg)</f>
        <v>1.439537708085406E-2</v>
      </c>
      <c r="AC1038" s="94">
        <f>IF('Net zero activities &amp; levers'!$C$12="Off",Constants!$H67*'Activity data'!AV9*Constants!$H85*EF!$H210*MMVolatEF*NtoN2O*kgtoGg,Constants!$H67*'Net zero Activity data'!AV9*Constants!$H85*EF!$H210*MMVolatEF*NtoN2O*kgtoGg)</f>
        <v>1.4626933931974607E-2</v>
      </c>
      <c r="AD1038" s="94">
        <f>IF('Net zero activities &amp; levers'!$C$12="Off",Constants!$H67*'Activity data'!AW9*Constants!$H85*EF!$H210*MMVolatEF*NtoN2O*kgtoGg,Constants!$H67*'Net zero Activity data'!AW9*Constants!$H85*EF!$H210*MMVolatEF*NtoN2O*kgtoGg)</f>
        <v>1.4777770720380409E-2</v>
      </c>
      <c r="AE1038" s="94">
        <f>IF('Net zero activities &amp; levers'!$C$12="Off",Constants!$H67*'Activity data'!AX9*Constants!$H85*EF!$H210*MMVolatEF*NtoN2O*kgtoGg,Constants!$H67*'Net zero Activity data'!AX9*Constants!$H85*EF!$H210*MMVolatEF*NtoN2O*kgtoGg)</f>
        <v>1.4901618235242655E-2</v>
      </c>
      <c r="AF1038" s="94">
        <f>IF('Net zero activities &amp; levers'!$C$12="Off",Constants!$H67*'Activity data'!AY9*Constants!$H85*EF!$H210*MMVolatEF*NtoN2O*kgtoGg,Constants!$H67*'Net zero Activity data'!AY9*Constants!$H85*EF!$H210*MMVolatEF*NtoN2O*kgtoGg)</f>
        <v>1.5032456117442953E-2</v>
      </c>
      <c r="AG1038" s="94">
        <f>IF('Net zero activities &amp; levers'!$C$12="Off",Constants!$H67*'Activity data'!AZ9*Constants!$H85*EF!$H210*MMVolatEF*NtoN2O*kgtoGg,Constants!$H67*'Net zero Activity data'!AZ9*Constants!$H85*EF!$H210*MMVolatEF*NtoN2O*kgtoGg)</f>
        <v>1.5207515733809875E-2</v>
      </c>
      <c r="AH1038" s="94">
        <f>IF('Net zero activities &amp; levers'!$C$12="Off",Constants!$H67*'Activity data'!BA9*Constants!$H85*EF!$H210*MMVolatEF*NtoN2O*kgtoGg,Constants!$H67*'Net zero Activity data'!BA9*Constants!$H85*EF!$H210*MMVolatEF*NtoN2O*kgtoGg)</f>
        <v>1.5333412723215338E-2</v>
      </c>
      <c r="AI1038" s="94">
        <f>IF('Net zero activities &amp; levers'!$C$12="Off",Constants!$H67*'Activity data'!BB9*Constants!$H85*EF!$H210*MMVolatEF*NtoN2O*kgtoGg,Constants!$H67*'Net zero Activity data'!BB9*Constants!$H85*EF!$H210*MMVolatEF*NtoN2O*kgtoGg)</f>
        <v>1.5467587891389686E-2</v>
      </c>
      <c r="AJ1038" s="94">
        <f>IF('Net zero activities &amp; levers'!$C$12="Off",Constants!$H67*'Activity data'!BC9*Constants!$H85*EF!$H210*MMVolatEF*NtoN2O*kgtoGg,Constants!$H67*'Net zero Activity data'!BC9*Constants!$H85*EF!$H210*MMVolatEF*NtoN2O*kgtoGg)</f>
        <v>1.5615286985673127E-2</v>
      </c>
      <c r="AK1038" s="94">
        <f>IF('Net zero activities &amp; levers'!$C$12="Off",Constants!$H67*'Activity data'!BD9*Constants!$H85*EF!$H210*MMVolatEF*NtoN2O*kgtoGg,Constants!$H67*'Net zero Activity data'!BD9*Constants!$H85*EF!$H210*MMVolatEF*NtoN2O*kgtoGg)</f>
        <v>1.5707323184043206E-2</v>
      </c>
      <c r="AL1038" s="94">
        <f>IF('Net zero activities &amp; levers'!$C$12="Off",Constants!$H67*'Activity data'!BE9*Constants!$H85*EF!$H210*MMVolatEF*NtoN2O*kgtoGg,Constants!$H67*'Net zero Activity data'!BE9*Constants!$H85*EF!$H210*MMVolatEF*NtoN2O*kgtoGg)</f>
        <v>1.5776370420283306E-2</v>
      </c>
      <c r="AM1038" s="94">
        <f>IF('Net zero activities &amp; levers'!$C$12="Off",Constants!$H67*'Activity data'!BF9*Constants!$H85*EF!$H210*MMVolatEF*NtoN2O*kgtoGg,Constants!$H67*'Net zero Activity data'!BF9*Constants!$H85*EF!$H210*MMVolatEF*NtoN2O*kgtoGg)</f>
        <v>1.5824397195200308E-2</v>
      </c>
      <c r="AN1038" s="94">
        <f>IF('Net zero activities &amp; levers'!$C$12="Off",Constants!$H67*'Activity data'!BG9*Constants!$H85*EF!$H210*MMVolatEF*NtoN2O*kgtoGg,Constants!$H67*'Net zero Activity data'!BG9*Constants!$H85*EF!$H210*MMVolatEF*NtoN2O*kgtoGg)</f>
        <v>1.5973699744946876E-2</v>
      </c>
      <c r="AO1038" s="94">
        <f>IF('Net zero activities &amp; levers'!$C$12="Off",Constants!$H67*'Activity data'!BH9*Constants!$H85*EF!$H210*MMVolatEF*NtoN2O*kgtoGg,Constants!$H67*'Net zero Activity data'!BH9*Constants!$H85*EF!$H210*MMVolatEF*NtoN2O*kgtoGg)</f>
        <v>1.608718858363397E-2</v>
      </c>
      <c r="AP1038" s="94">
        <f>IF('Net zero activities &amp; levers'!$C$12="Off",Constants!$H67*'Activity data'!BI9*Constants!$H85*EF!$H210*MMVolatEF*NtoN2O*kgtoGg,Constants!$H67*'Net zero Activity data'!BI9*Constants!$H85*EF!$H210*MMVolatEF*NtoN2O*kgtoGg)</f>
        <v>1.6202109980385494E-2</v>
      </c>
      <c r="AQ1038" s="94">
        <f>IF('Net zero activities &amp; levers'!$C$12="Off",Constants!$H67*'Activity data'!BJ9*Constants!$H85*EF!$H210*MMVolatEF*NtoN2O*kgtoGg,Constants!$H67*'Net zero Activity data'!BJ9*Constants!$H85*EF!$H210*MMVolatEF*NtoN2O*kgtoGg)</f>
        <v>1.6319778584029082E-2</v>
      </c>
      <c r="AR1038" s="94">
        <f>IF('Net zero activities &amp; levers'!$C$12="Off",Constants!$H67*'Activity data'!BK9*Constants!$H85*EF!$H210*MMVolatEF*NtoN2O*kgtoGg,Constants!$H67*'Net zero Activity data'!BK9*Constants!$H85*EF!$H210*MMVolatEF*NtoN2O*kgtoGg)</f>
        <v>1.6442567219722745E-2</v>
      </c>
      <c r="AS1038" s="94">
        <f>IF('Net zero activities &amp; levers'!$C$12="Off",Constants!$H67*'Activity data'!BL9*Constants!$H85*EF!$H210*MMVolatEF*NtoN2O*kgtoGg,Constants!$H67*'Net zero Activity data'!BL9*Constants!$H85*EF!$H210*MMVolatEF*NtoN2O*kgtoGg)</f>
        <v>1.6568638533184063E-2</v>
      </c>
      <c r="AT1038" s="94">
        <f>IF('Net zero activities &amp; levers'!$C$12="Off",Constants!$H67*'Activity data'!BM9*Constants!$H85*EF!$H210*MMVolatEF*NtoN2O*kgtoGg,Constants!$H67*'Net zero Activity data'!BM9*Constants!$H85*EF!$H210*MMVolatEF*NtoN2O*kgtoGg)</f>
        <v>1.6319948182151194E-2</v>
      </c>
      <c r="AU1038" s="94">
        <f>IF('Net zero activities &amp; levers'!$C$12="Off",Constants!$H67*'Activity data'!BN9*Constants!$H85*EF!$H210*MMVolatEF*NtoN2O*kgtoGg,Constants!$H67*'Net zero Activity data'!BN9*Constants!$H85*EF!$H210*MMVolatEF*NtoN2O*kgtoGg)</f>
        <v>1.603822383900198E-2</v>
      </c>
      <c r="AV1038" s="94">
        <f>IF('Net zero activities &amp; levers'!$C$12="Off",Constants!$H67*'Activity data'!BO9*Constants!$H85*EF!$H210*MMVolatEF*NtoN2O*kgtoGg,Constants!$H67*'Net zero Activity data'!BO9*Constants!$H85*EF!$H210*MMVolatEF*NtoN2O*kgtoGg)</f>
        <v>1.5711614957775871E-2</v>
      </c>
      <c r="AW1038" s="94">
        <f>IF('Net zero activities &amp; levers'!$C$12="Off",Constants!$H67*'Activity data'!BP9*Constants!$H85*EF!$H210*MMVolatEF*NtoN2O*kgtoGg,Constants!$H67*'Net zero Activity data'!BP9*Constants!$H85*EF!$H210*MMVolatEF*NtoN2O*kgtoGg)</f>
        <v>1.5374770391719434E-2</v>
      </c>
      <c r="AY1038" s="79"/>
      <c r="AZ1038" s="79"/>
    </row>
    <row r="1039" spans="1:52" x14ac:dyDescent="0.3">
      <c r="A1039" s="95" t="str">
        <f t="shared" si="345"/>
        <v>DS MM Volatilisation</v>
      </c>
      <c r="B1039" s="95" t="s">
        <v>974</v>
      </c>
      <c r="C1039" s="95" t="s">
        <v>1332</v>
      </c>
      <c r="D1039" t="s">
        <v>369</v>
      </c>
      <c r="E1039" t="s">
        <v>64</v>
      </c>
      <c r="F1039" t="s">
        <v>62</v>
      </c>
      <c r="G1039" t="s">
        <v>1162</v>
      </c>
      <c r="H1039" t="s">
        <v>1295</v>
      </c>
      <c r="I1039" t="s">
        <v>139</v>
      </c>
      <c r="J1039" t="s">
        <v>287</v>
      </c>
      <c r="K1039" s="94">
        <f>IF('Net zero activities &amp; levers'!$C$12="Off",Constants!$H68*'Activity data'!AD10*Constants!$H86*EF!$H211*MMVolatEF*NtoN2O*kgtoGg,Constants!$H68*'Net zero Activity data'!AD10*Constants!$H86*EF!$H211*MMVolatEF*NtoN2O*kgtoGg)</f>
        <v>0.15836052531214873</v>
      </c>
      <c r="L1039" s="94">
        <f>IF('Net zero activities &amp; levers'!$C$12="Off",Constants!$H68*'Activity data'!AE10*Constants!$H86*EF!$H211*MMVolatEF*NtoN2O*kgtoGg,Constants!$H68*'Net zero Activity data'!AE10*Constants!$H86*EF!$H211*MMVolatEF*NtoN2O*kgtoGg)</f>
        <v>0.16370016056893641</v>
      </c>
      <c r="M1039" s="94">
        <f>IF('Net zero activities &amp; levers'!$C$12="Off",Constants!$H68*'Activity data'!AF10*Constants!$H86*EF!$H211*MMVolatEF*NtoN2O*kgtoGg,Constants!$H68*'Net zero Activity data'!AF10*Constants!$H86*EF!$H211*MMVolatEF*NtoN2O*kgtoGg)</f>
        <v>0.17003774892948584</v>
      </c>
      <c r="N1039" s="94">
        <f>IF('Net zero activities &amp; levers'!$C$12="Off",Constants!$H68*'Activity data'!AG10*Constants!$H86*EF!$H211*MMVolatEF*NtoN2O*kgtoGg,Constants!$H68*'Net zero Activity data'!AG10*Constants!$H86*EF!$H211*MMVolatEF*NtoN2O*kgtoGg)</f>
        <v>0.17476418316081974</v>
      </c>
      <c r="O1039" s="94">
        <f>IF('Net zero activities &amp; levers'!$C$12="Off",Constants!$H68*'Activity data'!AH10*Constants!$H86*EF!$H211*MMVolatEF*NtoN2O*kgtoGg,Constants!$H68*'Net zero Activity data'!AH10*Constants!$H86*EF!$H211*MMVolatEF*NtoN2O*kgtoGg)</f>
        <v>0.1784091501709566</v>
      </c>
      <c r="P1039" s="94">
        <f>IF('Net zero activities &amp; levers'!$C$12="Off",Constants!$H68*'Activity data'!AI10*Constants!$H86*EF!$H211*MMVolatEF*NtoN2O*kgtoGg,Constants!$H68*'Net zero Activity data'!AI10*Constants!$H86*EF!$H211*MMVolatEF*NtoN2O*kgtoGg)</f>
        <v>0.18092055691117107</v>
      </c>
      <c r="Q1039" s="94">
        <f>IF('Net zero activities &amp; levers'!$C$12="Off",Constants!$H68*'Activity data'!AJ10*Constants!$H86*EF!$H211*MMVolatEF*NtoN2O*kgtoGg,Constants!$H68*'Net zero Activity data'!AJ10*Constants!$H86*EF!$H211*MMVolatEF*NtoN2O*kgtoGg)</f>
        <v>0.18434967364231716</v>
      </c>
      <c r="R1039" s="94">
        <f>IF('Net zero activities &amp; levers'!$C$12="Off",Constants!$H68*'Activity data'!AK10*Constants!$H86*EF!$H211*MMVolatEF*NtoN2O*kgtoGg,Constants!$H68*'Net zero Activity data'!AK10*Constants!$H86*EF!$H211*MMVolatEF*NtoN2O*kgtoGg)</f>
        <v>0.18794438918293385</v>
      </c>
      <c r="S1039" s="94">
        <f>IF('Net zero activities &amp; levers'!$C$12="Off",Constants!$H68*'Activity data'!AL10*Constants!$H86*EF!$H211*MMVolatEF*NtoN2O*kgtoGg,Constants!$H68*'Net zero Activity data'!AL10*Constants!$H86*EF!$H211*MMVolatEF*NtoN2O*kgtoGg)</f>
        <v>0.17201843471628311</v>
      </c>
      <c r="T1039" s="94">
        <f>IF('Net zero activities &amp; levers'!$C$12="Off",Constants!$H68*'Activity data'!AM10*Constants!$H86*EF!$H211*MMVolatEF*NtoN2O*kgtoGg,Constants!$H68*'Net zero Activity data'!AM10*Constants!$H86*EF!$H211*MMVolatEF*NtoN2O*kgtoGg)</f>
        <v>0.17902423727078304</v>
      </c>
      <c r="U1039" s="94">
        <f>IF('Net zero activities &amp; levers'!$C$12="Off",Constants!$H68*'Activity data'!AN10*Constants!$H86*EF!$H211*MMVolatEF*NtoN2O*kgtoGg,Constants!$H68*'Net zero Activity data'!AN10*Constants!$H86*EF!$H211*MMVolatEF*NtoN2O*kgtoGg)</f>
        <v>0.18874308750279975</v>
      </c>
      <c r="V1039" s="94">
        <f>IF('Net zero activities &amp; levers'!$C$12="Off",Constants!$H68*'Activity data'!AO10*Constants!$H86*EF!$H211*MMVolatEF*NtoN2O*kgtoGg,Constants!$H68*'Net zero Activity data'!AO10*Constants!$H86*EF!$H211*MMVolatEF*NtoN2O*kgtoGg)</f>
        <v>0.19428798010301845</v>
      </c>
      <c r="W1039" s="94">
        <f>IF('Net zero activities &amp; levers'!$C$12="Off",Constants!$H68*'Activity data'!AP10*Constants!$H86*EF!$H211*MMVolatEF*NtoN2O*kgtoGg,Constants!$H68*'Net zero Activity data'!AP10*Constants!$H86*EF!$H211*MMVolatEF*NtoN2O*kgtoGg)</f>
        <v>0.20044069379465723</v>
      </c>
      <c r="X1039" s="94">
        <f>IF('Net zero activities &amp; levers'!$C$12="Off",Constants!$H68*'Activity data'!AQ10*Constants!$H86*EF!$H211*MMVolatEF*NtoN2O*kgtoGg,Constants!$H68*'Net zero Activity data'!AQ10*Constants!$H86*EF!$H211*MMVolatEF*NtoN2O*kgtoGg)</f>
        <v>0.20738925990441343</v>
      </c>
      <c r="Y1039" s="94">
        <f>IF('Net zero activities &amp; levers'!$C$12="Off",Constants!$H68*'Activity data'!AR10*Constants!$H86*EF!$H211*MMVolatEF*NtoN2O*kgtoGg,Constants!$H68*'Net zero Activity data'!AR10*Constants!$H86*EF!$H211*MMVolatEF*NtoN2O*kgtoGg)</f>
        <v>0.21485625224208699</v>
      </c>
      <c r="Z1039" s="94">
        <f>IF('Net zero activities &amp; levers'!$C$12="Off",Constants!$H68*'Activity data'!AS10*Constants!$H86*EF!$H211*MMVolatEF*NtoN2O*kgtoGg,Constants!$H68*'Net zero Activity data'!AS10*Constants!$H86*EF!$H211*MMVolatEF*NtoN2O*kgtoGg)</f>
        <v>0.22299569523633012</v>
      </c>
      <c r="AA1039" s="94">
        <f>IF('Net zero activities &amp; levers'!$C$12="Off",Constants!$H68*'Activity data'!AT10*Constants!$H86*EF!$H211*MMVolatEF*NtoN2O*kgtoGg,Constants!$H68*'Net zero Activity data'!AT10*Constants!$H86*EF!$H211*MMVolatEF*NtoN2O*kgtoGg)</f>
        <v>0.23136404347242787</v>
      </c>
      <c r="AB1039" s="94">
        <f>IF('Net zero activities &amp; levers'!$C$12="Off",Constants!$H68*'Activity data'!AU10*Constants!$H86*EF!$H211*MMVolatEF*NtoN2O*kgtoGg,Constants!$H68*'Net zero Activity data'!AU10*Constants!$H86*EF!$H211*MMVolatEF*NtoN2O*kgtoGg)</f>
        <v>0.24038568507894228</v>
      </c>
      <c r="AC1039" s="94">
        <f>IF('Net zero activities &amp; levers'!$C$12="Off",Constants!$H68*'Activity data'!AV10*Constants!$H86*EF!$H211*MMVolatEF*NtoN2O*kgtoGg,Constants!$H68*'Net zero Activity data'!AV10*Constants!$H86*EF!$H211*MMVolatEF*NtoN2O*kgtoGg)</f>
        <v>0.24961351882279642</v>
      </c>
      <c r="AD1039" s="94">
        <f>IF('Net zero activities &amp; levers'!$C$12="Off",Constants!$H68*'Activity data'!AW10*Constants!$H86*EF!$H211*MMVolatEF*NtoN2O*kgtoGg,Constants!$H68*'Net zero Activity data'!AW10*Constants!$H86*EF!$H211*MMVolatEF*NtoN2O*kgtoGg)</f>
        <v>0.26055082309019489</v>
      </c>
      <c r="AE1039" s="94">
        <f>IF('Net zero activities &amp; levers'!$C$12="Off",Constants!$H68*'Activity data'!AX10*Constants!$H86*EF!$H211*MMVolatEF*NtoN2O*kgtoGg,Constants!$H68*'Net zero Activity data'!AX10*Constants!$H86*EF!$H211*MMVolatEF*NtoN2O*kgtoGg)</f>
        <v>0.27146409989499087</v>
      </c>
      <c r="AF1039" s="94">
        <f>IF('Net zero activities &amp; levers'!$C$12="Off",Constants!$H68*'Activity data'!AY10*Constants!$H86*EF!$H211*MMVolatEF*NtoN2O*kgtoGg,Constants!$H68*'Net zero Activity data'!AY10*Constants!$H86*EF!$H211*MMVolatEF*NtoN2O*kgtoGg)</f>
        <v>0.28296976129835516</v>
      </c>
      <c r="AG1039" s="94">
        <f>IF('Net zero activities &amp; levers'!$C$12="Off",Constants!$H68*'Activity data'!AZ10*Constants!$H86*EF!$H211*MMVolatEF*NtoN2O*kgtoGg,Constants!$H68*'Net zero Activity data'!AZ10*Constants!$H86*EF!$H211*MMVolatEF*NtoN2O*kgtoGg)</f>
        <v>0.29583119296374027</v>
      </c>
      <c r="AH1039" s="94">
        <f>IF('Net zero activities &amp; levers'!$C$12="Off",Constants!$H68*'Activity data'!BA10*Constants!$H86*EF!$H211*MMVolatEF*NtoN2O*kgtoGg,Constants!$H68*'Net zero Activity data'!BA10*Constants!$H86*EF!$H211*MMVolatEF*NtoN2O*kgtoGg)</f>
        <v>0.30828569818364093</v>
      </c>
      <c r="AI1039" s="94">
        <f>IF('Net zero activities &amp; levers'!$C$12="Off",Constants!$H68*'Activity data'!BB10*Constants!$H86*EF!$H211*MMVolatEF*NtoN2O*kgtoGg,Constants!$H68*'Net zero Activity data'!BB10*Constants!$H86*EF!$H211*MMVolatEF*NtoN2O*kgtoGg)</f>
        <v>0.32146078881891821</v>
      </c>
      <c r="AJ1039" s="94">
        <f>IF('Net zero activities &amp; levers'!$C$12="Off",Constants!$H68*'Activity data'!BC10*Constants!$H86*EF!$H211*MMVolatEF*NtoN2O*kgtoGg,Constants!$H68*'Net zero Activity data'!BC10*Constants!$H86*EF!$H211*MMVolatEF*NtoN2O*kgtoGg)</f>
        <v>0.33551892419975027</v>
      </c>
      <c r="AK1039" s="94">
        <f>IF('Net zero activities &amp; levers'!$C$12="Off",Constants!$H68*'Activity data'!BD10*Constants!$H86*EF!$H211*MMVolatEF*NtoN2O*kgtoGg,Constants!$H68*'Net zero Activity data'!BD10*Constants!$H86*EF!$H211*MMVolatEF*NtoN2O*kgtoGg)</f>
        <v>0.34898799967344624</v>
      </c>
      <c r="AL1039" s="94">
        <f>IF('Net zero activities &amp; levers'!$C$12="Off",Constants!$H68*'Activity data'!BE10*Constants!$H86*EF!$H211*MMVolatEF*NtoN2O*kgtoGg,Constants!$H68*'Net zero Activity data'!BE10*Constants!$H86*EF!$H211*MMVolatEF*NtoN2O*kgtoGg)</f>
        <v>0.36253110288155638</v>
      </c>
      <c r="AM1039" s="94">
        <f>IF('Net zero activities &amp; levers'!$C$12="Off",Constants!$H68*'Activity data'!BF10*Constants!$H86*EF!$H211*MMVolatEF*NtoN2O*kgtoGg,Constants!$H68*'Net zero Activity data'!BF10*Constants!$H86*EF!$H211*MMVolatEF*NtoN2O*kgtoGg)</f>
        <v>0.3761776209722954</v>
      </c>
      <c r="AN1039" s="94">
        <f>IF('Net zero activities &amp; levers'!$C$12="Off",Constants!$H68*'Activity data'!BG10*Constants!$H86*EF!$H211*MMVolatEF*NtoN2O*kgtoGg,Constants!$H68*'Net zero Activity data'!BG10*Constants!$H86*EF!$H211*MMVolatEF*NtoN2O*kgtoGg)</f>
        <v>0.39044092384449941</v>
      </c>
      <c r="AO1039" s="94">
        <f>IF('Net zero activities &amp; levers'!$C$12="Off",Constants!$H68*'Activity data'!BH10*Constants!$H86*EF!$H211*MMVolatEF*NtoN2O*kgtoGg,Constants!$H68*'Net zero Activity data'!BH10*Constants!$H86*EF!$H211*MMVolatEF*NtoN2O*kgtoGg)</f>
        <v>0.40434790587507169</v>
      </c>
      <c r="AP1039" s="94">
        <f>IF('Net zero activities &amp; levers'!$C$12="Off",Constants!$H68*'Activity data'!BI10*Constants!$H86*EF!$H211*MMVolatEF*NtoN2O*kgtoGg,Constants!$H68*'Net zero Activity data'!BI10*Constants!$H86*EF!$H211*MMVolatEF*NtoN2O*kgtoGg)</f>
        <v>0.41881133165575385</v>
      </c>
      <c r="AQ1039" s="94">
        <f>IF('Net zero activities &amp; levers'!$C$12="Off",Constants!$H68*'Activity data'!BJ10*Constants!$H86*EF!$H211*MMVolatEF*NtoN2O*kgtoGg,Constants!$H68*'Net zero Activity data'!BJ10*Constants!$H86*EF!$H211*MMVolatEF*NtoN2O*kgtoGg)</f>
        <v>0.43389523168298461</v>
      </c>
      <c r="AR1039" s="94">
        <f>IF('Net zero activities &amp; levers'!$C$12="Off",Constants!$H68*'Activity data'!BK10*Constants!$H86*EF!$H211*MMVolatEF*NtoN2O*kgtoGg,Constants!$H68*'Net zero Activity data'!BK10*Constants!$H86*EF!$H211*MMVolatEF*NtoN2O*kgtoGg)</f>
        <v>0.44969846219520337</v>
      </c>
      <c r="AS1039" s="94">
        <f>IF('Net zero activities &amp; levers'!$C$12="Off",Constants!$H68*'Activity data'!BL10*Constants!$H86*EF!$H211*MMVolatEF*NtoN2O*kgtoGg,Constants!$H68*'Net zero Activity data'!BL10*Constants!$H86*EF!$H211*MMVolatEF*NtoN2O*kgtoGg)</f>
        <v>0.46621113351536414</v>
      </c>
      <c r="AT1039" s="94">
        <f>IF('Net zero activities &amp; levers'!$C$12="Off",Constants!$H68*'Activity data'!BM10*Constants!$H86*EF!$H211*MMVolatEF*NtoN2O*kgtoGg,Constants!$H68*'Net zero Activity data'!BM10*Constants!$H86*EF!$H211*MMVolatEF*NtoN2O*kgtoGg)</f>
        <v>0.47252748572368597</v>
      </c>
      <c r="AU1039" s="94">
        <f>IF('Net zero activities &amp; levers'!$C$12="Off",Constants!$H68*'Activity data'!BN10*Constants!$H86*EF!$H211*MMVolatEF*NtoN2O*kgtoGg,Constants!$H68*'Net zero Activity data'!BN10*Constants!$H86*EF!$H211*MMVolatEF*NtoN2O*kgtoGg)</f>
        <v>0.47791554113176593</v>
      </c>
      <c r="AV1039" s="94">
        <f>IF('Net zero activities &amp; levers'!$C$12="Off",Constants!$H68*'Activity data'!BO10*Constants!$H86*EF!$H211*MMVolatEF*NtoN2O*kgtoGg,Constants!$H68*'Net zero Activity data'!BO10*Constants!$H86*EF!$H211*MMVolatEF*NtoN2O*kgtoGg)</f>
        <v>0.48192801076931108</v>
      </c>
      <c r="AW1039" s="94">
        <f>IF('Net zero activities &amp; levers'!$C$12="Off",Constants!$H68*'Activity data'!BP10*Constants!$H86*EF!$H211*MMVolatEF*NtoN2O*kgtoGg,Constants!$H68*'Net zero Activity data'!BP10*Constants!$H86*EF!$H211*MMVolatEF*NtoN2O*kgtoGg)</f>
        <v>0.48553688587906652</v>
      </c>
      <c r="AY1039" s="79"/>
      <c r="AZ1039" s="79"/>
    </row>
    <row r="1040" spans="1:52" x14ac:dyDescent="0.3">
      <c r="A1040" s="95" t="str">
        <f t="shared" si="345"/>
        <v>DS MM Volatilisation</v>
      </c>
      <c r="B1040" s="95" t="s">
        <v>974</v>
      </c>
      <c r="C1040" s="95" t="s">
        <v>1332</v>
      </c>
      <c r="D1040" t="s">
        <v>369</v>
      </c>
      <c r="E1040" t="s">
        <v>64</v>
      </c>
      <c r="F1040" t="s">
        <v>62</v>
      </c>
      <c r="G1040" t="s">
        <v>1164</v>
      </c>
      <c r="H1040" t="s">
        <v>1296</v>
      </c>
      <c r="I1040" t="s">
        <v>139</v>
      </c>
      <c r="J1040" t="s">
        <v>287</v>
      </c>
      <c r="K1040" s="94">
        <f>IF('Net zero activities &amp; levers'!$C$12="Off",Constants!$H69*'Activity data'!AD11*Constants!$H87*EF!$H212*MMVolatEF*NtoN2O*kgtoGg,IF('Net zero activities &amp; levers'!$C$12="PB",Constants!$H69*'Activity data'!AD11*Constants!$H87*EF!$H212*MMVolatEF*NtoN2O*kgtoGg,IF('Net zero activities &amp; levers'!$C$12="MS",Constants!$H69*'Net zero Activity data'!AD11*Constants!$H87*EF!$H212*MMVolatEF*NtoN2O*kgtoGg,"ERROR")))</f>
        <v>1.1718831875652189E-4</v>
      </c>
      <c r="L1040" s="94">
        <f>IF('Net zero activities &amp; levers'!$C$12="Off",Constants!$H69*'Activity data'!AE11*Constants!$H87*EF!$H212*MMVolatEF*NtoN2O*kgtoGg,IF('Net zero activities &amp; levers'!$C$12="PB",Constants!$H69*'Activity data'!AE11*Constants!$H87*EF!$H212*MMVolatEF*NtoN2O*kgtoGg,IF('Net zero activities &amp; levers'!$C$12="MS",Constants!$H69*'Net zero Activity data'!AE11*Constants!$H87*EF!$H212*MMVolatEF*NtoN2O*kgtoGg,"ERROR")))</f>
        <v>1.1725168210757805E-4</v>
      </c>
      <c r="M1040" s="94">
        <f>IF('Net zero activities &amp; levers'!$C$12="Off",Constants!$H69*'Activity data'!AF11*Constants!$H87*EF!$H212*MMVolatEF*NtoN2O*kgtoGg,IF('Net zero activities &amp; levers'!$C$12="PB",Constants!$H69*'Activity data'!AF11*Constants!$H87*EF!$H212*MMVolatEF*NtoN2O*kgtoGg,IF('Net zero activities &amp; levers'!$C$12="MS",Constants!$H69*'Net zero Activity data'!AF11*Constants!$H87*EF!$H212*MMVolatEF*NtoN2O*kgtoGg,"ERROR")))</f>
        <v>1.1740318150277543E-4</v>
      </c>
      <c r="N1040" s="94">
        <f>IF('Net zero activities &amp; levers'!$C$12="Off",Constants!$H69*'Activity data'!AG11*Constants!$H87*EF!$H212*MMVolatEF*NtoN2O*kgtoGg,IF('Net zero activities &amp; levers'!$C$12="PB",Constants!$H69*'Activity data'!AG11*Constants!$H87*EF!$H212*MMVolatEF*NtoN2O*kgtoGg,IF('Net zero activities &amp; levers'!$C$12="MS",Constants!$H69*'Net zero Activity data'!AG11*Constants!$H87*EF!$H212*MMVolatEF*NtoN2O*kgtoGg,"ERROR")))</f>
        <v>1.1762656857541023E-4</v>
      </c>
      <c r="O1040" s="94">
        <f>IF('Net zero activities &amp; levers'!$C$12="Off",Constants!$H69*'Activity data'!AH11*Constants!$H87*EF!$H212*MMVolatEF*NtoN2O*kgtoGg,IF('Net zero activities &amp; levers'!$C$12="PB",Constants!$H69*'Activity data'!AH11*Constants!$H87*EF!$H212*MMVolatEF*NtoN2O*kgtoGg,IF('Net zero activities &amp; levers'!$C$12="MS",Constants!$H69*'Net zero Activity data'!AH11*Constants!$H87*EF!$H212*MMVolatEF*NtoN2O*kgtoGg,"ERROR")))</f>
        <v>1.179204237689029E-4</v>
      </c>
      <c r="P1040" s="94">
        <f>IF('Net zero activities &amp; levers'!$C$12="Off",Constants!$H69*'Activity data'!AI11*Constants!$H87*EF!$H212*MMVolatEF*NtoN2O*kgtoGg,IF('Net zero activities &amp; levers'!$C$12="PB",Constants!$H69*'Activity data'!AI11*Constants!$H87*EF!$H212*MMVolatEF*NtoN2O*kgtoGg,IF('Net zero activities &amp; levers'!$C$12="MS",Constants!$H69*'Net zero Activity data'!AI11*Constants!$H87*EF!$H212*MMVolatEF*NtoN2O*kgtoGg,"ERROR")))</f>
        <v>1.1828164409401504E-4</v>
      </c>
      <c r="Q1040" s="94">
        <f>IF('Net zero activities &amp; levers'!$C$12="Off",Constants!$H69*'Activity data'!AJ11*Constants!$H87*EF!$H212*MMVolatEF*NtoN2O*kgtoGg,IF('Net zero activities &amp; levers'!$C$12="PB",Constants!$H69*'Activity data'!AJ11*Constants!$H87*EF!$H212*MMVolatEF*NtoN2O*kgtoGg,IF('Net zero activities &amp; levers'!$C$12="MS",Constants!$H69*'Net zero Activity data'!AJ11*Constants!$H87*EF!$H212*MMVolatEF*NtoN2O*kgtoGg,"ERROR")))</f>
        <v>1.1868734382429133E-4</v>
      </c>
      <c r="R1040" s="94">
        <f>IF('Net zero activities &amp; levers'!$C$12="Off",Constants!$H69*'Activity data'!AK11*Constants!$H87*EF!$H212*MMVolatEF*NtoN2O*kgtoGg,IF('Net zero activities &amp; levers'!$C$12="PB",Constants!$H69*'Activity data'!AK11*Constants!$H87*EF!$H212*MMVolatEF*NtoN2O*kgtoGg,IF('Net zero activities &amp; levers'!$C$12="MS",Constants!$H69*'Net zero Activity data'!AK11*Constants!$H87*EF!$H212*MMVolatEF*NtoN2O*kgtoGg,"ERROR")))</f>
        <v>1.1913496163447935E-4</v>
      </c>
      <c r="S1040" s="94">
        <f>IF('Net zero activities &amp; levers'!$C$12="Off",Constants!$H69*'Activity data'!AL11*Constants!$H87*EF!$H212*MMVolatEF*NtoN2O*kgtoGg,IF('Net zero activities &amp; levers'!$C$12="PB",Constants!$H69*'Activity data'!AL11*Constants!$H87*EF!$H212*MMVolatEF*NtoN2O*kgtoGg,IF('Net zero activities &amp; levers'!$C$12="MS",Constants!$H69*'Net zero Activity data'!AL11*Constants!$H87*EF!$H212*MMVolatEF*NtoN2O*kgtoGg,"ERROR")))</f>
        <v>1.1954428347803586E-4</v>
      </c>
      <c r="T1040" s="94">
        <f>IF('Net zero activities &amp; levers'!$C$12="Off",Constants!$H69*'Activity data'!AM11*Constants!$H87*EF!$H212*MMVolatEF*NtoN2O*kgtoGg,IF('Net zero activities &amp; levers'!$C$12="PB",Constants!$H69*'Activity data'!AM11*Constants!$H87*EF!$H212*MMVolatEF*NtoN2O*kgtoGg,IF('Net zero activities &amp; levers'!$C$12="MS",Constants!$H69*'Net zero Activity data'!AM11*Constants!$H87*EF!$H212*MMVolatEF*NtoN2O*kgtoGg,"ERROR")))</f>
        <v>1.1972414940561896E-4</v>
      </c>
      <c r="U1040" s="94">
        <f>IF('Net zero activities &amp; levers'!$C$12="Off",Constants!$H69*'Activity data'!AN11*Constants!$H87*EF!$H212*MMVolatEF*NtoN2O*kgtoGg,IF('Net zero activities &amp; levers'!$C$12="PB",Constants!$H69*'Activity data'!AN11*Constants!$H87*EF!$H212*MMVolatEF*NtoN2O*kgtoGg,IF('Net zero activities &amp; levers'!$C$12="MS",Constants!$H69*'Net zero Activity data'!AN11*Constants!$H87*EF!$H212*MMVolatEF*NtoN2O*kgtoGg,"ERROR")))</f>
        <v>1.1994380434419684E-4</v>
      </c>
      <c r="V1040" s="94">
        <f>IF('Net zero activities &amp; levers'!$C$12="Off",Constants!$H69*'Activity data'!AO11*Constants!$H87*EF!$H212*MMVolatEF*NtoN2O*kgtoGg,IF('Net zero activities &amp; levers'!$C$12="PB",Constants!$H69*'Activity data'!AO11*Constants!$H87*EF!$H212*MMVolatEF*NtoN2O*kgtoGg,IF('Net zero activities &amp; levers'!$C$12="MS",Constants!$H69*'Net zero Activity data'!AO11*Constants!$H87*EF!$H212*MMVolatEF*NtoN2O*kgtoGg,"ERROR")))</f>
        <v>1.201746788301286E-4</v>
      </c>
      <c r="W1040" s="94">
        <f>IF('Net zero activities &amp; levers'!$C$12="Off",Constants!$H69*'Activity data'!AP11*Constants!$H87*EF!$H212*MMVolatEF*NtoN2O*kgtoGg,IF('Net zero activities &amp; levers'!$C$12="PB",Constants!$H69*'Activity data'!AP11*Constants!$H87*EF!$H212*MMVolatEF*NtoN2O*kgtoGg,IF('Net zero activities &amp; levers'!$C$12="MS",Constants!$H69*'Net zero Activity data'!AP11*Constants!$H87*EF!$H212*MMVolatEF*NtoN2O*kgtoGg,"ERROR")))</f>
        <v>1.2043388472990403E-4</v>
      </c>
      <c r="X1040" s="94">
        <f>IF('Net zero activities &amp; levers'!$C$12="Off",Constants!$H69*'Activity data'!AQ11*Constants!$H87*EF!$H212*MMVolatEF*NtoN2O*kgtoGg,IF('Net zero activities &amp; levers'!$C$12="PB",Constants!$H69*'Activity data'!AQ11*Constants!$H87*EF!$H212*MMVolatEF*NtoN2O*kgtoGg,IF('Net zero activities &amp; levers'!$C$12="MS",Constants!$H69*'Net zero Activity data'!AQ11*Constants!$H87*EF!$H212*MMVolatEF*NtoN2O*kgtoGg,"ERROR")))</f>
        <v>1.207206967802894E-4</v>
      </c>
      <c r="Y1040" s="94">
        <f>IF('Net zero activities &amp; levers'!$C$12="Off",Constants!$H69*'Activity data'!AR11*Constants!$H87*EF!$H212*MMVolatEF*NtoN2O*kgtoGg,IF('Net zero activities &amp; levers'!$C$12="PB",Constants!$H69*'Activity data'!AR11*Constants!$H87*EF!$H212*MMVolatEF*NtoN2O*kgtoGg,IF('Net zero activities &amp; levers'!$C$12="MS",Constants!$H69*'Net zero Activity data'!AR11*Constants!$H87*EF!$H212*MMVolatEF*NtoN2O*kgtoGg,"ERROR")))</f>
        <v>1.2089981812671622E-4</v>
      </c>
      <c r="Z1040" s="94">
        <f>IF('Net zero activities &amp; levers'!$C$12="Off",Constants!$H69*'Activity data'!AS11*Constants!$H87*EF!$H212*MMVolatEF*NtoN2O*kgtoGg,IF('Net zero activities &amp; levers'!$C$12="PB",Constants!$H69*'Activity data'!AS11*Constants!$H87*EF!$H212*MMVolatEF*NtoN2O*kgtoGg,IF('Net zero activities &amp; levers'!$C$12="MS",Constants!$H69*'Net zero Activity data'!AS11*Constants!$H87*EF!$H212*MMVolatEF*NtoN2O*kgtoGg,"ERROR")))</f>
        <v>1.2110217984152869E-4</v>
      </c>
      <c r="AA1040" s="94">
        <f>IF('Net zero activities &amp; levers'!$C$12="Off",Constants!$H69*'Activity data'!AT11*Constants!$H87*EF!$H212*MMVolatEF*NtoN2O*kgtoGg,IF('Net zero activities &amp; levers'!$C$12="PB",Constants!$H69*'Activity data'!AT11*Constants!$H87*EF!$H212*MMVolatEF*NtoN2O*kgtoGg,IF('Net zero activities &amp; levers'!$C$12="MS",Constants!$H69*'Net zero Activity data'!AT11*Constants!$H87*EF!$H212*MMVolatEF*NtoN2O*kgtoGg,"ERROR")))</f>
        <v>1.2132504756910802E-4</v>
      </c>
      <c r="AB1040" s="94">
        <f>IF('Net zero activities &amp; levers'!$C$12="Off",Constants!$H69*'Activity data'!AU11*Constants!$H87*EF!$H212*MMVolatEF*NtoN2O*kgtoGg,IF('Net zero activities &amp; levers'!$C$12="PB",Constants!$H69*'Activity data'!AU11*Constants!$H87*EF!$H212*MMVolatEF*NtoN2O*kgtoGg,IF('Net zero activities &amp; levers'!$C$12="MS",Constants!$H69*'Net zero Activity data'!AU11*Constants!$H87*EF!$H212*MMVolatEF*NtoN2O*kgtoGg,"ERROR")))</f>
        <v>1.2156903411725496E-4</v>
      </c>
      <c r="AC1040" s="94">
        <f>IF('Net zero activities &amp; levers'!$C$12="Off",Constants!$H69*'Activity data'!AV11*Constants!$H87*EF!$H212*MMVolatEF*NtoN2O*kgtoGg,IF('Net zero activities &amp; levers'!$C$12="PB",Constants!$H69*'Activity data'!AV11*Constants!$H87*EF!$H212*MMVolatEF*NtoN2O*kgtoGg,IF('Net zero activities &amp; levers'!$C$12="MS",Constants!$H69*'Net zero Activity data'!AV11*Constants!$H87*EF!$H212*MMVolatEF*NtoN2O*kgtoGg,"ERROR")))</f>
        <v>1.2183162117803533E-4</v>
      </c>
      <c r="AD1040" s="94">
        <f>IF('Net zero activities &amp; levers'!$C$12="Off",Constants!$H69*'Activity data'!AW11*Constants!$H87*EF!$H212*MMVolatEF*NtoN2O*kgtoGg,IF('Net zero activities &amp; levers'!$C$12="PB",Constants!$H69*'Activity data'!AW11*Constants!$H87*EF!$H212*MMVolatEF*NtoN2O*kgtoGg,IF('Net zero activities &amp; levers'!$C$12="MS",Constants!$H69*'Net zero Activity data'!AW11*Constants!$H87*EF!$H212*MMVolatEF*NtoN2O*kgtoGg,"ERROR")))</f>
        <v>1.2200776858907327E-4</v>
      </c>
      <c r="AE1040" s="94">
        <f>IF('Net zero activities &amp; levers'!$C$12="Off",Constants!$H69*'Activity data'!AX11*Constants!$H87*EF!$H212*MMVolatEF*NtoN2O*kgtoGg,IF('Net zero activities &amp; levers'!$C$12="PB",Constants!$H69*'Activity data'!AX11*Constants!$H87*EF!$H212*MMVolatEF*NtoN2O*kgtoGg,IF('Net zero activities &amp; levers'!$C$12="MS",Constants!$H69*'Net zero Activity data'!AX11*Constants!$H87*EF!$H212*MMVolatEF*NtoN2O*kgtoGg,"ERROR")))</f>
        <v>1.2219899661673858E-4</v>
      </c>
      <c r="AF1040" s="94">
        <f>IF('Net zero activities &amp; levers'!$C$12="Off",Constants!$H69*'Activity data'!AY11*Constants!$H87*EF!$H212*MMVolatEF*NtoN2O*kgtoGg,IF('Net zero activities &amp; levers'!$C$12="PB",Constants!$H69*'Activity data'!AY11*Constants!$H87*EF!$H212*MMVolatEF*NtoN2O*kgtoGg,IF('Net zero activities &amp; levers'!$C$12="MS",Constants!$H69*'Net zero Activity data'!AY11*Constants!$H87*EF!$H212*MMVolatEF*NtoN2O*kgtoGg,"ERROR")))</f>
        <v>1.2240684242118336E-4</v>
      </c>
      <c r="AG1040" s="94">
        <f>IF('Net zero activities &amp; levers'!$C$12="Off",Constants!$H69*'Activity data'!AZ11*Constants!$H87*EF!$H212*MMVolatEF*NtoN2O*kgtoGg,IF('Net zero activities &amp; levers'!$C$12="PB",Constants!$H69*'Activity data'!AZ11*Constants!$H87*EF!$H212*MMVolatEF*NtoN2O*kgtoGg,IF('Net zero activities &amp; levers'!$C$12="MS",Constants!$H69*'Net zero Activity data'!AZ11*Constants!$H87*EF!$H212*MMVolatEF*NtoN2O*kgtoGg,"ERROR")))</f>
        <v>1.2263333491271974E-4</v>
      </c>
      <c r="AH1040" s="94">
        <f>IF('Net zero activities &amp; levers'!$C$12="Off",Constants!$H69*'Activity data'!BA11*Constants!$H87*EF!$H212*MMVolatEF*NtoN2O*kgtoGg,IF('Net zero activities &amp; levers'!$C$12="PB",Constants!$H69*'Activity data'!BA11*Constants!$H87*EF!$H212*MMVolatEF*NtoN2O*kgtoGg,IF('Net zero activities &amp; levers'!$C$12="MS",Constants!$H69*'Net zero Activity data'!BA11*Constants!$H87*EF!$H212*MMVolatEF*NtoN2O*kgtoGg,"ERROR")))</f>
        <v>1.2287167298468532E-4</v>
      </c>
      <c r="AI1040" s="94">
        <f>IF('Net zero activities &amp; levers'!$C$12="Off",Constants!$H69*'Activity data'!BB11*Constants!$H87*EF!$H212*MMVolatEF*NtoN2O*kgtoGg,IF('Net zero activities &amp; levers'!$C$12="PB",Constants!$H69*'Activity data'!BB11*Constants!$H87*EF!$H212*MMVolatEF*NtoN2O*kgtoGg,IF('Net zero activities &amp; levers'!$C$12="MS",Constants!$H69*'Net zero Activity data'!BB11*Constants!$H87*EF!$H212*MMVolatEF*NtoN2O*kgtoGg,"ERROR")))</f>
        <v>1.2302401792252464E-4</v>
      </c>
      <c r="AJ1040" s="94">
        <f>IF('Net zero activities &amp; levers'!$C$12="Off",Constants!$H69*'Activity data'!BC11*Constants!$H87*EF!$H212*MMVolatEF*NtoN2O*kgtoGg,IF('Net zero activities &amp; levers'!$C$12="PB",Constants!$H69*'Activity data'!BC11*Constants!$H87*EF!$H212*MMVolatEF*NtoN2O*kgtoGg,IF('Net zero activities &amp; levers'!$C$12="MS",Constants!$H69*'Net zero Activity data'!BC11*Constants!$H87*EF!$H212*MMVolatEF*NtoN2O*kgtoGg,"ERROR")))</f>
        <v>1.2319088645114677E-4</v>
      </c>
      <c r="AK1040" s="94">
        <f>IF('Net zero activities &amp; levers'!$C$12="Off",Constants!$H69*'Activity data'!BD11*Constants!$H87*EF!$H212*MMVolatEF*NtoN2O*kgtoGg,IF('Net zero activities &amp; levers'!$C$12="PB",Constants!$H69*'Activity data'!BD11*Constants!$H87*EF!$H212*MMVolatEF*NtoN2O*kgtoGg,IF('Net zero activities &amp; levers'!$C$12="MS",Constants!$H69*'Net zero Activity data'!BD11*Constants!$H87*EF!$H212*MMVolatEF*NtoN2O*kgtoGg,"ERROR")))</f>
        <v>1.2336677489796816E-4</v>
      </c>
      <c r="AL1040" s="94">
        <f>IF('Net zero activities &amp; levers'!$C$12="Off",Constants!$H69*'Activity data'!BE11*Constants!$H87*EF!$H212*MMVolatEF*NtoN2O*kgtoGg,IF('Net zero activities &amp; levers'!$C$12="PB",Constants!$H69*'Activity data'!BE11*Constants!$H87*EF!$H212*MMVolatEF*NtoN2O*kgtoGg,IF('Net zero activities &amp; levers'!$C$12="MS",Constants!$H69*'Net zero Activity data'!BE11*Constants!$H87*EF!$H212*MMVolatEF*NtoN2O*kgtoGg,"ERROR")))</f>
        <v>1.2355355577482136E-4</v>
      </c>
      <c r="AM1040" s="94">
        <f>IF('Net zero activities &amp; levers'!$C$12="Off",Constants!$H69*'Activity data'!BF11*Constants!$H87*EF!$H212*MMVolatEF*NtoN2O*kgtoGg,IF('Net zero activities &amp; levers'!$C$12="PB",Constants!$H69*'Activity data'!BF11*Constants!$H87*EF!$H212*MMVolatEF*NtoN2O*kgtoGg,IF('Net zero activities &amp; levers'!$C$12="MS",Constants!$H69*'Net zero Activity data'!BF11*Constants!$H87*EF!$H212*MMVolatEF*NtoN2O*kgtoGg,"ERROR")))</f>
        <v>1.2375094588099321E-4</v>
      </c>
      <c r="AN1040" s="94">
        <f>IF('Net zero activities &amp; levers'!$C$12="Off",Constants!$H69*'Activity data'!BG11*Constants!$H87*EF!$H212*MMVolatEF*NtoN2O*kgtoGg,IF('Net zero activities &amp; levers'!$C$12="PB",Constants!$H69*'Activity data'!BG11*Constants!$H87*EF!$H212*MMVolatEF*NtoN2O*kgtoGg,IF('Net zero activities &amp; levers'!$C$12="MS",Constants!$H69*'Net zero Activity data'!BG11*Constants!$H87*EF!$H212*MMVolatEF*NtoN2O*kgtoGg,"ERROR")))</f>
        <v>1.2386757855810271E-4</v>
      </c>
      <c r="AO1040" s="94">
        <f>IF('Net zero activities &amp; levers'!$C$12="Off",Constants!$H69*'Activity data'!BH11*Constants!$H87*EF!$H212*MMVolatEF*NtoN2O*kgtoGg,IF('Net zero activities &amp; levers'!$C$12="PB",Constants!$H69*'Activity data'!BH11*Constants!$H87*EF!$H212*MMVolatEF*NtoN2O*kgtoGg,IF('Net zero activities &amp; levers'!$C$12="MS",Constants!$H69*'Net zero Activity data'!BH11*Constants!$H87*EF!$H212*MMVolatEF*NtoN2O*kgtoGg,"ERROR")))</f>
        <v>1.2399208535623994E-4</v>
      </c>
      <c r="AP1040" s="94">
        <f>IF('Net zero activities &amp; levers'!$C$12="Off",Constants!$H69*'Activity data'!BI11*Constants!$H87*EF!$H212*MMVolatEF*NtoN2O*kgtoGg,IF('Net zero activities &amp; levers'!$C$12="PB",Constants!$H69*'Activity data'!BI11*Constants!$H87*EF!$H212*MMVolatEF*NtoN2O*kgtoGg,IF('Net zero activities &amp; levers'!$C$12="MS",Constants!$H69*'Net zero Activity data'!BI11*Constants!$H87*EF!$H212*MMVolatEF*NtoN2O*kgtoGg,"ERROR")))</f>
        <v>1.2412714040619619E-4</v>
      </c>
      <c r="AQ1040" s="94">
        <f>IF('Net zero activities &amp; levers'!$C$12="Off",Constants!$H69*'Activity data'!BJ11*Constants!$H87*EF!$H212*MMVolatEF*NtoN2O*kgtoGg,IF('Net zero activities &amp; levers'!$C$12="PB",Constants!$H69*'Activity data'!BJ11*Constants!$H87*EF!$H212*MMVolatEF*NtoN2O*kgtoGg,IF('Net zero activities &amp; levers'!$C$12="MS",Constants!$H69*'Net zero Activity data'!BJ11*Constants!$H87*EF!$H212*MMVolatEF*NtoN2O*kgtoGg,"ERROR")))</f>
        <v>1.242726131383893E-4</v>
      </c>
      <c r="AR1040" s="94">
        <f>IF('Net zero activities &amp; levers'!$C$12="Off",Constants!$H69*'Activity data'!BK11*Constants!$H87*EF!$H212*MMVolatEF*NtoN2O*kgtoGg,IF('Net zero activities &amp; levers'!$C$12="PB",Constants!$H69*'Activity data'!BK11*Constants!$H87*EF!$H212*MMVolatEF*NtoN2O*kgtoGg,IF('Net zero activities &amp; levers'!$C$12="MS",Constants!$H69*'Net zero Activity data'!BK11*Constants!$H87*EF!$H212*MMVolatEF*NtoN2O*kgtoGg,"ERROR")))</f>
        <v>1.2442850053815514E-4</v>
      </c>
      <c r="AS1040" s="94">
        <f>IF('Net zero activities &amp; levers'!$C$12="Off",Constants!$H69*'Activity data'!BL11*Constants!$H87*EF!$H212*MMVolatEF*NtoN2O*kgtoGg,IF('Net zero activities &amp; levers'!$C$12="PB",Constants!$H69*'Activity data'!BL11*Constants!$H87*EF!$H212*MMVolatEF*NtoN2O*kgtoGg,IF('Net zero activities &amp; levers'!$C$12="MS",Constants!$H69*'Net zero Activity data'!BL11*Constants!$H87*EF!$H212*MMVolatEF*NtoN2O*kgtoGg,"ERROR")))</f>
        <v>1.2449922291454818E-4</v>
      </c>
      <c r="AT1040" s="94">
        <f>IF('Net zero activities &amp; levers'!$C$12="Off",Constants!$H69*'Activity data'!BM11*Constants!$H87*EF!$H212*MMVolatEF*NtoN2O*kgtoGg,IF('Net zero activities &amp; levers'!$C$12="PB",Constants!$H69*'Activity data'!BM11*Constants!$H87*EF!$H212*MMVolatEF*NtoN2O*kgtoGg,IF('Net zero activities &amp; levers'!$C$12="MS",Constants!$H69*'Net zero Activity data'!BM11*Constants!$H87*EF!$H212*MMVolatEF*NtoN2O*kgtoGg,"ERROR")))</f>
        <v>1.2454479881058539E-4</v>
      </c>
      <c r="AU1040" s="94">
        <f>IF('Net zero activities &amp; levers'!$C$12="Off",Constants!$H69*'Activity data'!BN11*Constants!$H87*EF!$H212*MMVolatEF*NtoN2O*kgtoGg,IF('Net zero activities &amp; levers'!$C$12="PB",Constants!$H69*'Activity data'!BN11*Constants!$H87*EF!$H212*MMVolatEF*NtoN2O*kgtoGg,IF('Net zero activities &amp; levers'!$C$12="MS",Constants!$H69*'Net zero Activity data'!BN11*Constants!$H87*EF!$H212*MMVolatEF*NtoN2O*kgtoGg,"ERROR")))</f>
        <v>1.2459475860623469E-4</v>
      </c>
      <c r="AV1040" s="94">
        <f>IF('Net zero activities &amp; levers'!$C$12="Off",Constants!$H69*'Activity data'!BO11*Constants!$H87*EF!$H212*MMVolatEF*NtoN2O*kgtoGg,IF('Net zero activities &amp; levers'!$C$12="PB",Constants!$H69*'Activity data'!BO11*Constants!$H87*EF!$H212*MMVolatEF*NtoN2O*kgtoGg,IF('Net zero activities &amp; levers'!$C$12="MS",Constants!$H69*'Net zero Activity data'!BO11*Constants!$H87*EF!$H212*MMVolatEF*NtoN2O*kgtoGg,"ERROR")))</f>
        <v>1.2464752954530566E-4</v>
      </c>
      <c r="AW1040" s="94">
        <f>IF('Net zero activities &amp; levers'!$C$12="Off",Constants!$H69*'Activity data'!BP11*Constants!$H87*EF!$H212*MMVolatEF*NtoN2O*kgtoGg,IF('Net zero activities &amp; levers'!$C$12="PB",Constants!$H69*'Activity data'!BP11*Constants!$H87*EF!$H212*MMVolatEF*NtoN2O*kgtoGg,IF('Net zero activities &amp; levers'!$C$12="MS",Constants!$H69*'Net zero Activity data'!BP11*Constants!$H87*EF!$H212*MMVolatEF*NtoN2O*kgtoGg,"ERROR")))</f>
        <v>1.2470598620434531E-4</v>
      </c>
      <c r="AY1040" s="79"/>
      <c r="AZ1040" s="79"/>
    </row>
    <row r="1041" spans="1:52" x14ac:dyDescent="0.3">
      <c r="A1041" s="95" t="str">
        <f t="shared" si="345"/>
        <v>DS MM Volatilisation</v>
      </c>
      <c r="B1041" s="95" t="s">
        <v>974</v>
      </c>
      <c r="C1041" s="95" t="s">
        <v>1332</v>
      </c>
      <c r="D1041" t="s">
        <v>369</v>
      </c>
      <c r="E1041" t="s">
        <v>64</v>
      </c>
      <c r="F1041" t="s">
        <v>62</v>
      </c>
      <c r="G1041" t="s">
        <v>1166</v>
      </c>
      <c r="H1041" t="s">
        <v>1297</v>
      </c>
      <c r="I1041" t="s">
        <v>139</v>
      </c>
      <c r="J1041" t="s">
        <v>287</v>
      </c>
      <c r="K1041" s="94">
        <f>IF('Net zero activities &amp; levers'!$C$12="Off",Constants!$H70*'Activity data'!AD12*Constants!$H88*EF!$H213*MMVolatEF*NtoN2O*kgtoGg,IF('Net zero activities &amp; levers'!$C$12="PB",Constants!$H70*'Activity data'!AD12*Constants!$H88*EF!$H213*MMVolatEF*NtoN2O*kgtoGg,IF('Net zero activities &amp; levers'!$C$12="MS",Constants!$H70*'Net zero Activity data'!AD12*Constants!$H88*EF!$H213*MMVolatEF*NtoN2O*kgtoGg,"ERROR")))</f>
        <v>8.042066176599371E-4</v>
      </c>
      <c r="L1041" s="94">
        <f>IF('Net zero activities &amp; levers'!$C$12="Off",Constants!$H70*'Activity data'!AE12*Constants!$H88*EF!$H213*MMVolatEF*NtoN2O*kgtoGg,IF('Net zero activities &amp; levers'!$C$12="PB",Constants!$H70*'Activity data'!AE12*Constants!$H88*EF!$H213*MMVolatEF*NtoN2O*kgtoGg,IF('Net zero activities &amp; levers'!$C$12="MS",Constants!$H70*'Net zero Activity data'!AE12*Constants!$H88*EF!$H213*MMVolatEF*NtoN2O*kgtoGg,"ERROR")))</f>
        <v>8.046414496191049E-4</v>
      </c>
      <c r="M1041" s="94">
        <f>IF('Net zero activities &amp; levers'!$C$12="Off",Constants!$H70*'Activity data'!AF12*Constants!$H88*EF!$H213*MMVolatEF*NtoN2O*kgtoGg,IF('Net zero activities &amp; levers'!$C$12="PB",Constants!$H70*'Activity data'!AF12*Constants!$H88*EF!$H213*MMVolatEF*NtoN2O*kgtoGg,IF('Net zero activities &amp; levers'!$C$12="MS",Constants!$H70*'Net zero Activity data'!AF12*Constants!$H88*EF!$H213*MMVolatEF*NtoN2O*kgtoGg,"ERROR")))</f>
        <v>8.0568111652005547E-4</v>
      </c>
      <c r="N1041" s="94">
        <f>IF('Net zero activities &amp; levers'!$C$12="Off",Constants!$H70*'Activity data'!AG12*Constants!$H88*EF!$H213*MMVolatEF*NtoN2O*kgtoGg,IF('Net zero activities &amp; levers'!$C$12="PB",Constants!$H70*'Activity data'!AG12*Constants!$H88*EF!$H213*MMVolatEF*NtoN2O*kgtoGg,IF('Net zero activities &amp; levers'!$C$12="MS",Constants!$H70*'Net zero Activity data'!AG12*Constants!$H88*EF!$H213*MMVolatEF*NtoN2O*kgtoGg,"ERROR")))</f>
        <v>8.0721411369945729E-4</v>
      </c>
      <c r="O1041" s="94">
        <f>IF('Net zero activities &amp; levers'!$C$12="Off",Constants!$H70*'Activity data'!AH12*Constants!$H88*EF!$H213*MMVolatEF*NtoN2O*kgtoGg,IF('Net zero activities &amp; levers'!$C$12="PB",Constants!$H70*'Activity data'!AH12*Constants!$H88*EF!$H213*MMVolatEF*NtoN2O*kgtoGg,IF('Net zero activities &amp; levers'!$C$12="MS",Constants!$H70*'Net zero Activity data'!AH12*Constants!$H88*EF!$H213*MMVolatEF*NtoN2O*kgtoGg,"ERROR")))</f>
        <v>8.0923069942871869E-4</v>
      </c>
      <c r="P1041" s="94">
        <f>IF('Net zero activities &amp; levers'!$C$12="Off",Constants!$H70*'Activity data'!AI12*Constants!$H88*EF!$H213*MMVolatEF*NtoN2O*kgtoGg,IF('Net zero activities &amp; levers'!$C$12="PB",Constants!$H70*'Activity data'!AI12*Constants!$H88*EF!$H213*MMVolatEF*NtoN2O*kgtoGg,IF('Net zero activities &amp; levers'!$C$12="MS",Constants!$H70*'Net zero Activity data'!AI12*Constants!$H88*EF!$H213*MMVolatEF*NtoN2O*kgtoGg,"ERROR")))</f>
        <v>8.117095793970544E-4</v>
      </c>
      <c r="Q1041" s="94">
        <f>IF('Net zero activities &amp; levers'!$C$12="Off",Constants!$H70*'Activity data'!AJ12*Constants!$H88*EF!$H213*MMVolatEF*NtoN2O*kgtoGg,IF('Net zero activities &amp; levers'!$C$12="PB",Constants!$H70*'Activity data'!AJ12*Constants!$H88*EF!$H213*MMVolatEF*NtoN2O*kgtoGg,IF('Net zero activities &amp; levers'!$C$12="MS",Constants!$H70*'Net zero Activity data'!AJ12*Constants!$H88*EF!$H213*MMVolatEF*NtoN2O*kgtoGg,"ERROR")))</f>
        <v>8.1449369995900982E-4</v>
      </c>
      <c r="R1041" s="94">
        <f>IF('Net zero activities &amp; levers'!$C$12="Off",Constants!$H70*'Activity data'!AK12*Constants!$H88*EF!$H213*MMVolatEF*NtoN2O*kgtoGg,IF('Net zero activities &amp; levers'!$C$12="PB",Constants!$H70*'Activity data'!AK12*Constants!$H88*EF!$H213*MMVolatEF*NtoN2O*kgtoGg,IF('Net zero activities &amp; levers'!$C$12="MS",Constants!$H70*'Net zero Activity data'!AK12*Constants!$H88*EF!$H213*MMVolatEF*NtoN2O*kgtoGg,"ERROR")))</f>
        <v>8.1756548398113221E-4</v>
      </c>
      <c r="S1041" s="94">
        <f>IF('Net zero activities &amp; levers'!$C$12="Off",Constants!$H70*'Activity data'!AL12*Constants!$H88*EF!$H213*MMVolatEF*NtoN2O*kgtoGg,IF('Net zero activities &amp; levers'!$C$12="PB",Constants!$H70*'Activity data'!AL12*Constants!$H88*EF!$H213*MMVolatEF*NtoN2O*kgtoGg,IF('Net zero activities &amp; levers'!$C$12="MS",Constants!$H70*'Net zero Activity data'!AL12*Constants!$H88*EF!$H213*MMVolatEF*NtoN2O*kgtoGg,"ERROR")))</f>
        <v>8.2037446135049667E-4</v>
      </c>
      <c r="T1041" s="94">
        <f>IF('Net zero activities &amp; levers'!$C$12="Off",Constants!$H70*'Activity data'!AM12*Constants!$H88*EF!$H213*MMVolatEF*NtoN2O*kgtoGg,IF('Net zero activities &amp; levers'!$C$12="PB",Constants!$H70*'Activity data'!AM12*Constants!$H88*EF!$H213*MMVolatEF*NtoN2O*kgtoGg,IF('Net zero activities &amp; levers'!$C$12="MS",Constants!$H70*'Net zero Activity data'!AM12*Constants!$H88*EF!$H213*MMVolatEF*NtoN2O*kgtoGg,"ERROR")))</f>
        <v>8.2160879401085645E-4</v>
      </c>
      <c r="U1041" s="94">
        <f>IF('Net zero activities &amp; levers'!$C$12="Off",Constants!$H70*'Activity data'!AN12*Constants!$H88*EF!$H213*MMVolatEF*NtoN2O*kgtoGg,IF('Net zero activities &amp; levers'!$C$12="PB",Constants!$H70*'Activity data'!AN12*Constants!$H88*EF!$H213*MMVolatEF*NtoN2O*kgtoGg,IF('Net zero activities &amp; levers'!$C$12="MS",Constants!$H70*'Net zero Activity data'!AN12*Constants!$H88*EF!$H213*MMVolatEF*NtoN2O*kgtoGg,"ERROR")))</f>
        <v>8.2311617936359845E-4</v>
      </c>
      <c r="V1041" s="94">
        <f>IF('Net zero activities &amp; levers'!$C$12="Off",Constants!$H70*'Activity data'!AO12*Constants!$H88*EF!$H213*MMVolatEF*NtoN2O*kgtoGg,IF('Net zero activities &amp; levers'!$C$12="PB",Constants!$H70*'Activity data'!AO12*Constants!$H88*EF!$H213*MMVolatEF*NtoN2O*kgtoGg,IF('Net zero activities &amp; levers'!$C$12="MS",Constants!$H70*'Net zero Activity data'!AO12*Constants!$H88*EF!$H213*MMVolatEF*NtoN2O*kgtoGg,"ERROR")))</f>
        <v>8.2470055903049121E-4</v>
      </c>
      <c r="W1041" s="94">
        <f>IF('Net zero activities &amp; levers'!$C$12="Off",Constants!$H70*'Activity data'!AP12*Constants!$H88*EF!$H213*MMVolatEF*NtoN2O*kgtoGg,IF('Net zero activities &amp; levers'!$C$12="PB",Constants!$H70*'Activity data'!AP12*Constants!$H88*EF!$H213*MMVolatEF*NtoN2O*kgtoGg,IF('Net zero activities &amp; levers'!$C$12="MS",Constants!$H70*'Net zero Activity data'!AP12*Constants!$H88*EF!$H213*MMVolatEF*NtoN2O*kgtoGg,"ERROR")))</f>
        <v>8.2647936345526477E-4</v>
      </c>
      <c r="X1041" s="94">
        <f>IF('Net zero activities &amp; levers'!$C$12="Off",Constants!$H70*'Activity data'!AQ12*Constants!$H88*EF!$H213*MMVolatEF*NtoN2O*kgtoGg,IF('Net zero activities &amp; levers'!$C$12="PB",Constants!$H70*'Activity data'!AQ12*Constants!$H88*EF!$H213*MMVolatEF*NtoN2O*kgtoGg,IF('Net zero activities &amp; levers'!$C$12="MS",Constants!$H70*'Net zero Activity data'!AQ12*Constants!$H88*EF!$H213*MMVolatEF*NtoN2O*kgtoGg,"ERROR")))</f>
        <v>8.2844761550796096E-4</v>
      </c>
      <c r="Y1041" s="94">
        <f>IF('Net zero activities &amp; levers'!$C$12="Off",Constants!$H70*'Activity data'!AR12*Constants!$H88*EF!$H213*MMVolatEF*NtoN2O*kgtoGg,IF('Net zero activities &amp; levers'!$C$12="PB",Constants!$H70*'Activity data'!AR12*Constants!$H88*EF!$H213*MMVolatEF*NtoN2O*kgtoGg,IF('Net zero activities &amp; levers'!$C$12="MS",Constants!$H70*'Net zero Activity data'!AR12*Constants!$H88*EF!$H213*MMVolatEF*NtoN2O*kgtoGg,"ERROR")))</f>
        <v>8.2967683846882541E-4</v>
      </c>
      <c r="Z1041" s="94">
        <f>IF('Net zero activities &amp; levers'!$C$12="Off",Constants!$H70*'Activity data'!AS12*Constants!$H88*EF!$H213*MMVolatEF*NtoN2O*kgtoGg,IF('Net zero activities &amp; levers'!$C$12="PB",Constants!$H70*'Activity data'!AS12*Constants!$H88*EF!$H213*MMVolatEF*NtoN2O*kgtoGg,IF('Net zero activities &amp; levers'!$C$12="MS",Constants!$H70*'Net zero Activity data'!AS12*Constants!$H88*EF!$H213*MMVolatEF*NtoN2O*kgtoGg,"ERROR")))</f>
        <v>8.3106554881077761E-4</v>
      </c>
      <c r="AA1041" s="94">
        <f>IF('Net zero activities &amp; levers'!$C$12="Off",Constants!$H70*'Activity data'!AT12*Constants!$H88*EF!$H213*MMVolatEF*NtoN2O*kgtoGg,IF('Net zero activities &amp; levers'!$C$12="PB",Constants!$H70*'Activity data'!AT12*Constants!$H88*EF!$H213*MMVolatEF*NtoN2O*kgtoGg,IF('Net zero activities &amp; levers'!$C$12="MS",Constants!$H70*'Net zero Activity data'!AT12*Constants!$H88*EF!$H213*MMVolatEF*NtoN2O*kgtoGg,"ERROR")))</f>
        <v>8.3259498197684714E-4</v>
      </c>
      <c r="AB1041" s="94">
        <f>IF('Net zero activities &amp; levers'!$C$12="Off",Constants!$H70*'Activity data'!AU12*Constants!$H88*EF!$H213*MMVolatEF*NtoN2O*kgtoGg,IF('Net zero activities &amp; levers'!$C$12="PB",Constants!$H70*'Activity data'!AU12*Constants!$H88*EF!$H213*MMVolatEF*NtoN2O*kgtoGg,IF('Net zero activities &amp; levers'!$C$12="MS",Constants!$H70*'Net zero Activity data'!AU12*Constants!$H88*EF!$H213*MMVolatEF*NtoN2O*kgtoGg,"ERROR")))</f>
        <v>8.3426934336987486E-4</v>
      </c>
      <c r="AC1041" s="94">
        <f>IF('Net zero activities &amp; levers'!$C$12="Off",Constants!$H70*'Activity data'!AV12*Constants!$H88*EF!$H213*MMVolatEF*NtoN2O*kgtoGg,IF('Net zero activities &amp; levers'!$C$12="PB",Constants!$H70*'Activity data'!AV12*Constants!$H88*EF!$H213*MMVolatEF*NtoN2O*kgtoGg,IF('Net zero activities &amp; levers'!$C$12="MS",Constants!$H70*'Net zero Activity data'!AV12*Constants!$H88*EF!$H213*MMVolatEF*NtoN2O*kgtoGg,"ERROR")))</f>
        <v>8.3607135106340792E-4</v>
      </c>
      <c r="AD1041" s="94">
        <f>IF('Net zero activities &amp; levers'!$C$12="Off",Constants!$H70*'Activity data'!AW12*Constants!$H88*EF!$H213*MMVolatEF*NtoN2O*kgtoGg,IF('Net zero activities &amp; levers'!$C$12="PB",Constants!$H70*'Activity data'!AW12*Constants!$H88*EF!$H213*MMVolatEF*NtoN2O*kgtoGg,IF('Net zero activities &amp; levers'!$C$12="MS",Constants!$H70*'Net zero Activity data'!AW12*Constants!$H88*EF!$H213*MMVolatEF*NtoN2O*kgtoGg,"ERROR")))</f>
        <v>8.3728016534748921E-4</v>
      </c>
      <c r="AE1041" s="94">
        <f>IF('Net zero activities &amp; levers'!$C$12="Off",Constants!$H70*'Activity data'!AX12*Constants!$H88*EF!$H213*MMVolatEF*NtoN2O*kgtoGg,IF('Net zero activities &amp; levers'!$C$12="PB",Constants!$H70*'Activity data'!AX12*Constants!$H88*EF!$H213*MMVolatEF*NtoN2O*kgtoGg,IF('Net zero activities &amp; levers'!$C$12="MS",Constants!$H70*'Net zero Activity data'!AX12*Constants!$H88*EF!$H213*MMVolatEF*NtoN2O*kgtoGg,"ERROR")))</f>
        <v>8.3859247059226414E-4</v>
      </c>
      <c r="AF1041" s="94">
        <f>IF('Net zero activities &amp; levers'!$C$12="Off",Constants!$H70*'Activity data'!AY12*Constants!$H88*EF!$H213*MMVolatEF*NtoN2O*kgtoGg,IF('Net zero activities &amp; levers'!$C$12="PB",Constants!$H70*'Activity data'!AY12*Constants!$H88*EF!$H213*MMVolatEF*NtoN2O*kgtoGg,IF('Net zero activities &amp; levers'!$C$12="MS",Constants!$H70*'Net zero Activity data'!AY12*Constants!$H88*EF!$H213*MMVolatEF*NtoN2O*kgtoGg,"ERROR")))</f>
        <v>8.4001881558262628E-4</v>
      </c>
      <c r="AG1041" s="94">
        <f>IF('Net zero activities &amp; levers'!$C$12="Off",Constants!$H70*'Activity data'!AZ12*Constants!$H88*EF!$H213*MMVolatEF*NtoN2O*kgtoGg,IF('Net zero activities &amp; levers'!$C$12="PB",Constants!$H70*'Activity data'!AZ12*Constants!$H88*EF!$H213*MMVolatEF*NtoN2O*kgtoGg,IF('Net zero activities &amp; levers'!$C$12="MS",Constants!$H70*'Net zero Activity data'!AZ12*Constants!$H88*EF!$H213*MMVolatEF*NtoN2O*kgtoGg,"ERROR")))</f>
        <v>8.4157312374641413E-4</v>
      </c>
      <c r="AH1041" s="94">
        <f>IF('Net zero activities &amp; levers'!$C$12="Off",Constants!$H70*'Activity data'!BA12*Constants!$H88*EF!$H213*MMVolatEF*NtoN2O*kgtoGg,IF('Net zero activities &amp; levers'!$C$12="PB",Constants!$H70*'Activity data'!BA12*Constants!$H88*EF!$H213*MMVolatEF*NtoN2O*kgtoGg,IF('Net zero activities &amp; levers'!$C$12="MS",Constants!$H70*'Net zero Activity data'!BA12*Constants!$H88*EF!$H213*MMVolatEF*NtoN2O*kgtoGg,"ERROR")))</f>
        <v>8.4320872238584225E-4</v>
      </c>
      <c r="AI1041" s="94">
        <f>IF('Net zero activities &amp; levers'!$C$12="Off",Constants!$H70*'Activity data'!BB12*Constants!$H88*EF!$H213*MMVolatEF*NtoN2O*kgtoGg,IF('Net zero activities &amp; levers'!$C$12="PB",Constants!$H70*'Activity data'!BB12*Constants!$H88*EF!$H213*MMVolatEF*NtoN2O*kgtoGg,IF('Net zero activities &amp; levers'!$C$12="MS",Constants!$H70*'Net zero Activity data'!BB12*Constants!$H88*EF!$H213*MMVolatEF*NtoN2O*kgtoGg,"ERROR")))</f>
        <v>8.4425419183601768E-4</v>
      </c>
      <c r="AJ1041" s="94">
        <f>IF('Net zero activities &amp; levers'!$C$12="Off",Constants!$H70*'Activity data'!BC12*Constants!$H88*EF!$H213*MMVolatEF*NtoN2O*kgtoGg,IF('Net zero activities &amp; levers'!$C$12="PB",Constants!$H70*'Activity data'!BC12*Constants!$H88*EF!$H213*MMVolatEF*NtoN2O*kgtoGg,IF('Net zero activities &amp; levers'!$C$12="MS",Constants!$H70*'Net zero Activity data'!BC12*Constants!$H88*EF!$H213*MMVolatEF*NtoN2O*kgtoGg,"ERROR")))</f>
        <v>8.4539932964856662E-4</v>
      </c>
      <c r="AK1041" s="94">
        <f>IF('Net zero activities &amp; levers'!$C$12="Off",Constants!$H70*'Activity data'!BD12*Constants!$H88*EF!$H213*MMVolatEF*NtoN2O*kgtoGg,IF('Net zero activities &amp; levers'!$C$12="PB",Constants!$H70*'Activity data'!BD12*Constants!$H88*EF!$H213*MMVolatEF*NtoN2O*kgtoGg,IF('Net zero activities &amp; levers'!$C$12="MS",Constants!$H70*'Net zero Activity data'!BD12*Constants!$H88*EF!$H213*MMVolatEF*NtoN2O*kgtoGg,"ERROR")))</f>
        <v>8.4660636678677789E-4</v>
      </c>
      <c r="AL1041" s="94">
        <f>IF('Net zero activities &amp; levers'!$C$12="Off",Constants!$H70*'Activity data'!BE12*Constants!$H88*EF!$H213*MMVolatEF*NtoN2O*kgtoGg,IF('Net zero activities &amp; levers'!$C$12="PB",Constants!$H70*'Activity data'!BE12*Constants!$H88*EF!$H213*MMVolatEF*NtoN2O*kgtoGg,IF('Net zero activities &amp; levers'!$C$12="MS",Constants!$H70*'Net zero Activity data'!BE12*Constants!$H88*EF!$H213*MMVolatEF*NtoN2O*kgtoGg,"ERROR")))</f>
        <v>8.4788815339154825E-4</v>
      </c>
      <c r="AM1041" s="94">
        <f>IF('Net zero activities &amp; levers'!$C$12="Off",Constants!$H70*'Activity data'!BF12*Constants!$H88*EF!$H213*MMVolatEF*NtoN2O*kgtoGg,IF('Net zero activities &amp; levers'!$C$12="PB",Constants!$H70*'Activity data'!BF12*Constants!$H88*EF!$H213*MMVolatEF*NtoN2O*kgtoGg,IF('Net zero activities &amp; levers'!$C$12="MS",Constants!$H70*'Net zero Activity data'!BF12*Constants!$H88*EF!$H213*MMVolatEF*NtoN2O*kgtoGg,"ERROR")))</f>
        <v>8.4924274599368159E-4</v>
      </c>
      <c r="AN1041" s="94">
        <f>IF('Net zero activities &amp; levers'!$C$12="Off",Constants!$H70*'Activity data'!BG12*Constants!$H88*EF!$H213*MMVolatEF*NtoN2O*kgtoGg,IF('Net zero activities &amp; levers'!$C$12="PB",Constants!$H70*'Activity data'!BG12*Constants!$H88*EF!$H213*MMVolatEF*NtoN2O*kgtoGg,IF('Net zero activities &amp; levers'!$C$12="MS",Constants!$H70*'Net zero Activity data'!BG12*Constants!$H88*EF!$H213*MMVolatEF*NtoN2O*kgtoGg,"ERROR")))</f>
        <v>8.5004313951209814E-4</v>
      </c>
      <c r="AO1041" s="94">
        <f>IF('Net zero activities &amp; levers'!$C$12="Off",Constants!$H70*'Activity data'!BH12*Constants!$H88*EF!$H213*MMVolatEF*NtoN2O*kgtoGg,IF('Net zero activities &amp; levers'!$C$12="PB",Constants!$H70*'Activity data'!BH12*Constants!$H88*EF!$H213*MMVolatEF*NtoN2O*kgtoGg,IF('Net zero activities &amp; levers'!$C$12="MS",Constants!$H70*'Net zero Activity data'!BH12*Constants!$H88*EF!$H213*MMVolatEF*NtoN2O*kgtoGg,"ERROR")))</f>
        <v>8.5089756930568201E-4</v>
      </c>
      <c r="AP1041" s="94">
        <f>IF('Net zero activities &amp; levers'!$C$12="Off",Constants!$H70*'Activity data'!BI12*Constants!$H88*EF!$H213*MMVolatEF*NtoN2O*kgtoGg,IF('Net zero activities &amp; levers'!$C$12="PB",Constants!$H70*'Activity data'!BI12*Constants!$H88*EF!$H213*MMVolatEF*NtoN2O*kgtoGg,IF('Net zero activities &amp; levers'!$C$12="MS",Constants!$H70*'Net zero Activity data'!BI12*Constants!$H88*EF!$H213*MMVolatEF*NtoN2O*kgtoGg,"ERROR")))</f>
        <v>8.5182438663761119E-4</v>
      </c>
      <c r="AQ1041" s="94">
        <f>IF('Net zero activities &amp; levers'!$C$12="Off",Constants!$H70*'Activity data'!BJ12*Constants!$H88*EF!$H213*MMVolatEF*NtoN2O*kgtoGg,IF('Net zero activities &amp; levers'!$C$12="PB",Constants!$H70*'Activity data'!BJ12*Constants!$H88*EF!$H213*MMVolatEF*NtoN2O*kgtoGg,IF('Net zero activities &amp; levers'!$C$12="MS",Constants!$H70*'Net zero Activity data'!BJ12*Constants!$H88*EF!$H213*MMVolatEF*NtoN2O*kgtoGg,"ERROR")))</f>
        <v>8.5282269547214476E-4</v>
      </c>
      <c r="AR1041" s="94">
        <f>IF('Net zero activities &amp; levers'!$C$12="Off",Constants!$H70*'Activity data'!BK12*Constants!$H88*EF!$H213*MMVolatEF*NtoN2O*kgtoGg,IF('Net zero activities &amp; levers'!$C$12="PB",Constants!$H70*'Activity data'!BK12*Constants!$H88*EF!$H213*MMVolatEF*NtoN2O*kgtoGg,IF('Net zero activities &amp; levers'!$C$12="MS",Constants!$H70*'Net zero Activity data'!BK12*Constants!$H88*EF!$H213*MMVolatEF*NtoN2O*kgtoGg,"ERROR")))</f>
        <v>8.5389247512110444E-4</v>
      </c>
      <c r="AS1041" s="94">
        <f>IF('Net zero activities &amp; levers'!$C$12="Off",Constants!$H70*'Activity data'!BL12*Constants!$H88*EF!$H213*MMVolatEF*NtoN2O*kgtoGg,IF('Net zero activities &amp; levers'!$C$12="PB",Constants!$H70*'Activity data'!BL12*Constants!$H88*EF!$H213*MMVolatEF*NtoN2O*kgtoGg,IF('Net zero activities &amp; levers'!$C$12="MS",Constants!$H70*'Net zero Activity data'!BL12*Constants!$H88*EF!$H213*MMVolatEF*NtoN2O*kgtoGg,"ERROR")))</f>
        <v>8.5437780850343642E-4</v>
      </c>
      <c r="AT1041" s="94">
        <f>IF('Net zero activities &amp; levers'!$C$12="Off",Constants!$H70*'Activity data'!BM12*Constants!$H88*EF!$H213*MMVolatEF*NtoN2O*kgtoGg,IF('Net zero activities &amp; levers'!$C$12="PB",Constants!$H70*'Activity data'!BM12*Constants!$H88*EF!$H213*MMVolatEF*NtoN2O*kgtoGg,IF('Net zero activities &amp; levers'!$C$12="MS",Constants!$H70*'Net zero Activity data'!BM12*Constants!$H88*EF!$H213*MMVolatEF*NtoN2O*kgtoGg,"ERROR")))</f>
        <v>8.5469057378232966E-4</v>
      </c>
      <c r="AU1041" s="94">
        <f>IF('Net zero activities &amp; levers'!$C$12="Off",Constants!$H70*'Activity data'!BN12*Constants!$H88*EF!$H213*MMVolatEF*NtoN2O*kgtoGg,IF('Net zero activities &amp; levers'!$C$12="PB",Constants!$H70*'Activity data'!BN12*Constants!$H88*EF!$H213*MMVolatEF*NtoN2O*kgtoGg,IF('Net zero activities &amp; levers'!$C$12="MS",Constants!$H70*'Net zero Activity data'!BN12*Constants!$H88*EF!$H213*MMVolatEF*NtoN2O*kgtoGg,"ERROR")))</f>
        <v>8.5503342363890623E-4</v>
      </c>
      <c r="AV1041" s="94">
        <f>IF('Net zero activities &amp; levers'!$C$12="Off",Constants!$H70*'Activity data'!BO12*Constants!$H88*EF!$H213*MMVolatEF*NtoN2O*kgtoGg,IF('Net zero activities &amp; levers'!$C$12="PB",Constants!$H70*'Activity data'!BO12*Constants!$H88*EF!$H213*MMVolatEF*NtoN2O*kgtoGg,IF('Net zero activities &amp; levers'!$C$12="MS",Constants!$H70*'Net zero Activity data'!BO12*Constants!$H88*EF!$H213*MMVolatEF*NtoN2O*kgtoGg,"ERROR")))</f>
        <v>8.5539556500991744E-4</v>
      </c>
      <c r="AW1041" s="94">
        <f>IF('Net zero activities &amp; levers'!$C$12="Off",Constants!$H70*'Activity data'!BP12*Constants!$H88*EF!$H213*MMVolatEF*NtoN2O*kgtoGg,IF('Net zero activities &amp; levers'!$C$12="PB",Constants!$H70*'Activity data'!BP12*Constants!$H88*EF!$H213*MMVolatEF*NtoN2O*kgtoGg,IF('Net zero activities &amp; levers'!$C$12="MS",Constants!$H70*'Net zero Activity data'!BP12*Constants!$H88*EF!$H213*MMVolatEF*NtoN2O*kgtoGg,"ERROR")))</f>
        <v>8.5579672472058501E-4</v>
      </c>
      <c r="AY1041" s="79"/>
      <c r="AZ1041" s="79"/>
    </row>
    <row r="1042" spans="1:52" x14ac:dyDescent="0.3">
      <c r="A1042" s="95" t="str">
        <f t="shared" si="345"/>
        <v>DS MM Volatilisation</v>
      </c>
      <c r="B1042" s="95" t="s">
        <v>974</v>
      </c>
      <c r="C1042" s="95" t="s">
        <v>1332</v>
      </c>
      <c r="D1042" t="s">
        <v>369</v>
      </c>
      <c r="E1042" t="s">
        <v>64</v>
      </c>
      <c r="F1042" t="s">
        <v>62</v>
      </c>
      <c r="G1042" t="s">
        <v>1168</v>
      </c>
      <c r="H1042" t="s">
        <v>1298</v>
      </c>
      <c r="I1042" t="s">
        <v>139</v>
      </c>
      <c r="J1042" t="s">
        <v>287</v>
      </c>
      <c r="K1042" s="22">
        <f t="shared" ref="K1042:Z1045" si="363">K1539</f>
        <v>1.4486129996083085E-5</v>
      </c>
      <c r="L1042" s="22">
        <f t="shared" si="363"/>
        <v>1.4523786941695515E-5</v>
      </c>
      <c r="M1042" s="22">
        <f t="shared" si="363"/>
        <v>1.4575733367418309E-5</v>
      </c>
      <c r="N1042" s="22">
        <f t="shared" si="363"/>
        <v>1.4639017833045655E-5</v>
      </c>
      <c r="O1042" s="22">
        <f t="shared" si="363"/>
        <v>1.471355007817218E-5</v>
      </c>
      <c r="P1042" s="22">
        <f t="shared" si="363"/>
        <v>1.4798876460462532E-5</v>
      </c>
      <c r="Q1042" s="22">
        <f t="shared" si="363"/>
        <v>1.489070601115726E-5</v>
      </c>
      <c r="R1042" s="22">
        <f t="shared" si="363"/>
        <v>1.4988675221399694E-5</v>
      </c>
      <c r="S1042" s="22">
        <f t="shared" si="363"/>
        <v>1.5077522200056562E-5</v>
      </c>
      <c r="T1042" s="22">
        <f t="shared" si="363"/>
        <v>1.5120920467659651E-5</v>
      </c>
      <c r="U1042" s="22">
        <f t="shared" si="363"/>
        <v>1.5170664566545744E-5</v>
      </c>
      <c r="V1042" s="22">
        <f t="shared" si="363"/>
        <v>1.5221371307810579E-5</v>
      </c>
      <c r="W1042" s="22">
        <f t="shared" si="363"/>
        <v>1.5276366577947841E-5</v>
      </c>
      <c r="X1042" s="22">
        <f t="shared" si="363"/>
        <v>1.5335559486365855E-5</v>
      </c>
      <c r="Y1042" s="22">
        <f t="shared" si="363"/>
        <v>1.5373440359637545E-5</v>
      </c>
      <c r="Z1042" s="22">
        <f t="shared" si="363"/>
        <v>1.5414884136013281E-5</v>
      </c>
      <c r="AA1042" s="22">
        <f t="shared" ref="L1042:AW1045" si="364">AA1539</f>
        <v>1.5459406079654033E-5</v>
      </c>
      <c r="AB1042" s="22">
        <f t="shared" si="364"/>
        <v>1.5507149153927191E-5</v>
      </c>
      <c r="AC1042" s="22">
        <f t="shared" si="364"/>
        <v>1.5557665060375898E-5</v>
      </c>
      <c r="AD1042" s="22">
        <f t="shared" si="364"/>
        <v>1.5591353436562986E-5</v>
      </c>
      <c r="AE1042" s="22">
        <f t="shared" si="364"/>
        <v>1.5627280085252664E-5</v>
      </c>
      <c r="AF1042" s="22">
        <f t="shared" si="364"/>
        <v>1.5665749106164008E-5</v>
      </c>
      <c r="AG1042" s="22">
        <f t="shared" si="364"/>
        <v>1.5707151218007595E-5</v>
      </c>
      <c r="AH1042" s="22">
        <f t="shared" si="364"/>
        <v>1.5750235619215941E-5</v>
      </c>
      <c r="AI1042" s="22">
        <f t="shared" si="364"/>
        <v>1.5776918897393027E-5</v>
      </c>
      <c r="AJ1042" s="22">
        <f t="shared" si="364"/>
        <v>1.5805875112600263E-5</v>
      </c>
      <c r="AK1042" s="22">
        <f t="shared" si="364"/>
        <v>1.5836097205917668E-5</v>
      </c>
      <c r="AL1042" s="22">
        <f t="shared" si="364"/>
        <v>1.5867941184595161E-5</v>
      </c>
      <c r="AM1042" s="22">
        <f t="shared" si="364"/>
        <v>1.5901363449816974E-5</v>
      </c>
      <c r="AN1042" s="22">
        <f t="shared" si="364"/>
        <v>1.5919623331121566E-5</v>
      </c>
      <c r="AO1042" s="22">
        <f t="shared" si="364"/>
        <v>1.5939033537312695E-5</v>
      </c>
      <c r="AP1042" s="22">
        <f t="shared" si="364"/>
        <v>1.5960089556991586E-5</v>
      </c>
      <c r="AQ1042" s="22">
        <f t="shared" si="364"/>
        <v>1.5982771280705936E-5</v>
      </c>
      <c r="AR1042" s="22">
        <f t="shared" si="364"/>
        <v>1.6007081325051207E-5</v>
      </c>
      <c r="AS1042" s="22">
        <f t="shared" si="364"/>
        <v>1.6015649873683189E-5</v>
      </c>
      <c r="AT1042" s="22">
        <f t="shared" si="364"/>
        <v>1.6019455168078908E-5</v>
      </c>
      <c r="AU1042" s="22">
        <f t="shared" si="364"/>
        <v>1.6023878849097448E-5</v>
      </c>
      <c r="AV1042" s="22">
        <f t="shared" si="364"/>
        <v>1.6028641289399774E-5</v>
      </c>
      <c r="AW1042" s="22">
        <f t="shared" si="364"/>
        <v>1.6034267352361545E-5</v>
      </c>
      <c r="AY1042" s="79"/>
      <c r="AZ1042" s="79"/>
    </row>
    <row r="1043" spans="1:52" x14ac:dyDescent="0.3">
      <c r="A1043" s="95" t="str">
        <f t="shared" si="345"/>
        <v>DS MM Volatilisation</v>
      </c>
      <c r="B1043" s="95" t="s">
        <v>974</v>
      </c>
      <c r="C1043" s="95" t="s">
        <v>1332</v>
      </c>
      <c r="D1043" t="s">
        <v>369</v>
      </c>
      <c r="E1043" t="s">
        <v>64</v>
      </c>
      <c r="F1043" t="s">
        <v>62</v>
      </c>
      <c r="G1043" t="s">
        <v>1170</v>
      </c>
      <c r="H1043" t="s">
        <v>1299</v>
      </c>
      <c r="I1043" t="s">
        <v>139</v>
      </c>
      <c r="J1043" t="s">
        <v>287</v>
      </c>
      <c r="K1043" s="22">
        <f t="shared" si="363"/>
        <v>1.4738364076719787E-3</v>
      </c>
      <c r="L1043" s="22">
        <f t="shared" si="364"/>
        <v>1.4776676709189833E-3</v>
      </c>
      <c r="M1043" s="22">
        <f t="shared" si="364"/>
        <v>1.4829527631761549E-3</v>
      </c>
      <c r="N1043" s="22">
        <f t="shared" si="364"/>
        <v>1.4893914013429305E-3</v>
      </c>
      <c r="O1043" s="22">
        <f t="shared" si="364"/>
        <v>1.4969744022163664E-3</v>
      </c>
      <c r="P1043" s="22">
        <f t="shared" si="364"/>
        <v>1.5056556116759296E-3</v>
      </c>
      <c r="Q1043" s="22">
        <f t="shared" si="364"/>
        <v>1.5149984613639169E-3</v>
      </c>
      <c r="R1043" s="22">
        <f t="shared" si="364"/>
        <v>1.5249659674490626E-3</v>
      </c>
      <c r="S1043" s="22">
        <f t="shared" si="364"/>
        <v>1.5340053666461951E-3</v>
      </c>
      <c r="T1043" s="22">
        <f t="shared" si="364"/>
        <v>1.5384207589449399E-3</v>
      </c>
      <c r="U1043" s="22">
        <f t="shared" si="364"/>
        <v>1.5434817838028542E-3</v>
      </c>
      <c r="V1043" s="22">
        <f t="shared" si="364"/>
        <v>1.5486407490620871E-3</v>
      </c>
      <c r="W1043" s="22">
        <f t="shared" si="364"/>
        <v>1.5542360344419619E-3</v>
      </c>
      <c r="X1043" s="22">
        <f t="shared" si="364"/>
        <v>1.5602583926236193E-3</v>
      </c>
      <c r="Y1043" s="22">
        <f t="shared" si="364"/>
        <v>1.5641124385418405E-3</v>
      </c>
      <c r="Z1043" s="22">
        <f t="shared" si="364"/>
        <v>1.5683289785363378E-3</v>
      </c>
      <c r="AA1043" s="22">
        <f t="shared" si="364"/>
        <v>1.5728586949958615E-3</v>
      </c>
      <c r="AB1043" s="22">
        <f t="shared" si="364"/>
        <v>1.5777161331865307E-3</v>
      </c>
      <c r="AC1043" s="22">
        <f t="shared" si="364"/>
        <v>1.5828556826804803E-3</v>
      </c>
      <c r="AD1043" s="22">
        <f t="shared" si="364"/>
        <v>1.5862831788684411E-3</v>
      </c>
      <c r="AE1043" s="22">
        <f t="shared" si="364"/>
        <v>1.5899383996112353E-3</v>
      </c>
      <c r="AF1043" s="22">
        <f t="shared" si="364"/>
        <v>1.5938522843825273E-3</v>
      </c>
      <c r="AG1043" s="22">
        <f t="shared" si="364"/>
        <v>1.5980645853770706E-3</v>
      </c>
      <c r="AH1043" s="22">
        <f t="shared" si="364"/>
        <v>1.6024480445287401E-3</v>
      </c>
      <c r="AI1043" s="22">
        <f t="shared" si="364"/>
        <v>1.6051628335623928E-3</v>
      </c>
      <c r="AJ1043" s="22">
        <f t="shared" si="364"/>
        <v>1.6081088739618883E-3</v>
      </c>
      <c r="AK1043" s="22">
        <f t="shared" si="364"/>
        <v>1.611183706333218E-3</v>
      </c>
      <c r="AL1043" s="22">
        <f t="shared" si="364"/>
        <v>1.6144235512850938E-3</v>
      </c>
      <c r="AM1043" s="22">
        <f t="shared" si="364"/>
        <v>1.6178239730212022E-3</v>
      </c>
      <c r="AN1043" s="22">
        <f t="shared" si="364"/>
        <v>1.6196817554567978E-3</v>
      </c>
      <c r="AO1043" s="22">
        <f t="shared" si="364"/>
        <v>1.6216565733393274E-3</v>
      </c>
      <c r="AP1043" s="22">
        <f t="shared" si="364"/>
        <v>1.623798838279086E-3</v>
      </c>
      <c r="AQ1043" s="22">
        <f t="shared" si="364"/>
        <v>1.6261065043160481E-3</v>
      </c>
      <c r="AR1043" s="22">
        <f t="shared" si="364"/>
        <v>1.6285798376658015E-3</v>
      </c>
      <c r="AS1043" s="22">
        <f t="shared" si="364"/>
        <v>1.6294516121796393E-3</v>
      </c>
      <c r="AT1043" s="22">
        <f t="shared" si="364"/>
        <v>1.6298387674394525E-3</v>
      </c>
      <c r="AU1043" s="22">
        <f t="shared" si="364"/>
        <v>1.630288838103102E-3</v>
      </c>
      <c r="AV1043" s="22">
        <f t="shared" si="364"/>
        <v>1.6307733745465026E-3</v>
      </c>
      <c r="AW1043" s="22">
        <f t="shared" si="364"/>
        <v>1.6313457770050716E-3</v>
      </c>
      <c r="AY1043" s="79"/>
      <c r="AZ1043" s="79"/>
    </row>
    <row r="1044" spans="1:52" x14ac:dyDescent="0.3">
      <c r="A1044" s="95" t="str">
        <f t="shared" si="345"/>
        <v>DS MM Volatilisation</v>
      </c>
      <c r="B1044" s="95" t="s">
        <v>974</v>
      </c>
      <c r="C1044" s="95" t="s">
        <v>1332</v>
      </c>
      <c r="D1044" t="s">
        <v>369</v>
      </c>
      <c r="E1044" t="s">
        <v>64</v>
      </c>
      <c r="F1044" t="s">
        <v>62</v>
      </c>
      <c r="G1044" t="s">
        <v>1172</v>
      </c>
      <c r="H1044" t="s">
        <v>1300</v>
      </c>
      <c r="I1044" t="s">
        <v>139</v>
      </c>
      <c r="J1044" t="s">
        <v>287</v>
      </c>
      <c r="K1044" s="22">
        <f t="shared" si="363"/>
        <v>0</v>
      </c>
      <c r="L1044" s="22">
        <f t="shared" si="364"/>
        <v>0</v>
      </c>
      <c r="M1044" s="22">
        <f t="shared" si="364"/>
        <v>0</v>
      </c>
      <c r="N1044" s="22">
        <f t="shared" si="364"/>
        <v>0</v>
      </c>
      <c r="O1044" s="22">
        <f t="shared" si="364"/>
        <v>0</v>
      </c>
      <c r="P1044" s="22">
        <f t="shared" si="364"/>
        <v>0</v>
      </c>
      <c r="Q1044" s="22">
        <f t="shared" si="364"/>
        <v>0</v>
      </c>
      <c r="R1044" s="22">
        <f t="shared" si="364"/>
        <v>0</v>
      </c>
      <c r="S1044" s="22">
        <f t="shared" si="364"/>
        <v>0</v>
      </c>
      <c r="T1044" s="22">
        <f t="shared" si="364"/>
        <v>0</v>
      </c>
      <c r="U1044" s="22">
        <f t="shared" si="364"/>
        <v>0</v>
      </c>
      <c r="V1044" s="22">
        <f t="shared" si="364"/>
        <v>0</v>
      </c>
      <c r="W1044" s="22">
        <f t="shared" si="364"/>
        <v>0</v>
      </c>
      <c r="X1044" s="22">
        <f t="shared" si="364"/>
        <v>0</v>
      </c>
      <c r="Y1044" s="22">
        <f t="shared" si="364"/>
        <v>0</v>
      </c>
      <c r="Z1044" s="22">
        <f t="shared" si="364"/>
        <v>0</v>
      </c>
      <c r="AA1044" s="22">
        <f t="shared" si="364"/>
        <v>0</v>
      </c>
      <c r="AB1044" s="22">
        <f t="shared" si="364"/>
        <v>0</v>
      </c>
      <c r="AC1044" s="22">
        <f t="shared" si="364"/>
        <v>0</v>
      </c>
      <c r="AD1044" s="22">
        <f t="shared" si="364"/>
        <v>0</v>
      </c>
      <c r="AE1044" s="22">
        <f t="shared" si="364"/>
        <v>0</v>
      </c>
      <c r="AF1044" s="22">
        <f t="shared" si="364"/>
        <v>0</v>
      </c>
      <c r="AG1044" s="22">
        <f t="shared" si="364"/>
        <v>0</v>
      </c>
      <c r="AH1044" s="22">
        <f t="shared" si="364"/>
        <v>0</v>
      </c>
      <c r="AI1044" s="22">
        <f t="shared" si="364"/>
        <v>0</v>
      </c>
      <c r="AJ1044" s="22">
        <f t="shared" si="364"/>
        <v>0</v>
      </c>
      <c r="AK1044" s="22">
        <f t="shared" si="364"/>
        <v>0</v>
      </c>
      <c r="AL1044" s="22">
        <f t="shared" si="364"/>
        <v>0</v>
      </c>
      <c r="AM1044" s="22">
        <f t="shared" si="364"/>
        <v>0</v>
      </c>
      <c r="AN1044" s="22">
        <f t="shared" si="364"/>
        <v>0</v>
      </c>
      <c r="AO1044" s="22">
        <f t="shared" si="364"/>
        <v>0</v>
      </c>
      <c r="AP1044" s="22">
        <f t="shared" si="364"/>
        <v>0</v>
      </c>
      <c r="AQ1044" s="22">
        <f t="shared" si="364"/>
        <v>0</v>
      </c>
      <c r="AR1044" s="22">
        <f t="shared" si="364"/>
        <v>0</v>
      </c>
      <c r="AS1044" s="22">
        <f t="shared" si="364"/>
        <v>0</v>
      </c>
      <c r="AT1044" s="22">
        <f t="shared" si="364"/>
        <v>0</v>
      </c>
      <c r="AU1044" s="22">
        <f t="shared" si="364"/>
        <v>0</v>
      </c>
      <c r="AV1044" s="22">
        <f t="shared" si="364"/>
        <v>0</v>
      </c>
      <c r="AW1044" s="22">
        <f t="shared" si="364"/>
        <v>0</v>
      </c>
      <c r="AY1044" s="79"/>
      <c r="AZ1044" s="79"/>
    </row>
    <row r="1045" spans="1:52" x14ac:dyDescent="0.3">
      <c r="A1045" s="95" t="str">
        <f t="shared" si="345"/>
        <v>DS MM Volatilisation</v>
      </c>
      <c r="B1045" s="95" t="s">
        <v>974</v>
      </c>
      <c r="C1045" s="95" t="s">
        <v>1332</v>
      </c>
      <c r="D1045" t="s">
        <v>369</v>
      </c>
      <c r="E1045" t="s">
        <v>64</v>
      </c>
      <c r="F1045" t="s">
        <v>62</v>
      </c>
      <c r="G1045" t="s">
        <v>1174</v>
      </c>
      <c r="H1045" t="s">
        <v>1301</v>
      </c>
      <c r="I1045" t="s">
        <v>139</v>
      </c>
      <c r="J1045" t="s">
        <v>287</v>
      </c>
      <c r="K1045" s="22">
        <f t="shared" si="363"/>
        <v>0</v>
      </c>
      <c r="L1045" s="22">
        <f t="shared" si="364"/>
        <v>0</v>
      </c>
      <c r="M1045" s="22">
        <f t="shared" si="364"/>
        <v>0</v>
      </c>
      <c r="N1045" s="22">
        <f t="shared" si="364"/>
        <v>0</v>
      </c>
      <c r="O1045" s="22">
        <f t="shared" si="364"/>
        <v>0</v>
      </c>
      <c r="P1045" s="22">
        <f t="shared" si="364"/>
        <v>0</v>
      </c>
      <c r="Q1045" s="22">
        <f t="shared" si="364"/>
        <v>0</v>
      </c>
      <c r="R1045" s="22">
        <f t="shared" si="364"/>
        <v>0</v>
      </c>
      <c r="S1045" s="22">
        <f t="shared" si="364"/>
        <v>0</v>
      </c>
      <c r="T1045" s="22">
        <f t="shared" si="364"/>
        <v>0</v>
      </c>
      <c r="U1045" s="22">
        <f t="shared" si="364"/>
        <v>0</v>
      </c>
      <c r="V1045" s="22">
        <f t="shared" si="364"/>
        <v>0</v>
      </c>
      <c r="W1045" s="22">
        <f t="shared" si="364"/>
        <v>0</v>
      </c>
      <c r="X1045" s="22">
        <f t="shared" si="364"/>
        <v>0</v>
      </c>
      <c r="Y1045" s="22">
        <f t="shared" si="364"/>
        <v>0</v>
      </c>
      <c r="Z1045" s="22">
        <f t="shared" si="364"/>
        <v>0</v>
      </c>
      <c r="AA1045" s="22">
        <f t="shared" si="364"/>
        <v>0</v>
      </c>
      <c r="AB1045" s="22">
        <f t="shared" si="364"/>
        <v>0</v>
      </c>
      <c r="AC1045" s="22">
        <f t="shared" si="364"/>
        <v>0</v>
      </c>
      <c r="AD1045" s="22">
        <f t="shared" si="364"/>
        <v>0</v>
      </c>
      <c r="AE1045" s="22">
        <f t="shared" si="364"/>
        <v>0</v>
      </c>
      <c r="AF1045" s="22">
        <f t="shared" si="364"/>
        <v>0</v>
      </c>
      <c r="AG1045" s="22">
        <f t="shared" si="364"/>
        <v>0</v>
      </c>
      <c r="AH1045" s="22">
        <f t="shared" si="364"/>
        <v>0</v>
      </c>
      <c r="AI1045" s="22">
        <f t="shared" si="364"/>
        <v>0</v>
      </c>
      <c r="AJ1045" s="22">
        <f t="shared" si="364"/>
        <v>0</v>
      </c>
      <c r="AK1045" s="22">
        <f t="shared" si="364"/>
        <v>0</v>
      </c>
      <c r="AL1045" s="22">
        <f t="shared" si="364"/>
        <v>0</v>
      </c>
      <c r="AM1045" s="22">
        <f t="shared" si="364"/>
        <v>0</v>
      </c>
      <c r="AN1045" s="22">
        <f t="shared" si="364"/>
        <v>0</v>
      </c>
      <c r="AO1045" s="22">
        <f t="shared" si="364"/>
        <v>0</v>
      </c>
      <c r="AP1045" s="22">
        <f t="shared" si="364"/>
        <v>0</v>
      </c>
      <c r="AQ1045" s="22">
        <f t="shared" si="364"/>
        <v>0</v>
      </c>
      <c r="AR1045" s="22">
        <f t="shared" si="364"/>
        <v>0</v>
      </c>
      <c r="AS1045" s="22">
        <f t="shared" si="364"/>
        <v>0</v>
      </c>
      <c r="AT1045" s="22">
        <f t="shared" si="364"/>
        <v>0</v>
      </c>
      <c r="AU1045" s="22">
        <f t="shared" si="364"/>
        <v>0</v>
      </c>
      <c r="AV1045" s="22">
        <f t="shared" si="364"/>
        <v>0</v>
      </c>
      <c r="AW1045" s="22">
        <f t="shared" si="364"/>
        <v>0</v>
      </c>
      <c r="AY1045" s="79"/>
      <c r="AZ1045" s="79"/>
    </row>
    <row r="1046" spans="1:52" x14ac:dyDescent="0.3">
      <c r="A1046" s="95" t="str">
        <f t="shared" si="345"/>
        <v>DS MM Volatilisation</v>
      </c>
      <c r="B1046" s="95" t="s">
        <v>974</v>
      </c>
      <c r="C1046" s="95" t="s">
        <v>1332</v>
      </c>
      <c r="D1046" t="s">
        <v>369</v>
      </c>
      <c r="E1046" t="s">
        <v>64</v>
      </c>
      <c r="F1046" t="s">
        <v>62</v>
      </c>
      <c r="G1046" t="s">
        <v>1176</v>
      </c>
      <c r="H1046" t="s">
        <v>1302</v>
      </c>
      <c r="I1046" t="s">
        <v>139</v>
      </c>
      <c r="J1046" t="s">
        <v>287</v>
      </c>
      <c r="K1046" s="94">
        <f>IF('Net zero activities &amp; levers'!$C$12="Off",Constants!$H75*'Activity data'!AD17*Constants!$H93*EF!$H218*MMVolatEF*NtoN2O*kgtoGg,IF('Net zero activities &amp; levers'!$C$12="PB",Constants!$H75*'Activity data'!AD17*Constants!$H93*EF!$H218*MMVolatEF*NtoN2O*kgtoGg,IF('Net zero activities &amp; levers'!$C$12="MS",Constants!$H75*'Net zero Activity data'!AD17*Constants!$H93*EF!$H218*MMVolatEF*NtoN2O*kgtoGg,"ERROR")))</f>
        <v>0.13075625264316332</v>
      </c>
      <c r="L1046" s="94">
        <f>IF('Net zero activities &amp; levers'!$C$12="Off",Constants!$H75*'Activity data'!AE17*Constants!$H93*EF!$H218*MMVolatEF*NtoN2O*kgtoGg,IF('Net zero activities &amp; levers'!$C$12="PB",Constants!$H75*'Activity data'!AE17*Constants!$H93*EF!$H218*MMVolatEF*NtoN2O*kgtoGg,IF('Net zero activities &amp; levers'!$C$12="MS",Constants!$H75*'Net zero Activity data'!AE17*Constants!$H93*EF!$H218*MMVolatEF*NtoN2O*kgtoGg,"ERROR")))</f>
        <v>0.13004550543955862</v>
      </c>
      <c r="M1046" s="94">
        <f>IF('Net zero activities &amp; levers'!$C$12="Off",Constants!$H75*'Activity data'!AF17*Constants!$H93*EF!$H218*MMVolatEF*NtoN2O*kgtoGg,IF('Net zero activities &amp; levers'!$C$12="PB",Constants!$H75*'Activity data'!AF17*Constants!$H93*EF!$H218*MMVolatEF*NtoN2O*kgtoGg,IF('Net zero activities &amp; levers'!$C$12="MS",Constants!$H75*'Net zero Activity data'!AF17*Constants!$H93*EF!$H218*MMVolatEF*NtoN2O*kgtoGg,"ERROR")))</f>
        <v>0.13010384136507711</v>
      </c>
      <c r="N1046" s="94">
        <f>IF('Net zero activities &amp; levers'!$C$12="Off",Constants!$H75*'Activity data'!AG17*Constants!$H93*EF!$H218*MMVolatEF*NtoN2O*kgtoGg,IF('Net zero activities &amp; levers'!$C$12="PB",Constants!$H75*'Activity data'!AG17*Constants!$H93*EF!$H218*MMVolatEF*NtoN2O*kgtoGg,IF('Net zero activities &amp; levers'!$C$12="MS",Constants!$H75*'Net zero Activity data'!AG17*Constants!$H93*EF!$H218*MMVolatEF*NtoN2O*kgtoGg,"ERROR")))</f>
        <v>0.1289093884029483</v>
      </c>
      <c r="O1046" s="94">
        <f>IF('Net zero activities &amp; levers'!$C$12="Off",Constants!$H75*'Activity data'!AH17*Constants!$H93*EF!$H218*MMVolatEF*NtoN2O*kgtoGg,IF('Net zero activities &amp; levers'!$C$12="PB",Constants!$H75*'Activity data'!AH17*Constants!$H93*EF!$H218*MMVolatEF*NtoN2O*kgtoGg,IF('Net zero activities &amp; levers'!$C$12="MS",Constants!$H75*'Net zero Activity data'!AH17*Constants!$H93*EF!$H218*MMVolatEF*NtoN2O*kgtoGg,"ERROR")))</f>
        <v>0.12695857121838472</v>
      </c>
      <c r="P1046" s="94">
        <f>IF('Net zero activities &amp; levers'!$C$12="Off",Constants!$H75*'Activity data'!AI17*Constants!$H93*EF!$H218*MMVolatEF*NtoN2O*kgtoGg,IF('Net zero activities &amp; levers'!$C$12="PB",Constants!$H75*'Activity data'!AI17*Constants!$H93*EF!$H218*MMVolatEF*NtoN2O*kgtoGg,IF('Net zero activities &amp; levers'!$C$12="MS",Constants!$H75*'Net zero Activity data'!AI17*Constants!$H93*EF!$H218*MMVolatEF*NtoN2O*kgtoGg,"ERROR")))</f>
        <v>0.12428257569245393</v>
      </c>
      <c r="Q1046" s="94">
        <f>IF('Net zero activities &amp; levers'!$C$12="Off",Constants!$H75*'Activity data'!AJ17*Constants!$H93*EF!$H218*MMVolatEF*NtoN2O*kgtoGg,IF('Net zero activities &amp; levers'!$C$12="PB",Constants!$H75*'Activity data'!AJ17*Constants!$H93*EF!$H218*MMVolatEF*NtoN2O*kgtoGg,IF('Net zero activities &amp; levers'!$C$12="MS",Constants!$H75*'Net zero Activity data'!AJ17*Constants!$H93*EF!$H218*MMVolatEF*NtoN2O*kgtoGg,"ERROR")))</f>
        <v>0.12233950618032063</v>
      </c>
      <c r="R1046" s="94">
        <f>IF('Net zero activities &amp; levers'!$C$12="Off",Constants!$H75*'Activity data'!AK17*Constants!$H93*EF!$H218*MMVolatEF*NtoN2O*kgtoGg,IF('Net zero activities &amp; levers'!$C$12="PB",Constants!$H75*'Activity data'!AK17*Constants!$H93*EF!$H218*MMVolatEF*NtoN2O*kgtoGg,IF('Net zero activities &amp; levers'!$C$12="MS",Constants!$H75*'Net zero Activity data'!AK17*Constants!$H93*EF!$H218*MMVolatEF*NtoN2O*kgtoGg,"ERROR")))</f>
        <v>0.1205683722616282</v>
      </c>
      <c r="S1046" s="94">
        <f>IF('Net zero activities &amp; levers'!$C$12="Off",Constants!$H75*'Activity data'!AL17*Constants!$H93*EF!$H218*MMVolatEF*NtoN2O*kgtoGg,IF('Net zero activities &amp; levers'!$C$12="PB",Constants!$H75*'Activity data'!AL17*Constants!$H93*EF!$H218*MMVolatEF*NtoN2O*kgtoGg,IF('Net zero activities &amp; levers'!$C$12="MS",Constants!$H75*'Net zero Activity data'!AL17*Constants!$H93*EF!$H218*MMVolatEF*NtoN2O*kgtoGg,"ERROR")))</f>
        <v>0.1064558326136491</v>
      </c>
      <c r="T1046" s="94">
        <f>IF('Net zero activities &amp; levers'!$C$12="Off",Constants!$H75*'Activity data'!AM17*Constants!$H93*EF!$H218*MMVolatEF*NtoN2O*kgtoGg,IF('Net zero activities &amp; levers'!$C$12="PB",Constants!$H75*'Activity data'!AM17*Constants!$H93*EF!$H218*MMVolatEF*NtoN2O*kgtoGg,IF('Net zero activities &amp; levers'!$C$12="MS",Constants!$H75*'Net zero Activity data'!AM17*Constants!$H93*EF!$H218*MMVolatEF*NtoN2O*kgtoGg,"ERROR")))</f>
        <v>0.10780203870685764</v>
      </c>
      <c r="U1046" s="94">
        <f>IF('Net zero activities &amp; levers'!$C$12="Off",Constants!$H75*'Activity data'!AN17*Constants!$H93*EF!$H218*MMVolatEF*NtoN2O*kgtoGg,IF('Net zero activities &amp; levers'!$C$12="PB",Constants!$H75*'Activity data'!AN17*Constants!$H93*EF!$H218*MMVolatEF*NtoN2O*kgtoGg,IF('Net zero activities &amp; levers'!$C$12="MS",Constants!$H75*'Net zero Activity data'!AN17*Constants!$H93*EF!$H218*MMVolatEF*NtoN2O*kgtoGg,"ERROR")))</f>
        <v>0.11069073271596624</v>
      </c>
      <c r="V1046" s="94">
        <f>IF('Net zero activities &amp; levers'!$C$12="Off",Constants!$H75*'Activity data'!AO17*Constants!$H93*EF!$H218*MMVolatEF*NtoN2O*kgtoGg,IF('Net zero activities &amp; levers'!$C$12="PB",Constants!$H75*'Activity data'!AO17*Constants!$H93*EF!$H218*MMVolatEF*NtoN2O*kgtoGg,IF('Net zero activities &amp; levers'!$C$12="MS",Constants!$H75*'Net zero Activity data'!AO17*Constants!$H93*EF!$H218*MMVolatEF*NtoN2O*kgtoGg,"ERROR")))</f>
        <v>0.11095301112483856</v>
      </c>
      <c r="W1046" s="94">
        <f>IF('Net zero activities &amp; levers'!$C$12="Off",Constants!$H75*'Activity data'!AP17*Constants!$H93*EF!$H218*MMVolatEF*NtoN2O*kgtoGg,IF('Net zero activities &amp; levers'!$C$12="PB",Constants!$H75*'Activity data'!AP17*Constants!$H93*EF!$H218*MMVolatEF*NtoN2O*kgtoGg,IF('Net zero activities &amp; levers'!$C$12="MS",Constants!$H75*'Net zero Activity data'!AP17*Constants!$H93*EF!$H218*MMVolatEF*NtoN2O*kgtoGg,"ERROR")))</f>
        <v>0.11152098959254672</v>
      </c>
      <c r="X1046" s="94">
        <f>IF('Net zero activities &amp; levers'!$C$12="Off",Constants!$H75*'Activity data'!AQ17*Constants!$H93*EF!$H218*MMVolatEF*NtoN2O*kgtoGg,IF('Net zero activities &amp; levers'!$C$12="PB",Constants!$H75*'Activity data'!AQ17*Constants!$H93*EF!$H218*MMVolatEF*NtoN2O*kgtoGg,IF('Net zero activities &amp; levers'!$C$12="MS",Constants!$H75*'Net zero Activity data'!AQ17*Constants!$H93*EF!$H218*MMVolatEF*NtoN2O*kgtoGg,"ERROR")))</f>
        <v>0.11247596118460781</v>
      </c>
      <c r="Y1046" s="94">
        <f>IF('Net zero activities &amp; levers'!$C$12="Off",Constants!$H75*'Activity data'!AR17*Constants!$H93*EF!$H218*MMVolatEF*NtoN2O*kgtoGg,IF('Net zero activities &amp; levers'!$C$12="PB",Constants!$H75*'Activity data'!AR17*Constants!$H93*EF!$H218*MMVolatEF*NtoN2O*kgtoGg,IF('Net zero activities &amp; levers'!$C$12="MS",Constants!$H75*'Net zero Activity data'!AR17*Constants!$H93*EF!$H218*MMVolatEF*NtoN2O*kgtoGg,"ERROR")))</f>
        <v>0.11367425965304444</v>
      </c>
      <c r="Z1046" s="94">
        <f>IF('Net zero activities &amp; levers'!$C$12="Off",Constants!$H75*'Activity data'!AS17*Constants!$H93*EF!$H218*MMVolatEF*NtoN2O*kgtoGg,IF('Net zero activities &amp; levers'!$C$12="PB",Constants!$H75*'Activity data'!AS17*Constants!$H93*EF!$H218*MMVolatEF*NtoN2O*kgtoGg,IF('Net zero activities &amp; levers'!$C$12="MS",Constants!$H75*'Net zero Activity data'!AS17*Constants!$H93*EF!$H218*MMVolatEF*NtoN2O*kgtoGg,"ERROR")))</f>
        <v>0.11514267283955164</v>
      </c>
      <c r="AA1046" s="94">
        <f>IF('Net zero activities &amp; levers'!$C$12="Off",Constants!$H75*'Activity data'!AT17*Constants!$H93*EF!$H218*MMVolatEF*NtoN2O*kgtoGg,IF('Net zero activities &amp; levers'!$C$12="PB",Constants!$H75*'Activity data'!AT17*Constants!$H93*EF!$H218*MMVolatEF*NtoN2O*kgtoGg,IF('Net zero activities &amp; levers'!$C$12="MS",Constants!$H75*'Net zero Activity data'!AT17*Constants!$H93*EF!$H218*MMVolatEF*NtoN2O*kgtoGg,"ERROR")))</f>
        <v>0.11662825764737823</v>
      </c>
      <c r="AB1046" s="94">
        <f>IF('Net zero activities &amp; levers'!$C$12="Off",Constants!$H75*'Activity data'!AU17*Constants!$H93*EF!$H218*MMVolatEF*NtoN2O*kgtoGg,IF('Net zero activities &amp; levers'!$C$12="PB",Constants!$H75*'Activity data'!AU17*Constants!$H93*EF!$H218*MMVolatEF*NtoN2O*kgtoGg,IF('Net zero activities &amp; levers'!$C$12="MS",Constants!$H75*'Net zero Activity data'!AU17*Constants!$H93*EF!$H218*MMVolatEF*NtoN2O*kgtoGg,"ERROR")))</f>
        <v>0.11834343516699931</v>
      </c>
      <c r="AC1046" s="94">
        <f>IF('Net zero activities &amp; levers'!$C$12="Off",Constants!$H75*'Activity data'!AV17*Constants!$H93*EF!$H218*MMVolatEF*NtoN2O*kgtoGg,IF('Net zero activities &amp; levers'!$C$12="PB",Constants!$H75*'Activity data'!AV17*Constants!$H93*EF!$H218*MMVolatEF*NtoN2O*kgtoGg,IF('Net zero activities &amp; levers'!$C$12="MS",Constants!$H75*'Net zero Activity data'!AV17*Constants!$H93*EF!$H218*MMVolatEF*NtoN2O*kgtoGg,"ERROR")))</f>
        <v>0.12004677457127924</v>
      </c>
      <c r="AD1046" s="94">
        <f>IF('Net zero activities &amp; levers'!$C$12="Off",Constants!$H75*'Activity data'!AW17*Constants!$H93*EF!$H218*MMVolatEF*NtoN2O*kgtoGg,IF('Net zero activities &amp; levers'!$C$12="PB",Constants!$H75*'Activity data'!AW17*Constants!$H93*EF!$H218*MMVolatEF*NtoN2O*kgtoGg,IF('Net zero activities &amp; levers'!$C$12="MS",Constants!$H75*'Net zero Activity data'!AW17*Constants!$H93*EF!$H218*MMVolatEF*NtoN2O*kgtoGg,"ERROR")))</f>
        <v>0.12216447018435615</v>
      </c>
      <c r="AE1046" s="94">
        <f>IF('Net zero activities &amp; levers'!$C$12="Off",Constants!$H75*'Activity data'!AX17*Constants!$H93*EF!$H218*MMVolatEF*NtoN2O*kgtoGg,IF('Net zero activities &amp; levers'!$C$12="PB",Constants!$H75*'Activity data'!AX17*Constants!$H93*EF!$H218*MMVolatEF*NtoN2O*kgtoGg,IF('Net zero activities &amp; levers'!$C$12="MS",Constants!$H75*'Net zero Activity data'!AX17*Constants!$H93*EF!$H218*MMVolatEF*NtoN2O*kgtoGg,"ERROR")))</f>
        <v>0.12411396366852792</v>
      </c>
      <c r="AF1046" s="94">
        <f>IF('Net zero activities &amp; levers'!$C$12="Off",Constants!$H75*'Activity data'!AY17*Constants!$H93*EF!$H218*MMVolatEF*NtoN2O*kgtoGg,IF('Net zero activities &amp; levers'!$C$12="PB",Constants!$H75*'Activity data'!AY17*Constants!$H93*EF!$H218*MMVolatEF*NtoN2O*kgtoGg,IF('Net zero activities &amp; levers'!$C$12="MS",Constants!$H75*'Net zero Activity data'!AY17*Constants!$H93*EF!$H218*MMVolatEF*NtoN2O*kgtoGg,"ERROR")))</f>
        <v>0.12618838059713719</v>
      </c>
      <c r="AG1046" s="94">
        <f>IF('Net zero activities &amp; levers'!$C$12="Off",Constants!$H75*'Activity data'!AZ17*Constants!$H93*EF!$H218*MMVolatEF*NtoN2O*kgtoGg,IF('Net zero activities &amp; levers'!$C$12="PB",Constants!$H75*'Activity data'!AZ17*Constants!$H93*EF!$H218*MMVolatEF*NtoN2O*kgtoGg,IF('Net zero activities &amp; levers'!$C$12="MS",Constants!$H75*'Net zero Activity data'!AZ17*Constants!$H93*EF!$H218*MMVolatEF*NtoN2O*kgtoGg,"ERROR")))</f>
        <v>0.12871889862830188</v>
      </c>
      <c r="AH1046" s="94">
        <f>IF('Net zero activities &amp; levers'!$C$12="Off",Constants!$H75*'Activity data'!BA17*Constants!$H93*EF!$H218*MMVolatEF*NtoN2O*kgtoGg,IF('Net zero activities &amp; levers'!$C$12="PB",Constants!$H75*'Activity data'!BA17*Constants!$H93*EF!$H218*MMVolatEF*NtoN2O*kgtoGg,IF('Net zero activities &amp; levers'!$C$12="MS",Constants!$H75*'Net zero Activity data'!BA17*Constants!$H93*EF!$H218*MMVolatEF*NtoN2O*kgtoGg,"ERROR")))</f>
        <v>0.13089178183294797</v>
      </c>
      <c r="AI1046" s="94">
        <f>IF('Net zero activities &amp; levers'!$C$12="Off",Constants!$H75*'Activity data'!BB17*Constants!$H93*EF!$H218*MMVolatEF*NtoN2O*kgtoGg,IF('Net zero activities &amp; levers'!$C$12="PB",Constants!$H75*'Activity data'!BB17*Constants!$H93*EF!$H218*MMVolatEF*NtoN2O*kgtoGg,IF('Net zero activities &amp; levers'!$C$12="MS",Constants!$H75*'Net zero Activity data'!BB17*Constants!$H93*EF!$H218*MMVolatEF*NtoN2O*kgtoGg,"ERROR")))</f>
        <v>0.13323707488889489</v>
      </c>
      <c r="AJ1046" s="94">
        <f>IF('Net zero activities &amp; levers'!$C$12="Off",Constants!$H75*'Activity data'!BC17*Constants!$H93*EF!$H218*MMVolatEF*NtoN2O*kgtoGg,IF('Net zero activities &amp; levers'!$C$12="PB",Constants!$H75*'Activity data'!BC17*Constants!$H93*EF!$H218*MMVolatEF*NtoN2O*kgtoGg,IF('Net zero activities &amp; levers'!$C$12="MS",Constants!$H75*'Net zero Activity data'!BC17*Constants!$H93*EF!$H218*MMVolatEF*NtoN2O*kgtoGg,"ERROR")))</f>
        <v>0.13578249309813545</v>
      </c>
      <c r="AK1046" s="94">
        <f>IF('Net zero activities &amp; levers'!$C$12="Off",Constants!$H75*'Activity data'!BD17*Constants!$H93*EF!$H218*MMVolatEF*NtoN2O*kgtoGg,IF('Net zero activities &amp; levers'!$C$12="PB",Constants!$H75*'Activity data'!BD17*Constants!$H93*EF!$H218*MMVolatEF*NtoN2O*kgtoGg,IF('Net zero activities &amp; levers'!$C$12="MS",Constants!$H75*'Net zero Activity data'!BD17*Constants!$H93*EF!$H218*MMVolatEF*NtoN2O*kgtoGg,"ERROR")))</f>
        <v>0.13790594882017243</v>
      </c>
      <c r="AL1046" s="94">
        <f>IF('Net zero activities &amp; levers'!$C$12="Off",Constants!$H75*'Activity data'!BE17*Constants!$H93*EF!$H218*MMVolatEF*NtoN2O*kgtoGg,IF('Net zero activities &amp; levers'!$C$12="PB",Constants!$H75*'Activity data'!BE17*Constants!$H93*EF!$H218*MMVolatEF*NtoN2O*kgtoGg,IF('Net zero activities &amp; levers'!$C$12="MS",Constants!$H75*'Net zero Activity data'!BE17*Constants!$H93*EF!$H218*MMVolatEF*NtoN2O*kgtoGg,"ERROR")))</f>
        <v>0.13989729447599811</v>
      </c>
      <c r="AM1046" s="94">
        <f>IF('Net zero activities &amp; levers'!$C$12="Off",Constants!$H75*'Activity data'!BF17*Constants!$H93*EF!$H218*MMVolatEF*NtoN2O*kgtoGg,IF('Net zero activities &amp; levers'!$C$12="PB",Constants!$H75*'Activity data'!BF17*Constants!$H93*EF!$H218*MMVolatEF*NtoN2O*kgtoGg,IF('Net zero activities &amp; levers'!$C$12="MS",Constants!$H75*'Net zero Activity data'!BF17*Constants!$H93*EF!$H218*MMVolatEF*NtoN2O*kgtoGg,"ERROR")))</f>
        <v>0.14177259067901168</v>
      </c>
      <c r="AN1046" s="94">
        <f>IF('Net zero activities &amp; levers'!$C$12="Off",Constants!$H75*'Activity data'!BG17*Constants!$H93*EF!$H218*MMVolatEF*NtoN2O*kgtoGg,IF('Net zero activities &amp; levers'!$C$12="PB",Constants!$H75*'Activity data'!BG17*Constants!$H93*EF!$H218*MMVolatEF*NtoN2O*kgtoGg,IF('Net zero activities &amp; levers'!$C$12="MS",Constants!$H75*'Net zero Activity data'!BG17*Constants!$H93*EF!$H218*MMVolatEF*NtoN2O*kgtoGg,"ERROR")))</f>
        <v>0.14393792175478221</v>
      </c>
      <c r="AO1046" s="94">
        <f>IF('Net zero activities &amp; levers'!$C$12="Off",Constants!$H75*'Activity data'!BH17*Constants!$H93*EF!$H218*MMVolatEF*NtoN2O*kgtoGg,IF('Net zero activities &amp; levers'!$C$12="PB",Constants!$H75*'Activity data'!BH17*Constants!$H93*EF!$H218*MMVolatEF*NtoN2O*kgtoGg,IF('Net zero activities &amp; levers'!$C$12="MS",Constants!$H75*'Net zero Activity data'!BH17*Constants!$H93*EF!$H218*MMVolatEF*NtoN2O*kgtoGg,"ERROR")))</f>
        <v>0.14581606733158803</v>
      </c>
      <c r="AP1046" s="94">
        <f>IF('Net zero activities &amp; levers'!$C$12="Off",Constants!$H75*'Activity data'!BI17*Constants!$H93*EF!$H218*MMVolatEF*NtoN2O*kgtoGg,IF('Net zero activities &amp; levers'!$C$12="PB",Constants!$H75*'Activity data'!BI17*Constants!$H93*EF!$H218*MMVolatEF*NtoN2O*kgtoGg,IF('Net zero activities &amp; levers'!$C$12="MS",Constants!$H75*'Net zero Activity data'!BI17*Constants!$H93*EF!$H218*MMVolatEF*NtoN2O*kgtoGg,"ERROR")))</f>
        <v>0.14775479067393846</v>
      </c>
      <c r="AQ1046" s="94">
        <f>IF('Net zero activities &amp; levers'!$C$12="Off",Constants!$H75*'Activity data'!BJ17*Constants!$H93*EF!$H218*MMVolatEF*NtoN2O*kgtoGg,IF('Net zero activities &amp; levers'!$C$12="PB",Constants!$H75*'Activity data'!BJ17*Constants!$H93*EF!$H218*MMVolatEF*NtoN2O*kgtoGg,IF('Net zero activities &amp; levers'!$C$12="MS",Constants!$H75*'Net zero Activity data'!BJ17*Constants!$H93*EF!$H218*MMVolatEF*NtoN2O*kgtoGg,"ERROR")))</f>
        <v>0.14976871512687839</v>
      </c>
      <c r="AR1046" s="94">
        <f>IF('Net zero activities &amp; levers'!$C$12="Off",Constants!$H75*'Activity data'!BK17*Constants!$H93*EF!$H218*MMVolatEF*NtoN2O*kgtoGg,IF('Net zero activities &amp; levers'!$C$12="PB",Constants!$H75*'Activity data'!BK17*Constants!$H93*EF!$H218*MMVolatEF*NtoN2O*kgtoGg,IF('Net zero activities &amp; levers'!$C$12="MS",Constants!$H75*'Net zero Activity data'!BK17*Constants!$H93*EF!$H218*MMVolatEF*NtoN2O*kgtoGg,"ERROR")))</f>
        <v>0.15188303991230881</v>
      </c>
      <c r="AS1046" s="94">
        <f>IF('Net zero activities &amp; levers'!$C$12="Off",Constants!$H75*'Activity data'!BL17*Constants!$H93*EF!$H218*MMVolatEF*NtoN2O*kgtoGg,IF('Net zero activities &amp; levers'!$C$12="PB",Constants!$H75*'Activity data'!BL17*Constants!$H93*EF!$H218*MMVolatEF*NtoN2O*kgtoGg,IF('Net zero activities &amp; levers'!$C$12="MS",Constants!$H75*'Net zero Activity data'!BL17*Constants!$H93*EF!$H218*MMVolatEF*NtoN2O*kgtoGg,"ERROR")))</f>
        <v>0.15410322114057187</v>
      </c>
      <c r="AT1046" s="94">
        <f>IF('Net zero activities &amp; levers'!$C$12="Off",Constants!$H75*'Activity data'!BM17*Constants!$H93*EF!$H218*MMVolatEF*NtoN2O*kgtoGg,IF('Net zero activities &amp; levers'!$C$12="PB",Constants!$H75*'Activity data'!BM17*Constants!$H93*EF!$H218*MMVolatEF*NtoN2O*kgtoGg,IF('Net zero activities &amp; levers'!$C$12="MS",Constants!$H75*'Net zero Activity data'!BM17*Constants!$H93*EF!$H218*MMVolatEF*NtoN2O*kgtoGg,"ERROR")))</f>
        <v>0.15275221037305547</v>
      </c>
      <c r="AU1046" s="94">
        <f>IF('Net zero activities &amp; levers'!$C$12="Off",Constants!$H75*'Activity data'!BN17*Constants!$H93*EF!$H218*MMVolatEF*NtoN2O*kgtoGg,IF('Net zero activities &amp; levers'!$C$12="PB",Constants!$H75*'Activity data'!BN17*Constants!$H93*EF!$H218*MMVolatEF*NtoN2O*kgtoGg,IF('Net zero activities &amp; levers'!$C$12="MS",Constants!$H75*'Net zero Activity data'!BN17*Constants!$H93*EF!$H218*MMVolatEF*NtoN2O*kgtoGg,"ERROR")))</f>
        <v>0.15108898692169739</v>
      </c>
      <c r="AV1046" s="94">
        <f>IF('Net zero activities &amp; levers'!$C$12="Off",Constants!$H75*'Activity data'!BO17*Constants!$H93*EF!$H218*MMVolatEF*NtoN2O*kgtoGg,IF('Net zero activities &amp; levers'!$C$12="PB",Constants!$H75*'Activity data'!BO17*Constants!$H93*EF!$H218*MMVolatEF*NtoN2O*kgtoGg,IF('Net zero activities &amp; levers'!$C$12="MS",Constants!$H75*'Net zero Activity data'!BO17*Constants!$H93*EF!$H218*MMVolatEF*NtoN2O*kgtoGg,"ERROR")))</f>
        <v>0.14899028797623304</v>
      </c>
      <c r="AW1046" s="94">
        <f>IF('Net zero activities &amp; levers'!$C$12="Off",Constants!$H75*'Activity data'!BP17*Constants!$H93*EF!$H218*MMVolatEF*NtoN2O*kgtoGg,IF('Net zero activities &amp; levers'!$C$12="PB",Constants!$H75*'Activity data'!BP17*Constants!$H93*EF!$H218*MMVolatEF*NtoN2O*kgtoGg,IF('Net zero activities &amp; levers'!$C$12="MS",Constants!$H75*'Net zero Activity data'!BP17*Constants!$H93*EF!$H218*MMVolatEF*NtoN2O*kgtoGg,"ERROR")))</f>
        <v>0.14678866203706492</v>
      </c>
      <c r="AY1046" s="79"/>
      <c r="AZ1046" s="79"/>
    </row>
    <row r="1047" spans="1:52" x14ac:dyDescent="0.3">
      <c r="A1047" s="95" t="str">
        <f t="shared" si="345"/>
        <v>DS MM Volatilisation</v>
      </c>
      <c r="B1047" s="95" t="s">
        <v>974</v>
      </c>
      <c r="C1047" s="95" t="s">
        <v>1332</v>
      </c>
      <c r="D1047" t="s">
        <v>369</v>
      </c>
      <c r="E1047" t="s">
        <v>64</v>
      </c>
      <c r="F1047" t="s">
        <v>62</v>
      </c>
      <c r="G1047" t="s">
        <v>1178</v>
      </c>
      <c r="H1047" t="s">
        <v>1303</v>
      </c>
      <c r="I1047" t="s">
        <v>139</v>
      </c>
      <c r="J1047" t="s">
        <v>287</v>
      </c>
      <c r="K1047" s="94">
        <f>IF('Net zero activities &amp; levers'!$C$12="Off",Constants!$H76*'Activity data'!AD18*Constants!$H94*EF!$H219*MMVolatEF*NtoN2O*kgtoGg,IF('Net zero activities &amp; levers'!$C$12="PB",Constants!$H76*'Activity data'!AD18*Constants!$H94*EF!$H219*MMVolatEF*NtoN2O*kgtoGg,IF('Net zero activities &amp; levers'!$C$12="MS",Constants!$H76*'Net zero Activity data'!AD18*Constants!$H94*EF!$H219*MMVolatEF*NtoN2O*kgtoGg,"ERROR")))</f>
        <v>1.2724633182830876E-2</v>
      </c>
      <c r="L1047" s="94">
        <f>IF('Net zero activities &amp; levers'!$C$12="Off",Constants!$H76*'Activity data'!AE18*Constants!$H94*EF!$H219*MMVolatEF*NtoN2O*kgtoGg,IF('Net zero activities &amp; levers'!$C$12="PB",Constants!$H76*'Activity data'!AE18*Constants!$H94*EF!$H219*MMVolatEF*NtoN2O*kgtoGg,IF('Net zero activities &amp; levers'!$C$12="MS",Constants!$H76*'Net zero Activity data'!AE18*Constants!$H94*EF!$H219*MMVolatEF*NtoN2O*kgtoGg,"ERROR")))</f>
        <v>1.2655466337890209E-2</v>
      </c>
      <c r="M1047" s="94">
        <f>IF('Net zero activities &amp; levers'!$C$12="Off",Constants!$H76*'Activity data'!AF18*Constants!$H94*EF!$H219*MMVolatEF*NtoN2O*kgtoGg,IF('Net zero activities &amp; levers'!$C$12="PB",Constants!$H76*'Activity data'!AF18*Constants!$H94*EF!$H219*MMVolatEF*NtoN2O*kgtoGg,IF('Net zero activities &amp; levers'!$C$12="MS",Constants!$H76*'Net zero Activity data'!AF18*Constants!$H94*EF!$H219*MMVolatEF*NtoN2O*kgtoGg,"ERROR")))</f>
        <v>1.2661143337946407E-2</v>
      </c>
      <c r="N1047" s="94">
        <f>IF('Net zero activities &amp; levers'!$C$12="Off",Constants!$H76*'Activity data'!AG18*Constants!$H94*EF!$H219*MMVolatEF*NtoN2O*kgtoGg,IF('Net zero activities &amp; levers'!$C$12="PB",Constants!$H76*'Activity data'!AG18*Constants!$H94*EF!$H219*MMVolatEF*NtoN2O*kgtoGg,IF('Net zero activities &amp; levers'!$C$12="MS",Constants!$H76*'Net zero Activity data'!AG18*Constants!$H94*EF!$H219*MMVolatEF*NtoN2O*kgtoGg,"ERROR")))</f>
        <v>1.2544904339887072E-2</v>
      </c>
      <c r="O1047" s="94">
        <f>IF('Net zero activities &amp; levers'!$C$12="Off",Constants!$H76*'Activity data'!AH18*Constants!$H94*EF!$H219*MMVolatEF*NtoN2O*kgtoGg,IF('Net zero activities &amp; levers'!$C$12="PB",Constants!$H76*'Activity data'!AH18*Constants!$H94*EF!$H219*MMVolatEF*NtoN2O*kgtoGg,IF('Net zero activities &amp; levers'!$C$12="MS",Constants!$H76*'Net zero Activity data'!AH18*Constants!$H94*EF!$H219*MMVolatEF*NtoN2O*kgtoGg,"ERROR")))</f>
        <v>1.2355059245839611E-2</v>
      </c>
      <c r="P1047" s="94">
        <f>IF('Net zero activities &amp; levers'!$C$12="Off",Constants!$H76*'Activity data'!AI18*Constants!$H94*EF!$H219*MMVolatEF*NtoN2O*kgtoGg,IF('Net zero activities &amp; levers'!$C$12="PB",Constants!$H76*'Activity data'!AI18*Constants!$H94*EF!$H219*MMVolatEF*NtoN2O*kgtoGg,IF('Net zero activities &amp; levers'!$C$12="MS",Constants!$H76*'Net zero Activity data'!AI18*Constants!$H94*EF!$H219*MMVolatEF*NtoN2O*kgtoGg,"ERROR")))</f>
        <v>1.2094642930917434E-2</v>
      </c>
      <c r="Q1047" s="94">
        <f>IF('Net zero activities &amp; levers'!$C$12="Off",Constants!$H76*'Activity data'!AJ18*Constants!$H94*EF!$H219*MMVolatEF*NtoN2O*kgtoGg,IF('Net zero activities &amp; levers'!$C$12="PB",Constants!$H76*'Activity data'!AJ18*Constants!$H94*EF!$H219*MMVolatEF*NtoN2O*kgtoGg,IF('Net zero activities &amp; levers'!$C$12="MS",Constants!$H76*'Net zero Activity data'!AJ18*Constants!$H94*EF!$H219*MMVolatEF*NtoN2O*kgtoGg,"ERROR")))</f>
        <v>1.1905551806853844E-2</v>
      </c>
      <c r="R1047" s="94">
        <f>IF('Net zero activities &amp; levers'!$C$12="Off",Constants!$H76*'Activity data'!AK18*Constants!$H94*EF!$H219*MMVolatEF*NtoN2O*kgtoGg,IF('Net zero activities &amp; levers'!$C$12="PB",Constants!$H76*'Activity data'!AK18*Constants!$H94*EF!$H219*MMVolatEF*NtoN2O*kgtoGg,IF('Net zero activities &amp; levers'!$C$12="MS",Constants!$H76*'Net zero Activity data'!AK18*Constants!$H94*EF!$H219*MMVolatEF*NtoN2O*kgtoGg,"ERROR")))</f>
        <v>1.1733192711380723E-2</v>
      </c>
      <c r="S1047" s="94">
        <f>IF('Net zero activities &amp; levers'!$C$12="Off",Constants!$H76*'Activity data'!AL18*Constants!$H94*EF!$H219*MMVolatEF*NtoN2O*kgtoGg,IF('Net zero activities &amp; levers'!$C$12="PB",Constants!$H76*'Activity data'!AL18*Constants!$H94*EF!$H219*MMVolatEF*NtoN2O*kgtoGg,IF('Net zero activities &amp; levers'!$C$12="MS",Constants!$H76*'Net zero Activity data'!AL18*Constants!$H94*EF!$H219*MMVolatEF*NtoN2O*kgtoGg,"ERROR")))</f>
        <v>1.0359821368376874E-2</v>
      </c>
      <c r="T1047" s="94">
        <f>IF('Net zero activities &amp; levers'!$C$12="Off",Constants!$H76*'Activity data'!AM18*Constants!$H94*EF!$H219*MMVolatEF*NtoN2O*kgtoGg,IF('Net zero activities &amp; levers'!$C$12="PB",Constants!$H76*'Activity data'!AM18*Constants!$H94*EF!$H219*MMVolatEF*NtoN2O*kgtoGg,IF('Net zero activities &amp; levers'!$C$12="MS",Constants!$H76*'Net zero Activity data'!AM18*Constants!$H94*EF!$H219*MMVolatEF*NtoN2O*kgtoGg,"ERROR")))</f>
        <v>1.049082832504853E-2</v>
      </c>
      <c r="U1047" s="94">
        <f>IF('Net zero activities &amp; levers'!$C$12="Off",Constants!$H76*'Activity data'!AN18*Constants!$H94*EF!$H219*MMVolatEF*NtoN2O*kgtoGg,IF('Net zero activities &amp; levers'!$C$12="PB",Constants!$H76*'Activity data'!AN18*Constants!$H94*EF!$H219*MMVolatEF*NtoN2O*kgtoGg,IF('Net zero activities &amp; levers'!$C$12="MS",Constants!$H76*'Net zero Activity data'!AN18*Constants!$H94*EF!$H219*MMVolatEF*NtoN2O*kgtoGg,"ERROR")))</f>
        <v>1.0771943536752097E-2</v>
      </c>
      <c r="V1047" s="94">
        <f>IF('Net zero activities &amp; levers'!$C$12="Off",Constants!$H76*'Activity data'!AO18*Constants!$H94*EF!$H219*MMVolatEF*NtoN2O*kgtoGg,IF('Net zero activities &amp; levers'!$C$12="PB",Constants!$H76*'Activity data'!AO18*Constants!$H94*EF!$H219*MMVolatEF*NtoN2O*kgtoGg,IF('Net zero activities &amp; levers'!$C$12="MS",Constants!$H76*'Net zero Activity data'!AO18*Constants!$H94*EF!$H219*MMVolatEF*NtoN2O*kgtoGg,"ERROR")))</f>
        <v>1.0797467337543365E-2</v>
      </c>
      <c r="W1047" s="94">
        <f>IF('Net zero activities &amp; levers'!$C$12="Off",Constants!$H76*'Activity data'!AP18*Constants!$H94*EF!$H219*MMVolatEF*NtoN2O*kgtoGg,IF('Net zero activities &amp; levers'!$C$12="PB",Constants!$H76*'Activity data'!AP18*Constants!$H94*EF!$H219*MMVolatEF*NtoN2O*kgtoGg,IF('Net zero activities &amp; levers'!$C$12="MS",Constants!$H76*'Net zero Activity data'!AP18*Constants!$H94*EF!$H219*MMVolatEF*NtoN2O*kgtoGg,"ERROR")))</f>
        <v>1.0852740546366932E-2</v>
      </c>
      <c r="X1047" s="94">
        <f>IF('Net zero activities &amp; levers'!$C$12="Off",Constants!$H76*'Activity data'!AQ18*Constants!$H94*EF!$H219*MMVolatEF*NtoN2O*kgtoGg,IF('Net zero activities &amp; levers'!$C$12="PB",Constants!$H76*'Activity data'!AQ18*Constants!$H94*EF!$H219*MMVolatEF*NtoN2O*kgtoGg,IF('Net zero activities &amp; levers'!$C$12="MS",Constants!$H76*'Net zero Activity data'!AQ18*Constants!$H94*EF!$H219*MMVolatEF*NtoN2O*kgtoGg,"ERROR")))</f>
        <v>1.0945674252888513E-2</v>
      </c>
      <c r="Y1047" s="94">
        <f>IF('Net zero activities &amp; levers'!$C$12="Off",Constants!$H76*'Activity data'!AR18*Constants!$H94*EF!$H219*MMVolatEF*NtoN2O*kgtoGg,IF('Net zero activities &amp; levers'!$C$12="PB",Constants!$H76*'Activity data'!AR18*Constants!$H94*EF!$H219*MMVolatEF*NtoN2O*kgtoGg,IF('Net zero activities &amp; levers'!$C$12="MS",Constants!$H76*'Net zero Activity data'!AR18*Constants!$H94*EF!$H219*MMVolatEF*NtoN2O*kgtoGg,"ERROR")))</f>
        <v>1.1062287478995693E-2</v>
      </c>
      <c r="Z1047" s="94">
        <f>IF('Net zero activities &amp; levers'!$C$12="Off",Constants!$H76*'Activity data'!AS18*Constants!$H94*EF!$H219*MMVolatEF*NtoN2O*kgtoGg,IF('Net zero activities &amp; levers'!$C$12="PB",Constants!$H76*'Activity data'!AS18*Constants!$H94*EF!$H219*MMVolatEF*NtoN2O*kgtoGg,IF('Net zero activities &amp; levers'!$C$12="MS",Constants!$H76*'Net zero Activity data'!AS18*Constants!$H94*EF!$H219*MMVolatEF*NtoN2O*kgtoGg,"ERROR")))</f>
        <v>1.1205187101625038E-2</v>
      </c>
      <c r="AA1047" s="94">
        <f>IF('Net zero activities &amp; levers'!$C$12="Off",Constants!$H76*'Activity data'!AT18*Constants!$H94*EF!$H219*MMVolatEF*NtoN2O*kgtoGg,IF('Net zero activities &amp; levers'!$C$12="PB",Constants!$H76*'Activity data'!AT18*Constants!$H94*EF!$H219*MMVolatEF*NtoN2O*kgtoGg,IF('Net zero activities &amp; levers'!$C$12="MS",Constants!$H76*'Net zero Activity data'!AT18*Constants!$H94*EF!$H219*MMVolatEF*NtoN2O*kgtoGg,"ERROR")))</f>
        <v>1.1349757792199721E-2</v>
      </c>
      <c r="AB1047" s="94">
        <f>IF('Net zero activities &amp; levers'!$C$12="Off",Constants!$H76*'Activity data'!AU18*Constants!$H94*EF!$H219*MMVolatEF*NtoN2O*kgtoGg,IF('Net zero activities &amp; levers'!$C$12="PB",Constants!$H76*'Activity data'!AU18*Constants!$H94*EF!$H219*MMVolatEF*NtoN2O*kgtoGg,IF('Net zero activities &amp; levers'!$C$12="MS",Constants!$H76*'Net zero Activity data'!AU18*Constants!$H94*EF!$H219*MMVolatEF*NtoN2O*kgtoGg,"ERROR")))</f>
        <v>1.1516671452842603E-2</v>
      </c>
      <c r="AC1047" s="94">
        <f>IF('Net zero activities &amp; levers'!$C$12="Off",Constants!$H76*'Activity data'!AV18*Constants!$H94*EF!$H219*MMVolatEF*NtoN2O*kgtoGg,IF('Net zero activities &amp; levers'!$C$12="PB",Constants!$H76*'Activity data'!AV18*Constants!$H94*EF!$H219*MMVolatEF*NtoN2O*kgtoGg,IF('Net zero activities &amp; levers'!$C$12="MS",Constants!$H76*'Net zero Activity data'!AV18*Constants!$H94*EF!$H219*MMVolatEF*NtoN2O*kgtoGg,"ERROR")))</f>
        <v>1.1682433079282552E-2</v>
      </c>
      <c r="AD1047" s="94">
        <f>IF('Net zero activities &amp; levers'!$C$12="Off",Constants!$H76*'Activity data'!AW18*Constants!$H94*EF!$H219*MMVolatEF*NtoN2O*kgtoGg,IF('Net zero activities &amp; levers'!$C$12="PB",Constants!$H76*'Activity data'!AW18*Constants!$H94*EF!$H219*MMVolatEF*NtoN2O*kgtoGg,IF('Net zero activities &amp; levers'!$C$12="MS",Constants!$H76*'Net zero Activity data'!AW18*Constants!$H94*EF!$H219*MMVolatEF*NtoN2O*kgtoGg,"ERROR")))</f>
        <v>1.1888518060494371E-2</v>
      </c>
      <c r="AE1047" s="94">
        <f>IF('Net zero activities &amp; levers'!$C$12="Off",Constants!$H76*'Activity data'!AX18*Constants!$H94*EF!$H219*MMVolatEF*NtoN2O*kgtoGg,IF('Net zero activities &amp; levers'!$C$12="PB",Constants!$H76*'Activity data'!AX18*Constants!$H94*EF!$H219*MMVolatEF*NtoN2O*kgtoGg,IF('Net zero activities &amp; levers'!$C$12="MS",Constants!$H76*'Net zero Activity data'!AX18*Constants!$H94*EF!$H219*MMVolatEF*NtoN2O*kgtoGg,"ERROR")))</f>
        <v>1.2078234337742711E-2</v>
      </c>
      <c r="AF1047" s="94">
        <f>IF('Net zero activities &amp; levers'!$C$12="Off",Constants!$H76*'Activity data'!AY18*Constants!$H94*EF!$H219*MMVolatEF*NtoN2O*kgtoGg,IF('Net zero activities &amp; levers'!$C$12="PB",Constants!$H76*'Activity data'!AY18*Constants!$H94*EF!$H219*MMVolatEF*NtoN2O*kgtoGg,IF('Net zero activities &amp; levers'!$C$12="MS",Constants!$H76*'Net zero Activity data'!AY18*Constants!$H94*EF!$H219*MMVolatEF*NtoN2O*kgtoGg,"ERROR")))</f>
        <v>1.2280107624497444E-2</v>
      </c>
      <c r="AG1047" s="94">
        <f>IF('Net zero activities &amp; levers'!$C$12="Off",Constants!$H76*'Activity data'!AZ18*Constants!$H94*EF!$H219*MMVolatEF*NtoN2O*kgtoGg,IF('Net zero activities &amp; levers'!$C$12="PB",Constants!$H76*'Activity data'!AZ18*Constants!$H94*EF!$H219*MMVolatEF*NtoN2O*kgtoGg,IF('Net zero activities &amp; levers'!$C$12="MS",Constants!$H76*'Net zero Activity data'!AZ18*Constants!$H94*EF!$H219*MMVolatEF*NtoN2O*kgtoGg,"ERROR")))</f>
        <v>1.2526366698600652E-2</v>
      </c>
      <c r="AH1047" s="94">
        <f>IF('Net zero activities &amp; levers'!$C$12="Off",Constants!$H76*'Activity data'!BA18*Constants!$H94*EF!$H219*MMVolatEF*NtoN2O*kgtoGg,IF('Net zero activities &amp; levers'!$C$12="PB",Constants!$H76*'Activity data'!BA18*Constants!$H94*EF!$H219*MMVolatEF*NtoN2O*kgtoGg,IF('Net zero activities &amp; levers'!$C$12="MS",Constants!$H76*'Net zero Activity data'!BA18*Constants!$H94*EF!$H219*MMVolatEF*NtoN2O*kgtoGg,"ERROR")))</f>
        <v>1.2737822297620535E-2</v>
      </c>
      <c r="AI1047" s="94">
        <f>IF('Net zero activities &amp; levers'!$C$12="Off",Constants!$H76*'Activity data'!BB18*Constants!$H94*EF!$H219*MMVolatEF*NtoN2O*kgtoGg,IF('Net zero activities &amp; levers'!$C$12="PB",Constants!$H76*'Activity data'!BB18*Constants!$H94*EF!$H219*MMVolatEF*NtoN2O*kgtoGg,IF('Net zero activities &amp; levers'!$C$12="MS",Constants!$H76*'Net zero Activity data'!BB18*Constants!$H94*EF!$H219*MMVolatEF*NtoN2O*kgtoGg,"ERROR")))</f>
        <v>1.2966056077955363E-2</v>
      </c>
      <c r="AJ1047" s="94">
        <f>IF('Net zero activities &amp; levers'!$C$12="Off",Constants!$H76*'Activity data'!BC18*Constants!$H94*EF!$H219*MMVolatEF*NtoN2O*kgtoGg,IF('Net zero activities &amp; levers'!$C$12="PB",Constants!$H76*'Activity data'!BC18*Constants!$H94*EF!$H219*MMVolatEF*NtoN2O*kgtoGg,IF('Net zero activities &amp; levers'!$C$12="MS",Constants!$H76*'Net zero Activity data'!BC18*Constants!$H94*EF!$H219*MMVolatEF*NtoN2O*kgtoGg,"ERROR")))</f>
        <v>1.3213765172968019E-2</v>
      </c>
      <c r="AK1047" s="94">
        <f>IF('Net zero activities &amp; levers'!$C$12="Off",Constants!$H76*'Activity data'!BD18*Constants!$H94*EF!$H219*MMVolatEF*NtoN2O*kgtoGg,IF('Net zero activities &amp; levers'!$C$12="PB",Constants!$H76*'Activity data'!BD18*Constants!$H94*EF!$H219*MMVolatEF*NtoN2O*kgtoGg,IF('Net zero activities &amp; levers'!$C$12="MS",Constants!$H76*'Net zero Activity data'!BD18*Constants!$H94*EF!$H219*MMVolatEF*NtoN2O*kgtoGg,"ERROR")))</f>
        <v>1.3420410703080012E-2</v>
      </c>
      <c r="AL1047" s="94">
        <f>IF('Net zero activities &amp; levers'!$C$12="Off",Constants!$H76*'Activity data'!BE18*Constants!$H94*EF!$H219*MMVolatEF*NtoN2O*kgtoGg,IF('Net zero activities &amp; levers'!$C$12="PB",Constants!$H76*'Activity data'!BE18*Constants!$H94*EF!$H219*MMVolatEF*NtoN2O*kgtoGg,IF('Net zero activities &amp; levers'!$C$12="MS",Constants!$H76*'Net zero Activity data'!BE18*Constants!$H94*EF!$H219*MMVolatEF*NtoN2O*kgtoGg,"ERROR")))</f>
        <v>1.3614199852725929E-2</v>
      </c>
      <c r="AM1047" s="94">
        <f>IF('Net zero activities &amp; levers'!$C$12="Off",Constants!$H76*'Activity data'!BF18*Constants!$H94*EF!$H219*MMVolatEF*NtoN2O*kgtoGg,IF('Net zero activities &amp; levers'!$C$12="PB",Constants!$H76*'Activity data'!BF18*Constants!$H94*EF!$H219*MMVolatEF*NtoN2O*kgtoGg,IF('Net zero activities &amp; levers'!$C$12="MS",Constants!$H76*'Net zero Activity data'!BF18*Constants!$H94*EF!$H219*MMVolatEF*NtoN2O*kgtoGg,"ERROR")))</f>
        <v>1.3796695571363754E-2</v>
      </c>
      <c r="AN1047" s="94">
        <f>IF('Net zero activities &amp; levers'!$C$12="Off",Constants!$H76*'Activity data'!BG18*Constants!$H94*EF!$H219*MMVolatEF*NtoN2O*kgtoGg,IF('Net zero activities &amp; levers'!$C$12="PB",Constants!$H76*'Activity data'!BG18*Constants!$H94*EF!$H219*MMVolatEF*NtoN2O*kgtoGg,IF('Net zero activities &amp; levers'!$C$12="MS",Constants!$H76*'Net zero Activity data'!BG18*Constants!$H94*EF!$H219*MMVolatEF*NtoN2O*kgtoGg,"ERROR")))</f>
        <v>1.4007416229853083E-2</v>
      </c>
      <c r="AO1047" s="94">
        <f>IF('Net zero activities &amp; levers'!$C$12="Off",Constants!$H76*'Activity data'!BH18*Constants!$H94*EF!$H219*MMVolatEF*NtoN2O*kgtoGg,IF('Net zero activities &amp; levers'!$C$12="PB",Constants!$H76*'Activity data'!BH18*Constants!$H94*EF!$H219*MMVolatEF*NtoN2O*kgtoGg,IF('Net zero activities &amp; levers'!$C$12="MS",Constants!$H76*'Net zero Activity data'!BH18*Constants!$H94*EF!$H219*MMVolatEF*NtoN2O*kgtoGg,"ERROR")))</f>
        <v>1.419018923722911E-2</v>
      </c>
      <c r="AP1047" s="94">
        <f>IF('Net zero activities &amp; levers'!$C$12="Off",Constants!$H76*'Activity data'!BI18*Constants!$H94*EF!$H219*MMVolatEF*NtoN2O*kgtoGg,IF('Net zero activities &amp; levers'!$C$12="PB",Constants!$H76*'Activity data'!BI18*Constants!$H94*EF!$H219*MMVolatEF*NtoN2O*kgtoGg,IF('Net zero activities &amp; levers'!$C$12="MS",Constants!$H76*'Net zero Activity data'!BI18*Constants!$H94*EF!$H219*MMVolatEF*NtoN2O*kgtoGg,"ERROR")))</f>
        <v>1.4378857410840086E-2</v>
      </c>
      <c r="AQ1047" s="94">
        <f>IF('Net zero activities &amp; levers'!$C$12="Off",Constants!$H76*'Activity data'!BJ18*Constants!$H94*EF!$H219*MMVolatEF*NtoN2O*kgtoGg,IF('Net zero activities &amp; levers'!$C$12="PB",Constants!$H76*'Activity data'!BJ18*Constants!$H94*EF!$H219*MMVolatEF*NtoN2O*kgtoGg,IF('Net zero activities &amp; levers'!$C$12="MS",Constants!$H76*'Net zero Activity data'!BJ18*Constants!$H94*EF!$H219*MMVolatEF*NtoN2O*kgtoGg,"ERROR")))</f>
        <v>1.4574843831401781E-2</v>
      </c>
      <c r="AR1047" s="94">
        <f>IF('Net zero activities &amp; levers'!$C$12="Off",Constants!$H76*'Activity data'!BK18*Constants!$H94*EF!$H219*MMVolatEF*NtoN2O*kgtoGg,IF('Net zero activities &amp; levers'!$C$12="PB",Constants!$H76*'Activity data'!BK18*Constants!$H94*EF!$H219*MMVolatEF*NtoN2O*kgtoGg,IF('Net zero activities &amp; levers'!$C$12="MS",Constants!$H76*'Net zero Activity data'!BK18*Constants!$H94*EF!$H219*MMVolatEF*NtoN2O*kgtoGg,"ERROR")))</f>
        <v>1.4780600778240808E-2</v>
      </c>
      <c r="AS1047" s="94">
        <f>IF('Net zero activities &amp; levers'!$C$12="Off",Constants!$H76*'Activity data'!BL18*Constants!$H94*EF!$H219*MMVolatEF*NtoN2O*kgtoGg,IF('Net zero activities &amp; levers'!$C$12="PB",Constants!$H76*'Activity data'!BL18*Constants!$H94*EF!$H219*MMVolatEF*NtoN2O*kgtoGg,IF('Net zero activities &amp; levers'!$C$12="MS",Constants!$H76*'Net zero Activity data'!BL18*Constants!$H94*EF!$H219*MMVolatEF*NtoN2O*kgtoGg,"ERROR")))</f>
        <v>1.4996659216426185E-2</v>
      </c>
      <c r="AT1047" s="94">
        <f>IF('Net zero activities &amp; levers'!$C$12="Off",Constants!$H76*'Activity data'!BM18*Constants!$H94*EF!$H219*MMVolatEF*NtoN2O*kgtoGg,IF('Net zero activities &amp; levers'!$C$12="PB",Constants!$H76*'Activity data'!BM18*Constants!$H94*EF!$H219*MMVolatEF*NtoN2O*kgtoGg,IF('Net zero activities &amp; levers'!$C$12="MS",Constants!$H76*'Net zero Activity data'!BM18*Constants!$H94*EF!$H219*MMVolatEF*NtoN2O*kgtoGg,"ERROR")))</f>
        <v>1.4865184689623886E-2</v>
      </c>
      <c r="AU1047" s="94">
        <f>IF('Net zero activities &amp; levers'!$C$12="Off",Constants!$H76*'Activity data'!BN18*Constants!$H94*EF!$H219*MMVolatEF*NtoN2O*kgtoGg,IF('Net zero activities &amp; levers'!$C$12="PB",Constants!$H76*'Activity data'!BN18*Constants!$H94*EF!$H219*MMVolatEF*NtoN2O*kgtoGg,IF('Net zero activities &amp; levers'!$C$12="MS",Constants!$H76*'Net zero Activity data'!BN18*Constants!$H94*EF!$H219*MMVolatEF*NtoN2O*kgtoGg,"ERROR")))</f>
        <v>1.4703326974281053E-2</v>
      </c>
      <c r="AV1047" s="94">
        <f>IF('Net zero activities &amp; levers'!$C$12="Off",Constants!$H76*'Activity data'!BO18*Constants!$H94*EF!$H219*MMVolatEF*NtoN2O*kgtoGg,IF('Net zero activities &amp; levers'!$C$12="PB",Constants!$H76*'Activity data'!BO18*Constants!$H94*EF!$H219*MMVolatEF*NtoN2O*kgtoGg,IF('Net zero activities &amp; levers'!$C$12="MS",Constants!$H76*'Net zero Activity data'!BO18*Constants!$H94*EF!$H219*MMVolatEF*NtoN2O*kgtoGg,"ERROR")))</f>
        <v>1.4499090666629237E-2</v>
      </c>
      <c r="AW1047" s="94">
        <f>IF('Net zero activities &amp; levers'!$C$12="Off",Constants!$H76*'Activity data'!BP18*Constants!$H94*EF!$H219*MMVolatEF*NtoN2O*kgtoGg,IF('Net zero activities &amp; levers'!$C$12="PB",Constants!$H76*'Activity data'!BP18*Constants!$H94*EF!$H219*MMVolatEF*NtoN2O*kgtoGg,IF('Net zero activities &amp; levers'!$C$12="MS",Constants!$H76*'Net zero Activity data'!BP18*Constants!$H94*EF!$H219*MMVolatEF*NtoN2O*kgtoGg,"ERROR")))</f>
        <v>1.4284837948954819E-2</v>
      </c>
      <c r="AY1047" s="79"/>
      <c r="AZ1047" s="79"/>
    </row>
    <row r="1048" spans="1:52" x14ac:dyDescent="0.3">
      <c r="A1048" s="95" t="str">
        <f t="shared" si="345"/>
        <v>DS MM Volatilisation</v>
      </c>
      <c r="B1048" s="95" t="s">
        <v>974</v>
      </c>
      <c r="C1048" s="95" t="s">
        <v>1332</v>
      </c>
      <c r="D1048" t="s">
        <v>369</v>
      </c>
      <c r="E1048" t="s">
        <v>64</v>
      </c>
      <c r="F1048" t="s">
        <v>62</v>
      </c>
      <c r="G1048" t="s">
        <v>1180</v>
      </c>
      <c r="H1048" t="s">
        <v>1304</v>
      </c>
      <c r="I1048" t="s">
        <v>139</v>
      </c>
      <c r="J1048" t="s">
        <v>287</v>
      </c>
      <c r="K1048" s="94">
        <f>IF('Net zero activities &amp; levers'!$C$12="Off",Constants!$H77*'Activity data'!AD19*Constants!$H95*EF!$H220*MMVolatEF*NtoN2O*kgtoGg,IF('Net zero activities &amp; levers'!$C$12="PB",Constants!$H77*'Activity data'!AD19*Constants!$H95*EF!$H220*MMVolatEF*NtoN2O*kgtoGg,IF('Net zero activities &amp; levers'!$C$12="MS",Constants!$H77*'Net zero Activity data'!AD19*Constants!$H95*EF!$H220*MMVolatEF*NtoN2O*kgtoGg,"ERROR")))</f>
        <v>6.4453339767617107E-2</v>
      </c>
      <c r="L1048" s="94">
        <f>IF('Net zero activities &amp; levers'!$C$12="Off",Constants!$H77*'Activity data'!AE19*Constants!$H95*EF!$H220*MMVolatEF*NtoN2O*kgtoGg,IF('Net zero activities &amp; levers'!$C$12="PB",Constants!$H77*'Activity data'!AE19*Constants!$H95*EF!$H220*MMVolatEF*NtoN2O*kgtoGg,IF('Net zero activities &amp; levers'!$C$12="MS",Constants!$H77*'Net zero Activity data'!AE19*Constants!$H95*EF!$H220*MMVolatEF*NtoN2O*kgtoGg,"ERROR")))</f>
        <v>6.5763803942104543E-2</v>
      </c>
      <c r="M1048" s="94">
        <f>IF('Net zero activities &amp; levers'!$C$12="Off",Constants!$H77*'Activity data'!AF19*Constants!$H95*EF!$H220*MMVolatEF*NtoN2O*kgtoGg,IF('Net zero activities &amp; levers'!$C$12="PB",Constants!$H77*'Activity data'!AF19*Constants!$H95*EF!$H220*MMVolatEF*NtoN2O*kgtoGg,IF('Net zero activities &amp; levers'!$C$12="MS",Constants!$H77*'Net zero Activity data'!AF19*Constants!$H95*EF!$H220*MMVolatEF*NtoN2O*kgtoGg,"ERROR")))</f>
        <v>6.7295612361813625E-2</v>
      </c>
      <c r="N1048" s="94">
        <f>IF('Net zero activities &amp; levers'!$C$12="Off",Constants!$H77*'Activity data'!AG19*Constants!$H95*EF!$H220*MMVolatEF*NtoN2O*kgtoGg,IF('Net zero activities &amp; levers'!$C$12="PB",Constants!$H77*'Activity data'!AG19*Constants!$H95*EF!$H220*MMVolatEF*NtoN2O*kgtoGg,IF('Net zero activities &amp; levers'!$C$12="MS",Constants!$H77*'Net zero Activity data'!AG19*Constants!$H95*EF!$H220*MMVolatEF*NtoN2O*kgtoGg,"ERROR")))</f>
        <v>6.8471619369899747E-2</v>
      </c>
      <c r="O1048" s="94">
        <f>IF('Net zero activities &amp; levers'!$C$12="Off",Constants!$H77*'Activity data'!AH19*Constants!$H95*EF!$H220*MMVolatEF*NtoN2O*kgtoGg,IF('Net zero activities &amp; levers'!$C$12="PB",Constants!$H77*'Activity data'!AH19*Constants!$H95*EF!$H220*MMVolatEF*NtoN2O*kgtoGg,IF('Net zero activities &amp; levers'!$C$12="MS",Constants!$H77*'Net zero Activity data'!AH19*Constants!$H95*EF!$H220*MMVolatEF*NtoN2O*kgtoGg,"ERROR")))</f>
        <v>6.94156577655035E-2</v>
      </c>
      <c r="P1048" s="94">
        <f>IF('Net zero activities &amp; levers'!$C$12="Off",Constants!$H77*'Activity data'!AI19*Constants!$H95*EF!$H220*MMVolatEF*NtoN2O*kgtoGg,IF('Net zero activities &amp; levers'!$C$12="PB",Constants!$H77*'Activity data'!AI19*Constants!$H95*EF!$H220*MMVolatEF*NtoN2O*kgtoGg,IF('Net zero activities &amp; levers'!$C$12="MS",Constants!$H77*'Net zero Activity data'!AI19*Constants!$H95*EF!$H220*MMVolatEF*NtoN2O*kgtoGg,"ERROR")))</f>
        <v>7.0122113289878316E-2</v>
      </c>
      <c r="Q1048" s="94">
        <f>IF('Net zero activities &amp; levers'!$C$12="Off",Constants!$H77*'Activity data'!AJ19*Constants!$H95*EF!$H220*MMVolatEF*NtoN2O*kgtoGg,IF('Net zero activities &amp; levers'!$C$12="PB",Constants!$H77*'Activity data'!AJ19*Constants!$H95*EF!$H220*MMVolatEF*NtoN2O*kgtoGg,IF('Net zero activities &amp; levers'!$C$12="MS",Constants!$H77*'Net zero Activity data'!AJ19*Constants!$H95*EF!$H220*MMVolatEF*NtoN2O*kgtoGg,"ERROR")))</f>
        <v>7.1027984276732931E-2</v>
      </c>
      <c r="R1048" s="94">
        <f>IF('Net zero activities &amp; levers'!$C$12="Off",Constants!$H77*'Activity data'!AK19*Constants!$H95*EF!$H220*MMVolatEF*NtoN2O*kgtoGg,IF('Net zero activities &amp; levers'!$C$12="PB",Constants!$H77*'Activity data'!AK19*Constants!$H95*EF!$H220*MMVolatEF*NtoN2O*kgtoGg,IF('Net zero activities &amp; levers'!$C$12="MS",Constants!$H77*'Net zero Activity data'!AK19*Constants!$H95*EF!$H220*MMVolatEF*NtoN2O*kgtoGg,"ERROR")))</f>
        <v>7.1969839340941838E-2</v>
      </c>
      <c r="S1048" s="94">
        <f>IF('Net zero activities &amp; levers'!$C$12="Off",Constants!$H77*'Activity data'!AL19*Constants!$H95*EF!$H220*MMVolatEF*NtoN2O*kgtoGg,IF('Net zero activities &amp; levers'!$C$12="PB",Constants!$H77*'Activity data'!AL19*Constants!$H95*EF!$H220*MMVolatEF*NtoN2O*kgtoGg,IF('Net zero activities &amp; levers'!$C$12="MS",Constants!$H77*'Net zero Activity data'!AL19*Constants!$H95*EF!$H220*MMVolatEF*NtoN2O*kgtoGg,"ERROR")))</f>
        <v>6.8766563459968802E-2</v>
      </c>
      <c r="T1048" s="94">
        <f>IF('Net zero activities &amp; levers'!$C$12="Off",Constants!$H77*'Activity data'!AM19*Constants!$H95*EF!$H220*MMVolatEF*NtoN2O*kgtoGg,IF('Net zero activities &amp; levers'!$C$12="PB",Constants!$H77*'Activity data'!AM19*Constants!$H95*EF!$H220*MMVolatEF*NtoN2O*kgtoGg,IF('Net zero activities &amp; levers'!$C$12="MS",Constants!$H77*'Net zero Activity data'!AM19*Constants!$H95*EF!$H220*MMVolatEF*NtoN2O*kgtoGg,"ERROR")))</f>
        <v>7.0478152358708523E-2</v>
      </c>
      <c r="U1048" s="94">
        <f>IF('Net zero activities &amp; levers'!$C$12="Off",Constants!$H77*'Activity data'!AN19*Constants!$H95*EF!$H220*MMVolatEF*NtoN2O*kgtoGg,IF('Net zero activities &amp; levers'!$C$12="PB",Constants!$H77*'Activity data'!AN19*Constants!$H95*EF!$H220*MMVolatEF*NtoN2O*kgtoGg,IF('Net zero activities &amp; levers'!$C$12="MS",Constants!$H77*'Net zero Activity data'!AN19*Constants!$H95*EF!$H220*MMVolatEF*NtoN2O*kgtoGg,"ERROR")))</f>
        <v>7.2759128000714796E-2</v>
      </c>
      <c r="V1048" s="94">
        <f>IF('Net zero activities &amp; levers'!$C$12="Off",Constants!$H77*'Activity data'!AO19*Constants!$H95*EF!$H220*MMVolatEF*NtoN2O*kgtoGg,IF('Net zero activities &amp; levers'!$C$12="PB",Constants!$H77*'Activity data'!AO19*Constants!$H95*EF!$H220*MMVolatEF*NtoN2O*kgtoGg,IF('Net zero activities &amp; levers'!$C$12="MS",Constants!$H77*'Net zero Activity data'!AO19*Constants!$H95*EF!$H220*MMVolatEF*NtoN2O*kgtoGg,"ERROR")))</f>
        <v>7.4154122533566028E-2</v>
      </c>
      <c r="W1048" s="94">
        <f>IF('Net zero activities &amp; levers'!$C$12="Off",Constants!$H77*'Activity data'!AP19*Constants!$H95*EF!$H220*MMVolatEF*NtoN2O*kgtoGg,IF('Net zero activities &amp; levers'!$C$12="PB",Constants!$H77*'Activity data'!AP19*Constants!$H95*EF!$H220*MMVolatEF*NtoN2O*kgtoGg,IF('Net zero activities &amp; levers'!$C$12="MS",Constants!$H77*'Net zero Activity data'!AP19*Constants!$H95*EF!$H220*MMVolatEF*NtoN2O*kgtoGg,"ERROR")))</f>
        <v>7.5674972830257564E-2</v>
      </c>
      <c r="X1048" s="94">
        <f>IF('Net zero activities &amp; levers'!$C$12="Off",Constants!$H77*'Activity data'!AQ19*Constants!$H95*EF!$H220*MMVolatEF*NtoN2O*kgtoGg,IF('Net zero activities &amp; levers'!$C$12="PB",Constants!$H77*'Activity data'!AQ19*Constants!$H95*EF!$H220*MMVolatEF*NtoN2O*kgtoGg,IF('Net zero activities &amp; levers'!$C$12="MS",Constants!$H77*'Net zero Activity data'!AQ19*Constants!$H95*EF!$H220*MMVolatEF*NtoN2O*kgtoGg,"ERROR")))</f>
        <v>7.7360161163039912E-2</v>
      </c>
      <c r="Y1048" s="94">
        <f>IF('Net zero activities &amp; levers'!$C$12="Off",Constants!$H77*'Activity data'!AR19*Constants!$H95*EF!$H220*MMVolatEF*NtoN2O*kgtoGg,IF('Net zero activities &amp; levers'!$C$12="PB",Constants!$H77*'Activity data'!AR19*Constants!$H95*EF!$H220*MMVolatEF*NtoN2O*kgtoGg,IF('Net zero activities &amp; levers'!$C$12="MS",Constants!$H77*'Net zero Activity data'!AR19*Constants!$H95*EF!$H220*MMVolatEF*NtoN2O*kgtoGg,"ERROR")))</f>
        <v>7.9100740420260676E-2</v>
      </c>
      <c r="Z1048" s="94">
        <f>IF('Net zero activities &amp; levers'!$C$12="Off",Constants!$H77*'Activity data'!AS19*Constants!$H95*EF!$H220*MMVolatEF*NtoN2O*kgtoGg,IF('Net zero activities &amp; levers'!$C$12="PB",Constants!$H77*'Activity data'!AS19*Constants!$H95*EF!$H220*MMVolatEF*NtoN2O*kgtoGg,IF('Net zero activities &amp; levers'!$C$12="MS",Constants!$H77*'Net zero Activity data'!AS19*Constants!$H95*EF!$H220*MMVolatEF*NtoN2O*kgtoGg,"ERROR")))</f>
        <v>8.0976740364442315E-2</v>
      </c>
      <c r="AA1048" s="94">
        <f>IF('Net zero activities &amp; levers'!$C$12="Off",Constants!$H77*'Activity data'!AT19*Constants!$H95*EF!$H220*MMVolatEF*NtoN2O*kgtoGg,IF('Net zero activities &amp; levers'!$C$12="PB",Constants!$H77*'Activity data'!AT19*Constants!$H95*EF!$H220*MMVolatEF*NtoN2O*kgtoGg,IF('Net zero activities &amp; levers'!$C$12="MS",Constants!$H77*'Net zero Activity data'!AT19*Constants!$H95*EF!$H220*MMVolatEF*NtoN2O*kgtoGg,"ERROR")))</f>
        <v>8.2894928844752261E-2</v>
      </c>
      <c r="AB1048" s="94">
        <f>IF('Net zero activities &amp; levers'!$C$12="Off",Constants!$H77*'Activity data'!AU19*Constants!$H95*EF!$H220*MMVolatEF*NtoN2O*kgtoGg,IF('Net zero activities &amp; levers'!$C$12="PB",Constants!$H77*'Activity data'!AU19*Constants!$H95*EF!$H220*MMVolatEF*NtoN2O*kgtoGg,IF('Net zero activities &amp; levers'!$C$12="MS",Constants!$H77*'Net zero Activity data'!AU19*Constants!$H95*EF!$H220*MMVolatEF*NtoN2O*kgtoGg,"ERROR")))</f>
        <v>8.4943030682698137E-2</v>
      </c>
      <c r="AC1048" s="94">
        <f>IF('Net zero activities &amp; levers'!$C$12="Off",Constants!$H77*'Activity data'!AV19*Constants!$H95*EF!$H220*MMVolatEF*NtoN2O*kgtoGg,IF('Net zero activities &amp; levers'!$C$12="PB",Constants!$H77*'Activity data'!AV19*Constants!$H95*EF!$H220*MMVolatEF*NtoN2O*kgtoGg,IF('Net zero activities &amp; levers'!$C$12="MS",Constants!$H77*'Net zero Activity data'!AV19*Constants!$H95*EF!$H220*MMVolatEF*NtoN2O*kgtoGg,"ERROR")))</f>
        <v>8.7027608507248444E-2</v>
      </c>
      <c r="AD1048" s="94">
        <f>IF('Net zero activities &amp; levers'!$C$12="Off",Constants!$H77*'Activity data'!AW19*Constants!$H95*EF!$H220*MMVolatEF*NtoN2O*kgtoGg,IF('Net zero activities &amp; levers'!$C$12="PB",Constants!$H77*'Activity data'!AW19*Constants!$H95*EF!$H220*MMVolatEF*NtoN2O*kgtoGg,IF('Net zero activities &amp; levers'!$C$12="MS",Constants!$H77*'Net zero Activity data'!AW19*Constants!$H95*EF!$H220*MMVolatEF*NtoN2O*kgtoGg,"ERROR")))</f>
        <v>8.9276729497460336E-2</v>
      </c>
      <c r="AE1048" s="94">
        <f>IF('Net zero activities &amp; levers'!$C$12="Off",Constants!$H77*'Activity data'!AX19*Constants!$H95*EF!$H220*MMVolatEF*NtoN2O*kgtoGg,IF('Net zero activities &amp; levers'!$C$12="PB",Constants!$H77*'Activity data'!AX19*Constants!$H95*EF!$H220*MMVolatEF*NtoN2O*kgtoGg,IF('Net zero activities &amp; levers'!$C$12="MS",Constants!$H77*'Net zero Activity data'!AX19*Constants!$H95*EF!$H220*MMVolatEF*NtoN2O*kgtoGg,"ERROR")))</f>
        <v>9.1502625848092475E-2</v>
      </c>
      <c r="AF1048" s="94">
        <f>IF('Net zero activities &amp; levers'!$C$12="Off",Constants!$H77*'Activity data'!AY19*Constants!$H95*EF!$H220*MMVolatEF*NtoN2O*kgtoGg,IF('Net zero activities &amp; levers'!$C$12="PB",Constants!$H77*'Activity data'!AY19*Constants!$H95*EF!$H220*MMVolatEF*NtoN2O*kgtoGg,IF('Net zero activities &amp; levers'!$C$12="MS",Constants!$H77*'Net zero Activity data'!AY19*Constants!$H95*EF!$H220*MMVolatEF*NtoN2O*kgtoGg,"ERROR")))</f>
        <v>9.3831227517320093E-2</v>
      </c>
      <c r="AG1048" s="94">
        <f>IF('Net zero activities &amp; levers'!$C$12="Off",Constants!$H77*'Activity data'!AZ19*Constants!$H95*EF!$H220*MMVolatEF*NtoN2O*kgtoGg,IF('Net zero activities &amp; levers'!$C$12="PB",Constants!$H77*'Activity data'!AZ19*Constants!$H95*EF!$H220*MMVolatEF*NtoN2O*kgtoGg,IF('Net zero activities &amp; levers'!$C$12="MS",Constants!$H77*'Net zero Activity data'!AZ19*Constants!$H95*EF!$H220*MMVolatEF*NtoN2O*kgtoGg,"ERROR")))</f>
        <v>9.6415651387216014E-2</v>
      </c>
      <c r="AH1048" s="94">
        <f>IF('Net zero activities &amp; levers'!$C$12="Off",Constants!$H77*'Activity data'!BA19*Constants!$H95*EF!$H220*MMVolatEF*NtoN2O*kgtoGg,IF('Net zero activities &amp; levers'!$C$12="PB",Constants!$H77*'Activity data'!BA19*Constants!$H95*EF!$H220*MMVolatEF*NtoN2O*kgtoGg,IF('Net zero activities &amp; levers'!$C$12="MS",Constants!$H77*'Net zero Activity data'!BA19*Constants!$H95*EF!$H220*MMVolatEF*NtoN2O*kgtoGg,"ERROR")))</f>
        <v>9.8896773571356525E-2</v>
      </c>
      <c r="AI1048" s="94">
        <f>IF('Net zero activities &amp; levers'!$C$12="Off",Constants!$H77*'Activity data'!BB19*Constants!$H95*EF!$H220*MMVolatEF*NtoN2O*kgtoGg,IF('Net zero activities &amp; levers'!$C$12="PB",Constants!$H77*'Activity data'!BB19*Constants!$H95*EF!$H220*MMVolatEF*NtoN2O*kgtoGg,IF('Net zero activities &amp; levers'!$C$12="MS",Constants!$H77*'Net zero Activity data'!BB19*Constants!$H95*EF!$H220*MMVolatEF*NtoN2O*kgtoGg,"ERROR")))</f>
        <v>0.10146265551465955</v>
      </c>
      <c r="AJ1048" s="94">
        <f>IF('Net zero activities &amp; levers'!$C$12="Off",Constants!$H77*'Activity data'!BC19*Constants!$H95*EF!$H220*MMVolatEF*NtoN2O*kgtoGg,IF('Net zero activities &amp; levers'!$C$12="PB",Constants!$H77*'Activity data'!BC19*Constants!$H95*EF!$H220*MMVolatEF*NtoN2O*kgtoGg,IF('Net zero activities &amp; levers'!$C$12="MS",Constants!$H77*'Net zero Activity data'!BC19*Constants!$H95*EF!$H220*MMVolatEF*NtoN2O*kgtoGg,"ERROR")))</f>
        <v>0.10418290059990712</v>
      </c>
      <c r="AK1048" s="94">
        <f>IF('Net zero activities &amp; levers'!$C$12="Off",Constants!$H77*'Activity data'!BD19*Constants!$H95*EF!$H220*MMVolatEF*NtoN2O*kgtoGg,IF('Net zero activities &amp; levers'!$C$12="PB",Constants!$H77*'Activity data'!BD19*Constants!$H95*EF!$H220*MMVolatEF*NtoN2O*kgtoGg,IF('Net zero activities &amp; levers'!$C$12="MS",Constants!$H77*'Net zero Activity data'!BD19*Constants!$H95*EF!$H220*MMVolatEF*NtoN2O*kgtoGg,"ERROR")))</f>
        <v>0.10676300622740972</v>
      </c>
      <c r="AL1048" s="94">
        <f>IF('Net zero activities &amp; levers'!$C$12="Off",Constants!$H77*'Activity data'!BE19*Constants!$H95*EF!$H220*MMVolatEF*NtoN2O*kgtoGg,IF('Net zero activities &amp; levers'!$C$12="PB",Constants!$H77*'Activity data'!BE19*Constants!$H95*EF!$H220*MMVolatEF*NtoN2O*kgtoGg,IF('Net zero activities &amp; levers'!$C$12="MS",Constants!$H77*'Net zero Activity data'!BE19*Constants!$H95*EF!$H220*MMVolatEF*NtoN2O*kgtoGg,"ERROR")))</f>
        <v>0.1093360798195923</v>
      </c>
      <c r="AM1048" s="94">
        <f>IF('Net zero activities &amp; levers'!$C$12="Off",Constants!$H77*'Activity data'!BF19*Constants!$H95*EF!$H220*MMVolatEF*NtoN2O*kgtoGg,IF('Net zero activities &amp; levers'!$C$12="PB",Constants!$H77*'Activity data'!BF19*Constants!$H95*EF!$H220*MMVolatEF*NtoN2O*kgtoGg,IF('Net zero activities &amp; levers'!$C$12="MS",Constants!$H77*'Net zero Activity data'!BF19*Constants!$H95*EF!$H220*MMVolatEF*NtoN2O*kgtoGg,"ERROR")))</f>
        <v>0.11190804099965344</v>
      </c>
      <c r="AN1048" s="94">
        <f>IF('Net zero activities &amp; levers'!$C$12="Off",Constants!$H77*'Activity data'!BG19*Constants!$H95*EF!$H220*MMVolatEF*NtoN2O*kgtoGg,IF('Net zero activities &amp; levers'!$C$12="PB",Constants!$H77*'Activity data'!BG19*Constants!$H95*EF!$H220*MMVolatEF*NtoN2O*kgtoGg,IF('Net zero activities &amp; levers'!$C$12="MS",Constants!$H77*'Net zero Activity data'!BG19*Constants!$H95*EF!$H220*MMVolatEF*NtoN2O*kgtoGg,"ERROR")))</f>
        <v>0.11463676938939842</v>
      </c>
      <c r="AO1048" s="94">
        <f>IF('Net zero activities &amp; levers'!$C$12="Off",Constants!$H77*'Activity data'!BH19*Constants!$H95*EF!$H220*MMVolatEF*NtoN2O*kgtoGg,IF('Net zero activities &amp; levers'!$C$12="PB",Constants!$H77*'Activity data'!BH19*Constants!$H95*EF!$H220*MMVolatEF*NtoN2O*kgtoGg,IF('Net zero activities &amp; levers'!$C$12="MS",Constants!$H77*'Net zero Activity data'!BH19*Constants!$H95*EF!$H220*MMVolatEF*NtoN2O*kgtoGg,"ERROR")))</f>
        <v>0.11727861184981632</v>
      </c>
      <c r="AP1048" s="94">
        <f>IF('Net zero activities &amp; levers'!$C$12="Off",Constants!$H77*'Activity data'!BI19*Constants!$H95*EF!$H220*MMVolatEF*NtoN2O*kgtoGg,IF('Net zero activities &amp; levers'!$C$12="PB",Constants!$H77*'Activity data'!BI19*Constants!$H95*EF!$H220*MMVolatEF*NtoN2O*kgtoGg,IF('Net zero activities &amp; levers'!$C$12="MS",Constants!$H77*'Net zero Activity data'!BI19*Constants!$H95*EF!$H220*MMVolatEF*NtoN2O*kgtoGg,"ERROR")))</f>
        <v>0.12001194210770205</v>
      </c>
      <c r="AQ1048" s="94">
        <f>IF('Net zero activities &amp; levers'!$C$12="Off",Constants!$H77*'Activity data'!BJ19*Constants!$H95*EF!$H220*MMVolatEF*NtoN2O*kgtoGg,IF('Net zero activities &amp; levers'!$C$12="PB",Constants!$H77*'Activity data'!BJ19*Constants!$H95*EF!$H220*MMVolatEF*NtoN2O*kgtoGg,IF('Net zero activities &amp; levers'!$C$12="MS",Constants!$H77*'Net zero Activity data'!BJ19*Constants!$H95*EF!$H220*MMVolatEF*NtoN2O*kgtoGg,"ERROR")))</f>
        <v>0.12284817048623448</v>
      </c>
      <c r="AR1048" s="94">
        <f>IF('Net zero activities &amp; levers'!$C$12="Off",Constants!$H77*'Activity data'!BK19*Constants!$H95*EF!$H220*MMVolatEF*NtoN2O*kgtoGg,IF('Net zero activities &amp; levers'!$C$12="PB",Constants!$H77*'Activity data'!BK19*Constants!$H95*EF!$H220*MMVolatEF*NtoN2O*kgtoGg,IF('Net zero activities &amp; levers'!$C$12="MS",Constants!$H77*'Net zero Activity data'!BK19*Constants!$H95*EF!$H220*MMVolatEF*NtoN2O*kgtoGg,"ERROR")))</f>
        <v>0.12580525852431573</v>
      </c>
      <c r="AS1048" s="94">
        <f>IF('Net zero activities &amp; levers'!$C$12="Off",Constants!$H77*'Activity data'!BL19*Constants!$H95*EF!$H220*MMVolatEF*NtoN2O*kgtoGg,IF('Net zero activities &amp; levers'!$C$12="PB",Constants!$H77*'Activity data'!BL19*Constants!$H95*EF!$H220*MMVolatEF*NtoN2O*kgtoGg,IF('Net zero activities &amp; levers'!$C$12="MS",Constants!$H77*'Net zero Activity data'!BL19*Constants!$H95*EF!$H220*MMVolatEF*NtoN2O*kgtoGg,"ERROR")))</f>
        <v>0.12884131843333302</v>
      </c>
      <c r="AT1048" s="94">
        <f>IF('Net zero activities &amp; levers'!$C$12="Off",Constants!$H77*'Activity data'!BM19*Constants!$H95*EF!$H220*MMVolatEF*NtoN2O*kgtoGg,IF('Net zero activities &amp; levers'!$C$12="PB",Constants!$H77*'Activity data'!BM19*Constants!$H95*EF!$H220*MMVolatEF*NtoN2O*kgtoGg,IF('Net zero activities &amp; levers'!$C$12="MS",Constants!$H77*'Net zero Activity data'!BM19*Constants!$H95*EF!$H220*MMVolatEF*NtoN2O*kgtoGg,"ERROR")))</f>
        <v>0.12990474262387622</v>
      </c>
      <c r="AU1048" s="94">
        <f>IF('Net zero activities &amp; levers'!$C$12="Off",Constants!$H77*'Activity data'!BN19*Constants!$H95*EF!$H220*MMVolatEF*NtoN2O*kgtoGg,IF('Net zero activities &amp; levers'!$C$12="PB",Constants!$H77*'Activity data'!BN19*Constants!$H95*EF!$H220*MMVolatEF*NtoN2O*kgtoGg,IF('Net zero activities &amp; levers'!$C$12="MS",Constants!$H77*'Net zero Activity data'!BN19*Constants!$H95*EF!$H220*MMVolatEF*NtoN2O*kgtoGg,"ERROR")))</f>
        <v>0.13078551683241871</v>
      </c>
      <c r="AV1048" s="94">
        <f>IF('Net zero activities &amp; levers'!$C$12="Off",Constants!$H77*'Activity data'!BO19*Constants!$H95*EF!$H220*MMVolatEF*NtoN2O*kgtoGg,IF('Net zero activities &amp; levers'!$C$12="PB",Constants!$H77*'Activity data'!BO19*Constants!$H95*EF!$H220*MMVolatEF*NtoN2O*kgtoGg,IF('Net zero activities &amp; levers'!$C$12="MS",Constants!$H77*'Net zero Activity data'!BO19*Constants!$H95*EF!$H220*MMVolatEF*NtoN2O*kgtoGg,"ERROR")))</f>
        <v>0.13140059443899127</v>
      </c>
      <c r="AW1048" s="94">
        <f>IF('Net zero activities &amp; levers'!$C$12="Off",Constants!$H77*'Activity data'!BP19*Constants!$H95*EF!$H220*MMVolatEF*NtoN2O*kgtoGg,IF('Net zero activities &amp; levers'!$C$12="PB",Constants!$H77*'Activity data'!BP19*Constants!$H95*EF!$H220*MMVolatEF*NtoN2O*kgtoGg,IF('Net zero activities &amp; levers'!$C$12="MS",Constants!$H77*'Net zero Activity data'!BP19*Constants!$H95*EF!$H220*MMVolatEF*NtoN2O*kgtoGg,"ERROR")))</f>
        <v>0.13193699884155385</v>
      </c>
      <c r="AY1048" s="79"/>
      <c r="AZ1048" s="79"/>
    </row>
    <row r="1049" spans="1:52" x14ac:dyDescent="0.3">
      <c r="A1049" s="95" t="str">
        <f t="shared" si="345"/>
        <v>DS MM Volatilisation</v>
      </c>
      <c r="B1049" s="95" t="s">
        <v>974</v>
      </c>
      <c r="C1049" s="95" t="s">
        <v>1332</v>
      </c>
      <c r="D1049" t="s">
        <v>369</v>
      </c>
      <c r="E1049" t="s">
        <v>64</v>
      </c>
      <c r="F1049" t="s">
        <v>62</v>
      </c>
      <c r="G1049" t="s">
        <v>1182</v>
      </c>
      <c r="H1049" t="s">
        <v>1305</v>
      </c>
      <c r="I1049" t="s">
        <v>139</v>
      </c>
      <c r="J1049" t="s">
        <v>287</v>
      </c>
      <c r="K1049" s="94">
        <f>IF('Net zero activities &amp; levers'!$C$12="Off",Constants!$H78*'Activity data'!AD20*Constants!$H96*EF!$H221*MMVolatEF*NtoN2O*kgtoGg,IF('Net zero activities &amp; levers'!$C$12="PB",Constants!$H78*'Activity data'!AD20*Constants!$H96*EF!$H221*MMVolatEF*NtoN2O*kgtoGg,IF('Net zero activities &amp; levers'!$C$12="MS",Constants!$H78*'Net zero Activity data'!AD20*Constants!$H96*EF!$H221*MMVolatEF*NtoN2O*kgtoGg,"ERROR")))</f>
        <v>0.31034319165291718</v>
      </c>
      <c r="L1049" s="94">
        <f>IF('Net zero activities &amp; levers'!$C$12="Off",Constants!$H78*'Activity data'!AE20*Constants!$H96*EF!$H221*MMVolatEF*NtoN2O*kgtoGg,IF('Net zero activities &amp; levers'!$C$12="PB",Constants!$H78*'Activity data'!AE20*Constants!$H96*EF!$H221*MMVolatEF*NtoN2O*kgtoGg,IF('Net zero activities &amp; levers'!$C$12="MS",Constants!$H78*'Net zero Activity data'!AE20*Constants!$H96*EF!$H221*MMVolatEF*NtoN2O*kgtoGg,"ERROR")))</f>
        <v>0.31442985679016972</v>
      </c>
      <c r="M1049" s="94">
        <f>IF('Net zero activities &amp; levers'!$C$12="Off",Constants!$H78*'Activity data'!AF20*Constants!$H96*EF!$H221*MMVolatEF*NtoN2O*kgtoGg,IF('Net zero activities &amp; levers'!$C$12="PB",Constants!$H78*'Activity data'!AF20*Constants!$H96*EF!$H221*MMVolatEF*NtoN2O*kgtoGg,IF('Net zero activities &amp; levers'!$C$12="MS",Constants!$H78*'Net zero Activity data'!AF20*Constants!$H96*EF!$H221*MMVolatEF*NtoN2O*kgtoGg,"ERROR")))</f>
        <v>0.32099421325528477</v>
      </c>
      <c r="N1049" s="94">
        <f>IF('Net zero activities &amp; levers'!$C$12="Off",Constants!$H78*'Activity data'!AG20*Constants!$H96*EF!$H221*MMVolatEF*NtoN2O*kgtoGg,IF('Net zero activities &amp; levers'!$C$12="PB",Constants!$H78*'Activity data'!AG20*Constants!$H96*EF!$H221*MMVolatEF*NtoN2O*kgtoGg,IF('Net zero activities &amp; levers'!$C$12="MS",Constants!$H78*'Net zero Activity data'!AG20*Constants!$H96*EF!$H221*MMVolatEF*NtoN2O*kgtoGg,"ERROR")))</f>
        <v>0.3228790317815291</v>
      </c>
      <c r="O1049" s="94">
        <f>IF('Net zero activities &amp; levers'!$C$12="Off",Constants!$H78*'Activity data'!AH20*Constants!$H96*EF!$H221*MMVolatEF*NtoN2O*kgtoGg,IF('Net zero activities &amp; levers'!$C$12="PB",Constants!$H78*'Activity data'!AH20*Constants!$H96*EF!$H221*MMVolatEF*NtoN2O*kgtoGg,IF('Net zero activities &amp; levers'!$C$12="MS",Constants!$H78*'Net zero Activity data'!AH20*Constants!$H96*EF!$H221*MMVolatEF*NtoN2O*kgtoGg,"ERROR")))</f>
        <v>0.32172327535887091</v>
      </c>
      <c r="P1049" s="94">
        <f>IF('Net zero activities &amp; levers'!$C$12="Off",Constants!$H78*'Activity data'!AI20*Constants!$H96*EF!$H221*MMVolatEF*NtoN2O*kgtoGg,IF('Net zero activities &amp; levers'!$C$12="PB",Constants!$H78*'Activity data'!AI20*Constants!$H96*EF!$H221*MMVolatEF*NtoN2O*kgtoGg,IF('Net zero activities &amp; levers'!$C$12="MS",Constants!$H78*'Net zero Activity data'!AI20*Constants!$H96*EF!$H221*MMVolatEF*NtoN2O*kgtoGg,"ERROR")))</f>
        <v>0.31753924052538912</v>
      </c>
      <c r="Q1049" s="94">
        <f>IF('Net zero activities &amp; levers'!$C$12="Off",Constants!$H78*'Activity data'!AJ20*Constants!$H96*EF!$H221*MMVolatEF*NtoN2O*kgtoGg,IF('Net zero activities &amp; levers'!$C$12="PB",Constants!$H78*'Activity data'!AJ20*Constants!$H96*EF!$H221*MMVolatEF*NtoN2O*kgtoGg,IF('Net zero activities &amp; levers'!$C$12="MS",Constants!$H78*'Net zero Activity data'!AJ20*Constants!$H96*EF!$H221*MMVolatEF*NtoN2O*kgtoGg,"ERROR")))</f>
        <v>0.31577785743754239</v>
      </c>
      <c r="R1049" s="94">
        <f>IF('Net zero activities &amp; levers'!$C$12="Off",Constants!$H78*'Activity data'!AK20*Constants!$H96*EF!$H221*MMVolatEF*NtoN2O*kgtoGg,IF('Net zero activities &amp; levers'!$C$12="PB",Constants!$H78*'Activity data'!AK20*Constants!$H96*EF!$H221*MMVolatEF*NtoN2O*kgtoGg,IF('Net zero activities &amp; levers'!$C$12="MS",Constants!$H78*'Net zero Activity data'!AK20*Constants!$H96*EF!$H221*MMVolatEF*NtoN2O*kgtoGg,"ERROR")))</f>
        <v>0.31441607582114939</v>
      </c>
      <c r="S1049" s="94">
        <f>IF('Net zero activities &amp; levers'!$C$12="Off",Constants!$H78*'Activity data'!AL20*Constants!$H96*EF!$H221*MMVolatEF*NtoN2O*kgtoGg,IF('Net zero activities &amp; levers'!$C$12="PB",Constants!$H78*'Activity data'!AL20*Constants!$H96*EF!$H221*MMVolatEF*NtoN2O*kgtoGg,IF('Net zero activities &amp; levers'!$C$12="MS",Constants!$H78*'Net zero Activity data'!AL20*Constants!$H96*EF!$H221*MMVolatEF*NtoN2O*kgtoGg,"ERROR")))</f>
        <v>0.2650364312253965</v>
      </c>
      <c r="T1049" s="94">
        <f>IF('Net zero activities &amp; levers'!$C$12="Off",Constants!$H78*'Activity data'!AM20*Constants!$H96*EF!$H221*MMVolatEF*NtoN2O*kgtoGg,IF('Net zero activities &amp; levers'!$C$12="PB",Constants!$H78*'Activity data'!AM20*Constants!$H96*EF!$H221*MMVolatEF*NtoN2O*kgtoGg,IF('Net zero activities &amp; levers'!$C$12="MS",Constants!$H78*'Net zero Activity data'!AM20*Constants!$H96*EF!$H221*MMVolatEF*NtoN2O*kgtoGg,"ERROR")))</f>
        <v>0.27553316275566697</v>
      </c>
      <c r="U1049" s="94">
        <f>IF('Net zero activities &amp; levers'!$C$12="Off",Constants!$H78*'Activity data'!AN20*Constants!$H96*EF!$H221*MMVolatEF*NtoN2O*kgtoGg,IF('Net zero activities &amp; levers'!$C$12="PB",Constants!$H78*'Activity data'!AN20*Constants!$H96*EF!$H221*MMVolatEF*NtoN2O*kgtoGg,IF('Net zero activities &amp; levers'!$C$12="MS",Constants!$H78*'Net zero Activity data'!AN20*Constants!$H96*EF!$H221*MMVolatEF*NtoN2O*kgtoGg,"ERROR")))</f>
        <v>0.29228527136368948</v>
      </c>
      <c r="V1049" s="94">
        <f>IF('Net zero activities &amp; levers'!$C$12="Off",Constants!$H78*'Activity data'!AO20*Constants!$H96*EF!$H221*MMVolatEF*NtoN2O*kgtoGg,IF('Net zero activities &amp; levers'!$C$12="PB",Constants!$H78*'Activity data'!AO20*Constants!$H96*EF!$H221*MMVolatEF*NtoN2O*kgtoGg,IF('Net zero activities &amp; levers'!$C$12="MS",Constants!$H78*'Net zero Activity data'!AO20*Constants!$H96*EF!$H221*MMVolatEF*NtoN2O*kgtoGg,"ERROR")))</f>
        <v>0.29874340186404968</v>
      </c>
      <c r="W1049" s="94">
        <f>IF('Net zero activities &amp; levers'!$C$12="Off",Constants!$H78*'Activity data'!AP20*Constants!$H96*EF!$H221*MMVolatEF*NtoN2O*kgtoGg,IF('Net zero activities &amp; levers'!$C$12="PB",Constants!$H78*'Activity data'!AP20*Constants!$H96*EF!$H221*MMVolatEF*NtoN2O*kgtoGg,IF('Net zero activities &amp; levers'!$C$12="MS",Constants!$H78*'Net zero Activity data'!AP20*Constants!$H96*EF!$H221*MMVolatEF*NtoN2O*kgtoGg,"ERROR")))</f>
        <v>0.30647179876243097</v>
      </c>
      <c r="X1049" s="94">
        <f>IF('Net zero activities &amp; levers'!$C$12="Off",Constants!$H78*'Activity data'!AQ20*Constants!$H96*EF!$H221*MMVolatEF*NtoN2O*kgtoGg,IF('Net zero activities &amp; levers'!$C$12="PB",Constants!$H78*'Activity data'!AQ20*Constants!$H96*EF!$H221*MMVolatEF*NtoN2O*kgtoGg,IF('Net zero activities &amp; levers'!$C$12="MS",Constants!$H78*'Net zero Activity data'!AQ20*Constants!$H96*EF!$H221*MMVolatEF*NtoN2O*kgtoGg,"ERROR")))</f>
        <v>0.3158631034162086</v>
      </c>
      <c r="Y1049" s="94">
        <f>IF('Net zero activities &amp; levers'!$C$12="Off",Constants!$H78*'Activity data'!AR20*Constants!$H96*EF!$H221*MMVolatEF*NtoN2O*kgtoGg,IF('Net zero activities &amp; levers'!$C$12="PB",Constants!$H78*'Activity data'!AR20*Constants!$H96*EF!$H221*MMVolatEF*NtoN2O*kgtoGg,IF('Net zero activities &amp; levers'!$C$12="MS",Constants!$H78*'Net zero Activity data'!AR20*Constants!$H96*EF!$H221*MMVolatEF*NtoN2O*kgtoGg,"ERROR")))</f>
        <v>0.32664711376847955</v>
      </c>
      <c r="Z1049" s="94">
        <f>IF('Net zero activities &amp; levers'!$C$12="Off",Constants!$H78*'Activity data'!AS20*Constants!$H96*EF!$H221*MMVolatEF*NtoN2O*kgtoGg,IF('Net zero activities &amp; levers'!$C$12="PB",Constants!$H78*'Activity data'!AS20*Constants!$H96*EF!$H221*MMVolatEF*NtoN2O*kgtoGg,IF('Net zero activities &amp; levers'!$C$12="MS",Constants!$H78*'Net zero Activity data'!AS20*Constants!$H96*EF!$H221*MMVolatEF*NtoN2O*kgtoGg,"ERROR")))</f>
        <v>0.3387235871621958</v>
      </c>
      <c r="AA1049" s="94">
        <f>IF('Net zero activities &amp; levers'!$C$12="Off",Constants!$H78*'Activity data'!AT20*Constants!$H96*EF!$H221*MMVolatEF*NtoN2O*kgtoGg,IF('Net zero activities &amp; levers'!$C$12="PB",Constants!$H78*'Activity data'!AT20*Constants!$H96*EF!$H221*MMVolatEF*NtoN2O*kgtoGg,IF('Net zero activities &amp; levers'!$C$12="MS",Constants!$H78*'Net zero Activity data'!AT20*Constants!$H96*EF!$H221*MMVolatEF*NtoN2O*kgtoGg,"ERROR")))</f>
        <v>0.35105651101096136</v>
      </c>
      <c r="AB1049" s="94">
        <f>IF('Net zero activities &amp; levers'!$C$12="Off",Constants!$H78*'Activity data'!AU20*Constants!$H96*EF!$H221*MMVolatEF*NtoN2O*kgtoGg,IF('Net zero activities &amp; levers'!$C$12="PB",Constants!$H78*'Activity data'!AU20*Constants!$H96*EF!$H221*MMVolatEF*NtoN2O*kgtoGg,IF('Net zero activities &amp; levers'!$C$12="MS",Constants!$H78*'Net zero Activity data'!AU20*Constants!$H96*EF!$H221*MMVolatEF*NtoN2O*kgtoGg,"ERROR")))</f>
        <v>0.36458195379680847</v>
      </c>
      <c r="AC1049" s="94">
        <f>IF('Net zero activities &amp; levers'!$C$12="Off",Constants!$H78*'Activity data'!AV20*Constants!$H96*EF!$H221*MMVolatEF*NtoN2O*kgtoGg,IF('Net zero activities &amp; levers'!$C$12="PB",Constants!$H78*'Activity data'!AV20*Constants!$H96*EF!$H221*MMVolatEF*NtoN2O*kgtoGg,IF('Net zero activities &amp; levers'!$C$12="MS",Constants!$H78*'Net zero Activity data'!AV20*Constants!$H96*EF!$H221*MMVolatEF*NtoN2O*kgtoGg,"ERROR")))</f>
        <v>0.37828081857860674</v>
      </c>
      <c r="AD1049" s="94">
        <f>IF('Net zero activities &amp; levers'!$C$12="Off",Constants!$H78*'Activity data'!AW20*Constants!$H96*EF!$H221*MMVolatEF*NtoN2O*kgtoGg,IF('Net zero activities &amp; levers'!$C$12="PB",Constants!$H78*'Activity data'!AW20*Constants!$H96*EF!$H221*MMVolatEF*NtoN2O*kgtoGg,IF('Net zero activities &amp; levers'!$C$12="MS",Constants!$H78*'Net zero Activity data'!AW20*Constants!$H96*EF!$H221*MMVolatEF*NtoN2O*kgtoGg,"ERROR")))</f>
        <v>0.39427261879187497</v>
      </c>
      <c r="AE1049" s="94">
        <f>IF('Net zero activities &amp; levers'!$C$12="Off",Constants!$H78*'Activity data'!AX20*Constants!$H96*EF!$H221*MMVolatEF*NtoN2O*kgtoGg,IF('Net zero activities &amp; levers'!$C$12="PB",Constants!$H78*'Activity data'!AX20*Constants!$H96*EF!$H221*MMVolatEF*NtoN2O*kgtoGg,IF('Net zero activities &amp; levers'!$C$12="MS",Constants!$H78*'Net zero Activity data'!AX20*Constants!$H96*EF!$H221*MMVolatEF*NtoN2O*kgtoGg,"ERROR")))</f>
        <v>0.40979186242957388</v>
      </c>
      <c r="AF1049" s="94">
        <f>IF('Net zero activities &amp; levers'!$C$12="Off",Constants!$H78*'Activity data'!AY20*Constants!$H96*EF!$H221*MMVolatEF*NtoN2O*kgtoGg,IF('Net zero activities &amp; levers'!$C$12="PB",Constants!$H78*'Activity data'!AY20*Constants!$H96*EF!$H221*MMVolatEF*NtoN2O*kgtoGg,IF('Net zero activities &amp; levers'!$C$12="MS",Constants!$H78*'Net zero Activity data'!AY20*Constants!$H96*EF!$H221*MMVolatEF*NtoN2O*kgtoGg,"ERROR")))</f>
        <v>0.42616228566496256</v>
      </c>
      <c r="AG1049" s="94">
        <f>IF('Net zero activities &amp; levers'!$C$12="Off",Constants!$H78*'Activity data'!AZ20*Constants!$H96*EF!$H221*MMVolatEF*NtoN2O*kgtoGg,IF('Net zero activities &amp; levers'!$C$12="PB",Constants!$H78*'Activity data'!AZ20*Constants!$H96*EF!$H221*MMVolatEF*NtoN2O*kgtoGg,IF('Net zero activities &amp; levers'!$C$12="MS",Constants!$H78*'Net zero Activity data'!AZ20*Constants!$H96*EF!$H221*MMVolatEF*NtoN2O*kgtoGg,"ERROR")))</f>
        <v>0.44495226630702778</v>
      </c>
      <c r="AH1049" s="94">
        <f>IF('Net zero activities &amp; levers'!$C$12="Off",Constants!$H78*'Activity data'!BA20*Constants!$H96*EF!$H221*MMVolatEF*NtoN2O*kgtoGg,IF('Net zero activities &amp; levers'!$C$12="PB",Constants!$H78*'Activity data'!BA20*Constants!$H96*EF!$H221*MMVolatEF*NtoN2O*kgtoGg,IF('Net zero activities &amp; levers'!$C$12="MS",Constants!$H78*'Net zero Activity data'!BA20*Constants!$H96*EF!$H221*MMVolatEF*NtoN2O*kgtoGg,"ERROR")))</f>
        <v>0.46242618458210583</v>
      </c>
      <c r="AI1049" s="94">
        <f>IF('Net zero activities &amp; levers'!$C$12="Off",Constants!$H78*'Activity data'!BB20*Constants!$H96*EF!$H221*MMVolatEF*NtoN2O*kgtoGg,IF('Net zero activities &amp; levers'!$C$12="PB",Constants!$H78*'Activity data'!BB20*Constants!$H96*EF!$H221*MMVolatEF*NtoN2O*kgtoGg,IF('Net zero activities &amp; levers'!$C$12="MS",Constants!$H78*'Net zero Activity data'!BB20*Constants!$H96*EF!$H221*MMVolatEF*NtoN2O*kgtoGg,"ERROR")))</f>
        <v>0.48124875752773738</v>
      </c>
      <c r="AJ1049" s="94">
        <f>IF('Net zero activities &amp; levers'!$C$12="Off",Constants!$H78*'Activity data'!BC20*Constants!$H96*EF!$H221*MMVolatEF*NtoN2O*kgtoGg,IF('Net zero activities &amp; levers'!$C$12="PB",Constants!$H78*'Activity data'!BC20*Constants!$H96*EF!$H221*MMVolatEF*NtoN2O*kgtoGg,IF('Net zero activities &amp; levers'!$C$12="MS",Constants!$H78*'Net zero Activity data'!BC20*Constants!$H96*EF!$H221*MMVolatEF*NtoN2O*kgtoGg,"ERROR")))</f>
        <v>0.50140117317613597</v>
      </c>
      <c r="AK1049" s="94">
        <f>IF('Net zero activities &amp; levers'!$C$12="Off",Constants!$H78*'Activity data'!BD20*Constants!$H96*EF!$H221*MMVolatEF*NtoN2O*kgtoGg,IF('Net zero activities &amp; levers'!$C$12="PB",Constants!$H78*'Activity data'!BD20*Constants!$H96*EF!$H221*MMVolatEF*NtoN2O*kgtoGg,IF('Net zero activities &amp; levers'!$C$12="MS",Constants!$H78*'Net zero Activity data'!BD20*Constants!$H96*EF!$H221*MMVolatEF*NtoN2O*kgtoGg,"ERROR")))</f>
        <v>0.51989325002843578</v>
      </c>
      <c r="AL1049" s="94">
        <f>IF('Net zero activities &amp; levers'!$C$12="Off",Constants!$H78*'Activity data'!BE20*Constants!$H96*EF!$H221*MMVolatEF*NtoN2O*kgtoGg,IF('Net zero activities &amp; levers'!$C$12="PB",Constants!$H78*'Activity data'!BE20*Constants!$H96*EF!$H221*MMVolatEF*NtoN2O*kgtoGg,IF('Net zero activities &amp; levers'!$C$12="MS",Constants!$H78*'Net zero Activity data'!BE20*Constants!$H96*EF!$H221*MMVolatEF*NtoN2O*kgtoGg,"ERROR")))</f>
        <v>0.53809144777835283</v>
      </c>
      <c r="AM1049" s="94">
        <f>IF('Net zero activities &amp; levers'!$C$12="Off",Constants!$H78*'Activity data'!BF20*Constants!$H96*EF!$H221*MMVolatEF*NtoN2O*kgtoGg,IF('Net zero activities &amp; levers'!$C$12="PB",Constants!$H78*'Activity data'!BF20*Constants!$H96*EF!$H221*MMVolatEF*NtoN2O*kgtoGg,IF('Net zero activities &amp; levers'!$C$12="MS",Constants!$H78*'Net zero Activity data'!BF20*Constants!$H96*EF!$H221*MMVolatEF*NtoN2O*kgtoGg,"ERROR")))</f>
        <v>0.55606219814879432</v>
      </c>
      <c r="AN1049" s="94">
        <f>IF('Net zero activities &amp; levers'!$C$12="Off",Constants!$H78*'Activity data'!BG20*Constants!$H96*EF!$H221*MMVolatEF*NtoN2O*kgtoGg,IF('Net zero activities &amp; levers'!$C$12="PB",Constants!$H78*'Activity data'!BG20*Constants!$H96*EF!$H221*MMVolatEF*NtoN2O*kgtoGg,IF('Net zero activities &amp; levers'!$C$12="MS",Constants!$H78*'Net zero Activity data'!BG20*Constants!$H96*EF!$H221*MMVolatEF*NtoN2O*kgtoGg,"ERROR")))</f>
        <v>0.57603307954485361</v>
      </c>
      <c r="AO1049" s="94">
        <f>IF('Net zero activities &amp; levers'!$C$12="Off",Constants!$H78*'Activity data'!BH20*Constants!$H96*EF!$H221*MMVolatEF*NtoN2O*kgtoGg,IF('Net zero activities &amp; levers'!$C$12="PB",Constants!$H78*'Activity data'!BH20*Constants!$H96*EF!$H221*MMVolatEF*NtoN2O*kgtoGg,IF('Net zero activities &amp; levers'!$C$12="MS",Constants!$H78*'Net zero Activity data'!BH20*Constants!$H96*EF!$H221*MMVolatEF*NtoN2O*kgtoGg,"ERROR")))</f>
        <v>0.59492740362722618</v>
      </c>
      <c r="AP1049" s="94">
        <f>IF('Net zero activities &amp; levers'!$C$12="Off",Constants!$H78*'Activity data'!BI20*Constants!$H96*EF!$H221*MMVolatEF*NtoN2O*kgtoGg,IF('Net zero activities &amp; levers'!$C$12="PB",Constants!$H78*'Activity data'!BI20*Constants!$H96*EF!$H221*MMVolatEF*NtoN2O*kgtoGg,IF('Net zero activities &amp; levers'!$C$12="MS",Constants!$H78*'Net zero Activity data'!BI20*Constants!$H96*EF!$H221*MMVolatEF*NtoN2O*kgtoGg,"ERROR")))</f>
        <v>0.61451021406332851</v>
      </c>
      <c r="AQ1049" s="94">
        <f>IF('Net zero activities &amp; levers'!$C$12="Off",Constants!$H78*'Activity data'!BJ20*Constants!$H96*EF!$H221*MMVolatEF*NtoN2O*kgtoGg,IF('Net zero activities &amp; levers'!$C$12="PB",Constants!$H78*'Activity data'!BJ20*Constants!$H96*EF!$H221*MMVolatEF*NtoN2O*kgtoGg,IF('Net zero activities &amp; levers'!$C$12="MS",Constants!$H78*'Net zero Activity data'!BJ20*Constants!$H96*EF!$H221*MMVolatEF*NtoN2O*kgtoGg,"ERROR")))</f>
        <v>0.6348825242649947</v>
      </c>
      <c r="AR1049" s="94">
        <f>IF('Net zero activities &amp; levers'!$C$12="Off",Constants!$H78*'Activity data'!BK20*Constants!$H96*EF!$H221*MMVolatEF*NtoN2O*kgtoGg,IF('Net zero activities &amp; levers'!$C$12="PB",Constants!$H78*'Activity data'!BK20*Constants!$H96*EF!$H221*MMVolatEF*NtoN2O*kgtoGg,IF('Net zero activities &amp; levers'!$C$12="MS",Constants!$H78*'Net zero Activity data'!BK20*Constants!$H96*EF!$H221*MMVolatEF*NtoN2O*kgtoGg,"ERROR")))</f>
        <v>0.65620656209687755</v>
      </c>
      <c r="AS1049" s="94">
        <f>IF('Net zero activities &amp; levers'!$C$12="Off",Constants!$H78*'Activity data'!BL20*Constants!$H96*EF!$H221*MMVolatEF*NtoN2O*kgtoGg,IF('Net zero activities &amp; levers'!$C$12="PB",Constants!$H78*'Activity data'!BL20*Constants!$H96*EF!$H221*MMVolatEF*NtoN2O*kgtoGg,IF('Net zero activities &amp; levers'!$C$12="MS",Constants!$H78*'Net zero Activity data'!BL20*Constants!$H96*EF!$H221*MMVolatEF*NtoN2O*kgtoGg,"ERROR")))</f>
        <v>0.67872441504873171</v>
      </c>
      <c r="AT1049" s="94">
        <f>IF('Net zero activities &amp; levers'!$C$12="Off",Constants!$H78*'Activity data'!BM20*Constants!$H96*EF!$H221*MMVolatEF*NtoN2O*kgtoGg,IF('Net zero activities &amp; levers'!$C$12="PB",Constants!$H78*'Activity data'!BM20*Constants!$H96*EF!$H221*MMVolatEF*NtoN2O*kgtoGg,IF('Net zero activities &amp; levers'!$C$12="MS",Constants!$H78*'Net zero Activity data'!BM20*Constants!$H96*EF!$H221*MMVolatEF*NtoN2O*kgtoGg,"ERROR")))</f>
        <v>0.6821526428447654</v>
      </c>
      <c r="AU1049" s="94">
        <f>IF('Net zero activities &amp; levers'!$C$12="Off",Constants!$H78*'Activity data'!BN20*Constants!$H96*EF!$H221*MMVolatEF*NtoN2O*kgtoGg,IF('Net zero activities &amp; levers'!$C$12="PB",Constants!$H78*'Activity data'!BN20*Constants!$H96*EF!$H221*MMVolatEF*NtoN2O*kgtoGg,IF('Net zero activities &amp; levers'!$C$12="MS",Constants!$H78*'Net zero Activity data'!BN20*Constants!$H96*EF!$H221*MMVolatEF*NtoN2O*kgtoGg,"ERROR")))</f>
        <v>0.68382516110267277</v>
      </c>
      <c r="AV1049" s="94">
        <f>IF('Net zero activities &amp; levers'!$C$12="Off",Constants!$H78*'Activity data'!BO20*Constants!$H96*EF!$H221*MMVolatEF*NtoN2O*kgtoGg,IF('Net zero activities &amp; levers'!$C$12="PB",Constants!$H78*'Activity data'!BO20*Constants!$H96*EF!$H221*MMVolatEF*NtoN2O*kgtoGg,IF('Net zero activities &amp; levers'!$C$12="MS",Constants!$H78*'Net zero Activity data'!BO20*Constants!$H96*EF!$H221*MMVolatEF*NtoN2O*kgtoGg,"ERROR")))</f>
        <v>0.68298338603927977</v>
      </c>
      <c r="AW1049" s="94">
        <f>IF('Net zero activities &amp; levers'!$C$12="Off",Constants!$H78*'Activity data'!BP20*Constants!$H96*EF!$H221*MMVolatEF*NtoN2O*kgtoGg,IF('Net zero activities &amp; levers'!$C$12="PB",Constants!$H78*'Activity data'!BP20*Constants!$H96*EF!$H221*MMVolatEF*NtoN2O*kgtoGg,IF('Net zero activities &amp; levers'!$C$12="MS",Constants!$H78*'Net zero Activity data'!BP20*Constants!$H96*EF!$H221*MMVolatEF*NtoN2O*kgtoGg,"ERROR")))</f>
        <v>0.68142585829620028</v>
      </c>
      <c r="AY1049" s="79"/>
      <c r="AZ1049" s="79"/>
    </row>
    <row r="1050" spans="1:52" x14ac:dyDescent="0.3">
      <c r="A1050" s="95" t="str">
        <f t="shared" si="345"/>
        <v>DS MM Leaching</v>
      </c>
      <c r="B1050" s="95" t="s">
        <v>974</v>
      </c>
      <c r="C1050" s="95" t="s">
        <v>1333</v>
      </c>
      <c r="D1050" t="s">
        <v>369</v>
      </c>
      <c r="E1050" t="s">
        <v>64</v>
      </c>
      <c r="F1050" t="s">
        <v>63</v>
      </c>
      <c r="G1050" t="s">
        <v>1152</v>
      </c>
      <c r="H1050" t="s">
        <v>1306</v>
      </c>
      <c r="I1050" t="s">
        <v>139</v>
      </c>
      <c r="J1050" t="s">
        <v>287</v>
      </c>
      <c r="K1050" s="22">
        <f t="shared" ref="K1050:AW1050" si="365">K1547</f>
        <v>8.9211118607918846E-2</v>
      </c>
      <c r="L1050" s="22">
        <f t="shared" si="365"/>
        <v>8.9709854381943774E-2</v>
      </c>
      <c r="M1050" s="22">
        <f t="shared" si="365"/>
        <v>9.0417475033143083E-2</v>
      </c>
      <c r="N1050" s="22">
        <f t="shared" si="365"/>
        <v>9.0872196678668984E-2</v>
      </c>
      <c r="O1050" s="22">
        <f t="shared" si="365"/>
        <v>9.1174361291842934E-2</v>
      </c>
      <c r="P1050" s="22">
        <f t="shared" si="365"/>
        <v>9.1320994898161728E-2</v>
      </c>
      <c r="Q1050" s="22">
        <f t="shared" si="365"/>
        <v>9.1644963105957017E-2</v>
      </c>
      <c r="R1050" s="22">
        <f t="shared" si="365"/>
        <v>9.2016609055475651E-2</v>
      </c>
      <c r="S1050" s="22">
        <f t="shared" si="365"/>
        <v>8.9250626632870506E-2</v>
      </c>
      <c r="T1050" s="22">
        <f t="shared" si="365"/>
        <v>9.018910759145192E-2</v>
      </c>
      <c r="U1050" s="22">
        <f t="shared" si="365"/>
        <v>9.1562795389337467E-2</v>
      </c>
      <c r="V1050" s="22">
        <f t="shared" si="365"/>
        <v>9.2274810820194952E-2</v>
      </c>
      <c r="W1050" s="22">
        <f t="shared" si="365"/>
        <v>9.3088549677051477E-2</v>
      </c>
      <c r="X1050" s="22">
        <f t="shared" si="365"/>
        <v>9.4030367146954022E-2</v>
      </c>
      <c r="Y1050" s="22">
        <f t="shared" si="365"/>
        <v>9.4992140485733595E-2</v>
      </c>
      <c r="Z1050" s="22">
        <f t="shared" si="365"/>
        <v>9.605669953542309E-2</v>
      </c>
      <c r="AA1050" s="22">
        <f t="shared" si="365"/>
        <v>9.7154235713963338E-2</v>
      </c>
      <c r="AB1050" s="22">
        <f t="shared" si="365"/>
        <v>9.8347760304703769E-2</v>
      </c>
      <c r="AC1050" s="22">
        <f t="shared" si="365"/>
        <v>9.9568208578524817E-2</v>
      </c>
      <c r="AD1050" s="22">
        <f t="shared" si="365"/>
        <v>0.10088669536271129</v>
      </c>
      <c r="AE1050" s="22">
        <f t="shared" si="365"/>
        <v>0.10218733727824697</v>
      </c>
      <c r="AF1050" s="22">
        <f t="shared" si="365"/>
        <v>0.10356015512248805</v>
      </c>
      <c r="AG1050" s="22">
        <f t="shared" si="365"/>
        <v>0.1051130390487056</v>
      </c>
      <c r="AH1050" s="22">
        <f t="shared" si="365"/>
        <v>0.10658947451521658</v>
      </c>
      <c r="AI1050" s="22">
        <f t="shared" si="365"/>
        <v>0.10810355126576793</v>
      </c>
      <c r="AJ1050" s="22">
        <f t="shared" si="365"/>
        <v>0.10972278781886159</v>
      </c>
      <c r="AK1050" s="22">
        <f t="shared" si="365"/>
        <v>0.1112398173269733</v>
      </c>
      <c r="AL1050" s="22">
        <f t="shared" si="365"/>
        <v>0.11274861433308095</v>
      </c>
      <c r="AM1050" s="22">
        <f t="shared" si="365"/>
        <v>0.11425337554687653</v>
      </c>
      <c r="AN1050" s="22">
        <f t="shared" si="365"/>
        <v>0.11584536779599926</v>
      </c>
      <c r="AO1050" s="22">
        <f t="shared" si="365"/>
        <v>0.11737332691073739</v>
      </c>
      <c r="AP1050" s="22">
        <f t="shared" si="365"/>
        <v>0.11896061880517098</v>
      </c>
      <c r="AQ1050" s="22">
        <f t="shared" si="365"/>
        <v>0.12061448282820714</v>
      </c>
      <c r="AR1050" s="22">
        <f t="shared" si="365"/>
        <v>0.12234656062044848</v>
      </c>
      <c r="AS1050" s="22">
        <f t="shared" si="365"/>
        <v>0.12410927658755902</v>
      </c>
      <c r="AT1050" s="22">
        <f t="shared" si="365"/>
        <v>0.12452720245635615</v>
      </c>
      <c r="AU1050" s="22">
        <f t="shared" si="365"/>
        <v>0.12482463901873847</v>
      </c>
      <c r="AV1050" s="22">
        <f t="shared" si="365"/>
        <v>0.12494650421265691</v>
      </c>
      <c r="AW1050" s="22">
        <f t="shared" si="365"/>
        <v>0.12502008970656403</v>
      </c>
      <c r="AY1050" s="79"/>
      <c r="AZ1050" s="79"/>
    </row>
    <row r="1051" spans="1:52" x14ac:dyDescent="0.3">
      <c r="A1051" s="95" t="str">
        <f t="shared" si="345"/>
        <v>DS MM Leaching</v>
      </c>
      <c r="B1051" s="95" t="s">
        <v>974</v>
      </c>
      <c r="C1051" s="95" t="s">
        <v>1333</v>
      </c>
      <c r="D1051" t="s">
        <v>369</v>
      </c>
      <c r="E1051" t="s">
        <v>64</v>
      </c>
      <c r="F1051" t="s">
        <v>63</v>
      </c>
      <c r="G1051" t="s">
        <v>1154</v>
      </c>
      <c r="H1051" t="s">
        <v>1307</v>
      </c>
      <c r="I1051" t="s">
        <v>139</v>
      </c>
      <c r="J1051" t="s">
        <v>287</v>
      </c>
      <c r="K1051" s="22">
        <f t="shared" ref="K1051:AW1051" si="366">K1548</f>
        <v>2.6939494531157477E-2</v>
      </c>
      <c r="L1051" s="22">
        <f t="shared" si="366"/>
        <v>2.709010008197326E-2</v>
      </c>
      <c r="M1051" s="22">
        <f t="shared" si="366"/>
        <v>2.730378356628085E-2</v>
      </c>
      <c r="N1051" s="22">
        <f t="shared" si="366"/>
        <v>2.7441097966929517E-2</v>
      </c>
      <c r="O1051" s="22">
        <f t="shared" si="366"/>
        <v>2.7532344014183842E-2</v>
      </c>
      <c r="P1051" s="22">
        <f t="shared" si="366"/>
        <v>2.757662364319366E-2</v>
      </c>
      <c r="Q1051" s="22">
        <f t="shared" si="366"/>
        <v>2.7674453822865853E-2</v>
      </c>
      <c r="R1051" s="22">
        <f t="shared" si="366"/>
        <v>2.7786681470952927E-2</v>
      </c>
      <c r="S1051" s="22">
        <f t="shared" si="366"/>
        <v>2.6951424952373251E-2</v>
      </c>
      <c r="T1051" s="22">
        <f t="shared" si="366"/>
        <v>2.7234822392578142E-2</v>
      </c>
      <c r="U1051" s="22">
        <f t="shared" si="366"/>
        <v>2.7649641257043878E-2</v>
      </c>
      <c r="V1051" s="22">
        <f t="shared" si="366"/>
        <v>2.7864651853312578E-2</v>
      </c>
      <c r="W1051" s="22">
        <f t="shared" si="366"/>
        <v>2.8110380343506967E-2</v>
      </c>
      <c r="X1051" s="22">
        <f t="shared" si="366"/>
        <v>2.8394785325483455E-2</v>
      </c>
      <c r="Y1051" s="22">
        <f t="shared" si="366"/>
        <v>2.8685216473579894E-2</v>
      </c>
      <c r="Z1051" s="22">
        <f t="shared" si="366"/>
        <v>2.9006686298694923E-2</v>
      </c>
      <c r="AA1051" s="22">
        <f t="shared" si="366"/>
        <v>2.9338114380092265E-2</v>
      </c>
      <c r="AB1051" s="22">
        <f t="shared" si="366"/>
        <v>2.9698528526745503E-2</v>
      </c>
      <c r="AC1051" s="22">
        <f t="shared" si="366"/>
        <v>3.006707294263454E-2</v>
      </c>
      <c r="AD1051" s="22">
        <f t="shared" si="366"/>
        <v>3.046522250141433E-2</v>
      </c>
      <c r="AE1051" s="22">
        <f t="shared" si="366"/>
        <v>3.0857983362586373E-2</v>
      </c>
      <c r="AF1051" s="22">
        <f t="shared" si="366"/>
        <v>3.1272539523122242E-2</v>
      </c>
      <c r="AG1051" s="22">
        <f t="shared" si="366"/>
        <v>3.1741471072133737E-2</v>
      </c>
      <c r="AH1051" s="22">
        <f t="shared" si="366"/>
        <v>3.2187317125813304E-2</v>
      </c>
      <c r="AI1051" s="22">
        <f t="shared" si="366"/>
        <v>3.2644529892312681E-2</v>
      </c>
      <c r="AJ1051" s="22">
        <f t="shared" si="366"/>
        <v>3.3133498251272868E-2</v>
      </c>
      <c r="AK1051" s="22">
        <f t="shared" si="366"/>
        <v>3.3591602675643942E-2</v>
      </c>
      <c r="AL1051" s="22">
        <f t="shared" si="366"/>
        <v>3.4047221093268576E-2</v>
      </c>
      <c r="AM1051" s="22">
        <f t="shared" si="366"/>
        <v>3.4501620804003125E-2</v>
      </c>
      <c r="AN1051" s="22">
        <f t="shared" si="366"/>
        <v>3.4982362074352798E-2</v>
      </c>
      <c r="AO1051" s="22">
        <f t="shared" si="366"/>
        <v>3.5443766962640642E-2</v>
      </c>
      <c r="AP1051" s="22">
        <f t="shared" si="366"/>
        <v>3.5923088845122318E-2</v>
      </c>
      <c r="AQ1051" s="22">
        <f t="shared" si="366"/>
        <v>3.6422513821505312E-2</v>
      </c>
      <c r="AR1051" s="22">
        <f t="shared" si="366"/>
        <v>3.6945557371902887E-2</v>
      </c>
      <c r="AS1051" s="22">
        <f t="shared" si="366"/>
        <v>3.7477852873819655E-2</v>
      </c>
      <c r="AT1051" s="22">
        <f t="shared" si="366"/>
        <v>3.7604055883406068E-2</v>
      </c>
      <c r="AU1051" s="22">
        <f t="shared" si="366"/>
        <v>3.7693874179272106E-2</v>
      </c>
      <c r="AV1051" s="22">
        <f t="shared" si="366"/>
        <v>3.7730674376112279E-2</v>
      </c>
      <c r="AW1051" s="22">
        <f t="shared" si="366"/>
        <v>3.7752895328406304E-2</v>
      </c>
      <c r="AY1051" s="79"/>
      <c r="AZ1051" s="79"/>
    </row>
    <row r="1052" spans="1:52" x14ac:dyDescent="0.3">
      <c r="A1052" s="95" t="str">
        <f t="shared" si="345"/>
        <v>DS MM Leaching</v>
      </c>
      <c r="B1052" s="95" t="s">
        <v>974</v>
      </c>
      <c r="C1052" s="95" t="s">
        <v>1333</v>
      </c>
      <c r="D1052" t="s">
        <v>369</v>
      </c>
      <c r="E1052" t="s">
        <v>64</v>
      </c>
      <c r="F1052" t="s">
        <v>63</v>
      </c>
      <c r="G1052" t="s">
        <v>1156</v>
      </c>
      <c r="H1052" t="s">
        <v>1308</v>
      </c>
      <c r="I1052" t="s">
        <v>139</v>
      </c>
      <c r="J1052" t="s">
        <v>287</v>
      </c>
      <c r="K1052" s="22">
        <f t="shared" ref="K1052:AW1052" si="367">K1549</f>
        <v>1.4483668498503175E-3</v>
      </c>
      <c r="L1052" s="22">
        <f t="shared" si="367"/>
        <v>1.4564639612104709E-3</v>
      </c>
      <c r="M1052" s="22">
        <f t="shared" si="367"/>
        <v>1.4679523755410987E-3</v>
      </c>
      <c r="N1052" s="22">
        <f t="shared" si="367"/>
        <v>1.4753349055168039E-3</v>
      </c>
      <c r="O1052" s="22">
        <f t="shared" si="367"/>
        <v>1.4802406304505124E-3</v>
      </c>
      <c r="P1052" s="22">
        <f t="shared" si="367"/>
        <v>1.4826212670547858E-3</v>
      </c>
      <c r="Q1052" s="22">
        <f t="shared" si="367"/>
        <v>1.4878809792957942E-3</v>
      </c>
      <c r="R1052" s="22">
        <f t="shared" si="367"/>
        <v>1.4939147526814823E-3</v>
      </c>
      <c r="S1052" s="22">
        <f t="shared" si="367"/>
        <v>1.4490082734142855E-3</v>
      </c>
      <c r="T1052" s="22">
        <f t="shared" si="367"/>
        <v>1.4642447678203134E-3</v>
      </c>
      <c r="U1052" s="22">
        <f t="shared" si="367"/>
        <v>1.4865469639988589E-3</v>
      </c>
      <c r="V1052" s="22">
        <f t="shared" si="367"/>
        <v>1.4981067287762548E-3</v>
      </c>
      <c r="W1052" s="22">
        <f t="shared" si="367"/>
        <v>1.5113180011276973E-3</v>
      </c>
      <c r="X1052" s="22">
        <f t="shared" si="367"/>
        <v>1.5266086647053162E-3</v>
      </c>
      <c r="Y1052" s="22">
        <f t="shared" si="367"/>
        <v>1.5422233172586648E-3</v>
      </c>
      <c r="Z1052" s="22">
        <f t="shared" si="367"/>
        <v>1.5595067238714088E-3</v>
      </c>
      <c r="AA1052" s="22">
        <f t="shared" si="367"/>
        <v>1.5773255231681144E-3</v>
      </c>
      <c r="AB1052" s="22">
        <f t="shared" si="367"/>
        <v>1.5967027205251731E-3</v>
      </c>
      <c r="AC1052" s="22">
        <f t="shared" si="367"/>
        <v>1.6165170312225675E-3</v>
      </c>
      <c r="AD1052" s="22">
        <f t="shared" si="367"/>
        <v>1.6379230238833516E-3</v>
      </c>
      <c r="AE1052" s="22">
        <f t="shared" si="367"/>
        <v>1.6590393002330185E-3</v>
      </c>
      <c r="AF1052" s="22">
        <f t="shared" si="367"/>
        <v>1.6813273724767988E-3</v>
      </c>
      <c r="AG1052" s="22">
        <f t="shared" si="367"/>
        <v>1.7065388666884546E-3</v>
      </c>
      <c r="AH1052" s="22">
        <f t="shared" si="367"/>
        <v>1.7305091992995292E-3</v>
      </c>
      <c r="AI1052" s="22">
        <f t="shared" si="367"/>
        <v>1.7550906484265776E-3</v>
      </c>
      <c r="AJ1052" s="22">
        <f t="shared" si="367"/>
        <v>1.7813793956383919E-3</v>
      </c>
      <c r="AK1052" s="22">
        <f t="shared" si="367"/>
        <v>1.8060087835900271E-3</v>
      </c>
      <c r="AL1052" s="22">
        <f t="shared" si="367"/>
        <v>1.8305045146255719E-3</v>
      </c>
      <c r="AM1052" s="22">
        <f t="shared" si="367"/>
        <v>1.8549347234718561E-3</v>
      </c>
      <c r="AN1052" s="22">
        <f t="shared" si="367"/>
        <v>1.8807811519757052E-3</v>
      </c>
      <c r="AO1052" s="22">
        <f t="shared" si="367"/>
        <v>1.9055879850728176E-3</v>
      </c>
      <c r="AP1052" s="22">
        <f t="shared" si="367"/>
        <v>1.9313581020359023E-3</v>
      </c>
      <c r="AQ1052" s="22">
        <f t="shared" si="367"/>
        <v>1.9582090356695609E-3</v>
      </c>
      <c r="AR1052" s="22">
        <f t="shared" si="367"/>
        <v>1.9863297911851367E-3</v>
      </c>
      <c r="AS1052" s="22">
        <f t="shared" si="367"/>
        <v>2.014947965828651E-3</v>
      </c>
      <c r="AT1052" s="22">
        <f t="shared" si="367"/>
        <v>2.0217331063302627E-3</v>
      </c>
      <c r="AU1052" s="22">
        <f t="shared" si="367"/>
        <v>2.0265620700694281E-3</v>
      </c>
      <c r="AV1052" s="22">
        <f t="shared" si="367"/>
        <v>2.0285405847408761E-3</v>
      </c>
      <c r="AW1052" s="22">
        <f t="shared" si="367"/>
        <v>2.0297352653106076E-3</v>
      </c>
      <c r="AY1052" s="79"/>
      <c r="AZ1052" s="79"/>
    </row>
    <row r="1053" spans="1:52" x14ac:dyDescent="0.3">
      <c r="A1053" s="95" t="str">
        <f t="shared" si="345"/>
        <v>DS MM Leaching</v>
      </c>
      <c r="B1053" s="95" t="s">
        <v>974</v>
      </c>
      <c r="C1053" s="95" t="s">
        <v>1333</v>
      </c>
      <c r="D1053" t="s">
        <v>369</v>
      </c>
      <c r="E1053" t="s">
        <v>64</v>
      </c>
      <c r="F1053" t="s">
        <v>63</v>
      </c>
      <c r="G1053" t="s">
        <v>1158</v>
      </c>
      <c r="H1053" t="s">
        <v>1309</v>
      </c>
      <c r="I1053" t="s">
        <v>139</v>
      </c>
      <c r="J1053" t="s">
        <v>287</v>
      </c>
      <c r="K1053" s="94">
        <f>IF('Net zero activities &amp; levers'!$C$12="Off",Constants!$H66*'Activity data'!AD8*Constants!$H84*FracLEACHMM*MMLeachEF*NtoN2O*kgtoGg,Constants!$H66*'Net zero Activity data'!AD8*Constants!$H84*FracLEACHMM*MMLeachEF*NtoN2O*kgtoGg)</f>
        <v>3.030301439269115E-2</v>
      </c>
      <c r="L1053" s="94">
        <f>IF('Net zero activities &amp; levers'!$C$12="Off",Constants!$H66*'Activity data'!AE8*Constants!$H84*FracLEACHMM*MMLeachEF*NtoN2O*kgtoGg,Constants!$H66*'Net zero Activity data'!AE8*Constants!$H84*FracLEACHMM*MMLeachEF*NtoN2O*kgtoGg)</f>
        <v>3.0040206026371356E-2</v>
      </c>
      <c r="M1053" s="94">
        <f>IF('Net zero activities &amp; levers'!$C$12="Off",Constants!$H66*'Activity data'!AF8*Constants!$H84*FracLEACHMM*MMLeachEF*NtoN2O*kgtoGg,Constants!$H66*'Net zero Activity data'!AF8*Constants!$H84*FracLEACHMM*MMLeachEF*NtoN2O*kgtoGg)</f>
        <v>2.99401628371932E-2</v>
      </c>
      <c r="N1053" s="94">
        <f>IF('Net zero activities &amp; levers'!$C$12="Off",Constants!$H66*'Activity data'!AG8*Constants!$H84*FracLEACHMM*MMLeachEF*NtoN2O*kgtoGg,Constants!$H66*'Net zero Activity data'!AG8*Constants!$H84*FracLEACHMM*MMLeachEF*NtoN2O*kgtoGg)</f>
        <v>2.9540351153331298E-2</v>
      </c>
      <c r="O1053" s="94">
        <f>IF('Net zero activities &amp; levers'!$C$12="Off",Constants!$H66*'Activity data'!AH8*Constants!$H84*FracLEACHMM*MMLeachEF*NtoN2O*kgtoGg,Constants!$H66*'Net zero Activity data'!AH8*Constants!$H84*FracLEACHMM*MMLeachEF*NtoN2O*kgtoGg)</f>
        <v>2.8960014730128859E-2</v>
      </c>
      <c r="P1053" s="94">
        <f>IF('Net zero activities &amp; levers'!$C$12="Off",Constants!$H66*'Activity data'!AI8*Constants!$H84*FracLEACHMM*MMLeachEF*NtoN2O*kgtoGg,Constants!$H66*'Net zero Activity data'!AI8*Constants!$H84*FracLEACHMM*MMLeachEF*NtoN2O*kgtoGg)</f>
        <v>2.8211154016296501E-2</v>
      </c>
      <c r="Q1053" s="94">
        <f>IF('Net zero activities &amp; levers'!$C$12="Off",Constants!$H66*'Activity data'!AJ8*Constants!$H84*FracLEACHMM*MMLeachEF*NtoN2O*kgtoGg,Constants!$H66*'Net zero Activity data'!AJ8*Constants!$H84*FracLEACHMM*MMLeachEF*NtoN2O*kgtoGg)</f>
        <v>2.7620505669412022E-2</v>
      </c>
      <c r="R1053" s="94">
        <f>IF('Net zero activities &amp; levers'!$C$12="Off",Constants!$H66*'Activity data'!AK8*Constants!$H84*FracLEACHMM*MMLeachEF*NtoN2O*kgtoGg,Constants!$H66*'Net zero Activity data'!AK8*Constants!$H84*FracLEACHMM*MMLeachEF*NtoN2O*kgtoGg)</f>
        <v>2.7061685185942385E-2</v>
      </c>
      <c r="S1053" s="94">
        <f>IF('Net zero activities &amp; levers'!$C$12="Off",Constants!$H66*'Activity data'!AL8*Constants!$H84*FracLEACHMM*MMLeachEF*NtoN2O*kgtoGg,Constants!$H66*'Net zero Activity data'!AL8*Constants!$H84*FracLEACHMM*MMLeachEF*NtoN2O*kgtoGg)</f>
        <v>2.3806393912702346E-2</v>
      </c>
      <c r="T1053" s="94">
        <f>IF('Net zero activities &amp; levers'!$C$12="Off",Constants!$H66*'Activity data'!AM8*Constants!$H84*FracLEACHMM*MMLeachEF*NtoN2O*kgtoGg,Constants!$H66*'Net zero Activity data'!AM8*Constants!$H84*FracLEACHMM*MMLeachEF*NtoN2O*kgtoGg)</f>
        <v>2.4193081489661764E-2</v>
      </c>
      <c r="U1053" s="94">
        <f>IF('Net zero activities &amp; levers'!$C$12="Off",Constants!$H66*'Activity data'!AN8*Constants!$H84*FracLEACHMM*MMLeachEF*NtoN2O*kgtoGg,Constants!$H66*'Net zero Activity data'!AN8*Constants!$H84*FracLEACHMM*MMLeachEF*NtoN2O*kgtoGg)</f>
        <v>2.4914459363237305E-2</v>
      </c>
      <c r="V1053" s="94">
        <f>IF('Net zero activities &amp; levers'!$C$12="Off",Constants!$H66*'Activity data'!AO8*Constants!$H84*FracLEACHMM*MMLeachEF*NtoN2O*kgtoGg,Constants!$H66*'Net zero Activity data'!AO8*Constants!$H84*FracLEACHMM*MMLeachEF*NtoN2O*kgtoGg)</f>
        <v>2.5058526856807112E-2</v>
      </c>
      <c r="W1053" s="94">
        <f>IF('Net zero activities &amp; levers'!$C$12="Off",Constants!$H66*'Activity data'!AP8*Constants!$H84*FracLEACHMM*MMLeachEF*NtoN2O*kgtoGg,Constants!$H66*'Net zero Activity data'!AP8*Constants!$H84*FracLEACHMM*MMLeachEF*NtoN2O*kgtoGg)</f>
        <v>2.5266313616668409E-2</v>
      </c>
      <c r="X1053" s="94">
        <f>IF('Net zero activities &amp; levers'!$C$12="Off",Constants!$H66*'Activity data'!AQ8*Constants!$H84*FracLEACHMM*MMLeachEF*NtoN2O*kgtoGg,Constants!$H66*'Net zero Activity data'!AQ8*Constants!$H84*FracLEACHMM*MMLeachEF*NtoN2O*kgtoGg)</f>
        <v>2.5556180730039606E-2</v>
      </c>
      <c r="Y1053" s="94">
        <f>IF('Net zero activities &amp; levers'!$C$12="Off",Constants!$H66*'Activity data'!AR8*Constants!$H84*FracLEACHMM*MMLeachEF*NtoN2O*kgtoGg,Constants!$H66*'Net zero Activity data'!AR8*Constants!$H84*FracLEACHMM*MMLeachEF*NtoN2O*kgtoGg)</f>
        <v>2.588867153480013E-2</v>
      </c>
      <c r="Z1053" s="94">
        <f>IF('Net zero activities &amp; levers'!$C$12="Off",Constants!$H66*'Activity data'!AS8*Constants!$H84*FracLEACHMM*MMLeachEF*NtoN2O*kgtoGg,Constants!$H66*'Net zero Activity data'!AS8*Constants!$H84*FracLEACHMM*MMLeachEF*NtoN2O*kgtoGg)</f>
        <v>2.627849954534961E-2</v>
      </c>
      <c r="AA1053" s="94">
        <f>IF('Net zero activities &amp; levers'!$C$12="Off",Constants!$H66*'Activity data'!AT8*Constants!$H84*FracLEACHMM*MMLeachEF*NtoN2O*kgtoGg,Constants!$H66*'Net zero Activity data'!AT8*Constants!$H84*FracLEACHMM*MMLeachEF*NtoN2O*kgtoGg)</f>
        <v>2.6670125529897157E-2</v>
      </c>
      <c r="AB1053" s="94">
        <f>IF('Net zero activities &amp; levers'!$C$12="Off",Constants!$H66*'Activity data'!AU8*Constants!$H84*FracLEACHMM*MMLeachEF*NtoN2O*kgtoGg,Constants!$H66*'Net zero Activity data'!AU8*Constants!$H84*FracLEACHMM*MMLeachEF*NtoN2O*kgtoGg)</f>
        <v>2.7110583919598655E-2</v>
      </c>
      <c r="AC1053" s="94">
        <f>IF('Net zero activities &amp; levers'!$C$12="Off",Constants!$H66*'Activity data'!AV8*Constants!$H84*FracLEACHMM*MMLeachEF*NtoN2O*kgtoGg,Constants!$H66*'Net zero Activity data'!AV8*Constants!$H84*FracLEACHMM*MMLeachEF*NtoN2O*kgtoGg)</f>
        <v>2.7546671241882887E-2</v>
      </c>
      <c r="AD1053" s="94">
        <f>IF('Net zero activities &amp; levers'!$C$12="Off",Constants!$H66*'Activity data'!AW8*Constants!$H84*FracLEACHMM*MMLeachEF*NtoN2O*kgtoGg,Constants!$H66*'Net zero Activity data'!AW8*Constants!$H84*FracLEACHMM*MMLeachEF*NtoN2O*kgtoGg)</f>
        <v>2.7830739758273274E-2</v>
      </c>
      <c r="AE1053" s="94">
        <f>IF('Net zero activities &amp; levers'!$C$12="Off",Constants!$H66*'Activity data'!AX8*Constants!$H84*FracLEACHMM*MMLeachEF*NtoN2O*kgtoGg,Constants!$H66*'Net zero Activity data'!AX8*Constants!$H84*FracLEACHMM*MMLeachEF*NtoN2O*kgtoGg)</f>
        <v>2.8063979806522674E-2</v>
      </c>
      <c r="AF1053" s="94">
        <f>IF('Net zero activities &amp; levers'!$C$12="Off",Constants!$H66*'Activity data'!AY8*Constants!$H84*FracLEACHMM*MMLeachEF*NtoN2O*kgtoGg,Constants!$H66*'Net zero Activity data'!AY8*Constants!$H84*FracLEACHMM*MMLeachEF*NtoN2O*kgtoGg)</f>
        <v>2.8310384702020075E-2</v>
      </c>
      <c r="AG1053" s="94">
        <f>IF('Net zero activities &amp; levers'!$C$12="Off",Constants!$H66*'Activity data'!AZ8*Constants!$H84*FracLEACHMM*MMLeachEF*NtoN2O*kgtoGg,Constants!$H66*'Net zero Activity data'!AZ8*Constants!$H84*FracLEACHMM*MMLeachEF*NtoN2O*kgtoGg)</f>
        <v>2.8640071683735925E-2</v>
      </c>
      <c r="AH1053" s="94">
        <f>IF('Net zero activities &amp; levers'!$C$12="Off",Constants!$H66*'Activity data'!BA8*Constants!$H84*FracLEACHMM*MMLeachEF*NtoN2O*kgtoGg,Constants!$H66*'Net zero Activity data'!BA8*Constants!$H84*FracLEACHMM*MMLeachEF*NtoN2O*kgtoGg)</f>
        <v>2.8877171474684857E-2</v>
      </c>
      <c r="AI1053" s="94">
        <f>IF('Net zero activities &amp; levers'!$C$12="Off",Constants!$H66*'Activity data'!BB8*Constants!$H84*FracLEACHMM*MMLeachEF*NtoN2O*kgtoGg,Constants!$H66*'Net zero Activity data'!BB8*Constants!$H84*FracLEACHMM*MMLeachEF*NtoN2O*kgtoGg)</f>
        <v>2.9129861427597242E-2</v>
      </c>
      <c r="AJ1053" s="94">
        <f>IF('Net zero activities &amp; levers'!$C$12="Off",Constants!$H66*'Activity data'!BC8*Constants!$H84*FracLEACHMM*MMLeachEF*NtoN2O*kgtoGg,Constants!$H66*'Net zero Activity data'!BC8*Constants!$H84*FracLEACHMM*MMLeachEF*NtoN2O*kgtoGg)</f>
        <v>2.9408020774721655E-2</v>
      </c>
      <c r="AK1053" s="94">
        <f>IF('Net zero activities &amp; levers'!$C$12="Off",Constants!$H66*'Activity data'!BD8*Constants!$H84*FracLEACHMM*MMLeachEF*NtoN2O*kgtoGg,Constants!$H66*'Net zero Activity data'!BD8*Constants!$H84*FracLEACHMM*MMLeachEF*NtoN2O*kgtoGg)</f>
        <v>2.958135107830024E-2</v>
      </c>
      <c r="AL1053" s="94">
        <f>IF('Net zero activities &amp; levers'!$C$12="Off",Constants!$H66*'Activity data'!BE8*Constants!$H84*FracLEACHMM*MMLeachEF*NtoN2O*kgtoGg,Constants!$H66*'Net zero Activity data'!BE8*Constants!$H84*FracLEACHMM*MMLeachEF*NtoN2O*kgtoGg)</f>
        <v>2.9711386636381822E-2</v>
      </c>
      <c r="AM1053" s="94">
        <f>IF('Net zero activities &amp; levers'!$C$12="Off",Constants!$H66*'Activity data'!BF8*Constants!$H84*FracLEACHMM*MMLeachEF*NtoN2O*kgtoGg,Constants!$H66*'Net zero Activity data'!BF8*Constants!$H84*FracLEACHMM*MMLeachEF*NtoN2O*kgtoGg)</f>
        <v>2.9801834695120533E-2</v>
      </c>
      <c r="AN1053" s="94">
        <f>IF('Net zero activities &amp; levers'!$C$12="Off",Constants!$H66*'Activity data'!BG8*Constants!$H84*FracLEACHMM*MMLeachEF*NtoN2O*kgtoGg,Constants!$H66*'Net zero Activity data'!BG8*Constants!$H84*FracLEACHMM*MMLeachEF*NtoN2O*kgtoGg)</f>
        <v>3.0083013804328998E-2</v>
      </c>
      <c r="AO1053" s="94">
        <f>IF('Net zero activities &amp; levers'!$C$12="Off",Constants!$H66*'Activity data'!BH8*Constants!$H84*FracLEACHMM*MMLeachEF*NtoN2O*kgtoGg,Constants!$H66*'Net zero Activity data'!BH8*Constants!$H84*FracLEACHMM*MMLeachEF*NtoN2O*kgtoGg)</f>
        <v>3.0296745523052525E-2</v>
      </c>
      <c r="AP1053" s="94">
        <f>IF('Net zero activities &amp; levers'!$C$12="Off",Constants!$H66*'Activity data'!BI8*Constants!$H84*FracLEACHMM*MMLeachEF*NtoN2O*kgtoGg,Constants!$H66*'Net zero Activity data'!BI8*Constants!$H84*FracLEACHMM*MMLeachEF*NtoN2O*kgtoGg)</f>
        <v>3.0513175155516516E-2</v>
      </c>
      <c r="AQ1053" s="94">
        <f>IF('Net zero activities &amp; levers'!$C$12="Off",Constants!$H66*'Activity data'!BJ8*Constants!$H84*FracLEACHMM*MMLeachEF*NtoN2O*kgtoGg,Constants!$H66*'Net zero Activity data'!BJ8*Constants!$H84*FracLEACHMM*MMLeachEF*NtoN2O*kgtoGg)</f>
        <v>3.0734778558877459E-2</v>
      </c>
      <c r="AR1053" s="94">
        <f>IF('Net zero activities &amp; levers'!$C$12="Off",Constants!$H66*'Activity data'!BK8*Constants!$H84*FracLEACHMM*MMLeachEF*NtoN2O*kgtoGg,Constants!$H66*'Net zero Activity data'!BK8*Constants!$H84*FracLEACHMM*MMLeachEF*NtoN2O*kgtoGg)</f>
        <v>3.0966024436887393E-2</v>
      </c>
      <c r="AS1053" s="94">
        <f>IF('Net zero activities &amp; levers'!$C$12="Off",Constants!$H66*'Activity data'!BL8*Constants!$H84*FracLEACHMM*MMLeachEF*NtoN2O*kgtoGg,Constants!$H66*'Net zero Activity data'!BL8*Constants!$H84*FracLEACHMM*MMLeachEF*NtoN2O*kgtoGg)</f>
        <v>3.1203452529548665E-2</v>
      </c>
      <c r="AT1053" s="94">
        <f>IF('Net zero activities &amp; levers'!$C$12="Off",Constants!$H66*'Activity data'!BM8*Constants!$H84*FracLEACHMM*MMLeachEF*NtoN2O*kgtoGg,Constants!$H66*'Net zero Activity data'!BM8*Constants!$H84*FracLEACHMM*MMLeachEF*NtoN2O*kgtoGg)</f>
        <v>3.0735097960314203E-2</v>
      </c>
      <c r="AU1053" s="94">
        <f>IF('Net zero activities &amp; levers'!$C$12="Off",Constants!$H66*'Activity data'!BN8*Constants!$H84*FracLEACHMM*MMLeachEF*NtoN2O*kgtoGg,Constants!$H66*'Net zero Activity data'!BN8*Constants!$H84*FracLEACHMM*MMLeachEF*NtoN2O*kgtoGg)</f>
        <v>3.0204531000918678E-2</v>
      </c>
      <c r="AV1053" s="94">
        <f>IF('Net zero activities &amp; levers'!$C$12="Off",Constants!$H66*'Activity data'!BO8*Constants!$H84*FracLEACHMM*MMLeachEF*NtoN2O*kgtoGg,Constants!$H66*'Net zero Activity data'!BO8*Constants!$H84*FracLEACHMM*MMLeachEF*NtoN2O*kgtoGg)</f>
        <v>2.9589433707278279E-2</v>
      </c>
      <c r="AW1053" s="94">
        <f>IF('Net zero activities &amp; levers'!$C$12="Off",Constants!$H66*'Activity data'!BP8*Constants!$H84*FracLEACHMM*MMLeachEF*NtoN2O*kgtoGg,Constants!$H66*'Net zero Activity data'!BP8*Constants!$H84*FracLEACHMM*MMLeachEF*NtoN2O*kgtoGg)</f>
        <v>2.8955059711748863E-2</v>
      </c>
      <c r="AY1053" s="79"/>
      <c r="AZ1053" s="79"/>
    </row>
    <row r="1054" spans="1:52" x14ac:dyDescent="0.3">
      <c r="A1054" s="95" t="str">
        <f t="shared" si="345"/>
        <v>DS MM Leaching</v>
      </c>
      <c r="B1054" s="95" t="s">
        <v>974</v>
      </c>
      <c r="C1054" s="95" t="s">
        <v>1333</v>
      </c>
      <c r="D1054" t="s">
        <v>369</v>
      </c>
      <c r="E1054" t="s">
        <v>64</v>
      </c>
      <c r="F1054" t="s">
        <v>63</v>
      </c>
      <c r="G1054" t="s">
        <v>1160</v>
      </c>
      <c r="H1054" t="s">
        <v>1310</v>
      </c>
      <c r="I1054" t="s">
        <v>139</v>
      </c>
      <c r="J1054" t="s">
        <v>287</v>
      </c>
      <c r="K1054" s="94">
        <f>IF('Net zero activities &amp; levers'!$C$12="Off",Constants!$H67*'Activity data'!AD9*Constants!$H85*FracLEACHMM*MMLeachEF*NtoN2O*kgtoGg,Constants!$H67*'Net zero Activity data'!AD9*Constants!$H85*FracLEACHMM*MMLeachEF*NtoN2O*kgtoGg)</f>
        <v>4.0226293185258936E-2</v>
      </c>
      <c r="L1054" s="94">
        <f>IF('Net zero activities &amp; levers'!$C$12="Off",Constants!$H67*'Activity data'!AE9*Constants!$H85*FracLEACHMM*MMLeachEF*NtoN2O*kgtoGg,Constants!$H67*'Net zero Activity data'!AE9*Constants!$H85*FracLEACHMM*MMLeachEF*NtoN2O*kgtoGg)</f>
        <v>3.9877423391049015E-2</v>
      </c>
      <c r="M1054" s="94">
        <f>IF('Net zero activities &amp; levers'!$C$12="Off",Constants!$H67*'Activity data'!AF9*Constants!$H85*FracLEACHMM*MMLeachEF*NtoN2O*kgtoGg,Constants!$H67*'Net zero Activity data'!AF9*Constants!$H85*FracLEACHMM*MMLeachEF*NtoN2O*kgtoGg)</f>
        <v>3.9744619221572089E-2</v>
      </c>
      <c r="N1054" s="94">
        <f>IF('Net zero activities &amp; levers'!$C$12="Off",Constants!$H67*'Activity data'!AG9*Constants!$H85*FracLEACHMM*MMLeachEF*NtoN2O*kgtoGg,Constants!$H67*'Net zero Activity data'!AG9*Constants!$H85*FracLEACHMM*MMLeachEF*NtoN2O*kgtoGg)</f>
        <v>3.9213881856453713E-2</v>
      </c>
      <c r="O1054" s="94">
        <f>IF('Net zero activities &amp; levers'!$C$12="Off",Constants!$H67*'Activity data'!AH9*Constants!$H85*FracLEACHMM*MMLeachEF*NtoN2O*kgtoGg,Constants!$H67*'Net zero Activity data'!AH9*Constants!$H85*FracLEACHMM*MMLeachEF*NtoN2O*kgtoGg)</f>
        <v>3.8443503609481157E-2</v>
      </c>
      <c r="P1054" s="94">
        <f>IF('Net zero activities &amp; levers'!$C$12="Off",Constants!$H67*'Activity data'!AI9*Constants!$H85*FracLEACHMM*MMLeachEF*NtoN2O*kgtoGg,Constants!$H67*'Net zero Activity data'!AI9*Constants!$H85*FracLEACHMM*MMLeachEF*NtoN2O*kgtoGg)</f>
        <v>3.7449414696768608E-2</v>
      </c>
      <c r="Q1054" s="94">
        <f>IF('Net zero activities &amp; levers'!$C$12="Off",Constants!$H67*'Activity data'!AJ9*Constants!$H85*FracLEACHMM*MMLeachEF*NtoN2O*kgtoGg,Constants!$H67*'Net zero Activity data'!AJ9*Constants!$H85*FracLEACHMM*MMLeachEF*NtoN2O*kgtoGg)</f>
        <v>3.666534769725275E-2</v>
      </c>
      <c r="R1054" s="94">
        <f>IF('Net zero activities &amp; levers'!$C$12="Off",Constants!$H67*'Activity data'!AK9*Constants!$H85*FracLEACHMM*MMLeachEF*NtoN2O*kgtoGg,Constants!$H67*'Net zero Activity data'!AK9*Constants!$H85*FracLEACHMM*MMLeachEF*NtoN2O*kgtoGg)</f>
        <v>3.5923531179771241E-2</v>
      </c>
      <c r="S1054" s="94">
        <f>IF('Net zero activities &amp; levers'!$C$12="Off",Constants!$H67*'Activity data'!AL9*Constants!$H85*FracLEACHMM*MMLeachEF*NtoN2O*kgtoGg,Constants!$H67*'Net zero Activity data'!AL9*Constants!$H85*FracLEACHMM*MMLeachEF*NtoN2O*kgtoGg)</f>
        <v>3.160223497260737E-2</v>
      </c>
      <c r="T1054" s="94">
        <f>IF('Net zero activities &amp; levers'!$C$12="Off",Constants!$H67*'Activity data'!AM9*Constants!$H85*FracLEACHMM*MMLeachEF*NtoN2O*kgtoGg,Constants!$H67*'Net zero Activity data'!AM9*Constants!$H85*FracLEACHMM*MMLeachEF*NtoN2O*kgtoGg)</f>
        <v>3.2115550500900779E-2</v>
      </c>
      <c r="U1054" s="94">
        <f>IF('Net zero activities &amp; levers'!$C$12="Off",Constants!$H67*'Activity data'!AN9*Constants!$H85*FracLEACHMM*MMLeachEF*NtoN2O*kgtoGg,Constants!$H67*'Net zero Activity data'!AN9*Constants!$H85*FracLEACHMM*MMLeachEF*NtoN2O*kgtoGg)</f>
        <v>3.3073156812397204E-2</v>
      </c>
      <c r="V1054" s="94">
        <f>IF('Net zero activities &amp; levers'!$C$12="Off",Constants!$H67*'Activity data'!AO9*Constants!$H85*FracLEACHMM*MMLeachEF*NtoN2O*kgtoGg,Constants!$H67*'Net zero Activity data'!AO9*Constants!$H85*FracLEACHMM*MMLeachEF*NtoN2O*kgtoGg)</f>
        <v>3.3264401853557279E-2</v>
      </c>
      <c r="W1054" s="94">
        <f>IF('Net zero activities &amp; levers'!$C$12="Off",Constants!$H67*'Activity data'!AP9*Constants!$H85*FracLEACHMM*MMLeachEF*NtoN2O*kgtoGg,Constants!$H67*'Net zero Activity data'!AP9*Constants!$H85*FracLEACHMM*MMLeachEF*NtoN2O*kgtoGg)</f>
        <v>3.3540232205412031E-2</v>
      </c>
      <c r="X1054" s="94">
        <f>IF('Net zero activities &amp; levers'!$C$12="Off",Constants!$H67*'Activity data'!AQ9*Constants!$H85*FracLEACHMM*MMLeachEF*NtoN2O*kgtoGg,Constants!$H67*'Net zero Activity data'!AQ9*Constants!$H85*FracLEACHMM*MMLeachEF*NtoN2O*kgtoGg)</f>
        <v>3.3925021630521073E-2</v>
      </c>
      <c r="Y1054" s="94">
        <f>IF('Net zero activities &amp; levers'!$C$12="Off",Constants!$H67*'Activity data'!AR9*Constants!$H85*FracLEACHMM*MMLeachEF*NtoN2O*kgtoGg,Constants!$H67*'Net zero Activity data'!AR9*Constants!$H85*FracLEACHMM*MMLeachEF*NtoN2O*kgtoGg)</f>
        <v>3.4366392657851123E-2</v>
      </c>
      <c r="Z1054" s="94">
        <f>IF('Net zero activities &amp; levers'!$C$12="Off",Constants!$H67*'Activity data'!AS9*Constants!$H85*FracLEACHMM*MMLeachEF*NtoN2O*kgtoGg,Constants!$H67*'Net zero Activity data'!AS9*Constants!$H85*FracLEACHMM*MMLeachEF*NtoN2O*kgtoGg)</f>
        <v>3.4883877012409983E-2</v>
      </c>
      <c r="AA1054" s="94">
        <f>IF('Net zero activities &amp; levers'!$C$12="Off",Constants!$H67*'Activity data'!AT9*Constants!$H85*FracLEACHMM*MMLeachEF*NtoN2O*kgtoGg,Constants!$H67*'Net zero Activity data'!AT9*Constants!$H85*FracLEACHMM*MMLeachEF*NtoN2O*kgtoGg)</f>
        <v>3.5403748120585117E-2</v>
      </c>
      <c r="AB1054" s="94">
        <f>IF('Net zero activities &amp; levers'!$C$12="Off",Constants!$H67*'Activity data'!AU9*Constants!$H85*FracLEACHMM*MMLeachEF*NtoN2O*kgtoGg,Constants!$H67*'Net zero Activity data'!AU9*Constants!$H85*FracLEACHMM*MMLeachEF*NtoN2O*kgtoGg)</f>
        <v>3.5988442702135158E-2</v>
      </c>
      <c r="AC1054" s="94">
        <f>IF('Net zero activities &amp; levers'!$C$12="Off",Constants!$H67*'Activity data'!AV9*Constants!$H85*FracLEACHMM*MMLeachEF*NtoN2O*kgtoGg,Constants!$H67*'Net zero Activity data'!AV9*Constants!$H85*FracLEACHMM*MMLeachEF*NtoN2O*kgtoGg)</f>
        <v>3.6567334829936515E-2</v>
      </c>
      <c r="AD1054" s="94">
        <f>IF('Net zero activities &amp; levers'!$C$12="Off",Constants!$H67*'Activity data'!AW9*Constants!$H85*FracLEACHMM*MMLeachEF*NtoN2O*kgtoGg,Constants!$H67*'Net zero Activity data'!AW9*Constants!$H85*FracLEACHMM*MMLeachEF*NtoN2O*kgtoGg)</f>
        <v>3.6944426800951023E-2</v>
      </c>
      <c r="AE1054" s="94">
        <f>IF('Net zero activities &amp; levers'!$C$12="Off",Constants!$H67*'Activity data'!AX9*Constants!$H85*FracLEACHMM*MMLeachEF*NtoN2O*kgtoGg,Constants!$H67*'Net zero Activity data'!AX9*Constants!$H85*FracLEACHMM*MMLeachEF*NtoN2O*kgtoGg)</f>
        <v>3.7254045588106646E-2</v>
      </c>
      <c r="AF1054" s="94">
        <f>IF('Net zero activities &amp; levers'!$C$12="Off",Constants!$H67*'Activity data'!AY9*Constants!$H85*FracLEACHMM*MMLeachEF*NtoN2O*kgtoGg,Constants!$H67*'Net zero Activity data'!AY9*Constants!$H85*FracLEACHMM*MMLeachEF*NtoN2O*kgtoGg)</f>
        <v>3.7581140293607394E-2</v>
      </c>
      <c r="AG1054" s="94">
        <f>IF('Net zero activities &amp; levers'!$C$12="Off",Constants!$H67*'Activity data'!AZ9*Constants!$H85*FracLEACHMM*MMLeachEF*NtoN2O*kgtoGg,Constants!$H67*'Net zero Activity data'!AZ9*Constants!$H85*FracLEACHMM*MMLeachEF*NtoN2O*kgtoGg)</f>
        <v>3.801878933452469E-2</v>
      </c>
      <c r="AH1054" s="94">
        <f>IF('Net zero activities &amp; levers'!$C$12="Off",Constants!$H67*'Activity data'!BA9*Constants!$H85*FracLEACHMM*MMLeachEF*NtoN2O*kgtoGg,Constants!$H67*'Net zero Activity data'!BA9*Constants!$H85*FracLEACHMM*MMLeachEF*NtoN2O*kgtoGg)</f>
        <v>3.8333531808038356E-2</v>
      </c>
      <c r="AI1054" s="94">
        <f>IF('Net zero activities &amp; levers'!$C$12="Off",Constants!$H67*'Activity data'!BB9*Constants!$H85*FracLEACHMM*MMLeachEF*NtoN2O*kgtoGg,Constants!$H67*'Net zero Activity data'!BB9*Constants!$H85*FracLEACHMM*MMLeachEF*NtoN2O*kgtoGg)</f>
        <v>3.8668969728474223E-2</v>
      </c>
      <c r="AJ1054" s="94">
        <f>IF('Net zero activities &amp; levers'!$C$12="Off",Constants!$H67*'Activity data'!BC9*Constants!$H85*FracLEACHMM*MMLeachEF*NtoN2O*kgtoGg,Constants!$H67*'Net zero Activity data'!BC9*Constants!$H85*FracLEACHMM*MMLeachEF*NtoN2O*kgtoGg)</f>
        <v>3.9038217464182824E-2</v>
      </c>
      <c r="AK1054" s="94">
        <f>IF('Net zero activities &amp; levers'!$C$12="Off",Constants!$H67*'Activity data'!BD9*Constants!$H85*FracLEACHMM*MMLeachEF*NtoN2O*kgtoGg,Constants!$H67*'Net zero Activity data'!BD9*Constants!$H85*FracLEACHMM*MMLeachEF*NtoN2O*kgtoGg)</f>
        <v>3.9268307960108023E-2</v>
      </c>
      <c r="AL1054" s="94">
        <f>IF('Net zero activities &amp; levers'!$C$12="Off",Constants!$H67*'Activity data'!BE9*Constants!$H85*FracLEACHMM*MMLeachEF*NtoN2O*kgtoGg,Constants!$H67*'Net zero Activity data'!BE9*Constants!$H85*FracLEACHMM*MMLeachEF*NtoN2O*kgtoGg)</f>
        <v>3.9440926050708265E-2</v>
      </c>
      <c r="AM1054" s="94">
        <f>IF('Net zero activities &amp; levers'!$C$12="Off",Constants!$H67*'Activity data'!BF9*Constants!$H85*FracLEACHMM*MMLeachEF*NtoN2O*kgtoGg,Constants!$H67*'Net zero Activity data'!BF9*Constants!$H85*FracLEACHMM*MMLeachEF*NtoN2O*kgtoGg)</f>
        <v>3.9560992988000768E-2</v>
      </c>
      <c r="AN1054" s="94">
        <f>IF('Net zero activities &amp; levers'!$C$12="Off",Constants!$H67*'Activity data'!BG9*Constants!$H85*FracLEACHMM*MMLeachEF*NtoN2O*kgtoGg,Constants!$H67*'Net zero Activity data'!BG9*Constants!$H85*FracLEACHMM*MMLeachEF*NtoN2O*kgtoGg)</f>
        <v>3.9934249362367197E-2</v>
      </c>
      <c r="AO1054" s="94">
        <f>IF('Net zero activities &amp; levers'!$C$12="Off",Constants!$H67*'Activity data'!BH9*Constants!$H85*FracLEACHMM*MMLeachEF*NtoN2O*kgtoGg,Constants!$H67*'Net zero Activity data'!BH9*Constants!$H85*FracLEACHMM*MMLeachEF*NtoN2O*kgtoGg)</f>
        <v>4.0217971459084928E-2</v>
      </c>
      <c r="AP1054" s="94">
        <f>IF('Net zero activities &amp; levers'!$C$12="Off",Constants!$H67*'Activity data'!BI9*Constants!$H85*FracLEACHMM*MMLeachEF*NtoN2O*kgtoGg,Constants!$H67*'Net zero Activity data'!BI9*Constants!$H85*FracLEACHMM*MMLeachEF*NtoN2O*kgtoGg)</f>
        <v>4.0505274950963739E-2</v>
      </c>
      <c r="AQ1054" s="94">
        <f>IF('Net zero activities &amp; levers'!$C$12="Off",Constants!$H67*'Activity data'!BJ9*Constants!$H85*FracLEACHMM*MMLeachEF*NtoN2O*kgtoGg,Constants!$H67*'Net zero Activity data'!BJ9*Constants!$H85*FracLEACHMM*MMLeachEF*NtoN2O*kgtoGg)</f>
        <v>4.0799446460072705E-2</v>
      </c>
      <c r="AR1054" s="94">
        <f>IF('Net zero activities &amp; levers'!$C$12="Off",Constants!$H67*'Activity data'!BK9*Constants!$H85*FracLEACHMM*MMLeachEF*NtoN2O*kgtoGg,Constants!$H67*'Net zero Activity data'!BK9*Constants!$H85*FracLEACHMM*MMLeachEF*NtoN2O*kgtoGg)</f>
        <v>4.1106418049306863E-2</v>
      </c>
      <c r="AS1054" s="94">
        <f>IF('Net zero activities &amp; levers'!$C$12="Off",Constants!$H67*'Activity data'!BL9*Constants!$H85*FracLEACHMM*MMLeachEF*NtoN2O*kgtoGg,Constants!$H67*'Net zero Activity data'!BL9*Constants!$H85*FracLEACHMM*MMLeachEF*NtoN2O*kgtoGg)</f>
        <v>4.1421596332960157E-2</v>
      </c>
      <c r="AT1054" s="94">
        <f>IF('Net zero activities &amp; levers'!$C$12="Off",Constants!$H67*'Activity data'!BM9*Constants!$H85*FracLEACHMM*MMLeachEF*NtoN2O*kgtoGg,Constants!$H67*'Net zero Activity data'!BM9*Constants!$H85*FracLEACHMM*MMLeachEF*NtoN2O*kgtoGg)</f>
        <v>4.0799870455377994E-2</v>
      </c>
      <c r="AU1054" s="94">
        <f>IF('Net zero activities &amp; levers'!$C$12="Off",Constants!$H67*'Activity data'!BN9*Constants!$H85*FracLEACHMM*MMLeachEF*NtoN2O*kgtoGg,Constants!$H67*'Net zero Activity data'!BN9*Constants!$H85*FracLEACHMM*MMLeachEF*NtoN2O*kgtoGg)</f>
        <v>4.0095559597504944E-2</v>
      </c>
      <c r="AV1054" s="94">
        <f>IF('Net zero activities &amp; levers'!$C$12="Off",Constants!$H67*'Activity data'!BO9*Constants!$H85*FracLEACHMM*MMLeachEF*NtoN2O*kgtoGg,Constants!$H67*'Net zero Activity data'!BO9*Constants!$H85*FracLEACHMM*MMLeachEF*NtoN2O*kgtoGg)</f>
        <v>3.9279037394439685E-2</v>
      </c>
      <c r="AW1054" s="94">
        <f>IF('Net zero activities &amp; levers'!$C$12="Off",Constants!$H67*'Activity data'!BP9*Constants!$H85*FracLEACHMM*MMLeachEF*NtoN2O*kgtoGg,Constants!$H67*'Net zero Activity data'!BP9*Constants!$H85*FracLEACHMM*MMLeachEF*NtoN2O*kgtoGg)</f>
        <v>3.843692597929859E-2</v>
      </c>
      <c r="AY1054" s="79"/>
      <c r="AZ1054" s="79"/>
    </row>
    <row r="1055" spans="1:52" x14ac:dyDescent="0.3">
      <c r="A1055" s="95" t="str">
        <f t="shared" si="345"/>
        <v>DS MM Leaching</v>
      </c>
      <c r="B1055" s="95" t="s">
        <v>974</v>
      </c>
      <c r="C1055" s="95" t="s">
        <v>1333</v>
      </c>
      <c r="D1055" t="s">
        <v>369</v>
      </c>
      <c r="E1055" t="s">
        <v>64</v>
      </c>
      <c r="F1055" t="s">
        <v>63</v>
      </c>
      <c r="G1055" t="s">
        <v>1162</v>
      </c>
      <c r="H1055" t="s">
        <v>1311</v>
      </c>
      <c r="I1055" t="s">
        <v>139</v>
      </c>
      <c r="J1055" t="s">
        <v>287</v>
      </c>
      <c r="K1055" s="94">
        <f>IF('Net zero activities &amp; levers'!$C$12="Off",Constants!$H68*'Activity data'!AD10*Constants!$H86*FracLEACHMM*MMLeachEF*NtoN2O*kgtoGg,Constants!$H68*'Net zero Activity data'!AD10*Constants!$H86*FracLEACHMM*MMLeachEF*NtoN2O*kgtoGg)</f>
        <v>4.1968337096859203E-2</v>
      </c>
      <c r="L1055" s="94">
        <f>IF('Net zero activities &amp; levers'!$C$12="Off",Constants!$H68*'Activity data'!AE10*Constants!$H86*FracLEACHMM*MMLeachEF*NtoN2O*kgtoGg,Constants!$H68*'Net zero Activity data'!AE10*Constants!$H86*FracLEACHMM*MMLeachEF*NtoN2O*kgtoGg)</f>
        <v>4.3383434779753462E-2</v>
      </c>
      <c r="M1055" s="94">
        <f>IF('Net zero activities &amp; levers'!$C$12="Off",Constants!$H68*'Activity data'!AF10*Constants!$H86*FracLEACHMM*MMLeachEF*NtoN2O*kgtoGg,Constants!$H68*'Net zero Activity data'!AF10*Constants!$H86*FracLEACHMM*MMLeachEF*NtoN2O*kgtoGg)</f>
        <v>4.5063007666824861E-2</v>
      </c>
      <c r="N1055" s="94">
        <f>IF('Net zero activities &amp; levers'!$C$12="Off",Constants!$H68*'Activity data'!AG10*Constants!$H86*FracLEACHMM*MMLeachEF*NtoN2O*kgtoGg,Constants!$H68*'Net zero Activity data'!AG10*Constants!$H86*FracLEACHMM*MMLeachEF*NtoN2O*kgtoGg)</f>
        <v>4.6315596244033502E-2</v>
      </c>
      <c r="O1055" s="94">
        <f>IF('Net zero activities &amp; levers'!$C$12="Off",Constants!$H68*'Activity data'!AH10*Constants!$H86*FracLEACHMM*MMLeachEF*NtoN2O*kgtoGg,Constants!$H68*'Net zero Activity data'!AH10*Constants!$H86*FracLEACHMM*MMLeachEF*NtoN2O*kgtoGg)</f>
        <v>4.7281576900430194E-2</v>
      </c>
      <c r="P1055" s="94">
        <f>IF('Net zero activities &amp; levers'!$C$12="Off",Constants!$H68*'Activity data'!AI10*Constants!$H86*FracLEACHMM*MMLeachEF*NtoN2O*kgtoGg,Constants!$H68*'Net zero Activity data'!AI10*Constants!$H86*FracLEACHMM*MMLeachEF*NtoN2O*kgtoGg)</f>
        <v>4.7947144057730852E-2</v>
      </c>
      <c r="Q1055" s="94">
        <f>IF('Net zero activities &amp; levers'!$C$12="Off",Constants!$H68*'Activity data'!AJ10*Constants!$H86*FracLEACHMM*MMLeachEF*NtoN2O*kgtoGg,Constants!$H68*'Net zero Activity data'!AJ10*Constants!$H86*FracLEACHMM*MMLeachEF*NtoN2O*kgtoGg)</f>
        <v>4.8855920576585825E-2</v>
      </c>
      <c r="R1055" s="94">
        <f>IF('Net zero activities &amp; levers'!$C$12="Off",Constants!$H68*'Activity data'!AK10*Constants!$H86*FracLEACHMM*MMLeachEF*NtoN2O*kgtoGg,Constants!$H68*'Net zero Activity data'!AK10*Constants!$H86*FracLEACHMM*MMLeachEF*NtoN2O*kgtoGg)</f>
        <v>4.9808583705724517E-2</v>
      </c>
      <c r="S1055" s="94">
        <f>IF('Net zero activities &amp; levers'!$C$12="Off",Constants!$H68*'Activity data'!AL10*Constants!$H86*FracLEACHMM*MMLeachEF*NtoN2O*kgtoGg,Constants!$H68*'Net zero Activity data'!AL10*Constants!$H86*FracLEACHMM*MMLeachEF*NtoN2O*kgtoGg)</f>
        <v>4.558792439477468E-2</v>
      </c>
      <c r="T1055" s="94">
        <f>IF('Net zero activities &amp; levers'!$C$12="Off",Constants!$H68*'Activity data'!AM10*Constants!$H86*FracLEACHMM*MMLeachEF*NtoN2O*kgtoGg,Constants!$H68*'Net zero Activity data'!AM10*Constants!$H86*FracLEACHMM*MMLeachEF*NtoN2O*kgtoGg)</f>
        <v>4.7444585849147458E-2</v>
      </c>
      <c r="U1055" s="94">
        <f>IF('Net zero activities &amp; levers'!$C$12="Off",Constants!$H68*'Activity data'!AN10*Constants!$H86*FracLEACHMM*MMLeachEF*NtoN2O*kgtoGg,Constants!$H68*'Net zero Activity data'!AN10*Constants!$H86*FracLEACHMM*MMLeachEF*NtoN2O*kgtoGg)</f>
        <v>5.0020252871766716E-2</v>
      </c>
      <c r="V1055" s="94">
        <f>IF('Net zero activities &amp; levers'!$C$12="Off",Constants!$H68*'Activity data'!AO10*Constants!$H86*FracLEACHMM*MMLeachEF*NtoN2O*kgtoGg,Constants!$H68*'Net zero Activity data'!AO10*Constants!$H86*FracLEACHMM*MMLeachEF*NtoN2O*kgtoGg)</f>
        <v>5.1489747377125035E-2</v>
      </c>
      <c r="W1055" s="94">
        <f>IF('Net zero activities &amp; levers'!$C$12="Off",Constants!$H68*'Activity data'!AP10*Constants!$H86*FracLEACHMM*MMLeachEF*NtoN2O*kgtoGg,Constants!$H68*'Net zero Activity data'!AP10*Constants!$H86*FracLEACHMM*MMLeachEF*NtoN2O*kgtoGg)</f>
        <v>5.3120325210598208E-2</v>
      </c>
      <c r="X1055" s="94">
        <f>IF('Net zero activities &amp; levers'!$C$12="Off",Constants!$H68*'Activity data'!AQ10*Constants!$H86*FracLEACHMM*MMLeachEF*NtoN2O*kgtoGg,Constants!$H68*'Net zero Activity data'!AQ10*Constants!$H86*FracLEACHMM*MMLeachEF*NtoN2O*kgtoGg)</f>
        <v>5.4961817995869279E-2</v>
      </c>
      <c r="Y1055" s="94">
        <f>IF('Net zero activities &amp; levers'!$C$12="Off",Constants!$H68*'Activity data'!AR10*Constants!$H86*FracLEACHMM*MMLeachEF*NtoN2O*kgtoGg,Constants!$H68*'Net zero Activity data'!AR10*Constants!$H86*FracLEACHMM*MMLeachEF*NtoN2O*kgtoGg)</f>
        <v>5.6940702891012454E-2</v>
      </c>
      <c r="Z1055" s="94">
        <f>IF('Net zero activities &amp; levers'!$C$12="Off",Constants!$H68*'Activity data'!AS10*Constants!$H86*FracLEACHMM*MMLeachEF*NtoN2O*kgtoGg,Constants!$H68*'Net zero Activity data'!AS10*Constants!$H86*FracLEACHMM*MMLeachEF*NtoN2O*kgtoGg)</f>
        <v>5.909779909090021E-2</v>
      </c>
      <c r="AA1055" s="94">
        <f>IF('Net zero activities &amp; levers'!$C$12="Off",Constants!$H68*'Activity data'!AT10*Constants!$H86*FracLEACHMM*MMLeachEF*NtoN2O*kgtoGg,Constants!$H68*'Net zero Activity data'!AT10*Constants!$H86*FracLEACHMM*MMLeachEF*NtoN2O*kgtoGg)</f>
        <v>6.1315559224141662E-2</v>
      </c>
      <c r="AB1055" s="94">
        <f>IF('Net zero activities &amp; levers'!$C$12="Off",Constants!$H68*'Activity data'!AU10*Constants!$H86*FracLEACHMM*MMLeachEF*NtoN2O*kgtoGg,Constants!$H68*'Net zero Activity data'!AU10*Constants!$H86*FracLEACHMM*MMLeachEF*NtoN2O*kgtoGg)</f>
        <v>6.3706453642829244E-2</v>
      </c>
      <c r="AC1055" s="94">
        <f>IF('Net zero activities &amp; levers'!$C$12="Off",Constants!$H68*'Activity data'!AV10*Constants!$H86*FracLEACHMM*MMLeachEF*NtoN2O*kgtoGg,Constants!$H68*'Net zero Activity data'!AV10*Constants!$H86*FracLEACHMM*MMLeachEF*NtoN2O*kgtoGg)</f>
        <v>6.6151992620882463E-2</v>
      </c>
      <c r="AD1055" s="94">
        <f>IF('Net zero activities &amp; levers'!$C$12="Off",Constants!$H68*'Activity data'!AW10*Constants!$H86*FracLEACHMM*MMLeachEF*NtoN2O*kgtoGg,Constants!$H68*'Net zero Activity data'!AW10*Constants!$H86*FracLEACHMM*MMLeachEF*NtoN2O*kgtoGg)</f>
        <v>6.9050571490334375E-2</v>
      </c>
      <c r="AE1055" s="94">
        <f>IF('Net zero activities &amp; levers'!$C$12="Off",Constants!$H68*'Activity data'!AX10*Constants!$H86*FracLEACHMM*MMLeachEF*NtoN2O*kgtoGg,Constants!$H68*'Net zero Activity data'!AX10*Constants!$H86*FracLEACHMM*MMLeachEF*NtoN2O*kgtoGg)</f>
        <v>7.1942782657683113E-2</v>
      </c>
      <c r="AF1055" s="94">
        <f>IF('Net zero activities &amp; levers'!$C$12="Off",Constants!$H68*'Activity data'!AY10*Constants!$H86*FracLEACHMM*MMLeachEF*NtoN2O*kgtoGg,Constants!$H68*'Net zero Activity data'!AY10*Constants!$H86*FracLEACHMM*MMLeachEF*NtoN2O*kgtoGg)</f>
        <v>7.499198620981147E-2</v>
      </c>
      <c r="AG1055" s="94">
        <f>IF('Net zero activities &amp; levers'!$C$12="Off",Constants!$H68*'Activity data'!AZ10*Constants!$H86*FracLEACHMM*MMLeachEF*NtoN2O*kgtoGg,Constants!$H68*'Net zero Activity data'!AZ10*Constants!$H86*FracLEACHMM*MMLeachEF*NtoN2O*kgtoGg)</f>
        <v>7.8400492834913502E-2</v>
      </c>
      <c r="AH1055" s="94">
        <f>IF('Net zero activities &amp; levers'!$C$12="Off",Constants!$H68*'Activity data'!BA10*Constants!$H86*FracLEACHMM*MMLeachEF*NtoN2O*kgtoGg,Constants!$H68*'Net zero Activity data'!BA10*Constants!$H86*FracLEACHMM*MMLeachEF*NtoN2O*kgtoGg)</f>
        <v>8.1701156762449018E-2</v>
      </c>
      <c r="AI1055" s="94">
        <f>IF('Net zero activities &amp; levers'!$C$12="Off",Constants!$H68*'Activity data'!BB10*Constants!$H86*FracLEACHMM*MMLeachEF*NtoN2O*kgtoGg,Constants!$H68*'Net zero Activity data'!BB10*Constants!$H86*FracLEACHMM*MMLeachEF*NtoN2O*kgtoGg)</f>
        <v>8.5192788556250426E-2</v>
      </c>
      <c r="AJ1055" s="94">
        <f>IF('Net zero activities &amp; levers'!$C$12="Off",Constants!$H68*'Activity data'!BC10*Constants!$H86*FracLEACHMM*MMLeachEF*NtoN2O*kgtoGg,Constants!$H68*'Net zero Activity data'!BC10*Constants!$H86*FracLEACHMM*MMLeachEF*NtoN2O*kgtoGg)</f>
        <v>8.8918442809121118E-2</v>
      </c>
      <c r="AK1055" s="94">
        <f>IF('Net zero activities &amp; levers'!$C$12="Off",Constants!$H68*'Activity data'!BD10*Constants!$H86*FracLEACHMM*MMLeachEF*NtoN2O*kgtoGg,Constants!$H68*'Net zero Activity data'!BD10*Constants!$H86*FracLEACHMM*MMLeachEF*NtoN2O*kgtoGg)</f>
        <v>9.248798577918188E-2</v>
      </c>
      <c r="AL1055" s="94">
        <f>IF('Net zero activities &amp; levers'!$C$12="Off",Constants!$H68*'Activity data'!BE10*Constants!$H86*FracLEACHMM*MMLeachEF*NtoN2O*kgtoGg,Constants!$H68*'Net zero Activity data'!BE10*Constants!$H86*FracLEACHMM*MMLeachEF*NtoN2O*kgtoGg)</f>
        <v>9.6077147406772881E-2</v>
      </c>
      <c r="AM1055" s="94">
        <f>IF('Net zero activities &amp; levers'!$C$12="Off",Constants!$H68*'Activity data'!BF10*Constants!$H86*FracLEACHMM*MMLeachEF*NtoN2O*kgtoGg,Constants!$H68*'Net zero Activity data'!BF10*Constants!$H86*FracLEACHMM*MMLeachEF*NtoN2O*kgtoGg)</f>
        <v>9.9693715805378641E-2</v>
      </c>
      <c r="AN1055" s="94">
        <f>IF('Net zero activities &amp; levers'!$C$12="Off",Constants!$H68*'Activity data'!BG10*Constants!$H86*FracLEACHMM*MMLeachEF*NtoN2O*kgtoGg,Constants!$H68*'Net zero Activity data'!BG10*Constants!$H86*FracLEACHMM*MMLeachEF*NtoN2O*kgtoGg)</f>
        <v>0.10347374306833025</v>
      </c>
      <c r="AO1055" s="94">
        <f>IF('Net zero activities &amp; levers'!$C$12="Off",Constants!$H68*'Activity data'!BH10*Constants!$H86*FracLEACHMM*MMLeachEF*NtoN2O*kgtoGg,Constants!$H68*'Net zero Activity data'!BH10*Constants!$H86*FracLEACHMM*MMLeachEF*NtoN2O*kgtoGg)</f>
        <v>0.1071593390128282</v>
      </c>
      <c r="AP1055" s="94">
        <f>IF('Net zero activities &amp; levers'!$C$12="Off",Constants!$H68*'Activity data'!BI10*Constants!$H86*FracLEACHMM*MMLeachEF*NtoN2O*kgtoGg,Constants!$H68*'Net zero Activity data'!BI10*Constants!$H86*FracLEACHMM*MMLeachEF*NtoN2O*kgtoGg)</f>
        <v>0.11099240238226693</v>
      </c>
      <c r="AQ1055" s="94">
        <f>IF('Net zero activities &amp; levers'!$C$12="Off",Constants!$H68*'Activity data'!BJ10*Constants!$H86*FracLEACHMM*MMLeachEF*NtoN2O*kgtoGg,Constants!$H68*'Net zero Activity data'!BJ10*Constants!$H86*FracLEACHMM*MMLeachEF*NtoN2O*kgtoGg)</f>
        <v>0.11498990238948355</v>
      </c>
      <c r="AR1055" s="94">
        <f>IF('Net zero activities &amp; levers'!$C$12="Off",Constants!$H68*'Activity data'!BK10*Constants!$H86*FracLEACHMM*MMLeachEF*NtoN2O*kgtoGg,Constants!$H68*'Net zero Activity data'!BK10*Constants!$H86*FracLEACHMM*MMLeachEF*NtoN2O*kgtoGg)</f>
        <v>0.11917803768424121</v>
      </c>
      <c r="AS1055" s="94">
        <f>IF('Net zero activities &amp; levers'!$C$12="Off",Constants!$H68*'Activity data'!BL10*Constants!$H86*FracLEACHMM*MMLeachEF*NtoN2O*kgtoGg,Constants!$H68*'Net zero Activity data'!BL10*Constants!$H86*FracLEACHMM*MMLeachEF*NtoN2O*kgtoGg)</f>
        <v>0.12355418732739334</v>
      </c>
      <c r="AT1055" s="94">
        <f>IF('Net zero activities &amp; levers'!$C$12="Off",Constants!$H68*'Activity data'!BM10*Constants!$H86*FracLEACHMM*MMLeachEF*NtoN2O*kgtoGg,Constants!$H68*'Net zero Activity data'!BM10*Constants!$H86*FracLEACHMM*MMLeachEF*NtoN2O*kgtoGg)</f>
        <v>0.1252281322589274</v>
      </c>
      <c r="AU1055" s="94">
        <f>IF('Net zero activities &amp; levers'!$C$12="Off",Constants!$H68*'Activity data'!BN10*Constants!$H86*FracLEACHMM*MMLeachEF*NtoN2O*kgtoGg,Constants!$H68*'Net zero Activity data'!BN10*Constants!$H86*FracLEACHMM*MMLeachEF*NtoN2O*kgtoGg)</f>
        <v>0.1266560621373938</v>
      </c>
      <c r="AV1055" s="94">
        <f>IF('Net zero activities &amp; levers'!$C$12="Off",Constants!$H68*'Activity data'!BO10*Constants!$H86*FracLEACHMM*MMLeachEF*NtoN2O*kgtoGg,Constants!$H68*'Net zero Activity data'!BO10*Constants!$H86*FracLEACHMM*MMLeachEF*NtoN2O*kgtoGg)</f>
        <v>0.12771943748303299</v>
      </c>
      <c r="AW1055" s="94">
        <f>IF('Net zero activities &amp; levers'!$C$12="Off",Constants!$H68*'Activity data'!BP10*Constants!$H86*FracLEACHMM*MMLeachEF*NtoN2O*kgtoGg,Constants!$H68*'Net zero Activity data'!BP10*Constants!$H86*FracLEACHMM*MMLeachEF*NtoN2O*kgtoGg)</f>
        <v>0.12867585314816252</v>
      </c>
      <c r="AY1055" s="79"/>
      <c r="AZ1055" s="79"/>
    </row>
    <row r="1056" spans="1:52" x14ac:dyDescent="0.3">
      <c r="A1056" s="95" t="str">
        <f t="shared" si="345"/>
        <v>DS MM Leaching</v>
      </c>
      <c r="B1056" s="95" t="s">
        <v>974</v>
      </c>
      <c r="C1056" s="95" t="s">
        <v>1333</v>
      </c>
      <c r="D1056" t="s">
        <v>369</v>
      </c>
      <c r="E1056" t="s">
        <v>64</v>
      </c>
      <c r="F1056" t="s">
        <v>63</v>
      </c>
      <c r="G1056" t="s">
        <v>1164</v>
      </c>
      <c r="H1056" t="s">
        <v>1312</v>
      </c>
      <c r="I1056" t="s">
        <v>139</v>
      </c>
      <c r="J1056" t="s">
        <v>287</v>
      </c>
      <c r="K1056" s="94">
        <f>IF('Net zero activities &amp; levers'!$C$12="Off",Constants!$H69*'Activity data'!AD11*Constants!$H87*FracLEACHMM*MMLeachEF*NtoN2O*kgtoGg,IF('Net zero activities &amp; levers'!$C$12="PB",Constants!$H69*'Activity data'!AD11*Constants!$H87*FracLEACHMM*MMLeachEF*NtoN2O*kgtoGg,IF('Net zero activities &amp; levers'!$C$12="MS",Constants!$H69*'Net zero Activity data'!AD11*Constants!$H87*FracLEACHMM*MMLeachEF*NtoN2O*kgtoGg,"ERROR")))</f>
        <v>4.3945619533695716E-3</v>
      </c>
      <c r="L1056" s="94">
        <f>IF('Net zero activities &amp; levers'!$C$12="Off",Constants!$H69*'Activity data'!AE11*Constants!$H87*FracLEACHMM*MMLeachEF*NtoN2O*kgtoGg,IF('Net zero activities &amp; levers'!$C$12="PB",Constants!$H69*'Activity data'!AE11*Constants!$H87*FracLEACHMM*MMLeachEF*NtoN2O*kgtoGg,IF('Net zero activities &amp; levers'!$C$12="MS",Constants!$H69*'Net zero Activity data'!AE11*Constants!$H87*FracLEACHMM*MMLeachEF*NtoN2O*kgtoGg,"ERROR")))</f>
        <v>4.3969380790341763E-3</v>
      </c>
      <c r="M1056" s="94">
        <f>IF('Net zero activities &amp; levers'!$C$12="Off",Constants!$H69*'Activity data'!AF11*Constants!$H87*FracLEACHMM*MMLeachEF*NtoN2O*kgtoGg,IF('Net zero activities &amp; levers'!$C$12="PB",Constants!$H69*'Activity data'!AF11*Constants!$H87*FracLEACHMM*MMLeachEF*NtoN2O*kgtoGg,IF('Net zero activities &amp; levers'!$C$12="MS",Constants!$H69*'Net zero Activity data'!AF11*Constants!$H87*FracLEACHMM*MMLeachEF*NtoN2O*kgtoGg,"ERROR")))</f>
        <v>4.4026193063540784E-3</v>
      </c>
      <c r="N1056" s="94">
        <f>IF('Net zero activities &amp; levers'!$C$12="Off",Constants!$H69*'Activity data'!AG11*Constants!$H87*FracLEACHMM*MMLeachEF*NtoN2O*kgtoGg,IF('Net zero activities &amp; levers'!$C$12="PB",Constants!$H69*'Activity data'!AG11*Constants!$H87*FracLEACHMM*MMLeachEF*NtoN2O*kgtoGg,IF('Net zero activities &amp; levers'!$C$12="MS",Constants!$H69*'Net zero Activity data'!AG11*Constants!$H87*FracLEACHMM*MMLeachEF*NtoN2O*kgtoGg,"ERROR")))</f>
        <v>4.4109963215778836E-3</v>
      </c>
      <c r="O1056" s="94">
        <f>IF('Net zero activities &amp; levers'!$C$12="Off",Constants!$H69*'Activity data'!AH11*Constants!$H87*FracLEACHMM*MMLeachEF*NtoN2O*kgtoGg,IF('Net zero activities &amp; levers'!$C$12="PB",Constants!$H69*'Activity data'!AH11*Constants!$H87*FracLEACHMM*MMLeachEF*NtoN2O*kgtoGg,IF('Net zero activities &amp; levers'!$C$12="MS",Constants!$H69*'Net zero Activity data'!AH11*Constants!$H87*FracLEACHMM*MMLeachEF*NtoN2O*kgtoGg,"ERROR")))</f>
        <v>4.4220158913338588E-3</v>
      </c>
      <c r="P1056" s="94">
        <f>IF('Net zero activities &amp; levers'!$C$12="Off",Constants!$H69*'Activity data'!AI11*Constants!$H87*FracLEACHMM*MMLeachEF*NtoN2O*kgtoGg,IF('Net zero activities &amp; levers'!$C$12="PB",Constants!$H69*'Activity data'!AI11*Constants!$H87*FracLEACHMM*MMLeachEF*NtoN2O*kgtoGg,IF('Net zero activities &amp; levers'!$C$12="MS",Constants!$H69*'Net zero Activity data'!AI11*Constants!$H87*FracLEACHMM*MMLeachEF*NtoN2O*kgtoGg,"ERROR")))</f>
        <v>4.4355616535255637E-3</v>
      </c>
      <c r="Q1056" s="94">
        <f>IF('Net zero activities &amp; levers'!$C$12="Off",Constants!$H69*'Activity data'!AJ11*Constants!$H87*FracLEACHMM*MMLeachEF*NtoN2O*kgtoGg,IF('Net zero activities &amp; levers'!$C$12="PB",Constants!$H69*'Activity data'!AJ11*Constants!$H87*FracLEACHMM*MMLeachEF*NtoN2O*kgtoGg,IF('Net zero activities &amp; levers'!$C$12="MS",Constants!$H69*'Net zero Activity data'!AJ11*Constants!$H87*FracLEACHMM*MMLeachEF*NtoN2O*kgtoGg,"ERROR")))</f>
        <v>4.4507753934109251E-3</v>
      </c>
      <c r="R1056" s="94">
        <f>IF('Net zero activities &amp; levers'!$C$12="Off",Constants!$H69*'Activity data'!AK11*Constants!$H87*FracLEACHMM*MMLeachEF*NtoN2O*kgtoGg,IF('Net zero activities &amp; levers'!$C$12="PB",Constants!$H69*'Activity data'!AK11*Constants!$H87*FracLEACHMM*MMLeachEF*NtoN2O*kgtoGg,IF('Net zero activities &amp; levers'!$C$12="MS",Constants!$H69*'Net zero Activity data'!AK11*Constants!$H87*FracLEACHMM*MMLeachEF*NtoN2O*kgtoGg,"ERROR")))</f>
        <v>4.467561061292976E-3</v>
      </c>
      <c r="S1056" s="94">
        <f>IF('Net zero activities &amp; levers'!$C$12="Off",Constants!$H69*'Activity data'!AL11*Constants!$H87*FracLEACHMM*MMLeachEF*NtoN2O*kgtoGg,IF('Net zero activities &amp; levers'!$C$12="PB",Constants!$H69*'Activity data'!AL11*Constants!$H87*FracLEACHMM*MMLeachEF*NtoN2O*kgtoGg,IF('Net zero activities &amp; levers'!$C$12="MS",Constants!$H69*'Net zero Activity data'!AL11*Constants!$H87*FracLEACHMM*MMLeachEF*NtoN2O*kgtoGg,"ERROR")))</f>
        <v>4.4829106304263445E-3</v>
      </c>
      <c r="T1056" s="94">
        <f>IF('Net zero activities &amp; levers'!$C$12="Off",Constants!$H69*'Activity data'!AM11*Constants!$H87*FracLEACHMM*MMLeachEF*NtoN2O*kgtoGg,IF('Net zero activities &amp; levers'!$C$12="PB",Constants!$H69*'Activity data'!AM11*Constants!$H87*FracLEACHMM*MMLeachEF*NtoN2O*kgtoGg,IF('Net zero activities &amp; levers'!$C$12="MS",Constants!$H69*'Net zero Activity data'!AM11*Constants!$H87*FracLEACHMM*MMLeachEF*NtoN2O*kgtoGg,"ERROR")))</f>
        <v>4.4896556027107107E-3</v>
      </c>
      <c r="U1056" s="94">
        <f>IF('Net zero activities &amp; levers'!$C$12="Off",Constants!$H69*'Activity data'!AN11*Constants!$H87*FracLEACHMM*MMLeachEF*NtoN2O*kgtoGg,IF('Net zero activities &amp; levers'!$C$12="PB",Constants!$H69*'Activity data'!AN11*Constants!$H87*FracLEACHMM*MMLeachEF*NtoN2O*kgtoGg,IF('Net zero activities &amp; levers'!$C$12="MS",Constants!$H69*'Net zero Activity data'!AN11*Constants!$H87*FracLEACHMM*MMLeachEF*NtoN2O*kgtoGg,"ERROR")))</f>
        <v>4.4978926629073816E-3</v>
      </c>
      <c r="V1056" s="94">
        <f>IF('Net zero activities &amp; levers'!$C$12="Off",Constants!$H69*'Activity data'!AO11*Constants!$H87*FracLEACHMM*MMLeachEF*NtoN2O*kgtoGg,IF('Net zero activities &amp; levers'!$C$12="PB",Constants!$H69*'Activity data'!AO11*Constants!$H87*FracLEACHMM*MMLeachEF*NtoN2O*kgtoGg,IF('Net zero activities &amp; levers'!$C$12="MS",Constants!$H69*'Net zero Activity data'!AO11*Constants!$H87*FracLEACHMM*MMLeachEF*NtoN2O*kgtoGg,"ERROR")))</f>
        <v>4.5065504561298229E-3</v>
      </c>
      <c r="W1056" s="94">
        <f>IF('Net zero activities &amp; levers'!$C$12="Off",Constants!$H69*'Activity data'!AP11*Constants!$H87*FracLEACHMM*MMLeachEF*NtoN2O*kgtoGg,IF('Net zero activities &amp; levers'!$C$12="PB",Constants!$H69*'Activity data'!AP11*Constants!$H87*FracLEACHMM*MMLeachEF*NtoN2O*kgtoGg,IF('Net zero activities &amp; levers'!$C$12="MS",Constants!$H69*'Net zero Activity data'!AP11*Constants!$H87*FracLEACHMM*MMLeachEF*NtoN2O*kgtoGg,"ERROR")))</f>
        <v>4.5162706773714013E-3</v>
      </c>
      <c r="X1056" s="94">
        <f>IF('Net zero activities &amp; levers'!$C$12="Off",Constants!$H69*'Activity data'!AQ11*Constants!$H87*FracLEACHMM*MMLeachEF*NtoN2O*kgtoGg,IF('Net zero activities &amp; levers'!$C$12="PB",Constants!$H69*'Activity data'!AQ11*Constants!$H87*FracLEACHMM*MMLeachEF*NtoN2O*kgtoGg,IF('Net zero activities &amp; levers'!$C$12="MS",Constants!$H69*'Net zero Activity data'!AQ11*Constants!$H87*FracLEACHMM*MMLeachEF*NtoN2O*kgtoGg,"ERROR")))</f>
        <v>4.527026129260852E-3</v>
      </c>
      <c r="Y1056" s="94">
        <f>IF('Net zero activities &amp; levers'!$C$12="Off",Constants!$H69*'Activity data'!AR11*Constants!$H87*FracLEACHMM*MMLeachEF*NtoN2O*kgtoGg,IF('Net zero activities &amp; levers'!$C$12="PB",Constants!$H69*'Activity data'!AR11*Constants!$H87*FracLEACHMM*MMLeachEF*NtoN2O*kgtoGg,IF('Net zero activities &amp; levers'!$C$12="MS",Constants!$H69*'Net zero Activity data'!AR11*Constants!$H87*FracLEACHMM*MMLeachEF*NtoN2O*kgtoGg,"ERROR")))</f>
        <v>4.5337431797518573E-3</v>
      </c>
      <c r="Z1056" s="94">
        <f>IF('Net zero activities &amp; levers'!$C$12="Off",Constants!$H69*'Activity data'!AS11*Constants!$H87*FracLEACHMM*MMLeachEF*NtoN2O*kgtoGg,IF('Net zero activities &amp; levers'!$C$12="PB",Constants!$H69*'Activity data'!AS11*Constants!$H87*FracLEACHMM*MMLeachEF*NtoN2O*kgtoGg,IF('Net zero activities &amp; levers'!$C$12="MS",Constants!$H69*'Net zero Activity data'!AS11*Constants!$H87*FracLEACHMM*MMLeachEF*NtoN2O*kgtoGg,"ERROR")))</f>
        <v>4.5413317440573253E-3</v>
      </c>
      <c r="AA1056" s="94">
        <f>IF('Net zero activities &amp; levers'!$C$12="Off",Constants!$H69*'Activity data'!AT11*Constants!$H87*FracLEACHMM*MMLeachEF*NtoN2O*kgtoGg,IF('Net zero activities &amp; levers'!$C$12="PB",Constants!$H69*'Activity data'!AT11*Constants!$H87*FracLEACHMM*MMLeachEF*NtoN2O*kgtoGg,IF('Net zero activities &amp; levers'!$C$12="MS",Constants!$H69*'Net zero Activity data'!AT11*Constants!$H87*FracLEACHMM*MMLeachEF*NtoN2O*kgtoGg,"ERROR")))</f>
        <v>4.5496892838415501E-3</v>
      </c>
      <c r="AB1056" s="94">
        <f>IF('Net zero activities &amp; levers'!$C$12="Off",Constants!$H69*'Activity data'!AU11*Constants!$H87*FracLEACHMM*MMLeachEF*NtoN2O*kgtoGg,IF('Net zero activities &amp; levers'!$C$12="PB",Constants!$H69*'Activity data'!AU11*Constants!$H87*FracLEACHMM*MMLeachEF*NtoN2O*kgtoGg,IF('Net zero activities &amp; levers'!$C$12="MS",Constants!$H69*'Net zero Activity data'!AU11*Constants!$H87*FracLEACHMM*MMLeachEF*NtoN2O*kgtoGg,"ERROR")))</f>
        <v>4.5588387793970616E-3</v>
      </c>
      <c r="AC1056" s="94">
        <f>IF('Net zero activities &amp; levers'!$C$12="Off",Constants!$H69*'Activity data'!AV11*Constants!$H87*FracLEACHMM*MMLeachEF*NtoN2O*kgtoGg,IF('Net zero activities &amp; levers'!$C$12="PB",Constants!$H69*'Activity data'!AV11*Constants!$H87*FracLEACHMM*MMLeachEF*NtoN2O*kgtoGg,IF('Net zero activities &amp; levers'!$C$12="MS",Constants!$H69*'Net zero Activity data'!AV11*Constants!$H87*FracLEACHMM*MMLeachEF*NtoN2O*kgtoGg,"ERROR")))</f>
        <v>4.5686857941763257E-3</v>
      </c>
      <c r="AD1056" s="94">
        <f>IF('Net zero activities &amp; levers'!$C$12="Off",Constants!$H69*'Activity data'!AW11*Constants!$H87*FracLEACHMM*MMLeachEF*NtoN2O*kgtoGg,IF('Net zero activities &amp; levers'!$C$12="PB",Constants!$H69*'Activity data'!AW11*Constants!$H87*FracLEACHMM*MMLeachEF*NtoN2O*kgtoGg,IF('Net zero activities &amp; levers'!$C$12="MS",Constants!$H69*'Net zero Activity data'!AW11*Constants!$H87*FracLEACHMM*MMLeachEF*NtoN2O*kgtoGg,"ERROR")))</f>
        <v>4.5752913220902473E-3</v>
      </c>
      <c r="AE1056" s="94">
        <f>IF('Net zero activities &amp; levers'!$C$12="Off",Constants!$H69*'Activity data'!AX11*Constants!$H87*FracLEACHMM*MMLeachEF*NtoN2O*kgtoGg,IF('Net zero activities &amp; levers'!$C$12="PB",Constants!$H69*'Activity data'!AX11*Constants!$H87*FracLEACHMM*MMLeachEF*NtoN2O*kgtoGg,IF('Net zero activities &amp; levers'!$C$12="MS",Constants!$H69*'Net zero Activity data'!AX11*Constants!$H87*FracLEACHMM*MMLeachEF*NtoN2O*kgtoGg,"ERROR")))</f>
        <v>4.582462373127697E-3</v>
      </c>
      <c r="AF1056" s="94">
        <f>IF('Net zero activities &amp; levers'!$C$12="Off",Constants!$H69*'Activity data'!AY11*Constants!$H87*FracLEACHMM*MMLeachEF*NtoN2O*kgtoGg,IF('Net zero activities &amp; levers'!$C$12="PB",Constants!$H69*'Activity data'!AY11*Constants!$H87*FracLEACHMM*MMLeachEF*NtoN2O*kgtoGg,IF('Net zero activities &amp; levers'!$C$12="MS",Constants!$H69*'Net zero Activity data'!AY11*Constants!$H87*FracLEACHMM*MMLeachEF*NtoN2O*kgtoGg,"ERROR")))</f>
        <v>4.5902565907943761E-3</v>
      </c>
      <c r="AG1056" s="94">
        <f>IF('Net zero activities &amp; levers'!$C$12="Off",Constants!$H69*'Activity data'!AZ11*Constants!$H87*FracLEACHMM*MMLeachEF*NtoN2O*kgtoGg,IF('Net zero activities &amp; levers'!$C$12="PB",Constants!$H69*'Activity data'!AZ11*Constants!$H87*FracLEACHMM*MMLeachEF*NtoN2O*kgtoGg,IF('Net zero activities &amp; levers'!$C$12="MS",Constants!$H69*'Net zero Activity data'!AZ11*Constants!$H87*FracLEACHMM*MMLeachEF*NtoN2O*kgtoGg,"ERROR")))</f>
        <v>4.59875005922699E-3</v>
      </c>
      <c r="AH1056" s="94">
        <f>IF('Net zero activities &amp; levers'!$C$12="Off",Constants!$H69*'Activity data'!BA11*Constants!$H87*FracLEACHMM*MMLeachEF*NtoN2O*kgtoGg,IF('Net zero activities &amp; levers'!$C$12="PB",Constants!$H69*'Activity data'!BA11*Constants!$H87*FracLEACHMM*MMLeachEF*NtoN2O*kgtoGg,IF('Net zero activities &amp; levers'!$C$12="MS",Constants!$H69*'Net zero Activity data'!BA11*Constants!$H87*FracLEACHMM*MMLeachEF*NtoN2O*kgtoGg,"ERROR")))</f>
        <v>4.6076877369256993E-3</v>
      </c>
      <c r="AI1056" s="94">
        <f>IF('Net zero activities &amp; levers'!$C$12="Off",Constants!$H69*'Activity data'!BB11*Constants!$H87*FracLEACHMM*MMLeachEF*NtoN2O*kgtoGg,IF('Net zero activities &amp; levers'!$C$12="PB",Constants!$H69*'Activity data'!BB11*Constants!$H87*FracLEACHMM*MMLeachEF*NtoN2O*kgtoGg,IF('Net zero activities &amp; levers'!$C$12="MS",Constants!$H69*'Net zero Activity data'!BB11*Constants!$H87*FracLEACHMM*MMLeachEF*NtoN2O*kgtoGg,"ERROR")))</f>
        <v>4.6134006720946743E-3</v>
      </c>
      <c r="AJ1056" s="94">
        <f>IF('Net zero activities &amp; levers'!$C$12="Off",Constants!$H69*'Activity data'!BC11*Constants!$H87*FracLEACHMM*MMLeachEF*NtoN2O*kgtoGg,IF('Net zero activities &amp; levers'!$C$12="PB",Constants!$H69*'Activity data'!BC11*Constants!$H87*FracLEACHMM*MMLeachEF*NtoN2O*kgtoGg,IF('Net zero activities &amp; levers'!$C$12="MS",Constants!$H69*'Net zero Activity data'!BC11*Constants!$H87*FracLEACHMM*MMLeachEF*NtoN2O*kgtoGg,"ERROR")))</f>
        <v>4.6196582419180043E-3</v>
      </c>
      <c r="AK1056" s="94">
        <f>IF('Net zero activities &amp; levers'!$C$12="Off",Constants!$H69*'Activity data'!BD11*Constants!$H87*FracLEACHMM*MMLeachEF*NtoN2O*kgtoGg,IF('Net zero activities &amp; levers'!$C$12="PB",Constants!$H69*'Activity data'!BD11*Constants!$H87*FracLEACHMM*MMLeachEF*NtoN2O*kgtoGg,IF('Net zero activities &amp; levers'!$C$12="MS",Constants!$H69*'Net zero Activity data'!BD11*Constants!$H87*FracLEACHMM*MMLeachEF*NtoN2O*kgtoGg,"ERROR")))</f>
        <v>4.626254058673806E-3</v>
      </c>
      <c r="AL1056" s="94">
        <f>IF('Net zero activities &amp; levers'!$C$12="Off",Constants!$H69*'Activity data'!BE11*Constants!$H87*FracLEACHMM*MMLeachEF*NtoN2O*kgtoGg,IF('Net zero activities &amp; levers'!$C$12="PB",Constants!$H69*'Activity data'!BE11*Constants!$H87*FracLEACHMM*MMLeachEF*NtoN2O*kgtoGg,IF('Net zero activities &amp; levers'!$C$12="MS",Constants!$H69*'Net zero Activity data'!BE11*Constants!$H87*FracLEACHMM*MMLeachEF*NtoN2O*kgtoGg,"ERROR")))</f>
        <v>4.6332583415557996E-3</v>
      </c>
      <c r="AM1056" s="94">
        <f>IF('Net zero activities &amp; levers'!$C$12="Off",Constants!$H69*'Activity data'!BF11*Constants!$H87*FracLEACHMM*MMLeachEF*NtoN2O*kgtoGg,IF('Net zero activities &amp; levers'!$C$12="PB",Constants!$H69*'Activity data'!BF11*Constants!$H87*FracLEACHMM*MMLeachEF*NtoN2O*kgtoGg,IF('Net zero activities &amp; levers'!$C$12="MS",Constants!$H69*'Net zero Activity data'!BF11*Constants!$H87*FracLEACHMM*MMLeachEF*NtoN2O*kgtoGg,"ERROR")))</f>
        <v>4.6406604705372459E-3</v>
      </c>
      <c r="AN1056" s="94">
        <f>IF('Net zero activities &amp; levers'!$C$12="Off",Constants!$H69*'Activity data'!BG11*Constants!$H87*FracLEACHMM*MMLeachEF*NtoN2O*kgtoGg,IF('Net zero activities &amp; levers'!$C$12="PB",Constants!$H69*'Activity data'!BG11*Constants!$H87*FracLEACHMM*MMLeachEF*NtoN2O*kgtoGg,IF('Net zero activities &amp; levers'!$C$12="MS",Constants!$H69*'Net zero Activity data'!BG11*Constants!$H87*FracLEACHMM*MMLeachEF*NtoN2O*kgtoGg,"ERROR")))</f>
        <v>4.6450341959288514E-3</v>
      </c>
      <c r="AO1056" s="94">
        <f>IF('Net zero activities &amp; levers'!$C$12="Off",Constants!$H69*'Activity data'!BH11*Constants!$H87*FracLEACHMM*MMLeachEF*NtoN2O*kgtoGg,IF('Net zero activities &amp; levers'!$C$12="PB",Constants!$H69*'Activity data'!BH11*Constants!$H87*FracLEACHMM*MMLeachEF*NtoN2O*kgtoGg,IF('Net zero activities &amp; levers'!$C$12="MS",Constants!$H69*'Net zero Activity data'!BH11*Constants!$H87*FracLEACHMM*MMLeachEF*NtoN2O*kgtoGg,"ERROR")))</f>
        <v>4.6497032008589968E-3</v>
      </c>
      <c r="AP1056" s="94">
        <f>IF('Net zero activities &amp; levers'!$C$12="Off",Constants!$H69*'Activity data'!BI11*Constants!$H87*FracLEACHMM*MMLeachEF*NtoN2O*kgtoGg,IF('Net zero activities &amp; levers'!$C$12="PB",Constants!$H69*'Activity data'!BI11*Constants!$H87*FracLEACHMM*MMLeachEF*NtoN2O*kgtoGg,IF('Net zero activities &amp; levers'!$C$12="MS",Constants!$H69*'Net zero Activity data'!BI11*Constants!$H87*FracLEACHMM*MMLeachEF*NtoN2O*kgtoGg,"ERROR")))</f>
        <v>4.6547677652323564E-3</v>
      </c>
      <c r="AQ1056" s="94">
        <f>IF('Net zero activities &amp; levers'!$C$12="Off",Constants!$H69*'Activity data'!BJ11*Constants!$H87*FracLEACHMM*MMLeachEF*NtoN2O*kgtoGg,IF('Net zero activities &amp; levers'!$C$12="PB",Constants!$H69*'Activity data'!BJ11*Constants!$H87*FracLEACHMM*MMLeachEF*NtoN2O*kgtoGg,IF('Net zero activities &amp; levers'!$C$12="MS",Constants!$H69*'Net zero Activity data'!BJ11*Constants!$H87*FracLEACHMM*MMLeachEF*NtoN2O*kgtoGg,"ERROR")))</f>
        <v>4.6602229926895984E-3</v>
      </c>
      <c r="AR1056" s="94">
        <f>IF('Net zero activities &amp; levers'!$C$12="Off",Constants!$H69*'Activity data'!BK11*Constants!$H87*FracLEACHMM*MMLeachEF*NtoN2O*kgtoGg,IF('Net zero activities &amp; levers'!$C$12="PB",Constants!$H69*'Activity data'!BK11*Constants!$H87*FracLEACHMM*MMLeachEF*NtoN2O*kgtoGg,IF('Net zero activities &amp; levers'!$C$12="MS",Constants!$H69*'Net zero Activity data'!BK11*Constants!$H87*FracLEACHMM*MMLeachEF*NtoN2O*kgtoGg,"ERROR")))</f>
        <v>4.6660687701808173E-3</v>
      </c>
      <c r="AS1056" s="94">
        <f>IF('Net zero activities &amp; levers'!$C$12="Off",Constants!$H69*'Activity data'!BL11*Constants!$H87*FracLEACHMM*MMLeachEF*NtoN2O*kgtoGg,IF('Net zero activities &amp; levers'!$C$12="PB",Constants!$H69*'Activity data'!BL11*Constants!$H87*FracLEACHMM*MMLeachEF*NtoN2O*kgtoGg,IF('Net zero activities &amp; levers'!$C$12="MS",Constants!$H69*'Net zero Activity data'!BL11*Constants!$H87*FracLEACHMM*MMLeachEF*NtoN2O*kgtoGg,"ERROR")))</f>
        <v>4.6687208592955552E-3</v>
      </c>
      <c r="AT1056" s="94">
        <f>IF('Net zero activities &amp; levers'!$C$12="Off",Constants!$H69*'Activity data'!BM11*Constants!$H87*FracLEACHMM*MMLeachEF*NtoN2O*kgtoGg,IF('Net zero activities &amp; levers'!$C$12="PB",Constants!$H69*'Activity data'!BM11*Constants!$H87*FracLEACHMM*MMLeachEF*NtoN2O*kgtoGg,IF('Net zero activities &amp; levers'!$C$12="MS",Constants!$H69*'Net zero Activity data'!BM11*Constants!$H87*FracLEACHMM*MMLeachEF*NtoN2O*kgtoGg,"ERROR")))</f>
        <v>4.6704299553969519E-3</v>
      </c>
      <c r="AU1056" s="94">
        <f>IF('Net zero activities &amp; levers'!$C$12="Off",Constants!$H69*'Activity data'!BN11*Constants!$H87*FracLEACHMM*MMLeachEF*NtoN2O*kgtoGg,IF('Net zero activities &amp; levers'!$C$12="PB",Constants!$H69*'Activity data'!BN11*Constants!$H87*FracLEACHMM*MMLeachEF*NtoN2O*kgtoGg,IF('Net zero activities &amp; levers'!$C$12="MS",Constants!$H69*'Net zero Activity data'!BN11*Constants!$H87*FracLEACHMM*MMLeachEF*NtoN2O*kgtoGg,"ERROR")))</f>
        <v>4.6723034477338006E-3</v>
      </c>
      <c r="AV1056" s="94">
        <f>IF('Net zero activities &amp; levers'!$C$12="Off",Constants!$H69*'Activity data'!BO11*Constants!$H87*FracLEACHMM*MMLeachEF*NtoN2O*kgtoGg,IF('Net zero activities &amp; levers'!$C$12="PB",Constants!$H69*'Activity data'!BO11*Constants!$H87*FracLEACHMM*MMLeachEF*NtoN2O*kgtoGg,IF('Net zero activities &amp; levers'!$C$12="MS",Constants!$H69*'Net zero Activity data'!BO11*Constants!$H87*FracLEACHMM*MMLeachEF*NtoN2O*kgtoGg,"ERROR")))</f>
        <v>4.6742823579489622E-3</v>
      </c>
      <c r="AW1056" s="94">
        <f>IF('Net zero activities &amp; levers'!$C$12="Off",Constants!$H69*'Activity data'!BP11*Constants!$H87*FracLEACHMM*MMLeachEF*NtoN2O*kgtoGg,IF('Net zero activities &amp; levers'!$C$12="PB",Constants!$H69*'Activity data'!BP11*Constants!$H87*FracLEACHMM*MMLeachEF*NtoN2O*kgtoGg,IF('Net zero activities &amp; levers'!$C$12="MS",Constants!$H69*'Net zero Activity data'!BP11*Constants!$H87*FracLEACHMM*MMLeachEF*NtoN2O*kgtoGg,"ERROR")))</f>
        <v>4.6764744826629494E-3</v>
      </c>
      <c r="AY1056" s="79"/>
      <c r="AZ1056" s="79"/>
    </row>
    <row r="1057" spans="1:52" x14ac:dyDescent="0.3">
      <c r="A1057" s="95" t="str">
        <f t="shared" si="345"/>
        <v>DS MM Leaching</v>
      </c>
      <c r="B1057" s="95" t="s">
        <v>974</v>
      </c>
      <c r="C1057" s="95" t="s">
        <v>1333</v>
      </c>
      <c r="D1057" t="s">
        <v>369</v>
      </c>
      <c r="E1057" t="s">
        <v>64</v>
      </c>
      <c r="F1057" t="s">
        <v>63</v>
      </c>
      <c r="G1057" t="s">
        <v>1166</v>
      </c>
      <c r="H1057" t="s">
        <v>1313</v>
      </c>
      <c r="I1057" t="s">
        <v>139</v>
      </c>
      <c r="J1057" t="s">
        <v>287</v>
      </c>
      <c r="K1057" s="94">
        <f>IF('Net zero activities &amp; levers'!$C$12="Off",Constants!$H70*'Activity data'!AD12*Constants!$H88*FracLEACHMM*MMLeachEF*NtoN2O*kgtoGg,IF('Net zero activities &amp; levers'!$C$12="PB",Constants!$H70*'Activity data'!AD12*Constants!$H88*FracLEACHMM*MMLeachEF*NtoN2O*kgtoGg,IF('Net zero activities &amp; levers'!$C$12="MS",Constants!$H70*'Net zero Activity data'!AD12*Constants!$H88*FracLEACHMM*MMLeachEF*NtoN2O*kgtoGg,"ERROR")))</f>
        <v>3.6554846257269864E-3</v>
      </c>
      <c r="L1057" s="94">
        <f>IF('Net zero activities &amp; levers'!$C$12="Off",Constants!$H70*'Activity data'!AE12*Constants!$H88*FracLEACHMM*MMLeachEF*NtoN2O*kgtoGg,IF('Net zero activities &amp; levers'!$C$12="PB",Constants!$H70*'Activity data'!AE12*Constants!$H88*FracLEACHMM*MMLeachEF*NtoN2O*kgtoGg,IF('Net zero activities &amp; levers'!$C$12="MS",Constants!$H70*'Net zero Activity data'!AE12*Constants!$H88*FracLEACHMM*MMLeachEF*NtoN2O*kgtoGg,"ERROR")))</f>
        <v>3.6574611346322943E-3</v>
      </c>
      <c r="M1057" s="94">
        <f>IF('Net zero activities &amp; levers'!$C$12="Off",Constants!$H70*'Activity data'!AF12*Constants!$H88*FracLEACHMM*MMLeachEF*NtoN2O*kgtoGg,IF('Net zero activities &amp; levers'!$C$12="PB",Constants!$H70*'Activity data'!AF12*Constants!$H88*FracLEACHMM*MMLeachEF*NtoN2O*kgtoGg,IF('Net zero activities &amp; levers'!$C$12="MS",Constants!$H70*'Net zero Activity data'!AF12*Constants!$H88*FracLEACHMM*MMLeachEF*NtoN2O*kgtoGg,"ERROR")))</f>
        <v>3.662186893272979E-3</v>
      </c>
      <c r="N1057" s="94">
        <f>IF('Net zero activities &amp; levers'!$C$12="Off",Constants!$H70*'Activity data'!AG12*Constants!$H88*FracLEACHMM*MMLeachEF*NtoN2O*kgtoGg,IF('Net zero activities &amp; levers'!$C$12="PB",Constants!$H70*'Activity data'!AG12*Constants!$H88*FracLEACHMM*MMLeachEF*NtoN2O*kgtoGg,IF('Net zero activities &amp; levers'!$C$12="MS",Constants!$H70*'Net zero Activity data'!AG12*Constants!$H88*FracLEACHMM*MMLeachEF*NtoN2O*kgtoGg,"ERROR")))</f>
        <v>3.6691550622702605E-3</v>
      </c>
      <c r="O1057" s="94">
        <f>IF('Net zero activities &amp; levers'!$C$12="Off",Constants!$H70*'Activity data'!AH12*Constants!$H88*FracLEACHMM*MMLeachEF*NtoN2O*kgtoGg,IF('Net zero activities &amp; levers'!$C$12="PB",Constants!$H70*'Activity data'!AH12*Constants!$H88*FracLEACHMM*MMLeachEF*NtoN2O*kgtoGg,IF('Net zero activities &amp; levers'!$C$12="MS",Constants!$H70*'Net zero Activity data'!AH12*Constants!$H88*FracLEACHMM*MMLeachEF*NtoN2O*kgtoGg,"ERROR")))</f>
        <v>3.6783213610396305E-3</v>
      </c>
      <c r="P1057" s="94">
        <f>IF('Net zero activities &amp; levers'!$C$12="Off",Constants!$H70*'Activity data'!AI12*Constants!$H88*FracLEACHMM*MMLeachEF*NtoN2O*kgtoGg,IF('Net zero activities &amp; levers'!$C$12="PB",Constants!$H70*'Activity data'!AI12*Constants!$H88*FracLEACHMM*MMLeachEF*NtoN2O*kgtoGg,IF('Net zero activities &amp; levers'!$C$12="MS",Constants!$H70*'Net zero Activity data'!AI12*Constants!$H88*FracLEACHMM*MMLeachEF*NtoN2O*kgtoGg,"ERROR")))</f>
        <v>3.6895889972593382E-3</v>
      </c>
      <c r="Q1057" s="94">
        <f>IF('Net zero activities &amp; levers'!$C$12="Off",Constants!$H70*'Activity data'!AJ12*Constants!$H88*FracLEACHMM*MMLeachEF*NtoN2O*kgtoGg,IF('Net zero activities &amp; levers'!$C$12="PB",Constants!$H70*'Activity data'!AJ12*Constants!$H88*FracLEACHMM*MMLeachEF*NtoN2O*kgtoGg,IF('Net zero activities &amp; levers'!$C$12="MS",Constants!$H70*'Net zero Activity data'!AJ12*Constants!$H88*FracLEACHMM*MMLeachEF*NtoN2O*kgtoGg,"ERROR")))</f>
        <v>3.7022440907227717E-3</v>
      </c>
      <c r="R1057" s="94">
        <f>IF('Net zero activities &amp; levers'!$C$12="Off",Constants!$H70*'Activity data'!AK12*Constants!$H88*FracLEACHMM*MMLeachEF*NtoN2O*kgtoGg,IF('Net zero activities &amp; levers'!$C$12="PB",Constants!$H70*'Activity data'!AK12*Constants!$H88*FracLEACHMM*MMLeachEF*NtoN2O*kgtoGg,IF('Net zero activities &amp; levers'!$C$12="MS",Constants!$H70*'Net zero Activity data'!AK12*Constants!$H88*FracLEACHMM*MMLeachEF*NtoN2O*kgtoGg,"ERROR")))</f>
        <v>3.7162067453687837E-3</v>
      </c>
      <c r="S1057" s="94">
        <f>IF('Net zero activities &amp; levers'!$C$12="Off",Constants!$H70*'Activity data'!AL12*Constants!$H88*FracLEACHMM*MMLeachEF*NtoN2O*kgtoGg,IF('Net zero activities &amp; levers'!$C$12="PB",Constants!$H70*'Activity data'!AL12*Constants!$H88*FracLEACHMM*MMLeachEF*NtoN2O*kgtoGg,IF('Net zero activities &amp; levers'!$C$12="MS",Constants!$H70*'Net zero Activity data'!AL12*Constants!$H88*FracLEACHMM*MMLeachEF*NtoN2O*kgtoGg,"ERROR")))</f>
        <v>3.7289748243204386E-3</v>
      </c>
      <c r="T1057" s="94">
        <f>IF('Net zero activities &amp; levers'!$C$12="Off",Constants!$H70*'Activity data'!AM12*Constants!$H88*FracLEACHMM*MMLeachEF*NtoN2O*kgtoGg,IF('Net zero activities &amp; levers'!$C$12="PB",Constants!$H70*'Activity data'!AM12*Constants!$H88*FracLEACHMM*MMLeachEF*NtoN2O*kgtoGg,IF('Net zero activities &amp; levers'!$C$12="MS",Constants!$H70*'Net zero Activity data'!AM12*Constants!$H88*FracLEACHMM*MMLeachEF*NtoN2O*kgtoGg,"ERROR")))</f>
        <v>3.7345854273220752E-3</v>
      </c>
      <c r="U1057" s="94">
        <f>IF('Net zero activities &amp; levers'!$C$12="Off",Constants!$H70*'Activity data'!AN12*Constants!$H88*FracLEACHMM*MMLeachEF*NtoN2O*kgtoGg,IF('Net zero activities &amp; levers'!$C$12="PB",Constants!$H70*'Activity data'!AN12*Constants!$H88*FracLEACHMM*MMLeachEF*NtoN2O*kgtoGg,IF('Net zero activities &amp; levers'!$C$12="MS",Constants!$H70*'Net zero Activity data'!AN12*Constants!$H88*FracLEACHMM*MMLeachEF*NtoN2O*kgtoGg,"ERROR")))</f>
        <v>3.7414371789254476E-3</v>
      </c>
      <c r="V1057" s="94">
        <f>IF('Net zero activities &amp; levers'!$C$12="Off",Constants!$H70*'Activity data'!AO12*Constants!$H88*FracLEACHMM*MMLeachEF*NtoN2O*kgtoGg,IF('Net zero activities &amp; levers'!$C$12="PB",Constants!$H70*'Activity data'!AO12*Constants!$H88*FracLEACHMM*MMLeachEF*NtoN2O*kgtoGg,IF('Net zero activities &amp; levers'!$C$12="MS",Constants!$H70*'Net zero Activity data'!AO12*Constants!$H88*FracLEACHMM*MMLeachEF*NtoN2O*kgtoGg,"ERROR")))</f>
        <v>3.7486389046840498E-3</v>
      </c>
      <c r="W1057" s="94">
        <f>IF('Net zero activities &amp; levers'!$C$12="Off",Constants!$H70*'Activity data'!AP12*Constants!$H88*FracLEACHMM*MMLeachEF*NtoN2O*kgtoGg,IF('Net zero activities &amp; levers'!$C$12="PB",Constants!$H70*'Activity data'!AP12*Constants!$H88*FracLEACHMM*MMLeachEF*NtoN2O*kgtoGg,IF('Net zero activities &amp; levers'!$C$12="MS",Constants!$H70*'Net zero Activity data'!AP12*Constants!$H88*FracLEACHMM*MMLeachEF*NtoN2O*kgtoGg,"ERROR")))</f>
        <v>3.7567243793421119E-3</v>
      </c>
      <c r="X1057" s="94">
        <f>IF('Net zero activities &amp; levers'!$C$12="Off",Constants!$H70*'Activity data'!AQ12*Constants!$H88*FracLEACHMM*MMLeachEF*NtoN2O*kgtoGg,IF('Net zero activities &amp; levers'!$C$12="PB",Constants!$H70*'Activity data'!AQ12*Constants!$H88*FracLEACHMM*MMLeachEF*NtoN2O*kgtoGg,IF('Net zero activities &amp; levers'!$C$12="MS",Constants!$H70*'Net zero Activity data'!AQ12*Constants!$H88*FracLEACHMM*MMLeachEF*NtoN2O*kgtoGg,"ERROR")))</f>
        <v>3.7656709795816407E-3</v>
      </c>
      <c r="Y1057" s="94">
        <f>IF('Net zero activities &amp; levers'!$C$12="Off",Constants!$H70*'Activity data'!AR12*Constants!$H88*FracLEACHMM*MMLeachEF*NtoN2O*kgtoGg,IF('Net zero activities &amp; levers'!$C$12="PB",Constants!$H70*'Activity data'!AR12*Constants!$H88*FracLEACHMM*MMLeachEF*NtoN2O*kgtoGg,IF('Net zero activities &amp; levers'!$C$12="MS",Constants!$H70*'Net zero Activity data'!AR12*Constants!$H88*FracLEACHMM*MMLeachEF*NtoN2O*kgtoGg,"ERROR")))</f>
        <v>3.7712583566764787E-3</v>
      </c>
      <c r="Z1057" s="94">
        <f>IF('Net zero activities &amp; levers'!$C$12="Off",Constants!$H70*'Activity data'!AS12*Constants!$H88*FracLEACHMM*MMLeachEF*NtoN2O*kgtoGg,IF('Net zero activities &amp; levers'!$C$12="PB",Constants!$H70*'Activity data'!AS12*Constants!$H88*FracLEACHMM*MMLeachEF*NtoN2O*kgtoGg,IF('Net zero activities &amp; levers'!$C$12="MS",Constants!$H70*'Net zero Activity data'!AS12*Constants!$H88*FracLEACHMM*MMLeachEF*NtoN2O*kgtoGg,"ERROR")))</f>
        <v>3.7775706764126256E-3</v>
      </c>
      <c r="AA1057" s="94">
        <f>IF('Net zero activities &amp; levers'!$C$12="Off",Constants!$H70*'Activity data'!AT12*Constants!$H88*FracLEACHMM*MMLeachEF*NtoN2O*kgtoGg,IF('Net zero activities &amp; levers'!$C$12="PB",Constants!$H70*'Activity data'!AT12*Constants!$H88*FracLEACHMM*MMLeachEF*NtoN2O*kgtoGg,IF('Net zero activities &amp; levers'!$C$12="MS",Constants!$H70*'Net zero Activity data'!AT12*Constants!$H88*FracLEACHMM*MMLeachEF*NtoN2O*kgtoGg,"ERROR")))</f>
        <v>3.784522645349305E-3</v>
      </c>
      <c r="AB1057" s="94">
        <f>IF('Net zero activities &amp; levers'!$C$12="Off",Constants!$H70*'Activity data'!AU12*Constants!$H88*FracLEACHMM*MMLeachEF*NtoN2O*kgtoGg,IF('Net zero activities &amp; levers'!$C$12="PB",Constants!$H70*'Activity data'!AU12*Constants!$H88*FracLEACHMM*MMLeachEF*NtoN2O*kgtoGg,IF('Net zero activities &amp; levers'!$C$12="MS",Constants!$H70*'Net zero Activity data'!AU12*Constants!$H88*FracLEACHMM*MMLeachEF*NtoN2O*kgtoGg,"ERROR")))</f>
        <v>3.7921333789539768E-3</v>
      </c>
      <c r="AC1057" s="94">
        <f>IF('Net zero activities &amp; levers'!$C$12="Off",Constants!$H70*'Activity data'!AV12*Constants!$H88*FracLEACHMM*MMLeachEF*NtoN2O*kgtoGg,IF('Net zero activities &amp; levers'!$C$12="PB",Constants!$H70*'Activity data'!AV12*Constants!$H88*FracLEACHMM*MMLeachEF*NtoN2O*kgtoGg,IF('Net zero activities &amp; levers'!$C$12="MS",Constants!$H70*'Net zero Activity data'!AV12*Constants!$H88*FracLEACHMM*MMLeachEF*NtoN2O*kgtoGg,"ERROR")))</f>
        <v>3.8003243230154901E-3</v>
      </c>
      <c r="AD1057" s="94">
        <f>IF('Net zero activities &amp; levers'!$C$12="Off",Constants!$H70*'Activity data'!AW12*Constants!$H88*FracLEACHMM*MMLeachEF*NtoN2O*kgtoGg,IF('Net zero activities &amp; levers'!$C$12="PB",Constants!$H70*'Activity data'!AW12*Constants!$H88*FracLEACHMM*MMLeachEF*NtoN2O*kgtoGg,IF('Net zero activities &amp; levers'!$C$12="MS",Constants!$H70*'Net zero Activity data'!AW12*Constants!$H88*FracLEACHMM*MMLeachEF*NtoN2O*kgtoGg,"ERROR")))</f>
        <v>3.805818933397678E-3</v>
      </c>
      <c r="AE1057" s="94">
        <f>IF('Net zero activities &amp; levers'!$C$12="Off",Constants!$H70*'Activity data'!AX12*Constants!$H88*FracLEACHMM*MMLeachEF*NtoN2O*kgtoGg,IF('Net zero activities &amp; levers'!$C$12="PB",Constants!$H70*'Activity data'!AX12*Constants!$H88*FracLEACHMM*MMLeachEF*NtoN2O*kgtoGg,IF('Net zero activities &amp; levers'!$C$12="MS",Constants!$H70*'Net zero Activity data'!AX12*Constants!$H88*FracLEACHMM*MMLeachEF*NtoN2O*kgtoGg,"ERROR")))</f>
        <v>3.8117839572375635E-3</v>
      </c>
      <c r="AF1057" s="94">
        <f>IF('Net zero activities &amp; levers'!$C$12="Off",Constants!$H70*'Activity data'!AY12*Constants!$H88*FracLEACHMM*MMLeachEF*NtoN2O*kgtoGg,IF('Net zero activities &amp; levers'!$C$12="PB",Constants!$H70*'Activity data'!AY12*Constants!$H88*FracLEACHMM*MMLeachEF*NtoN2O*kgtoGg,IF('Net zero activities &amp; levers'!$C$12="MS",Constants!$H70*'Net zero Activity data'!AY12*Constants!$H88*FracLEACHMM*MMLeachEF*NtoN2O*kgtoGg,"ERROR")))</f>
        <v>3.8182673435573919E-3</v>
      </c>
      <c r="AG1057" s="94">
        <f>IF('Net zero activities &amp; levers'!$C$12="Off",Constants!$H70*'Activity data'!AZ12*Constants!$H88*FracLEACHMM*MMLeachEF*NtoN2O*kgtoGg,IF('Net zero activities &amp; levers'!$C$12="PB",Constants!$H70*'Activity data'!AZ12*Constants!$H88*FracLEACHMM*MMLeachEF*NtoN2O*kgtoGg,IF('Net zero activities &amp; levers'!$C$12="MS",Constants!$H70*'Net zero Activity data'!AZ12*Constants!$H88*FracLEACHMM*MMLeachEF*NtoN2O*kgtoGg,"ERROR")))</f>
        <v>3.8253323806655189E-3</v>
      </c>
      <c r="AH1057" s="94">
        <f>IF('Net zero activities &amp; levers'!$C$12="Off",Constants!$H70*'Activity data'!BA12*Constants!$H88*FracLEACHMM*MMLeachEF*NtoN2O*kgtoGg,IF('Net zero activities &amp; levers'!$C$12="PB",Constants!$H70*'Activity data'!BA12*Constants!$H88*FracLEACHMM*MMLeachEF*NtoN2O*kgtoGg,IF('Net zero activities &amp; levers'!$C$12="MS",Constants!$H70*'Net zero Activity data'!BA12*Constants!$H88*FracLEACHMM*MMLeachEF*NtoN2O*kgtoGg,"ERROR")))</f>
        <v>3.8327669199356464E-3</v>
      </c>
      <c r="AI1057" s="94">
        <f>IF('Net zero activities &amp; levers'!$C$12="Off",Constants!$H70*'Activity data'!BB12*Constants!$H88*FracLEACHMM*MMLeachEF*NtoN2O*kgtoGg,IF('Net zero activities &amp; levers'!$C$12="PB",Constants!$H70*'Activity data'!BB12*Constants!$H88*FracLEACHMM*MMLeachEF*NtoN2O*kgtoGg,IF('Net zero activities &amp; levers'!$C$12="MS",Constants!$H70*'Net zero Activity data'!BB12*Constants!$H88*FracLEACHMM*MMLeachEF*NtoN2O*kgtoGg,"ERROR")))</f>
        <v>3.8375190538000809E-3</v>
      </c>
      <c r="AJ1057" s="94">
        <f>IF('Net zero activities &amp; levers'!$C$12="Off",Constants!$H70*'Activity data'!BC12*Constants!$H88*FracLEACHMM*MMLeachEF*NtoN2O*kgtoGg,IF('Net zero activities &amp; levers'!$C$12="PB",Constants!$H70*'Activity data'!BC12*Constants!$H88*FracLEACHMM*MMLeachEF*NtoN2O*kgtoGg,IF('Net zero activities &amp; levers'!$C$12="MS",Constants!$H70*'Net zero Activity data'!BC12*Constants!$H88*FracLEACHMM*MMLeachEF*NtoN2O*kgtoGg,"ERROR")))</f>
        <v>3.8427242256753023E-3</v>
      </c>
      <c r="AK1057" s="94">
        <f>IF('Net zero activities &amp; levers'!$C$12="Off",Constants!$H70*'Activity data'!BD12*Constants!$H88*FracLEACHMM*MMLeachEF*NtoN2O*kgtoGg,IF('Net zero activities &amp; levers'!$C$12="PB",Constants!$H70*'Activity data'!BD12*Constants!$H88*FracLEACHMM*MMLeachEF*NtoN2O*kgtoGg,IF('Net zero activities &amp; levers'!$C$12="MS",Constants!$H70*'Net zero Activity data'!BD12*Constants!$H88*FracLEACHMM*MMLeachEF*NtoN2O*kgtoGg,"ERROR")))</f>
        <v>3.8482107581217181E-3</v>
      </c>
      <c r="AL1057" s="94">
        <f>IF('Net zero activities &amp; levers'!$C$12="Off",Constants!$H70*'Activity data'!BE12*Constants!$H88*FracLEACHMM*MMLeachEF*NtoN2O*kgtoGg,IF('Net zero activities &amp; levers'!$C$12="PB",Constants!$H70*'Activity data'!BE12*Constants!$H88*FracLEACHMM*MMLeachEF*NtoN2O*kgtoGg,IF('Net zero activities &amp; levers'!$C$12="MS",Constants!$H70*'Net zero Activity data'!BE12*Constants!$H88*FracLEACHMM*MMLeachEF*NtoN2O*kgtoGg,"ERROR")))</f>
        <v>3.8540370608706733E-3</v>
      </c>
      <c r="AM1057" s="94">
        <f>IF('Net zero activities &amp; levers'!$C$12="Off",Constants!$H70*'Activity data'!BF12*Constants!$H88*FracLEACHMM*MMLeachEF*NtoN2O*kgtoGg,IF('Net zero activities &amp; levers'!$C$12="PB",Constants!$H70*'Activity data'!BF12*Constants!$H88*FracLEACHMM*MMLeachEF*NtoN2O*kgtoGg,IF('Net zero activities &amp; levers'!$C$12="MS",Constants!$H70*'Net zero Activity data'!BF12*Constants!$H88*FracLEACHMM*MMLeachEF*NtoN2O*kgtoGg,"ERROR")))</f>
        <v>3.8601942999712795E-3</v>
      </c>
      <c r="AN1057" s="94">
        <f>IF('Net zero activities &amp; levers'!$C$12="Off",Constants!$H70*'Activity data'!BG12*Constants!$H88*FracLEACHMM*MMLeachEF*NtoN2O*kgtoGg,IF('Net zero activities &amp; levers'!$C$12="PB",Constants!$H70*'Activity data'!BG12*Constants!$H88*FracLEACHMM*MMLeachEF*NtoN2O*kgtoGg,IF('Net zero activities &amp; levers'!$C$12="MS",Constants!$H70*'Net zero Activity data'!BG12*Constants!$H88*FracLEACHMM*MMLeachEF*NtoN2O*kgtoGg,"ERROR")))</f>
        <v>3.8638324523277176E-3</v>
      </c>
      <c r="AO1057" s="94">
        <f>IF('Net zero activities &amp; levers'!$C$12="Off",Constants!$H70*'Activity data'!BH12*Constants!$H88*FracLEACHMM*MMLeachEF*NtoN2O*kgtoGg,IF('Net zero activities &amp; levers'!$C$12="PB",Constants!$H70*'Activity data'!BH12*Constants!$H88*FracLEACHMM*MMLeachEF*NtoN2O*kgtoGg,IF('Net zero activities &amp; levers'!$C$12="MS",Constants!$H70*'Net zero Activity data'!BH12*Constants!$H88*FracLEACHMM*MMLeachEF*NtoN2O*kgtoGg,"ERROR")))</f>
        <v>3.8677162241167358E-3</v>
      </c>
      <c r="AP1057" s="94">
        <f>IF('Net zero activities &amp; levers'!$C$12="Off",Constants!$H70*'Activity data'!BI12*Constants!$H88*FracLEACHMM*MMLeachEF*NtoN2O*kgtoGg,IF('Net zero activities &amp; levers'!$C$12="PB",Constants!$H70*'Activity data'!BI12*Constants!$H88*FracLEACHMM*MMLeachEF*NtoN2O*kgtoGg,IF('Net zero activities &amp; levers'!$C$12="MS",Constants!$H70*'Net zero Activity data'!BI12*Constants!$H88*FracLEACHMM*MMLeachEF*NtoN2O*kgtoGg,"ERROR")))</f>
        <v>3.87192903017096E-3</v>
      </c>
      <c r="AQ1057" s="94">
        <f>IF('Net zero activities &amp; levers'!$C$12="Off",Constants!$H70*'Activity data'!BJ12*Constants!$H88*FracLEACHMM*MMLeachEF*NtoN2O*kgtoGg,IF('Net zero activities &amp; levers'!$C$12="PB",Constants!$H70*'Activity data'!BJ12*Constants!$H88*FracLEACHMM*MMLeachEF*NtoN2O*kgtoGg,IF('Net zero activities &amp; levers'!$C$12="MS",Constants!$H70*'Net zero Activity data'!BJ12*Constants!$H88*FracLEACHMM*MMLeachEF*NtoN2O*kgtoGg,"ERROR")))</f>
        <v>3.8764667976006581E-3</v>
      </c>
      <c r="AR1057" s="94">
        <f>IF('Net zero activities &amp; levers'!$C$12="Off",Constants!$H70*'Activity data'!BK12*Constants!$H88*FracLEACHMM*MMLeachEF*NtoN2O*kgtoGg,IF('Net zero activities &amp; levers'!$C$12="PB",Constants!$H70*'Activity data'!BK12*Constants!$H88*FracLEACHMM*MMLeachEF*NtoN2O*kgtoGg,IF('Net zero activities &amp; levers'!$C$12="MS",Constants!$H70*'Net zero Activity data'!BK12*Constants!$H88*FracLEACHMM*MMLeachEF*NtoN2O*kgtoGg,"ERROR")))</f>
        <v>3.8813294323686563E-3</v>
      </c>
      <c r="AS1057" s="94">
        <f>IF('Net zero activities &amp; levers'!$C$12="Off",Constants!$H70*'Activity data'!BL12*Constants!$H88*FracLEACHMM*MMLeachEF*NtoN2O*kgtoGg,IF('Net zero activities &amp; levers'!$C$12="PB",Constants!$H70*'Activity data'!BL12*Constants!$H88*FracLEACHMM*MMLeachEF*NtoN2O*kgtoGg,IF('Net zero activities &amp; levers'!$C$12="MS",Constants!$H70*'Net zero Activity data'!BL12*Constants!$H88*FracLEACHMM*MMLeachEF*NtoN2O*kgtoGg,"ERROR")))</f>
        <v>3.8835354931974382E-3</v>
      </c>
      <c r="AT1057" s="94">
        <f>IF('Net zero activities &amp; levers'!$C$12="Off",Constants!$H70*'Activity data'!BM12*Constants!$H88*FracLEACHMM*MMLeachEF*NtoN2O*kgtoGg,IF('Net zero activities &amp; levers'!$C$12="PB",Constants!$H70*'Activity data'!BM12*Constants!$H88*FracLEACHMM*MMLeachEF*NtoN2O*kgtoGg,IF('Net zero activities &amp; levers'!$C$12="MS",Constants!$H70*'Net zero Activity data'!BM12*Constants!$H88*FracLEACHMM*MMLeachEF*NtoN2O*kgtoGg,"ERROR")))</f>
        <v>3.8849571535560438E-3</v>
      </c>
      <c r="AU1057" s="94">
        <f>IF('Net zero activities &amp; levers'!$C$12="Off",Constants!$H70*'Activity data'!BN12*Constants!$H88*FracLEACHMM*MMLeachEF*NtoN2O*kgtoGg,IF('Net zero activities &amp; levers'!$C$12="PB",Constants!$H70*'Activity data'!BN12*Constants!$H88*FracLEACHMM*MMLeachEF*NtoN2O*kgtoGg,IF('Net zero activities &amp; levers'!$C$12="MS",Constants!$H70*'Net zero Activity data'!BN12*Constants!$H88*FracLEACHMM*MMLeachEF*NtoN2O*kgtoGg,"ERROR")))</f>
        <v>3.8865155619950283E-3</v>
      </c>
      <c r="AV1057" s="94">
        <f>IF('Net zero activities &amp; levers'!$C$12="Off",Constants!$H70*'Activity data'!BO12*Constants!$H88*FracLEACHMM*MMLeachEF*NtoN2O*kgtoGg,IF('Net zero activities &amp; levers'!$C$12="PB",Constants!$H70*'Activity data'!BO12*Constants!$H88*FracLEACHMM*MMLeachEF*NtoN2O*kgtoGg,IF('Net zero activities &amp; levers'!$C$12="MS",Constants!$H70*'Net zero Activity data'!BO12*Constants!$H88*FracLEACHMM*MMLeachEF*NtoN2O*kgtoGg,"ERROR")))</f>
        <v>3.8881616591359886E-3</v>
      </c>
      <c r="AW1057" s="94">
        <f>IF('Net zero activities &amp; levers'!$C$12="Off",Constants!$H70*'Activity data'!BP12*Constants!$H88*FracLEACHMM*MMLeachEF*NtoN2O*kgtoGg,IF('Net zero activities &amp; levers'!$C$12="PB",Constants!$H70*'Activity data'!BP12*Constants!$H88*FracLEACHMM*MMLeachEF*NtoN2O*kgtoGg,IF('Net zero activities &amp; levers'!$C$12="MS",Constants!$H70*'Net zero Activity data'!BP12*Constants!$H88*FracLEACHMM*MMLeachEF*NtoN2O*kgtoGg,"ERROR")))</f>
        <v>3.8899851123662963E-3</v>
      </c>
      <c r="AY1057" s="79"/>
      <c r="AZ1057" s="79"/>
    </row>
    <row r="1058" spans="1:52" x14ac:dyDescent="0.3">
      <c r="A1058" s="95" t="str">
        <f t="shared" ref="A1058:A1065" si="368">B1058&amp;" "&amp;C1058</f>
        <v>DS MM Leaching</v>
      </c>
      <c r="B1058" s="95" t="s">
        <v>974</v>
      </c>
      <c r="C1058" s="95" t="s">
        <v>1333</v>
      </c>
      <c r="D1058" t="s">
        <v>369</v>
      </c>
      <c r="E1058" t="s">
        <v>64</v>
      </c>
      <c r="F1058" t="s">
        <v>63</v>
      </c>
      <c r="G1058" t="s">
        <v>1168</v>
      </c>
      <c r="H1058" t="s">
        <v>1314</v>
      </c>
      <c r="I1058" t="s">
        <v>139</v>
      </c>
      <c r="J1058" t="s">
        <v>287</v>
      </c>
      <c r="K1058" s="22">
        <f t="shared" ref="K1058:AW1058" si="369">K1555</f>
        <v>5.4322987485311562E-4</v>
      </c>
      <c r="L1058" s="22">
        <f t="shared" si="369"/>
        <v>5.4464201031358182E-4</v>
      </c>
      <c r="M1058" s="22">
        <f t="shared" si="369"/>
        <v>5.4659000127818655E-4</v>
      </c>
      <c r="N1058" s="22">
        <f t="shared" si="369"/>
        <v>5.4896316873921213E-4</v>
      </c>
      <c r="O1058" s="22">
        <f t="shared" si="369"/>
        <v>5.5175812793145673E-4</v>
      </c>
      <c r="P1058" s="22">
        <f t="shared" si="369"/>
        <v>5.5495786726734487E-4</v>
      </c>
      <c r="Q1058" s="22">
        <f t="shared" si="369"/>
        <v>5.5840147541839718E-4</v>
      </c>
      <c r="R1058" s="22">
        <f t="shared" si="369"/>
        <v>5.620753208024884E-4</v>
      </c>
      <c r="S1058" s="22">
        <f t="shared" si="369"/>
        <v>5.65407082502121E-4</v>
      </c>
      <c r="T1058" s="22">
        <f t="shared" si="369"/>
        <v>5.6703451753723681E-4</v>
      </c>
      <c r="U1058" s="22">
        <f t="shared" si="369"/>
        <v>5.6889992124546543E-4</v>
      </c>
      <c r="V1058" s="22">
        <f t="shared" si="369"/>
        <v>5.7080142404289684E-4</v>
      </c>
      <c r="W1058" s="22">
        <f t="shared" si="369"/>
        <v>5.7286374667304399E-4</v>
      </c>
      <c r="X1058" s="22">
        <f t="shared" si="369"/>
        <v>5.7508348073871955E-4</v>
      </c>
      <c r="Y1058" s="22">
        <f t="shared" si="369"/>
        <v>5.765040134864081E-4</v>
      </c>
      <c r="Z1058" s="22">
        <f t="shared" si="369"/>
        <v>5.7805815510049798E-4</v>
      </c>
      <c r="AA1058" s="22">
        <f t="shared" si="369"/>
        <v>5.7972772798702628E-4</v>
      </c>
      <c r="AB1058" s="22">
        <f t="shared" si="369"/>
        <v>5.8151809327226973E-4</v>
      </c>
      <c r="AC1058" s="22">
        <f t="shared" si="369"/>
        <v>5.8341243976409618E-4</v>
      </c>
      <c r="AD1058" s="22">
        <f t="shared" si="369"/>
        <v>5.8467575387111191E-4</v>
      </c>
      <c r="AE1058" s="22">
        <f t="shared" si="369"/>
        <v>5.8602300319697499E-4</v>
      </c>
      <c r="AF1058" s="22">
        <f t="shared" si="369"/>
        <v>5.8746559148115021E-4</v>
      </c>
      <c r="AG1058" s="22">
        <f t="shared" si="369"/>
        <v>5.8901817067528485E-4</v>
      </c>
      <c r="AH1058" s="22">
        <f t="shared" si="369"/>
        <v>5.9063383572059778E-4</v>
      </c>
      <c r="AI1058" s="22">
        <f t="shared" si="369"/>
        <v>5.9163445865223843E-4</v>
      </c>
      <c r="AJ1058" s="22">
        <f t="shared" si="369"/>
        <v>5.927203167225099E-4</v>
      </c>
      <c r="AK1058" s="22">
        <f t="shared" si="369"/>
        <v>5.9385364522191255E-4</v>
      </c>
      <c r="AL1058" s="22">
        <f t="shared" si="369"/>
        <v>5.9504779442231843E-4</v>
      </c>
      <c r="AM1058" s="22">
        <f t="shared" si="369"/>
        <v>5.9630112936813668E-4</v>
      </c>
      <c r="AN1058" s="22">
        <f t="shared" si="369"/>
        <v>5.9698587491705869E-4</v>
      </c>
      <c r="AO1058" s="22">
        <f t="shared" si="369"/>
        <v>5.9771375764922606E-4</v>
      </c>
      <c r="AP1058" s="22">
        <f t="shared" si="369"/>
        <v>5.9850335838718442E-4</v>
      </c>
      <c r="AQ1058" s="22">
        <f t="shared" si="369"/>
        <v>5.993539230264727E-4</v>
      </c>
      <c r="AR1058" s="22">
        <f t="shared" si="369"/>
        <v>6.0026554968942018E-4</v>
      </c>
      <c r="AS1058" s="22">
        <f t="shared" si="369"/>
        <v>6.0058687026311956E-4</v>
      </c>
      <c r="AT1058" s="22">
        <f t="shared" si="369"/>
        <v>6.0072956880295909E-4</v>
      </c>
      <c r="AU1058" s="22">
        <f t="shared" si="369"/>
        <v>6.0089545684115426E-4</v>
      </c>
      <c r="AV1058" s="22">
        <f t="shared" si="369"/>
        <v>6.0107404835249166E-4</v>
      </c>
      <c r="AW1058" s="22">
        <f t="shared" si="369"/>
        <v>6.0128502571355803E-4</v>
      </c>
      <c r="AY1058" s="79"/>
      <c r="AZ1058" s="79"/>
    </row>
    <row r="1059" spans="1:52" x14ac:dyDescent="0.3">
      <c r="A1059" s="95" t="str">
        <f t="shared" si="368"/>
        <v>DS MM Leaching</v>
      </c>
      <c r="B1059" s="95" t="s">
        <v>974</v>
      </c>
      <c r="C1059" s="95" t="s">
        <v>1333</v>
      </c>
      <c r="D1059" t="s">
        <v>369</v>
      </c>
      <c r="E1059" t="s">
        <v>64</v>
      </c>
      <c r="F1059" t="s">
        <v>63</v>
      </c>
      <c r="G1059" t="s">
        <v>1170</v>
      </c>
      <c r="H1059" t="s">
        <v>1315</v>
      </c>
      <c r="I1059" t="s">
        <v>139</v>
      </c>
      <c r="J1059" t="s">
        <v>287</v>
      </c>
      <c r="K1059" s="22">
        <f t="shared" ref="K1059:AW1059" si="370">K1556</f>
        <v>6.6992563985089947E-3</v>
      </c>
      <c r="L1059" s="22">
        <f t="shared" si="370"/>
        <v>6.716671231449923E-3</v>
      </c>
      <c r="M1059" s="22">
        <f t="shared" si="370"/>
        <v>6.7406943780734313E-3</v>
      </c>
      <c r="N1059" s="22">
        <f t="shared" si="370"/>
        <v>6.7699609151951386E-3</v>
      </c>
      <c r="O1059" s="22">
        <f t="shared" si="370"/>
        <v>6.8044291009834836E-3</v>
      </c>
      <c r="P1059" s="22">
        <f t="shared" si="370"/>
        <v>6.8438891439814974E-3</v>
      </c>
      <c r="Q1059" s="22">
        <f t="shared" si="370"/>
        <v>6.8863566425632575E-3</v>
      </c>
      <c r="R1059" s="22">
        <f t="shared" si="370"/>
        <v>6.9316634884048298E-3</v>
      </c>
      <c r="S1059" s="22">
        <f t="shared" si="370"/>
        <v>6.9727516665736141E-3</v>
      </c>
      <c r="T1059" s="22">
        <f t="shared" si="370"/>
        <v>6.9928216315679071E-3</v>
      </c>
      <c r="U1059" s="22">
        <f t="shared" si="370"/>
        <v>7.0158262900129739E-3</v>
      </c>
      <c r="V1059" s="22">
        <f t="shared" si="370"/>
        <v>7.0392761321003963E-3</v>
      </c>
      <c r="W1059" s="22">
        <f t="shared" si="370"/>
        <v>7.0647092474634627E-3</v>
      </c>
      <c r="X1059" s="22">
        <f t="shared" si="370"/>
        <v>7.0920836028346328E-3</v>
      </c>
      <c r="Y1059" s="22">
        <f t="shared" si="370"/>
        <v>7.1096019933720011E-3</v>
      </c>
      <c r="Z1059" s="22">
        <f t="shared" si="370"/>
        <v>7.1287680842560801E-3</v>
      </c>
      <c r="AA1059" s="22">
        <f t="shared" si="370"/>
        <v>7.1493577045266439E-3</v>
      </c>
      <c r="AB1059" s="22">
        <f t="shared" si="370"/>
        <v>7.1714369690296844E-3</v>
      </c>
      <c r="AC1059" s="22">
        <f t="shared" si="370"/>
        <v>7.1947985576385452E-3</v>
      </c>
      <c r="AD1059" s="22">
        <f t="shared" si="370"/>
        <v>7.2103780857656428E-3</v>
      </c>
      <c r="AE1059" s="22">
        <f t="shared" si="370"/>
        <v>7.2269927255056137E-3</v>
      </c>
      <c r="AF1059" s="22">
        <f t="shared" si="370"/>
        <v>7.2447831108296695E-3</v>
      </c>
      <c r="AG1059" s="22">
        <f t="shared" si="370"/>
        <v>7.2639299335321393E-3</v>
      </c>
      <c r="AH1059" s="22">
        <f t="shared" si="370"/>
        <v>7.2838547478579095E-3</v>
      </c>
      <c r="AI1059" s="22">
        <f t="shared" si="370"/>
        <v>7.2961946980108746E-3</v>
      </c>
      <c r="AJ1059" s="22">
        <f t="shared" si="370"/>
        <v>7.3095857907358557E-3</v>
      </c>
      <c r="AK1059" s="22">
        <f t="shared" si="370"/>
        <v>7.3235623015146271E-3</v>
      </c>
      <c r="AL1059" s="22">
        <f t="shared" si="370"/>
        <v>7.3382888694777E-3</v>
      </c>
      <c r="AM1059" s="22">
        <f t="shared" si="370"/>
        <v>7.3537453319145558E-3</v>
      </c>
      <c r="AN1059" s="22">
        <f t="shared" si="370"/>
        <v>7.3621897975308988E-3</v>
      </c>
      <c r="AO1059" s="22">
        <f t="shared" si="370"/>
        <v>7.3711662424514879E-3</v>
      </c>
      <c r="AP1059" s="22">
        <f t="shared" si="370"/>
        <v>7.3809038103594829E-3</v>
      </c>
      <c r="AQ1059" s="22">
        <f t="shared" si="370"/>
        <v>7.3913932014365797E-3</v>
      </c>
      <c r="AR1059" s="22">
        <f t="shared" si="370"/>
        <v>7.4026356257536402E-3</v>
      </c>
      <c r="AS1059" s="22">
        <f t="shared" si="370"/>
        <v>7.4065982371801786E-3</v>
      </c>
      <c r="AT1059" s="22">
        <f t="shared" si="370"/>
        <v>7.408358033815691E-3</v>
      </c>
      <c r="AU1059" s="22">
        <f t="shared" si="370"/>
        <v>7.4104038095595542E-3</v>
      </c>
      <c r="AV1059" s="22">
        <f t="shared" si="370"/>
        <v>7.4126062479386483E-3</v>
      </c>
      <c r="AW1059" s="22">
        <f t="shared" si="370"/>
        <v>7.4152080772957795E-3</v>
      </c>
      <c r="AY1059" s="79"/>
      <c r="AZ1059" s="79"/>
    </row>
    <row r="1060" spans="1:52" x14ac:dyDescent="0.3">
      <c r="A1060" s="95" t="str">
        <f t="shared" si="368"/>
        <v>DS MM Leaching</v>
      </c>
      <c r="B1060" s="95" t="s">
        <v>974</v>
      </c>
      <c r="C1060" s="95" t="s">
        <v>1333</v>
      </c>
      <c r="D1060" t="s">
        <v>369</v>
      </c>
      <c r="E1060" t="s">
        <v>64</v>
      </c>
      <c r="F1060" t="s">
        <v>63</v>
      </c>
      <c r="G1060" t="s">
        <v>1172</v>
      </c>
      <c r="H1060" t="s">
        <v>1316</v>
      </c>
      <c r="I1060" t="s">
        <v>139</v>
      </c>
      <c r="J1060" t="s">
        <v>287</v>
      </c>
      <c r="K1060" s="22">
        <f t="shared" ref="K1060:AW1060" si="371">K1557</f>
        <v>0</v>
      </c>
      <c r="L1060" s="22">
        <f t="shared" si="371"/>
        <v>0</v>
      </c>
      <c r="M1060" s="22">
        <f t="shared" si="371"/>
        <v>0</v>
      </c>
      <c r="N1060" s="22">
        <f t="shared" si="371"/>
        <v>0</v>
      </c>
      <c r="O1060" s="22">
        <f t="shared" si="371"/>
        <v>0</v>
      </c>
      <c r="P1060" s="22">
        <f t="shared" si="371"/>
        <v>0</v>
      </c>
      <c r="Q1060" s="22">
        <f t="shared" si="371"/>
        <v>0</v>
      </c>
      <c r="R1060" s="22">
        <f t="shared" si="371"/>
        <v>0</v>
      </c>
      <c r="S1060" s="22">
        <f t="shared" si="371"/>
        <v>0</v>
      </c>
      <c r="T1060" s="22">
        <f t="shared" si="371"/>
        <v>0</v>
      </c>
      <c r="U1060" s="22">
        <f t="shared" si="371"/>
        <v>0</v>
      </c>
      <c r="V1060" s="22">
        <f t="shared" si="371"/>
        <v>0</v>
      </c>
      <c r="W1060" s="22">
        <f t="shared" si="371"/>
        <v>0</v>
      </c>
      <c r="X1060" s="22">
        <f t="shared" si="371"/>
        <v>0</v>
      </c>
      <c r="Y1060" s="22">
        <f t="shared" si="371"/>
        <v>0</v>
      </c>
      <c r="Z1060" s="22">
        <f t="shared" si="371"/>
        <v>0</v>
      </c>
      <c r="AA1060" s="22">
        <f t="shared" si="371"/>
        <v>0</v>
      </c>
      <c r="AB1060" s="22">
        <f t="shared" si="371"/>
        <v>0</v>
      </c>
      <c r="AC1060" s="22">
        <f t="shared" si="371"/>
        <v>0</v>
      </c>
      <c r="AD1060" s="22">
        <f t="shared" si="371"/>
        <v>0</v>
      </c>
      <c r="AE1060" s="22">
        <f t="shared" si="371"/>
        <v>0</v>
      </c>
      <c r="AF1060" s="22">
        <f t="shared" si="371"/>
        <v>0</v>
      </c>
      <c r="AG1060" s="22">
        <f t="shared" si="371"/>
        <v>0</v>
      </c>
      <c r="AH1060" s="22">
        <f t="shared" si="371"/>
        <v>0</v>
      </c>
      <c r="AI1060" s="22">
        <f t="shared" si="371"/>
        <v>0</v>
      </c>
      <c r="AJ1060" s="22">
        <f t="shared" si="371"/>
        <v>0</v>
      </c>
      <c r="AK1060" s="22">
        <f t="shared" si="371"/>
        <v>0</v>
      </c>
      <c r="AL1060" s="22">
        <f t="shared" si="371"/>
        <v>0</v>
      </c>
      <c r="AM1060" s="22">
        <f t="shared" si="371"/>
        <v>0</v>
      </c>
      <c r="AN1060" s="22">
        <f t="shared" si="371"/>
        <v>0</v>
      </c>
      <c r="AO1060" s="22">
        <f t="shared" si="371"/>
        <v>0</v>
      </c>
      <c r="AP1060" s="22">
        <f t="shared" si="371"/>
        <v>0</v>
      </c>
      <c r="AQ1060" s="22">
        <f t="shared" si="371"/>
        <v>0</v>
      </c>
      <c r="AR1060" s="22">
        <f t="shared" si="371"/>
        <v>0</v>
      </c>
      <c r="AS1060" s="22">
        <f t="shared" si="371"/>
        <v>0</v>
      </c>
      <c r="AT1060" s="22">
        <f t="shared" si="371"/>
        <v>0</v>
      </c>
      <c r="AU1060" s="22">
        <f t="shared" si="371"/>
        <v>0</v>
      </c>
      <c r="AV1060" s="22">
        <f t="shared" si="371"/>
        <v>0</v>
      </c>
      <c r="AW1060" s="22">
        <f t="shared" si="371"/>
        <v>0</v>
      </c>
      <c r="AY1060" s="79"/>
      <c r="AZ1060" s="79"/>
    </row>
    <row r="1061" spans="1:52" x14ac:dyDescent="0.3">
      <c r="A1061" s="95" t="str">
        <f t="shared" si="368"/>
        <v>DS MM Leaching</v>
      </c>
      <c r="B1061" s="95" t="s">
        <v>974</v>
      </c>
      <c r="C1061" s="95" t="s">
        <v>1333</v>
      </c>
      <c r="D1061" t="s">
        <v>369</v>
      </c>
      <c r="E1061" t="s">
        <v>64</v>
      </c>
      <c r="F1061" t="s">
        <v>63</v>
      </c>
      <c r="G1061" t="s">
        <v>1174</v>
      </c>
      <c r="H1061" t="s">
        <v>1317</v>
      </c>
      <c r="I1061" t="s">
        <v>139</v>
      </c>
      <c r="J1061" t="s">
        <v>287</v>
      </c>
      <c r="K1061" s="22">
        <f t="shared" ref="K1061:AW1061" si="372">K1558</f>
        <v>0</v>
      </c>
      <c r="L1061" s="22">
        <f t="shared" si="372"/>
        <v>0</v>
      </c>
      <c r="M1061" s="22">
        <f t="shared" si="372"/>
        <v>0</v>
      </c>
      <c r="N1061" s="22">
        <f t="shared" si="372"/>
        <v>0</v>
      </c>
      <c r="O1061" s="22">
        <f t="shared" si="372"/>
        <v>0</v>
      </c>
      <c r="P1061" s="22">
        <f t="shared" si="372"/>
        <v>0</v>
      </c>
      <c r="Q1061" s="22">
        <f t="shared" si="372"/>
        <v>0</v>
      </c>
      <c r="R1061" s="22">
        <f t="shared" si="372"/>
        <v>0</v>
      </c>
      <c r="S1061" s="22">
        <f t="shared" si="372"/>
        <v>0</v>
      </c>
      <c r="T1061" s="22">
        <f t="shared" si="372"/>
        <v>0</v>
      </c>
      <c r="U1061" s="22">
        <f t="shared" si="372"/>
        <v>0</v>
      </c>
      <c r="V1061" s="22">
        <f t="shared" si="372"/>
        <v>0</v>
      </c>
      <c r="W1061" s="22">
        <f t="shared" si="372"/>
        <v>0</v>
      </c>
      <c r="X1061" s="22">
        <f t="shared" si="372"/>
        <v>0</v>
      </c>
      <c r="Y1061" s="22">
        <f t="shared" si="372"/>
        <v>0</v>
      </c>
      <c r="Z1061" s="22">
        <f t="shared" si="372"/>
        <v>0</v>
      </c>
      <c r="AA1061" s="22">
        <f t="shared" si="372"/>
        <v>0</v>
      </c>
      <c r="AB1061" s="22">
        <f t="shared" si="372"/>
        <v>0</v>
      </c>
      <c r="AC1061" s="22">
        <f t="shared" si="372"/>
        <v>0</v>
      </c>
      <c r="AD1061" s="22">
        <f t="shared" si="372"/>
        <v>0</v>
      </c>
      <c r="AE1061" s="22">
        <f t="shared" si="372"/>
        <v>0</v>
      </c>
      <c r="AF1061" s="22">
        <f t="shared" si="372"/>
        <v>0</v>
      </c>
      <c r="AG1061" s="22">
        <f t="shared" si="372"/>
        <v>0</v>
      </c>
      <c r="AH1061" s="22">
        <f t="shared" si="372"/>
        <v>0</v>
      </c>
      <c r="AI1061" s="22">
        <f t="shared" si="372"/>
        <v>0</v>
      </c>
      <c r="AJ1061" s="22">
        <f t="shared" si="372"/>
        <v>0</v>
      </c>
      <c r="AK1061" s="22">
        <f t="shared" si="372"/>
        <v>0</v>
      </c>
      <c r="AL1061" s="22">
        <f t="shared" si="372"/>
        <v>0</v>
      </c>
      <c r="AM1061" s="22">
        <f t="shared" si="372"/>
        <v>0</v>
      </c>
      <c r="AN1061" s="22">
        <f t="shared" si="372"/>
        <v>0</v>
      </c>
      <c r="AO1061" s="22">
        <f t="shared" si="372"/>
        <v>0</v>
      </c>
      <c r="AP1061" s="22">
        <f t="shared" si="372"/>
        <v>0</v>
      </c>
      <c r="AQ1061" s="22">
        <f t="shared" si="372"/>
        <v>0</v>
      </c>
      <c r="AR1061" s="22">
        <f t="shared" si="372"/>
        <v>0</v>
      </c>
      <c r="AS1061" s="22">
        <f t="shared" si="372"/>
        <v>0</v>
      </c>
      <c r="AT1061" s="22">
        <f t="shared" si="372"/>
        <v>0</v>
      </c>
      <c r="AU1061" s="22">
        <f t="shared" si="372"/>
        <v>0</v>
      </c>
      <c r="AV1061" s="22">
        <f t="shared" si="372"/>
        <v>0</v>
      </c>
      <c r="AW1061" s="22">
        <f t="shared" si="372"/>
        <v>0</v>
      </c>
      <c r="AY1061" s="79"/>
      <c r="AZ1061" s="79"/>
    </row>
    <row r="1062" spans="1:52" x14ac:dyDescent="0.3">
      <c r="A1062" s="95" t="str">
        <f t="shared" si="368"/>
        <v>DS MM Leaching</v>
      </c>
      <c r="B1062" s="95" t="s">
        <v>974</v>
      </c>
      <c r="C1062" s="95" t="s">
        <v>1333</v>
      </c>
      <c r="D1062" t="s">
        <v>369</v>
      </c>
      <c r="E1062" t="s">
        <v>64</v>
      </c>
      <c r="F1062" t="s">
        <v>63</v>
      </c>
      <c r="G1062" t="s">
        <v>1176</v>
      </c>
      <c r="H1062" t="s">
        <v>1318</v>
      </c>
      <c r="I1062" t="s">
        <v>139</v>
      </c>
      <c r="J1062" t="s">
        <v>287</v>
      </c>
      <c r="K1062" s="94">
        <f>IF('Net zero activities &amp; levers'!$C$12="Off",Constants!$H75*'Activity data'!AD17*Constants!$H93*FracLEACHMM*MMLeachEF*NtoN2O*kgtoGg,IF('Net zero activities &amp; levers'!$C$12="PB",Constants!$H75*'Activity data'!AD17*Constants!$H93*FracLEACHMM*MMLeachEF*NtoN2O*kgtoGg,IF('Net zero activities &amp; levers'!$C$14="MS",Constants!$H75*'Net zero Activity data'!AD17*Constants!$H93*FracLEACHMM*MMLeachEF*NtoN2O*kgtoGg,"ERROR")))</f>
        <v>2.6875086183165937E-2</v>
      </c>
      <c r="L1062" s="94">
        <f>IF('Net zero activities &amp; levers'!$C$12="Off",Constants!$H75*'Activity data'!AE17*Constants!$H93*FracLEACHMM*MMLeachEF*NtoN2O*kgtoGg,IF('Net zero activities &amp; levers'!$C$12="PB",Constants!$H75*'Activity data'!AE17*Constants!$H93*FracLEACHMM*MMLeachEF*NtoN2O*kgtoGg,IF('Net zero activities &amp; levers'!$C$14="MS",Constants!$H75*'Net zero Activity data'!AE17*Constants!$H93*FracLEACHMM*MMLeachEF*NtoN2O*kgtoGg,"ERROR")))</f>
        <v>2.6729002214214568E-2</v>
      </c>
      <c r="M1062" s="94">
        <f>IF('Net zero activities &amp; levers'!$C$12="Off",Constants!$H75*'Activity data'!AF17*Constants!$H93*FracLEACHMM*MMLeachEF*NtoN2O*kgtoGg,IF('Net zero activities &amp; levers'!$C$12="PB",Constants!$H75*'Activity data'!AF17*Constants!$H93*FracLEACHMM*MMLeachEF*NtoN2O*kgtoGg,IF('Net zero activities &amp; levers'!$C$14="MS",Constants!$H75*'Net zero Activity data'!AF17*Constants!$H93*FracLEACHMM*MMLeachEF*NtoN2O*kgtoGg,"ERROR")))</f>
        <v>2.6740992333189318E-2</v>
      </c>
      <c r="N1062" s="94">
        <f>IF('Net zero activities &amp; levers'!$C$12="Off",Constants!$H75*'Activity data'!AG17*Constants!$H93*FracLEACHMM*MMLeachEF*NtoN2O*kgtoGg,IF('Net zero activities &amp; levers'!$C$12="PB",Constants!$H75*'Activity data'!AG17*Constants!$H93*FracLEACHMM*MMLeachEF*NtoN2O*kgtoGg,IF('Net zero activities &amp; levers'!$C$14="MS",Constants!$H75*'Net zero Activity data'!AG17*Constants!$H93*FracLEACHMM*MMLeachEF*NtoN2O*kgtoGg,"ERROR")))</f>
        <v>2.6495489531984443E-2</v>
      </c>
      <c r="O1062" s="94">
        <f>IF('Net zero activities &amp; levers'!$C$12="Off",Constants!$H75*'Activity data'!AH17*Constants!$H93*FracLEACHMM*MMLeachEF*NtoN2O*kgtoGg,IF('Net zero activities &amp; levers'!$C$12="PB",Constants!$H75*'Activity data'!AH17*Constants!$H93*FracLEACHMM*MMLeachEF*NtoN2O*kgtoGg,IF('Net zero activities &amp; levers'!$C$14="MS",Constants!$H75*'Net zero Activity data'!AH17*Constants!$H93*FracLEACHMM*MMLeachEF*NtoN2O*kgtoGg,"ERROR")))</f>
        <v>2.609452683304701E-2</v>
      </c>
      <c r="P1062" s="94">
        <f>IF('Net zero activities &amp; levers'!$C$12="Off",Constants!$H75*'Activity data'!AI17*Constants!$H93*FracLEACHMM*MMLeachEF*NtoN2O*kgtoGg,IF('Net zero activities &amp; levers'!$C$12="PB",Constants!$H75*'Activity data'!AI17*Constants!$H93*FracLEACHMM*MMLeachEF*NtoN2O*kgtoGg,IF('Net zero activities &amp; levers'!$C$14="MS",Constants!$H75*'Net zero Activity data'!AI17*Constants!$H93*FracLEACHMM*MMLeachEF*NtoN2O*kgtoGg,"ERROR")))</f>
        <v>2.5544514050244025E-2</v>
      </c>
      <c r="Q1062" s="94">
        <f>IF('Net zero activities &amp; levers'!$C$12="Off",Constants!$H75*'Activity data'!AJ17*Constants!$H93*FracLEACHMM*MMLeachEF*NtoN2O*kgtoGg,IF('Net zero activities &amp; levers'!$C$12="PB",Constants!$H75*'Activity data'!AJ17*Constants!$H93*FracLEACHMM*MMLeachEF*NtoN2O*kgtoGg,IF('Net zero activities &amp; levers'!$C$14="MS",Constants!$H75*'Net zero Activity data'!AJ17*Constants!$H93*FracLEACHMM*MMLeachEF*NtoN2O*kgtoGg,"ERROR")))</f>
        <v>2.5145143775072754E-2</v>
      </c>
      <c r="R1062" s="94">
        <f>IF('Net zero activities &amp; levers'!$C$12="Off",Constants!$H75*'Activity data'!AK17*Constants!$H93*FracLEACHMM*MMLeachEF*NtoN2O*kgtoGg,IF('Net zero activities &amp; levers'!$C$12="PB",Constants!$H75*'Activity data'!AK17*Constants!$H93*FracLEACHMM*MMLeachEF*NtoN2O*kgtoGg,IF('Net zero activities &amp; levers'!$C$14="MS",Constants!$H75*'Net zero Activity data'!AK17*Constants!$H93*FracLEACHMM*MMLeachEF*NtoN2O*kgtoGg,"ERROR")))</f>
        <v>2.4781112413324514E-2</v>
      </c>
      <c r="S1062" s="94">
        <f>IF('Net zero activities &amp; levers'!$C$12="Off",Constants!$H75*'Activity data'!AL17*Constants!$H93*FracLEACHMM*MMLeachEF*NtoN2O*kgtoGg,IF('Net zero activities &amp; levers'!$C$12="PB",Constants!$H75*'Activity data'!AL17*Constants!$H93*FracLEACHMM*MMLeachEF*NtoN2O*kgtoGg,IF('Net zero activities &amp; levers'!$C$14="MS",Constants!$H75*'Net zero Activity data'!AL17*Constants!$H93*FracLEACHMM*MMLeachEF*NtoN2O*kgtoGg,"ERROR")))</f>
        <v>2.1880480805765091E-2</v>
      </c>
      <c r="T1062" s="94">
        <f>IF('Net zero activities &amp; levers'!$C$12="Off",Constants!$H75*'Activity data'!AM17*Constants!$H93*FracLEACHMM*MMLeachEF*NtoN2O*kgtoGg,IF('Net zero activities &amp; levers'!$C$12="PB",Constants!$H75*'Activity data'!AM17*Constants!$H93*FracLEACHMM*MMLeachEF*NtoN2O*kgtoGg,IF('Net zero activities &amp; levers'!$C$14="MS",Constants!$H75*'Net zero Activity data'!AM17*Constants!$H93*FracLEACHMM*MMLeachEF*NtoN2O*kgtoGg,"ERROR")))</f>
        <v>2.2157174302587897E-2</v>
      </c>
      <c r="U1062" s="94">
        <f>IF('Net zero activities &amp; levers'!$C$12="Off",Constants!$H75*'Activity data'!AN17*Constants!$H93*FracLEACHMM*MMLeachEF*NtoN2O*kgtoGg,IF('Net zero activities &amp; levers'!$C$12="PB",Constants!$H75*'Activity data'!AN17*Constants!$H93*FracLEACHMM*MMLeachEF*NtoN2O*kgtoGg,IF('Net zero activities &amp; levers'!$C$14="MS",Constants!$H75*'Net zero Activity data'!AN17*Constants!$H93*FracLEACHMM*MMLeachEF*NtoN2O*kgtoGg,"ERROR")))</f>
        <v>2.2750904230467162E-2</v>
      </c>
      <c r="V1062" s="94">
        <f>IF('Net zero activities &amp; levers'!$C$12="Off",Constants!$H75*'Activity data'!AO17*Constants!$H93*FracLEACHMM*MMLeachEF*NtoN2O*kgtoGg,IF('Net zero activities &amp; levers'!$C$12="PB",Constants!$H75*'Activity data'!AO17*Constants!$H93*FracLEACHMM*MMLeachEF*NtoN2O*kgtoGg,IF('Net zero activities &amp; levers'!$C$14="MS",Constants!$H75*'Net zero Activity data'!AO17*Constants!$H93*FracLEACHMM*MMLeachEF*NtoN2O*kgtoGg,"ERROR")))</f>
        <v>2.2804811823411601E-2</v>
      </c>
      <c r="W1062" s="94">
        <f>IF('Net zero activities &amp; levers'!$C$12="Off",Constants!$H75*'Activity data'!AP17*Constants!$H93*FracLEACHMM*MMLeachEF*NtoN2O*kgtoGg,IF('Net zero activities &amp; levers'!$C$12="PB",Constants!$H75*'Activity data'!AP17*Constants!$H93*FracLEACHMM*MMLeachEF*NtoN2O*kgtoGg,IF('Net zero activities &amp; levers'!$C$14="MS",Constants!$H75*'Net zero Activity data'!AP17*Constants!$H93*FracLEACHMM*MMLeachEF*NtoN2O*kgtoGg,"ERROR")))</f>
        <v>2.292155171126611E-2</v>
      </c>
      <c r="X1062" s="94">
        <f>IF('Net zero activities &amp; levers'!$C$12="Off",Constants!$H75*'Activity data'!AQ17*Constants!$H93*FracLEACHMM*MMLeachEF*NtoN2O*kgtoGg,IF('Net zero activities &amp; levers'!$C$12="PB",Constants!$H75*'Activity data'!AQ17*Constants!$H93*FracLEACHMM*MMLeachEF*NtoN2O*kgtoGg,IF('Net zero activities &amp; levers'!$C$14="MS",Constants!$H75*'Net zero Activity data'!AQ17*Constants!$H93*FracLEACHMM*MMLeachEF*NtoN2O*kgtoGg,"ERROR")))</f>
        <v>2.3117832526296487E-2</v>
      </c>
      <c r="Y1062" s="94">
        <f>IF('Net zero activities &amp; levers'!$C$12="Off",Constants!$H75*'Activity data'!AR17*Constants!$H93*FracLEACHMM*MMLeachEF*NtoN2O*kgtoGg,IF('Net zero activities &amp; levers'!$C$12="PB",Constants!$H75*'Activity data'!AR17*Constants!$H93*FracLEACHMM*MMLeachEF*NtoN2O*kgtoGg,IF('Net zero activities &amp; levers'!$C$14="MS",Constants!$H75*'Net zero Activity data'!AR17*Constants!$H93*FracLEACHMM*MMLeachEF*NtoN2O*kgtoGg,"ERROR")))</f>
        <v>2.3364125716575319E-2</v>
      </c>
      <c r="Z1062" s="94">
        <f>IF('Net zero activities &amp; levers'!$C$12="Off",Constants!$H75*'Activity data'!AS17*Constants!$H93*FracLEACHMM*MMLeachEF*NtoN2O*kgtoGg,IF('Net zero activities &amp; levers'!$C$12="PB",Constants!$H75*'Activity data'!AS17*Constants!$H93*FracLEACHMM*MMLeachEF*NtoN2O*kgtoGg,IF('Net zero activities &amp; levers'!$C$14="MS",Constants!$H75*'Net zero Activity data'!AS17*Constants!$H93*FracLEACHMM*MMLeachEF*NtoN2O*kgtoGg,"ERROR")))</f>
        <v>2.3665937141590494E-2</v>
      </c>
      <c r="AA1062" s="94">
        <f>IF('Net zero activities &amp; levers'!$C$12="Off",Constants!$H75*'Activity data'!AT17*Constants!$H93*FracLEACHMM*MMLeachEF*NtoN2O*kgtoGg,IF('Net zero activities &amp; levers'!$C$12="PB",Constants!$H75*'Activity data'!AT17*Constants!$H93*FracLEACHMM*MMLeachEF*NtoN2O*kgtoGg,IF('Net zero activities &amp; levers'!$C$14="MS",Constants!$H75*'Net zero Activity data'!AT17*Constants!$H93*FracLEACHMM*MMLeachEF*NtoN2O*kgtoGg,"ERROR")))</f>
        <v>2.3971277948899337E-2</v>
      </c>
      <c r="AB1062" s="94">
        <f>IF('Net zero activities &amp; levers'!$C$12="Off",Constants!$H75*'Activity data'!AU17*Constants!$H93*FracLEACHMM*MMLeachEF*NtoN2O*kgtoGg,IF('Net zero activities &amp; levers'!$C$12="PB",Constants!$H75*'Activity data'!AU17*Constants!$H93*FracLEACHMM*MMLeachEF*NtoN2O*kgtoGg,IF('Net zero activities &amp; levers'!$C$14="MS",Constants!$H75*'Net zero Activity data'!AU17*Constants!$H93*FracLEACHMM*MMLeachEF*NtoN2O*kgtoGg,"ERROR")))</f>
        <v>2.4323808269457244E-2</v>
      </c>
      <c r="AC1062" s="94">
        <f>IF('Net zero activities &amp; levers'!$C$12="Off",Constants!$H75*'Activity data'!AV17*Constants!$H93*FracLEACHMM*MMLeachEF*NtoN2O*kgtoGg,IF('Net zero activities &amp; levers'!$C$12="PB",Constants!$H75*'Activity data'!AV17*Constants!$H93*FracLEACHMM*MMLeachEF*NtoN2O*kgtoGg,IF('Net zero activities &amp; levers'!$C$14="MS",Constants!$H75*'Net zero Activity data'!AV17*Constants!$H93*FracLEACHMM*MMLeachEF*NtoN2O*kgtoGg,"ERROR")))</f>
        <v>2.4673905433943388E-2</v>
      </c>
      <c r="AD1062" s="94">
        <f>IF('Net zero activities &amp; levers'!$C$12="Off",Constants!$H75*'Activity data'!AW17*Constants!$H93*FracLEACHMM*MMLeachEF*NtoN2O*kgtoGg,IF('Net zero activities &amp; levers'!$C$12="PB",Constants!$H75*'Activity data'!AW17*Constants!$H93*FracLEACHMM*MMLeachEF*NtoN2O*kgtoGg,IF('Net zero activities &amp; levers'!$C$14="MS",Constants!$H75*'Net zero Activity data'!AW17*Constants!$H93*FracLEACHMM*MMLeachEF*NtoN2O*kgtoGg,"ERROR")))</f>
        <v>2.5109167618050737E-2</v>
      </c>
      <c r="AE1062" s="94">
        <f>IF('Net zero activities &amp; levers'!$C$12="Off",Constants!$H75*'Activity data'!AX17*Constants!$H93*FracLEACHMM*MMLeachEF*NtoN2O*kgtoGg,IF('Net zero activities &amp; levers'!$C$12="PB",Constants!$H75*'Activity data'!AX17*Constants!$H93*FracLEACHMM*MMLeachEF*NtoN2O*kgtoGg,IF('Net zero activities &amp; levers'!$C$14="MS",Constants!$H75*'Net zero Activity data'!AX17*Constants!$H93*FracLEACHMM*MMLeachEF*NtoN2O*kgtoGg,"ERROR")))</f>
        <v>2.5509858249217851E-2</v>
      </c>
      <c r="AF1062" s="94">
        <f>IF('Net zero activities &amp; levers'!$C$12="Off",Constants!$H75*'Activity data'!AY17*Constants!$H93*FracLEACHMM*MMLeachEF*NtoN2O*kgtoGg,IF('Net zero activities &amp; levers'!$C$12="PB",Constants!$H75*'Activity data'!AY17*Constants!$H93*FracLEACHMM*MMLeachEF*NtoN2O*kgtoGg,IF('Net zero activities &amp; levers'!$C$14="MS",Constants!$H75*'Net zero Activity data'!AY17*Constants!$H93*FracLEACHMM*MMLeachEF*NtoN2O*kgtoGg,"ERROR")))</f>
        <v>2.5936225115881856E-2</v>
      </c>
      <c r="AG1062" s="94">
        <f>IF('Net zero activities &amp; levers'!$C$12="Off",Constants!$H75*'Activity data'!AZ17*Constants!$H93*FracLEACHMM*MMLeachEF*NtoN2O*kgtoGg,IF('Net zero activities &amp; levers'!$C$12="PB",Constants!$H75*'Activity data'!AZ17*Constants!$H93*FracLEACHMM*MMLeachEF*NtoN2O*kgtoGg,IF('Net zero activities &amp; levers'!$C$14="MS",Constants!$H75*'Net zero Activity data'!AZ17*Constants!$H93*FracLEACHMM*MMLeachEF*NtoN2O*kgtoGg,"ERROR")))</f>
        <v>2.6456337070766354E-2</v>
      </c>
      <c r="AH1062" s="94">
        <f>IF('Net zero activities &amp; levers'!$C$12="Off",Constants!$H75*'Activity data'!BA17*Constants!$H93*FracLEACHMM*MMLeachEF*NtoN2O*kgtoGg,IF('Net zero activities &amp; levers'!$C$12="PB",Constants!$H75*'Activity data'!BA17*Constants!$H93*FracLEACHMM*MMLeachEF*NtoN2O*kgtoGg,IF('Net zero activities &amp; levers'!$C$14="MS",Constants!$H75*'Net zero Activity data'!BA17*Constants!$H93*FracLEACHMM*MMLeachEF*NtoN2O*kgtoGg,"ERROR")))</f>
        <v>2.6902942278627297E-2</v>
      </c>
      <c r="AI1062" s="94">
        <f>IF('Net zero activities &amp; levers'!$C$12="Off",Constants!$H75*'Activity data'!BB17*Constants!$H93*FracLEACHMM*MMLeachEF*NtoN2O*kgtoGg,IF('Net zero activities &amp; levers'!$C$12="PB",Constants!$H75*'Activity data'!BB17*Constants!$H93*FracLEACHMM*MMLeachEF*NtoN2O*kgtoGg,IF('Net zero activities &amp; levers'!$C$14="MS",Constants!$H75*'Net zero Activity data'!BB17*Constants!$H93*FracLEACHMM*MMLeachEF*NtoN2O*kgtoGg,"ERROR")))</f>
        <v>2.7384983876862477E-2</v>
      </c>
      <c r="AJ1062" s="94">
        <f>IF('Net zero activities &amp; levers'!$C$12="Off",Constants!$H75*'Activity data'!BC17*Constants!$H93*FracLEACHMM*MMLeachEF*NtoN2O*kgtoGg,IF('Net zero activities &amp; levers'!$C$12="PB",Constants!$H75*'Activity data'!BC17*Constants!$H93*FracLEACHMM*MMLeachEF*NtoN2O*kgtoGg,IF('Net zero activities &amp; levers'!$C$14="MS",Constants!$H75*'Net zero Activity data'!BC17*Constants!$H93*FracLEACHMM*MMLeachEF*NtoN2O*kgtoGg,"ERROR")))</f>
        <v>2.7908158351219941E-2</v>
      </c>
      <c r="AK1062" s="94">
        <f>IF('Net zero activities &amp; levers'!$C$12="Off",Constants!$H75*'Activity data'!BD17*Constants!$H93*FracLEACHMM*MMLeachEF*NtoN2O*kgtoGg,IF('Net zero activities &amp; levers'!$C$12="PB",Constants!$H75*'Activity data'!BD17*Constants!$H93*FracLEACHMM*MMLeachEF*NtoN2O*kgtoGg,IF('Net zero activities &amp; levers'!$C$14="MS",Constants!$H75*'Net zero Activity data'!BD17*Constants!$H93*FracLEACHMM*MMLeachEF*NtoN2O*kgtoGg,"ERROR")))</f>
        <v>2.8344604443718637E-2</v>
      </c>
      <c r="AL1062" s="94">
        <f>IF('Net zero activities &amp; levers'!$C$12="Off",Constants!$H75*'Activity data'!BE17*Constants!$H93*FracLEACHMM*MMLeachEF*NtoN2O*kgtoGg,IF('Net zero activities &amp; levers'!$C$12="PB",Constants!$H75*'Activity data'!BE17*Constants!$H93*FracLEACHMM*MMLeachEF*NtoN2O*kgtoGg,IF('Net zero activities &amp; levers'!$C$14="MS",Constants!$H75*'Net zero Activity data'!BE17*Constants!$H93*FracLEACHMM*MMLeachEF*NtoN2O*kgtoGg,"ERROR")))</f>
        <v>2.8753897192929187E-2</v>
      </c>
      <c r="AM1062" s="94">
        <f>IF('Net zero activities &amp; levers'!$C$12="Off",Constants!$H75*'Activity data'!BF17*Constants!$H93*FracLEACHMM*MMLeachEF*NtoN2O*kgtoGg,IF('Net zero activities &amp; levers'!$C$12="PB",Constants!$H75*'Activity data'!BF17*Constants!$H93*FracLEACHMM*MMLeachEF*NtoN2O*kgtoGg,IF('Net zero activities &amp; levers'!$C$14="MS",Constants!$H75*'Net zero Activity data'!BF17*Constants!$H93*FracLEACHMM*MMLeachEF*NtoN2O*kgtoGg,"ERROR")))</f>
        <v>2.9139337629284397E-2</v>
      </c>
      <c r="AN1062" s="94">
        <f>IF('Net zero activities &amp; levers'!$C$12="Off",Constants!$H75*'Activity data'!BG17*Constants!$H93*FracLEACHMM*MMLeachEF*NtoN2O*kgtoGg,IF('Net zero activities &amp; levers'!$C$12="PB",Constants!$H75*'Activity data'!BG17*Constants!$H93*FracLEACHMM*MMLeachEF*NtoN2O*kgtoGg,IF('Net zero activities &amp; levers'!$C$14="MS",Constants!$H75*'Net zero Activity data'!BG17*Constants!$H93*FracLEACHMM*MMLeachEF*NtoN2O*kgtoGg,"ERROR")))</f>
        <v>2.9584390604572932E-2</v>
      </c>
      <c r="AO1062" s="94">
        <f>IF('Net zero activities &amp; levers'!$C$12="Off",Constants!$H75*'Activity data'!BH17*Constants!$H93*FracLEACHMM*MMLeachEF*NtoN2O*kgtoGg,IF('Net zero activities &amp; levers'!$C$12="PB",Constants!$H75*'Activity data'!BH17*Constants!$H93*FracLEACHMM*MMLeachEF*NtoN2O*kgtoGg,IF('Net zero activities &amp; levers'!$C$14="MS",Constants!$H75*'Net zero Activity data'!BH17*Constants!$H93*FracLEACHMM*MMLeachEF*NtoN2O*kgtoGg,"ERROR")))</f>
        <v>2.9970416689145254E-2</v>
      </c>
      <c r="AP1062" s="94">
        <f>IF('Net zero activities &amp; levers'!$C$12="Off",Constants!$H75*'Activity data'!BI17*Constants!$H93*FracLEACHMM*MMLeachEF*NtoN2O*kgtoGg,IF('Net zero activities &amp; levers'!$C$12="PB",Constants!$H75*'Activity data'!BI17*Constants!$H93*FracLEACHMM*MMLeachEF*NtoN2O*kgtoGg,IF('Net zero activities &amp; levers'!$C$14="MS",Constants!$H75*'Net zero Activity data'!BI17*Constants!$H93*FracLEACHMM*MMLeachEF*NtoN2O*kgtoGg,"ERROR")))</f>
        <v>3.0368893670993099E-2</v>
      </c>
      <c r="AQ1062" s="94">
        <f>IF('Net zero activities &amp; levers'!$C$12="Off",Constants!$H75*'Activity data'!BJ17*Constants!$H93*FracLEACHMM*MMLeachEF*NtoN2O*kgtoGg,IF('Net zero activities &amp; levers'!$C$12="PB",Constants!$H75*'Activity data'!BJ17*Constants!$H93*FracLEACHMM*MMLeachEF*NtoN2O*kgtoGg,IF('Net zero activities &amp; levers'!$C$14="MS",Constants!$H75*'Net zero Activity data'!BJ17*Constants!$H93*FracLEACHMM*MMLeachEF*NtoN2O*kgtoGg,"ERROR")))</f>
        <v>3.0782827170501174E-2</v>
      </c>
      <c r="AR1062" s="94">
        <f>IF('Net zero activities &amp; levers'!$C$12="Off",Constants!$H75*'Activity data'!BK17*Constants!$H93*FracLEACHMM*MMLeachEF*NtoN2O*kgtoGg,IF('Net zero activities &amp; levers'!$C$12="PB",Constants!$H75*'Activity data'!BK17*Constants!$H93*FracLEACHMM*MMLeachEF*NtoN2O*kgtoGg,IF('Net zero activities &amp; levers'!$C$14="MS",Constants!$H75*'Net zero Activity data'!BK17*Constants!$H93*FracLEACHMM*MMLeachEF*NtoN2O*kgtoGg,"ERROR")))</f>
        <v>3.1217396528975507E-2</v>
      </c>
      <c r="AS1062" s="94">
        <f>IF('Net zero activities &amp; levers'!$C$12="Off",Constants!$H75*'Activity data'!BL17*Constants!$H93*FracLEACHMM*MMLeachEF*NtoN2O*kgtoGg,IF('Net zero activities &amp; levers'!$C$12="PB",Constants!$H75*'Activity data'!BL17*Constants!$H93*FracLEACHMM*MMLeachEF*NtoN2O*kgtoGg,IF('Net zero activities &amp; levers'!$C$14="MS",Constants!$H75*'Net zero Activity data'!BL17*Constants!$H93*FracLEACHMM*MMLeachEF*NtoN2O*kgtoGg,"ERROR")))</f>
        <v>3.1673723172219483E-2</v>
      </c>
      <c r="AT1062" s="94">
        <f>IF('Net zero activities &amp; levers'!$C$12="Off",Constants!$H75*'Activity data'!BM17*Constants!$H93*FracLEACHMM*MMLeachEF*NtoN2O*kgtoGg,IF('Net zero activities &amp; levers'!$C$12="PB",Constants!$H75*'Activity data'!BM17*Constants!$H93*FracLEACHMM*MMLeachEF*NtoN2O*kgtoGg,IF('Net zero activities &amp; levers'!$C$14="MS",Constants!$H75*'Net zero Activity data'!BM17*Constants!$H93*FracLEACHMM*MMLeachEF*NtoN2O*kgtoGg,"ERROR")))</f>
        <v>3.1396042142995774E-2</v>
      </c>
      <c r="AU1062" s="94">
        <f>IF('Net zero activities &amp; levers'!$C$12="Off",Constants!$H75*'Activity data'!BN17*Constants!$H93*FracLEACHMM*MMLeachEF*NtoN2O*kgtoGg,IF('Net zero activities &amp; levers'!$C$12="PB",Constants!$H75*'Activity data'!BN17*Constants!$H93*FracLEACHMM*MMLeachEF*NtoN2O*kgtoGg,IF('Net zero activities &amp; levers'!$C$14="MS",Constants!$H75*'Net zero Activity data'!BN17*Constants!$H93*FracLEACHMM*MMLeachEF*NtoN2O*kgtoGg,"ERROR")))</f>
        <v>3.1054190241510845E-2</v>
      </c>
      <c r="AV1062" s="94">
        <f>IF('Net zero activities &amp; levers'!$C$12="Off",Constants!$H75*'Activity data'!BO17*Constants!$H93*FracLEACHMM*MMLeachEF*NtoN2O*kgtoGg,IF('Net zero activities &amp; levers'!$C$12="PB",Constants!$H75*'Activity data'!BO17*Constants!$H93*FracLEACHMM*MMLeachEF*NtoN2O*kgtoGg,IF('Net zero activities &amp; levers'!$C$14="MS",Constants!$H75*'Net zero Activity data'!BO17*Constants!$H93*FracLEACHMM*MMLeachEF*NtoN2O*kgtoGg,"ERROR")))</f>
        <v>3.0622832551979947E-2</v>
      </c>
      <c r="AW1062" s="94">
        <f>IF('Net zero activities &amp; levers'!$C$12="Off",Constants!$H75*'Activity data'!BP17*Constants!$H93*FracLEACHMM*MMLeachEF*NtoN2O*kgtoGg,IF('Net zero activities &amp; levers'!$C$12="PB",Constants!$H75*'Activity data'!BP17*Constants!$H93*FracLEACHMM*MMLeachEF*NtoN2O*kgtoGg,IF('Net zero activities &amp; levers'!$C$14="MS",Constants!$H75*'Net zero Activity data'!BP17*Constants!$H93*FracLEACHMM*MMLeachEF*NtoN2O*kgtoGg,"ERROR")))</f>
        <v>3.01703196842419E-2</v>
      </c>
      <c r="AY1062" s="79"/>
      <c r="AZ1062" s="79"/>
    </row>
    <row r="1063" spans="1:52" x14ac:dyDescent="0.3">
      <c r="A1063" s="95" t="str">
        <f t="shared" si="368"/>
        <v>DS MM Leaching</v>
      </c>
      <c r="B1063" s="95" t="s">
        <v>974</v>
      </c>
      <c r="C1063" s="95" t="s">
        <v>1333</v>
      </c>
      <c r="D1063" t="s">
        <v>369</v>
      </c>
      <c r="E1063" t="s">
        <v>64</v>
      </c>
      <c r="F1063" t="s">
        <v>63</v>
      </c>
      <c r="G1063" t="s">
        <v>1178</v>
      </c>
      <c r="H1063" t="s">
        <v>1319</v>
      </c>
      <c r="I1063" t="s">
        <v>139</v>
      </c>
      <c r="J1063" t="s">
        <v>287</v>
      </c>
      <c r="K1063" s="94">
        <f>IF('Net zero activities &amp; levers'!$C$12="Off",Constants!$H76*'Activity data'!AD18*Constants!$H94*FracLEACHMM*MMLeachEF*NtoN2O*kgtoGg,IF('Net zero activities &amp; levers'!$C$12="PB",Constants!$H76*'Activity data'!AD18*Constants!$H94*FracLEACHMM*MMLeachEF*NtoN2O*kgtoGg,IF('Net zero activities &amp; levers'!$C$14="MS",Constants!$H76*'Net zero Activity data'!AD18*Constants!$H94*FracLEACHMM*MMLeachEF*NtoN2O*kgtoGg,"ERROR")))</f>
        <v>4.0166140097319695E-3</v>
      </c>
      <c r="L1063" s="94">
        <f>IF('Net zero activities &amp; levers'!$C$12="Off",Constants!$H76*'Activity data'!AE18*Constants!$H94*FracLEACHMM*MMLeachEF*NtoN2O*kgtoGg,IF('Net zero activities &amp; levers'!$C$12="PB",Constants!$H76*'Activity data'!AE18*Constants!$H94*FracLEACHMM*MMLeachEF*NtoN2O*kgtoGg,IF('Net zero activities &amp; levers'!$C$14="MS",Constants!$H76*'Net zero Activity data'!AE18*Constants!$H94*FracLEACHMM*MMLeachEF*NtoN2O*kgtoGg,"ERROR")))</f>
        <v>3.994781041000697E-3</v>
      </c>
      <c r="M1063" s="94">
        <f>IF('Net zero activities &amp; levers'!$C$12="Off",Constants!$H76*'Activity data'!AF18*Constants!$H94*FracLEACHMM*MMLeachEF*NtoN2O*kgtoGg,IF('Net zero activities &amp; levers'!$C$12="PB",Constants!$H76*'Activity data'!AF18*Constants!$H94*FracLEACHMM*MMLeachEF*NtoN2O*kgtoGg,IF('Net zero activities &amp; levers'!$C$14="MS",Constants!$H76*'Net zero Activity data'!AF18*Constants!$H94*FracLEACHMM*MMLeachEF*NtoN2O*kgtoGg,"ERROR")))</f>
        <v>3.9965730233416695E-3</v>
      </c>
      <c r="N1063" s="94">
        <f>IF('Net zero activities &amp; levers'!$C$12="Off",Constants!$H76*'Activity data'!AG18*Constants!$H94*FracLEACHMM*MMLeachEF*NtoN2O*kgtoGg,IF('Net zero activities &amp; levers'!$C$12="PB",Constants!$H76*'Activity data'!AG18*Constants!$H94*FracLEACHMM*MMLeachEF*NtoN2O*kgtoGg,IF('Net zero activities &amp; levers'!$C$14="MS",Constants!$H76*'Net zero Activity data'!AG18*Constants!$H94*FracLEACHMM*MMLeachEF*NtoN2O*kgtoGg,"ERROR")))</f>
        <v>3.9598814204188995E-3</v>
      </c>
      <c r="O1063" s="94">
        <f>IF('Net zero activities &amp; levers'!$C$12="Off",Constants!$H76*'Activity data'!AH18*Constants!$H94*FracLEACHMM*MMLeachEF*NtoN2O*kgtoGg,IF('Net zero activities &amp; levers'!$C$12="PB",Constants!$H76*'Activity data'!AH18*Constants!$H94*FracLEACHMM*MMLeachEF*NtoN2O*kgtoGg,IF('Net zero activities &amp; levers'!$C$14="MS",Constants!$H76*'Net zero Activity data'!AH18*Constants!$H94*FracLEACHMM*MMLeachEF*NtoN2O*kgtoGg,"ERROR")))</f>
        <v>3.8999555700251301E-3</v>
      </c>
      <c r="P1063" s="94">
        <f>IF('Net zero activities &amp; levers'!$C$12="Off",Constants!$H76*'Activity data'!AI18*Constants!$H94*FracLEACHMM*MMLeachEF*NtoN2O*kgtoGg,IF('Net zero activities &amp; levers'!$C$12="PB",Constants!$H76*'Activity data'!AI18*Constants!$H94*FracLEACHMM*MMLeachEF*NtoN2O*kgtoGg,IF('Net zero activities &amp; levers'!$C$14="MS",Constants!$H76*'Net zero Activity data'!AI18*Constants!$H94*FracLEACHMM*MMLeachEF*NtoN2O*kgtoGg,"ERROR")))</f>
        <v>3.8177534504158571E-3</v>
      </c>
      <c r="Q1063" s="94">
        <f>IF('Net zero activities &amp; levers'!$C$12="Off",Constants!$H76*'Activity data'!AJ18*Constants!$H94*FracLEACHMM*MMLeachEF*NtoN2O*kgtoGg,IF('Net zero activities &amp; levers'!$C$12="PB",Constants!$H76*'Activity data'!AJ18*Constants!$H94*FracLEACHMM*MMLeachEF*NtoN2O*kgtoGg,IF('Net zero activities &amp; levers'!$C$14="MS",Constants!$H76*'Net zero Activity data'!AJ18*Constants!$H94*FracLEACHMM*MMLeachEF*NtoN2O*kgtoGg,"ERROR")))</f>
        <v>3.7580655955978047E-3</v>
      </c>
      <c r="R1063" s="94">
        <f>IF('Net zero activities &amp; levers'!$C$12="Off",Constants!$H76*'Activity data'!AK18*Constants!$H94*FracLEACHMM*MMLeachEF*NtoN2O*kgtoGg,IF('Net zero activities &amp; levers'!$C$12="PB",Constants!$H76*'Activity data'!AK18*Constants!$H94*FracLEACHMM*MMLeachEF*NtoN2O*kgtoGg,IF('Net zero activities &amp; levers'!$C$14="MS",Constants!$H76*'Net zero Activity data'!AK18*Constants!$H94*FracLEACHMM*MMLeachEF*NtoN2O*kgtoGg,"ERROR")))</f>
        <v>3.7036593154610871E-3</v>
      </c>
      <c r="S1063" s="94">
        <f>IF('Net zero activities &amp; levers'!$C$12="Off",Constants!$H76*'Activity data'!AL18*Constants!$H94*FracLEACHMM*MMLeachEF*NtoN2O*kgtoGg,IF('Net zero activities &amp; levers'!$C$12="PB",Constants!$H76*'Activity data'!AL18*Constants!$H94*FracLEACHMM*MMLeachEF*NtoN2O*kgtoGg,IF('Net zero activities &amp; levers'!$C$14="MS",Constants!$H76*'Net zero Activity data'!AL18*Constants!$H94*FracLEACHMM*MMLeachEF*NtoN2O*kgtoGg,"ERROR")))</f>
        <v>3.2701456339573466E-3</v>
      </c>
      <c r="T1063" s="94">
        <f>IF('Net zero activities &amp; levers'!$C$12="Off",Constants!$H76*'Activity data'!AM18*Constants!$H94*FracLEACHMM*MMLeachEF*NtoN2O*kgtoGg,IF('Net zero activities &amp; levers'!$C$12="PB",Constants!$H76*'Activity data'!AM18*Constants!$H94*FracLEACHMM*MMLeachEF*NtoN2O*kgtoGg,IF('Net zero activities &amp; levers'!$C$14="MS",Constants!$H76*'Net zero Activity data'!AM18*Constants!$H94*FracLEACHMM*MMLeachEF*NtoN2O*kgtoGg,"ERROR")))</f>
        <v>3.31149883997744E-3</v>
      </c>
      <c r="U1063" s="94">
        <f>IF('Net zero activities &amp; levers'!$C$12="Off",Constants!$H76*'Activity data'!AN18*Constants!$H94*FracLEACHMM*MMLeachEF*NtoN2O*kgtoGg,IF('Net zero activities &amp; levers'!$C$12="PB",Constants!$H76*'Activity data'!AN18*Constants!$H94*FracLEACHMM*MMLeachEF*NtoN2O*kgtoGg,IF('Net zero activities &amp; levers'!$C$14="MS",Constants!$H76*'Net zero Activity data'!AN18*Constants!$H94*FracLEACHMM*MMLeachEF*NtoN2O*kgtoGg,"ERROR")))</f>
        <v>3.4002347022576052E-3</v>
      </c>
      <c r="V1063" s="94">
        <f>IF('Net zero activities &amp; levers'!$C$12="Off",Constants!$H76*'Activity data'!AO18*Constants!$H94*FracLEACHMM*MMLeachEF*NtoN2O*kgtoGg,IF('Net zero activities &amp; levers'!$C$12="PB",Constants!$H76*'Activity data'!AO18*Constants!$H94*FracLEACHMM*MMLeachEF*NtoN2O*kgtoGg,IF('Net zero activities &amp; levers'!$C$14="MS",Constants!$H76*'Net zero Activity data'!AO18*Constants!$H94*FracLEACHMM*MMLeachEF*NtoN2O*kgtoGg,"ERROR")))</f>
        <v>3.40829145755788E-3</v>
      </c>
      <c r="W1063" s="94">
        <f>IF('Net zero activities &amp; levers'!$C$12="Off",Constants!$H76*'Activity data'!AP18*Constants!$H94*FracLEACHMM*MMLeachEF*NtoN2O*kgtoGg,IF('Net zero activities &amp; levers'!$C$12="PB",Constants!$H76*'Activity data'!AP18*Constants!$H94*FracLEACHMM*MMLeachEF*NtoN2O*kgtoGg,IF('Net zero activities &amp; levers'!$C$14="MS",Constants!$H76*'Net zero Activity data'!AP18*Constants!$H94*FracLEACHMM*MMLeachEF*NtoN2O*kgtoGg,"ERROR")))</f>
        <v>3.4257388088279458E-3</v>
      </c>
      <c r="X1063" s="94">
        <f>IF('Net zero activities &amp; levers'!$C$12="Off",Constants!$H76*'Activity data'!AQ18*Constants!$H94*FracLEACHMM*MMLeachEF*NtoN2O*kgtoGg,IF('Net zero activities &amp; levers'!$C$12="PB",Constants!$H76*'Activity data'!AQ18*Constants!$H94*FracLEACHMM*MMLeachEF*NtoN2O*kgtoGg,IF('Net zero activities &amp; levers'!$C$14="MS",Constants!$H76*'Net zero Activity data'!AQ18*Constants!$H94*FracLEACHMM*MMLeachEF*NtoN2O*kgtoGg,"ERROR")))</f>
        <v>3.4550739434622826E-3</v>
      </c>
      <c r="Y1063" s="94">
        <f>IF('Net zero activities &amp; levers'!$C$12="Off",Constants!$H76*'Activity data'!AR18*Constants!$H94*FracLEACHMM*MMLeachEF*NtoN2O*kgtoGg,IF('Net zero activities &amp; levers'!$C$12="PB",Constants!$H76*'Activity data'!AR18*Constants!$H94*FracLEACHMM*MMLeachEF*NtoN2O*kgtoGg,IF('Net zero activities &amp; levers'!$C$14="MS",Constants!$H76*'Net zero Activity data'!AR18*Constants!$H94*FracLEACHMM*MMLeachEF*NtoN2O*kgtoGg,"ERROR")))</f>
        <v>3.491883673925408E-3</v>
      </c>
      <c r="Z1063" s="94">
        <f>IF('Net zero activities &amp; levers'!$C$12="Off",Constants!$H76*'Activity data'!AS18*Constants!$H94*FracLEACHMM*MMLeachEF*NtoN2O*kgtoGg,IF('Net zero activities &amp; levers'!$C$12="PB",Constants!$H76*'Activity data'!AS18*Constants!$H94*FracLEACHMM*MMLeachEF*NtoN2O*kgtoGg,IF('Net zero activities &amp; levers'!$C$14="MS",Constants!$H76*'Net zero Activity data'!AS18*Constants!$H94*FracLEACHMM*MMLeachEF*NtoN2O*kgtoGg,"ERROR")))</f>
        <v>3.5369908780382062E-3</v>
      </c>
      <c r="AA1063" s="94">
        <f>IF('Net zero activities &amp; levers'!$C$12="Off",Constants!$H76*'Activity data'!AT18*Constants!$H94*FracLEACHMM*MMLeachEF*NtoN2O*kgtoGg,IF('Net zero activities &amp; levers'!$C$12="PB",Constants!$H76*'Activity data'!AT18*Constants!$H94*FracLEACHMM*MMLeachEF*NtoN2O*kgtoGg,IF('Net zero activities &amp; levers'!$C$14="MS",Constants!$H76*'Net zero Activity data'!AT18*Constants!$H94*FracLEACHMM*MMLeachEF*NtoN2O*kgtoGg,"ERROR")))</f>
        <v>3.5826255657196082E-3</v>
      </c>
      <c r="AB1063" s="94">
        <f>IF('Net zero activities &amp; levers'!$C$12="Off",Constants!$H76*'Activity data'!AU18*Constants!$H94*FracLEACHMM*MMLeachEF*NtoN2O*kgtoGg,IF('Net zero activities &amp; levers'!$C$12="PB",Constants!$H76*'Activity data'!AU18*Constants!$H94*FracLEACHMM*MMLeachEF*NtoN2O*kgtoGg,IF('Net zero activities &amp; levers'!$C$14="MS",Constants!$H76*'Net zero Activity data'!AU18*Constants!$H94*FracLEACHMM*MMLeachEF*NtoN2O*kgtoGg,"ERROR")))</f>
        <v>3.6353129585993062E-3</v>
      </c>
      <c r="AC1063" s="94">
        <f>IF('Net zero activities &amp; levers'!$C$12="Off",Constants!$H76*'Activity data'!AV18*Constants!$H94*FracLEACHMM*MMLeachEF*NtoN2O*kgtoGg,IF('Net zero activities &amp; levers'!$C$12="PB",Constants!$H76*'Activity data'!AV18*Constants!$H94*FracLEACHMM*MMLeachEF*NtoN2O*kgtoGg,IF('Net zero activities &amp; levers'!$C$14="MS",Constants!$H76*'Net zero Activity data'!AV18*Constants!$H94*FracLEACHMM*MMLeachEF*NtoN2O*kgtoGg,"ERROR")))</f>
        <v>3.6876367043189875E-3</v>
      </c>
      <c r="AD1063" s="94">
        <f>IF('Net zero activities &amp; levers'!$C$12="Off",Constants!$H76*'Activity data'!AW18*Constants!$H94*FracLEACHMM*MMLeachEF*NtoN2O*kgtoGg,IF('Net zero activities &amp; levers'!$C$12="PB",Constants!$H76*'Activity data'!AW18*Constants!$H94*FracLEACHMM*MMLeachEF*NtoN2O*kgtoGg,IF('Net zero activities &amp; levers'!$C$14="MS",Constants!$H76*'Net zero Activity data'!AW18*Constants!$H94*FracLEACHMM*MMLeachEF*NtoN2O*kgtoGg,"ERROR")))</f>
        <v>3.7526887817217083E-3</v>
      </c>
      <c r="AE1063" s="94">
        <f>IF('Net zero activities &amp; levers'!$C$12="Off",Constants!$H76*'Activity data'!AX18*Constants!$H94*FracLEACHMM*MMLeachEF*NtoN2O*kgtoGg,IF('Net zero activities &amp; levers'!$C$12="PB",Constants!$H76*'Activity data'!AX18*Constants!$H94*FracLEACHMM*MMLeachEF*NtoN2O*kgtoGg,IF('Net zero activities &amp; levers'!$C$14="MS",Constants!$H76*'Net zero Activity data'!AX18*Constants!$H94*FracLEACHMM*MMLeachEF*NtoN2O*kgtoGg,"ERROR")))</f>
        <v>3.8125739702470681E-3</v>
      </c>
      <c r="AF1063" s="94">
        <f>IF('Net zero activities &amp; levers'!$C$12="Off",Constants!$H76*'Activity data'!AY18*Constants!$H94*FracLEACHMM*MMLeachEF*NtoN2O*kgtoGg,IF('Net zero activities &amp; levers'!$C$12="PB",Constants!$H76*'Activity data'!AY18*Constants!$H94*FracLEACHMM*MMLeachEF*NtoN2O*kgtoGg,IF('Net zero activities &amp; levers'!$C$14="MS",Constants!$H76*'Net zero Activity data'!AY18*Constants!$H94*FracLEACHMM*MMLeachEF*NtoN2O*kgtoGg,"ERROR")))</f>
        <v>3.87629659864187E-3</v>
      </c>
      <c r="AG1063" s="94">
        <f>IF('Net zero activities &amp; levers'!$C$12="Off",Constants!$H76*'Activity data'!AZ18*Constants!$H94*FracLEACHMM*MMLeachEF*NtoN2O*kgtoGg,IF('Net zero activities &amp; levers'!$C$12="PB",Constants!$H76*'Activity data'!AZ18*Constants!$H94*FracLEACHMM*MMLeachEF*NtoN2O*kgtoGg,IF('Net zero activities &amp; levers'!$C$14="MS",Constants!$H76*'Net zero Activity data'!AZ18*Constants!$H94*FracLEACHMM*MMLeachEF*NtoN2O*kgtoGg,"ERROR")))</f>
        <v>3.9540298922350536E-3</v>
      </c>
      <c r="AH1063" s="94">
        <f>IF('Net zero activities &amp; levers'!$C$12="Off",Constants!$H76*'Activity data'!BA18*Constants!$H94*FracLEACHMM*MMLeachEF*NtoN2O*kgtoGg,IF('Net zero activities &amp; levers'!$C$12="PB",Constants!$H76*'Activity data'!BA18*Constants!$H94*FracLEACHMM*MMLeachEF*NtoN2O*kgtoGg,IF('Net zero activities &amp; levers'!$C$14="MS",Constants!$H76*'Net zero Activity data'!BA18*Constants!$H94*FracLEACHMM*MMLeachEF*NtoN2O*kgtoGg,"ERROR")))</f>
        <v>4.0207772404105219E-3</v>
      </c>
      <c r="AI1063" s="94">
        <f>IF('Net zero activities &amp; levers'!$C$12="Off",Constants!$H76*'Activity data'!BB18*Constants!$H94*FracLEACHMM*MMLeachEF*NtoN2O*kgtoGg,IF('Net zero activities &amp; levers'!$C$12="PB",Constants!$H76*'Activity data'!BB18*Constants!$H94*FracLEACHMM*MMLeachEF*NtoN2O*kgtoGg,IF('Net zero activities &amp; levers'!$C$14="MS",Constants!$H76*'Net zero Activity data'!BB18*Constants!$H94*FracLEACHMM*MMLeachEF*NtoN2O*kgtoGg,"ERROR")))</f>
        <v>4.0928207316778291E-3</v>
      </c>
      <c r="AJ1063" s="94">
        <f>IF('Net zero activities &amp; levers'!$C$12="Off",Constants!$H76*'Activity data'!BC18*Constants!$H94*FracLEACHMM*MMLeachEF*NtoN2O*kgtoGg,IF('Net zero activities &amp; levers'!$C$12="PB",Constants!$H76*'Activity data'!BC18*Constants!$H94*FracLEACHMM*MMLeachEF*NtoN2O*kgtoGg,IF('Net zero activities &amp; levers'!$C$14="MS",Constants!$H76*'Net zero Activity data'!BC18*Constants!$H94*FracLEACHMM*MMLeachEF*NtoN2O*kgtoGg,"ERROR")))</f>
        <v>4.1710117338914204E-3</v>
      </c>
      <c r="AK1063" s="94">
        <f>IF('Net zero activities &amp; levers'!$C$12="Off",Constants!$H76*'Activity data'!BD18*Constants!$H94*FracLEACHMM*MMLeachEF*NtoN2O*kgtoGg,IF('Net zero activities &amp; levers'!$C$12="PB",Constants!$H76*'Activity data'!BD18*Constants!$H94*FracLEACHMM*MMLeachEF*NtoN2O*kgtoGg,IF('Net zero activities &amp; levers'!$C$14="MS",Constants!$H76*'Net zero Activity data'!BD18*Constants!$H94*FracLEACHMM*MMLeachEF*NtoN2O*kgtoGg,"ERROR")))</f>
        <v>4.2362407522348522E-3</v>
      </c>
      <c r="AL1063" s="94">
        <f>IF('Net zero activities &amp; levers'!$C$12="Off",Constants!$H76*'Activity data'!BE18*Constants!$H94*FracLEACHMM*MMLeachEF*NtoN2O*kgtoGg,IF('Net zero activities &amp; levers'!$C$12="PB",Constants!$H76*'Activity data'!BE18*Constants!$H94*FracLEACHMM*MMLeachEF*NtoN2O*kgtoGg,IF('Net zero activities &amp; levers'!$C$14="MS",Constants!$H76*'Net zero Activity data'!BE18*Constants!$H94*FracLEACHMM*MMLeachEF*NtoN2O*kgtoGg,"ERROR")))</f>
        <v>4.2974115696735888E-3</v>
      </c>
      <c r="AM1063" s="94">
        <f>IF('Net zero activities &amp; levers'!$C$12="Off",Constants!$H76*'Activity data'!BF18*Constants!$H94*FracLEACHMM*MMLeachEF*NtoN2O*kgtoGg,IF('Net zero activities &amp; levers'!$C$12="PB",Constants!$H76*'Activity data'!BF18*Constants!$H94*FracLEACHMM*MMLeachEF*NtoN2O*kgtoGg,IF('Net zero activities &amp; levers'!$C$14="MS",Constants!$H76*'Net zero Activity data'!BF18*Constants!$H94*FracLEACHMM*MMLeachEF*NtoN2O*kgtoGg,"ERROR")))</f>
        <v>4.3550175414658315E-3</v>
      </c>
      <c r="AN1063" s="94">
        <f>IF('Net zero activities &amp; levers'!$C$12="Off",Constants!$H76*'Activity data'!BG18*Constants!$H94*FracLEACHMM*MMLeachEF*NtoN2O*kgtoGg,IF('Net zero activities &amp; levers'!$C$12="PB",Constants!$H76*'Activity data'!BG18*Constants!$H94*FracLEACHMM*MMLeachEF*NtoN2O*kgtoGg,IF('Net zero activities &amp; levers'!$C$14="MS",Constants!$H76*'Net zero Activity data'!BG18*Constants!$H94*FracLEACHMM*MMLeachEF*NtoN2O*kgtoGg,"ERROR")))</f>
        <v>4.4215329008374625E-3</v>
      </c>
      <c r="AO1063" s="94">
        <f>IF('Net zero activities &amp; levers'!$C$12="Off",Constants!$H76*'Activity data'!BH18*Constants!$H94*FracLEACHMM*MMLeachEF*NtoN2O*kgtoGg,IF('Net zero activities &amp; levers'!$C$12="PB",Constants!$H76*'Activity data'!BH18*Constants!$H94*FracLEACHMM*MMLeachEF*NtoN2O*kgtoGg,IF('Net zero activities &amp; levers'!$C$14="MS",Constants!$H76*'Net zero Activity data'!BH18*Constants!$H94*FracLEACHMM*MMLeachEF*NtoN2O*kgtoGg,"ERROR")))</f>
        <v>4.479226400640501E-3</v>
      </c>
      <c r="AP1063" s="94">
        <f>IF('Net zero activities &amp; levers'!$C$12="Off",Constants!$H76*'Activity data'!BI18*Constants!$H94*FracLEACHMM*MMLeachEF*NtoN2O*kgtoGg,IF('Net zero activities &amp; levers'!$C$12="PB",Constants!$H76*'Activity data'!BI18*Constants!$H94*FracLEACHMM*MMLeachEF*NtoN2O*kgtoGg,IF('Net zero activities &amp; levers'!$C$14="MS",Constants!$H76*'Net zero Activity data'!BI18*Constants!$H94*FracLEACHMM*MMLeachEF*NtoN2O*kgtoGg,"ERROR")))</f>
        <v>4.5387807483712392E-3</v>
      </c>
      <c r="AQ1063" s="94">
        <f>IF('Net zero activities &amp; levers'!$C$12="Off",Constants!$H76*'Activity data'!BJ18*Constants!$H94*FracLEACHMM*MMLeachEF*NtoN2O*kgtoGg,IF('Net zero activities &amp; levers'!$C$12="PB",Constants!$H76*'Activity data'!BJ18*Constants!$H94*FracLEACHMM*MMLeachEF*NtoN2O*kgtoGg,IF('Net zero activities &amp; levers'!$C$14="MS",Constants!$H76*'Net zero Activity data'!BJ18*Constants!$H94*FracLEACHMM*MMLeachEF*NtoN2O*kgtoGg,"ERROR")))</f>
        <v>4.6006451488010665E-3</v>
      </c>
      <c r="AR1063" s="94">
        <f>IF('Net zero activities &amp; levers'!$C$12="Off",Constants!$H76*'Activity data'!BK18*Constants!$H94*FracLEACHMM*MMLeachEF*NtoN2O*kgtoGg,IF('Net zero activities &amp; levers'!$C$12="PB",Constants!$H76*'Activity data'!BK18*Constants!$H94*FracLEACHMM*MMLeachEF*NtoN2O*kgtoGg,IF('Net zero activities &amp; levers'!$C$14="MS",Constants!$H76*'Net zero Activity data'!BK18*Constants!$H94*FracLEACHMM*MMLeachEF*NtoN2O*kgtoGg,"ERROR")))</f>
        <v>4.665593680000254E-3</v>
      </c>
      <c r="AS1063" s="94">
        <f>IF('Net zero activities &amp; levers'!$C$12="Off",Constants!$H76*'Activity data'!BL18*Constants!$H94*FracLEACHMM*MMLeachEF*NtoN2O*kgtoGg,IF('Net zero activities &amp; levers'!$C$12="PB",Constants!$H76*'Activity data'!BL18*Constants!$H94*FracLEACHMM*MMLeachEF*NtoN2O*kgtoGg,IF('Net zero activities &amp; levers'!$C$14="MS",Constants!$H76*'Net zero Activity data'!BL18*Constants!$H94*FracLEACHMM*MMLeachEF*NtoN2O*kgtoGg,"ERROR")))</f>
        <v>4.7337939445789724E-3</v>
      </c>
      <c r="AT1063" s="94">
        <f>IF('Net zero activities &amp; levers'!$C$12="Off",Constants!$H76*'Activity data'!BM18*Constants!$H94*FracLEACHMM*MMLeachEF*NtoN2O*kgtoGg,IF('Net zero activities &amp; levers'!$C$12="PB",Constants!$H76*'Activity data'!BM18*Constants!$H94*FracLEACHMM*MMLeachEF*NtoN2O*kgtoGg,IF('Net zero activities &amp; levers'!$C$14="MS",Constants!$H76*'Net zero Activity data'!BM18*Constants!$H94*FracLEACHMM*MMLeachEF*NtoN2O*kgtoGg,"ERROR")))</f>
        <v>4.6922931469772361E-3</v>
      </c>
      <c r="AU1063" s="94">
        <f>IF('Net zero activities &amp; levers'!$C$12="Off",Constants!$H76*'Activity data'!BN18*Constants!$H94*FracLEACHMM*MMLeachEF*NtoN2O*kgtoGg,IF('Net zero activities &amp; levers'!$C$12="PB",Constants!$H76*'Activity data'!BN18*Constants!$H94*FracLEACHMM*MMLeachEF*NtoN2O*kgtoGg,IF('Net zero activities &amp; levers'!$C$14="MS",Constants!$H76*'Net zero Activity data'!BN18*Constants!$H94*FracLEACHMM*MMLeachEF*NtoN2O*kgtoGg,"ERROR")))</f>
        <v>4.6412016964271002E-3</v>
      </c>
      <c r="AV1063" s="94">
        <f>IF('Net zero activities &amp; levers'!$C$12="Off",Constants!$H76*'Activity data'!BO18*Constants!$H94*FracLEACHMM*MMLeachEF*NtoN2O*kgtoGg,IF('Net zero activities &amp; levers'!$C$12="PB",Constants!$H76*'Activity data'!BO18*Constants!$H94*FracLEACHMM*MMLeachEF*NtoN2O*kgtoGg,IF('Net zero activities &amp; levers'!$C$14="MS",Constants!$H76*'Net zero Activity data'!BO18*Constants!$H94*FracLEACHMM*MMLeachEF*NtoN2O*kgtoGg,"ERROR")))</f>
        <v>4.5767331649713494E-3</v>
      </c>
      <c r="AW1063" s="94">
        <f>IF('Net zero activities &amp; levers'!$C$12="Off",Constants!$H76*'Activity data'!BP18*Constants!$H94*FracLEACHMM*MMLeachEF*NtoN2O*kgtoGg,IF('Net zero activities &amp; levers'!$C$12="PB",Constants!$H76*'Activity data'!BP18*Constants!$H94*FracLEACHMM*MMLeachEF*NtoN2O*kgtoGg,IF('Net zero activities &amp; levers'!$C$14="MS",Constants!$H76*'Net zero Activity data'!BP18*Constants!$H94*FracLEACHMM*MMLeachEF*NtoN2O*kgtoGg,"ERROR")))</f>
        <v>4.5091028879276577E-3</v>
      </c>
      <c r="AY1063" s="79"/>
      <c r="AZ1063" s="79"/>
    </row>
    <row r="1064" spans="1:52" x14ac:dyDescent="0.3">
      <c r="A1064" s="95" t="str">
        <f t="shared" si="368"/>
        <v>DS MM Leaching</v>
      </c>
      <c r="B1064" s="95" t="s">
        <v>974</v>
      </c>
      <c r="C1064" s="95" t="s">
        <v>1333</v>
      </c>
      <c r="D1064" t="s">
        <v>369</v>
      </c>
      <c r="E1064" t="s">
        <v>64</v>
      </c>
      <c r="F1064" t="s">
        <v>63</v>
      </c>
      <c r="G1064" t="s">
        <v>1180</v>
      </c>
      <c r="H1064" t="s">
        <v>1320</v>
      </c>
      <c r="I1064" t="s">
        <v>139</v>
      </c>
      <c r="J1064" t="s">
        <v>287</v>
      </c>
      <c r="K1064" s="94">
        <f>IF('Net zero activities &amp; levers'!$C$12="Off",Constants!$H77*'Activity data'!AD19*Constants!$H95*FracLEACHMM*MMLeachEF*NtoN2O*kgtoGg,IF('Net zero activities &amp; levers'!$C$12="PB",Constants!$H77*'Activity data'!AD19*Constants!$H95*FracLEACHMM*MMLeachEF*NtoN2O*kgtoGg,IF('Net zero activities &amp; levers'!$C$14="MS",Constants!$H77*'Net zero Activity data'!AD19*Constants!$H95*FracLEACHMM*MMLeachEF*NtoN2O*kgtoGg,"ERROR")))</f>
        <v>1.6726645268412742E-2</v>
      </c>
      <c r="L1064" s="94">
        <f>IF('Net zero activities &amp; levers'!$C$12="Off",Constants!$H77*'Activity data'!AE19*Constants!$H95*FracLEACHMM*MMLeachEF*NtoN2O*kgtoGg,IF('Net zero activities &amp; levers'!$C$12="PB",Constants!$H77*'Activity data'!AE19*Constants!$H95*FracLEACHMM*MMLeachEF*NtoN2O*kgtoGg,IF('Net zero activities &amp; levers'!$C$14="MS",Constants!$H77*'Net zero Activity data'!AE19*Constants!$H95*FracLEACHMM*MMLeachEF*NtoN2O*kgtoGg,"ERROR")))</f>
        <v>1.7066731126843739E-2</v>
      </c>
      <c r="M1064" s="94">
        <f>IF('Net zero activities &amp; levers'!$C$12="Off",Constants!$H77*'Activity data'!AF19*Constants!$H95*FracLEACHMM*MMLeachEF*NtoN2O*kgtoGg,IF('Net zero activities &amp; levers'!$C$12="PB",Constants!$H77*'Activity data'!AF19*Constants!$H95*FracLEACHMM*MMLeachEF*NtoN2O*kgtoGg,IF('Net zero activities &amp; levers'!$C$14="MS",Constants!$H77*'Net zero Activity data'!AF19*Constants!$H95*FracLEACHMM*MMLeachEF*NtoN2O*kgtoGg,"ERROR")))</f>
        <v>1.7464259263446445E-2</v>
      </c>
      <c r="N1064" s="94">
        <f>IF('Net zero activities &amp; levers'!$C$12="Off",Constants!$H77*'Activity data'!AG19*Constants!$H95*FracLEACHMM*MMLeachEF*NtoN2O*kgtoGg,IF('Net zero activities &amp; levers'!$C$12="PB",Constants!$H77*'Activity data'!AG19*Constants!$H95*FracLEACHMM*MMLeachEF*NtoN2O*kgtoGg,IF('Net zero activities &amp; levers'!$C$14="MS",Constants!$H77*'Net zero Activity data'!AG19*Constants!$H95*FracLEACHMM*MMLeachEF*NtoN2O*kgtoGg,"ERROR")))</f>
        <v>1.77694513935726E-2</v>
      </c>
      <c r="O1064" s="94">
        <f>IF('Net zero activities &amp; levers'!$C$12="Off",Constants!$H77*'Activity data'!AH19*Constants!$H95*FracLEACHMM*MMLeachEF*NtoN2O*kgtoGg,IF('Net zero activities &amp; levers'!$C$12="PB",Constants!$H77*'Activity data'!AH19*Constants!$H95*FracLEACHMM*MMLeachEF*NtoN2O*kgtoGg,IF('Net zero activities &amp; levers'!$C$14="MS",Constants!$H77*'Net zero Activity data'!AH19*Constants!$H95*FracLEACHMM*MMLeachEF*NtoN2O*kgtoGg,"ERROR")))</f>
        <v>1.8014444056791569E-2</v>
      </c>
      <c r="P1064" s="94">
        <f>IF('Net zero activities &amp; levers'!$C$12="Off",Constants!$H77*'Activity data'!AI19*Constants!$H95*FracLEACHMM*MMLeachEF*NtoN2O*kgtoGg,IF('Net zero activities &amp; levers'!$C$12="PB",Constants!$H77*'Activity data'!AI19*Constants!$H95*FracLEACHMM*MMLeachEF*NtoN2O*kgtoGg,IF('Net zero activities &amp; levers'!$C$14="MS",Constants!$H77*'Net zero Activity data'!AI19*Constants!$H95*FracLEACHMM*MMLeachEF*NtoN2O*kgtoGg,"ERROR")))</f>
        <v>1.8197780265539362E-2</v>
      </c>
      <c r="Q1064" s="94">
        <f>IF('Net zero activities &amp; levers'!$C$12="Off",Constants!$H77*'Activity data'!AJ19*Constants!$H95*FracLEACHMM*MMLeachEF*NtoN2O*kgtoGg,IF('Net zero activities &amp; levers'!$C$12="PB",Constants!$H77*'Activity data'!AJ19*Constants!$H95*FracLEACHMM*MMLeachEF*NtoN2O*kgtoGg,IF('Net zero activities &amp; levers'!$C$14="MS",Constants!$H77*'Net zero Activity data'!AJ19*Constants!$H95*FracLEACHMM*MMLeachEF*NtoN2O*kgtoGg,"ERROR")))</f>
        <v>1.8432867891885713E-2</v>
      </c>
      <c r="R1064" s="94">
        <f>IF('Net zero activities &amp; levers'!$C$12="Off",Constants!$H77*'Activity data'!AK19*Constants!$H95*FracLEACHMM*MMLeachEF*NtoN2O*kgtoGg,IF('Net zero activities &amp; levers'!$C$12="PB",Constants!$H77*'Activity data'!AK19*Constants!$H95*FracLEACHMM*MMLeachEF*NtoN2O*kgtoGg,IF('Net zero activities &amp; levers'!$C$14="MS",Constants!$H77*'Net zero Activity data'!AK19*Constants!$H95*FracLEACHMM*MMLeachEF*NtoN2O*kgtoGg,"ERROR")))</f>
        <v>1.8677293946611207E-2</v>
      </c>
      <c r="S1064" s="94">
        <f>IF('Net zero activities &amp; levers'!$C$12="Off",Constants!$H77*'Activity data'!AL19*Constants!$H95*FracLEACHMM*MMLeachEF*NtoN2O*kgtoGg,IF('Net zero activities &amp; levers'!$C$12="PB",Constants!$H77*'Activity data'!AL19*Constants!$H95*FracLEACHMM*MMLeachEF*NtoN2O*kgtoGg,IF('Net zero activities &amp; levers'!$C$14="MS",Constants!$H77*'Net zero Activity data'!AL19*Constants!$H95*FracLEACHMM*MMLeachEF*NtoN2O*kgtoGg,"ERROR")))</f>
        <v>1.7845993977500554E-2</v>
      </c>
      <c r="T1064" s="94">
        <f>IF('Net zero activities &amp; levers'!$C$12="Off",Constants!$H77*'Activity data'!AM19*Constants!$H95*FracLEACHMM*MMLeachEF*NtoN2O*kgtoGg,IF('Net zero activities &amp; levers'!$C$12="PB",Constants!$H77*'Activity data'!AM19*Constants!$H95*FracLEACHMM*MMLeachEF*NtoN2O*kgtoGg,IF('Net zero activities &amp; levers'!$C$14="MS",Constants!$H77*'Net zero Activity data'!AM19*Constants!$H95*FracLEACHMM*MMLeachEF*NtoN2O*kgtoGg,"ERROR")))</f>
        <v>1.8290177947761724E-2</v>
      </c>
      <c r="U1064" s="94">
        <f>IF('Net zero activities &amp; levers'!$C$12="Off",Constants!$H77*'Activity data'!AN19*Constants!$H95*FracLEACHMM*MMLeachEF*NtoN2O*kgtoGg,IF('Net zero activities &amp; levers'!$C$12="PB",Constants!$H77*'Activity data'!AN19*Constants!$H95*FracLEACHMM*MMLeachEF*NtoN2O*kgtoGg,IF('Net zero activities &amp; levers'!$C$14="MS",Constants!$H77*'Net zero Activity data'!AN19*Constants!$H95*FracLEACHMM*MMLeachEF*NtoN2O*kgtoGg,"ERROR")))</f>
        <v>1.8882126643784119E-2</v>
      </c>
      <c r="V1064" s="94">
        <f>IF('Net zero activities &amp; levers'!$C$12="Off",Constants!$H77*'Activity data'!AO19*Constants!$H95*FracLEACHMM*MMLeachEF*NtoN2O*kgtoGg,IF('Net zero activities &amp; levers'!$C$12="PB",Constants!$H77*'Activity data'!AO19*Constants!$H95*FracLEACHMM*MMLeachEF*NtoN2O*kgtoGg,IF('Net zero activities &amp; levers'!$C$14="MS",Constants!$H77*'Net zero Activity data'!AO19*Constants!$H95*FracLEACHMM*MMLeachEF*NtoN2O*kgtoGg,"ERROR")))</f>
        <v>1.9244149446427172E-2</v>
      </c>
      <c r="W1064" s="94">
        <f>IF('Net zero activities &amp; levers'!$C$12="Off",Constants!$H77*'Activity data'!AP19*Constants!$H95*FracLEACHMM*MMLeachEF*NtoN2O*kgtoGg,IF('Net zero activities &amp; levers'!$C$12="PB",Constants!$H77*'Activity data'!AP19*Constants!$H95*FracLEACHMM*MMLeachEF*NtoN2O*kgtoGg,IF('Net zero activities &amp; levers'!$C$14="MS",Constants!$H77*'Net zero Activity data'!AP19*Constants!$H95*FracLEACHMM*MMLeachEF*NtoN2O*kgtoGg,"ERROR")))</f>
        <v>1.9638833779478608E-2</v>
      </c>
      <c r="X1064" s="94">
        <f>IF('Net zero activities &amp; levers'!$C$12="Off",Constants!$H77*'Activity data'!AQ19*Constants!$H95*FracLEACHMM*MMLeachEF*NtoN2O*kgtoGg,IF('Net zero activities &amp; levers'!$C$12="PB",Constants!$H77*'Activity data'!AQ19*Constants!$H95*FracLEACHMM*MMLeachEF*NtoN2O*kgtoGg,IF('Net zero activities &amp; levers'!$C$14="MS",Constants!$H77*'Net zero Activity data'!AQ19*Constants!$H95*FracLEACHMM*MMLeachEF*NtoN2O*kgtoGg,"ERROR")))</f>
        <v>2.0076166391792365E-2</v>
      </c>
      <c r="Y1064" s="94">
        <f>IF('Net zero activities &amp; levers'!$C$12="Off",Constants!$H77*'Activity data'!AR19*Constants!$H95*FracLEACHMM*MMLeachEF*NtoN2O*kgtoGg,IF('Net zero activities &amp; levers'!$C$12="PB",Constants!$H77*'Activity data'!AR19*Constants!$H95*FracLEACHMM*MMLeachEF*NtoN2O*kgtoGg,IF('Net zero activities &amp; levers'!$C$14="MS",Constants!$H77*'Net zero Activity data'!AR19*Constants!$H95*FracLEACHMM*MMLeachEF*NtoN2O*kgtoGg,"ERROR")))</f>
        <v>2.0527873811486335E-2</v>
      </c>
      <c r="Z1064" s="94">
        <f>IF('Net zero activities &amp; levers'!$C$12="Off",Constants!$H77*'Activity data'!AS19*Constants!$H95*FracLEACHMM*MMLeachEF*NtoN2O*kgtoGg,IF('Net zero activities &amp; levers'!$C$12="PB",Constants!$H77*'Activity data'!AS19*Constants!$H95*FracLEACHMM*MMLeachEF*NtoN2O*kgtoGg,IF('Net zero activities &amp; levers'!$C$14="MS",Constants!$H77*'Net zero Activity data'!AS19*Constants!$H95*FracLEACHMM*MMLeachEF*NtoN2O*kgtoGg,"ERROR")))</f>
        <v>2.1014725008073262E-2</v>
      </c>
      <c r="AA1064" s="94">
        <f>IF('Net zero activities &amp; levers'!$C$12="Off",Constants!$H77*'Activity data'!AT19*Constants!$H95*FracLEACHMM*MMLeachEF*NtoN2O*kgtoGg,IF('Net zero activities &amp; levers'!$C$12="PB",Constants!$H77*'Activity data'!AT19*Constants!$H95*FracLEACHMM*MMLeachEF*NtoN2O*kgtoGg,IF('Net zero activities &amp; levers'!$C$14="MS",Constants!$H77*'Net zero Activity data'!AT19*Constants!$H95*FracLEACHMM*MMLeachEF*NtoN2O*kgtoGg,"ERROR")))</f>
        <v>2.1512524786700418E-2</v>
      </c>
      <c r="AB1064" s="94">
        <f>IF('Net zero activities &amp; levers'!$C$12="Off",Constants!$H77*'Activity data'!AU19*Constants!$H95*FracLEACHMM*MMLeachEF*NtoN2O*kgtoGg,IF('Net zero activities &amp; levers'!$C$12="PB",Constants!$H77*'Activity data'!AU19*Constants!$H95*FracLEACHMM*MMLeachEF*NtoN2O*kgtoGg,IF('Net zero activities &amp; levers'!$C$14="MS",Constants!$H77*'Net zero Activity data'!AU19*Constants!$H95*FracLEACHMM*MMLeachEF*NtoN2O*kgtoGg,"ERROR")))</f>
        <v>2.204403910450644E-2</v>
      </c>
      <c r="AC1064" s="94">
        <f>IF('Net zero activities &amp; levers'!$C$12="Off",Constants!$H77*'Activity data'!AV19*Constants!$H95*FracLEACHMM*MMLeachEF*NtoN2O*kgtoGg,IF('Net zero activities &amp; levers'!$C$12="PB",Constants!$H77*'Activity data'!AV19*Constants!$H95*FracLEACHMM*MMLeachEF*NtoN2O*kgtoGg,IF('Net zero activities &amp; levers'!$C$14="MS",Constants!$H77*'Net zero Activity data'!AV19*Constants!$H95*FracLEACHMM*MMLeachEF*NtoN2O*kgtoGg,"ERROR")))</f>
        <v>2.2585019508801499E-2</v>
      </c>
      <c r="AD1064" s="94">
        <f>IF('Net zero activities &amp; levers'!$C$12="Off",Constants!$H77*'Activity data'!AW19*Constants!$H95*FracLEACHMM*MMLeachEF*NtoN2O*kgtoGg,IF('Net zero activities &amp; levers'!$C$12="PB",Constants!$H77*'Activity data'!AW19*Constants!$H95*FracLEACHMM*MMLeachEF*NtoN2O*kgtoGg,IF('Net zero activities &amp; levers'!$C$14="MS",Constants!$H77*'Net zero Activity data'!AW19*Constants!$H95*FracLEACHMM*MMLeachEF*NtoN2O*kgtoGg,"ERROR")))</f>
        <v>2.3168701426676565E-2</v>
      </c>
      <c r="AE1064" s="94">
        <f>IF('Net zero activities &amp; levers'!$C$12="Off",Constants!$H77*'Activity data'!AX19*Constants!$H95*FracLEACHMM*MMLeachEF*NtoN2O*kgtoGg,IF('Net zero activities &amp; levers'!$C$12="PB",Constants!$H77*'Activity data'!AX19*Constants!$H95*FracLEACHMM*MMLeachEF*NtoN2O*kgtoGg,IF('Net zero activities &amp; levers'!$C$14="MS",Constants!$H77*'Net zero Activity data'!AX19*Constants!$H95*FracLEACHMM*MMLeachEF*NtoN2O*kgtoGg,"ERROR")))</f>
        <v>2.3746356188951337E-2</v>
      </c>
      <c r="AF1064" s="94">
        <f>IF('Net zero activities &amp; levers'!$C$12="Off",Constants!$H77*'Activity data'!AY19*Constants!$H95*FracLEACHMM*MMLeachEF*NtoN2O*kgtoGg,IF('Net zero activities &amp; levers'!$C$12="PB",Constants!$H77*'Activity data'!AY19*Constants!$H95*FracLEACHMM*MMLeachEF*NtoN2O*kgtoGg,IF('Net zero activities &amp; levers'!$C$14="MS",Constants!$H77*'Net zero Activity data'!AY19*Constants!$H95*FracLEACHMM*MMLeachEF*NtoN2O*kgtoGg,"ERROR")))</f>
        <v>2.4350664580619397E-2</v>
      </c>
      <c r="AG1064" s="94">
        <f>IF('Net zero activities &amp; levers'!$C$12="Off",Constants!$H77*'Activity data'!AZ19*Constants!$H95*FracLEACHMM*MMLeachEF*NtoN2O*kgtoGg,IF('Net zero activities &amp; levers'!$C$12="PB",Constants!$H77*'Activity data'!AZ19*Constants!$H95*FracLEACHMM*MMLeachEF*NtoN2O*kgtoGg,IF('Net zero activities &amp; levers'!$C$14="MS",Constants!$H77*'Net zero Activity data'!AZ19*Constants!$H95*FracLEACHMM*MMLeachEF*NtoN2O*kgtoGg,"ERROR")))</f>
        <v>2.5021362816751564E-2</v>
      </c>
      <c r="AH1064" s="94">
        <f>IF('Net zero activities &amp; levers'!$C$12="Off",Constants!$H77*'Activity data'!BA19*Constants!$H95*FracLEACHMM*MMLeachEF*NtoN2O*kgtoGg,IF('Net zero activities &amp; levers'!$C$12="PB",Constants!$H77*'Activity data'!BA19*Constants!$H95*FracLEACHMM*MMLeachEF*NtoN2O*kgtoGg,IF('Net zero activities &amp; levers'!$C$14="MS",Constants!$H77*'Net zero Activity data'!BA19*Constants!$H95*FracLEACHMM*MMLeachEF*NtoN2O*kgtoGg,"ERROR")))</f>
        <v>2.5665252656926436E-2</v>
      </c>
      <c r="AI1064" s="94">
        <f>IF('Net zero activities &amp; levers'!$C$12="Off",Constants!$H77*'Activity data'!BB19*Constants!$H95*FracLEACHMM*MMLeachEF*NtoN2O*kgtoGg,IF('Net zero activities &amp; levers'!$C$12="PB",Constants!$H77*'Activity data'!BB19*Constants!$H95*FracLEACHMM*MMLeachEF*NtoN2O*kgtoGg,IF('Net zero activities &amp; levers'!$C$14="MS",Constants!$H77*'Net zero Activity data'!BB19*Constants!$H95*FracLEACHMM*MMLeachEF*NtoN2O*kgtoGg,"ERROR")))</f>
        <v>2.6331138974392616E-2</v>
      </c>
      <c r="AJ1064" s="94">
        <f>IF('Net zero activities &amp; levers'!$C$12="Off",Constants!$H77*'Activity data'!BC19*Constants!$H95*FracLEACHMM*MMLeachEF*NtoN2O*kgtoGg,IF('Net zero activities &amp; levers'!$C$12="PB",Constants!$H77*'Activity data'!BC19*Constants!$H95*FracLEACHMM*MMLeachEF*NtoN2O*kgtoGg,IF('Net zero activities &amp; levers'!$C$14="MS",Constants!$H77*'Net zero Activity data'!BC19*Constants!$H95*FracLEACHMM*MMLeachEF*NtoN2O*kgtoGg,"ERROR")))</f>
        <v>2.7037084930771747E-2</v>
      </c>
      <c r="AK1064" s="94">
        <f>IF('Net zero activities &amp; levers'!$C$12="Off",Constants!$H77*'Activity data'!BD19*Constants!$H95*FracLEACHMM*MMLeachEF*NtoN2O*kgtoGg,IF('Net zero activities &amp; levers'!$C$12="PB",Constants!$H77*'Activity data'!BD19*Constants!$H95*FracLEACHMM*MMLeachEF*NtoN2O*kgtoGg,IF('Net zero activities &amp; levers'!$C$14="MS",Constants!$H77*'Net zero Activity data'!BD19*Constants!$H95*FracLEACHMM*MMLeachEF*NtoN2O*kgtoGg,"ERROR")))</f>
        <v>2.7706662515763772E-2</v>
      </c>
      <c r="AL1064" s="94">
        <f>IF('Net zero activities &amp; levers'!$C$12="Off",Constants!$H77*'Activity data'!BE19*Constants!$H95*FracLEACHMM*MMLeachEF*NtoN2O*kgtoGg,IF('Net zero activities &amp; levers'!$C$12="PB",Constants!$H77*'Activity data'!BE19*Constants!$H95*FracLEACHMM*MMLeachEF*NtoN2O*kgtoGg,IF('Net zero activities &amp; levers'!$C$14="MS",Constants!$H77*'Net zero Activity data'!BE19*Constants!$H95*FracLEACHMM*MMLeachEF*NtoN2O*kgtoGg,"ERROR")))</f>
        <v>2.8374415178094886E-2</v>
      </c>
      <c r="AM1064" s="94">
        <f>IF('Net zero activities &amp; levers'!$C$12="Off",Constants!$H77*'Activity data'!BF19*Constants!$H95*FracLEACHMM*MMLeachEF*NtoN2O*kgtoGg,IF('Net zero activities &amp; levers'!$C$12="PB",Constants!$H77*'Activity data'!BF19*Constants!$H95*FracLEACHMM*MMLeachEF*NtoN2O*kgtoGg,IF('Net zero activities &amp; levers'!$C$14="MS",Constants!$H77*'Net zero Activity data'!BF19*Constants!$H95*FracLEACHMM*MMLeachEF*NtoN2O*kgtoGg,"ERROR")))</f>
        <v>2.9041879152159198E-2</v>
      </c>
      <c r="AN1064" s="94">
        <f>IF('Net zero activities &amp; levers'!$C$12="Off",Constants!$H77*'Activity data'!BG19*Constants!$H95*FracLEACHMM*MMLeachEF*NtoN2O*kgtoGg,IF('Net zero activities &amp; levers'!$C$12="PB",Constants!$H77*'Activity data'!BG19*Constants!$H95*FracLEACHMM*MMLeachEF*NtoN2O*kgtoGg,IF('Net zero activities &amp; levers'!$C$14="MS",Constants!$H77*'Net zero Activity data'!BG19*Constants!$H95*FracLEACHMM*MMLeachEF*NtoN2O*kgtoGg,"ERROR")))</f>
        <v>2.9750026658148378E-2</v>
      </c>
      <c r="AO1064" s="94">
        <f>IF('Net zero activities &amp; levers'!$C$12="Off",Constants!$H77*'Activity data'!BH19*Constants!$H95*FracLEACHMM*MMLeachEF*NtoN2O*kgtoGg,IF('Net zero activities &amp; levers'!$C$12="PB",Constants!$H77*'Activity data'!BH19*Constants!$H95*FracLEACHMM*MMLeachEF*NtoN2O*kgtoGg,IF('Net zero activities &amp; levers'!$C$14="MS",Constants!$H77*'Net zero Activity data'!BH19*Constants!$H95*FracLEACHMM*MMLeachEF*NtoN2O*kgtoGg,"ERROR")))</f>
        <v>3.0435625912582094E-2</v>
      </c>
      <c r="AP1064" s="94">
        <f>IF('Net zero activities &amp; levers'!$C$12="Off",Constants!$H77*'Activity data'!BI19*Constants!$H95*FracLEACHMM*MMLeachEF*NtoN2O*kgtoGg,IF('Net zero activities &amp; levers'!$C$12="PB",Constants!$H77*'Activity data'!BI19*Constants!$H95*FracLEACHMM*MMLeachEF*NtoN2O*kgtoGg,IF('Net zero activities &amp; levers'!$C$14="MS",Constants!$H77*'Net zero Activity data'!BI19*Constants!$H95*FracLEACHMM*MMLeachEF*NtoN2O*kgtoGg,"ERROR")))</f>
        <v>3.1144967675009176E-2</v>
      </c>
      <c r="AQ1064" s="94">
        <f>IF('Net zero activities &amp; levers'!$C$12="Off",Constants!$H77*'Activity data'!BJ19*Constants!$H95*FracLEACHMM*MMLeachEF*NtoN2O*kgtoGg,IF('Net zero activities &amp; levers'!$C$12="PB",Constants!$H77*'Activity data'!BJ19*Constants!$H95*FracLEACHMM*MMLeachEF*NtoN2O*kgtoGg,IF('Net zero activities &amp; levers'!$C$14="MS",Constants!$H77*'Net zero Activity data'!BJ19*Constants!$H95*FracLEACHMM*MMLeachEF*NtoN2O*kgtoGg,"ERROR")))</f>
        <v>3.1881013101963972E-2</v>
      </c>
      <c r="AR1064" s="94">
        <f>IF('Net zero activities &amp; levers'!$C$12="Off",Constants!$H77*'Activity data'!BK19*Constants!$H95*FracLEACHMM*MMLeachEF*NtoN2O*kgtoGg,IF('Net zero activities &amp; levers'!$C$12="PB",Constants!$H77*'Activity data'!BK19*Constants!$H95*FracLEACHMM*MMLeachEF*NtoN2O*kgtoGg,IF('Net zero activities &amp; levers'!$C$14="MS",Constants!$H77*'Net zero Activity data'!BK19*Constants!$H95*FracLEACHMM*MMLeachEF*NtoN2O*kgtoGg,"ERROR")))</f>
        <v>3.2648423492469485E-2</v>
      </c>
      <c r="AS1064" s="94">
        <f>IF('Net zero activities &amp; levers'!$C$12="Off",Constants!$H77*'Activity data'!BL19*Constants!$H95*FracLEACHMM*MMLeachEF*NtoN2O*kgtoGg,IF('Net zero activities &amp; levers'!$C$12="PB",Constants!$H77*'Activity data'!BL19*Constants!$H95*FracLEACHMM*MMLeachEF*NtoN2O*kgtoGg,IF('Net zero activities &amp; levers'!$C$14="MS",Constants!$H77*'Net zero Activity data'!BL19*Constants!$H95*FracLEACHMM*MMLeachEF*NtoN2O*kgtoGg,"ERROR")))</f>
        <v>3.3436328313148703E-2</v>
      </c>
      <c r="AT1064" s="94">
        <f>IF('Net zero activities &amp; levers'!$C$12="Off",Constants!$H77*'Activity data'!BM19*Constants!$H95*FracLEACHMM*MMLeachEF*NtoN2O*kgtoGg,IF('Net zero activities &amp; levers'!$C$12="PB",Constants!$H77*'Activity data'!BM19*Constants!$H95*FracLEACHMM*MMLeachEF*NtoN2O*kgtoGg,IF('Net zero activities &amp; levers'!$C$14="MS",Constants!$H77*'Net zero Activity data'!BM19*Constants!$H95*FracLEACHMM*MMLeachEF*NtoN2O*kgtoGg,"ERROR")))</f>
        <v>3.371230344910283E-2</v>
      </c>
      <c r="AU1064" s="94">
        <f>IF('Net zero activities &amp; levers'!$C$12="Off",Constants!$H77*'Activity data'!BN19*Constants!$H95*FracLEACHMM*MMLeachEF*NtoN2O*kgtoGg,IF('Net zero activities &amp; levers'!$C$12="PB",Constants!$H77*'Activity data'!BN19*Constants!$H95*FracLEACHMM*MMLeachEF*NtoN2O*kgtoGg,IF('Net zero activities &amp; levers'!$C$14="MS",Constants!$H77*'Net zero Activity data'!BN19*Constants!$H95*FracLEACHMM*MMLeachEF*NtoN2O*kgtoGg,"ERROR")))</f>
        <v>3.39408780706969E-2</v>
      </c>
      <c r="AV1064" s="94">
        <f>IF('Net zero activities &amp; levers'!$C$12="Off",Constants!$H77*'Activity data'!BO19*Constants!$H95*FracLEACHMM*MMLeachEF*NtoN2O*kgtoGg,IF('Net zero activities &amp; levers'!$C$12="PB",Constants!$H77*'Activity data'!BO19*Constants!$H95*FracLEACHMM*MMLeachEF*NtoN2O*kgtoGg,IF('Net zero activities &amp; levers'!$C$14="MS",Constants!$H77*'Net zero Activity data'!BO19*Constants!$H95*FracLEACHMM*MMLeachEF*NtoN2O*kgtoGg,"ERROR")))</f>
        <v>3.4100500286935446E-2</v>
      </c>
      <c r="AW1064" s="94">
        <f>IF('Net zero activities &amp; levers'!$C$12="Off",Constants!$H77*'Activity data'!BP19*Constants!$H95*FracLEACHMM*MMLeachEF*NtoN2O*kgtoGg,IF('Net zero activities &amp; levers'!$C$12="PB",Constants!$H77*'Activity data'!BP19*Constants!$H95*FracLEACHMM*MMLeachEF*NtoN2O*kgtoGg,IF('Net zero activities &amp; levers'!$C$14="MS",Constants!$H77*'Net zero Activity data'!BP19*Constants!$H95*FracLEACHMM*MMLeachEF*NtoN2O*kgtoGg,"ERROR")))</f>
        <v>3.4239705581718134E-2</v>
      </c>
      <c r="AY1064" s="79"/>
      <c r="AZ1064" s="79"/>
    </row>
    <row r="1065" spans="1:52" x14ac:dyDescent="0.3">
      <c r="A1065" s="95" t="str">
        <f t="shared" si="368"/>
        <v>DS MM Leaching</v>
      </c>
      <c r="B1065" s="95" t="s">
        <v>974</v>
      </c>
      <c r="C1065" s="95" t="s">
        <v>1333</v>
      </c>
      <c r="D1065" t="s">
        <v>369</v>
      </c>
      <c r="E1065" t="s">
        <v>64</v>
      </c>
      <c r="F1065" t="s">
        <v>63</v>
      </c>
      <c r="G1065" t="s">
        <v>1182</v>
      </c>
      <c r="H1065" t="s">
        <v>1321</v>
      </c>
      <c r="I1065" t="s">
        <v>139</v>
      </c>
      <c r="J1065" t="s">
        <v>287</v>
      </c>
      <c r="K1065" s="94">
        <f>IF('Net zero activities &amp; levers'!$C$12="Off",Constants!$H78*'Activity data'!AD20*Constants!$H96*FracLEACHMM*MMLeachEF*NtoN2O*kgtoGg,IF('Net zero activities &amp; levers'!$C$12="PB",Constants!$H78*'Activity data'!AD20*Constants!$H96*FracLEACHMM*MMLeachEF*NtoN2O*kgtoGg,IF('Net zero activities &amp; levers'!$C$14="MS",Constants!$H78*'Net zero Activity data'!AD20*Constants!$H96*FracLEACHMM*MMLeachEF*NtoN2O*kgtoGg,"ERROR")))</f>
        <v>7.758579791322931E-2</v>
      </c>
      <c r="L1065" s="94">
        <f>IF('Net zero activities &amp; levers'!$C$12="Off",Constants!$H78*'Activity data'!AE20*Constants!$H96*FracLEACHMM*MMLeachEF*NtoN2O*kgtoGg,IF('Net zero activities &amp; levers'!$C$12="PB",Constants!$H78*'Activity data'!AE20*Constants!$H96*FracLEACHMM*MMLeachEF*NtoN2O*kgtoGg,IF('Net zero activities &amp; levers'!$C$14="MS",Constants!$H78*'Net zero Activity data'!AE20*Constants!$H96*FracLEACHMM*MMLeachEF*NtoN2O*kgtoGg,"ERROR")))</f>
        <v>7.8607464197542429E-2</v>
      </c>
      <c r="M1065" s="94">
        <f>IF('Net zero activities &amp; levers'!$C$12="Off",Constants!$H78*'Activity data'!AF20*Constants!$H96*FracLEACHMM*MMLeachEF*NtoN2O*kgtoGg,IF('Net zero activities &amp; levers'!$C$12="PB",Constants!$H78*'Activity data'!AF20*Constants!$H96*FracLEACHMM*MMLeachEF*NtoN2O*kgtoGg,IF('Net zero activities &amp; levers'!$C$14="MS",Constants!$H78*'Net zero Activity data'!AF20*Constants!$H96*FracLEACHMM*MMLeachEF*NtoN2O*kgtoGg,"ERROR")))</f>
        <v>8.0248553313821205E-2</v>
      </c>
      <c r="N1065" s="94">
        <f>IF('Net zero activities &amp; levers'!$C$12="Off",Constants!$H78*'Activity data'!AG20*Constants!$H96*FracLEACHMM*MMLeachEF*NtoN2O*kgtoGg,IF('Net zero activities &amp; levers'!$C$12="PB",Constants!$H78*'Activity data'!AG20*Constants!$H96*FracLEACHMM*MMLeachEF*NtoN2O*kgtoGg,IF('Net zero activities &amp; levers'!$C$14="MS",Constants!$H78*'Net zero Activity data'!AG20*Constants!$H96*FracLEACHMM*MMLeachEF*NtoN2O*kgtoGg,"ERROR")))</f>
        <v>8.0719757945382262E-2</v>
      </c>
      <c r="O1065" s="94">
        <f>IF('Net zero activities &amp; levers'!$C$12="Off",Constants!$H78*'Activity data'!AH20*Constants!$H96*FracLEACHMM*MMLeachEF*NtoN2O*kgtoGg,IF('Net zero activities &amp; levers'!$C$12="PB",Constants!$H78*'Activity data'!AH20*Constants!$H96*FracLEACHMM*MMLeachEF*NtoN2O*kgtoGg,IF('Net zero activities &amp; levers'!$C$14="MS",Constants!$H78*'Net zero Activity data'!AH20*Constants!$H96*FracLEACHMM*MMLeachEF*NtoN2O*kgtoGg,"ERROR")))</f>
        <v>8.0430818839717741E-2</v>
      </c>
      <c r="P1065" s="94">
        <f>IF('Net zero activities &amp; levers'!$C$12="Off",Constants!$H78*'Activity data'!AI20*Constants!$H96*FracLEACHMM*MMLeachEF*NtoN2O*kgtoGg,IF('Net zero activities &amp; levers'!$C$12="PB",Constants!$H78*'Activity data'!AI20*Constants!$H96*FracLEACHMM*MMLeachEF*NtoN2O*kgtoGg,IF('Net zero activities &amp; levers'!$C$14="MS",Constants!$H78*'Net zero Activity data'!AI20*Constants!$H96*FracLEACHMM*MMLeachEF*NtoN2O*kgtoGg,"ERROR")))</f>
        <v>7.938481013134728E-2</v>
      </c>
      <c r="Q1065" s="94">
        <f>IF('Net zero activities &amp; levers'!$C$12="Off",Constants!$H78*'Activity data'!AJ20*Constants!$H96*FracLEACHMM*MMLeachEF*NtoN2O*kgtoGg,IF('Net zero activities &amp; levers'!$C$12="PB",Constants!$H78*'Activity data'!AJ20*Constants!$H96*FracLEACHMM*MMLeachEF*NtoN2O*kgtoGg,IF('Net zero activities &amp; levers'!$C$14="MS",Constants!$H78*'Net zero Activity data'!AJ20*Constants!$H96*FracLEACHMM*MMLeachEF*NtoN2O*kgtoGg,"ERROR")))</f>
        <v>7.8944464359385597E-2</v>
      </c>
      <c r="R1065" s="94">
        <f>IF('Net zero activities &amp; levers'!$C$12="Off",Constants!$H78*'Activity data'!AK20*Constants!$H96*FracLEACHMM*MMLeachEF*NtoN2O*kgtoGg,IF('Net zero activities &amp; levers'!$C$12="PB",Constants!$H78*'Activity data'!AK20*Constants!$H96*FracLEACHMM*MMLeachEF*NtoN2O*kgtoGg,IF('Net zero activities &amp; levers'!$C$14="MS",Constants!$H78*'Net zero Activity data'!AK20*Constants!$H96*FracLEACHMM*MMLeachEF*NtoN2O*kgtoGg,"ERROR")))</f>
        <v>7.8604018955287347E-2</v>
      </c>
      <c r="S1065" s="94">
        <f>IF('Net zero activities &amp; levers'!$C$12="Off",Constants!$H78*'Activity data'!AL20*Constants!$H96*FracLEACHMM*MMLeachEF*NtoN2O*kgtoGg,IF('Net zero activities &amp; levers'!$C$12="PB",Constants!$H78*'Activity data'!AL20*Constants!$H96*FracLEACHMM*MMLeachEF*NtoN2O*kgtoGg,IF('Net zero activities &amp; levers'!$C$14="MS",Constants!$H78*'Net zero Activity data'!AL20*Constants!$H96*FracLEACHMM*MMLeachEF*NtoN2O*kgtoGg,"ERROR")))</f>
        <v>6.6259107806349124E-2</v>
      </c>
      <c r="T1065" s="94">
        <f>IF('Net zero activities &amp; levers'!$C$12="Off",Constants!$H78*'Activity data'!AM20*Constants!$H96*FracLEACHMM*MMLeachEF*NtoN2O*kgtoGg,IF('Net zero activities &amp; levers'!$C$12="PB",Constants!$H78*'Activity data'!AM20*Constants!$H96*FracLEACHMM*MMLeachEF*NtoN2O*kgtoGg,IF('Net zero activities &amp; levers'!$C$14="MS",Constants!$H78*'Net zero Activity data'!AM20*Constants!$H96*FracLEACHMM*MMLeachEF*NtoN2O*kgtoGg,"ERROR")))</f>
        <v>6.8883290688916743E-2</v>
      </c>
      <c r="U1065" s="94">
        <f>IF('Net zero activities &amp; levers'!$C$12="Off",Constants!$H78*'Activity data'!AN20*Constants!$H96*FracLEACHMM*MMLeachEF*NtoN2O*kgtoGg,IF('Net zero activities &amp; levers'!$C$12="PB",Constants!$H78*'Activity data'!AN20*Constants!$H96*FracLEACHMM*MMLeachEF*NtoN2O*kgtoGg,IF('Net zero activities &amp; levers'!$C$14="MS",Constants!$H78*'Net zero Activity data'!AN20*Constants!$H96*FracLEACHMM*MMLeachEF*NtoN2O*kgtoGg,"ERROR")))</f>
        <v>7.307131784092237E-2</v>
      </c>
      <c r="V1065" s="94">
        <f>IF('Net zero activities &amp; levers'!$C$12="Off",Constants!$H78*'Activity data'!AO20*Constants!$H96*FracLEACHMM*MMLeachEF*NtoN2O*kgtoGg,IF('Net zero activities &amp; levers'!$C$12="PB",Constants!$H78*'Activity data'!AO20*Constants!$H96*FracLEACHMM*MMLeachEF*NtoN2O*kgtoGg,IF('Net zero activities &amp; levers'!$C$14="MS",Constants!$H78*'Net zero Activity data'!AO20*Constants!$H96*FracLEACHMM*MMLeachEF*NtoN2O*kgtoGg,"ERROR")))</f>
        <v>7.4685850466012449E-2</v>
      </c>
      <c r="W1065" s="94">
        <f>IF('Net zero activities &amp; levers'!$C$12="Off",Constants!$H78*'Activity data'!AP20*Constants!$H96*FracLEACHMM*MMLeachEF*NtoN2O*kgtoGg,IF('Net zero activities &amp; levers'!$C$12="PB",Constants!$H78*'Activity data'!AP20*Constants!$H96*FracLEACHMM*MMLeachEF*NtoN2O*kgtoGg,IF('Net zero activities &amp; levers'!$C$14="MS",Constants!$H78*'Net zero Activity data'!AP20*Constants!$H96*FracLEACHMM*MMLeachEF*NtoN2O*kgtoGg,"ERROR")))</f>
        <v>7.6617949690607756E-2</v>
      </c>
      <c r="X1065" s="94">
        <f>IF('Net zero activities &amp; levers'!$C$12="Off",Constants!$H78*'Activity data'!AQ20*Constants!$H96*FracLEACHMM*MMLeachEF*NtoN2O*kgtoGg,IF('Net zero activities &amp; levers'!$C$12="PB",Constants!$H78*'Activity data'!AQ20*Constants!$H96*FracLEACHMM*MMLeachEF*NtoN2O*kgtoGg,IF('Net zero activities &amp; levers'!$C$14="MS",Constants!$H78*'Net zero Activity data'!AQ20*Constants!$H96*FracLEACHMM*MMLeachEF*NtoN2O*kgtoGg,"ERROR")))</f>
        <v>7.8965775854052137E-2</v>
      </c>
      <c r="Y1065" s="94">
        <f>IF('Net zero activities &amp; levers'!$C$12="Off",Constants!$H78*'Activity data'!AR20*Constants!$H96*FracLEACHMM*MMLeachEF*NtoN2O*kgtoGg,IF('Net zero activities &amp; levers'!$C$12="PB",Constants!$H78*'Activity data'!AR20*Constants!$H96*FracLEACHMM*MMLeachEF*NtoN2O*kgtoGg,IF('Net zero activities &amp; levers'!$C$14="MS",Constants!$H78*'Net zero Activity data'!AR20*Constants!$H96*FracLEACHMM*MMLeachEF*NtoN2O*kgtoGg,"ERROR")))</f>
        <v>8.1661778442119887E-2</v>
      </c>
      <c r="Z1065" s="94">
        <f>IF('Net zero activities &amp; levers'!$C$12="Off",Constants!$H78*'Activity data'!AS20*Constants!$H96*FracLEACHMM*MMLeachEF*NtoN2O*kgtoGg,IF('Net zero activities &amp; levers'!$C$12="PB",Constants!$H78*'Activity data'!AS20*Constants!$H96*FracLEACHMM*MMLeachEF*NtoN2O*kgtoGg,IF('Net zero activities &amp; levers'!$C$14="MS",Constants!$H78*'Net zero Activity data'!AS20*Constants!$H96*FracLEACHMM*MMLeachEF*NtoN2O*kgtoGg,"ERROR")))</f>
        <v>8.4680896790548951E-2</v>
      </c>
      <c r="AA1065" s="94">
        <f>IF('Net zero activities &amp; levers'!$C$12="Off",Constants!$H78*'Activity data'!AT20*Constants!$H96*FracLEACHMM*MMLeachEF*NtoN2O*kgtoGg,IF('Net zero activities &amp; levers'!$C$12="PB",Constants!$H78*'Activity data'!AT20*Constants!$H96*FracLEACHMM*MMLeachEF*NtoN2O*kgtoGg,IF('Net zero activities &amp; levers'!$C$14="MS",Constants!$H78*'Net zero Activity data'!AT20*Constants!$H96*FracLEACHMM*MMLeachEF*NtoN2O*kgtoGg,"ERROR")))</f>
        <v>8.776412775274034E-2</v>
      </c>
      <c r="AB1065" s="94">
        <f>IF('Net zero activities &amp; levers'!$C$12="Off",Constants!$H78*'Activity data'!AU20*Constants!$H96*FracLEACHMM*MMLeachEF*NtoN2O*kgtoGg,IF('Net zero activities &amp; levers'!$C$12="PB",Constants!$H78*'Activity data'!AU20*Constants!$H96*FracLEACHMM*MMLeachEF*NtoN2O*kgtoGg,IF('Net zero activities &amp; levers'!$C$14="MS",Constants!$H78*'Net zero Activity data'!AU20*Constants!$H96*FracLEACHMM*MMLeachEF*NtoN2O*kgtoGg,"ERROR")))</f>
        <v>9.1145488449202117E-2</v>
      </c>
      <c r="AC1065" s="94">
        <f>IF('Net zero activities &amp; levers'!$C$12="Off",Constants!$H78*'Activity data'!AV20*Constants!$H96*FracLEACHMM*MMLeachEF*NtoN2O*kgtoGg,IF('Net zero activities &amp; levers'!$C$12="PB",Constants!$H78*'Activity data'!AV20*Constants!$H96*FracLEACHMM*MMLeachEF*NtoN2O*kgtoGg,IF('Net zero activities &amp; levers'!$C$14="MS",Constants!$H78*'Net zero Activity data'!AV20*Constants!$H96*FracLEACHMM*MMLeachEF*NtoN2O*kgtoGg,"ERROR")))</f>
        <v>9.4570204644651698E-2</v>
      </c>
      <c r="AD1065" s="94">
        <f>IF('Net zero activities &amp; levers'!$C$12="Off",Constants!$H78*'Activity data'!AW20*Constants!$H96*FracLEACHMM*MMLeachEF*NtoN2O*kgtoGg,IF('Net zero activities &amp; levers'!$C$12="PB",Constants!$H78*'Activity data'!AW20*Constants!$H96*FracLEACHMM*MMLeachEF*NtoN2O*kgtoGg,IF('Net zero activities &amp; levers'!$C$14="MS",Constants!$H78*'Net zero Activity data'!AW20*Constants!$H96*FracLEACHMM*MMLeachEF*NtoN2O*kgtoGg,"ERROR")))</f>
        <v>9.8568154697968743E-2</v>
      </c>
      <c r="AE1065" s="94">
        <f>IF('Net zero activities &amp; levers'!$C$12="Off",Constants!$H78*'Activity data'!AX20*Constants!$H96*FracLEACHMM*MMLeachEF*NtoN2O*kgtoGg,IF('Net zero activities &amp; levers'!$C$12="PB",Constants!$H78*'Activity data'!AX20*Constants!$H96*FracLEACHMM*MMLeachEF*NtoN2O*kgtoGg,IF('Net zero activities &amp; levers'!$C$14="MS",Constants!$H78*'Net zero Activity data'!AX20*Constants!$H96*FracLEACHMM*MMLeachEF*NtoN2O*kgtoGg,"ERROR")))</f>
        <v>0.10244796560739347</v>
      </c>
      <c r="AF1065" s="94">
        <f>IF('Net zero activities &amp; levers'!$C$12="Off",Constants!$H78*'Activity data'!AY20*Constants!$H96*FracLEACHMM*MMLeachEF*NtoN2O*kgtoGg,IF('Net zero activities &amp; levers'!$C$12="PB",Constants!$H78*'Activity data'!AY20*Constants!$H96*FracLEACHMM*MMLeachEF*NtoN2O*kgtoGg,IF('Net zero activities &amp; levers'!$C$14="MS",Constants!$H78*'Net zero Activity data'!AY20*Constants!$H96*FracLEACHMM*MMLeachEF*NtoN2O*kgtoGg,"ERROR")))</f>
        <v>0.10654057141624064</v>
      </c>
      <c r="AG1065" s="94">
        <f>IF('Net zero activities &amp; levers'!$C$12="Off",Constants!$H78*'Activity data'!AZ20*Constants!$H96*FracLEACHMM*MMLeachEF*NtoN2O*kgtoGg,IF('Net zero activities &amp; levers'!$C$12="PB",Constants!$H78*'Activity data'!AZ20*Constants!$H96*FracLEACHMM*MMLeachEF*NtoN2O*kgtoGg,IF('Net zero activities &amp; levers'!$C$14="MS",Constants!$H78*'Net zero Activity data'!AZ20*Constants!$H96*FracLEACHMM*MMLeachEF*NtoN2O*kgtoGg,"ERROR")))</f>
        <v>0.11123806657675694</v>
      </c>
      <c r="AH1065" s="94">
        <f>IF('Net zero activities &amp; levers'!$C$12="Off",Constants!$H78*'Activity data'!BA20*Constants!$H96*FracLEACHMM*MMLeachEF*NtoN2O*kgtoGg,IF('Net zero activities &amp; levers'!$C$12="PB",Constants!$H78*'Activity data'!BA20*Constants!$H96*FracLEACHMM*MMLeachEF*NtoN2O*kgtoGg,IF('Net zero activities &amp; levers'!$C$14="MS",Constants!$H78*'Net zero Activity data'!BA20*Constants!$H96*FracLEACHMM*MMLeachEF*NtoN2O*kgtoGg,"ERROR")))</f>
        <v>0.11560654614552646</v>
      </c>
      <c r="AI1065" s="94">
        <f>IF('Net zero activities &amp; levers'!$C$12="Off",Constants!$H78*'Activity data'!BB20*Constants!$H96*FracLEACHMM*MMLeachEF*NtoN2O*kgtoGg,IF('Net zero activities &amp; levers'!$C$12="PB",Constants!$H78*'Activity data'!BB20*Constants!$H96*FracLEACHMM*MMLeachEF*NtoN2O*kgtoGg,IF('Net zero activities &amp; levers'!$C$14="MS",Constants!$H78*'Net zero Activity data'!BB20*Constants!$H96*FracLEACHMM*MMLeachEF*NtoN2O*kgtoGg,"ERROR")))</f>
        <v>0.12031218938193437</v>
      </c>
      <c r="AJ1065" s="94">
        <f>IF('Net zero activities &amp; levers'!$C$12="Off",Constants!$H78*'Activity data'!BC20*Constants!$H96*FracLEACHMM*MMLeachEF*NtoN2O*kgtoGg,IF('Net zero activities &amp; levers'!$C$12="PB",Constants!$H78*'Activity data'!BC20*Constants!$H96*FracLEACHMM*MMLeachEF*NtoN2O*kgtoGg,IF('Net zero activities &amp; levers'!$C$14="MS",Constants!$H78*'Net zero Activity data'!BC20*Constants!$H96*FracLEACHMM*MMLeachEF*NtoN2O*kgtoGg,"ERROR")))</f>
        <v>0.12535029329403399</v>
      </c>
      <c r="AK1065" s="94">
        <f>IF('Net zero activities &amp; levers'!$C$12="Off",Constants!$H78*'Activity data'!BD20*Constants!$H96*FracLEACHMM*MMLeachEF*NtoN2O*kgtoGg,IF('Net zero activities &amp; levers'!$C$12="PB",Constants!$H78*'Activity data'!BD20*Constants!$H96*FracLEACHMM*MMLeachEF*NtoN2O*kgtoGg,IF('Net zero activities &amp; levers'!$C$14="MS",Constants!$H78*'Net zero Activity data'!BD20*Constants!$H96*FracLEACHMM*MMLeachEF*NtoN2O*kgtoGg,"ERROR")))</f>
        <v>0.12997331250710895</v>
      </c>
      <c r="AL1065" s="94">
        <f>IF('Net zero activities &amp; levers'!$C$12="Off",Constants!$H78*'Activity data'!BE20*Constants!$H96*FracLEACHMM*MMLeachEF*NtoN2O*kgtoGg,IF('Net zero activities &amp; levers'!$C$12="PB",Constants!$H78*'Activity data'!BE20*Constants!$H96*FracLEACHMM*MMLeachEF*NtoN2O*kgtoGg,IF('Net zero activities &amp; levers'!$C$14="MS",Constants!$H78*'Net zero Activity data'!BE20*Constants!$H96*FracLEACHMM*MMLeachEF*NtoN2O*kgtoGg,"ERROR")))</f>
        <v>0.13452286194458821</v>
      </c>
      <c r="AM1065" s="94">
        <f>IF('Net zero activities &amp; levers'!$C$12="Off",Constants!$H78*'Activity data'!BF20*Constants!$H96*FracLEACHMM*MMLeachEF*NtoN2O*kgtoGg,IF('Net zero activities &amp; levers'!$C$12="PB",Constants!$H78*'Activity data'!BF20*Constants!$H96*FracLEACHMM*MMLeachEF*NtoN2O*kgtoGg,IF('Net zero activities &amp; levers'!$C$14="MS",Constants!$H78*'Net zero Activity data'!BF20*Constants!$H96*FracLEACHMM*MMLeachEF*NtoN2O*kgtoGg,"ERROR")))</f>
        <v>0.13901554953719861</v>
      </c>
      <c r="AN1065" s="94">
        <f>IF('Net zero activities &amp; levers'!$C$12="Off",Constants!$H78*'Activity data'!BG20*Constants!$H96*FracLEACHMM*MMLeachEF*NtoN2O*kgtoGg,IF('Net zero activities &amp; levers'!$C$12="PB",Constants!$H78*'Activity data'!BG20*Constants!$H96*FracLEACHMM*MMLeachEF*NtoN2O*kgtoGg,IF('Net zero activities &amp; levers'!$C$14="MS",Constants!$H78*'Net zero Activity data'!BG20*Constants!$H96*FracLEACHMM*MMLeachEF*NtoN2O*kgtoGg,"ERROR")))</f>
        <v>0.1440082698862134</v>
      </c>
      <c r="AO1065" s="94">
        <f>IF('Net zero activities &amp; levers'!$C$12="Off",Constants!$H78*'Activity data'!BH20*Constants!$H96*FracLEACHMM*MMLeachEF*NtoN2O*kgtoGg,IF('Net zero activities &amp; levers'!$C$12="PB",Constants!$H78*'Activity data'!BH20*Constants!$H96*FracLEACHMM*MMLeachEF*NtoN2O*kgtoGg,IF('Net zero activities &amp; levers'!$C$14="MS",Constants!$H78*'Net zero Activity data'!BH20*Constants!$H96*FracLEACHMM*MMLeachEF*NtoN2O*kgtoGg,"ERROR")))</f>
        <v>0.14873185090680655</v>
      </c>
      <c r="AP1065" s="94">
        <f>IF('Net zero activities &amp; levers'!$C$12="Off",Constants!$H78*'Activity data'!BI20*Constants!$H96*FracLEACHMM*MMLeachEF*NtoN2O*kgtoGg,IF('Net zero activities &amp; levers'!$C$12="PB",Constants!$H78*'Activity data'!BI20*Constants!$H96*FracLEACHMM*MMLeachEF*NtoN2O*kgtoGg,IF('Net zero activities &amp; levers'!$C$14="MS",Constants!$H78*'Net zero Activity data'!BI20*Constants!$H96*FracLEACHMM*MMLeachEF*NtoN2O*kgtoGg,"ERROR")))</f>
        <v>0.15362755351583215</v>
      </c>
      <c r="AQ1065" s="94">
        <f>IF('Net zero activities &amp; levers'!$C$12="Off",Constants!$H78*'Activity data'!BJ20*Constants!$H96*FracLEACHMM*MMLeachEF*NtoN2O*kgtoGg,IF('Net zero activities &amp; levers'!$C$12="PB",Constants!$H78*'Activity data'!BJ20*Constants!$H96*FracLEACHMM*MMLeachEF*NtoN2O*kgtoGg,IF('Net zero activities &amp; levers'!$C$14="MS",Constants!$H78*'Net zero Activity data'!BJ20*Constants!$H96*FracLEACHMM*MMLeachEF*NtoN2O*kgtoGg,"ERROR")))</f>
        <v>0.15872063106624867</v>
      </c>
      <c r="AR1065" s="94">
        <f>IF('Net zero activities &amp; levers'!$C$12="Off",Constants!$H78*'Activity data'!BK20*Constants!$H96*FracLEACHMM*MMLeachEF*NtoN2O*kgtoGg,IF('Net zero activities &amp; levers'!$C$12="PB",Constants!$H78*'Activity data'!BK20*Constants!$H96*FracLEACHMM*MMLeachEF*NtoN2O*kgtoGg,IF('Net zero activities &amp; levers'!$C$14="MS",Constants!$H78*'Net zero Activity data'!BK20*Constants!$H96*FracLEACHMM*MMLeachEF*NtoN2O*kgtoGg,"ERROR")))</f>
        <v>0.16405164052421939</v>
      </c>
      <c r="AS1065" s="94">
        <f>IF('Net zero activities &amp; levers'!$C$12="Off",Constants!$H78*'Activity data'!BL20*Constants!$H96*FracLEACHMM*MMLeachEF*NtoN2O*kgtoGg,IF('Net zero activities &amp; levers'!$C$12="PB",Constants!$H78*'Activity data'!BL20*Constants!$H96*FracLEACHMM*MMLeachEF*NtoN2O*kgtoGg,IF('Net zero activities &amp; levers'!$C$14="MS",Constants!$H78*'Net zero Activity data'!BL20*Constants!$H96*FracLEACHMM*MMLeachEF*NtoN2O*kgtoGg,"ERROR")))</f>
        <v>0.16968110376218293</v>
      </c>
      <c r="AT1065" s="94">
        <f>IF('Net zero activities &amp; levers'!$C$12="Off",Constants!$H78*'Activity data'!BM20*Constants!$H96*FracLEACHMM*MMLeachEF*NtoN2O*kgtoGg,IF('Net zero activities &amp; levers'!$C$12="PB",Constants!$H78*'Activity data'!BM20*Constants!$H96*FracLEACHMM*MMLeachEF*NtoN2O*kgtoGg,IF('Net zero activities &amp; levers'!$C$14="MS",Constants!$H78*'Net zero Activity data'!BM20*Constants!$H96*FracLEACHMM*MMLeachEF*NtoN2O*kgtoGg,"ERROR")))</f>
        <v>0.17053816071119138</v>
      </c>
      <c r="AU1065" s="94">
        <f>IF('Net zero activities &amp; levers'!$C$12="Off",Constants!$H78*'Activity data'!BN20*Constants!$H96*FracLEACHMM*MMLeachEF*NtoN2O*kgtoGg,IF('Net zero activities &amp; levers'!$C$12="PB",Constants!$H78*'Activity data'!BN20*Constants!$H96*FracLEACHMM*MMLeachEF*NtoN2O*kgtoGg,IF('Net zero activities &amp; levers'!$C$14="MS",Constants!$H78*'Net zero Activity data'!BN20*Constants!$H96*FracLEACHMM*MMLeachEF*NtoN2O*kgtoGg,"ERROR")))</f>
        <v>0.17095629027566819</v>
      </c>
      <c r="AV1065" s="94">
        <f>IF('Net zero activities &amp; levers'!$C$12="Off",Constants!$H78*'Activity data'!BO20*Constants!$H96*FracLEACHMM*MMLeachEF*NtoN2O*kgtoGg,IF('Net zero activities &amp; levers'!$C$12="PB",Constants!$H78*'Activity data'!BO20*Constants!$H96*FracLEACHMM*MMLeachEF*NtoN2O*kgtoGg,IF('Net zero activities &amp; levers'!$C$14="MS",Constants!$H78*'Net zero Activity data'!BO20*Constants!$H96*FracLEACHMM*MMLeachEF*NtoN2O*kgtoGg,"ERROR")))</f>
        <v>0.17074584650981994</v>
      </c>
      <c r="AW1065" s="94">
        <f>IF('Net zero activities &amp; levers'!$C$12="Off",Constants!$H78*'Activity data'!BP20*Constants!$H96*FracLEACHMM*MMLeachEF*NtoN2O*kgtoGg,IF('Net zero activities &amp; levers'!$C$12="PB",Constants!$H78*'Activity data'!BP20*Constants!$H96*FracLEACHMM*MMLeachEF*NtoN2O*kgtoGg,IF('Net zero activities &amp; levers'!$C$14="MS",Constants!$H78*'Net zero Activity data'!BP20*Constants!$H96*FracLEACHMM*MMLeachEF*NtoN2O*kgtoGg,"ERROR")))</f>
        <v>0.17035646457405007</v>
      </c>
      <c r="AY1065" s="79"/>
      <c r="AZ1065" s="79"/>
    </row>
    <row r="1067" spans="1:52" x14ac:dyDescent="0.3">
      <c r="A1067" s="95" t="str">
        <f t="shared" ref="A1067:A1089" si="373">B1067&amp;" "&amp;C1067</f>
        <v>CM Cattle</v>
      </c>
      <c r="B1067" s="95" t="s">
        <v>1322</v>
      </c>
      <c r="C1067" s="95" t="s">
        <v>1108</v>
      </c>
      <c r="D1067" t="s">
        <v>15</v>
      </c>
      <c r="E1067" t="s">
        <v>16</v>
      </c>
      <c r="F1067" t="s">
        <v>6</v>
      </c>
      <c r="G1067" t="s">
        <v>136</v>
      </c>
      <c r="H1067" t="s">
        <v>1020</v>
      </c>
      <c r="I1067" t="s">
        <v>121</v>
      </c>
      <c r="J1067" t="s">
        <v>286</v>
      </c>
      <c r="K1067" s="93">
        <f>IF('Net zero activities &amp; levers'!$C$14="Off",('Activity data'!AD5*EF!$H4)*kgtoGg,IF('Net zero activities &amp; levers'!$C$14="On",('Net zero Activity data'!AD5*EF!$H4)*kgtoGg,"ERROR"))</f>
        <v>72.246065125367707</v>
      </c>
      <c r="L1067" s="93">
        <f>IF('Net zero activities &amp; levers'!$C$14="Off",('Activity data'!AE5*EF!$H4)*kgtoGg,IF('Net zero activities &amp; levers'!$C$14="On",('Net zero Activity data'!AE5*EF!$H4)*kgtoGg,"ERROR"))</f>
        <v>72.649957574793376</v>
      </c>
      <c r="M1067" s="93">
        <f>IF('Net zero activities &amp; levers'!$C$14="Off",('Activity data'!AF5*EF!$H4)*kgtoGg,IF('Net zero activities &amp; levers'!$C$14="On",('Net zero Activity data'!AF5*EF!$H4)*kgtoGg,"ERROR"))</f>
        <v>73.223011790998029</v>
      </c>
      <c r="N1067" s="93">
        <f>IF('Net zero activities &amp; levers'!$C$14="Off",('Activity data'!AG5*EF!$H4)*kgtoGg,IF('Net zero activities &amp; levers'!$C$14="On",('Net zero Activity data'!AG5*EF!$H4)*kgtoGg,"ERROR"))</f>
        <v>73.591260167761035</v>
      </c>
      <c r="O1067" s="93">
        <f>IF('Net zero activities &amp; levers'!$C$14="Off",('Activity data'!AH5*EF!$H4)*kgtoGg,IF('Net zero activities &amp; levers'!$C$14="On",('Net zero Activity data'!AH5*EF!$H4)*kgtoGg,"ERROR"))</f>
        <v>73.835962898346551</v>
      </c>
      <c r="P1067" s="93">
        <f>IF('Net zero activities &amp; levers'!$C$14="Off",('Activity data'!AI5*EF!$H4)*kgtoGg,IF('Net zero activities &amp; levers'!$C$14="On",('Net zero Activity data'!AI5*EF!$H4)*kgtoGg,"ERROR"))</f>
        <v>73.954711561483904</v>
      </c>
      <c r="Q1067" s="93">
        <f>IF('Net zero activities &amp; levers'!$C$14="Off",('Activity data'!AJ5*EF!$H4)*kgtoGg,IF('Net zero activities &amp; levers'!$C$14="On",('Net zero Activity data'!AJ5*EF!$H4)*kgtoGg,"ERROR"))</f>
        <v>74.217071552078707</v>
      </c>
      <c r="R1067" s="93">
        <f>IF('Net zero activities &amp; levers'!$C$14="Off",('Activity data'!AK5*EF!$H4)*kgtoGg,IF('Net zero activities &amp; levers'!$C$14="On",('Net zero Activity data'!AK5*EF!$H4)*kgtoGg,"ERROR"))</f>
        <v>74.518042528471312</v>
      </c>
      <c r="S1067" s="93">
        <f>IF('Net zero activities &amp; levers'!$C$14="Off",('Activity data'!AL5*EF!$H4)*kgtoGg,IF('Net zero activities &amp; levers'!$C$14="On",('Net zero Activity data'!AL5*EF!$H4)*kgtoGg,"ERROR"))</f>
        <v>72.278060008832611</v>
      </c>
      <c r="T1067" s="93">
        <f>IF('Net zero activities &amp; levers'!$C$14="Off",('Activity data'!AM5*EF!$H4)*kgtoGg,IF('Net zero activities &amp; levers'!$C$14="On",('Net zero Activity data'!AM5*EF!$H4)*kgtoGg,"ERROR"))</f>
        <v>73.038072409871731</v>
      </c>
      <c r="U1067" s="93">
        <f>IF('Net zero activities &amp; levers'!$C$14="Off",('Activity data'!AN5*EF!$H4)*kgtoGg,IF('Net zero activities &amp; levers'!$C$14="On",('Net zero Activity data'!AN5*EF!$H4)*kgtoGg,"ERROR"))</f>
        <v>74.1505294629453</v>
      </c>
      <c r="V1067" s="93">
        <f>IF('Net zero activities &amp; levers'!$C$14="Off",('Activity data'!AO5*EF!$H4)*kgtoGg,IF('Net zero activities &amp; levers'!$C$14="On",('Net zero Activity data'!AO5*EF!$H4)*kgtoGg,"ERROR"))</f>
        <v>74.727142714641815</v>
      </c>
      <c r="W1067" s="93">
        <f>IF('Net zero activities &amp; levers'!$C$14="Off",('Activity data'!AP5*EF!$H4)*kgtoGg,IF('Net zero activities &amp; levers'!$C$14="On",('Net zero Activity data'!AP5*EF!$H4)*kgtoGg,"ERROR"))</f>
        <v>75.386134904907664</v>
      </c>
      <c r="X1067" s="93">
        <f>IF('Net zero activities &amp; levers'!$C$14="Off",('Activity data'!AQ5*EF!$H4)*kgtoGg,IF('Net zero activities &amp; levers'!$C$14="On",('Net zero Activity data'!AQ5*EF!$H4)*kgtoGg,"ERROR"))</f>
        <v>76.148849321322899</v>
      </c>
      <c r="Y1067" s="93">
        <f>IF('Net zero activities &amp; levers'!$C$14="Off",('Activity data'!AR5*EF!$H4)*kgtoGg,IF('Net zero activities &amp; levers'!$C$14="On",('Net zero Activity data'!AR5*EF!$H4)*kgtoGg,"ERROR"))</f>
        <v>76.927724649348932</v>
      </c>
      <c r="Z1067" s="93">
        <f>IF('Net zero activities &amp; levers'!$C$14="Off",('Activity data'!AS5*EF!$H4)*kgtoGg,IF('Net zero activities &amp; levers'!$C$14="On",('Net zero Activity data'!AS5*EF!$H4)*kgtoGg,"ERROR"))</f>
        <v>77.789839188812167</v>
      </c>
      <c r="AA1067" s="93">
        <f>IF('Net zero activities &amp; levers'!$C$14="Off",('Activity data'!AT5*EF!$H4)*kgtoGg,IF('Net zero activities &amp; levers'!$C$14="On",('Net zero Activity data'!AT5*EF!$H4)*kgtoGg,"ERROR"))</f>
        <v>78.678659679683463</v>
      </c>
      <c r="AB1067" s="93">
        <f>IF('Net zero activities &amp; levers'!$C$14="Off",('Activity data'!AU5*EF!$H4)*kgtoGg,IF('Net zero activities &amp; levers'!$C$14="On",('Net zero Activity data'!AU5*EF!$H4)*kgtoGg,"ERROR"))</f>
        <v>79.645214708438644</v>
      </c>
      <c r="AC1067" s="93">
        <f>IF('Net zero activities &amp; levers'!$C$14="Off",('Activity data'!AV5*EF!$H4)*kgtoGg,IF('Net zero activities &amp; levers'!$C$14="On",('Net zero Activity data'!AV5*EF!$H4)*kgtoGg,"ERROR"))</f>
        <v>80.63357341135027</v>
      </c>
      <c r="AD1067" s="93">
        <f>IF('Net zero activities &amp; levers'!$C$14="Off",('Activity data'!AW5*EF!$H4)*kgtoGg,IF('Net zero activities &amp; levers'!$C$14="On",('Net zero Activity data'!AW5*EF!$H4)*kgtoGg,"ERROR"))</f>
        <v>81.701326888312266</v>
      </c>
      <c r="AE1067" s="93">
        <f>IF('Net zero activities &amp; levers'!$C$14="Off",('Activity data'!AX5*EF!$H4)*kgtoGg,IF('Net zero activities &amp; levers'!$C$14="On",('Net zero Activity data'!AX5*EF!$H4)*kgtoGg,"ERROR"))</f>
        <v>82.754629010299467</v>
      </c>
      <c r="AF1067" s="93">
        <f>IF('Net zero activities &amp; levers'!$C$14="Off",('Activity data'!AY5*EF!$H4)*kgtoGg,IF('Net zero activities &amp; levers'!$C$14="On",('Net zero Activity data'!AY5*EF!$H4)*kgtoGg,"ERROR"))</f>
        <v>83.866381546619579</v>
      </c>
      <c r="AG1067" s="93">
        <f>IF('Net zero activities &amp; levers'!$C$14="Off",('Activity data'!AZ5*EF!$H4)*kgtoGg,IF('Net zero activities &amp; levers'!$C$14="On",('Net zero Activity data'!AZ5*EF!$H4)*kgtoGg,"ERROR"))</f>
        <v>85.123957452137844</v>
      </c>
      <c r="AH1067" s="93">
        <f>IF('Net zero activities &amp; levers'!$C$14="Off",('Activity data'!BA5*EF!$H4)*kgtoGg,IF('Net zero activities &amp; levers'!$C$14="On",('Net zero Activity data'!BA5*EF!$H4)*kgtoGg,"ERROR"))</f>
        <v>86.31962290876946</v>
      </c>
      <c r="AI1067" s="93">
        <f>IF('Net zero activities &amp; levers'!$C$14="Off",('Activity data'!BB5*EF!$H4)*kgtoGg,IF('Net zero activities &amp; levers'!$C$14="On",('Net zero Activity data'!BB5*EF!$H4)*kgtoGg,"ERROR"))</f>
        <v>87.545771501366829</v>
      </c>
      <c r="AJ1067" s="93">
        <f>IF('Net zero activities &amp; levers'!$C$14="Off",('Activity data'!BC5*EF!$H4)*kgtoGg,IF('Net zero activities &amp; levers'!$C$14="On",('Net zero Activity data'!BC5*EF!$H4)*kgtoGg,"ERROR"))</f>
        <v>88.857081922014302</v>
      </c>
      <c r="AK1067" s="93">
        <f>IF('Net zero activities &amp; levers'!$C$14="Off",('Activity data'!BD5*EF!$H4)*kgtoGg,IF('Net zero activities &amp; levers'!$C$14="On",('Net zero Activity data'!BD5*EF!$H4)*kgtoGg,"ERROR"))</f>
        <v>90.085621753712104</v>
      </c>
      <c r="AL1067" s="93">
        <f>IF('Net zero activities &amp; levers'!$C$14="Off",('Activity data'!BE5*EF!$H4)*kgtoGg,IF('Net zero activities &amp; levers'!$C$14="On",('Net zero Activity data'!BE5*EF!$H4)*kgtoGg,"ERROR"))</f>
        <v>91.307494637553916</v>
      </c>
      <c r="AM1067" s="93">
        <f>IF('Net zero activities &amp; levers'!$C$14="Off",('Activity data'!BF5*EF!$H4)*kgtoGg,IF('Net zero activities &amp; levers'!$C$14="On",('Net zero Activity data'!BF5*EF!$H4)*kgtoGg,"ERROR"))</f>
        <v>92.526099205531537</v>
      </c>
      <c r="AN1067" s="93">
        <f>IF('Net zero activities &amp; levers'!$C$14="Off",('Activity data'!BG5*EF!$H4)*kgtoGg,IF('Net zero activities &amp; levers'!$C$14="On",('Net zero Activity data'!BG5*EF!$H4)*kgtoGg,"ERROR"))</f>
        <v>93.815346302798517</v>
      </c>
      <c r="AO1067" s="93">
        <f>IF('Net zero activities &amp; levers'!$C$14="Off",('Activity data'!BH5*EF!$H4)*kgtoGg,IF('Net zero activities &amp; levers'!$C$14="On",('Net zero Activity data'!BH5*EF!$H4)*kgtoGg,"ERROR"))</f>
        <v>95.052737285389242</v>
      </c>
      <c r="AP1067" s="93">
        <f>IF('Net zero activities &amp; levers'!$C$14="Off",('Activity data'!BI5*EF!$H4)*kgtoGg,IF('Net zero activities &amp; levers'!$C$14="On",('Net zero Activity data'!BI5*EF!$H4)*kgtoGg,"ERROR"))</f>
        <v>96.338177882566526</v>
      </c>
      <c r="AQ1067" s="93">
        <f>IF('Net zero activities &amp; levers'!$C$14="Off",('Activity data'!BJ5*EF!$H4)*kgtoGg,IF('Net zero activities &amp; levers'!$C$14="On",('Net zero Activity data'!BJ5*EF!$H4)*kgtoGg,"ERROR"))</f>
        <v>97.677530754509618</v>
      </c>
      <c r="AR1067" s="93">
        <f>IF('Net zero activities &amp; levers'!$C$14="Off",('Activity data'!BK5*EF!$H4)*kgtoGg,IF('Net zero activities &amp; levers'!$C$14="On",('Net zero Activity data'!BK5*EF!$H4)*kgtoGg,"ERROR"))</f>
        <v>99.08022368038182</v>
      </c>
      <c r="AS1067" s="93">
        <f>IF('Net zero activities &amp; levers'!$C$14="Off",('Activity data'!BL5*EF!$H4)*kgtoGg,IF('Net zero activities &amp; levers'!$C$14="On",('Net zero Activity data'!BL5*EF!$H4)*kgtoGg,"ERROR"))</f>
        <v>100.50772839666152</v>
      </c>
      <c r="AT1067" s="93">
        <f>IF('Net zero activities &amp; levers'!$C$14="Off",('Activity data'!BM5*EF!$H4)*kgtoGg,IF('Net zero activities &amp; levers'!$C$14="On",('Net zero Activity data'!BM5*EF!$H4)*kgtoGg,"ERROR"))</f>
        <v>100.84617835677685</v>
      </c>
      <c r="AU1067" s="93">
        <f>IF('Net zero activities &amp; levers'!$C$14="Off",('Activity data'!BN5*EF!$H4)*kgtoGg,IF('Net zero activities &amp; levers'!$C$14="On",('Net zero Activity data'!BN5*EF!$H4)*kgtoGg,"ERROR"))</f>
        <v>101.08705215806816</v>
      </c>
      <c r="AV1067" s="93">
        <f>IF('Net zero activities &amp; levers'!$C$14="Off",('Activity data'!BO5*EF!$H4)*kgtoGg,IF('Net zero activities &amp; levers'!$C$14="On",('Net zero Activity data'!BO5*EF!$H4)*kgtoGg,"ERROR"))</f>
        <v>101.18574255533849</v>
      </c>
      <c r="AW1067" s="93">
        <f>IF('Net zero activities &amp; levers'!$C$14="Off",('Activity data'!BP5*EF!$H4)*kgtoGg,IF('Net zero activities &amp; levers'!$C$14="On",('Net zero Activity data'!BP5*EF!$H4)*kgtoGg,"ERROR"))</f>
        <v>101.24533448141288</v>
      </c>
      <c r="AY1067" s="79"/>
    </row>
    <row r="1068" spans="1:52" x14ac:dyDescent="0.3">
      <c r="A1068" s="95" t="str">
        <f t="shared" si="373"/>
        <v>CM Cattle</v>
      </c>
      <c r="B1068" s="95" t="s">
        <v>1322</v>
      </c>
      <c r="C1068" s="95" t="s">
        <v>1108</v>
      </c>
      <c r="D1068" t="s">
        <v>15</v>
      </c>
      <c r="E1068" t="s">
        <v>16</v>
      </c>
      <c r="F1068" t="s">
        <v>6</v>
      </c>
      <c r="G1068" t="s">
        <v>137</v>
      </c>
      <c r="H1068" t="s">
        <v>1020</v>
      </c>
      <c r="I1068" t="s">
        <v>121</v>
      </c>
      <c r="J1068" t="s">
        <v>286</v>
      </c>
      <c r="K1068" s="93">
        <f>IF('Net zero activities &amp; levers'!$C$14="Off",('Activity data'!AD6*EF!$H5)*kgtoGg,IF('Net zero activities &amp; levers'!$C$14="On",('Net zero Activity data'!AD6*EF!$H5)*kgtoGg,"ERROR"))</f>
        <v>57.783598896292567</v>
      </c>
      <c r="L1068" s="93">
        <f>IF('Net zero activities &amp; levers'!$C$14="Off",('Activity data'!AE6*EF!$H5)*kgtoGg,IF('Net zero activities &amp; levers'!$C$14="On",('Net zero Activity data'!AE6*EF!$H5)*kgtoGg,"ERROR"))</f>
        <v>58.106638763645272</v>
      </c>
      <c r="M1068" s="93">
        <f>IF('Net zero activities &amp; levers'!$C$14="Off",('Activity data'!AF6*EF!$H5)*kgtoGg,IF('Net zero activities &amp; levers'!$C$14="On",('Net zero Activity data'!AF6*EF!$H5)*kgtoGg,"ERROR"))</f>
        <v>58.564977012483297</v>
      </c>
      <c r="N1068" s="93">
        <f>IF('Net zero activities &amp; levers'!$C$14="Off",('Activity data'!AG6*EF!$H5)*kgtoGg,IF('Net zero activities &amp; levers'!$C$14="On",('Net zero Activity data'!AG6*EF!$H5)*kgtoGg,"ERROR"))</f>
        <v>58.859508160444918</v>
      </c>
      <c r="O1068" s="93">
        <f>IF('Net zero activities &amp; levers'!$C$14="Off",('Activity data'!AH6*EF!$H5)*kgtoGg,IF('Net zero activities &amp; levers'!$C$14="On",('Net zero Activity data'!AH6*EF!$H5)*kgtoGg,"ERROR"))</f>
        <v>59.055225455337649</v>
      </c>
      <c r="P1068" s="93">
        <f>IF('Net zero activities &amp; levers'!$C$14="Off",('Activity data'!AI6*EF!$H5)*kgtoGg,IF('Net zero activities &amp; levers'!$C$14="On",('Net zero Activity data'!AI6*EF!$H5)*kgtoGg,"ERROR"))</f>
        <v>59.150202601958597</v>
      </c>
      <c r="Q1068" s="93">
        <f>IF('Net zero activities &amp; levers'!$C$14="Off",('Activity data'!AJ6*EF!$H5)*kgtoGg,IF('Net zero activities &amp; levers'!$C$14="On",('Net zero Activity data'!AJ6*EF!$H5)*kgtoGg,"ERROR"))</f>
        <v>59.360042465716688</v>
      </c>
      <c r="R1068" s="93">
        <f>IF('Net zero activities &amp; levers'!$C$14="Off",('Activity data'!AK6*EF!$H5)*kgtoGg,IF('Net zero activities &amp; levers'!$C$14="On",('Net zero Activity data'!AK6*EF!$H5)*kgtoGg,"ERROR"))</f>
        <v>59.600764035107602</v>
      </c>
      <c r="S1068" s="93">
        <f>IF('Net zero activities &amp; levers'!$C$14="Off",('Activity data'!AL6*EF!$H5)*kgtoGg,IF('Net zero activities &amp; levers'!$C$14="On",('Net zero Activity data'!AL6*EF!$H5)*kgtoGg,"ERROR"))</f>
        <v>57.809188933752196</v>
      </c>
      <c r="T1068" s="93">
        <f>IF('Net zero activities &amp; levers'!$C$14="Off",('Activity data'!AM6*EF!$H5)*kgtoGg,IF('Net zero activities &amp; levers'!$C$14="On",('Net zero Activity data'!AM6*EF!$H5)*kgtoGg,"ERROR"))</f>
        <v>58.417059433849957</v>
      </c>
      <c r="U1068" s="93">
        <f>IF('Net zero activities &amp; levers'!$C$14="Off",('Activity data'!AN6*EF!$H5)*kgtoGg,IF('Net zero activities &amp; levers'!$C$14="On",('Net zero Activity data'!AN6*EF!$H5)*kgtoGg,"ERROR"))</f>
        <v>59.306821001246142</v>
      </c>
      <c r="V1068" s="93">
        <f>IF('Net zero activities &amp; levers'!$C$14="Off",('Activity data'!AO6*EF!$H5)*kgtoGg,IF('Net zero activities &amp; levers'!$C$14="On",('Net zero Activity data'!AO6*EF!$H5)*kgtoGg,"ERROR"))</f>
        <v>59.768005825589199</v>
      </c>
      <c r="W1068" s="93">
        <f>IF('Net zero activities &amp; levers'!$C$14="Off",('Activity data'!AP6*EF!$H5)*kgtoGg,IF('Net zero activities &amp; levers'!$C$14="On",('Net zero Activity data'!AP6*EF!$H5)*kgtoGg,"ERROR"))</f>
        <v>60.295078688755297</v>
      </c>
      <c r="X1068" s="93">
        <f>IF('Net zero activities &amp; levers'!$C$14="Off",('Activity data'!AQ6*EF!$H5)*kgtoGg,IF('Net zero activities &amp; levers'!$C$14="On",('Net zero Activity data'!AQ6*EF!$H5)*kgtoGg,"ERROR"))</f>
        <v>60.905110305481806</v>
      </c>
      <c r="Y1068" s="93">
        <f>IF('Net zero activities &amp; levers'!$C$14="Off",('Activity data'!AR6*EF!$H5)*kgtoGg,IF('Net zero activities &amp; levers'!$C$14="On",('Net zero Activity data'!AR6*EF!$H5)*kgtoGg,"ERROR"))</f>
        <v>61.528067686853028</v>
      </c>
      <c r="Z1068" s="93">
        <f>IF('Net zero activities &amp; levers'!$C$14="Off",('Activity data'!AS6*EF!$H5)*kgtoGg,IF('Net zero activities &amp; levers'!$C$14="On",('Net zero Activity data'!AS6*EF!$H5)*kgtoGg,"ERROR"))</f>
        <v>62.217601167528549</v>
      </c>
      <c r="AA1068" s="93">
        <f>IF('Net zero activities &amp; levers'!$C$14="Off",('Activity data'!AT6*EF!$H5)*kgtoGg,IF('Net zero activities &amp; levers'!$C$14="On",('Net zero Activity data'!AT6*EF!$H5)*kgtoGg,"ERROR"))</f>
        <v>62.928494510248186</v>
      </c>
      <c r="AB1068" s="93">
        <f>IF('Net zero activities &amp; levers'!$C$14="Off",('Activity data'!AU6*EF!$H5)*kgtoGg,IF('Net zero activities &amp; levers'!$C$14="On",('Net zero Activity data'!AU6*EF!$H5)*kgtoGg,"ERROR"))</f>
        <v>63.701561223236183</v>
      </c>
      <c r="AC1068" s="93">
        <f>IF('Net zero activities &amp; levers'!$C$14="Off",('Activity data'!AV6*EF!$H5)*kgtoGg,IF('Net zero activities &amp; levers'!$C$14="On",('Net zero Activity data'!AV6*EF!$H5)*kgtoGg,"ERROR"))</f>
        <v>64.492066875766909</v>
      </c>
      <c r="AD1068" s="93">
        <f>IF('Net zero activities &amp; levers'!$C$14="Off",('Activity data'!AW6*EF!$H5)*kgtoGg,IF('Net zero activities &amp; levers'!$C$14="On",('Net zero Activity data'!AW6*EF!$H5)*kgtoGg,"ERROR"))</f>
        <v>65.346073782936557</v>
      </c>
      <c r="AE1068" s="93">
        <f>IF('Net zero activities &amp; levers'!$C$14="Off",('Activity data'!AX6*EF!$H5)*kgtoGg,IF('Net zero activities &amp; levers'!$C$14="On",('Net zero Activity data'!AX6*EF!$H5)*kgtoGg,"ERROR"))</f>
        <v>66.18852225716013</v>
      </c>
      <c r="AF1068" s="93">
        <f>IF('Net zero activities &amp; levers'!$C$14="Off",('Activity data'!AY6*EF!$H5)*kgtoGg,IF('Net zero activities &amp; levers'!$C$14="On",('Net zero Activity data'!AY6*EF!$H5)*kgtoGg,"ERROR"))</f>
        <v>67.077720340393881</v>
      </c>
      <c r="AG1068" s="93">
        <f>IF('Net zero activities &amp; levers'!$C$14="Off",('Activity data'!AZ6*EF!$H5)*kgtoGg,IF('Net zero activities &amp; levers'!$C$14="On",('Net zero Activity data'!AZ6*EF!$H5)*kgtoGg,"ERROR"))</f>
        <v>68.083550368368549</v>
      </c>
      <c r="AH1068" s="93">
        <f>IF('Net zero activities &amp; levers'!$C$14="Off",('Activity data'!BA6*EF!$H5)*kgtoGg,IF('Net zero activities &amp; levers'!$C$14="On",('Net zero Activity data'!BA6*EF!$H5)*kgtoGg,"ERROR"))</f>
        <v>69.039863394417281</v>
      </c>
      <c r="AI1068" s="93">
        <f>IF('Net zero activities &amp; levers'!$C$14="Off",('Activity data'!BB6*EF!$H5)*kgtoGg,IF('Net zero activities &amp; levers'!$C$14="On",('Net zero Activity data'!BB6*EF!$H5)*kgtoGg,"ERROR"))</f>
        <v>70.020557337249372</v>
      </c>
      <c r="AJ1068" s="93">
        <f>IF('Net zero activities &amp; levers'!$C$14="Off",('Activity data'!BC6*EF!$H5)*kgtoGg,IF('Net zero activities &amp; levers'!$C$14="On",('Net zero Activity data'!BC6*EF!$H5)*kgtoGg,"ERROR"))</f>
        <v>71.069365119981001</v>
      </c>
      <c r="AK1068" s="93">
        <f>IF('Net zero activities &amp; levers'!$C$14="Off",('Activity data'!BD6*EF!$H5)*kgtoGg,IF('Net zero activities &amp; levers'!$C$14="On",('Net zero Activity data'!BD6*EF!$H5)*kgtoGg,"ERROR"))</f>
        <v>72.051971615431754</v>
      </c>
      <c r="AL1068" s="93">
        <f>IF('Net zero activities &amp; levers'!$C$14="Off",('Activity data'!BE6*EF!$H5)*kgtoGg,IF('Net zero activities &amp; levers'!$C$14="On",('Net zero Activity data'!BE6*EF!$H5)*kgtoGg,"ERROR"))</f>
        <v>73.029245775618222</v>
      </c>
      <c r="AM1068" s="93">
        <f>IF('Net zero activities &amp; levers'!$C$14="Off",('Activity data'!BF6*EF!$H5)*kgtoGg,IF('Net zero activities &amp; levers'!$C$14="On",('Net zero Activity data'!BF6*EF!$H5)*kgtoGg,"ERROR"))</f>
        <v>74.003905882670679</v>
      </c>
      <c r="AN1068" s="93">
        <f>IF('Net zero activities &amp; levers'!$C$14="Off",('Activity data'!BG6*EF!$H5)*kgtoGg,IF('Net zero activities &amp; levers'!$C$14="On",('Net zero Activity data'!BG6*EF!$H5)*kgtoGg,"ERROR"))</f>
        <v>75.035067054111778</v>
      </c>
      <c r="AO1068" s="93">
        <f>IF('Net zero activities &amp; levers'!$C$14="Off",('Activity data'!BH6*EF!$H5)*kgtoGg,IF('Net zero activities &amp; levers'!$C$14="On",('Net zero Activity data'!BH6*EF!$H5)*kgtoGg,"ERROR"))</f>
        <v>76.024752846574486</v>
      </c>
      <c r="AP1068" s="93">
        <f>IF('Net zero activities &amp; levers'!$C$14="Off",('Activity data'!BI6*EF!$H5)*kgtoGg,IF('Net zero activities &amp; levers'!$C$14="On",('Net zero Activity data'!BI6*EF!$H5)*kgtoGg,"ERROR"))</f>
        <v>77.05286951622854</v>
      </c>
      <c r="AQ1068" s="93">
        <f>IF('Net zero activities &amp; levers'!$C$14="Off",('Activity data'!BJ6*EF!$H5)*kgtoGg,IF('Net zero activities &amp; levers'!$C$14="On",('Net zero Activity data'!BJ6*EF!$H5)*kgtoGg,"ERROR"))</f>
        <v>78.12410611573965</v>
      </c>
      <c r="AR1068" s="93">
        <f>IF('Net zero activities &amp; levers'!$C$14="Off",('Activity data'!BK6*EF!$H5)*kgtoGg,IF('Net zero activities &amp; levers'!$C$14="On",('Net zero Activity data'!BK6*EF!$H5)*kgtoGg,"ERROR"))</f>
        <v>79.246003138956311</v>
      </c>
      <c r="AS1068" s="93">
        <f>IF('Net zero activities &amp; levers'!$C$14="Off",('Activity data'!BL6*EF!$H5)*kgtoGg,IF('Net zero activities &amp; levers'!$C$14="On",('Net zero Activity data'!BL6*EF!$H5)*kgtoGg,"ERROR"))</f>
        <v>80.387745042891623</v>
      </c>
      <c r="AT1068" s="93">
        <f>IF('Net zero activities &amp; levers'!$C$14="Off",('Activity data'!BM6*EF!$H5)*kgtoGg,IF('Net zero activities &amp; levers'!$C$14="On",('Net zero Activity data'!BM6*EF!$H5)*kgtoGg,"ERROR"))</f>
        <v>80.658442923915771</v>
      </c>
      <c r="AU1068" s="93">
        <f>IF('Net zero activities &amp; levers'!$C$14="Off",('Activity data'!BN6*EF!$H5)*kgtoGg,IF('Net zero activities &amp; levers'!$C$14="On",('Net zero Activity data'!BN6*EF!$H5)*kgtoGg,"ERROR"))</f>
        <v>80.851097777772381</v>
      </c>
      <c r="AV1068" s="93">
        <f>IF('Net zero activities &amp; levers'!$C$14="Off",('Activity data'!BO6*EF!$H5)*kgtoGg,IF('Net zero activities &amp; levers'!$C$14="On",('Net zero Activity data'!BO6*EF!$H5)*kgtoGg,"ERROR"))</f>
        <v>80.930031991295138</v>
      </c>
      <c r="AW1068" s="93">
        <f>IF('Net zero activities &amp; levers'!$C$14="Off",('Activity data'!BP6*EF!$H5)*kgtoGg,IF('Net zero activities &amp; levers'!$C$14="On",('Net zero Activity data'!BP6*EF!$H5)*kgtoGg,"ERROR"))</f>
        <v>80.977694600293489</v>
      </c>
      <c r="AY1068" s="79"/>
    </row>
    <row r="1069" spans="1:52" x14ac:dyDescent="0.3">
      <c r="A1069" s="95" t="str">
        <f t="shared" si="373"/>
        <v>CM Cattle</v>
      </c>
      <c r="B1069" s="95" t="s">
        <v>1322</v>
      </c>
      <c r="C1069" s="95" t="s">
        <v>1108</v>
      </c>
      <c r="D1069" t="s">
        <v>15</v>
      </c>
      <c r="E1069" t="s">
        <v>16</v>
      </c>
      <c r="F1069" t="s">
        <v>67</v>
      </c>
      <c r="G1069" t="s">
        <v>307</v>
      </c>
      <c r="H1069" t="s">
        <v>1020</v>
      </c>
      <c r="I1069" t="s">
        <v>121</v>
      </c>
      <c r="J1069" t="s">
        <v>286</v>
      </c>
      <c r="K1069" s="93">
        <f>IF('Net zero activities &amp; levers'!$C$14="Off",('Activity data'!AD7*EF!$H6)*kgtoGg,IF('Net zero activities &amp; levers'!$C$14="On",('Net zero Activity data'!AD7*EF!$H6)*kgtoGg,"ERROR"))</f>
        <v>26.126191807126649</v>
      </c>
      <c r="L1069" s="93">
        <f>IF('Net zero activities &amp; levers'!$C$14="Off",('Activity data'!AE7*EF!$H6)*kgtoGg,IF('Net zero activities &amp; levers'!$C$14="On",('Net zero Activity data'!AE7*EF!$H6)*kgtoGg,"ERROR"))</f>
        <v>26.272250579806297</v>
      </c>
      <c r="M1069" s="93">
        <f>IF('Net zero activities &amp; levers'!$C$14="Off",('Activity data'!AF7*EF!$H6)*kgtoGg,IF('Net zero activities &amp; levers'!$C$14="On",('Net zero Activity data'!AF7*EF!$H6)*kgtoGg,"ERROR"))</f>
        <v>26.479482964607669</v>
      </c>
      <c r="N1069" s="93">
        <f>IF('Net zero activities &amp; levers'!$C$14="Off",('Activity data'!AG7*EF!$H6)*kgtoGg,IF('Net zero activities &amp; levers'!$C$14="On",('Net zero Activity data'!AG7*EF!$H6)*kgtoGg,"ERROR"))</f>
        <v>26.61265184663991</v>
      </c>
      <c r="O1069" s="93">
        <f>IF('Net zero activities &amp; levers'!$C$14="Off",('Activity data'!AH7*EF!$H6)*kgtoGg,IF('Net zero activities &amp; levers'!$C$14="On",('Net zero Activity data'!AH7*EF!$H6)*kgtoGg,"ERROR"))</f>
        <v>26.701143177813595</v>
      </c>
      <c r="P1069" s="93">
        <f>IF('Net zero activities &amp; levers'!$C$14="Off",('Activity data'!AI7*EF!$H6)*kgtoGg,IF('Net zero activities &amp; levers'!$C$14="On",('Net zero Activity data'!AI7*EF!$H6)*kgtoGg,"ERROR"))</f>
        <v>26.744086005835889</v>
      </c>
      <c r="Q1069" s="93">
        <f>IF('Net zero activities &amp; levers'!$C$14="Off",('Activity data'!AJ7*EF!$H6)*kgtoGg,IF('Net zero activities &amp; levers'!$C$14="On",('Net zero Activity data'!AJ7*EF!$H6)*kgtoGg,"ERROR"))</f>
        <v>26.838962694620271</v>
      </c>
      <c r="R1069" s="93">
        <f>IF('Net zero activities &amp; levers'!$C$14="Off",('Activity data'!AK7*EF!$H6)*kgtoGg,IF('Net zero activities &amp; levers'!$C$14="On",('Net zero Activity data'!AK7*EF!$H6)*kgtoGg,"ERROR"))</f>
        <v>26.947802192577246</v>
      </c>
      <c r="S1069" s="93">
        <f>IF('Net zero activities &amp; levers'!$C$14="Off",('Activity data'!AL7*EF!$H6)*kgtoGg,IF('Net zero activities &amp; levers'!$C$14="On",('Net zero Activity data'!AL7*EF!$H6)*kgtoGg,"ERROR"))</f>
        <v>26.137762049198656</v>
      </c>
      <c r="T1069" s="93">
        <f>IF('Net zero activities &amp; levers'!$C$14="Off",('Activity data'!AM7*EF!$H6)*kgtoGg,IF('Net zero activities &amp; levers'!$C$14="On",('Net zero Activity data'!AM7*EF!$H6)*kgtoGg,"ERROR"))</f>
        <v>26.412603727162519</v>
      </c>
      <c r="U1069" s="93">
        <f>IF('Net zero activities &amp; levers'!$C$14="Off",('Activity data'!AN7*EF!$H6)*kgtoGg,IF('Net zero activities &amp; levers'!$C$14="On",('Net zero Activity data'!AN7*EF!$H6)*kgtoGg,"ERROR"))</f>
        <v>26.814899219593229</v>
      </c>
      <c r="V1069" s="93">
        <f>IF('Net zero activities &amp; levers'!$C$14="Off",('Activity data'!AO7*EF!$H6)*kgtoGg,IF('Net zero activities &amp; levers'!$C$14="On",('Net zero Activity data'!AO7*EF!$H6)*kgtoGg,"ERROR"))</f>
        <v>27.023418650875932</v>
      </c>
      <c r="W1069" s="93">
        <f>IF('Net zero activities &amp; levers'!$C$14="Off",('Activity data'!AP7*EF!$H6)*kgtoGg,IF('Net zero activities &amp; levers'!$C$14="On",('Net zero Activity data'!AP7*EF!$H6)*kgtoGg,"ERROR"))</f>
        <v>27.261728603568962</v>
      </c>
      <c r="X1069" s="93">
        <f>IF('Net zero activities &amp; levers'!$C$14="Off",('Activity data'!AQ7*EF!$H6)*kgtoGg,IF('Net zero activities &amp; levers'!$C$14="On",('Net zero Activity data'!AQ7*EF!$H6)*kgtoGg,"ERROR"))</f>
        <v>27.53754740564138</v>
      </c>
      <c r="Y1069" s="93">
        <f>IF('Net zero activities &amp; levers'!$C$14="Off",('Activity data'!AR7*EF!$H6)*kgtoGg,IF('Net zero activities &amp; levers'!$C$14="On",('Net zero Activity data'!AR7*EF!$H6)*kgtoGg,"ERROR"))</f>
        <v>27.819210444016349</v>
      </c>
      <c r="Z1069" s="93">
        <f>IF('Net zero activities &amp; levers'!$C$14="Off",('Activity data'!AS7*EF!$H6)*kgtoGg,IF('Net zero activities &amp; levers'!$C$14="On",('Net zero Activity data'!AS7*EF!$H6)*kgtoGg,"ERROR"))</f>
        <v>28.13097510246029</v>
      </c>
      <c r="AA1069" s="93">
        <f>IF('Net zero activities &amp; levers'!$C$14="Off",('Activity data'!AT7*EF!$H6)*kgtoGg,IF('Net zero activities &amp; levers'!$C$14="On",('Net zero Activity data'!AT7*EF!$H6)*kgtoGg,"ERROR"))</f>
        <v>28.452397377657032</v>
      </c>
      <c r="AB1069" s="93">
        <f>IF('Net zero activities &amp; levers'!$C$14="Off",('Activity data'!AU7*EF!$H6)*kgtoGg,IF('Net zero activities &amp; levers'!$C$14="On",('Net zero Activity data'!AU7*EF!$H6)*kgtoGg,"ERROR"))</f>
        <v>28.801930629462248</v>
      </c>
      <c r="AC1069" s="93">
        <f>IF('Net zero activities &amp; levers'!$C$14="Off",('Activity data'!AV7*EF!$H6)*kgtoGg,IF('Net zero activities &amp; levers'!$C$14="On",('Net zero Activity data'!AV7*EF!$H6)*kgtoGg,"ERROR"))</f>
        <v>29.159348697860899</v>
      </c>
      <c r="AD1069" s="93">
        <f>IF('Net zero activities &amp; levers'!$C$14="Off",('Activity data'!AW7*EF!$H6)*kgtoGg,IF('Net zero activities &amp; levers'!$C$14="On",('Net zero Activity data'!AW7*EF!$H6)*kgtoGg,"ERROR"))</f>
        <v>29.545478130563247</v>
      </c>
      <c r="AE1069" s="93">
        <f>IF('Net zero activities &amp; levers'!$C$14="Off",('Activity data'!AX7*EF!$H6)*kgtoGg,IF('Net zero activities &amp; levers'!$C$14="On",('Net zero Activity data'!AX7*EF!$H6)*kgtoGg,"ERROR"))</f>
        <v>29.92638155031543</v>
      </c>
      <c r="AF1069" s="93">
        <f>IF('Net zero activities &amp; levers'!$C$14="Off",('Activity data'!AY7*EF!$H6)*kgtoGg,IF('Net zero activities &amp; levers'!$C$14="On",('Net zero Activity data'!AY7*EF!$H6)*kgtoGg,"ERROR"))</f>
        <v>30.328422269841898</v>
      </c>
      <c r="AG1069" s="93">
        <f>IF('Net zero activities &amp; levers'!$C$14="Off",('Activity data'!AZ7*EF!$H6)*kgtoGg,IF('Net zero activities &amp; levers'!$C$14="On",('Net zero Activity data'!AZ7*EF!$H6)*kgtoGg,"ERROR"))</f>
        <v>30.783196786108999</v>
      </c>
      <c r="AH1069" s="93">
        <f>IF('Net zero activities &amp; levers'!$C$14="Off",('Activity data'!BA7*EF!$H6)*kgtoGg,IF('Net zero activities &amp; levers'!$C$14="On",('Net zero Activity data'!BA7*EF!$H6)*kgtoGg,"ERROR"))</f>
        <v>31.215582757620478</v>
      </c>
      <c r="AI1069" s="93">
        <f>IF('Net zero activities &amp; levers'!$C$14="Off",('Activity data'!BB7*EF!$H6)*kgtoGg,IF('Net zero activities &amp; levers'!$C$14="On",('Net zero Activity data'!BB7*EF!$H6)*kgtoGg,"ERROR"))</f>
        <v>31.658992281151598</v>
      </c>
      <c r="AJ1069" s="93">
        <f>IF('Net zero activities &amp; levers'!$C$14="Off",('Activity data'!BC7*EF!$H6)*kgtoGg,IF('Net zero activities &amp; levers'!$C$14="On",('Net zero Activity data'!BC7*EF!$H6)*kgtoGg,"ERROR"))</f>
        <v>32.133198696533107</v>
      </c>
      <c r="AK1069" s="93">
        <f>IF('Net zero activities &amp; levers'!$C$14="Off",('Activity data'!BD7*EF!$H6)*kgtoGg,IF('Net zero activities &amp; levers'!$C$14="On",('Net zero Activity data'!BD7*EF!$H6)*kgtoGg,"ERROR"))</f>
        <v>32.57747295880516</v>
      </c>
      <c r="AL1069" s="93">
        <f>IF('Net zero activities &amp; levers'!$C$14="Off",('Activity data'!BE7*EF!$H6)*kgtoGg,IF('Net zero activities &amp; levers'!$C$14="On",('Net zero Activity data'!BE7*EF!$H6)*kgtoGg,"ERROR"))</f>
        <v>33.019336266817611</v>
      </c>
      <c r="AM1069" s="93">
        <f>IF('Net zero activities &amp; levers'!$C$14="Off",('Activity data'!BF7*EF!$H6)*kgtoGg,IF('Net zero activities &amp; levers'!$C$14="On",('Net zero Activity data'!BF7*EF!$H6)*kgtoGg,"ERROR"))</f>
        <v>33.460017660673138</v>
      </c>
      <c r="AN1069" s="93">
        <f>IF('Net zero activities &amp; levers'!$C$14="Off",('Activity data'!BG7*EF!$H6)*kgtoGg,IF('Net zero activities &amp; levers'!$C$14="On",('Net zero Activity data'!BG7*EF!$H6)*kgtoGg,"ERROR"))</f>
        <v>33.926245363061206</v>
      </c>
      <c r="AO1069" s="93">
        <f>IF('Net zero activities &amp; levers'!$C$14="Off",('Activity data'!BH7*EF!$H6)*kgtoGg,IF('Net zero activities &amp; levers'!$C$14="On",('Net zero Activity data'!BH7*EF!$H6)*kgtoGg,"ERROR"))</f>
        <v>34.37372044831983</v>
      </c>
      <c r="AP1069" s="93">
        <f>IF('Net zero activities &amp; levers'!$C$14="Off",('Activity data'!BI7*EF!$H6)*kgtoGg,IF('Net zero activities &amp; levers'!$C$14="On",('Net zero Activity data'!BI7*EF!$H6)*kgtoGg,"ERROR"))</f>
        <v>34.838571614127183</v>
      </c>
      <c r="AQ1069" s="93">
        <f>IF('Net zero activities &amp; levers'!$C$14="Off",('Activity data'!BJ7*EF!$H6)*kgtoGg,IF('Net zero activities &amp; levers'!$C$14="On",('Net zero Activity data'!BJ7*EF!$H6)*kgtoGg,"ERROR"))</f>
        <v>35.322918961890544</v>
      </c>
      <c r="AR1069" s="93">
        <f>IF('Net zero activities &amp; levers'!$C$14="Off",('Activity data'!BK7*EF!$H6)*kgtoGg,IF('Net zero activities &amp; levers'!$C$14="On",('Net zero Activity data'!BK7*EF!$H6)*kgtoGg,"ERROR"))</f>
        <v>35.830171839458941</v>
      </c>
      <c r="AS1069" s="93">
        <f>IF('Net zero activities &amp; levers'!$C$14="Off",('Activity data'!BL7*EF!$H6)*kgtoGg,IF('Net zero activities &amp; levers'!$C$14="On",('Net zero Activity data'!BL7*EF!$H6)*kgtoGg,"ERROR"))</f>
        <v>36.346397352341668</v>
      </c>
      <c r="AT1069" s="93">
        <f>IF('Net zero activities &amp; levers'!$C$14="Off",('Activity data'!BM7*EF!$H6)*kgtoGg,IF('Net zero activities &amp; levers'!$C$14="On",('Net zero Activity data'!BM7*EF!$H6)*kgtoGg,"ERROR"))</f>
        <v>36.468790295953795</v>
      </c>
      <c r="AU1069" s="93">
        <f>IF('Net zero activities &amp; levers'!$C$14="Off",('Activity data'!BN7*EF!$H6)*kgtoGg,IF('Net zero activities &amp; levers'!$C$14="On",('Net zero Activity data'!BN7*EF!$H6)*kgtoGg,"ERROR"))</f>
        <v>36.555896979520966</v>
      </c>
      <c r="AV1069" s="93">
        <f>IF('Net zero activities &amp; levers'!$C$14="Off",('Activity data'!BO7*EF!$H6)*kgtoGg,IF('Net zero activities &amp; levers'!$C$14="On",('Net zero Activity data'!BO7*EF!$H6)*kgtoGg,"ERROR"))</f>
        <v>36.591586179259828</v>
      </c>
      <c r="AW1069" s="93">
        <f>IF('Net zero activities &amp; levers'!$C$14="Off",('Activity data'!BP7*EF!$H6)*kgtoGg,IF('Net zero activities &amp; levers'!$C$14="On",('Net zero Activity data'!BP7*EF!$H6)*kgtoGg,"ERROR"))</f>
        <v>36.613136281512098</v>
      </c>
      <c r="AY1069" s="79"/>
    </row>
    <row r="1070" spans="1:52" x14ac:dyDescent="0.3">
      <c r="A1070" s="95" t="str">
        <f t="shared" si="373"/>
        <v>CM Cattle</v>
      </c>
      <c r="B1070" s="95" t="s">
        <v>1322</v>
      </c>
      <c r="C1070" s="95" t="s">
        <v>1108</v>
      </c>
      <c r="D1070" t="s">
        <v>15</v>
      </c>
      <c r="E1070" t="s">
        <v>16</v>
      </c>
      <c r="F1070" t="s">
        <v>67</v>
      </c>
      <c r="G1070" t="s">
        <v>122</v>
      </c>
      <c r="H1070" t="s">
        <v>1020</v>
      </c>
      <c r="I1070" t="s">
        <v>121</v>
      </c>
      <c r="J1070" t="s">
        <v>286</v>
      </c>
      <c r="K1070" s="93">
        <f>IF('Net zero activities &amp; levers'!$C$14="Off",('Activity data'!AD8*EF!$H7)*kgtoGg,IF('Net zero activities &amp; levers'!$C$14="On",('Net zero Activity data'!AD8*EF!$H7)*kgtoGg,"ERROR"))</f>
        <v>463.23498593143194</v>
      </c>
      <c r="L1070" s="93">
        <f>IF('Net zero activities &amp; levers'!$C$14="Off",('Activity data'!AE8*EF!$H7)*kgtoGg,IF('Net zero activities &amp; levers'!$C$14="On",('Net zero Activity data'!AE8*EF!$H7)*kgtoGg,"ERROR"))</f>
        <v>459.2174968362159</v>
      </c>
      <c r="M1070" s="93">
        <f>IF('Net zero activities &amp; levers'!$C$14="Off",('Activity data'!AF8*EF!$H7)*kgtoGg,IF('Net zero activities &amp; levers'!$C$14="On",('Net zero Activity data'!AF8*EF!$H7)*kgtoGg,"ERROR"))</f>
        <v>457.68816035731248</v>
      </c>
      <c r="N1070" s="93">
        <f>IF('Net zero activities &amp; levers'!$C$14="Off",('Activity data'!AG8*EF!$H7)*kgtoGg,IF('Net zero activities &amp; levers'!$C$14="On",('Net zero Activity data'!AG8*EF!$H7)*kgtoGg,"ERROR"))</f>
        <v>451.57633407663525</v>
      </c>
      <c r="O1070" s="93">
        <f>IF('Net zero activities &amp; levers'!$C$14="Off",('Activity data'!AH8*EF!$H7)*kgtoGg,IF('Net zero activities &amp; levers'!$C$14="On",('Net zero Activity data'!AH8*EF!$H7)*kgtoGg,"ERROR"))</f>
        <v>442.70486896910717</v>
      </c>
      <c r="P1070" s="93">
        <f>IF('Net zero activities &amp; levers'!$C$14="Off",('Activity data'!AI8*EF!$H7)*kgtoGg,IF('Net zero activities &amp; levers'!$C$14="On",('Net zero Activity data'!AI8*EF!$H7)*kgtoGg,"ERROR"))</f>
        <v>431.25721304480408</v>
      </c>
      <c r="Q1070" s="93">
        <f>IF('Net zero activities &amp; levers'!$C$14="Off",('Activity data'!AJ8*EF!$H7)*kgtoGg,IF('Net zero activities &amp; levers'!$C$14="On",('Net zero Activity data'!AJ8*EF!$H7)*kgtoGg,"ERROR"))</f>
        <v>422.22811200839215</v>
      </c>
      <c r="R1070" s="93">
        <f>IF('Net zero activities &amp; levers'!$C$14="Off",('Activity data'!AK8*EF!$H7)*kgtoGg,IF('Net zero activities &amp; levers'!$C$14="On",('Net zero Activity data'!AK8*EF!$H7)*kgtoGg,"ERROR"))</f>
        <v>413.68555596285586</v>
      </c>
      <c r="S1070" s="93">
        <f>IF('Net zero activities &amp; levers'!$C$14="Off",('Activity data'!AL8*EF!$H7)*kgtoGg,IF('Net zero activities &amp; levers'!$C$14="On",('Net zero Activity data'!AL8*EF!$H7)*kgtoGg,"ERROR"))</f>
        <v>363.92269119895411</v>
      </c>
      <c r="T1070" s="93">
        <f>IF('Net zero activities &amp; levers'!$C$14="Off",('Activity data'!AM8*EF!$H7)*kgtoGg,IF('Net zero activities &amp; levers'!$C$14="On",('Net zero Activity data'!AM8*EF!$H7)*kgtoGg,"ERROR"))</f>
        <v>369.83389237357579</v>
      </c>
      <c r="U1070" s="93">
        <f>IF('Net zero activities &amp; levers'!$C$14="Off",('Activity data'!AN8*EF!$H7)*kgtoGg,IF('Net zero activities &amp; levers'!$C$14="On",('Net zero Activity data'!AN8*EF!$H7)*kgtoGg,"ERROR"))</f>
        <v>380.86142464434585</v>
      </c>
      <c r="V1070" s="93">
        <f>IF('Net zero activities &amp; levers'!$C$14="Off",('Activity data'!AO8*EF!$H7)*kgtoGg,IF('Net zero activities &amp; levers'!$C$14="On",('Net zero Activity data'!AO8*EF!$H7)*kgtoGg,"ERROR"))</f>
        <v>383.06375021143805</v>
      </c>
      <c r="W1070" s="93">
        <f>IF('Net zero activities &amp; levers'!$C$14="Off",('Activity data'!AP8*EF!$H7)*kgtoGg,IF('Net zero activities &amp; levers'!$C$14="On",('Net zero Activity data'!AP8*EF!$H7)*kgtoGg,"ERROR"))</f>
        <v>386.24013707294779</v>
      </c>
      <c r="X1070" s="93">
        <f>IF('Net zero activities &amp; levers'!$C$14="Off",('Activity data'!AQ8*EF!$H7)*kgtoGg,IF('Net zero activities &amp; levers'!$C$14="On",('Net zero Activity data'!AQ8*EF!$H7)*kgtoGg,"ERROR"))</f>
        <v>390.6712668095617</v>
      </c>
      <c r="Y1070" s="93">
        <f>IF('Net zero activities &amp; levers'!$C$14="Off",('Activity data'!AR8*EF!$H7)*kgtoGg,IF('Net zero activities &amp; levers'!$C$14="On",('Net zero Activity data'!AR8*EF!$H7)*kgtoGg,"ERROR"))</f>
        <v>395.75397479595648</v>
      </c>
      <c r="Z1070" s="93">
        <f>IF('Net zero activities &amp; levers'!$C$14="Off",('Activity data'!AS8*EF!$H7)*kgtoGg,IF('Net zero activities &amp; levers'!$C$14="On",('Net zero Activity data'!AS8*EF!$H7)*kgtoGg,"ERROR"))</f>
        <v>401.71318303321101</v>
      </c>
      <c r="AA1070" s="93">
        <f>IF('Net zero activities &amp; levers'!$C$14="Off",('Activity data'!AT8*EF!$H7)*kgtoGg,IF('Net zero activities &amp; levers'!$C$14="On",('Net zero Activity data'!AT8*EF!$H7)*kgtoGg,"ERROR"))</f>
        <v>407.69987647206653</v>
      </c>
      <c r="AB1070" s="93">
        <f>IF('Net zero activities &amp; levers'!$C$14="Off",('Activity data'!AU8*EF!$H7)*kgtoGg,IF('Net zero activities &amp; levers'!$C$14="On",('Net zero Activity data'!AU8*EF!$H7)*kgtoGg,"ERROR"))</f>
        <v>414.43305929383774</v>
      </c>
      <c r="AC1070" s="93">
        <f>IF('Net zero activities &amp; levers'!$C$14="Off",('Activity data'!AV8*EF!$H7)*kgtoGg,IF('Net zero activities &amp; levers'!$C$14="On",('Net zero Activity data'!AV8*EF!$H7)*kgtoGg,"ERROR"))</f>
        <v>421.09942264585908</v>
      </c>
      <c r="AD1070" s="93">
        <f>IF('Net zero activities &amp; levers'!$C$14="Off",('Activity data'!AW8*EF!$H7)*kgtoGg,IF('Net zero activities &amp; levers'!$C$14="On",('Net zero Activity data'!AW8*EF!$H7)*kgtoGg,"ERROR"))</f>
        <v>425.44191060723506</v>
      </c>
      <c r="AE1070" s="93">
        <f>IF('Net zero activities &amp; levers'!$C$14="Off",('Activity data'!AX8*EF!$H7)*kgtoGg,IF('Net zero activities &amp; levers'!$C$14="On",('Net zero Activity data'!AX8*EF!$H7)*kgtoGg,"ERROR"))</f>
        <v>429.00739584475377</v>
      </c>
      <c r="AF1070" s="93">
        <f>IF('Net zero activities &amp; levers'!$C$14="Off",('Activity data'!AY8*EF!$H7)*kgtoGg,IF('Net zero activities &amp; levers'!$C$14="On",('Net zero Activity data'!AY8*EF!$H7)*kgtoGg,"ERROR"))</f>
        <v>432.77412897631666</v>
      </c>
      <c r="AG1070" s="93">
        <f>IF('Net zero activities &amp; levers'!$C$14="Off",('Activity data'!AZ8*EF!$H7)*kgtoGg,IF('Net zero activities &amp; levers'!$C$14="On",('Net zero Activity data'!AZ8*EF!$H7)*kgtoGg,"ERROR"))</f>
        <v>437.81397558556199</v>
      </c>
      <c r="AH1070" s="93">
        <f>IF('Net zero activities &amp; levers'!$C$14="Off",('Activity data'!BA8*EF!$H7)*kgtoGg,IF('Net zero activities &amp; levers'!$C$14="On",('Net zero Activity data'!BA8*EF!$H7)*kgtoGg,"ERROR"))</f>
        <v>441.43846379327863</v>
      </c>
      <c r="AI1070" s="93">
        <f>IF('Net zero activities &amp; levers'!$C$14="Off",('Activity data'!BB8*EF!$H7)*kgtoGg,IF('Net zero activities &amp; levers'!$C$14="On",('Net zero Activity data'!BB8*EF!$H7)*kgtoGg,"ERROR"))</f>
        <v>445.30127510523226</v>
      </c>
      <c r="AJ1070" s="93">
        <f>IF('Net zero activities &amp; levers'!$C$14="Off",('Activity data'!BC8*EF!$H7)*kgtoGg,IF('Net zero activities &amp; levers'!$C$14="On",('Net zero Activity data'!BC8*EF!$H7)*kgtoGg,"ERROR"))</f>
        <v>449.5534309991009</v>
      </c>
      <c r="AK1070" s="93">
        <f>IF('Net zero activities &amp; levers'!$C$14="Off",('Activity data'!BD8*EF!$H7)*kgtoGg,IF('Net zero activities &amp; levers'!$C$14="On",('Net zero Activity data'!BD8*EF!$H7)*kgtoGg,"ERROR"))</f>
        <v>452.20309019469192</v>
      </c>
      <c r="AL1070" s="93">
        <f>IF('Net zero activities &amp; levers'!$C$14="Off",('Activity data'!BE8*EF!$H7)*kgtoGg,IF('Net zero activities &amp; levers'!$C$14="On",('Net zero Activity data'!BE8*EF!$H7)*kgtoGg,"ERROR"))</f>
        <v>454.19091289569144</v>
      </c>
      <c r="AM1070" s="93">
        <f>IF('Net zero activities &amp; levers'!$C$14="Off",('Activity data'!BF8*EF!$H7)*kgtoGg,IF('Net zero activities &amp; levers'!$C$14="On",('Net zero Activity data'!BF8*EF!$H7)*kgtoGg,"ERROR"))</f>
        <v>455.5735708938164</v>
      </c>
      <c r="AN1070" s="93">
        <f>IF('Net zero activities &amp; levers'!$C$14="Off",('Activity data'!BG8*EF!$H7)*kgtoGg,IF('Net zero activities &amp; levers'!$C$14="On",('Net zero Activity data'!BG8*EF!$H7)*kgtoGg,"ERROR"))</f>
        <v>459.87188917365768</v>
      </c>
      <c r="AO1070" s="93">
        <f>IF('Net zero activities &amp; levers'!$C$14="Off",('Activity data'!BH8*EF!$H7)*kgtoGg,IF('Net zero activities &amp; levers'!$C$14="On",('Net zero Activity data'!BH8*EF!$H7)*kgtoGg,"ERROR"))</f>
        <v>463.13915520973467</v>
      </c>
      <c r="AP1070" s="93">
        <f>IF('Net zero activities &amp; levers'!$C$14="Off",('Activity data'!BI8*EF!$H7)*kgtoGg,IF('Net zero activities &amp; levers'!$C$14="On",('Net zero Activity data'!BI8*EF!$H7)*kgtoGg,"ERROR"))</f>
        <v>466.44766361257473</v>
      </c>
      <c r="AQ1070" s="93">
        <f>IF('Net zero activities &amp; levers'!$C$14="Off",('Activity data'!BJ8*EF!$H7)*kgtoGg,IF('Net zero activities &amp; levers'!$C$14="On",('Net zero Activity data'!BJ8*EF!$H7)*kgtoGg,"ERROR"))</f>
        <v>469.83526222266636</v>
      </c>
      <c r="AR1070" s="93">
        <f>IF('Net zero activities &amp; levers'!$C$14="Off",('Activity data'!BK8*EF!$H7)*kgtoGg,IF('Net zero activities &amp; levers'!$C$14="On",('Net zero Activity data'!BK8*EF!$H7)*kgtoGg,"ERROR"))</f>
        <v>473.37026305322627</v>
      </c>
      <c r="AS1070" s="93">
        <f>IF('Net zero activities &amp; levers'!$C$14="Off",('Activity data'!BL8*EF!$H7)*kgtoGg,IF('Net zero activities &amp; levers'!$C$14="On",('Net zero Activity data'!BL8*EF!$H7)*kgtoGg,"ERROR"))</f>
        <v>476.99976993126808</v>
      </c>
      <c r="AT1070" s="93">
        <f>IF('Net zero activities &amp; levers'!$C$14="Off",('Activity data'!BM8*EF!$H7)*kgtoGg,IF('Net zero activities &amp; levers'!$C$14="On",('Net zero Activity data'!BM8*EF!$H7)*kgtoGg,"ERROR"))</f>
        <v>469.84014483659178</v>
      </c>
      <c r="AU1070" s="93">
        <f>IF('Net zero activities &amp; levers'!$C$14="Off",('Activity data'!BN8*EF!$H7)*kgtoGg,IF('Net zero activities &amp; levers'!$C$14="On",('Net zero Activity data'!BN8*EF!$H7)*kgtoGg,"ERROR"))</f>
        <v>461.72949370511395</v>
      </c>
      <c r="AV1070" s="93">
        <f>IF('Net zero activities &amp; levers'!$C$14="Off",('Activity data'!BO8*EF!$H7)*kgtoGg,IF('Net zero activities &amp; levers'!$C$14="On",('Net zero Activity data'!BO8*EF!$H7)*kgtoGg,"ERROR"))</f>
        <v>452.32664742475527</v>
      </c>
      <c r="AW1070" s="93">
        <f>IF('Net zero activities &amp; levers'!$C$14="Off",('Activity data'!BP8*EF!$H7)*kgtoGg,IF('Net zero activities &amp; levers'!$C$14="On",('Net zero Activity data'!BP8*EF!$H7)*kgtoGg,"ERROR"))</f>
        <v>442.62912277964222</v>
      </c>
      <c r="AY1070" s="79"/>
    </row>
    <row r="1071" spans="1:52" x14ac:dyDescent="0.3">
      <c r="A1071" s="95" t="str">
        <f t="shared" si="373"/>
        <v>CM Cattle</v>
      </c>
      <c r="B1071" s="95" t="s">
        <v>1322</v>
      </c>
      <c r="C1071" s="95" t="s">
        <v>1108</v>
      </c>
      <c r="D1071" t="s">
        <v>15</v>
      </c>
      <c r="E1071" t="s">
        <v>16</v>
      </c>
      <c r="F1071" t="s">
        <v>67</v>
      </c>
      <c r="G1071" t="s">
        <v>123</v>
      </c>
      <c r="H1071" t="s">
        <v>1020</v>
      </c>
      <c r="I1071" t="s">
        <v>121</v>
      </c>
      <c r="J1071" t="s">
        <v>286</v>
      </c>
      <c r="K1071" s="93">
        <f>IF('Net zero activities &amp; levers'!$C$14="Off",('Activity data'!AD9*EF!$H8)*kgtoGg,IF('Net zero activities &amp; levers'!$C$14="On",('Net zero Activity data'!AD9*EF!$H8)*kgtoGg,"ERROR"))</f>
        <v>326.20040935577742</v>
      </c>
      <c r="L1071" s="93">
        <f>IF('Net zero activities &amp; levers'!$C$14="Off",('Activity data'!AE9*EF!$H8)*kgtoGg,IF('Net zero activities &amp; levers'!$C$14="On",('Net zero Activity data'!AE9*EF!$H8)*kgtoGg,"ERROR"))</f>
        <v>323.37137738012308</v>
      </c>
      <c r="M1071" s="93">
        <f>IF('Net zero activities &amp; levers'!$C$14="Off",('Activity data'!AF9*EF!$H8)*kgtoGg,IF('Net zero activities &amp; levers'!$C$14="On",('Net zero Activity data'!AF9*EF!$H8)*kgtoGg,"ERROR"))</f>
        <v>322.29445054900748</v>
      </c>
      <c r="N1071" s="93">
        <f>IF('Net zero activities &amp; levers'!$C$14="Off",('Activity data'!AG9*EF!$H8)*kgtoGg,IF('Net zero activities &amp; levers'!$C$14="On",('Net zero Activity data'!AG9*EF!$H8)*kgtoGg,"ERROR"))</f>
        <v>317.99063003627219</v>
      </c>
      <c r="O1071" s="93">
        <f>IF('Net zero activities &amp; levers'!$C$14="Off",('Activity data'!AH9*EF!$H8)*kgtoGg,IF('Net zero activities &amp; levers'!$C$14="On",('Net zero Activity data'!AH9*EF!$H8)*kgtoGg,"ERROR"))</f>
        <v>311.74352945546792</v>
      </c>
      <c r="P1071" s="93">
        <f>IF('Net zero activities &amp; levers'!$C$14="Off",('Activity data'!AI9*EF!$H8)*kgtoGg,IF('Net zero activities &amp; levers'!$C$14="On",('Net zero Activity data'!AI9*EF!$H8)*kgtoGg,"ERROR"))</f>
        <v>303.68232906672063</v>
      </c>
      <c r="Q1071" s="93">
        <f>IF('Net zero activities &amp; levers'!$C$14="Off",('Activity data'!AJ9*EF!$H8)*kgtoGg,IF('Net zero activities &amp; levers'!$C$14="On",('Net zero Activity data'!AJ9*EF!$H8)*kgtoGg,"ERROR"))</f>
        <v>297.32422455466599</v>
      </c>
      <c r="R1071" s="93">
        <f>IF('Net zero activities &amp; levers'!$C$14="Off",('Activity data'!AK9*EF!$H8)*kgtoGg,IF('Net zero activities &amp; levers'!$C$14="On",('Net zero Activity data'!AK9*EF!$H8)*kgtoGg,"ERROR"))</f>
        <v>291.30873487096773</v>
      </c>
      <c r="S1071" s="93">
        <f>IF('Net zero activities &amp; levers'!$C$14="Off",('Activity data'!AL9*EF!$H8)*kgtoGg,IF('Net zero activities &amp; levers'!$C$14="On",('Net zero Activity data'!AL9*EF!$H8)*kgtoGg,"ERROR"))</f>
        <v>256.26676405768438</v>
      </c>
      <c r="T1071" s="93">
        <f>IF('Net zero activities &amp; levers'!$C$14="Off",('Activity data'!AM9*EF!$H8)*kgtoGg,IF('Net zero activities &amp; levers'!$C$14="On",('Net zero Activity data'!AM9*EF!$H8)*kgtoGg,"ERROR"))</f>
        <v>260.42930855779127</v>
      </c>
      <c r="U1071" s="93">
        <f>IF('Net zero activities &amp; levers'!$C$14="Off",('Activity data'!AN9*EF!$H8)*kgtoGg,IF('Net zero activities &amp; levers'!$C$14="On",('Net zero Activity data'!AN9*EF!$H8)*kgtoGg,"ERROR"))</f>
        <v>268.19466663772192</v>
      </c>
      <c r="V1071" s="93">
        <f>IF('Net zero activities &amp; levers'!$C$14="Off",('Activity data'!AO9*EF!$H8)*kgtoGg,IF('Net zero activities &amp; levers'!$C$14="On",('Net zero Activity data'!AO9*EF!$H8)*kgtoGg,"ERROR"))</f>
        <v>269.7454983394245</v>
      </c>
      <c r="W1071" s="93">
        <f>IF('Net zero activities &amp; levers'!$C$14="Off",('Activity data'!AP9*EF!$H8)*kgtoGg,IF('Net zero activities &amp; levers'!$C$14="On",('Net zero Activity data'!AP9*EF!$H8)*kgtoGg,"ERROR"))</f>
        <v>271.98224367594827</v>
      </c>
      <c r="X1071" s="93">
        <f>IF('Net zero activities &amp; levers'!$C$14="Off",('Activity data'!AQ9*EF!$H8)*kgtoGg,IF('Net zero activities &amp; levers'!$C$14="On",('Net zero Activity data'!AQ9*EF!$H8)*kgtoGg,"ERROR"))</f>
        <v>275.10255275857435</v>
      </c>
      <c r="Y1071" s="93">
        <f>IF('Net zero activities &amp; levers'!$C$14="Off",('Activity data'!AR9*EF!$H8)*kgtoGg,IF('Net zero activities &amp; levers'!$C$14="On",('Net zero Activity data'!AR9*EF!$H8)*kgtoGg,"ERROR"))</f>
        <v>278.68168964622578</v>
      </c>
      <c r="Z1071" s="93">
        <f>IF('Net zero activities &amp; levers'!$C$14="Off",('Activity data'!AS9*EF!$H8)*kgtoGg,IF('Net zero activities &amp; levers'!$C$14="On",('Net zero Activity data'!AS9*EF!$H8)*kgtoGg,"ERROR"))</f>
        <v>282.87803971792886</v>
      </c>
      <c r="AA1071" s="93">
        <f>IF('Net zero activities &amp; levers'!$C$14="Off",('Activity data'!AT9*EF!$H8)*kgtoGg,IF('Net zero activities &amp; levers'!$C$14="On",('Net zero Activity data'!AT9*EF!$H8)*kgtoGg,"ERROR"))</f>
        <v>287.09374429498189</v>
      </c>
      <c r="AB1071" s="93">
        <f>IF('Net zero activities &amp; levers'!$C$14="Off",('Activity data'!AU9*EF!$H8)*kgtoGg,IF('Net zero activities &amp; levers'!$C$14="On",('Net zero Activity data'!AU9*EF!$H8)*kgtoGg,"ERROR"))</f>
        <v>291.83511111621357</v>
      </c>
      <c r="AC1071" s="93">
        <f>IF('Net zero activities &amp; levers'!$C$14="Off",('Activity data'!AV9*EF!$H8)*kgtoGg,IF('Net zero activities &amp; levers'!$C$14="On",('Net zero Activity data'!AV9*EF!$H8)*kgtoGg,"ERROR"))</f>
        <v>296.52942506137316</v>
      </c>
      <c r="AD1071" s="93">
        <f>IF('Net zero activities &amp; levers'!$C$14="Off",('Activity data'!AW9*EF!$H8)*kgtoGg,IF('Net zero activities &amp; levers'!$C$14="On",('Net zero Activity data'!AW9*EF!$H8)*kgtoGg,"ERROR"))</f>
        <v>299.58731445583493</v>
      </c>
      <c r="AE1071" s="93">
        <f>IF('Net zero activities &amp; levers'!$C$14="Off",('Activity data'!AX9*EF!$H8)*kgtoGg,IF('Net zero activities &amp; levers'!$C$14="On",('Net zero Activity data'!AX9*EF!$H8)*kgtoGg,"ERROR"))</f>
        <v>302.09805474824185</v>
      </c>
      <c r="AF1071" s="93">
        <f>IF('Net zero activities &amp; levers'!$C$14="Off",('Activity data'!AY9*EF!$H8)*kgtoGg,IF('Net zero activities &amp; levers'!$C$14="On",('Net zero Activity data'!AY9*EF!$H8)*kgtoGg,"ERROR"))</f>
        <v>304.75050960758114</v>
      </c>
      <c r="AG1071" s="93">
        <f>IF('Net zero activities &amp; levers'!$C$14="Off",('Activity data'!AZ9*EF!$H8)*kgtoGg,IF('Net zero activities &amp; levers'!$C$14="On",('Net zero Activity data'!AZ9*EF!$H8)*kgtoGg,"ERROR"))</f>
        <v>308.29946440796289</v>
      </c>
      <c r="AH1071" s="93">
        <f>IF('Net zero activities &amp; levers'!$C$14="Off",('Activity data'!BA9*EF!$H8)*kgtoGg,IF('Net zero activities &amp; levers'!$C$14="On",('Net zero Activity data'!BA9*EF!$H8)*kgtoGg,"ERROR"))</f>
        <v>310.85175336058825</v>
      </c>
      <c r="AI1071" s="93">
        <f>IF('Net zero activities &amp; levers'!$C$14="Off",('Activity data'!BB9*EF!$H8)*kgtoGg,IF('Net zero activities &amp; levers'!$C$14="On",('Net zero Activity data'!BB9*EF!$H8)*kgtoGg,"ERROR"))</f>
        <v>313.57186446940221</v>
      </c>
      <c r="AJ1071" s="93">
        <f>IF('Net zero activities &amp; levers'!$C$14="Off",('Activity data'!BC9*EF!$H8)*kgtoGg,IF('Net zero activities &amp; levers'!$C$14="On",('Net zero Activity data'!BC9*EF!$H8)*kgtoGg,"ERROR"))</f>
        <v>316.5661439071601</v>
      </c>
      <c r="AK1071" s="93">
        <f>IF('Net zero activities &amp; levers'!$C$14="Off",('Activity data'!BD9*EF!$H8)*kgtoGg,IF('Net zero activities &amp; levers'!$C$14="On",('Net zero Activity data'!BD9*EF!$H8)*kgtoGg,"ERROR"))</f>
        <v>318.43197861417656</v>
      </c>
      <c r="AL1071" s="93">
        <f>IF('Net zero activities &amp; levers'!$C$14="Off",('Activity data'!BE9*EF!$H8)*kgtoGg,IF('Net zero activities &amp; levers'!$C$14="On",('Net zero Activity data'!BE9*EF!$H8)*kgtoGg,"ERROR"))</f>
        <v>319.83176187426193</v>
      </c>
      <c r="AM1071" s="93">
        <f>IF('Net zero activities &amp; levers'!$C$14="Off",('Activity data'!BF9*EF!$H8)*kgtoGg,IF('Net zero activities &amp; levers'!$C$14="On",('Net zero Activity data'!BF9*EF!$H8)*kgtoGg,"ERROR"))</f>
        <v>320.80540078040053</v>
      </c>
      <c r="AN1071" s="93">
        <f>IF('Net zero activities &amp; levers'!$C$14="Off",('Activity data'!BG9*EF!$H8)*kgtoGg,IF('Net zero activities &amp; levers'!$C$14="On",('Net zero Activity data'!BG9*EF!$H8)*kgtoGg,"ERROR"))</f>
        <v>323.83218680694904</v>
      </c>
      <c r="AO1071" s="93">
        <f>IF('Net zero activities &amp; levers'!$C$14="Off",('Activity data'!BH9*EF!$H8)*kgtoGg,IF('Net zero activities &amp; levers'!$C$14="On",('Net zero Activity data'!BH9*EF!$H8)*kgtoGg,"ERROR"))</f>
        <v>326.13292736155017</v>
      </c>
      <c r="AP1071" s="93">
        <f>IF('Net zero activities &amp; levers'!$C$14="Off",('Activity data'!BI9*EF!$H8)*kgtoGg,IF('Net zero activities &amp; levers'!$C$14="On",('Net zero Activity data'!BI9*EF!$H8)*kgtoGg,"ERROR"))</f>
        <v>328.46270993009568</v>
      </c>
      <c r="AQ1071" s="93">
        <f>IF('Net zero activities &amp; levers'!$C$14="Off",('Activity data'!BJ9*EF!$H8)*kgtoGg,IF('Net zero activities &amp; levers'!$C$14="On",('Net zero Activity data'!BJ9*EF!$H8)*kgtoGg,"ERROR"))</f>
        <v>330.84818617197112</v>
      </c>
      <c r="AR1071" s="93">
        <f>IF('Net zero activities &amp; levers'!$C$14="Off",('Activity data'!BK9*EF!$H8)*kgtoGg,IF('Net zero activities &amp; levers'!$C$14="On",('Net zero Activity data'!BK9*EF!$H8)*kgtoGg,"ERROR"))</f>
        <v>333.33745998120867</v>
      </c>
      <c r="AS1071" s="93">
        <f>IF('Net zero activities &amp; levers'!$C$14="Off",('Activity data'!BL9*EF!$H8)*kgtoGg,IF('Net zero activities &amp; levers'!$C$14="On",('Net zero Activity data'!BL9*EF!$H8)*kgtoGg,"ERROR"))</f>
        <v>335.89328297673717</v>
      </c>
      <c r="AT1071" s="93">
        <f>IF('Net zero activities &amp; levers'!$C$14="Off",('Activity data'!BM9*EF!$H8)*kgtoGg,IF('Net zero activities &amp; levers'!$C$14="On",('Net zero Activity data'!BM9*EF!$H8)*kgtoGg,"ERROR"))</f>
        <v>330.85162440679704</v>
      </c>
      <c r="AU1071" s="93">
        <f>IF('Net zero activities &amp; levers'!$C$14="Off",('Activity data'!BN9*EF!$H8)*kgtoGg,IF('Net zero activities &amp; levers'!$C$14="On",('Net zero Activity data'!BN9*EF!$H8)*kgtoGg,"ERROR"))</f>
        <v>325.14027314970184</v>
      </c>
      <c r="AV1071" s="93">
        <f>IF('Net zero activities &amp; levers'!$C$14="Off",('Activity data'!BO9*EF!$H8)*kgtoGg,IF('Net zero activities &amp; levers'!$C$14="On",('Net zero Activity data'!BO9*EF!$H8)*kgtoGg,"ERROR"))</f>
        <v>318.5189850369415</v>
      </c>
      <c r="AW1071" s="93">
        <f>IF('Net zero activities &amp; levers'!$C$14="Off",('Activity data'!BP9*EF!$H8)*kgtoGg,IF('Net zero activities &amp; levers'!$C$14="On",('Net zero Activity data'!BP9*EF!$H8)*kgtoGg,"ERROR"))</f>
        <v>311.6901905696734</v>
      </c>
      <c r="AY1071" s="79"/>
    </row>
    <row r="1072" spans="1:52" x14ac:dyDescent="0.3">
      <c r="A1072" s="95" t="str">
        <f t="shared" si="373"/>
        <v>CM Cattle</v>
      </c>
      <c r="B1072" s="95" t="s">
        <v>1322</v>
      </c>
      <c r="C1072" s="95" t="s">
        <v>1108</v>
      </c>
      <c r="D1072" t="s">
        <v>15</v>
      </c>
      <c r="E1072" t="s">
        <v>16</v>
      </c>
      <c r="F1072" t="s">
        <v>67</v>
      </c>
      <c r="G1072" t="s">
        <v>135</v>
      </c>
      <c r="H1072" t="s">
        <v>1020</v>
      </c>
      <c r="I1072" t="s">
        <v>121</v>
      </c>
      <c r="J1072" t="s">
        <v>286</v>
      </c>
      <c r="K1072" s="93">
        <f>IF('Net zero activities &amp; levers'!$C$14="Off",('Activity data'!AD10*EF!$H9)*kgtoGg,IF('Net zero activities &amp; levers'!$C$14="On",('Net zero Activity data'!AD10*EF!$H9)*kgtoGg,"ERROR"))</f>
        <v>31.891995988947272</v>
      </c>
      <c r="L1072" s="93">
        <f>IF('Net zero activities &amp; levers'!$C$14="Off",('Activity data'!AE10*EF!$H9)*kgtoGg,IF('Net zero activities &amp; levers'!$C$14="On",('Net zero Activity data'!AE10*EF!$H9)*kgtoGg,"ERROR"))</f>
        <v>32.967337371253535</v>
      </c>
      <c r="M1072" s="93">
        <f>IF('Net zero activities &amp; levers'!$C$14="Off",('Activity data'!AF10*EF!$H9)*kgtoGg,IF('Net zero activities &amp; levers'!$C$14="On",('Net zero Activity data'!AF10*EF!$H9)*kgtoGg,"ERROR"))</f>
        <v>34.243655078433662</v>
      </c>
      <c r="N1072" s="93">
        <f>IF('Net zero activities &amp; levers'!$C$14="Off",('Activity data'!AG10*EF!$H9)*kgtoGg,IF('Net zero activities &amp; levers'!$C$14="On",('Net zero Activity data'!AG10*EF!$H9)*kgtoGg,"ERROR"))</f>
        <v>35.19550479761466</v>
      </c>
      <c r="O1072" s="93">
        <f>IF('Net zero activities &amp; levers'!$C$14="Off",('Activity data'!AH10*EF!$H9)*kgtoGg,IF('Net zero activities &amp; levers'!$C$14="On",('Net zero Activity data'!AH10*EF!$H9)*kgtoGg,"ERROR"))</f>
        <v>35.929559405213332</v>
      </c>
      <c r="P1072" s="93">
        <f>IF('Net zero activities &amp; levers'!$C$14="Off",('Activity data'!AI10*EF!$H9)*kgtoGg,IF('Net zero activities &amp; levers'!$C$14="On",('Net zero Activity data'!AI10*EF!$H9)*kgtoGg,"ERROR"))</f>
        <v>36.435327957872907</v>
      </c>
      <c r="Q1072" s="93">
        <f>IF('Net zero activities &amp; levers'!$C$14="Off",('Activity data'!AJ10*EF!$H9)*kgtoGg,IF('Net zero activities &amp; levers'!$C$14="On",('Net zero Activity data'!AJ10*EF!$H9)*kgtoGg,"ERROR"))</f>
        <v>37.125912791560339</v>
      </c>
      <c r="R1072" s="93">
        <f>IF('Net zero activities &amp; levers'!$C$14="Off",('Activity data'!AK10*EF!$H9)*kgtoGg,IF('Net zero activities &amp; levers'!$C$14="On",('Net zero Activity data'!AK10*EF!$H9)*kgtoGg,"ERROR"))</f>
        <v>37.849847328761314</v>
      </c>
      <c r="S1072" s="93">
        <f>IF('Net zero activities &amp; levers'!$C$14="Off",('Activity data'!AL10*EF!$H9)*kgtoGg,IF('Net zero activities &amp; levers'!$C$14="On",('Net zero Activity data'!AL10*EF!$H9)*kgtoGg,"ERROR"))</f>
        <v>34.642542509776739</v>
      </c>
      <c r="T1072" s="93">
        <f>IF('Net zero activities &amp; levers'!$C$14="Off",('Activity data'!AM10*EF!$H9)*kgtoGg,IF('Net zero activities &amp; levers'!$C$14="On",('Net zero Activity data'!AM10*EF!$H9)*kgtoGg,"ERROR"))</f>
        <v>36.053430902114805</v>
      </c>
      <c r="U1072" s="93">
        <f>IF('Net zero activities &amp; levers'!$C$14="Off",('Activity data'!AN10*EF!$H9)*kgtoGg,IF('Net zero activities &amp; levers'!$C$14="On",('Net zero Activity data'!AN10*EF!$H9)*kgtoGg,"ERROR"))</f>
        <v>38.010696022356719</v>
      </c>
      <c r="V1072" s="93">
        <f>IF('Net zero activities &amp; levers'!$C$14="Off",('Activity data'!AO10*EF!$H9)*kgtoGg,IF('Net zero activities &amp; levers'!$C$14="On",('Net zero Activity data'!AO10*EF!$H9)*kgtoGg,"ERROR"))</f>
        <v>39.127373882680487</v>
      </c>
      <c r="W1072" s="93">
        <f>IF('Net zero activities &amp; levers'!$C$14="Off",('Activity data'!AP10*EF!$H9)*kgtoGg,IF('Net zero activities &amp; levers'!$C$14="On",('Net zero Activity data'!AP10*EF!$H9)*kgtoGg,"ERROR"))</f>
        <v>40.366459949035139</v>
      </c>
      <c r="X1072" s="93">
        <f>IF('Net zero activities &amp; levers'!$C$14="Off",('Activity data'!AQ10*EF!$H9)*kgtoGg,IF('Net zero activities &amp; levers'!$C$14="On",('Net zero Activity data'!AQ10*EF!$H9)*kgtoGg,"ERROR"))</f>
        <v>41.765821576969046</v>
      </c>
      <c r="Y1072" s="93">
        <f>IF('Net zero activities &amp; levers'!$C$14="Off",('Activity data'!AR10*EF!$H9)*kgtoGg,IF('Net zero activities &amp; levers'!$C$14="On",('Net zero Activity data'!AR10*EF!$H9)*kgtoGg,"ERROR"))</f>
        <v>43.269588309323517</v>
      </c>
      <c r="Z1072" s="93">
        <f>IF('Net zero activities &amp; levers'!$C$14="Off",('Activity data'!AS10*EF!$H9)*kgtoGg,IF('Net zero activities &amp; levers'!$C$14="On",('Net zero Activity data'!AS10*EF!$H9)*kgtoGg,"ERROR"))</f>
        <v>44.908778901884347</v>
      </c>
      <c r="AA1072" s="93">
        <f>IF('Net zero activities &amp; levers'!$C$14="Off",('Activity data'!AT10*EF!$H9)*kgtoGg,IF('Net zero activities &amp; levers'!$C$14="On",('Net zero Activity data'!AT10*EF!$H9)*kgtoGg,"ERROR"))</f>
        <v>46.594068388350003</v>
      </c>
      <c r="AB1072" s="93">
        <f>IF('Net zero activities &amp; levers'!$C$14="Off",('Activity data'!AU10*EF!$H9)*kgtoGg,IF('Net zero activities &amp; levers'!$C$14="On",('Net zero Activity data'!AU10*EF!$H9)*kgtoGg,"ERROR"))</f>
        <v>48.410923677012072</v>
      </c>
      <c r="AC1072" s="93">
        <f>IF('Net zero activities &amp; levers'!$C$14="Off",('Activity data'!AV10*EF!$H9)*kgtoGg,IF('Net zero activities &amp; levers'!$C$14="On",('Net zero Activity data'!AV10*EF!$H9)*kgtoGg,"ERROR"))</f>
        <v>50.269303700477998</v>
      </c>
      <c r="AD1072" s="93">
        <f>IF('Net zero activities &amp; levers'!$C$14="Off",('Activity data'!AW10*EF!$H9)*kgtoGg,IF('Net zero activities &amp; levers'!$C$14="On",('Net zero Activity data'!AW10*EF!$H9)*kgtoGg,"ERROR"))</f>
        <v>52.471951507677524</v>
      </c>
      <c r="AE1072" s="93">
        <f>IF('Net zero activities &amp; levers'!$C$14="Off",('Activity data'!AX10*EF!$H9)*kgtoGg,IF('Net zero activities &amp; levers'!$C$14="On",('Net zero Activity data'!AX10*EF!$H9)*kgtoGg,"ERROR"))</f>
        <v>54.669760459111487</v>
      </c>
      <c r="AF1072" s="93">
        <f>IF('Net zero activities &amp; levers'!$C$14="Off",('Activity data'!AY10*EF!$H9)*kgtoGg,IF('Net zero activities &amp; levers'!$C$14="On",('Net zero Activity data'!AY10*EF!$H9)*kgtoGg,"ERROR"))</f>
        <v>56.986868883720433</v>
      </c>
      <c r="AG1072" s="93">
        <f>IF('Net zero activities &amp; levers'!$C$14="Off",('Activity data'!AZ10*EF!$H9)*kgtoGg,IF('Net zero activities &amp; levers'!$C$14="On",('Net zero Activity data'!AZ10*EF!$H9)*kgtoGg,"ERROR"))</f>
        <v>59.577013910557568</v>
      </c>
      <c r="AH1072" s="93">
        <f>IF('Net zero activities &amp; levers'!$C$14="Off",('Activity data'!BA10*EF!$H9)*kgtoGg,IF('Net zero activities &amp; levers'!$C$14="On",('Net zero Activity data'!BA10*EF!$H9)*kgtoGg,"ERROR"))</f>
        <v>62.085208612074666</v>
      </c>
      <c r="AI1072" s="93">
        <f>IF('Net zero activities &amp; levers'!$C$14="Off",('Activity data'!BB10*EF!$H9)*kgtoGg,IF('Net zero activities &amp; levers'!$C$14="On",('Net zero Activity data'!BB10*EF!$H9)*kgtoGg,"ERROR"))</f>
        <v>64.738520962902328</v>
      </c>
      <c r="AJ1072" s="93">
        <f>IF('Net zero activities &amp; levers'!$C$14="Off",('Activity data'!BC10*EF!$H9)*kgtoGg,IF('Net zero activities &amp; levers'!$C$14="On",('Net zero Activity data'!BC10*EF!$H9)*kgtoGg,"ERROR"))</f>
        <v>67.569668411383148</v>
      </c>
      <c r="AK1072" s="93">
        <f>IF('Net zero activities &amp; levers'!$C$14="Off",('Activity data'!BD10*EF!$H9)*kgtoGg,IF('Net zero activities &amp; levers'!$C$14="On",('Net zero Activity data'!BD10*EF!$H9)*kgtoGg,"ERROR"))</f>
        <v>70.282185941463524</v>
      </c>
      <c r="AL1072" s="93">
        <f>IF('Net zero activities &amp; levers'!$C$14="Off",('Activity data'!BE10*EF!$H9)*kgtoGg,IF('Net zero activities &amp; levers'!$C$14="On",('Net zero Activity data'!BE10*EF!$H9)*kgtoGg,"ERROR"))</f>
        <v>73.009611809365794</v>
      </c>
      <c r="AM1072" s="93">
        <f>IF('Net zero activities &amp; levers'!$C$14="Off",('Activity data'!BF10*EF!$H9)*kgtoGg,IF('Net zero activities &amp; levers'!$C$14="On",('Net zero Activity data'!BF10*EF!$H9)*kgtoGg,"ERROR"))</f>
        <v>75.757864250149765</v>
      </c>
      <c r="AN1072" s="93">
        <f>IF('Net zero activities &amp; levers'!$C$14="Off",('Activity data'!BG10*EF!$H9)*kgtoGg,IF('Net zero activities &amp; levers'!$C$14="On",('Net zero Activity data'!BG10*EF!$H9)*kgtoGg,"ERROR"))</f>
        <v>78.63033008147255</v>
      </c>
      <c r="AO1072" s="93">
        <f>IF('Net zero activities &amp; levers'!$C$14="Off",('Activity data'!BH10*EF!$H9)*kgtoGg,IF('Net zero activities &amp; levers'!$C$14="On",('Net zero Activity data'!BH10*EF!$H9)*kgtoGg,"ERROR"))</f>
        <v>81.431036976471376</v>
      </c>
      <c r="AP1072" s="93">
        <f>IF('Net zero activities &amp; levers'!$C$14="Off",('Activity data'!BI10*EF!$H9)*kgtoGg,IF('Net zero activities &amp; levers'!$C$14="On",('Net zero Activity data'!BI10*EF!$H9)*kgtoGg,"ERROR"))</f>
        <v>84.343805269420216</v>
      </c>
      <c r="AQ1072" s="93">
        <f>IF('Net zero activities &amp; levers'!$C$14="Off",('Activity data'!BJ10*EF!$H9)*kgtoGg,IF('Net zero activities &amp; levers'!$C$14="On",('Net zero Activity data'!BJ10*EF!$H9)*kgtoGg,"ERROR"))</f>
        <v>87.381529968917789</v>
      </c>
      <c r="AR1072" s="93">
        <f>IF('Net zero activities &amp; levers'!$C$14="Off",('Activity data'!BK10*EF!$H9)*kgtoGg,IF('Net zero activities &amp; levers'!$C$14="On",('Net zero Activity data'!BK10*EF!$H9)*kgtoGg,"ERROR"))</f>
        <v>90.56411958911923</v>
      </c>
      <c r="AS1072" s="93">
        <f>IF('Net zero activities &amp; levers'!$C$14="Off",('Activity data'!BL10*EF!$H9)*kgtoGg,IF('Net zero activities &amp; levers'!$C$14="On",('Net zero Activity data'!BL10*EF!$H9)*kgtoGg,"ERROR"))</f>
        <v>93.889582462340528</v>
      </c>
      <c r="AT1072" s="93">
        <f>IF('Net zero activities &amp; levers'!$C$14="Off",('Activity data'!BM10*EF!$H9)*kgtoGg,IF('Net zero activities &amp; levers'!$C$14="On",('Net zero Activity data'!BM10*EF!$H9)*kgtoGg,"ERROR"))</f>
        <v>95.161623451693828</v>
      </c>
      <c r="AU1072" s="93">
        <f>IF('Net zero activities &amp; levers'!$C$14="Off",('Activity data'!BN10*EF!$H9)*kgtoGg,IF('Net zero activities &amp; levers'!$C$14="On",('Net zero Activity data'!BN10*EF!$H9)*kgtoGg,"ERROR"))</f>
        <v>96.246716097882043</v>
      </c>
      <c r="AV1072" s="93">
        <f>IF('Net zero activities &amp; levers'!$C$14="Off",('Activity data'!BO10*EF!$H9)*kgtoGg,IF('Net zero activities &amp; levers'!$C$14="On",('Net zero Activity data'!BO10*EF!$H9)*kgtoGg,"ERROR"))</f>
        <v>97.054781525387583</v>
      </c>
      <c r="AW1072" s="93">
        <f>IF('Net zero activities &amp; levers'!$C$14="Off",('Activity data'!BP10*EF!$H9)*kgtoGg,IF('Net zero activities &amp; levers'!$C$14="On",('Net zero Activity data'!BP10*EF!$H9)*kgtoGg,"ERROR"))</f>
        <v>97.781567637634097</v>
      </c>
      <c r="AY1072" s="79"/>
    </row>
    <row r="1073" spans="1:51" x14ac:dyDescent="0.3">
      <c r="A1073" s="95" t="str">
        <f t="shared" si="373"/>
        <v>CM Sheep</v>
      </c>
      <c r="B1073" s="95" t="s">
        <v>1322</v>
      </c>
      <c r="C1073" s="95" t="s">
        <v>152</v>
      </c>
      <c r="D1073" t="s">
        <v>15</v>
      </c>
      <c r="E1073" t="s">
        <v>16</v>
      </c>
      <c r="F1073" t="s">
        <v>18</v>
      </c>
      <c r="G1073" t="s">
        <v>122</v>
      </c>
      <c r="H1073" t="s">
        <v>1020</v>
      </c>
      <c r="I1073" t="s">
        <v>121</v>
      </c>
      <c r="J1073" t="s">
        <v>286</v>
      </c>
      <c r="K1073" s="93">
        <f>IF('Net zero activities &amp; levers'!$C$14="Off",('Activity data'!AD11*EF!$H10)*kgtoGg,IF('Net zero activities &amp; levers'!$C$14="On",('Net zero Activity data'!AD11*EF!$H10)*kgtoGg,"ERROR"))</f>
        <v>132.59034293279757</v>
      </c>
      <c r="L1073" s="93">
        <f>IF('Net zero activities &amp; levers'!$C$14="Off",('Activity data'!AE11*EF!$H10)*kgtoGg,IF('Net zero activities &amp; levers'!$C$14="On",('Net zero Activity data'!AE11*EF!$H10)*kgtoGg,"ERROR"))</f>
        <v>132.66203410931632</v>
      </c>
      <c r="M1073" s="93">
        <f>IF('Net zero activities &amp; levers'!$C$14="Off",('Activity data'!AF11*EF!$H10)*kgtoGg,IF('Net zero activities &amp; levers'!$C$14="On",('Net zero Activity data'!AF11*EF!$H10)*kgtoGg,"ERROR"))</f>
        <v>132.83344502276296</v>
      </c>
      <c r="N1073" s="93">
        <f>IF('Net zero activities &amp; levers'!$C$14="Off",('Activity data'!AG11*EF!$H10)*kgtoGg,IF('Net zero activities &amp; levers'!$C$14="On",('Net zero Activity data'!AG11*EF!$H10)*kgtoGg,"ERROR"))</f>
        <v>133.08619178866664</v>
      </c>
      <c r="O1073" s="93">
        <f>IF('Net zero activities &amp; levers'!$C$14="Off",('Activity data'!AH11*EF!$H10)*kgtoGg,IF('Net zero activities &amp; levers'!$C$14="On",('Net zero Activity data'!AH11*EF!$H10)*kgtoGg,"ERROR"))</f>
        <v>133.41866827856941</v>
      </c>
      <c r="P1073" s="93">
        <f>IF('Net zero activities &amp; levers'!$C$14="Off",('Activity data'!AI11*EF!$H10)*kgtoGg,IF('Net zero activities &amp; levers'!$C$14="On",('Net zero Activity data'!AI11*EF!$H10)*kgtoGg,"ERROR"))</f>
        <v>133.8273636783253</v>
      </c>
      <c r="Q1073" s="93">
        <f>IF('Net zero activities &amp; levers'!$C$14="Off",('Activity data'!AJ11*EF!$H10)*kgtoGg,IF('Net zero activities &amp; levers'!$C$14="On",('Net zero Activity data'!AJ11*EF!$H10)*kgtoGg,"ERROR"))</f>
        <v>134.2863843975903</v>
      </c>
      <c r="R1073" s="93">
        <f>IF('Net zero activities &amp; levers'!$C$14="Off",('Activity data'!AK11*EF!$H10)*kgtoGg,IF('Net zero activities &amp; levers'!$C$14="On",('Net zero Activity data'!AK11*EF!$H10)*kgtoGg,"ERROR"))</f>
        <v>134.79283247693314</v>
      </c>
      <c r="S1073" s="93">
        <f>IF('Net zero activities &amp; levers'!$C$14="Off",('Activity data'!AL11*EF!$H10)*kgtoGg,IF('Net zero activities &amp; levers'!$C$14="On",('Net zero Activity data'!AL11*EF!$H10)*kgtoGg,"ERROR"))</f>
        <v>135.25595136269689</v>
      </c>
      <c r="T1073" s="93">
        <f>IF('Net zero activities &amp; levers'!$C$14="Off",('Activity data'!AM11*EF!$H10)*kgtoGg,IF('Net zero activities &amp; levers'!$C$14="On",('Net zero Activity data'!AM11*EF!$H10)*kgtoGg,"ERROR"))</f>
        <v>135.45945701303151</v>
      </c>
      <c r="U1073" s="93">
        <f>IF('Net zero activities &amp; levers'!$C$14="Off",('Activity data'!AN11*EF!$H10)*kgtoGg,IF('Net zero activities &amp; levers'!$C$14="On",('Net zero Activity data'!AN11*EF!$H10)*kgtoGg,"ERROR"))</f>
        <v>135.70798113166347</v>
      </c>
      <c r="V1073" s="93">
        <f>IF('Net zero activities &amp; levers'!$C$14="Off",('Activity data'!AO11*EF!$H10)*kgtoGg,IF('Net zero activities &amp; levers'!$C$14="On",('Net zero Activity data'!AO11*EF!$H10)*kgtoGg,"ERROR"))</f>
        <v>135.96919937925796</v>
      </c>
      <c r="W1073" s="93">
        <f>IF('Net zero activities &amp; levers'!$C$14="Off",('Activity data'!AP11*EF!$H10)*kgtoGg,IF('Net zero activities &amp; levers'!$C$14="On",('Net zero Activity data'!AP11*EF!$H10)*kgtoGg,"ERROR"))</f>
        <v>136.26247262957938</v>
      </c>
      <c r="X1073" s="93">
        <f>IF('Net zero activities &amp; levers'!$C$14="Off",('Activity data'!AQ11*EF!$H10)*kgtoGg,IF('Net zero activities &amp; levers'!$C$14="On",('Net zero Activity data'!AQ11*EF!$H10)*kgtoGg,"ERROR"))</f>
        <v>136.58698029827343</v>
      </c>
      <c r="Y1073" s="93">
        <f>IF('Net zero activities &amp; levers'!$C$14="Off",('Activity data'!AR11*EF!$H10)*kgtoGg,IF('Net zero activities &amp; levers'!$C$14="On",('Net zero Activity data'!AR11*EF!$H10)*kgtoGg,"ERROR"))</f>
        <v>136.78964350738272</v>
      </c>
      <c r="Z1073" s="93">
        <f>IF('Net zero activities &amp; levers'!$C$14="Off",('Activity data'!AS11*EF!$H10)*kgtoGg,IF('Net zero activities &amp; levers'!$C$14="On",('Net zero Activity data'!AS11*EF!$H10)*kgtoGg,"ERROR"))</f>
        <v>137.0186015592445</v>
      </c>
      <c r="AA1073" s="93">
        <f>IF('Net zero activities &amp; levers'!$C$14="Off",('Activity data'!AT11*EF!$H10)*kgtoGg,IF('Net zero activities &amp; levers'!$C$14="On",('Net zero Activity data'!AT11*EF!$H10)*kgtoGg,"ERROR"))</f>
        <v>137.27076072273411</v>
      </c>
      <c r="AB1073" s="93">
        <f>IF('Net zero activities &amp; levers'!$C$14="Off",('Activity data'!AU11*EF!$H10)*kgtoGg,IF('Net zero activities &amp; levers'!$C$14="On",('Net zero Activity data'!AU11*EF!$H10)*kgtoGg,"ERROR"))</f>
        <v>137.54681434679034</v>
      </c>
      <c r="AC1073" s="93">
        <f>IF('Net zero activities &amp; levers'!$C$14="Off",('Activity data'!AV11*EF!$H10)*kgtoGg,IF('Net zero activities &amp; levers'!$C$14="On",('Net zero Activity data'!AV11*EF!$H10)*kgtoGg,"ERROR"))</f>
        <v>137.84391314305282</v>
      </c>
      <c r="AD1073" s="93">
        <f>IF('Net zero activities &amp; levers'!$C$14="Off",('Activity data'!AW11*EF!$H10)*kgtoGg,IF('Net zero activities &amp; levers'!$C$14="On",('Net zero Activity data'!AW11*EF!$H10)*kgtoGg,"ERROR"))</f>
        <v>138.04321155337277</v>
      </c>
      <c r="AE1073" s="93">
        <f>IF('Net zero activities &amp; levers'!$C$14="Off",('Activity data'!AX11*EF!$H10)*kgtoGg,IF('Net zero activities &amp; levers'!$C$14="On",('Net zero Activity data'!AX11*EF!$H10)*kgtoGg,"ERROR"))</f>
        <v>138.25957262105894</v>
      </c>
      <c r="AF1073" s="93">
        <f>IF('Net zero activities &amp; levers'!$C$14="Off",('Activity data'!AY11*EF!$H10)*kgtoGg,IF('Net zero activities &amp; levers'!$C$14="On",('Net zero Activity data'!AY11*EF!$H10)*kgtoGg,"ERROR"))</f>
        <v>138.49473553474263</v>
      </c>
      <c r="AG1073" s="93">
        <f>IF('Net zero activities &amp; levers'!$C$14="Off",('Activity data'!AZ11*EF!$H10)*kgtoGg,IF('Net zero activities &amp; levers'!$C$14="On",('Net zero Activity data'!AZ11*EF!$H10)*kgtoGg,"ERROR"))</f>
        <v>138.75099586378536</v>
      </c>
      <c r="AH1073" s="93">
        <f>IF('Net zero activities &amp; levers'!$C$14="Off",('Activity data'!BA11*EF!$H10)*kgtoGg,IF('Net zero activities &amp; levers'!$C$14="On",('Net zero Activity data'!BA11*EF!$H10)*kgtoGg,"ERROR"))</f>
        <v>139.02065863419776</v>
      </c>
      <c r="AI1073" s="93">
        <f>IF('Net zero activities &amp; levers'!$C$14="Off",('Activity data'!BB11*EF!$H10)*kgtoGg,IF('Net zero activities &amp; levers'!$C$14="On",('Net zero Activity data'!BB11*EF!$H10)*kgtoGg,"ERROR"))</f>
        <v>139.193026219692</v>
      </c>
      <c r="AJ1073" s="93">
        <f>IF('Net zero activities &amp; levers'!$C$14="Off",('Activity data'!BC11*EF!$H10)*kgtoGg,IF('Net zero activities &amp; levers'!$C$14="On",('Net zero Activity data'!BC11*EF!$H10)*kgtoGg,"ERROR"))</f>
        <v>139.38182622697491</v>
      </c>
      <c r="AK1073" s="93">
        <f>IF('Net zero activities &amp; levers'!$C$14="Off",('Activity data'!BD11*EF!$H10)*kgtoGg,IF('Net zero activities &amp; levers'!$C$14="On",('Net zero Activity data'!BD11*EF!$H10)*kgtoGg,"ERROR"))</f>
        <v>139.58083163749211</v>
      </c>
      <c r="AL1073" s="93">
        <f>IF('Net zero activities &amp; levers'!$C$14="Off",('Activity data'!BE11*EF!$H10)*kgtoGg,IF('Net zero activities &amp; levers'!$C$14="On",('Net zero Activity data'!BE11*EF!$H10)*kgtoGg,"ERROR"))</f>
        <v>139.79216106672223</v>
      </c>
      <c r="AM1073" s="93">
        <f>IF('Net zero activities &amp; levers'!$C$14="Off",('Activity data'!BF11*EF!$H10)*kgtoGg,IF('Net zero activities &amp; levers'!$C$14="On",('Net zero Activity data'!BF11*EF!$H10)*kgtoGg,"ERROR"))</f>
        <v>140.01549409297075</v>
      </c>
      <c r="AN1073" s="93">
        <f>IF('Net zero activities &amp; levers'!$C$14="Off",('Activity data'!BG11*EF!$H10)*kgtoGg,IF('Net zero activities &amp; levers'!$C$14="On",('Net zero Activity data'!BG11*EF!$H10)*kgtoGg,"ERROR"))</f>
        <v>140.14745576644822</v>
      </c>
      <c r="AO1073" s="93">
        <f>IF('Net zero activities &amp; levers'!$C$14="Off",('Activity data'!BH11*EF!$H10)*kgtoGg,IF('Net zero activities &amp; levers'!$C$14="On",('Net zero Activity data'!BH11*EF!$H10)*kgtoGg,"ERROR"))</f>
        <v>140.28832645422361</v>
      </c>
      <c r="AP1073" s="93">
        <f>IF('Net zero activities &amp; levers'!$C$14="Off",('Activity data'!BI11*EF!$H10)*kgtoGg,IF('Net zero activities &amp; levers'!$C$14="On",('Net zero Activity data'!BI11*EF!$H10)*kgtoGg,"ERROR"))</f>
        <v>140.44113174726405</v>
      </c>
      <c r="AQ1073" s="93">
        <f>IF('Net zero activities &amp; levers'!$C$14="Off",('Activity data'!BJ11*EF!$H10)*kgtoGg,IF('Net zero activities &amp; levers'!$C$14="On",('Net zero Activity data'!BJ11*EF!$H10)*kgtoGg,"ERROR"))</f>
        <v>140.60572391526784</v>
      </c>
      <c r="AR1073" s="93">
        <f>IF('Net zero activities &amp; levers'!$C$14="Off",('Activity data'!BK11*EF!$H10)*kgtoGg,IF('Net zero activities &amp; levers'!$C$14="On",('Net zero Activity data'!BK11*EF!$H10)*kgtoGg,"ERROR"))</f>
        <v>140.78209954735451</v>
      </c>
      <c r="AS1073" s="93">
        <f>IF('Net zero activities &amp; levers'!$C$14="Off",('Activity data'!BL11*EF!$H10)*kgtoGg,IF('Net zero activities &amp; levers'!$C$14="On",('Net zero Activity data'!BL11*EF!$H10)*kgtoGg,"ERROR"))</f>
        <v>140.86211694361444</v>
      </c>
      <c r="AT1073" s="93">
        <f>IF('Net zero activities &amp; levers'!$C$14="Off",('Activity data'!BM11*EF!$H10)*kgtoGg,IF('Net zero activities &amp; levers'!$C$14="On",('Net zero Activity data'!BM11*EF!$H10)*kgtoGg,"ERROR"))</f>
        <v>140.91368286545006</v>
      </c>
      <c r="AU1073" s="93">
        <f>IF('Net zero activities &amp; levers'!$C$14="Off",('Activity data'!BN11*EF!$H10)*kgtoGg,IF('Net zero activities &amp; levers'!$C$14="On",('Net zero Activity data'!BN11*EF!$H10)*kgtoGg,"ERROR"))</f>
        <v>140.97020886145611</v>
      </c>
      <c r="AV1073" s="93">
        <f>IF('Net zero activities &amp; levers'!$C$14="Off",('Activity data'!BO11*EF!$H10)*kgtoGg,IF('Net zero activities &amp; levers'!$C$14="On",('Net zero Activity data'!BO11*EF!$H10)*kgtoGg,"ERROR"))</f>
        <v>141.02991546858686</v>
      </c>
      <c r="AW1073" s="93">
        <f>IF('Net zero activities &amp; levers'!$C$14="Off",('Activity data'!BP11*EF!$H10)*kgtoGg,IF('Net zero activities &amp; levers'!$C$14="On",('Net zero Activity data'!BP11*EF!$H10)*kgtoGg,"ERROR"))</f>
        <v>141.09605506808808</v>
      </c>
      <c r="AY1073" s="79"/>
    </row>
    <row r="1074" spans="1:51" x14ac:dyDescent="0.3">
      <c r="A1074" s="95" t="str">
        <f t="shared" si="373"/>
        <v>CM Sheep</v>
      </c>
      <c r="B1074" s="95" t="s">
        <v>1322</v>
      </c>
      <c r="C1074" s="95" t="s">
        <v>152</v>
      </c>
      <c r="D1074" t="s">
        <v>15</v>
      </c>
      <c r="E1074" t="s">
        <v>16</v>
      </c>
      <c r="F1074" t="s">
        <v>18</v>
      </c>
      <c r="G1074" t="s">
        <v>123</v>
      </c>
      <c r="H1074" t="s">
        <v>1020</v>
      </c>
      <c r="I1074" t="s">
        <v>121</v>
      </c>
      <c r="J1074" t="s">
        <v>286</v>
      </c>
      <c r="K1074" s="93">
        <f>IF('Net zero activities &amp; levers'!$C$14="Off",('Activity data'!AD12*EF!$H11)*kgtoGg,IF('Net zero activities &amp; levers'!$C$14="On",('Net zero Activity data'!AD12*EF!$H11)*kgtoGg,"ERROR"))</f>
        <v>14.369321450610597</v>
      </c>
      <c r="L1074" s="93">
        <f>IF('Net zero activities &amp; levers'!$C$14="Off",('Activity data'!AE12*EF!$H11)*kgtoGg,IF('Net zero activities &amp; levers'!$C$14="On",('Net zero Activity data'!AE12*EF!$H11)*kgtoGg,"ERROR"))</f>
        <v>14.377090896995487</v>
      </c>
      <c r="M1074" s="93">
        <f>IF('Net zero activities &amp; levers'!$C$14="Off",('Activity data'!AF12*EF!$H11)*kgtoGg,IF('Net zero activities &amp; levers'!$C$14="On",('Net zero Activity data'!AF12*EF!$H11)*kgtoGg,"ERROR"))</f>
        <v>14.395667351818489</v>
      </c>
      <c r="N1074" s="93">
        <f>IF('Net zero activities &amp; levers'!$C$14="Off",('Activity data'!AG12*EF!$H11)*kgtoGg,IF('Net zero activities &amp; levers'!$C$14="On",('Net zero Activity data'!AG12*EF!$H11)*kgtoGg,"ERROR"))</f>
        <v>14.423058483363512</v>
      </c>
      <c r="O1074" s="93">
        <f>IF('Net zero activities &amp; levers'!$C$14="Off",('Activity data'!AH12*EF!$H11)*kgtoGg,IF('Net zero activities &amp; levers'!$C$14="On",('Net zero Activity data'!AH12*EF!$H11)*kgtoGg,"ERROR"))</f>
        <v>14.459090229360317</v>
      </c>
      <c r="P1074" s="93">
        <f>IF('Net zero activities &amp; levers'!$C$14="Off",('Activity data'!AI12*EF!$H11)*kgtoGg,IF('Net zero activities &amp; levers'!$C$14="On",('Net zero Activity data'!AI12*EF!$H11)*kgtoGg,"ERROR"))</f>
        <v>14.503382109482045</v>
      </c>
      <c r="Q1074" s="93">
        <f>IF('Net zero activities &amp; levers'!$C$14="Off",('Activity data'!AJ12*EF!$H11)*kgtoGg,IF('Net zero activities &amp; levers'!$C$14="On",('Net zero Activity data'!AJ12*EF!$H11)*kgtoGg,"ERROR"))</f>
        <v>14.553127936528831</v>
      </c>
      <c r="R1074" s="93">
        <f>IF('Net zero activities &amp; levers'!$C$14="Off",('Activity data'!AK12*EF!$H11)*kgtoGg,IF('Net zero activities &amp; levers'!$C$14="On",('Net zero Activity data'!AK12*EF!$H11)*kgtoGg,"ERROR"))</f>
        <v>14.608013647578019</v>
      </c>
      <c r="S1074" s="93">
        <f>IF('Net zero activities &amp; levers'!$C$14="Off",('Activity data'!AL12*EF!$H11)*kgtoGg,IF('Net zero activities &amp; levers'!$C$14="On",('Net zero Activity data'!AL12*EF!$H11)*kgtoGg,"ERROR"))</f>
        <v>14.658203608567563</v>
      </c>
      <c r="T1074" s="93">
        <f>IF('Net zero activities &amp; levers'!$C$14="Off",('Activity data'!AM12*EF!$H11)*kgtoGg,IF('Net zero activities &amp; levers'!$C$14="On",('Net zero Activity data'!AM12*EF!$H11)*kgtoGg,"ERROR"))</f>
        <v>14.680258292506014</v>
      </c>
      <c r="U1074" s="93">
        <f>IF('Net zero activities &amp; levers'!$C$14="Off",('Activity data'!AN12*EF!$H11)*kgtoGg,IF('Net zero activities &amp; levers'!$C$14="On",('Net zero Activity data'!AN12*EF!$H11)*kgtoGg,"ERROR"))</f>
        <v>14.707191799651872</v>
      </c>
      <c r="V1074" s="93">
        <f>IF('Net zero activities &amp; levers'!$C$14="Off",('Activity data'!AO12*EF!$H11)*kgtoGg,IF('Net zero activities &amp; levers'!$C$14="On",('Net zero Activity data'!AO12*EF!$H11)*kgtoGg,"ERROR"))</f>
        <v>14.735501017996329</v>
      </c>
      <c r="W1074" s="93">
        <f>IF('Net zero activities &amp; levers'!$C$14="Off",('Activity data'!AP12*EF!$H11)*kgtoGg,IF('Net zero activities &amp; levers'!$C$14="On",('Net zero Activity data'!AP12*EF!$H11)*kgtoGg,"ERROR"))</f>
        <v>14.767284159313563</v>
      </c>
      <c r="X1074" s="93">
        <f>IF('Net zero activities &amp; levers'!$C$14="Off",('Activity data'!AQ12*EF!$H11)*kgtoGg,IF('Net zero activities &amp; levers'!$C$14="On",('Net zero Activity data'!AQ12*EF!$H11)*kgtoGg,"ERROR"))</f>
        <v>14.802452293745619</v>
      </c>
      <c r="Y1074" s="93">
        <f>IF('Net zero activities &amp; levers'!$C$14="Off",('Activity data'!AR12*EF!$H11)*kgtoGg,IF('Net zero activities &amp; levers'!$C$14="On",('Net zero Activity data'!AR12*EF!$H11)*kgtoGg,"ERROR"))</f>
        <v>14.824415679113581</v>
      </c>
      <c r="Z1074" s="93">
        <f>IF('Net zero activities &amp; levers'!$C$14="Off",('Activity data'!AS12*EF!$H11)*kgtoGg,IF('Net zero activities &amp; levers'!$C$14="On",('Net zero Activity data'!AS12*EF!$H11)*kgtoGg,"ERROR"))</f>
        <v>14.849228736936167</v>
      </c>
      <c r="AA1074" s="93">
        <f>IF('Net zero activities &amp; levers'!$C$14="Off",('Activity data'!AT12*EF!$H11)*kgtoGg,IF('Net zero activities &amp; levers'!$C$14="On",('Net zero Activity data'!AT12*EF!$H11)*kgtoGg,"ERROR"))</f>
        <v>14.876556187765189</v>
      </c>
      <c r="AB1074" s="93">
        <f>IF('Net zero activities &amp; levers'!$C$14="Off",('Activity data'!AU12*EF!$H11)*kgtoGg,IF('Net zero activities &amp; levers'!$C$14="On",('Net zero Activity data'!AU12*EF!$H11)*kgtoGg,"ERROR"))</f>
        <v>14.906473172471083</v>
      </c>
      <c r="AC1074" s="93">
        <f>IF('Net zero activities &amp; levers'!$C$14="Off",('Activity data'!AV12*EF!$H11)*kgtoGg,IF('Net zero activities &amp; levers'!$C$14="On",('Net zero Activity data'!AV12*EF!$H11)*kgtoGg,"ERROR"))</f>
        <v>14.938670902800874</v>
      </c>
      <c r="AD1074" s="93">
        <f>IF('Net zero activities &amp; levers'!$C$14="Off",('Activity data'!AW12*EF!$H11)*kgtoGg,IF('Net zero activities &amp; levers'!$C$14="On",('Net zero Activity data'!AW12*EF!$H11)*kgtoGg,"ERROR"))</f>
        <v>14.960269632083405</v>
      </c>
      <c r="AE1074" s="93">
        <f>IF('Net zero activities &amp; levers'!$C$14="Off",('Activity data'!AX12*EF!$H11)*kgtoGg,IF('Net zero activities &amp; levers'!$C$14="On",('Net zero Activity data'!AX12*EF!$H11)*kgtoGg,"ERROR"))</f>
        <v>14.983717506658669</v>
      </c>
      <c r="AF1074" s="93">
        <f>IF('Net zero activities &amp; levers'!$C$14="Off",('Activity data'!AY12*EF!$H11)*kgtoGg,IF('Net zero activities &amp; levers'!$C$14="On",('Net zero Activity data'!AY12*EF!$H11)*kgtoGg,"ERROR"))</f>
        <v>15.009203009035685</v>
      </c>
      <c r="AG1074" s="93">
        <f>IF('Net zero activities &amp; levers'!$C$14="Off",('Activity data'!AZ12*EF!$H11)*kgtoGg,IF('Net zero activities &amp; levers'!$C$14="On",('Net zero Activity data'!AZ12*EF!$H11)*kgtoGg,"ERROR"))</f>
        <v>15.036974918826434</v>
      </c>
      <c r="AH1074" s="93">
        <f>IF('Net zero activities &amp; levers'!$C$14="Off",('Activity data'!BA12*EF!$H11)*kgtoGg,IF('Net zero activities &amp; levers'!$C$14="On",('Net zero Activity data'!BA12*EF!$H11)*kgtoGg,"ERROR"))</f>
        <v>15.066199302334384</v>
      </c>
      <c r="AI1074" s="93">
        <f>IF('Net zero activities &amp; levers'!$C$14="Off",('Activity data'!BB12*EF!$H11)*kgtoGg,IF('Net zero activities &amp; levers'!$C$14="On",('Net zero Activity data'!BB12*EF!$H11)*kgtoGg,"ERROR"))</f>
        <v>15.084879435358006</v>
      </c>
      <c r="AJ1074" s="93">
        <f>IF('Net zero activities &amp; levers'!$C$14="Off",('Activity data'!BC12*EF!$H11)*kgtoGg,IF('Net zero activities &amp; levers'!$C$14="On",('Net zero Activity data'!BC12*EF!$H11)*kgtoGg,"ERROR"))</f>
        <v>15.105340412639743</v>
      </c>
      <c r="AK1074" s="93">
        <f>IF('Net zero activities &amp; levers'!$C$14="Off",('Activity data'!BD12*EF!$H11)*kgtoGg,IF('Net zero activities &amp; levers'!$C$14="On",('Net zero Activity data'!BD12*EF!$H11)*kgtoGg,"ERROR"))</f>
        <v>15.126907388415511</v>
      </c>
      <c r="AL1074" s="93">
        <f>IF('Net zero activities &amp; levers'!$C$14="Off",('Activity data'!BE12*EF!$H11)*kgtoGg,IF('Net zero activities &amp; levers'!$C$14="On",('Net zero Activity data'!BE12*EF!$H11)*kgtoGg,"ERROR"))</f>
        <v>15.14980996512972</v>
      </c>
      <c r="AM1074" s="93">
        <f>IF('Net zero activities &amp; levers'!$C$14="Off",('Activity data'!BF12*EF!$H11)*kgtoGg,IF('Net zero activities &amp; levers'!$C$14="On",('Net zero Activity data'!BF12*EF!$H11)*kgtoGg,"ERROR"))</f>
        <v>15.174013417460552</v>
      </c>
      <c r="AN1074" s="93">
        <f>IF('Net zero activities &amp; levers'!$C$14="Off",('Activity data'!BG12*EF!$H11)*kgtoGg,IF('Net zero activities &amp; levers'!$C$14="On",('Net zero Activity data'!BG12*EF!$H11)*kgtoGg,"ERROR"))</f>
        <v>15.188314607603177</v>
      </c>
      <c r="AO1074" s="93">
        <f>IF('Net zero activities &amp; levers'!$C$14="Off",('Activity data'!BH12*EF!$H11)*kgtoGg,IF('Net zero activities &amp; levers'!$C$14="On",('Net zero Activity data'!BH12*EF!$H11)*kgtoGg,"ERROR"))</f>
        <v>15.203581301623565</v>
      </c>
      <c r="AP1074" s="93">
        <f>IF('Net zero activities &amp; levers'!$C$14="Off",('Activity data'!BI12*EF!$H11)*kgtoGg,IF('Net zero activities &amp; levers'!$C$14="On",('Net zero Activity data'!BI12*EF!$H11)*kgtoGg,"ERROR"))</f>
        <v>15.220141394360979</v>
      </c>
      <c r="AQ1074" s="93">
        <f>IF('Net zero activities &amp; levers'!$C$14="Off",('Activity data'!BJ12*EF!$H11)*kgtoGg,IF('Net zero activities &amp; levers'!$C$14="On",('Net zero Activity data'!BJ12*EF!$H11)*kgtoGg,"ERROR"))</f>
        <v>15.237978875718865</v>
      </c>
      <c r="AR1074" s="93">
        <f>IF('Net zero activities &amp; levers'!$C$14="Off",('Activity data'!BK12*EF!$H11)*kgtoGg,IF('Net zero activities &amp; levers'!$C$14="On",('Net zero Activity data'!BK12*EF!$H11)*kgtoGg,"ERROR"))</f>
        <v>15.25709337604709</v>
      </c>
      <c r="AS1074" s="93">
        <f>IF('Net zero activities &amp; levers'!$C$14="Off",('Activity data'!BL12*EF!$H11)*kgtoGg,IF('Net zero activities &amp; levers'!$C$14="On",('Net zero Activity data'!BL12*EF!$H11)*kgtoGg,"ERROR"))</f>
        <v>15.265765166639579</v>
      </c>
      <c r="AT1074" s="93">
        <f>IF('Net zero activities &amp; levers'!$C$14="Off",('Activity data'!BM12*EF!$H11)*kgtoGg,IF('Net zero activities &amp; levers'!$C$14="On",('Net zero Activity data'!BM12*EF!$H11)*kgtoGg,"ERROR"))</f>
        <v>15.271353562373108</v>
      </c>
      <c r="AU1074" s="93">
        <f>IF('Net zero activities &amp; levers'!$C$14="Off",('Activity data'!BN12*EF!$H11)*kgtoGg,IF('Net zero activities &amp; levers'!$C$14="On",('Net zero Activity data'!BN12*EF!$H11)*kgtoGg,"ERROR"))</f>
        <v>15.277479500272968</v>
      </c>
      <c r="AV1074" s="93">
        <f>IF('Net zero activities &amp; levers'!$C$14="Off",('Activity data'!BO12*EF!$H11)*kgtoGg,IF('Net zero activities &amp; levers'!$C$14="On",('Net zero Activity data'!BO12*EF!$H11)*kgtoGg,"ERROR"))</f>
        <v>15.283950133138154</v>
      </c>
      <c r="AW1074" s="93">
        <f>IF('Net zero activities &amp; levers'!$C$14="Off",('Activity data'!BP12*EF!$H11)*kgtoGg,IF('Net zero activities &amp; levers'!$C$14="On",('Net zero Activity data'!BP12*EF!$H11)*kgtoGg,"ERROR"))</f>
        <v>15.291117933935899</v>
      </c>
      <c r="AY1074" s="79"/>
    </row>
    <row r="1075" spans="1:51" x14ac:dyDescent="0.3">
      <c r="A1075" s="95" t="str">
        <f t="shared" si="373"/>
        <v>CM Goats</v>
      </c>
      <c r="B1075" s="95" t="s">
        <v>1322</v>
      </c>
      <c r="C1075" s="95" t="s">
        <v>153</v>
      </c>
      <c r="D1075" t="s">
        <v>15</v>
      </c>
      <c r="E1075" t="s">
        <v>16</v>
      </c>
      <c r="F1075" t="s">
        <v>19</v>
      </c>
      <c r="G1075" t="s">
        <v>122</v>
      </c>
      <c r="H1075" t="s">
        <v>1020</v>
      </c>
      <c r="I1075" t="s">
        <v>121</v>
      </c>
      <c r="J1075" t="s">
        <v>286</v>
      </c>
      <c r="K1075" s="93">
        <f>IF('Net zero activities &amp; levers'!$C$14="Off",('Activity data'!AD13*EF!$H12)*kgtoGg,IF('Net zero activities &amp; levers'!$C$14="On",('Net zero Activity data'!AD13*EF!$H12)*kgtoGg,"ERROR"))</f>
        <v>15.123414197798359</v>
      </c>
      <c r="L1075" s="93">
        <f>IF('Net zero activities &amp; levers'!$C$14="Off",('Activity data'!AE13*EF!$H12)*kgtoGg,IF('Net zero activities &amp; levers'!$C$14="On",('Net zero Activity data'!AE13*EF!$H12)*kgtoGg,"ERROR"))</f>
        <v>15.162727774721576</v>
      </c>
      <c r="M1075" s="93">
        <f>IF('Net zero activities &amp; levers'!$C$14="Off",('Activity data'!AF13*EF!$H12)*kgtoGg,IF('Net zero activities &amp; levers'!$C$14="On",('Net zero Activity data'!AF13*EF!$H12)*kgtoGg,"ERROR"))</f>
        <v>15.216959464794312</v>
      </c>
      <c r="N1075" s="93">
        <f>IF('Net zero activities &amp; levers'!$C$14="Off",('Activity data'!AG13*EF!$H12)*kgtoGg,IF('Net zero activities &amp; levers'!$C$14="On",('Net zero Activity data'!AG13*EF!$H12)*kgtoGg,"ERROR"))</f>
        <v>15.283027985940228</v>
      </c>
      <c r="O1075" s="93">
        <f>IF('Net zero activities &amp; levers'!$C$14="Off",('Activity data'!AH13*EF!$H12)*kgtoGg,IF('Net zero activities &amp; levers'!$C$14="On",('Net zero Activity data'!AH13*EF!$H12)*kgtoGg,"ERROR"))</f>
        <v>15.360839106953575</v>
      </c>
      <c r="P1075" s="93">
        <f>IF('Net zero activities &amp; levers'!$C$14="Off",('Activity data'!AI13*EF!$H12)*kgtoGg,IF('Net zero activities &amp; levers'!$C$14="On",('Net zero Activity data'!AI13*EF!$H12)*kgtoGg,"ERROR"))</f>
        <v>15.449919228540612</v>
      </c>
      <c r="Q1075" s="93">
        <f>IF('Net zero activities &amp; levers'!$C$14="Off",('Activity data'!AJ13*EF!$H12)*kgtoGg,IF('Net zero activities &amp; levers'!$C$14="On",('Net zero Activity data'!AJ13*EF!$H12)*kgtoGg,"ERROR"))</f>
        <v>15.545788610572222</v>
      </c>
      <c r="R1075" s="93">
        <f>IF('Net zero activities &amp; levers'!$C$14="Off",('Activity data'!AK13*EF!$H12)*kgtoGg,IF('Net zero activities &amp; levers'!$C$14="On",('Net zero Activity data'!AK13*EF!$H12)*kgtoGg,"ERROR"))</f>
        <v>15.648067752449878</v>
      </c>
      <c r="S1075" s="93">
        <f>IF('Net zero activities &amp; levers'!$C$14="Off",('Activity data'!AL13*EF!$H12)*kgtoGg,IF('Net zero activities &amp; levers'!$C$14="On",('Net zero Activity data'!AL13*EF!$H12)*kgtoGg,"ERROR"))</f>
        <v>15.740823350999253</v>
      </c>
      <c r="T1075" s="93">
        <f>IF('Net zero activities &amp; levers'!$C$14="Off",('Activity data'!AM13*EF!$H12)*kgtoGg,IF('Net zero activities &amp; levers'!$C$14="On",('Net zero Activity data'!AM13*EF!$H12)*kgtoGg,"ERROR"))</f>
        <v>15.786130826260475</v>
      </c>
      <c r="U1075" s="93">
        <f>IF('Net zero activities &amp; levers'!$C$14="Off",('Activity data'!AN13*EF!$H12)*kgtoGg,IF('Net zero activities &amp; levers'!$C$14="On",('Net zero Activity data'!AN13*EF!$H12)*kgtoGg,"ERROR"))</f>
        <v>15.838063303157622</v>
      </c>
      <c r="V1075" s="93">
        <f>IF('Net zero activities &amp; levers'!$C$14="Off",('Activity data'!AO13*EF!$H12)*kgtoGg,IF('Net zero activities &amp; levers'!$C$14="On",('Net zero Activity data'!AO13*EF!$H12)*kgtoGg,"ERROR"))</f>
        <v>15.891000771686212</v>
      </c>
      <c r="W1075" s="93">
        <f>IF('Net zero activities &amp; levers'!$C$14="Off",('Activity data'!AP13*EF!$H12)*kgtoGg,IF('Net zero activities &amp; levers'!$C$14="On",('Net zero Activity data'!AP13*EF!$H12)*kgtoGg,"ERROR"))</f>
        <v>15.94841543311963</v>
      </c>
      <c r="X1075" s="93">
        <f>IF('Net zero activities &amp; levers'!$C$14="Off",('Activity data'!AQ13*EF!$H12)*kgtoGg,IF('Net zero activities &amp; levers'!$C$14="On",('Net zero Activity data'!AQ13*EF!$H12)*kgtoGg,"ERROR"))</f>
        <v>16.010212398342233</v>
      </c>
      <c r="Y1075" s="93">
        <f>IF('Net zero activities &amp; levers'!$C$14="Off",('Activity data'!AR13*EF!$H12)*kgtoGg,IF('Net zero activities &amp; levers'!$C$14="On",('Net zero Activity data'!AR13*EF!$H12)*kgtoGg,"ERROR"))</f>
        <v>16.04975975411061</v>
      </c>
      <c r="Z1075" s="93">
        <f>IF('Net zero activities &amp; levers'!$C$14="Off",('Activity data'!AS13*EF!$H12)*kgtoGg,IF('Net zero activities &amp; levers'!$C$14="On",('Net zero Activity data'!AS13*EF!$H12)*kgtoGg,"ERROR"))</f>
        <v>16.093026754767141</v>
      </c>
      <c r="AA1075" s="93">
        <f>IF('Net zero activities &amp; levers'!$C$14="Off",('Activity data'!AT13*EF!$H12)*kgtoGg,IF('Net zero activities &amp; levers'!$C$14="On",('Net zero Activity data'!AT13*EF!$H12)*kgtoGg,"ERROR"))</f>
        <v>16.139507339626743</v>
      </c>
      <c r="AB1075" s="93">
        <f>IF('Net zero activities &amp; levers'!$C$14="Off",('Activity data'!AU13*EF!$H12)*kgtoGg,IF('Net zero activities &amp; levers'!$C$14="On",('Net zero Activity data'!AU13*EF!$H12)*kgtoGg,"ERROR"))</f>
        <v>16.189350761403606</v>
      </c>
      <c r="AC1075" s="93">
        <f>IF('Net zero activities &amp; levers'!$C$14="Off",('Activity data'!AV13*EF!$H12)*kgtoGg,IF('Net zero activities &amp; levers'!$C$14="On",('Net zero Activity data'!AV13*EF!$H12)*kgtoGg,"ERROR"))</f>
        <v>16.242088999774211</v>
      </c>
      <c r="AD1075" s="93">
        <f>IF('Net zero activities &amp; levers'!$C$14="Off",('Activity data'!AW13*EF!$H12)*kgtoGg,IF('Net zero activities &amp; levers'!$C$14="On",('Net zero Activity data'!AW13*EF!$H12)*kgtoGg,"ERROR"))</f>
        <v>16.277259419124743</v>
      </c>
      <c r="AE1075" s="93">
        <f>IF('Net zero activities &amp; levers'!$C$14="Off",('Activity data'!AX13*EF!$H12)*kgtoGg,IF('Net zero activities &amp; levers'!$C$14="On",('Net zero Activity data'!AX13*EF!$H12)*kgtoGg,"ERROR"))</f>
        <v>16.31476657866423</v>
      </c>
      <c r="AF1075" s="93">
        <f>IF('Net zero activities &amp; levers'!$C$14="Off",('Activity data'!AY13*EF!$H12)*kgtoGg,IF('Net zero activities &amp; levers'!$C$14="On",('Net zero Activity data'!AY13*EF!$H12)*kgtoGg,"ERROR"))</f>
        <v>16.354927956284293</v>
      </c>
      <c r="AG1075" s="93">
        <f>IF('Net zero activities &amp; levers'!$C$14="Off",('Activity data'!AZ13*EF!$H12)*kgtoGg,IF('Net zero activities &amp; levers'!$C$14="On",('Net zero Activity data'!AZ13*EF!$H12)*kgtoGg,"ERROR"))</f>
        <v>16.39815145947275</v>
      </c>
      <c r="AH1075" s="93">
        <f>IF('Net zero activities &amp; levers'!$C$14="Off",('Activity data'!BA13*EF!$H12)*kgtoGg,IF('Net zero activities &amp; levers'!$C$14="On",('Net zero Activity data'!BA13*EF!$H12)*kgtoGg,"ERROR"))</f>
        <v>16.443131260504089</v>
      </c>
      <c r="AI1075" s="93">
        <f>IF('Net zero activities &amp; levers'!$C$14="Off",('Activity data'!BB13*EF!$H12)*kgtoGg,IF('Net zero activities &amp; levers'!$C$14="On",('Net zero Activity data'!BB13*EF!$H12)*kgtoGg,"ERROR"))</f>
        <v>16.470988408557865</v>
      </c>
      <c r="AJ1075" s="93">
        <f>IF('Net zero activities &amp; levers'!$C$14="Off",('Activity data'!BC13*EF!$H12)*kgtoGg,IF('Net zero activities &amp; levers'!$C$14="On",('Net zero Activity data'!BC13*EF!$H12)*kgtoGg,"ERROR"))</f>
        <v>16.501218486314869</v>
      </c>
      <c r="AK1075" s="93">
        <f>IF('Net zero activities &amp; levers'!$C$14="Off",('Activity data'!BD13*EF!$H12)*kgtoGg,IF('Net zero activities &amp; levers'!$C$14="On",('Net zero Activity data'!BD13*EF!$H12)*kgtoGg,"ERROR"))</f>
        <v>16.532770131598127</v>
      </c>
      <c r="AL1075" s="93">
        <f>IF('Net zero activities &amp; levers'!$C$14="Off",('Activity data'!BE13*EF!$H12)*kgtoGg,IF('Net zero activities &amp; levers'!$C$14="On",('Net zero Activity data'!BE13*EF!$H12)*kgtoGg,"ERROR"))</f>
        <v>16.566015013383382</v>
      </c>
      <c r="AM1075" s="93">
        <f>IF('Net zero activities &amp; levers'!$C$14="Off",('Activity data'!BF13*EF!$H12)*kgtoGg,IF('Net zero activities &amp; levers'!$C$14="On",('Net zero Activity data'!BF13*EF!$H12)*kgtoGg,"ERROR"))</f>
        <v>16.600907614824543</v>
      </c>
      <c r="AN1075" s="93">
        <f>IF('Net zero activities &amp; levers'!$C$14="Off",('Activity data'!BG13*EF!$H12)*kgtoGg,IF('Net zero activities &amp; levers'!$C$14="On",('Net zero Activity data'!BG13*EF!$H12)*kgtoGg,"ERROR"))</f>
        <v>16.619970797900123</v>
      </c>
      <c r="AO1075" s="93">
        <f>IF('Net zero activities &amp; levers'!$C$14="Off",('Activity data'!BH13*EF!$H12)*kgtoGg,IF('Net zero activities &amp; levers'!$C$14="On",('Net zero Activity data'!BH13*EF!$H12)*kgtoGg,"ERROR"))</f>
        <v>16.64023491177819</v>
      </c>
      <c r="AP1075" s="93">
        <f>IF('Net zero activities &amp; levers'!$C$14="Off",('Activity data'!BI13*EF!$H12)*kgtoGg,IF('Net zero activities &amp; levers'!$C$14="On",('Net zero Activity data'!BI13*EF!$H12)*kgtoGg,"ERROR"))</f>
        <v>16.662217242949243</v>
      </c>
      <c r="AQ1075" s="93">
        <f>IF('Net zero activities &amp; levers'!$C$14="Off",('Activity data'!BJ13*EF!$H12)*kgtoGg,IF('Net zero activities &amp; levers'!$C$14="On",('Net zero Activity data'!BJ13*EF!$H12)*kgtoGg,"ERROR"))</f>
        <v>16.685896797291566</v>
      </c>
      <c r="AR1075" s="93">
        <f>IF('Net zero activities &amp; levers'!$C$14="Off",('Activity data'!BK13*EF!$H12)*kgtoGg,IF('Net zero activities &amp; levers'!$C$14="On",('Net zero Activity data'!BK13*EF!$H12)*kgtoGg,"ERROR"))</f>
        <v>16.711276306511749</v>
      </c>
      <c r="AS1075" s="93">
        <f>IF('Net zero activities &amp; levers'!$C$14="Off",('Activity data'!BL13*EF!$H12)*kgtoGg,IF('Net zero activities &amp; levers'!$C$14="On",('Net zero Activity data'!BL13*EF!$H12)*kgtoGg,"ERROR"))</f>
        <v>16.720221808869553</v>
      </c>
      <c r="AT1075" s="93">
        <f>IF('Net zero activities &amp; levers'!$C$14="Off",('Activity data'!BM13*EF!$H12)*kgtoGg,IF('Net zero activities &amp; levers'!$C$14="On",('Net zero Activity data'!BM13*EF!$H12)*kgtoGg,"ERROR"))</f>
        <v>16.72419450850062</v>
      </c>
      <c r="AU1075" s="93">
        <f>IF('Net zero activities &amp; levers'!$C$14="Off",('Activity data'!BN13*EF!$H12)*kgtoGg,IF('Net zero activities &amp; levers'!$C$14="On",('Net zero Activity data'!BN13*EF!$H12)*kgtoGg,"ERROR"))</f>
        <v>16.728812799261537</v>
      </c>
      <c r="AV1075" s="93">
        <f>IF('Net zero activities &amp; levers'!$C$14="Off",('Activity data'!BO13*EF!$H12)*kgtoGg,IF('Net zero activities &amp; levers'!$C$14="On",('Net zero Activity data'!BO13*EF!$H12)*kgtoGg,"ERROR"))</f>
        <v>16.733784752247175</v>
      </c>
      <c r="AW1075" s="93">
        <f>IF('Net zero activities &amp; levers'!$C$14="Off",('Activity data'!BP13*EF!$H12)*kgtoGg,IF('Net zero activities &amp; levers'!$C$14="On",('Net zero Activity data'!BP13*EF!$H12)*kgtoGg,"ERROR"))</f>
        <v>16.739658320998576</v>
      </c>
      <c r="AY1075" s="79"/>
    </row>
    <row r="1076" spans="1:51" x14ac:dyDescent="0.3">
      <c r="A1076" s="95" t="str">
        <f t="shared" si="373"/>
        <v>CM Goats</v>
      </c>
      <c r="B1076" s="95" t="s">
        <v>1322</v>
      </c>
      <c r="C1076" s="95" t="s">
        <v>153</v>
      </c>
      <c r="D1076" t="s">
        <v>15</v>
      </c>
      <c r="E1076" t="s">
        <v>16</v>
      </c>
      <c r="F1076" t="s">
        <v>19</v>
      </c>
      <c r="G1076" t="s">
        <v>123</v>
      </c>
      <c r="H1076" t="s">
        <v>1020</v>
      </c>
      <c r="I1076" t="s">
        <v>121</v>
      </c>
      <c r="J1076" t="s">
        <v>286</v>
      </c>
      <c r="K1076" s="93">
        <f>IF('Net zero activities &amp; levers'!$C$14="Off",('Activity data'!AD14*EF!$H13)*kgtoGg,IF('Net zero activities &amp; levers'!$C$14="On",('Net zero Activity data'!AD14*EF!$H13)*kgtoGg,"ERROR"))</f>
        <v>22.381101687842744</v>
      </c>
      <c r="L1076" s="93">
        <f>IF('Net zero activities &amp; levers'!$C$14="Off",('Activity data'!AE14*EF!$H13)*kgtoGg,IF('Net zero activities &amp; levers'!$C$14="On",('Net zero Activity data'!AE14*EF!$H13)*kgtoGg,"ERROR"))</f>
        <v>22.439281748993185</v>
      </c>
      <c r="M1076" s="93">
        <f>IF('Net zero activities &amp; levers'!$C$14="Off",('Activity data'!AF14*EF!$H13)*kgtoGg,IF('Net zero activities &amp; levers'!$C$14="On",('Net zero Activity data'!AF14*EF!$H13)*kgtoGg,"ERROR"))</f>
        <v>22.519539087339325</v>
      </c>
      <c r="N1076" s="93">
        <f>IF('Net zero activities &amp; levers'!$C$14="Off",('Activity data'!AG14*EF!$H13)*kgtoGg,IF('Net zero activities &amp; levers'!$C$14="On",('Net zero Activity data'!AG14*EF!$H13)*kgtoGg,"ERROR"))</f>
        <v>22.617313721478975</v>
      </c>
      <c r="O1076" s="93">
        <f>IF('Net zero activities &amp; levers'!$C$14="Off",('Activity data'!AH14*EF!$H13)*kgtoGg,IF('Net zero activities &amp; levers'!$C$14="On",('Net zero Activity data'!AH14*EF!$H13)*kgtoGg,"ERROR"))</f>
        <v>22.73246619889365</v>
      </c>
      <c r="P1076" s="93">
        <f>IF('Net zero activities &amp; levers'!$C$14="Off",('Activity data'!AI14*EF!$H13)*kgtoGg,IF('Net zero activities &amp; levers'!$C$14="On",('Net zero Activity data'!AI14*EF!$H13)*kgtoGg,"ERROR"))</f>
        <v>22.864295641209328</v>
      </c>
      <c r="Q1076" s="93">
        <f>IF('Net zero activities &amp; levers'!$C$14="Off",('Activity data'!AJ14*EF!$H13)*kgtoGg,IF('Net zero activities &amp; levers'!$C$14="On",('Net zero Activity data'!AJ14*EF!$H13)*kgtoGg,"ERROR"))</f>
        <v>23.006172492556328</v>
      </c>
      <c r="R1076" s="93">
        <f>IF('Net zero activities &amp; levers'!$C$14="Off",('Activity data'!AK14*EF!$H13)*kgtoGg,IF('Net zero activities &amp; levers'!$C$14="On",('Net zero Activity data'!AK14*EF!$H13)*kgtoGg,"ERROR"))</f>
        <v>23.157535130977113</v>
      </c>
      <c r="S1076" s="93">
        <f>IF('Net zero activities &amp; levers'!$C$14="Off",('Activity data'!AL14*EF!$H13)*kgtoGg,IF('Net zero activities &amp; levers'!$C$14="On",('Net zero Activity data'!AL14*EF!$H13)*kgtoGg,"ERROR"))</f>
        <v>23.294803902175122</v>
      </c>
      <c r="T1076" s="93">
        <f>IF('Net zero activities &amp; levers'!$C$14="Off",('Activity data'!AM14*EF!$H13)*kgtoGg,IF('Net zero activities &amp; levers'!$C$14="On",('Net zero Activity data'!AM14*EF!$H13)*kgtoGg,"ERROR"))</f>
        <v>23.361854318025564</v>
      </c>
      <c r="U1076" s="93">
        <f>IF('Net zero activities &amp; levers'!$C$14="Off",('Activity data'!AN14*EF!$H13)*kgtoGg,IF('Net zero activities &amp; levers'!$C$14="On",('Net zero Activity data'!AN14*EF!$H13)*kgtoGg,"ERROR"))</f>
        <v>23.438709056719805</v>
      </c>
      <c r="V1076" s="93">
        <f>IF('Net zero activities &amp; levers'!$C$14="Off",('Activity data'!AO14*EF!$H13)*kgtoGg,IF('Net zero activities &amp; levers'!$C$14="On",('Net zero Activity data'!AO14*EF!$H13)*kgtoGg,"ERROR"))</f>
        <v>23.517051079938867</v>
      </c>
      <c r="W1076" s="93">
        <f>IF('Net zero activities &amp; levers'!$C$14="Off",('Activity data'!AP14*EF!$H13)*kgtoGg,IF('Net zero activities &amp; levers'!$C$14="On",('Net zero Activity data'!AP14*EF!$H13)*kgtoGg,"ERROR"))</f>
        <v>23.602018889396962</v>
      </c>
      <c r="X1076" s="93">
        <f>IF('Net zero activities &amp; levers'!$C$14="Off",('Activity data'!AQ14*EF!$H13)*kgtoGg,IF('Net zero activities &amp; levers'!$C$14="On",('Net zero Activity data'!AQ14*EF!$H13)*kgtoGg,"ERROR"))</f>
        <v>23.693472058936443</v>
      </c>
      <c r="Y1076" s="93">
        <f>IF('Net zero activities &amp; levers'!$C$14="Off",('Activity data'!AR14*EF!$H13)*kgtoGg,IF('Net zero activities &amp; levers'!$C$14="On",('Net zero Activity data'!AR14*EF!$H13)*kgtoGg,"ERROR"))</f>
        <v>23.75199808879723</v>
      </c>
      <c r="Z1076" s="93">
        <f>IF('Net zero activities &amp; levers'!$C$14="Off",('Activity data'!AS14*EF!$H13)*kgtoGg,IF('Net zero activities &amp; levers'!$C$14="On",('Net zero Activity data'!AS14*EF!$H13)*kgtoGg,"ERROR"))</f>
        <v>23.816028811539901</v>
      </c>
      <c r="AA1076" s="93">
        <f>IF('Net zero activities &amp; levers'!$C$14="Off",('Activity data'!AT14*EF!$H13)*kgtoGg,IF('Net zero activities &amp; levers'!$C$14="On",('Net zero Activity data'!AT14*EF!$H13)*kgtoGg,"ERROR"))</f>
        <v>23.884815309261068</v>
      </c>
      <c r="AB1076" s="93">
        <f>IF('Net zero activities &amp; levers'!$C$14="Off",('Activity data'!AU14*EF!$H13)*kgtoGg,IF('Net zero activities &amp; levers'!$C$14="On",('Net zero Activity data'!AU14*EF!$H13)*kgtoGg,"ERROR"))</f>
        <v>23.958578460667738</v>
      </c>
      <c r="AC1076" s="93">
        <f>IF('Net zero activities &amp; levers'!$C$14="Off",('Activity data'!AV14*EF!$H13)*kgtoGg,IF('Net zero activities &amp; levers'!$C$14="On",('Net zero Activity data'!AV14*EF!$H13)*kgtoGg,"ERROR"))</f>
        <v>24.036625643689554</v>
      </c>
      <c r="AD1076" s="93">
        <f>IF('Net zero activities &amp; levers'!$C$14="Off",('Activity data'!AW14*EF!$H13)*kgtoGg,IF('Net zero activities &amp; levers'!$C$14="On",('Net zero Activity data'!AW14*EF!$H13)*kgtoGg,"ERROR"))</f>
        <v>24.088674256627954</v>
      </c>
      <c r="AE1076" s="93">
        <f>IF('Net zero activities &amp; levers'!$C$14="Off",('Activity data'!AX14*EF!$H13)*kgtoGg,IF('Net zero activities &amp; levers'!$C$14="On",('Net zero Activity data'!AX14*EF!$H13)*kgtoGg,"ERROR"))</f>
        <v>24.144181005348596</v>
      </c>
      <c r="AF1076" s="93">
        <f>IF('Net zero activities &amp; levers'!$C$14="Off",('Activity data'!AY14*EF!$H13)*kgtoGg,IF('Net zero activities &amp; levers'!$C$14="On",('Net zero Activity data'!AY14*EF!$H13)*kgtoGg,"ERROR"))</f>
        <v>24.20361572456493</v>
      </c>
      <c r="AG1076" s="93">
        <f>IF('Net zero activities &amp; levers'!$C$14="Off",('Activity data'!AZ14*EF!$H13)*kgtoGg,IF('Net zero activities &amp; levers'!$C$14="On",('Net zero Activity data'!AZ14*EF!$H13)*kgtoGg,"ERROR"))</f>
        <v>24.267582075516717</v>
      </c>
      <c r="AH1076" s="93">
        <f>IF('Net zero activities &amp; levers'!$C$14="Off",('Activity data'!BA14*EF!$H13)*kgtoGg,IF('Net zero activities &amp; levers'!$C$14="On",('Net zero Activity data'!BA14*EF!$H13)*kgtoGg,"ERROR"))</f>
        <v>24.334147567119</v>
      </c>
      <c r="AI1076" s="93">
        <f>IF('Net zero activities &amp; levers'!$C$14="Off",('Activity data'!BB14*EF!$H13)*kgtoGg,IF('Net zero activities &amp; levers'!$C$14="On",('Net zero Activity data'!BB14*EF!$H13)*kgtoGg,"ERROR"))</f>
        <v>24.375373288716684</v>
      </c>
      <c r="AJ1076" s="93">
        <f>IF('Net zero activities &amp; levers'!$C$14="Off",('Activity data'!BC14*EF!$H13)*kgtoGg,IF('Net zero activities &amp; levers'!$C$14="On",('Net zero Activity data'!BC14*EF!$H13)*kgtoGg,"ERROR"))</f>
        <v>24.420110702865486</v>
      </c>
      <c r="AK1076" s="93">
        <f>IF('Net zero activities &amp; levers'!$C$14="Off",('Activity data'!BD14*EF!$H13)*kgtoGg,IF('Net zero activities &amp; levers'!$C$14="On",('Net zero Activity data'!BD14*EF!$H13)*kgtoGg,"ERROR"))</f>
        <v>24.466803901389813</v>
      </c>
      <c r="AL1076" s="93">
        <f>IF('Net zero activities &amp; levers'!$C$14="Off",('Activity data'!BE14*EF!$H13)*kgtoGg,IF('Net zero activities &amp; levers'!$C$14="On",('Net zero Activity data'!BE14*EF!$H13)*kgtoGg,"ERROR"))</f>
        <v>24.516002916248802</v>
      </c>
      <c r="AM1076" s="93">
        <f>IF('Net zero activities &amp; levers'!$C$14="Off",('Activity data'!BF14*EF!$H13)*kgtoGg,IF('Net zero activities &amp; levers'!$C$14="On",('Net zero Activity data'!BF14*EF!$H13)*kgtoGg,"ERROR"))</f>
        <v>24.567640387179249</v>
      </c>
      <c r="AN1076" s="93">
        <f>IF('Net zero activities &amp; levers'!$C$14="Off",('Activity data'!BG14*EF!$H13)*kgtoGg,IF('Net zero activities &amp; levers'!$C$14="On",('Net zero Activity data'!BG14*EF!$H13)*kgtoGg,"ERROR"))</f>
        <v>24.595851942673818</v>
      </c>
      <c r="AO1076" s="93">
        <f>IF('Net zero activities &amp; levers'!$C$14="Off",('Activity data'!BH14*EF!$H13)*kgtoGg,IF('Net zero activities &amp; levers'!$C$14="On",('Net zero Activity data'!BH14*EF!$H13)*kgtoGg,"ERROR"))</f>
        <v>24.625840752567356</v>
      </c>
      <c r="AP1076" s="93">
        <f>IF('Net zero activities &amp; levers'!$C$14="Off",('Activity data'!BI14*EF!$H13)*kgtoGg,IF('Net zero activities &amp; levers'!$C$14="On",('Net zero Activity data'!BI14*EF!$H13)*kgtoGg,"ERROR"))</f>
        <v>24.658372347803756</v>
      </c>
      <c r="AQ1076" s="93">
        <f>IF('Net zero activities &amp; levers'!$C$14="Off",('Activity data'!BJ14*EF!$H13)*kgtoGg,IF('Net zero activities &amp; levers'!$C$14="On",('Net zero Activity data'!BJ14*EF!$H13)*kgtoGg,"ERROR"))</f>
        <v>24.693415659236397</v>
      </c>
      <c r="AR1076" s="93">
        <f>IF('Net zero activities &amp; levers'!$C$14="Off",('Activity data'!BK14*EF!$H13)*kgtoGg,IF('Net zero activities &amp; levers'!$C$14="On",('Net zero Activity data'!BK14*EF!$H13)*kgtoGg,"ERROR"))</f>
        <v>24.730974729510827</v>
      </c>
      <c r="AS1076" s="93">
        <f>IF('Net zero activities &amp; levers'!$C$14="Off",('Activity data'!BL14*EF!$H13)*kgtoGg,IF('Net zero activities &amp; levers'!$C$14="On",('Net zero Activity data'!BL14*EF!$H13)*kgtoGg,"ERROR"))</f>
        <v>24.744213155391417</v>
      </c>
      <c r="AT1076" s="93">
        <f>IF('Net zero activities &amp; levers'!$C$14="Off",('Activity data'!BM14*EF!$H13)*kgtoGg,IF('Net zero activities &amp; levers'!$C$14="On",('Net zero Activity data'!BM14*EF!$H13)*kgtoGg,"ERROR"))</f>
        <v>24.750092343335041</v>
      </c>
      <c r="AU1076" s="93">
        <f>IF('Net zero activities &amp; levers'!$C$14="Off",('Activity data'!BN14*EF!$H13)*kgtoGg,IF('Net zero activities &amp; levers'!$C$14="On",('Net zero Activity data'!BN14*EF!$H13)*kgtoGg,"ERROR"))</f>
        <v>24.756926939927592</v>
      </c>
      <c r="AV1076" s="93">
        <f>IF('Net zero activities &amp; levers'!$C$14="Off",('Activity data'!BO14*EF!$H13)*kgtoGg,IF('Net zero activities &amp; levers'!$C$14="On",('Net zero Activity data'!BO14*EF!$H13)*kgtoGg,"ERROR"))</f>
        <v>24.764284920334894</v>
      </c>
      <c r="AW1076" s="93">
        <f>IF('Net zero activities &amp; levers'!$C$14="Off",('Activity data'!BP14*EF!$H13)*kgtoGg,IF('Net zero activities &amp; levers'!$C$14="On",('Net zero Activity data'!BP14*EF!$H13)*kgtoGg,"ERROR"))</f>
        <v>24.772977199589842</v>
      </c>
      <c r="AY1076" s="79"/>
    </row>
    <row r="1077" spans="1:51" x14ac:dyDescent="0.3">
      <c r="A1077" s="95" t="str">
        <f t="shared" si="373"/>
        <v>CM Horses</v>
      </c>
      <c r="B1077" s="95" t="s">
        <v>1322</v>
      </c>
      <c r="C1077" s="95" t="s">
        <v>3</v>
      </c>
      <c r="D1077" t="s">
        <v>15</v>
      </c>
      <c r="E1077" t="s">
        <v>16</v>
      </c>
      <c r="F1077" t="s">
        <v>20</v>
      </c>
      <c r="G1077" t="s">
        <v>3</v>
      </c>
      <c r="H1077" t="s">
        <v>1020</v>
      </c>
      <c r="I1077" t="s">
        <v>121</v>
      </c>
      <c r="J1077" t="s">
        <v>286</v>
      </c>
      <c r="K1077" s="93">
        <f>IF('Net zero activities &amp; levers'!$C$14="Off",('Activity data'!AD15*EF!$H14)*kgtoGg,IF('Net zero activities &amp; levers'!$C$14="On",('Net zero Activity data'!AD15*EF!$H14)*kgtoGg,"ERROR"))</f>
        <v>5.5526214800767901</v>
      </c>
      <c r="L1077" s="93">
        <f>IF('Net zero activities &amp; levers'!$C$14="Off",('Activity data'!AE15*EF!$H14)*kgtoGg,IF('Net zero activities &amp; levers'!$C$14="On",('Net zero Activity data'!AE15*EF!$H14)*kgtoGg,"ERROR"))</f>
        <v>5.5795235710196511</v>
      </c>
      <c r="M1077" s="93">
        <f>IF('Net zero activities &amp; levers'!$C$14="Off",('Activity data'!AF15*EF!$H14)*kgtoGg,IF('Net zero activities &amp; levers'!$C$14="On",('Net zero Activity data'!AF15*EF!$H14)*kgtoGg,"ERROR"))</f>
        <v>5.6203482259438022</v>
      </c>
      <c r="N1077" s="93">
        <f>IF('Net zero activities &amp; levers'!$C$14="Off",('Activity data'!AG15*EF!$H14)*kgtoGg,IF('Net zero activities &amp; levers'!$C$14="On",('Net zero Activity data'!AG15*EF!$H14)*kgtoGg,"ERROR"))</f>
        <v>5.629075655008374</v>
      </c>
      <c r="O1077" s="93">
        <f>IF('Net zero activities &amp; levers'!$C$14="Off",('Activity data'!AH15*EF!$H14)*kgtoGg,IF('Net zero activities &amp; levers'!$C$14="On",('Net zero Activity data'!AH15*EF!$H14)*kgtoGg,"ERROR"))</f>
        <v>5.6165815405282276</v>
      </c>
      <c r="P1077" s="93">
        <f>IF('Net zero activities &amp; levers'!$C$14="Off",('Activity data'!AI15*EF!$H14)*kgtoGg,IF('Net zero activities &amp; levers'!$C$14="On",('Net zero Activity data'!AI15*EF!$H14)*kgtoGg,"ERROR"))</f>
        <v>5.5833231296706103</v>
      </c>
      <c r="Q1077" s="93">
        <f>IF('Net zero activities &amp; levers'!$C$14="Off",('Activity data'!AJ15*EF!$H14)*kgtoGg,IF('Net zero activities &amp; levers'!$C$14="On",('Net zero Activity data'!AJ15*EF!$H14)*kgtoGg,"ERROR"))</f>
        <v>5.5648827699457346</v>
      </c>
      <c r="R1077" s="93">
        <f>IF('Net zero activities &amp; levers'!$C$14="Off",('Activity data'!AK15*EF!$H14)*kgtoGg,IF('Net zero activities &amp; levers'!$C$14="On",('Net zero Activity data'!AK15*EF!$H14)*kgtoGg,"ERROR"))</f>
        <v>5.5483103177944013</v>
      </c>
      <c r="S1077" s="93">
        <f>IF('Net zero activities &amp; levers'!$C$14="Off",('Activity data'!AL15*EF!$H14)*kgtoGg,IF('Net zero activities &amp; levers'!$C$14="On",('Net zero Activity data'!AL15*EF!$H14)*kgtoGg,"ERROR"))</f>
        <v>5.2311192904529218</v>
      </c>
      <c r="T1077" s="93">
        <f>IF('Net zero activities &amp; levers'!$C$14="Off",('Activity data'!AM15*EF!$H14)*kgtoGg,IF('Net zero activities &amp; levers'!$C$14="On",('Net zero Activity data'!AM15*EF!$H14)*kgtoGg,"ERROR"))</f>
        <v>5.2959023096135693</v>
      </c>
      <c r="U1077" s="93">
        <f>IF('Net zero activities &amp; levers'!$C$14="Off",('Activity data'!AN15*EF!$H14)*kgtoGg,IF('Net zero activities &amp; levers'!$C$14="On",('Net zero Activity data'!AN15*EF!$H14)*kgtoGg,"ERROR"))</f>
        <v>5.3988006154965325</v>
      </c>
      <c r="V1077" s="93">
        <f>IF('Net zero activities &amp; levers'!$C$14="Off",('Activity data'!AO15*EF!$H14)*kgtoGg,IF('Net zero activities &amp; levers'!$C$14="On",('Net zero Activity data'!AO15*EF!$H14)*kgtoGg,"ERROR"))</f>
        <v>5.4367829372956962</v>
      </c>
      <c r="W1077" s="93">
        <f>IF('Net zero activities &amp; levers'!$C$14="Off",('Activity data'!AP15*EF!$H14)*kgtoGg,IF('Net zero activities &amp; levers'!$C$14="On",('Net zero Activity data'!AP15*EF!$H14)*kgtoGg,"ERROR"))</f>
        <v>5.4819188324690939</v>
      </c>
      <c r="X1077" s="93">
        <f>IF('Net zero activities &amp; levers'!$C$14="Off",('Activity data'!AQ15*EF!$H14)*kgtoGg,IF('Net zero activities &amp; levers'!$C$14="On",('Net zero Activity data'!AQ15*EF!$H14)*kgtoGg,"ERROR"))</f>
        <v>5.5365687700280883</v>
      </c>
      <c r="Y1077" s="93">
        <f>IF('Net zero activities &amp; levers'!$C$14="Off",('Activity data'!AR15*EF!$H14)*kgtoGg,IF('Net zero activities &amp; levers'!$C$14="On",('Net zero Activity data'!AR15*EF!$H14)*kgtoGg,"ERROR"))</f>
        <v>5.601958980764981</v>
      </c>
      <c r="Z1077" s="93">
        <f>IF('Net zero activities &amp; levers'!$C$14="Off",('Activity data'!AS15*EF!$H14)*kgtoGg,IF('Net zero activities &amp; levers'!$C$14="On",('Net zero Activity data'!AS15*EF!$H14)*kgtoGg,"ERROR"))</f>
        <v>5.6746319691397513</v>
      </c>
      <c r="AA1077" s="93">
        <f>IF('Net zero activities &amp; levers'!$C$14="Off",('Activity data'!AT15*EF!$H14)*kgtoGg,IF('Net zero activities &amp; levers'!$C$14="On",('Net zero Activity data'!AT15*EF!$H14)*kgtoGg,"ERROR"))</f>
        <v>5.7481685306176677</v>
      </c>
      <c r="AB1077" s="93">
        <f>IF('Net zero activities &amp; levers'!$C$14="Off",('Activity data'!AU15*EF!$H14)*kgtoGg,IF('Net zero activities &amp; levers'!$C$14="On",('Net zero Activity data'!AU15*EF!$H14)*kgtoGg,"ERROR"))</f>
        <v>5.8282774259733703</v>
      </c>
      <c r="AC1077" s="93">
        <f>IF('Net zero activities &amp; levers'!$C$14="Off",('Activity data'!AV15*EF!$H14)*kgtoGg,IF('Net zero activities &amp; levers'!$C$14="On",('Net zero Activity data'!AV15*EF!$H14)*kgtoGg,"ERROR"))</f>
        <v>5.9086647601730373</v>
      </c>
      <c r="AD1077" s="93">
        <f>IF('Net zero activities &amp; levers'!$C$14="Off",('Activity data'!AW15*EF!$H14)*kgtoGg,IF('Net zero activities &amp; levers'!$C$14="On",('Net zero Activity data'!AW15*EF!$H14)*kgtoGg,"ERROR"))</f>
        <v>6.0051030471917946</v>
      </c>
      <c r="AE1077" s="93">
        <f>IF('Net zero activities &amp; levers'!$C$14="Off",('Activity data'!AX15*EF!$H14)*kgtoGg,IF('Net zero activities &amp; levers'!$C$14="On",('Net zero Activity data'!AX15*EF!$H14)*kgtoGg,"ERROR"))</f>
        <v>6.0980124130473197</v>
      </c>
      <c r="AF1077" s="93">
        <f>IF('Net zero activities &amp; levers'!$C$14="Off",('Activity data'!AY15*EF!$H14)*kgtoGg,IF('Net zero activities &amp; levers'!$C$14="On",('Net zero Activity data'!AY15*EF!$H14)*kgtoGg,"ERROR"))</f>
        <v>6.195439489414623</v>
      </c>
      <c r="AG1077" s="93">
        <f>IF('Net zero activities &amp; levers'!$C$14="Off",('Activity data'!AZ15*EF!$H14)*kgtoGg,IF('Net zero activities &amp; levers'!$C$14="On",('Net zero Activity data'!AZ15*EF!$H14)*kgtoGg,"ERROR"))</f>
        <v>6.3068676222722697</v>
      </c>
      <c r="AH1077" s="93">
        <f>IF('Net zero activities &amp; levers'!$C$14="Off",('Activity data'!BA15*EF!$H14)*kgtoGg,IF('Net zero activities &amp; levers'!$C$14="On",('Net zero Activity data'!BA15*EF!$H14)*kgtoGg,"ERROR"))</f>
        <v>6.4095401663804648</v>
      </c>
      <c r="AI1077" s="93">
        <f>IF('Net zero activities &amp; levers'!$C$14="Off",('Activity data'!BB15*EF!$H14)*kgtoGg,IF('Net zero activities &amp; levers'!$C$14="On",('Net zero Activity data'!BB15*EF!$H14)*kgtoGg,"ERROR"))</f>
        <v>6.5228948238532292</v>
      </c>
      <c r="AJ1077" s="93">
        <f>IF('Net zero activities &amp; levers'!$C$14="Off",('Activity data'!BC15*EF!$H14)*kgtoGg,IF('Net zero activities &amp; levers'!$C$14="On",('Net zero Activity data'!BC15*EF!$H14)*kgtoGg,"ERROR"))</f>
        <v>6.6437484965413081</v>
      </c>
      <c r="AK1077" s="93">
        <f>IF('Net zero activities &amp; levers'!$C$14="Off",('Activity data'!BD15*EF!$H14)*kgtoGg,IF('Net zero activities &amp; levers'!$C$14="On",('Net zero Activity data'!BD15*EF!$H14)*kgtoGg,"ERROR"))</f>
        <v>6.7539654911689828</v>
      </c>
      <c r="AL1077" s="93">
        <f>IF('Net zero activities &amp; levers'!$C$14="Off",('Activity data'!BE15*EF!$H14)*kgtoGg,IF('Net zero activities &amp; levers'!$C$14="On",('Net zero Activity data'!BE15*EF!$H14)*kgtoGg,"ERROR"))</f>
        <v>6.8618111039503944</v>
      </c>
      <c r="AM1077" s="93">
        <f>IF('Net zero activities &amp; levers'!$C$14="Off",('Activity data'!BF15*EF!$H14)*kgtoGg,IF('Net zero activities &amp; levers'!$C$14="On",('Net zero Activity data'!BF15*EF!$H14)*kgtoGg,"ERROR"))</f>
        <v>6.9676727679478478</v>
      </c>
      <c r="AN1077" s="93">
        <f>IF('Net zero activities &amp; levers'!$C$14="Off",('Activity data'!BG15*EF!$H14)*kgtoGg,IF('Net zero activities &amp; levers'!$C$14="On",('Net zero Activity data'!BG15*EF!$H14)*kgtoGg,"ERROR"))</f>
        <v>7.0885986695240639</v>
      </c>
      <c r="AO1077" s="93">
        <f>IF('Net zero activities &amp; levers'!$C$14="Off",('Activity data'!BH15*EF!$H14)*kgtoGg,IF('Net zero activities &amp; levers'!$C$14="On",('Net zero Activity data'!BH15*EF!$H14)*kgtoGg,"ERROR"))</f>
        <v>7.202615789032512</v>
      </c>
      <c r="AP1077" s="93">
        <f>IF('Net zero activities &amp; levers'!$C$14="Off",('Activity data'!BI15*EF!$H14)*kgtoGg,IF('Net zero activities &amp; levers'!$C$14="On",('Net zero Activity data'!BI15*EF!$H14)*kgtoGg,"ERROR"))</f>
        <v>7.3203542233012309</v>
      </c>
      <c r="AQ1077" s="93">
        <f>IF('Net zero activities &amp; levers'!$C$14="Off",('Activity data'!BJ15*EF!$H14)*kgtoGg,IF('Net zero activities &amp; levers'!$C$14="On",('Net zero Activity data'!BJ15*EF!$H14)*kgtoGg,"ERROR"))</f>
        <v>7.4423988374450394</v>
      </c>
      <c r="AR1077" s="93">
        <f>IF('Net zero activities &amp; levers'!$C$14="Off",('Activity data'!BK15*EF!$H14)*kgtoGg,IF('Net zero activities &amp; levers'!$C$14="On",('Net zero Activity data'!BK15*EF!$H14)*kgtoGg,"ERROR"))</f>
        <v>7.5697005662835739</v>
      </c>
      <c r="AS1077" s="93">
        <f>IF('Net zero activities &amp; levers'!$C$14="Off",('Activity data'!BL15*EF!$H14)*kgtoGg,IF('Net zero activities &amp; levers'!$C$14="On",('Net zero Activity data'!BL15*EF!$H14)*kgtoGg,"ERROR"))</f>
        <v>7.7079925213190776</v>
      </c>
      <c r="AT1077" s="93">
        <f>IF('Net zero activities &amp; levers'!$C$14="Off",('Activity data'!BM15*EF!$H14)*kgtoGg,IF('Net zero activities &amp; levers'!$C$14="On",('Net zero Activity data'!BM15*EF!$H14)*kgtoGg,"ERROR"))</f>
        <v>7.7309775584942866</v>
      </c>
      <c r="AU1077" s="93">
        <f>IF('Net zero activities &amp; levers'!$C$14="Off",('Activity data'!BN15*EF!$H14)*kgtoGg,IF('Net zero activities &amp; levers'!$C$14="On",('Net zero Activity data'!BN15*EF!$H14)*kgtoGg,"ERROR"))</f>
        <v>7.7430605044202654</v>
      </c>
      <c r="AV1077" s="93">
        <f>IF('Net zero activities &amp; levers'!$C$14="Off",('Activity data'!BO15*EF!$H14)*kgtoGg,IF('Net zero activities &amp; levers'!$C$14="On",('Net zero Activity data'!BO15*EF!$H14)*kgtoGg,"ERROR"))</f>
        <v>7.7396666487885506</v>
      </c>
      <c r="AW1077" s="93">
        <f>IF('Net zero activities &amp; levers'!$C$14="Off",('Activity data'!BP15*EF!$H14)*kgtoGg,IF('Net zero activities &amp; levers'!$C$14="On",('Net zero Activity data'!BP15*EF!$H14)*kgtoGg,"ERROR"))</f>
        <v>7.7316472006042485</v>
      </c>
      <c r="AY1077" s="79"/>
    </row>
    <row r="1078" spans="1:51" x14ac:dyDescent="0.3">
      <c r="A1078" s="95" t="str">
        <f t="shared" si="373"/>
        <v>CM Mules&amp;Asses</v>
      </c>
      <c r="B1078" s="95" t="s">
        <v>1322</v>
      </c>
      <c r="C1078" s="95" t="s">
        <v>1323</v>
      </c>
      <c r="D1078" t="s">
        <v>15</v>
      </c>
      <c r="E1078" t="s">
        <v>16</v>
      </c>
      <c r="F1078" t="s">
        <v>140</v>
      </c>
      <c r="G1078" t="s">
        <v>124</v>
      </c>
      <c r="H1078" t="s">
        <v>1020</v>
      </c>
      <c r="I1078" t="s">
        <v>121</v>
      </c>
      <c r="J1078" t="s">
        <v>286</v>
      </c>
      <c r="K1078" s="93">
        <f>IF('Net zero activities &amp; levers'!$C$14="Off",('Activity data'!AD16*EF!$H15)*kgtoGg,IF('Net zero activities &amp; levers'!$C$14="On",('Net zero Activity data'!AD16*EF!$H15)*kgtoGg,"ERROR"))</f>
        <v>1.67</v>
      </c>
      <c r="L1078" s="93">
        <f>IF('Net zero activities &amp; levers'!$C$14="Off",('Activity data'!AE16*EF!$H15)*kgtoGg,IF('Net zero activities &amp; levers'!$C$14="On",('Net zero Activity data'!AE16*EF!$H15)*kgtoGg,"ERROR"))</f>
        <v>1.67</v>
      </c>
      <c r="M1078" s="93">
        <f>IF('Net zero activities &amp; levers'!$C$14="Off",('Activity data'!AF16*EF!$H15)*kgtoGg,IF('Net zero activities &amp; levers'!$C$14="On",('Net zero Activity data'!AF16*EF!$H15)*kgtoGg,"ERROR"))</f>
        <v>1.67</v>
      </c>
      <c r="N1078" s="93">
        <f>IF('Net zero activities &amp; levers'!$C$14="Off",('Activity data'!AG16*EF!$H15)*kgtoGg,IF('Net zero activities &amp; levers'!$C$14="On",('Net zero Activity data'!AG16*EF!$H15)*kgtoGg,"ERROR"))</f>
        <v>1.67</v>
      </c>
      <c r="O1078" s="93">
        <f>IF('Net zero activities &amp; levers'!$C$14="Off",('Activity data'!AH16*EF!$H15)*kgtoGg,IF('Net zero activities &amp; levers'!$C$14="On",('Net zero Activity data'!AH16*EF!$H15)*kgtoGg,"ERROR"))</f>
        <v>1.67</v>
      </c>
      <c r="P1078" s="93">
        <f>IF('Net zero activities &amp; levers'!$C$14="Off",('Activity data'!AI16*EF!$H15)*kgtoGg,IF('Net zero activities &amp; levers'!$C$14="On",('Net zero Activity data'!AI16*EF!$H15)*kgtoGg,"ERROR"))</f>
        <v>1.67</v>
      </c>
      <c r="Q1078" s="93">
        <f>IF('Net zero activities &amp; levers'!$C$14="Off",('Activity data'!AJ16*EF!$H15)*kgtoGg,IF('Net zero activities &amp; levers'!$C$14="On",('Net zero Activity data'!AJ16*EF!$H15)*kgtoGg,"ERROR"))</f>
        <v>1.67</v>
      </c>
      <c r="R1078" s="93">
        <f>IF('Net zero activities &amp; levers'!$C$14="Off",('Activity data'!AK16*EF!$H15)*kgtoGg,IF('Net zero activities &amp; levers'!$C$14="On",('Net zero Activity data'!AK16*EF!$H15)*kgtoGg,"ERROR"))</f>
        <v>1.67</v>
      </c>
      <c r="S1078" s="93">
        <f>IF('Net zero activities &amp; levers'!$C$14="Off",('Activity data'!AL16*EF!$H15)*kgtoGg,IF('Net zero activities &amp; levers'!$C$14="On",('Net zero Activity data'!AL16*EF!$H15)*kgtoGg,"ERROR"))</f>
        <v>1.67</v>
      </c>
      <c r="T1078" s="93">
        <f>IF('Net zero activities &amp; levers'!$C$14="Off",('Activity data'!AM16*EF!$H15)*kgtoGg,IF('Net zero activities &amp; levers'!$C$14="On",('Net zero Activity data'!AM16*EF!$H15)*kgtoGg,"ERROR"))</f>
        <v>1.67</v>
      </c>
      <c r="U1078" s="93">
        <f>IF('Net zero activities &amp; levers'!$C$14="Off",('Activity data'!AN16*EF!$H15)*kgtoGg,IF('Net zero activities &amp; levers'!$C$14="On",('Net zero Activity data'!AN16*EF!$H15)*kgtoGg,"ERROR"))</f>
        <v>1.67</v>
      </c>
      <c r="V1078" s="93">
        <f>IF('Net zero activities &amp; levers'!$C$14="Off",('Activity data'!AO16*EF!$H15)*kgtoGg,IF('Net zero activities &amp; levers'!$C$14="On",('Net zero Activity data'!AO16*EF!$H15)*kgtoGg,"ERROR"))</f>
        <v>1.67</v>
      </c>
      <c r="W1078" s="93">
        <f>IF('Net zero activities &amp; levers'!$C$14="Off",('Activity data'!AP16*EF!$H15)*kgtoGg,IF('Net zero activities &amp; levers'!$C$14="On",('Net zero Activity data'!AP16*EF!$H15)*kgtoGg,"ERROR"))</f>
        <v>1.67</v>
      </c>
      <c r="X1078" s="93">
        <f>IF('Net zero activities &amp; levers'!$C$14="Off",('Activity data'!AQ16*EF!$H15)*kgtoGg,IF('Net zero activities &amp; levers'!$C$14="On",('Net zero Activity data'!AQ16*EF!$H15)*kgtoGg,"ERROR"))</f>
        <v>1.67</v>
      </c>
      <c r="Y1078" s="93">
        <f>IF('Net zero activities &amp; levers'!$C$14="Off",('Activity data'!AR16*EF!$H15)*kgtoGg,IF('Net zero activities &amp; levers'!$C$14="On",('Net zero Activity data'!AR16*EF!$H15)*kgtoGg,"ERROR"))</f>
        <v>1.67</v>
      </c>
      <c r="Z1078" s="93">
        <f>IF('Net zero activities &amp; levers'!$C$14="Off",('Activity data'!AS16*EF!$H15)*kgtoGg,IF('Net zero activities &amp; levers'!$C$14="On",('Net zero Activity data'!AS16*EF!$H15)*kgtoGg,"ERROR"))</f>
        <v>1.67</v>
      </c>
      <c r="AA1078" s="93">
        <f>IF('Net zero activities &amp; levers'!$C$14="Off",('Activity data'!AT16*EF!$H15)*kgtoGg,IF('Net zero activities &amp; levers'!$C$14="On",('Net zero Activity data'!AT16*EF!$H15)*kgtoGg,"ERROR"))</f>
        <v>1.67</v>
      </c>
      <c r="AB1078" s="93">
        <f>IF('Net zero activities &amp; levers'!$C$14="Off",('Activity data'!AU16*EF!$H15)*kgtoGg,IF('Net zero activities &amp; levers'!$C$14="On",('Net zero Activity data'!AU16*EF!$H15)*kgtoGg,"ERROR"))</f>
        <v>1.67</v>
      </c>
      <c r="AC1078" s="93">
        <f>IF('Net zero activities &amp; levers'!$C$14="Off",('Activity data'!AV16*EF!$H15)*kgtoGg,IF('Net zero activities &amp; levers'!$C$14="On",('Net zero Activity data'!AV16*EF!$H15)*kgtoGg,"ERROR"))</f>
        <v>1.67</v>
      </c>
      <c r="AD1078" s="93">
        <f>IF('Net zero activities &amp; levers'!$C$14="Off",('Activity data'!AW16*EF!$H15)*kgtoGg,IF('Net zero activities &amp; levers'!$C$14="On",('Net zero Activity data'!AW16*EF!$H15)*kgtoGg,"ERROR"))</f>
        <v>1.67</v>
      </c>
      <c r="AE1078" s="93">
        <f>IF('Net zero activities &amp; levers'!$C$14="Off",('Activity data'!AX16*EF!$H15)*kgtoGg,IF('Net zero activities &amp; levers'!$C$14="On",('Net zero Activity data'!AX16*EF!$H15)*kgtoGg,"ERROR"))</f>
        <v>1.67</v>
      </c>
      <c r="AF1078" s="93">
        <f>IF('Net zero activities &amp; levers'!$C$14="Off",('Activity data'!AY16*EF!$H15)*kgtoGg,IF('Net zero activities &amp; levers'!$C$14="On",('Net zero Activity data'!AY16*EF!$H15)*kgtoGg,"ERROR"))</f>
        <v>1.67</v>
      </c>
      <c r="AG1078" s="93">
        <f>IF('Net zero activities &amp; levers'!$C$14="Off",('Activity data'!AZ16*EF!$H15)*kgtoGg,IF('Net zero activities &amp; levers'!$C$14="On",('Net zero Activity data'!AZ16*EF!$H15)*kgtoGg,"ERROR"))</f>
        <v>1.67</v>
      </c>
      <c r="AH1078" s="93">
        <f>IF('Net zero activities &amp; levers'!$C$14="Off",('Activity data'!BA16*EF!$H15)*kgtoGg,IF('Net zero activities &amp; levers'!$C$14="On",('Net zero Activity data'!BA16*EF!$H15)*kgtoGg,"ERROR"))</f>
        <v>1.67</v>
      </c>
      <c r="AI1078" s="93">
        <f>IF('Net zero activities &amp; levers'!$C$14="Off",('Activity data'!BB16*EF!$H15)*kgtoGg,IF('Net zero activities &amp; levers'!$C$14="On",('Net zero Activity data'!BB16*EF!$H15)*kgtoGg,"ERROR"))</f>
        <v>1.67</v>
      </c>
      <c r="AJ1078" s="93">
        <f>IF('Net zero activities &amp; levers'!$C$14="Off",('Activity data'!BC16*EF!$H15)*kgtoGg,IF('Net zero activities &amp; levers'!$C$14="On",('Net zero Activity data'!BC16*EF!$H15)*kgtoGg,"ERROR"))</f>
        <v>1.67</v>
      </c>
      <c r="AK1078" s="93">
        <f>IF('Net zero activities &amp; levers'!$C$14="Off",('Activity data'!BD16*EF!$H15)*kgtoGg,IF('Net zero activities &amp; levers'!$C$14="On",('Net zero Activity data'!BD16*EF!$H15)*kgtoGg,"ERROR"))</f>
        <v>1.67</v>
      </c>
      <c r="AL1078" s="93">
        <f>IF('Net zero activities &amp; levers'!$C$14="Off",('Activity data'!BE16*EF!$H15)*kgtoGg,IF('Net zero activities &amp; levers'!$C$14="On",('Net zero Activity data'!BE16*EF!$H15)*kgtoGg,"ERROR"))</f>
        <v>1.67</v>
      </c>
      <c r="AM1078" s="93">
        <f>IF('Net zero activities &amp; levers'!$C$14="Off",('Activity data'!BF16*EF!$H15)*kgtoGg,IF('Net zero activities &amp; levers'!$C$14="On",('Net zero Activity data'!BF16*EF!$H15)*kgtoGg,"ERROR"))</f>
        <v>1.67</v>
      </c>
      <c r="AN1078" s="93">
        <f>IF('Net zero activities &amp; levers'!$C$14="Off",('Activity data'!BG16*EF!$H15)*kgtoGg,IF('Net zero activities &amp; levers'!$C$14="On",('Net zero Activity data'!BG16*EF!$H15)*kgtoGg,"ERROR"))</f>
        <v>1.67</v>
      </c>
      <c r="AO1078" s="93">
        <f>IF('Net zero activities &amp; levers'!$C$14="Off",('Activity data'!BH16*EF!$H15)*kgtoGg,IF('Net zero activities &amp; levers'!$C$14="On",('Net zero Activity data'!BH16*EF!$H15)*kgtoGg,"ERROR"))</f>
        <v>1.67</v>
      </c>
      <c r="AP1078" s="93">
        <f>IF('Net zero activities &amp; levers'!$C$14="Off",('Activity data'!BI16*EF!$H15)*kgtoGg,IF('Net zero activities &amp; levers'!$C$14="On",('Net zero Activity data'!BI16*EF!$H15)*kgtoGg,"ERROR"))</f>
        <v>1.67</v>
      </c>
      <c r="AQ1078" s="93">
        <f>IF('Net zero activities &amp; levers'!$C$14="Off",('Activity data'!BJ16*EF!$H15)*kgtoGg,IF('Net zero activities &amp; levers'!$C$14="On",('Net zero Activity data'!BJ16*EF!$H15)*kgtoGg,"ERROR"))</f>
        <v>1.67</v>
      </c>
      <c r="AR1078" s="93">
        <f>IF('Net zero activities &amp; levers'!$C$14="Off",('Activity data'!BK16*EF!$H15)*kgtoGg,IF('Net zero activities &amp; levers'!$C$14="On",('Net zero Activity data'!BK16*EF!$H15)*kgtoGg,"ERROR"))</f>
        <v>1.67</v>
      </c>
      <c r="AS1078" s="93">
        <f>IF('Net zero activities &amp; levers'!$C$14="Off",('Activity data'!BL16*EF!$H15)*kgtoGg,IF('Net zero activities &amp; levers'!$C$14="On",('Net zero Activity data'!BL16*EF!$H15)*kgtoGg,"ERROR"))</f>
        <v>1.67</v>
      </c>
      <c r="AT1078" s="93">
        <f>IF('Net zero activities &amp; levers'!$C$14="Off",('Activity data'!BM16*EF!$H15)*kgtoGg,IF('Net zero activities &amp; levers'!$C$14="On",('Net zero Activity data'!BM16*EF!$H15)*kgtoGg,"ERROR"))</f>
        <v>1.67</v>
      </c>
      <c r="AU1078" s="93">
        <f>IF('Net zero activities &amp; levers'!$C$14="Off",('Activity data'!BN16*EF!$H15)*kgtoGg,IF('Net zero activities &amp; levers'!$C$14="On",('Net zero Activity data'!BN16*EF!$H15)*kgtoGg,"ERROR"))</f>
        <v>1.67</v>
      </c>
      <c r="AV1078" s="93">
        <f>IF('Net zero activities &amp; levers'!$C$14="Off",('Activity data'!BO16*EF!$H15)*kgtoGg,IF('Net zero activities &amp; levers'!$C$14="On",('Net zero Activity data'!BO16*EF!$H15)*kgtoGg,"ERROR"))</f>
        <v>1.67</v>
      </c>
      <c r="AW1078" s="93">
        <f>IF('Net zero activities &amp; levers'!$C$14="Off",('Activity data'!BP16*EF!$H15)*kgtoGg,IF('Net zero activities &amp; levers'!$C$14="On",('Net zero Activity data'!BP16*EF!$H15)*kgtoGg,"ERROR"))</f>
        <v>1.67</v>
      </c>
      <c r="AY1078" s="79"/>
    </row>
    <row r="1079" spans="1:51" x14ac:dyDescent="0.3">
      <c r="A1079" s="95" t="str">
        <f t="shared" si="373"/>
        <v>CM Swine</v>
      </c>
      <c r="B1079" s="95" t="s">
        <v>1322</v>
      </c>
      <c r="C1079" s="95" t="s">
        <v>155</v>
      </c>
      <c r="D1079" t="s">
        <v>15</v>
      </c>
      <c r="E1079" t="s">
        <v>16</v>
      </c>
      <c r="F1079" t="s">
        <v>21</v>
      </c>
      <c r="G1079" t="s">
        <v>122</v>
      </c>
      <c r="H1079" t="s">
        <v>1020</v>
      </c>
      <c r="I1079" t="s">
        <v>121</v>
      </c>
      <c r="J1079" t="s">
        <v>286</v>
      </c>
      <c r="K1079" s="93">
        <f>IF('Net zero activities &amp; levers'!$C$14="Off",('Activity data'!AD17*EF!$H16)*kgtoGg,IF('Net zero activities &amp; levers'!$C$14="On",('Net zero Activity data'!AD17*EF!$H16)*kgtoGg,"ERROR"))</f>
        <v>1.8400999552016302</v>
      </c>
      <c r="L1079" s="93">
        <f>IF('Net zero activities &amp; levers'!$C$14="Off",('Activity data'!AE17*EF!$H16)*kgtoGg,IF('Net zero activities &amp; levers'!$C$14="On",('Net zero Activity data'!AE17*EF!$H16)*kgtoGg,"ERROR"))</f>
        <v>1.8300977880312246</v>
      </c>
      <c r="M1079" s="93">
        <f>IF('Net zero activities &amp; levers'!$C$14="Off",('Activity data'!AF17*EF!$H16)*kgtoGg,IF('Net zero activities &amp; levers'!$C$14="On",('Net zero Activity data'!AF17*EF!$H16)*kgtoGg,"ERROR"))</f>
        <v>1.8309187348828151</v>
      </c>
      <c r="N1079" s="93">
        <f>IF('Net zero activities &amp; levers'!$C$14="Off",('Activity data'!AG17*EF!$H16)*kgtoGg,IF('Net zero activities &amp; levers'!$C$14="On",('Net zero Activity data'!AG17*EF!$H16)*kgtoGg,"ERROR"))</f>
        <v>1.8141094978660448</v>
      </c>
      <c r="O1079" s="93">
        <f>IF('Net zero activities &amp; levers'!$C$14="Off",('Activity data'!AH17*EF!$H16)*kgtoGg,IF('Net zero activities &amp; levers'!$C$14="On",('Net zero Activity data'!AH17*EF!$H16)*kgtoGg,"ERROR"))</f>
        <v>1.7866561368117295</v>
      </c>
      <c r="P1079" s="93">
        <f>IF('Net zero activities &amp; levers'!$C$14="Off",('Activity data'!AI17*EF!$H16)*kgtoGg,IF('Net zero activities &amp; levers'!$C$14="On",('Net zero Activity data'!AI17*EF!$H16)*kgtoGg,"ERROR"))</f>
        <v>1.7489975228040078</v>
      </c>
      <c r="Q1079" s="93">
        <f>IF('Net zero activities &amp; levers'!$C$14="Off",('Activity data'!AJ17*EF!$H16)*kgtoGg,IF('Net zero activities &amp; levers'!$C$14="On",('Net zero Activity data'!AJ17*EF!$H16)*kgtoGg,"ERROR"))</f>
        <v>1.721653192801009</v>
      </c>
      <c r="R1079" s="93">
        <f>IF('Net zero activities &amp; levers'!$C$14="Off",('Activity data'!AK17*EF!$H16)*kgtoGg,IF('Net zero activities &amp; levers'!$C$14="On",('Net zero Activity data'!AK17*EF!$H16)*kgtoGg,"ERROR"))</f>
        <v>1.6967284692901872</v>
      </c>
      <c r="S1079" s="93">
        <f>IF('Net zero activities &amp; levers'!$C$14="Off",('Activity data'!AL17*EF!$H16)*kgtoGg,IF('Net zero activities &amp; levers'!$C$14="On",('Net zero Activity data'!AL17*EF!$H16)*kgtoGg,"ERROR"))</f>
        <v>1.4981262376638635</v>
      </c>
      <c r="T1079" s="93">
        <f>IF('Net zero activities &amp; levers'!$C$14="Off",('Activity data'!AM17*EF!$H16)*kgtoGg,IF('Net zero activities &amp; levers'!$C$14="On",('Net zero Activity data'!AM17*EF!$H16)*kgtoGg,"ERROR"))</f>
        <v>1.5170710584409277</v>
      </c>
      <c r="U1079" s="93">
        <f>IF('Net zero activities &amp; levers'!$C$14="Off",('Activity data'!AN17*EF!$H16)*kgtoGg,IF('Net zero activities &amp; levers'!$C$14="On",('Net zero Activity data'!AN17*EF!$H16)*kgtoGg,"ERROR"))</f>
        <v>1.5577229248664515</v>
      </c>
      <c r="V1079" s="93">
        <f>IF('Net zero activities &amp; levers'!$C$14="Off",('Activity data'!AO17*EF!$H16)*kgtoGg,IF('Net zero activities &amp; levers'!$C$14="On",('Net zero Activity data'!AO17*EF!$H16)*kgtoGg,"ERROR"))</f>
        <v>1.561413903145964</v>
      </c>
      <c r="W1079" s="93">
        <f>IF('Net zero activities &amp; levers'!$C$14="Off",('Activity data'!AP17*EF!$H16)*kgtoGg,IF('Net zero activities &amp; levers'!$C$14="On",('Net zero Activity data'!AP17*EF!$H16)*kgtoGg,"ERROR"))</f>
        <v>1.5694069216965754</v>
      </c>
      <c r="X1079" s="93">
        <f>IF('Net zero activities &amp; levers'!$C$14="Off",('Activity data'!AQ17*EF!$H16)*kgtoGg,IF('Net zero activities &amp; levers'!$C$14="On",('Net zero Activity data'!AQ17*EF!$H16)*kgtoGg,"ERROR"))</f>
        <v>1.5828459974443794</v>
      </c>
      <c r="Y1079" s="93">
        <f>IF('Net zero activities &amp; levers'!$C$14="Off",('Activity data'!AR17*EF!$H16)*kgtoGg,IF('Net zero activities &amp; levers'!$C$14="On",('Net zero Activity data'!AR17*EF!$H16)*kgtoGg,"ERROR"))</f>
        <v>1.5997093513071265</v>
      </c>
      <c r="Z1079" s="93">
        <f>IF('Net zero activities &amp; levers'!$C$14="Off",('Activity data'!AS17*EF!$H16)*kgtoGg,IF('Net zero activities &amp; levers'!$C$14="On",('Net zero Activity data'!AS17*EF!$H16)*kgtoGg,"ERROR"))</f>
        <v>1.6203739618637112</v>
      </c>
      <c r="AA1079" s="93">
        <f>IF('Net zero activities &amp; levers'!$C$14="Off",('Activity data'!AT17*EF!$H16)*kgtoGg,IF('Net zero activities &amp; levers'!$C$14="On",('Net zero Activity data'!AT17*EF!$H16)*kgtoGg,"ERROR"))</f>
        <v>1.6412802243411935</v>
      </c>
      <c r="AB1079" s="93">
        <f>IF('Net zero activities &amp; levers'!$C$14="Off",('Activity data'!AU17*EF!$H16)*kgtoGg,IF('Net zero activities &amp; levers'!$C$14="On",('Net zero Activity data'!AU17*EF!$H16)*kgtoGg,"ERROR"))</f>
        <v>1.6654174874794287</v>
      </c>
      <c r="AC1079" s="93">
        <f>IF('Net zero activities &amp; levers'!$C$14="Off",('Activity data'!AV17*EF!$H16)*kgtoGg,IF('Net zero activities &amp; levers'!$C$14="On",('Net zero Activity data'!AV17*EF!$H16)*kgtoGg,"ERROR"))</f>
        <v>1.6893881557889758</v>
      </c>
      <c r="AD1079" s="93">
        <f>IF('Net zero activities &amp; levers'!$C$14="Off",('Activity data'!AW17*EF!$H16)*kgtoGg,IF('Net zero activities &amp; levers'!$C$14="On",('Net zero Activity data'!AW17*EF!$H16)*kgtoGg,"ERROR"))</f>
        <v>1.7191899551215701</v>
      </c>
      <c r="AE1079" s="93">
        <f>IF('Net zero activities &amp; levers'!$C$14="Off",('Activity data'!AX17*EF!$H16)*kgtoGg,IF('Net zero activities &amp; levers'!$C$14="On",('Net zero Activity data'!AX17*EF!$H16)*kgtoGg,"ERROR"))</f>
        <v>1.7466246880722003</v>
      </c>
      <c r="AF1079" s="93">
        <f>IF('Net zero activities &amp; levers'!$C$14="Off",('Activity data'!AY17*EF!$H16)*kgtoGg,IF('Net zero activities &amp; levers'!$C$14="On",('Net zero Activity data'!AY17*EF!$H16)*kgtoGg,"ERROR"))</f>
        <v>1.7758174373307805</v>
      </c>
      <c r="AG1079" s="93">
        <f>IF('Net zero activities &amp; levers'!$C$14="Off",('Activity data'!AZ17*EF!$H16)*kgtoGg,IF('Net zero activities &amp; levers'!$C$14="On",('Net zero Activity data'!AZ17*EF!$H16)*kgtoGg,"ERROR"))</f>
        <v>1.8114287830343814</v>
      </c>
      <c r="AH1079" s="93">
        <f>IF('Net zero activities &amp; levers'!$C$14="Off",('Activity data'!BA17*EF!$H16)*kgtoGg,IF('Net zero activities &amp; levers'!$C$14="On",('Net zero Activity data'!BA17*EF!$H16)*kgtoGg,"ERROR"))</f>
        <v>1.8420072235043694</v>
      </c>
      <c r="AI1079" s="93">
        <f>IF('Net zero activities &amp; levers'!$C$14="Off",('Activity data'!BB17*EF!$H16)*kgtoGg,IF('Net zero activities &amp; levers'!$C$14="On",('Net zero Activity data'!BB17*EF!$H16)*kgtoGg,"ERROR"))</f>
        <v>1.8750119445784728</v>
      </c>
      <c r="AJ1079" s="93">
        <f>IF('Net zero activities &amp; levers'!$C$14="Off",('Activity data'!BC17*EF!$H16)*kgtoGg,IF('Net zero activities &amp; levers'!$C$14="On",('Net zero Activity data'!BC17*EF!$H16)*kgtoGg,"ERROR"))</f>
        <v>1.9108329767517882</v>
      </c>
      <c r="AK1079" s="93">
        <f>IF('Net zero activities &amp; levers'!$C$14="Off",('Activity data'!BD17*EF!$H16)*kgtoGg,IF('Net zero activities &amp; levers'!$C$14="On",('Net zero Activity data'!BD17*EF!$H16)*kgtoGg,"ERROR"))</f>
        <v>1.940715836653381</v>
      </c>
      <c r="AL1079" s="93">
        <f>IF('Net zero activities &amp; levers'!$C$14="Off",('Activity data'!BE17*EF!$H16)*kgtoGg,IF('Net zero activities &amp; levers'!$C$14="On",('Net zero Activity data'!BE17*EF!$H16)*kgtoGg,"ERROR"))</f>
        <v>1.9687395447209077</v>
      </c>
      <c r="AM1079" s="93">
        <f>IF('Net zero activities &amp; levers'!$C$14="Off",('Activity data'!BF17*EF!$H16)*kgtoGg,IF('Net zero activities &amp; levers'!$C$14="On",('Net zero Activity data'!BF17*EF!$H16)*kgtoGg,"ERROR"))</f>
        <v>1.9951301179393999</v>
      </c>
      <c r="AN1079" s="93">
        <f>IF('Net zero activities &amp; levers'!$C$14="Off",('Activity data'!BG17*EF!$H16)*kgtoGg,IF('Net zero activities &amp; levers'!$C$14="On",('Net zero Activity data'!BG17*EF!$H16)*kgtoGg,"ERROR"))</f>
        <v>2.0256022791934827</v>
      </c>
      <c r="AO1079" s="93">
        <f>IF('Net zero activities &amp; levers'!$C$14="Off",('Activity data'!BH17*EF!$H16)*kgtoGg,IF('Net zero activities &amp; levers'!$C$14="On",('Net zero Activity data'!BH17*EF!$H16)*kgtoGg,"ERROR"))</f>
        <v>2.0520329509348483</v>
      </c>
      <c r="AP1079" s="93">
        <f>IF('Net zero activities &amp; levers'!$C$14="Off",('Activity data'!BI17*EF!$H16)*kgtoGg,IF('Net zero activities &amp; levers'!$C$14="On",('Net zero Activity data'!BI17*EF!$H16)*kgtoGg,"ERROR"))</f>
        <v>2.0793161183803317</v>
      </c>
      <c r="AQ1079" s="93">
        <f>IF('Net zero activities &amp; levers'!$C$14="Off",('Activity data'!BJ17*EF!$H16)*kgtoGg,IF('Net zero activities &amp; levers'!$C$14="On",('Net zero Activity data'!BJ17*EF!$H16)*kgtoGg,"ERROR"))</f>
        <v>2.1076575721978217</v>
      </c>
      <c r="AR1079" s="93">
        <f>IF('Net zero activities &amp; levers'!$C$14="Off",('Activity data'!BK17*EF!$H16)*kgtoGg,IF('Net zero activities &amp; levers'!$C$14="On",('Net zero Activity data'!BK17*EF!$H16)*kgtoGg,"ERROR"))</f>
        <v>2.1374119347182106</v>
      </c>
      <c r="AS1079" s="93">
        <f>IF('Net zero activities &amp; levers'!$C$14="Off",('Activity data'!BL17*EF!$H16)*kgtoGg,IF('Net zero activities &amp; levers'!$C$14="On",('Net zero Activity data'!BL17*EF!$H16)*kgtoGg,"ERROR"))</f>
        <v>2.1686559884141765</v>
      </c>
      <c r="AT1079" s="93">
        <f>IF('Net zero activities &amp; levers'!$C$14="Off",('Activity data'!BM17*EF!$H16)*kgtoGg,IF('Net zero activities &amp; levers'!$C$14="On",('Net zero Activity data'!BM17*EF!$H16)*kgtoGg,"ERROR"))</f>
        <v>2.149643552660391</v>
      </c>
      <c r="AU1079" s="93">
        <f>IF('Net zero activities &amp; levers'!$C$14="Off",('Activity data'!BN17*EF!$H16)*kgtoGg,IF('Net zero activities &amp; levers'!$C$14="On",('Net zero Activity data'!BN17*EF!$H16)*kgtoGg,"ERROR"))</f>
        <v>2.1262374260968961</v>
      </c>
      <c r="AV1079" s="93">
        <f>IF('Net zero activities &amp; levers'!$C$14="Off",('Activity data'!BO17*EF!$H16)*kgtoGg,IF('Net zero activities &amp; levers'!$C$14="On",('Net zero Activity data'!BO17*EF!$H16)*kgtoGg,"ERROR"))</f>
        <v>2.0967029621040374</v>
      </c>
      <c r="AW1079" s="93">
        <f>IF('Net zero activities &amp; levers'!$C$14="Off",('Activity data'!BP17*EF!$H16)*kgtoGg,IF('Net zero activities &amp; levers'!$C$14="On",('Net zero Activity data'!BP17*EF!$H16)*kgtoGg,"ERROR"))</f>
        <v>2.0657200323386067</v>
      </c>
      <c r="AY1079" s="79"/>
    </row>
    <row r="1080" spans="1:51" x14ac:dyDescent="0.3">
      <c r="A1080" s="95" t="str">
        <f t="shared" si="373"/>
        <v>CM Swine</v>
      </c>
      <c r="B1080" s="95" t="s">
        <v>1322</v>
      </c>
      <c r="C1080" s="95" t="s">
        <v>155</v>
      </c>
      <c r="D1080" t="s">
        <v>15</v>
      </c>
      <c r="E1080" t="s">
        <v>16</v>
      </c>
      <c r="F1080" t="s">
        <v>21</v>
      </c>
      <c r="G1080" t="s">
        <v>123</v>
      </c>
      <c r="H1080" t="s">
        <v>1020</v>
      </c>
      <c r="I1080" t="s">
        <v>121</v>
      </c>
      <c r="J1080" t="s">
        <v>286</v>
      </c>
      <c r="K1080" s="93">
        <f>IF('Net zero activities &amp; levers'!$C$14="Off",('Activity data'!AD18*EF!$H17)*kgtoGg,IF('Net zero activities &amp; levers'!$C$14="On",('Net zero Activity data'!AD18*EF!$H17)*kgtoGg,"ERROR"))</f>
        <v>0.25496723934882604</v>
      </c>
      <c r="L1080" s="93">
        <f>IF('Net zero activities &amp; levers'!$C$14="Off",('Activity data'!AE18*EF!$H17)*kgtoGg,IF('Net zero activities &amp; levers'!$C$14="On",('Net zero Activity data'!AE18*EF!$H17)*kgtoGg,"ERROR"))</f>
        <v>0.25358132281546886</v>
      </c>
      <c r="M1080" s="93">
        <f>IF('Net zero activities &amp; levers'!$C$14="Off",('Activity data'!AF18*EF!$H17)*kgtoGg,IF('Net zero activities &amp; levers'!$C$14="On",('Net zero Activity data'!AF18*EF!$H17)*kgtoGg,"ERROR"))</f>
        <v>0.25369507454499335</v>
      </c>
      <c r="N1080" s="93">
        <f>IF('Net zero activities &amp; levers'!$C$14="Off",('Activity data'!AG18*EF!$H17)*kgtoGg,IF('Net zero activities &amp; levers'!$C$14="On",('Net zero Activity data'!AG18*EF!$H17)*kgtoGg,"ERROR"))</f>
        <v>0.25136595935447842</v>
      </c>
      <c r="O1080" s="93">
        <f>IF('Net zero activities &amp; levers'!$C$14="Off",('Activity data'!AH18*EF!$H17)*kgtoGg,IF('Net zero activities &amp; levers'!$C$14="On",('Net zero Activity data'!AH18*EF!$H17)*kgtoGg,"ERROR"))</f>
        <v>0.247561977044127</v>
      </c>
      <c r="P1080" s="93">
        <f>IF('Net zero activities &amp; levers'!$C$14="Off",('Activity data'!AI18*EF!$H17)*kgtoGg,IF('Net zero activities &amp; levers'!$C$14="On",('Net zero Activity data'!AI18*EF!$H17)*kgtoGg,"ERROR"))</f>
        <v>0.24234393830437836</v>
      </c>
      <c r="Q1080" s="93">
        <f>IF('Net zero activities &amp; levers'!$C$14="Off",('Activity data'!AJ18*EF!$H17)*kgtoGg,IF('Net zero activities &amp; levers'!$C$14="On",('Net zero Activity data'!AJ18*EF!$H17)*kgtoGg,"ERROR"))</f>
        <v>0.23855506351363695</v>
      </c>
      <c r="R1080" s="93">
        <f>IF('Net zero activities &amp; levers'!$C$14="Off",('Activity data'!AK18*EF!$H17)*kgtoGg,IF('Net zero activities &amp; levers'!$C$14="On",('Net zero Activity data'!AK18*EF!$H17)*kgtoGg,"ERROR"))</f>
        <v>0.23510145332951485</v>
      </c>
      <c r="S1080" s="93">
        <f>IF('Net zero activities &amp; levers'!$C$14="Off",('Activity data'!AL18*EF!$H17)*kgtoGg,IF('Net zero activities &amp; levers'!$C$14="On",('Net zero Activity data'!AL18*EF!$H17)*kgtoGg,"ERROR"))</f>
        <v>0.2075828054521873</v>
      </c>
      <c r="T1080" s="93">
        <f>IF('Net zero activities &amp; levers'!$C$14="Off",('Activity data'!AM18*EF!$H17)*kgtoGg,IF('Net zero activities &amp; levers'!$C$14="On",('Net zero Activity data'!AM18*EF!$H17)*kgtoGg,"ERROR"))</f>
        <v>0.21020783059814849</v>
      </c>
      <c r="U1080" s="93">
        <f>IF('Net zero activities &amp; levers'!$C$14="Off",('Activity data'!AN18*EF!$H17)*kgtoGg,IF('Net zero activities &amp; levers'!$C$14="On",('Net zero Activity data'!AN18*EF!$H17)*kgtoGg,"ERROR"))</f>
        <v>0.21584061925595663</v>
      </c>
      <c r="V1080" s="93">
        <f>IF('Net zero activities &amp; levers'!$C$14="Off",('Activity data'!AO18*EF!$H17)*kgtoGg,IF('Net zero activities &amp; levers'!$C$14="On",('Net zero Activity data'!AO18*EF!$H17)*kgtoGg,"ERROR"))</f>
        <v>0.21635204720298934</v>
      </c>
      <c r="W1080" s="93">
        <f>IF('Net zero activities &amp; levers'!$C$14="Off",('Activity data'!AP18*EF!$H17)*kgtoGg,IF('Net zero activities &amp; levers'!$C$14="On",('Net zero Activity data'!AP18*EF!$H17)*kgtoGg,"ERROR"))</f>
        <v>0.21745957283938341</v>
      </c>
      <c r="X1080" s="93">
        <f>IF('Net zero activities &amp; levers'!$C$14="Off",('Activity data'!AQ18*EF!$H17)*kgtoGg,IF('Net zero activities &amp; levers'!$C$14="On",('Net zero Activity data'!AQ18*EF!$H17)*kgtoGg,"ERROR"))</f>
        <v>0.21932171300906883</v>
      </c>
      <c r="Y1080" s="93">
        <f>IF('Net zero activities &amp; levers'!$C$14="Off",('Activity data'!AR18*EF!$H17)*kgtoGg,IF('Net zero activities &amp; levers'!$C$14="On",('Net zero Activity data'!AR18*EF!$H17)*kgtoGg,"ERROR"))</f>
        <v>0.22165832671768446</v>
      </c>
      <c r="Z1080" s="93">
        <f>IF('Net zero activities &amp; levers'!$C$14="Off",('Activity data'!AS18*EF!$H17)*kgtoGg,IF('Net zero activities &amp; levers'!$C$14="On",('Net zero Activity data'!AS18*EF!$H17)*kgtoGg,"ERROR"))</f>
        <v>0.22452164872958766</v>
      </c>
      <c r="AA1080" s="93">
        <f>IF('Net zero activities &amp; levers'!$C$14="Off",('Activity data'!AT18*EF!$H17)*kgtoGg,IF('Net zero activities &amp; levers'!$C$14="On",('Net zero Activity data'!AT18*EF!$H17)*kgtoGg,"ERROR"))</f>
        <v>0.22741845442425518</v>
      </c>
      <c r="AB1080" s="93">
        <f>IF('Net zero activities &amp; levers'!$C$14="Off",('Activity data'!AU18*EF!$H17)*kgtoGg,IF('Net zero activities &amp; levers'!$C$14="On",('Net zero Activity data'!AU18*EF!$H17)*kgtoGg,"ERROR"))</f>
        <v>0.23076295281978809</v>
      </c>
      <c r="AC1080" s="93">
        <f>IF('Net zero activities &amp; levers'!$C$14="Off",('Activity data'!AV18*EF!$H17)*kgtoGg,IF('Net zero activities &amp; levers'!$C$14="On",('Net zero Activity data'!AV18*EF!$H17)*kgtoGg,"ERROR"))</f>
        <v>0.23408436756519632</v>
      </c>
      <c r="AD1080" s="93">
        <f>IF('Net zero activities &amp; levers'!$C$14="Off",('Activity data'!AW18*EF!$H17)*kgtoGg,IF('Net zero activities &amp; levers'!$C$14="On",('Net zero Activity data'!AW18*EF!$H17)*kgtoGg,"ERROR"))</f>
        <v>0.23821375329882435</v>
      </c>
      <c r="AE1080" s="93">
        <f>IF('Net zero activities &amp; levers'!$C$14="Off",('Activity data'!AX18*EF!$H17)*kgtoGg,IF('Net zero activities &amp; levers'!$C$14="On",('Net zero Activity data'!AX18*EF!$H17)*kgtoGg,"ERROR"))</f>
        <v>0.24201515446886457</v>
      </c>
      <c r="AF1080" s="93">
        <f>IF('Net zero activities &amp; levers'!$C$14="Off",('Activity data'!AY18*EF!$H17)*kgtoGg,IF('Net zero activities &amp; levers'!$C$14="On",('Net zero Activity data'!AY18*EF!$H17)*kgtoGg,"ERROR"))</f>
        <v>0.24606014923473155</v>
      </c>
      <c r="AG1080" s="93">
        <f>IF('Net zero activities &amp; levers'!$C$14="Off",('Activity data'!AZ18*EF!$H17)*kgtoGg,IF('Net zero activities &amp; levers'!$C$14="On",('Net zero Activity data'!AZ18*EF!$H17)*kgtoGg,"ERROR"))</f>
        <v>0.2509945151521249</v>
      </c>
      <c r="AH1080" s="93">
        <f>IF('Net zero activities &amp; levers'!$C$14="Off",('Activity data'!BA18*EF!$H17)*kgtoGg,IF('Net zero activities &amp; levers'!$C$14="On",('Net zero Activity data'!BA18*EF!$H17)*kgtoGg,"ERROR"))</f>
        <v>0.25523151354353607</v>
      </c>
      <c r="AI1080" s="93">
        <f>IF('Net zero activities &amp; levers'!$C$14="Off",('Activity data'!BB18*EF!$H17)*kgtoGg,IF('Net zero activities &amp; levers'!$C$14="On",('Net zero Activity data'!BB18*EF!$H17)*kgtoGg,"ERROR"))</f>
        <v>0.25980470131736011</v>
      </c>
      <c r="AJ1080" s="93">
        <f>IF('Net zero activities &amp; levers'!$C$14="Off",('Activity data'!BC18*EF!$H17)*kgtoGg,IF('Net zero activities &amp; levers'!$C$14="On",('Net zero Activity data'!BC18*EF!$H17)*kgtoGg,"ERROR"))</f>
        <v>0.26476812173266839</v>
      </c>
      <c r="AK1080" s="93">
        <f>IF('Net zero activities &amp; levers'!$C$14="Off",('Activity data'!BD18*EF!$H17)*kgtoGg,IF('Net zero activities &amp; levers'!$C$14="On",('Net zero Activity data'!BD18*EF!$H17)*kgtoGg,"ERROR"))</f>
        <v>0.26890873935043363</v>
      </c>
      <c r="AL1080" s="93">
        <f>IF('Net zero activities &amp; levers'!$C$14="Off",('Activity data'!BE18*EF!$H17)*kgtoGg,IF('Net zero activities &amp; levers'!$C$14="On",('Net zero Activity data'!BE18*EF!$H17)*kgtoGg,"ERROR"))</f>
        <v>0.27279174986956156</v>
      </c>
      <c r="AM1080" s="93">
        <f>IF('Net zero activities &amp; levers'!$C$14="Off",('Activity data'!BF18*EF!$H17)*kgtoGg,IF('Net zero activities &amp; levers'!$C$14="On",('Net zero Activity data'!BF18*EF!$H17)*kgtoGg,"ERROR"))</f>
        <v>0.27644847057070121</v>
      </c>
      <c r="AN1080" s="93">
        <f>IF('Net zero activities &amp; levers'!$C$14="Off",('Activity data'!BG18*EF!$H17)*kgtoGg,IF('Net zero activities &amp; levers'!$C$14="On",('Net zero Activity data'!BG18*EF!$H17)*kgtoGg,"ERROR"))</f>
        <v>0.28067074274128789</v>
      </c>
      <c r="AO1080" s="93">
        <f>IF('Net zero activities &amp; levers'!$C$14="Off",('Activity data'!BH18*EF!$H17)*kgtoGg,IF('Net zero activities &amp; levers'!$C$14="On",('Net zero Activity data'!BH18*EF!$H17)*kgtoGg,"ERROR"))</f>
        <v>0.28433301955890389</v>
      </c>
      <c r="AP1080" s="93">
        <f>IF('Net zero activities &amp; levers'!$C$14="Off",('Activity data'!BI18*EF!$H17)*kgtoGg,IF('Net zero activities &amp; levers'!$C$14="On",('Net zero Activity data'!BI18*EF!$H17)*kgtoGg,"ERROR"))</f>
        <v>0.28811341956630698</v>
      </c>
      <c r="AQ1080" s="93">
        <f>IF('Net zero activities &amp; levers'!$C$14="Off",('Activity data'!BJ18*EF!$H17)*kgtoGg,IF('Net zero activities &amp; levers'!$C$14="On",('Net zero Activity data'!BJ18*EF!$H17)*kgtoGg,"ERROR"))</f>
        <v>0.29204045745278195</v>
      </c>
      <c r="AR1080" s="93">
        <f>IF('Net zero activities &amp; levers'!$C$14="Off",('Activity data'!BK18*EF!$H17)*kgtoGg,IF('Net zero activities &amp; levers'!$C$14="On",('Net zero Activity data'!BK18*EF!$H17)*kgtoGg,"ERROR"))</f>
        <v>0.29616327026464162</v>
      </c>
      <c r="AS1080" s="93">
        <f>IF('Net zero activities &amp; levers'!$C$14="Off",('Activity data'!BL18*EF!$H17)*kgtoGg,IF('Net zero activities &amp; levers'!$C$14="On",('Net zero Activity data'!BL18*EF!$H17)*kgtoGg,"ERROR"))</f>
        <v>0.30049249710604664</v>
      </c>
      <c r="AT1080" s="93">
        <f>IF('Net zero activities &amp; levers'!$C$14="Off",('Activity data'!BM18*EF!$H17)*kgtoGg,IF('Net zero activities &amp; levers'!$C$14="On",('Net zero Activity data'!BM18*EF!$H17)*kgtoGg,"ERROR"))</f>
        <v>0.2978581031190588</v>
      </c>
      <c r="AU1080" s="93">
        <f>IF('Net zero activities &amp; levers'!$C$14="Off",('Activity data'!BN18*EF!$H17)*kgtoGg,IF('Net zero activities &amp; levers'!$C$14="On",('Net zero Activity data'!BN18*EF!$H17)*kgtoGg,"ERROR"))</f>
        <v>0.29461491219517799</v>
      </c>
      <c r="AV1080" s="93">
        <f>IF('Net zero activities &amp; levers'!$C$14="Off",('Activity data'!BO18*EF!$H17)*kgtoGg,IF('Net zero activities &amp; levers'!$C$14="On",('Net zero Activity data'!BO18*EF!$H17)*kgtoGg,"ERROR"))</f>
        <v>0.2905225688805555</v>
      </c>
      <c r="AW1080" s="93">
        <f>IF('Net zero activities &amp; levers'!$C$14="Off",('Activity data'!BP18*EF!$H17)*kgtoGg,IF('Net zero activities &amp; levers'!$C$14="On",('Net zero Activity data'!BP18*EF!$H17)*kgtoGg,"ERROR"))</f>
        <v>0.28622952379520583</v>
      </c>
      <c r="AY1080" s="79"/>
    </row>
    <row r="1081" spans="1:51" x14ac:dyDescent="0.3">
      <c r="A1081" s="95" t="str">
        <f t="shared" si="373"/>
        <v>CM Cattle MMCH4</v>
      </c>
      <c r="B1081" s="95" t="s">
        <v>1322</v>
      </c>
      <c r="C1081" s="95" t="s">
        <v>1229</v>
      </c>
      <c r="D1081" t="s">
        <v>15</v>
      </c>
      <c r="E1081" t="s">
        <v>22</v>
      </c>
      <c r="F1081" t="s">
        <v>6</v>
      </c>
      <c r="G1081" t="s">
        <v>136</v>
      </c>
      <c r="H1081" t="s">
        <v>1227</v>
      </c>
      <c r="I1081" t="s">
        <v>121</v>
      </c>
      <c r="J1081" t="s">
        <v>286</v>
      </c>
      <c r="K1081" s="93">
        <f>IF('Net zero activities &amp; levers'!$C$14="Off",('Activity data'!AD5*EF!$H18)*kgtoGg,IF('Net zero activities &amp; levers'!$C$14="On",('Net zero Activity data'!AD5*EF!$H18)*kgtoGg,"ERROR"))</f>
        <v>7.351330651107908</v>
      </c>
      <c r="L1081" s="93">
        <f>IF('Net zero activities &amp; levers'!$C$14="Off",('Activity data'!AE5*EF!$H18)*kgtoGg,IF('Net zero activities &amp; levers'!$C$14="On",('Net zero Activity data'!AE5*EF!$H18)*kgtoGg,"ERROR"))</f>
        <v>7.392428348789597</v>
      </c>
      <c r="M1081" s="93">
        <f>IF('Net zero activities &amp; levers'!$C$14="Off",('Activity data'!AF5*EF!$H18)*kgtoGg,IF('Net zero activities &amp; levers'!$C$14="On",('Net zero Activity data'!AF5*EF!$H18)*kgtoGg,"ERROR"))</f>
        <v>7.4507389435191715</v>
      </c>
      <c r="N1081" s="93">
        <f>IF('Net zero activities &amp; levers'!$C$14="Off",('Activity data'!AG5*EF!$H18)*kgtoGg,IF('Net zero activities &amp; levers'!$C$14="On",('Net zero Activity data'!AG5*EF!$H18)*kgtoGg,"ERROR"))</f>
        <v>7.4882097119910753</v>
      </c>
      <c r="O1081" s="93">
        <f>IF('Net zero activities &amp; levers'!$C$14="Off",('Activity data'!AH5*EF!$H18)*kgtoGg,IF('Net zero activities &amp; levers'!$C$14="On",('Net zero Activity data'!AH5*EF!$H18)*kgtoGg,"ERROR"))</f>
        <v>7.5131092090175429</v>
      </c>
      <c r="P1081" s="93">
        <f>IF('Net zero activities &amp; levers'!$C$14="Off",('Activity data'!AI5*EF!$H18)*kgtoGg,IF('Net zero activities &amp; levers'!$C$14="On",('Net zero Activity data'!AI5*EF!$H18)*kgtoGg,"ERROR"))</f>
        <v>7.5251923679492405</v>
      </c>
      <c r="Q1081" s="93">
        <f>IF('Net zero activities &amp; levers'!$C$14="Off",('Activity data'!AJ5*EF!$H18)*kgtoGg,IF('Net zero activities &amp; levers'!$C$14="On",('Net zero Activity data'!AJ5*EF!$H18)*kgtoGg,"ERROR"))</f>
        <v>7.5518885629203734</v>
      </c>
      <c r="R1081" s="93">
        <f>IF('Net zero activities &amp; levers'!$C$14="Off",('Activity data'!AK5*EF!$H18)*kgtoGg,IF('Net zero activities &amp; levers'!$C$14="On",('Net zero Activity data'!AK5*EF!$H18)*kgtoGg,"ERROR"))</f>
        <v>7.5825135825669046</v>
      </c>
      <c r="S1081" s="93">
        <f>IF('Net zero activities &amp; levers'!$C$14="Off",('Activity data'!AL5*EF!$H18)*kgtoGg,IF('Net zero activities &amp; levers'!$C$14="On",('Net zero Activity data'!AL5*EF!$H18)*kgtoGg,"ERROR"))</f>
        <v>7.3545862604907306</v>
      </c>
      <c r="T1081" s="93">
        <f>IF('Net zero activities &amp; levers'!$C$14="Off",('Activity data'!AM5*EF!$H18)*kgtoGg,IF('Net zero activities &amp; levers'!$C$14="On",('Net zero Activity data'!AM5*EF!$H18)*kgtoGg,"ERROR"))</f>
        <v>7.4319206101094348</v>
      </c>
      <c r="U1081" s="93">
        <f>IF('Net zero activities &amp; levers'!$C$14="Off",('Activity data'!AN5*EF!$H18)*kgtoGg,IF('Net zero activities &amp; levers'!$C$14="On",('Net zero Activity data'!AN5*EF!$H18)*kgtoGg,"ERROR"))</f>
        <v>7.5451176350008202</v>
      </c>
      <c r="V1081" s="93">
        <f>IF('Net zero activities &amp; levers'!$C$14="Off",('Activity data'!AO5*EF!$H18)*kgtoGg,IF('Net zero activities &amp; levers'!$C$14="On",('Net zero Activity data'!AO5*EF!$H18)*kgtoGg,"ERROR"))</f>
        <v>7.6037903760515064</v>
      </c>
      <c r="W1081" s="93">
        <f>IF('Net zero activities &amp; levers'!$C$14="Off",('Activity data'!AP5*EF!$H18)*kgtoGg,IF('Net zero activities &amp; levers'!$C$14="On",('Net zero Activity data'!AP5*EF!$H18)*kgtoGg,"ERROR"))</f>
        <v>7.6708455087945229</v>
      </c>
      <c r="X1081" s="93">
        <f>IF('Net zero activities &amp; levers'!$C$14="Off",('Activity data'!AQ5*EF!$H18)*kgtoGg,IF('Net zero activities &amp; levers'!$C$14="On",('Net zero Activity data'!AQ5*EF!$H18)*kgtoGg,"ERROR"))</f>
        <v>7.748454799455617</v>
      </c>
      <c r="Y1081" s="93">
        <f>IF('Net zero activities &amp; levers'!$C$14="Off",('Activity data'!AR5*EF!$H18)*kgtoGg,IF('Net zero activities &amp; levers'!$C$14="On",('Net zero Activity data'!AR5*EF!$H18)*kgtoGg,"ERROR"))</f>
        <v>7.8277085285324004</v>
      </c>
      <c r="Z1081" s="93">
        <f>IF('Net zero activities &amp; levers'!$C$14="Off",('Activity data'!AS5*EF!$H18)*kgtoGg,IF('Net zero activities &amp; levers'!$C$14="On",('Net zero Activity data'!AS5*EF!$H18)*kgtoGg,"ERROR"))</f>
        <v>7.9154321855609755</v>
      </c>
      <c r="AA1081" s="93">
        <f>IF('Net zero activities &amp; levers'!$C$14="Off",('Activity data'!AT5*EF!$H18)*kgtoGg,IF('Net zero activities &amp; levers'!$C$14="On",('Net zero Activity data'!AT5*EF!$H18)*kgtoGg,"ERROR"))</f>
        <v>8.0058732816474745</v>
      </c>
      <c r="AB1081" s="93">
        <f>IF('Net zero activities &amp; levers'!$C$14="Off",('Activity data'!AU5*EF!$H18)*kgtoGg,IF('Net zero activities &amp; levers'!$C$14="On",('Net zero Activity data'!AU5*EF!$H18)*kgtoGg,"ERROR"))</f>
        <v>8.10422418278708</v>
      </c>
      <c r="AC1081" s="93">
        <f>IF('Net zero activities &amp; levers'!$C$14="Off",('Activity data'!AV5*EF!$H18)*kgtoGg,IF('Net zero activities &amp; levers'!$C$14="On",('Net zero Activity data'!AV5*EF!$H18)*kgtoGg,"ERROR"))</f>
        <v>8.2047936963570631</v>
      </c>
      <c r="AD1081" s="93">
        <f>IF('Net zero activities &amp; levers'!$C$14="Off",('Activity data'!AW5*EF!$H18)*kgtoGg,IF('Net zero activities &amp; levers'!$C$14="On",('Net zero Activity data'!AW5*EF!$H18)*kgtoGg,"ERROR"))</f>
        <v>8.3134419507553705</v>
      </c>
      <c r="AE1081" s="93">
        <f>IF('Net zero activities &amp; levers'!$C$14="Off",('Activity data'!AX5*EF!$H18)*kgtoGg,IF('Net zero activities &amp; levers'!$C$14="On",('Net zero Activity data'!AX5*EF!$H18)*kgtoGg,"ERROR"))</f>
        <v>8.4206197210713736</v>
      </c>
      <c r="AF1081" s="93">
        <f>IF('Net zero activities &amp; levers'!$C$14="Off",('Activity data'!AY5*EF!$H18)*kgtoGg,IF('Net zero activities &amp; levers'!$C$14="On",('Net zero Activity data'!AY5*EF!$H18)*kgtoGg,"ERROR"))</f>
        <v>8.5337450585207524</v>
      </c>
      <c r="AG1081" s="93">
        <f>IF('Net zero activities &amp; levers'!$C$14="Off",('Activity data'!AZ5*EF!$H18)*kgtoGg,IF('Net zero activities &amp; levers'!$C$14="On",('Net zero Activity data'!AZ5*EF!$H18)*kgtoGg,"ERROR"))</f>
        <v>8.6617085162438627</v>
      </c>
      <c r="AH1081" s="93">
        <f>IF('Net zero activities &amp; levers'!$C$14="Off",('Activity data'!BA5*EF!$H18)*kgtoGg,IF('Net zero activities &amp; levers'!$C$14="On",('Net zero Activity data'!BA5*EF!$H18)*kgtoGg,"ERROR"))</f>
        <v>8.7833723342601697</v>
      </c>
      <c r="AI1081" s="93">
        <f>IF('Net zero activities &amp; levers'!$C$14="Off",('Activity data'!BB5*EF!$H18)*kgtoGg,IF('Net zero activities &amp; levers'!$C$14="On",('Net zero Activity data'!BB5*EF!$H18)*kgtoGg,"ERROR"))</f>
        <v>8.9081379352092647</v>
      </c>
      <c r="AJ1081" s="93">
        <f>IF('Net zero activities &amp; levers'!$C$14="Off",('Activity data'!BC5*EF!$H18)*kgtoGg,IF('Net zero activities &amp; levers'!$C$14="On",('Net zero Activity data'!BC5*EF!$H18)*kgtoGg,"ERROR"))</f>
        <v>9.0415690981618067</v>
      </c>
      <c r="AK1081" s="93">
        <f>IF('Net zero activities &amp; levers'!$C$14="Off",('Activity data'!BD5*EF!$H18)*kgtoGg,IF('Net zero activities &amp; levers'!$C$14="On",('Net zero Activity data'!BD5*EF!$H18)*kgtoGg,"ERROR"))</f>
        <v>9.1665780174046034</v>
      </c>
      <c r="AL1081" s="93">
        <f>IF('Net zero activities &amp; levers'!$C$14="Off",('Activity data'!BE5*EF!$H18)*kgtoGg,IF('Net zero activities &amp; levers'!$C$14="On",('Net zero Activity data'!BE5*EF!$H18)*kgtoGg,"ERROR"))</f>
        <v>9.290908547616274</v>
      </c>
      <c r="AM1081" s="93">
        <f>IF('Net zero activities &amp; levers'!$C$14="Off",('Activity data'!BF5*EF!$H18)*kgtoGg,IF('Net zero activities &amp; levers'!$C$14="On",('Net zero Activity data'!BF5*EF!$H18)*kgtoGg,"ERROR"))</f>
        <v>9.414906513410104</v>
      </c>
      <c r="AN1081" s="93">
        <f>IF('Net zero activities &amp; levers'!$C$14="Off",('Activity data'!BG5*EF!$H18)*kgtoGg,IF('Net zero activities &amp; levers'!$C$14="On",('Net zero Activity data'!BG5*EF!$H18)*kgtoGg,"ERROR"))</f>
        <v>9.5460926435688069</v>
      </c>
      <c r="AO1081" s="93">
        <f>IF('Net zero activities &amp; levers'!$C$14="Off",('Activity data'!BH5*EF!$H18)*kgtoGg,IF('Net zero activities &amp; levers'!$C$14="On",('Net zero Activity data'!BH5*EF!$H18)*kgtoGg,"ERROR"))</f>
        <v>9.6720022033758184</v>
      </c>
      <c r="AP1081" s="93">
        <f>IF('Net zero activities &amp; levers'!$C$14="Off",('Activity data'!BI5*EF!$H18)*kgtoGg,IF('Net zero activities &amp; levers'!$C$14="On",('Net zero Activity data'!BI5*EF!$H18)*kgtoGg,"ERROR"))</f>
        <v>9.8028010066851721</v>
      </c>
      <c r="AQ1081" s="93">
        <f>IF('Net zero activities &amp; levers'!$C$14="Off",('Activity data'!BJ5*EF!$H18)*kgtoGg,IF('Net zero activities &amp; levers'!$C$14="On",('Net zero Activity data'!BJ5*EF!$H18)*kgtoGg,"ERROR"))</f>
        <v>9.939085602989195</v>
      </c>
      <c r="AR1081" s="93">
        <f>IF('Net zero activities &amp; levers'!$C$14="Off",('Activity data'!BK5*EF!$H18)*kgtoGg,IF('Net zero activities &amp; levers'!$C$14="On",('Net zero Activity data'!BK5*EF!$H18)*kgtoGg,"ERROR"))</f>
        <v>10.081815307121353</v>
      </c>
      <c r="AS1081" s="93">
        <f>IF('Net zero activities &amp; levers'!$C$14="Off",('Activity data'!BL5*EF!$H18)*kgtoGg,IF('Net zero activities &amp; levers'!$C$14="On",('Net zero Activity data'!BL5*EF!$H18)*kgtoGg,"ERROR"))</f>
        <v>10.227069711733948</v>
      </c>
      <c r="AT1081" s="93">
        <f>IF('Net zero activities &amp; levers'!$C$14="Off",('Activity data'!BM5*EF!$H18)*kgtoGg,IF('Net zero activities &amp; levers'!$C$14="On",('Net zero Activity data'!BM5*EF!$H18)*kgtoGg,"ERROR"))</f>
        <v>10.261508370245586</v>
      </c>
      <c r="AU1081" s="93">
        <f>IF('Net zero activities &amp; levers'!$C$14="Off",('Activity data'!BN5*EF!$H18)*kgtoGg,IF('Net zero activities &amp; levers'!$C$14="On",('Net zero Activity data'!BN5*EF!$H18)*kgtoGg,"ERROR"))</f>
        <v>10.28601825816002</v>
      </c>
      <c r="AV1081" s="93">
        <f>IF('Net zero activities &amp; levers'!$C$14="Off",('Activity data'!BO5*EF!$H18)*kgtoGg,IF('Net zero activities &amp; levers'!$C$14="On",('Net zero Activity data'!BO5*EF!$H18)*kgtoGg,"ERROR"))</f>
        <v>10.296060407046117</v>
      </c>
      <c r="AW1081" s="93">
        <f>IF('Net zero activities &amp; levers'!$C$14="Off",('Activity data'!BP5*EF!$H18)*kgtoGg,IF('Net zero activities &amp; levers'!$C$14="On",('Net zero Activity data'!BP5*EF!$H18)*kgtoGg,"ERROR"))</f>
        <v>10.302124127636974</v>
      </c>
      <c r="AY1081" s="79"/>
    </row>
    <row r="1082" spans="1:51" x14ac:dyDescent="0.3">
      <c r="A1082" s="95" t="str">
        <f t="shared" si="373"/>
        <v>CM Cattle MMCH4</v>
      </c>
      <c r="B1082" s="95" t="s">
        <v>1322</v>
      </c>
      <c r="C1082" s="95" t="s">
        <v>1229</v>
      </c>
      <c r="D1082" t="s">
        <v>15</v>
      </c>
      <c r="E1082" t="s">
        <v>22</v>
      </c>
      <c r="F1082" t="s">
        <v>6</v>
      </c>
      <c r="G1082" t="s">
        <v>137</v>
      </c>
      <c r="H1082" t="s">
        <v>1227</v>
      </c>
      <c r="I1082" t="s">
        <v>121</v>
      </c>
      <c r="J1082" t="s">
        <v>286</v>
      </c>
      <c r="K1082" s="93">
        <f>IF('Net zero activities &amp; levers'!$C$14="Off",('Activity data'!AD6*EF!$H19)*kgtoGg,IF('Net zero activities &amp; levers'!$C$14="On",('Net zero Activity data'!AD6*EF!$H19)*kgtoGg,"ERROR"))</f>
        <v>2.0944490884992821</v>
      </c>
      <c r="L1082" s="93">
        <f>IF('Net zero activities &amp; levers'!$C$14="Off",('Activity data'!AE6*EF!$H19)*kgtoGg,IF('Net zero activities &amp; levers'!$C$14="On",('Net zero Activity data'!AE6*EF!$H19)*kgtoGg,"ERROR"))</f>
        <v>2.1061581299686467</v>
      </c>
      <c r="M1082" s="93">
        <f>IF('Net zero activities &amp; levers'!$C$14="Off",('Activity data'!AF6*EF!$H19)*kgtoGg,IF('Net zero activities &amp; levers'!$C$14="On",('Net zero Activity data'!AF6*EF!$H19)*kgtoGg,"ERROR"))</f>
        <v>2.1227712545548472</v>
      </c>
      <c r="N1082" s="93">
        <f>IF('Net zero activities &amp; levers'!$C$14="Off",('Activity data'!AG6*EF!$H19)*kgtoGg,IF('Net zero activities &amp; levers'!$C$14="On",('Net zero Activity data'!AG6*EF!$H19)*kgtoGg,"ERROR"))</f>
        <v>2.1334469567638776</v>
      </c>
      <c r="O1082" s="93">
        <f>IF('Net zero activities &amp; levers'!$C$14="Off",('Activity data'!AH6*EF!$H19)*kgtoGg,IF('Net zero activities &amp; levers'!$C$14="On",('Net zero Activity data'!AH6*EF!$H19)*kgtoGg,"ERROR"))</f>
        <v>2.1405410097083357</v>
      </c>
      <c r="P1082" s="93">
        <f>IF('Net zero activities &amp; levers'!$C$14="Off",('Activity data'!AI6*EF!$H19)*kgtoGg,IF('Net zero activities &amp; levers'!$C$14="On",('Net zero Activity data'!AI6*EF!$H19)*kgtoGg,"ERROR"))</f>
        <v>2.143983592066792</v>
      </c>
      <c r="Q1082" s="93">
        <f>IF('Net zero activities &amp; levers'!$C$14="Off",('Activity data'!AJ6*EF!$H19)*kgtoGg,IF('Net zero activities &amp; levers'!$C$14="On",('Net zero Activity data'!AJ6*EF!$H19)*kgtoGg,"ERROR"))</f>
        <v>2.151589537694508</v>
      </c>
      <c r="R1082" s="93">
        <f>IF('Net zero activities &amp; levers'!$C$14="Off",('Activity data'!AK6*EF!$H19)*kgtoGg,IF('Net zero activities &amp; levers'!$C$14="On",('Net zero Activity data'!AK6*EF!$H19)*kgtoGg,"ERROR"))</f>
        <v>2.1603148348588084</v>
      </c>
      <c r="S1082" s="93">
        <f>IF('Net zero activities &amp; levers'!$C$14="Off",('Activity data'!AL6*EF!$H19)*kgtoGg,IF('Net zero activities &amp; levers'!$C$14="On",('Net zero Activity data'!AL6*EF!$H19)*kgtoGg,"ERROR"))</f>
        <v>2.0953766359635408</v>
      </c>
      <c r="T1082" s="93">
        <f>IF('Net zero activities &amp; levers'!$C$14="Off",('Activity data'!AM6*EF!$H19)*kgtoGg,IF('Net zero activities &amp; levers'!$C$14="On",('Net zero Activity data'!AM6*EF!$H19)*kgtoGg,"ERROR"))</f>
        <v>2.117409770610283</v>
      </c>
      <c r="U1082" s="93">
        <f>IF('Net zero activities &amp; levers'!$C$14="Off",('Activity data'!AN6*EF!$H19)*kgtoGg,IF('Net zero activities &amp; levers'!$C$14="On",('Net zero Activity data'!AN6*EF!$H19)*kgtoGg,"ERROR"))</f>
        <v>2.149660449685487</v>
      </c>
      <c r="V1082" s="93">
        <f>IF('Net zero activities &amp; levers'!$C$14="Off",('Activity data'!AO6*EF!$H19)*kgtoGg,IF('Net zero activities &amp; levers'!$C$14="On",('Net zero Activity data'!AO6*EF!$H19)*kgtoGg,"ERROR"))</f>
        <v>2.1663767524673299</v>
      </c>
      <c r="W1082" s="93">
        <f>IF('Net zero activities &amp; levers'!$C$14="Off",('Activity data'!AP6*EF!$H19)*kgtoGg,IF('Net zero activities &amp; levers'!$C$14="On",('Net zero Activity data'!AP6*EF!$H19)*kgtoGg,"ERROR"))</f>
        <v>2.1854812613403793</v>
      </c>
      <c r="X1082" s="93">
        <f>IF('Net zero activities &amp; levers'!$C$14="Off",('Activity data'!AQ6*EF!$H19)*kgtoGg,IF('Net zero activities &amp; levers'!$C$14="On",('Net zero Activity data'!AQ6*EF!$H19)*kgtoGg,"ERROR"))</f>
        <v>2.207592728746584</v>
      </c>
      <c r="Y1082" s="93">
        <f>IF('Net zero activities &amp; levers'!$C$14="Off",('Activity data'!AR6*EF!$H19)*kgtoGg,IF('Net zero activities &amp; levers'!$C$14="On",('Net zero Activity data'!AR6*EF!$H19)*kgtoGg,"ERROR"))</f>
        <v>2.23017270895738</v>
      </c>
      <c r="Z1082" s="93">
        <f>IF('Net zero activities &amp; levers'!$C$14="Off",('Activity data'!AS6*EF!$H19)*kgtoGg,IF('Net zero activities &amp; levers'!$C$14="On",('Net zero Activity data'!AS6*EF!$H19)*kgtoGg,"ERROR"))</f>
        <v>2.2551658349944512</v>
      </c>
      <c r="AA1082" s="93">
        <f>IF('Net zero activities &amp; levers'!$C$14="Off",('Activity data'!AT6*EF!$H19)*kgtoGg,IF('Net zero activities &amp; levers'!$C$14="On",('Net zero Activity data'!AT6*EF!$H19)*kgtoGg,"ERROR"))</f>
        <v>2.2809331797448467</v>
      </c>
      <c r="AB1082" s="93">
        <f>IF('Net zero activities &amp; levers'!$C$14="Off",('Activity data'!AU6*EF!$H19)*kgtoGg,IF('Net zero activities &amp; levers'!$C$14="On",('Net zero Activity data'!AU6*EF!$H19)*kgtoGg,"ERROR"))</f>
        <v>2.3089540871181105</v>
      </c>
      <c r="AC1082" s="93">
        <f>IF('Net zero activities &amp; levers'!$C$14="Off",('Activity data'!AV6*EF!$H19)*kgtoGg,IF('Net zero activities &amp; levers'!$C$14="On",('Net zero Activity data'!AV6*EF!$H19)*kgtoGg,"ERROR"))</f>
        <v>2.3376070937674198</v>
      </c>
      <c r="AD1082" s="93">
        <f>IF('Net zero activities &amp; levers'!$C$14="Off",('Activity data'!AW6*EF!$H19)*kgtoGg,IF('Net zero activities &amp; levers'!$C$14="On",('Net zero Activity data'!AW6*EF!$H19)*kgtoGg,"ERROR"))</f>
        <v>2.3685617941055517</v>
      </c>
      <c r="AE1082" s="93">
        <f>IF('Net zero activities &amp; levers'!$C$14="Off",('Activity data'!AX6*EF!$H19)*kgtoGg,IF('Net zero activities &amp; levers'!$C$14="On",('Net zero Activity data'!AX6*EF!$H19)*kgtoGg,"ERROR"))</f>
        <v>2.3990975425298058</v>
      </c>
      <c r="AF1082" s="93">
        <f>IF('Net zero activities &amp; levers'!$C$14="Off",('Activity data'!AY6*EF!$H19)*kgtoGg,IF('Net zero activities &amp; levers'!$C$14="On",('Net zero Activity data'!AY6*EF!$H19)*kgtoGg,"ERROR"))</f>
        <v>2.4313277973165794</v>
      </c>
      <c r="AG1082" s="93">
        <f>IF('Net zero activities &amp; levers'!$C$14="Off",('Activity data'!AZ6*EF!$H19)*kgtoGg,IF('Net zero activities &amp; levers'!$C$14="On",('Net zero Activity data'!AZ6*EF!$H19)*kgtoGg,"ERROR"))</f>
        <v>2.4677855435545331</v>
      </c>
      <c r="AH1082" s="93">
        <f>IF('Net zero activities &amp; levers'!$C$14="Off",('Activity data'!BA6*EF!$H19)*kgtoGg,IF('Net zero activities &amp; levers'!$C$14="On",('Net zero Activity data'!BA6*EF!$H19)*kgtoGg,"ERROR"))</f>
        <v>2.5024484753203891</v>
      </c>
      <c r="AI1082" s="93">
        <f>IF('Net zero activities &amp; levers'!$C$14="Off",('Activity data'!BB6*EF!$H19)*kgtoGg,IF('Net zero activities &amp; levers'!$C$14="On",('Net zero Activity data'!BB6*EF!$H19)*kgtoGg,"ERROR"))</f>
        <v>2.5379951282443072</v>
      </c>
      <c r="AJ1082" s="93">
        <f>IF('Net zero activities &amp; levers'!$C$14="Off",('Activity data'!BC6*EF!$H19)*kgtoGg,IF('Net zero activities &amp; levers'!$C$14="On",('Net zero Activity data'!BC6*EF!$H19)*kgtoGg,"ERROR"))</f>
        <v>2.5760106645991079</v>
      </c>
      <c r="AK1082" s="93">
        <f>IF('Net zero activities &amp; levers'!$C$14="Off",('Activity data'!BD6*EF!$H19)*kgtoGg,IF('Net zero activities &amp; levers'!$C$14="On",('Net zero Activity data'!BD6*EF!$H19)*kgtoGg,"ERROR"))</f>
        <v>2.6116266407248583</v>
      </c>
      <c r="AL1082" s="93">
        <f>IF('Net zero activities &amp; levers'!$C$14="Off",('Activity data'!BE6*EF!$H19)*kgtoGg,IF('Net zero activities &amp; levers'!$C$14="On",('Net zero Activity data'!BE6*EF!$H19)*kgtoGg,"ERROR"))</f>
        <v>2.6470493387414713</v>
      </c>
      <c r="AM1082" s="93">
        <f>IF('Net zero activities &amp; levers'!$C$14="Off",('Activity data'!BF6*EF!$H19)*kgtoGg,IF('Net zero activities &amp; levers'!$C$14="On",('Net zero Activity data'!BF6*EF!$H19)*kgtoGg,"ERROR"))</f>
        <v>2.6823772866679478</v>
      </c>
      <c r="AN1082" s="93">
        <f>IF('Net zero activities &amp; levers'!$C$14="Off",('Activity data'!BG6*EF!$H19)*kgtoGg,IF('Net zero activities &amp; levers'!$C$14="On",('Net zero Activity data'!BG6*EF!$H19)*kgtoGg,"ERROR"))</f>
        <v>2.719753196387535</v>
      </c>
      <c r="AO1082" s="93">
        <f>IF('Net zero activities &amp; levers'!$C$14="Off",('Activity data'!BH6*EF!$H19)*kgtoGg,IF('Net zero activities &amp; levers'!$C$14="On",('Net zero Activity data'!BH6*EF!$H19)*kgtoGg,"ERROR"))</f>
        <v>2.755625771746582</v>
      </c>
      <c r="AP1082" s="93">
        <f>IF('Net zero activities &amp; levers'!$C$14="Off",('Activity data'!BI6*EF!$H19)*kgtoGg,IF('Net zero activities &amp; levers'!$C$14="On",('Net zero Activity data'!BI6*EF!$H19)*kgtoGg,"ERROR"))</f>
        <v>2.792891329149688</v>
      </c>
      <c r="AQ1082" s="93">
        <f>IF('Net zero activities &amp; levers'!$C$14="Off",('Activity data'!BJ6*EF!$H19)*kgtoGg,IF('Net zero activities &amp; levers'!$C$14="On",('Net zero Activity data'!BJ6*EF!$H19)*kgtoGg,"ERROR"))</f>
        <v>2.8317198300092477</v>
      </c>
      <c r="AR1082" s="93">
        <f>IF('Net zero activities &amp; levers'!$C$14="Off",('Activity data'!BK6*EF!$H19)*kgtoGg,IF('Net zero activities &amp; levers'!$C$14="On",('Net zero Activity data'!BK6*EF!$H19)*kgtoGg,"ERROR"))</f>
        <v>2.8723845902967362</v>
      </c>
      <c r="AS1082" s="93">
        <f>IF('Net zero activities &amp; levers'!$C$14="Off",('Activity data'!BL6*EF!$H19)*kgtoGg,IF('Net zero activities &amp; levers'!$C$14="On",('Net zero Activity data'!BL6*EF!$H19)*kgtoGg,"ERROR"))</f>
        <v>2.9137686566351899</v>
      </c>
      <c r="AT1082" s="93">
        <f>IF('Net zero activities &amp; levers'!$C$14="Off",('Activity data'!BM6*EF!$H19)*kgtoGg,IF('Net zero activities &amp; levers'!$C$14="On",('Net zero Activity data'!BM6*EF!$H19)*kgtoGg,"ERROR"))</f>
        <v>2.9235804880371647</v>
      </c>
      <c r="AU1082" s="93">
        <f>IF('Net zero activities &amp; levers'!$C$14="Off",('Activity data'!BN6*EF!$H19)*kgtoGg,IF('Net zero activities &amp; levers'!$C$14="On",('Net zero Activity data'!BN6*EF!$H19)*kgtoGg,"ERROR"))</f>
        <v>2.9305635384314317</v>
      </c>
      <c r="AV1082" s="93">
        <f>IF('Net zero activities &amp; levers'!$C$14="Off",('Activity data'!BO6*EF!$H19)*kgtoGg,IF('Net zero activities &amp; levers'!$C$14="On",('Net zero Activity data'!BO6*EF!$H19)*kgtoGg,"ERROR"))</f>
        <v>2.9334246217616835</v>
      </c>
      <c r="AW1082" s="93">
        <f>IF('Net zero activities &amp; levers'!$C$14="Off",('Activity data'!BP6*EF!$H19)*kgtoGg,IF('Net zero activities &amp; levers'!$C$14="On",('Net zero Activity data'!BP6*EF!$H19)*kgtoGg,"ERROR"))</f>
        <v>2.9351522211130368</v>
      </c>
      <c r="AY1082" s="79"/>
    </row>
    <row r="1083" spans="1:51" x14ac:dyDescent="0.3">
      <c r="A1083" s="95" t="str">
        <f t="shared" si="373"/>
        <v>CM Cattle MMCH4</v>
      </c>
      <c r="B1083" s="95" t="s">
        <v>1322</v>
      </c>
      <c r="C1083" s="95" t="s">
        <v>1229</v>
      </c>
      <c r="D1083" t="s">
        <v>15</v>
      </c>
      <c r="E1083" t="s">
        <v>22</v>
      </c>
      <c r="F1083" t="s">
        <v>67</v>
      </c>
      <c r="G1083" t="s">
        <v>307</v>
      </c>
      <c r="H1083" t="s">
        <v>1227</v>
      </c>
      <c r="I1083" t="s">
        <v>121</v>
      </c>
      <c r="J1083" t="s">
        <v>286</v>
      </c>
      <c r="K1083" s="93">
        <f>IF('Net zero activities &amp; levers'!$C$14="Off",('Activity data'!AD7*EF!$H20)*kgtoGg,IF('Net zero activities &amp; levers'!$C$14="On",('Net zero Activity data'!AD7*EF!$H20)*kgtoGg,"ERROR"))</f>
        <v>0.43258377187145641</v>
      </c>
      <c r="L1083" s="93">
        <f>IF('Net zero activities &amp; levers'!$C$14="Off",('Activity data'!AE7*EF!$H20)*kgtoGg,IF('Net zero activities &amp; levers'!$C$14="On",('Net zero Activity data'!AE7*EF!$H20)*kgtoGg,"ERROR"))</f>
        <v>0.43500213637199736</v>
      </c>
      <c r="M1083" s="93">
        <f>IF('Net zero activities &amp; levers'!$C$14="Off",('Activity data'!AF7*EF!$H20)*kgtoGg,IF('Net zero activities &amp; levers'!$C$14="On",('Net zero Activity data'!AF7*EF!$H20)*kgtoGg,"ERROR"))</f>
        <v>0.43843338143569016</v>
      </c>
      <c r="N1083" s="93">
        <f>IF('Net zero activities &amp; levers'!$C$14="Off",('Activity data'!AG7*EF!$H20)*kgtoGg,IF('Net zero activities &amp; levers'!$C$14="On",('Net zero Activity data'!AG7*EF!$H20)*kgtoGg,"ERROR"))</f>
        <v>0.44063832189202168</v>
      </c>
      <c r="O1083" s="93">
        <f>IF('Net zero activities &amp; levers'!$C$14="Off",('Activity data'!AH7*EF!$H20)*kgtoGg,IF('Net zero activities &amp; levers'!$C$14="On",('Net zero Activity data'!AH7*EF!$H20)*kgtoGg,"ERROR"))</f>
        <v>0.44210351490980387</v>
      </c>
      <c r="P1083" s="93">
        <f>IF('Net zero activities &amp; levers'!$C$14="Off",('Activity data'!AI7*EF!$H20)*kgtoGg,IF('Net zero activities &amp; levers'!$C$14="On",('Net zero Activity data'!AI7*EF!$H20)*kgtoGg,"ERROR"))</f>
        <v>0.44281453971808232</v>
      </c>
      <c r="Q1083" s="93">
        <f>IF('Net zero activities &amp; levers'!$C$14="Off",('Activity data'!AJ7*EF!$H20)*kgtoGg,IF('Net zero activities &amp; levers'!$C$14="On",('Net zero Activity data'!AJ7*EF!$H20)*kgtoGg,"ERROR"))</f>
        <v>0.44438545813589125</v>
      </c>
      <c r="R1083" s="93">
        <f>IF('Net zero activities &amp; levers'!$C$14="Off",('Activity data'!AK7*EF!$H20)*kgtoGg,IF('Net zero activities &amp; levers'!$C$14="On",('Net zero Activity data'!AK7*EF!$H20)*kgtoGg,"ERROR"))</f>
        <v>0.44618756541973886</v>
      </c>
      <c r="S1083" s="93">
        <f>IF('Net zero activities &amp; levers'!$C$14="Off",('Activity data'!AL7*EF!$H20)*kgtoGg,IF('Net zero activities &amp; levers'!$C$14="On",('Net zero Activity data'!AL7*EF!$H20)*kgtoGg,"ERROR"))</f>
        <v>0.43277534586715866</v>
      </c>
      <c r="T1083" s="93">
        <f>IF('Net zero activities &amp; levers'!$C$14="Off",('Activity data'!AM7*EF!$H20)*kgtoGg,IF('Net zero activities &amp; levers'!$C$14="On",('Net zero Activity data'!AM7*EF!$H20)*kgtoGg,"ERROR"))</f>
        <v>0.4373260301229735</v>
      </c>
      <c r="U1083" s="93">
        <f>IF('Net zero activities &amp; levers'!$C$14="Off",('Activity data'!AN7*EF!$H20)*kgtoGg,IF('Net zero activities &amp; levers'!$C$14="On",('Net zero Activity data'!AN7*EF!$H20)*kgtoGg,"ERROR"))</f>
        <v>0.44398702774586812</v>
      </c>
      <c r="V1083" s="93">
        <f>IF('Net zero activities &amp; levers'!$C$14="Off",('Activity data'!AO7*EF!$H20)*kgtoGg,IF('Net zero activities &amp; levers'!$C$14="On",('Net zero Activity data'!AO7*EF!$H20)*kgtoGg,"ERROR"))</f>
        <v>0.44743958304970527</v>
      </c>
      <c r="W1083" s="93">
        <f>IF('Net zero activities &amp; levers'!$C$14="Off",('Activity data'!AP7*EF!$H20)*kgtoGg,IF('Net zero activities &amp; levers'!$C$14="On",('Net zero Activity data'!AP7*EF!$H20)*kgtoGg,"ERROR"))</f>
        <v>0.45138539417179691</v>
      </c>
      <c r="X1083" s="93">
        <f>IF('Net zero activities &amp; levers'!$C$14="Off",('Activity data'!AQ7*EF!$H20)*kgtoGg,IF('Net zero activities &amp; levers'!$C$14="On",('Net zero Activity data'!AQ7*EF!$H20)*kgtoGg,"ERROR"))</f>
        <v>0.45595225713576731</v>
      </c>
      <c r="Y1083" s="93">
        <f>IF('Net zero activities &amp; levers'!$C$14="Off",('Activity data'!AR7*EF!$H20)*kgtoGg,IF('Net zero activities &amp; levers'!$C$14="On",('Net zero Activity data'!AR7*EF!$H20)*kgtoGg,"ERROR"))</f>
        <v>0.46061588589714619</v>
      </c>
      <c r="Z1083" s="93">
        <f>IF('Net zero activities &amp; levers'!$C$14="Off",('Activity data'!AS7*EF!$H20)*kgtoGg,IF('Net zero activities &amp; levers'!$C$14="On",('Net zero Activity data'!AS7*EF!$H20)*kgtoGg,"ERROR"))</f>
        <v>0.46577792148509239</v>
      </c>
      <c r="AA1083" s="93">
        <f>IF('Net zero activities &amp; levers'!$C$14="Off",('Activity data'!AT7*EF!$H20)*kgtoGg,IF('Net zero activities &amp; levers'!$C$14="On",('Net zero Activity data'!AT7*EF!$H20)*kgtoGg,"ERROR"))</f>
        <v>0.47109986282252775</v>
      </c>
      <c r="AB1083" s="93">
        <f>IF('Net zero activities &amp; levers'!$C$14="Off",('Activity data'!AU7*EF!$H20)*kgtoGg,IF('Net zero activities &amp; levers'!$C$14="On",('Net zero Activity data'!AU7*EF!$H20)*kgtoGg,"ERROR"))</f>
        <v>0.47688725095688084</v>
      </c>
      <c r="AC1083" s="93">
        <f>IF('Net zero activities &amp; levers'!$C$14="Off",('Activity data'!AV7*EF!$H20)*kgtoGg,IF('Net zero activities &amp; levers'!$C$14="On",('Net zero Activity data'!AV7*EF!$H20)*kgtoGg,"ERROR"))</f>
        <v>0.48280519174612069</v>
      </c>
      <c r="AD1083" s="93">
        <f>IF('Net zero activities &amp; levers'!$C$14="Off",('Activity data'!AW7*EF!$H20)*kgtoGg,IF('Net zero activities &amp; levers'!$C$14="On",('Net zero Activity data'!AW7*EF!$H20)*kgtoGg,"ERROR"))</f>
        <v>0.48919852023662819</v>
      </c>
      <c r="AE1083" s="93">
        <f>IF('Net zero activities &amp; levers'!$C$14="Off",('Activity data'!AX7*EF!$H20)*kgtoGg,IF('Net zero activities &amp; levers'!$C$14="On",('Net zero Activity data'!AX7*EF!$H20)*kgtoGg,"ERROR"))</f>
        <v>0.4955053191475276</v>
      </c>
      <c r="AF1083" s="93">
        <f>IF('Net zero activities &amp; levers'!$C$14="Off",('Activity data'!AY7*EF!$H20)*kgtoGg,IF('Net zero activities &amp; levers'!$C$14="On",('Net zero Activity data'!AY7*EF!$H20)*kgtoGg,"ERROR"))</f>
        <v>0.50216209837438885</v>
      </c>
      <c r="AG1083" s="93">
        <f>IF('Net zero activities &amp; levers'!$C$14="Off",('Activity data'!AZ7*EF!$H20)*kgtoGg,IF('Net zero activities &amp; levers'!$C$14="On",('Net zero Activity data'!AZ7*EF!$H20)*kgtoGg,"ERROR"))</f>
        <v>0.50969201613087478</v>
      </c>
      <c r="AH1083" s="93">
        <f>IF('Net zero activities &amp; levers'!$C$14="Off",('Activity data'!BA7*EF!$H20)*kgtoGg,IF('Net zero activities &amp; levers'!$C$14="On",('Net zero Activity data'!BA7*EF!$H20)*kgtoGg,"ERROR"))</f>
        <v>0.51685123611370132</v>
      </c>
      <c r="AI1083" s="93">
        <f>IF('Net zero activities &amp; levers'!$C$14="Off",('Activity data'!BB7*EF!$H20)*kgtoGg,IF('Net zero activities &amp; levers'!$C$14="On",('Net zero Activity data'!BB7*EF!$H20)*kgtoGg,"ERROR"))</f>
        <v>0.52419297828526779</v>
      </c>
      <c r="AJ1083" s="93">
        <f>IF('Net zero activities &amp; levers'!$C$14="Off",('Activity data'!BC7*EF!$H20)*kgtoGg,IF('Net zero activities &amp; levers'!$C$14="On",('Net zero Activity data'!BC7*EF!$H20)*kgtoGg,"ERROR"))</f>
        <v>0.53204463922865186</v>
      </c>
      <c r="AK1083" s="93">
        <f>IF('Net zero activities &amp; levers'!$C$14="Off",('Activity data'!BD7*EF!$H20)*kgtoGg,IF('Net zero activities &amp; levers'!$C$14="On",('Net zero Activity data'!BD7*EF!$H20)*kgtoGg,"ERROR"))</f>
        <v>0.53940069929044132</v>
      </c>
      <c r="AL1083" s="93">
        <f>IF('Net zero activities &amp; levers'!$C$14="Off",('Activity data'!BE7*EF!$H20)*kgtoGg,IF('Net zero activities &amp; levers'!$C$14="On",('Net zero Activity data'!BE7*EF!$H20)*kgtoGg,"ERROR"))</f>
        <v>0.54671684003696541</v>
      </c>
      <c r="AM1083" s="93">
        <f>IF('Net zero activities &amp; levers'!$C$14="Off",('Activity data'!BF7*EF!$H20)*kgtoGg,IF('Net zero activities &amp; levers'!$C$14="On",('Net zero Activity data'!BF7*EF!$H20)*kgtoGg,"ERROR"))</f>
        <v>0.55401341126919512</v>
      </c>
      <c r="AN1083" s="93">
        <f>IF('Net zero activities &amp; levers'!$C$14="Off",('Activity data'!BG7*EF!$H20)*kgtoGg,IF('Net zero activities &amp; levers'!$C$14="On",('Net zero Activity data'!BG7*EF!$H20)*kgtoGg,"ERROR"))</f>
        <v>0.56173296487038149</v>
      </c>
      <c r="AO1083" s="93">
        <f>IF('Net zero activities &amp; levers'!$C$14="Off",('Activity data'!BH7*EF!$H20)*kgtoGg,IF('Net zero activities &amp; levers'!$C$14="On",('Net zero Activity data'!BH7*EF!$H20)*kgtoGg,"ERROR"))</f>
        <v>0.56914202247926249</v>
      </c>
      <c r="AP1083" s="93">
        <f>IF('Net zero activities &amp; levers'!$C$14="Off",('Activity data'!BI7*EF!$H20)*kgtoGg,IF('Net zero activities &amp; levers'!$C$14="On",('Net zero Activity data'!BI7*EF!$H20)*kgtoGg,"ERROR"))</f>
        <v>0.57683878411020695</v>
      </c>
      <c r="AQ1083" s="93">
        <f>IF('Net zero activities &amp; levers'!$C$14="Off",('Activity data'!BJ7*EF!$H20)*kgtoGg,IF('Net zero activities &amp; levers'!$C$14="On",('Net zero Activity data'!BJ7*EF!$H20)*kgtoGg,"ERROR"))</f>
        <v>0.58485835328960278</v>
      </c>
      <c r="AR1083" s="93">
        <f>IF('Net zero activities &amp; levers'!$C$14="Off",('Activity data'!BK7*EF!$H20)*kgtoGg,IF('Net zero activities &amp; levers'!$C$14="On",('Net zero Activity data'!BK7*EF!$H20)*kgtoGg,"ERROR"))</f>
        <v>0.59325718020977147</v>
      </c>
      <c r="AS1083" s="93">
        <f>IF('Net zero activities &amp; levers'!$C$14="Off",('Activity data'!BL7*EF!$H20)*kgtoGg,IF('Net zero activities &amp; levers'!$C$14="On",('Net zero Activity data'!BL7*EF!$H20)*kgtoGg,"ERROR"))</f>
        <v>0.60180457131627674</v>
      </c>
      <c r="AT1083" s="93">
        <f>IF('Net zero activities &amp; levers'!$C$14="Off",('Activity data'!BM7*EF!$H20)*kgtoGg,IF('Net zero activities &amp; levers'!$C$14="On",('Net zero Activity data'!BM7*EF!$H20)*kgtoGg,"ERROR"))</f>
        <v>0.60383108943989172</v>
      </c>
      <c r="AU1083" s="93">
        <f>IF('Net zero activities &amp; levers'!$C$14="Off",('Activity data'!BN7*EF!$H20)*kgtoGg,IF('Net zero activities &amp; levers'!$C$14="On",('Net zero Activity data'!BN7*EF!$H20)*kgtoGg,"ERROR"))</f>
        <v>0.60527335618932376</v>
      </c>
      <c r="AV1083" s="93">
        <f>IF('Net zero activities &amp; levers'!$C$14="Off",('Activity data'!BO7*EF!$H20)*kgtoGg,IF('Net zero activities &amp; levers'!$C$14="On",('Net zero Activity data'!BO7*EF!$H20)*kgtoGg,"ERROR"))</f>
        <v>0.60586427922747954</v>
      </c>
      <c r="AW1083" s="93">
        <f>IF('Net zero activities &amp; levers'!$C$14="Off",('Activity data'!BP7*EF!$H20)*kgtoGg,IF('Net zero activities &amp; levers'!$C$14="On",('Net zero Activity data'!BP7*EF!$H20)*kgtoGg,"ERROR"))</f>
        <v>0.60622109451021655</v>
      </c>
      <c r="AY1083" s="79"/>
    </row>
    <row r="1084" spans="1:51" x14ac:dyDescent="0.3">
      <c r="A1084" s="95" t="str">
        <f t="shared" si="373"/>
        <v>CM Cattle MMCH4</v>
      </c>
      <c r="B1084" s="95" t="s">
        <v>1322</v>
      </c>
      <c r="C1084" s="95" t="s">
        <v>1229</v>
      </c>
      <c r="D1084" t="s">
        <v>15</v>
      </c>
      <c r="E1084" t="s">
        <v>22</v>
      </c>
      <c r="F1084" t="s">
        <v>67</v>
      </c>
      <c r="G1084" t="s">
        <v>122</v>
      </c>
      <c r="H1084" t="s">
        <v>1227</v>
      </c>
      <c r="I1084" t="s">
        <v>121</v>
      </c>
      <c r="J1084" t="s">
        <v>286</v>
      </c>
      <c r="K1084" s="93">
        <f>IF('Net zero activities &amp; levers'!$C$14="Off",('Activity data'!AD8*EF!$H21)*kgtoGg,IF('Net zero activities &amp; levers'!$C$14="On",('Net zero Activity data'!AD8*EF!$H21)*kgtoGg,"ERROR"))</f>
        <v>9.4871637196006553E-2</v>
      </c>
      <c r="L1084" s="93">
        <f>IF('Net zero activities &amp; levers'!$C$14="Off",('Activity data'!AE8*EF!$H21)*kgtoGg,IF('Net zero activities &amp; levers'!$C$14="On",('Net zero Activity data'!AE8*EF!$H21)*kgtoGg,"ERROR"))</f>
        <v>9.404884578461549E-2</v>
      </c>
      <c r="M1084" s="93">
        <f>IF('Net zero activities &amp; levers'!$C$14="Off",('Activity data'!AF8*EF!$H21)*kgtoGg,IF('Net zero activities &amp; levers'!$C$14="On",('Net zero Activity data'!AF8*EF!$H21)*kgtoGg,"ERROR"))</f>
        <v>9.3735634002294246E-2</v>
      </c>
      <c r="N1084" s="93">
        <f>IF('Net zero activities &amp; levers'!$C$14="Off",('Activity data'!AG8*EF!$H21)*kgtoGg,IF('Net zero activities &amp; levers'!$C$14="On",('Net zero Activity data'!AG8*EF!$H21)*kgtoGg,"ERROR"))</f>
        <v>9.2483917307495084E-2</v>
      </c>
      <c r="O1084" s="93">
        <f>IF('Net zero activities &amp; levers'!$C$14="Off",('Activity data'!AH8*EF!$H21)*kgtoGg,IF('Net zero activities &amp; levers'!$C$14="On",('Net zero Activity data'!AH8*EF!$H21)*kgtoGg,"ERROR"))</f>
        <v>9.0667019955957343E-2</v>
      </c>
      <c r="P1084" s="93">
        <f>IF('Net zero activities &amp; levers'!$C$14="Off",('Activity data'!AI8*EF!$H21)*kgtoGg,IF('Net zero activities &amp; levers'!$C$14="On",('Net zero Activity data'!AI8*EF!$H21)*kgtoGg,"ERROR"))</f>
        <v>8.8322512540543865E-2</v>
      </c>
      <c r="Q1084" s="93">
        <f>IF('Net zero activities &amp; levers'!$C$14="Off",('Activity data'!AJ8*EF!$H21)*kgtoGg,IF('Net zero activities &amp; levers'!$C$14="On",('Net zero Activity data'!AJ8*EF!$H21)*kgtoGg,"ERROR"))</f>
        <v>8.6473330972337892E-2</v>
      </c>
      <c r="R1084" s="93">
        <f>IF('Net zero activities &amp; levers'!$C$14="Off",('Activity data'!AK8*EF!$H21)*kgtoGg,IF('Net zero activities &amp; levers'!$C$14="On",('Net zero Activity data'!AK8*EF!$H21)*kgtoGg,"ERROR"))</f>
        <v>8.4723794986300283E-2</v>
      </c>
      <c r="S1084" s="93">
        <f>IF('Net zero activities &amp; levers'!$C$14="Off",('Activity data'!AL8*EF!$H21)*kgtoGg,IF('Net zero activities &amp; levers'!$C$14="On",('Net zero Activity data'!AL8*EF!$H21)*kgtoGg,"ERROR"))</f>
        <v>7.4532240818123416E-2</v>
      </c>
      <c r="T1084" s="93">
        <f>IF('Net zero activities &amp; levers'!$C$14="Off",('Activity data'!AM8*EF!$H21)*kgtoGg,IF('Net zero activities &amp; levers'!$C$14="On",('Net zero Activity data'!AM8*EF!$H21)*kgtoGg,"ERROR"))</f>
        <v>7.5742869009566477E-2</v>
      </c>
      <c r="U1084" s="93">
        <f>IF('Net zero activities &amp; levers'!$C$14="Off",('Activity data'!AN8*EF!$H21)*kgtoGg,IF('Net zero activities &amp; levers'!$C$14="On",('Net zero Activity data'!AN8*EF!$H21)*kgtoGg,"ERROR"))</f>
        <v>7.8001334092155483E-2</v>
      </c>
      <c r="V1084" s="93">
        <f>IF('Net zero activities &amp; levers'!$C$14="Off",('Activity data'!AO8*EF!$H21)*kgtoGg,IF('Net zero activities &amp; levers'!$C$14="On",('Net zero Activity data'!AO8*EF!$H21)*kgtoGg,"ERROR"))</f>
        <v>7.8452375655366738E-2</v>
      </c>
      <c r="W1084" s="93">
        <f>IF('Net zero activities &amp; levers'!$C$14="Off",('Activity data'!AP8*EF!$H21)*kgtoGg,IF('Net zero activities &amp; levers'!$C$14="On",('Net zero Activity data'!AP8*EF!$H21)*kgtoGg,"ERROR"))</f>
        <v>7.9102907310080586E-2</v>
      </c>
      <c r="X1084" s="93">
        <f>IF('Net zero activities &amp; levers'!$C$14="Off",('Activity data'!AQ8*EF!$H21)*kgtoGg,IF('Net zero activities &amp; levers'!$C$14="On",('Net zero Activity data'!AQ8*EF!$H21)*kgtoGg,"ERROR"))</f>
        <v>8.0010413317847237E-2</v>
      </c>
      <c r="Y1084" s="93">
        <f>IF('Net zero activities &amp; levers'!$C$14="Off",('Activity data'!AR8*EF!$H21)*kgtoGg,IF('Net zero activities &amp; levers'!$C$14="On",('Net zero Activity data'!AR8*EF!$H21)*kgtoGg,"ERROR"))</f>
        <v>8.1051364115397456E-2</v>
      </c>
      <c r="Z1084" s="93">
        <f>IF('Net zero activities &amp; levers'!$C$14="Off",('Activity data'!AS8*EF!$H21)*kgtoGg,IF('Net zero activities &amp; levers'!$C$14="On",('Net zero Activity data'!AS8*EF!$H21)*kgtoGg,"ERROR"))</f>
        <v>8.2271824268517132E-2</v>
      </c>
      <c r="AA1084" s="93">
        <f>IF('Net zero activities &amp; levers'!$C$14="Off",('Activity data'!AT8*EF!$H21)*kgtoGg,IF('Net zero activities &amp; levers'!$C$14="On",('Net zero Activity data'!AT8*EF!$H21)*kgtoGg,"ERROR"))</f>
        <v>8.3497913456907769E-2</v>
      </c>
      <c r="AB1084" s="93">
        <f>IF('Net zero activities &amp; levers'!$C$14="Off",('Activity data'!AU8*EF!$H21)*kgtoGg,IF('Net zero activities &amp; levers'!$C$14="On",('Net zero Activity data'!AU8*EF!$H21)*kgtoGg,"ERROR"))</f>
        <v>8.4876885462998888E-2</v>
      </c>
      <c r="AC1084" s="93">
        <f>IF('Net zero activities &amp; levers'!$C$14="Off",('Activity data'!AV8*EF!$H21)*kgtoGg,IF('Net zero activities &amp; levers'!$C$14="On",('Net zero Activity data'!AV8*EF!$H21)*kgtoGg,"ERROR"))</f>
        <v>8.6242172681273321E-2</v>
      </c>
      <c r="AD1084" s="93">
        <f>IF('Net zero activities &amp; levers'!$C$14="Off",('Activity data'!AW8*EF!$H21)*kgtoGg,IF('Net zero activities &amp; levers'!$C$14="On",('Net zero Activity data'!AW8*EF!$H21)*kgtoGg,"ERROR"))</f>
        <v>8.7131524640671032E-2</v>
      </c>
      <c r="AE1084" s="93">
        <f>IF('Net zero activities &amp; levers'!$C$14="Off",('Activity data'!AX8*EF!$H21)*kgtoGg,IF('Net zero activities &amp; levers'!$C$14="On",('Net zero Activity data'!AX8*EF!$H21)*kgtoGg,"ERROR"))</f>
        <v>8.7861744576890749E-2</v>
      </c>
      <c r="AF1084" s="93">
        <f>IF('Net zero activities &amp; levers'!$C$14="Off",('Activity data'!AY8*EF!$H21)*kgtoGg,IF('Net zero activities &amp; levers'!$C$14="On",('Net zero Activity data'!AY8*EF!$H21)*kgtoGg,"ERROR"))</f>
        <v>8.863318056494178E-2</v>
      </c>
      <c r="AG1084" s="93">
        <f>IF('Net zero activities &amp; levers'!$C$14="Off",('Activity data'!AZ8*EF!$H21)*kgtoGg,IF('Net zero activities &amp; levers'!$C$14="On",('Net zero Activity data'!AZ8*EF!$H21)*kgtoGg,"ERROR"))</f>
        <v>8.9665353249555477E-2</v>
      </c>
      <c r="AH1084" s="93">
        <f>IF('Net zero activities &amp; levers'!$C$14="Off",('Activity data'!BA8*EF!$H21)*kgtoGg,IF('Net zero activities &amp; levers'!$C$14="On",('Net zero Activity data'!BA8*EF!$H21)*kgtoGg,"ERROR"))</f>
        <v>9.0407657135718758E-2</v>
      </c>
      <c r="AI1084" s="93">
        <f>IF('Net zero activities &amp; levers'!$C$14="Off",('Activity data'!BB8*EF!$H21)*kgtoGg,IF('Net zero activities &amp; levers'!$C$14="On",('Net zero Activity data'!BB8*EF!$H21)*kgtoGg,"ERROR"))</f>
        <v>9.1198770165766427E-2</v>
      </c>
      <c r="AJ1084" s="93">
        <f>IF('Net zero activities &amp; levers'!$C$14="Off",('Activity data'!BC8*EF!$H21)*kgtoGg,IF('Net zero activities &amp; levers'!$C$14="On",('Net zero Activity data'!BC8*EF!$H21)*kgtoGg,"ERROR"))</f>
        <v>9.2069621900880569E-2</v>
      </c>
      <c r="AK1084" s="93">
        <f>IF('Net zero activities &amp; levers'!$C$14="Off",('Activity data'!BD8*EF!$H21)*kgtoGg,IF('Net zero activities &amp; levers'!$C$14="On",('Net zero Activity data'!BD8*EF!$H21)*kgtoGg,"ERROR"))</f>
        <v>9.2612278465111636E-2</v>
      </c>
      <c r="AL1084" s="93">
        <f>IF('Net zero activities &amp; levers'!$C$14="Off",('Activity data'!BE8*EF!$H21)*kgtoGg,IF('Net zero activities &amp; levers'!$C$14="On",('Net zero Activity data'!BE8*EF!$H21)*kgtoGg,"ERROR"))</f>
        <v>9.3019389326395155E-2</v>
      </c>
      <c r="AM1084" s="93">
        <f>IF('Net zero activities &amp; levers'!$C$14="Off",('Activity data'!BF8*EF!$H21)*kgtoGg,IF('Net zero activities &amp; levers'!$C$14="On",('Net zero Activity data'!BF8*EF!$H21)*kgtoGg,"ERROR"))</f>
        <v>9.3302561003725443E-2</v>
      </c>
      <c r="AN1084" s="93">
        <f>IF('Net zero activities &amp; levers'!$C$14="Off",('Activity data'!BG8*EF!$H21)*kgtoGg,IF('Net zero activities &amp; levers'!$C$14="On",('Net zero Activity data'!BG8*EF!$H21)*kgtoGg,"ERROR"))</f>
        <v>9.4182866906307741E-2</v>
      </c>
      <c r="AO1084" s="93">
        <f>IF('Net zero activities &amp; levers'!$C$14="Off",('Activity data'!BH8*EF!$H21)*kgtoGg,IF('Net zero activities &amp; levers'!$C$14="On",('Net zero Activity data'!BH8*EF!$H21)*kgtoGg,"ERROR"))</f>
        <v>9.4852010834144421E-2</v>
      </c>
      <c r="AP1084" s="93">
        <f>IF('Net zero activities &amp; levers'!$C$14="Off",('Activity data'!BI8*EF!$H21)*kgtoGg,IF('Net zero activities &amp; levers'!$C$14="On",('Net zero Activity data'!BI8*EF!$H21)*kgtoGg,"ERROR"))</f>
        <v>9.5529601297703756E-2</v>
      </c>
      <c r="AQ1084" s="93">
        <f>IF('Net zero activities &amp; levers'!$C$14="Off",('Activity data'!BJ8*EF!$H21)*kgtoGg,IF('Net zero activities &amp; levers'!$C$14="On",('Net zero Activity data'!BJ8*EF!$H21)*kgtoGg,"ERROR"))</f>
        <v>9.6223389625578193E-2</v>
      </c>
      <c r="AR1084" s="93">
        <f>IF('Net zero activities &amp; levers'!$C$14="Off",('Activity data'!BK8*EF!$H21)*kgtoGg,IF('Net zero activities &amp; levers'!$C$14="On",('Net zero Activity data'!BK8*EF!$H21)*kgtoGg,"ERROR"))</f>
        <v>9.6947366282069555E-2</v>
      </c>
      <c r="AS1084" s="93">
        <f>IF('Net zero activities &amp; levers'!$C$14="Off",('Activity data'!BL8*EF!$H21)*kgtoGg,IF('Net zero activities &amp; levers'!$C$14="On",('Net zero Activity data'!BL8*EF!$H21)*kgtoGg,"ERROR"))</f>
        <v>9.7690698003963641E-2</v>
      </c>
      <c r="AT1084" s="93">
        <f>IF('Net zero activities &amp; levers'!$C$14="Off",('Activity data'!BM8*EF!$H21)*kgtoGg,IF('Net zero activities &amp; levers'!$C$14="On",('Net zero Activity data'!BM8*EF!$H21)*kgtoGg,"ERROR"))</f>
        <v>9.6224389596631696E-2</v>
      </c>
      <c r="AU1084" s="93">
        <f>IF('Net zero activities &amp; levers'!$C$14="Off",('Activity data'!BN8*EF!$H21)*kgtoGg,IF('Net zero activities &amp; levers'!$C$14="On",('Net zero Activity data'!BN8*EF!$H21)*kgtoGg,"ERROR"))</f>
        <v>9.4563308773857144E-2</v>
      </c>
      <c r="AV1084" s="93">
        <f>IF('Net zero activities &amp; levers'!$C$14="Off",('Activity data'!BO8*EF!$H21)*kgtoGg,IF('Net zero activities &amp; levers'!$C$14="On",('Net zero Activity data'!BO8*EF!$H21)*kgtoGg,"ERROR"))</f>
        <v>9.2637583282449518E-2</v>
      </c>
      <c r="AW1084" s="93">
        <f>IF('Net zero activities &amp; levers'!$C$14="Off",('Activity data'!BP8*EF!$H21)*kgtoGg,IF('Net zero activities &amp; levers'!$C$14="On",('Net zero Activity data'!BP8*EF!$H21)*kgtoGg,"ERROR"))</f>
        <v>9.065150695451285E-2</v>
      </c>
      <c r="AY1084" s="79"/>
    </row>
    <row r="1085" spans="1:51" x14ac:dyDescent="0.3">
      <c r="A1085" s="95" t="str">
        <f t="shared" si="373"/>
        <v>CM Cattle MMCH4</v>
      </c>
      <c r="B1085" s="95" t="s">
        <v>1322</v>
      </c>
      <c r="C1085" s="95" t="s">
        <v>1229</v>
      </c>
      <c r="D1085" t="s">
        <v>15</v>
      </c>
      <c r="E1085" t="s">
        <v>22</v>
      </c>
      <c r="F1085" t="s">
        <v>67</v>
      </c>
      <c r="G1085" t="s">
        <v>123</v>
      </c>
      <c r="H1085" t="s">
        <v>1227</v>
      </c>
      <c r="I1085" t="s">
        <v>121</v>
      </c>
      <c r="J1085" t="s">
        <v>286</v>
      </c>
      <c r="K1085" s="93">
        <f>IF('Net zero activities &amp; levers'!$C$14="Off",('Activity data'!AD9*EF!$H22)*kgtoGg,IF('Net zero activities &amp; levers'!$C$14="On",('Net zero Activity data'!AD9*EF!$H22)*kgtoGg,"ERROR"))</f>
        <v>6.9689449734106304E-2</v>
      </c>
      <c r="L1085" s="93">
        <f>IF('Net zero activities &amp; levers'!$C$14="Off",('Activity data'!AE9*EF!$H22)*kgtoGg,IF('Net zero activities &amp; levers'!$C$14="On",('Net zero Activity data'!AE9*EF!$H22)*kgtoGg,"ERROR"))</f>
        <v>6.9085055392440989E-2</v>
      </c>
      <c r="M1085" s="93">
        <f>IF('Net zero activities &amp; levers'!$C$14="Off",('Activity data'!AF9*EF!$H22)*kgtoGg,IF('Net zero activities &amp; levers'!$C$14="On",('Net zero Activity data'!AF9*EF!$H22)*kgtoGg,"ERROR"))</f>
        <v>6.8854980763127793E-2</v>
      </c>
      <c r="N1085" s="93">
        <f>IF('Net zero activities &amp; levers'!$C$14="Off",('Activity data'!AG9*EF!$H22)*kgtoGg,IF('Net zero activities &amp; levers'!$C$14="On",('Net zero Activity data'!AG9*EF!$H22)*kgtoGg,"ERROR"))</f>
        <v>6.7935512624264269E-2</v>
      </c>
      <c r="O1085" s="93">
        <f>IF('Net zero activities &amp; levers'!$C$14="Off",('Activity data'!AH9*EF!$H22)*kgtoGg,IF('Net zero activities &amp; levers'!$C$14="On",('Net zero Activity data'!AH9*EF!$H22)*kgtoGg,"ERROR"))</f>
        <v>6.660088216573827E-2</v>
      </c>
      <c r="P1085" s="93">
        <f>IF('Net zero activities &amp; levers'!$C$14="Off",('Activity data'!AI9*EF!$H22)*kgtoGg,IF('Net zero activities &amp; levers'!$C$14="On",('Net zero Activity data'!AI9*EF!$H22)*kgtoGg,"ERROR"))</f>
        <v>6.4878687456057696E-2</v>
      </c>
      <c r="Q1085" s="93">
        <f>IF('Net zero activities &amp; levers'!$C$14="Off",('Activity data'!AJ9*EF!$H22)*kgtoGg,IF('Net zero activities &amp; levers'!$C$14="On",('Net zero Activity data'!AJ9*EF!$H22)*kgtoGg,"ERROR"))</f>
        <v>6.3520342119606069E-2</v>
      </c>
      <c r="R1085" s="93">
        <f>IF('Net zero activities &amp; levers'!$C$14="Off",('Activity data'!AK9*EF!$H22)*kgtoGg,IF('Net zero activities &amp; levers'!$C$14="On",('Net zero Activity data'!AK9*EF!$H22)*kgtoGg,"ERROR"))</f>
        <v>6.2235193009075998E-2</v>
      </c>
      <c r="S1085" s="93">
        <f>IF('Net zero activities &amp; levers'!$C$14="Off",('Activity data'!AL9*EF!$H22)*kgtoGg,IF('Net zero activities &amp; levers'!$C$14="On",('Net zero Activity data'!AL9*EF!$H22)*kgtoGg,"ERROR"))</f>
        <v>5.4748826979066356E-2</v>
      </c>
      <c r="T1085" s="93">
        <f>IF('Net zero activities &amp; levers'!$C$14="Off",('Activity data'!AM9*EF!$H22)*kgtoGg,IF('Net zero activities &amp; levers'!$C$14="On",('Net zero Activity data'!AM9*EF!$H22)*kgtoGg,"ERROR"))</f>
        <v>5.5638112913069561E-2</v>
      </c>
      <c r="U1085" s="93">
        <f>IF('Net zero activities &amp; levers'!$C$14="Off",('Activity data'!AN9*EF!$H22)*kgtoGg,IF('Net zero activities &amp; levers'!$C$14="On",('Net zero Activity data'!AN9*EF!$H22)*kgtoGg,"ERROR"))</f>
        <v>5.7297103877082825E-2</v>
      </c>
      <c r="V1085" s="93">
        <f>IF('Net zero activities &amp; levers'!$C$14="Off",('Activity data'!AO9*EF!$H22)*kgtoGg,IF('Net zero activities &amp; levers'!$C$14="On",('Net zero Activity data'!AO9*EF!$H22)*kgtoGg,"ERROR"))</f>
        <v>5.7628423534637221E-2</v>
      </c>
      <c r="W1085" s="93">
        <f>IF('Net zero activities &amp; levers'!$C$14="Off",('Activity data'!AP9*EF!$H22)*kgtoGg,IF('Net zero activities &amp; levers'!$C$14="On",('Net zero Activity data'!AP9*EF!$H22)*kgtoGg,"ERROR"))</f>
        <v>5.8106281769105768E-2</v>
      </c>
      <c r="X1085" s="93">
        <f>IF('Net zero activities &amp; levers'!$C$14="Off",('Activity data'!AQ9*EF!$H22)*kgtoGg,IF('Net zero activities &amp; levers'!$C$14="On",('Net zero Activity data'!AQ9*EF!$H22)*kgtoGg,"ERROR"))</f>
        <v>5.8772904546796331E-2</v>
      </c>
      <c r="Y1085" s="93">
        <f>IF('Net zero activities &amp; levers'!$C$14="Off",('Activity data'!AR9*EF!$H22)*kgtoGg,IF('Net zero activities &amp; levers'!$C$14="On",('Net zero Activity data'!AR9*EF!$H22)*kgtoGg,"ERROR"))</f>
        <v>5.9537551288705921E-2</v>
      </c>
      <c r="Z1085" s="93">
        <f>IF('Net zero activities &amp; levers'!$C$14="Off",('Activity data'!AS9*EF!$H22)*kgtoGg,IF('Net zero activities &amp; levers'!$C$14="On",('Net zero Activity data'!AS9*EF!$H22)*kgtoGg,"ERROR"))</f>
        <v>6.0434059444432087E-2</v>
      </c>
      <c r="AA1085" s="93">
        <f>IF('Net zero activities &amp; levers'!$C$14="Off",('Activity data'!AT9*EF!$H22)*kgtoGg,IF('Net zero activities &amp; levers'!$C$14="On",('Net zero Activity data'!AT9*EF!$H22)*kgtoGg,"ERROR"))</f>
        <v>6.1334702496341778E-2</v>
      </c>
      <c r="AB1085" s="93">
        <f>IF('Net zero activities &amp; levers'!$C$14="Off",('Activity data'!AU9*EF!$H22)*kgtoGg,IF('Net zero activities &amp; levers'!$C$14="On",('Net zero Activity data'!AU9*EF!$H22)*kgtoGg,"ERROR"))</f>
        <v>6.2347648020879123E-2</v>
      </c>
      <c r="AC1085" s="93">
        <f>IF('Net zero activities &amp; levers'!$C$14="Off",('Activity data'!AV9*EF!$H22)*kgtoGg,IF('Net zero activities &amp; levers'!$C$14="On",('Net zero Activity data'!AV9*EF!$H22)*kgtoGg,"ERROR"))</f>
        <v>6.3350541169797603E-2</v>
      </c>
      <c r="AD1085" s="93">
        <f>IF('Net zero activities &amp; levers'!$C$14="Off",('Activity data'!AW9*EF!$H22)*kgtoGg,IF('Net zero activities &amp; levers'!$C$14="On",('Net zero Activity data'!AW9*EF!$H22)*kgtoGg,"ERROR"))</f>
        <v>6.4003828606403412E-2</v>
      </c>
      <c r="AE1085" s="93">
        <f>IF('Net zero activities &amp; levers'!$C$14="Off",('Activity data'!AX9*EF!$H22)*kgtoGg,IF('Net zero activities &amp; levers'!$C$14="On",('Net zero Activity data'!AX9*EF!$H22)*kgtoGg,"ERROR"))</f>
        <v>6.4540223118441709E-2</v>
      </c>
      <c r="AF1085" s="93">
        <f>IF('Net zero activities &amp; levers'!$C$14="Off",('Activity data'!AY9*EF!$H22)*kgtoGg,IF('Net zero activities &amp; levers'!$C$14="On",('Net zero Activity data'!AY9*EF!$H22)*kgtoGg,"ERROR"))</f>
        <v>6.5106893528074167E-2</v>
      </c>
      <c r="AG1085" s="93">
        <f>IF('Net zero activities &amp; levers'!$C$14="Off",('Activity data'!AZ9*EF!$H22)*kgtoGg,IF('Net zero activities &amp; levers'!$C$14="On",('Net zero Activity data'!AZ9*EF!$H22)*kgtoGg,"ERROR"))</f>
        <v>6.5865092169388781E-2</v>
      </c>
      <c r="AH1085" s="93">
        <f>IF('Net zero activities &amp; levers'!$C$14="Off",('Activity data'!BA9*EF!$H22)*kgtoGg,IF('Net zero activities &amp; levers'!$C$14="On",('Net zero Activity data'!BA9*EF!$H22)*kgtoGg,"ERROR"))</f>
        <v>6.641036313646749E-2</v>
      </c>
      <c r="AI1085" s="93">
        <f>IF('Net zero activities &amp; levers'!$C$14="Off",('Activity data'!BB9*EF!$H22)*kgtoGg,IF('Net zero activities &amp; levers'!$C$14="On",('Net zero Activity data'!BB9*EF!$H22)*kgtoGg,"ERROR"))</f>
        <v>6.6991487626051227E-2</v>
      </c>
      <c r="AJ1085" s="93">
        <f>IF('Net zero activities &amp; levers'!$C$14="Off",('Activity data'!BC9*EF!$H22)*kgtoGg,IF('Net zero activities &amp; levers'!$C$14="On",('Net zero Activity data'!BC9*EF!$H22)*kgtoGg,"ERROR"))</f>
        <v>6.7631185432622337E-2</v>
      </c>
      <c r="AK1085" s="93">
        <f>IF('Net zero activities &amp; levers'!$C$14="Off",('Activity data'!BD9*EF!$H22)*kgtoGg,IF('Net zero activities &amp; levers'!$C$14="On",('Net zero Activity data'!BD9*EF!$H22)*kgtoGg,"ERROR"))</f>
        <v>6.8029802326707703E-2</v>
      </c>
      <c r="AL1085" s="93">
        <f>IF('Net zero activities &amp; levers'!$C$14="Off",('Activity data'!BE9*EF!$H22)*kgtoGg,IF('Net zero activities &amp; levers'!$C$14="On",('Net zero Activity data'!BE9*EF!$H22)*kgtoGg,"ERROR"))</f>
        <v>6.832885199784397E-2</v>
      </c>
      <c r="AM1085" s="93">
        <f>IF('Net zero activities &amp; levers'!$C$14="Off",('Activity data'!BF9*EF!$H22)*kgtoGg,IF('Net zero activities &amp; levers'!$C$14="On",('Net zero Activity data'!BF9*EF!$H22)*kgtoGg,"ERROR"))</f>
        <v>6.8536860196676486E-2</v>
      </c>
      <c r="AN1085" s="93">
        <f>IF('Net zero activities &amp; levers'!$C$14="Off",('Activity data'!BG9*EF!$H22)*kgtoGg,IF('Net zero activities &amp; levers'!$C$14="On",('Net zero Activity data'!BG9*EF!$H22)*kgtoGg,"ERROR"))</f>
        <v>6.9183502710306752E-2</v>
      </c>
      <c r="AO1085" s="93">
        <f>IF('Net zero activities &amp; levers'!$C$14="Off",('Activity data'!BH9*EF!$H22)*kgtoGg,IF('Net zero activities &amp; levers'!$C$14="On",('Net zero Activity data'!BH9*EF!$H22)*kgtoGg,"ERROR"))</f>
        <v>6.9675032882043061E-2</v>
      </c>
      <c r="AP1085" s="93">
        <f>IF('Net zero activities &amp; levers'!$C$14="Off",('Activity data'!BI9*EF!$H22)*kgtoGg,IF('Net zero activities &amp; levers'!$C$14="On",('Net zero Activity data'!BI9*EF!$H22)*kgtoGg,"ERROR"))</f>
        <v>7.0172767589129104E-2</v>
      </c>
      <c r="AQ1085" s="93">
        <f>IF('Net zero activities &amp; levers'!$C$14="Off",('Activity data'!BJ9*EF!$H22)*kgtoGg,IF('Net zero activities &amp; levers'!$C$14="On",('Net zero Activity data'!BJ9*EF!$H22)*kgtoGg,"ERROR"))</f>
        <v>7.0682400691608652E-2</v>
      </c>
      <c r="AR1085" s="93">
        <f>IF('Net zero activities &amp; levers'!$C$14="Off",('Activity data'!BK9*EF!$H22)*kgtoGg,IF('Net zero activities &amp; levers'!$C$14="On",('Net zero Activity data'!BK9*EF!$H22)*kgtoGg,"ERROR"))</f>
        <v>7.1214209104559126E-2</v>
      </c>
      <c r="AS1085" s="93">
        <f>IF('Net zero activities &amp; levers'!$C$14="Off",('Activity data'!BL9*EF!$H22)*kgtoGg,IF('Net zero activities &amp; levers'!$C$14="On",('Net zero Activity data'!BL9*EF!$H22)*kgtoGg,"ERROR"))</f>
        <v>7.1760235084501689E-2</v>
      </c>
      <c r="AT1085" s="93">
        <f>IF('Net zero activities &amp; levers'!$C$14="Off",('Activity data'!BM9*EF!$H22)*kgtoGg,IF('Net zero activities &amp; levers'!$C$14="On",('Net zero Activity data'!BM9*EF!$H22)*kgtoGg,"ERROR"))</f>
        <v>7.0683135236036573E-2</v>
      </c>
      <c r="AU1085" s="93">
        <f>IF('Net zero activities &amp; levers'!$C$14="Off",('Activity data'!BN9*EF!$H22)*kgtoGg,IF('Net zero activities &amp; levers'!$C$14="On",('Net zero Activity data'!BN9*EF!$H22)*kgtoGg,"ERROR"))</f>
        <v>6.9462962253632216E-2</v>
      </c>
      <c r="AV1085" s="93">
        <f>IF('Net zero activities &amp; levers'!$C$14="Off",('Activity data'!BO9*EF!$H22)*kgtoGg,IF('Net zero activities &amp; levers'!$C$14="On",('Net zero Activity data'!BO9*EF!$H22)*kgtoGg,"ERROR"))</f>
        <v>6.8048390377341353E-2</v>
      </c>
      <c r="AW1085" s="93">
        <f>IF('Net zero activities &amp; levers'!$C$14="Off",('Activity data'!BP9*EF!$H22)*kgtoGg,IF('Net zero activities &amp; levers'!$C$14="On",('Net zero Activity data'!BP9*EF!$H22)*kgtoGg,"ERROR"))</f>
        <v>6.658948684711255E-2</v>
      </c>
      <c r="AY1085" s="79"/>
    </row>
    <row r="1086" spans="1:51" x14ac:dyDescent="0.3">
      <c r="A1086" s="95" t="str">
        <f t="shared" si="373"/>
        <v>CM Cattle MMCH4</v>
      </c>
      <c r="B1086" s="95" t="s">
        <v>1322</v>
      </c>
      <c r="C1086" s="95" t="s">
        <v>1229</v>
      </c>
      <c r="D1086" t="s">
        <v>15</v>
      </c>
      <c r="E1086" t="s">
        <v>22</v>
      </c>
      <c r="F1086" t="s">
        <v>67</v>
      </c>
      <c r="G1086" t="s">
        <v>135</v>
      </c>
      <c r="H1086" t="s">
        <v>1227</v>
      </c>
      <c r="I1086" t="s">
        <v>121</v>
      </c>
      <c r="J1086" t="s">
        <v>286</v>
      </c>
      <c r="K1086" s="93">
        <f>IF('Net zero activities &amp; levers'!$C$14="Off",('Activity data'!AD10*EF!$H23)*kgtoGg,IF('Net zero activities &amp; levers'!$C$14="On",('Net zero Activity data'!AD10*EF!$H23)*kgtoGg,"ERROR"))</f>
        <v>0.47107022937833831</v>
      </c>
      <c r="L1086" s="93">
        <f>IF('Net zero activities &amp; levers'!$C$14="Off",('Activity data'!AE10*EF!$H23)*kgtoGg,IF('Net zero activities &amp; levers'!$C$14="On",('Net zero Activity data'!AE10*EF!$H23)*kgtoGg,"ERROR"))</f>
        <v>0.48695387967725939</v>
      </c>
      <c r="M1086" s="93">
        <f>IF('Net zero activities &amp; levers'!$C$14="Off",('Activity data'!AF10*EF!$H23)*kgtoGg,IF('Net zero activities &amp; levers'!$C$14="On",('Net zero Activity data'!AF10*EF!$H23)*kgtoGg,"ERROR"))</f>
        <v>0.50580611066616787</v>
      </c>
      <c r="N1086" s="93">
        <f>IF('Net zero activities &amp; levers'!$C$14="Off",('Activity data'!AG10*EF!$H23)*kgtoGg,IF('Net zero activities &amp; levers'!$C$14="On",('Net zero Activity data'!AG10*EF!$H23)*kgtoGg,"ERROR"))</f>
        <v>0.51986569055899412</v>
      </c>
      <c r="O1086" s="93">
        <f>IF('Net zero activities &amp; levers'!$C$14="Off",('Activity data'!AH10*EF!$H23)*kgtoGg,IF('Net zero activities &amp; levers'!$C$14="On",('Net zero Activity data'!AH10*EF!$H23)*kgtoGg,"ERROR"))</f>
        <v>0.5307082628613855</v>
      </c>
      <c r="P1086" s="93">
        <f>IF('Net zero activities &amp; levers'!$C$14="Off",('Activity data'!AI10*EF!$H23)*kgtoGg,IF('Net zero activities &amp; levers'!$C$14="On",('Net zero Activity data'!AI10*EF!$H23)*kgtoGg,"ERROR"))</f>
        <v>0.53817886796858128</v>
      </c>
      <c r="Q1086" s="93">
        <f>IF('Net zero activities &amp; levers'!$C$14="Off",('Activity data'!AJ10*EF!$H23)*kgtoGg,IF('Net zero activities &amp; levers'!$C$14="On",('Net zero Activity data'!AJ10*EF!$H23)*kgtoGg,"ERROR"))</f>
        <v>0.54837935702304741</v>
      </c>
      <c r="R1086" s="93">
        <f>IF('Net zero activities &amp; levers'!$C$14="Off",('Activity data'!AK10*EF!$H23)*kgtoGg,IF('Net zero activities &amp; levers'!$C$14="On",('Net zero Activity data'!AK10*EF!$H23)*kgtoGg,"ERROR"))</f>
        <v>0.55907244781022658</v>
      </c>
      <c r="S1086" s="93">
        <f>IF('Net zero activities &amp; levers'!$C$14="Off",('Activity data'!AL10*EF!$H23)*kgtoGg,IF('Net zero activities &amp; levers'!$C$14="On",('Net zero Activity data'!AL10*EF!$H23)*kgtoGg,"ERROR"))</f>
        <v>0.5116979963243764</v>
      </c>
      <c r="T1086" s="93">
        <f>IF('Net zero activities &amp; levers'!$C$14="Off",('Activity data'!AM10*EF!$H23)*kgtoGg,IF('Net zero activities &amp; levers'!$C$14="On",('Net zero Activity data'!AM10*EF!$H23)*kgtoGg,"ERROR"))</f>
        <v>0.53253794371544794</v>
      </c>
      <c r="U1086" s="93">
        <f>IF('Net zero activities &amp; levers'!$C$14="Off",('Activity data'!AN10*EF!$H23)*kgtoGg,IF('Net zero activities &amp; levers'!$C$14="On",('Net zero Activity data'!AN10*EF!$H23)*kgtoGg,"ERROR"))</f>
        <v>0.56144831136588025</v>
      </c>
      <c r="V1086" s="93">
        <f>IF('Net zero activities &amp; levers'!$C$14="Off",('Activity data'!AO10*EF!$H23)*kgtoGg,IF('Net zero activities &amp; levers'!$C$14="On",('Net zero Activity data'!AO10*EF!$H23)*kgtoGg,"ERROR"))</f>
        <v>0.57794253443008525</v>
      </c>
      <c r="W1086" s="93">
        <f>IF('Net zero activities &amp; levers'!$C$14="Off",('Activity data'!AP10*EF!$H23)*kgtoGg,IF('Net zero activities &amp; levers'!$C$14="On",('Net zero Activity data'!AP10*EF!$H23)*kgtoGg,"ERROR"))</f>
        <v>0.59624482437454274</v>
      </c>
      <c r="X1086" s="93">
        <f>IF('Net zero activities &amp; levers'!$C$14="Off",('Activity data'!AQ10*EF!$H23)*kgtoGg,IF('Net zero activities &amp; levers'!$C$14="On",('Net zero Activity data'!AQ10*EF!$H23)*kgtoGg,"ERROR"))</f>
        <v>0.61691451225743765</v>
      </c>
      <c r="Y1086" s="93">
        <f>IF('Net zero activities &amp; levers'!$C$14="Off",('Activity data'!AR10*EF!$H23)*kgtoGg,IF('Net zero activities &amp; levers'!$C$14="On",('Net zero Activity data'!AR10*EF!$H23)*kgtoGg,"ERROR"))</f>
        <v>0.63912634684399761</v>
      </c>
      <c r="Z1086" s="93">
        <f>IF('Net zero activities &amp; levers'!$C$14="Off",('Activity data'!AS10*EF!$H23)*kgtoGg,IF('Net zero activities &amp; levers'!$C$14="On",('Net zero Activity data'!AS10*EF!$H23)*kgtoGg,"ERROR"))</f>
        <v>0.66333849990898774</v>
      </c>
      <c r="AA1086" s="93">
        <f>IF('Net zero activities &amp; levers'!$C$14="Off",('Activity data'!AT10*EF!$H23)*kgtoGg,IF('Net zero activities &amp; levers'!$C$14="On",('Net zero Activity data'!AT10*EF!$H23)*kgtoGg,"ERROR"))</f>
        <v>0.68823157042214766</v>
      </c>
      <c r="AB1086" s="93">
        <f>IF('Net zero activities &amp; levers'!$C$14="Off",('Activity data'!AU10*EF!$H23)*kgtoGg,IF('Net zero activities &amp; levers'!$C$14="On",('Net zero Activity data'!AU10*EF!$H23)*kgtoGg,"ERROR"))</f>
        <v>0.71506797281834467</v>
      </c>
      <c r="AC1086" s="93">
        <f>IF('Net zero activities &amp; levers'!$C$14="Off",('Activity data'!AV10*EF!$H23)*kgtoGg,IF('Net zero activities &amp; levers'!$C$14="On",('Net zero Activity data'!AV10*EF!$H23)*kgtoGg,"ERROR"))</f>
        <v>0.74251772868278199</v>
      </c>
      <c r="AD1086" s="93">
        <f>IF('Net zero activities &amp; levers'!$C$14="Off",('Activity data'!AW10*EF!$H23)*kgtoGg,IF('Net zero activities &amp; levers'!$C$14="On",('Net zero Activity data'!AW10*EF!$H23)*kgtoGg,"ERROR"))</f>
        <v>0.7750525944257971</v>
      </c>
      <c r="AE1086" s="93">
        <f>IF('Net zero activities &amp; levers'!$C$14="Off",('Activity data'!AX10*EF!$H23)*kgtoGg,IF('Net zero activities &amp; levers'!$C$14="On",('Net zero Activity data'!AX10*EF!$H23)*kgtoGg,"ERROR"))</f>
        <v>0.80751598640792854</v>
      </c>
      <c r="AF1086" s="93">
        <f>IF('Net zero activities &amp; levers'!$C$14="Off",('Activity data'!AY10*EF!$H23)*kgtoGg,IF('Net zero activities &amp; levers'!$C$14="On",('Net zero Activity data'!AY10*EF!$H23)*kgtoGg,"ERROR"))</f>
        <v>0.84174152680537817</v>
      </c>
      <c r="AG1086" s="93">
        <f>IF('Net zero activities &amp; levers'!$C$14="Off",('Activity data'!AZ10*EF!$H23)*kgtoGg,IF('Net zero activities &amp; levers'!$C$14="On",('Net zero Activity data'!AZ10*EF!$H23)*kgtoGg,"ERROR"))</f>
        <v>0.88000003569074847</v>
      </c>
      <c r="AH1086" s="93">
        <f>IF('Net zero activities &amp; levers'!$C$14="Off",('Activity data'!BA10*EF!$H23)*kgtoGg,IF('Net zero activities &amp; levers'!$C$14="On",('Net zero Activity data'!BA10*EF!$H23)*kgtoGg,"ERROR"))</f>
        <v>0.91704807287784318</v>
      </c>
      <c r="AI1086" s="93">
        <f>IF('Net zero activities &amp; levers'!$C$14="Off",('Activity data'!BB10*EF!$H23)*kgtoGg,IF('Net zero activities &amp; levers'!$C$14="On",('Net zero Activity data'!BB10*EF!$H23)*kgtoGg,"ERROR"))</f>
        <v>0.95623961354371867</v>
      </c>
      <c r="AJ1086" s="93">
        <f>IF('Net zero activities &amp; levers'!$C$14="Off",('Activity data'!BC10*EF!$H23)*kgtoGg,IF('Net zero activities &amp; levers'!$C$14="On",('Net zero Activity data'!BC10*EF!$H23)*kgtoGg,"ERROR"))</f>
        <v>0.99805792050769693</v>
      </c>
      <c r="AK1086" s="93">
        <f>IF('Net zero activities &amp; levers'!$C$14="Off",('Activity data'!BD10*EF!$H23)*kgtoGg,IF('Net zero activities &amp; levers'!$C$14="On",('Net zero Activity data'!BD10*EF!$H23)*kgtoGg,"ERROR"))</f>
        <v>1.0381239689146564</v>
      </c>
      <c r="AL1086" s="93">
        <f>IF('Net zero activities &amp; levers'!$C$14="Off",('Activity data'!BE10*EF!$H23)*kgtoGg,IF('Net zero activities &amp; levers'!$C$14="On",('Net zero Activity data'!BE10*EF!$H23)*kgtoGg,"ERROR"))</f>
        <v>1.0784102253675423</v>
      </c>
      <c r="AM1086" s="93">
        <f>IF('Net zero activities &amp; levers'!$C$14="Off",('Activity data'!BF10*EF!$H23)*kgtoGg,IF('Net zero activities &amp; levers'!$C$14="On",('Net zero Activity data'!BF10*EF!$H23)*kgtoGg,"ERROR"))</f>
        <v>1.1190041069207182</v>
      </c>
      <c r="AN1086" s="93">
        <f>IF('Net zero activities &amp; levers'!$C$14="Off",('Activity data'!BG10*EF!$H23)*kgtoGg,IF('Net zero activities &amp; levers'!$C$14="On",('Net zero Activity data'!BG10*EF!$H23)*kgtoGg,"ERROR"))</f>
        <v>1.1614327193697984</v>
      </c>
      <c r="AO1086" s="93">
        <f>IF('Net zero activities &amp; levers'!$C$14="Off",('Activity data'!BH10*EF!$H23)*kgtoGg,IF('Net zero activities &amp; levers'!$C$14="On",('Net zero Activity data'!BH10*EF!$H23)*kgtoGg,"ERROR"))</f>
        <v>1.2028013950684227</v>
      </c>
      <c r="AP1086" s="93">
        <f>IF('Net zero activities &amp; levers'!$C$14="Off",('Activity data'!BI10*EF!$H23)*kgtoGg,IF('Net zero activities &amp; levers'!$C$14="On",('Net zero Activity data'!BI10*EF!$H23)*kgtoGg,"ERROR"))</f>
        <v>1.2458253070355789</v>
      </c>
      <c r="AQ1086" s="93">
        <f>IF('Net zero activities &amp; levers'!$C$14="Off",('Activity data'!BJ10*EF!$H23)*kgtoGg,IF('Net zero activities &amp; levers'!$C$14="On",('Net zero Activity data'!BJ10*EF!$H23)*kgtoGg,"ERROR"))</f>
        <v>1.2906949248380046</v>
      </c>
      <c r="AR1086" s="93">
        <f>IF('Net zero activities &amp; levers'!$C$14="Off",('Activity data'!BK10*EF!$H23)*kgtoGg,IF('Net zero activities &amp; levers'!$C$14="On",('Net zero Activity data'!BK10*EF!$H23)*kgtoGg,"ERROR"))</f>
        <v>1.3377043131160224</v>
      </c>
      <c r="AS1086" s="93">
        <f>IF('Net zero activities &amp; levers'!$C$14="Off",('Activity data'!BL10*EF!$H23)*kgtoGg,IF('Net zero activities &amp; levers'!$C$14="On",('Net zero Activity data'!BL10*EF!$H23)*kgtoGg,"ERROR"))</f>
        <v>1.3868240533486631</v>
      </c>
      <c r="AT1086" s="93">
        <f>IF('Net zero activities &amp; levers'!$C$14="Off",('Activity data'!BM10*EF!$H23)*kgtoGg,IF('Net zero activities &amp; levers'!$C$14="On",('Net zero Activity data'!BM10*EF!$H23)*kgtoGg,"ERROR"))</f>
        <v>1.4056131138026084</v>
      </c>
      <c r="AU1086" s="93">
        <f>IF('Net zero activities &amp; levers'!$C$14="Off",('Activity data'!BN10*EF!$H23)*kgtoGg,IF('Net zero activities &amp; levers'!$C$14="On",('Net zero Activity data'!BN10*EF!$H23)*kgtoGg,"ERROR"))</f>
        <v>1.4216407980502102</v>
      </c>
      <c r="AV1086" s="93">
        <f>IF('Net zero activities &amp; levers'!$C$14="Off",('Activity data'!BO10*EF!$H23)*kgtoGg,IF('Net zero activities &amp; levers'!$C$14="On",('Net zero Activity data'!BO10*EF!$H23)*kgtoGg,"ERROR"))</f>
        <v>1.4335765692204958</v>
      </c>
      <c r="AW1086" s="93">
        <f>IF('Net zero activities &amp; levers'!$C$14="Off",('Activity data'!BP10*EF!$H23)*kgtoGg,IF('Net zero activities &amp; levers'!$C$14="On",('Net zero Activity data'!BP10*EF!$H23)*kgtoGg,"ERROR"))</f>
        <v>1.4443117800465477</v>
      </c>
      <c r="AY1086" s="79"/>
    </row>
    <row r="1087" spans="1:51" x14ac:dyDescent="0.3">
      <c r="A1087" s="95" t="str">
        <f t="shared" si="373"/>
        <v>CM Sheep MMCH4</v>
      </c>
      <c r="B1087" s="95" t="s">
        <v>1322</v>
      </c>
      <c r="C1087" s="95" t="s">
        <v>1324</v>
      </c>
      <c r="D1087" t="s">
        <v>15</v>
      </c>
      <c r="E1087" t="s">
        <v>22</v>
      </c>
      <c r="F1087" t="s">
        <v>18</v>
      </c>
      <c r="G1087" t="s">
        <v>122</v>
      </c>
      <c r="H1087" t="s">
        <v>1227</v>
      </c>
      <c r="I1087" t="s">
        <v>121</v>
      </c>
      <c r="J1087" t="s">
        <v>286</v>
      </c>
      <c r="K1087" s="93">
        <f>IF('Net zero activities &amp; levers'!$C$14="Off",('Activity data'!AD11*EF!$H24)*kgtoGg,IF('Net zero activities &amp; levers'!$C$14="On",('Net zero Activity data'!AD11*EF!$H24)*kgtoGg,"ERROR"))</f>
        <v>3.6054675351507588E-2</v>
      </c>
      <c r="L1087" s="93">
        <f>IF('Net zero activities &amp; levers'!$C$14="Off",('Activity data'!AE11*EF!$H24)*kgtoGg,IF('Net zero activities &amp; levers'!$C$14="On",('Net zero Activity data'!AE11*EF!$H24)*kgtoGg,"ERROR"))</f>
        <v>3.6074169999743479E-2</v>
      </c>
      <c r="M1087" s="93">
        <f>IF('Net zero activities &amp; levers'!$C$14="Off",('Activity data'!AF11*EF!$H24)*kgtoGg,IF('Net zero activities &amp; levers'!$C$14="On",('Net zero Activity data'!AF11*EF!$H24)*kgtoGg,"ERROR"))</f>
        <v>3.6120780972302438E-2</v>
      </c>
      <c r="N1087" s="93">
        <f>IF('Net zero activities &amp; levers'!$C$14="Off",('Activity data'!AG11*EF!$H24)*kgtoGg,IF('Net zero activities &amp; levers'!$C$14="On",('Net zero Activity data'!AG11*EF!$H24)*kgtoGg,"ERROR"))</f>
        <v>3.6189509224973292E-2</v>
      </c>
      <c r="O1087" s="93">
        <f>IF('Net zero activities &amp; levers'!$C$14="Off",('Activity data'!AH11*EF!$H24)*kgtoGg,IF('Net zero activities &amp; levers'!$C$14="On",('Net zero Activity data'!AH11*EF!$H24)*kgtoGg,"ERROR"))</f>
        <v>3.6279918010713667E-2</v>
      </c>
      <c r="P1087" s="93">
        <f>IF('Net zero activities &amp; levers'!$C$14="Off",('Activity data'!AI11*EF!$H24)*kgtoGg,IF('Net zero activities &amp; levers'!$C$14="On",('Net zero Activity data'!AI11*EF!$H24)*kgtoGg,"ERROR"))</f>
        <v>3.6391052650159628E-2</v>
      </c>
      <c r="Q1087" s="93">
        <f>IF('Net zero activities &amp; levers'!$C$14="Off",('Activity data'!AJ11*EF!$H24)*kgtoGg,IF('Net zero activities &amp; levers'!$C$14="On",('Net zero Activity data'!AJ11*EF!$H24)*kgtoGg,"ERROR"))</f>
        <v>3.6515872019705298E-2</v>
      </c>
      <c r="R1087" s="93">
        <f>IF('Net zero activities &amp; levers'!$C$14="Off",('Activity data'!AK11*EF!$H24)*kgtoGg,IF('Net zero activities &amp; levers'!$C$14="On",('Net zero Activity data'!AK11*EF!$H24)*kgtoGg,"ERROR"))</f>
        <v>3.6653588090719266E-2</v>
      </c>
      <c r="S1087" s="93">
        <f>IF('Net zero activities &amp; levers'!$C$14="Off",('Activity data'!AL11*EF!$H24)*kgtoGg,IF('Net zero activities &amp; levers'!$C$14="On",('Net zero Activity data'!AL11*EF!$H24)*kgtoGg,"ERROR"))</f>
        <v>3.6779521855622693E-2</v>
      </c>
      <c r="T1087" s="93">
        <f>IF('Net zero activities &amp; levers'!$C$14="Off",('Activity data'!AM11*EF!$H24)*kgtoGg,IF('Net zero activities &amp; levers'!$C$14="On",('Net zero Activity data'!AM11*EF!$H24)*kgtoGg,"ERROR"))</f>
        <v>3.6834860200729257E-2</v>
      </c>
      <c r="U1087" s="93">
        <f>IF('Net zero activities &amp; levers'!$C$14="Off",('Activity data'!AN11*EF!$H24)*kgtoGg,IF('Net zero activities &amp; levers'!$C$14="On",('Net zero Activity data'!AN11*EF!$H24)*kgtoGg,"ERROR"))</f>
        <v>3.6902440208564632E-2</v>
      </c>
      <c r="V1087" s="93">
        <f>IF('Net zero activities &amp; levers'!$C$14="Off",('Activity data'!AO11*EF!$H24)*kgtoGg,IF('Net zero activities &amp; levers'!$C$14="On",('Net zero Activity data'!AO11*EF!$H24)*kgtoGg,"ERROR"))</f>
        <v>3.697347207185564E-2</v>
      </c>
      <c r="W1087" s="93">
        <f>IF('Net zero activities &amp; levers'!$C$14="Off",('Activity data'!AP11*EF!$H24)*kgtoGg,IF('Net zero activities &amp; levers'!$C$14="On",('Net zero Activity data'!AP11*EF!$H24)*kgtoGg,"ERROR"))</f>
        <v>3.7053220502968609E-2</v>
      </c>
      <c r="X1087" s="93">
        <f>IF('Net zero activities &amp; levers'!$C$14="Off",('Activity data'!AQ11*EF!$H24)*kgtoGg,IF('Net zero activities &amp; levers'!$C$14="On",('Net zero Activity data'!AQ11*EF!$H24)*kgtoGg,"ERROR"))</f>
        <v>3.714146236421613E-2</v>
      </c>
      <c r="Y1087" s="93">
        <f>IF('Net zero activities &amp; levers'!$C$14="Off",('Activity data'!AR11*EF!$H24)*kgtoGg,IF('Net zero activities &amp; levers'!$C$14="On",('Net zero Activity data'!AR11*EF!$H24)*kgtoGg,"ERROR"))</f>
        <v>3.7196571628197998E-2</v>
      </c>
      <c r="Z1087" s="93">
        <f>IF('Net zero activities &amp; levers'!$C$14="Off",('Activity data'!AS11*EF!$H24)*kgtoGg,IF('Net zero activities &amp; levers'!$C$14="On",('Net zero Activity data'!AS11*EF!$H24)*kgtoGg,"ERROR"))</f>
        <v>3.7258831126487216E-2</v>
      </c>
      <c r="AA1087" s="93">
        <f>IF('Net zero activities &amp; levers'!$C$14="Off",('Activity data'!AT11*EF!$H24)*kgtoGg,IF('Net zero activities &amp; levers'!$C$14="On",('Net zero Activity data'!AT11*EF!$H24)*kgtoGg,"ERROR"))</f>
        <v>3.7327399595166219E-2</v>
      </c>
      <c r="AB1087" s="93">
        <f>IF('Net zero activities &amp; levers'!$C$14="Off",('Activity data'!AU11*EF!$H24)*kgtoGg,IF('Net zero activities &amp; levers'!$C$14="On",('Net zero Activity data'!AU11*EF!$H24)*kgtoGg,"ERROR"))</f>
        <v>3.7402465573387562E-2</v>
      </c>
      <c r="AC1087" s="93">
        <f>IF('Net zero activities &amp; levers'!$C$14="Off",('Activity data'!AV11*EF!$H24)*kgtoGg,IF('Net zero activities &amp; levers'!$C$14="On",('Net zero Activity data'!AV11*EF!$H24)*kgtoGg,"ERROR"))</f>
        <v>3.7483254267417832E-2</v>
      </c>
      <c r="AD1087" s="93">
        <f>IF('Net zero activities &amp; levers'!$C$14="Off",('Activity data'!AW11*EF!$H24)*kgtoGg,IF('Net zero activities &amp; levers'!$C$14="On",('Net zero Activity data'!AW11*EF!$H24)*kgtoGg,"ERROR"))</f>
        <v>3.7537448557312683E-2</v>
      </c>
      <c r="AE1087" s="93">
        <f>IF('Net zero activities &amp; levers'!$C$14="Off",('Activity data'!AX11*EF!$H24)*kgtoGg,IF('Net zero activities &amp; levers'!$C$14="On",('Net zero Activity data'!AX11*EF!$H24)*kgtoGg,"ERROR"))</f>
        <v>3.759628261627642E-2</v>
      </c>
      <c r="AF1087" s="93">
        <f>IF('Net zero activities &amp; levers'!$C$14="Off",('Activity data'!AY11*EF!$H24)*kgtoGg,IF('Net zero activities &amp; levers'!$C$14="On",('Net zero Activity data'!AY11*EF!$H24)*kgtoGg,"ERROR"))</f>
        <v>3.7660229373785575E-2</v>
      </c>
      <c r="AG1087" s="93">
        <f>IF('Net zero activities &amp; levers'!$C$14="Off",('Activity data'!AZ11*EF!$H24)*kgtoGg,IF('Net zero activities &amp; levers'!$C$14="On",('Net zero Activity data'!AZ11*EF!$H24)*kgtoGg,"ERROR"))</f>
        <v>3.7729913053341259E-2</v>
      </c>
      <c r="AH1087" s="93">
        <f>IF('Net zero activities &amp; levers'!$C$14="Off",('Activity data'!BA11*EF!$H24)*kgtoGg,IF('Net zero activities &amp; levers'!$C$14="On",('Net zero Activity data'!BA11*EF!$H24)*kgtoGg,"ERROR"))</f>
        <v>3.7803241196451468E-2</v>
      </c>
      <c r="AI1087" s="93">
        <f>IF('Net zero activities &amp; levers'!$C$14="Off",('Activity data'!BB11*EF!$H24)*kgtoGg,IF('Net zero activities &amp; levers'!$C$14="On",('Net zero Activity data'!BB11*EF!$H24)*kgtoGg,"ERROR"))</f>
        <v>3.7850112312391396E-2</v>
      </c>
      <c r="AJ1087" s="93">
        <f>IF('Net zero activities &amp; levers'!$C$14="Off",('Activity data'!BC11*EF!$H24)*kgtoGg,IF('Net zero activities &amp; levers'!$C$14="On",('Net zero Activity data'!BC11*EF!$H24)*kgtoGg,"ERROR"))</f>
        <v>3.7901451820370476E-2</v>
      </c>
      <c r="AK1087" s="93">
        <f>IF('Net zero activities &amp; levers'!$C$14="Off",('Activity data'!BD11*EF!$H24)*kgtoGg,IF('Net zero activities &amp; levers'!$C$14="On",('Net zero Activity data'!BD11*EF!$H24)*kgtoGg,"ERROR"))</f>
        <v>3.7955566436191537E-2</v>
      </c>
      <c r="AL1087" s="93">
        <f>IF('Net zero activities &amp; levers'!$C$14="Off",('Activity data'!BE11*EF!$H24)*kgtoGg,IF('Net zero activities &amp; levers'!$C$14="On",('Net zero Activity data'!BE11*EF!$H24)*kgtoGg,"ERROR"))</f>
        <v>3.8013032265109208E-2</v>
      </c>
      <c r="AM1087" s="93">
        <f>IF('Net zero activities &amp; levers'!$C$14="Off",('Activity data'!BF11*EF!$H24)*kgtoGg,IF('Net zero activities &amp; levers'!$C$14="On",('Net zero Activity data'!BF11*EF!$H24)*kgtoGg,"ERROR"))</f>
        <v>3.8073762176342195E-2</v>
      </c>
      <c r="AN1087" s="93">
        <f>IF('Net zero activities &amp; levers'!$C$14="Off",('Activity data'!BG11*EF!$H24)*kgtoGg,IF('Net zero activities &amp; levers'!$C$14="On",('Net zero Activity data'!BG11*EF!$H24)*kgtoGg,"ERROR"))</f>
        <v>3.8109645900532299E-2</v>
      </c>
      <c r="AO1087" s="93">
        <f>IF('Net zero activities &amp; levers'!$C$14="Off",('Activity data'!BH11*EF!$H24)*kgtoGg,IF('Net zero activities &amp; levers'!$C$14="On",('Net zero Activity data'!BH11*EF!$H24)*kgtoGg,"ERROR"))</f>
        <v>3.8147952211549679E-2</v>
      </c>
      <c r="AP1087" s="93">
        <f>IF('Net zero activities &amp; levers'!$C$14="Off",('Activity data'!BI11*EF!$H24)*kgtoGg,IF('Net zero activities &amp; levers'!$C$14="On",('Net zero Activity data'!BI11*EF!$H24)*kgtoGg,"ERROR"))</f>
        <v>3.8189503844275732E-2</v>
      </c>
      <c r="AQ1087" s="93">
        <f>IF('Net zero activities &amp; levers'!$C$14="Off",('Activity data'!BJ11*EF!$H24)*kgtoGg,IF('Net zero activities &amp; levers'!$C$14="On",('Net zero Activity data'!BJ11*EF!$H24)*kgtoGg,"ERROR"))</f>
        <v>3.8234260627096527E-2</v>
      </c>
      <c r="AR1087" s="93">
        <f>IF('Net zero activities &amp; levers'!$C$14="Off",('Activity data'!BK11*EF!$H24)*kgtoGg,IF('Net zero activities &amp; levers'!$C$14="On",('Net zero Activity data'!BK11*EF!$H24)*kgtoGg,"ERROR"))</f>
        <v>3.8282221632507191E-2</v>
      </c>
      <c r="AS1087" s="93">
        <f>IF('Net zero activities &amp; levers'!$C$14="Off",('Activity data'!BL11*EF!$H24)*kgtoGg,IF('Net zero activities &amp; levers'!$C$14="On",('Net zero Activity data'!BL11*EF!$H24)*kgtoGg,"ERROR"))</f>
        <v>3.8303980390956796E-2</v>
      </c>
      <c r="AT1087" s="93">
        <f>IF('Net zero activities &amp; levers'!$C$14="Off",('Activity data'!BM11*EF!$H24)*kgtoGg,IF('Net zero activities &amp; levers'!$C$14="On",('Net zero Activity data'!BM11*EF!$H24)*kgtoGg,"ERROR"))</f>
        <v>3.8318002472277804E-2</v>
      </c>
      <c r="AU1087" s="93">
        <f>IF('Net zero activities &amp; levers'!$C$14="Off",('Activity data'!BN11*EF!$H24)*kgtoGg,IF('Net zero activities &amp; levers'!$C$14="On",('Net zero Activity data'!BN11*EF!$H24)*kgtoGg,"ERROR"))</f>
        <v>3.8333373323501507E-2</v>
      </c>
      <c r="AV1087" s="93">
        <f>IF('Net zero activities &amp; levers'!$C$14="Off",('Activity data'!BO11*EF!$H24)*kgtoGg,IF('Net zero activities &amp; levers'!$C$14="On",('Net zero Activity data'!BO11*EF!$H24)*kgtoGg,"ERROR"))</f>
        <v>3.8349609063517129E-2</v>
      </c>
      <c r="AW1087" s="93">
        <f>IF('Net zero activities &amp; levers'!$C$14="Off",('Activity data'!BP11*EF!$H24)*kgtoGg,IF('Net zero activities &amp; levers'!$C$14="On",('Net zero Activity data'!BP11*EF!$H24)*kgtoGg,"ERROR"))</f>
        <v>3.8367594097231859E-2</v>
      </c>
      <c r="AY1087" s="79"/>
    </row>
    <row r="1088" spans="1:51" x14ac:dyDescent="0.3">
      <c r="A1088" s="95" t="str">
        <f t="shared" si="373"/>
        <v>CM Sheep MMCH4</v>
      </c>
      <c r="B1088" s="95" t="s">
        <v>1322</v>
      </c>
      <c r="C1088" s="95" t="s">
        <v>1324</v>
      </c>
      <c r="D1088" t="s">
        <v>15</v>
      </c>
      <c r="E1088" t="s">
        <v>22</v>
      </c>
      <c r="F1088" t="s">
        <v>18</v>
      </c>
      <c r="G1088" t="s">
        <v>123</v>
      </c>
      <c r="H1088" t="s">
        <v>1227</v>
      </c>
      <c r="I1088" t="s">
        <v>121</v>
      </c>
      <c r="J1088" t="s">
        <v>286</v>
      </c>
      <c r="K1088" s="93">
        <f>IF('Net zero activities &amp; levers'!$C$14="Off",('Activity data'!AD12*EF!$H25)*kgtoGg,IF('Net zero activities &amp; levers'!$C$14="On",('Net zero Activity data'!AD12*EF!$H25)*kgtoGg,"ERROR"))</f>
        <v>4.1176157807460215E-3</v>
      </c>
      <c r="L1088" s="93">
        <f>IF('Net zero activities &amp; levers'!$C$14="Off",('Activity data'!AE12*EF!$H25)*kgtoGg,IF('Net zero activities &amp; levers'!$C$14="On",('Net zero Activity data'!AE12*EF!$H25)*kgtoGg,"ERROR"))</f>
        <v>4.1198421624963379E-3</v>
      </c>
      <c r="M1088" s="93">
        <f>IF('Net zero activities &amp; levers'!$C$14="Off",('Activity data'!AF12*EF!$H25)*kgtoGg,IF('Net zero activities &amp; levers'!$C$14="On",('Net zero Activity data'!AF12*EF!$H25)*kgtoGg,"ERROR"))</f>
        <v>4.1251653577350569E-3</v>
      </c>
      <c r="N1088" s="93">
        <f>IF('Net zero activities &amp; levers'!$C$14="Off",('Activity data'!AG12*EF!$H25)*kgtoGg,IF('Net zero activities &amp; levers'!$C$14="On",('Net zero Activity data'!AG12*EF!$H25)*kgtoGg,"ERROR"))</f>
        <v>4.1330144517851795E-3</v>
      </c>
      <c r="O1088" s="93">
        <f>IF('Net zero activities &amp; levers'!$C$14="Off",('Activity data'!AH12*EF!$H25)*kgtoGg,IF('Net zero activities &amp; levers'!$C$14="On",('Net zero Activity data'!AH12*EF!$H25)*kgtoGg,"ERROR"))</f>
        <v>4.1433395660526989E-3</v>
      </c>
      <c r="P1088" s="93">
        <f>IF('Net zero activities &amp; levers'!$C$14="Off",('Activity data'!AI12*EF!$H25)*kgtoGg,IF('Net zero activities &amp; levers'!$C$14="On",('Net zero Activity data'!AI12*EF!$H25)*kgtoGg,"ERROR"))</f>
        <v>4.1560316716037502E-3</v>
      </c>
      <c r="Q1088" s="93">
        <f>IF('Net zero activities &amp; levers'!$C$14="Off",('Activity data'!AJ12*EF!$H25)*kgtoGg,IF('Net zero activities &amp; levers'!$C$14="On",('Net zero Activity data'!AJ12*EF!$H25)*kgtoGg,"ERROR"))</f>
        <v>4.1702866385608306E-3</v>
      </c>
      <c r="R1088" s="93">
        <f>IF('Net zero activities &amp; levers'!$C$14="Off",('Activity data'!AK12*EF!$H25)*kgtoGg,IF('Net zero activities &amp; levers'!$C$14="On",('Net zero Activity data'!AK12*EF!$H25)*kgtoGg,"ERROR"))</f>
        <v>4.1860144702980757E-3</v>
      </c>
      <c r="S1088" s="93">
        <f>IF('Net zero activities &amp; levers'!$C$14="Off",('Activity data'!AL12*EF!$H25)*kgtoGg,IF('Net zero activities &amp; levers'!$C$14="On",('Net zero Activity data'!AL12*EF!$H25)*kgtoGg,"ERROR"))</f>
        <v>4.2003967065168081E-3</v>
      </c>
      <c r="T1088" s="93">
        <f>IF('Net zero activities &amp; levers'!$C$14="Off",('Activity data'!AM12*EF!$H25)*kgtoGg,IF('Net zero activities &amp; levers'!$C$14="On",('Net zero Activity data'!AM12*EF!$H25)*kgtoGg,"ERROR"))</f>
        <v>4.2067166092997236E-3</v>
      </c>
      <c r="U1088" s="93">
        <f>IF('Net zero activities &amp; levers'!$C$14="Off",('Activity data'!AN12*EF!$H25)*kgtoGg,IF('Net zero activities &amp; levers'!$C$14="On",('Net zero Activity data'!AN12*EF!$H25)*kgtoGg,"ERROR"))</f>
        <v>4.2144345683164958E-3</v>
      </c>
      <c r="V1088" s="93">
        <f>IF('Net zero activities &amp; levers'!$C$14="Off",('Activity data'!AO12*EF!$H25)*kgtoGg,IF('Net zero activities &amp; levers'!$C$14="On",('Net zero Activity data'!AO12*EF!$H25)*kgtoGg,"ERROR"))</f>
        <v>4.2225467456796619E-3</v>
      </c>
      <c r="W1088" s="93">
        <f>IF('Net zero activities &amp; levers'!$C$14="Off",('Activity data'!AP12*EF!$H25)*kgtoGg,IF('Net zero activities &amp; levers'!$C$14="On",('Net zero Activity data'!AP12*EF!$H25)*kgtoGg,"ERROR"))</f>
        <v>4.2316543966358575E-3</v>
      </c>
      <c r="X1088" s="93">
        <f>IF('Net zero activities &amp; levers'!$C$14="Off",('Activity data'!AQ12*EF!$H25)*kgtoGg,IF('Net zero activities &amp; levers'!$C$14="On",('Net zero Activity data'!AQ12*EF!$H25)*kgtoGg,"ERROR"))</f>
        <v>4.2417320377975895E-3</v>
      </c>
      <c r="Y1088" s="93">
        <f>IF('Net zero activities &amp; levers'!$C$14="Off",('Activity data'!AR12*EF!$H25)*kgtoGg,IF('Net zero activities &amp; levers'!$C$14="On",('Net zero Activity data'!AR12*EF!$H25)*kgtoGg,"ERROR"))</f>
        <v>4.2480257784241436E-3</v>
      </c>
      <c r="Z1088" s="93">
        <f>IF('Net zero activities &amp; levers'!$C$14="Off",('Activity data'!AS12*EF!$H25)*kgtoGg,IF('Net zero activities &amp; levers'!$C$14="On",('Net zero Activity data'!AS12*EF!$H25)*kgtoGg,"ERROR"))</f>
        <v>4.2551361098903872E-3</v>
      </c>
      <c r="AA1088" s="93">
        <f>IF('Net zero activities &amp; levers'!$C$14="Off",('Activity data'!AT12*EF!$H25)*kgtoGg,IF('Net zero activities &amp; levers'!$C$14="On",('Net zero Activity data'!AT12*EF!$H25)*kgtoGg,"ERROR"))</f>
        <v>4.2629669558470248E-3</v>
      </c>
      <c r="AB1088" s="93">
        <f>IF('Net zero activities &amp; levers'!$C$14="Off",('Activity data'!AU12*EF!$H25)*kgtoGg,IF('Net zero activities &amp; levers'!$C$14="On",('Net zero Activity data'!AU12*EF!$H25)*kgtoGg,"ERROR"))</f>
        <v>4.2715398483639559E-3</v>
      </c>
      <c r="AC1088" s="93">
        <f>IF('Net zero activities &amp; levers'!$C$14="Off",('Activity data'!AV12*EF!$H25)*kgtoGg,IF('Net zero activities &amp; levers'!$C$14="On",('Net zero Activity data'!AV12*EF!$H25)*kgtoGg,"ERROR"))</f>
        <v>4.2807663023037507E-3</v>
      </c>
      <c r="AD1088" s="93">
        <f>IF('Net zero activities &amp; levers'!$C$14="Off",('Activity data'!AW12*EF!$H25)*kgtoGg,IF('Net zero activities &amp; levers'!$C$14="On",('Net zero Activity data'!AW12*EF!$H25)*kgtoGg,"ERROR"))</f>
        <v>4.2869555485283185E-3</v>
      </c>
      <c r="AE1088" s="93">
        <f>IF('Net zero activities &amp; levers'!$C$14="Off",('Activity data'!AX12*EF!$H25)*kgtoGg,IF('Net zero activities &amp; levers'!$C$14="On",('Net zero Activity data'!AX12*EF!$H25)*kgtoGg,"ERROR"))</f>
        <v>4.2936746784961411E-3</v>
      </c>
      <c r="AF1088" s="93">
        <f>IF('Net zero activities &amp; levers'!$C$14="Off",('Activity data'!AY12*EF!$H25)*kgtoGg,IF('Net zero activities &amp; levers'!$C$14="On",('Net zero Activity data'!AY12*EF!$H25)*kgtoGg,"ERROR"))</f>
        <v>4.3009777030076704E-3</v>
      </c>
      <c r="AG1088" s="93">
        <f>IF('Net zero activities &amp; levers'!$C$14="Off",('Activity data'!AZ12*EF!$H25)*kgtoGg,IF('Net zero activities &amp; levers'!$C$14="On",('Net zero Activity data'!AZ12*EF!$H25)*kgtoGg,"ERROR"))</f>
        <v>4.3089359113621063E-3</v>
      </c>
      <c r="AH1088" s="93">
        <f>IF('Net zero activities &amp; levers'!$C$14="Off",('Activity data'!BA12*EF!$H25)*kgtoGg,IF('Net zero activities &amp; levers'!$C$14="On",('Net zero Activity data'!BA12*EF!$H25)*kgtoGg,"ERROR"))</f>
        <v>4.3173103348259087E-3</v>
      </c>
      <c r="AI1088" s="93">
        <f>IF('Net zero activities &amp; levers'!$C$14="Off",('Activity data'!BB12*EF!$H25)*kgtoGg,IF('Net zero activities &amp; levers'!$C$14="On",('Net zero Activity data'!BB12*EF!$H25)*kgtoGg,"ERROR"))</f>
        <v>4.3226632396787153E-3</v>
      </c>
      <c r="AJ1088" s="93">
        <f>IF('Net zero activities &amp; levers'!$C$14="Off",('Activity data'!BC12*EF!$H25)*kgtoGg,IF('Net zero activities &amp; levers'!$C$14="On",('Net zero Activity data'!BC12*EF!$H25)*kgtoGg,"ERROR"))</f>
        <v>4.3285264562011056E-3</v>
      </c>
      <c r="AK1088" s="93">
        <f>IF('Net zero activities &amp; levers'!$C$14="Off",('Activity data'!BD12*EF!$H25)*kgtoGg,IF('Net zero activities &amp; levers'!$C$14="On",('Net zero Activity data'!BD12*EF!$H25)*kgtoGg,"ERROR"))</f>
        <v>4.3347066032666795E-3</v>
      </c>
      <c r="AL1088" s="93">
        <f>IF('Net zero activities &amp; levers'!$C$14="Off",('Activity data'!BE12*EF!$H25)*kgtoGg,IF('Net zero activities &amp; levers'!$C$14="On",('Net zero Activity data'!BE12*EF!$H25)*kgtoGg,"ERROR"))</f>
        <v>4.3412694748415342E-3</v>
      </c>
      <c r="AM1088" s="93">
        <f>IF('Net zero activities &amp; levers'!$C$14="Off",('Activity data'!BF12*EF!$H25)*kgtoGg,IF('Net zero activities &amp; levers'!$C$14="On",('Net zero Activity data'!BF12*EF!$H25)*kgtoGg,"ERROR"))</f>
        <v>4.3482051201751372E-3</v>
      </c>
      <c r="AN1088" s="93">
        <f>IF('Net zero activities &amp; levers'!$C$14="Off",('Activity data'!BG12*EF!$H25)*kgtoGg,IF('Net zero activities &amp; levers'!$C$14="On",('Net zero Activity data'!BG12*EF!$H25)*kgtoGg,"ERROR"))</f>
        <v>4.3523032125184075E-3</v>
      </c>
      <c r="AO1088" s="93">
        <f>IF('Net zero activities &amp; levers'!$C$14="Off",('Activity data'!BH12*EF!$H25)*kgtoGg,IF('Net zero activities &amp; levers'!$C$14="On",('Net zero Activity data'!BH12*EF!$H25)*kgtoGg,"ERROR"))</f>
        <v>4.3566779758246795E-3</v>
      </c>
      <c r="AP1088" s="93">
        <f>IF('Net zero activities &amp; levers'!$C$14="Off",('Activity data'!BI12*EF!$H25)*kgtoGg,IF('Net zero activities &amp; levers'!$C$14="On",('Net zero Activity data'!BI12*EF!$H25)*kgtoGg,"ERROR"))</f>
        <v>4.361423370338997E-3</v>
      </c>
      <c r="AQ1088" s="93">
        <f>IF('Net zero activities &amp; levers'!$C$14="Off",('Activity data'!BJ12*EF!$H25)*kgtoGg,IF('Net zero activities &amp; levers'!$C$14="On",('Net zero Activity data'!BJ12*EF!$H25)*kgtoGg,"ERROR"))</f>
        <v>4.3665348082715704E-3</v>
      </c>
      <c r="AR1088" s="93">
        <f>IF('Net zero activities &amp; levers'!$C$14="Off",('Activity data'!BK12*EF!$H25)*kgtoGg,IF('Net zero activities &amp; levers'!$C$14="On",('Net zero Activity data'!BK12*EF!$H25)*kgtoGg,"ERROR"))</f>
        <v>4.3720121836969238E-3</v>
      </c>
      <c r="AS1088" s="93">
        <f>IF('Net zero activities &amp; levers'!$C$14="Off",('Activity data'!BL12*EF!$H25)*kgtoGg,IF('Net zero activities &amp; levers'!$C$14="On",('Net zero Activity data'!BL12*EF!$H25)*kgtoGg,"ERROR"))</f>
        <v>4.3744971376255895E-3</v>
      </c>
      <c r="AT1088" s="93">
        <f>IF('Net zero activities &amp; levers'!$C$14="Off",('Activity data'!BM12*EF!$H25)*kgtoGg,IF('Net zero activities &amp; levers'!$C$14="On",('Net zero Activity data'!BM12*EF!$H25)*kgtoGg,"ERROR"))</f>
        <v>4.3760985261490854E-3</v>
      </c>
      <c r="AU1088" s="93">
        <f>IF('Net zero activities &amp; levers'!$C$14="Off",('Activity data'!BN12*EF!$H25)*kgtoGg,IF('Net zero activities &amp; levers'!$C$14="On",('Net zero Activity data'!BN12*EF!$H25)*kgtoGg,"ERROR"))</f>
        <v>4.3778539506244196E-3</v>
      </c>
      <c r="AV1088" s="93">
        <f>IF('Net zero activities &amp; levers'!$C$14="Off",('Activity data'!BO12*EF!$H25)*kgtoGg,IF('Net zero activities &amp; levers'!$C$14="On",('Net zero Activity data'!BO12*EF!$H25)*kgtoGg,"ERROR"))</f>
        <v>4.3797081495223055E-3</v>
      </c>
      <c r="AW1088" s="93">
        <f>IF('Net zero activities &amp; levers'!$C$14="Off",('Activity data'!BP12*EF!$H25)*kgtoGg,IF('Net zero activities &amp; levers'!$C$14="On",('Net zero Activity data'!BP12*EF!$H25)*kgtoGg,"ERROR"))</f>
        <v>4.381762126098687E-3</v>
      </c>
      <c r="AY1088" s="79"/>
    </row>
    <row r="1089" spans="1:51" x14ac:dyDescent="0.3">
      <c r="A1089" s="95" t="str">
        <f t="shared" si="373"/>
        <v>CM Goats MMCH4</v>
      </c>
      <c r="B1089" s="95" t="s">
        <v>1322</v>
      </c>
      <c r="C1089" s="95" t="s">
        <v>1325</v>
      </c>
      <c r="D1089" t="s">
        <v>15</v>
      </c>
      <c r="E1089" t="s">
        <v>22</v>
      </c>
      <c r="F1089" t="s">
        <v>19</v>
      </c>
      <c r="G1089" t="s">
        <v>122</v>
      </c>
      <c r="H1089" t="s">
        <v>1227</v>
      </c>
      <c r="I1089" t="s">
        <v>121</v>
      </c>
      <c r="J1089" t="s">
        <v>286</v>
      </c>
      <c r="K1089" s="93">
        <f>IF('Net zero activities &amp; levers'!$C$14="Off",('Activity data'!AD13*EF!$H26)*kgtoGg,IF('Net zero activities &amp; levers'!$C$14="On",('Net zero Activity data'!AD13*EF!$H26)*kgtoGg,"ERROR"))</f>
        <v>1.5789672763163301E-2</v>
      </c>
      <c r="L1089" s="93">
        <f>IF('Net zero activities &amp; levers'!$C$14="Off",('Activity data'!AE13*EF!$H26)*kgtoGg,IF('Net zero activities &amp; levers'!$C$14="On",('Net zero Activity data'!AE13*EF!$H26)*kgtoGg,"ERROR"))</f>
        <v>1.5830718290757027E-2</v>
      </c>
      <c r="M1089" s="93">
        <f>IF('Net zero activities &amp; levers'!$C$14="Off",('Activity data'!AF13*EF!$H26)*kgtoGg,IF('Net zero activities &amp; levers'!$C$14="On",('Net zero Activity data'!AF13*EF!$H26)*kgtoGg,"ERROR"))</f>
        <v>1.588733914557475E-2</v>
      </c>
      <c r="N1089" s="93">
        <f>IF('Net zero activities &amp; levers'!$C$14="Off",('Activity data'!AG13*EF!$H26)*kgtoGg,IF('Net zero activities &amp; levers'!$C$14="On",('Net zero Activity data'!AG13*EF!$H26)*kgtoGg,"ERROR"))</f>
        <v>1.5956318300360577E-2</v>
      </c>
      <c r="O1089" s="93">
        <f>IF('Net zero activities &amp; levers'!$C$14="Off",('Activity data'!AH13*EF!$H26)*kgtoGg,IF('Net zero activities &amp; levers'!$C$14="On",('Net zero Activity data'!AH13*EF!$H26)*kgtoGg,"ERROR"))</f>
        <v>1.6037557372574476E-2</v>
      </c>
      <c r="P1089" s="93">
        <f>IF('Net zero activities &amp; levers'!$C$14="Off",('Activity data'!AI13*EF!$H26)*kgtoGg,IF('Net zero activities &amp; levers'!$C$14="On",('Net zero Activity data'!AI13*EF!$H26)*kgtoGg,"ERROR"))</f>
        <v>1.6130561898613765E-2</v>
      </c>
      <c r="Q1089" s="93">
        <f>IF('Net zero activities &amp; levers'!$C$14="Off",('Activity data'!AJ13*EF!$H26)*kgtoGg,IF('Net zero activities &amp; levers'!$C$14="On",('Net zero Activity data'!AJ13*EF!$H26)*kgtoGg,"ERROR"))</f>
        <v>1.6230654784419023E-2</v>
      </c>
      <c r="R1089" s="93">
        <f>IF('Net zero activities &amp; levers'!$C$14="Off",('Activity data'!AK13*EF!$H26)*kgtoGg,IF('Net zero activities &amp; levers'!$C$14="On",('Net zero Activity data'!AK13*EF!$H26)*kgtoGg,"ERROR"))</f>
        <v>1.6337439810579345E-2</v>
      </c>
      <c r="S1089" s="93">
        <f>IF('Net zero activities &amp; levers'!$C$14="Off",('Activity data'!AL13*EF!$H26)*kgtoGg,IF('Net zero activities &amp; levers'!$C$14="On",('Net zero Activity data'!AL13*EF!$H26)*kgtoGg,"ERROR"))</f>
        <v>1.6434281735880792E-2</v>
      </c>
      <c r="T1089" s="93">
        <f>IF('Net zero activities &amp; levers'!$C$14="Off",('Activity data'!AM13*EF!$H26)*kgtoGg,IF('Net zero activities &amp; levers'!$C$14="On",('Net zero Activity data'!AM13*EF!$H26)*kgtoGg,"ERROR"))</f>
        <v>1.6481585221637597E-2</v>
      </c>
      <c r="U1089" s="93">
        <f>IF('Net zero activities &amp; levers'!$C$14="Off",('Activity data'!AN13*EF!$H26)*kgtoGg,IF('Net zero activities &amp; levers'!$C$14="On",('Net zero Activity data'!AN13*EF!$H26)*kgtoGg,"ERROR"))</f>
        <v>1.6535805571967339E-2</v>
      </c>
      <c r="V1089" s="93">
        <f>IF('Net zero activities &amp; levers'!$C$14="Off",('Activity data'!AO13*EF!$H26)*kgtoGg,IF('Net zero activities &amp; levers'!$C$14="On",('Net zero Activity data'!AO13*EF!$H26)*kgtoGg,"ERROR"))</f>
        <v>1.6591075188605784E-2</v>
      </c>
      <c r="W1089" s="93">
        <f>IF('Net zero activities &amp; levers'!$C$14="Off",('Activity data'!AP13*EF!$H26)*kgtoGg,IF('Net zero activities &amp; levers'!$C$14="On",('Net zero Activity data'!AP13*EF!$H26)*kgtoGg,"ERROR"))</f>
        <v>1.6651019239861981E-2</v>
      </c>
      <c r="X1089" s="93">
        <f>IF('Net zero activities &amp; levers'!$C$14="Off",('Activity data'!AQ13*EF!$H26)*kgtoGg,IF('Net zero activities &amp; levers'!$C$14="On",('Net zero Activity data'!AQ13*EF!$H26)*kgtoGg,"ERROR"))</f>
        <v>1.6715538656301921E-2</v>
      </c>
      <c r="Y1089" s="93">
        <f>IF('Net zero activities &amp; levers'!$C$14="Off",('Activity data'!AR13*EF!$H26)*kgtoGg,IF('Net zero activities &amp; levers'!$C$14="On",('Net zero Activity data'!AR13*EF!$H26)*kgtoGg,"ERROR"))</f>
        <v>1.675682826181454E-2</v>
      </c>
      <c r="Z1089" s="93">
        <f>IF('Net zero activities &amp; levers'!$C$14="Off",('Activity data'!AS13*EF!$H26)*kgtoGg,IF('Net zero activities &amp; levers'!$C$14="On",('Net zero Activity data'!AS13*EF!$H26)*kgtoGg,"ERROR"))</f>
        <v>1.6802001380323034E-2</v>
      </c>
      <c r="AA1089" s="93">
        <f>IF('Net zero activities &amp; levers'!$C$14="Off",('Activity data'!AT13*EF!$H26)*kgtoGg,IF('Net zero activities &amp; levers'!$C$14="On",('Net zero Activity data'!AT13*EF!$H26)*kgtoGg,"ERROR"))</f>
        <v>1.6850529656754189E-2</v>
      </c>
      <c r="AB1089" s="93">
        <f>IF('Net zero activities &amp; levers'!$C$14="Off",('Activity data'!AU13*EF!$H26)*kgtoGg,IF('Net zero activities &amp; levers'!$C$14="On",('Net zero Activity data'!AU13*EF!$H26)*kgtoGg,"ERROR"))</f>
        <v>1.6902568919116488E-2</v>
      </c>
      <c r="AC1089" s="93">
        <f>IF('Net zero activities &amp; levers'!$C$14="Off",('Activity data'!AV13*EF!$H26)*kgtoGg,IF('Net zero activities &amp; levers'!$C$14="On",('Net zero Activity data'!AV13*EF!$H26)*kgtoGg,"ERROR"))</f>
        <v>1.6957630528557751E-2</v>
      </c>
      <c r="AD1089" s="93">
        <f>IF('Net zero activities &amp; levers'!$C$14="Off",('Activity data'!AW13*EF!$H26)*kgtoGg,IF('Net zero activities &amp; levers'!$C$14="On",('Net zero Activity data'!AW13*EF!$H26)*kgtoGg,"ERROR"))</f>
        <v>1.6994350372716287E-2</v>
      </c>
      <c r="AE1089" s="93">
        <f>IF('Net zero activities &amp; levers'!$C$14="Off",('Activity data'!AX13*EF!$H26)*kgtoGg,IF('Net zero activities &amp; levers'!$C$14="On",('Net zero Activity data'!AX13*EF!$H26)*kgtoGg,"ERROR"))</f>
        <v>1.7033509901620177E-2</v>
      </c>
      <c r="AF1089" s="93">
        <f>IF('Net zero activities &amp; levers'!$C$14="Off",('Activity data'!AY13*EF!$H26)*kgtoGg,IF('Net zero activities &amp; levers'!$C$14="On",('Net zero Activity data'!AY13*EF!$H26)*kgtoGg,"ERROR"))</f>
        <v>1.7075440579577206E-2</v>
      </c>
      <c r="AG1089" s="93">
        <f>IF('Net zero activities &amp; levers'!$C$14="Off",('Activity data'!AZ13*EF!$H26)*kgtoGg,IF('Net zero activities &amp; levers'!$C$14="On",('Net zero Activity data'!AZ13*EF!$H26)*kgtoGg,"ERROR"))</f>
        <v>1.7120568284346587E-2</v>
      </c>
      <c r="AH1089" s="93">
        <f>IF('Net zero activities &amp; levers'!$C$14="Off",('Activity data'!BA13*EF!$H26)*kgtoGg,IF('Net zero activities &amp; levers'!$C$14="On",('Net zero Activity data'!BA13*EF!$H26)*kgtoGg,"ERROR"))</f>
        <v>1.7167529660259997E-2</v>
      </c>
      <c r="AI1089" s="93">
        <f>IF('Net zero activities &amp; levers'!$C$14="Off",('Activity data'!BB13*EF!$H26)*kgtoGg,IF('Net zero activities &amp; levers'!$C$14="On",('Net zero Activity data'!BB13*EF!$H26)*kgtoGg,"ERROR"))</f>
        <v>1.7196614048621731E-2</v>
      </c>
      <c r="AJ1089" s="93">
        <f>IF('Net zero activities &amp; levers'!$C$14="Off",('Activity data'!BC13*EF!$H26)*kgtoGg,IF('Net zero activities &amp; levers'!$C$14="On",('Net zero Activity data'!BC13*EF!$H26)*kgtoGg,"ERROR"))</f>
        <v>1.7228175905563897E-2</v>
      </c>
      <c r="AK1089" s="93">
        <f>IF('Net zero activities &amp; levers'!$C$14="Off",('Activity data'!BD13*EF!$H26)*kgtoGg,IF('Net zero activities &amp; levers'!$C$14="On",('Net zero Activity data'!BD13*EF!$H26)*kgtoGg,"ERROR"))</f>
        <v>1.7261117551388462E-2</v>
      </c>
      <c r="AL1089" s="93">
        <f>IF('Net zero activities &amp; levers'!$C$14="Off",('Activity data'!BE13*EF!$H26)*kgtoGg,IF('Net zero activities &amp; levers'!$C$14="On",('Net zero Activity data'!BE13*EF!$H26)*kgtoGg,"ERROR"))</f>
        <v>1.7295827028863175E-2</v>
      </c>
      <c r="AM1089" s="93">
        <f>IF('Net zero activities &amp; levers'!$C$14="Off",('Activity data'!BF13*EF!$H26)*kgtoGg,IF('Net zero activities &amp; levers'!$C$14="On",('Net zero Activity data'!BF13*EF!$H26)*kgtoGg,"ERROR"))</f>
        <v>1.7332256815907665E-2</v>
      </c>
      <c r="AN1089" s="93">
        <f>IF('Net zero activities &amp; levers'!$C$14="Off",('Activity data'!BG13*EF!$H26)*kgtoGg,IF('Net zero activities &amp; levers'!$C$14="On",('Net zero Activity data'!BG13*EF!$H26)*kgtoGg,"ERROR"))</f>
        <v>1.7352159823168515E-2</v>
      </c>
      <c r="AO1089" s="93">
        <f>IF('Net zero activities &amp; levers'!$C$14="Off",('Activity data'!BH13*EF!$H26)*kgtoGg,IF('Net zero activities &amp; levers'!$C$14="On",('Net zero Activity data'!BH13*EF!$H26)*kgtoGg,"ERROR"))</f>
        <v>1.7373316667964631E-2</v>
      </c>
      <c r="AP1089" s="93">
        <f>IF('Net zero activities &amp; levers'!$C$14="Off",('Activity data'!BI13*EF!$H26)*kgtoGg,IF('Net zero activities &amp; levers'!$C$14="On",('Net zero Activity data'!BI13*EF!$H26)*kgtoGg,"ERROR"))</f>
        <v>1.7396267425724934E-2</v>
      </c>
      <c r="AQ1089" s="93">
        <f>IF('Net zero activities &amp; levers'!$C$14="Off",('Activity data'!BJ13*EF!$H26)*kgtoGg,IF('Net zero activities &amp; levers'!$C$14="On",('Net zero Activity data'!BJ13*EF!$H26)*kgtoGg,"ERROR"))</f>
        <v>1.7420990177436466E-2</v>
      </c>
      <c r="AR1089" s="93">
        <f>IF('Net zero activities &amp; levers'!$C$14="Off",('Activity data'!BK13*EF!$H26)*kgtoGg,IF('Net zero activities &amp; levers'!$C$14="On",('Net zero Activity data'!BK13*EF!$H26)*kgtoGg,"ERROR"))</f>
        <v>1.7447487775150525E-2</v>
      </c>
      <c r="AS1089" s="93">
        <f>IF('Net zero activities &amp; levers'!$C$14="Off",('Activity data'!BL13*EF!$H26)*kgtoGg,IF('Net zero activities &amp; levers'!$C$14="On",('Net zero Activity data'!BL13*EF!$H26)*kgtoGg,"ERROR"))</f>
        <v>1.7456827369575736E-2</v>
      </c>
      <c r="AT1089" s="93">
        <f>IF('Net zero activities &amp; levers'!$C$14="Off",('Activity data'!BM13*EF!$H26)*kgtoGg,IF('Net zero activities &amp; levers'!$C$14="On",('Net zero Activity data'!BM13*EF!$H26)*kgtoGg,"ERROR"))</f>
        <v>1.746097508558354E-2</v>
      </c>
      <c r="AU1089" s="93">
        <f>IF('Net zero activities &amp; levers'!$C$14="Off",('Activity data'!BN13*EF!$H26)*kgtoGg,IF('Net zero activities &amp; levers'!$C$14="On",('Net zero Activity data'!BN13*EF!$H26)*kgtoGg,"ERROR"))</f>
        <v>1.746579683409127E-2</v>
      </c>
      <c r="AV1089" s="93">
        <f>IF('Net zero activities &amp; levers'!$C$14="Off",('Activity data'!BO13*EF!$H26)*kgtoGg,IF('Net zero activities &amp; levers'!$C$14="On",('Net zero Activity data'!BO13*EF!$H26)*kgtoGg,"ERROR"))</f>
        <v>1.7470987825332424E-2</v>
      </c>
      <c r="AW1089" s="93">
        <f>IF('Net zero activities &amp; levers'!$C$14="Off",('Activity data'!BP13*EF!$H26)*kgtoGg,IF('Net zero activities &amp; levers'!$C$14="On",('Net zero Activity data'!BP13*EF!$H26)*kgtoGg,"ERROR"))</f>
        <v>1.7477120152816387E-2</v>
      </c>
      <c r="AY1089" s="79"/>
    </row>
    <row r="1090" spans="1:51" x14ac:dyDescent="0.3">
      <c r="A1090" s="95" t="str">
        <f t="shared" ref="A1090:A1167" si="374">B1090&amp;" "&amp;C1090</f>
        <v>CM Goats MMCH4</v>
      </c>
      <c r="B1090" s="95" t="s">
        <v>1322</v>
      </c>
      <c r="C1090" s="95" t="s">
        <v>1325</v>
      </c>
      <c r="D1090" t="s">
        <v>15</v>
      </c>
      <c r="E1090" t="s">
        <v>22</v>
      </c>
      <c r="F1090" t="s">
        <v>19</v>
      </c>
      <c r="G1090" t="s">
        <v>123</v>
      </c>
      <c r="H1090" t="s">
        <v>1227</v>
      </c>
      <c r="I1090" t="s">
        <v>121</v>
      </c>
      <c r="J1090" t="s">
        <v>286</v>
      </c>
      <c r="K1090" s="93">
        <f>IF('Net zero activities &amp; levers'!$C$14="Off",('Activity data'!AD14*EF!$H27)*kgtoGg,IF('Net zero activities &amp; levers'!$C$14="On",('Net zero Activity data'!AD14*EF!$H27)*kgtoGg,"ERROR"))</f>
        <v>2.6592218800664803E-2</v>
      </c>
      <c r="L1090" s="93">
        <f>IF('Net zero activities &amp; levers'!$C$14="Off",('Activity data'!AE14*EF!$H27)*kgtoGg,IF('Net zero activities &amp; levers'!$C$14="On",('Net zero Activity data'!AE14*EF!$H27)*kgtoGg,"ERROR"))</f>
        <v>2.6661345733624896E-2</v>
      </c>
      <c r="M1090" s="93">
        <f>IF('Net zero activities &amp; levers'!$C$14="Off",('Activity data'!AF14*EF!$H27)*kgtoGg,IF('Net zero activities &amp; levers'!$C$14="On",('Net zero Activity data'!AF14*EF!$H27)*kgtoGg,"ERROR"))</f>
        <v>2.6756703894783639E-2</v>
      </c>
      <c r="N1090" s="93">
        <f>IF('Net zero activities &amp; levers'!$C$14="Off",('Activity data'!AG14*EF!$H27)*kgtoGg,IF('Net zero activities &amp; levers'!$C$14="On",('Net zero Activity data'!AG14*EF!$H27)*kgtoGg,"ERROR"))</f>
        <v>2.6872875319249704E-2</v>
      </c>
      <c r="O1090" s="93">
        <f>IF('Net zero activities &amp; levers'!$C$14="Off",('Activity data'!AH14*EF!$H27)*kgtoGg,IF('Net zero activities &amp; levers'!$C$14="On",('Net zero Activity data'!AH14*EF!$H27)*kgtoGg,"ERROR"))</f>
        <v>2.7009694315810229E-2</v>
      </c>
      <c r="P1090" s="93">
        <f>IF('Net zero activities &amp; levers'!$C$14="Off",('Activity data'!AI14*EF!$H27)*kgtoGg,IF('Net zero activities &amp; levers'!$C$14="On",('Net zero Activity data'!AI14*EF!$H27)*kgtoGg,"ERROR"))</f>
        <v>2.7166328132291764E-2</v>
      </c>
      <c r="Q1090" s="93">
        <f>IF('Net zero activities &amp; levers'!$C$14="Off",('Activity data'!AJ14*EF!$H27)*kgtoGg,IF('Net zero activities &amp; levers'!$C$14="On",('Net zero Activity data'!AJ14*EF!$H27)*kgtoGg,"ERROR"))</f>
        <v>2.7334899828466052E-2</v>
      </c>
      <c r="R1090" s="93">
        <f>IF('Net zero activities &amp; levers'!$C$14="Off",('Activity data'!AK14*EF!$H27)*kgtoGg,IF('Net zero activities &amp; levers'!$C$14="On",('Net zero Activity data'!AK14*EF!$H27)*kgtoGg,"ERROR"))</f>
        <v>2.7514742110372921E-2</v>
      </c>
      <c r="S1090" s="93">
        <f>IF('Net zero activities &amp; levers'!$C$14="Off",('Activity data'!AL14*EF!$H27)*kgtoGg,IF('Net zero activities &amp; levers'!$C$14="On",('Net zero Activity data'!AL14*EF!$H27)*kgtoGg,"ERROR"))</f>
        <v>2.7677838692887386E-2</v>
      </c>
      <c r="T1090" s="93">
        <f>IF('Net zero activities &amp; levers'!$C$14="Off",('Activity data'!AM14*EF!$H27)*kgtoGg,IF('Net zero activities &amp; levers'!$C$14="On",('Net zero Activity data'!AM14*EF!$H27)*kgtoGg,"ERROR"))</f>
        <v>2.7757504982502564E-2</v>
      </c>
      <c r="U1090" s="93">
        <f>IF('Net zero activities &amp; levers'!$C$14="Off",('Activity data'!AN14*EF!$H27)*kgtoGg,IF('Net zero activities &amp; levers'!$C$14="On",('Net zero Activity data'!AN14*EF!$H27)*kgtoGg,"ERROR"))</f>
        <v>2.7848820327731318E-2</v>
      </c>
      <c r="V1090" s="93">
        <f>IF('Net zero activities &amp; levers'!$C$14="Off",('Activity data'!AO14*EF!$H27)*kgtoGg,IF('Net zero activities &amp; levers'!$C$14="On",('Net zero Activity data'!AO14*EF!$H27)*kgtoGg,"ERROR"))</f>
        <v>2.7941902797566111E-2</v>
      </c>
      <c r="W1090" s="93">
        <f>IF('Net zero activities &amp; levers'!$C$14="Off",('Activity data'!AP14*EF!$H27)*kgtoGg,IF('Net zero activities &amp; levers'!$C$14="On",('Net zero Activity data'!AP14*EF!$H27)*kgtoGg,"ERROR"))</f>
        <v>2.804285772872351E-2</v>
      </c>
      <c r="X1090" s="93">
        <f>IF('Net zero activities &amp; levers'!$C$14="Off",('Activity data'!AQ14*EF!$H27)*kgtoGg,IF('Net zero activities &amp; levers'!$C$14="On",('Net zero Activity data'!AQ14*EF!$H27)*kgtoGg,"ERROR"))</f>
        <v>2.8151518273156369E-2</v>
      </c>
      <c r="Y1090" s="93">
        <f>IF('Net zero activities &amp; levers'!$C$14="Off",('Activity data'!AR14*EF!$H27)*kgtoGg,IF('Net zero activities &amp; levers'!$C$14="On",('Net zero Activity data'!AR14*EF!$H27)*kgtoGg,"ERROR"))</f>
        <v>2.82210562705838E-2</v>
      </c>
      <c r="Z1090" s="93">
        <f>IF('Net zero activities &amp; levers'!$C$14="Off",('Activity data'!AS14*EF!$H27)*kgtoGg,IF('Net zero activities &amp; levers'!$C$14="On",('Net zero Activity data'!AS14*EF!$H27)*kgtoGg,"ERROR"))</f>
        <v>2.8297134696609751E-2</v>
      </c>
      <c r="AA1090" s="93">
        <f>IF('Net zero activities &amp; levers'!$C$14="Off",('Activity data'!AT14*EF!$H27)*kgtoGg,IF('Net zero activities &amp; levers'!$C$14="On",('Net zero Activity data'!AT14*EF!$H27)*kgtoGg,"ERROR"))</f>
        <v>2.8378863720651775E-2</v>
      </c>
      <c r="AB1090" s="93">
        <f>IF('Net zero activities &amp; levers'!$C$14="Off",('Activity data'!AU14*EF!$H27)*kgtoGg,IF('Net zero activities &amp; levers'!$C$14="On",('Net zero Activity data'!AU14*EF!$H27)*kgtoGg,"ERROR"))</f>
        <v>2.8466505780859123E-2</v>
      </c>
      <c r="AC1090" s="93">
        <f>IF('Net zero activities &amp; levers'!$C$14="Off",('Activity data'!AV14*EF!$H27)*kgtoGg,IF('Net zero activities &amp; levers'!$C$14="On",('Net zero Activity data'!AV14*EF!$H27)*kgtoGg,"ERROR"))</f>
        <v>2.8559237934827175E-2</v>
      </c>
      <c r="AD1090" s="93">
        <f>IF('Net zero activities &amp; levers'!$C$14="Off",('Activity data'!AW14*EF!$H27)*kgtoGg,IF('Net zero activities &amp; levers'!$C$14="On",('Net zero Activity data'!AW14*EF!$H27)*kgtoGg,"ERROR"))</f>
        <v>2.8621079756683557E-2</v>
      </c>
      <c r="AE1090" s="93">
        <f>IF('Net zero activities &amp; levers'!$C$14="Off",('Activity data'!AX14*EF!$H27)*kgtoGg,IF('Net zero activities &amp; levers'!$C$14="On",('Net zero Activity data'!AX14*EF!$H27)*kgtoGg,"ERROR"))</f>
        <v>2.8687030380003167E-2</v>
      </c>
      <c r="AF1090" s="93">
        <f>IF('Net zero activities &amp; levers'!$C$14="Off",('Activity data'!AY14*EF!$H27)*kgtoGg,IF('Net zero activities &amp; levers'!$C$14="On",('Net zero Activity data'!AY14*EF!$H27)*kgtoGg,"ERROR"))</f>
        <v>2.8757648041269384E-2</v>
      </c>
      <c r="AG1090" s="93">
        <f>IF('Net zero activities &amp; levers'!$C$14="Off",('Activity data'!AZ14*EF!$H27)*kgtoGg,IF('Net zero activities &amp; levers'!$C$14="On",('Net zero Activity data'!AZ14*EF!$H27)*kgtoGg,"ERROR"))</f>
        <v>2.8833649983627477E-2</v>
      </c>
      <c r="AH1090" s="93">
        <f>IF('Net zero activities &amp; levers'!$C$14="Off",('Activity data'!BA14*EF!$H27)*kgtoGg,IF('Net zero activities &amp; levers'!$C$14="On",('Net zero Activity data'!BA14*EF!$H27)*kgtoGg,"ERROR"))</f>
        <v>2.8912740108052549E-2</v>
      </c>
      <c r="AI1090" s="93">
        <f>IF('Net zero activities &amp; levers'!$C$14="Off",('Activity data'!BB14*EF!$H27)*kgtoGg,IF('Net zero activities &amp; levers'!$C$14="On",('Net zero Activity data'!BB14*EF!$H27)*kgtoGg,"ERROR"))</f>
        <v>2.8961722657000817E-2</v>
      </c>
      <c r="AJ1090" s="93">
        <f>IF('Net zero activities &amp; levers'!$C$14="Off",('Activity data'!BC14*EF!$H27)*kgtoGg,IF('Net zero activities &amp; levers'!$C$14="On",('Net zero Activity data'!BC14*EF!$H27)*kgtoGg,"ERROR"))</f>
        <v>2.9014877641157257E-2</v>
      </c>
      <c r="AK1090" s="93">
        <f>IF('Net zero activities &amp; levers'!$C$14="Off",('Activity data'!BD14*EF!$H27)*kgtoGg,IF('Net zero activities &amp; levers'!$C$14="On",('Net zero Activity data'!BD14*EF!$H27)*kgtoGg,"ERROR"))</f>
        <v>2.9070356400379201E-2</v>
      </c>
      <c r="AL1090" s="93">
        <f>IF('Net zero activities &amp; levers'!$C$14="Off",('Activity data'!BE14*EF!$H27)*kgtoGg,IF('Net zero activities &amp; levers'!$C$14="On",('Net zero Activity data'!BE14*EF!$H27)*kgtoGg,"ERROR"))</f>
        <v>2.9128812457911796E-2</v>
      </c>
      <c r="AM1090" s="93">
        <f>IF('Net zero activities &amp; levers'!$C$14="Off",('Activity data'!BF14*EF!$H27)*kgtoGg,IF('Net zero activities &amp; levers'!$C$14="On",('Net zero Activity data'!BF14*EF!$H27)*kgtoGg,"ERROR"))</f>
        <v>2.9190165779318728E-2</v>
      </c>
      <c r="AN1090" s="93">
        <f>IF('Net zero activities &amp; levers'!$C$14="Off",('Activity data'!BG14*EF!$H27)*kgtoGg,IF('Net zero activities &amp; levers'!$C$14="On",('Net zero Activity data'!BG14*EF!$H27)*kgtoGg,"ERROR"))</f>
        <v>2.9223685481203028E-2</v>
      </c>
      <c r="AO1090" s="93">
        <f>IF('Net zero activities &amp; levers'!$C$14="Off",('Activity data'!BH14*EF!$H27)*kgtoGg,IF('Net zero activities &amp; levers'!$C$14="On",('Net zero Activity data'!BH14*EF!$H27)*kgtoGg,"ERROR"))</f>
        <v>2.9259316836861168E-2</v>
      </c>
      <c r="AP1090" s="93">
        <f>IF('Net zero activities &amp; levers'!$C$14="Off",('Activity data'!BI14*EF!$H27)*kgtoGg,IF('Net zero activities &amp; levers'!$C$14="On",('Net zero Activity data'!BI14*EF!$H27)*kgtoGg,"ERROR"))</f>
        <v>2.9297969415743415E-2</v>
      </c>
      <c r="AQ1090" s="93">
        <f>IF('Net zero activities &amp; levers'!$C$14="Off",('Activity data'!BJ14*EF!$H27)*kgtoGg,IF('Net zero activities &amp; levers'!$C$14="On",('Net zero Activity data'!BJ14*EF!$H27)*kgtoGg,"ERROR"))</f>
        <v>2.9339606302886588E-2</v>
      </c>
      <c r="AR1090" s="93">
        <f>IF('Net zero activities &amp; levers'!$C$14="Off",('Activity data'!BK14*EF!$H27)*kgtoGg,IF('Net zero activities &amp; levers'!$C$14="On",('Net zero Activity data'!BK14*EF!$H27)*kgtoGg,"ERROR"))</f>
        <v>2.9384232301580378E-2</v>
      </c>
      <c r="AS1090" s="93">
        <f>IF('Net zero activities &amp; levers'!$C$14="Off",('Activity data'!BL14*EF!$H27)*kgtoGg,IF('Net zero activities &amp; levers'!$C$14="On",('Net zero Activity data'!BL14*EF!$H27)*kgtoGg,"ERROR"))</f>
        <v>2.939996160402952E-2</v>
      </c>
      <c r="AT1090" s="93">
        <f>IF('Net zero activities &amp; levers'!$C$14="Off",('Activity data'!BM14*EF!$H27)*kgtoGg,IF('Net zero activities &amp; levers'!$C$14="On",('Net zero Activity data'!BM14*EF!$H27)*kgtoGg,"ERROR"))</f>
        <v>2.9406946990823593E-2</v>
      </c>
      <c r="AU1090" s="93">
        <f>IF('Net zero activities &amp; levers'!$C$14="Off",('Activity data'!BN14*EF!$H27)*kgtoGg,IF('Net zero activities &amp; levers'!$C$14="On",('Net zero Activity data'!BN14*EF!$H27)*kgtoGg,"ERROR"))</f>
        <v>2.9415067551220409E-2</v>
      </c>
      <c r="AV1090" s="93">
        <f>IF('Net zero activities &amp; levers'!$C$14="Off",('Activity data'!BO14*EF!$H27)*kgtoGg,IF('Net zero activities &amp; levers'!$C$14="On",('Net zero Activity data'!BO14*EF!$H27)*kgtoGg,"ERROR"))</f>
        <v>2.9423809972735263E-2</v>
      </c>
      <c r="AW1090" s="93">
        <f>IF('Net zero activities &amp; levers'!$C$14="Off",('Activity data'!BP14*EF!$H27)*kgtoGg,IF('Net zero activities &amp; levers'!$C$14="On",('Net zero Activity data'!BP14*EF!$H27)*kgtoGg,"ERROR"))</f>
        <v>2.9434137748152581E-2</v>
      </c>
      <c r="AY1090" s="79"/>
    </row>
    <row r="1091" spans="1:51" x14ac:dyDescent="0.3">
      <c r="A1091" s="95" t="str">
        <f t="shared" si="374"/>
        <v>CM Horses MMCH4</v>
      </c>
      <c r="B1091" s="95" t="s">
        <v>1322</v>
      </c>
      <c r="C1091" s="95" t="s">
        <v>1326</v>
      </c>
      <c r="D1091" t="s">
        <v>15</v>
      </c>
      <c r="E1091" t="s">
        <v>22</v>
      </c>
      <c r="F1091" t="s">
        <v>20</v>
      </c>
      <c r="G1091" t="s">
        <v>3</v>
      </c>
      <c r="H1091" t="s">
        <v>1227</v>
      </c>
      <c r="I1091" t="s">
        <v>121</v>
      </c>
      <c r="J1091" t="s">
        <v>286</v>
      </c>
      <c r="K1091" s="93">
        <f>IF('Net zero activities &amp; levers'!$C$14="Off",('Activity data'!AD15*EF!$H28)*kgtoGg,IF('Net zero activities &amp; levers'!$C$14="On",('Net zero Activity data'!AD15*EF!$H28)*kgtoGg,"ERROR"))</f>
        <v>4.1336182129460552E-3</v>
      </c>
      <c r="L1091" s="93">
        <f>IF('Net zero activities &amp; levers'!$C$14="Off",('Activity data'!AE15*EF!$H28)*kgtoGg,IF('Net zero activities &amp; levers'!$C$14="On",('Net zero Activity data'!AE15*EF!$H28)*kgtoGg,"ERROR"))</f>
        <v>4.1536453250924071E-3</v>
      </c>
      <c r="M1091" s="93">
        <f>IF('Net zero activities &amp; levers'!$C$14="Off",('Activity data'!AF15*EF!$H28)*kgtoGg,IF('Net zero activities &amp; levers'!$C$14="On",('Net zero Activity data'!AF15*EF!$H28)*kgtoGg,"ERROR"))</f>
        <v>4.1840370126470534E-3</v>
      </c>
      <c r="N1091" s="93">
        <f>IF('Net zero activities &amp; levers'!$C$14="Off",('Activity data'!AG15*EF!$H28)*kgtoGg,IF('Net zero activities &amp; levers'!$C$14="On",('Net zero Activity data'!AG15*EF!$H28)*kgtoGg,"ERROR"))</f>
        <v>4.1905340987284569E-3</v>
      </c>
      <c r="O1091" s="93">
        <f>IF('Net zero activities &amp; levers'!$C$14="Off",('Activity data'!AH15*EF!$H28)*kgtoGg,IF('Net zero activities &amp; levers'!$C$14="On",('Net zero Activity data'!AH15*EF!$H28)*kgtoGg,"ERROR"))</f>
        <v>4.1812329246154589E-3</v>
      </c>
      <c r="P1091" s="93">
        <f>IF('Net zero activities &amp; levers'!$C$14="Off",('Activity data'!AI15*EF!$H28)*kgtoGg,IF('Net zero activities &amp; levers'!$C$14="On",('Net zero Activity data'!AI15*EF!$H28)*kgtoGg,"ERROR"))</f>
        <v>4.1564738854214548E-3</v>
      </c>
      <c r="Q1091" s="93">
        <f>IF('Net zero activities &amp; levers'!$C$14="Off",('Activity data'!AJ15*EF!$H28)*kgtoGg,IF('Net zero activities &amp; levers'!$C$14="On",('Net zero Activity data'!AJ15*EF!$H28)*kgtoGg,"ERROR"))</f>
        <v>4.1427460620707141E-3</v>
      </c>
      <c r="R1091" s="93">
        <f>IF('Net zero activities &amp; levers'!$C$14="Off",('Activity data'!AK15*EF!$H28)*kgtoGg,IF('Net zero activities &amp; levers'!$C$14="On",('Net zero Activity data'!AK15*EF!$H28)*kgtoGg,"ERROR"))</f>
        <v>4.1304087921358321E-3</v>
      </c>
      <c r="S1091" s="93">
        <f>IF('Net zero activities &amp; levers'!$C$14="Off",('Activity data'!AL15*EF!$H28)*kgtoGg,IF('Net zero activities &amp; levers'!$C$14="On",('Net zero Activity data'!AL15*EF!$H28)*kgtoGg,"ERROR"))</f>
        <v>3.8942776940038416E-3</v>
      </c>
      <c r="T1091" s="93">
        <f>IF('Net zero activities &amp; levers'!$C$14="Off",('Activity data'!AM15*EF!$H28)*kgtoGg,IF('Net zero activities &amp; levers'!$C$14="On",('Net zero Activity data'!AM15*EF!$H28)*kgtoGg,"ERROR"))</f>
        <v>3.9425050527123239E-3</v>
      </c>
      <c r="U1091" s="93">
        <f>IF('Net zero activities &amp; levers'!$C$14="Off",('Activity data'!AN15*EF!$H28)*kgtoGg,IF('Net zero activities &amp; levers'!$C$14="On",('Net zero Activity data'!AN15*EF!$H28)*kgtoGg,"ERROR"))</f>
        <v>4.0191071248696416E-3</v>
      </c>
      <c r="V1091" s="93">
        <f>IF('Net zero activities &amp; levers'!$C$14="Off",('Activity data'!AO15*EF!$H28)*kgtoGg,IF('Net zero activities &amp; levers'!$C$14="On",('Net zero Activity data'!AO15*EF!$H28)*kgtoGg,"ERROR"))</f>
        <v>4.0473828533201294E-3</v>
      </c>
      <c r="W1091" s="93">
        <f>IF('Net zero activities &amp; levers'!$C$14="Off",('Activity data'!AP15*EF!$H28)*kgtoGg,IF('Net zero activities &amp; levers'!$C$14="On",('Net zero Activity data'!AP15*EF!$H28)*kgtoGg,"ERROR"))</f>
        <v>4.0809840197269919E-3</v>
      </c>
      <c r="X1091" s="93">
        <f>IF('Net zero activities &amp; levers'!$C$14="Off",('Activity data'!AQ15*EF!$H28)*kgtoGg,IF('Net zero activities &amp; levers'!$C$14="On",('Net zero Activity data'!AQ15*EF!$H28)*kgtoGg,"ERROR"))</f>
        <v>4.1216678621320202E-3</v>
      </c>
      <c r="Y1091" s="93">
        <f>IF('Net zero activities &amp; levers'!$C$14="Off",('Activity data'!AR15*EF!$H28)*kgtoGg,IF('Net zero activities &amp; levers'!$C$14="On",('Net zero Activity data'!AR15*EF!$H28)*kgtoGg,"ERROR"))</f>
        <v>4.1703472412361522E-3</v>
      </c>
      <c r="Z1091" s="93">
        <f>IF('Net zero activities &amp; levers'!$C$14="Off",('Activity data'!AS15*EF!$H28)*kgtoGg,IF('Net zero activities &amp; levers'!$C$14="On",('Net zero Activity data'!AS15*EF!$H28)*kgtoGg,"ERROR"))</f>
        <v>4.2244482436929265E-3</v>
      </c>
      <c r="AA1091" s="93">
        <f>IF('Net zero activities &amp; levers'!$C$14="Off",('Activity data'!AT15*EF!$H28)*kgtoGg,IF('Net zero activities &amp; levers'!$C$14="On",('Net zero Activity data'!AT15*EF!$H28)*kgtoGg,"ERROR"))</f>
        <v>4.2791921283487086E-3</v>
      </c>
      <c r="AB1091" s="93">
        <f>IF('Net zero activities &amp; levers'!$C$14="Off",('Activity data'!AU15*EF!$H28)*kgtoGg,IF('Net zero activities &amp; levers'!$C$14="On",('Net zero Activity data'!AU15*EF!$H28)*kgtoGg,"ERROR"))</f>
        <v>4.3388287504468421E-3</v>
      </c>
      <c r="AC1091" s="93">
        <f>IF('Net zero activities &amp; levers'!$C$14="Off",('Activity data'!AV15*EF!$H28)*kgtoGg,IF('Net zero activities &amp; levers'!$C$14="On",('Net zero Activity data'!AV15*EF!$H28)*kgtoGg,"ERROR"))</f>
        <v>4.3986726547954836E-3</v>
      </c>
      <c r="AD1091" s="93">
        <f>IF('Net zero activities &amp; levers'!$C$14="Off",('Activity data'!AW15*EF!$H28)*kgtoGg,IF('Net zero activities &amp; levers'!$C$14="On",('Net zero Activity data'!AW15*EF!$H28)*kgtoGg,"ERROR"))</f>
        <v>4.4704656017983358E-3</v>
      </c>
      <c r="AE1091" s="93">
        <f>IF('Net zero activities &amp; levers'!$C$14="Off",('Activity data'!AX15*EF!$H28)*kgtoGg,IF('Net zero activities &amp; levers'!$C$14="On",('Net zero Activity data'!AX15*EF!$H28)*kgtoGg,"ERROR"))</f>
        <v>4.539631463046338E-3</v>
      </c>
      <c r="AF1091" s="93">
        <f>IF('Net zero activities &amp; levers'!$C$14="Off",('Activity data'!AY15*EF!$H28)*kgtoGg,IF('Net zero activities &amp; levers'!$C$14="On",('Net zero Activity data'!AY15*EF!$H28)*kgtoGg,"ERROR"))</f>
        <v>4.6121605087864415E-3</v>
      </c>
      <c r="AG1091" s="93">
        <f>IF('Net zero activities &amp; levers'!$C$14="Off",('Activity data'!AZ15*EF!$H28)*kgtoGg,IF('Net zero activities &amp; levers'!$C$14="On",('Net zero Activity data'!AZ15*EF!$H28)*kgtoGg,"ERROR"))</f>
        <v>4.6951125632471334E-3</v>
      </c>
      <c r="AH1091" s="93">
        <f>IF('Net zero activities &amp; levers'!$C$14="Off",('Activity data'!BA15*EF!$H28)*kgtoGg,IF('Net zero activities &amp; levers'!$C$14="On",('Net zero Activity data'!BA15*EF!$H28)*kgtoGg,"ERROR"))</f>
        <v>4.7715465683054572E-3</v>
      </c>
      <c r="AI1091" s="93">
        <f>IF('Net zero activities &amp; levers'!$C$14="Off",('Activity data'!BB15*EF!$H28)*kgtoGg,IF('Net zero activities &amp; levers'!$C$14="On",('Net zero Activity data'!BB15*EF!$H28)*kgtoGg,"ERROR"))</f>
        <v>4.855932813312959E-3</v>
      </c>
      <c r="AJ1091" s="93">
        <f>IF('Net zero activities &amp; levers'!$C$14="Off",('Activity data'!BC15*EF!$H28)*kgtoGg,IF('Net zero activities &amp; levers'!$C$14="On",('Net zero Activity data'!BC15*EF!$H28)*kgtoGg,"ERROR"))</f>
        <v>4.945901658536307E-3</v>
      </c>
      <c r="AK1091" s="93">
        <f>IF('Net zero activities &amp; levers'!$C$14="Off",('Activity data'!BD15*EF!$H28)*kgtoGg,IF('Net zero activities &amp; levers'!$C$14="On",('Net zero Activity data'!BD15*EF!$H28)*kgtoGg,"ERROR"))</f>
        <v>5.0279520878702428E-3</v>
      </c>
      <c r="AL1091" s="93">
        <f>IF('Net zero activities &amp; levers'!$C$14="Off",('Activity data'!BE15*EF!$H28)*kgtoGg,IF('Net zero activities &amp; levers'!$C$14="On",('Net zero Activity data'!BE15*EF!$H28)*kgtoGg,"ERROR"))</f>
        <v>5.1082371551630715E-3</v>
      </c>
      <c r="AM1091" s="93">
        <f>IF('Net zero activities &amp; levers'!$C$14="Off",('Activity data'!BF15*EF!$H28)*kgtoGg,IF('Net zero activities &amp; levers'!$C$14="On",('Net zero Activity data'!BF15*EF!$H28)*kgtoGg,"ERROR"))</f>
        <v>5.1870452828056204E-3</v>
      </c>
      <c r="AN1091" s="93">
        <f>IF('Net zero activities &amp; levers'!$C$14="Off",('Activity data'!BG15*EF!$H28)*kgtoGg,IF('Net zero activities &amp; levers'!$C$14="On",('Net zero Activity data'!BG15*EF!$H28)*kgtoGg,"ERROR"))</f>
        <v>5.27706789842347E-3</v>
      </c>
      <c r="AO1091" s="93">
        <f>IF('Net zero activities &amp; levers'!$C$14="Off",('Activity data'!BH15*EF!$H28)*kgtoGg,IF('Net zero activities &amp; levers'!$C$14="On",('Net zero Activity data'!BH15*EF!$H28)*kgtoGg,"ERROR"))</f>
        <v>5.3619473096130918E-3</v>
      </c>
      <c r="AP1091" s="93">
        <f>IF('Net zero activities &amp; levers'!$C$14="Off",('Activity data'!BI15*EF!$H28)*kgtoGg,IF('Net zero activities &amp; levers'!$C$14="On",('Net zero Activity data'!BI15*EF!$H28)*kgtoGg,"ERROR"))</f>
        <v>5.4495970329020271E-3</v>
      </c>
      <c r="AQ1091" s="93">
        <f>IF('Net zero activities &amp; levers'!$C$14="Off",('Activity data'!BJ15*EF!$H28)*kgtoGg,IF('Net zero activities &amp; levers'!$C$14="On",('Net zero Activity data'!BJ15*EF!$H28)*kgtoGg,"ERROR"))</f>
        <v>5.5404524678757516E-3</v>
      </c>
      <c r="AR1091" s="93">
        <f>IF('Net zero activities &amp; levers'!$C$14="Off",('Activity data'!BK15*EF!$H28)*kgtoGg,IF('Net zero activities &amp; levers'!$C$14="On",('Net zero Activity data'!BK15*EF!$H28)*kgtoGg,"ERROR"))</f>
        <v>5.6352215326777718E-3</v>
      </c>
      <c r="AS1091" s="93">
        <f>IF('Net zero activities &amp; levers'!$C$14="Off",('Activity data'!BL15*EF!$H28)*kgtoGg,IF('Net zero activities &amp; levers'!$C$14="On",('Net zero Activity data'!BL15*EF!$H28)*kgtoGg,"ERROR"))</f>
        <v>5.7381722103153144E-3</v>
      </c>
      <c r="AT1091" s="93">
        <f>IF('Net zero activities &amp; levers'!$C$14="Off",('Activity data'!BM15*EF!$H28)*kgtoGg,IF('Net zero activities &amp; levers'!$C$14="On",('Net zero Activity data'!BM15*EF!$H28)*kgtoGg,"ERROR"))</f>
        <v>5.7552832935457467E-3</v>
      </c>
      <c r="AU1091" s="93">
        <f>IF('Net zero activities &amp; levers'!$C$14="Off",('Activity data'!BN15*EF!$H28)*kgtoGg,IF('Net zero activities &amp; levers'!$C$14="On",('Net zero Activity data'!BN15*EF!$H28)*kgtoGg,"ERROR"))</f>
        <v>5.7642783755128633E-3</v>
      </c>
      <c r="AV1091" s="93">
        <f>IF('Net zero activities &amp; levers'!$C$14="Off",('Activity data'!BO15*EF!$H28)*kgtoGg,IF('Net zero activities &amp; levers'!$C$14="On",('Net zero Activity data'!BO15*EF!$H28)*kgtoGg,"ERROR"))</f>
        <v>5.7617518385425876E-3</v>
      </c>
      <c r="AW1091" s="93">
        <f>IF('Net zero activities &amp; levers'!$C$14="Off",('Activity data'!BP15*EF!$H28)*kgtoGg,IF('Net zero activities &amp; levers'!$C$14="On",('Net zero Activity data'!BP15*EF!$H28)*kgtoGg,"ERROR"))</f>
        <v>5.7557818048942742E-3</v>
      </c>
      <c r="AY1091" s="79"/>
    </row>
    <row r="1092" spans="1:51" x14ac:dyDescent="0.3">
      <c r="A1092" s="95" t="str">
        <f t="shared" si="374"/>
        <v>CM Mules MMCH4</v>
      </c>
      <c r="B1092" s="95" t="s">
        <v>1322</v>
      </c>
      <c r="C1092" s="95" t="s">
        <v>1327</v>
      </c>
      <c r="D1092" t="s">
        <v>15</v>
      </c>
      <c r="E1092" t="s">
        <v>22</v>
      </c>
      <c r="F1092" t="s">
        <v>140</v>
      </c>
      <c r="G1092" t="s">
        <v>124</v>
      </c>
      <c r="H1092" t="s">
        <v>1227</v>
      </c>
      <c r="I1092" t="s">
        <v>121</v>
      </c>
      <c r="J1092" t="s">
        <v>286</v>
      </c>
      <c r="K1092" s="93">
        <f>IF('Net zero activities &amp; levers'!$C$14="Off",('Activity data'!AD16*EF!$H29)*kgtoGg,IF('Net zero activities &amp; levers'!$C$14="On",('Net zero Activity data'!AD16*EF!$H29)*kgtoGg,"ERROR"))</f>
        <v>7.515E-4</v>
      </c>
      <c r="L1092" s="93">
        <f>IF('Net zero activities &amp; levers'!$C$14="Off",('Activity data'!AE16*EF!$H29)*kgtoGg,IF('Net zero activities &amp; levers'!$C$14="On",('Net zero Activity data'!AE16*EF!$H29)*kgtoGg,"ERROR"))</f>
        <v>7.515E-4</v>
      </c>
      <c r="M1092" s="93">
        <f>IF('Net zero activities &amp; levers'!$C$14="Off",('Activity data'!AF16*EF!$H29)*kgtoGg,IF('Net zero activities &amp; levers'!$C$14="On",('Net zero Activity data'!AF16*EF!$H29)*kgtoGg,"ERROR"))</f>
        <v>7.515E-4</v>
      </c>
      <c r="N1092" s="93">
        <f>IF('Net zero activities &amp; levers'!$C$14="Off",('Activity data'!AG16*EF!$H29)*kgtoGg,IF('Net zero activities &amp; levers'!$C$14="On",('Net zero Activity data'!AG16*EF!$H29)*kgtoGg,"ERROR"))</f>
        <v>7.515E-4</v>
      </c>
      <c r="O1092" s="93">
        <f>IF('Net zero activities &amp; levers'!$C$14="Off",('Activity data'!AH16*EF!$H29)*kgtoGg,IF('Net zero activities &amp; levers'!$C$14="On",('Net zero Activity data'!AH16*EF!$H29)*kgtoGg,"ERROR"))</f>
        <v>7.515E-4</v>
      </c>
      <c r="P1092" s="93">
        <f>IF('Net zero activities &amp; levers'!$C$14="Off",('Activity data'!AI16*EF!$H29)*kgtoGg,IF('Net zero activities &amp; levers'!$C$14="On",('Net zero Activity data'!AI16*EF!$H29)*kgtoGg,"ERROR"))</f>
        <v>7.515E-4</v>
      </c>
      <c r="Q1092" s="93">
        <f>IF('Net zero activities &amp; levers'!$C$14="Off",('Activity data'!AJ16*EF!$H29)*kgtoGg,IF('Net zero activities &amp; levers'!$C$14="On",('Net zero Activity data'!AJ16*EF!$H29)*kgtoGg,"ERROR"))</f>
        <v>7.515E-4</v>
      </c>
      <c r="R1092" s="93">
        <f>IF('Net zero activities &amp; levers'!$C$14="Off",('Activity data'!AK16*EF!$H29)*kgtoGg,IF('Net zero activities &amp; levers'!$C$14="On",('Net zero Activity data'!AK16*EF!$H29)*kgtoGg,"ERROR"))</f>
        <v>7.515E-4</v>
      </c>
      <c r="S1092" s="93">
        <f>IF('Net zero activities &amp; levers'!$C$14="Off",('Activity data'!AL16*EF!$H29)*kgtoGg,IF('Net zero activities &amp; levers'!$C$14="On",('Net zero Activity data'!AL16*EF!$H29)*kgtoGg,"ERROR"))</f>
        <v>7.515E-4</v>
      </c>
      <c r="T1092" s="93">
        <f>IF('Net zero activities &amp; levers'!$C$14="Off",('Activity data'!AM16*EF!$H29)*kgtoGg,IF('Net zero activities &amp; levers'!$C$14="On",('Net zero Activity data'!AM16*EF!$H29)*kgtoGg,"ERROR"))</f>
        <v>7.515E-4</v>
      </c>
      <c r="U1092" s="93">
        <f>IF('Net zero activities &amp; levers'!$C$14="Off",('Activity data'!AN16*EF!$H29)*kgtoGg,IF('Net zero activities &amp; levers'!$C$14="On",('Net zero Activity data'!AN16*EF!$H29)*kgtoGg,"ERROR"))</f>
        <v>7.515E-4</v>
      </c>
      <c r="V1092" s="93">
        <f>IF('Net zero activities &amp; levers'!$C$14="Off",('Activity data'!AO16*EF!$H29)*kgtoGg,IF('Net zero activities &amp; levers'!$C$14="On",('Net zero Activity data'!AO16*EF!$H29)*kgtoGg,"ERROR"))</f>
        <v>7.515E-4</v>
      </c>
      <c r="W1092" s="93">
        <f>IF('Net zero activities &amp; levers'!$C$14="Off",('Activity data'!AP16*EF!$H29)*kgtoGg,IF('Net zero activities &amp; levers'!$C$14="On",('Net zero Activity data'!AP16*EF!$H29)*kgtoGg,"ERROR"))</f>
        <v>7.515E-4</v>
      </c>
      <c r="X1092" s="93">
        <f>IF('Net zero activities &amp; levers'!$C$14="Off",('Activity data'!AQ16*EF!$H29)*kgtoGg,IF('Net zero activities &amp; levers'!$C$14="On",('Net zero Activity data'!AQ16*EF!$H29)*kgtoGg,"ERROR"))</f>
        <v>7.515E-4</v>
      </c>
      <c r="Y1092" s="93">
        <f>IF('Net zero activities &amp; levers'!$C$14="Off",('Activity data'!AR16*EF!$H29)*kgtoGg,IF('Net zero activities &amp; levers'!$C$14="On",('Net zero Activity data'!AR16*EF!$H29)*kgtoGg,"ERROR"))</f>
        <v>7.515E-4</v>
      </c>
      <c r="Z1092" s="93">
        <f>IF('Net zero activities &amp; levers'!$C$14="Off",('Activity data'!AS16*EF!$H29)*kgtoGg,IF('Net zero activities &amp; levers'!$C$14="On",('Net zero Activity data'!AS16*EF!$H29)*kgtoGg,"ERROR"))</f>
        <v>7.515E-4</v>
      </c>
      <c r="AA1092" s="93">
        <f>IF('Net zero activities &amp; levers'!$C$14="Off",('Activity data'!AT16*EF!$H29)*kgtoGg,IF('Net zero activities &amp; levers'!$C$14="On",('Net zero Activity data'!AT16*EF!$H29)*kgtoGg,"ERROR"))</f>
        <v>7.515E-4</v>
      </c>
      <c r="AB1092" s="93">
        <f>IF('Net zero activities &amp; levers'!$C$14="Off",('Activity data'!AU16*EF!$H29)*kgtoGg,IF('Net zero activities &amp; levers'!$C$14="On",('Net zero Activity data'!AU16*EF!$H29)*kgtoGg,"ERROR"))</f>
        <v>7.515E-4</v>
      </c>
      <c r="AC1092" s="93">
        <f>IF('Net zero activities &amp; levers'!$C$14="Off",('Activity data'!AV16*EF!$H29)*kgtoGg,IF('Net zero activities &amp; levers'!$C$14="On",('Net zero Activity data'!AV16*EF!$H29)*kgtoGg,"ERROR"))</f>
        <v>7.515E-4</v>
      </c>
      <c r="AD1092" s="93">
        <f>IF('Net zero activities &amp; levers'!$C$14="Off",('Activity data'!AW16*EF!$H29)*kgtoGg,IF('Net zero activities &amp; levers'!$C$14="On",('Net zero Activity data'!AW16*EF!$H29)*kgtoGg,"ERROR"))</f>
        <v>7.515E-4</v>
      </c>
      <c r="AE1092" s="93">
        <f>IF('Net zero activities &amp; levers'!$C$14="Off",('Activity data'!AX16*EF!$H29)*kgtoGg,IF('Net zero activities &amp; levers'!$C$14="On",('Net zero Activity data'!AX16*EF!$H29)*kgtoGg,"ERROR"))</f>
        <v>7.515E-4</v>
      </c>
      <c r="AF1092" s="93">
        <f>IF('Net zero activities &amp; levers'!$C$14="Off",('Activity data'!AY16*EF!$H29)*kgtoGg,IF('Net zero activities &amp; levers'!$C$14="On",('Net zero Activity data'!AY16*EF!$H29)*kgtoGg,"ERROR"))</f>
        <v>7.515E-4</v>
      </c>
      <c r="AG1092" s="93">
        <f>IF('Net zero activities &amp; levers'!$C$14="Off",('Activity data'!AZ16*EF!$H29)*kgtoGg,IF('Net zero activities &amp; levers'!$C$14="On",('Net zero Activity data'!AZ16*EF!$H29)*kgtoGg,"ERROR"))</f>
        <v>7.515E-4</v>
      </c>
      <c r="AH1092" s="93">
        <f>IF('Net zero activities &amp; levers'!$C$14="Off",('Activity data'!BA16*EF!$H29)*kgtoGg,IF('Net zero activities &amp; levers'!$C$14="On",('Net zero Activity data'!BA16*EF!$H29)*kgtoGg,"ERROR"))</f>
        <v>7.515E-4</v>
      </c>
      <c r="AI1092" s="93">
        <f>IF('Net zero activities &amp; levers'!$C$14="Off",('Activity data'!BB16*EF!$H29)*kgtoGg,IF('Net zero activities &amp; levers'!$C$14="On",('Net zero Activity data'!BB16*EF!$H29)*kgtoGg,"ERROR"))</f>
        <v>7.515E-4</v>
      </c>
      <c r="AJ1092" s="93">
        <f>IF('Net zero activities &amp; levers'!$C$14="Off",('Activity data'!BC16*EF!$H29)*kgtoGg,IF('Net zero activities &amp; levers'!$C$14="On",('Net zero Activity data'!BC16*EF!$H29)*kgtoGg,"ERROR"))</f>
        <v>7.515E-4</v>
      </c>
      <c r="AK1092" s="93">
        <f>IF('Net zero activities &amp; levers'!$C$14="Off",('Activity data'!BD16*EF!$H29)*kgtoGg,IF('Net zero activities &amp; levers'!$C$14="On",('Net zero Activity data'!BD16*EF!$H29)*kgtoGg,"ERROR"))</f>
        <v>7.515E-4</v>
      </c>
      <c r="AL1092" s="93">
        <f>IF('Net zero activities &amp; levers'!$C$14="Off",('Activity data'!BE16*EF!$H29)*kgtoGg,IF('Net zero activities &amp; levers'!$C$14="On",('Net zero Activity data'!BE16*EF!$H29)*kgtoGg,"ERROR"))</f>
        <v>7.515E-4</v>
      </c>
      <c r="AM1092" s="93">
        <f>IF('Net zero activities &amp; levers'!$C$14="Off",('Activity data'!BF16*EF!$H29)*kgtoGg,IF('Net zero activities &amp; levers'!$C$14="On",('Net zero Activity data'!BF16*EF!$H29)*kgtoGg,"ERROR"))</f>
        <v>7.515E-4</v>
      </c>
      <c r="AN1092" s="93">
        <f>IF('Net zero activities &amp; levers'!$C$14="Off",('Activity data'!BG16*EF!$H29)*kgtoGg,IF('Net zero activities &amp; levers'!$C$14="On",('Net zero Activity data'!BG16*EF!$H29)*kgtoGg,"ERROR"))</f>
        <v>7.515E-4</v>
      </c>
      <c r="AO1092" s="93">
        <f>IF('Net zero activities &amp; levers'!$C$14="Off",('Activity data'!BH16*EF!$H29)*kgtoGg,IF('Net zero activities &amp; levers'!$C$14="On",('Net zero Activity data'!BH16*EF!$H29)*kgtoGg,"ERROR"))</f>
        <v>7.515E-4</v>
      </c>
      <c r="AP1092" s="93">
        <f>IF('Net zero activities &amp; levers'!$C$14="Off",('Activity data'!BI16*EF!$H29)*kgtoGg,IF('Net zero activities &amp; levers'!$C$14="On",('Net zero Activity data'!BI16*EF!$H29)*kgtoGg,"ERROR"))</f>
        <v>7.515E-4</v>
      </c>
      <c r="AQ1092" s="93">
        <f>IF('Net zero activities &amp; levers'!$C$14="Off",('Activity data'!BJ16*EF!$H29)*kgtoGg,IF('Net zero activities &amp; levers'!$C$14="On",('Net zero Activity data'!BJ16*EF!$H29)*kgtoGg,"ERROR"))</f>
        <v>7.515E-4</v>
      </c>
      <c r="AR1092" s="93">
        <f>IF('Net zero activities &amp; levers'!$C$14="Off",('Activity data'!BK16*EF!$H29)*kgtoGg,IF('Net zero activities &amp; levers'!$C$14="On",('Net zero Activity data'!BK16*EF!$H29)*kgtoGg,"ERROR"))</f>
        <v>7.515E-4</v>
      </c>
      <c r="AS1092" s="93">
        <f>IF('Net zero activities &amp; levers'!$C$14="Off",('Activity data'!BL16*EF!$H29)*kgtoGg,IF('Net zero activities &amp; levers'!$C$14="On",('Net zero Activity data'!BL16*EF!$H29)*kgtoGg,"ERROR"))</f>
        <v>7.515E-4</v>
      </c>
      <c r="AT1092" s="93">
        <f>IF('Net zero activities &amp; levers'!$C$14="Off",('Activity data'!BM16*EF!$H29)*kgtoGg,IF('Net zero activities &amp; levers'!$C$14="On",('Net zero Activity data'!BM16*EF!$H29)*kgtoGg,"ERROR"))</f>
        <v>7.515E-4</v>
      </c>
      <c r="AU1092" s="93">
        <f>IF('Net zero activities &amp; levers'!$C$14="Off",('Activity data'!BN16*EF!$H29)*kgtoGg,IF('Net zero activities &amp; levers'!$C$14="On",('Net zero Activity data'!BN16*EF!$H29)*kgtoGg,"ERROR"))</f>
        <v>7.515E-4</v>
      </c>
      <c r="AV1092" s="93">
        <f>IF('Net zero activities &amp; levers'!$C$14="Off",('Activity data'!BO16*EF!$H29)*kgtoGg,IF('Net zero activities &amp; levers'!$C$14="On",('Net zero Activity data'!BO16*EF!$H29)*kgtoGg,"ERROR"))</f>
        <v>7.515E-4</v>
      </c>
      <c r="AW1092" s="93">
        <f>IF('Net zero activities &amp; levers'!$C$14="Off",('Activity data'!BP16*EF!$H29)*kgtoGg,IF('Net zero activities &amp; levers'!$C$14="On",('Net zero Activity data'!BP16*EF!$H29)*kgtoGg,"ERROR"))</f>
        <v>7.515E-4</v>
      </c>
      <c r="AY1092" s="79"/>
    </row>
    <row r="1093" spans="1:51" x14ac:dyDescent="0.3">
      <c r="A1093" s="95" t="str">
        <f t="shared" si="374"/>
        <v>CM Swine MMCH4</v>
      </c>
      <c r="B1093" s="95" t="s">
        <v>1322</v>
      </c>
      <c r="C1093" s="95" t="s">
        <v>1230</v>
      </c>
      <c r="D1093" t="s">
        <v>15</v>
      </c>
      <c r="E1093" t="s">
        <v>22</v>
      </c>
      <c r="F1093" t="s">
        <v>21</v>
      </c>
      <c r="G1093" t="s">
        <v>122</v>
      </c>
      <c r="H1093" t="s">
        <v>1227</v>
      </c>
      <c r="I1093" t="s">
        <v>121</v>
      </c>
      <c r="J1093" t="s">
        <v>286</v>
      </c>
      <c r="K1093" s="93">
        <f>IF('Net zero activities &amp; levers'!$C$14="Off",('Activity data'!AD17*EF!$H30)*kgtoGg,IF('Net zero activities &amp; levers'!$C$14="On",('Net zero Activity data'!AD17*EF!$H30)*kgtoGg,"ERROR"))</f>
        <v>23.279067868377393</v>
      </c>
      <c r="L1093" s="93">
        <f>IF('Net zero activities &amp; levers'!$C$14="Off",('Activity data'!AE17*EF!$H30)*kgtoGg,IF('Net zero activities &amp; levers'!$C$14="On",('Net zero Activity data'!AE17*EF!$H30)*kgtoGg,"ERROR"))</f>
        <v>23.152530650802596</v>
      </c>
      <c r="M1093" s="93">
        <f>IF('Net zero activities &amp; levers'!$C$14="Off",('Activity data'!AF17*EF!$H30)*kgtoGg,IF('Net zero activities &amp; levers'!$C$14="On",('Net zero Activity data'!AF17*EF!$H30)*kgtoGg,"ERROR"))</f>
        <v>23.162916433064304</v>
      </c>
      <c r="N1093" s="93">
        <f>IF('Net zero activities &amp; levers'!$C$14="Off",('Activity data'!AG17*EF!$H30)*kgtoGg,IF('Net zero activities &amp; levers'!$C$14="On",('Net zero Activity data'!AG17*EF!$H30)*kgtoGg,"ERROR"))</f>
        <v>22.950263110497293</v>
      </c>
      <c r="O1093" s="93">
        <f>IF('Net zero activities &amp; levers'!$C$14="Off",('Activity data'!AH17*EF!$H30)*kgtoGg,IF('Net zero activities &amp; levers'!$C$14="On",('Net zero Activity data'!AH17*EF!$H30)*kgtoGg,"ERROR"))</f>
        <v>22.602951186820601</v>
      </c>
      <c r="P1093" s="93">
        <f>IF('Net zero activities &amp; levers'!$C$14="Off",('Activity data'!AI17*EF!$H30)*kgtoGg,IF('Net zero activities &amp; levers'!$C$14="On",('Net zero Activity data'!AI17*EF!$H30)*kgtoGg,"ERROR"))</f>
        <v>22.126532811374943</v>
      </c>
      <c r="Q1093" s="93">
        <f>IF('Net zero activities &amp; levers'!$C$14="Off",('Activity data'!AJ17*EF!$H30)*kgtoGg,IF('Net zero activities &amp; levers'!$C$14="On",('Net zero Activity data'!AJ17*EF!$H30)*kgtoGg,"ERROR"))</f>
        <v>21.780600237355962</v>
      </c>
      <c r="R1093" s="93">
        <f>IF('Net zero activities &amp; levers'!$C$14="Off",('Activity data'!AK17*EF!$H30)*kgtoGg,IF('Net zero activities &amp; levers'!$C$14="On",('Net zero Activity data'!AK17*EF!$H30)*kgtoGg,"ERROR"))</f>
        <v>21.465278056857681</v>
      </c>
      <c r="S1093" s="93">
        <f>IF('Net zero activities &amp; levers'!$C$14="Off",('Activity data'!AL17*EF!$H30)*kgtoGg,IF('Net zero activities &amp; levers'!$C$14="On",('Net zero Activity data'!AL17*EF!$H30)*kgtoGg,"ERROR"))</f>
        <v>18.952765181798245</v>
      </c>
      <c r="T1093" s="93">
        <f>IF('Net zero activities &amp; levers'!$C$14="Off",('Activity data'!AM17*EF!$H30)*kgtoGg,IF('Net zero activities &amp; levers'!$C$14="On",('Net zero Activity data'!AM17*EF!$H30)*kgtoGg,"ERROR"))</f>
        <v>19.192435731964196</v>
      </c>
      <c r="U1093" s="93">
        <f>IF('Net zero activities &amp; levers'!$C$14="Off",('Activity data'!AN17*EF!$H30)*kgtoGg,IF('Net zero activities &amp; levers'!$C$14="On",('Net zero Activity data'!AN17*EF!$H30)*kgtoGg,"ERROR"))</f>
        <v>19.706721684105471</v>
      </c>
      <c r="V1093" s="93">
        <f>IF('Net zero activities &amp; levers'!$C$14="Off",('Activity data'!AO17*EF!$H30)*kgtoGg,IF('Net zero activities &amp; levers'!$C$14="On",('Net zero Activity data'!AO17*EF!$H30)*kgtoGg,"ERROR"))</f>
        <v>19.753416176775058</v>
      </c>
      <c r="W1093" s="93">
        <f>IF('Net zero activities &amp; levers'!$C$14="Off",('Activity data'!AP17*EF!$H30)*kgtoGg,IF('Net zero activities &amp; levers'!$C$14="On",('Net zero Activity data'!AP17*EF!$H30)*kgtoGg,"ERROR"))</f>
        <v>19.854535695194098</v>
      </c>
      <c r="X1093" s="93">
        <f>IF('Net zero activities &amp; levers'!$C$14="Off",('Activity data'!AQ17*EF!$H30)*kgtoGg,IF('Net zero activities &amp; levers'!$C$14="On",('Net zero Activity data'!AQ17*EF!$H30)*kgtoGg,"ERROR"))</f>
        <v>20.024553174699502</v>
      </c>
      <c r="Y1093" s="93">
        <f>IF('Net zero activities &amp; levers'!$C$14="Off",('Activity data'!AR17*EF!$H30)*kgtoGg,IF('Net zero activities &amp; levers'!$C$14="On",('Net zero Activity data'!AR17*EF!$H30)*kgtoGg,"ERROR"))</f>
        <v>20.23789112840667</v>
      </c>
      <c r="Z1093" s="93">
        <f>IF('Net zero activities &amp; levers'!$C$14="Off",('Activity data'!AS17*EF!$H30)*kgtoGg,IF('Net zero activities &amp; levers'!$C$14="On",('Net zero Activity data'!AS17*EF!$H30)*kgtoGg,"ERROR"))</f>
        <v>20.499318704805695</v>
      </c>
      <c r="AA1093" s="93">
        <f>IF('Net zero activities &amp; levers'!$C$14="Off",('Activity data'!AT17*EF!$H30)*kgtoGg,IF('Net zero activities &amp; levers'!$C$14="On",('Net zero Activity data'!AT17*EF!$H30)*kgtoGg,"ERROR"))</f>
        <v>20.763803414840964</v>
      </c>
      <c r="AB1093" s="93">
        <f>IF('Net zero activities &amp; levers'!$C$14="Off",('Activity data'!AU17*EF!$H30)*kgtoGg,IF('Net zero activities &amp; levers'!$C$14="On",('Net zero Activity data'!AU17*EF!$H30)*kgtoGg,"ERROR"))</f>
        <v>21.06916344985618</v>
      </c>
      <c r="AC1093" s="93">
        <f>IF('Net zero activities &amp; levers'!$C$14="Off",('Activity data'!AV17*EF!$H30)*kgtoGg,IF('Net zero activities &amp; levers'!$C$14="On",('Net zero Activity data'!AV17*EF!$H30)*kgtoGg,"ERROR"))</f>
        <v>21.372415897013145</v>
      </c>
      <c r="AD1093" s="93">
        <f>IF('Net zero activities &amp; levers'!$C$14="Off",('Activity data'!AW17*EF!$H30)*kgtoGg,IF('Net zero activities &amp; levers'!$C$14="On",('Net zero Activity data'!AW17*EF!$H30)*kgtoGg,"ERROR"))</f>
        <v>21.74943786655458</v>
      </c>
      <c r="AE1093" s="93">
        <f>IF('Net zero activities &amp; levers'!$C$14="Off",('Activity data'!AX17*EF!$H30)*kgtoGg,IF('Net zero activities &amp; levers'!$C$14="On",('Net zero Activity data'!AX17*EF!$H30)*kgtoGg,"ERROR"))</f>
        <v>22.096514126462726</v>
      </c>
      <c r="AF1093" s="93">
        <f>IF('Net zero activities &amp; levers'!$C$14="Off",('Activity data'!AY17*EF!$H30)*kgtoGg,IF('Net zero activities &amp; levers'!$C$14="On",('Net zero Activity data'!AY17*EF!$H30)*kgtoGg,"ERROR"))</f>
        <v>22.465831015653421</v>
      </c>
      <c r="AG1093" s="93">
        <f>IF('Net zero activities &amp; levers'!$C$14="Off",('Activity data'!AZ17*EF!$H30)*kgtoGg,IF('Net zero activities &amp; levers'!$C$14="On",('Net zero Activity data'!AZ17*EF!$H30)*kgtoGg,"ERROR"))</f>
        <v>22.916349440576454</v>
      </c>
      <c r="AH1093" s="93">
        <f>IF('Net zero activities &amp; levers'!$C$14="Off",('Activity data'!BA17*EF!$H30)*kgtoGg,IF('Net zero activities &amp; levers'!$C$14="On",('Net zero Activity data'!BA17*EF!$H30)*kgtoGg,"ERROR"))</f>
        <v>23.303196681672105</v>
      </c>
      <c r="AI1093" s="93">
        <f>IF('Net zero activities &amp; levers'!$C$14="Off",('Activity data'!BB17*EF!$H30)*kgtoGg,IF('Net zero activities &amp; levers'!$C$14="On",('Net zero Activity data'!BB17*EF!$H30)*kgtoGg,"ERROR"))</f>
        <v>23.720738750345618</v>
      </c>
      <c r="AJ1093" s="93">
        <f>IF('Net zero activities &amp; levers'!$C$14="Off",('Activity data'!BC17*EF!$H30)*kgtoGg,IF('Net zero activities &amp; levers'!$C$14="On",('Net zero Activity data'!BC17*EF!$H30)*kgtoGg,"ERROR"))</f>
        <v>24.1739099146189</v>
      </c>
      <c r="AK1093" s="93">
        <f>IF('Net zero activities &amp; levers'!$C$14="Off",('Activity data'!BD17*EF!$H30)*kgtoGg,IF('Net zero activities &amp; levers'!$C$14="On",('Net zero Activity data'!BD17*EF!$H30)*kgtoGg,"ERROR"))</f>
        <v>24.551957379803568</v>
      </c>
      <c r="AL1093" s="93">
        <f>IF('Net zero activities &amp; levers'!$C$14="Off",('Activity data'!BE17*EF!$H30)*kgtoGg,IF('Net zero activities &amp; levers'!$C$14="On",('Net zero Activity data'!BE17*EF!$H30)*kgtoGg,"ERROR"))</f>
        <v>24.90648475217996</v>
      </c>
      <c r="AM1093" s="93">
        <f>IF('Net zero activities &amp; levers'!$C$14="Off",('Activity data'!BF17*EF!$H30)*kgtoGg,IF('Net zero activities &amp; levers'!$C$14="On",('Net zero Activity data'!BF17*EF!$H30)*kgtoGg,"ERROR"))</f>
        <v>25.240351368122212</v>
      </c>
      <c r="AN1093" s="93">
        <f>IF('Net zero activities &amp; levers'!$C$14="Off",('Activity data'!BG17*EF!$H30)*kgtoGg,IF('Net zero activities &amp; levers'!$C$14="On",('Net zero Activity data'!BG17*EF!$H30)*kgtoGg,"ERROR"))</f>
        <v>25.625854072975109</v>
      </c>
      <c r="AO1093" s="93">
        <f>IF('Net zero activities &amp; levers'!$C$14="Off",('Activity data'!BH17*EF!$H30)*kgtoGg,IF('Net zero activities &amp; levers'!$C$14="On",('Net zero Activity data'!BH17*EF!$H30)*kgtoGg,"ERROR"))</f>
        <v>25.960227974531257</v>
      </c>
      <c r="AP1093" s="93">
        <f>IF('Net zero activities &amp; levers'!$C$14="Off",('Activity data'!BI17*EF!$H30)*kgtoGg,IF('Net zero activities &amp; levers'!$C$14="On",('Net zero Activity data'!BI17*EF!$H30)*kgtoGg,"ERROR"))</f>
        <v>26.305386782253809</v>
      </c>
      <c r="AQ1093" s="93">
        <f>IF('Net zero activities &amp; levers'!$C$14="Off",('Activity data'!BJ17*EF!$H30)*kgtoGg,IF('Net zero activities &amp; levers'!$C$14="On",('Net zero Activity data'!BJ17*EF!$H30)*kgtoGg,"ERROR"))</f>
        <v>26.663933949781747</v>
      </c>
      <c r="AR1093" s="93">
        <f>IF('Net zero activities &amp; levers'!$C$14="Off",('Activity data'!BK17*EF!$H30)*kgtoGg,IF('Net zero activities &amp; levers'!$C$14="On",('Net zero Activity data'!BK17*EF!$H30)*kgtoGg,"ERROR"))</f>
        <v>27.040355797157176</v>
      </c>
      <c r="AS1093" s="93">
        <f>IF('Net zero activities &amp; levers'!$C$14="Off",('Activity data'!BL17*EF!$H30)*kgtoGg,IF('Net zero activities &amp; levers'!$C$14="On",('Net zero Activity data'!BL17*EF!$H30)*kgtoGg,"ERROR"))</f>
        <v>27.435623697912018</v>
      </c>
      <c r="AT1093" s="93">
        <f>IF('Net zero activities &amp; levers'!$C$14="Off",('Activity data'!BM17*EF!$H30)*kgtoGg,IF('Net zero activities &amp; levers'!$C$14="On",('Net zero Activity data'!BM17*EF!$H30)*kgtoGg,"ERROR"))</f>
        <v>27.195097752022821</v>
      </c>
      <c r="AU1093" s="93">
        <f>IF('Net zero activities &amp; levers'!$C$14="Off",('Activity data'!BN17*EF!$H30)*kgtoGg,IF('Net zero activities &amp; levers'!$C$14="On",('Net zero Activity data'!BN17*EF!$H30)*kgtoGg,"ERROR"))</f>
        <v>26.898987311246398</v>
      </c>
      <c r="AV1093" s="93">
        <f>IF('Net zero activities &amp; levers'!$C$14="Off",('Activity data'!BO17*EF!$H30)*kgtoGg,IF('Net zero activities &amp; levers'!$C$14="On",('Net zero Activity data'!BO17*EF!$H30)*kgtoGg,"ERROR"))</f>
        <v>26.52534739576117</v>
      </c>
      <c r="AW1093" s="93">
        <f>IF('Net zero activities &amp; levers'!$C$14="Off",('Activity data'!BP17*EF!$H30)*kgtoGg,IF('Net zero activities &amp; levers'!$C$14="On",('Net zero Activity data'!BP17*EF!$H30)*kgtoGg,"ERROR"))</f>
        <v>26.133382968648512</v>
      </c>
      <c r="AY1093" s="79"/>
    </row>
    <row r="1094" spans="1:51" x14ac:dyDescent="0.3">
      <c r="A1094" s="95" t="str">
        <f t="shared" si="374"/>
        <v>CM Swine MMCH4</v>
      </c>
      <c r="B1094" s="95" t="s">
        <v>1322</v>
      </c>
      <c r="C1094" s="95" t="s">
        <v>1230</v>
      </c>
      <c r="D1094" t="s">
        <v>15</v>
      </c>
      <c r="E1094" t="s">
        <v>22</v>
      </c>
      <c r="F1094" t="s">
        <v>21</v>
      </c>
      <c r="G1094" t="s">
        <v>123</v>
      </c>
      <c r="H1094" t="s">
        <v>1227</v>
      </c>
      <c r="I1094" t="s">
        <v>121</v>
      </c>
      <c r="J1094" t="s">
        <v>286</v>
      </c>
      <c r="K1094" s="93">
        <f>IF('Net zero activities &amp; levers'!$C$14="Off",('Activity data'!AD18*EF!$H31)*kgtoGg,IF('Net zero activities &amp; levers'!$C$14="On",('Net zero Activity data'!AD18*EF!$H31)*kgtoGg,"ERROR"))</f>
        <v>7.7932061732677776E-2</v>
      </c>
      <c r="L1094" s="93">
        <f>IF('Net zero activities &amp; levers'!$C$14="Off",('Activity data'!AE18*EF!$H31)*kgtoGg,IF('Net zero activities &amp; levers'!$C$14="On",('Net zero Activity data'!AE18*EF!$H31)*kgtoGg,"ERROR"))</f>
        <v>7.7508449141861113E-2</v>
      </c>
      <c r="M1094" s="93">
        <f>IF('Net zero activities &amp; levers'!$C$14="Off",('Activity data'!AF18*EF!$H31)*kgtoGg,IF('Net zero activities &amp; levers'!$C$14="On",('Net zero Activity data'!AF18*EF!$H31)*kgtoGg,"ERROR"))</f>
        <v>7.7543217949140597E-2</v>
      </c>
      <c r="N1094" s="93">
        <f>IF('Net zero activities &amp; levers'!$C$14="Off",('Activity data'!AG18*EF!$H31)*kgtoGg,IF('Net zero activities &amp; levers'!$C$14="On",('Net zero Activity data'!AG18*EF!$H31)*kgtoGg,"ERROR"))</f>
        <v>7.6831311787104617E-2</v>
      </c>
      <c r="O1094" s="93">
        <f>IF('Net zero activities &amp; levers'!$C$14="Off",('Activity data'!AH18*EF!$H31)*kgtoGg,IF('Net zero activities &amp; levers'!$C$14="On",('Net zero Activity data'!AH18*EF!$H31)*kgtoGg,"ERROR"))</f>
        <v>7.5668604825232008E-2</v>
      </c>
      <c r="P1094" s="93">
        <f>IF('Net zero activities &amp; levers'!$C$14="Off",('Activity data'!AI18*EF!$H31)*kgtoGg,IF('Net zero activities &amp; levers'!$C$14="On",('Net zero Activity data'!AI18*EF!$H31)*kgtoGg,"ERROR"))</f>
        <v>7.4073684167079379E-2</v>
      </c>
      <c r="Q1094" s="93">
        <f>IF('Net zero activities &amp; levers'!$C$14="Off",('Activity data'!AJ18*EF!$H31)*kgtoGg,IF('Net zero activities &amp; levers'!$C$14="On",('Net zero Activity data'!AJ18*EF!$H31)*kgtoGg,"ERROR"))</f>
        <v>7.2915594897087016E-2</v>
      </c>
      <c r="R1094" s="93">
        <f>IF('Net zero activities &amp; levers'!$C$14="Off",('Activity data'!AK18*EF!$H31)*kgtoGg,IF('Net zero activities &amp; levers'!$C$14="On",('Net zero Activity data'!AK18*EF!$H31)*kgtoGg,"ERROR"))</f>
        <v>7.1859980996426681E-2</v>
      </c>
      <c r="S1094" s="93">
        <f>IF('Net zero activities &amp; levers'!$C$14="Off",('Activity data'!AL18*EF!$H31)*kgtoGg,IF('Net zero activities &amp; levers'!$C$14="On",('Net zero Activity data'!AL18*EF!$H31)*kgtoGg,"ERROR"))</f>
        <v>6.344876326252144E-2</v>
      </c>
      <c r="T1094" s="93">
        <f>IF('Net zero activities &amp; levers'!$C$14="Off",('Activity data'!AM18*EF!$H31)*kgtoGg,IF('Net zero activities &amp; levers'!$C$14="On",('Net zero Activity data'!AM18*EF!$H31)*kgtoGg,"ERROR"))</f>
        <v>6.4251115840238279E-2</v>
      </c>
      <c r="U1094" s="93">
        <f>IF('Net zero activities &amp; levers'!$C$14="Off",('Activity data'!AN18*EF!$H31)*kgtoGg,IF('Net zero activities &amp; levers'!$C$14="On",('Net zero Activity data'!AN18*EF!$H31)*kgtoGg,"ERROR"))</f>
        <v>6.5972806966237654E-2</v>
      </c>
      <c r="V1094" s="93">
        <f>IF('Net zero activities &amp; levers'!$C$14="Off",('Activity data'!AO18*EF!$H31)*kgtoGg,IF('Net zero activities &amp; levers'!$C$14="On",('Net zero Activity data'!AO18*EF!$H31)*kgtoGg,"ERROR"))</f>
        <v>6.6129127576060945E-2</v>
      </c>
      <c r="W1094" s="93">
        <f>IF('Net zero activities &amp; levers'!$C$14="Off",('Activity data'!AP18*EF!$H31)*kgtoGg,IF('Net zero activities &amp; levers'!$C$14="On",('Net zero Activity data'!AP18*EF!$H31)*kgtoGg,"ERROR"))</f>
        <v>6.6467648542465979E-2</v>
      </c>
      <c r="X1094" s="93">
        <f>IF('Net zero activities &amp; levers'!$C$14="Off",('Activity data'!AQ18*EF!$H31)*kgtoGg,IF('Net zero activities &amp; levers'!$C$14="On",('Net zero Activity data'!AQ18*EF!$H31)*kgtoGg,"ERROR"))</f>
        <v>6.7036821362587692E-2</v>
      </c>
      <c r="Y1094" s="93">
        <f>IF('Net zero activities &amp; levers'!$C$14="Off",('Activity data'!AR18*EF!$H31)*kgtoGg,IF('Net zero activities &amp; levers'!$C$14="On",('Net zero Activity data'!AR18*EF!$H31)*kgtoGg,"ERROR"))</f>
        <v>6.775101948564978E-2</v>
      </c>
      <c r="Z1094" s="93">
        <f>IF('Net zero activities &amp; levers'!$C$14="Off",('Activity data'!AS18*EF!$H31)*kgtoGg,IF('Net zero activities &amp; levers'!$C$14="On",('Net zero Activity data'!AS18*EF!$H31)*kgtoGg,"ERROR"))</f>
        <v>6.8626208738834141E-2</v>
      </c>
      <c r="AA1094" s="93">
        <f>IF('Net zero activities &amp; levers'!$C$14="Off",('Activity data'!AT18*EF!$H31)*kgtoGg,IF('Net zero activities &amp; levers'!$C$14="On",('Net zero Activity data'!AT18*EF!$H31)*kgtoGg,"ERROR"))</f>
        <v>6.951163245366497E-2</v>
      </c>
      <c r="AB1094" s="93">
        <f>IF('Net zero activities &amp; levers'!$C$14="Off",('Activity data'!AU18*EF!$H31)*kgtoGg,IF('Net zero activities &amp; levers'!$C$14="On",('Net zero Activity data'!AU18*EF!$H31)*kgtoGg,"ERROR"))</f>
        <v>7.0533895769105751E-2</v>
      </c>
      <c r="AC1094" s="93">
        <f>IF('Net zero activities &amp; levers'!$C$14="Off",('Activity data'!AV18*EF!$H31)*kgtoGg,IF('Net zero activities &amp; levers'!$C$14="On",('Net zero Activity data'!AV18*EF!$H31)*kgtoGg,"ERROR"))</f>
        <v>7.1549103446923737E-2</v>
      </c>
      <c r="AD1094" s="93">
        <f>IF('Net zero activities &amp; levers'!$C$14="Off",('Activity data'!AW18*EF!$H31)*kgtoGg,IF('Net zero activities &amp; levers'!$C$14="On",('Net zero Activity data'!AW18*EF!$H31)*kgtoGg,"ERROR"))</f>
        <v>7.2811271656192611E-2</v>
      </c>
      <c r="AE1094" s="93">
        <f>IF('Net zero activities &amp; levers'!$C$14="Off",('Activity data'!AX18*EF!$H31)*kgtoGg,IF('Net zero activities &amp; levers'!$C$14="On",('Net zero Activity data'!AX18*EF!$H31)*kgtoGg,"ERROR"))</f>
        <v>7.3973189679115328E-2</v>
      </c>
      <c r="AF1094" s="93">
        <f>IF('Net zero activities &amp; levers'!$C$14="Off",('Activity data'!AY18*EF!$H31)*kgtoGg,IF('Net zero activities &amp; levers'!$C$14="On",('Net zero Activity data'!AY18*EF!$H31)*kgtoGg,"ERROR"))</f>
        <v>7.5209563350521091E-2</v>
      </c>
      <c r="AG1094" s="93">
        <f>IF('Net zero activities &amp; levers'!$C$14="Off",('Activity data'!AZ18*EF!$H31)*kgtoGg,IF('Net zero activities &amp; levers'!$C$14="On",('Net zero Activity data'!AZ18*EF!$H31)*kgtoGg,"ERROR"))</f>
        <v>7.6717777936316622E-2</v>
      </c>
      <c r="AH1094" s="93">
        <f>IF('Net zero activities &amp; levers'!$C$14="Off",('Activity data'!BA18*EF!$H31)*kgtoGg,IF('Net zero activities &amp; levers'!$C$14="On",('Net zero Activity data'!BA18*EF!$H31)*kgtoGg,"ERROR"))</f>
        <v>7.801283851368343E-2</v>
      </c>
      <c r="AI1094" s="93">
        <f>IF('Net zero activities &amp; levers'!$C$14="Off",('Activity data'!BB18*EF!$H31)*kgtoGg,IF('Net zero activities &amp; levers'!$C$14="On",('Net zero Activity data'!BB18*EF!$H31)*kgtoGg,"ERROR"))</f>
        <v>7.9410657122909484E-2</v>
      </c>
      <c r="AJ1094" s="93">
        <f>IF('Net zero activities &amp; levers'!$C$14="Off",('Activity data'!BC18*EF!$H31)*kgtoGg,IF('Net zero activities &amp; levers'!$C$14="On",('Net zero Activity data'!BC18*EF!$H31)*kgtoGg,"ERROR"))</f>
        <v>8.0927752366984504E-2</v>
      </c>
      <c r="AK1094" s="93">
        <f>IF('Net zero activities &amp; levers'!$C$14="Off",('Activity data'!BD18*EF!$H31)*kgtoGg,IF('Net zero activities &amp; levers'!$C$14="On",('Net zero Activity data'!BD18*EF!$H31)*kgtoGg,"ERROR"))</f>
        <v>8.2193353660010307E-2</v>
      </c>
      <c r="AL1094" s="93">
        <f>IF('Net zero activities &amp; levers'!$C$14="Off",('Activity data'!BE18*EF!$H31)*kgtoGg,IF('Net zero activities &amp; levers'!$C$14="On",('Net zero Activity data'!BE18*EF!$H31)*kgtoGg,"ERROR"))</f>
        <v>8.3380216004592958E-2</v>
      </c>
      <c r="AM1094" s="93">
        <f>IF('Net zero activities &amp; levers'!$C$14="Off",('Activity data'!BF18*EF!$H31)*kgtoGg,IF('Net zero activities &amp; levers'!$C$14="On",('Net zero Activity data'!BF18*EF!$H31)*kgtoGg,"ERROR"))</f>
        <v>8.4497911690313968E-2</v>
      </c>
      <c r="AN1094" s="93">
        <f>IF('Net zero activities &amp; levers'!$C$14="Off",('Activity data'!BG18*EF!$H31)*kgtoGg,IF('Net zero activities &amp; levers'!$C$14="On",('Net zero Activity data'!BG18*EF!$H31)*kgtoGg,"ERROR"))</f>
        <v>8.5788471121755847E-2</v>
      </c>
      <c r="AO1094" s="93">
        <f>IF('Net zero activities &amp; levers'!$C$14="Off",('Activity data'!BH18*EF!$H31)*kgtoGg,IF('Net zero activities &amp; levers'!$C$14="On",('Net zero Activity data'!BH18*EF!$H31)*kgtoGg,"ERROR"))</f>
        <v>8.6907865063352116E-2</v>
      </c>
      <c r="AP1094" s="93">
        <f>IF('Net zero activities &amp; levers'!$C$14="Off",('Activity data'!BI18*EF!$H31)*kgtoGg,IF('Net zero activities &amp; levers'!$C$14="On",('Net zero Activity data'!BI18*EF!$H31)*kgtoGg,"ERROR"))</f>
        <v>8.8063363971774958E-2</v>
      </c>
      <c r="AQ1094" s="93">
        <f>IF('Net zero activities &amp; levers'!$C$14="Off",('Activity data'!BJ18*EF!$H31)*kgtoGg,IF('Net zero activities &amp; levers'!$C$14="On",('Net zero Activity data'!BJ18*EF!$H31)*kgtoGg,"ERROR"))</f>
        <v>8.9263683509990727E-2</v>
      </c>
      <c r="AR1094" s="93">
        <f>IF('Net zero activities &amp; levers'!$C$14="Off",('Activity data'!BK18*EF!$H31)*kgtoGg,IF('Net zero activities &amp; levers'!$C$14="On",('Net zero Activity data'!BK18*EF!$H31)*kgtoGg,"ERROR"))</f>
        <v>9.0523842671562632E-2</v>
      </c>
      <c r="AS1094" s="93">
        <f>IF('Net zero activities &amp; levers'!$C$14="Off",('Activity data'!BL18*EF!$H31)*kgtoGg,IF('Net zero activities &amp; levers'!$C$14="On",('Net zero Activity data'!BL18*EF!$H31)*kgtoGg,"ERROR"))</f>
        <v>9.1847093353967207E-2</v>
      </c>
      <c r="AT1094" s="93">
        <f>IF('Net zero activities &amp; levers'!$C$14="Off",('Activity data'!BM18*EF!$H31)*kgtoGg,IF('Net zero activities &amp; levers'!$C$14="On",('Net zero Activity data'!BM18*EF!$H31)*kgtoGg,"ERROR"))</f>
        <v>9.1041877141302144E-2</v>
      </c>
      <c r="AU1094" s="93">
        <f>IF('Net zero activities &amp; levers'!$C$14="Off",('Activity data'!BN18*EF!$H31)*kgtoGg,IF('Net zero activities &amp; levers'!$C$14="On",('Net zero Activity data'!BN18*EF!$H31)*kgtoGg,"ERROR"))</f>
        <v>9.0050578981051232E-2</v>
      </c>
      <c r="AV1094" s="93">
        <f>IF('Net zero activities &amp; levers'!$C$14="Off",('Activity data'!BO18*EF!$H31)*kgtoGg,IF('Net zero activities &amp; levers'!$C$14="On",('Net zero Activity data'!BO18*EF!$H31)*kgtoGg,"ERROR"))</f>
        <v>8.8799732979655169E-2</v>
      </c>
      <c r="AW1094" s="93">
        <f>IF('Net zero activities &amp; levers'!$C$14="Off",('Activity data'!BP18*EF!$H31)*kgtoGg,IF('Net zero activities &amp; levers'!$C$14="On",('Net zero Activity data'!BP18*EF!$H31)*kgtoGg,"ERROR"))</f>
        <v>8.7487541439019989E-2</v>
      </c>
      <c r="AY1094" s="79"/>
    </row>
    <row r="1095" spans="1:51" x14ac:dyDescent="0.3">
      <c r="A1095" s="95" t="str">
        <f t="shared" si="374"/>
        <v>CM Poultry MMCH4</v>
      </c>
      <c r="B1095" s="95" t="s">
        <v>1322</v>
      </c>
      <c r="C1095" s="95" t="s">
        <v>1231</v>
      </c>
      <c r="D1095" t="s">
        <v>15</v>
      </c>
      <c r="E1095" t="s">
        <v>22</v>
      </c>
      <c r="F1095" t="s">
        <v>28</v>
      </c>
      <c r="G1095" t="s">
        <v>131</v>
      </c>
      <c r="H1095" t="s">
        <v>1227</v>
      </c>
      <c r="I1095" t="s">
        <v>121</v>
      </c>
      <c r="J1095" t="s">
        <v>286</v>
      </c>
      <c r="K1095" s="93">
        <f>IF('Net zero activities &amp; levers'!$C$14="Off",('Activity data'!AD19*EF!$H32)*kgtoGg,IF('Net zero activities &amp; levers'!$C$14="On",('Net zero Activity data'!AD19*EF!$H32)*kgtoGg,"ERROR"))</f>
        <v>0.55586528215230246</v>
      </c>
      <c r="L1095" s="93">
        <f>IF('Net zero activities &amp; levers'!$C$14="Off",('Activity data'!AE19*EF!$H32)*kgtoGg,IF('Net zero activities &amp; levers'!$C$14="On",('Net zero Activity data'!AE19*EF!$H32)*kgtoGg,"ERROR"))</f>
        <v>0.56716712532642333</v>
      </c>
      <c r="M1095" s="93">
        <f>IF('Net zero activities &amp; levers'!$C$14="Off",('Activity data'!AF19*EF!$H32)*kgtoGg,IF('Net zero activities &amp; levers'!$C$14="On",('Net zero Activity data'!AF19*EF!$H32)*kgtoGg,"ERROR"))</f>
        <v>0.58037790885594753</v>
      </c>
      <c r="N1095" s="93">
        <f>IF('Net zero activities &amp; levers'!$C$14="Off",('Activity data'!AG19*EF!$H32)*kgtoGg,IF('Net zero activities &amp; levers'!$C$14="On",('Net zero Activity data'!AG19*EF!$H32)*kgtoGg,"ERROR"))</f>
        <v>0.5905201523722613</v>
      </c>
      <c r="O1095" s="93">
        <f>IF('Net zero activities &amp; levers'!$C$14="Off",('Activity data'!AH19*EF!$H32)*kgtoGg,IF('Net zero activities &amp; levers'!$C$14="On",('Net zero Activity data'!AH19*EF!$H32)*kgtoGg,"ERROR"))</f>
        <v>0.5986618277459016</v>
      </c>
      <c r="P1095" s="93">
        <f>IF('Net zero activities &amp; levers'!$C$14="Off",('Activity data'!AI19*EF!$H32)*kgtoGg,IF('Net zero activities &amp; levers'!$C$14="On",('Net zero Activity data'!AI19*EF!$H32)*kgtoGg,"ERROR"))</f>
        <v>0.60475451589519691</v>
      </c>
      <c r="Q1095" s="93">
        <f>IF('Net zero activities &amp; levers'!$C$14="Off",('Activity data'!AJ19*EF!$H32)*kgtoGg,IF('Net zero activities &amp; levers'!$C$14="On",('Net zero Activity data'!AJ19*EF!$H32)*kgtoGg,"ERROR"))</f>
        <v>0.61256702388185857</v>
      </c>
      <c r="R1095" s="93">
        <f>IF('Net zero activities &amp; levers'!$C$14="Off",('Activity data'!AK19*EF!$H32)*kgtoGg,IF('Net zero activities &amp; levers'!$C$14="On",('Net zero Activity data'!AK19*EF!$H32)*kgtoGg,"ERROR"))</f>
        <v>0.6206898695388976</v>
      </c>
      <c r="S1095" s="93">
        <f>IF('Net zero activities &amp; levers'!$C$14="Off",('Activity data'!AL19*EF!$H32)*kgtoGg,IF('Net zero activities &amp; levers'!$C$14="On",('Net zero Activity data'!AL19*EF!$H32)*kgtoGg,"ERROR"))</f>
        <v>0.59306384026239212</v>
      </c>
      <c r="T1095" s="93">
        <f>IF('Net zero activities &amp; levers'!$C$14="Off",('Activity data'!AM19*EF!$H32)*kgtoGg,IF('Net zero activities &amp; levers'!$C$14="On",('Net zero Activity data'!AM19*EF!$H32)*kgtoGg,"ERROR"))</f>
        <v>0.60782510553672808</v>
      </c>
      <c r="U1095" s="93">
        <f>IF('Net zero activities &amp; levers'!$C$14="Off",('Activity data'!AN19*EF!$H32)*kgtoGg,IF('Net zero activities &amp; levers'!$C$14="On",('Net zero Activity data'!AN19*EF!$H32)*kgtoGg,"ERROR"))</f>
        <v>0.62749693593989653</v>
      </c>
      <c r="V1095" s="93">
        <f>IF('Net zero activities &amp; levers'!$C$14="Off",('Activity data'!AO19*EF!$H32)*kgtoGg,IF('Net zero activities &amp; levers'!$C$14="On",('Net zero Activity data'!AO19*EF!$H32)*kgtoGg,"ERROR"))</f>
        <v>0.63952779473480192</v>
      </c>
      <c r="W1095" s="93">
        <f>IF('Net zero activities &amp; levers'!$C$14="Off",('Activity data'!AP19*EF!$H32)*kgtoGg,IF('Net zero activities &amp; levers'!$C$14="On",('Net zero Activity data'!AP19*EF!$H32)*kgtoGg,"ERROR"))</f>
        <v>0.65264407206550135</v>
      </c>
      <c r="X1095" s="93">
        <f>IF('Net zero activities &amp; levers'!$C$14="Off",('Activity data'!AQ19*EF!$H32)*kgtoGg,IF('Net zero activities &amp; levers'!$C$14="On",('Net zero Activity data'!AQ19*EF!$H32)*kgtoGg,"ERROR"))</f>
        <v>0.66717765079794833</v>
      </c>
      <c r="Y1095" s="93">
        <f>IF('Net zero activities &amp; levers'!$C$14="Off",('Activity data'!AR19*EF!$H32)*kgtoGg,IF('Net zero activities &amp; levers'!$C$14="On",('Net zero Activity data'!AR19*EF!$H32)*kgtoGg,"ERROR"))</f>
        <v>0.68218893777565714</v>
      </c>
      <c r="Z1095" s="93">
        <f>IF('Net zero activities &amp; levers'!$C$14="Off",('Activity data'!AS19*EF!$H32)*kgtoGg,IF('Net zero activities &amp; levers'!$C$14="On",('Net zero Activity data'!AS19*EF!$H32)*kgtoGg,"ERROR"))</f>
        <v>0.6983681341066772</v>
      </c>
      <c r="AA1095" s="93">
        <f>IF('Net zero activities &amp; levers'!$C$14="Off",('Activity data'!AT19*EF!$H32)*kgtoGg,IF('Net zero activities &amp; levers'!$C$14="On",('Net zero Activity data'!AT19*EF!$H32)*kgtoGg,"ERROR"))</f>
        <v>0.71491117725499365</v>
      </c>
      <c r="AB1095" s="93">
        <f>IF('Net zero activities &amp; levers'!$C$14="Off",('Activity data'!AU19*EF!$H32)*kgtoGg,IF('Net zero activities &amp; levers'!$C$14="On",('Net zero Activity data'!AU19*EF!$H32)*kgtoGg,"ERROR"))</f>
        <v>0.73257463286693114</v>
      </c>
      <c r="AC1095" s="93">
        <f>IF('Net zero activities &amp; levers'!$C$14="Off",('Activity data'!AV19*EF!$H32)*kgtoGg,IF('Net zero activities &amp; levers'!$C$14="On",('Net zero Activity data'!AV19*EF!$H32)*kgtoGg,"ERROR"))</f>
        <v>0.7505526685248175</v>
      </c>
      <c r="AD1095" s="93">
        <f>IF('Net zero activities &amp; levers'!$C$14="Off",('Activity data'!AW19*EF!$H32)*kgtoGg,IF('Net zero activities &amp; levers'!$C$14="On",('Net zero Activity data'!AW19*EF!$H32)*kgtoGg,"ERROR"))</f>
        <v>0.76994977468450398</v>
      </c>
      <c r="AE1095" s="93">
        <f>IF('Net zero activities &amp; levers'!$C$14="Off",('Activity data'!AX19*EF!$H32)*kgtoGg,IF('Net zero activities &amp; levers'!$C$14="On",('Net zero Activity data'!AX19*EF!$H32)*kgtoGg,"ERROR"))</f>
        <v>0.78914658446111008</v>
      </c>
      <c r="AF1095" s="93">
        <f>IF('Net zero activities &amp; levers'!$C$14="Off",('Activity data'!AY19*EF!$H32)*kgtoGg,IF('Net zero activities &amp; levers'!$C$14="On",('Net zero Activity data'!AY19*EF!$H32)*kgtoGg,"ERROR"))</f>
        <v>0.80922915626502845</v>
      </c>
      <c r="AG1095" s="93">
        <f>IF('Net zero activities &amp; levers'!$C$14="Off",('Activity data'!AZ19*EF!$H32)*kgtoGg,IF('Net zero activities &amp; levers'!$C$14="On",('Net zero Activity data'!AZ19*EF!$H32)*kgtoGg,"ERROR"))</f>
        <v>0.83151801683952153</v>
      </c>
      <c r="AH1095" s="93">
        <f>IF('Net zero activities &amp; levers'!$C$14="Off",('Activity data'!BA19*EF!$H32)*kgtoGg,IF('Net zero activities &amp; levers'!$C$14="On",('Net zero Activity data'!BA19*EF!$H32)*kgtoGg,"ERROR"))</f>
        <v>0.85291597213422199</v>
      </c>
      <c r="AI1095" s="93">
        <f>IF('Net zero activities &amp; levers'!$C$14="Off",('Activity data'!BB19*EF!$H32)*kgtoGg,IF('Net zero activities &amp; levers'!$C$14="On",('Net zero Activity data'!BB19*EF!$H32)*kgtoGg,"ERROR"))</f>
        <v>0.87504492147223956</v>
      </c>
      <c r="AJ1095" s="93">
        <f>IF('Net zero activities &amp; levers'!$C$14="Off",('Activity data'!BC19*EF!$H32)*kgtoGg,IF('Net zero activities &amp; levers'!$C$14="On",('Net zero Activity data'!BC19*EF!$H32)*kgtoGg,"ERROR"))</f>
        <v>0.89850514567918238</v>
      </c>
      <c r="AK1095" s="93">
        <f>IF('Net zero activities &amp; levers'!$C$14="Off",('Activity data'!BD19*EF!$H32)*kgtoGg,IF('Net zero activities &amp; levers'!$C$14="On",('Net zero Activity data'!BD19*EF!$H32)*kgtoGg,"ERROR"))</f>
        <v>0.92075676441275556</v>
      </c>
      <c r="AL1095" s="93">
        <f>IF('Net zero activities &amp; levers'!$C$14="Off",('Activity data'!BE19*EF!$H32)*kgtoGg,IF('Net zero activities &amp; levers'!$C$14="On",('Net zero Activity data'!BE19*EF!$H32)*kgtoGg,"ERROR"))</f>
        <v>0.94294773672658772</v>
      </c>
      <c r="AM1095" s="93">
        <f>IF('Net zero activities &amp; levers'!$C$14="Off",('Activity data'!BF19*EF!$H32)*kgtoGg,IF('Net zero activities &amp; levers'!$C$14="On",('Net zero Activity data'!BF19*EF!$H32)*kgtoGg,"ERROR"))</f>
        <v>0.96512911525862388</v>
      </c>
      <c r="AN1095" s="93">
        <f>IF('Net zero activities &amp; levers'!$C$14="Off",('Activity data'!BG19*EF!$H32)*kgtoGg,IF('Net zero activities &amp; levers'!$C$14="On",('Net zero Activity data'!BG19*EF!$H32)*kgtoGg,"ERROR"))</f>
        <v>0.98866250207381989</v>
      </c>
      <c r="AO1095" s="93">
        <f>IF('Net zero activities &amp; levers'!$C$14="Off",('Activity data'!BH19*EF!$H32)*kgtoGg,IF('Net zero activities &amp; levers'!$C$14="On",('Net zero Activity data'!BH19*EF!$H32)*kgtoGg,"ERROR"))</f>
        <v>1.0114465581050009</v>
      </c>
      <c r="AP1095" s="93">
        <f>IF('Net zero activities &amp; levers'!$C$14="Off",('Activity data'!BI19*EF!$H32)*kgtoGg,IF('Net zero activities &amp; levers'!$C$14="On",('Net zero Activity data'!BI19*EF!$H32)*kgtoGg,"ERROR"))</f>
        <v>1.0350196328361636</v>
      </c>
      <c r="AQ1095" s="93">
        <f>IF('Net zero activities &amp; levers'!$C$14="Off",('Activity data'!BJ19*EF!$H32)*kgtoGg,IF('Net zero activities &amp; levers'!$C$14="On",('Net zero Activity data'!BJ19*EF!$H32)*kgtoGg,"ERROR"))</f>
        <v>1.0594801323783987</v>
      </c>
      <c r="AR1095" s="93">
        <f>IF('Net zero activities &amp; levers'!$C$14="Off",('Activity data'!BK19*EF!$H32)*kgtoGg,IF('Net zero activities &amp; levers'!$C$14="On",('Net zero Activity data'!BK19*EF!$H32)*kgtoGg,"ERROR"))</f>
        <v>1.0849829625275211</v>
      </c>
      <c r="AS1095" s="93">
        <f>IF('Net zero activities &amp; levers'!$C$14="Off",('Activity data'!BL19*EF!$H32)*kgtoGg,IF('Net zero activities &amp; levers'!$C$14="On",('Net zero Activity data'!BL19*EF!$H32)*kgtoGg,"ERROR"))</f>
        <v>1.1111668702046387</v>
      </c>
      <c r="AT1095" s="93">
        <f>IF('Net zero activities &amp; levers'!$C$14="Off",('Activity data'!BM19*EF!$H32)*kgtoGg,IF('Net zero activities &amp; levers'!$C$14="On",('Net zero Activity data'!BM19*EF!$H32)*kgtoGg,"ERROR"))</f>
        <v>1.1203381651267506</v>
      </c>
      <c r="AU1095" s="93">
        <f>IF('Net zero activities &amp; levers'!$C$14="Off",('Activity data'!BN19*EF!$H32)*kgtoGg,IF('Net zero activities &amp; levers'!$C$14="On",('Net zero Activity data'!BN19*EF!$H32)*kgtoGg,"ERROR"))</f>
        <v>1.1279342308342708</v>
      </c>
      <c r="AV1095" s="93">
        <f>IF('Net zero activities &amp; levers'!$C$14="Off",('Activity data'!BO19*EF!$H32)*kgtoGg,IF('Net zero activities &amp; levers'!$C$14="On",('Net zero Activity data'!BO19*EF!$H32)*kgtoGg,"ERROR"))</f>
        <v>1.13323884791937</v>
      </c>
      <c r="AW1095" s="93">
        <f>IF('Net zero activities &amp; levers'!$C$14="Off",('Activity data'!BP19*EF!$H32)*kgtoGg,IF('Net zero activities &amp; levers'!$C$14="On",('Net zero Activity data'!BP19*EF!$H32)*kgtoGg,"ERROR"))</f>
        <v>1.137864963271239</v>
      </c>
      <c r="AY1095" s="79"/>
    </row>
    <row r="1096" spans="1:51" x14ac:dyDescent="0.3">
      <c r="A1096" s="95" t="str">
        <f t="shared" si="374"/>
        <v>CM Poultry MMCH4</v>
      </c>
      <c r="B1096" s="95" t="s">
        <v>1322</v>
      </c>
      <c r="C1096" s="95" t="s">
        <v>1231</v>
      </c>
      <c r="D1096" t="s">
        <v>15</v>
      </c>
      <c r="E1096" t="s">
        <v>22</v>
      </c>
      <c r="F1096" t="s">
        <v>28</v>
      </c>
      <c r="G1096" t="s">
        <v>132</v>
      </c>
      <c r="H1096" t="s">
        <v>1227</v>
      </c>
      <c r="I1096" t="s">
        <v>121</v>
      </c>
      <c r="J1096" t="s">
        <v>286</v>
      </c>
      <c r="K1096" s="93">
        <f>IF('Net zero activities &amp; levers'!$C$14="Off",('Activity data'!AD20*EF!$H33)*kgtoGg,IF('Net zero activities &amp; levers'!$C$14="On",('Net zero Activity data'!AD20*EF!$H33)*kgtoGg,"ERROR"))</f>
        <v>2.2100196981344111</v>
      </c>
      <c r="L1096" s="93">
        <f>IF('Net zero activities &amp; levers'!$C$14="Off",('Activity data'!AE20*EF!$H33)*kgtoGg,IF('Net zero activities &amp; levers'!$C$14="On",('Net zero Activity data'!AE20*EF!$H33)*kgtoGg,"ERROR"))</f>
        <v>2.2391217074451477</v>
      </c>
      <c r="M1096" s="93">
        <f>IF('Net zero activities &amp; levers'!$C$14="Off",('Activity data'!AF20*EF!$H33)*kgtoGg,IF('Net zero activities &amp; levers'!$C$14="On",('Net zero Activity data'!AF20*EF!$H33)*kgtoGg,"ERROR"))</f>
        <v>2.2858678822724823</v>
      </c>
      <c r="N1096" s="93">
        <f>IF('Net zero activities &amp; levers'!$C$14="Off",('Activity data'!AG20*EF!$H33)*kgtoGg,IF('Net zero activities &amp; levers'!$C$14="On",('Net zero Activity data'!AG20*EF!$H33)*kgtoGg,"ERROR"))</f>
        <v>2.2992900748078591</v>
      </c>
      <c r="O1096" s="93">
        <f>IF('Net zero activities &amp; levers'!$C$14="Off",('Activity data'!AH20*EF!$H33)*kgtoGg,IF('Net zero activities &amp; levers'!$C$14="On",('Net zero Activity data'!AH20*EF!$H33)*kgtoGg,"ERROR"))</f>
        <v>2.2910596881616572</v>
      </c>
      <c r="P1096" s="93">
        <f>IF('Net zero activities &amp; levers'!$C$14="Off",('Activity data'!AI20*EF!$H33)*kgtoGg,IF('Net zero activities &amp; levers'!$C$14="On",('Net zero Activity data'!AI20*EF!$H33)*kgtoGg,"ERROR"))</f>
        <v>2.2612642885898917</v>
      </c>
      <c r="Q1096" s="93">
        <f>IF('Net zero activities &amp; levers'!$C$14="Off",('Activity data'!AJ20*EF!$H33)*kgtoGg,IF('Net zero activities &amp; levers'!$C$14="On",('Net zero Activity data'!AJ20*EF!$H33)*kgtoGg,"ERROR"))</f>
        <v>2.2487211059946204</v>
      </c>
      <c r="R1096" s="93">
        <f>IF('Net zero activities &amp; levers'!$C$14="Off",('Activity data'!AK20*EF!$H33)*kgtoGg,IF('Net zero activities &amp; levers'!$C$14="On",('Net zero Activity data'!AK20*EF!$H33)*kgtoGg,"ERROR"))</f>
        <v>2.2390235702415184</v>
      </c>
      <c r="S1096" s="93">
        <f>IF('Net zero activities &amp; levers'!$C$14="Off",('Activity data'!AL20*EF!$H33)*kgtoGg,IF('Net zero activities &amp; levers'!$C$14="On",('Net zero Activity data'!AL20*EF!$H33)*kgtoGg,"ERROR"))</f>
        <v>1.8873806466050964</v>
      </c>
      <c r="T1096" s="93">
        <f>IF('Net zero activities &amp; levers'!$C$14="Off",('Activity data'!AM20*EF!$H33)*kgtoGg,IF('Net zero activities &amp; levers'!$C$14="On",('Net zero Activity data'!AM20*EF!$H33)*kgtoGg,"ERROR"))</f>
        <v>1.9621300984115682</v>
      </c>
      <c r="U1096" s="93">
        <f>IF('Net zero activities &amp; levers'!$C$14="Off",('Activity data'!AN20*EF!$H33)*kgtoGg,IF('Net zero activities &amp; levers'!$C$14="On",('Net zero Activity data'!AN20*EF!$H33)*kgtoGg,"ERROR"))</f>
        <v>2.0814254172868796</v>
      </c>
      <c r="V1096" s="93">
        <f>IF('Net zero activities &amp; levers'!$C$14="Off",('Activity data'!AO20*EF!$H33)*kgtoGg,IF('Net zero activities &amp; levers'!$C$14="On",('Net zero Activity data'!AO20*EF!$H33)*kgtoGg,"ERROR"))</f>
        <v>2.1274151344864149</v>
      </c>
      <c r="W1096" s="93">
        <f>IF('Net zero activities &amp; levers'!$C$14="Off",('Activity data'!AP20*EF!$H33)*kgtoGg,IF('Net zero activities &amp; levers'!$C$14="On",('Net zero Activity data'!AP20*EF!$H33)*kgtoGg,"ERROR"))</f>
        <v>2.1824506881567056</v>
      </c>
      <c r="X1096" s="93">
        <f>IF('Net zero activities &amp; levers'!$C$14="Off",('Activity data'!AQ20*EF!$H33)*kgtoGg,IF('Net zero activities &amp; levers'!$C$14="On",('Net zero Activity data'!AQ20*EF!$H33)*kgtoGg,"ERROR"))</f>
        <v>2.2493281606911828</v>
      </c>
      <c r="Y1096" s="93">
        <f>IF('Net zero activities &amp; levers'!$C$14="Off",('Activity data'!AR20*EF!$H33)*kgtoGg,IF('Net zero activities &amp; levers'!$C$14="On",('Net zero Activity data'!AR20*EF!$H33)*kgtoGg,"ERROR"))</f>
        <v>2.3261233859270511</v>
      </c>
      <c r="Z1096" s="93">
        <f>IF('Net zero activities &amp; levers'!$C$14="Off",('Activity data'!AS20*EF!$H33)*kgtoGg,IF('Net zero activities &amp; levers'!$C$14="On",('Net zero Activity data'!AS20*EF!$H33)*kgtoGg,"ERROR"))</f>
        <v>2.4121225146398793</v>
      </c>
      <c r="AA1096" s="93">
        <f>IF('Net zero activities &amp; levers'!$C$14="Off",('Activity data'!AT20*EF!$H33)*kgtoGg,IF('Net zero activities &amp; levers'!$C$14="On",('Net zero Activity data'!AT20*EF!$H33)*kgtoGg,"ERROR"))</f>
        <v>2.4999478814416944</v>
      </c>
      <c r="AB1096" s="93">
        <f>IF('Net zero activities &amp; levers'!$C$14="Off",('Activity data'!AU20*EF!$H33)*kgtoGg,IF('Net zero activities &amp; levers'!$C$14="On",('Net zero Activity data'!AU20*EF!$H33)*kgtoGg,"ERROR"))</f>
        <v>2.5962654285530302</v>
      </c>
      <c r="AC1096" s="93">
        <f>IF('Net zero activities &amp; levers'!$C$14="Off",('Activity data'!AV20*EF!$H33)*kgtoGg,IF('Net zero activities &amp; levers'!$C$14="On",('Net zero Activity data'!AV20*EF!$H33)*kgtoGg,"ERROR"))</f>
        <v>2.6938179504840183</v>
      </c>
      <c r="AD1096" s="93">
        <f>IF('Net zero activities &amp; levers'!$C$14="Off",('Activity data'!AW20*EF!$H33)*kgtoGg,IF('Net zero activities &amp; levers'!$C$14="On",('Net zero Activity data'!AW20*EF!$H33)*kgtoGg,"ERROR"))</f>
        <v>2.8076989520027458</v>
      </c>
      <c r="AE1096" s="93">
        <f>IF('Net zero activities &amp; levers'!$C$14="Off",('Activity data'!AX20*EF!$H33)*kgtoGg,IF('Net zero activities &amp; levers'!$C$14="On",('Net zero Activity data'!AX20*EF!$H33)*kgtoGg,"ERROR"))</f>
        <v>2.9182147779075716</v>
      </c>
      <c r="AF1096" s="93">
        <f>IF('Net zero activities &amp; levers'!$C$14="Off",('Activity data'!AY20*EF!$H33)*kgtoGg,IF('Net zero activities &amp; levers'!$C$14="On",('Net zero Activity data'!AY20*EF!$H33)*kgtoGg,"ERROR"))</f>
        <v>3.0347920342807941</v>
      </c>
      <c r="AG1096" s="93">
        <f>IF('Net zero activities &amp; levers'!$C$14="Off",('Activity data'!AZ20*EF!$H33)*kgtoGg,IF('Net zero activities &amp; levers'!$C$14="On",('Net zero Activity data'!AZ20*EF!$H33)*kgtoGg,"ERROR"))</f>
        <v>3.1685994721864104</v>
      </c>
      <c r="AH1096" s="93">
        <f>IF('Net zero activities &amp; levers'!$C$14="Off",('Activity data'!BA20*EF!$H33)*kgtoGg,IF('Net zero activities &amp; levers'!$C$14="On",('Net zero Activity data'!BA20*EF!$H33)*kgtoGg,"ERROR"))</f>
        <v>3.2930349508119656</v>
      </c>
      <c r="AI1096" s="93">
        <f>IF('Net zero activities &amp; levers'!$C$14="Off",('Activity data'!BB20*EF!$H33)*kgtoGg,IF('Net zero activities &amp; levers'!$C$14="On",('Net zero Activity data'!BB20*EF!$H33)*kgtoGg,"ERROR"))</f>
        <v>3.427074485424797</v>
      </c>
      <c r="AJ1096" s="93">
        <f>IF('Net zero activities &amp; levers'!$C$14="Off",('Activity data'!BC20*EF!$H33)*kgtoGg,IF('Net zero activities &amp; levers'!$C$14="On",('Net zero Activity data'!BC20*EF!$H33)*kgtoGg,"ERROR"))</f>
        <v>3.5705841120118782</v>
      </c>
      <c r="AK1096" s="93">
        <f>IF('Net zero activities &amp; levers'!$C$14="Off",('Activity data'!BD20*EF!$H33)*kgtoGg,IF('Net zero activities &amp; levers'!$C$14="On",('Net zero Activity data'!BD20*EF!$H33)*kgtoGg,"ERROR"))</f>
        <v>3.702270113838861</v>
      </c>
      <c r="AL1096" s="93">
        <f>IF('Net zero activities &amp; levers'!$C$14="Off",('Activity data'!BE20*EF!$H33)*kgtoGg,IF('Net zero activities &amp; levers'!$C$14="On",('Net zero Activity data'!BE20*EF!$H33)*kgtoGg,"ERROR"))</f>
        <v>3.8318633402397859</v>
      </c>
      <c r="AM1096" s="93">
        <f>IF('Net zero activities &amp; levers'!$C$14="Off",('Activity data'!BF20*EF!$H33)*kgtoGg,IF('Net zero activities &amp; levers'!$C$14="On",('Net zero Activity data'!BF20*EF!$H33)*kgtoGg,"ERROR"))</f>
        <v>3.9598368656050509</v>
      </c>
      <c r="AN1096" s="93">
        <f>IF('Net zero activities &amp; levers'!$C$14="Off",('Activity data'!BG20*EF!$H33)*kgtoGg,IF('Net zero activities &amp; levers'!$C$14="On",('Net zero Activity data'!BG20*EF!$H33)*kgtoGg,"ERROR"))</f>
        <v>4.1020537482739581</v>
      </c>
      <c r="AO1096" s="93">
        <f>IF('Net zero activities &amp; levers'!$C$14="Off",('Activity data'!BH20*EF!$H33)*kgtoGg,IF('Net zero activities &amp; levers'!$C$14="On",('Net zero Activity data'!BH20*EF!$H33)*kgtoGg,"ERROR"))</f>
        <v>4.2366042379514601</v>
      </c>
      <c r="AP1096" s="93">
        <f>IF('Net zero activities &amp; levers'!$C$14="Off",('Activity data'!BI20*EF!$H33)*kgtoGg,IF('Net zero activities &amp; levers'!$C$14="On",('Net zero Activity data'!BI20*EF!$H33)*kgtoGg,"ERROR"))</f>
        <v>4.376057584996432</v>
      </c>
      <c r="AQ1096" s="93">
        <f>IF('Net zero activities &amp; levers'!$C$14="Off",('Activity data'!BJ20*EF!$H33)*kgtoGg,IF('Net zero activities &amp; levers'!$C$14="On",('Net zero Activity data'!BJ20*EF!$H33)*kgtoGg,"ERROR"))</f>
        <v>4.5211331273416295</v>
      </c>
      <c r="AR1096" s="93">
        <f>IF('Net zero activities &amp; levers'!$C$14="Off",('Activity data'!BK20*EF!$H33)*kgtoGg,IF('Net zero activities &amp; levers'!$C$14="On",('Net zero Activity data'!BK20*EF!$H33)*kgtoGg,"ERROR"))</f>
        <v>4.67298612402322</v>
      </c>
      <c r="AS1096" s="93">
        <f>IF('Net zero activities &amp; levers'!$C$14="Off",('Activity data'!BL20*EF!$H33)*kgtoGg,IF('Net zero activities &amp; levers'!$C$14="On",('Net zero Activity data'!BL20*EF!$H33)*kgtoGg,"ERROR"))</f>
        <v>4.8333405314076359</v>
      </c>
      <c r="AT1096" s="93">
        <f>IF('Net zero activities &amp; levers'!$C$14="Off",('Activity data'!BM20*EF!$H33)*kgtoGg,IF('Net zero activities &amp; levers'!$C$14="On",('Net zero Activity data'!BM20*EF!$H33)*kgtoGg,"ERROR"))</f>
        <v>4.8577536687430269</v>
      </c>
      <c r="AU1096" s="93">
        <f>IF('Net zero activities &amp; levers'!$C$14="Off",('Activity data'!BN20*EF!$H33)*kgtoGg,IF('Net zero activities &amp; levers'!$C$14="On",('Net zero Activity data'!BN20*EF!$H33)*kgtoGg,"ERROR"))</f>
        <v>4.8696640260341857</v>
      </c>
      <c r="AV1096" s="93">
        <f>IF('Net zero activities &amp; levers'!$C$14="Off",('Activity data'!BO20*EF!$H33)*kgtoGg,IF('Net zero activities &amp; levers'!$C$14="On",('Net zero Activity data'!BO20*EF!$H33)*kgtoGg,"ERROR"))</f>
        <v>4.8636695672494161</v>
      </c>
      <c r="AW1096" s="93">
        <f>IF('Net zero activities &amp; levers'!$C$14="Off",('Activity data'!BP20*EF!$H33)*kgtoGg,IF('Net zero activities &amp; levers'!$C$14="On",('Net zero Activity data'!BP20*EF!$H33)*kgtoGg,"ERROR"))</f>
        <v>4.8525780818062749</v>
      </c>
      <c r="AY1096" s="79"/>
    </row>
    <row r="1097" spans="1:51" x14ac:dyDescent="0.3">
      <c r="A1097" s="95" t="str">
        <f t="shared" si="374"/>
        <v>CM Poultry MMCH4</v>
      </c>
      <c r="B1097" s="95" t="s">
        <v>1322</v>
      </c>
      <c r="C1097" s="95" t="s">
        <v>1231</v>
      </c>
      <c r="D1097" t="s">
        <v>15</v>
      </c>
      <c r="E1097" t="s">
        <v>22</v>
      </c>
      <c r="F1097" t="s">
        <v>28</v>
      </c>
      <c r="G1097" t="s">
        <v>134</v>
      </c>
      <c r="H1097" t="s">
        <v>1227</v>
      </c>
      <c r="I1097" t="s">
        <v>121</v>
      </c>
      <c r="J1097" t="s">
        <v>286</v>
      </c>
      <c r="K1097" s="93">
        <f>IF('Net zero activities &amp; levers'!$C$14="Off",('Activity data'!AD21*EF!$H34)*kgtoGg,IF('Net zero activities &amp; levers'!$C$14="On",('Net zero Activity data'!AD21*EF!$H34)*kgtoGg,"ERROR"))</f>
        <v>2.3161053423012622E-2</v>
      </c>
      <c r="L1097" s="93">
        <f>IF('Net zero activities &amp; levers'!$C$14="Off",('Activity data'!AE21*EF!$H34)*kgtoGg,IF('Net zero activities &amp; levers'!$C$14="On",('Net zero Activity data'!AE21*EF!$H34)*kgtoGg,"ERROR"))</f>
        <v>2.3631963555267657E-2</v>
      </c>
      <c r="M1097" s="93">
        <f>IF('Net zero activities &amp; levers'!$C$14="Off",('Activity data'!AF21*EF!$H34)*kgtoGg,IF('Net zero activities &amp; levers'!$C$14="On",('Net zero Activity data'!AF21*EF!$H34)*kgtoGg,"ERROR"))</f>
        <v>2.4182412868997839E-2</v>
      </c>
      <c r="N1097" s="93">
        <f>IF('Net zero activities &amp; levers'!$C$14="Off",('Activity data'!AG21*EF!$H34)*kgtoGg,IF('Net zero activities &amp; levers'!$C$14="On",('Net zero Activity data'!AG21*EF!$H34)*kgtoGg,"ERROR"))</f>
        <v>2.460500634884424E-2</v>
      </c>
      <c r="O1097" s="93">
        <f>IF('Net zero activities &amp; levers'!$C$14="Off",('Activity data'!AH21*EF!$H34)*kgtoGg,IF('Net zero activities &amp; levers'!$C$14="On",('Net zero Activity data'!AH21*EF!$H34)*kgtoGg,"ERROR"))</f>
        <v>2.4944242822745925E-2</v>
      </c>
      <c r="P1097" s="93">
        <f>IF('Net zero activities &amp; levers'!$C$14="Off",('Activity data'!AI21*EF!$H34)*kgtoGg,IF('Net zero activities &amp; levers'!$C$14="On",('Net zero Activity data'!AI21*EF!$H34)*kgtoGg,"ERROR"))</f>
        <v>2.5198104828966561E-2</v>
      </c>
      <c r="Q1097" s="93">
        <f>IF('Net zero activities &amp; levers'!$C$14="Off",('Activity data'!AJ21*EF!$H34)*kgtoGg,IF('Net zero activities &amp; levers'!$C$14="On",('Net zero Activity data'!AJ21*EF!$H34)*kgtoGg,"ERROR"))</f>
        <v>2.5523625995077459E-2</v>
      </c>
      <c r="R1097" s="93">
        <f>IF('Net zero activities &amp; levers'!$C$14="Off",('Activity data'!AK21*EF!$H34)*kgtoGg,IF('Net zero activities &amp; levers'!$C$14="On",('Net zero Activity data'!AK21*EF!$H34)*kgtoGg,"ERROR"))</f>
        <v>2.5862077897454098E-2</v>
      </c>
      <c r="S1097" s="93">
        <f>IF('Net zero activities &amp; levers'!$C$14="Off",('Activity data'!AL21*EF!$H34)*kgtoGg,IF('Net zero activities &amp; levers'!$C$14="On",('Net zero Activity data'!AL21*EF!$H34)*kgtoGg,"ERROR"))</f>
        <v>2.4710993344266366E-2</v>
      </c>
      <c r="T1097" s="93">
        <f>IF('Net zero activities &amp; levers'!$C$14="Off",('Activity data'!AM21*EF!$H34)*kgtoGg,IF('Net zero activities &amp; levers'!$C$14="On",('Net zero Activity data'!AM21*EF!$H34)*kgtoGg,"ERROR"))</f>
        <v>2.5326046064030362E-2</v>
      </c>
      <c r="U1097" s="93">
        <f>IF('Net zero activities &amp; levers'!$C$14="Off",('Activity data'!AN21*EF!$H34)*kgtoGg,IF('Net zero activities &amp; levers'!$C$14="On",('Net zero Activity data'!AN21*EF!$H34)*kgtoGg,"ERROR"))</f>
        <v>2.6145705664162376E-2</v>
      </c>
      <c r="V1097" s="93">
        <f>IF('Net zero activities &amp; levers'!$C$14="Off",('Activity data'!AO21*EF!$H34)*kgtoGg,IF('Net zero activities &amp; levers'!$C$14="On",('Net zero Activity data'!AO21*EF!$H34)*kgtoGg,"ERROR"))</f>
        <v>2.6646991447283438E-2</v>
      </c>
      <c r="W1097" s="93">
        <f>IF('Net zero activities &amp; levers'!$C$14="Off",('Activity data'!AP21*EF!$H34)*kgtoGg,IF('Net zero activities &amp; levers'!$C$14="On",('Net zero Activity data'!AP21*EF!$H34)*kgtoGg,"ERROR"))</f>
        <v>2.7193503002729248E-2</v>
      </c>
      <c r="X1097" s="93">
        <f>IF('Net zero activities &amp; levers'!$C$14="Off",('Activity data'!AQ21*EF!$H34)*kgtoGg,IF('Net zero activities &amp; levers'!$C$14="On",('Net zero Activity data'!AQ21*EF!$H34)*kgtoGg,"ERROR"))</f>
        <v>2.7799068783247873E-2</v>
      </c>
      <c r="Y1097" s="93">
        <f>IF('Net zero activities &amp; levers'!$C$14="Off",('Activity data'!AR21*EF!$H34)*kgtoGg,IF('Net zero activities &amp; levers'!$C$14="On",('Net zero Activity data'!AR21*EF!$H34)*kgtoGg,"ERROR"))</f>
        <v>2.842453907398574E-2</v>
      </c>
      <c r="Z1097" s="93">
        <f>IF('Net zero activities &amp; levers'!$C$14="Off",('Activity data'!AS21*EF!$H34)*kgtoGg,IF('Net zero activities &amp; levers'!$C$14="On",('Net zero Activity data'!AS21*EF!$H34)*kgtoGg,"ERROR"))</f>
        <v>2.9098672254444909E-2</v>
      </c>
      <c r="AA1097" s="93">
        <f>IF('Net zero activities &amp; levers'!$C$14="Off",('Activity data'!AT21*EF!$H34)*kgtoGg,IF('Net zero activities &amp; levers'!$C$14="On",('Net zero Activity data'!AT21*EF!$H34)*kgtoGg,"ERROR"))</f>
        <v>2.9787965718958094E-2</v>
      </c>
      <c r="AB1097" s="93">
        <f>IF('Net zero activities &amp; levers'!$C$14="Off",('Activity data'!AU21*EF!$H34)*kgtoGg,IF('Net zero activities &amp; levers'!$C$14="On",('Net zero Activity data'!AU21*EF!$H34)*kgtoGg,"ERROR"))</f>
        <v>3.0523943036122159E-2</v>
      </c>
      <c r="AC1097" s="93">
        <f>IF('Net zero activities &amp; levers'!$C$14="Off",('Activity data'!AV21*EF!$H34)*kgtoGg,IF('Net zero activities &amp; levers'!$C$14="On",('Net zero Activity data'!AV21*EF!$H34)*kgtoGg,"ERROR"))</f>
        <v>3.1273027855200759E-2</v>
      </c>
      <c r="AD1097" s="93">
        <f>IF('Net zero activities &amp; levers'!$C$14="Off",('Activity data'!AW21*EF!$H34)*kgtoGg,IF('Net zero activities &amp; levers'!$C$14="On",('Net zero Activity data'!AW21*EF!$H34)*kgtoGg,"ERROR"))</f>
        <v>3.2081240611854363E-2</v>
      </c>
      <c r="AE1097" s="93">
        <f>IF('Net zero activities &amp; levers'!$C$14="Off",('Activity data'!AX21*EF!$H34)*kgtoGg,IF('Net zero activities &amp; levers'!$C$14="On",('Net zero Activity data'!AX21*EF!$H34)*kgtoGg,"ERROR"))</f>
        <v>3.2881107685879617E-2</v>
      </c>
      <c r="AF1097" s="93">
        <f>IF('Net zero activities &amp; levers'!$C$14="Off",('Activity data'!AY21*EF!$H34)*kgtoGg,IF('Net zero activities &amp; levers'!$C$14="On",('Net zero Activity data'!AY21*EF!$H34)*kgtoGg,"ERROR"))</f>
        <v>3.3717881511042887E-2</v>
      </c>
      <c r="AG1097" s="93">
        <f>IF('Net zero activities &amp; levers'!$C$14="Off",('Activity data'!AZ21*EF!$H34)*kgtoGg,IF('Net zero activities &amp; levers'!$C$14="On",('Net zero Activity data'!AZ21*EF!$H34)*kgtoGg,"ERROR"))</f>
        <v>3.4646584034980096E-2</v>
      </c>
      <c r="AH1097" s="93">
        <f>IF('Net zero activities &amp; levers'!$C$14="Off",('Activity data'!BA21*EF!$H34)*kgtoGg,IF('Net zero activities &amp; levers'!$C$14="On",('Net zero Activity data'!BA21*EF!$H34)*kgtoGg,"ERROR"))</f>
        <v>3.5538165505592613E-2</v>
      </c>
      <c r="AI1097" s="93">
        <f>IF('Net zero activities &amp; levers'!$C$14="Off",('Activity data'!BB21*EF!$H34)*kgtoGg,IF('Net zero activities &amp; levers'!$C$14="On",('Net zero Activity data'!BB21*EF!$H34)*kgtoGg,"ERROR"))</f>
        <v>3.6460205061343343E-2</v>
      </c>
      <c r="AJ1097" s="93">
        <f>IF('Net zero activities &amp; levers'!$C$14="Off",('Activity data'!BC21*EF!$H34)*kgtoGg,IF('Net zero activities &amp; levers'!$C$14="On",('Net zero Activity data'!BC21*EF!$H34)*kgtoGg,"ERROR"))</f>
        <v>3.7437714403299294E-2</v>
      </c>
      <c r="AK1097" s="93">
        <f>IF('Net zero activities &amp; levers'!$C$14="Off",('Activity data'!BD21*EF!$H34)*kgtoGg,IF('Net zero activities &amp; levers'!$C$14="On",('Net zero Activity data'!BD21*EF!$H34)*kgtoGg,"ERROR"))</f>
        <v>3.8364865183864859E-2</v>
      </c>
      <c r="AL1097" s="93">
        <f>IF('Net zero activities &amp; levers'!$C$14="Off",('Activity data'!BE21*EF!$H34)*kgtoGg,IF('Net zero activities &amp; levers'!$C$14="On",('Net zero Activity data'!BE21*EF!$H34)*kgtoGg,"ERROR"))</f>
        <v>3.9289489030274523E-2</v>
      </c>
      <c r="AM1097" s="93">
        <f>IF('Net zero activities &amp; levers'!$C$14="Off",('Activity data'!BF21*EF!$H34)*kgtoGg,IF('Net zero activities &amp; levers'!$C$14="On",('Net zero Activity data'!BF21*EF!$H34)*kgtoGg,"ERROR"))</f>
        <v>4.0213713135776041E-2</v>
      </c>
      <c r="AN1097" s="93">
        <f>IF('Net zero activities &amp; levers'!$C$14="Off",('Activity data'!BG21*EF!$H34)*kgtoGg,IF('Net zero activities &amp; levers'!$C$14="On",('Net zero Activity data'!BG21*EF!$H34)*kgtoGg,"ERROR"))</f>
        <v>4.1194270919742537E-2</v>
      </c>
      <c r="AO1097" s="93">
        <f>IF('Net zero activities &amp; levers'!$C$14="Off",('Activity data'!BH21*EF!$H34)*kgtoGg,IF('Net zero activities &amp; levers'!$C$14="On",('Net zero Activity data'!BH21*EF!$H34)*kgtoGg,"ERROR"))</f>
        <v>4.2143606587708417E-2</v>
      </c>
      <c r="AP1097" s="93">
        <f>IF('Net zero activities &amp; levers'!$C$14="Off",('Activity data'!BI21*EF!$H34)*kgtoGg,IF('Net zero activities &amp; levers'!$C$14="On",('Net zero Activity data'!BI21*EF!$H34)*kgtoGg,"ERROR"))</f>
        <v>4.312581803484019E-2</v>
      </c>
      <c r="AQ1097" s="93">
        <f>IF('Net zero activities &amp; levers'!$C$14="Off",('Activity data'!BJ21*EF!$H34)*kgtoGg,IF('Net zero activities &amp; levers'!$C$14="On",('Net zero Activity data'!BJ21*EF!$H34)*kgtoGg,"ERROR"))</f>
        <v>4.4145005515766646E-2</v>
      </c>
      <c r="AR1097" s="93">
        <f>IF('Net zero activities &amp; levers'!$C$14="Off",('Activity data'!BK21*EF!$H34)*kgtoGg,IF('Net zero activities &amp; levers'!$C$14="On",('Net zero Activity data'!BK21*EF!$H34)*kgtoGg,"ERROR"))</f>
        <v>4.5207623438646753E-2</v>
      </c>
      <c r="AS1097" s="93">
        <f>IF('Net zero activities &amp; levers'!$C$14="Off",('Activity data'!BL21*EF!$H34)*kgtoGg,IF('Net zero activities &amp; levers'!$C$14="On",('Net zero Activity data'!BL21*EF!$H34)*kgtoGg,"ERROR"))</f>
        <v>4.6298619591859998E-2</v>
      </c>
      <c r="AT1097" s="93">
        <f>IF('Net zero activities &amp; levers'!$C$14="Off",('Activity data'!BM21*EF!$H34)*kgtoGg,IF('Net zero activities &amp; levers'!$C$14="On",('Net zero Activity data'!BM21*EF!$H34)*kgtoGg,"ERROR"))</f>
        <v>4.6680756880281324E-2</v>
      </c>
      <c r="AU1097" s="93">
        <f>IF('Net zero activities &amp; levers'!$C$14="Off",('Activity data'!BN21*EF!$H34)*kgtoGg,IF('Net zero activities &amp; levers'!$C$14="On",('Net zero Activity data'!BN21*EF!$H34)*kgtoGg,"ERROR"))</f>
        <v>4.6997259618094658E-2</v>
      </c>
      <c r="AV1097" s="93">
        <f>IF('Net zero activities &amp; levers'!$C$14="Off",('Activity data'!BO21*EF!$H34)*kgtoGg,IF('Net zero activities &amp; levers'!$C$14="On",('Net zero Activity data'!BO21*EF!$H34)*kgtoGg,"ERROR"))</f>
        <v>4.721828532997379E-2</v>
      </c>
      <c r="AW1097" s="93">
        <f>IF('Net zero activities &amp; levers'!$C$14="Off",('Activity data'!BP21*EF!$H34)*kgtoGg,IF('Net zero activities &amp; levers'!$C$14="On",('Net zero Activity data'!BP21*EF!$H34)*kgtoGg,"ERROR"))</f>
        <v>4.7411040136301673E-2</v>
      </c>
      <c r="AY1097" s="79"/>
    </row>
    <row r="1098" spans="1:51" x14ac:dyDescent="0.3">
      <c r="A1098" s="95" t="str">
        <f t="shared" si="374"/>
        <v>CM Poultry MMCH4</v>
      </c>
      <c r="B1098" s="95" t="s">
        <v>1322</v>
      </c>
      <c r="C1098" s="95" t="s">
        <v>1231</v>
      </c>
      <c r="D1098" t="s">
        <v>15</v>
      </c>
      <c r="E1098" t="s">
        <v>22</v>
      </c>
      <c r="F1098" t="s">
        <v>28</v>
      </c>
      <c r="G1098" t="s">
        <v>133</v>
      </c>
      <c r="H1098" t="s">
        <v>1227</v>
      </c>
      <c r="I1098" t="s">
        <v>121</v>
      </c>
      <c r="J1098" t="s">
        <v>286</v>
      </c>
      <c r="K1098" s="93">
        <f>IF('Net zero activities &amp; levers'!$C$14="Off",('Activity data'!AD22*EF!$H35)*kgtoGg,IF('Net zero activities &amp; levers'!$C$14="On",('Net zero Activity data'!AD22*EF!$H35)*kgtoGg,"ERROR"))</f>
        <v>9.2084154088933862E-2</v>
      </c>
      <c r="L1098" s="93">
        <f>IF('Net zero activities &amp; levers'!$C$14="Off",('Activity data'!AE22*EF!$H35)*kgtoGg,IF('Net zero activities &amp; levers'!$C$14="On",('Net zero Activity data'!AE22*EF!$H35)*kgtoGg,"ERROR"))</f>
        <v>9.3296737810214581E-2</v>
      </c>
      <c r="M1098" s="93">
        <f>IF('Net zero activities &amp; levers'!$C$14="Off",('Activity data'!AF22*EF!$H35)*kgtoGg,IF('Net zero activities &amp; levers'!$C$14="On",('Net zero Activity data'!AF22*EF!$H35)*kgtoGg,"ERROR"))</f>
        <v>9.5244495094686854E-2</v>
      </c>
      <c r="N1098" s="93">
        <f>IF('Net zero activities &amp; levers'!$C$14="Off",('Activity data'!AG22*EF!$H35)*kgtoGg,IF('Net zero activities &amp; levers'!$C$14="On",('Net zero Activity data'!AG22*EF!$H35)*kgtoGg,"ERROR"))</f>
        <v>9.5803753116994225E-2</v>
      </c>
      <c r="O1098" s="93">
        <f>IF('Net zero activities &amp; levers'!$C$14="Off",('Activity data'!AH22*EF!$H35)*kgtoGg,IF('Net zero activities &amp; levers'!$C$14="On",('Net zero Activity data'!AH22*EF!$H35)*kgtoGg,"ERROR"))</f>
        <v>9.5460820340069155E-2</v>
      </c>
      <c r="P1098" s="93">
        <f>IF('Net zero activities &amp; levers'!$C$14="Off",('Activity data'!AI22*EF!$H35)*kgtoGg,IF('Net zero activities &amp; levers'!$C$14="On",('Net zero Activity data'!AI22*EF!$H35)*kgtoGg,"ERROR"))</f>
        <v>9.4219345357912251E-2</v>
      </c>
      <c r="Q1098" s="93">
        <f>IF('Net zero activities &amp; levers'!$C$14="Off",('Activity data'!AJ22*EF!$H35)*kgtoGg,IF('Net zero activities &amp; levers'!$C$14="On",('Net zero Activity data'!AJ22*EF!$H35)*kgtoGg,"ERROR"))</f>
        <v>9.3696712749775937E-2</v>
      </c>
      <c r="R1098" s="93">
        <f>IF('Net zero activities &amp; levers'!$C$14="Off",('Activity data'!AK22*EF!$H35)*kgtoGg,IF('Net zero activities &amp; levers'!$C$14="On",('Net zero Activity data'!AK22*EF!$H35)*kgtoGg,"ERROR"))</f>
        <v>9.3292648760063338E-2</v>
      </c>
      <c r="S1098" s="93">
        <f>IF('Net zero activities &amp; levers'!$C$14="Off",('Activity data'!AL22*EF!$H35)*kgtoGg,IF('Net zero activities &amp; levers'!$C$14="On",('Net zero Activity data'!AL22*EF!$H35)*kgtoGg,"ERROR"))</f>
        <v>7.8640860275212429E-2</v>
      </c>
      <c r="T1098" s="93">
        <f>IF('Net zero activities &amp; levers'!$C$14="Off",('Activity data'!AM22*EF!$H35)*kgtoGg,IF('Net zero activities &amp; levers'!$C$14="On",('Net zero Activity data'!AM22*EF!$H35)*kgtoGg,"ERROR"))</f>
        <v>8.1755420767148743E-2</v>
      </c>
      <c r="U1098" s="93">
        <f>IF('Net zero activities &amp; levers'!$C$14="Off",('Activity data'!AN22*EF!$H35)*kgtoGg,IF('Net zero activities &amp; levers'!$C$14="On",('Net zero Activity data'!AN22*EF!$H35)*kgtoGg,"ERROR"))</f>
        <v>8.6726059053620061E-2</v>
      </c>
      <c r="V1098" s="93">
        <f>IF('Net zero activities &amp; levers'!$C$14="Off",('Activity data'!AO22*EF!$H35)*kgtoGg,IF('Net zero activities &amp; levers'!$C$14="On",('Net zero Activity data'!AO22*EF!$H35)*kgtoGg,"ERROR"))</f>
        <v>8.8642297270267373E-2</v>
      </c>
      <c r="W1098" s="93">
        <f>IF('Net zero activities &amp; levers'!$C$14="Off",('Activity data'!AP22*EF!$H35)*kgtoGg,IF('Net zero activities &amp; levers'!$C$14="On",('Net zero Activity data'!AP22*EF!$H35)*kgtoGg,"ERROR"))</f>
        <v>9.0935445339862836E-2</v>
      </c>
      <c r="X1098" s="93">
        <f>IF('Net zero activities &amp; levers'!$C$14="Off",('Activity data'!AQ22*EF!$H35)*kgtoGg,IF('Net zero activities &amp; levers'!$C$14="On",('Net zero Activity data'!AQ22*EF!$H35)*kgtoGg,"ERROR"))</f>
        <v>9.3722006695466042E-2</v>
      </c>
      <c r="Y1098" s="93">
        <f>IF('Net zero activities &amp; levers'!$C$14="Off",('Activity data'!AR22*EF!$H35)*kgtoGg,IF('Net zero activities &amp; levers'!$C$14="On",('Net zero Activity data'!AR22*EF!$H35)*kgtoGg,"ERROR"))</f>
        <v>9.6921807746960562E-2</v>
      </c>
      <c r="Z1098" s="93">
        <f>IF('Net zero activities &amp; levers'!$C$14="Off",('Activity data'!AS22*EF!$H35)*kgtoGg,IF('Net zero activities &amp; levers'!$C$14="On",('Net zero Activity data'!AS22*EF!$H35)*kgtoGg,"ERROR"))</f>
        <v>0.10050510477666173</v>
      </c>
      <c r="AA1098" s="93">
        <f>IF('Net zero activities &amp; levers'!$C$14="Off",('Activity data'!AT22*EF!$H35)*kgtoGg,IF('Net zero activities &amp; levers'!$C$14="On",('Net zero Activity data'!AT22*EF!$H35)*kgtoGg,"ERROR"))</f>
        <v>0.10416449506007071</v>
      </c>
      <c r="AB1098" s="93">
        <f>IF('Net zero activities &amp; levers'!$C$14="Off",('Activity data'!AU22*EF!$H35)*kgtoGg,IF('Net zero activities &amp; levers'!$C$14="On",('Net zero Activity data'!AU22*EF!$H35)*kgtoGg,"ERROR"))</f>
        <v>0.10817772618970968</v>
      </c>
      <c r="AC1098" s="93">
        <f>IF('Net zero activities &amp; levers'!$C$14="Off",('Activity data'!AV22*EF!$H35)*kgtoGg,IF('Net zero activities &amp; levers'!$C$14="On",('Net zero Activity data'!AV22*EF!$H35)*kgtoGg,"ERROR"))</f>
        <v>0.11224241460350089</v>
      </c>
      <c r="AD1098" s="93">
        <f>IF('Net zero activities &amp; levers'!$C$14="Off",('Activity data'!AW22*EF!$H35)*kgtoGg,IF('Net zero activities &amp; levers'!$C$14="On",('Net zero Activity data'!AW22*EF!$H35)*kgtoGg,"ERROR"))</f>
        <v>0.11698745633344786</v>
      </c>
      <c r="AE1098" s="93">
        <f>IF('Net zero activities &amp; levers'!$C$14="Off",('Activity data'!AX22*EF!$H35)*kgtoGg,IF('Net zero activities &amp; levers'!$C$14="On",('Net zero Activity data'!AX22*EF!$H35)*kgtoGg,"ERROR"))</f>
        <v>0.12159228241281558</v>
      </c>
      <c r="AF1098" s="93">
        <f>IF('Net zero activities &amp; levers'!$C$14="Off",('Activity data'!AY22*EF!$H35)*kgtoGg,IF('Net zero activities &amp; levers'!$C$14="On",('Net zero Activity data'!AY22*EF!$H35)*kgtoGg,"ERROR"))</f>
        <v>0.12644966809503322</v>
      </c>
      <c r="AG1098" s="93">
        <f>IF('Net zero activities &amp; levers'!$C$14="Off",('Activity data'!AZ22*EF!$H35)*kgtoGg,IF('Net zero activities &amp; levers'!$C$14="On",('Net zero Activity data'!AZ22*EF!$H35)*kgtoGg,"ERROR"))</f>
        <v>0.13202497800776722</v>
      </c>
      <c r="AH1098" s="93">
        <f>IF('Net zero activities &amp; levers'!$C$14="Off",('Activity data'!BA22*EF!$H35)*kgtoGg,IF('Net zero activities &amp; levers'!$C$14="On",('Net zero Activity data'!BA22*EF!$H35)*kgtoGg,"ERROR"))</f>
        <v>0.13720978961716535</v>
      </c>
      <c r="AI1098" s="93">
        <f>IF('Net zero activities &amp; levers'!$C$14="Off",('Activity data'!BB22*EF!$H35)*kgtoGg,IF('Net zero activities &amp; levers'!$C$14="On",('Net zero Activity data'!BB22*EF!$H35)*kgtoGg,"ERROR"))</f>
        <v>0.14279477022603335</v>
      </c>
      <c r="AJ1098" s="93">
        <f>IF('Net zero activities &amp; levers'!$C$14="Off",('Activity data'!BC22*EF!$H35)*kgtoGg,IF('Net zero activities &amp; levers'!$C$14="On",('Net zero Activity data'!BC22*EF!$H35)*kgtoGg,"ERROR"))</f>
        <v>0.14877433800049503</v>
      </c>
      <c r="AK1098" s="93">
        <f>IF('Net zero activities &amp; levers'!$C$14="Off",('Activity data'!BD22*EF!$H35)*kgtoGg,IF('Net zero activities &amp; levers'!$C$14="On",('Net zero Activity data'!BD22*EF!$H35)*kgtoGg,"ERROR"))</f>
        <v>0.15426125474328603</v>
      </c>
      <c r="AL1098" s="93">
        <f>IF('Net zero activities &amp; levers'!$C$14="Off",('Activity data'!BE22*EF!$H35)*kgtoGg,IF('Net zero activities &amp; levers'!$C$14="On",('Net zero Activity data'!BE22*EF!$H35)*kgtoGg,"ERROR"))</f>
        <v>0.15966097250999123</v>
      </c>
      <c r="AM1098" s="93">
        <f>IF('Net zero activities &amp; levers'!$C$14="Off",('Activity data'!BF22*EF!$H35)*kgtoGg,IF('Net zero activities &amp; levers'!$C$14="On",('Net zero Activity data'!BF22*EF!$H35)*kgtoGg,"ERROR"))</f>
        <v>0.16499320273354395</v>
      </c>
      <c r="AN1098" s="93">
        <f>IF('Net zero activities &amp; levers'!$C$14="Off",('Activity data'!BG22*EF!$H35)*kgtoGg,IF('Net zero activities &amp; levers'!$C$14="On",('Net zero Activity data'!BG22*EF!$H35)*kgtoGg,"ERROR"))</f>
        <v>0.17091890617808173</v>
      </c>
      <c r="AO1098" s="93">
        <f>IF('Net zero activities &amp; levers'!$C$14="Off",('Activity data'!BH22*EF!$H35)*kgtoGg,IF('Net zero activities &amp; levers'!$C$14="On",('Net zero Activity data'!BH22*EF!$H35)*kgtoGg,"ERROR"))</f>
        <v>0.17652517658131101</v>
      </c>
      <c r="AP1098" s="93">
        <f>IF('Net zero activities &amp; levers'!$C$14="Off",('Activity data'!BI22*EF!$H35)*kgtoGg,IF('Net zero activities &amp; levers'!$C$14="On",('Net zero Activity data'!BI22*EF!$H35)*kgtoGg,"ERROR"))</f>
        <v>0.18233573270818484</v>
      </c>
      <c r="AQ1098" s="93">
        <f>IF('Net zero activities &amp; levers'!$C$14="Off",('Activity data'!BJ22*EF!$H35)*kgtoGg,IF('Net zero activities &amp; levers'!$C$14="On",('Net zero Activity data'!BJ22*EF!$H35)*kgtoGg,"ERROR"))</f>
        <v>0.18838054697256806</v>
      </c>
      <c r="AR1098" s="93">
        <f>IF('Net zero activities &amp; levers'!$C$14="Off",('Activity data'!BK22*EF!$H35)*kgtoGg,IF('Net zero activities &amp; levers'!$C$14="On",('Net zero Activity data'!BK22*EF!$H35)*kgtoGg,"ERROR"))</f>
        <v>0.19470775516763436</v>
      </c>
      <c r="AS1098" s="93">
        <f>IF('Net zero activities &amp; levers'!$C$14="Off",('Activity data'!BL22*EF!$H35)*kgtoGg,IF('Net zero activities &amp; levers'!$C$14="On",('Net zero Activity data'!BL22*EF!$H35)*kgtoGg,"ERROR"))</f>
        <v>0.2013891888086517</v>
      </c>
      <c r="AT1098" s="93">
        <f>IF('Net zero activities &amp; levers'!$C$14="Off",('Activity data'!BM22*EF!$H35)*kgtoGg,IF('Net zero activities &amp; levers'!$C$14="On",('Net zero Activity data'!BM22*EF!$H35)*kgtoGg,"ERROR"))</f>
        <v>0.20240640286429301</v>
      </c>
      <c r="AU1098" s="93">
        <f>IF('Net zero activities &amp; levers'!$C$14="Off",('Activity data'!BN22*EF!$H35)*kgtoGg,IF('Net zero activities &amp; levers'!$C$14="On",('Net zero Activity data'!BN22*EF!$H35)*kgtoGg,"ERROR"))</f>
        <v>0.20290266775142457</v>
      </c>
      <c r="AV1098" s="93">
        <f>IF('Net zero activities &amp; levers'!$C$14="Off",('Activity data'!BO22*EF!$H35)*kgtoGg,IF('Net zero activities &amp; levers'!$C$14="On",('Net zero Activity data'!BO22*EF!$H35)*kgtoGg,"ERROR"))</f>
        <v>0.20265289863539254</v>
      </c>
      <c r="AW1098" s="93">
        <f>IF('Net zero activities &amp; levers'!$C$14="Off",('Activity data'!BP22*EF!$H35)*kgtoGg,IF('Net zero activities &amp; levers'!$C$14="On",('Net zero Activity data'!BP22*EF!$H35)*kgtoGg,"ERROR"))</f>
        <v>0.20219075340859499</v>
      </c>
      <c r="AY1098" s="79"/>
    </row>
    <row r="1099" spans="1:51" x14ac:dyDescent="0.3">
      <c r="A1099" s="95" t="str">
        <f t="shared" si="374"/>
        <v>CM Cattle MMN2O</v>
      </c>
      <c r="B1099" s="95" t="s">
        <v>1322</v>
      </c>
      <c r="C1099" s="95" t="s">
        <v>1232</v>
      </c>
      <c r="D1099" t="s">
        <v>15</v>
      </c>
      <c r="E1099" t="s">
        <v>657</v>
      </c>
      <c r="F1099" t="s">
        <v>6</v>
      </c>
      <c r="G1099" t="s">
        <v>136</v>
      </c>
      <c r="H1099" t="s">
        <v>1227</v>
      </c>
      <c r="I1099" t="s">
        <v>139</v>
      </c>
      <c r="J1099" t="s">
        <v>287</v>
      </c>
      <c r="K1099" s="93">
        <f>IF('Net zero activities &amp; levers'!$C$14="Off",('Activity data'!AD5*EF!$H36*EF!$H54)*NtoN2O*kgtoGg,IF('Net zero activities &amp; levers'!$C$14="On",('Net zero Activity data'!AD5*EF!$H36*EF!$H54)*NtoN2O*kgtoGg,"ERROR"))</f>
        <v>5.9474079071945893E-2</v>
      </c>
      <c r="L1099" s="93">
        <f>IF('Net zero activities &amp; levers'!$C$14="Off",('Activity data'!AE5*EF!$H36*EF!$H54)*NtoN2O*kgtoGg,IF('Net zero activities &amp; levers'!$C$14="On",('Net zero Activity data'!AE5*EF!$H36*EF!$H54)*NtoN2O*kgtoGg,"ERROR"))</f>
        <v>5.9806569587962516E-2</v>
      </c>
      <c r="M1099" s="93">
        <f>IF('Net zero activities &amp; levers'!$C$14="Off",('Activity data'!AF5*EF!$H36*EF!$H54)*NtoN2O*kgtoGg,IF('Net zero activities &amp; levers'!$C$14="On",('Net zero Activity data'!AF5*EF!$H36*EF!$H54)*NtoN2O*kgtoGg,"ERROR"))</f>
        <v>6.0278316688762053E-2</v>
      </c>
      <c r="N1099" s="93">
        <f>IF('Net zero activities &amp; levers'!$C$14="Off",('Activity data'!AG5*EF!$H36*EF!$H54)*NtoN2O*kgtoGg,IF('Net zero activities &amp; levers'!$C$14="On",('Net zero Activity data'!AG5*EF!$H36*EF!$H54)*NtoN2O*kgtoGg,"ERROR"))</f>
        <v>6.0581464452445992E-2</v>
      </c>
      <c r="O1099" s="93">
        <f>IF('Net zero activities &amp; levers'!$C$14="Off",('Activity data'!AH5*EF!$H36*EF!$H54)*NtoN2O*kgtoGg,IF('Net zero activities &amp; levers'!$C$14="On",('Net zero Activity data'!AH5*EF!$H36*EF!$H54)*NtoN2O*kgtoGg,"ERROR"))</f>
        <v>6.078290752789528E-2</v>
      </c>
      <c r="P1099" s="93">
        <f>IF('Net zero activities &amp; levers'!$C$14="Off",('Activity data'!AI5*EF!$H36*EF!$H54)*NtoN2O*kgtoGg,IF('Net zero activities &amp; levers'!$C$14="On",('Net zero Activity data'!AI5*EF!$H36*EF!$H54)*NtoN2O*kgtoGg,"ERROR"))</f>
        <v>6.0880663265441157E-2</v>
      </c>
      <c r="Q1099" s="93">
        <f>IF('Net zero activities &amp; levers'!$C$14="Off",('Activity data'!AJ5*EF!$H36*EF!$H54)*NtoN2O*kgtoGg,IF('Net zero activities &amp; levers'!$C$14="On",('Net zero Activity data'!AJ5*EF!$H36*EF!$H54)*NtoN2O*kgtoGg,"ERROR"))</f>
        <v>6.1096642070638009E-2</v>
      </c>
      <c r="R1099" s="93">
        <f>IF('Net zero activities &amp; levers'!$C$14="Off",('Activity data'!AK5*EF!$H36*EF!$H54)*NtoN2O*kgtoGg,IF('Net zero activities &amp; levers'!$C$14="On",('Net zero Activity data'!AK5*EF!$H36*EF!$H54)*NtoN2O*kgtoGg,"ERROR"))</f>
        <v>6.1344406036983767E-2</v>
      </c>
      <c r="S1099" s="93">
        <f>IF('Net zero activities &amp; levers'!$C$14="Off",('Activity data'!AL5*EF!$H36*EF!$H54)*NtoN2O*kgtoGg,IF('Net zero activities &amp; levers'!$C$14="On",('Net zero Activity data'!AL5*EF!$H36*EF!$H54)*NtoN2O*kgtoGg,"ERROR"))</f>
        <v>5.9500417755247011E-2</v>
      </c>
      <c r="T1099" s="93">
        <f>IF('Net zero activities &amp; levers'!$C$14="Off",('Activity data'!AM5*EF!$H36*EF!$H54)*NtoN2O*kgtoGg,IF('Net zero activities &amp; levers'!$C$14="On",('Net zero Activity data'!AM5*EF!$H36*EF!$H54)*NtoN2O*kgtoGg,"ERROR"))</f>
        <v>6.0126071727634615E-2</v>
      </c>
      <c r="U1099" s="93">
        <f>IF('Net zero activities &amp; levers'!$C$14="Off",('Activity data'!AN5*EF!$H36*EF!$H54)*NtoN2O*kgtoGg,IF('Net zero activities &amp; levers'!$C$14="On",('Net zero Activity data'!AN5*EF!$H36*EF!$H54)*NtoN2O*kgtoGg,"ERROR"))</f>
        <v>6.104186359289164E-2</v>
      </c>
      <c r="V1099" s="93">
        <f>IF('Net zero activities &amp; levers'!$C$14="Off",('Activity data'!AO5*EF!$H36*EF!$H54)*NtoN2O*kgtoGg,IF('Net zero activities &amp; levers'!$C$14="On",('Net zero Activity data'!AO5*EF!$H36*EF!$H54)*NtoN2O*kgtoGg,"ERROR"))</f>
        <v>6.1516540546796637E-2</v>
      </c>
      <c r="W1099" s="93">
        <f>IF('Net zero activities &amp; levers'!$C$14="Off",('Activity data'!AP5*EF!$H36*EF!$H54)*NtoN2O*kgtoGg,IF('Net zero activities &amp; levers'!$C$14="On",('Net zero Activity data'!AP5*EF!$H36*EF!$H54)*NtoN2O*kgtoGg,"ERROR"))</f>
        <v>6.2059033118034318E-2</v>
      </c>
      <c r="X1099" s="93">
        <f>IF('Net zero activities &amp; levers'!$C$14="Off",('Activity data'!AQ5*EF!$H36*EF!$H54)*NtoN2O*kgtoGg,IF('Net zero activities &amp; levers'!$C$14="On",('Net zero Activity data'!AQ5*EF!$H36*EF!$H54)*NtoN2O*kgtoGg,"ERROR"))</f>
        <v>6.2686911431302672E-2</v>
      </c>
      <c r="Y1099" s="93">
        <f>IF('Net zero activities &amp; levers'!$C$14="Off",('Activity data'!AR5*EF!$H36*EF!$H54)*NtoN2O*kgtoGg,IF('Net zero activities &amp; levers'!$C$14="On",('Net zero Activity data'!AR5*EF!$H36*EF!$H54)*NtoN2O*kgtoGg,"ERROR"))</f>
        <v>6.3328093657155735E-2</v>
      </c>
      <c r="Z1099" s="93">
        <f>IF('Net zero activities &amp; levers'!$C$14="Off",('Activity data'!AS5*EF!$H36*EF!$H54)*NtoN2O*kgtoGg,IF('Net zero activities &amp; levers'!$C$14="On",('Net zero Activity data'!AS5*EF!$H36*EF!$H54)*NtoN2O*kgtoGg,"ERROR"))</f>
        <v>6.403779969028206E-2</v>
      </c>
      <c r="AA1099" s="93">
        <f>IF('Net zero activities &amp; levers'!$C$14="Off",('Activity data'!AT5*EF!$H36*EF!$H54)*NtoN2O*kgtoGg,IF('Net zero activities &amp; levers'!$C$14="On",('Net zero Activity data'!AT5*EF!$H36*EF!$H54)*NtoN2O*kgtoGg,"ERROR"))</f>
        <v>6.476949047597555E-2</v>
      </c>
      <c r="AB1099" s="93">
        <f>IF('Net zero activities &amp; levers'!$C$14="Off",('Activity data'!AU5*EF!$H36*EF!$H54)*NtoN2O*kgtoGg,IF('Net zero activities &amp; levers'!$C$14="On",('Net zero Activity data'!AU5*EF!$H36*EF!$H54)*NtoN2O*kgtoGg,"ERROR"))</f>
        <v>6.5565173536469165E-2</v>
      </c>
      <c r="AC1099" s="93">
        <f>IF('Net zero activities &amp; levers'!$C$14="Off",('Activity data'!AV5*EF!$H36*EF!$H54)*NtoN2O*kgtoGg,IF('Net zero activities &amp; levers'!$C$14="On",('Net zero Activity data'!AV5*EF!$H36*EF!$H54)*NtoN2O*kgtoGg,"ERROR"))</f>
        <v>6.637880571901654E-2</v>
      </c>
      <c r="AD1099" s="93">
        <f>IF('Net zero activities &amp; levers'!$C$14="Off",('Activity data'!AW5*EF!$H36*EF!$H54)*NtoN2O*kgtoGg,IF('Net zero activities &amp; levers'!$C$14="On",('Net zero Activity data'!AW5*EF!$H36*EF!$H54)*NtoN2O*kgtoGg,"ERROR"))</f>
        <v>6.7257796908474193E-2</v>
      </c>
      <c r="AE1099" s="93">
        <f>IF('Net zero activities &amp; levers'!$C$14="Off",('Activity data'!AX5*EF!$H36*EF!$H54)*NtoN2O*kgtoGg,IF('Net zero activities &amp; levers'!$C$14="On",('Net zero Activity data'!AX5*EF!$H36*EF!$H54)*NtoN2O*kgtoGg,"ERROR"))</f>
        <v>6.8124891518831304E-2</v>
      </c>
      <c r="AF1099" s="93">
        <f>IF('Net zero activities &amp; levers'!$C$14="Off",('Activity data'!AY5*EF!$H36*EF!$H54)*NtoN2O*kgtoGg,IF('Net zero activities &amp; levers'!$C$14="On",('Net zero Activity data'!AY5*EF!$H36*EF!$H54)*NtoN2O*kgtoGg,"ERROR"))</f>
        <v>6.9040103414992046E-2</v>
      </c>
      <c r="AG1099" s="93">
        <f>IF('Net zero activities &amp; levers'!$C$14="Off",('Activity data'!AZ5*EF!$H36*EF!$H54)*NtoN2O*kgtoGg,IF('Net zero activities &amp; levers'!$C$14="On",('Net zero Activity data'!AZ5*EF!$H36*EF!$H54)*NtoN2O*kgtoGg,"ERROR"))</f>
        <v>7.0075359365803738E-2</v>
      </c>
      <c r="AH1099" s="93">
        <f>IF('Net zero activities &amp; levers'!$C$14="Off",('Activity data'!BA5*EF!$H36*EF!$H54)*NtoN2O*kgtoGg,IF('Net zero activities &amp; levers'!$C$14="On",('Net zero Activity data'!BA5*EF!$H36*EF!$H54)*NtoN2O*kgtoGg,"ERROR"))</f>
        <v>7.1059649676811054E-2</v>
      </c>
      <c r="AI1099" s="93">
        <f>IF('Net zero activities &amp; levers'!$C$14="Off",('Activity data'!BB5*EF!$H36*EF!$H54)*NtoN2O*kgtoGg,IF('Net zero activities &amp; levers'!$C$14="On",('Net zero Activity data'!BB5*EF!$H36*EF!$H54)*NtoN2O*kgtoGg,"ERROR"))</f>
        <v>7.2069034177178609E-2</v>
      </c>
      <c r="AJ1099" s="93">
        <f>IF('Net zero activities &amp; levers'!$C$14="Off",('Activity data'!BC5*EF!$H36*EF!$H54)*NtoN2O*kgtoGg,IF('Net zero activities &amp; levers'!$C$14="On",('Net zero Activity data'!BC5*EF!$H36*EF!$H54)*NtoN2O*kgtoGg,"ERROR"))</f>
        <v>7.3148525212574408E-2</v>
      </c>
      <c r="AK1099" s="93">
        <f>IF('Net zero activities &amp; levers'!$C$14="Off",('Activity data'!BD5*EF!$H36*EF!$H54)*NtoN2O*kgtoGg,IF('Net zero activities &amp; levers'!$C$14="On",('Net zero Activity data'!BD5*EF!$H36*EF!$H54)*NtoN2O*kgtoGg,"ERROR"))</f>
        <v>7.4159878217982214E-2</v>
      </c>
      <c r="AL1099" s="93">
        <f>IF('Net zero activities &amp; levers'!$C$14="Off",('Activity data'!BE5*EF!$H36*EF!$H54)*NtoN2O*kgtoGg,IF('Net zero activities &amp; levers'!$C$14="On",('Net zero Activity data'!BE5*EF!$H36*EF!$H54)*NtoN2O*kgtoGg,"ERROR"))</f>
        <v>7.5165742888720646E-2</v>
      </c>
      <c r="AM1099" s="93">
        <f>IF('Net zero activities &amp; levers'!$C$14="Off",('Activity data'!BF5*EF!$H36*EF!$H54)*NtoN2O*kgtoGg,IF('Net zero activities &amp; levers'!$C$14="On",('Net zero Activity data'!BF5*EF!$H36*EF!$H54)*NtoN2O*kgtoGg,"ERROR"))</f>
        <v>7.6168917031251032E-2</v>
      </c>
      <c r="AN1099" s="93">
        <f>IF('Net zero activities &amp; levers'!$C$14="Off",('Activity data'!BG5*EF!$H36*EF!$H54)*NtoN2O*kgtoGg,IF('Net zero activities &amp; levers'!$C$14="On",('Net zero Activity data'!BG5*EF!$H36*EF!$H54)*NtoN2O*kgtoGg,"ERROR"))</f>
        <v>7.7230245197332834E-2</v>
      </c>
      <c r="AO1099" s="93">
        <f>IF('Net zero activities &amp; levers'!$C$14="Off",('Activity data'!BH5*EF!$H36*EF!$H54)*NtoN2O*kgtoGg,IF('Net zero activities &amp; levers'!$C$14="On",('Net zero Activity data'!BH5*EF!$H36*EF!$H54)*NtoN2O*kgtoGg,"ERROR"))</f>
        <v>7.8248884607158259E-2</v>
      </c>
      <c r="AP1099" s="93">
        <f>IF('Net zero activities &amp; levers'!$C$14="Off",('Activity data'!BI5*EF!$H36*EF!$H54)*NtoN2O*kgtoGg,IF('Net zero activities &amp; levers'!$C$14="On",('Net zero Activity data'!BI5*EF!$H36*EF!$H54)*NtoN2O*kgtoGg,"ERROR"))</f>
        <v>7.9307079203447303E-2</v>
      </c>
      <c r="AQ1099" s="93">
        <f>IF('Net zero activities &amp; levers'!$C$14="Off",('Activity data'!BJ5*EF!$H36*EF!$H54)*NtoN2O*kgtoGg,IF('Net zero activities &amp; levers'!$C$14="On",('Net zero Activity data'!BJ5*EF!$H36*EF!$H54)*NtoN2O*kgtoGg,"ERROR"))</f>
        <v>8.0409655218804749E-2</v>
      </c>
      <c r="AR1099" s="93">
        <f>IF('Net zero activities &amp; levers'!$C$14="Off",('Activity data'!BK5*EF!$H36*EF!$H54)*NtoN2O*kgtoGg,IF('Net zero activities &amp; levers'!$C$14="On",('Net zero Activity data'!BK5*EF!$H36*EF!$H54)*NtoN2O*kgtoGg,"ERROR"))</f>
        <v>8.1564373746965665E-2</v>
      </c>
      <c r="AS1099" s="93">
        <f>IF('Net zero activities &amp; levers'!$C$14="Off",('Activity data'!BL5*EF!$H36*EF!$H54)*NtoN2O*kgtoGg,IF('Net zero activities &amp; levers'!$C$14="On",('Net zero Activity data'!BL5*EF!$H36*EF!$H54)*NtoN2O*kgtoGg,"ERROR"))</f>
        <v>8.2739517725039347E-2</v>
      </c>
      <c r="AT1099" s="93">
        <f>IF('Net zero activities &amp; levers'!$C$14="Off",('Activity data'!BM5*EF!$H36*EF!$H54)*NtoN2O*kgtoGg,IF('Net zero activities &amp; levers'!$C$14="On",('Net zero Activity data'!BM5*EF!$H36*EF!$H54)*NtoN2O*kgtoGg,"ERROR"))</f>
        <v>8.3018134970904087E-2</v>
      </c>
      <c r="AU1099" s="93">
        <f>IF('Net zero activities &amp; levers'!$C$14="Off",('Activity data'!BN5*EF!$H36*EF!$H54)*NtoN2O*kgtoGg,IF('Net zero activities &amp; levers'!$C$14="On",('Net zero Activity data'!BN5*EF!$H36*EF!$H54)*NtoN2O*kgtoGg,"ERROR"))</f>
        <v>8.3216426012492323E-2</v>
      </c>
      <c r="AV1099" s="93">
        <f>IF('Net zero activities &amp; levers'!$C$14="Off",('Activity data'!BO5*EF!$H36*EF!$H54)*NtoN2O*kgtoGg,IF('Net zero activities &amp; levers'!$C$14="On",('Net zero Activity data'!BO5*EF!$H36*EF!$H54)*NtoN2O*kgtoGg,"ERROR"))</f>
        <v>8.3297669475104599E-2</v>
      </c>
      <c r="AW1099" s="93">
        <f>IF('Net zero activities &amp; levers'!$C$14="Off",('Activity data'!BP5*EF!$H36*EF!$H54)*NtoN2O*kgtoGg,IF('Net zero activities &amp; levers'!$C$14="On",('Net zero Activity data'!BP5*EF!$H36*EF!$H54)*NtoN2O*kgtoGg,"ERROR"))</f>
        <v>8.3346726471042673E-2</v>
      </c>
      <c r="AY1099" s="79"/>
    </row>
    <row r="1100" spans="1:51" x14ac:dyDescent="0.3">
      <c r="A1100" s="95" t="str">
        <f t="shared" si="374"/>
        <v>CM Cattle MMN2O</v>
      </c>
      <c r="B1100" s="95" t="s">
        <v>1322</v>
      </c>
      <c r="C1100" s="95" t="s">
        <v>1232</v>
      </c>
      <c r="D1100" t="s">
        <v>15</v>
      </c>
      <c r="E1100" t="s">
        <v>657</v>
      </c>
      <c r="F1100" t="s">
        <v>6</v>
      </c>
      <c r="G1100" t="s">
        <v>137</v>
      </c>
      <c r="H1100" t="s">
        <v>1227</v>
      </c>
      <c r="I1100" t="s">
        <v>139</v>
      </c>
      <c r="J1100" t="s">
        <v>287</v>
      </c>
      <c r="K1100" s="93">
        <f>IF('Net zero activities &amp; levers'!$C$14="Off",('Activity data'!AD6*EF!$H37*EF!$H55)*NtoN2O*kgtoGg,IF('Net zero activities &amp; levers'!$C$14="On",('Net zero Activity data'!AD6*EF!$H37*EF!$H55)*NtoN2O*kgtoGg,"ERROR"))</f>
        <v>0.26041511380118898</v>
      </c>
      <c r="L1100" s="93">
        <f>IF('Net zero activities &amp; levers'!$C$14="Off",('Activity data'!AE6*EF!$H37*EF!$H55)*NtoN2O*kgtoGg,IF('Net zero activities &amp; levers'!$C$14="On",('Net zero Activity data'!AE6*EF!$H37*EF!$H55)*NtoN2O*kgtoGg,"ERROR"))</f>
        <v>0.26187096745907484</v>
      </c>
      <c r="M1100" s="93">
        <f>IF('Net zero activities &amp; levers'!$C$14="Off",('Activity data'!AF6*EF!$H37*EF!$H55)*NtoN2O*kgtoGg,IF('Net zero activities &amp; levers'!$C$14="On",('Net zero Activity data'!AF6*EF!$H37*EF!$H55)*NtoN2O*kgtoGg,"ERROR"))</f>
        <v>0.26393657447404822</v>
      </c>
      <c r="N1100" s="93">
        <f>IF('Net zero activities &amp; levers'!$C$14="Off",('Activity data'!AG6*EF!$H37*EF!$H55)*NtoN2O*kgtoGg,IF('Net zero activities &amp; levers'!$C$14="On",('Net zero Activity data'!AG6*EF!$H37*EF!$H55)*NtoN2O*kgtoGg,"ERROR"))</f>
        <v>0.26526394701365208</v>
      </c>
      <c r="O1100" s="93">
        <f>IF('Net zero activities &amp; levers'!$C$14="Off",('Activity data'!AH6*EF!$H37*EF!$H55)*NtoN2O*kgtoGg,IF('Net zero activities &amp; levers'!$C$14="On",('Net zero Activity data'!AH6*EF!$H37*EF!$H55)*NtoN2O*kgtoGg,"ERROR"))</f>
        <v>0.26614599213711043</v>
      </c>
      <c r="P1100" s="93">
        <f>IF('Net zero activities &amp; levers'!$C$14="Off",('Activity data'!AI6*EF!$H37*EF!$H55)*NtoN2O*kgtoGg,IF('Net zero activities &amp; levers'!$C$14="On",('Net zero Activity data'!AI6*EF!$H37*EF!$H55)*NtoN2O*kgtoGg,"ERROR"))</f>
        <v>0.26657402855087203</v>
      </c>
      <c r="Q1100" s="93">
        <f>IF('Net zero activities &amp; levers'!$C$14="Off",('Activity data'!AJ6*EF!$H37*EF!$H55)*NtoN2O*kgtoGg,IF('Net zero activities &amp; levers'!$C$14="On",('Net zero Activity data'!AJ6*EF!$H37*EF!$H55)*NtoN2O*kgtoGg,"ERROR"))</f>
        <v>0.26751972028770321</v>
      </c>
      <c r="R1100" s="93">
        <f>IF('Net zero activities &amp; levers'!$C$14="Off",('Activity data'!AK6*EF!$H37*EF!$H55)*NtoN2O*kgtoGg,IF('Net zero activities &amp; levers'!$C$14="On",('Net zero Activity data'!AK6*EF!$H37*EF!$H55)*NtoN2O*kgtoGg,"ERROR"))</f>
        <v>0.26860458755254496</v>
      </c>
      <c r="S1100" s="93">
        <f>IF('Net zero activities &amp; levers'!$C$14="Off",('Activity data'!AL6*EF!$H37*EF!$H55)*NtoN2O*kgtoGg,IF('Net zero activities &amp; levers'!$C$14="On",('Net zero Activity data'!AL6*EF!$H37*EF!$H55)*NtoN2O*kgtoGg,"ERROR"))</f>
        <v>0.26053044120627478</v>
      </c>
      <c r="T1100" s="93">
        <f>IF('Net zero activities &amp; levers'!$C$14="Off",('Activity data'!AM6*EF!$H37*EF!$H55)*NtoN2O*kgtoGg,IF('Net zero activities &amp; levers'!$C$14="On",('Net zero Activity data'!AM6*EF!$H37*EF!$H55)*NtoN2O*kgtoGg,"ERROR"))</f>
        <v>0.26326994979492208</v>
      </c>
      <c r="U1100" s="93">
        <f>IF('Net zero activities &amp; levers'!$C$14="Off",('Activity data'!AN6*EF!$H37*EF!$H55)*NtoN2O*kgtoGg,IF('Net zero activities &amp; levers'!$C$14="On",('Net zero Activity data'!AN6*EF!$H37*EF!$H55)*NtoN2O*kgtoGg,"ERROR"))</f>
        <v>0.26727986548475752</v>
      </c>
      <c r="V1100" s="93">
        <f>IF('Net zero activities &amp; levers'!$C$14="Off",('Activity data'!AO6*EF!$H37*EF!$H55)*NtoN2O*kgtoGg,IF('Net zero activities &amp; levers'!$C$14="On",('Net zero Activity data'!AO6*EF!$H37*EF!$H55)*NtoN2O*kgtoGg,"ERROR"))</f>
        <v>0.2693583012486882</v>
      </c>
      <c r="W1100" s="93">
        <f>IF('Net zero activities &amp; levers'!$C$14="Off",('Activity data'!AP6*EF!$H37*EF!$H55)*NtoN2O*kgtoGg,IF('Net zero activities &amp; levers'!$C$14="On",('Net zero Activity data'!AP6*EF!$H37*EF!$H55)*NtoN2O*kgtoGg,"ERROR"))</f>
        <v>0.27173367665390064</v>
      </c>
      <c r="X1100" s="93">
        <f>IF('Net zero activities &amp; levers'!$C$14="Off",('Activity data'!AQ6*EF!$H37*EF!$H55)*NtoN2O*kgtoGg,IF('Net zero activities &amp; levers'!$C$14="On",('Net zero Activity data'!AQ6*EF!$H37*EF!$H55)*NtoN2O*kgtoGg,"ERROR"))</f>
        <v>0.27448292481300673</v>
      </c>
      <c r="Y1100" s="93">
        <f>IF('Net zero activities &amp; levers'!$C$14="Off",('Activity data'!AR6*EF!$H37*EF!$H55)*NtoN2O*kgtoGg,IF('Net zero activities &amp; levers'!$C$14="On",('Net zero Activity data'!AR6*EF!$H37*EF!$H55)*NtoN2O*kgtoGg,"ERROR"))</f>
        <v>0.27729042591127234</v>
      </c>
      <c r="Z1100" s="93">
        <f>IF('Net zero activities &amp; levers'!$C$14="Off",('Activity data'!AS6*EF!$H37*EF!$H55)*NtoN2O*kgtoGg,IF('Net zero activities &amp; levers'!$C$14="On",('Net zero Activity data'!AS6*EF!$H37*EF!$H55)*NtoN2O*kgtoGg,"ERROR"))</f>
        <v>0.28039796755405094</v>
      </c>
      <c r="AA1100" s="93">
        <f>IF('Net zero activities &amp; levers'!$C$14="Off",('Activity data'!AT6*EF!$H37*EF!$H55)*NtoN2O*kgtoGg,IF('Net zero activities &amp; levers'!$C$14="On",('Net zero Activity data'!AT6*EF!$H37*EF!$H55)*NtoN2O*kgtoGg,"ERROR"))</f>
        <v>0.28360177234089196</v>
      </c>
      <c r="AB1100" s="93">
        <f>IF('Net zero activities &amp; levers'!$C$14="Off",('Activity data'!AU6*EF!$H37*EF!$H55)*NtoN2O*kgtoGg,IF('Net zero activities &amp; levers'!$C$14="On",('Net zero Activity data'!AU6*EF!$H37*EF!$H55)*NtoN2O*kgtoGg,"ERROR"))</f>
        <v>0.28708577575853983</v>
      </c>
      <c r="AC1100" s="93">
        <f>IF('Net zero activities &amp; levers'!$C$14="Off",('Activity data'!AV6*EF!$H37*EF!$H55)*NtoN2O*kgtoGg,IF('Net zero activities &amp; levers'!$C$14="On",('Net zero Activity data'!AV6*EF!$H37*EF!$H55)*NtoN2O*kgtoGg,"ERROR"))</f>
        <v>0.29064837177880054</v>
      </c>
      <c r="AD1100" s="93">
        <f>IF('Net zero activities &amp; levers'!$C$14="Off",('Activity data'!AW6*EF!$H37*EF!$H55)*NtoN2O*kgtoGg,IF('Net zero activities &amp; levers'!$C$14="On",('Net zero Activity data'!AW6*EF!$H37*EF!$H55)*NtoN2O*kgtoGg,"ERROR"))</f>
        <v>0.29449715084700523</v>
      </c>
      <c r="AE1100" s="93">
        <f>IF('Net zero activities &amp; levers'!$C$14="Off",('Activity data'!AX6*EF!$H37*EF!$H55)*NtoN2O*kgtoGg,IF('Net zero activities &amp; levers'!$C$14="On",('Net zero Activity data'!AX6*EF!$H37*EF!$H55)*NtoN2O*kgtoGg,"ERROR"))</f>
        <v>0.29829383917166835</v>
      </c>
      <c r="AF1100" s="93">
        <f>IF('Net zero activities &amp; levers'!$C$14="Off",('Activity data'!AY6*EF!$H37*EF!$H55)*NtoN2O*kgtoGg,IF('Net zero activities &amp; levers'!$C$14="On",('Net zero Activity data'!AY6*EF!$H37*EF!$H55)*NtoN2O*kgtoGg,"ERROR"))</f>
        <v>0.30230121539018168</v>
      </c>
      <c r="AG1100" s="93">
        <f>IF('Net zero activities &amp; levers'!$C$14="Off",('Activity data'!AZ6*EF!$H37*EF!$H55)*NtoN2O*kgtoGg,IF('Net zero activities &amp; levers'!$C$14="On",('Net zero Activity data'!AZ6*EF!$H37*EF!$H55)*NtoN2O*kgtoGg,"ERROR"))</f>
        <v>0.30683422036395941</v>
      </c>
      <c r="AH1100" s="93">
        <f>IF('Net zero activities &amp; levers'!$C$14="Off",('Activity data'!BA6*EF!$H37*EF!$H55)*NtoN2O*kgtoGg,IF('Net zero activities &amp; levers'!$C$14="On",('Net zero Activity data'!BA6*EF!$H37*EF!$H55)*NtoN2O*kgtoGg,"ERROR"))</f>
        <v>0.31114406554952856</v>
      </c>
      <c r="AI1100" s="93">
        <f>IF('Net zero activities &amp; levers'!$C$14="Off",('Activity data'!BB6*EF!$H37*EF!$H55)*NtoN2O*kgtoGg,IF('Net zero activities &amp; levers'!$C$14="On",('Net zero Activity data'!BB6*EF!$H37*EF!$H55)*NtoN2O*kgtoGg,"ERROR"))</f>
        <v>0.31556378895902254</v>
      </c>
      <c r="AJ1100" s="93">
        <f>IF('Net zero activities &amp; levers'!$C$14="Off",('Activity data'!BC6*EF!$H37*EF!$H55)*NtoN2O*kgtoGg,IF('Net zero activities &amp; levers'!$C$14="On",('Net zero Activity data'!BC6*EF!$H37*EF!$H55)*NtoN2O*kgtoGg,"ERROR"))</f>
        <v>0.32029048309563773</v>
      </c>
      <c r="AK1100" s="93">
        <f>IF('Net zero activities &amp; levers'!$C$14="Off",('Activity data'!BD6*EF!$H37*EF!$H55)*NtoN2O*kgtoGg,IF('Net zero activities &amp; levers'!$C$14="On",('Net zero Activity data'!BD6*EF!$H37*EF!$H55)*NtoN2O*kgtoGg,"ERROR"))</f>
        <v>0.32471882586455802</v>
      </c>
      <c r="AL1100" s="93">
        <f>IF('Net zero activities &amp; levers'!$C$14="Off",('Activity data'!BE6*EF!$H37*EF!$H55)*NtoN2O*kgtoGg,IF('Net zero activities &amp; levers'!$C$14="On",('Net zero Activity data'!BE6*EF!$H37*EF!$H55)*NtoN2O*kgtoGg,"ERROR"))</f>
        <v>0.32912313723492953</v>
      </c>
      <c r="AM1100" s="93">
        <f>IF('Net zero activities &amp; levers'!$C$14="Off",('Activity data'!BF6*EF!$H37*EF!$H55)*NtoN2O*kgtoGg,IF('Net zero activities &amp; levers'!$C$14="On",('Net zero Activity data'!BF6*EF!$H37*EF!$H55)*NtoN2O*kgtoGg,"ERROR"))</f>
        <v>0.33351566777203023</v>
      </c>
      <c r="AN1100" s="93">
        <f>IF('Net zero activities &amp; levers'!$C$14="Off",('Activity data'!BG6*EF!$H37*EF!$H55)*NtoN2O*kgtoGg,IF('Net zero activities &amp; levers'!$C$14="On",('Net zero Activity data'!BG6*EF!$H37*EF!$H55)*NtoN2O*kgtoGg,"ERROR"))</f>
        <v>0.33816283338541037</v>
      </c>
      <c r="AO1100" s="93">
        <f>IF('Net zero activities &amp; levers'!$C$14="Off",('Activity data'!BH6*EF!$H37*EF!$H55)*NtoN2O*kgtoGg,IF('Net zero activities &amp; levers'!$C$14="On",('Net zero Activity data'!BH6*EF!$H37*EF!$H55)*NtoN2O*kgtoGg,"ERROR"))</f>
        <v>0.34262308063885955</v>
      </c>
      <c r="AP1100" s="93">
        <f>IF('Net zero activities &amp; levers'!$C$14="Off",('Activity data'!BI6*EF!$H37*EF!$H55)*NtoN2O*kgtoGg,IF('Net zero activities &amp; levers'!$C$14="On",('Net zero Activity data'!BI6*EF!$H37*EF!$H55)*NtoN2O*kgtoGg,"ERROR"))</f>
        <v>0.34725652550284908</v>
      </c>
      <c r="AQ1100" s="93">
        <f>IF('Net zero activities &amp; levers'!$C$14="Off",('Activity data'!BJ6*EF!$H37*EF!$H55)*NtoN2O*kgtoGg,IF('Net zero activities &amp; levers'!$C$14="On",('Net zero Activity data'!BJ6*EF!$H37*EF!$H55)*NtoN2O*kgtoGg,"ERROR"))</f>
        <v>0.35208430027455134</v>
      </c>
      <c r="AR1100" s="93">
        <f>IF('Net zero activities &amp; levers'!$C$14="Off",('Activity data'!BK6*EF!$H37*EF!$H55)*NtoN2O*kgtoGg,IF('Net zero activities &amp; levers'!$C$14="On",('Net zero Activity data'!BK6*EF!$H37*EF!$H55)*NtoN2O*kgtoGg,"ERROR"))</f>
        <v>0.3571403879283947</v>
      </c>
      <c r="AS1100" s="93">
        <f>IF('Net zero activities &amp; levers'!$C$14="Off",('Activity data'!BL6*EF!$H37*EF!$H55)*NtoN2O*kgtoGg,IF('Net zero activities &amp; levers'!$C$14="On",('Net zero Activity data'!BL6*EF!$H37*EF!$H55)*NtoN2O*kgtoGg,"ERROR"))</f>
        <v>0.36228591111358999</v>
      </c>
      <c r="AT1100" s="93">
        <f>IF('Net zero activities &amp; levers'!$C$14="Off",('Activity data'!BM6*EF!$H37*EF!$H55)*NtoN2O*kgtoGg,IF('Net zero activities &amp; levers'!$C$14="On",('Net zero Activity data'!BM6*EF!$H37*EF!$H55)*NtoN2O*kgtoGg,"ERROR"))</f>
        <v>0.36350587353959202</v>
      </c>
      <c r="AU1100" s="93">
        <f>IF('Net zero activities &amp; levers'!$C$14="Off",('Activity data'!BN6*EF!$H37*EF!$H55)*NtoN2O*kgtoGg,IF('Net zero activities &amp; levers'!$C$14="On",('Net zero Activity data'!BN6*EF!$H37*EF!$H55)*NtoN2O*kgtoGg,"ERROR"))</f>
        <v>0.36437411706629697</v>
      </c>
      <c r="AV1100" s="93">
        <f>IF('Net zero activities &amp; levers'!$C$14="Off",('Activity data'!BO6*EF!$H37*EF!$H55)*NtoN2O*kgtoGg,IF('Net zero activities &amp; levers'!$C$14="On",('Net zero Activity data'!BO6*EF!$H37*EF!$H55)*NtoN2O*kgtoGg,"ERROR"))</f>
        <v>0.36472985230241872</v>
      </c>
      <c r="AW1100" s="93">
        <f>IF('Net zero activities &amp; levers'!$C$14="Off",('Activity data'!BP6*EF!$H37*EF!$H55)*NtoN2O*kgtoGg,IF('Net zero activities &amp; levers'!$C$14="On",('Net zero Activity data'!BP6*EF!$H37*EF!$H55)*NtoN2O*kgtoGg,"ERROR"))</f>
        <v>0.36494465484126087</v>
      </c>
      <c r="AY1100" s="79"/>
    </row>
    <row r="1101" spans="1:51" x14ac:dyDescent="0.3">
      <c r="A1101" s="95" t="str">
        <f t="shared" si="374"/>
        <v>CM Cattle MMN2O</v>
      </c>
      <c r="B1101" s="95" t="s">
        <v>1322</v>
      </c>
      <c r="C1101" s="95" t="s">
        <v>1232</v>
      </c>
      <c r="D1101" t="s">
        <v>15</v>
      </c>
      <c r="E1101" t="s">
        <v>657</v>
      </c>
      <c r="F1101" t="s">
        <v>67</v>
      </c>
      <c r="G1101" t="s">
        <v>307</v>
      </c>
      <c r="H1101" t="s">
        <v>1227</v>
      </c>
      <c r="I1101" t="s">
        <v>139</v>
      </c>
      <c r="J1101" t="s">
        <v>287</v>
      </c>
      <c r="K1101" s="93">
        <f>IF('Net zero activities &amp; levers'!$C$14="Off",('Activity data'!AD7*EF!$H38*EF!$H56)*NtoN2O*kgtoGg,IF('Net zero activities &amp; levers'!$C$14="On",('Net zero Activity data'!AD7*EF!$H38*EF!$H56)*NtoN2O*kgtoGg,"ERROR"))</f>
        <v>1.1586934798802538E-2</v>
      </c>
      <c r="L1101" s="93">
        <f>IF('Net zero activities &amp; levers'!$C$14="Off",('Activity data'!AE7*EF!$H38*EF!$H56)*NtoN2O*kgtoGg,IF('Net zero activities &amp; levers'!$C$14="On",('Net zero Activity data'!AE7*EF!$H38*EF!$H56)*NtoN2O*kgtoGg,"ERROR"))</f>
        <v>1.1651711689683764E-2</v>
      </c>
      <c r="M1101" s="93">
        <f>IF('Net zero activities &amp; levers'!$C$14="Off",('Activity data'!AF7*EF!$H38*EF!$H56)*NtoN2O*kgtoGg,IF('Net zero activities &amp; levers'!$C$14="On",('Net zero Activity data'!AF7*EF!$H38*EF!$H56)*NtoN2O*kgtoGg,"ERROR"))</f>
        <v>1.1743619004328788E-2</v>
      </c>
      <c r="N1101" s="93">
        <f>IF('Net zero activities &amp; levers'!$C$14="Off",('Activity data'!AG7*EF!$H38*EF!$H56)*NtoN2O*kgtoGg,IF('Net zero activities &amp; levers'!$C$14="On",('Net zero Activity data'!AG7*EF!$H38*EF!$H56)*NtoN2O*kgtoGg,"ERROR"))</f>
        <v>1.1802679244134426E-2</v>
      </c>
      <c r="O1101" s="93">
        <f>IF('Net zero activities &amp; levers'!$C$14="Off",('Activity data'!AH7*EF!$H38*EF!$H56)*NtoN2O*kgtoGg,IF('Net zero activities &amp; levers'!$C$14="On",('Net zero Activity data'!AH7*EF!$H38*EF!$H56)*NtoN2O*kgtoGg,"ERROR"))</f>
        <v>1.1841925043604099E-2</v>
      </c>
      <c r="P1101" s="93">
        <f>IF('Net zero activities &amp; levers'!$C$14="Off",('Activity data'!AI7*EF!$H38*EF!$H56)*NtoN2O*kgtoGg,IF('Net zero activities &amp; levers'!$C$14="On",('Net zero Activity data'!AI7*EF!$H38*EF!$H56)*NtoN2O*kgtoGg,"ERROR"))</f>
        <v>1.1860970136438286E-2</v>
      </c>
      <c r="Q1101" s="93">
        <f>IF('Net zero activities &amp; levers'!$C$14="Off",('Activity data'!AJ7*EF!$H38*EF!$H56)*NtoN2O*kgtoGg,IF('Net zero activities &amp; levers'!$C$14="On",('Net zero Activity data'!AJ7*EF!$H38*EF!$H56)*NtoN2O*kgtoGg,"ERROR"))</f>
        <v>1.1903047834366352E-2</v>
      </c>
      <c r="R1101" s="93">
        <f>IF('Net zero activities &amp; levers'!$C$14="Off",('Activity data'!AK7*EF!$H38*EF!$H56)*NtoN2O*kgtoGg,IF('Net zero activities &amp; levers'!$C$14="On",('Net zero Activity data'!AK7*EF!$H38*EF!$H56)*NtoN2O*kgtoGg,"ERROR"))</f>
        <v>1.1951318021451857E-2</v>
      </c>
      <c r="S1101" s="93">
        <f>IF('Net zero activities &amp; levers'!$C$14="Off",('Activity data'!AL7*EF!$H38*EF!$H56)*NtoN2O*kgtoGg,IF('Net zero activities &amp; levers'!$C$14="On",('Net zero Activity data'!AL7*EF!$H38*EF!$H56)*NtoN2O*kgtoGg,"ERROR"))</f>
        <v>1.1592066187314282E-2</v>
      </c>
      <c r="T1101" s="93">
        <f>IF('Net zero activities &amp; levers'!$C$14="Off",('Activity data'!AM7*EF!$H38*EF!$H56)*NtoN2O*kgtoGg,IF('Net zero activities &amp; levers'!$C$14="On",('Net zero Activity data'!AM7*EF!$H38*EF!$H56)*NtoN2O*kgtoGg,"ERROR"))</f>
        <v>1.1713958142562505E-2</v>
      </c>
      <c r="U1101" s="93">
        <f>IF('Net zero activities &amp; levers'!$C$14="Off",('Activity data'!AN7*EF!$H38*EF!$H56)*NtoN2O*kgtoGg,IF('Net zero activities &amp; levers'!$C$14="On",('Net zero Activity data'!AN7*EF!$H38*EF!$H56)*NtoN2O*kgtoGg,"ERROR"))</f>
        <v>1.1892375711990867E-2</v>
      </c>
      <c r="V1101" s="93">
        <f>IF('Net zero activities &amp; levers'!$C$14="Off",('Activity data'!AO7*EF!$H38*EF!$H56)*NtoN2O*kgtoGg,IF('Net zero activities &amp; levers'!$C$14="On",('Net zero Activity data'!AO7*EF!$H38*EF!$H56)*NtoN2O*kgtoGg,"ERROR"))</f>
        <v>1.1984853830210035E-2</v>
      </c>
      <c r="W1101" s="93">
        <f>IF('Net zero activities &amp; levers'!$C$14="Off",('Activity data'!AP7*EF!$H38*EF!$H56)*NtoN2O*kgtoGg,IF('Net zero activities &amp; levers'!$C$14="On",('Net zero Activity data'!AP7*EF!$H38*EF!$H56)*NtoN2O*kgtoGg,"ERROR"))</f>
        <v>1.2090544009021577E-2</v>
      </c>
      <c r="X1101" s="93">
        <f>IF('Net zero activities &amp; levers'!$C$14="Off",('Activity data'!AQ7*EF!$H38*EF!$H56)*NtoN2O*kgtoGg,IF('Net zero activities &amp; levers'!$C$14="On",('Net zero Activity data'!AQ7*EF!$H38*EF!$H56)*NtoN2O*kgtoGg,"ERROR"))</f>
        <v>1.221286931764253E-2</v>
      </c>
      <c r="Y1101" s="93">
        <f>IF('Net zero activities &amp; levers'!$C$14="Off",('Activity data'!AR7*EF!$H38*EF!$H56)*NtoN2O*kgtoGg,IF('Net zero activities &amp; levers'!$C$14="On",('Net zero Activity data'!AR7*EF!$H38*EF!$H56)*NtoN2O*kgtoGg,"ERROR"))</f>
        <v>1.2337786538069315E-2</v>
      </c>
      <c r="Z1101" s="93">
        <f>IF('Net zero activities &amp; levers'!$C$14="Off",('Activity data'!AS7*EF!$H38*EF!$H56)*NtoN2O*kgtoGg,IF('Net zero activities &amp; levers'!$C$14="On",('Net zero Activity data'!AS7*EF!$H38*EF!$H56)*NtoN2O*kgtoGg,"ERROR"))</f>
        <v>1.2476053790971267E-2</v>
      </c>
      <c r="AA1101" s="93">
        <f>IF('Net zero activities &amp; levers'!$C$14="Off",('Activity data'!AT7*EF!$H38*EF!$H56)*NtoN2O*kgtoGg,IF('Net zero activities &amp; levers'!$C$14="On",('Net zero Activity data'!AT7*EF!$H38*EF!$H56)*NtoN2O*kgtoGg,"ERROR"))</f>
        <v>1.2618604185344915E-2</v>
      </c>
      <c r="AB1101" s="93">
        <f>IF('Net zero activities &amp; levers'!$C$14="Off",('Activity data'!AU7*EF!$H38*EF!$H56)*NtoN2O*kgtoGg,IF('Net zero activities &amp; levers'!$C$14="On",('Net zero Activity data'!AU7*EF!$H38*EF!$H56)*NtoN2O*kgtoGg,"ERROR"))</f>
        <v>1.2773621764201382E-2</v>
      </c>
      <c r="AC1101" s="93">
        <f>IF('Net zero activities &amp; levers'!$C$14="Off",('Activity data'!AV7*EF!$H38*EF!$H56)*NtoN2O*kgtoGg,IF('Net zero activities &amp; levers'!$C$14="On",('Net zero Activity data'!AV7*EF!$H38*EF!$H56)*NtoN2O*kgtoGg,"ERROR"))</f>
        <v>1.293213624978054E-2</v>
      </c>
      <c r="AD1101" s="93">
        <f>IF('Net zero activities &amp; levers'!$C$14="Off",('Activity data'!AW7*EF!$H38*EF!$H56)*NtoN2O*kgtoGg,IF('Net zero activities &amp; levers'!$C$14="On",('Net zero Activity data'!AW7*EF!$H38*EF!$H56)*NtoN2O*kgtoGg,"ERROR"))</f>
        <v>1.3103384191066813E-2</v>
      </c>
      <c r="AE1101" s="93">
        <f>IF('Net zero activities &amp; levers'!$C$14="Off",('Activity data'!AX7*EF!$H38*EF!$H56)*NtoN2O*kgtoGg,IF('Net zero activities &amp; levers'!$C$14="On",('Net zero Activity data'!AX7*EF!$H38*EF!$H56)*NtoN2O*kgtoGg,"ERROR"))</f>
        <v>1.3272314401864145E-2</v>
      </c>
      <c r="AF1101" s="93">
        <f>IF('Net zero activities &amp; levers'!$C$14="Off",('Activity data'!AY7*EF!$H38*EF!$H56)*NtoN2O*kgtoGg,IF('Net zero activities &amp; levers'!$C$14="On",('Net zero Activity data'!AY7*EF!$H38*EF!$H56)*NtoN2O*kgtoGg,"ERROR"))</f>
        <v>1.345061897981439E-2</v>
      </c>
      <c r="AG1101" s="93">
        <f>IF('Net zero activities &amp; levers'!$C$14="Off",('Activity data'!AZ7*EF!$H38*EF!$H56)*NtoN2O*kgtoGg,IF('Net zero activities &amp; levers'!$C$14="On",('Net zero Activity data'!AZ7*EF!$H38*EF!$H56)*NtoN2O*kgtoGg,"ERROR"))</f>
        <v>1.3652310933507637E-2</v>
      </c>
      <c r="AH1101" s="93">
        <f>IF('Net zero activities &amp; levers'!$C$14="Off",('Activity data'!BA7*EF!$H38*EF!$H56)*NtoN2O*kgtoGg,IF('Net zero activities &amp; levers'!$C$14="On",('Net zero Activity data'!BA7*EF!$H38*EF!$H56)*NtoN2O*kgtoGg,"ERROR"))</f>
        <v>1.3844073594396234E-2</v>
      </c>
      <c r="AI1101" s="93">
        <f>IF('Net zero activities &amp; levers'!$C$14="Off",('Activity data'!BB7*EF!$H38*EF!$H56)*NtoN2O*kgtoGg,IF('Net zero activities &amp; levers'!$C$14="On",('Net zero Activity data'!BB7*EF!$H38*EF!$H56)*NtoN2O*kgtoGg,"ERROR"))</f>
        <v>1.4040725187412617E-2</v>
      </c>
      <c r="AJ1101" s="93">
        <f>IF('Net zero activities &amp; levers'!$C$14="Off",('Activity data'!BC7*EF!$H38*EF!$H56)*NtoN2O*kgtoGg,IF('Net zero activities &amp; levers'!$C$14="On",('Net zero Activity data'!BC7*EF!$H38*EF!$H56)*NtoN2O*kgtoGg,"ERROR"))</f>
        <v>1.4251035165107133E-2</v>
      </c>
      <c r="AK1101" s="93">
        <f>IF('Net zero activities &amp; levers'!$C$14="Off",('Activity data'!BD7*EF!$H38*EF!$H56)*NtoN2O*kgtoGg,IF('Net zero activities &amp; levers'!$C$14="On",('Net zero Activity data'!BD7*EF!$H38*EF!$H56)*NtoN2O*kgtoGg,"ERROR"))</f>
        <v>1.4448070268720213E-2</v>
      </c>
      <c r="AL1101" s="93">
        <f>IF('Net zero activities &amp; levers'!$C$14="Off",('Activity data'!BE7*EF!$H38*EF!$H56)*NtoN2O*kgtoGg,IF('Net zero activities &amp; levers'!$C$14="On",('Net zero Activity data'!BE7*EF!$H38*EF!$H56)*NtoN2O*kgtoGg,"ERROR"))</f>
        <v>1.4644036117004574E-2</v>
      </c>
      <c r="AM1101" s="93">
        <f>IF('Net zero activities &amp; levers'!$C$14="Off",('Activity data'!BF7*EF!$H38*EF!$H56)*NtoN2O*kgtoGg,IF('Net zero activities &amp; levers'!$C$14="On",('Net zero Activity data'!BF7*EF!$H38*EF!$H56)*NtoN2O*kgtoGg,"ERROR"))</f>
        <v>1.4839477787774847E-2</v>
      </c>
      <c r="AN1101" s="93">
        <f>IF('Net zero activities &amp; levers'!$C$14="Off",('Activity data'!BG7*EF!$H38*EF!$H56)*NtoN2O*kgtoGg,IF('Net zero activities &amp; levers'!$C$14="On",('Net zero Activity data'!BG7*EF!$H38*EF!$H56)*NtoN2O*kgtoGg,"ERROR"))</f>
        <v>1.5046249215805637E-2</v>
      </c>
      <c r="AO1101" s="93">
        <f>IF('Net zero activities &amp; levers'!$C$14="Off",('Activity data'!BH7*EF!$H38*EF!$H56)*NtoN2O*kgtoGg,IF('Net zero activities &amp; levers'!$C$14="On",('Net zero Activity data'!BH7*EF!$H38*EF!$H56)*NtoN2O*kgtoGg,"ERROR"))</f>
        <v>1.5244703880582538E-2</v>
      </c>
      <c r="AP1101" s="93">
        <f>IF('Net zero activities &amp; levers'!$C$14="Off",('Activity data'!BI7*EF!$H38*EF!$H56)*NtoN2O*kgtoGg,IF('Net zero activities &amp; levers'!$C$14="On",('Net zero Activity data'!BI7*EF!$H38*EF!$H56)*NtoN2O*kgtoGg,"ERROR"))</f>
        <v>1.5450864816287217E-2</v>
      </c>
      <c r="AQ1101" s="93">
        <f>IF('Net zero activities &amp; levers'!$C$14="Off",('Activity data'!BJ7*EF!$H38*EF!$H56)*NtoN2O*kgtoGg,IF('Net zero activities &amp; levers'!$C$14="On",('Net zero Activity data'!BJ7*EF!$H38*EF!$H56)*NtoN2O*kgtoGg,"ERROR"))</f>
        <v>1.5665672285356487E-2</v>
      </c>
      <c r="AR1101" s="93">
        <f>IF('Net zero activities &amp; levers'!$C$14="Off",('Activity data'!BK7*EF!$H38*EF!$H56)*NtoN2O*kgtoGg,IF('Net zero activities &amp; levers'!$C$14="On",('Net zero Activity data'!BK7*EF!$H38*EF!$H56)*NtoN2O*kgtoGg,"ERROR"))</f>
        <v>1.589063832948109E-2</v>
      </c>
      <c r="AS1101" s="93">
        <f>IF('Net zero activities &amp; levers'!$C$14="Off",('Activity data'!BL7*EF!$H38*EF!$H56)*NtoN2O*kgtoGg,IF('Net zero activities &amp; levers'!$C$14="On",('Net zero Activity data'!BL7*EF!$H38*EF!$H56)*NtoN2O*kgtoGg,"ERROR"))</f>
        <v>1.6119583726629205E-2</v>
      </c>
      <c r="AT1101" s="93">
        <f>IF('Net zero activities &amp; levers'!$C$14="Off",('Activity data'!BM7*EF!$H38*EF!$H56)*NtoN2O*kgtoGg,IF('Net zero activities &amp; levers'!$C$14="On",('Net zero Activity data'!BM7*EF!$H38*EF!$H56)*NtoN2O*kgtoGg,"ERROR"))</f>
        <v>1.6173864850642101E-2</v>
      </c>
      <c r="AU1101" s="93">
        <f>IF('Net zero activities &amp; levers'!$C$14="Off",('Activity data'!BN7*EF!$H38*EF!$H56)*NtoN2O*kgtoGg,IF('Net zero activities &amp; levers'!$C$14="On",('Net zero Activity data'!BN7*EF!$H38*EF!$H56)*NtoN2O*kgtoGg,"ERROR"))</f>
        <v>1.6212496560555425E-2</v>
      </c>
      <c r="AV1101" s="93">
        <f>IF('Net zero activities &amp; levers'!$C$14="Off",('Activity data'!BO7*EF!$H38*EF!$H56)*NtoN2O*kgtoGg,IF('Net zero activities &amp; levers'!$C$14="On",('Net zero Activity data'!BO7*EF!$H38*EF!$H56)*NtoN2O*kgtoGg,"ERROR"))</f>
        <v>1.6228324677927005E-2</v>
      </c>
      <c r="AW1101" s="93">
        <f>IF('Net zero activities &amp; levers'!$C$14="Off",('Activity data'!BP7*EF!$H38*EF!$H56)*NtoN2O*kgtoGg,IF('Net zero activities &amp; levers'!$C$14="On",('Net zero Activity data'!BP7*EF!$H38*EF!$H56)*NtoN2O*kgtoGg,"ERROR"))</f>
        <v>1.6237882122484858E-2</v>
      </c>
      <c r="AY1101" s="79"/>
    </row>
    <row r="1102" spans="1:51" x14ac:dyDescent="0.3">
      <c r="A1102" s="95" t="str">
        <f t="shared" si="374"/>
        <v>CM Cattle MMN2O</v>
      </c>
      <c r="B1102" s="95" t="s">
        <v>1322</v>
      </c>
      <c r="C1102" s="95" t="s">
        <v>1232</v>
      </c>
      <c r="D1102" t="s">
        <v>15</v>
      </c>
      <c r="E1102" t="s">
        <v>657</v>
      </c>
      <c r="F1102" t="s">
        <v>67</v>
      </c>
      <c r="G1102" t="s">
        <v>122</v>
      </c>
      <c r="H1102" t="s">
        <v>1227</v>
      </c>
      <c r="I1102" t="s">
        <v>139</v>
      </c>
      <c r="J1102" t="s">
        <v>287</v>
      </c>
      <c r="K1102" s="93">
        <f>IF('Net zero activities &amp; levers'!$C$14="Off",('Activity data'!AD8*EF!$H39*EF!$H57)*NtoN2O*kgtoGg,IF('Net zero activities &amp; levers'!$C$14="On",('Net zero Activity data'!AD8*EF!$H39*EF!$H57)*NtoN2O*kgtoGg,"ERROR"))</f>
        <v>0.52525224947331306</v>
      </c>
      <c r="L1102" s="93">
        <f>IF('Net zero activities &amp; levers'!$C$14="Off",('Activity data'!AE8*EF!$H39*EF!$H57)*NtoN2O*kgtoGg,IF('Net zero activities &amp; levers'!$C$14="On",('Net zero Activity data'!AE8*EF!$H39*EF!$H57)*NtoN2O*kgtoGg,"ERROR"))</f>
        <v>0.52069690445710348</v>
      </c>
      <c r="M1102" s="93">
        <f>IF('Net zero activities &amp; levers'!$C$14="Off",('Activity data'!AF8*EF!$H39*EF!$H57)*NtoN2O*kgtoGg,IF('Net zero activities &amp; levers'!$C$14="On",('Net zero Activity data'!AF8*EF!$H39*EF!$H57)*NtoN2O*kgtoGg,"ERROR"))</f>
        <v>0.51896282251134873</v>
      </c>
      <c r="N1102" s="93">
        <f>IF('Net zero activities &amp; levers'!$C$14="Off",('Activity data'!AG8*EF!$H39*EF!$H57)*NtoN2O*kgtoGg,IF('Net zero activities &amp; levers'!$C$14="On",('Net zero Activity data'!AG8*EF!$H39*EF!$H57)*NtoN2O*kgtoGg,"ERROR"))</f>
        <v>0.51203275332440912</v>
      </c>
      <c r="O1102" s="93">
        <f>IF('Net zero activities &amp; levers'!$C$14="Off",('Activity data'!AH8*EF!$H39*EF!$H57)*NtoN2O*kgtoGg,IF('Net zero activities &amp; levers'!$C$14="On",('Net zero Activity data'!AH8*EF!$H39*EF!$H57)*NtoN2O*kgtoGg,"ERROR"))</f>
        <v>0.50197358865556674</v>
      </c>
      <c r="P1102" s="93">
        <f>IF('Net zero activities &amp; levers'!$C$14="Off",('Activity data'!AI8*EF!$H39*EF!$H57)*NtoN2O*kgtoGg,IF('Net zero activities &amp; levers'!$C$14="On",('Net zero Activity data'!AI8*EF!$H39*EF!$H57)*NtoN2O*kgtoGg,"ERROR"))</f>
        <v>0.48899333628247271</v>
      </c>
      <c r="Q1102" s="93">
        <f>IF('Net zero activities &amp; levers'!$C$14="Off",('Activity data'!AJ8*EF!$H39*EF!$H57)*NtoN2O*kgtoGg,IF('Net zero activities &amp; levers'!$C$14="On",('Net zero Activity data'!AJ8*EF!$H39*EF!$H57)*NtoN2O*kgtoGg,"ERROR"))</f>
        <v>0.47875543160314177</v>
      </c>
      <c r="R1102" s="93">
        <f>IF('Net zero activities &amp; levers'!$C$14="Off",('Activity data'!AK8*EF!$H39*EF!$H57)*NtoN2O*kgtoGg,IF('Net zero activities &amp; levers'!$C$14="On",('Net zero Activity data'!AK8*EF!$H39*EF!$H57)*NtoN2O*kgtoGg,"ERROR"))</f>
        <v>0.46906920988966794</v>
      </c>
      <c r="S1102" s="93">
        <f>IF('Net zero activities &amp; levers'!$C$14="Off",('Activity data'!AL8*EF!$H39*EF!$H57)*NtoN2O*kgtoGg,IF('Net zero activities &amp; levers'!$C$14="On",('Net zero Activity data'!AL8*EF!$H39*EF!$H57)*NtoN2O*kgtoGg,"ERROR"))</f>
        <v>0.41264416115350733</v>
      </c>
      <c r="T1102" s="93">
        <f>IF('Net zero activities &amp; levers'!$C$14="Off",('Activity data'!AM8*EF!$H39*EF!$H57)*NtoN2O*kgtoGg,IF('Net zero activities &amp; levers'!$C$14="On",('Net zero Activity data'!AM8*EF!$H39*EF!$H57)*NtoN2O*kgtoGg,"ERROR"))</f>
        <v>0.41934674582080395</v>
      </c>
      <c r="U1102" s="93">
        <f>IF('Net zero activities &amp; levers'!$C$14="Off",('Activity data'!AN8*EF!$H39*EF!$H57)*NtoN2O*kgtoGg,IF('Net zero activities &amp; levers'!$C$14="On",('Net zero Activity data'!AN8*EF!$H39*EF!$H57)*NtoN2O*kgtoGg,"ERROR"))</f>
        <v>0.43185062896277993</v>
      </c>
      <c r="V1102" s="93">
        <f>IF('Net zero activities &amp; levers'!$C$14="Off",('Activity data'!AO8*EF!$H39*EF!$H57)*NtoN2O*kgtoGg,IF('Net zero activities &amp; levers'!$C$14="On",('Net zero Activity data'!AO8*EF!$H39*EF!$H57)*NtoN2O*kgtoGg,"ERROR"))</f>
        <v>0.43434779885132324</v>
      </c>
      <c r="W1102" s="93">
        <f>IF('Net zero activities &amp; levers'!$C$14="Off",('Activity data'!AP8*EF!$H39*EF!$H57)*NtoN2O*kgtoGg,IF('Net zero activities &amp; levers'!$C$14="On",('Net zero Activity data'!AP8*EF!$H39*EF!$H57)*NtoN2O*kgtoGg,"ERROR"))</f>
        <v>0.43794943602225234</v>
      </c>
      <c r="X1102" s="93">
        <f>IF('Net zero activities &amp; levers'!$C$14="Off",('Activity data'!AQ8*EF!$H39*EF!$H57)*NtoN2O*kgtoGg,IF('Net zero activities &amp; levers'!$C$14="On",('Net zero Activity data'!AQ8*EF!$H39*EF!$H57)*NtoN2O*kgtoGg,"ERROR"))</f>
        <v>0.44297379932068648</v>
      </c>
      <c r="Y1102" s="93">
        <f>IF('Net zero activities &amp; levers'!$C$14="Off",('Activity data'!AR8*EF!$H39*EF!$H57)*NtoN2O*kgtoGg,IF('Net zero activities &amp; levers'!$C$14="On",('Net zero Activity data'!AR8*EF!$H39*EF!$H57)*NtoN2O*kgtoGg,"ERROR"))</f>
        <v>0.44873697326986872</v>
      </c>
      <c r="Z1102" s="93">
        <f>IF('Net zero activities &amp; levers'!$C$14="Off",('Activity data'!AS8*EF!$H39*EF!$H57)*NtoN2O*kgtoGg,IF('Net zero activities &amp; levers'!$C$14="On",('Net zero Activity data'!AS8*EF!$H39*EF!$H57)*NtoN2O*kgtoGg,"ERROR"))</f>
        <v>0.45549399211939318</v>
      </c>
      <c r="AA1102" s="93">
        <f>IF('Net zero activities &amp; levers'!$C$14="Off",('Activity data'!AT8*EF!$H39*EF!$H57)*NtoN2O*kgtoGg,IF('Net zero activities &amp; levers'!$C$14="On",('Net zero Activity data'!AT8*EF!$H39*EF!$H57)*NtoN2O*kgtoGg,"ERROR"))</f>
        <v>0.46228217585155068</v>
      </c>
      <c r="AB1102" s="93">
        <f>IF('Net zero activities &amp; levers'!$C$14="Off",('Activity data'!AU8*EF!$H39*EF!$H57)*NtoN2O*kgtoGg,IF('Net zero activities &amp; levers'!$C$14="On",('Net zero Activity data'!AU8*EF!$H39*EF!$H57)*NtoN2O*kgtoGg,"ERROR"))</f>
        <v>0.46991678793970998</v>
      </c>
      <c r="AC1102" s="93">
        <f>IF('Net zero activities &amp; levers'!$C$14="Off",('Activity data'!AV8*EF!$H39*EF!$H57)*NtoN2O*kgtoGg,IF('Net zero activities &amp; levers'!$C$14="On",('Net zero Activity data'!AV8*EF!$H39*EF!$H57)*NtoN2O*kgtoGg,"ERROR"))</f>
        <v>0.47747563485930333</v>
      </c>
      <c r="AD1102" s="93">
        <f>IF('Net zero activities &amp; levers'!$C$14="Off",('Activity data'!AW8*EF!$H39*EF!$H57)*NtoN2O*kgtoGg,IF('Net zero activities &amp; levers'!$C$14="On",('Net zero Activity data'!AW8*EF!$H39*EF!$H57)*NtoN2O*kgtoGg,"ERROR"))</f>
        <v>0.48239948914340336</v>
      </c>
      <c r="AE1102" s="93">
        <f>IF('Net zero activities &amp; levers'!$C$14="Off",('Activity data'!AX8*EF!$H39*EF!$H57)*NtoN2O*kgtoGg,IF('Net zero activities &amp; levers'!$C$14="On",('Net zero Activity data'!AX8*EF!$H39*EF!$H57)*NtoN2O*kgtoGg,"ERROR"))</f>
        <v>0.48644231664639292</v>
      </c>
      <c r="AF1102" s="93">
        <f>IF('Net zero activities &amp; levers'!$C$14="Off",('Activity data'!AY8*EF!$H39*EF!$H57)*NtoN2O*kgtoGg,IF('Net zero activities &amp; levers'!$C$14="On",('Net zero Activity data'!AY8*EF!$H39*EF!$H57)*NtoN2O*kgtoGg,"ERROR"))</f>
        <v>0.49071333483501467</v>
      </c>
      <c r="AG1102" s="93">
        <f>IF('Net zero activities &amp; levers'!$C$14="Off",('Activity data'!AZ8*EF!$H39*EF!$H57)*NtoN2O*kgtoGg,IF('Net zero activities &amp; levers'!$C$14="On",('Net zero Activity data'!AZ8*EF!$H39*EF!$H57)*NtoN2O*kgtoGg,"ERROR"))</f>
        <v>0.49642790918475599</v>
      </c>
      <c r="AH1102" s="93">
        <f>IF('Net zero activities &amp; levers'!$C$14="Off",('Activity data'!BA8*EF!$H39*EF!$H57)*NtoN2O*kgtoGg,IF('Net zero activities &amp; levers'!$C$14="On",('Net zero Activity data'!BA8*EF!$H39*EF!$H57)*NtoN2O*kgtoGg,"ERROR"))</f>
        <v>0.50053763889453751</v>
      </c>
      <c r="AI1102" s="93">
        <f>IF('Net zero activities &amp; levers'!$C$14="Off",('Activity data'!BB8*EF!$H39*EF!$H57)*NtoN2O*kgtoGg,IF('Net zero activities &amp; levers'!$C$14="On",('Net zero Activity data'!BB8*EF!$H39*EF!$H57)*NtoN2O*kgtoGg,"ERROR"))</f>
        <v>0.50491759807835224</v>
      </c>
      <c r="AJ1102" s="93">
        <f>IF('Net zero activities &amp; levers'!$C$14="Off",('Activity data'!BC8*EF!$H39*EF!$H57)*NtoN2O*kgtoGg,IF('Net zero activities &amp; levers'!$C$14="On",('Net zero Activity data'!BC8*EF!$H39*EF!$H57)*NtoN2O*kgtoGg,"ERROR"))</f>
        <v>0.50973902676184191</v>
      </c>
      <c r="AK1102" s="93">
        <f>IF('Net zero activities &amp; levers'!$C$14="Off",('Activity data'!BD8*EF!$H39*EF!$H57)*NtoN2O*kgtoGg,IF('Net zero activities &amp; levers'!$C$14="On",('Net zero Activity data'!BD8*EF!$H39*EF!$H57)*NtoN2O*kgtoGg,"ERROR"))</f>
        <v>0.51274341869053752</v>
      </c>
      <c r="AL1102" s="93">
        <f>IF('Net zero activities &amp; levers'!$C$14="Off",('Activity data'!BE8*EF!$H39*EF!$H57)*NtoN2O*kgtoGg,IF('Net zero activities &amp; levers'!$C$14="On",('Net zero Activity data'!BE8*EF!$H39*EF!$H57)*NtoN2O*kgtoGg,"ERROR"))</f>
        <v>0.51499736836395149</v>
      </c>
      <c r="AM1102" s="93">
        <f>IF('Net zero activities &amp; levers'!$C$14="Off",('Activity data'!BF8*EF!$H39*EF!$H57)*NtoN2O*kgtoGg,IF('Net zero activities &amp; levers'!$C$14="On",('Net zero Activity data'!BF8*EF!$H39*EF!$H57)*NtoN2O*kgtoGg,"ERROR"))</f>
        <v>0.51656513471542254</v>
      </c>
      <c r="AN1102" s="93">
        <f>IF('Net zero activities &amp; levers'!$C$14="Off",('Activity data'!BG8*EF!$H39*EF!$H57)*NtoN2O*kgtoGg,IF('Net zero activities &amp; levers'!$C$14="On",('Net zero Activity data'!BG8*EF!$H39*EF!$H57)*NtoN2O*kgtoGg,"ERROR"))</f>
        <v>0.52143890594170261</v>
      </c>
      <c r="AO1102" s="93">
        <f>IF('Net zero activities &amp; levers'!$C$14="Off",('Activity data'!BH8*EF!$H39*EF!$H57)*NtoN2O*kgtoGg,IF('Net zero activities &amp; levers'!$C$14="On",('Net zero Activity data'!BH8*EF!$H39*EF!$H57)*NtoN2O*kgtoGg,"ERROR"))</f>
        <v>0.52514358906624359</v>
      </c>
      <c r="AP1102" s="93">
        <f>IF('Net zero activities &amp; levers'!$C$14="Off",('Activity data'!BI8*EF!$H39*EF!$H57)*NtoN2O*kgtoGg,IF('Net zero activities &amp; levers'!$C$14="On",('Net zero Activity data'!BI8*EF!$H39*EF!$H57)*NtoN2O*kgtoGg,"ERROR"))</f>
        <v>0.52889503602895283</v>
      </c>
      <c r="AQ1102" s="93">
        <f>IF('Net zero activities &amp; levers'!$C$14="Off",('Activity data'!BJ8*EF!$H39*EF!$H57)*NtoN2O*kgtoGg,IF('Net zero activities &amp; levers'!$C$14="On",('Net zero Activity data'!BJ8*EF!$H39*EF!$H57)*NtoN2O*kgtoGg,"ERROR"))</f>
        <v>0.53273616168720928</v>
      </c>
      <c r="AR1102" s="93">
        <f>IF('Net zero activities &amp; levers'!$C$14="Off",('Activity data'!BK8*EF!$H39*EF!$H57)*NtoN2O*kgtoGg,IF('Net zero activities &amp; levers'!$C$14="On",('Net zero Activity data'!BK8*EF!$H39*EF!$H57)*NtoN2O*kgtoGg,"ERROR"))</f>
        <v>0.53674442357271479</v>
      </c>
      <c r="AS1102" s="93">
        <f>IF('Net zero activities &amp; levers'!$C$14="Off",('Activity data'!BL8*EF!$H39*EF!$H57)*NtoN2O*kgtoGg,IF('Net zero activities &amp; levers'!$C$14="On",('Net zero Activity data'!BL8*EF!$H39*EF!$H57)*NtoN2O*kgtoGg,"ERROR"))</f>
        <v>0.54085984384551011</v>
      </c>
      <c r="AT1102" s="93">
        <f>IF('Net zero activities &amp; levers'!$C$14="Off",('Activity data'!BM8*EF!$H39*EF!$H57)*NtoN2O*kgtoGg,IF('Net zero activities &amp; levers'!$C$14="On",('Net zero Activity data'!BM8*EF!$H39*EF!$H57)*NtoN2O*kgtoGg,"ERROR"))</f>
        <v>0.53274169797877946</v>
      </c>
      <c r="AU1102" s="93">
        <f>IF('Net zero activities &amp; levers'!$C$14="Off",('Activity data'!BN8*EF!$H39*EF!$H57)*NtoN2O*kgtoGg,IF('Net zero activities &amp; levers'!$C$14="On",('Net zero Activity data'!BN8*EF!$H39*EF!$H57)*NtoN2O*kgtoGg,"ERROR"))</f>
        <v>0.52354520401592364</v>
      </c>
      <c r="AV1102" s="93">
        <f>IF('Net zero activities &amp; levers'!$C$14="Off",('Activity data'!BO8*EF!$H39*EF!$H57)*NtoN2O*kgtoGg,IF('Net zero activities &amp; levers'!$C$14="On",('Net zero Activity data'!BO8*EF!$H39*EF!$H57)*NtoN2O*kgtoGg,"ERROR"))</f>
        <v>0.51288351759282347</v>
      </c>
      <c r="AW1102" s="93">
        <f>IF('Net zero activities &amp; levers'!$C$14="Off",('Activity data'!BP8*EF!$H39*EF!$H57)*NtoN2O*kgtoGg,IF('Net zero activities &amp; levers'!$C$14="On",('Net zero Activity data'!BP8*EF!$H39*EF!$H57)*NtoN2O*kgtoGg,"ERROR"))</f>
        <v>0.50188770167031349</v>
      </c>
      <c r="AY1102" s="79"/>
    </row>
    <row r="1103" spans="1:51" x14ac:dyDescent="0.3">
      <c r="A1103" s="95" t="str">
        <f t="shared" si="374"/>
        <v>CM Cattle MMN2O</v>
      </c>
      <c r="B1103" s="95" t="s">
        <v>1322</v>
      </c>
      <c r="C1103" s="95" t="s">
        <v>1232</v>
      </c>
      <c r="D1103" t="s">
        <v>15</v>
      </c>
      <c r="E1103" t="s">
        <v>657</v>
      </c>
      <c r="F1103" t="s">
        <v>67</v>
      </c>
      <c r="G1103" t="s">
        <v>123</v>
      </c>
      <c r="H1103" t="s">
        <v>1227</v>
      </c>
      <c r="I1103" t="s">
        <v>139</v>
      </c>
      <c r="J1103" t="s">
        <v>287</v>
      </c>
      <c r="K1103" s="93">
        <f>IF('Net zero activities &amp; levers'!$C$14="Off",('Activity data'!AD9*EF!$H40*EF!$H58)*NtoN2O*kgtoGg,IF('Net zero activities &amp; levers'!$C$14="On",('Net zero Activity data'!AD9*EF!$H40*EF!$H58)*NtoN2O*kgtoGg,"ERROR"))</f>
        <v>0.80452586370517887</v>
      </c>
      <c r="L1103" s="93">
        <f>IF('Net zero activities &amp; levers'!$C$14="Off",('Activity data'!AE9*EF!$H40*EF!$H58)*NtoN2O*kgtoGg,IF('Net zero activities &amp; levers'!$C$14="On",('Net zero Activity data'!AE9*EF!$H40*EF!$H58)*NtoN2O*kgtoGg,"ERROR"))</f>
        <v>0.79754846782098032</v>
      </c>
      <c r="M1103" s="93">
        <f>IF('Net zero activities &amp; levers'!$C$14="Off",('Activity data'!AF9*EF!$H40*EF!$H58)*NtoN2O*kgtoGg,IF('Net zero activities &amp; levers'!$C$14="On",('Net zero Activity data'!AF9*EF!$H40*EF!$H58)*NtoN2O*kgtoGg,"ERROR"))</f>
        <v>0.79489238443144172</v>
      </c>
      <c r="N1103" s="93">
        <f>IF('Net zero activities &amp; levers'!$C$14="Off",('Activity data'!AG9*EF!$H40*EF!$H58)*NtoN2O*kgtoGg,IF('Net zero activities &amp; levers'!$C$14="On",('Net zero Activity data'!AG9*EF!$H40*EF!$H58)*NtoN2O*kgtoGg,"ERROR"))</f>
        <v>0.78427763712907439</v>
      </c>
      <c r="O1103" s="93">
        <f>IF('Net zero activities &amp; levers'!$C$14="Off",('Activity data'!AH9*EF!$H40*EF!$H58)*NtoN2O*kgtoGg,IF('Net zero activities &amp; levers'!$C$14="On",('Net zero Activity data'!AH9*EF!$H40*EF!$H58)*NtoN2O*kgtoGg,"ERROR"))</f>
        <v>0.76887007218962322</v>
      </c>
      <c r="P1103" s="93">
        <f>IF('Net zero activities &amp; levers'!$C$14="Off",('Activity data'!AI9*EF!$H40*EF!$H58)*NtoN2O*kgtoGg,IF('Net zero activities &amp; levers'!$C$14="On",('Net zero Activity data'!AI9*EF!$H40*EF!$H58)*NtoN2O*kgtoGg,"ERROR"))</f>
        <v>0.74898829393537225</v>
      </c>
      <c r="Q1103" s="93">
        <f>IF('Net zero activities &amp; levers'!$C$14="Off",('Activity data'!AJ9*EF!$H40*EF!$H58)*NtoN2O*kgtoGg,IF('Net zero activities &amp; levers'!$C$14="On",('Net zero Activity data'!AJ9*EF!$H40*EF!$H58)*NtoN2O*kgtoGg,"ERROR"))</f>
        <v>0.73330695394505496</v>
      </c>
      <c r="R1103" s="93">
        <f>IF('Net zero activities &amp; levers'!$C$14="Off",('Activity data'!AK9*EF!$H40*EF!$H58)*NtoN2O*kgtoGg,IF('Net zero activities &amp; levers'!$C$14="On",('Net zero Activity data'!AK9*EF!$H40*EF!$H58)*NtoN2O*kgtoGg,"ERROR"))</f>
        <v>0.71847062359542491</v>
      </c>
      <c r="S1103" s="93">
        <f>IF('Net zero activities &amp; levers'!$C$14="Off",('Activity data'!AL9*EF!$H40*EF!$H58)*NtoN2O*kgtoGg,IF('Net zero activities &amp; levers'!$C$14="On",('Net zero Activity data'!AL9*EF!$H40*EF!$H58)*NtoN2O*kgtoGg,"ERROR"))</f>
        <v>0.63204469945214758</v>
      </c>
      <c r="T1103" s="93">
        <f>IF('Net zero activities &amp; levers'!$C$14="Off",('Activity data'!AM9*EF!$H40*EF!$H58)*NtoN2O*kgtoGg,IF('Net zero activities &amp; levers'!$C$14="On",('Net zero Activity data'!AM9*EF!$H40*EF!$H58)*NtoN2O*kgtoGg,"ERROR"))</f>
        <v>0.6423110100180156</v>
      </c>
      <c r="U1103" s="93">
        <f>IF('Net zero activities &amp; levers'!$C$14="Off",('Activity data'!AN9*EF!$H40*EF!$H58)*NtoN2O*kgtoGg,IF('Net zero activities &amp; levers'!$C$14="On",('Net zero Activity data'!AN9*EF!$H40*EF!$H58)*NtoN2O*kgtoGg,"ERROR"))</f>
        <v>0.66146313624794417</v>
      </c>
      <c r="V1103" s="93">
        <f>IF('Net zero activities &amp; levers'!$C$14="Off",('Activity data'!AO9*EF!$H40*EF!$H58)*NtoN2O*kgtoGg,IF('Net zero activities &amp; levers'!$C$14="On",('Net zero Activity data'!AO9*EF!$H40*EF!$H58)*NtoN2O*kgtoGg,"ERROR"))</f>
        <v>0.6652880370711457</v>
      </c>
      <c r="W1103" s="93">
        <f>IF('Net zero activities &amp; levers'!$C$14="Off",('Activity data'!AP9*EF!$H40*EF!$H58)*NtoN2O*kgtoGg,IF('Net zero activities &amp; levers'!$C$14="On",('Net zero Activity data'!AP9*EF!$H40*EF!$H58)*NtoN2O*kgtoGg,"ERROR"))</f>
        <v>0.6708046441082407</v>
      </c>
      <c r="X1103" s="93">
        <f>IF('Net zero activities &amp; levers'!$C$14="Off",('Activity data'!AQ9*EF!$H40*EF!$H58)*NtoN2O*kgtoGg,IF('Net zero activities &amp; levers'!$C$14="On",('Net zero Activity data'!AQ9*EF!$H40*EF!$H58)*NtoN2O*kgtoGg,"ERROR"))</f>
        <v>0.67850043261042148</v>
      </c>
      <c r="Y1103" s="93">
        <f>IF('Net zero activities &amp; levers'!$C$14="Off",('Activity data'!AR9*EF!$H40*EF!$H58)*NtoN2O*kgtoGg,IF('Net zero activities &amp; levers'!$C$14="On",('Net zero Activity data'!AR9*EF!$H40*EF!$H58)*NtoN2O*kgtoGg,"ERROR"))</f>
        <v>0.68732785315702249</v>
      </c>
      <c r="Z1103" s="93">
        <f>IF('Net zero activities &amp; levers'!$C$14="Off",('Activity data'!AS9*EF!$H40*EF!$H58)*NtoN2O*kgtoGg,IF('Net zero activities &amp; levers'!$C$14="On",('Net zero Activity data'!AS9*EF!$H40*EF!$H58)*NtoN2O*kgtoGg,"ERROR"))</f>
        <v>0.69767754024819972</v>
      </c>
      <c r="AA1103" s="93">
        <f>IF('Net zero activities &amp; levers'!$C$14="Off",('Activity data'!AT9*EF!$H40*EF!$H58)*NtoN2O*kgtoGg,IF('Net zero activities &amp; levers'!$C$14="On",('Net zero Activity data'!AT9*EF!$H40*EF!$H58)*NtoN2O*kgtoGg,"ERROR"))</f>
        <v>0.70807496241170254</v>
      </c>
      <c r="AB1103" s="93">
        <f>IF('Net zero activities &amp; levers'!$C$14="Off",('Activity data'!AU9*EF!$H40*EF!$H58)*NtoN2O*kgtoGg,IF('Net zero activities &amp; levers'!$C$14="On",('Net zero Activity data'!AU9*EF!$H40*EF!$H58)*NtoN2O*kgtoGg,"ERROR"))</f>
        <v>0.71976885404270319</v>
      </c>
      <c r="AC1103" s="93">
        <f>IF('Net zero activities &amp; levers'!$C$14="Off",('Activity data'!AV9*EF!$H40*EF!$H58)*NtoN2O*kgtoGg,IF('Net zero activities &amp; levers'!$C$14="On",('Net zero Activity data'!AV9*EF!$H40*EF!$H58)*NtoN2O*kgtoGg,"ERROR"))</f>
        <v>0.73134669659873019</v>
      </c>
      <c r="AD1103" s="93">
        <f>IF('Net zero activities &amp; levers'!$C$14="Off",('Activity data'!AW9*EF!$H40*EF!$H58)*NtoN2O*kgtoGg,IF('Net zero activities &amp; levers'!$C$14="On",('Net zero Activity data'!AW9*EF!$H40*EF!$H58)*NtoN2O*kgtoGg,"ERROR"))</f>
        <v>0.73888853601902071</v>
      </c>
      <c r="AE1103" s="93">
        <f>IF('Net zero activities &amp; levers'!$C$14="Off",('Activity data'!AX9*EF!$H40*EF!$H58)*NtoN2O*kgtoGg,IF('Net zero activities &amp; levers'!$C$14="On",('Net zero Activity data'!AX9*EF!$H40*EF!$H58)*NtoN2O*kgtoGg,"ERROR"))</f>
        <v>0.74508091176213287</v>
      </c>
      <c r="AF1103" s="93">
        <f>IF('Net zero activities &amp; levers'!$C$14="Off",('Activity data'!AY9*EF!$H40*EF!$H58)*NtoN2O*kgtoGg,IF('Net zero activities &amp; levers'!$C$14="On",('Net zero Activity data'!AY9*EF!$H40*EF!$H58)*NtoN2O*kgtoGg,"ERROR"))</f>
        <v>0.7516228058721478</v>
      </c>
      <c r="AG1103" s="93">
        <f>IF('Net zero activities &amp; levers'!$C$14="Off",('Activity data'!AZ9*EF!$H40*EF!$H58)*NtoN2O*kgtoGg,IF('Net zero activities &amp; levers'!$C$14="On",('Net zero Activity data'!AZ9*EF!$H40*EF!$H58)*NtoN2O*kgtoGg,"ERROR"))</f>
        <v>0.76037578669049388</v>
      </c>
      <c r="AH1103" s="93">
        <f>IF('Net zero activities &amp; levers'!$C$14="Off",('Activity data'!BA9*EF!$H40*EF!$H58)*NtoN2O*kgtoGg,IF('Net zero activities &amp; levers'!$C$14="On",('Net zero Activity data'!BA9*EF!$H40*EF!$H58)*NtoN2O*kgtoGg,"ERROR"))</f>
        <v>0.76667063616076714</v>
      </c>
      <c r="AI1103" s="93">
        <f>IF('Net zero activities &amp; levers'!$C$14="Off",('Activity data'!BB9*EF!$H40*EF!$H58)*NtoN2O*kgtoGg,IF('Net zero activities &amp; levers'!$C$14="On",('Net zero Activity data'!BB9*EF!$H40*EF!$H58)*NtoN2O*kgtoGg,"ERROR"))</f>
        <v>0.77337939456948435</v>
      </c>
      <c r="AJ1103" s="93">
        <f>IF('Net zero activities &amp; levers'!$C$14="Off",('Activity data'!BC9*EF!$H40*EF!$H58)*NtoN2O*kgtoGg,IF('Net zero activities &amp; levers'!$C$14="On",('Net zero Activity data'!BC9*EF!$H40*EF!$H58)*NtoN2O*kgtoGg,"ERROR"))</f>
        <v>0.78076434928365657</v>
      </c>
      <c r="AK1103" s="93">
        <f>IF('Net zero activities &amp; levers'!$C$14="Off",('Activity data'!BD9*EF!$H40*EF!$H58)*NtoN2O*kgtoGg,IF('Net zero activities &amp; levers'!$C$14="On",('Net zero Activity data'!BD9*EF!$H40*EF!$H58)*NtoN2O*kgtoGg,"ERROR"))</f>
        <v>0.78536615920216046</v>
      </c>
      <c r="AL1103" s="93">
        <f>IF('Net zero activities &amp; levers'!$C$14="Off",('Activity data'!BE9*EF!$H40*EF!$H58)*NtoN2O*kgtoGg,IF('Net zero activities &amp; levers'!$C$14="On",('Net zero Activity data'!BE9*EF!$H40*EF!$H58)*NtoN2O*kgtoGg,"ERROR"))</f>
        <v>0.78881852101416539</v>
      </c>
      <c r="AM1103" s="93">
        <f>IF('Net zero activities &amp; levers'!$C$14="Off",('Activity data'!BF9*EF!$H40*EF!$H58)*NtoN2O*kgtoGg,IF('Net zero activities &amp; levers'!$C$14="On",('Net zero Activity data'!BF9*EF!$H40*EF!$H58)*NtoN2O*kgtoGg,"ERROR"))</f>
        <v>0.79121985976001552</v>
      </c>
      <c r="AN1103" s="93">
        <f>IF('Net zero activities &amp; levers'!$C$14="Off",('Activity data'!BG9*EF!$H40*EF!$H58)*NtoN2O*kgtoGg,IF('Net zero activities &amp; levers'!$C$14="On",('Net zero Activity data'!BG9*EF!$H40*EF!$H58)*NtoN2O*kgtoGg,"ERROR"))</f>
        <v>0.79868498724734416</v>
      </c>
      <c r="AO1103" s="93">
        <f>IF('Net zero activities &amp; levers'!$C$14="Off",('Activity data'!BH9*EF!$H40*EF!$H58)*NtoN2O*kgtoGg,IF('Net zero activities &amp; levers'!$C$14="On",('Net zero Activity data'!BH9*EF!$H40*EF!$H58)*NtoN2O*kgtoGg,"ERROR"))</f>
        <v>0.80435942918169867</v>
      </c>
      <c r="AP1103" s="93">
        <f>IF('Net zero activities &amp; levers'!$C$14="Off",('Activity data'!BI9*EF!$H40*EF!$H58)*NtoN2O*kgtoGg,IF('Net zero activities &amp; levers'!$C$14="On",('Net zero Activity data'!BI9*EF!$H40*EF!$H58)*NtoN2O*kgtoGg,"ERROR"))</f>
        <v>0.81010549901927509</v>
      </c>
      <c r="AQ1103" s="93">
        <f>IF('Net zero activities &amp; levers'!$C$14="Off",('Activity data'!BJ9*EF!$H40*EF!$H58)*NtoN2O*kgtoGg,IF('Net zero activities &amp; levers'!$C$14="On",('Net zero Activity data'!BJ9*EF!$H40*EF!$H58)*NtoN2O*kgtoGg,"ERROR"))</f>
        <v>0.81598892920145427</v>
      </c>
      <c r="AR1103" s="93">
        <f>IF('Net zero activities &amp; levers'!$C$14="Off",('Activity data'!BK9*EF!$H40*EF!$H58)*NtoN2O*kgtoGg,IF('Net zero activities &amp; levers'!$C$14="On",('Net zero Activity data'!BK9*EF!$H40*EF!$H58)*NtoN2O*kgtoGg,"ERROR"))</f>
        <v>0.82212836098613751</v>
      </c>
      <c r="AS1103" s="93">
        <f>IF('Net zero activities &amp; levers'!$C$14="Off",('Activity data'!BL9*EF!$H40*EF!$H58)*NtoN2O*kgtoGg,IF('Net zero activities &amp; levers'!$C$14="On",('Net zero Activity data'!BL9*EF!$H40*EF!$H58)*NtoN2O*kgtoGg,"ERROR"))</f>
        <v>0.82843192665920329</v>
      </c>
      <c r="AT1103" s="93">
        <f>IF('Net zero activities &amp; levers'!$C$14="Off",('Activity data'!BM9*EF!$H40*EF!$H58)*NtoN2O*kgtoGg,IF('Net zero activities &amp; levers'!$C$14="On",('Net zero Activity data'!BM9*EF!$H40*EF!$H58)*NtoN2O*kgtoGg,"ERROR"))</f>
        <v>0.81599740910755991</v>
      </c>
      <c r="AU1103" s="93">
        <f>IF('Net zero activities &amp; levers'!$C$14="Off",('Activity data'!BN9*EF!$H40*EF!$H58)*NtoN2O*kgtoGg,IF('Net zero activities &amp; levers'!$C$14="On",('Net zero Activity data'!BN9*EF!$H40*EF!$H58)*NtoN2O*kgtoGg,"ERROR"))</f>
        <v>0.80191119195009897</v>
      </c>
      <c r="AV1103" s="93">
        <f>IF('Net zero activities &amp; levers'!$C$14="Off",('Activity data'!BO9*EF!$H40*EF!$H58)*NtoN2O*kgtoGg,IF('Net zero activities &amp; levers'!$C$14="On",('Net zero Activity data'!BO9*EF!$H40*EF!$H58)*NtoN2O*kgtoGg,"ERROR"))</f>
        <v>0.78558074788879373</v>
      </c>
      <c r="AW1103" s="93">
        <f>IF('Net zero activities &amp; levers'!$C$14="Off",('Activity data'!BP9*EF!$H40*EF!$H58)*NtoN2O*kgtoGg,IF('Net zero activities &amp; levers'!$C$14="On",('Net zero Activity data'!BP9*EF!$H40*EF!$H58)*NtoN2O*kgtoGg,"ERROR"))</f>
        <v>0.76873851958597172</v>
      </c>
      <c r="AY1103" s="79"/>
    </row>
    <row r="1104" spans="1:51" x14ac:dyDescent="0.3">
      <c r="A1104" s="95" t="str">
        <f t="shared" si="374"/>
        <v>CM Cattle MMN2O</v>
      </c>
      <c r="B1104" s="95" t="s">
        <v>1322</v>
      </c>
      <c r="C1104" s="95" t="s">
        <v>1232</v>
      </c>
      <c r="D1104" t="s">
        <v>15</v>
      </c>
      <c r="E1104" t="s">
        <v>657</v>
      </c>
      <c r="F1104" t="s">
        <v>67</v>
      </c>
      <c r="G1104" t="s">
        <v>135</v>
      </c>
      <c r="H1104" t="s">
        <v>1227</v>
      </c>
      <c r="I1104" t="s">
        <v>139</v>
      </c>
      <c r="J1104" t="s">
        <v>287</v>
      </c>
      <c r="K1104" s="93">
        <f>IF('Net zero activities &amp; levers'!$C$14="Off",('Activity data'!AD10*EF!$H41*EF!$H59)*NtoN2O*kgtoGg,IF('Net zero activities &amp; levers'!$C$14="On",('Net zero Activity data'!AD10*EF!$H41*EF!$H59)*NtoN2O*kgtoGg,"ERROR"))</f>
        <v>0.97926119892671493</v>
      </c>
      <c r="L1104" s="93">
        <f>IF('Net zero activities &amp; levers'!$C$14="Off",('Activity data'!AE10*EF!$H41*EF!$H59)*NtoN2O*kgtoGg,IF('Net zero activities &amp; levers'!$C$14="On",('Net zero Activity data'!AE10*EF!$H41*EF!$H59)*NtoN2O*kgtoGg,"ERROR"))</f>
        <v>1.0122801448609142</v>
      </c>
      <c r="M1104" s="93">
        <f>IF('Net zero activities &amp; levers'!$C$14="Off",('Activity data'!AF10*EF!$H41*EF!$H59)*NtoN2O*kgtoGg,IF('Net zero activities &amp; levers'!$C$14="On",('Net zero Activity data'!AF10*EF!$H41*EF!$H59)*NtoN2O*kgtoGg,"ERROR"))</f>
        <v>1.0514701788925804</v>
      </c>
      <c r="N1104" s="93">
        <f>IF('Net zero activities &amp; levers'!$C$14="Off",('Activity data'!AG10*EF!$H41*EF!$H59)*NtoN2O*kgtoGg,IF('Net zero activities &amp; levers'!$C$14="On",('Net zero Activity data'!AG10*EF!$H41*EF!$H59)*NtoN2O*kgtoGg,"ERROR"))</f>
        <v>1.0806972456941153</v>
      </c>
      <c r="O1104" s="93">
        <f>IF('Net zero activities &amp; levers'!$C$14="Off",('Activity data'!AH10*EF!$H41*EF!$H59)*NtoN2O*kgtoGg,IF('Net zero activities &amp; levers'!$C$14="On",('Net zero Activity data'!AH10*EF!$H41*EF!$H59)*NtoN2O*kgtoGg,"ERROR"))</f>
        <v>1.1032367943433714</v>
      </c>
      <c r="P1104" s="93">
        <f>IF('Net zero activities &amp; levers'!$C$14="Off",('Activity data'!AI10*EF!$H41*EF!$H59)*NtoN2O*kgtoGg,IF('Net zero activities &amp; levers'!$C$14="On",('Net zero Activity data'!AI10*EF!$H41*EF!$H59)*NtoN2O*kgtoGg,"ERROR"))</f>
        <v>1.1187666946803865</v>
      </c>
      <c r="Q1104" s="93">
        <f>IF('Net zero activities &amp; levers'!$C$14="Off",('Activity data'!AJ10*EF!$H41*EF!$H59)*NtoN2O*kgtoGg,IF('Net zero activities &amp; levers'!$C$14="On",('Net zero Activity data'!AJ10*EF!$H41*EF!$H59)*NtoN2O*kgtoGg,"ERROR"))</f>
        <v>1.1399714801203362</v>
      </c>
      <c r="R1104" s="93">
        <f>IF('Net zero activities &amp; levers'!$C$14="Off",('Activity data'!AK10*EF!$H41*EF!$H59)*NtoN2O*kgtoGg,IF('Net zero activities &amp; levers'!$C$14="On",('Net zero Activity data'!AK10*EF!$H41*EF!$H59)*NtoN2O*kgtoGg,"ERROR"))</f>
        <v>1.1622002864669057</v>
      </c>
      <c r="S1104" s="93">
        <f>IF('Net zero activities &amp; levers'!$C$14="Off",('Activity data'!AL10*EF!$H41*EF!$H59)*NtoN2O*kgtoGg,IF('Net zero activities &amp; levers'!$C$14="On",('Net zero Activity data'!AL10*EF!$H41*EF!$H59)*NtoN2O*kgtoGg,"ERROR"))</f>
        <v>1.0637182358780759</v>
      </c>
      <c r="T1104" s="93">
        <f>IF('Net zero activities &amp; levers'!$C$14="Off",('Activity data'!AM10*EF!$H41*EF!$H59)*NtoN2O*kgtoGg,IF('Net zero activities &amp; levers'!$C$14="On",('Net zero Activity data'!AM10*EF!$H41*EF!$H59)*NtoN2O*kgtoGg,"ERROR"))</f>
        <v>1.1070403364801074</v>
      </c>
      <c r="U1104" s="93">
        <f>IF('Net zero activities &amp; levers'!$C$14="Off",('Activity data'!AN10*EF!$H41*EF!$H59)*NtoN2O*kgtoGg,IF('Net zero activities &amp; levers'!$C$14="On",('Net zero Activity data'!AN10*EF!$H41*EF!$H59)*NtoN2O*kgtoGg,"ERROR"))</f>
        <v>1.167139233674557</v>
      </c>
      <c r="V1104" s="93">
        <f>IF('Net zero activities &amp; levers'!$C$14="Off",('Activity data'!AO10*EF!$H41*EF!$H59)*NtoN2O*kgtoGg,IF('Net zero activities &amp; levers'!$C$14="On",('Net zero Activity data'!AO10*EF!$H41*EF!$H59)*NtoN2O*kgtoGg,"ERROR"))</f>
        <v>1.2014274387995842</v>
      </c>
      <c r="W1104" s="93">
        <f>IF('Net zero activities &amp; levers'!$C$14="Off",('Activity data'!AP10*EF!$H41*EF!$H59)*NtoN2O*kgtoGg,IF('Net zero activities &amp; levers'!$C$14="On",('Net zero Activity data'!AP10*EF!$H41*EF!$H59)*NtoN2O*kgtoGg,"ERROR"))</f>
        <v>1.2394742549139584</v>
      </c>
      <c r="X1104" s="93">
        <f>IF('Net zero activities &amp; levers'!$C$14="Off",('Activity data'!AQ10*EF!$H41*EF!$H59)*NtoN2O*kgtoGg,IF('Net zero activities &amp; levers'!$C$14="On",('Net zero Activity data'!AQ10*EF!$H41*EF!$H59)*NtoN2O*kgtoGg,"ERROR"))</f>
        <v>1.2824424199036168</v>
      </c>
      <c r="Y1104" s="93">
        <f>IF('Net zero activities &amp; levers'!$C$14="Off",('Activity data'!AR10*EF!$H41*EF!$H59)*NtoN2O*kgtoGg,IF('Net zero activities &amp; levers'!$C$14="On",('Net zero Activity data'!AR10*EF!$H41*EF!$H59)*NtoN2O*kgtoGg,"ERROR"))</f>
        <v>1.3286164007902908</v>
      </c>
      <c r="Z1104" s="93">
        <f>IF('Net zero activities &amp; levers'!$C$14="Off",('Activity data'!AS10*EF!$H41*EF!$H59)*NtoN2O*kgtoGg,IF('Net zero activities &amp; levers'!$C$14="On",('Net zero Activity data'!AS10*EF!$H41*EF!$H59)*NtoN2O*kgtoGg,"ERROR"))</f>
        <v>1.3789486454543383</v>
      </c>
      <c r="AA1104" s="93">
        <f>IF('Net zero activities &amp; levers'!$C$14="Off",('Activity data'!AT10*EF!$H41*EF!$H59)*NtoN2O*kgtoGg,IF('Net zero activities &amp; levers'!$C$14="On",('Net zero Activity data'!AT10*EF!$H41*EF!$H59)*NtoN2O*kgtoGg,"ERROR"))</f>
        <v>1.4306963818966387</v>
      </c>
      <c r="AB1104" s="93">
        <f>IF('Net zero activities &amp; levers'!$C$14="Off",('Activity data'!AU10*EF!$H41*EF!$H59)*NtoN2O*kgtoGg,IF('Net zero activities &amp; levers'!$C$14="On",('Net zero Activity data'!AU10*EF!$H41*EF!$H59)*NtoN2O*kgtoGg,"ERROR"))</f>
        <v>1.4864839183326823</v>
      </c>
      <c r="AC1104" s="93">
        <f>IF('Net zero activities &amp; levers'!$C$14="Off",('Activity data'!AV10*EF!$H41*EF!$H59)*NtoN2O*kgtoGg,IF('Net zero activities &amp; levers'!$C$14="On",('Net zero Activity data'!AV10*EF!$H41*EF!$H59)*NtoN2O*kgtoGg,"ERROR"))</f>
        <v>1.5435464944872577</v>
      </c>
      <c r="AD1104" s="93">
        <f>IF('Net zero activities &amp; levers'!$C$14="Off",('Activity data'!AW10*EF!$H41*EF!$H59)*NtoN2O*kgtoGg,IF('Net zero activities &amp; levers'!$C$14="On",('Net zero Activity data'!AW10*EF!$H41*EF!$H59)*NtoN2O*kgtoGg,"ERROR"))</f>
        <v>1.6111800014411353</v>
      </c>
      <c r="AE1104" s="93">
        <f>IF('Net zero activities &amp; levers'!$C$14="Off",('Activity data'!AX10*EF!$H41*EF!$H59)*NtoN2O*kgtoGg,IF('Net zero activities &amp; levers'!$C$14="On",('Net zero Activity data'!AX10*EF!$H41*EF!$H59)*NtoN2O*kgtoGg,"ERROR"))</f>
        <v>1.6786649286792732</v>
      </c>
      <c r="AF1104" s="93">
        <f>IF('Net zero activities &amp; levers'!$C$14="Off",('Activity data'!AY10*EF!$H41*EF!$H59)*NtoN2O*kgtoGg,IF('Net zero activities &amp; levers'!$C$14="On",('Net zero Activity data'!AY10*EF!$H41*EF!$H59)*NtoN2O*kgtoGg,"ERROR"))</f>
        <v>1.7498130115622672</v>
      </c>
      <c r="AG1104" s="93">
        <f>IF('Net zero activities &amp; levers'!$C$14="Off",('Activity data'!AZ10*EF!$H41*EF!$H59)*NtoN2O*kgtoGg,IF('Net zero activities &amp; levers'!$C$14="On",('Net zero Activity data'!AZ10*EF!$H41*EF!$H59)*NtoN2O*kgtoGg,"ERROR"))</f>
        <v>1.8293448328146484</v>
      </c>
      <c r="AH1104" s="93">
        <f>IF('Net zero activities &amp; levers'!$C$14="Off",('Activity data'!BA10*EF!$H41*EF!$H59)*NtoN2O*kgtoGg,IF('Net zero activities &amp; levers'!$C$14="On",('Net zero Activity data'!BA10*EF!$H41*EF!$H59)*NtoN2O*kgtoGg,"ERROR"))</f>
        <v>1.9063603244571439</v>
      </c>
      <c r="AI1104" s="93">
        <f>IF('Net zero activities &amp; levers'!$C$14="Off",('Activity data'!BB10*EF!$H41*EF!$H59)*NtoN2O*kgtoGg,IF('Net zero activities &amp; levers'!$C$14="On",('Net zero Activity data'!BB10*EF!$H41*EF!$H59)*NtoN2O*kgtoGg,"ERROR"))</f>
        <v>1.9878317329791768</v>
      </c>
      <c r="AJ1104" s="93">
        <f>IF('Net zero activities &amp; levers'!$C$14="Off",('Activity data'!BC10*EF!$H41*EF!$H59)*NtoN2O*kgtoGg,IF('Net zero activities &amp; levers'!$C$14="On",('Net zero Activity data'!BC10*EF!$H41*EF!$H59)*NtoN2O*kgtoGg,"ERROR"))</f>
        <v>2.0747636655461594</v>
      </c>
      <c r="AK1104" s="93">
        <f>IF('Net zero activities &amp; levers'!$C$14="Off",('Activity data'!BD10*EF!$H41*EF!$H59)*NtoN2O*kgtoGg,IF('Net zero activities &amp; levers'!$C$14="On",('Net zero Activity data'!BD10*EF!$H41*EF!$H59)*NtoN2O*kgtoGg,"ERROR"))</f>
        <v>2.1580530015142441</v>
      </c>
      <c r="AL1104" s="93">
        <f>IF('Net zero activities &amp; levers'!$C$14="Off",('Activity data'!BE10*EF!$H41*EF!$H59)*NtoN2O*kgtoGg,IF('Net zero activities &amp; levers'!$C$14="On",('Net zero Activity data'!BE10*EF!$H41*EF!$H59)*NtoN2O*kgtoGg,"ERROR"))</f>
        <v>2.2418001061580344</v>
      </c>
      <c r="AM1104" s="93">
        <f>IF('Net zero activities &amp; levers'!$C$14="Off",('Activity data'!BF10*EF!$H41*EF!$H59)*NtoN2O*kgtoGg,IF('Net zero activities &amp; levers'!$C$14="On",('Net zero Activity data'!BF10*EF!$H41*EF!$H59)*NtoN2O*kgtoGg,"ERROR"))</f>
        <v>2.326186702125502</v>
      </c>
      <c r="AN1104" s="93">
        <f>IF('Net zero activities &amp; levers'!$C$14="Off",('Activity data'!BG10*EF!$H41*EF!$H59)*NtoN2O*kgtoGg,IF('Net zero activities &amp; levers'!$C$14="On",('Net zero Activity data'!BG10*EF!$H41*EF!$H59)*NtoN2O*kgtoGg,"ERROR"))</f>
        <v>2.4143873382610392</v>
      </c>
      <c r="AO1104" s="93">
        <f>IF('Net zero activities &amp; levers'!$C$14="Off",('Activity data'!BH10*EF!$H41*EF!$H59)*NtoN2O*kgtoGg,IF('Net zero activities &amp; levers'!$C$14="On",('Net zero Activity data'!BH10*EF!$H41*EF!$H59)*NtoN2O*kgtoGg,"ERROR"))</f>
        <v>2.5003845769659914</v>
      </c>
      <c r="AP1104" s="93">
        <f>IF('Net zero activities &amp; levers'!$C$14="Off",('Activity data'!BI10*EF!$H41*EF!$H59)*NtoN2O*kgtoGg,IF('Net zero activities &amp; levers'!$C$14="On",('Net zero Activity data'!BI10*EF!$H41*EF!$H59)*NtoN2O*kgtoGg,"ERROR"))</f>
        <v>2.5898227222528956</v>
      </c>
      <c r="AQ1104" s="93">
        <f>IF('Net zero activities &amp; levers'!$C$14="Off",('Activity data'!BJ10*EF!$H41*EF!$H59)*NtoN2O*kgtoGg,IF('Net zero activities &amp; levers'!$C$14="On",('Net zero Activity data'!BJ10*EF!$H41*EF!$H59)*NtoN2O*kgtoGg,"ERROR"))</f>
        <v>2.6830977224212833</v>
      </c>
      <c r="AR1104" s="93">
        <f>IF('Net zero activities &amp; levers'!$C$14="Off",('Activity data'!BK10*EF!$H41*EF!$H59)*NtoN2O*kgtoGg,IF('Net zero activities &amp; levers'!$C$14="On",('Net zero Activity data'!BK10*EF!$H41*EF!$H59)*NtoN2O*kgtoGg,"ERROR"))</f>
        <v>2.7808208792989615</v>
      </c>
      <c r="AS1104" s="93">
        <f>IF('Net zero activities &amp; levers'!$C$14="Off",('Activity data'!BL10*EF!$H41*EF!$H59)*NtoN2O*kgtoGg,IF('Net zero activities &amp; levers'!$C$14="On",('Net zero Activity data'!BL10*EF!$H41*EF!$H59)*NtoN2O*kgtoGg,"ERROR"))</f>
        <v>2.8829310376391781</v>
      </c>
      <c r="AT1104" s="93">
        <f>IF('Net zero activities &amp; levers'!$C$14="Off",('Activity data'!BM10*EF!$H41*EF!$H59)*NtoN2O*kgtoGg,IF('Net zero activities &amp; levers'!$C$14="On",('Net zero Activity data'!BM10*EF!$H41*EF!$H59)*NtoN2O*kgtoGg,"ERROR"))</f>
        <v>2.9219897527083054</v>
      </c>
      <c r="AU1104" s="93">
        <f>IF('Net zero activities &amp; levers'!$C$14="Off",('Activity data'!BN10*EF!$H41*EF!$H59)*NtoN2O*kgtoGg,IF('Net zero activities &amp; levers'!$C$14="On",('Net zero Activity data'!BN10*EF!$H41*EF!$H59)*NtoN2O*kgtoGg,"ERROR"))</f>
        <v>2.955308116539189</v>
      </c>
      <c r="AV1104" s="93">
        <f>IF('Net zero activities &amp; levers'!$C$14="Off",('Activity data'!BO10*EF!$H41*EF!$H59)*NtoN2O*kgtoGg,IF('Net zero activities &amp; levers'!$C$14="On",('Net zero Activity data'!BO10*EF!$H41*EF!$H59)*NtoN2O*kgtoGg,"ERROR"))</f>
        <v>2.9801202079374365</v>
      </c>
      <c r="AW1104" s="93">
        <f>IF('Net zero activities &amp; levers'!$C$14="Off",('Activity data'!BP10*EF!$H41*EF!$H59)*NtoN2O*kgtoGg,IF('Net zero activities &amp; levers'!$C$14="On",('Net zero Activity data'!BP10*EF!$H41*EF!$H59)*NtoN2O*kgtoGg,"ERROR"))</f>
        <v>3.0024365734571252</v>
      </c>
      <c r="AY1104" s="79"/>
    </row>
    <row r="1105" spans="1:51" x14ac:dyDescent="0.3">
      <c r="A1105" s="95" t="str">
        <f t="shared" si="374"/>
        <v>CM Sheep MMN2O</v>
      </c>
      <c r="B1105" s="95" t="s">
        <v>1322</v>
      </c>
      <c r="C1105" s="95" t="s">
        <v>1328</v>
      </c>
      <c r="D1105" t="s">
        <v>15</v>
      </c>
      <c r="E1105" t="s">
        <v>657</v>
      </c>
      <c r="F1105" t="s">
        <v>18</v>
      </c>
      <c r="G1105" t="s">
        <v>122</v>
      </c>
      <c r="H1105" t="s">
        <v>1227</v>
      </c>
      <c r="I1105" t="s">
        <v>139</v>
      </c>
      <c r="J1105" t="s">
        <v>287</v>
      </c>
      <c r="K1105" s="93">
        <f>IF('Net zero activities &amp; levers'!$C$14="Off",('Activity data'!AD11*EF!$H42*EF!$H60)*NtoN2O*kgtoGg,IF('Net zero activities &amp; levers'!$C$14="On",('Net zero Activity data'!AD11*EF!$H42*EF!$H60)*NtoN2O*kgtoGg,"ERROR"))</f>
        <v>0.1171883187565219</v>
      </c>
      <c r="L1105" s="93">
        <f>IF('Net zero activities &amp; levers'!$C$14="Off",('Activity data'!AE11*EF!$H42*EF!$H60)*NtoN2O*kgtoGg,IF('Net zero activities &amp; levers'!$C$14="On",('Net zero Activity data'!AE11*EF!$H42*EF!$H60)*NtoN2O*kgtoGg,"ERROR"))</f>
        <v>0.11725168210757804</v>
      </c>
      <c r="M1105" s="93">
        <f>IF('Net zero activities &amp; levers'!$C$14="Off",('Activity data'!AF11*EF!$H42*EF!$H60)*NtoN2O*kgtoGg,IF('Net zero activities &amp; levers'!$C$14="On",('Net zero Activity data'!AF11*EF!$H42*EF!$H60)*NtoN2O*kgtoGg,"ERROR"))</f>
        <v>0.11740318150277541</v>
      </c>
      <c r="N1105" s="93">
        <f>IF('Net zero activities &amp; levers'!$C$14="Off",('Activity data'!AG11*EF!$H42*EF!$H60)*NtoN2O*kgtoGg,IF('Net zero activities &amp; levers'!$C$14="On",('Net zero Activity data'!AG11*EF!$H42*EF!$H60)*NtoN2O*kgtoGg,"ERROR"))</f>
        <v>0.11762656857541021</v>
      </c>
      <c r="O1105" s="93">
        <f>IF('Net zero activities &amp; levers'!$C$14="Off",('Activity data'!AH11*EF!$H42*EF!$H60)*NtoN2O*kgtoGg,IF('Net zero activities &amp; levers'!$C$14="On",('Net zero Activity data'!AH11*EF!$H42*EF!$H60)*NtoN2O*kgtoGg,"ERROR"))</f>
        <v>0.1179204237689029</v>
      </c>
      <c r="P1105" s="93">
        <f>IF('Net zero activities &amp; levers'!$C$14="Off",('Activity data'!AI11*EF!$H42*EF!$H60)*NtoN2O*kgtoGg,IF('Net zero activities &amp; levers'!$C$14="On",('Net zero Activity data'!AI11*EF!$H42*EF!$H60)*NtoN2O*kgtoGg,"ERROR"))</f>
        <v>0.11828164409401502</v>
      </c>
      <c r="Q1105" s="93">
        <f>IF('Net zero activities &amp; levers'!$C$14="Off",('Activity data'!AJ11*EF!$H42*EF!$H60)*NtoN2O*kgtoGg,IF('Net zero activities &amp; levers'!$C$14="On",('Net zero Activity data'!AJ11*EF!$H42*EF!$H60)*NtoN2O*kgtoGg,"ERROR"))</f>
        <v>0.1186873438242913</v>
      </c>
      <c r="R1105" s="93">
        <f>IF('Net zero activities &amp; levers'!$C$14="Off",('Activity data'!AK11*EF!$H42*EF!$H60)*NtoN2O*kgtoGg,IF('Net zero activities &amp; levers'!$C$14="On",('Net zero Activity data'!AK11*EF!$H42*EF!$H60)*NtoN2O*kgtoGg,"ERROR"))</f>
        <v>0.11913496163447934</v>
      </c>
      <c r="S1105" s="93">
        <f>IF('Net zero activities &amp; levers'!$C$14="Off",('Activity data'!AL11*EF!$H42*EF!$H60)*NtoN2O*kgtoGg,IF('Net zero activities &amp; levers'!$C$14="On",('Net zero Activity data'!AL11*EF!$H42*EF!$H60)*NtoN2O*kgtoGg,"ERROR"))</f>
        <v>0.11954428347803586</v>
      </c>
      <c r="T1105" s="93">
        <f>IF('Net zero activities &amp; levers'!$C$14="Off",('Activity data'!AM11*EF!$H42*EF!$H60)*NtoN2O*kgtoGg,IF('Net zero activities &amp; levers'!$C$14="On",('Net zero Activity data'!AM11*EF!$H42*EF!$H60)*NtoN2O*kgtoGg,"ERROR"))</f>
        <v>0.11972414940561894</v>
      </c>
      <c r="U1105" s="93">
        <f>IF('Net zero activities &amp; levers'!$C$14="Off",('Activity data'!AN11*EF!$H42*EF!$H60)*NtoN2O*kgtoGg,IF('Net zero activities &amp; levers'!$C$14="On",('Net zero Activity data'!AN11*EF!$H42*EF!$H60)*NtoN2O*kgtoGg,"ERROR"))</f>
        <v>0.11994380434419684</v>
      </c>
      <c r="V1105" s="93">
        <f>IF('Net zero activities &amp; levers'!$C$14="Off",('Activity data'!AO11*EF!$H42*EF!$H60)*NtoN2O*kgtoGg,IF('Net zero activities &amp; levers'!$C$14="On",('Net zero Activity data'!AO11*EF!$H42*EF!$H60)*NtoN2O*kgtoGg,"ERROR"))</f>
        <v>0.12017467883012861</v>
      </c>
      <c r="W1105" s="93">
        <f>IF('Net zero activities &amp; levers'!$C$14="Off",('Activity data'!AP11*EF!$H42*EF!$H60)*NtoN2O*kgtoGg,IF('Net zero activities &amp; levers'!$C$14="On",('Net zero Activity data'!AP11*EF!$H42*EF!$H60)*NtoN2O*kgtoGg,"ERROR"))</f>
        <v>0.12043388472990403</v>
      </c>
      <c r="X1105" s="93">
        <f>IF('Net zero activities &amp; levers'!$C$14="Off",('Activity data'!AQ11*EF!$H42*EF!$H60)*NtoN2O*kgtoGg,IF('Net zero activities &amp; levers'!$C$14="On",('Net zero Activity data'!AQ11*EF!$H42*EF!$H60)*NtoN2O*kgtoGg,"ERROR"))</f>
        <v>0.12072069678028939</v>
      </c>
      <c r="Y1105" s="93">
        <f>IF('Net zero activities &amp; levers'!$C$14="Off",('Activity data'!AR11*EF!$H42*EF!$H60)*NtoN2O*kgtoGg,IF('Net zero activities &amp; levers'!$C$14="On",('Net zero Activity data'!AR11*EF!$H42*EF!$H60)*NtoN2O*kgtoGg,"ERROR"))</f>
        <v>0.12089981812671623</v>
      </c>
      <c r="Z1105" s="93">
        <f>IF('Net zero activities &amp; levers'!$C$14="Off",('Activity data'!AS11*EF!$H42*EF!$H60)*NtoN2O*kgtoGg,IF('Net zero activities &amp; levers'!$C$14="On",('Net zero Activity data'!AS11*EF!$H42*EF!$H60)*NtoN2O*kgtoGg,"ERROR"))</f>
        <v>0.12110217984152867</v>
      </c>
      <c r="AA1105" s="93">
        <f>IF('Net zero activities &amp; levers'!$C$14="Off",('Activity data'!AT11*EF!$H42*EF!$H60)*NtoN2O*kgtoGg,IF('Net zero activities &amp; levers'!$C$14="On",('Net zero Activity data'!AT11*EF!$H42*EF!$H60)*NtoN2O*kgtoGg,"ERROR"))</f>
        <v>0.12132504756910802</v>
      </c>
      <c r="AB1105" s="93">
        <f>IF('Net zero activities &amp; levers'!$C$14="Off",('Activity data'!AU11*EF!$H42*EF!$H60)*NtoN2O*kgtoGg,IF('Net zero activities &amp; levers'!$C$14="On",('Net zero Activity data'!AU11*EF!$H42*EF!$H60)*NtoN2O*kgtoGg,"ERROR"))</f>
        <v>0.12156903411725499</v>
      </c>
      <c r="AC1105" s="93">
        <f>IF('Net zero activities &amp; levers'!$C$14="Off",('Activity data'!AV11*EF!$H42*EF!$H60)*NtoN2O*kgtoGg,IF('Net zero activities &amp; levers'!$C$14="On",('Net zero Activity data'!AV11*EF!$H42*EF!$H60)*NtoN2O*kgtoGg,"ERROR"))</f>
        <v>0.12183162117803532</v>
      </c>
      <c r="AD1105" s="93">
        <f>IF('Net zero activities &amp; levers'!$C$14="Off",('Activity data'!AW11*EF!$H42*EF!$H60)*NtoN2O*kgtoGg,IF('Net zero activities &amp; levers'!$C$14="On",('Net zero Activity data'!AW11*EF!$H42*EF!$H60)*NtoN2O*kgtoGg,"ERROR"))</f>
        <v>0.12200776858907328</v>
      </c>
      <c r="AE1105" s="93">
        <f>IF('Net zero activities &amp; levers'!$C$14="Off",('Activity data'!AX11*EF!$H42*EF!$H60)*NtoN2O*kgtoGg,IF('Net zero activities &amp; levers'!$C$14="On",('Net zero Activity data'!AX11*EF!$H42*EF!$H60)*NtoN2O*kgtoGg,"ERROR"))</f>
        <v>0.12219899661673859</v>
      </c>
      <c r="AF1105" s="93">
        <f>IF('Net zero activities &amp; levers'!$C$14="Off",('Activity data'!AY11*EF!$H42*EF!$H60)*NtoN2O*kgtoGg,IF('Net zero activities &amp; levers'!$C$14="On",('Net zero Activity data'!AY11*EF!$H42*EF!$H60)*NtoN2O*kgtoGg,"ERROR"))</f>
        <v>0.12240684242118335</v>
      </c>
      <c r="AG1105" s="93">
        <f>IF('Net zero activities &amp; levers'!$C$14="Off",('Activity data'!AZ11*EF!$H42*EF!$H60)*NtoN2O*kgtoGg,IF('Net zero activities &amp; levers'!$C$14="On",('Net zero Activity data'!AZ11*EF!$H42*EF!$H60)*NtoN2O*kgtoGg,"ERROR"))</f>
        <v>0.12263333491271973</v>
      </c>
      <c r="AH1105" s="93">
        <f>IF('Net zero activities &amp; levers'!$C$14="Off",('Activity data'!BA11*EF!$H42*EF!$H60)*NtoN2O*kgtoGg,IF('Net zero activities &amp; levers'!$C$14="On",('Net zero Activity data'!BA11*EF!$H42*EF!$H60)*NtoN2O*kgtoGg,"ERROR"))</f>
        <v>0.12287167298468532</v>
      </c>
      <c r="AI1105" s="93">
        <f>IF('Net zero activities &amp; levers'!$C$14="Off",('Activity data'!BB11*EF!$H42*EF!$H60)*NtoN2O*kgtoGg,IF('Net zero activities &amp; levers'!$C$14="On",('Net zero Activity data'!BB11*EF!$H42*EF!$H60)*NtoN2O*kgtoGg,"ERROR"))</f>
        <v>0.12302401792252464</v>
      </c>
      <c r="AJ1105" s="93">
        <f>IF('Net zero activities &amp; levers'!$C$14="Off",('Activity data'!BC11*EF!$H42*EF!$H60)*NtoN2O*kgtoGg,IF('Net zero activities &amp; levers'!$C$14="On",('Net zero Activity data'!BC11*EF!$H42*EF!$H60)*NtoN2O*kgtoGg,"ERROR"))</f>
        <v>0.12319088645114676</v>
      </c>
      <c r="AK1105" s="93">
        <f>IF('Net zero activities &amp; levers'!$C$14="Off",('Activity data'!BD11*EF!$H42*EF!$H60)*NtoN2O*kgtoGg,IF('Net zero activities &amp; levers'!$C$14="On",('Net zero Activity data'!BD11*EF!$H42*EF!$H60)*NtoN2O*kgtoGg,"ERROR"))</f>
        <v>0.12336677489796816</v>
      </c>
      <c r="AL1105" s="93">
        <f>IF('Net zero activities &amp; levers'!$C$14="Off",('Activity data'!BE11*EF!$H42*EF!$H60)*NtoN2O*kgtoGg,IF('Net zero activities &amp; levers'!$C$14="On",('Net zero Activity data'!BE11*EF!$H42*EF!$H60)*NtoN2O*kgtoGg,"ERROR"))</f>
        <v>0.12355355577482134</v>
      </c>
      <c r="AM1105" s="93">
        <f>IF('Net zero activities &amp; levers'!$C$14="Off",('Activity data'!BF11*EF!$H42*EF!$H60)*NtoN2O*kgtoGg,IF('Net zero activities &amp; levers'!$C$14="On",('Net zero Activity data'!BF11*EF!$H42*EF!$H60)*NtoN2O*kgtoGg,"ERROR"))</f>
        <v>0.12375094588099321</v>
      </c>
      <c r="AN1105" s="93">
        <f>IF('Net zero activities &amp; levers'!$C$14="Off",('Activity data'!BG11*EF!$H42*EF!$H60)*NtoN2O*kgtoGg,IF('Net zero activities &amp; levers'!$C$14="On",('Net zero Activity data'!BG11*EF!$H42*EF!$H60)*NtoN2O*kgtoGg,"ERROR"))</f>
        <v>0.12386757855810271</v>
      </c>
      <c r="AO1105" s="93">
        <f>IF('Net zero activities &amp; levers'!$C$14="Off",('Activity data'!BH11*EF!$H42*EF!$H60)*NtoN2O*kgtoGg,IF('Net zero activities &amp; levers'!$C$14="On",('Net zero Activity data'!BH11*EF!$H42*EF!$H60)*NtoN2O*kgtoGg,"ERROR"))</f>
        <v>0.12399208535623993</v>
      </c>
      <c r="AP1105" s="93">
        <f>IF('Net zero activities &amp; levers'!$C$14="Off",('Activity data'!BI11*EF!$H42*EF!$H60)*NtoN2O*kgtoGg,IF('Net zero activities &amp; levers'!$C$14="On",('Net zero Activity data'!BI11*EF!$H42*EF!$H60)*NtoN2O*kgtoGg,"ERROR"))</f>
        <v>0.12412714040619617</v>
      </c>
      <c r="AQ1105" s="93">
        <f>IF('Net zero activities &amp; levers'!$C$14="Off",('Activity data'!BJ11*EF!$H42*EF!$H60)*NtoN2O*kgtoGg,IF('Net zero activities &amp; levers'!$C$14="On",('Net zero Activity data'!BJ11*EF!$H42*EF!$H60)*NtoN2O*kgtoGg,"ERROR"))</f>
        <v>0.1242726131383893</v>
      </c>
      <c r="AR1105" s="93">
        <f>IF('Net zero activities &amp; levers'!$C$14="Off",('Activity data'!BK11*EF!$H42*EF!$H60)*NtoN2O*kgtoGg,IF('Net zero activities &amp; levers'!$C$14="On",('Net zero Activity data'!BK11*EF!$H42*EF!$H60)*NtoN2O*kgtoGg,"ERROR"))</f>
        <v>0.12442850053815514</v>
      </c>
      <c r="AS1105" s="93">
        <f>IF('Net zero activities &amp; levers'!$C$14="Off",('Activity data'!BL11*EF!$H42*EF!$H60)*NtoN2O*kgtoGg,IF('Net zero activities &amp; levers'!$C$14="On",('Net zero Activity data'!BL11*EF!$H42*EF!$H60)*NtoN2O*kgtoGg,"ERROR"))</f>
        <v>0.12449922291454818</v>
      </c>
      <c r="AT1105" s="93">
        <f>IF('Net zero activities &amp; levers'!$C$14="Off",('Activity data'!BM11*EF!$H42*EF!$H60)*NtoN2O*kgtoGg,IF('Net zero activities &amp; levers'!$C$14="On",('Net zero Activity data'!BM11*EF!$H42*EF!$H60)*NtoN2O*kgtoGg,"ERROR"))</f>
        <v>0.12454479881058539</v>
      </c>
      <c r="AU1105" s="93">
        <f>IF('Net zero activities &amp; levers'!$C$14="Off",('Activity data'!BN11*EF!$H42*EF!$H60)*NtoN2O*kgtoGg,IF('Net zero activities &amp; levers'!$C$14="On",('Net zero Activity data'!BN11*EF!$H42*EF!$H60)*NtoN2O*kgtoGg,"ERROR"))</f>
        <v>0.12459475860623467</v>
      </c>
      <c r="AV1105" s="93">
        <f>IF('Net zero activities &amp; levers'!$C$14="Off",('Activity data'!BO11*EF!$H42*EF!$H60)*NtoN2O*kgtoGg,IF('Net zero activities &amp; levers'!$C$14="On",('Net zero Activity data'!BO11*EF!$H42*EF!$H60)*NtoN2O*kgtoGg,"ERROR"))</f>
        <v>0.12464752954530567</v>
      </c>
      <c r="AW1105" s="93">
        <f>IF('Net zero activities &amp; levers'!$C$14="Off",('Activity data'!BP11*EF!$H42*EF!$H60)*NtoN2O*kgtoGg,IF('Net zero activities &amp; levers'!$C$14="On",('Net zero Activity data'!BP11*EF!$H42*EF!$H60)*NtoN2O*kgtoGg,"ERROR"))</f>
        <v>0.12470598620434532</v>
      </c>
      <c r="AY1105" s="79"/>
    </row>
    <row r="1106" spans="1:51" x14ac:dyDescent="0.3">
      <c r="A1106" s="95" t="str">
        <f t="shared" si="374"/>
        <v>CM Sheep MMN2O</v>
      </c>
      <c r="B1106" s="95" t="s">
        <v>1322</v>
      </c>
      <c r="C1106" s="95" t="s">
        <v>1328</v>
      </c>
      <c r="D1106" t="s">
        <v>15</v>
      </c>
      <c r="E1106" t="s">
        <v>657</v>
      </c>
      <c r="F1106" t="s">
        <v>18</v>
      </c>
      <c r="G1106" t="s">
        <v>123</v>
      </c>
      <c r="H1106" t="s">
        <v>1227</v>
      </c>
      <c r="I1106" t="s">
        <v>139</v>
      </c>
      <c r="J1106" t="s">
        <v>287</v>
      </c>
      <c r="K1106" s="93">
        <f>IF('Net zero activities &amp; levers'!$C$14="Off",('Activity data'!AD12*EF!$H43*EF!$H61)*NtoN2O*kgtoGg,IF('Net zero activities &amp; levers'!$C$14="On",('Net zero Activity data'!AD12*EF!$H43*EF!$H61)*NtoN2O*kgtoGg,"ERROR"))</f>
        <v>6.266545072674834E-2</v>
      </c>
      <c r="L1106" s="93">
        <f>IF('Net zero activities &amp; levers'!$C$14="Off",('Activity data'!AE12*EF!$H43*EF!$H61)*NtoN2O*kgtoGg,IF('Net zero activities &amp; levers'!$C$14="On",('Net zero Activity data'!AE12*EF!$H43*EF!$H61)*NtoN2O*kgtoGg,"ERROR"))</f>
        <v>6.269933373655362E-2</v>
      </c>
      <c r="M1106" s="93">
        <f>IF('Net zero activities &amp; levers'!$C$14="Off",('Activity data'!AF12*EF!$H43*EF!$H61)*NtoN2O*kgtoGg,IF('Net zero activities &amp; levers'!$C$14="On",('Net zero Activity data'!AF12*EF!$H43*EF!$H61)*NtoN2O*kgtoGg,"ERROR"))</f>
        <v>6.2780346741822493E-2</v>
      </c>
      <c r="N1106" s="93">
        <f>IF('Net zero activities &amp; levers'!$C$14="Off",('Activity data'!AG12*EF!$H43*EF!$H61)*NtoN2O*kgtoGg,IF('Net zero activities &amp; levers'!$C$14="On",('Net zero Activity data'!AG12*EF!$H43*EF!$H61)*NtoN2O*kgtoGg,"ERROR"))</f>
        <v>6.2899801067490158E-2</v>
      </c>
      <c r="O1106" s="93">
        <f>IF('Net zero activities &amp; levers'!$C$14="Off",('Activity data'!AH12*EF!$H43*EF!$H61)*NtoN2O*kgtoGg,IF('Net zero activities &amp; levers'!$C$14="On",('Net zero Activity data'!AH12*EF!$H43*EF!$H61)*NtoN2O*kgtoGg,"ERROR"))</f>
        <v>6.3056937617822231E-2</v>
      </c>
      <c r="P1106" s="93">
        <f>IF('Net zero activities &amp; levers'!$C$14="Off",('Activity data'!AI12*EF!$H43*EF!$H61)*NtoN2O*kgtoGg,IF('Net zero activities &amp; levers'!$C$14="On",('Net zero Activity data'!AI12*EF!$H43*EF!$H61)*NtoN2O*kgtoGg,"ERROR"))</f>
        <v>6.3250097095874355E-2</v>
      </c>
      <c r="Q1106" s="93">
        <f>IF('Net zero activities &amp; levers'!$C$14="Off",('Activity data'!AJ12*EF!$H43*EF!$H61)*NtoN2O*kgtoGg,IF('Net zero activities &amp; levers'!$C$14="On",('Net zero Activity data'!AJ12*EF!$H43*EF!$H61)*NtoN2O*kgtoGg,"ERROR"))</f>
        <v>6.3467041555247503E-2</v>
      </c>
      <c r="R1106" s="93">
        <f>IF('Net zero activities &amp; levers'!$C$14="Off",('Activity data'!AK12*EF!$H43*EF!$H61)*NtoN2O*kgtoGg,IF('Net zero activities &amp; levers'!$C$14="On",('Net zero Activity data'!AK12*EF!$H43*EF!$H61)*NtoN2O*kgtoGg,"ERROR"))</f>
        <v>6.3706401349179126E-2</v>
      </c>
      <c r="S1106" s="93">
        <f>IF('Net zero activities &amp; levers'!$C$14="Off",('Activity data'!AL12*EF!$H43*EF!$H61)*NtoN2O*kgtoGg,IF('Net zero activities &amp; levers'!$C$14="On",('Net zero Activity data'!AL12*EF!$H43*EF!$H61)*NtoN2O*kgtoGg,"ERROR"))</f>
        <v>6.3925282702636074E-2</v>
      </c>
      <c r="T1106" s="93">
        <f>IF('Net zero activities &amp; levers'!$C$14="Off",('Activity data'!AM12*EF!$H43*EF!$H61)*NtoN2O*kgtoGg,IF('Net zero activities &amp; levers'!$C$14="On",('Net zero Activity data'!AM12*EF!$H43*EF!$H61)*NtoN2O*kgtoGg,"ERROR"))</f>
        <v>6.402146446837842E-2</v>
      </c>
      <c r="U1106" s="93">
        <f>IF('Net zero activities &amp; levers'!$C$14="Off",('Activity data'!AN12*EF!$H43*EF!$H61)*NtoN2O*kgtoGg,IF('Net zero activities &amp; levers'!$C$14="On",('Net zero Activity data'!AN12*EF!$H43*EF!$H61)*NtoN2O*kgtoGg,"ERROR"))</f>
        <v>6.4138923067293366E-2</v>
      </c>
      <c r="V1106" s="93">
        <f>IF('Net zero activities &amp; levers'!$C$14="Off",('Activity data'!AO12*EF!$H43*EF!$H61)*NtoN2O*kgtoGg,IF('Net zero activities &amp; levers'!$C$14="On",('Net zero Activity data'!AO12*EF!$H43*EF!$H61)*NtoN2O*kgtoGg,"ERROR"))</f>
        <v>6.4262381223155141E-2</v>
      </c>
      <c r="W1106" s="93">
        <f>IF('Net zero activities &amp; levers'!$C$14="Off",('Activity data'!AP12*EF!$H43*EF!$H61)*NtoN2O*kgtoGg,IF('Net zero activities &amp; levers'!$C$14="On",('Net zero Activity data'!AP12*EF!$H43*EF!$H61)*NtoN2O*kgtoGg,"ERROR"))</f>
        <v>6.4400989360150498E-2</v>
      </c>
      <c r="X1106" s="93">
        <f>IF('Net zero activities &amp; levers'!$C$14="Off",('Activity data'!AQ12*EF!$H43*EF!$H61)*NtoN2O*kgtoGg,IF('Net zero activities &amp; levers'!$C$14="On",('Net zero Activity data'!AQ12*EF!$H43*EF!$H61)*NtoN2O*kgtoGg,"ERROR"))</f>
        <v>6.4554359649970958E-2</v>
      </c>
      <c r="Y1106" s="93">
        <f>IF('Net zero activities &amp; levers'!$C$14="Off",('Activity data'!AR12*EF!$H43*EF!$H61)*NtoN2O*kgtoGg,IF('Net zero activities &amp; levers'!$C$14="On",('Net zero Activity data'!AR12*EF!$H43*EF!$H61)*NtoN2O*kgtoGg,"ERROR"))</f>
        <v>6.4650143257311041E-2</v>
      </c>
      <c r="Z1106" s="93">
        <f>IF('Net zero activities &amp; levers'!$C$14="Off",('Activity data'!AS12*EF!$H43*EF!$H61)*NtoN2O*kgtoGg,IF('Net zero activities &amp; levers'!$C$14="On",('Net zero Activity data'!AS12*EF!$H43*EF!$H61)*NtoN2O*kgtoGg,"ERROR"))</f>
        <v>6.4758354452787853E-2</v>
      </c>
      <c r="AA1106" s="93">
        <f>IF('Net zero activities &amp; levers'!$C$14="Off",('Activity data'!AT12*EF!$H43*EF!$H61)*NtoN2O*kgtoGg,IF('Net zero activities &amp; levers'!$C$14="On",('Net zero Activity data'!AT12*EF!$H43*EF!$H61)*NtoN2O*kgtoGg,"ERROR"))</f>
        <v>6.4877531063130933E-2</v>
      </c>
      <c r="AB1106" s="93">
        <f>IF('Net zero activities &amp; levers'!$C$14="Off",('Activity data'!AU12*EF!$H43*EF!$H61)*NtoN2O*kgtoGg,IF('Net zero activities &amp; levers'!$C$14="On",('Net zero Activity data'!AU12*EF!$H43*EF!$H61)*NtoN2O*kgtoGg,"ERROR"))</f>
        <v>6.500800078206817E-2</v>
      </c>
      <c r="AC1106" s="93">
        <f>IF('Net zero activities &amp; levers'!$C$14="Off",('Activity data'!AV12*EF!$H43*EF!$H61)*NtoN2O*kgtoGg,IF('Net zero activities &amp; levers'!$C$14="On",('Net zero Activity data'!AV12*EF!$H43*EF!$H61)*NtoN2O*kgtoGg,"ERROR"))</f>
        <v>6.5148416965979825E-2</v>
      </c>
      <c r="AD1106" s="93">
        <f>IF('Net zero activities &amp; levers'!$C$14="Off",('Activity data'!AW12*EF!$H43*EF!$H61)*NtoN2O*kgtoGg,IF('Net zero activities &amp; levers'!$C$14="On",('Net zero Activity data'!AW12*EF!$H43*EF!$H61)*NtoN2O*kgtoGg,"ERROR"))</f>
        <v>6.5242610286817326E-2</v>
      </c>
      <c r="AE1106" s="93">
        <f>IF('Net zero activities &amp; levers'!$C$14="Off",('Activity data'!AX12*EF!$H43*EF!$H61)*NtoN2O*kgtoGg,IF('Net zero activities &amp; levers'!$C$14="On",('Net zero Activity data'!AX12*EF!$H43*EF!$H61)*NtoN2O*kgtoGg,"ERROR"))</f>
        <v>6.5344867838358231E-2</v>
      </c>
      <c r="AF1106" s="93">
        <f>IF('Net zero activities &amp; levers'!$C$14="Off",('Activity data'!AY12*EF!$H43*EF!$H61)*NtoN2O*kgtoGg,IF('Net zero activities &amp; levers'!$C$14="On",('Net zero Activity data'!AY12*EF!$H43*EF!$H61)*NtoN2O*kgtoGg,"ERROR"))</f>
        <v>6.5456011603840999E-2</v>
      </c>
      <c r="AG1106" s="93">
        <f>IF('Net zero activities &amp; levers'!$C$14="Off",('Activity data'!AZ12*EF!$H43*EF!$H61)*NtoN2O*kgtoGg,IF('Net zero activities &amp; levers'!$C$14="On",('Net zero Activity data'!AZ12*EF!$H43*EF!$H61)*NtoN2O*kgtoGg,"ERROR"))</f>
        <v>6.5577126525694585E-2</v>
      </c>
      <c r="AH1106" s="93">
        <f>IF('Net zero activities &amp; levers'!$C$14="Off",('Activity data'!BA12*EF!$H43*EF!$H61)*NtoN2O*kgtoGg,IF('Net zero activities &amp; levers'!$C$14="On",('Net zero Activity data'!BA12*EF!$H43*EF!$H61)*NtoN2O*kgtoGg,"ERROR"))</f>
        <v>6.570457577032536E-2</v>
      </c>
      <c r="AI1106" s="93">
        <f>IF('Net zero activities &amp; levers'!$C$14="Off",('Activity data'!BB12*EF!$H43*EF!$H61)*NtoN2O*kgtoGg,IF('Net zero activities &amp; levers'!$C$14="On",('Net zero Activity data'!BB12*EF!$H43*EF!$H61)*NtoN2O*kgtoGg,"ERROR"))</f>
        <v>6.5786040922287098E-2</v>
      </c>
      <c r="AJ1106" s="93">
        <f>IF('Net zero activities &amp; levers'!$C$14="Off",('Activity data'!BC12*EF!$H43*EF!$H61)*NtoN2O*kgtoGg,IF('Net zero activities &amp; levers'!$C$14="On",('Net zero Activity data'!BC12*EF!$H43*EF!$H61)*NtoN2O*kgtoGg,"ERROR"))</f>
        <v>6.5875272440148028E-2</v>
      </c>
      <c r="AK1106" s="93">
        <f>IF('Net zero activities &amp; levers'!$C$14="Off",('Activity data'!BD12*EF!$H43*EF!$H61)*NtoN2O*kgtoGg,IF('Net zero activities &amp; levers'!$C$14="On",('Net zero Activity data'!BD12*EF!$H43*EF!$H61)*NtoN2O*kgtoGg,"ERROR"))</f>
        <v>6.5969327282086584E-2</v>
      </c>
      <c r="AL1106" s="93">
        <f>IF('Net zero activities &amp; levers'!$C$14="Off",('Activity data'!BE12*EF!$H43*EF!$H61)*NtoN2O*kgtoGg,IF('Net zero activities &amp; levers'!$C$14="On",('Net zero Activity data'!BE12*EF!$H43*EF!$H61)*NtoN2O*kgtoGg,"ERROR"))</f>
        <v>6.6069206757782967E-2</v>
      </c>
      <c r="AM1106" s="93">
        <f>IF('Net zero activities &amp; levers'!$C$14="Off",('Activity data'!BF12*EF!$H43*EF!$H61)*NtoN2O*kgtoGg,IF('Net zero activities &amp; levers'!$C$14="On",('Net zero Activity data'!BF12*EF!$H43*EF!$H61)*NtoN2O*kgtoGg,"ERROR"))</f>
        <v>6.6174759428079058E-2</v>
      </c>
      <c r="AN1106" s="93">
        <f>IF('Net zero activities &amp; levers'!$C$14="Off",('Activity data'!BG12*EF!$H43*EF!$H61)*NtoN2O*kgtoGg,IF('Net zero activities &amp; levers'!$C$14="On",('Net zero Activity data'!BG12*EF!$H43*EF!$H61)*NtoN2O*kgtoGg,"ERROR"))</f>
        <v>6.623712775418944E-2</v>
      </c>
      <c r="AO1106" s="93">
        <f>IF('Net zero activities &amp; levers'!$C$14="Off",('Activity data'!BH12*EF!$H43*EF!$H61)*NtoN2O*kgtoGg,IF('Net zero activities &amp; levers'!$C$14="On",('Net zero Activity data'!BH12*EF!$H43*EF!$H61)*NtoN2O*kgtoGg,"ERROR"))</f>
        <v>6.6303706699144024E-2</v>
      </c>
      <c r="AP1106" s="93">
        <f>IF('Net zero activities &amp; levers'!$C$14="Off",('Activity data'!BI12*EF!$H43*EF!$H61)*NtoN2O*kgtoGg,IF('Net zero activities &amp; levers'!$C$14="On",('Net zero Activity data'!BI12*EF!$H43*EF!$H61)*NtoN2O*kgtoGg,"ERROR"))</f>
        <v>6.6375926231502153E-2</v>
      </c>
      <c r="AQ1106" s="93">
        <f>IF('Net zero activities &amp; levers'!$C$14="Off",('Activity data'!BJ12*EF!$H43*EF!$H61)*NtoN2O*kgtoGg,IF('Net zero activities &amp; levers'!$C$14="On",('Net zero Activity data'!BJ12*EF!$H43*EF!$H61)*NtoN2O*kgtoGg,"ERROR"))</f>
        <v>6.6453716530296997E-2</v>
      </c>
      <c r="AR1106" s="93">
        <f>IF('Net zero activities &amp; levers'!$C$14="Off",('Activity data'!BK12*EF!$H43*EF!$H61)*NtoN2O*kgtoGg,IF('Net zero activities &amp; levers'!$C$14="On",('Net zero Activity data'!BK12*EF!$H43*EF!$H61)*NtoN2O*kgtoGg,"ERROR"))</f>
        <v>6.653707598346266E-2</v>
      </c>
      <c r="AS1106" s="93">
        <f>IF('Net zero activities &amp; levers'!$C$14="Off",('Activity data'!BL12*EF!$H43*EF!$H61)*NtoN2O*kgtoGg,IF('Net zero activities &amp; levers'!$C$14="On",('Net zero Activity data'!BL12*EF!$H43*EF!$H61)*NtoN2O*kgtoGg,"ERROR"))</f>
        <v>6.6574894169098925E-2</v>
      </c>
      <c r="AT1106" s="93">
        <f>IF('Net zero activities &amp; levers'!$C$14="Off",('Activity data'!BM12*EF!$H43*EF!$H61)*NtoN2O*kgtoGg,IF('Net zero activities &amp; levers'!$C$14="On",('Net zero Activity data'!BM12*EF!$H43*EF!$H61)*NtoN2O*kgtoGg,"ERROR"))</f>
        <v>6.659926548953217E-2</v>
      </c>
      <c r="AU1106" s="93">
        <f>IF('Net zero activities &amp; levers'!$C$14="Off",('Activity data'!BN12*EF!$H43*EF!$H61)*NtoN2O*kgtoGg,IF('Net zero activities &amp; levers'!$C$14="On",('Net zero Activity data'!BN12*EF!$H43*EF!$H61)*NtoN2O*kgtoGg,"ERROR"))</f>
        <v>6.66259810627719E-2</v>
      </c>
      <c r="AV1106" s="93">
        <f>IF('Net zero activities &amp; levers'!$C$14="Off",('Activity data'!BO12*EF!$H43*EF!$H61)*NtoN2O*kgtoGg,IF('Net zero activities &amp; levers'!$C$14="On",('Net zero Activity data'!BO12*EF!$H43*EF!$H61)*NtoN2O*kgtoGg,"ERROR"))</f>
        <v>6.6654199870902653E-2</v>
      </c>
      <c r="AW1106" s="93">
        <f>IF('Net zero activities &amp; levers'!$C$14="Off",('Activity data'!BP12*EF!$H43*EF!$H61)*NtoN2O*kgtoGg,IF('Net zero activities &amp; levers'!$C$14="On",('Net zero Activity data'!BP12*EF!$H43*EF!$H61)*NtoN2O*kgtoGg,"ERROR"))</f>
        <v>6.6685459069136477E-2</v>
      </c>
      <c r="AY1106" s="79"/>
    </row>
    <row r="1107" spans="1:51" x14ac:dyDescent="0.3">
      <c r="A1107" s="95" t="str">
        <f t="shared" si="374"/>
        <v>CM Goats MMN2O</v>
      </c>
      <c r="B1107" s="95" t="s">
        <v>1322</v>
      </c>
      <c r="C1107" s="95" t="s">
        <v>1329</v>
      </c>
      <c r="D1107" t="s">
        <v>15</v>
      </c>
      <c r="E1107" t="s">
        <v>657</v>
      </c>
      <c r="F1107" t="s">
        <v>19</v>
      </c>
      <c r="G1107" t="s">
        <v>122</v>
      </c>
      <c r="H1107" t="s">
        <v>1227</v>
      </c>
      <c r="I1107" t="s">
        <v>139</v>
      </c>
      <c r="J1107" t="s">
        <v>287</v>
      </c>
      <c r="K1107" s="93">
        <f>IF('Net zero activities &amp; levers'!$C$14="Off",('Activity data'!AD13*EF!$H44*EF!$H62)*NtoN2O*kgtoGg,IF('Net zero activities &amp; levers'!$C$14="On",('Net zero Activity data'!AD13*EF!$H44*EF!$H62)*NtoN2O*kgtoGg,"ERROR"))</f>
        <v>1.4486129996083084E-2</v>
      </c>
      <c r="L1107" s="93">
        <f>IF('Net zero activities &amp; levers'!$C$14="Off",('Activity data'!AE13*EF!$H44*EF!$H62)*NtoN2O*kgtoGg,IF('Net zero activities &amp; levers'!$C$14="On",('Net zero Activity data'!AE13*EF!$H44*EF!$H62)*NtoN2O*kgtoGg,"ERROR"))</f>
        <v>1.4523786941695514E-2</v>
      </c>
      <c r="M1107" s="93">
        <f>IF('Net zero activities &amp; levers'!$C$14="Off",('Activity data'!AF13*EF!$H44*EF!$H62)*NtoN2O*kgtoGg,IF('Net zero activities &amp; levers'!$C$14="On",('Net zero Activity data'!AF13*EF!$H44*EF!$H62)*NtoN2O*kgtoGg,"ERROR"))</f>
        <v>1.457573336741831E-2</v>
      </c>
      <c r="N1107" s="93">
        <f>IF('Net zero activities &amp; levers'!$C$14="Off",('Activity data'!AG13*EF!$H44*EF!$H62)*NtoN2O*kgtoGg,IF('Net zero activities &amp; levers'!$C$14="On",('Net zero Activity data'!AG13*EF!$H44*EF!$H62)*NtoN2O*kgtoGg,"ERROR"))</f>
        <v>1.4639017833045654E-2</v>
      </c>
      <c r="O1107" s="93">
        <f>IF('Net zero activities &amp; levers'!$C$14="Off",('Activity data'!AH13*EF!$H44*EF!$H62)*NtoN2O*kgtoGg,IF('Net zero activities &amp; levers'!$C$14="On",('Net zero Activity data'!AH13*EF!$H44*EF!$H62)*NtoN2O*kgtoGg,"ERROR"))</f>
        <v>1.4713550078172181E-2</v>
      </c>
      <c r="P1107" s="93">
        <f>IF('Net zero activities &amp; levers'!$C$14="Off",('Activity data'!AI13*EF!$H44*EF!$H62)*NtoN2O*kgtoGg,IF('Net zero activities &amp; levers'!$C$14="On",('Net zero Activity data'!AI13*EF!$H44*EF!$H62)*NtoN2O*kgtoGg,"ERROR"))</f>
        <v>1.4798876460462532E-2</v>
      </c>
      <c r="Q1107" s="93">
        <f>IF('Net zero activities &amp; levers'!$C$14="Off",('Activity data'!AJ13*EF!$H44*EF!$H62)*NtoN2O*kgtoGg,IF('Net zero activities &amp; levers'!$C$14="On",('Net zero Activity data'!AJ13*EF!$H44*EF!$H62)*NtoN2O*kgtoGg,"ERROR"))</f>
        <v>1.4890706011157261E-2</v>
      </c>
      <c r="R1107" s="93">
        <f>IF('Net zero activities &amp; levers'!$C$14="Off",('Activity data'!AK13*EF!$H44*EF!$H62)*NtoN2O*kgtoGg,IF('Net zero activities &amp; levers'!$C$14="On",('Net zero Activity data'!AK13*EF!$H44*EF!$H62)*NtoN2O*kgtoGg,"ERROR"))</f>
        <v>1.4988675221399694E-2</v>
      </c>
      <c r="S1107" s="93">
        <f>IF('Net zero activities &amp; levers'!$C$14="Off",('Activity data'!AL13*EF!$H44*EF!$H62)*NtoN2O*kgtoGg,IF('Net zero activities &amp; levers'!$C$14="On",('Net zero Activity data'!AL13*EF!$H44*EF!$H62)*NtoN2O*kgtoGg,"ERROR"))</f>
        <v>1.5077522200056563E-2</v>
      </c>
      <c r="T1107" s="93">
        <f>IF('Net zero activities &amp; levers'!$C$14="Off",('Activity data'!AM13*EF!$H44*EF!$H62)*NtoN2O*kgtoGg,IF('Net zero activities &amp; levers'!$C$14="On",('Net zero Activity data'!AM13*EF!$H44*EF!$H62)*NtoN2O*kgtoGg,"ERROR"))</f>
        <v>1.5120920467659648E-2</v>
      </c>
      <c r="U1107" s="93">
        <f>IF('Net zero activities &amp; levers'!$C$14="Off",('Activity data'!AN13*EF!$H44*EF!$H62)*NtoN2O*kgtoGg,IF('Net zero activities &amp; levers'!$C$14="On",('Net zero Activity data'!AN13*EF!$H44*EF!$H62)*NtoN2O*kgtoGg,"ERROR"))</f>
        <v>1.5170664566545743E-2</v>
      </c>
      <c r="V1107" s="93">
        <f>IF('Net zero activities &amp; levers'!$C$14="Off",('Activity data'!AO13*EF!$H44*EF!$H62)*NtoN2O*kgtoGg,IF('Net zero activities &amp; levers'!$C$14="On",('Net zero Activity data'!AO13*EF!$H44*EF!$H62)*NtoN2O*kgtoGg,"ERROR"))</f>
        <v>1.522137130781058E-2</v>
      </c>
      <c r="W1107" s="93">
        <f>IF('Net zero activities &amp; levers'!$C$14="Off",('Activity data'!AP13*EF!$H44*EF!$H62)*NtoN2O*kgtoGg,IF('Net zero activities &amp; levers'!$C$14="On",('Net zero Activity data'!AP13*EF!$H44*EF!$H62)*NtoN2O*kgtoGg,"ERROR"))</f>
        <v>1.527636657794784E-2</v>
      </c>
      <c r="X1107" s="93">
        <f>IF('Net zero activities &amp; levers'!$C$14="Off",('Activity data'!AQ13*EF!$H44*EF!$H62)*NtoN2O*kgtoGg,IF('Net zero activities &amp; levers'!$C$14="On",('Net zero Activity data'!AQ13*EF!$H44*EF!$H62)*NtoN2O*kgtoGg,"ERROR"))</f>
        <v>1.5335559486365858E-2</v>
      </c>
      <c r="Y1107" s="93">
        <f>IF('Net zero activities &amp; levers'!$C$14="Off",('Activity data'!AR13*EF!$H44*EF!$H62)*NtoN2O*kgtoGg,IF('Net zero activities &amp; levers'!$C$14="On",('Net zero Activity data'!AR13*EF!$H44*EF!$H62)*NtoN2O*kgtoGg,"ERROR"))</f>
        <v>1.5373440359637548E-2</v>
      </c>
      <c r="Z1107" s="93">
        <f>IF('Net zero activities &amp; levers'!$C$14="Off",('Activity data'!AS13*EF!$H44*EF!$H62)*NtoN2O*kgtoGg,IF('Net zero activities &amp; levers'!$C$14="On",('Net zero Activity data'!AS13*EF!$H44*EF!$H62)*NtoN2O*kgtoGg,"ERROR"))</f>
        <v>1.5414884136013281E-2</v>
      </c>
      <c r="AA1107" s="93">
        <f>IF('Net zero activities &amp; levers'!$C$14="Off",('Activity data'!AT13*EF!$H44*EF!$H62)*NtoN2O*kgtoGg,IF('Net zero activities &amp; levers'!$C$14="On",('Net zero Activity data'!AT13*EF!$H44*EF!$H62)*NtoN2O*kgtoGg,"ERROR"))</f>
        <v>1.5459406079654034E-2</v>
      </c>
      <c r="AB1107" s="93">
        <f>IF('Net zero activities &amp; levers'!$C$14="Off",('Activity data'!AU13*EF!$H44*EF!$H62)*NtoN2O*kgtoGg,IF('Net zero activities &amp; levers'!$C$14="On",('Net zero Activity data'!AU13*EF!$H44*EF!$H62)*NtoN2O*kgtoGg,"ERROR"))</f>
        <v>1.5507149153927192E-2</v>
      </c>
      <c r="AC1107" s="93">
        <f>IF('Net zero activities &amp; levers'!$C$14="Off",('Activity data'!AV13*EF!$H44*EF!$H62)*NtoN2O*kgtoGg,IF('Net zero activities &amp; levers'!$C$14="On",('Net zero Activity data'!AV13*EF!$H44*EF!$H62)*NtoN2O*kgtoGg,"ERROR"))</f>
        <v>1.55576650603759E-2</v>
      </c>
      <c r="AD1107" s="93">
        <f>IF('Net zero activities &amp; levers'!$C$14="Off",('Activity data'!AW13*EF!$H44*EF!$H62)*NtoN2O*kgtoGg,IF('Net zero activities &amp; levers'!$C$14="On",('Net zero Activity data'!AW13*EF!$H44*EF!$H62)*NtoN2O*kgtoGg,"ERROR"))</f>
        <v>1.5591353436562988E-2</v>
      </c>
      <c r="AE1107" s="93">
        <f>IF('Net zero activities &amp; levers'!$C$14="Off",('Activity data'!AX13*EF!$H44*EF!$H62)*NtoN2O*kgtoGg,IF('Net zero activities &amp; levers'!$C$14="On",('Net zero Activity data'!AX13*EF!$H44*EF!$H62)*NtoN2O*kgtoGg,"ERROR"))</f>
        <v>1.5627280085252663E-2</v>
      </c>
      <c r="AF1107" s="93">
        <f>IF('Net zero activities &amp; levers'!$C$14="Off",('Activity data'!AY13*EF!$H44*EF!$H62)*NtoN2O*kgtoGg,IF('Net zero activities &amp; levers'!$C$14="On",('Net zero Activity data'!AY13*EF!$H44*EF!$H62)*NtoN2O*kgtoGg,"ERROR"))</f>
        <v>1.5665749106164011E-2</v>
      </c>
      <c r="AG1107" s="93">
        <f>IF('Net zero activities &amp; levers'!$C$14="Off",('Activity data'!AZ13*EF!$H44*EF!$H62)*NtoN2O*kgtoGg,IF('Net zero activities &amp; levers'!$C$14="On",('Net zero Activity data'!AZ13*EF!$H44*EF!$H62)*NtoN2O*kgtoGg,"ERROR"))</f>
        <v>1.5707151218007597E-2</v>
      </c>
      <c r="AH1107" s="93">
        <f>IF('Net zero activities &amp; levers'!$C$14="Off",('Activity data'!BA13*EF!$H44*EF!$H62)*NtoN2O*kgtoGg,IF('Net zero activities &amp; levers'!$C$14="On",('Net zero Activity data'!BA13*EF!$H44*EF!$H62)*NtoN2O*kgtoGg,"ERROR"))</f>
        <v>1.575023561921594E-2</v>
      </c>
      <c r="AI1107" s="93">
        <f>IF('Net zero activities &amp; levers'!$C$14="Off",('Activity data'!BB13*EF!$H44*EF!$H62)*NtoN2O*kgtoGg,IF('Net zero activities &amp; levers'!$C$14="On",('Net zero Activity data'!BB13*EF!$H44*EF!$H62)*NtoN2O*kgtoGg,"ERROR"))</f>
        <v>1.5776918897393025E-2</v>
      </c>
      <c r="AJ1107" s="93">
        <f>IF('Net zero activities &amp; levers'!$C$14="Off",('Activity data'!BC13*EF!$H44*EF!$H62)*NtoN2O*kgtoGg,IF('Net zero activities &amp; levers'!$C$14="On",('Net zero Activity data'!BC13*EF!$H44*EF!$H62)*NtoN2O*kgtoGg,"ERROR"))</f>
        <v>1.5805875112600263E-2</v>
      </c>
      <c r="AK1107" s="93">
        <f>IF('Net zero activities &amp; levers'!$C$14="Off",('Activity data'!BD13*EF!$H44*EF!$H62)*NtoN2O*kgtoGg,IF('Net zero activities &amp; levers'!$C$14="On",('Net zero Activity data'!BD13*EF!$H44*EF!$H62)*NtoN2O*kgtoGg,"ERROR"))</f>
        <v>1.5836097205917665E-2</v>
      </c>
      <c r="AL1107" s="93">
        <f>IF('Net zero activities &amp; levers'!$C$14="Off",('Activity data'!BE13*EF!$H44*EF!$H62)*NtoN2O*kgtoGg,IF('Net zero activities &amp; levers'!$C$14="On",('Net zero Activity data'!BE13*EF!$H44*EF!$H62)*NtoN2O*kgtoGg,"ERROR"))</f>
        <v>1.5867941184595159E-2</v>
      </c>
      <c r="AM1107" s="93">
        <f>IF('Net zero activities &amp; levers'!$C$14="Off",('Activity data'!BF13*EF!$H44*EF!$H62)*NtoN2O*kgtoGg,IF('Net zero activities &amp; levers'!$C$14="On",('Net zero Activity data'!BF13*EF!$H44*EF!$H62)*NtoN2O*kgtoGg,"ERROR"))</f>
        <v>1.5901363449816974E-2</v>
      </c>
      <c r="AN1107" s="93">
        <f>IF('Net zero activities &amp; levers'!$C$14="Off",('Activity data'!BG13*EF!$H44*EF!$H62)*NtoN2O*kgtoGg,IF('Net zero activities &amp; levers'!$C$14="On",('Net zero Activity data'!BG13*EF!$H44*EF!$H62)*NtoN2O*kgtoGg,"ERROR"))</f>
        <v>1.5919623331121565E-2</v>
      </c>
      <c r="AO1107" s="93">
        <f>IF('Net zero activities &amp; levers'!$C$14="Off",('Activity data'!BH13*EF!$H44*EF!$H62)*NtoN2O*kgtoGg,IF('Net zero activities &amp; levers'!$C$14="On",('Net zero Activity data'!BH13*EF!$H44*EF!$H62)*NtoN2O*kgtoGg,"ERROR"))</f>
        <v>1.5939033537312693E-2</v>
      </c>
      <c r="AP1107" s="93">
        <f>IF('Net zero activities &amp; levers'!$C$14="Off",('Activity data'!BI13*EF!$H44*EF!$H62)*NtoN2O*kgtoGg,IF('Net zero activities &amp; levers'!$C$14="On",('Net zero Activity data'!BI13*EF!$H44*EF!$H62)*NtoN2O*kgtoGg,"ERROR"))</f>
        <v>1.5960089556991585E-2</v>
      </c>
      <c r="AQ1107" s="93">
        <f>IF('Net zero activities &amp; levers'!$C$14="Off",('Activity data'!BJ13*EF!$H44*EF!$H62)*NtoN2O*kgtoGg,IF('Net zero activities &amp; levers'!$C$14="On",('Net zero Activity data'!BJ13*EF!$H44*EF!$H62)*NtoN2O*kgtoGg,"ERROR"))</f>
        <v>1.5982771280705937E-2</v>
      </c>
      <c r="AR1107" s="93">
        <f>IF('Net zero activities &amp; levers'!$C$14="Off",('Activity data'!BK13*EF!$H44*EF!$H62)*NtoN2O*kgtoGg,IF('Net zero activities &amp; levers'!$C$14="On",('Net zero Activity data'!BK13*EF!$H44*EF!$H62)*NtoN2O*kgtoGg,"ERROR"))</f>
        <v>1.6007081325051208E-2</v>
      </c>
      <c r="AS1107" s="93">
        <f>IF('Net zero activities &amp; levers'!$C$14="Off",('Activity data'!BL13*EF!$H44*EF!$H62)*NtoN2O*kgtoGg,IF('Net zero activities &amp; levers'!$C$14="On",('Net zero Activity data'!BL13*EF!$H44*EF!$H62)*NtoN2O*kgtoGg,"ERROR"))</f>
        <v>1.6015649873683192E-2</v>
      </c>
      <c r="AT1107" s="93">
        <f>IF('Net zero activities &amp; levers'!$C$14="Off",('Activity data'!BM13*EF!$H44*EF!$H62)*NtoN2O*kgtoGg,IF('Net zero activities &amp; levers'!$C$14="On",('Net zero Activity data'!BM13*EF!$H44*EF!$H62)*NtoN2O*kgtoGg,"ERROR"))</f>
        <v>1.601945516807891E-2</v>
      </c>
      <c r="AU1107" s="93">
        <f>IF('Net zero activities &amp; levers'!$C$14="Off",('Activity data'!BN13*EF!$H44*EF!$H62)*NtoN2O*kgtoGg,IF('Net zero activities &amp; levers'!$C$14="On",('Net zero Activity data'!BN13*EF!$H44*EF!$H62)*NtoN2O*kgtoGg,"ERROR"))</f>
        <v>1.602387884909745E-2</v>
      </c>
      <c r="AV1107" s="93">
        <f>IF('Net zero activities &amp; levers'!$C$14="Off",('Activity data'!BO13*EF!$H44*EF!$H62)*NtoN2O*kgtoGg,IF('Net zero activities &amp; levers'!$C$14="On",('Net zero Activity data'!BO13*EF!$H44*EF!$H62)*NtoN2O*kgtoGg,"ERROR"))</f>
        <v>1.6028641289399778E-2</v>
      </c>
      <c r="AW1107" s="93">
        <f>IF('Net zero activities &amp; levers'!$C$14="Off",('Activity data'!BP13*EF!$H44*EF!$H62)*NtoN2O*kgtoGg,IF('Net zero activities &amp; levers'!$C$14="On",('Net zero Activity data'!BP13*EF!$H44*EF!$H62)*NtoN2O*kgtoGg,"ERROR"))</f>
        <v>1.6034267352361548E-2</v>
      </c>
      <c r="AY1107" s="79"/>
    </row>
    <row r="1108" spans="1:51" x14ac:dyDescent="0.3">
      <c r="A1108" s="95" t="str">
        <f t="shared" si="374"/>
        <v>CM Goats MMN2O</v>
      </c>
      <c r="B1108" s="95" t="s">
        <v>1322</v>
      </c>
      <c r="C1108" s="95" t="s">
        <v>1329</v>
      </c>
      <c r="D1108" t="s">
        <v>15</v>
      </c>
      <c r="E1108" t="s">
        <v>657</v>
      </c>
      <c r="F1108" t="s">
        <v>19</v>
      </c>
      <c r="G1108" t="s">
        <v>123</v>
      </c>
      <c r="H1108" t="s">
        <v>1227</v>
      </c>
      <c r="I1108" t="s">
        <v>139</v>
      </c>
      <c r="J1108" t="s">
        <v>287</v>
      </c>
      <c r="K1108" s="93">
        <f>IF('Net zero activities &amp; levers'!$C$14="Off",('Activity data'!AD14*EF!$H45*EF!$H63)*NtoN2O*kgtoGg,IF('Net zero activities &amp; levers'!$C$14="On",('Net zero Activity data'!AD14*EF!$H45*EF!$H63)*NtoN2O*kgtoGg,"ERROR"))</f>
        <v>0.11484439540301131</v>
      </c>
      <c r="L1108" s="93">
        <f>IF('Net zero activities &amp; levers'!$C$14="Off",('Activity data'!AE14*EF!$H45*EF!$H63)*NtoN2O*kgtoGg,IF('Net zero activities &amp; levers'!$C$14="On",('Net zero Activity data'!AE14*EF!$H45*EF!$H63)*NtoN2O*kgtoGg,"ERROR"))</f>
        <v>0.11514293539628438</v>
      </c>
      <c r="M1108" s="93">
        <f>IF('Net zero activities &amp; levers'!$C$14="Off",('Activity data'!AF14*EF!$H45*EF!$H63)*NtoN2O*kgtoGg,IF('Net zero activities &amp; levers'!$C$14="On",('Net zero Activity data'!AF14*EF!$H45*EF!$H63)*NtoN2O*kgtoGg,"ERROR"))</f>
        <v>0.1155547607669731</v>
      </c>
      <c r="N1108" s="93">
        <f>IF('Net zero activities &amp; levers'!$C$14="Off",('Activity data'!AG14*EF!$H45*EF!$H63)*NtoN2O*kgtoGg,IF('Net zero activities &amp; levers'!$C$14="On",('Net zero Activity data'!AG14*EF!$H45*EF!$H63)*NtoN2O*kgtoGg,"ERROR"))</f>
        <v>0.11605647283191664</v>
      </c>
      <c r="O1108" s="93">
        <f>IF('Net zero activities &amp; levers'!$C$14="Off",('Activity data'!AH14*EF!$H45*EF!$H63)*NtoN2O*kgtoGg,IF('Net zero activities &amp; levers'!$C$14="On",('Net zero Activity data'!AH14*EF!$H45*EF!$H63)*NtoN2O*kgtoGg,"ERROR"))</f>
        <v>0.11664735601685972</v>
      </c>
      <c r="P1108" s="93">
        <f>IF('Net zero activities &amp; levers'!$C$14="Off",('Activity data'!AI14*EF!$H45*EF!$H63)*NtoN2O*kgtoGg,IF('Net zero activities &amp; levers'!$C$14="On",('Net zero Activity data'!AI14*EF!$H45*EF!$H63)*NtoN2O*kgtoGg,"ERROR"))</f>
        <v>0.11732381389682567</v>
      </c>
      <c r="Q1108" s="93">
        <f>IF('Net zero activities &amp; levers'!$C$14="Off",('Activity data'!AJ14*EF!$H45*EF!$H63)*NtoN2O*kgtoGg,IF('Net zero activities &amp; levers'!$C$14="On",('Net zero Activity data'!AJ14*EF!$H45*EF!$H63)*NtoN2O*kgtoGg,"ERROR"))</f>
        <v>0.11805182815822728</v>
      </c>
      <c r="R1108" s="93">
        <f>IF('Net zero activities &amp; levers'!$C$14="Off",('Activity data'!AK14*EF!$H45*EF!$H63)*NtoN2O*kgtoGg,IF('Net zero activities &amp; levers'!$C$14="On",('Net zero Activity data'!AK14*EF!$H45*EF!$H63)*NtoN2O*kgtoGg,"ERROR"))</f>
        <v>0.11882851694408277</v>
      </c>
      <c r="S1108" s="93">
        <f>IF('Net zero activities &amp; levers'!$C$14="Off",('Activity data'!AL14*EF!$H45*EF!$H63)*NtoN2O*kgtoGg,IF('Net zero activities &amp; levers'!$C$14="On",('Net zero Activity data'!AL14*EF!$H45*EF!$H63)*NtoN2O*kgtoGg,"ERROR"))</f>
        <v>0.11953288571269048</v>
      </c>
      <c r="T1108" s="93">
        <f>IF('Net zero activities &amp; levers'!$C$14="Off",('Activity data'!AM14*EF!$H45*EF!$H63)*NtoN2O*kgtoGg,IF('Net zero activities &amp; levers'!$C$14="On",('Net zero Activity data'!AM14*EF!$H45*EF!$H63)*NtoN2O*kgtoGg,"ERROR"))</f>
        <v>0.11987694225544984</v>
      </c>
      <c r="U1108" s="93">
        <f>IF('Net zero activities &amp; levers'!$C$14="Off",('Activity data'!AN14*EF!$H45*EF!$H63)*NtoN2O*kgtoGg,IF('Net zero activities &amp; levers'!$C$14="On",('Net zero Activity data'!AN14*EF!$H45*EF!$H63)*NtoN2O*kgtoGg,"ERROR"))</f>
        <v>0.12027130782879383</v>
      </c>
      <c r="V1108" s="93">
        <f>IF('Net zero activities &amp; levers'!$C$14="Off",('Activity data'!AO14*EF!$H45*EF!$H63)*NtoN2O*kgtoGg,IF('Net zero activities &amp; levers'!$C$14="On",('Net zero Activity data'!AO14*EF!$H45*EF!$H63)*NtoN2O*kgtoGg,"ERROR"))</f>
        <v>0.12067330512172106</v>
      </c>
      <c r="W1108" s="93">
        <f>IF('Net zero activities &amp; levers'!$C$14="Off",('Activity data'!AP14*EF!$H45*EF!$H63)*NtoN2O*kgtoGg,IF('Net zero activities &amp; levers'!$C$14="On",('Net zero Activity data'!AP14*EF!$H45*EF!$H63)*NtoN2O*kgtoGg,"ERROR"))</f>
        <v>0.12110930138508789</v>
      </c>
      <c r="X1108" s="93">
        <f>IF('Net zero activities &amp; levers'!$C$14="Off",('Activity data'!AQ14*EF!$H45*EF!$H63)*NtoN2O*kgtoGg,IF('Net zero activities &amp; levers'!$C$14="On",('Net zero Activity data'!AQ14*EF!$H45*EF!$H63)*NtoN2O*kgtoGg,"ERROR"))</f>
        <v>0.12157857604859369</v>
      </c>
      <c r="Y1108" s="93">
        <f>IF('Net zero activities &amp; levers'!$C$14="Off",('Activity data'!AR14*EF!$H45*EF!$H63)*NtoN2O*kgtoGg,IF('Net zero activities &amp; levers'!$C$14="On",('Net zero Activity data'!AR14*EF!$H45*EF!$H63)*NtoN2O*kgtoGg,"ERROR"))</f>
        <v>0.12187889131494858</v>
      </c>
      <c r="Z1108" s="93">
        <f>IF('Net zero activities &amp; levers'!$C$14="Off",('Activity data'!AS14*EF!$H45*EF!$H63)*NtoN2O*kgtoGg,IF('Net zero activities &amp; levers'!$C$14="On",('Net zero Activity data'!AS14*EF!$H45*EF!$H63)*NtoN2O*kgtoGg,"ERROR"))</f>
        <v>0.12220745287296136</v>
      </c>
      <c r="AA1108" s="93">
        <f>IF('Net zero activities &amp; levers'!$C$14="Off",('Activity data'!AT14*EF!$H45*EF!$H63)*NtoN2O*kgtoGg,IF('Net zero activities &amp; levers'!$C$14="On",('Net zero Activity data'!AT14*EF!$H45*EF!$H63)*NtoN2O*kgtoGg,"ERROR"))</f>
        <v>0.1225604177918853</v>
      </c>
      <c r="AB1108" s="93">
        <f>IF('Net zero activities &amp; levers'!$C$14="Off",('Activity data'!AU14*EF!$H45*EF!$H63)*NtoN2O*kgtoGg,IF('Net zero activities &amp; levers'!$C$14="On",('Net zero Activity data'!AU14*EF!$H45*EF!$H63)*NtoN2O*kgtoGg,"ERROR"))</f>
        <v>0.12293891946908028</v>
      </c>
      <c r="AC1108" s="93">
        <f>IF('Net zero activities &amp; levers'!$C$14="Off",('Activity data'!AV14*EF!$H45*EF!$H63)*NtoN2O*kgtoGg,IF('Net zero activities &amp; levers'!$C$14="On",('Net zero Activity data'!AV14*EF!$H45*EF!$H63)*NtoN2O*kgtoGg,"ERROR"))</f>
        <v>0.1233394038452322</v>
      </c>
      <c r="AD1108" s="93">
        <f>IF('Net zero activities &amp; levers'!$C$14="Off",('Activity data'!AW14*EF!$H45*EF!$H63)*NtoN2O*kgtoGg,IF('Net zero activities &amp; levers'!$C$14="On",('Net zero Activity data'!AW14*EF!$H45*EF!$H63)*NtoN2O*kgtoGg,"ERROR"))</f>
        <v>0.12360648147026812</v>
      </c>
      <c r="AE1108" s="93">
        <f>IF('Net zero activities &amp; levers'!$C$14="Off",('Activity data'!AX14*EF!$H45*EF!$H63)*NtoN2O*kgtoGg,IF('Net zero activities &amp; levers'!$C$14="On",('Net zero Activity data'!AX14*EF!$H45*EF!$H63)*NtoN2O*kgtoGg,"ERROR"))</f>
        <v>0.12389130386581051</v>
      </c>
      <c r="AF1108" s="93">
        <f>IF('Net zero activities &amp; levers'!$C$14="Off",('Activity data'!AY14*EF!$H45*EF!$H63)*NtoN2O*kgtoGg,IF('Net zero activities &amp; levers'!$C$14="On",('Net zero Activity data'!AY14*EF!$H45*EF!$H63)*NtoN2O*kgtoGg,"ERROR"))</f>
        <v>0.12419628189993717</v>
      </c>
      <c r="AG1108" s="93">
        <f>IF('Net zero activities &amp; levers'!$C$14="Off",('Activity data'!AZ14*EF!$H45*EF!$H63)*NtoN2O*kgtoGg,IF('Net zero activities &amp; levers'!$C$14="On",('Net zero Activity data'!AZ14*EF!$H45*EF!$H63)*NtoN2O*kgtoGg,"ERROR"))</f>
        <v>0.12452451314626521</v>
      </c>
      <c r="AH1108" s="93">
        <f>IF('Net zero activities &amp; levers'!$C$14="Off",('Activity data'!BA14*EF!$H45*EF!$H63)*NtoN2O*kgtoGg,IF('Net zero activities &amp; levers'!$C$14="On",('Net zero Activity data'!BA14*EF!$H45*EF!$H63)*NtoN2O*kgtoGg,"ERROR"))</f>
        <v>0.12486608139184988</v>
      </c>
      <c r="AI1108" s="93">
        <f>IF('Net zero activities &amp; levers'!$C$14="Off",('Activity data'!BB14*EF!$H45*EF!$H63)*NtoN2O*kgtoGg,IF('Net zero activities &amp; levers'!$C$14="On",('Net zero Activity data'!BB14*EF!$H45*EF!$H63)*NtoN2O*kgtoGg,"ERROR"))</f>
        <v>0.12507762339447212</v>
      </c>
      <c r="AJ1108" s="93">
        <f>IF('Net zero activities &amp; levers'!$C$14="Off",('Activity data'!BC14*EF!$H45*EF!$H63)*NtoN2O*kgtoGg,IF('Net zero activities &amp; levers'!$C$14="On",('Net zero Activity data'!BC14*EF!$H45*EF!$H63)*NtoN2O*kgtoGg,"ERROR"))</f>
        <v>0.12530718498404322</v>
      </c>
      <c r="AK1108" s="93">
        <f>IF('Net zero activities &amp; levers'!$C$14="Off",('Activity data'!BD14*EF!$H45*EF!$H63)*NtoN2O*kgtoGg,IF('Net zero activities &amp; levers'!$C$14="On",('Net zero Activity data'!BD14*EF!$H45*EF!$H63)*NtoN2O*kgtoGg,"ERROR"))</f>
        <v>0.12554678231167932</v>
      </c>
      <c r="AL1108" s="93">
        <f>IF('Net zero activities &amp; levers'!$C$14="Off",('Activity data'!BE14*EF!$H45*EF!$H63)*NtoN2O*kgtoGg,IF('Net zero activities &amp; levers'!$C$14="On",('Net zero Activity data'!BE14*EF!$H45*EF!$H63)*NtoN2O*kgtoGg,"ERROR"))</f>
        <v>0.12579923776247484</v>
      </c>
      <c r="AM1108" s="93">
        <f>IF('Net zero activities &amp; levers'!$C$14="Off",('Activity data'!BF14*EF!$H45*EF!$H63)*NtoN2O*kgtoGg,IF('Net zero activities &amp; levers'!$C$14="On",('Net zero Activity data'!BF14*EF!$H45*EF!$H63)*NtoN2O*kgtoGg,"ERROR"))</f>
        <v>0.12606420568996382</v>
      </c>
      <c r="AN1108" s="93">
        <f>IF('Net zero activities &amp; levers'!$C$14="Off",('Activity data'!BG14*EF!$H45*EF!$H63)*NtoN2O*kgtoGg,IF('Net zero activities &amp; levers'!$C$14="On",('Net zero Activity data'!BG14*EF!$H45*EF!$H63)*NtoN2O*kgtoGg,"ERROR"))</f>
        <v>0.12620896795767253</v>
      </c>
      <c r="AO1108" s="93">
        <f>IF('Net zero activities &amp; levers'!$C$14="Off",('Activity data'!BH14*EF!$H45*EF!$H63)*NtoN2O*kgtoGg,IF('Net zero activities &amp; levers'!$C$14="On",('Net zero Activity data'!BH14*EF!$H45*EF!$H63)*NtoN2O*kgtoGg,"ERROR"))</f>
        <v>0.1263628498705969</v>
      </c>
      <c r="AP1108" s="93">
        <f>IF('Net zero activities &amp; levers'!$C$14="Off",('Activity data'!BI14*EF!$H45*EF!$H63)*NtoN2O*kgtoGg,IF('Net zero activities &amp; levers'!$C$14="On",('Net zero Activity data'!BI14*EF!$H45*EF!$H63)*NtoN2O*kgtoGg,"ERROR"))</f>
        <v>0.12652977960616255</v>
      </c>
      <c r="AQ1108" s="93">
        <f>IF('Net zero activities &amp; levers'!$C$14="Off",('Activity data'!BJ14*EF!$H45*EF!$H63)*NtoN2O*kgtoGg,IF('Net zero activities &amp; levers'!$C$14="On",('Net zero Activity data'!BJ14*EF!$H45*EF!$H63)*NtoN2O*kgtoGg,"ERROR"))</f>
        <v>0.1267095977389128</v>
      </c>
      <c r="AR1108" s="93">
        <f>IF('Net zero activities &amp; levers'!$C$14="Off",('Activity data'!BK14*EF!$H45*EF!$H63)*NtoN2O*kgtoGg,IF('Net zero activities &amp; levers'!$C$14="On",('Net zero Activity data'!BK14*EF!$H45*EF!$H63)*NtoN2O*kgtoGg,"ERROR"))</f>
        <v>0.12690232501291954</v>
      </c>
      <c r="AS1108" s="93">
        <f>IF('Net zero activities &amp; levers'!$C$14="Off",('Activity data'!BL14*EF!$H45*EF!$H63)*NtoN2O*kgtoGg,IF('Net zero activities &amp; levers'!$C$14="On",('Net zero Activity data'!BL14*EF!$H45*EF!$H63)*NtoN2O*kgtoGg,"ERROR"))</f>
        <v>0.12697025549451732</v>
      </c>
      <c r="AT1108" s="93">
        <f>IF('Net zero activities &amp; levers'!$C$14="Off",('Activity data'!BM14*EF!$H45*EF!$H63)*NtoN2O*kgtoGg,IF('Net zero activities &amp; levers'!$C$14="On",('Net zero Activity data'!BM14*EF!$H45*EF!$H63)*NtoN2O*kgtoGg,"ERROR"))</f>
        <v>0.1270004234368404</v>
      </c>
      <c r="AU1108" s="93">
        <f>IF('Net zero activities &amp; levers'!$C$14="Off",('Activity data'!BN14*EF!$H45*EF!$H63)*NtoN2O*kgtoGg,IF('Net zero activities &amp; levers'!$C$14="On",('Net zero Activity data'!BN14*EF!$H45*EF!$H63)*NtoN2O*kgtoGg,"ERROR"))</f>
        <v>0.12703549387816376</v>
      </c>
      <c r="AV1108" s="93">
        <f>IF('Net zero activities &amp; levers'!$C$14="Off",('Activity data'!BO14*EF!$H45*EF!$H63)*NtoN2O*kgtoGg,IF('Net zero activities &amp; levers'!$C$14="On",('Net zero Activity data'!BO14*EF!$H45*EF!$H63)*NtoN2O*kgtoGg,"ERROR"))</f>
        <v>0.12707324996466249</v>
      </c>
      <c r="AW1108" s="93">
        <f>IF('Net zero activities &amp; levers'!$C$14="Off",('Activity data'!BP14*EF!$H45*EF!$H63)*NtoN2O*kgtoGg,IF('Net zero activities &amp; levers'!$C$14="On",('Net zero Activity data'!BP14*EF!$H45*EF!$H63)*NtoN2O*kgtoGg,"ERROR"))</f>
        <v>0.1271178527536419</v>
      </c>
      <c r="AY1108" s="79"/>
    </row>
    <row r="1109" spans="1:51" x14ac:dyDescent="0.3">
      <c r="A1109" s="95" t="str">
        <f t="shared" si="374"/>
        <v>CM Horses MMN2O</v>
      </c>
      <c r="B1109" s="95" t="s">
        <v>1322</v>
      </c>
      <c r="C1109" s="95" t="s">
        <v>1330</v>
      </c>
      <c r="D1109" t="s">
        <v>15</v>
      </c>
      <c r="E1109" t="s">
        <v>657</v>
      </c>
      <c r="F1109" t="s">
        <v>20</v>
      </c>
      <c r="G1109" t="s">
        <v>3</v>
      </c>
      <c r="H1109" t="s">
        <v>1227</v>
      </c>
      <c r="I1109" t="s">
        <v>139</v>
      </c>
      <c r="J1109" t="s">
        <v>287</v>
      </c>
      <c r="K1109" s="93">
        <f>IF('Net zero activities &amp; levers'!$C$14="Off",('Activity data'!AD15*EF!$H46*EF!$H64)*NtoN2O*kgtoGg,IF('Net zero activities &amp; levers'!$C$14="On",('Net zero Activity data'!AD15*EF!$H46*EF!$H64)*NtoN2O*kgtoGg,"ERROR"))</f>
        <v>0</v>
      </c>
      <c r="L1109" s="93">
        <f>IF('Net zero activities &amp; levers'!$C$14="Off",('Activity data'!AE15*EF!$H46*EF!$H64)*NtoN2O*kgtoGg,IF('Net zero activities &amp; levers'!$C$14="On",('Net zero Activity data'!AE15*EF!$H46*EF!$H64)*NtoN2O*kgtoGg,"ERROR"))</f>
        <v>0</v>
      </c>
      <c r="M1109" s="93">
        <f>IF('Net zero activities &amp; levers'!$C$14="Off",('Activity data'!AF15*EF!$H46*EF!$H64)*NtoN2O*kgtoGg,IF('Net zero activities &amp; levers'!$C$14="On",('Net zero Activity data'!AF15*EF!$H46*EF!$H64)*NtoN2O*kgtoGg,"ERROR"))</f>
        <v>0</v>
      </c>
      <c r="N1109" s="93">
        <f>IF('Net zero activities &amp; levers'!$C$14="Off",('Activity data'!AG15*EF!$H46*EF!$H64)*NtoN2O*kgtoGg,IF('Net zero activities &amp; levers'!$C$14="On",('Net zero Activity data'!AG15*EF!$H46*EF!$H64)*NtoN2O*kgtoGg,"ERROR"))</f>
        <v>0</v>
      </c>
      <c r="O1109" s="93">
        <f>IF('Net zero activities &amp; levers'!$C$14="Off",('Activity data'!AH15*EF!$H46*EF!$H64)*NtoN2O*kgtoGg,IF('Net zero activities &amp; levers'!$C$14="On",('Net zero Activity data'!AH15*EF!$H46*EF!$H64)*NtoN2O*kgtoGg,"ERROR"))</f>
        <v>0</v>
      </c>
      <c r="P1109" s="93">
        <f>IF('Net zero activities &amp; levers'!$C$14="Off",('Activity data'!AI15*EF!$H46*EF!$H64)*NtoN2O*kgtoGg,IF('Net zero activities &amp; levers'!$C$14="On",('Net zero Activity data'!AI15*EF!$H46*EF!$H64)*NtoN2O*kgtoGg,"ERROR"))</f>
        <v>0</v>
      </c>
      <c r="Q1109" s="93">
        <f>IF('Net zero activities &amp; levers'!$C$14="Off",('Activity data'!AJ15*EF!$H46*EF!$H64)*NtoN2O*kgtoGg,IF('Net zero activities &amp; levers'!$C$14="On",('Net zero Activity data'!AJ15*EF!$H46*EF!$H64)*NtoN2O*kgtoGg,"ERROR"))</f>
        <v>0</v>
      </c>
      <c r="R1109" s="93">
        <f>IF('Net zero activities &amp; levers'!$C$14="Off",('Activity data'!AK15*EF!$H46*EF!$H64)*NtoN2O*kgtoGg,IF('Net zero activities &amp; levers'!$C$14="On",('Net zero Activity data'!AK15*EF!$H46*EF!$H64)*NtoN2O*kgtoGg,"ERROR"))</f>
        <v>0</v>
      </c>
      <c r="S1109" s="93">
        <f>IF('Net zero activities &amp; levers'!$C$14="Off",('Activity data'!AL15*EF!$H46*EF!$H64)*NtoN2O*kgtoGg,IF('Net zero activities &amp; levers'!$C$14="On",('Net zero Activity data'!AL15*EF!$H46*EF!$H64)*NtoN2O*kgtoGg,"ERROR"))</f>
        <v>0</v>
      </c>
      <c r="T1109" s="93">
        <f>IF('Net zero activities &amp; levers'!$C$14="Off",('Activity data'!AM15*EF!$H46*EF!$H64)*NtoN2O*kgtoGg,IF('Net zero activities &amp; levers'!$C$14="On",('Net zero Activity data'!AM15*EF!$H46*EF!$H64)*NtoN2O*kgtoGg,"ERROR"))</f>
        <v>0</v>
      </c>
      <c r="U1109" s="93">
        <f>IF('Net zero activities &amp; levers'!$C$14="Off",('Activity data'!AN15*EF!$H46*EF!$H64)*NtoN2O*kgtoGg,IF('Net zero activities &amp; levers'!$C$14="On",('Net zero Activity data'!AN15*EF!$H46*EF!$H64)*NtoN2O*kgtoGg,"ERROR"))</f>
        <v>0</v>
      </c>
      <c r="V1109" s="93">
        <f>IF('Net zero activities &amp; levers'!$C$14="Off",('Activity data'!AO15*EF!$H46*EF!$H64)*NtoN2O*kgtoGg,IF('Net zero activities &amp; levers'!$C$14="On",('Net zero Activity data'!AO15*EF!$H46*EF!$H64)*NtoN2O*kgtoGg,"ERROR"))</f>
        <v>0</v>
      </c>
      <c r="W1109" s="93">
        <f>IF('Net zero activities &amp; levers'!$C$14="Off",('Activity data'!AP15*EF!$H46*EF!$H64)*NtoN2O*kgtoGg,IF('Net zero activities &amp; levers'!$C$14="On",('Net zero Activity data'!AP15*EF!$H46*EF!$H64)*NtoN2O*kgtoGg,"ERROR"))</f>
        <v>0</v>
      </c>
      <c r="X1109" s="93">
        <f>IF('Net zero activities &amp; levers'!$C$14="Off",('Activity data'!AQ15*EF!$H46*EF!$H64)*NtoN2O*kgtoGg,IF('Net zero activities &amp; levers'!$C$14="On",('Net zero Activity data'!AQ15*EF!$H46*EF!$H64)*NtoN2O*kgtoGg,"ERROR"))</f>
        <v>0</v>
      </c>
      <c r="Y1109" s="93">
        <f>IF('Net zero activities &amp; levers'!$C$14="Off",('Activity data'!AR15*EF!$H46*EF!$H64)*NtoN2O*kgtoGg,IF('Net zero activities &amp; levers'!$C$14="On",('Net zero Activity data'!AR15*EF!$H46*EF!$H64)*NtoN2O*kgtoGg,"ERROR"))</f>
        <v>0</v>
      </c>
      <c r="Z1109" s="93">
        <f>IF('Net zero activities &amp; levers'!$C$14="Off",('Activity data'!AS15*EF!$H46*EF!$H64)*NtoN2O*kgtoGg,IF('Net zero activities &amp; levers'!$C$14="On",('Net zero Activity data'!AS15*EF!$H46*EF!$H64)*NtoN2O*kgtoGg,"ERROR"))</f>
        <v>0</v>
      </c>
      <c r="AA1109" s="93">
        <f>IF('Net zero activities &amp; levers'!$C$14="Off",('Activity data'!AT15*EF!$H46*EF!$H64)*NtoN2O*kgtoGg,IF('Net zero activities &amp; levers'!$C$14="On",('Net zero Activity data'!AT15*EF!$H46*EF!$H64)*NtoN2O*kgtoGg,"ERROR"))</f>
        <v>0</v>
      </c>
      <c r="AB1109" s="93">
        <f>IF('Net zero activities &amp; levers'!$C$14="Off",('Activity data'!AU15*EF!$H46*EF!$H64)*NtoN2O*kgtoGg,IF('Net zero activities &amp; levers'!$C$14="On",('Net zero Activity data'!AU15*EF!$H46*EF!$H64)*NtoN2O*kgtoGg,"ERROR"))</f>
        <v>0</v>
      </c>
      <c r="AC1109" s="93">
        <f>IF('Net zero activities &amp; levers'!$C$14="Off",('Activity data'!AV15*EF!$H46*EF!$H64)*NtoN2O*kgtoGg,IF('Net zero activities &amp; levers'!$C$14="On",('Net zero Activity data'!AV15*EF!$H46*EF!$H64)*NtoN2O*kgtoGg,"ERROR"))</f>
        <v>0</v>
      </c>
      <c r="AD1109" s="93">
        <f>IF('Net zero activities &amp; levers'!$C$14="Off",('Activity data'!AW15*EF!$H46*EF!$H64)*NtoN2O*kgtoGg,IF('Net zero activities &amp; levers'!$C$14="On",('Net zero Activity data'!AW15*EF!$H46*EF!$H64)*NtoN2O*kgtoGg,"ERROR"))</f>
        <v>0</v>
      </c>
      <c r="AE1109" s="93">
        <f>IF('Net zero activities &amp; levers'!$C$14="Off",('Activity data'!AX15*EF!$H46*EF!$H64)*NtoN2O*kgtoGg,IF('Net zero activities &amp; levers'!$C$14="On",('Net zero Activity data'!AX15*EF!$H46*EF!$H64)*NtoN2O*kgtoGg,"ERROR"))</f>
        <v>0</v>
      </c>
      <c r="AF1109" s="93">
        <f>IF('Net zero activities &amp; levers'!$C$14="Off",('Activity data'!AY15*EF!$H46*EF!$H64)*NtoN2O*kgtoGg,IF('Net zero activities &amp; levers'!$C$14="On",('Net zero Activity data'!AY15*EF!$H46*EF!$H64)*NtoN2O*kgtoGg,"ERROR"))</f>
        <v>0</v>
      </c>
      <c r="AG1109" s="93">
        <f>IF('Net zero activities &amp; levers'!$C$14="Off",('Activity data'!AZ15*EF!$H46*EF!$H64)*NtoN2O*kgtoGg,IF('Net zero activities &amp; levers'!$C$14="On",('Net zero Activity data'!AZ15*EF!$H46*EF!$H64)*NtoN2O*kgtoGg,"ERROR"))</f>
        <v>0</v>
      </c>
      <c r="AH1109" s="93">
        <f>IF('Net zero activities &amp; levers'!$C$14="Off",('Activity data'!BA15*EF!$H46*EF!$H64)*NtoN2O*kgtoGg,IF('Net zero activities &amp; levers'!$C$14="On",('Net zero Activity data'!BA15*EF!$H46*EF!$H64)*NtoN2O*kgtoGg,"ERROR"))</f>
        <v>0</v>
      </c>
      <c r="AI1109" s="93">
        <f>IF('Net zero activities &amp; levers'!$C$14="Off",('Activity data'!BB15*EF!$H46*EF!$H64)*NtoN2O*kgtoGg,IF('Net zero activities &amp; levers'!$C$14="On",('Net zero Activity data'!BB15*EF!$H46*EF!$H64)*NtoN2O*kgtoGg,"ERROR"))</f>
        <v>0</v>
      </c>
      <c r="AJ1109" s="93">
        <f>IF('Net zero activities &amp; levers'!$C$14="Off",('Activity data'!BC15*EF!$H46*EF!$H64)*NtoN2O*kgtoGg,IF('Net zero activities &amp; levers'!$C$14="On",('Net zero Activity data'!BC15*EF!$H46*EF!$H64)*NtoN2O*kgtoGg,"ERROR"))</f>
        <v>0</v>
      </c>
      <c r="AK1109" s="93">
        <f>IF('Net zero activities &amp; levers'!$C$14="Off",('Activity data'!BD15*EF!$H46*EF!$H64)*NtoN2O*kgtoGg,IF('Net zero activities &amp; levers'!$C$14="On",('Net zero Activity data'!BD15*EF!$H46*EF!$H64)*NtoN2O*kgtoGg,"ERROR"))</f>
        <v>0</v>
      </c>
      <c r="AL1109" s="93">
        <f>IF('Net zero activities &amp; levers'!$C$14="Off",('Activity data'!BE15*EF!$H46*EF!$H64)*NtoN2O*kgtoGg,IF('Net zero activities &amp; levers'!$C$14="On",('Net zero Activity data'!BE15*EF!$H46*EF!$H64)*NtoN2O*kgtoGg,"ERROR"))</f>
        <v>0</v>
      </c>
      <c r="AM1109" s="93">
        <f>IF('Net zero activities &amp; levers'!$C$14="Off",('Activity data'!BF15*EF!$H46*EF!$H64)*NtoN2O*kgtoGg,IF('Net zero activities &amp; levers'!$C$14="On",('Net zero Activity data'!BF15*EF!$H46*EF!$H64)*NtoN2O*kgtoGg,"ERROR"))</f>
        <v>0</v>
      </c>
      <c r="AN1109" s="93">
        <f>IF('Net zero activities &amp; levers'!$C$14="Off",('Activity data'!BG15*EF!$H46*EF!$H64)*NtoN2O*kgtoGg,IF('Net zero activities &amp; levers'!$C$14="On",('Net zero Activity data'!BG15*EF!$H46*EF!$H64)*NtoN2O*kgtoGg,"ERROR"))</f>
        <v>0</v>
      </c>
      <c r="AO1109" s="93">
        <f>IF('Net zero activities &amp; levers'!$C$14="Off",('Activity data'!BH15*EF!$H46*EF!$H64)*NtoN2O*kgtoGg,IF('Net zero activities &amp; levers'!$C$14="On",('Net zero Activity data'!BH15*EF!$H46*EF!$H64)*NtoN2O*kgtoGg,"ERROR"))</f>
        <v>0</v>
      </c>
      <c r="AP1109" s="93">
        <f>IF('Net zero activities &amp; levers'!$C$14="Off",('Activity data'!BI15*EF!$H46*EF!$H64)*NtoN2O*kgtoGg,IF('Net zero activities &amp; levers'!$C$14="On",('Net zero Activity data'!BI15*EF!$H46*EF!$H64)*NtoN2O*kgtoGg,"ERROR"))</f>
        <v>0</v>
      </c>
      <c r="AQ1109" s="93">
        <f>IF('Net zero activities &amp; levers'!$C$14="Off",('Activity data'!BJ15*EF!$H46*EF!$H64)*NtoN2O*kgtoGg,IF('Net zero activities &amp; levers'!$C$14="On",('Net zero Activity data'!BJ15*EF!$H46*EF!$H64)*NtoN2O*kgtoGg,"ERROR"))</f>
        <v>0</v>
      </c>
      <c r="AR1109" s="93">
        <f>IF('Net zero activities &amp; levers'!$C$14="Off",('Activity data'!BK15*EF!$H46*EF!$H64)*NtoN2O*kgtoGg,IF('Net zero activities &amp; levers'!$C$14="On",('Net zero Activity data'!BK15*EF!$H46*EF!$H64)*NtoN2O*kgtoGg,"ERROR"))</f>
        <v>0</v>
      </c>
      <c r="AS1109" s="93">
        <f>IF('Net zero activities &amp; levers'!$C$14="Off",('Activity data'!BL15*EF!$H46*EF!$H64)*NtoN2O*kgtoGg,IF('Net zero activities &amp; levers'!$C$14="On",('Net zero Activity data'!BL15*EF!$H46*EF!$H64)*NtoN2O*kgtoGg,"ERROR"))</f>
        <v>0</v>
      </c>
      <c r="AT1109" s="93">
        <f>IF('Net zero activities &amp; levers'!$C$14="Off",('Activity data'!BM15*EF!$H46*EF!$H64)*NtoN2O*kgtoGg,IF('Net zero activities &amp; levers'!$C$14="On",('Net zero Activity data'!BM15*EF!$H46*EF!$H64)*NtoN2O*kgtoGg,"ERROR"))</f>
        <v>0</v>
      </c>
      <c r="AU1109" s="93">
        <f>IF('Net zero activities &amp; levers'!$C$14="Off",('Activity data'!BN15*EF!$H46*EF!$H64)*NtoN2O*kgtoGg,IF('Net zero activities &amp; levers'!$C$14="On",('Net zero Activity data'!BN15*EF!$H46*EF!$H64)*NtoN2O*kgtoGg,"ERROR"))</f>
        <v>0</v>
      </c>
      <c r="AV1109" s="93">
        <f>IF('Net zero activities &amp; levers'!$C$14="Off",('Activity data'!BO15*EF!$H46*EF!$H64)*NtoN2O*kgtoGg,IF('Net zero activities &amp; levers'!$C$14="On",('Net zero Activity data'!BO15*EF!$H46*EF!$H64)*NtoN2O*kgtoGg,"ERROR"))</f>
        <v>0</v>
      </c>
      <c r="AW1109" s="93">
        <f>IF('Net zero activities &amp; levers'!$C$14="Off",('Activity data'!BP15*EF!$H46*EF!$H64)*NtoN2O*kgtoGg,IF('Net zero activities &amp; levers'!$C$14="On",('Net zero Activity data'!BP15*EF!$H46*EF!$H64)*NtoN2O*kgtoGg,"ERROR"))</f>
        <v>0</v>
      </c>
      <c r="AY1109" s="79"/>
    </row>
    <row r="1110" spans="1:51" x14ac:dyDescent="0.3">
      <c r="A1110" s="95" t="str">
        <f t="shared" si="374"/>
        <v>CM Mules MMN2O</v>
      </c>
      <c r="B1110" s="95" t="s">
        <v>1322</v>
      </c>
      <c r="C1110" s="95" t="s">
        <v>1331</v>
      </c>
      <c r="D1110" t="s">
        <v>15</v>
      </c>
      <c r="E1110" t="s">
        <v>657</v>
      </c>
      <c r="F1110" t="s">
        <v>140</v>
      </c>
      <c r="G1110" t="s">
        <v>124</v>
      </c>
      <c r="H1110" t="s">
        <v>1227</v>
      </c>
      <c r="I1110" t="s">
        <v>139</v>
      </c>
      <c r="J1110" t="s">
        <v>287</v>
      </c>
      <c r="K1110" s="93">
        <f>IF('Net zero activities &amp; levers'!$C$14="Off",('Activity data'!AD16*EF!$H47*EF!$H65)*NtoN2O*kgtoGg,IF('Net zero activities &amp; levers'!$C$14="On",('Net zero Activity data'!AD16*EF!$H47*EF!$H65)*NtoN2O*kgtoGg,"ERROR"))</f>
        <v>0</v>
      </c>
      <c r="L1110" s="93">
        <f>IF('Net zero activities &amp; levers'!$C$14="Off",('Activity data'!AE16*EF!$H47*EF!$H65)*NtoN2O*kgtoGg,IF('Net zero activities &amp; levers'!$C$14="On",('Net zero Activity data'!AE16*EF!$H47*EF!$H65)*NtoN2O*kgtoGg,"ERROR"))</f>
        <v>0</v>
      </c>
      <c r="M1110" s="93">
        <f>IF('Net zero activities &amp; levers'!$C$14="Off",('Activity data'!AF16*EF!$H47*EF!$H65)*NtoN2O*kgtoGg,IF('Net zero activities &amp; levers'!$C$14="On",('Net zero Activity data'!AF16*EF!$H47*EF!$H65)*NtoN2O*kgtoGg,"ERROR"))</f>
        <v>0</v>
      </c>
      <c r="N1110" s="93">
        <f>IF('Net zero activities &amp; levers'!$C$14="Off",('Activity data'!AG16*EF!$H47*EF!$H65)*NtoN2O*kgtoGg,IF('Net zero activities &amp; levers'!$C$14="On",('Net zero Activity data'!AG16*EF!$H47*EF!$H65)*NtoN2O*kgtoGg,"ERROR"))</f>
        <v>0</v>
      </c>
      <c r="O1110" s="93">
        <f>IF('Net zero activities &amp; levers'!$C$14="Off",('Activity data'!AH16*EF!$H47*EF!$H65)*NtoN2O*kgtoGg,IF('Net zero activities &amp; levers'!$C$14="On",('Net zero Activity data'!AH16*EF!$H47*EF!$H65)*NtoN2O*kgtoGg,"ERROR"))</f>
        <v>0</v>
      </c>
      <c r="P1110" s="93">
        <f>IF('Net zero activities &amp; levers'!$C$14="Off",('Activity data'!AI16*EF!$H47*EF!$H65)*NtoN2O*kgtoGg,IF('Net zero activities &amp; levers'!$C$14="On",('Net zero Activity data'!AI16*EF!$H47*EF!$H65)*NtoN2O*kgtoGg,"ERROR"))</f>
        <v>0</v>
      </c>
      <c r="Q1110" s="93">
        <f>IF('Net zero activities &amp; levers'!$C$14="Off",('Activity data'!AJ16*EF!$H47*EF!$H65)*NtoN2O*kgtoGg,IF('Net zero activities &amp; levers'!$C$14="On",('Net zero Activity data'!AJ16*EF!$H47*EF!$H65)*NtoN2O*kgtoGg,"ERROR"))</f>
        <v>0</v>
      </c>
      <c r="R1110" s="93">
        <f>IF('Net zero activities &amp; levers'!$C$14="Off",('Activity data'!AK16*EF!$H47*EF!$H65)*NtoN2O*kgtoGg,IF('Net zero activities &amp; levers'!$C$14="On",('Net zero Activity data'!AK16*EF!$H47*EF!$H65)*NtoN2O*kgtoGg,"ERROR"))</f>
        <v>0</v>
      </c>
      <c r="S1110" s="93">
        <f>IF('Net zero activities &amp; levers'!$C$14="Off",('Activity data'!AL16*EF!$H47*EF!$H65)*NtoN2O*kgtoGg,IF('Net zero activities &amp; levers'!$C$14="On",('Net zero Activity data'!AL16*EF!$H47*EF!$H65)*NtoN2O*kgtoGg,"ERROR"))</f>
        <v>0</v>
      </c>
      <c r="T1110" s="93">
        <f>IF('Net zero activities &amp; levers'!$C$14="Off",('Activity data'!AM16*EF!$H47*EF!$H65)*NtoN2O*kgtoGg,IF('Net zero activities &amp; levers'!$C$14="On",('Net zero Activity data'!AM16*EF!$H47*EF!$H65)*NtoN2O*kgtoGg,"ERROR"))</f>
        <v>0</v>
      </c>
      <c r="U1110" s="93">
        <f>IF('Net zero activities &amp; levers'!$C$14="Off",('Activity data'!AN16*EF!$H47*EF!$H65)*NtoN2O*kgtoGg,IF('Net zero activities &amp; levers'!$C$14="On",('Net zero Activity data'!AN16*EF!$H47*EF!$H65)*NtoN2O*kgtoGg,"ERROR"))</f>
        <v>0</v>
      </c>
      <c r="V1110" s="93">
        <f>IF('Net zero activities &amp; levers'!$C$14="Off",('Activity data'!AO16*EF!$H47*EF!$H65)*NtoN2O*kgtoGg,IF('Net zero activities &amp; levers'!$C$14="On",('Net zero Activity data'!AO16*EF!$H47*EF!$H65)*NtoN2O*kgtoGg,"ERROR"))</f>
        <v>0</v>
      </c>
      <c r="W1110" s="93">
        <f>IF('Net zero activities &amp; levers'!$C$14="Off",('Activity data'!AP16*EF!$H47*EF!$H65)*NtoN2O*kgtoGg,IF('Net zero activities &amp; levers'!$C$14="On",('Net zero Activity data'!AP16*EF!$H47*EF!$H65)*NtoN2O*kgtoGg,"ERROR"))</f>
        <v>0</v>
      </c>
      <c r="X1110" s="93">
        <f>IF('Net zero activities &amp; levers'!$C$14="Off",('Activity data'!AQ16*EF!$H47*EF!$H65)*NtoN2O*kgtoGg,IF('Net zero activities &amp; levers'!$C$14="On",('Net zero Activity data'!AQ16*EF!$H47*EF!$H65)*NtoN2O*kgtoGg,"ERROR"))</f>
        <v>0</v>
      </c>
      <c r="Y1110" s="93">
        <f>IF('Net zero activities &amp; levers'!$C$14="Off",('Activity data'!AR16*EF!$H47*EF!$H65)*NtoN2O*kgtoGg,IF('Net zero activities &amp; levers'!$C$14="On",('Net zero Activity data'!AR16*EF!$H47*EF!$H65)*NtoN2O*kgtoGg,"ERROR"))</f>
        <v>0</v>
      </c>
      <c r="Z1110" s="93">
        <f>IF('Net zero activities &amp; levers'!$C$14="Off",('Activity data'!AS16*EF!$H47*EF!$H65)*NtoN2O*kgtoGg,IF('Net zero activities &amp; levers'!$C$14="On",('Net zero Activity data'!AS16*EF!$H47*EF!$H65)*NtoN2O*kgtoGg,"ERROR"))</f>
        <v>0</v>
      </c>
      <c r="AA1110" s="93">
        <f>IF('Net zero activities &amp; levers'!$C$14="Off",('Activity data'!AT16*EF!$H47*EF!$H65)*NtoN2O*kgtoGg,IF('Net zero activities &amp; levers'!$C$14="On",('Net zero Activity data'!AT16*EF!$H47*EF!$H65)*NtoN2O*kgtoGg,"ERROR"))</f>
        <v>0</v>
      </c>
      <c r="AB1110" s="93">
        <f>IF('Net zero activities &amp; levers'!$C$14="Off",('Activity data'!AU16*EF!$H47*EF!$H65)*NtoN2O*kgtoGg,IF('Net zero activities &amp; levers'!$C$14="On",('Net zero Activity data'!AU16*EF!$H47*EF!$H65)*NtoN2O*kgtoGg,"ERROR"))</f>
        <v>0</v>
      </c>
      <c r="AC1110" s="93">
        <f>IF('Net zero activities &amp; levers'!$C$14="Off",('Activity data'!AV16*EF!$H47*EF!$H65)*NtoN2O*kgtoGg,IF('Net zero activities &amp; levers'!$C$14="On",('Net zero Activity data'!AV16*EF!$H47*EF!$H65)*NtoN2O*kgtoGg,"ERROR"))</f>
        <v>0</v>
      </c>
      <c r="AD1110" s="93">
        <f>IF('Net zero activities &amp; levers'!$C$14="Off",('Activity data'!AW16*EF!$H47*EF!$H65)*NtoN2O*kgtoGg,IF('Net zero activities &amp; levers'!$C$14="On",('Net zero Activity data'!AW16*EF!$H47*EF!$H65)*NtoN2O*kgtoGg,"ERROR"))</f>
        <v>0</v>
      </c>
      <c r="AE1110" s="93">
        <f>IF('Net zero activities &amp; levers'!$C$14="Off",('Activity data'!AX16*EF!$H47*EF!$H65)*NtoN2O*kgtoGg,IF('Net zero activities &amp; levers'!$C$14="On",('Net zero Activity data'!AX16*EF!$H47*EF!$H65)*NtoN2O*kgtoGg,"ERROR"))</f>
        <v>0</v>
      </c>
      <c r="AF1110" s="93">
        <f>IF('Net zero activities &amp; levers'!$C$14="Off",('Activity data'!AY16*EF!$H47*EF!$H65)*NtoN2O*kgtoGg,IF('Net zero activities &amp; levers'!$C$14="On",('Net zero Activity data'!AY16*EF!$H47*EF!$H65)*NtoN2O*kgtoGg,"ERROR"))</f>
        <v>0</v>
      </c>
      <c r="AG1110" s="93">
        <f>IF('Net zero activities &amp; levers'!$C$14="Off",('Activity data'!AZ16*EF!$H47*EF!$H65)*NtoN2O*kgtoGg,IF('Net zero activities &amp; levers'!$C$14="On",('Net zero Activity data'!AZ16*EF!$H47*EF!$H65)*NtoN2O*kgtoGg,"ERROR"))</f>
        <v>0</v>
      </c>
      <c r="AH1110" s="93">
        <f>IF('Net zero activities &amp; levers'!$C$14="Off",('Activity data'!BA16*EF!$H47*EF!$H65)*NtoN2O*kgtoGg,IF('Net zero activities &amp; levers'!$C$14="On",('Net zero Activity data'!BA16*EF!$H47*EF!$H65)*NtoN2O*kgtoGg,"ERROR"))</f>
        <v>0</v>
      </c>
      <c r="AI1110" s="93">
        <f>IF('Net zero activities &amp; levers'!$C$14="Off",('Activity data'!BB16*EF!$H47*EF!$H65)*NtoN2O*kgtoGg,IF('Net zero activities &amp; levers'!$C$14="On",('Net zero Activity data'!BB16*EF!$H47*EF!$H65)*NtoN2O*kgtoGg,"ERROR"))</f>
        <v>0</v>
      </c>
      <c r="AJ1110" s="93">
        <f>IF('Net zero activities &amp; levers'!$C$14="Off",('Activity data'!BC16*EF!$H47*EF!$H65)*NtoN2O*kgtoGg,IF('Net zero activities &amp; levers'!$C$14="On",('Net zero Activity data'!BC16*EF!$H47*EF!$H65)*NtoN2O*kgtoGg,"ERROR"))</f>
        <v>0</v>
      </c>
      <c r="AK1110" s="93">
        <f>IF('Net zero activities &amp; levers'!$C$14="Off",('Activity data'!BD16*EF!$H47*EF!$H65)*NtoN2O*kgtoGg,IF('Net zero activities &amp; levers'!$C$14="On",('Net zero Activity data'!BD16*EF!$H47*EF!$H65)*NtoN2O*kgtoGg,"ERROR"))</f>
        <v>0</v>
      </c>
      <c r="AL1110" s="93">
        <f>IF('Net zero activities &amp; levers'!$C$14="Off",('Activity data'!BE16*EF!$H47*EF!$H65)*NtoN2O*kgtoGg,IF('Net zero activities &amp; levers'!$C$14="On",('Net zero Activity data'!BE16*EF!$H47*EF!$H65)*NtoN2O*kgtoGg,"ERROR"))</f>
        <v>0</v>
      </c>
      <c r="AM1110" s="93">
        <f>IF('Net zero activities &amp; levers'!$C$14="Off",('Activity data'!BF16*EF!$H47*EF!$H65)*NtoN2O*kgtoGg,IF('Net zero activities &amp; levers'!$C$14="On",('Net zero Activity data'!BF16*EF!$H47*EF!$H65)*NtoN2O*kgtoGg,"ERROR"))</f>
        <v>0</v>
      </c>
      <c r="AN1110" s="93">
        <f>IF('Net zero activities &amp; levers'!$C$14="Off",('Activity data'!BG16*EF!$H47*EF!$H65)*NtoN2O*kgtoGg,IF('Net zero activities &amp; levers'!$C$14="On",('Net zero Activity data'!BG16*EF!$H47*EF!$H65)*NtoN2O*kgtoGg,"ERROR"))</f>
        <v>0</v>
      </c>
      <c r="AO1110" s="93">
        <f>IF('Net zero activities &amp; levers'!$C$14="Off",('Activity data'!BH16*EF!$H47*EF!$H65)*NtoN2O*kgtoGg,IF('Net zero activities &amp; levers'!$C$14="On",('Net zero Activity data'!BH16*EF!$H47*EF!$H65)*NtoN2O*kgtoGg,"ERROR"))</f>
        <v>0</v>
      </c>
      <c r="AP1110" s="93">
        <f>IF('Net zero activities &amp; levers'!$C$14="Off",('Activity data'!BI16*EF!$H47*EF!$H65)*NtoN2O*kgtoGg,IF('Net zero activities &amp; levers'!$C$14="On",('Net zero Activity data'!BI16*EF!$H47*EF!$H65)*NtoN2O*kgtoGg,"ERROR"))</f>
        <v>0</v>
      </c>
      <c r="AQ1110" s="93">
        <f>IF('Net zero activities &amp; levers'!$C$14="Off",('Activity data'!BJ16*EF!$H47*EF!$H65)*NtoN2O*kgtoGg,IF('Net zero activities &amp; levers'!$C$14="On",('Net zero Activity data'!BJ16*EF!$H47*EF!$H65)*NtoN2O*kgtoGg,"ERROR"))</f>
        <v>0</v>
      </c>
      <c r="AR1110" s="93">
        <f>IF('Net zero activities &amp; levers'!$C$14="Off",('Activity data'!BK16*EF!$H47*EF!$H65)*NtoN2O*kgtoGg,IF('Net zero activities &amp; levers'!$C$14="On",('Net zero Activity data'!BK16*EF!$H47*EF!$H65)*NtoN2O*kgtoGg,"ERROR"))</f>
        <v>0</v>
      </c>
      <c r="AS1110" s="93">
        <f>IF('Net zero activities &amp; levers'!$C$14="Off",('Activity data'!BL16*EF!$H47*EF!$H65)*NtoN2O*kgtoGg,IF('Net zero activities &amp; levers'!$C$14="On",('Net zero Activity data'!BL16*EF!$H47*EF!$H65)*NtoN2O*kgtoGg,"ERROR"))</f>
        <v>0</v>
      </c>
      <c r="AT1110" s="93">
        <f>IF('Net zero activities &amp; levers'!$C$14="Off",('Activity data'!BM16*EF!$H47*EF!$H65)*NtoN2O*kgtoGg,IF('Net zero activities &amp; levers'!$C$14="On",('Net zero Activity data'!BM16*EF!$H47*EF!$H65)*NtoN2O*kgtoGg,"ERROR"))</f>
        <v>0</v>
      </c>
      <c r="AU1110" s="93">
        <f>IF('Net zero activities &amp; levers'!$C$14="Off",('Activity data'!BN16*EF!$H47*EF!$H65)*NtoN2O*kgtoGg,IF('Net zero activities &amp; levers'!$C$14="On",('Net zero Activity data'!BN16*EF!$H47*EF!$H65)*NtoN2O*kgtoGg,"ERROR"))</f>
        <v>0</v>
      </c>
      <c r="AV1110" s="93">
        <f>IF('Net zero activities &amp; levers'!$C$14="Off",('Activity data'!BO16*EF!$H47*EF!$H65)*NtoN2O*kgtoGg,IF('Net zero activities &amp; levers'!$C$14="On",('Net zero Activity data'!BO16*EF!$H47*EF!$H65)*NtoN2O*kgtoGg,"ERROR"))</f>
        <v>0</v>
      </c>
      <c r="AW1110" s="93">
        <f>IF('Net zero activities &amp; levers'!$C$14="Off",('Activity data'!BP16*EF!$H47*EF!$H65)*NtoN2O*kgtoGg,IF('Net zero activities &amp; levers'!$C$14="On",('Net zero Activity data'!BP16*EF!$H47*EF!$H65)*NtoN2O*kgtoGg,"ERROR"))</f>
        <v>0</v>
      </c>
      <c r="AY1110" s="79"/>
    </row>
    <row r="1111" spans="1:51" x14ac:dyDescent="0.3">
      <c r="A1111" s="95" t="str">
        <f t="shared" si="374"/>
        <v>CM Swine MMN2O</v>
      </c>
      <c r="B1111" s="95" t="s">
        <v>1322</v>
      </c>
      <c r="C1111" s="95" t="s">
        <v>1233</v>
      </c>
      <c r="D1111" t="s">
        <v>15</v>
      </c>
      <c r="E1111" t="s">
        <v>657</v>
      </c>
      <c r="F1111" t="s">
        <v>21</v>
      </c>
      <c r="G1111" t="s">
        <v>122</v>
      </c>
      <c r="H1111" t="s">
        <v>1227</v>
      </c>
      <c r="I1111" t="s">
        <v>139</v>
      </c>
      <c r="J1111" t="s">
        <v>287</v>
      </c>
      <c r="K1111" s="93">
        <f>IF('Net zero activities &amp; levers'!$C$14="Off",('Activity data'!AD17*EF!$H48*EF!$H66)*NtoN2O*kgtoGg,IF('Net zero activities &amp; levers'!$C$14="On",('Net zero Activity data'!AD17*EF!$H48*EF!$H66)*NtoN2O*kgtoGg,"ERROR"))</f>
        <v>9.7466979224281824E-2</v>
      </c>
      <c r="L1111" s="93">
        <f>IF('Net zero activities &amp; levers'!$C$14="Off",('Activity data'!AE17*EF!$H48*EF!$H66)*NtoN2O*kgtoGg,IF('Net zero activities &amp; levers'!$C$14="On",('Net zero Activity data'!AE17*EF!$H48*EF!$H66)*NtoN2O*kgtoGg,"ERROR"))</f>
        <v>9.6937181363551506E-2</v>
      </c>
      <c r="M1111" s="93">
        <f>IF('Net zero activities &amp; levers'!$C$14="Off",('Activity data'!AF17*EF!$H48*EF!$H66)*NtoN2O*kgtoGg,IF('Net zero activities &amp; levers'!$C$14="On",('Net zero Activity data'!AF17*EF!$H48*EF!$H66)*NtoN2O*kgtoGg,"ERROR"))</f>
        <v>9.6980665528366608E-2</v>
      </c>
      <c r="N1111" s="93">
        <f>IF('Net zero activities &amp; levers'!$C$14="Off",('Activity data'!AG17*EF!$H48*EF!$H66)*NtoN2O*kgtoGg,IF('Net zero activities &amp; levers'!$C$14="On",('Net zero Activity data'!AG17*EF!$H48*EF!$H66)*NtoN2O*kgtoGg,"ERROR"))</f>
        <v>9.6090308702663593E-2</v>
      </c>
      <c r="O1111" s="93">
        <f>IF('Net zero activities &amp; levers'!$C$14="Off",('Activity data'!AH17*EF!$H48*EF!$H66)*NtoN2O*kgtoGg,IF('Net zero activities &amp; levers'!$C$14="On",('Net zero Activity data'!AH17*EF!$H48*EF!$H66)*NtoN2O*kgtoGg,"ERROR"))</f>
        <v>9.4636150647850484E-2</v>
      </c>
      <c r="P1111" s="93">
        <f>IF('Net zero activities &amp; levers'!$C$14="Off",('Activity data'!AI17*EF!$H48*EF!$H66)*NtoN2O*kgtoGg,IF('Net zero activities &amp; levers'!$C$14="On",('Net zero Activity data'!AI17*EF!$H48*EF!$H66)*NtoN2O*kgtoGg,"ERROR"))</f>
        <v>9.2641437622218326E-2</v>
      </c>
      <c r="Q1111" s="93">
        <f>IF('Net zero activities &amp; levers'!$C$14="Off",('Activity data'!AJ17*EF!$H48*EF!$H66)*NtoN2O*kgtoGg,IF('Net zero activities &amp; levers'!$C$14="On",('Net zero Activity data'!AJ17*EF!$H48*EF!$H66)*NtoN2O*kgtoGg,"ERROR"))</f>
        <v>9.1193054757597189E-2</v>
      </c>
      <c r="R1111" s="93">
        <f>IF('Net zero activities &amp; levers'!$C$14="Off",('Activity data'!AK17*EF!$H48*EF!$H66)*NtoN2O*kgtoGg,IF('Net zero activities &amp; levers'!$C$14="On",('Net zero Activity data'!AK17*EF!$H48*EF!$H66)*NtoN2O*kgtoGg,"ERROR"))</f>
        <v>8.9872834352323558E-2</v>
      </c>
      <c r="S1111" s="93">
        <f>IF('Net zero activities &amp; levers'!$C$14="Off",('Activity data'!AL17*EF!$H48*EF!$H66)*NtoN2O*kgtoGg,IF('Net zero activities &amp; levers'!$C$14="On",('Net zero Activity data'!AL17*EF!$H48*EF!$H66)*NtoN2O*kgtoGg,"ERROR"))</f>
        <v>7.9353210388908066E-2</v>
      </c>
      <c r="T1111" s="93">
        <f>IF('Net zero activities &amp; levers'!$C$14="Off",('Activity data'!AM17*EF!$H48*EF!$H66)*NtoN2O*kgtoGg,IF('Net zero activities &amp; levers'!$C$14="On",('Net zero Activity data'!AM17*EF!$H48*EF!$H66)*NtoN2O*kgtoGg,"ERROR"))</f>
        <v>8.0356685470718767E-2</v>
      </c>
      <c r="U1111" s="93">
        <f>IF('Net zero activities &amp; levers'!$C$14="Off",('Activity data'!AN17*EF!$H48*EF!$H66)*NtoN2O*kgtoGg,IF('Net zero activities &amp; levers'!$C$14="On",('Net zero Activity data'!AN17*EF!$H48*EF!$H66)*NtoN2O*kgtoGg,"ERROR"))</f>
        <v>8.2509946009160923E-2</v>
      </c>
      <c r="V1111" s="93">
        <f>IF('Net zero activities &amp; levers'!$C$14="Off",('Activity data'!AO17*EF!$H48*EF!$H66)*NtoN2O*kgtoGg,IF('Net zero activities &amp; levers'!$C$14="On",('Net zero Activity data'!AO17*EF!$H48*EF!$H66)*NtoN2O*kgtoGg,"ERROR"))</f>
        <v>8.2705450879572748E-2</v>
      </c>
      <c r="W1111" s="93">
        <f>IF('Net zero activities &amp; levers'!$C$14="Off",('Activity data'!AP17*EF!$H48*EF!$H66)*NtoN2O*kgtoGg,IF('Net zero activities &amp; levers'!$C$14="On",('Net zero Activity data'!AP17*EF!$H48*EF!$H66)*NtoN2O*kgtoGg,"ERROR"))</f>
        <v>8.3128827539525094E-2</v>
      </c>
      <c r="X1111" s="93">
        <f>IF('Net zero activities &amp; levers'!$C$14="Off",('Activity data'!AQ17*EF!$H48*EF!$H66)*NtoN2O*kgtoGg,IF('Net zero activities &amp; levers'!$C$14="On",('Net zero Activity data'!AQ17*EF!$H48*EF!$H66)*NtoN2O*kgtoGg,"ERROR"))</f>
        <v>8.3840672628701915E-2</v>
      </c>
      <c r="Y1111" s="93">
        <f>IF('Net zero activities &amp; levers'!$C$14="Off",('Activity data'!AR17*EF!$H48*EF!$H66)*NtoN2O*kgtoGg,IF('Net zero activities &amp; levers'!$C$14="On",('Net zero Activity data'!AR17*EF!$H48*EF!$H66)*NtoN2O*kgtoGg,"ERROR"))</f>
        <v>8.4733895932113168E-2</v>
      </c>
      <c r="Z1111" s="93">
        <f>IF('Net zero activities &amp; levers'!$C$14="Off",('Activity data'!AS17*EF!$H48*EF!$H66)*NtoN2O*kgtoGg,IF('Net zero activities &amp; levers'!$C$14="On",('Net zero Activity data'!AS17*EF!$H48*EF!$H66)*NtoN2O*kgtoGg,"ERROR"))</f>
        <v>8.5828465366834875E-2</v>
      </c>
      <c r="AA1111" s="93">
        <f>IF('Net zero activities &amp; levers'!$C$14="Off",('Activity data'!AT17*EF!$H48*EF!$H66)*NtoN2O*kgtoGg,IF('Net zero activities &amp; levers'!$C$14="On",('Net zero Activity data'!AT17*EF!$H48*EF!$H66)*NtoN2O*kgtoGg,"ERROR"))</f>
        <v>8.6935834694674932E-2</v>
      </c>
      <c r="AB1111" s="93">
        <f>IF('Net zero activities &amp; levers'!$C$14="Off",('Activity data'!AU17*EF!$H48*EF!$H66)*NtoN2O*kgtoGg,IF('Net zero activities &amp; levers'!$C$14="On",('Net zero Activity data'!AU17*EF!$H48*EF!$H66)*NtoN2O*kgtoGg,"ERROR"))</f>
        <v>8.8214344657231616E-2</v>
      </c>
      <c r="AC1111" s="93">
        <f>IF('Net zero activities &amp; levers'!$C$14="Off",('Activity data'!AV17*EF!$H48*EF!$H66)*NtoN2O*kgtoGg,IF('Net zero activities &amp; levers'!$C$14="On",('Net zero Activity data'!AV17*EF!$H48*EF!$H66)*NtoN2O*kgtoGg,"ERROR"))</f>
        <v>8.9484030373768036E-2</v>
      </c>
      <c r="AD1111" s="93">
        <f>IF('Net zero activities &amp; levers'!$C$14="Off",('Activity data'!AW17*EF!$H48*EF!$H66)*NtoN2O*kgtoGg,IF('Net zero activities &amp; levers'!$C$14="On",('Net zero Activity data'!AW17*EF!$H48*EF!$H66)*NtoN2O*kgtoGg,"ERROR"))</f>
        <v>9.1062581228130657E-2</v>
      </c>
      <c r="AE1111" s="93">
        <f>IF('Net zero activities &amp; levers'!$C$14="Off",('Activity data'!AX17*EF!$H48*EF!$H66)*NtoN2O*kgtoGg,IF('Net zero activities &amp; levers'!$C$14="On",('Net zero Activity data'!AX17*EF!$H48*EF!$H66)*NtoN2O*kgtoGg,"ERROR"))</f>
        <v>9.2515752583830088E-2</v>
      </c>
      <c r="AF1111" s="93">
        <f>IF('Net zero activities &amp; levers'!$C$14="Off",('Activity data'!AY17*EF!$H48*EF!$H66)*NtoN2O*kgtoGg,IF('Net zero activities &amp; levers'!$C$14="On",('Net zero Activity data'!AY17*EF!$H48*EF!$H66)*NtoN2O*kgtoGg,"ERROR"))</f>
        <v>9.4062043086931529E-2</v>
      </c>
      <c r="AG1111" s="93">
        <f>IF('Net zero activities &amp; levers'!$C$14="Off",('Activity data'!AZ17*EF!$H48*EF!$H66)*NtoN2O*kgtoGg,IF('Net zero activities &amp; levers'!$C$14="On",('Net zero Activity data'!AZ17*EF!$H48*EF!$H66)*NtoN2O*kgtoGg,"ERROR"))</f>
        <v>9.5948315776645976E-2</v>
      </c>
      <c r="AH1111" s="93">
        <f>IF('Net zero activities &amp; levers'!$C$14="Off",('Activity data'!BA17*EF!$H48*EF!$H66)*NtoN2O*kgtoGg,IF('Net zero activities &amp; levers'!$C$14="On",('Net zero Activity data'!BA17*EF!$H48*EF!$H66)*NtoN2O*kgtoGg,"ERROR"))</f>
        <v>9.7568003997154984E-2</v>
      </c>
      <c r="AI1111" s="93">
        <f>IF('Net zero activities &amp; levers'!$C$14="Off",('Activity data'!BB17*EF!$H48*EF!$H66)*NtoN2O*kgtoGg,IF('Net zero activities &amp; levers'!$C$14="On",('Net zero Activity data'!BB17*EF!$H48*EF!$H66)*NtoN2O*kgtoGg,"ERROR"))</f>
        <v>9.931620819342124E-2</v>
      </c>
      <c r="AJ1111" s="93">
        <f>IF('Net zero activities &amp; levers'!$C$14="Off",('Activity data'!BC17*EF!$H48*EF!$H66)*NtoN2O*kgtoGg,IF('Net zero activities &amp; levers'!$C$14="On",('Net zero Activity data'!BC17*EF!$H48*EF!$H66)*NtoN2O*kgtoGg,"ERROR"))</f>
        <v>0.10121358762042433</v>
      </c>
      <c r="AK1111" s="93">
        <f>IF('Net zero activities &amp; levers'!$C$14="Off",('Activity data'!BD17*EF!$H48*EF!$H66)*NtoN2O*kgtoGg,IF('Net zero activities &amp; levers'!$C$14="On",('Net zero Activity data'!BD17*EF!$H48*EF!$H66)*NtoN2O*kgtoGg,"ERROR"))</f>
        <v>0.10279643211588628</v>
      </c>
      <c r="AL1111" s="93">
        <f>IF('Net zero activities &amp; levers'!$C$14="Off",('Activity data'!BE17*EF!$H48*EF!$H66)*NtoN2O*kgtoGg,IF('Net zero activities &amp; levers'!$C$14="On",('Net zero Activity data'!BE17*EF!$H48*EF!$H66)*NtoN2O*kgtoGg,"ERROR"))</f>
        <v>0.10428080048635653</v>
      </c>
      <c r="AM1111" s="93">
        <f>IF('Net zero activities &amp; levers'!$C$14="Off",('Activity data'!BF17*EF!$H48*EF!$H66)*NtoN2O*kgtoGg,IF('Net zero activities &amp; levers'!$C$14="On",('Net zero Activity data'!BF17*EF!$H48*EF!$H66)*NtoN2O*kgtoGg,"ERROR"))</f>
        <v>0.10567866446887142</v>
      </c>
      <c r="AN1111" s="93">
        <f>IF('Net zero activities &amp; levers'!$C$14="Off",('Activity data'!BG17*EF!$H48*EF!$H66)*NtoN2O*kgtoGg,IF('Net zero activities &amp; levers'!$C$14="On",('Net zero Activity data'!BG17*EF!$H48*EF!$H66)*NtoN2O*kgtoGg,"ERROR"))</f>
        <v>0.10729272325925118</v>
      </c>
      <c r="AO1111" s="93">
        <f>IF('Net zero activities &amp; levers'!$C$14="Off",('Activity data'!BH17*EF!$H48*EF!$H66)*NtoN2O*kgtoGg,IF('Net zero activities &amp; levers'!$C$14="On",('Net zero Activity data'!BH17*EF!$H48*EF!$H66)*NtoN2O*kgtoGg,"ERROR"))</f>
        <v>0.10869271119263345</v>
      </c>
      <c r="AP1111" s="93">
        <f>IF('Net zero activities &amp; levers'!$C$14="Off",('Activity data'!BI17*EF!$H48*EF!$H66)*NtoN2O*kgtoGg,IF('Net zero activities &amp; levers'!$C$14="On",('Net zero Activity data'!BI17*EF!$H48*EF!$H66)*NtoN2O*kgtoGg,"ERROR"))</f>
        <v>0.110137854380135</v>
      </c>
      <c r="AQ1111" s="93">
        <f>IF('Net zero activities &amp; levers'!$C$14="Off",('Activity data'!BJ17*EF!$H48*EF!$H66)*NtoN2O*kgtoGg,IF('Net zero activities &amp; levers'!$C$14="On",('Net zero Activity data'!BJ17*EF!$H48*EF!$H66)*NtoN2O*kgtoGg,"ERROR"))</f>
        <v>0.1116390532050176</v>
      </c>
      <c r="AR1111" s="93">
        <f>IF('Net zero activities &amp; levers'!$C$14="Off",('Activity data'!BK17*EF!$H48*EF!$H66)*NtoN2O*kgtoGg,IF('Net zero activities &amp; levers'!$C$14="On",('Net zero Activity data'!BK17*EF!$H48*EF!$H66)*NtoN2O*kgtoGg,"ERROR"))</f>
        <v>0.11321509141175116</v>
      </c>
      <c r="AS1111" s="93">
        <f>IF('Net zero activities &amp; levers'!$C$14="Off",('Activity data'!BL17*EF!$H48*EF!$H66)*NtoN2O*kgtoGg,IF('Net zero activities &amp; levers'!$C$14="On",('Net zero Activity data'!BL17*EF!$H48*EF!$H66)*NtoN2O*kgtoGg,"ERROR"))</f>
        <v>0.114870036037916</v>
      </c>
      <c r="AT1111" s="93">
        <f>IF('Net zero activities &amp; levers'!$C$14="Off",('Activity data'!BM17*EF!$H48*EF!$H66)*NtoN2O*kgtoGg,IF('Net zero activities &amp; levers'!$C$14="On",('Net zero Activity data'!BM17*EF!$H48*EF!$H66)*NtoN2O*kgtoGg,"ERROR"))</f>
        <v>0.11386297950526468</v>
      </c>
      <c r="AU1111" s="93">
        <f>IF('Net zero activities &amp; levers'!$C$14="Off",('Activity data'!BN17*EF!$H48*EF!$H66)*NtoN2O*kgtoGg,IF('Net zero activities &amp; levers'!$C$14="On",('Net zero Activity data'!BN17*EF!$H48*EF!$H66)*NtoN2O*kgtoGg,"ERROR"))</f>
        <v>0.11262319660921266</v>
      </c>
      <c r="AV1111" s="93">
        <f>IF('Net zero activities &amp; levers'!$C$14="Off",('Activity data'!BO17*EF!$H48*EF!$H66)*NtoN2O*kgtoGg,IF('Net zero activities &amp; levers'!$C$14="On",('Net zero Activity data'!BO17*EF!$H48*EF!$H66)*NtoN2O*kgtoGg,"ERROR"))</f>
        <v>0.11105880605518059</v>
      </c>
      <c r="AW1111" s="93">
        <f>IF('Net zero activities &amp; levers'!$C$14="Off",('Activity data'!BP17*EF!$H48*EF!$H66)*NtoN2O*kgtoGg,IF('Net zero activities &amp; levers'!$C$14="On",('Net zero Activity data'!BP17*EF!$H48*EF!$H66)*NtoN2O*kgtoGg,"ERROR"))</f>
        <v>0.1094176927215173</v>
      </c>
      <c r="AY1111" s="79"/>
    </row>
    <row r="1112" spans="1:51" x14ac:dyDescent="0.3">
      <c r="A1112" s="95" t="str">
        <f t="shared" si="374"/>
        <v>CM Swine MMN2O</v>
      </c>
      <c r="B1112" s="95" t="s">
        <v>1322</v>
      </c>
      <c r="C1112" s="95" t="s">
        <v>1233</v>
      </c>
      <c r="D1112" t="s">
        <v>15</v>
      </c>
      <c r="E1112" t="s">
        <v>657</v>
      </c>
      <c r="F1112" t="s">
        <v>21</v>
      </c>
      <c r="G1112" t="s">
        <v>123</v>
      </c>
      <c r="H1112" t="s">
        <v>1227</v>
      </c>
      <c r="I1112" t="s">
        <v>139</v>
      </c>
      <c r="J1112" t="s">
        <v>287</v>
      </c>
      <c r="K1112" s="93">
        <f>IF('Net zero activities &amp; levers'!$C$14="Off",('Activity data'!AD18*EF!$H49*EF!$H67)*NtoN2O*kgtoGg,IF('Net zero activities &amp; levers'!$C$14="On",('Net zero Activity data'!AD18*EF!$H49*EF!$H67)*NtoN2O*kgtoGg,"ERROR"))</f>
        <v>3.8131055665722169E-2</v>
      </c>
      <c r="L1112" s="93">
        <f>IF('Net zero activities &amp; levers'!$C$14="Off",('Activity data'!AE18*EF!$H49*EF!$H67)*NtoN2O*kgtoGg,IF('Net zero activities &amp; levers'!$C$14="On",('Net zero Activity data'!AE18*EF!$H49*EF!$H67)*NtoN2O*kgtoGg,"ERROR"))</f>
        <v>3.7923788015899962E-2</v>
      </c>
      <c r="M1112" s="93">
        <f>IF('Net zero activities &amp; levers'!$C$14="Off",('Activity data'!AF18*EF!$H49*EF!$H67)*NtoN2O*kgtoGg,IF('Net zero activities &amp; levers'!$C$14="On",('Net zero Activity data'!AF18*EF!$H49*EF!$H67)*NtoN2O*kgtoGg,"ERROR"))</f>
        <v>3.7940799901590251E-2</v>
      </c>
      <c r="N1112" s="93">
        <f>IF('Net zero activities &amp; levers'!$C$14="Off",('Activity data'!AG18*EF!$H49*EF!$H67)*NtoN2O*kgtoGg,IF('Net zero activities &amp; levers'!$C$14="On",('Net zero Activity data'!AG18*EF!$H49*EF!$H67)*NtoN2O*kgtoGg,"ERROR"))</f>
        <v>3.759247428451009E-2</v>
      </c>
      <c r="O1112" s="93">
        <f>IF('Net zero activities &amp; levers'!$C$14="Off",('Activity data'!AH18*EF!$H49*EF!$H67)*NtoN2O*kgtoGg,IF('Net zero activities &amp; levers'!$C$14="On",('Net zero Activity data'!AH18*EF!$H49*EF!$H67)*NtoN2O*kgtoGg,"ERROR"))</f>
        <v>3.7023578211438569E-2</v>
      </c>
      <c r="P1112" s="93">
        <f>IF('Net zero activities &amp; levers'!$C$14="Off",('Activity data'!AI18*EF!$H49*EF!$H67)*NtoN2O*kgtoGg,IF('Net zero activities &amp; levers'!$C$14="On",('Net zero Activity data'!AI18*EF!$H49*EF!$H67)*NtoN2O*kgtoGg,"ERROR"))</f>
        <v>3.6243206089281201E-2</v>
      </c>
      <c r="Q1112" s="93">
        <f>IF('Net zero activities &amp; levers'!$C$14="Off",('Activity data'!AJ18*EF!$H49*EF!$H67)*NtoN2O*kgtoGg,IF('Net zero activities &amp; levers'!$C$14="On",('Net zero Activity data'!AJ18*EF!$H49*EF!$H67)*NtoN2O*kgtoGg,"ERROR"))</f>
        <v>3.567656938754183E-2</v>
      </c>
      <c r="R1112" s="93">
        <f>IF('Net zero activities &amp; levers'!$C$14="Off",('Activity data'!AK18*EF!$H49*EF!$H67)*NtoN2O*kgtoGg,IF('Net zero activities &amp; levers'!$C$14="On",('Net zero Activity data'!AK18*EF!$H49*EF!$H67)*NtoN2O*kgtoGg,"ERROR"))</f>
        <v>3.5160072434777256E-2</v>
      </c>
      <c r="S1112" s="93">
        <f>IF('Net zero activities &amp; levers'!$C$14="Off",('Activity data'!AL18*EF!$H49*EF!$H67)*NtoN2O*kgtoGg,IF('Net zero activities &amp; levers'!$C$14="On",('Net zero Activity data'!AL18*EF!$H49*EF!$H67)*NtoN2O*kgtoGg,"ERROR"))</f>
        <v>3.1044582551701744E-2</v>
      </c>
      <c r="T1112" s="93">
        <f>IF('Net zero activities &amp; levers'!$C$14="Off",('Activity data'!AM18*EF!$H49*EF!$H67)*NtoN2O*kgtoGg,IF('Net zero activities &amp; levers'!$C$14="On",('Net zero Activity data'!AM18*EF!$H49*EF!$H67)*NtoN2O*kgtoGg,"ERROR"))</f>
        <v>3.1437162320852502E-2</v>
      </c>
      <c r="U1112" s="93">
        <f>IF('Net zero activities &amp; levers'!$C$14="Off",('Activity data'!AN18*EF!$H49*EF!$H67)*NtoN2O*kgtoGg,IF('Net zero activities &amp; levers'!$C$14="On",('Net zero Activity data'!AN18*EF!$H49*EF!$H67)*NtoN2O*kgtoGg,"ERROR"))</f>
        <v>3.2279561440098872E-2</v>
      </c>
      <c r="V1112" s="93">
        <f>IF('Net zero activities &amp; levers'!$C$14="Off",('Activity data'!AO18*EF!$H49*EF!$H67)*NtoN2O*kgtoGg,IF('Net zero activities &amp; levers'!$C$14="On",('Net zero Activity data'!AO18*EF!$H49*EF!$H67)*NtoN2O*kgtoGg,"ERROR"))</f>
        <v>3.2356046903749484E-2</v>
      </c>
      <c r="W1112" s="93">
        <f>IF('Net zero activities &amp; levers'!$C$14="Off",('Activity data'!AP18*EF!$H49*EF!$H67)*NtoN2O*kgtoGg,IF('Net zero activities &amp; levers'!$C$14="On",('Net zero Activity data'!AP18*EF!$H49*EF!$H67)*NtoN2O*kgtoGg,"ERROR"))</f>
        <v>3.2521680425139969E-2</v>
      </c>
      <c r="X1112" s="93">
        <f>IF('Net zero activities &amp; levers'!$C$14="Off",('Activity data'!AQ18*EF!$H49*EF!$H67)*NtoN2O*kgtoGg,IF('Net zero activities &amp; levers'!$C$14="On",('Net zero Activity data'!AQ18*EF!$H49*EF!$H67)*NtoN2O*kgtoGg,"ERROR"))</f>
        <v>3.2800168636601942E-2</v>
      </c>
      <c r="Y1112" s="93">
        <f>IF('Net zero activities &amp; levers'!$C$14="Off",('Activity data'!AR18*EF!$H49*EF!$H67)*NtoN2O*kgtoGg,IF('Net zero activities &amp; levers'!$C$14="On",('Net zero Activity data'!AR18*EF!$H49*EF!$H67)*NtoN2O*kgtoGg,"ERROR"))</f>
        <v>3.314961567779854E-2</v>
      </c>
      <c r="Z1112" s="93">
        <f>IF('Net zero activities &amp; levers'!$C$14="Off",('Activity data'!AS18*EF!$H49*EF!$H67)*NtoN2O*kgtoGg,IF('Net zero activities &amp; levers'!$C$14="On",('Net zero Activity data'!AS18*EF!$H49*EF!$H67)*NtoN2O*kgtoGg,"ERROR"))</f>
        <v>3.3577833402176044E-2</v>
      </c>
      <c r="AA1112" s="93">
        <f>IF('Net zero activities &amp; levers'!$C$14="Off",('Activity data'!AT18*EF!$H49*EF!$H67)*NtoN2O*kgtoGg,IF('Net zero activities &amp; levers'!$C$14="On",('Net zero Activity data'!AT18*EF!$H49*EF!$H67)*NtoN2O*kgtoGg,"ERROR"))</f>
        <v>3.4011058703898145E-2</v>
      </c>
      <c r="AB1112" s="93">
        <f>IF('Net zero activities &amp; levers'!$C$14="Off",('Activity data'!AU18*EF!$H49*EF!$H67)*NtoN2O*kgtoGg,IF('Net zero activities &amp; levers'!$C$14="On",('Net zero Activity data'!AU18*EF!$H49*EF!$H67)*NtoN2O*kgtoGg,"ERROR"))</f>
        <v>3.4511237686969419E-2</v>
      </c>
      <c r="AC1112" s="93">
        <f>IF('Net zero activities &amp; levers'!$C$14="Off",('Activity data'!AV18*EF!$H49*EF!$H67)*NtoN2O*kgtoGg,IF('Net zero activities &amp; levers'!$C$14="On",('Net zero Activity data'!AV18*EF!$H49*EF!$H67)*NtoN2O*kgtoGg,"ERROR"))</f>
        <v>3.5007964446334923E-2</v>
      </c>
      <c r="AD1112" s="93">
        <f>IF('Net zero activities &amp; levers'!$C$14="Off",('Activity data'!AW18*EF!$H49*EF!$H67)*NtoN2O*kgtoGg,IF('Net zero activities &amp; levers'!$C$14="On",('Net zero Activity data'!AW18*EF!$H49*EF!$H67)*NtoN2O*kgtoGg,"ERROR"))</f>
        <v>3.5625525501144749E-2</v>
      </c>
      <c r="AE1112" s="93">
        <f>IF('Net zero activities &amp; levers'!$C$14="Off",('Activity data'!AX18*EF!$H49*EF!$H67)*NtoN2O*kgtoGg,IF('Net zero activities &amp; levers'!$C$14="On",('Net zero Activity data'!AX18*EF!$H49*EF!$H67)*NtoN2O*kgtoGg,"ERROR"))</f>
        <v>3.6194035557545495E-2</v>
      </c>
      <c r="AF1112" s="93">
        <f>IF('Net zero activities &amp; levers'!$C$14="Off",('Activity data'!AY18*EF!$H49*EF!$H67)*NtoN2O*kgtoGg,IF('Net zero activities &amp; levers'!$C$14="On",('Net zero Activity data'!AY18*EF!$H49*EF!$H67)*NtoN2O*kgtoGg,"ERROR"))</f>
        <v>3.6798975709773488E-2</v>
      </c>
      <c r="AG1112" s="93">
        <f>IF('Net zero activities &amp; levers'!$C$14="Off",('Activity data'!AZ18*EF!$H49*EF!$H67)*NtoN2O*kgtoGg,IF('Net zero activities &amp; levers'!$C$14="On",('Net zero Activity data'!AZ18*EF!$H49*EF!$H67)*NtoN2O*kgtoGg,"ERROR"))</f>
        <v>3.7536923776951441E-2</v>
      </c>
      <c r="AH1112" s="93">
        <f>IF('Net zero activities &amp; levers'!$C$14="Off",('Activity data'!BA18*EF!$H49*EF!$H67)*NtoN2O*kgtoGg,IF('Net zero activities &amp; levers'!$C$14="On",('Net zero Activity data'!BA18*EF!$H49*EF!$H67)*NtoN2O*kgtoGg,"ERROR"))</f>
        <v>3.817057860229723E-2</v>
      </c>
      <c r="AI1112" s="93">
        <f>IF('Net zero activities &amp; levers'!$C$14="Off",('Activity data'!BB18*EF!$H49*EF!$H67)*NtoN2O*kgtoGg,IF('Net zero activities &amp; levers'!$C$14="On",('Net zero Activity data'!BB18*EF!$H49*EF!$H67)*NtoN2O*kgtoGg,"ERROR"))</f>
        <v>3.8854511479394858E-2</v>
      </c>
      <c r="AJ1112" s="93">
        <f>IF('Net zero activities &amp; levers'!$C$14="Off",('Activity data'!BC18*EF!$H49*EF!$H67)*NtoN2O*kgtoGg,IF('Net zero activities &amp; levers'!$C$14="On",('Net zero Activity data'!BC18*EF!$H49*EF!$H67)*NtoN2O*kgtoGg,"ERROR"))</f>
        <v>3.9596804727075885E-2</v>
      </c>
      <c r="AK1112" s="93">
        <f>IF('Net zero activities &amp; levers'!$C$14="Off",('Activity data'!BD18*EF!$H49*EF!$H67)*NtoN2O*kgtoGg,IF('Net zero activities &amp; levers'!$C$14="On",('Net zero Activity data'!BD18*EF!$H49*EF!$H67)*NtoN2O*kgtoGg,"ERROR"))</f>
        <v>4.0216045541216196E-2</v>
      </c>
      <c r="AL1112" s="93">
        <f>IF('Net zero activities &amp; levers'!$C$14="Off",('Activity data'!BE18*EF!$H49*EF!$H67)*NtoN2O*kgtoGg,IF('Net zero activities &amp; levers'!$C$14="On",('Net zero Activity data'!BE18*EF!$H49*EF!$H67)*NtoN2O*kgtoGg,"ERROR"))</f>
        <v>4.0796760501434604E-2</v>
      </c>
      <c r="AM1112" s="93">
        <f>IF('Net zero activities &amp; levers'!$C$14="Off",('Activity data'!BF18*EF!$H49*EF!$H67)*NtoN2O*kgtoGg,IF('Net zero activities &amp; levers'!$C$14="On",('Net zero Activity data'!BF18*EF!$H49*EF!$H67)*NtoN2O*kgtoGg,"ERROR"))</f>
        <v>4.1343633193648956E-2</v>
      </c>
      <c r="AN1112" s="93">
        <f>IF('Net zero activities &amp; levers'!$C$14="Off",('Activity data'!BG18*EF!$H49*EF!$H67)*NtoN2O*kgtoGg,IF('Net zero activities &amp; levers'!$C$14="On",('Net zero Activity data'!BG18*EF!$H49*EF!$H67)*NtoN2O*kgtoGg,"ERROR"))</f>
        <v>4.1975085671950317E-2</v>
      </c>
      <c r="AO1112" s="93">
        <f>IF('Net zero activities &amp; levers'!$C$14="Off",('Activity data'!BH18*EF!$H49*EF!$H67)*NtoN2O*kgtoGg,IF('Net zero activities &amp; levers'!$C$14="On",('Net zero Activity data'!BH18*EF!$H49*EF!$H67)*NtoN2O*kgtoGg,"ERROR"))</f>
        <v>4.252278929674716E-2</v>
      </c>
      <c r="AP1112" s="93">
        <f>IF('Net zero activities &amp; levers'!$C$14="Off",('Activity data'!BI18*EF!$H49*EF!$H67)*NtoN2O*kgtoGg,IF('Net zero activities &amp; levers'!$C$14="On",('Net zero Activity data'!BI18*EF!$H49*EF!$H67)*NtoN2O*kgtoGg,"ERROR"))</f>
        <v>4.3088158571204301E-2</v>
      </c>
      <c r="AQ1112" s="93">
        <f>IF('Net zero activities &amp; levers'!$C$14="Off",('Activity data'!BJ18*EF!$H49*EF!$H67)*NtoN2O*kgtoGg,IF('Net zero activities &amp; levers'!$C$14="On",('Net zero Activity data'!BJ18*EF!$H49*EF!$H67)*NtoN2O*kgtoGg,"ERROR"))</f>
        <v>4.3675457945951471E-2</v>
      </c>
      <c r="AR1112" s="93">
        <f>IF('Net zero activities &amp; levers'!$C$14="Off",('Activity data'!BK18*EF!$H49*EF!$H67)*NtoN2O*kgtoGg,IF('Net zero activities &amp; levers'!$C$14="On",('Net zero Activity data'!BK18*EF!$H49*EF!$H67)*NtoN2O*kgtoGg,"ERROR"))</f>
        <v>4.4292036002135757E-2</v>
      </c>
      <c r="AS1112" s="93">
        <f>IF('Net zero activities &amp; levers'!$C$14="Off",('Activity data'!BL18*EF!$H49*EF!$H67)*NtoN2O*kgtoGg,IF('Net zero activities &amp; levers'!$C$14="On",('Net zero Activity data'!BL18*EF!$H49*EF!$H67)*NtoN2O*kgtoGg,"ERROR"))</f>
        <v>4.4939483847203046E-2</v>
      </c>
      <c r="AT1112" s="93">
        <f>IF('Net zero activities &amp; levers'!$C$14="Off",('Activity data'!BM18*EF!$H49*EF!$H67)*NtoN2O*kgtoGg,IF('Net zero activities &amp; levers'!$C$14="On",('Net zero Activity data'!BM18*EF!$H49*EF!$H67)*NtoN2O*kgtoGg,"ERROR"))</f>
        <v>4.4545502941970565E-2</v>
      </c>
      <c r="AU1112" s="93">
        <f>IF('Net zero activities &amp; levers'!$C$14="Off",('Activity data'!BN18*EF!$H49*EF!$H67)*NtoN2O*kgtoGg,IF('Net zero activities &amp; levers'!$C$14="On",('Net zero Activity data'!BN18*EF!$H49*EF!$H67)*NtoN2O*kgtoGg,"ERROR"))</f>
        <v>4.4060474771414608E-2</v>
      </c>
      <c r="AV1112" s="93">
        <f>IF('Net zero activities &amp; levers'!$C$14="Off",('Activity data'!BO18*EF!$H49*EF!$H67)*NtoN2O*kgtoGg,IF('Net zero activities &amp; levers'!$C$14="On",('Net zero Activity data'!BO18*EF!$H49*EF!$H67)*NtoN2O*kgtoGg,"ERROR"))</f>
        <v>4.3448453512794687E-2</v>
      </c>
      <c r="AW1112" s="93">
        <f>IF('Net zero activities &amp; levers'!$C$14="Off",('Activity data'!BP18*EF!$H49*EF!$H67)*NtoN2O*kgtoGg,IF('Net zero activities &amp; levers'!$C$14="On",('Net zero Activity data'!BP18*EF!$H49*EF!$H67)*NtoN2O*kgtoGg,"ERROR"))</f>
        <v>4.2806416749393235E-2</v>
      </c>
      <c r="AY1112" s="79"/>
    </row>
    <row r="1113" spans="1:51" x14ac:dyDescent="0.3">
      <c r="A1113" s="95" t="str">
        <f t="shared" si="374"/>
        <v>CM Poultry MMN2O</v>
      </c>
      <c r="B1113" s="95" t="s">
        <v>1322</v>
      </c>
      <c r="C1113" s="95" t="s">
        <v>1234</v>
      </c>
      <c r="D1113" t="s">
        <v>15</v>
      </c>
      <c r="E1113" t="s">
        <v>657</v>
      </c>
      <c r="F1113" t="s">
        <v>28</v>
      </c>
      <c r="G1113" t="s">
        <v>131</v>
      </c>
      <c r="H1113" t="s">
        <v>1227</v>
      </c>
      <c r="I1113" t="s">
        <v>139</v>
      </c>
      <c r="J1113" t="s">
        <v>287</v>
      </c>
      <c r="K1113" s="93">
        <f>IF('Net zero activities &amp; levers'!$C$14="Off",('Activity data'!AD19*EF!$H50*EF!$H68)*NtoN2O*kgtoGg,IF('Net zero activities &amp; levers'!$C$14="On",('Net zero Activity data'!AD19*EF!$H50*EF!$H68)*NtoN2O*kgtoGg,"ERROR"))</f>
        <v>0.32784224726088984</v>
      </c>
      <c r="L1113" s="93">
        <f>IF('Net zero activities &amp; levers'!$C$14="Off",('Activity data'!AE19*EF!$H50*EF!$H68)*NtoN2O*kgtoGg,IF('Net zero activities &amp; levers'!$C$14="On",('Net zero Activity data'!AE19*EF!$H50*EF!$H68)*NtoN2O*kgtoGg,"ERROR"))</f>
        <v>0.33450793008613733</v>
      </c>
      <c r="M1113" s="93">
        <f>IF('Net zero activities &amp; levers'!$C$14="Off",('Activity data'!AF19*EF!$H50*EF!$H68)*NtoN2O*kgtoGg,IF('Net zero activities &amp; levers'!$C$14="On",('Net zero Activity data'!AF19*EF!$H50*EF!$H68)*NtoN2O*kgtoGg,"ERROR"))</f>
        <v>0.34229948156355033</v>
      </c>
      <c r="N1113" s="93">
        <f>IF('Net zero activities &amp; levers'!$C$14="Off",('Activity data'!AG19*EF!$H50*EF!$H68)*NtoN2O*kgtoGg,IF('Net zero activities &amp; levers'!$C$14="On",('Net zero Activity data'!AG19*EF!$H50*EF!$H68)*NtoN2O*kgtoGg,"ERROR"))</f>
        <v>0.34828124731402299</v>
      </c>
      <c r="O1113" s="93">
        <f>IF('Net zero activities &amp; levers'!$C$14="Off",('Activity data'!AH19*EF!$H50*EF!$H68)*NtoN2O*kgtoGg,IF('Net zero activities &amp; levers'!$C$14="On",('Net zero Activity data'!AH19*EF!$H50*EF!$H68)*NtoN2O*kgtoGg,"ERROR"))</f>
        <v>0.35308310351311478</v>
      </c>
      <c r="P1113" s="93">
        <f>IF('Net zero activities &amp; levers'!$C$14="Off",('Activity data'!AI19*EF!$H50*EF!$H68)*NtoN2O*kgtoGg,IF('Net zero activities &amp; levers'!$C$14="On",('Net zero Activity data'!AI19*EF!$H50*EF!$H68)*NtoN2O*kgtoGg,"ERROR"))</f>
        <v>0.3566764932045714</v>
      </c>
      <c r="Q1113" s="93">
        <f>IF('Net zero activities &amp; levers'!$C$14="Off",('Activity data'!AJ19*EF!$H50*EF!$H68)*NtoN2O*kgtoGg,IF('Net zero activities &amp; levers'!$C$14="On",('Net zero Activity data'!AJ19*EF!$H50*EF!$H68)*NtoN2O*kgtoGg,"ERROR"))</f>
        <v>0.36128421068096001</v>
      </c>
      <c r="R1113" s="93">
        <f>IF('Net zero activities &amp; levers'!$C$14="Off",('Activity data'!AK19*EF!$H50*EF!$H68)*NtoN2O*kgtoGg,IF('Net zero activities &amp; levers'!$C$14="On",('Net zero Activity data'!AK19*EF!$H50*EF!$H68)*NtoN2O*kgtoGg,"ERROR"))</f>
        <v>0.36607496135357964</v>
      </c>
      <c r="S1113" s="93">
        <f>IF('Net zero activities &amp; levers'!$C$14="Off",('Activity data'!AL19*EF!$H50*EF!$H68)*NtoN2O*kgtoGg,IF('Net zero activities &amp; levers'!$C$14="On",('Net zero Activity data'!AL19*EF!$H50*EF!$H68)*NtoN2O*kgtoGg,"ERROR"))</f>
        <v>0.34978148195901088</v>
      </c>
      <c r="T1113" s="93">
        <f>IF('Net zero activities &amp; levers'!$C$14="Off",('Activity data'!AM19*EF!$H50*EF!$H68)*NtoN2O*kgtoGg,IF('Net zero activities &amp; levers'!$C$14="On",('Net zero Activity data'!AM19*EF!$H50*EF!$H68)*NtoN2O*kgtoGg,"ERROR"))</f>
        <v>0.35848748777612982</v>
      </c>
      <c r="U1113" s="93">
        <f>IF('Net zero activities &amp; levers'!$C$14="Off",('Activity data'!AN19*EF!$H50*EF!$H68)*NtoN2O*kgtoGg,IF('Net zero activities &amp; levers'!$C$14="On",('Net zero Activity data'!AN19*EF!$H50*EF!$H68)*NtoN2O*kgtoGg,"ERROR"))</f>
        <v>0.37008968221816879</v>
      </c>
      <c r="V1113" s="93">
        <f>IF('Net zero activities &amp; levers'!$C$14="Off",('Activity data'!AO19*EF!$H50*EF!$H68)*NtoN2O*kgtoGg,IF('Net zero activities &amp; levers'!$C$14="On",('Net zero Activity data'!AO19*EF!$H50*EF!$H68)*NtoN2O*kgtoGg,"ERROR"))</f>
        <v>0.37718532914997255</v>
      </c>
      <c r="W1113" s="93">
        <f>IF('Net zero activities &amp; levers'!$C$14="Off",('Activity data'!AP19*EF!$H50*EF!$H68)*NtoN2O*kgtoGg,IF('Net zero activities &amp; levers'!$C$14="On",('Net zero Activity data'!AP19*EF!$H50*EF!$H68)*NtoN2O*kgtoGg,"ERROR"))</f>
        <v>0.38492114207778078</v>
      </c>
      <c r="X1113" s="93">
        <f>IF('Net zero activities &amp; levers'!$C$14="Off",('Activity data'!AQ19*EF!$H50*EF!$H68)*NtoN2O*kgtoGg,IF('Net zero activities &amp; levers'!$C$14="On",('Net zero Activity data'!AQ19*EF!$H50*EF!$H68)*NtoN2O*kgtoGg,"ERROR"))</f>
        <v>0.39349286127913036</v>
      </c>
      <c r="Y1113" s="93">
        <f>IF('Net zero activities &amp; levers'!$C$14="Off",('Activity data'!AR19*EF!$H50*EF!$H68)*NtoN2O*kgtoGg,IF('Net zero activities &amp; levers'!$C$14="On",('Net zero Activity data'!AR19*EF!$H50*EF!$H68)*NtoN2O*kgtoGg,"ERROR"))</f>
        <v>0.40234632670513226</v>
      </c>
      <c r="Z1113" s="93">
        <f>IF('Net zero activities &amp; levers'!$C$14="Off",('Activity data'!AS19*EF!$H50*EF!$H68)*NtoN2O*kgtoGg,IF('Net zero activities &amp; levers'!$C$14="On",('Net zero Activity data'!AS19*EF!$H50*EF!$H68)*NtoN2O*kgtoGg,"ERROR"))</f>
        <v>0.41188861015823597</v>
      </c>
      <c r="AA1113" s="93">
        <f>IF('Net zero activities &amp; levers'!$C$14="Off",('Activity data'!AT19*EF!$H50*EF!$H68)*NtoN2O*kgtoGg,IF('Net zero activities &amp; levers'!$C$14="On",('Net zero Activity data'!AT19*EF!$H50*EF!$H68)*NtoN2O*kgtoGg,"ERROR"))</f>
        <v>0.42164548581932815</v>
      </c>
      <c r="AB1113" s="93">
        <f>IF('Net zero activities &amp; levers'!$C$14="Off",('Activity data'!AU19*EF!$H50*EF!$H68)*NtoN2O*kgtoGg,IF('Net zero activities &amp; levers'!$C$14="On",('Net zero Activity data'!AU19*EF!$H50*EF!$H68)*NtoN2O*kgtoGg,"ERROR"))</f>
        <v>0.43206316644832626</v>
      </c>
      <c r="AC1113" s="93">
        <f>IF('Net zero activities &amp; levers'!$C$14="Off",('Activity data'!AV19*EF!$H50*EF!$H68)*NtoN2O*kgtoGg,IF('Net zero activities &amp; levers'!$C$14="On",('Net zero Activity data'!AV19*EF!$H50*EF!$H68)*NtoN2O*kgtoGg,"ERROR"))</f>
        <v>0.44266638237250944</v>
      </c>
      <c r="AD1113" s="93">
        <f>IF('Net zero activities &amp; levers'!$C$14="Off",('Activity data'!AW19*EF!$H50*EF!$H68)*NtoN2O*kgtoGg,IF('Net zero activities &amp; levers'!$C$14="On",('Net zero Activity data'!AW19*EF!$H50*EF!$H68)*NtoN2O*kgtoGg,"ERROR"))</f>
        <v>0.45410654796286065</v>
      </c>
      <c r="AE1113" s="93">
        <f>IF('Net zero activities &amp; levers'!$C$14="Off",('Activity data'!AX19*EF!$H50*EF!$H68)*NtoN2O*kgtoGg,IF('Net zero activities &amp; levers'!$C$14="On",('Net zero Activity data'!AX19*EF!$H50*EF!$H68)*NtoN2O*kgtoGg,"ERROR"))</f>
        <v>0.46542858130344616</v>
      </c>
      <c r="AF1113" s="93">
        <f>IF('Net zero activities &amp; levers'!$C$14="Off",('Activity data'!AY19*EF!$H50*EF!$H68)*NtoN2O*kgtoGg,IF('Net zero activities &amp; levers'!$C$14="On",('Net zero Activity data'!AY19*EF!$H50*EF!$H68)*NtoN2O*kgtoGg,"ERROR"))</f>
        <v>0.4772730257801403</v>
      </c>
      <c r="AG1113" s="93">
        <f>IF('Net zero activities &amp; levers'!$C$14="Off",('Activity data'!AZ19*EF!$H50*EF!$H68)*NtoN2O*kgtoGg,IF('Net zero activities &amp; levers'!$C$14="On",('Net zero Activity data'!AZ19*EF!$H50*EF!$H68)*NtoN2O*kgtoGg,"ERROR"))</f>
        <v>0.49041871120833058</v>
      </c>
      <c r="AH1113" s="93">
        <f>IF('Net zero activities &amp; levers'!$C$14="Off",('Activity data'!BA19*EF!$H50*EF!$H68)*NtoN2O*kgtoGg,IF('Net zero activities &amp; levers'!$C$14="On",('Net zero Activity data'!BA19*EF!$H50*EF!$H68)*NtoN2O*kgtoGg,"ERROR"))</f>
        <v>0.50303895207575822</v>
      </c>
      <c r="AI1113" s="93">
        <f>IF('Net zero activities &amp; levers'!$C$14="Off",('Activity data'!BB19*EF!$H50*EF!$H68)*NtoN2O*kgtoGg,IF('Net zero activities &amp; levers'!$C$14="On",('Net zero Activity data'!BB19*EF!$H50*EF!$H68)*NtoN2O*kgtoGg,"ERROR"))</f>
        <v>0.51609032389809528</v>
      </c>
      <c r="AJ1113" s="93">
        <f>IF('Net zero activities &amp; levers'!$C$14="Off",('Activity data'!BC19*EF!$H50*EF!$H68)*NtoN2O*kgtoGg,IF('Net zero activities &amp; levers'!$C$14="On",('Net zero Activity data'!BC19*EF!$H50*EF!$H68)*NtoN2O*kgtoGg,"ERROR"))</f>
        <v>0.52992686464312622</v>
      </c>
      <c r="AK1113" s="93">
        <f>IF('Net zero activities &amp; levers'!$C$14="Off",('Activity data'!BD19*EF!$H50*EF!$H68)*NtoN2O*kgtoGg,IF('Net zero activities &amp; levers'!$C$14="On",('Net zero Activity data'!BD19*EF!$H50*EF!$H68)*NtoN2O*kgtoGg,"ERROR"))</f>
        <v>0.54305058530896999</v>
      </c>
      <c r="AL1113" s="93">
        <f>IF('Net zero activities &amp; levers'!$C$14="Off",('Activity data'!BE19*EF!$H50*EF!$H68)*NtoN2O*kgtoGg,IF('Net zero activities &amp; levers'!$C$14="On",('Net zero Activity data'!BE19*EF!$H50*EF!$H68)*NtoN2O*kgtoGg,"ERROR"))</f>
        <v>0.55613853749065978</v>
      </c>
      <c r="AM1113" s="93">
        <f>IF('Net zero activities &amp; levers'!$C$14="Off",('Activity data'!BF19*EF!$H50*EF!$H68)*NtoN2O*kgtoGg,IF('Net zero activities &amp; levers'!$C$14="On",('Net zero Activity data'!BF19*EF!$H50*EF!$H68)*NtoN2O*kgtoGg,"ERROR"))</f>
        <v>0.56922083138232038</v>
      </c>
      <c r="AN1113" s="93">
        <f>IF('Net zero activities &amp; levers'!$C$14="Off",('Activity data'!BG19*EF!$H50*EF!$H68)*NtoN2O*kgtoGg,IF('Net zero activities &amp; levers'!$C$14="On",('Net zero Activity data'!BG19*EF!$H50*EF!$H68)*NtoN2O*kgtoGg,"ERROR"))</f>
        <v>0.58310052249970834</v>
      </c>
      <c r="AO1113" s="93">
        <f>IF('Net zero activities &amp; levers'!$C$14="Off",('Activity data'!BH19*EF!$H50*EF!$H68)*NtoN2O*kgtoGg,IF('Net zero activities &amp; levers'!$C$14="On",('Net zero Activity data'!BH19*EF!$H50*EF!$H68)*NtoN2O*kgtoGg,"ERROR"))</f>
        <v>0.59653826788660902</v>
      </c>
      <c r="AP1113" s="93">
        <f>IF('Net zero activities &amp; levers'!$C$14="Off",('Activity data'!BI19*EF!$H50*EF!$H68)*NtoN2O*kgtoGg,IF('Net zero activities &amp; levers'!$C$14="On",('Net zero Activity data'!BI19*EF!$H50*EF!$H68)*NtoN2O*kgtoGg,"ERROR"))</f>
        <v>0.61044136643017999</v>
      </c>
      <c r="AQ1113" s="93">
        <f>IF('Net zero activities &amp; levers'!$C$14="Off",('Activity data'!BJ19*EF!$H50*EF!$H68)*NtoN2O*kgtoGg,IF('Net zero activities &amp; levers'!$C$14="On",('Net zero Activity data'!BJ19*EF!$H50*EF!$H68)*NtoN2O*kgtoGg,"ERROR"))</f>
        <v>0.62486785679849377</v>
      </c>
      <c r="AR1113" s="93">
        <f>IF('Net zero activities &amp; levers'!$C$14="Off",('Activity data'!BK19*EF!$H50*EF!$H68)*NtoN2O*kgtoGg,IF('Net zero activities &amp; levers'!$C$14="On",('Net zero Activity data'!BK19*EF!$H50*EF!$H68)*NtoN2O*kgtoGg,"ERROR"))</f>
        <v>0.6399091004524019</v>
      </c>
      <c r="AS1113" s="93">
        <f>IF('Net zero activities &amp; levers'!$C$14="Off",('Activity data'!BL19*EF!$H50*EF!$H68)*NtoN2O*kgtoGg,IF('Net zero activities &amp; levers'!$C$14="On",('Net zero Activity data'!BL19*EF!$H50*EF!$H68)*NtoN2O*kgtoGg,"ERROR"))</f>
        <v>0.65535203493771454</v>
      </c>
      <c r="AT1113" s="93">
        <f>IF('Net zero activities &amp; levers'!$C$14="Off",('Activity data'!BM19*EF!$H50*EF!$H68)*NtoN2O*kgtoGg,IF('Net zero activities &amp; levers'!$C$14="On",('Net zero Activity data'!BM19*EF!$H50*EF!$H68)*NtoN2O*kgtoGg,"ERROR"))</f>
        <v>0.66076114760241544</v>
      </c>
      <c r="AU1113" s="93">
        <f>IF('Net zero activities &amp; levers'!$C$14="Off",('Activity data'!BN19*EF!$H50*EF!$H68)*NtoN2O*kgtoGg,IF('Net zero activities &amp; levers'!$C$14="On",('Net zero Activity data'!BN19*EF!$H50*EF!$H68)*NtoN2O*kgtoGg,"ERROR"))</f>
        <v>0.6652412101856594</v>
      </c>
      <c r="AV1113" s="93">
        <f>IF('Net zero activities &amp; levers'!$C$14="Off",('Activity data'!BO19*EF!$H50*EF!$H68)*NtoN2O*kgtoGg,IF('Net zero activities &amp; levers'!$C$14="On",('Net zero Activity data'!BO19*EF!$H50*EF!$H68)*NtoN2O*kgtoGg,"ERROR"))</f>
        <v>0.66836980562393489</v>
      </c>
      <c r="AW1113" s="93">
        <f>IF('Net zero activities &amp; levers'!$C$14="Off",('Activity data'!BP19*EF!$H50*EF!$H68)*NtoN2O*kgtoGg,IF('Net zero activities &amp; levers'!$C$14="On",('Net zero Activity data'!BP19*EF!$H50*EF!$H68)*NtoN2O*kgtoGg,"ERROR"))</f>
        <v>0.67109822940167552</v>
      </c>
      <c r="AY1113" s="79"/>
    </row>
    <row r="1114" spans="1:51" x14ac:dyDescent="0.3">
      <c r="A1114" s="95" t="str">
        <f t="shared" si="374"/>
        <v>CM Poultry MMN2O</v>
      </c>
      <c r="B1114" s="95" t="s">
        <v>1322</v>
      </c>
      <c r="C1114" s="95" t="s">
        <v>1234</v>
      </c>
      <c r="D1114" t="s">
        <v>15</v>
      </c>
      <c r="E1114" t="s">
        <v>657</v>
      </c>
      <c r="F1114" t="s">
        <v>28</v>
      </c>
      <c r="G1114" t="s">
        <v>132</v>
      </c>
      <c r="H1114" t="s">
        <v>1227</v>
      </c>
      <c r="I1114" t="s">
        <v>139</v>
      </c>
      <c r="J1114" t="s">
        <v>287</v>
      </c>
      <c r="K1114" s="93">
        <f>IF('Net zero activities &amp; levers'!$C$14="Off",('Activity data'!AD20*EF!$H51*EF!$H69)*NtoN2O*kgtoGg,IF('Net zero activities &amp; levers'!$C$14="On",('Net zero Activity data'!AD20*EF!$H51*EF!$H69)*NtoN2O*kgtoGg,"ERROR"))</f>
        <v>1.7017151675634961</v>
      </c>
      <c r="L1114" s="93">
        <f>IF('Net zero activities &amp; levers'!$C$14="Off",('Activity data'!AE20*EF!$H51*EF!$H69)*NtoN2O*kgtoGg,IF('Net zero activities &amp; levers'!$C$14="On",('Net zero Activity data'!AE20*EF!$H51*EF!$H69)*NtoN2O*kgtoGg,"ERROR"))</f>
        <v>1.7241237147327637</v>
      </c>
      <c r="M1114" s="93">
        <f>IF('Net zero activities &amp; levers'!$C$14="Off",('Activity data'!AF20*EF!$H51*EF!$H69)*NtoN2O*kgtoGg,IF('Net zero activities &amp; levers'!$C$14="On",('Net zero Activity data'!AF20*EF!$H51*EF!$H69)*NtoN2O*kgtoGg,"ERROR"))</f>
        <v>1.7601182693498112</v>
      </c>
      <c r="N1114" s="93">
        <f>IF('Net zero activities &amp; levers'!$C$14="Off",('Activity data'!AG20*EF!$H51*EF!$H69)*NtoN2O*kgtoGg,IF('Net zero activities &amp; levers'!$C$14="On",('Net zero Activity data'!AG20*EF!$H51*EF!$H69)*NtoN2O*kgtoGg,"ERROR"))</f>
        <v>1.7704533576020511</v>
      </c>
      <c r="O1114" s="93">
        <f>IF('Net zero activities &amp; levers'!$C$14="Off",('Activity data'!AH20*EF!$H51*EF!$H69)*NtoN2O*kgtoGg,IF('Net zero activities &amp; levers'!$C$14="On",('Net zero Activity data'!AH20*EF!$H51*EF!$H69)*NtoN2O*kgtoGg,"ERROR"))</f>
        <v>1.7641159598844758</v>
      </c>
      <c r="P1114" s="93">
        <f>IF('Net zero activities &amp; levers'!$C$14="Off",('Activity data'!AI20*EF!$H51*EF!$H69)*NtoN2O*kgtoGg,IF('Net zero activities &amp; levers'!$C$14="On",('Net zero Activity data'!AI20*EF!$H51*EF!$H69)*NtoN2O*kgtoGg,"ERROR"))</f>
        <v>1.7411735022142167</v>
      </c>
      <c r="Q1114" s="93">
        <f>IF('Net zero activities &amp; levers'!$C$14="Off",('Activity data'!AJ20*EF!$H51*EF!$H69)*NtoN2O*kgtoGg,IF('Net zero activities &amp; levers'!$C$14="On",('Net zero Activity data'!AJ20*EF!$H51*EF!$H69)*NtoN2O*kgtoGg,"ERROR"))</f>
        <v>1.7315152516158574</v>
      </c>
      <c r="R1114" s="93">
        <f>IF('Net zero activities &amp; levers'!$C$14="Off",('Activity data'!AK20*EF!$H51*EF!$H69)*NtoN2O*kgtoGg,IF('Net zero activities &amp; levers'!$C$14="On",('Net zero Activity data'!AK20*EF!$H51*EF!$H69)*NtoN2O*kgtoGg,"ERROR"))</f>
        <v>1.7240481490859689</v>
      </c>
      <c r="S1114" s="93">
        <f>IF('Net zero activities &amp; levers'!$C$14="Off",('Activity data'!AL20*EF!$H51*EF!$H69)*NtoN2O*kgtoGg,IF('Net zero activities &amp; levers'!$C$14="On",('Net zero Activity data'!AL20*EF!$H51*EF!$H69)*NtoN2O*kgtoGg,"ERROR"))</f>
        <v>1.4532830978859241</v>
      </c>
      <c r="T1114" s="93">
        <f>IF('Net zero activities &amp; levers'!$C$14="Off",('Activity data'!AM20*EF!$H51*EF!$H69)*NtoN2O*kgtoGg,IF('Net zero activities &amp; levers'!$C$14="On",('Net zero Activity data'!AM20*EF!$H51*EF!$H69)*NtoN2O*kgtoGg,"ERROR"))</f>
        <v>1.5108401757769072</v>
      </c>
      <c r="U1114" s="93">
        <f>IF('Net zero activities &amp; levers'!$C$14="Off",('Activity data'!AN20*EF!$H51*EF!$H69)*NtoN2O*kgtoGg,IF('Net zero activities &amp; levers'!$C$14="On",('Net zero Activity data'!AN20*EF!$H51*EF!$H69)*NtoN2O*kgtoGg,"ERROR"))</f>
        <v>1.6026975713108973</v>
      </c>
      <c r="V1114" s="93">
        <f>IF('Net zero activities &amp; levers'!$C$14="Off",('Activity data'!AO20*EF!$H51*EF!$H69)*NtoN2O*kgtoGg,IF('Net zero activities &amp; levers'!$C$14="On",('Net zero Activity data'!AO20*EF!$H51*EF!$H69)*NtoN2O*kgtoGg,"ERROR"))</f>
        <v>1.6381096535545392</v>
      </c>
      <c r="W1114" s="93">
        <f>IF('Net zero activities &amp; levers'!$C$14="Off",('Activity data'!AP20*EF!$H51*EF!$H69)*NtoN2O*kgtoGg,IF('Net zero activities &amp; levers'!$C$14="On",('Net zero Activity data'!AP20*EF!$H51*EF!$H69)*NtoN2O*kgtoGg,"ERROR"))</f>
        <v>1.6804870298806631</v>
      </c>
      <c r="X1114" s="93">
        <f>IF('Net zero activities &amp; levers'!$C$14="Off",('Activity data'!AQ20*EF!$H51*EF!$H69)*NtoN2O*kgtoGg,IF('Net zero activities &amp; levers'!$C$14="On",('Net zero Activity data'!AQ20*EF!$H51*EF!$H69)*NtoN2O*kgtoGg,"ERROR"))</f>
        <v>1.7319826837322108</v>
      </c>
      <c r="Y1114" s="93">
        <f>IF('Net zero activities &amp; levers'!$C$14="Off",('Activity data'!AR20*EF!$H51*EF!$H69)*NtoN2O*kgtoGg,IF('Net zero activities &amp; levers'!$C$14="On",('Net zero Activity data'!AR20*EF!$H51*EF!$H69)*NtoN2O*kgtoGg,"ERROR"))</f>
        <v>1.7911150071638293</v>
      </c>
      <c r="Z1114" s="93">
        <f>IF('Net zero activities &amp; levers'!$C$14="Off",('Activity data'!AS20*EF!$H51*EF!$H69)*NtoN2O*kgtoGg,IF('Net zero activities &amp; levers'!$C$14="On",('Net zero Activity data'!AS20*EF!$H51*EF!$H69)*NtoN2O*kgtoGg,"ERROR"))</f>
        <v>1.8573343362727066</v>
      </c>
      <c r="AA1114" s="93">
        <f>IF('Net zero activities &amp; levers'!$C$14="Off",('Activity data'!AT20*EF!$H51*EF!$H69)*NtoN2O*kgtoGg,IF('Net zero activities &amp; levers'!$C$14="On",('Net zero Activity data'!AT20*EF!$H51*EF!$H69)*NtoN2O*kgtoGg,"ERROR"))</f>
        <v>1.9249598687101048</v>
      </c>
      <c r="AB1114" s="93">
        <f>IF('Net zero activities &amp; levers'!$C$14="Off",('Activity data'!AU20*EF!$H51*EF!$H69)*NtoN2O*kgtoGg,IF('Net zero activities &amp; levers'!$C$14="On",('Net zero Activity data'!AU20*EF!$H51*EF!$H69)*NtoN2O*kgtoGg,"ERROR"))</f>
        <v>1.9991243799858327</v>
      </c>
      <c r="AC1114" s="93">
        <f>IF('Net zero activities &amp; levers'!$C$14="Off",('Activity data'!AV20*EF!$H51*EF!$H69)*NtoN2O*kgtoGg,IF('Net zero activities &amp; levers'!$C$14="On",('Net zero Activity data'!AV20*EF!$H51*EF!$H69)*NtoN2O*kgtoGg,"ERROR"))</f>
        <v>2.0742398218726938</v>
      </c>
      <c r="AD1114" s="93">
        <f>IF('Net zero activities &amp; levers'!$C$14="Off",('Activity data'!AW20*EF!$H51*EF!$H69)*NtoN2O*kgtoGg,IF('Net zero activities &amp; levers'!$C$14="On",('Net zero Activity data'!AW20*EF!$H51*EF!$H69)*NtoN2O*kgtoGg,"ERROR"))</f>
        <v>2.1619281930421144</v>
      </c>
      <c r="AE1114" s="93">
        <f>IF('Net zero activities &amp; levers'!$C$14="Off",('Activity data'!AX20*EF!$H51*EF!$H69)*NtoN2O*kgtoGg,IF('Net zero activities &amp; levers'!$C$14="On",('Net zero Activity data'!AX20*EF!$H51*EF!$H69)*NtoN2O*kgtoGg,"ERROR"))</f>
        <v>2.2470253789888299</v>
      </c>
      <c r="AF1114" s="93">
        <f>IF('Net zero activities &amp; levers'!$C$14="Off",('Activity data'!AY20*EF!$H51*EF!$H69)*NtoN2O*kgtoGg,IF('Net zero activities &amp; levers'!$C$14="On",('Net zero Activity data'!AY20*EF!$H51*EF!$H69)*NtoN2O*kgtoGg,"ERROR"))</f>
        <v>2.3367898663962117</v>
      </c>
      <c r="AG1114" s="93">
        <f>IF('Net zero activities &amp; levers'!$C$14="Off",('Activity data'!AZ20*EF!$H51*EF!$H69)*NtoN2O*kgtoGg,IF('Net zero activities &amp; levers'!$C$14="On",('Net zero Activity data'!AZ20*EF!$H51*EF!$H69)*NtoN2O*kgtoGg,"ERROR"))</f>
        <v>2.4398215935835355</v>
      </c>
      <c r="AH1114" s="93">
        <f>IF('Net zero activities &amp; levers'!$C$14="Off",('Activity data'!BA20*EF!$H51*EF!$H69)*NtoN2O*kgtoGg,IF('Net zero activities &amp; levers'!$C$14="On",('Net zero Activity data'!BA20*EF!$H51*EF!$H69)*NtoN2O*kgtoGg,"ERROR"))</f>
        <v>2.5356369121252129</v>
      </c>
      <c r="AI1114" s="93">
        <f>IF('Net zero activities &amp; levers'!$C$14="Off",('Activity data'!BB20*EF!$H51*EF!$H69)*NtoN2O*kgtoGg,IF('Net zero activities &amp; levers'!$C$14="On",('Net zero Activity data'!BB20*EF!$H51*EF!$H69)*NtoN2O*kgtoGg,"ERROR"))</f>
        <v>2.6388473537770931</v>
      </c>
      <c r="AJ1114" s="93">
        <f>IF('Net zero activities &amp; levers'!$C$14="Off",('Activity data'!BC20*EF!$H51*EF!$H69)*NtoN2O*kgtoGg,IF('Net zero activities &amp; levers'!$C$14="On",('Net zero Activity data'!BC20*EF!$H51*EF!$H69)*NtoN2O*kgtoGg,"ERROR"))</f>
        <v>2.7493497662491455</v>
      </c>
      <c r="AK1114" s="93">
        <f>IF('Net zero activities &amp; levers'!$C$14="Off",('Activity data'!BD20*EF!$H51*EF!$H69)*NtoN2O*kgtoGg,IF('Net zero activities &amp; levers'!$C$14="On",('Net zero Activity data'!BD20*EF!$H51*EF!$H69)*NtoN2O*kgtoGg,"ERROR"))</f>
        <v>2.8507479876559225</v>
      </c>
      <c r="AL1114" s="93">
        <f>IF('Net zero activities &amp; levers'!$C$14="Off",('Activity data'!BE20*EF!$H51*EF!$H69)*NtoN2O*kgtoGg,IF('Net zero activities &amp; levers'!$C$14="On",('Net zero Activity data'!BE20*EF!$H51*EF!$H69)*NtoN2O*kgtoGg,"ERROR"))</f>
        <v>2.9505347719846347</v>
      </c>
      <c r="AM1114" s="93">
        <f>IF('Net zero activities &amp; levers'!$C$14="Off",('Activity data'!BF20*EF!$H51*EF!$H69)*NtoN2O*kgtoGg,IF('Net zero activities &amp; levers'!$C$14="On",('Net zero Activity data'!BF20*EF!$H51*EF!$H69)*NtoN2O*kgtoGg,"ERROR"))</f>
        <v>3.0490743865158891</v>
      </c>
      <c r="AN1114" s="93">
        <f>IF('Net zero activities &amp; levers'!$C$14="Off",('Activity data'!BG20*EF!$H51*EF!$H69)*NtoN2O*kgtoGg,IF('Net zero activities &amp; levers'!$C$14="On",('Net zero Activity data'!BG20*EF!$H51*EF!$H69)*NtoN2O*kgtoGg,"ERROR"))</f>
        <v>3.1585813861709466</v>
      </c>
      <c r="AO1114" s="93">
        <f>IF('Net zero activities &amp; levers'!$C$14="Off",('Activity data'!BH20*EF!$H51*EF!$H69)*NtoN2O*kgtoGg,IF('Net zero activities &amp; levers'!$C$14="On",('Net zero Activity data'!BH20*EF!$H51*EF!$H69)*NtoN2O*kgtoGg,"ERROR"))</f>
        <v>3.2621852632226234</v>
      </c>
      <c r="AP1114" s="93">
        <f>IF('Net zero activities &amp; levers'!$C$14="Off",('Activity data'!BI20*EF!$H51*EF!$H69)*NtoN2O*kgtoGg,IF('Net zero activities &amp; levers'!$C$14="On",('Net zero Activity data'!BI20*EF!$H51*EF!$H69)*NtoN2O*kgtoGg,"ERROR"))</f>
        <v>3.3695643404472522</v>
      </c>
      <c r="AQ1114" s="93">
        <f>IF('Net zero activities &amp; levers'!$C$14="Off",('Activity data'!BJ20*EF!$H51*EF!$H69)*NtoN2O*kgtoGg,IF('Net zero activities &amp; levers'!$C$14="On",('Net zero Activity data'!BJ20*EF!$H51*EF!$H69)*NtoN2O*kgtoGg,"ERROR"))</f>
        <v>3.4812725080530544</v>
      </c>
      <c r="AR1114" s="93">
        <f>IF('Net zero activities &amp; levers'!$C$14="Off",('Activity data'!BK20*EF!$H51*EF!$H69)*NtoN2O*kgtoGg,IF('Net zero activities &amp; levers'!$C$14="On",('Net zero Activity data'!BK20*EF!$H51*EF!$H69)*NtoN2O*kgtoGg,"ERROR"))</f>
        <v>3.5981993154978791</v>
      </c>
      <c r="AS1114" s="93">
        <f>IF('Net zero activities &amp; levers'!$C$14="Off",('Activity data'!BL20*EF!$H51*EF!$H69)*NtoN2O*kgtoGg,IF('Net zero activities &amp; levers'!$C$14="On",('Net zero Activity data'!BL20*EF!$H51*EF!$H69)*NtoN2O*kgtoGg,"ERROR"))</f>
        <v>3.7216722091838785</v>
      </c>
      <c r="AT1114" s="93">
        <f>IF('Net zero activities &amp; levers'!$C$14="Off",('Activity data'!BM20*EF!$H51*EF!$H69)*NtoN2O*kgtoGg,IF('Net zero activities &amp; levers'!$C$14="On",('Net zero Activity data'!BM20*EF!$H51*EF!$H69)*NtoN2O*kgtoGg,"ERROR"))</f>
        <v>3.7404703249321303</v>
      </c>
      <c r="AU1114" s="93">
        <f>IF('Net zero activities &amp; levers'!$C$14="Off",('Activity data'!BN20*EF!$H51*EF!$H69)*NtoN2O*kgtoGg,IF('Net zero activities &amp; levers'!$C$14="On",('Net zero Activity data'!BN20*EF!$H51*EF!$H69)*NtoN2O*kgtoGg,"ERROR"))</f>
        <v>3.749641300046322</v>
      </c>
      <c r="AV1114" s="93">
        <f>IF('Net zero activities &amp; levers'!$C$14="Off",('Activity data'!BO20*EF!$H51*EF!$H69)*NtoN2O*kgtoGg,IF('Net zero activities &amp; levers'!$C$14="On",('Net zero Activity data'!BO20*EF!$H51*EF!$H69)*NtoN2O*kgtoGg,"ERROR"))</f>
        <v>3.7450255667820502</v>
      </c>
      <c r="AW1114" s="93">
        <f>IF('Net zero activities &amp; levers'!$C$14="Off",('Activity data'!BP20*EF!$H51*EF!$H69)*NtoN2O*kgtoGg,IF('Net zero activities &amp; levers'!$C$14="On",('Net zero Activity data'!BP20*EF!$H51*EF!$H69)*NtoN2O*kgtoGg,"ERROR"))</f>
        <v>3.7364851229908305</v>
      </c>
      <c r="AY1114" s="79"/>
    </row>
    <row r="1115" spans="1:51" x14ac:dyDescent="0.3">
      <c r="A1115" s="95" t="str">
        <f t="shared" si="374"/>
        <v>CM Poultry MMN2O</v>
      </c>
      <c r="B1115" s="95" t="s">
        <v>1322</v>
      </c>
      <c r="C1115" s="95" t="s">
        <v>1234</v>
      </c>
      <c r="D1115" t="s">
        <v>15</v>
      </c>
      <c r="E1115" t="s">
        <v>657</v>
      </c>
      <c r="F1115" t="s">
        <v>28</v>
      </c>
      <c r="G1115" t="s">
        <v>134</v>
      </c>
      <c r="H1115" t="s">
        <v>1227</v>
      </c>
      <c r="I1115" t="s">
        <v>139</v>
      </c>
      <c r="J1115" t="s">
        <v>287</v>
      </c>
      <c r="K1115" s="93">
        <f>IF('Net zero activities &amp; levers'!$C$14="Off",('Activity data'!AD21*EF!$H52*EF!$H70)*NtoN2O*kgtoGg,IF('Net zero activities &amp; levers'!$C$14="On",('Net zero Activity data'!AD21*EF!$H52*EF!$H70)*NtoN2O*kgtoGg,"ERROR"))</f>
        <v>1.3660093635870424E-2</v>
      </c>
      <c r="L1115" s="93">
        <f>IF('Net zero activities &amp; levers'!$C$14="Off",('Activity data'!AE21*EF!$H52*EF!$H70)*NtoN2O*kgtoGg,IF('Net zero activities &amp; levers'!$C$14="On",('Net zero Activity data'!AE21*EF!$H52*EF!$H70)*NtoN2O*kgtoGg,"ERROR"))</f>
        <v>1.3937830420255735E-2</v>
      </c>
      <c r="M1115" s="93">
        <f>IF('Net zero activities &amp; levers'!$C$14="Off",('Activity data'!AF21*EF!$H52*EF!$H70)*NtoN2O*kgtoGg,IF('Net zero activities &amp; levers'!$C$14="On",('Net zero Activity data'!AF21*EF!$H52*EF!$H70)*NtoN2O*kgtoGg,"ERROR"))</f>
        <v>1.4262478398481276E-2</v>
      </c>
      <c r="N1115" s="93">
        <f>IF('Net zero activities &amp; levers'!$C$14="Off",('Activity data'!AG21*EF!$H52*EF!$H70)*NtoN2O*kgtoGg,IF('Net zero activities &amp; levers'!$C$14="On",('Net zero Activity data'!AG21*EF!$H52*EF!$H70)*NtoN2O*kgtoGg,"ERROR"))</f>
        <v>1.4511718638084306E-2</v>
      </c>
      <c r="O1115" s="93">
        <f>IF('Net zero activities &amp; levers'!$C$14="Off",('Activity data'!AH21*EF!$H52*EF!$H70)*NtoN2O*kgtoGg,IF('Net zero activities &amp; levers'!$C$14="On",('Net zero Activity data'!AH21*EF!$H52*EF!$H70)*NtoN2O*kgtoGg,"ERROR"))</f>
        <v>1.4711795979713132E-2</v>
      </c>
      <c r="P1115" s="93">
        <f>IF('Net zero activities &amp; levers'!$C$14="Off",('Activity data'!AI21*EF!$H52*EF!$H70)*NtoN2O*kgtoGg,IF('Net zero activities &amp; levers'!$C$14="On",('Net zero Activity data'!AI21*EF!$H52*EF!$H70)*NtoN2O*kgtoGg,"ERROR"))</f>
        <v>1.4861520550190493E-2</v>
      </c>
      <c r="Q1115" s="93">
        <f>IF('Net zero activities &amp; levers'!$C$14="Off",('Activity data'!AJ21*EF!$H52*EF!$H70)*NtoN2O*kgtoGg,IF('Net zero activities &amp; levers'!$C$14="On",('Net zero Activity data'!AJ21*EF!$H52*EF!$H70)*NtoN2O*kgtoGg,"ERROR"))</f>
        <v>1.5053508778373347E-2</v>
      </c>
      <c r="R1115" s="93">
        <f>IF('Net zero activities &amp; levers'!$C$14="Off",('Activity data'!AK21*EF!$H52*EF!$H70)*NtoN2O*kgtoGg,IF('Net zero activities &amp; levers'!$C$14="On",('Net zero Activity data'!AK21*EF!$H52*EF!$H70)*NtoN2O*kgtoGg,"ERROR"))</f>
        <v>1.5253123389732504E-2</v>
      </c>
      <c r="S1115" s="93">
        <f>IF('Net zero activities &amp; levers'!$C$14="Off",('Activity data'!AL21*EF!$H52*EF!$H70)*NtoN2O*kgtoGg,IF('Net zero activities &amp; levers'!$C$14="On",('Net zero Activity data'!AL21*EF!$H52*EF!$H70)*NtoN2O*kgtoGg,"ERROR"))</f>
        <v>1.45742284149588E-2</v>
      </c>
      <c r="T1115" s="93">
        <f>IF('Net zero activities &amp; levers'!$C$14="Off",('Activity data'!AM21*EF!$H52*EF!$H70)*NtoN2O*kgtoGg,IF('Net zero activities &amp; levers'!$C$14="On",('Net zero Activity data'!AM21*EF!$H52*EF!$H70)*NtoN2O*kgtoGg,"ERROR"))</f>
        <v>1.4936978657338758E-2</v>
      </c>
      <c r="U1115" s="93">
        <f>IF('Net zero activities &amp; levers'!$C$14="Off",('Activity data'!AN21*EF!$H52*EF!$H70)*NtoN2O*kgtoGg,IF('Net zero activities &amp; levers'!$C$14="On",('Net zero Activity data'!AN21*EF!$H52*EF!$H70)*NtoN2O*kgtoGg,"ERROR"))</f>
        <v>1.5420403425757045E-2</v>
      </c>
      <c r="V1115" s="93">
        <f>IF('Net zero activities &amp; levers'!$C$14="Off",('Activity data'!AO21*EF!$H52*EF!$H70)*NtoN2O*kgtoGg,IF('Net zero activities &amp; levers'!$C$14="On",('Net zero Activity data'!AO21*EF!$H52*EF!$H70)*NtoN2O*kgtoGg,"ERROR"))</f>
        <v>1.5716055381248869E-2</v>
      </c>
      <c r="W1115" s="93">
        <f>IF('Net zero activities &amp; levers'!$C$14="Off",('Activity data'!AP21*EF!$H52*EF!$H70)*NtoN2O*kgtoGg,IF('Net zero activities &amp; levers'!$C$14="On",('Net zero Activity data'!AP21*EF!$H52*EF!$H70)*NtoN2O*kgtoGg,"ERROR"))</f>
        <v>1.6038380919907547E-2</v>
      </c>
      <c r="X1115" s="93">
        <f>IF('Net zero activities &amp; levers'!$C$14="Off",('Activity data'!AQ21*EF!$H52*EF!$H70)*NtoN2O*kgtoGg,IF('Net zero activities &amp; levers'!$C$14="On",('Net zero Activity data'!AQ21*EF!$H52*EF!$H70)*NtoN2O*kgtoGg,"ERROR"))</f>
        <v>1.6395535886630449E-2</v>
      </c>
      <c r="Y1115" s="93">
        <f>IF('Net zero activities &amp; levers'!$C$14="Off",('Activity data'!AR21*EF!$H52*EF!$H70)*NtoN2O*kgtoGg,IF('Net zero activities &amp; levers'!$C$14="On",('Net zero Activity data'!AR21*EF!$H52*EF!$H70)*NtoN2O*kgtoGg,"ERROR"))</f>
        <v>1.6764430279380526E-2</v>
      </c>
      <c r="Z1115" s="93">
        <f>IF('Net zero activities &amp; levers'!$C$14="Off",('Activity data'!AS21*EF!$H52*EF!$H70)*NtoN2O*kgtoGg,IF('Net zero activities &amp; levers'!$C$14="On",('Net zero Activity data'!AS21*EF!$H52*EF!$H70)*NtoN2O*kgtoGg,"ERROR"))</f>
        <v>1.7162025423259852E-2</v>
      </c>
      <c r="AA1115" s="93">
        <f>IF('Net zero activities &amp; levers'!$C$14="Off",('Activity data'!AT21*EF!$H52*EF!$H70)*NtoN2O*kgtoGg,IF('Net zero activities &amp; levers'!$C$14="On",('Net zero Activity data'!AT21*EF!$H52*EF!$H70)*NtoN2O*kgtoGg,"ERROR"))</f>
        <v>1.7568561909138691E-2</v>
      </c>
      <c r="AB1115" s="93">
        <f>IF('Net zero activities &amp; levers'!$C$14="Off",('Activity data'!AU21*EF!$H52*EF!$H70)*NtoN2O*kgtoGg,IF('Net zero activities &amp; levers'!$C$14="On",('Net zero Activity data'!AU21*EF!$H52*EF!$H70)*NtoN2O*kgtoGg,"ERROR"))</f>
        <v>1.8002631935346944E-2</v>
      </c>
      <c r="AC1115" s="93">
        <f>IF('Net zero activities &amp; levers'!$C$14="Off",('Activity data'!AV21*EF!$H52*EF!$H70)*NtoN2O*kgtoGg,IF('Net zero activities &amp; levers'!$C$14="On",('Net zero Activity data'!AV21*EF!$H52*EF!$H70)*NtoN2O*kgtoGg,"ERROR"))</f>
        <v>1.8444432598854574E-2</v>
      </c>
      <c r="AD1115" s="93">
        <f>IF('Net zero activities &amp; levers'!$C$14="Off",('Activity data'!AW21*EF!$H52*EF!$H70)*NtoN2O*kgtoGg,IF('Net zero activities &amp; levers'!$C$14="On",('Net zero Activity data'!AW21*EF!$H52*EF!$H70)*NtoN2O*kgtoGg,"ERROR"))</f>
        <v>1.8921106165119213E-2</v>
      </c>
      <c r="AE1115" s="93">
        <f>IF('Net zero activities &amp; levers'!$C$14="Off",('Activity data'!AX21*EF!$H52*EF!$H70)*NtoN2O*kgtoGg,IF('Net zero activities &amp; levers'!$C$14="On",('Net zero Activity data'!AX21*EF!$H52*EF!$H70)*NtoN2O*kgtoGg,"ERROR"))</f>
        <v>1.9392857554310274E-2</v>
      </c>
      <c r="AF1115" s="93">
        <f>IF('Net zero activities &amp; levers'!$C$14="Off",('Activity data'!AY21*EF!$H52*EF!$H70)*NtoN2O*kgtoGg,IF('Net zero activities &amp; levers'!$C$14="On",('Net zero Activity data'!AY21*EF!$H52*EF!$H70)*NtoN2O*kgtoGg,"ERROR"))</f>
        <v>1.988637607417253E-2</v>
      </c>
      <c r="AG1115" s="93">
        <f>IF('Net zero activities &amp; levers'!$C$14="Off",('Activity data'!AZ21*EF!$H52*EF!$H70)*NtoN2O*kgtoGg,IF('Net zero activities &amp; levers'!$C$14="On",('Net zero Activity data'!AZ21*EF!$H52*EF!$H70)*NtoN2O*kgtoGg,"ERROR"))</f>
        <v>2.0434112967013793E-2</v>
      </c>
      <c r="AH1115" s="93">
        <f>IF('Net zero activities &amp; levers'!$C$14="Off",('Activity data'!BA21*EF!$H52*EF!$H70)*NtoN2O*kgtoGg,IF('Net zero activities &amp; levers'!$C$14="On",('Net zero Activity data'!BA21*EF!$H52*EF!$H70)*NtoN2O*kgtoGg,"ERROR"))</f>
        <v>2.0959956336489938E-2</v>
      </c>
      <c r="AI1115" s="93">
        <f>IF('Net zero activities &amp; levers'!$C$14="Off",('Activity data'!BB21*EF!$H52*EF!$H70)*NtoN2O*kgtoGg,IF('Net zero activities &amp; levers'!$C$14="On",('Net zero Activity data'!BB21*EF!$H52*EF!$H70)*NtoN2O*kgtoGg,"ERROR"))</f>
        <v>2.1503763495753996E-2</v>
      </c>
      <c r="AJ1115" s="93">
        <f>IF('Net zero activities &amp; levers'!$C$14="Off",('Activity data'!BC21*EF!$H52*EF!$H70)*NtoN2O*kgtoGg,IF('Net zero activities &amp; levers'!$C$14="On",('Net zero Activity data'!BC21*EF!$H52*EF!$H70)*NtoN2O*kgtoGg,"ERROR"))</f>
        <v>2.2080286026796948E-2</v>
      </c>
      <c r="AK1115" s="93">
        <f>IF('Net zero activities &amp; levers'!$C$14="Off",('Activity data'!BD21*EF!$H52*EF!$H70)*NtoN2O*kgtoGg,IF('Net zero activities &amp; levers'!$C$14="On",('Net zero Activity data'!BD21*EF!$H52*EF!$H70)*NtoN2O*kgtoGg,"ERROR"))</f>
        <v>2.2627107721207101E-2</v>
      </c>
      <c r="AL1115" s="93">
        <f>IF('Net zero activities &amp; levers'!$C$14="Off",('Activity data'!BE21*EF!$H52*EF!$H70)*NtoN2O*kgtoGg,IF('Net zero activities &amp; levers'!$C$14="On",('Net zero Activity data'!BE21*EF!$H52*EF!$H70)*NtoN2O*kgtoGg,"ERROR"))</f>
        <v>2.3172439062110847E-2</v>
      </c>
      <c r="AM1115" s="93">
        <f>IF('Net zero activities &amp; levers'!$C$14="Off",('Activity data'!BF21*EF!$H52*EF!$H70)*NtoN2O*kgtoGg,IF('Net zero activities &amp; levers'!$C$14="On",('Net zero Activity data'!BF21*EF!$H52*EF!$H70)*NtoN2O*kgtoGg,"ERROR"))</f>
        <v>2.371753464093004E-2</v>
      </c>
      <c r="AN1115" s="93">
        <f>IF('Net zero activities &amp; levers'!$C$14="Off",('Activity data'!BG21*EF!$H52*EF!$H70)*NtoN2O*kgtoGg,IF('Net zero activities &amp; levers'!$C$14="On",('Net zero Activity data'!BG21*EF!$H52*EF!$H70)*NtoN2O*kgtoGg,"ERROR"))</f>
        <v>2.4295855104154534E-2</v>
      </c>
      <c r="AO1115" s="93">
        <f>IF('Net zero activities &amp; levers'!$C$14="Off",('Activity data'!BH21*EF!$H52*EF!$H70)*NtoN2O*kgtoGg,IF('Net zero activities &amp; levers'!$C$14="On",('Net zero Activity data'!BH21*EF!$H52*EF!$H70)*NtoN2O*kgtoGg,"ERROR"))</f>
        <v>2.4855761161942075E-2</v>
      </c>
      <c r="AP1115" s="93">
        <f>IF('Net zero activities &amp; levers'!$C$14="Off",('Activity data'!BI21*EF!$H52*EF!$H70)*NtoN2O*kgtoGg,IF('Net zero activities &amp; levers'!$C$14="On",('Net zero Activity data'!BI21*EF!$H52*EF!$H70)*NtoN2O*kgtoGg,"ERROR"))</f>
        <v>2.5435056934590854E-2</v>
      </c>
      <c r="AQ1115" s="93">
        <f>IF('Net zero activities &amp; levers'!$C$14="Off",('Activity data'!BJ21*EF!$H52*EF!$H70)*NtoN2O*kgtoGg,IF('Net zero activities &amp; levers'!$C$14="On",('Net zero Activity data'!BJ21*EF!$H52*EF!$H70)*NtoN2O*kgtoGg,"ERROR"))</f>
        <v>2.6036160699937267E-2</v>
      </c>
      <c r="AR1115" s="93">
        <f>IF('Net zero activities &amp; levers'!$C$14="Off",('Activity data'!BK21*EF!$H52*EF!$H70)*NtoN2O*kgtoGg,IF('Net zero activities &amp; levers'!$C$14="On",('Net zero Activity data'!BK21*EF!$H52*EF!$H70)*NtoN2O*kgtoGg,"ERROR"))</f>
        <v>2.6662879185516769E-2</v>
      </c>
      <c r="AS1115" s="93">
        <f>IF('Net zero activities &amp; levers'!$C$14="Off",('Activity data'!BL21*EF!$H52*EF!$H70)*NtoN2O*kgtoGg,IF('Net zero activities &amp; levers'!$C$14="On",('Net zero Activity data'!BL21*EF!$H52*EF!$H70)*NtoN2O*kgtoGg,"ERROR"))</f>
        <v>2.7306334789071466E-2</v>
      </c>
      <c r="AT1115" s="93">
        <f>IF('Net zero activities &amp; levers'!$C$14="Off",('Activity data'!BM21*EF!$H52*EF!$H70)*NtoN2O*kgtoGg,IF('Net zero activities &amp; levers'!$C$14="On",('Net zero Activity data'!BM21*EF!$H52*EF!$H70)*NtoN2O*kgtoGg,"ERROR"))</f>
        <v>2.7531714483434007E-2</v>
      </c>
      <c r="AU1115" s="93">
        <f>IF('Net zero activities &amp; levers'!$C$14="Off",('Activity data'!BN21*EF!$H52*EF!$H70)*NtoN2O*kgtoGg,IF('Net zero activities &amp; levers'!$C$14="On",('Net zero Activity data'!BN21*EF!$H52*EF!$H70)*NtoN2O*kgtoGg,"ERROR"))</f>
        <v>2.7718383757735835E-2</v>
      </c>
      <c r="AV1115" s="93">
        <f>IF('Net zero activities &amp; levers'!$C$14="Off",('Activity data'!BO21*EF!$H52*EF!$H70)*NtoN2O*kgtoGg,IF('Net zero activities &amp; levers'!$C$14="On",('Net zero Activity data'!BO21*EF!$H52*EF!$H70)*NtoN2O*kgtoGg,"ERROR"))</f>
        <v>2.7848741900997311E-2</v>
      </c>
      <c r="AW1115" s="93">
        <f>IF('Net zero activities &amp; levers'!$C$14="Off",('Activity data'!BP21*EF!$H52*EF!$H70)*NtoN2O*kgtoGg,IF('Net zero activities &amp; levers'!$C$14="On",('Net zero Activity data'!BP21*EF!$H52*EF!$H70)*NtoN2O*kgtoGg,"ERROR"))</f>
        <v>2.7962426225069836E-2</v>
      </c>
      <c r="AY1115" s="79"/>
    </row>
    <row r="1116" spans="1:51" x14ac:dyDescent="0.3">
      <c r="A1116" s="95" t="str">
        <f t="shared" si="374"/>
        <v>CM Poultry MMN2O</v>
      </c>
      <c r="B1116" s="95" t="s">
        <v>1322</v>
      </c>
      <c r="C1116" s="95" t="s">
        <v>1234</v>
      </c>
      <c r="D1116" t="s">
        <v>15</v>
      </c>
      <c r="E1116" t="s">
        <v>657</v>
      </c>
      <c r="F1116" t="s">
        <v>28</v>
      </c>
      <c r="G1116" t="s">
        <v>133</v>
      </c>
      <c r="H1116" t="s">
        <v>1227</v>
      </c>
      <c r="I1116" t="s">
        <v>139</v>
      </c>
      <c r="J1116" t="s">
        <v>287</v>
      </c>
      <c r="K1116" s="93">
        <f>IF('Net zero activities &amp; levers'!$C$14="Off",('Activity data'!AD22*EF!$H53*EF!$H71)*NtoN2O*kgtoGg,IF('Net zero activities &amp; levers'!$C$14="On",('Net zero Activity data'!AD22*EF!$H53*EF!$H71)*NtoN2O*kgtoGg,"ERROR"))</f>
        <v>7.0904798648479067E-2</v>
      </c>
      <c r="L1116" s="93">
        <f>IF('Net zero activities &amp; levers'!$C$14="Off",('Activity data'!AE22*EF!$H53*EF!$H71)*NtoN2O*kgtoGg,IF('Net zero activities &amp; levers'!$C$14="On",('Net zero Activity data'!AE22*EF!$H53*EF!$H71)*NtoN2O*kgtoGg,"ERROR"))</f>
        <v>7.1838488113865229E-2</v>
      </c>
      <c r="M1116" s="93">
        <f>IF('Net zero activities &amp; levers'!$C$14="Off",('Activity data'!AF22*EF!$H53*EF!$H71)*NtoN2O*kgtoGg,IF('Net zero activities &amp; levers'!$C$14="On",('Net zero Activity data'!AF22*EF!$H53*EF!$H71)*NtoN2O*kgtoGg,"ERROR"))</f>
        <v>7.333826122290886E-2</v>
      </c>
      <c r="N1116" s="93">
        <f>IF('Net zero activities &amp; levers'!$C$14="Off",('Activity data'!AG22*EF!$H53*EF!$H71)*NtoN2O*kgtoGg,IF('Net zero activities &amp; levers'!$C$14="On",('Net zero Activity data'!AG22*EF!$H53*EF!$H71)*NtoN2O*kgtoGg,"ERROR"))</f>
        <v>7.3768889900085552E-2</v>
      </c>
      <c r="O1116" s="93">
        <f>IF('Net zero activities &amp; levers'!$C$14="Off",('Activity data'!AH22*EF!$H53*EF!$H71)*NtoN2O*kgtoGg,IF('Net zero activities &amp; levers'!$C$14="On",('Net zero Activity data'!AH22*EF!$H53*EF!$H71)*NtoN2O*kgtoGg,"ERROR"))</f>
        <v>7.3504831661853232E-2</v>
      </c>
      <c r="P1116" s="93">
        <f>IF('Net zero activities &amp; levers'!$C$14="Off",('Activity data'!AI22*EF!$H53*EF!$H71)*NtoN2O*kgtoGg,IF('Net zero activities &amp; levers'!$C$14="On",('Net zero Activity data'!AI22*EF!$H53*EF!$H71)*NtoN2O*kgtoGg,"ERROR"))</f>
        <v>7.2548895925592424E-2</v>
      </c>
      <c r="Q1116" s="93">
        <f>IF('Net zero activities &amp; levers'!$C$14="Off",('Activity data'!AJ22*EF!$H53*EF!$H71)*NtoN2O*kgtoGg,IF('Net zero activities &amp; levers'!$C$14="On",('Net zero Activity data'!AJ22*EF!$H53*EF!$H71)*NtoN2O*kgtoGg,"ERROR"))</f>
        <v>7.2146468817327461E-2</v>
      </c>
      <c r="R1116" s="93">
        <f>IF('Net zero activities &amp; levers'!$C$14="Off",('Activity data'!AK22*EF!$H53*EF!$H71)*NtoN2O*kgtoGg,IF('Net zero activities &amp; levers'!$C$14="On",('Net zero Activity data'!AK22*EF!$H53*EF!$H71)*NtoN2O*kgtoGg,"ERROR"))</f>
        <v>7.1835339545248775E-2</v>
      </c>
      <c r="S1116" s="93">
        <f>IF('Net zero activities &amp; levers'!$C$14="Off",('Activity data'!AL22*EF!$H53*EF!$H71)*NtoN2O*kgtoGg,IF('Net zero activities &amp; levers'!$C$14="On",('Net zero Activity data'!AL22*EF!$H53*EF!$H71)*NtoN2O*kgtoGg,"ERROR"))</f>
        <v>6.0553462411913554E-2</v>
      </c>
      <c r="T1116" s="93">
        <f>IF('Net zero activities &amp; levers'!$C$14="Off",('Activity data'!AM22*EF!$H53*EF!$H71)*NtoN2O*kgtoGg,IF('Net zero activities &amp; levers'!$C$14="On",('Net zero Activity data'!AM22*EF!$H53*EF!$H71)*NtoN2O*kgtoGg,"ERROR"))</f>
        <v>6.2951673990704532E-2</v>
      </c>
      <c r="U1116" s="93">
        <f>IF('Net zero activities &amp; levers'!$C$14="Off",('Activity data'!AN22*EF!$H53*EF!$H71)*NtoN2O*kgtoGg,IF('Net zero activities &amp; levers'!$C$14="On",('Net zero Activity data'!AN22*EF!$H53*EF!$H71)*NtoN2O*kgtoGg,"ERROR"))</f>
        <v>6.6779065471287438E-2</v>
      </c>
      <c r="V1116" s="93">
        <f>IF('Net zero activities &amp; levers'!$C$14="Off",('Activity data'!AO22*EF!$H53*EF!$H71)*NtoN2O*kgtoGg,IF('Net zero activities &amp; levers'!$C$14="On",('Net zero Activity data'!AO22*EF!$H53*EF!$H71)*NtoN2O*kgtoGg,"ERROR"))</f>
        <v>6.8254568898105869E-2</v>
      </c>
      <c r="W1116" s="93">
        <f>IF('Net zero activities &amp; levers'!$C$14="Off",('Activity data'!AP22*EF!$H53*EF!$H71)*NtoN2O*kgtoGg,IF('Net zero activities &amp; levers'!$C$14="On",('Net zero Activity data'!AP22*EF!$H53*EF!$H71)*NtoN2O*kgtoGg,"ERROR"))</f>
        <v>7.0020292911694371E-2</v>
      </c>
      <c r="X1116" s="93">
        <f>IF('Net zero activities &amp; levers'!$C$14="Off",('Activity data'!AQ22*EF!$H53*EF!$H71)*NtoN2O*kgtoGg,IF('Net zero activities &amp; levers'!$C$14="On",('Net zero Activity data'!AQ22*EF!$H53*EF!$H71)*NtoN2O*kgtoGg,"ERROR"))</f>
        <v>7.2165945155508851E-2</v>
      </c>
      <c r="Y1116" s="93">
        <f>IF('Net zero activities &amp; levers'!$C$14="Off",('Activity data'!AR22*EF!$H53*EF!$H71)*NtoN2O*kgtoGg,IF('Net zero activities &amp; levers'!$C$14="On",('Net zero Activity data'!AR22*EF!$H53*EF!$H71)*NtoN2O*kgtoGg,"ERROR"))</f>
        <v>7.4629791965159634E-2</v>
      </c>
      <c r="Z1116" s="93">
        <f>IF('Net zero activities &amp; levers'!$C$14="Off",('Activity data'!AS22*EF!$H53*EF!$H71)*NtoN2O*kgtoGg,IF('Net zero activities &amp; levers'!$C$14="On",('Net zero Activity data'!AS22*EF!$H53*EF!$H71)*NtoN2O*kgtoGg,"ERROR"))</f>
        <v>7.738893067802953E-2</v>
      </c>
      <c r="AA1116" s="93">
        <f>IF('Net zero activities &amp; levers'!$C$14="Off",('Activity data'!AT22*EF!$H53*EF!$H71)*NtoN2O*kgtoGg,IF('Net zero activities &amp; levers'!$C$14="On",('Net zero Activity data'!AT22*EF!$H53*EF!$H71)*NtoN2O*kgtoGg,"ERROR"))</f>
        <v>8.0206661196254428E-2</v>
      </c>
      <c r="AB1116" s="93">
        <f>IF('Net zero activities &amp; levers'!$C$14="Off",('Activity data'!AU22*EF!$H53*EF!$H71)*NtoN2O*kgtoGg,IF('Net zero activities &amp; levers'!$C$14="On",('Net zero Activity data'!AU22*EF!$H53*EF!$H71)*NtoN2O*kgtoGg,"ERROR"))</f>
        <v>8.3296849166076437E-2</v>
      </c>
      <c r="AC1116" s="93">
        <f>IF('Net zero activities &amp; levers'!$C$14="Off",('Activity data'!AV22*EF!$H53*EF!$H71)*NtoN2O*kgtoGg,IF('Net zero activities &amp; levers'!$C$14="On",('Net zero Activity data'!AV22*EF!$H53*EF!$H71)*NtoN2O*kgtoGg,"ERROR"))</f>
        <v>8.6426659244695656E-2</v>
      </c>
      <c r="AD1116" s="93">
        <f>IF('Net zero activities &amp; levers'!$C$14="Off",('Activity data'!AW22*EF!$H53*EF!$H71)*NtoN2O*kgtoGg,IF('Net zero activities &amp; levers'!$C$14="On",('Net zero Activity data'!AW22*EF!$H53*EF!$H71)*NtoN2O*kgtoGg,"ERROR"))</f>
        <v>9.0080341376754844E-2</v>
      </c>
      <c r="AE1116" s="93">
        <f>IF('Net zero activities &amp; levers'!$C$14="Off",('Activity data'!AX22*EF!$H53*EF!$H71)*NtoN2O*kgtoGg,IF('Net zero activities &amp; levers'!$C$14="On",('Net zero Activity data'!AX22*EF!$H53*EF!$H71)*NtoN2O*kgtoGg,"ERROR"))</f>
        <v>9.3626057457867992E-2</v>
      </c>
      <c r="AF1116" s="93">
        <f>IF('Net zero activities &amp; levers'!$C$14="Off",('Activity data'!AY22*EF!$H53*EF!$H71)*NtoN2O*kgtoGg,IF('Net zero activities &amp; levers'!$C$14="On",('Net zero Activity data'!AY22*EF!$H53*EF!$H71)*NtoN2O*kgtoGg,"ERROR"))</f>
        <v>9.7366244433175556E-2</v>
      </c>
      <c r="AG1116" s="93">
        <f>IF('Net zero activities &amp; levers'!$C$14="Off",('Activity data'!AZ22*EF!$H53*EF!$H71)*NtoN2O*kgtoGg,IF('Net zero activities &amp; levers'!$C$14="On",('Net zero Activity data'!AZ22*EF!$H53*EF!$H71)*NtoN2O*kgtoGg,"ERROR"))</f>
        <v>0.10165923306598072</v>
      </c>
      <c r="AH1116" s="93">
        <f>IF('Net zero activities &amp; levers'!$C$14="Off",('Activity data'!BA22*EF!$H53*EF!$H71)*NtoN2O*kgtoGg,IF('Net zero activities &amp; levers'!$C$14="On",('Net zero Activity data'!BA22*EF!$H53*EF!$H71)*NtoN2O*kgtoGg,"ERROR"))</f>
        <v>0.10565153800521729</v>
      </c>
      <c r="AI1116" s="93">
        <f>IF('Net zero activities &amp; levers'!$C$14="Off",('Activity data'!BB22*EF!$H53*EF!$H71)*NtoN2O*kgtoGg,IF('Net zero activities &amp; levers'!$C$14="On",('Net zero Activity data'!BB22*EF!$H53*EF!$H71)*NtoN2O*kgtoGg,"ERROR"))</f>
        <v>0.10995197307404567</v>
      </c>
      <c r="AJ1116" s="93">
        <f>IF('Net zero activities &amp; levers'!$C$14="Off",('Activity data'!BC22*EF!$H53*EF!$H71)*NtoN2O*kgtoGg,IF('Net zero activities &amp; levers'!$C$14="On",('Net zero Activity data'!BC22*EF!$H53*EF!$H71)*NtoN2O*kgtoGg,"ERROR"))</f>
        <v>0.11455624026038116</v>
      </c>
      <c r="AK1116" s="93">
        <f>IF('Net zero activities &amp; levers'!$C$14="Off",('Activity data'!BD22*EF!$H53*EF!$H71)*NtoN2O*kgtoGg,IF('Net zero activities &amp; levers'!$C$14="On",('Net zero Activity data'!BD22*EF!$H53*EF!$H71)*NtoN2O*kgtoGg,"ERROR"))</f>
        <v>0.11878116615233021</v>
      </c>
      <c r="AL1116" s="93">
        <f>IF('Net zero activities &amp; levers'!$C$14="Off",('Activity data'!BE22*EF!$H53*EF!$H71)*NtoN2O*kgtoGg,IF('Net zero activities &amp; levers'!$C$14="On",('Net zero Activity data'!BE22*EF!$H53*EF!$H71)*NtoN2O*kgtoGg,"ERROR"))</f>
        <v>0.12293894883269324</v>
      </c>
      <c r="AM1116" s="93">
        <f>IF('Net zero activities &amp; levers'!$C$14="Off",('Activity data'!BF22*EF!$H53*EF!$H71)*NtoN2O*kgtoGg,IF('Net zero activities &amp; levers'!$C$14="On",('Net zero Activity data'!BF22*EF!$H53*EF!$H71)*NtoN2O*kgtoGg,"ERROR"))</f>
        <v>0.12704476610482884</v>
      </c>
      <c r="AN1116" s="93">
        <f>IF('Net zero activities &amp; levers'!$C$14="Off",('Activity data'!BG22*EF!$H53*EF!$H71)*NtoN2O*kgtoGg,IF('Net zero activities &amp; levers'!$C$14="On",('Net zero Activity data'!BG22*EF!$H53*EF!$H71)*NtoN2O*kgtoGg,"ERROR"))</f>
        <v>0.13160755775712291</v>
      </c>
      <c r="AO1116" s="93">
        <f>IF('Net zero activities &amp; levers'!$C$14="Off",('Activity data'!BH22*EF!$H53*EF!$H71)*NtoN2O*kgtoGg,IF('Net zero activities &amp; levers'!$C$14="On",('Net zero Activity data'!BH22*EF!$H53*EF!$H71)*NtoN2O*kgtoGg,"ERROR"))</f>
        <v>0.13592438596760945</v>
      </c>
      <c r="AP1116" s="93">
        <f>IF('Net zero activities &amp; levers'!$C$14="Off",('Activity data'!BI22*EF!$H53*EF!$H71)*NtoN2O*kgtoGg,IF('Net zero activities &amp; levers'!$C$14="On",('Net zero Activity data'!BI22*EF!$H53*EF!$H71)*NtoN2O*kgtoGg,"ERROR"))</f>
        <v>0.14039851418530233</v>
      </c>
      <c r="AQ1116" s="93">
        <f>IF('Net zero activities &amp; levers'!$C$14="Off",('Activity data'!BJ22*EF!$H53*EF!$H71)*NtoN2O*kgtoGg,IF('Net zero activities &amp; levers'!$C$14="On",('Net zero Activity data'!BJ22*EF!$H53*EF!$H71)*NtoN2O*kgtoGg,"ERROR"))</f>
        <v>0.14505302116887739</v>
      </c>
      <c r="AR1116" s="93">
        <f>IF('Net zero activities &amp; levers'!$C$14="Off",('Activity data'!BK22*EF!$H53*EF!$H71)*NtoN2O*kgtoGg,IF('Net zero activities &amp; levers'!$C$14="On",('Net zero Activity data'!BK22*EF!$H53*EF!$H71)*NtoN2O*kgtoGg,"ERROR"))</f>
        <v>0.14992497147907843</v>
      </c>
      <c r="AS1116" s="93">
        <f>IF('Net zero activities &amp; levers'!$C$14="Off",('Activity data'!BL22*EF!$H53*EF!$H71)*NtoN2O*kgtoGg,IF('Net zero activities &amp; levers'!$C$14="On",('Net zero Activity data'!BL22*EF!$H53*EF!$H71)*NtoN2O*kgtoGg,"ERROR"))</f>
        <v>0.15506967538266181</v>
      </c>
      <c r="AT1116" s="93">
        <f>IF('Net zero activities &amp; levers'!$C$14="Off",('Activity data'!BM22*EF!$H53*EF!$H71)*NtoN2O*kgtoGg,IF('Net zero activities &amp; levers'!$C$14="On",('Net zero Activity data'!BM22*EF!$H53*EF!$H71)*NtoN2O*kgtoGg,"ERROR"))</f>
        <v>0.15585293020550561</v>
      </c>
      <c r="AU1116" s="93">
        <f>IF('Net zero activities &amp; levers'!$C$14="Off",('Activity data'!BN22*EF!$H53*EF!$H71)*NtoN2O*kgtoGg,IF('Net zero activities &amp; levers'!$C$14="On",('Net zero Activity data'!BN22*EF!$H53*EF!$H71)*NtoN2O*kgtoGg,"ERROR"))</f>
        <v>0.1562350541685969</v>
      </c>
      <c r="AV1116" s="93">
        <f>IF('Net zero activities &amp; levers'!$C$14="Off",('Activity data'!BO22*EF!$H53*EF!$H71)*NtoN2O*kgtoGg,IF('Net zero activities &amp; levers'!$C$14="On",('Net zero Activity data'!BO22*EF!$H53*EF!$H71)*NtoN2O*kgtoGg,"ERROR"))</f>
        <v>0.15604273194925225</v>
      </c>
      <c r="AW1116" s="93">
        <f>IF('Net zero activities &amp; levers'!$C$14="Off",('Activity data'!BP22*EF!$H53*EF!$H71)*NtoN2O*kgtoGg,IF('Net zero activities &amp; levers'!$C$14="On",('Net zero Activity data'!BP22*EF!$H53*EF!$H71)*NtoN2O*kgtoGg,"ERROR"))</f>
        <v>0.15568688012461812</v>
      </c>
      <c r="AY1116" s="79"/>
    </row>
    <row r="1117" spans="1:51" x14ac:dyDescent="0.3">
      <c r="A1117" s="95" t="str">
        <f t="shared" si="374"/>
        <v>CM Synthetic</v>
      </c>
      <c r="B1117" s="95" t="s">
        <v>1322</v>
      </c>
      <c r="C1117" s="95" t="s">
        <v>1126</v>
      </c>
      <c r="D1117" t="s">
        <v>369</v>
      </c>
      <c r="E1117" t="s">
        <v>55</v>
      </c>
      <c r="H1117" t="s">
        <v>419</v>
      </c>
      <c r="I1117" t="s">
        <v>139</v>
      </c>
      <c r="J1117" t="s">
        <v>287</v>
      </c>
      <c r="K1117" s="22">
        <f>K1463</f>
        <v>6.6064812063358538</v>
      </c>
      <c r="L1117" s="22">
        <f t="shared" ref="L1117:AW1117" si="375">L1463</f>
        <v>6.6058242184852958</v>
      </c>
      <c r="M1117" s="22">
        <f t="shared" si="375"/>
        <v>6.6046196765835479</v>
      </c>
      <c r="N1117" s="22">
        <f t="shared" si="375"/>
        <v>6.6031799495417181</v>
      </c>
      <c r="O1117" s="22">
        <f t="shared" si="375"/>
        <v>6.6022073532502725</v>
      </c>
      <c r="P1117" s="22">
        <f t="shared" si="375"/>
        <v>6.6015380384919204</v>
      </c>
      <c r="Q1117" s="22">
        <f t="shared" si="375"/>
        <v>6.6011715236312982</v>
      </c>
      <c r="R1117" s="22">
        <f t="shared" si="375"/>
        <v>6.6005785698707236</v>
      </c>
      <c r="S1117" s="22">
        <f t="shared" si="375"/>
        <v>6.599955716072432</v>
      </c>
      <c r="T1117" s="22">
        <f t="shared" si="375"/>
        <v>6.6042852126323481</v>
      </c>
      <c r="U1117" s="22">
        <f t="shared" si="375"/>
        <v>6.6025684208058211</v>
      </c>
      <c r="V1117" s="22">
        <f t="shared" si="375"/>
        <v>6.6002252909433183</v>
      </c>
      <c r="W1117" s="22">
        <f t="shared" si="375"/>
        <v>6.598966168189885</v>
      </c>
      <c r="X1117" s="22">
        <f t="shared" si="375"/>
        <v>6.597589047711292</v>
      </c>
      <c r="Y1117" s="22">
        <f t="shared" si="375"/>
        <v>6.5960579609281904</v>
      </c>
      <c r="Z1117" s="22">
        <f t="shared" si="375"/>
        <v>6.5944507555305236</v>
      </c>
      <c r="AA1117" s="22">
        <f t="shared" si="375"/>
        <v>6.5927354812209922</v>
      </c>
      <c r="AB1117" s="22">
        <f t="shared" si="375"/>
        <v>6.5910165055066825</v>
      </c>
      <c r="AC1117" s="22">
        <f t="shared" si="375"/>
        <v>6.589206056061478</v>
      </c>
      <c r="AD1117" s="22">
        <f t="shared" si="375"/>
        <v>6.5874036822299606</v>
      </c>
      <c r="AE1117" s="22">
        <f t="shared" si="375"/>
        <v>6.5854496085579246</v>
      </c>
      <c r="AF1117" s="22">
        <f t="shared" si="375"/>
        <v>6.5835675614397218</v>
      </c>
      <c r="AG1117" s="22">
        <f t="shared" si="375"/>
        <v>6.5816378763594336</v>
      </c>
      <c r="AH1117" s="22">
        <f t="shared" si="375"/>
        <v>6.5795282781002431</v>
      </c>
      <c r="AI1117" s="22">
        <f t="shared" si="375"/>
        <v>6.5775665224366495</v>
      </c>
      <c r="AJ1117" s="22">
        <f t="shared" si="375"/>
        <v>6.5755521924304867</v>
      </c>
      <c r="AK1117" s="22">
        <f t="shared" si="375"/>
        <v>6.573462792654313</v>
      </c>
      <c r="AL1117" s="22">
        <f t="shared" si="375"/>
        <v>6.5715425101563261</v>
      </c>
      <c r="AM1117" s="22">
        <f t="shared" si="375"/>
        <v>6.5696756052718408</v>
      </c>
      <c r="AN1117" s="22">
        <f t="shared" si="375"/>
        <v>6.5678548596880235</v>
      </c>
      <c r="AO1117" s="22">
        <f t="shared" si="375"/>
        <v>6.5659337062591927</v>
      </c>
      <c r="AP1117" s="22">
        <f t="shared" si="375"/>
        <v>6.564123592040632</v>
      </c>
      <c r="AQ1117" s="22">
        <f t="shared" si="375"/>
        <v>6.5622903638449301</v>
      </c>
      <c r="AR1117" s="22">
        <f t="shared" si="375"/>
        <v>6.5604286486377719</v>
      </c>
      <c r="AS1117" s="22">
        <f t="shared" si="375"/>
        <v>6.5585292511260116</v>
      </c>
      <c r="AT1117" s="22">
        <f t="shared" si="375"/>
        <v>6.5566000956326942</v>
      </c>
      <c r="AU1117" s="22">
        <f t="shared" si="375"/>
        <v>6.5560073347552805</v>
      </c>
      <c r="AV1117" s="22">
        <f t="shared" si="375"/>
        <v>6.5555391486602428</v>
      </c>
      <c r="AW1117" s="22">
        <f t="shared" si="375"/>
        <v>6.5552474687649953</v>
      </c>
      <c r="AY1117" s="79"/>
    </row>
    <row r="1118" spans="1:51" x14ac:dyDescent="0.3">
      <c r="A1118" s="95" t="str">
        <f t="shared" si="374"/>
        <v>CM Organic</v>
      </c>
      <c r="B1118" s="95" t="s">
        <v>1322</v>
      </c>
      <c r="C1118" s="95" t="s">
        <v>1127</v>
      </c>
      <c r="D1118" t="s">
        <v>369</v>
      </c>
      <c r="E1118" t="s">
        <v>55</v>
      </c>
      <c r="H1118" t="s">
        <v>420</v>
      </c>
      <c r="I1118" t="s">
        <v>139</v>
      </c>
      <c r="J1118" t="s">
        <v>287</v>
      </c>
      <c r="K1118" s="94">
        <f>IF('Net zero activities &amp; levers'!$C$14="Off",'Activity data'!AD48*ttokg*ONEF*NtoN2O*kgtoGg,IF('Net zero activities &amp; levers'!$C$14="On",'Net zero Activity data'!AD48*ttokg*ONEF*NtoN2O*kgtoGg,"ERROR"))</f>
        <v>4.3602775961816637E-2</v>
      </c>
      <c r="L1118" s="94">
        <f>IF('Net zero activities &amp; levers'!$C$14="Off",'Activity data'!AE48*ttokg*ONEF*NtoN2O*kgtoGg,IF('Net zero activities &amp; levers'!$C$14="On",'Net zero Activity data'!AE48*ttokg*ONEF*NtoN2O*kgtoGg,"ERROR"))</f>
        <v>4.3598439842002956E-2</v>
      </c>
      <c r="M1118" s="94">
        <f>IF('Net zero activities &amp; levers'!$C$14="Off",'Activity data'!AF48*ttokg*ONEF*NtoN2O*kgtoGg,IF('Net zero activities &amp; levers'!$C$14="On",'Net zero Activity data'!AF48*ttokg*ONEF*NtoN2O*kgtoGg,"ERROR"))</f>
        <v>4.3590489865451415E-2</v>
      </c>
      <c r="N1118" s="94">
        <f>IF('Net zero activities &amp; levers'!$C$14="Off",'Activity data'!AG48*ttokg*ONEF*NtoN2O*kgtoGg,IF('Net zero activities &amp; levers'!$C$14="On",'Net zero Activity data'!AG48*ttokg*ONEF*NtoN2O*kgtoGg,"ERROR"))</f>
        <v>4.3580987666975365E-2</v>
      </c>
      <c r="O1118" s="94">
        <f>IF('Net zero activities &amp; levers'!$C$14="Off",'Activity data'!AH48*ttokg*ONEF*NtoN2O*kgtoGg,IF('Net zero activities &amp; levers'!$C$14="On",'Net zero Activity data'!AH48*ttokg*ONEF*NtoN2O*kgtoGg,"ERROR"))</f>
        <v>4.3574568531451807E-2</v>
      </c>
      <c r="P1118" s="94">
        <f>IF('Net zero activities &amp; levers'!$C$14="Off",'Activity data'!AI48*ttokg*ONEF*NtoN2O*kgtoGg,IF('Net zero activities &amp; levers'!$C$14="On",'Net zero Activity data'!AI48*ttokg*ONEF*NtoN2O*kgtoGg,"ERROR"))</f>
        <v>4.3570151054046678E-2</v>
      </c>
      <c r="Q1118" s="94">
        <f>IF('Net zero activities &amp; levers'!$C$14="Off",'Activity data'!AJ48*ttokg*ONEF*NtoN2O*kgtoGg,IF('Net zero activities &amp; levers'!$C$14="On",'Net zero Activity data'!AJ48*ttokg*ONEF*NtoN2O*kgtoGg,"ERROR"))</f>
        <v>4.356773205596657E-2</v>
      </c>
      <c r="R1118" s="94">
        <f>IF('Net zero activities &amp; levers'!$C$14="Off",'Activity data'!AK48*ttokg*ONEF*NtoN2O*kgtoGg,IF('Net zero activities &amp; levers'!$C$14="On",'Net zero Activity data'!AK48*ttokg*ONEF*NtoN2O*kgtoGg,"ERROR"))</f>
        <v>4.3563818561146786E-2</v>
      </c>
      <c r="S1118" s="94">
        <f>IF('Net zero activities &amp; levers'!$C$14="Off",'Activity data'!AL48*ttokg*ONEF*NtoN2O*kgtoGg,IF('Net zero activities &amp; levers'!$C$14="On",'Net zero Activity data'!AL48*ttokg*ONEF*NtoN2O*kgtoGg,"ERROR"))</f>
        <v>4.3559707726078062E-2</v>
      </c>
      <c r="T1118" s="94">
        <f>IF('Net zero activities &amp; levers'!$C$14="Off",'Activity data'!AM48*ttokg*ONEF*NtoN2O*kgtoGg,IF('Net zero activities &amp; levers'!$C$14="On",'Net zero Activity data'!AM48*ttokg*ONEF*NtoN2O*kgtoGg,"ERROR"))</f>
        <v>4.3588282403373507E-2</v>
      </c>
      <c r="U1118" s="94">
        <f>IF('Net zero activities &amp; levers'!$C$14="Off",'Activity data'!AN48*ttokg*ONEF*NtoN2O*kgtoGg,IF('Net zero activities &amp; levers'!$C$14="On",'Net zero Activity data'!AN48*ttokg*ONEF*NtoN2O*kgtoGg,"ERROR"))</f>
        <v>4.3576951577318432E-2</v>
      </c>
      <c r="V1118" s="94">
        <f>IF('Net zero activities &amp; levers'!$C$14="Off",'Activity data'!AO48*ttokg*ONEF*NtoN2O*kgtoGg,IF('Net zero activities &amp; levers'!$C$14="On",'Net zero Activity data'!AO48*ttokg*ONEF*NtoN2O*kgtoGg,"ERROR"))</f>
        <v>4.356148692022592E-2</v>
      </c>
      <c r="W1118" s="94">
        <f>IF('Net zero activities &amp; levers'!$C$14="Off",'Activity data'!AP48*ttokg*ONEF*NtoN2O*kgtoGg,IF('Net zero activities &amp; levers'!$C$14="On",'Net zero Activity data'!AP48*ttokg*ONEF*NtoN2O*kgtoGg,"ERROR"))</f>
        <v>4.3553176710053244E-2</v>
      </c>
      <c r="X1118" s="94">
        <f>IF('Net zero activities &amp; levers'!$C$14="Off",'Activity data'!AQ48*ttokg*ONEF*NtoN2O*kgtoGg,IF('Net zero activities &amp; levers'!$C$14="On",'Net zero Activity data'!AQ48*ttokg*ONEF*NtoN2O*kgtoGg,"ERROR"))</f>
        <v>4.3544087714894535E-2</v>
      </c>
      <c r="Y1118" s="94">
        <f>IF('Net zero activities &amp; levers'!$C$14="Off",'Activity data'!AR48*ttokg*ONEF*NtoN2O*kgtoGg,IF('Net zero activities &amp; levers'!$C$14="On",'Net zero Activity data'!AR48*ttokg*ONEF*NtoN2O*kgtoGg,"ERROR"))</f>
        <v>4.3533982542126072E-2</v>
      </c>
      <c r="Z1118" s="94">
        <f>IF('Net zero activities &amp; levers'!$C$14="Off",'Activity data'!AS48*ttokg*ONEF*NtoN2O*kgtoGg,IF('Net zero activities &amp; levers'!$C$14="On",'Net zero Activity data'!AS48*ttokg*ONEF*NtoN2O*kgtoGg,"ERROR"))</f>
        <v>4.3523374986501467E-2</v>
      </c>
      <c r="AA1118" s="94">
        <f>IF('Net zero activities &amp; levers'!$C$14="Off",'Activity data'!AT48*ttokg*ONEF*NtoN2O*kgtoGg,IF('Net zero activities &amp; levers'!$C$14="On",'Net zero Activity data'!AT48*ttokg*ONEF*NtoN2O*kgtoGg,"ERROR"))</f>
        <v>4.3512054176058558E-2</v>
      </c>
      <c r="AB1118" s="94">
        <f>IF('Net zero activities &amp; levers'!$C$14="Off",'Activity data'!AU48*ttokg*ONEF*NtoN2O*kgtoGg,IF('Net zero activities &amp; levers'!$C$14="On",'Net zero Activity data'!AU48*ttokg*ONEF*NtoN2O*kgtoGg,"ERROR"))</f>
        <v>4.3500708936344119E-2</v>
      </c>
      <c r="AC1118" s="94">
        <f>IF('Net zero activities &amp; levers'!$C$14="Off",'Activity data'!AV48*ttokg*ONEF*NtoN2O*kgtoGg,IF('Net zero activities &amp; levers'!$C$14="On",'Net zero Activity data'!AV48*ttokg*ONEF*NtoN2O*kgtoGg,"ERROR"))</f>
        <v>4.3488759970005758E-2</v>
      </c>
      <c r="AD1118" s="94">
        <f>IF('Net zero activities &amp; levers'!$C$14="Off",'Activity data'!AW48*ttokg*ONEF*NtoN2O*kgtoGg,IF('Net zero activities &amp; levers'!$C$14="On",'Net zero Activity data'!AW48*ttokg*ONEF*NtoN2O*kgtoGg,"ERROR"))</f>
        <v>4.3476864302717751E-2</v>
      </c>
      <c r="AE1118" s="94">
        <f>IF('Net zero activities &amp; levers'!$C$14="Off",'Activity data'!AX48*ttokg*ONEF*NtoN2O*kgtoGg,IF('Net zero activities &amp; levers'!$C$14="On",'Net zero Activity data'!AX48*ttokg*ONEF*NtoN2O*kgtoGg,"ERROR"))</f>
        <v>4.3463967416482306E-2</v>
      </c>
      <c r="AF1118" s="94">
        <f>IF('Net zero activities &amp; levers'!$C$14="Off",'Activity data'!AY48*ttokg*ONEF*NtoN2O*kgtoGg,IF('Net zero activities &amp; levers'!$C$14="On",'Net zero Activity data'!AY48*ttokg*ONEF*NtoN2O*kgtoGg,"ERROR"))</f>
        <v>4.3451545905502167E-2</v>
      </c>
      <c r="AG1118" s="94">
        <f>IF('Net zero activities &amp; levers'!$C$14="Off",'Activity data'!AZ48*ttokg*ONEF*NtoN2O*kgtoGg,IF('Net zero activities &amp; levers'!$C$14="On",'Net zero Activity data'!AZ48*ttokg*ONEF*NtoN2O*kgtoGg,"ERROR"))</f>
        <v>4.3438809983972274E-2</v>
      </c>
      <c r="AH1118" s="94">
        <f>IF('Net zero activities &amp; levers'!$C$14="Off",'Activity data'!BA48*ttokg*ONEF*NtoN2O*kgtoGg,IF('Net zero activities &amp; levers'!$C$14="On",'Net zero Activity data'!BA48*ttokg*ONEF*NtoN2O*kgtoGg,"ERROR"))</f>
        <v>4.342488663546161E-2</v>
      </c>
      <c r="AI1118" s="94">
        <f>IF('Net zero activities &amp; levers'!$C$14="Off",'Activity data'!BB48*ttokg*ONEF*NtoN2O*kgtoGg,IF('Net zero activities &amp; levers'!$C$14="On",'Net zero Activity data'!BB48*ttokg*ONEF*NtoN2O*kgtoGg,"ERROR"))</f>
        <v>4.3411939048081889E-2</v>
      </c>
      <c r="AJ1118" s="94">
        <f>IF('Net zero activities &amp; levers'!$C$14="Off",'Activity data'!BC48*ttokg*ONEF*NtoN2O*kgtoGg,IF('Net zero activities &amp; levers'!$C$14="On",'Net zero Activity data'!BC48*ttokg*ONEF*NtoN2O*kgtoGg,"ERROR"))</f>
        <v>4.3398644470041221E-2</v>
      </c>
      <c r="AK1118" s="94">
        <f>IF('Net zero activities &amp; levers'!$C$14="Off",'Activity data'!BD48*ttokg*ONEF*NtoN2O*kgtoGg,IF('Net zero activities &amp; levers'!$C$14="On",'Net zero Activity data'!BD48*ttokg*ONEF*NtoN2O*kgtoGg,"ERROR"))</f>
        <v>4.3384854431518481E-2</v>
      </c>
      <c r="AL1118" s="94">
        <f>IF('Net zero activities &amp; levers'!$C$14="Off",'Activity data'!BE48*ttokg*ONEF*NtoN2O*kgtoGg,IF('Net zero activities &amp; levers'!$C$14="On",'Net zero Activity data'!BE48*ttokg*ONEF*NtoN2O*kgtoGg,"ERROR"))</f>
        <v>4.3372180567031765E-2</v>
      </c>
      <c r="AM1118" s="94">
        <f>IF('Net zero activities &amp; levers'!$C$14="Off",'Activity data'!BF48*ttokg*ONEF*NtoN2O*kgtoGg,IF('Net zero activities &amp; levers'!$C$14="On",'Net zero Activity data'!BF48*ttokg*ONEF*NtoN2O*kgtoGg,"ERROR"))</f>
        <v>4.3359858994794151E-2</v>
      </c>
      <c r="AN1118" s="94">
        <f>IF('Net zero activities &amp; levers'!$C$14="Off",'Activity data'!BG48*ttokg*ONEF*NtoN2O*kgtoGg,IF('Net zero activities &amp; levers'!$C$14="On",'Net zero Activity data'!BG48*ttokg*ONEF*NtoN2O*kgtoGg,"ERROR"))</f>
        <v>4.3347842073940955E-2</v>
      </c>
      <c r="AO1118" s="94">
        <f>IF('Net zero activities &amp; levers'!$C$14="Off",'Activity data'!BH48*ttokg*ONEF*NtoN2O*kgtoGg,IF('Net zero activities &amp; levers'!$C$14="On",'Net zero Activity data'!BH48*ttokg*ONEF*NtoN2O*kgtoGg,"ERROR"))</f>
        <v>4.3335162461310681E-2</v>
      </c>
      <c r="AP1118" s="94">
        <f>IF('Net zero activities &amp; levers'!$C$14="Off",'Activity data'!BI48*ttokg*ONEF*NtoN2O*kgtoGg,IF('Net zero activities &amp; levers'!$C$14="On",'Net zero Activity data'!BI48*ttokg*ONEF*NtoN2O*kgtoGg,"ERROR"))</f>
        <v>4.3323215707468173E-2</v>
      </c>
      <c r="AQ1118" s="94">
        <f>IF('Net zero activities &amp; levers'!$C$14="Off",'Activity data'!BJ48*ttokg*ONEF*NtoN2O*kgtoGg,IF('Net zero activities &amp; levers'!$C$14="On",'Net zero Activity data'!BJ48*ttokg*ONEF*NtoN2O*kgtoGg,"ERROR"))</f>
        <v>4.3311116401376547E-2</v>
      </c>
      <c r="AR1118" s="94">
        <f>IF('Net zero activities &amp; levers'!$C$14="Off",'Activity data'!BK48*ttokg*ONEF*NtoN2O*kgtoGg,IF('Net zero activities &amp; levers'!$C$14="On",'Net zero Activity data'!BK48*ttokg*ONEF*NtoN2O*kgtoGg,"ERROR"))</f>
        <v>4.32988290810093E-2</v>
      </c>
      <c r="AS1118" s="94">
        <f>IF('Net zero activities &amp; levers'!$C$14="Off",'Activity data'!BL48*ttokg*ONEF*NtoN2O*kgtoGg,IF('Net zero activities &amp; levers'!$C$14="On",'Net zero Activity data'!BL48*ttokg*ONEF*NtoN2O*kgtoGg,"ERROR"))</f>
        <v>4.3286293057431681E-2</v>
      </c>
      <c r="AT1118" s="94">
        <f>IF('Net zero activities &amp; levers'!$C$14="Off",'Activity data'!BM48*ttokg*ONEF*NtoN2O*kgtoGg,IF('Net zero activities &amp; levers'!$C$14="On",'Net zero Activity data'!BM48*ttokg*ONEF*NtoN2O*kgtoGg,"ERROR"))</f>
        <v>4.3273560631175802E-2</v>
      </c>
      <c r="AU1118" s="94">
        <f>IF('Net zero activities &amp; levers'!$C$14="Off",'Activity data'!BN48*ttokg*ONEF*NtoN2O*kgtoGg,IF('Net zero activities &amp; levers'!$C$14="On",'Net zero Activity data'!BN48*ttokg*ONEF*NtoN2O*kgtoGg,"ERROR"))</f>
        <v>4.326964840938486E-2</v>
      </c>
      <c r="AV1118" s="94">
        <f>IF('Net zero activities &amp; levers'!$C$14="Off",'Activity data'!BO48*ttokg*ONEF*NtoN2O*kgtoGg,IF('Net zero activities &amp; levers'!$C$14="On",'Net zero Activity data'!BO48*ttokg*ONEF*NtoN2O*kgtoGg,"ERROR"))</f>
        <v>4.3266558381157602E-2</v>
      </c>
      <c r="AW1118" s="94">
        <f>IF('Net zero activities &amp; levers'!$C$14="Off",'Activity data'!BP48*ttokg*ONEF*NtoN2O*kgtoGg,IF('Net zero activities &amp; levers'!$C$14="On",'Net zero Activity data'!BP48*ttokg*ONEF*NtoN2O*kgtoGg,"ERROR"))</f>
        <v>4.326463329384897E-2</v>
      </c>
      <c r="AY1118" s="79"/>
    </row>
    <row r="1119" spans="1:51" x14ac:dyDescent="0.3">
      <c r="A1119" s="95" t="str">
        <f t="shared" si="374"/>
        <v>CM Crop residues</v>
      </c>
      <c r="B1119" s="95" t="s">
        <v>1322</v>
      </c>
      <c r="C1119" s="95" t="s">
        <v>58</v>
      </c>
      <c r="D1119" t="s">
        <v>369</v>
      </c>
      <c r="E1119" t="s">
        <v>55</v>
      </c>
      <c r="H1119" t="s">
        <v>58</v>
      </c>
      <c r="I1119" t="s">
        <v>139</v>
      </c>
      <c r="J1119" t="s">
        <v>287</v>
      </c>
      <c r="K1119" s="22">
        <f>K1465</f>
        <v>2.94930909510781</v>
      </c>
      <c r="L1119" s="22">
        <f t="shared" ref="L1119:AW1119" si="376">L1465</f>
        <v>2.9542138952234782</v>
      </c>
      <c r="M1119" s="22">
        <f t="shared" si="376"/>
        <v>2.9632065078783478</v>
      </c>
      <c r="N1119" s="22">
        <f t="shared" si="376"/>
        <v>2.9739549157146588</v>
      </c>
      <c r="O1119" s="22">
        <f t="shared" si="376"/>
        <v>2.9812159181802835</v>
      </c>
      <c r="P1119" s="22">
        <f t="shared" si="376"/>
        <v>2.9862127459015309</v>
      </c>
      <c r="Q1119" s="22">
        <f t="shared" si="376"/>
        <v>2.9889489945692191</v>
      </c>
      <c r="R1119" s="22">
        <f t="shared" si="376"/>
        <v>2.993375742599615</v>
      </c>
      <c r="S1119" s="22">
        <f t="shared" si="376"/>
        <v>2.9980257119701434</v>
      </c>
      <c r="T1119" s="22">
        <f t="shared" si="376"/>
        <v>2.9657034776855355</v>
      </c>
      <c r="U1119" s="22">
        <f t="shared" si="376"/>
        <v>2.9785203368438653</v>
      </c>
      <c r="V1119" s="22">
        <f t="shared" si="376"/>
        <v>2.9960131772531153</v>
      </c>
      <c r="W1119" s="22">
        <f t="shared" si="376"/>
        <v>3.0054132680180357</v>
      </c>
      <c r="X1119" s="22">
        <f t="shared" si="376"/>
        <v>3.0156942810945373</v>
      </c>
      <c r="Y1119" s="22">
        <f t="shared" si="376"/>
        <v>3.0271247430497872</v>
      </c>
      <c r="Z1119" s="22">
        <f t="shared" si="376"/>
        <v>3.0391234751628531</v>
      </c>
      <c r="AA1119" s="22">
        <f t="shared" si="376"/>
        <v>3.0519290051656554</v>
      </c>
      <c r="AB1119" s="22">
        <f t="shared" si="376"/>
        <v>3.0647621683287483</v>
      </c>
      <c r="AC1119" s="22">
        <f t="shared" si="376"/>
        <v>3.078278236610247</v>
      </c>
      <c r="AD1119" s="22">
        <f t="shared" si="376"/>
        <v>3.0917340156932256</v>
      </c>
      <c r="AE1119" s="22">
        <f t="shared" si="376"/>
        <v>3.1063223231702981</v>
      </c>
      <c r="AF1119" s="22">
        <f t="shared" si="376"/>
        <v>3.1203729101259317</v>
      </c>
      <c r="AG1119" s="22">
        <f t="shared" si="376"/>
        <v>3.1347791424435716</v>
      </c>
      <c r="AH1119" s="22">
        <f t="shared" si="376"/>
        <v>3.1505285322943979</v>
      </c>
      <c r="AI1119" s="22">
        <f t="shared" si="376"/>
        <v>3.165174190349632</v>
      </c>
      <c r="AJ1119" s="22">
        <f t="shared" si="376"/>
        <v>3.1802123467460328</v>
      </c>
      <c r="AK1119" s="22">
        <f t="shared" si="376"/>
        <v>3.1958109430597368</v>
      </c>
      <c r="AL1119" s="22">
        <f t="shared" si="376"/>
        <v>3.2101469795788988</v>
      </c>
      <c r="AM1119" s="22">
        <f t="shared" si="376"/>
        <v>3.2240845208676738</v>
      </c>
      <c r="AN1119" s="22">
        <f t="shared" si="376"/>
        <v>3.2376774558702412</v>
      </c>
      <c r="AO1119" s="22">
        <f t="shared" si="376"/>
        <v>3.2520199943996095</v>
      </c>
      <c r="AP1119" s="22">
        <f t="shared" si="376"/>
        <v>3.2655335600173556</v>
      </c>
      <c r="AQ1119" s="22">
        <f t="shared" si="376"/>
        <v>3.2792196850479614</v>
      </c>
      <c r="AR1119" s="22">
        <f t="shared" si="376"/>
        <v>3.2931184823478818</v>
      </c>
      <c r="AS1119" s="22">
        <f t="shared" si="376"/>
        <v>3.3072986001803124</v>
      </c>
      <c r="AT1119" s="22">
        <f t="shared" si="376"/>
        <v>3.3217008788202178</v>
      </c>
      <c r="AU1119" s="22">
        <f t="shared" si="376"/>
        <v>3.3261261868645517</v>
      </c>
      <c r="AV1119" s="22">
        <f t="shared" si="376"/>
        <v>3.3296214710028345</v>
      </c>
      <c r="AW1119" s="22">
        <f t="shared" si="376"/>
        <v>3.3317990327077256</v>
      </c>
      <c r="AY1119" s="79"/>
    </row>
    <row r="1120" spans="1:51" x14ac:dyDescent="0.3">
      <c r="A1120" s="95" t="str">
        <f t="shared" si="374"/>
        <v>CM Organic</v>
      </c>
      <c r="B1120" s="95" t="s">
        <v>1322</v>
      </c>
      <c r="C1120" s="95" t="s">
        <v>1127</v>
      </c>
      <c r="D1120" t="s">
        <v>369</v>
      </c>
      <c r="E1120" t="s">
        <v>55</v>
      </c>
      <c r="F1120" t="s">
        <v>421</v>
      </c>
      <c r="G1120" t="s">
        <v>1152</v>
      </c>
      <c r="H1120" t="s">
        <v>1153</v>
      </c>
      <c r="I1120" t="s">
        <v>139</v>
      </c>
      <c r="J1120" t="s">
        <v>287</v>
      </c>
      <c r="K1120" s="94">
        <f>IF('Net zero activities &amp; levers'!$C$14="Off",'Activity data'!AD50*ManureNEF*NtoN2O*kgtoGg,IF('Net zero activities &amp; levers'!$C$14="On",'Net zero Activity data'!AD50*ManureNEF*NtoN2O*kgtoGg,"ERROR"))</f>
        <v>0.31878106382562998</v>
      </c>
      <c r="L1120" s="94">
        <f>IF('Net zero activities &amp; levers'!$C$14="Off",'Activity data'!AE50*ManureNEF*NtoN2O*kgtoGg,IF('Net zero activities &amp; levers'!$C$14="On",'Net zero Activity data'!AE50*ManureNEF*NtoN2O*kgtoGg,"ERROR"))</f>
        <v>0.32056321299147905</v>
      </c>
      <c r="M1120" s="94">
        <f>IF('Net zero activities &amp; levers'!$C$14="Off",'Activity data'!AF50*ManureNEF*NtoN2O*kgtoGg,IF('Net zero activities &amp; levers'!$C$14="On",'Net zero Activity data'!AF50*ManureNEF*NtoN2O*kgtoGg,"ERROR"))</f>
        <v>0.32309177745176459</v>
      </c>
      <c r="N1120" s="94">
        <f>IF('Net zero activities &amp; levers'!$C$14="Off",'Activity data'!AG50*ManureNEF*NtoN2O*kgtoGg,IF('Net zero activities &amp; levers'!$C$14="On",'Net zero Activity data'!AG50*ManureNEF*NtoN2O*kgtoGg,"ERROR"))</f>
        <v>0.32471664946511047</v>
      </c>
      <c r="O1120" s="94">
        <f>IF('Net zero activities &amp; levers'!$C$14="Off",'Activity data'!AH50*ManureNEF*NtoN2O*kgtoGg,IF('Net zero activities &amp; levers'!$C$14="On",'Net zero Activity data'!AH50*ManureNEF*NtoN2O*kgtoGg,"ERROR"))</f>
        <v>0.32579638434951874</v>
      </c>
      <c r="P1120" s="94">
        <f>IF('Net zero activities &amp; levers'!$C$14="Off",'Activity data'!AI50*ManureNEF*NtoN2O*kgtoGg,IF('Net zero activities &amp; levers'!$C$14="On",'Net zero Activity data'!AI50*ManureNEF*NtoN2O*kgtoGg,"ERROR"))</f>
        <v>0.32632035510276458</v>
      </c>
      <c r="Q1120" s="94">
        <f>IF('Net zero activities &amp; levers'!$C$14="Off",'Activity data'!AJ50*ManureNEF*NtoN2O*kgtoGg,IF('Net zero activities &amp; levers'!$C$14="On",'Net zero Activity data'!AJ50*ManureNEF*NtoN2O*kgtoGg,"ERROR"))</f>
        <v>0.32747800149861978</v>
      </c>
      <c r="R1120" s="94">
        <f>IF('Net zero activities &amp; levers'!$C$14="Off",'Activity data'!AK50*ManureNEF*NtoN2O*kgtoGg,IF('Net zero activities &amp; levers'!$C$14="On",'Net zero Activity data'!AK50*ManureNEF*NtoN2O*kgtoGg,"ERROR"))</f>
        <v>0.32880601635823298</v>
      </c>
      <c r="S1120" s="94">
        <f>IF('Net zero activities &amp; levers'!$C$14="Off",'Activity data'!AL50*ManureNEF*NtoN2O*kgtoGg,IF('Net zero activities &amp; levers'!$C$14="On",'Net zero Activity data'!AL50*ManureNEF*NtoN2O*kgtoGg,"ERROR"))</f>
        <v>0.31892223916812396</v>
      </c>
      <c r="T1120" s="94">
        <f>IF('Net zero activities &amp; levers'!$C$14="Off",'Activity data'!AM50*ManureNEF*NtoN2O*kgtoGg,IF('Net zero activities &amp; levers'!$C$14="On",'Net zero Activity data'!AM50*ManureNEF*NtoN2O*kgtoGg,"ERROR"))</f>
        <v>0.32227574446012153</v>
      </c>
      <c r="U1120" s="94">
        <f>IF('Net zero activities &amp; levers'!$C$14="Off",'Activity data'!AN50*ManureNEF*NtoN2O*kgtoGg,IF('Net zero activities &amp; levers'!$C$14="On",'Net zero Activity data'!AN50*ManureNEF*NtoN2O*kgtoGg,"ERROR"))</f>
        <v>0.32718438885789924</v>
      </c>
      <c r="V1120" s="94">
        <f>IF('Net zero activities &amp; levers'!$C$14="Off",'Activity data'!AO50*ManureNEF*NtoN2O*kgtoGg,IF('Net zero activities &amp; levers'!$C$14="On",'Net zero Activity data'!AO50*ManureNEF*NtoN2O*kgtoGg,"ERROR"))</f>
        <v>0.3297286573308299</v>
      </c>
      <c r="W1120" s="94">
        <f>IF('Net zero activities &amp; levers'!$C$14="Off",'Activity data'!AP50*ManureNEF*NtoN2O*kgtoGg,IF('Net zero activities &amp; levers'!$C$14="On",'Net zero Activity data'!AP50*ManureNEF*NtoN2O*kgtoGg,"ERROR"))</f>
        <v>0.33263641751266398</v>
      </c>
      <c r="X1120" s="94">
        <f>IF('Net zero activities &amp; levers'!$C$14="Off",'Activity data'!AQ50*ManureNEF*NtoN2O*kgtoGg,IF('Net zero activities &amp; levers'!$C$14="On",'Net zero Activity data'!AQ50*ManureNEF*NtoN2O*kgtoGg,"ERROR"))</f>
        <v>0.3360018452717824</v>
      </c>
      <c r="Y1120" s="94">
        <f>IF('Net zero activities &amp; levers'!$C$14="Off",'Activity data'!AR50*ManureNEF*NtoN2O*kgtoGg,IF('Net zero activities &amp; levers'!$C$14="On",'Net zero Activity data'!AR50*ManureNEF*NtoN2O*kgtoGg,"ERROR"))</f>
        <v>0.33943858200235472</v>
      </c>
      <c r="Z1120" s="94">
        <f>IF('Net zero activities &amp; levers'!$C$14="Off",'Activity data'!AS50*ManureNEF*NtoN2O*kgtoGg,IF('Net zero activities &amp; levers'!$C$14="On",'Net zero Activity data'!AS50*ManureNEF*NtoN2O*kgtoGg,"ERROR"))</f>
        <v>0.34324260633991188</v>
      </c>
      <c r="AA1120" s="94">
        <f>IF('Net zero activities &amp; levers'!$C$14="Off",'Activity data'!AT50*ManureNEF*NtoN2O*kgtoGg,IF('Net zero activities &amp; levers'!$C$14="On",'Net zero Activity data'!AT50*ManureNEF*NtoN2O*kgtoGg,"ERROR"))</f>
        <v>0.34716446895122904</v>
      </c>
      <c r="AB1120" s="94">
        <f>IF('Net zero activities &amp; levers'!$C$14="Off",'Activity data'!AU50*ManureNEF*NtoN2O*kgtoGg,IF('Net zero activities &amp; levers'!$C$14="On",'Net zero Activity data'!AU50*ManureNEF*NtoN2O*kgtoGg,"ERROR"))</f>
        <v>0.35142933015547478</v>
      </c>
      <c r="AC1120" s="94">
        <f>IF('Net zero activities &amp; levers'!$C$14="Off",'Activity data'!AV50*ManureNEF*NtoN2O*kgtoGg,IF('Net zero activities &amp; levers'!$C$14="On",'Net zero Activity data'!AV50*ManureNEF*NtoN2O*kgtoGg,"ERROR"))</f>
        <v>0.3557903986539287</v>
      </c>
      <c r="AD1120" s="94">
        <f>IF('Net zero activities &amp; levers'!$C$14="Off",'Activity data'!AW50*ManureNEF*NtoN2O*kgtoGg,IF('Net zero activities &amp; levers'!$C$14="On",'Net zero Activity data'!AW50*ManureNEF*NtoN2O*kgtoGg,"ERROR"))</f>
        <v>0.36050179142942168</v>
      </c>
      <c r="AE1120" s="94">
        <f>IF('Net zero activities &amp; levers'!$C$14="Off",'Activity data'!AX50*ManureNEF*NtoN2O*kgtoGg,IF('Net zero activities &amp; levers'!$C$14="On",'Net zero Activity data'!AX50*ManureNEF*NtoN2O*kgtoGg,"ERROR"))</f>
        <v>0.36514941854093586</v>
      </c>
      <c r="AF1120" s="94">
        <f>IF('Net zero activities &amp; levers'!$C$14="Off",'Activity data'!AY50*ManureNEF*NtoN2O*kgtoGg,IF('Net zero activities &amp; levers'!$C$14="On",'Net zero Activity data'!AY50*ManureNEF*NtoN2O*kgtoGg,"ERROR"))</f>
        <v>0.37005495430435736</v>
      </c>
      <c r="AG1120" s="94">
        <f>IF('Net zero activities &amp; levers'!$C$14="Off",'Activity data'!AZ50*ManureNEF*NtoN2O*kgtoGg,IF('Net zero activities &amp; levers'!$C$14="On",'Net zero Activity data'!AZ50*ManureNEF*NtoN2O*kgtoGg,"ERROR"))</f>
        <v>0.37560392620070809</v>
      </c>
      <c r="AH1120" s="94">
        <f>IF('Net zero activities &amp; levers'!$C$14="Off",'Activity data'!BA50*ManureNEF*NtoN2O*kgtoGg,IF('Net zero activities &amp; levers'!$C$14="On",'Net zero Activity data'!BA50*ManureNEF*NtoN2O*kgtoGg,"ERROR"))</f>
        <v>0.38087972226770728</v>
      </c>
      <c r="AI1120" s="94">
        <f>IF('Net zero activities &amp; levers'!$C$14="Off",'Activity data'!BB50*ManureNEF*NtoN2O*kgtoGg,IF('Net zero activities &amp; levers'!$C$14="On",'Net zero Activity data'!BB50*ManureNEF*NtoN2O*kgtoGg,"ERROR"))</f>
        <v>0.38629002318967742</v>
      </c>
      <c r="AJ1120" s="94">
        <f>IF('Net zero activities &amp; levers'!$C$14="Off",'Activity data'!BC50*ManureNEF*NtoN2O*kgtoGg,IF('Net zero activities &amp; levers'!$C$14="On",'Net zero Activity data'!BC50*ManureNEF*NtoN2O*kgtoGg,"ERROR"))</f>
        <v>0.39207609513939878</v>
      </c>
      <c r="AK1120" s="94">
        <f>IF('Net zero activities &amp; levers'!$C$14="Off",'Activity data'!BD50*ManureNEF*NtoN2O*kgtoGg,IF('Net zero activities &amp; levers'!$C$14="On",'Net zero Activity data'!BD50*ManureNEF*NtoN2O*kgtoGg,"ERROR"))</f>
        <v>0.39749694724838469</v>
      </c>
      <c r="AL1120" s="94">
        <f>IF('Net zero activities &amp; levers'!$C$14="Off",'Activity data'!BE50*ManureNEF*NtoN2O*kgtoGg,IF('Net zero activities &amp; levers'!$C$14="On",'Net zero Activity data'!BE50*ManureNEF*NtoN2O*kgtoGg,"ERROR"))</f>
        <v>0.4028883818835427</v>
      </c>
      <c r="AM1120" s="94">
        <f>IF('Net zero activities &amp; levers'!$C$14="Off",'Activity data'!BF50*ManureNEF*NtoN2O*kgtoGg,IF('Net zero activities &amp; levers'!$C$14="On",'Net zero Activity data'!BF50*ManureNEF*NtoN2O*kgtoGg,"ERROR"))</f>
        <v>0.40826539528750555</v>
      </c>
      <c r="AN1120" s="94">
        <f>IF('Net zero activities &amp; levers'!$C$14="Off",'Activity data'!BG50*ManureNEF*NtoN2O*kgtoGg,IF('Net zero activities &amp; levers'!$C$14="On",'Net zero Activity data'!BG50*ManureNEF*NtoN2O*kgtoGg,"ERROR"))</f>
        <v>0.41395411425770406</v>
      </c>
      <c r="AO1120" s="94">
        <f>IF('Net zero activities &amp; levers'!$C$14="Off",'Activity data'!BH50*ManureNEF*NtoN2O*kgtoGg,IF('Net zero activities &amp; levers'!$C$14="On",'Net zero Activity data'!BH50*ManureNEF*NtoN2O*kgtoGg,"ERROR"))</f>
        <v>0.41941402149436835</v>
      </c>
      <c r="AP1120" s="94">
        <f>IF('Net zero activities &amp; levers'!$C$14="Off",'Activity data'!BI50*ManureNEF*NtoN2O*kgtoGg,IF('Net zero activities &amp; levers'!$C$14="On",'Net zero Activity data'!BI50*ManureNEF*NtoN2O*kgtoGg,"ERROR"))</f>
        <v>0.4250859445304776</v>
      </c>
      <c r="AQ1120" s="94">
        <f>IF('Net zero activities &amp; levers'!$C$14="Off",'Activity data'!BJ50*ManureNEF*NtoN2O*kgtoGg,IF('Net zero activities &amp; levers'!$C$14="On",'Net zero Activity data'!BJ50*ManureNEF*NtoN2O*kgtoGg,"ERROR"))</f>
        <v>0.43099575197279355</v>
      </c>
      <c r="AR1120" s="94">
        <f>IF('Net zero activities &amp; levers'!$C$14="Off",'Activity data'!BK50*ManureNEF*NtoN2O*kgtoGg,IF('Net zero activities &amp; levers'!$C$14="On",'Net zero Activity data'!BK50*ManureNEF*NtoN2O*kgtoGg,"ERROR"))</f>
        <v>0.43718504328373597</v>
      </c>
      <c r="AS1120" s="94">
        <f>IF('Net zero activities &amp; levers'!$C$14="Off",'Activity data'!BL50*ManureNEF*NtoN2O*kgtoGg,IF('Net zero activities &amp; levers'!$C$14="On",'Net zero Activity data'!BL50*ManureNEF*NtoN2O*kgtoGg,"ERROR"))</f>
        <v>0.44348381500621098</v>
      </c>
      <c r="AT1120" s="94">
        <f>IF('Net zero activities &amp; levers'!$C$14="Off",'Activity data'!BM50*ManureNEF*NtoN2O*kgtoGg,IF('Net zero activities &amp; levers'!$C$14="On",'Net zero Activity data'!BM50*ManureNEF*NtoN2O*kgtoGg,"ERROR"))</f>
        <v>0.44497720344404595</v>
      </c>
      <c r="AU1120" s="94">
        <f>IF('Net zero activities &amp; levers'!$C$14="Off",'Activity data'!BN50*ManureNEF*NtoN2O*kgtoGg,IF('Net zero activities &amp; levers'!$C$14="On",'Net zero Activity data'!BN50*ManureNEF*NtoN2O*kgtoGg,"ERROR"))</f>
        <v>0.44604004342695891</v>
      </c>
      <c r="AV1120" s="94">
        <f>IF('Net zero activities &amp; levers'!$C$14="Off",'Activity data'!BO50*ManureNEF*NtoN2O*kgtoGg,IF('Net zero activities &amp; levers'!$C$14="On",'Net zero Activity data'!BO50*ManureNEF*NtoN2O*kgtoGg,"ERROR"))</f>
        <v>0.44647550838656064</v>
      </c>
      <c r="AW1120" s="94">
        <f>IF('Net zero activities &amp; levers'!$C$14="Off",'Activity data'!BP50*ManureNEF*NtoN2O*kgtoGg,IF('Net zero activities &amp; levers'!$C$14="On",'Net zero Activity data'!BP50*ManureNEF*NtoN2O*kgtoGg,"ERROR"))</f>
        <v>0.44673845388478889</v>
      </c>
      <c r="AY1120" s="79"/>
    </row>
    <row r="1121" spans="1:51" x14ac:dyDescent="0.3">
      <c r="A1121" s="95" t="str">
        <f t="shared" si="374"/>
        <v>CM Organic</v>
      </c>
      <c r="B1121" s="95" t="s">
        <v>1322</v>
      </c>
      <c r="C1121" s="95" t="s">
        <v>1127</v>
      </c>
      <c r="D1121" t="s">
        <v>369</v>
      </c>
      <c r="E1121" t="s">
        <v>55</v>
      </c>
      <c r="F1121" t="s">
        <v>421</v>
      </c>
      <c r="G1121" t="s">
        <v>1154</v>
      </c>
      <c r="H1121" t="s">
        <v>1155</v>
      </c>
      <c r="I1121" t="s">
        <v>139</v>
      </c>
      <c r="J1121" t="s">
        <v>287</v>
      </c>
      <c r="K1121" s="94">
        <f>IF('Net zero activities &amp; levers'!$C$14="Off",'Activity data'!AD51*ManureNEF*NtoN2O*kgtoGg,IF('Net zero activities &amp; levers'!$C$14="On",'Net zero Activity data'!AD51*ManureNEF*NtoN2O*kgtoGg,"ERROR"))</f>
        <v>0.93210651077804862</v>
      </c>
      <c r="L1121" s="94">
        <f>IF('Net zero activities &amp; levers'!$C$14="Off",'Activity data'!AE51*ManureNEF*NtoN2O*kgtoGg,IF('Net zero activities &amp; levers'!$C$14="On",'Net zero Activity data'!AE51*ManureNEF*NtoN2O*kgtoGg,"ERROR"))</f>
        <v>0.93731746283627471</v>
      </c>
      <c r="M1121" s="94">
        <f>IF('Net zero activities &amp; levers'!$C$14="Off",'Activity data'!AF51*ManureNEF*NtoN2O*kgtoGg,IF('Net zero activities &amp; levers'!$C$14="On",'Net zero Activity data'!AF51*ManureNEF*NtoN2O*kgtoGg,"ERROR"))</f>
        <v>0.94471091139331731</v>
      </c>
      <c r="N1121" s="94">
        <f>IF('Net zero activities &amp; levers'!$C$14="Off",'Activity data'!AG51*ManureNEF*NtoN2O*kgtoGg,IF('Net zero activities &amp; levers'!$C$14="On",'Net zero Activity data'!AG51*ManureNEF*NtoN2O*kgtoGg,"ERROR"))</f>
        <v>0.94946198965576145</v>
      </c>
      <c r="O1121" s="94">
        <f>IF('Net zero activities &amp; levers'!$C$14="Off",'Activity data'!AH51*ManureNEF*NtoN2O*kgtoGg,IF('Net zero activities &amp; levers'!$C$14="On",'Net zero Activity data'!AH51*ManureNEF*NtoN2O*kgtoGg,"ERROR"))</f>
        <v>0.95261910289076079</v>
      </c>
      <c r="P1121" s="94">
        <f>IF('Net zero activities &amp; levers'!$C$14="Off",'Activity data'!AI51*ManureNEF*NtoN2O*kgtoGg,IF('Net zero activities &amp; levers'!$C$14="On",'Net zero Activity data'!AI51*ManureNEF*NtoN2O*kgtoGg,"ERROR"))</f>
        <v>0.95415117805450056</v>
      </c>
      <c r="Q1121" s="94">
        <f>IF('Net zero activities &amp; levers'!$C$14="Off",'Activity data'!AJ51*ManureNEF*NtoN2O*kgtoGg,IF('Net zero activities &amp; levers'!$C$14="On",'Net zero Activity data'!AJ51*ManureNEF*NtoN2O*kgtoGg,"ERROR"))</f>
        <v>0.95753610227115837</v>
      </c>
      <c r="R1121" s="94">
        <f>IF('Net zero activities &amp; levers'!$C$14="Off",'Activity data'!AK51*ManureNEF*NtoN2O*kgtoGg,IF('Net zero activities &amp; levers'!$C$14="On",'Net zero Activity data'!AK51*ManureNEF*NtoN2O*kgtoGg,"ERROR"))</f>
        <v>0.96141917889497119</v>
      </c>
      <c r="S1121" s="94">
        <f>IF('Net zero activities &amp; levers'!$C$14="Off",'Activity data'!AL51*ManureNEF*NtoN2O*kgtoGg,IF('Net zero activities &amp; levers'!$C$14="On",'Net zero Activity data'!AL51*ManureNEF*NtoN2O*kgtoGg,"ERROR"))</f>
        <v>0.93251930335211441</v>
      </c>
      <c r="T1121" s="94">
        <f>IF('Net zero activities &amp; levers'!$C$14="Off",'Activity data'!AM51*ManureNEF*NtoN2O*kgtoGg,IF('Net zero activities &amp; levers'!$C$14="On",'Net zero Activity data'!AM51*ManureNEF*NtoN2O*kgtoGg,"ERROR"))</f>
        <v>0.94232485478320349</v>
      </c>
      <c r="U1121" s="94">
        <f>IF('Net zero activities &amp; levers'!$C$14="Off",'Activity data'!AN51*ManureNEF*NtoN2O*kgtoGg,IF('Net zero activities &amp; levers'!$C$14="On",'Net zero Activity data'!AN51*ManureNEF*NtoN2O*kgtoGg,"ERROR"))</f>
        <v>0.95667758749371812</v>
      </c>
      <c r="V1121" s="94">
        <f>IF('Net zero activities &amp; levers'!$C$14="Off",'Activity data'!AO51*ManureNEF*NtoN2O*kgtoGg,IF('Net zero activities &amp; levers'!$C$14="On",'Net zero Activity data'!AO51*ManureNEF*NtoN2O*kgtoGg,"ERROR"))</f>
        <v>0.96411695412461496</v>
      </c>
      <c r="W1121" s="94">
        <f>IF('Net zero activities &amp; levers'!$C$14="Off",'Activity data'!AP51*ManureNEF*NtoN2O*kgtoGg,IF('Net zero activities &amp; levers'!$C$14="On",'Net zero Activity data'!AP51*ManureNEF*NtoN2O*kgtoGg,"ERROR"))</f>
        <v>0.97261915988534076</v>
      </c>
      <c r="X1121" s="94">
        <f>IF('Net zero activities &amp; levers'!$C$14="Off",'Activity data'!AQ51*ManureNEF*NtoN2O*kgtoGg,IF('Net zero activities &amp; levers'!$C$14="On",'Net zero Activity data'!AQ51*ManureNEF*NtoN2O*kgtoGg,"ERROR"))</f>
        <v>0.98245957226172753</v>
      </c>
      <c r="Y1121" s="94">
        <f>IF('Net zero activities &amp; levers'!$C$14="Off",'Activity data'!AR51*ManureNEF*NtoN2O*kgtoGg,IF('Net zero activities &amp; levers'!$C$14="On",'Net zero Activity data'!AR51*ManureNEF*NtoN2O*kgtoGg,"ERROR"))</f>
        <v>0.99250848998586416</v>
      </c>
      <c r="Z1121" s="94">
        <f>IF('Net zero activities &amp; levers'!$C$14="Off",'Activity data'!AS51*ManureNEF*NtoN2O*kgtoGg,IF('Net zero activities &amp; levers'!$C$14="On",'Net zero Activity data'!AS51*ManureNEF*NtoN2O*kgtoGg,"ERROR"))</f>
        <v>1.0036313459348443</v>
      </c>
      <c r="AA1121" s="94">
        <f>IF('Net zero activities &amp; levers'!$C$14="Off",'Activity data'!AT51*ManureNEF*NtoN2O*kgtoGg,IF('Net zero activities &amp; levers'!$C$14="On",'Net zero Activity data'!AT51*ManureNEF*NtoN2O*kgtoGg,"ERROR"))</f>
        <v>1.0150987575511923</v>
      </c>
      <c r="AB1121" s="94">
        <f>IF('Net zero activities &amp; levers'!$C$14="Off",'Activity data'!AU51*ManureNEF*NtoN2O*kgtoGg,IF('Net zero activities &amp; levers'!$C$14="On",'Net zero Activity data'!AU51*ManureNEF*NtoN2O*kgtoGg,"ERROR"))</f>
        <v>1.0275690870253942</v>
      </c>
      <c r="AC1121" s="94">
        <f>IF('Net zero activities &amp; levers'!$C$14="Off",'Activity data'!AV51*ManureNEF*NtoN2O*kgtoGg,IF('Net zero activities &amp; levers'!$C$14="On",'Net zero Activity data'!AV51*ManureNEF*NtoN2O*kgtoGg,"ERROR"))</f>
        <v>1.0403207238151548</v>
      </c>
      <c r="AD1121" s="94">
        <f>IF('Net zero activities &amp; levers'!$C$14="Off",'Activity data'!AW51*ManureNEF*NtoN2O*kgtoGg,IF('Net zero activities &amp; levers'!$C$14="On",'Net zero Activity data'!AW51*ManureNEF*NtoN2O*kgtoGg,"ERROR"))</f>
        <v>1.054096698548936</v>
      </c>
      <c r="AE1121" s="94">
        <f>IF('Net zero activities &amp; levers'!$C$14="Off",'Activity data'!AX51*ManureNEF*NtoN2O*kgtoGg,IF('Net zero activities &amp; levers'!$C$14="On",'Net zero Activity data'!AX51*ManureNEF*NtoN2O*kgtoGg,"ERROR"))</f>
        <v>1.0676862243454883</v>
      </c>
      <c r="AF1121" s="94">
        <f>IF('Net zero activities &amp; levers'!$C$14="Off",'Activity data'!AY51*ManureNEF*NtoN2O*kgtoGg,IF('Net zero activities &amp; levers'!$C$14="On",'Net zero Activity data'!AY51*ManureNEF*NtoN2O*kgtoGg,"ERROR"))</f>
        <v>1.0820298675000297</v>
      </c>
      <c r="AG1121" s="94">
        <f>IF('Net zero activities &amp; levers'!$C$14="Off",'Activity data'!AZ51*ManureNEF*NtoN2O*kgtoGg,IF('Net zero activities &amp; levers'!$C$14="On",'Net zero Activity data'!AZ51*ManureNEF*NtoN2O*kgtoGg,"ERROR"))</f>
        <v>1.0982548990958272</v>
      </c>
      <c r="AH1121" s="94">
        <f>IF('Net zero activities &amp; levers'!$C$14="Off",'Activity data'!BA51*ManureNEF*NtoN2O*kgtoGg,IF('Net zero activities &amp; levers'!$C$14="On",'Net zero Activity data'!BA51*ManureNEF*NtoN2O*kgtoGg,"ERROR"))</f>
        <v>1.1136811725531401</v>
      </c>
      <c r="AI1121" s="94">
        <f>IF('Net zero activities &amp; levers'!$C$14="Off",'Activity data'!BB51*ManureNEF*NtoN2O*kgtoGg,IF('Net zero activities &amp; levers'!$C$14="On",'Net zero Activity data'!BB51*ManureNEF*NtoN2O*kgtoGg,"ERROR"))</f>
        <v>1.1295007342740186</v>
      </c>
      <c r="AJ1121" s="94">
        <f>IF('Net zero activities &amp; levers'!$C$14="Off",'Activity data'!BC51*ManureNEF*NtoN2O*kgtoGg,IF('Net zero activities &amp; levers'!$C$14="On",'Net zero Activity data'!BC51*ManureNEF*NtoN2O*kgtoGg,"ERROR"))</f>
        <v>1.146419039494041</v>
      </c>
      <c r="AK1121" s="94">
        <f>IF('Net zero activities &amp; levers'!$C$14="Off",'Activity data'!BD51*ManureNEF*NtoN2O*kgtoGg,IF('Net zero activities &amp; levers'!$C$14="On",'Net zero Activity data'!BD51*ManureNEF*NtoN2O*kgtoGg,"ERROR"))</f>
        <v>1.1622694525772803</v>
      </c>
      <c r="AL1121" s="94">
        <f>IF('Net zero activities &amp; levers'!$C$14="Off",'Activity data'!BE51*ManureNEF*NtoN2O*kgtoGg,IF('Net zero activities &amp; levers'!$C$14="On",'Net zero Activity data'!BE51*ManureNEF*NtoN2O*kgtoGg,"ERROR"))</f>
        <v>1.1780338498270926</v>
      </c>
      <c r="AM1121" s="94">
        <f>IF('Net zero activities &amp; levers'!$C$14="Off",'Activity data'!BF51*ManureNEF*NtoN2O*kgtoGg,IF('Net zero activities &amp; levers'!$C$14="On",'Net zero Activity data'!BF51*ManureNEF*NtoN2O*kgtoGg,"ERROR"))</f>
        <v>1.1937560798185081</v>
      </c>
      <c r="AN1121" s="94">
        <f>IF('Net zero activities &amp; levers'!$C$14="Off",'Activity data'!BG51*ManureNEF*NtoN2O*kgtoGg,IF('Net zero activities &amp; levers'!$C$14="On",'Net zero Activity data'!BG51*ManureNEF*NtoN2O*kgtoGg,"ERROR"))</f>
        <v>1.2103897277726068</v>
      </c>
      <c r="AO1121" s="94">
        <f>IF('Net zero activities &amp; levers'!$C$14="Off",'Activity data'!BH51*ManureNEF*NtoN2O*kgtoGg,IF('Net zero activities &amp; levers'!$C$14="On",'Net zero Activity data'!BH51*ManureNEF*NtoN2O*kgtoGg,"ERROR"))</f>
        <v>1.2263543369073659</v>
      </c>
      <c r="AP1121" s="94">
        <f>IF('Net zero activities &amp; levers'!$C$14="Off",'Activity data'!BI51*ManureNEF*NtoN2O*kgtoGg,IF('Net zero activities &amp; levers'!$C$14="On",'Net zero Activity data'!BI51*ManureNEF*NtoN2O*kgtoGg,"ERROR"))</f>
        <v>1.2429388740412319</v>
      </c>
      <c r="AQ1121" s="94">
        <f>IF('Net zero activities &amp; levers'!$C$14="Off",'Activity data'!BJ51*ManureNEF*NtoN2O*kgtoGg,IF('Net zero activities &amp; levers'!$C$14="On",'Net zero Activity data'!BJ51*ManureNEF*NtoN2O*kgtoGg,"ERROR"))</f>
        <v>1.260218978224084</v>
      </c>
      <c r="AR1121" s="94">
        <f>IF('Net zero activities &amp; levers'!$C$14="Off",'Activity data'!BK51*ManureNEF*NtoN2O*kgtoGg,IF('Net zero activities &amp; levers'!$C$14="On",'Net zero Activity data'!BK51*ManureNEF*NtoN2O*kgtoGg,"ERROR"))</f>
        <v>1.2783162850678402</v>
      </c>
      <c r="AS1121" s="94">
        <f>IF('Net zero activities &amp; levers'!$C$14="Off",'Activity data'!BL51*ManureNEF*NtoN2O*kgtoGg,IF('Net zero activities &amp; levers'!$C$14="On",'Net zero Activity data'!BL51*ManureNEF*NtoN2O*kgtoGg,"ERROR"))</f>
        <v>1.2967337094341598</v>
      </c>
      <c r="AT1121" s="94">
        <f>IF('Net zero activities &amp; levers'!$C$14="Off",'Activity data'!BM51*ManureNEF*NtoN2O*kgtoGg,IF('Net zero activities &amp; levers'!$C$14="On",'Net zero Activity data'!BM51*ManureNEF*NtoN2O*kgtoGg,"ERROR"))</f>
        <v>1.3011003335658498</v>
      </c>
      <c r="AU1121" s="94">
        <f>IF('Net zero activities &amp; levers'!$C$14="Off",'Activity data'!BN51*ManureNEF*NtoN2O*kgtoGg,IF('Net zero activities &amp; levers'!$C$14="On",'Net zero Activity data'!BN51*ManureNEF*NtoN2O*kgtoGg,"ERROR"))</f>
        <v>1.3042080466028143</v>
      </c>
      <c r="AV1121" s="94">
        <f>IF('Net zero activities &amp; levers'!$C$14="Off",'Activity data'!BO51*ManureNEF*NtoN2O*kgtoGg,IF('Net zero activities &amp; levers'!$C$14="On",'Net zero Activity data'!BO51*ManureNEF*NtoN2O*kgtoGg,"ERROR"))</f>
        <v>1.3054813334134847</v>
      </c>
      <c r="AW1121" s="94">
        <f>IF('Net zero activities &amp; levers'!$C$14="Off",'Activity data'!BP51*ManureNEF*NtoN2O*kgtoGg,IF('Net zero activities &amp; levers'!$C$14="On",'Net zero Activity data'!BP51*ManureNEF*NtoN2O*kgtoGg,"ERROR"))</f>
        <v>1.3062501783628579</v>
      </c>
      <c r="AY1121" s="79"/>
    </row>
    <row r="1122" spans="1:51" x14ac:dyDescent="0.3">
      <c r="A1122" s="95" t="str">
        <f t="shared" si="374"/>
        <v>CM Organic</v>
      </c>
      <c r="B1122" s="95" t="s">
        <v>1322</v>
      </c>
      <c r="C1122" s="95" t="s">
        <v>1127</v>
      </c>
      <c r="D1122" t="s">
        <v>369</v>
      </c>
      <c r="E1122" t="s">
        <v>55</v>
      </c>
      <c r="F1122" t="s">
        <v>421</v>
      </c>
      <c r="G1122" t="s">
        <v>1156</v>
      </c>
      <c r="H1122" t="s">
        <v>1157</v>
      </c>
      <c r="I1122" t="s">
        <v>139</v>
      </c>
      <c r="J1122" t="s">
        <v>287</v>
      </c>
      <c r="K1122" s="94">
        <f>IF('Net zero activities &amp; levers'!$C$14="Off",'Activity data'!AD52*ManureNEF*NtoN2O*kgtoGg,IF('Net zero activities &amp; levers'!$C$14="On",'Net zero Activity data'!AD52*ManureNEF*NtoN2O*kgtoGg,"ERROR"))</f>
        <v>4.9862442750846919E-2</v>
      </c>
      <c r="L1122" s="94">
        <f>IF('Net zero activities &amp; levers'!$C$14="Off",'Activity data'!AE52*ManureNEF*NtoN2O*kgtoGg,IF('Net zero activities &amp; levers'!$C$14="On",'Net zero Activity data'!AE52*ManureNEF*NtoN2O*kgtoGg,"ERROR"))</f>
        <v>5.0141199304605803E-2</v>
      </c>
      <c r="M1122" s="94">
        <f>IF('Net zero activities &amp; levers'!$C$14="Off",'Activity data'!AF52*ManureNEF*NtoN2O*kgtoGg,IF('Net zero activities &amp; levers'!$C$14="On",'Net zero Activity data'!AF52*ManureNEF*NtoN2O*kgtoGg,"ERROR"))</f>
        <v>5.0536707115294892E-2</v>
      </c>
      <c r="N1122" s="94">
        <f>IF('Net zero activities &amp; levers'!$C$14="Off",'Activity data'!AG52*ManureNEF*NtoN2O*kgtoGg,IF('Net zero activities &amp; levers'!$C$14="On",'Net zero Activity data'!AG52*ManureNEF*NtoN2O*kgtoGg,"ERROR"))</f>
        <v>5.0790863013925151E-2</v>
      </c>
      <c r="O1122" s="94">
        <f>IF('Net zero activities &amp; levers'!$C$14="Off",'Activity data'!AH52*ManureNEF*NtoN2O*kgtoGg,IF('Net zero activities &amp; levers'!$C$14="On",'Net zero Activity data'!AH52*ManureNEF*NtoN2O*kgtoGg,"ERROR"))</f>
        <v>5.0959750770976316E-2</v>
      </c>
      <c r="P1122" s="94">
        <f>IF('Net zero activities &amp; levers'!$C$14="Off",'Activity data'!AI52*ManureNEF*NtoN2O*kgtoGg,IF('Net zero activities &amp; levers'!$C$14="On",'Net zero Activity data'!AI52*ManureNEF*NtoN2O*kgtoGg,"ERROR"))</f>
        <v>5.1041708153806091E-2</v>
      </c>
      <c r="Q1122" s="94">
        <f>IF('Net zero activities &amp; levers'!$C$14="Off",'Activity data'!AJ52*ManureNEF*NtoN2O*kgtoGg,IF('Net zero activities &amp; levers'!$C$14="On",'Net zero Activity data'!AJ52*ManureNEF*NtoN2O*kgtoGg,"ERROR"))</f>
        <v>5.122278251388987E-2</v>
      </c>
      <c r="R1122" s="94">
        <f>IF('Net zero activities &amp; levers'!$C$14="Off",'Activity data'!AK52*ManureNEF*NtoN2O*kgtoGg,IF('Net zero activities &amp; levers'!$C$14="On",'Net zero Activity data'!AK52*ManureNEF*NtoN2O*kgtoGg,"ERROR"))</f>
        <v>5.1430505218981168E-2</v>
      </c>
      <c r="S1122" s="94">
        <f>IF('Net zero activities &amp; levers'!$C$14="Off",'Activity data'!AL52*ManureNEF*NtoN2O*kgtoGg,IF('Net zero activities &amp; levers'!$C$14="On",'Net zero Activity data'!AL52*ManureNEF*NtoN2O*kgtoGg,"ERROR"))</f>
        <v>4.9884524826075798E-2</v>
      </c>
      <c r="T1122" s="94">
        <f>IF('Net zero activities &amp; levers'!$C$14="Off",'Activity data'!AM52*ManureNEF*NtoN2O*kgtoGg,IF('Net zero activities &amp; levers'!$C$14="On",'Net zero Activity data'!AM52*ManureNEF*NtoN2O*kgtoGg,"ERROR"))</f>
        <v>5.0409066540160655E-2</v>
      </c>
      <c r="U1122" s="94">
        <f>IF('Net zero activities &amp; levers'!$C$14="Off",'Activity data'!AN52*ManureNEF*NtoN2O*kgtoGg,IF('Net zero activities &amp; levers'!$C$14="On",'Net zero Activity data'!AN52*ManureNEF*NtoN2O*kgtoGg,"ERROR"))</f>
        <v>5.1176856813934052E-2</v>
      </c>
      <c r="V1122" s="94">
        <f>IF('Net zero activities &amp; levers'!$C$14="Off",'Activity data'!AO52*ManureNEF*NtoN2O*kgtoGg,IF('Net zero activities &amp; levers'!$C$14="On",'Net zero Activity data'!AO52*ManureNEF*NtoN2O*kgtoGg,"ERROR"))</f>
        <v>5.1574820982670536E-2</v>
      </c>
      <c r="W1122" s="94">
        <f>IF('Net zero activities &amp; levers'!$C$14="Off",'Activity data'!AP52*ManureNEF*NtoN2O*kgtoGg,IF('Net zero activities &amp; levers'!$C$14="On",'Net zero Activity data'!AP52*ManureNEF*NtoN2O*kgtoGg,"ERROR"))</f>
        <v>5.2029641052156198E-2</v>
      </c>
      <c r="X1122" s="94">
        <f>IF('Net zero activities &amp; levers'!$C$14="Off",'Activity data'!AQ52*ManureNEF*NtoN2O*kgtoGg,IF('Net zero activities &amp; levers'!$C$14="On",'Net zero Activity data'!AQ52*ManureNEF*NtoN2O*kgtoGg,"ERROR"))</f>
        <v>5.255604763025503E-2</v>
      </c>
      <c r="Y1122" s="94">
        <f>IF('Net zero activities &amp; levers'!$C$14="Off",'Activity data'!AR52*ManureNEF*NtoN2O*kgtoGg,IF('Net zero activities &amp; levers'!$C$14="On",'Net zero Activity data'!AR52*ManureNEF*NtoN2O*kgtoGg,"ERROR"))</f>
        <v>5.3093608068824946E-2</v>
      </c>
      <c r="Z1122" s="94">
        <f>IF('Net zero activities &amp; levers'!$C$14="Off",'Activity data'!AS52*ManureNEF*NtoN2O*kgtoGg,IF('Net zero activities &amp; levers'!$C$14="On",'Net zero Activity data'!AS52*ManureNEF*NtoN2O*kgtoGg,"ERROR"))</f>
        <v>5.3688618147146365E-2</v>
      </c>
      <c r="AA1122" s="94">
        <f>IF('Net zero activities &amp; levers'!$C$14="Off",'Activity data'!AT52*ManureNEF*NtoN2O*kgtoGg,IF('Net zero activities &amp; levers'!$C$14="On",'Net zero Activity data'!AT52*ManureNEF*NtoN2O*kgtoGg,"ERROR"))</f>
        <v>5.4302060010934287E-2</v>
      </c>
      <c r="AB1122" s="94">
        <f>IF('Net zero activities &amp; levers'!$C$14="Off",'Activity data'!AU52*ManureNEF*NtoN2O*kgtoGg,IF('Net zero activities &amp; levers'!$C$14="On",'Net zero Activity data'!AU52*ManureNEF*NtoN2O*kgtoGg,"ERROR"))</f>
        <v>5.4969152325279956E-2</v>
      </c>
      <c r="AC1122" s="94">
        <f>IF('Net zero activities &amp; levers'!$C$14="Off",'Activity data'!AV52*ManureNEF*NtoN2O*kgtoGg,IF('Net zero activities &amp; levers'!$C$14="On",'Net zero Activity data'!AV52*ManureNEF*NtoN2O*kgtoGg,"ERROR"))</f>
        <v>5.5651292994888926E-2</v>
      </c>
      <c r="AD1122" s="94">
        <f>IF('Net zero activities &amp; levers'!$C$14="Off",'Activity data'!AW52*ManureNEF*NtoN2O*kgtoGg,IF('Net zero activities &amp; levers'!$C$14="On",'Net zero Activity data'!AW52*ManureNEF*NtoN2O*kgtoGg,"ERROR"))</f>
        <v>5.6388229968890861E-2</v>
      </c>
      <c r="AE1122" s="94">
        <f>IF('Net zero activities &amp; levers'!$C$14="Off",'Activity data'!AX52*ManureNEF*NtoN2O*kgtoGg,IF('Net zero activities &amp; levers'!$C$14="On",'Net zero Activity data'!AX52*ManureNEF*NtoN2O*kgtoGg,"ERROR"))</f>
        <v>5.711519297602205E-2</v>
      </c>
      <c r="AF1122" s="94">
        <f>IF('Net zero activities &amp; levers'!$C$14="Off",'Activity data'!AY52*ManureNEF*NtoN2O*kgtoGg,IF('Net zero activities &amp; levers'!$C$14="On",'Net zero Activity data'!AY52*ManureNEF*NtoN2O*kgtoGg,"ERROR"))</f>
        <v>5.7882497009801276E-2</v>
      </c>
      <c r="AG1122" s="94">
        <f>IF('Net zero activities &amp; levers'!$C$14="Off",'Activity data'!AZ52*ManureNEF*NtoN2O*kgtoGg,IF('Net zero activities &amp; levers'!$C$14="On",'Net zero Activity data'!AZ52*ManureNEF*NtoN2O*kgtoGg,"ERROR"))</f>
        <v>5.8750444717194539E-2</v>
      </c>
      <c r="AH1122" s="94">
        <f>IF('Net zero activities &amp; levers'!$C$14="Off",'Activity data'!BA52*ManureNEF*NtoN2O*kgtoGg,IF('Net zero activities &amp; levers'!$C$14="On",'Net zero Activity data'!BA52*ManureNEF*NtoN2O*kgtoGg,"ERROR"))</f>
        <v>5.9575663367885126E-2</v>
      </c>
      <c r="AI1122" s="94">
        <f>IF('Net zero activities &amp; levers'!$C$14="Off",'Activity data'!BB52*ManureNEF*NtoN2O*kgtoGg,IF('Net zero activities &amp; levers'!$C$14="On",'Net zero Activity data'!BB52*ManureNEF*NtoN2O*kgtoGg,"ERROR"))</f>
        <v>6.0421920723165649E-2</v>
      </c>
      <c r="AJ1122" s="94">
        <f>IF('Net zero activities &amp; levers'!$C$14="Off",'Activity data'!BC52*ManureNEF*NtoN2O*kgtoGg,IF('Net zero activities &amp; levers'!$C$14="On",'Net zero Activity data'!BC52*ManureNEF*NtoN2O*kgtoGg,"ERROR"))</f>
        <v>6.1326954660511038E-2</v>
      </c>
      <c r="AK1122" s="94">
        <f>IF('Net zero activities &amp; levers'!$C$14="Off",'Activity data'!BD52*ManureNEF*NtoN2O*kgtoGg,IF('Net zero activities &amp; levers'!$C$14="On",'Net zero Activity data'!BD52*ManureNEF*NtoN2O*kgtoGg,"ERROR"))</f>
        <v>6.2174862389725999E-2</v>
      </c>
      <c r="AL1122" s="94">
        <f>IF('Net zero activities &amp; levers'!$C$14="Off",'Activity data'!BE52*ManureNEF*NtoN2O*kgtoGg,IF('Net zero activities &amp; levers'!$C$14="On",'Net zero Activity data'!BE52*ManureNEF*NtoN2O*kgtoGg,"ERROR"))</f>
        <v>6.3018168756843018E-2</v>
      </c>
      <c r="AM1122" s="94">
        <f>IF('Net zero activities &amp; levers'!$C$14="Off",'Activity data'!BF52*ManureNEF*NtoN2O*kgtoGg,IF('Net zero activities &amp; levers'!$C$14="On",'Net zero Activity data'!BF52*ManureNEF*NtoN2O*kgtoGg,"ERROR"))</f>
        <v>6.3859219413391094E-2</v>
      </c>
      <c r="AN1122" s="94">
        <f>IF('Net zero activities &amp; levers'!$C$14="Off",'Activity data'!BG52*ManureNEF*NtoN2O*kgtoGg,IF('Net zero activities &amp; levers'!$C$14="On",'Net zero Activity data'!BG52*ManureNEF*NtoN2O*kgtoGg,"ERROR"))</f>
        <v>6.4749025792016954E-2</v>
      </c>
      <c r="AO1122" s="94">
        <f>IF('Net zero activities &amp; levers'!$C$14="Off",'Activity data'!BH52*ManureNEF*NtoN2O*kgtoGg,IF('Net zero activities &amp; levers'!$C$14="On",'Net zero Activity data'!BH52*ManureNEF*NtoN2O*kgtoGg,"ERROR"))</f>
        <v>6.5603042366106867E-2</v>
      </c>
      <c r="AP1122" s="94">
        <f>IF('Net zero activities &amp; levers'!$C$14="Off",'Activity data'!BI52*ManureNEF*NtoN2O*kgtoGg,IF('Net zero activities &amp; levers'!$C$14="On",'Net zero Activity data'!BI52*ManureNEF*NtoN2O*kgtoGg,"ERROR"))</f>
        <v>6.6490221592755999E-2</v>
      </c>
      <c r="AQ1122" s="94">
        <f>IF('Net zero activities &amp; levers'!$C$14="Off",'Activity data'!BJ52*ManureNEF*NtoN2O*kgtoGg,IF('Net zero activities &amp; levers'!$C$14="On",'Net zero Activity data'!BJ52*ManureNEF*NtoN2O*kgtoGg,"ERROR"))</f>
        <v>6.7414609734650743E-2</v>
      </c>
      <c r="AR1122" s="94">
        <f>IF('Net zero activities &amp; levers'!$C$14="Off",'Activity data'!BK52*ManureNEF*NtoN2O*kgtoGg,IF('Net zero activities &amp; levers'!$C$14="On",'Net zero Activity data'!BK52*ManureNEF*NtoN2O*kgtoGg,"ERROR"))</f>
        <v>6.8382713611200324E-2</v>
      </c>
      <c r="AS1122" s="94">
        <f>IF('Net zero activities &amp; levers'!$C$14="Off",'Activity data'!BL52*ManureNEF*NtoN2O*kgtoGg,IF('Net zero activities &amp; levers'!$C$14="On",'Net zero Activity data'!BL52*ManureNEF*NtoN2O*kgtoGg,"ERROR"))</f>
        <v>6.9367941970261027E-2</v>
      </c>
      <c r="AT1122" s="94">
        <f>IF('Net zero activities &amp; levers'!$C$14="Off",'Activity data'!BM52*ManureNEF*NtoN2O*kgtoGg,IF('Net zero activities &amp; levers'!$C$14="On",'Net zero Activity data'!BM52*ManureNEF*NtoN2O*kgtoGg,"ERROR"))</f>
        <v>6.9601531740596523E-2</v>
      </c>
      <c r="AU1122" s="94">
        <f>IF('Net zero activities &amp; levers'!$C$14="Off",'Activity data'!BN52*ManureNEF*NtoN2O*kgtoGg,IF('Net zero activities &amp; levers'!$C$14="On",'Net zero Activity data'!BN52*ManureNEF*NtoN2O*kgtoGg,"ERROR"))</f>
        <v>6.9767776865590186E-2</v>
      </c>
      <c r="AV1122" s="94">
        <f>IF('Net zero activities &amp; levers'!$C$14="Off",'Activity data'!BO52*ManureNEF*NtoN2O*kgtoGg,IF('Net zero activities &amp; levers'!$C$14="On",'Net zero Activity data'!BO52*ManureNEF*NtoN2O*kgtoGg,"ERROR"))</f>
        <v>6.983589053067922E-2</v>
      </c>
      <c r="AW1122" s="94">
        <f>IF('Net zero activities &amp; levers'!$C$14="Off",'Activity data'!BP52*ManureNEF*NtoN2O*kgtoGg,IF('Net zero activities &amp; levers'!$C$14="On",'Net zero Activity data'!BP52*ManureNEF*NtoN2O*kgtoGg,"ERROR"))</f>
        <v>6.9877019400426524E-2</v>
      </c>
      <c r="AY1122" s="79"/>
    </row>
    <row r="1123" spans="1:51" x14ac:dyDescent="0.3">
      <c r="A1123" s="95" t="str">
        <f t="shared" si="374"/>
        <v>CM Organic</v>
      </c>
      <c r="B1123" s="95" t="s">
        <v>1322</v>
      </c>
      <c r="C1123" s="95" t="s">
        <v>1127</v>
      </c>
      <c r="D1123" t="s">
        <v>369</v>
      </c>
      <c r="E1123" t="s">
        <v>55</v>
      </c>
      <c r="F1123" t="s">
        <v>421</v>
      </c>
      <c r="G1123" t="s">
        <v>1158</v>
      </c>
      <c r="H1123" t="s">
        <v>1159</v>
      </c>
      <c r="I1123" t="s">
        <v>139</v>
      </c>
      <c r="J1123" t="s">
        <v>287</v>
      </c>
      <c r="K1123" s="94">
        <f>IF('Net zero activities &amp; levers'!$C$14="Off",'Activity data'!AD53*ManureNEF*NtoN2O*kgtoGg,IF('Net zero activities &amp; levers'!$C$14="On",'Net zero Activity data'!AD53*ManureNEF*NtoN2O*kgtoGg,"ERROR"))</f>
        <v>0.3999997899835232</v>
      </c>
      <c r="L1123" s="94">
        <f>IF('Net zero activities &amp; levers'!$C$14="Off",'Activity data'!AE53*ManureNEF*NtoN2O*kgtoGg,IF('Net zero activities &amp; levers'!$C$14="On",'Net zero Activity data'!AE53*ManureNEF*NtoN2O*kgtoGg,"ERROR"))</f>
        <v>0.39653071954810187</v>
      </c>
      <c r="M1123" s="94">
        <f>IF('Net zero activities &amp; levers'!$C$14="Off",'Activity data'!AF53*ManureNEF*NtoN2O*kgtoGg,IF('Net zero activities &amp; levers'!$C$14="On",'Net zero Activity data'!AF53*ManureNEF*NtoN2O*kgtoGg,"ERROR"))</f>
        <v>0.39521014945095023</v>
      </c>
      <c r="N1123" s="94">
        <f>IF('Net zero activities &amp; levers'!$C$14="Off",'Activity data'!AG53*ManureNEF*NtoN2O*kgtoGg,IF('Net zero activities &amp; levers'!$C$14="On",'Net zero Activity data'!AG53*ManureNEF*NtoN2O*kgtoGg,"ERROR"))</f>
        <v>0.38993263522397309</v>
      </c>
      <c r="O1123" s="94">
        <f>IF('Net zero activities &amp; levers'!$C$14="Off",'Activity data'!AH53*ManureNEF*NtoN2O*kgtoGg,IF('Net zero activities &amp; levers'!$C$14="On",'Net zero Activity data'!AH53*ManureNEF*NtoN2O*kgtoGg,"ERROR"))</f>
        <v>0.382272194437701</v>
      </c>
      <c r="P1123" s="94">
        <f>IF('Net zero activities &amp; levers'!$C$14="Off",'Activity data'!AI53*ManureNEF*NtoN2O*kgtoGg,IF('Net zero activities &amp; levers'!$C$14="On",'Net zero Activity data'!AI53*ManureNEF*NtoN2O*kgtoGg,"ERROR"))</f>
        <v>0.37238723301511378</v>
      </c>
      <c r="Q1123" s="94">
        <f>IF('Net zero activities &amp; levers'!$C$14="Off",'Activity data'!AJ53*ManureNEF*NtoN2O*kgtoGg,IF('Net zero activities &amp; levers'!$C$14="On",'Net zero Activity data'!AJ53*ManureNEF*NtoN2O*kgtoGg,"ERROR"))</f>
        <v>0.36459067483623875</v>
      </c>
      <c r="R1123" s="94">
        <f>IF('Net zero activities &amp; levers'!$C$14="Off",'Activity data'!AK53*ManureNEF*NtoN2O*kgtoGg,IF('Net zero activities &amp; levers'!$C$14="On",'Net zero Activity data'!AK53*ManureNEF*NtoN2O*kgtoGg,"ERROR"))</f>
        <v>0.3572142444544395</v>
      </c>
      <c r="S1123" s="94">
        <f>IF('Net zero activities &amp; levers'!$C$14="Off",'Activity data'!AL53*ManureNEF*NtoN2O*kgtoGg,IF('Net zero activities &amp; levers'!$C$14="On",'Net zero Activity data'!AL53*ManureNEF*NtoN2O*kgtoGg,"ERROR"))</f>
        <v>0.31424439964767104</v>
      </c>
      <c r="T1123" s="94">
        <f>IF('Net zero activities &amp; levers'!$C$14="Off",'Activity data'!AM53*ManureNEF*NtoN2O*kgtoGg,IF('Net zero activities &amp; levers'!$C$14="On",'Net zero Activity data'!AM53*ManureNEF*NtoN2O*kgtoGg,"ERROR"))</f>
        <v>0.31934867566353531</v>
      </c>
      <c r="U1123" s="94">
        <f>IF('Net zero activities &amp; levers'!$C$14="Off",'Activity data'!AN53*ManureNEF*NtoN2O*kgtoGg,IF('Net zero activities &amp; levers'!$C$14="On",'Net zero Activity data'!AN53*ManureNEF*NtoN2O*kgtoGg,"ERROR"))</f>
        <v>0.32887086359473244</v>
      </c>
      <c r="V1123" s="94">
        <f>IF('Net zero activities &amp; levers'!$C$14="Off",'Activity data'!AO53*ManureNEF*NtoN2O*kgtoGg,IF('Net zero activities &amp; levers'!$C$14="On",'Net zero Activity data'!AO53*ManureNEF*NtoN2O*kgtoGg,"ERROR"))</f>
        <v>0.33077255450985388</v>
      </c>
      <c r="W1123" s="94">
        <f>IF('Net zero activities &amp; levers'!$C$14="Off",'Activity data'!AP53*ManureNEF*NtoN2O*kgtoGg,IF('Net zero activities &amp; levers'!$C$14="On",'Net zero Activity data'!AP53*ManureNEF*NtoN2O*kgtoGg,"ERROR"))</f>
        <v>0.33351533974002295</v>
      </c>
      <c r="X1123" s="94">
        <f>IF('Net zero activities &amp; levers'!$C$14="Off",'Activity data'!AQ53*ManureNEF*NtoN2O*kgtoGg,IF('Net zero activities &amp; levers'!$C$14="On",'Net zero Activity data'!AQ53*ManureNEF*NtoN2O*kgtoGg,"ERROR"))</f>
        <v>0.33734158563652278</v>
      </c>
      <c r="Y1123" s="94">
        <f>IF('Net zero activities &amp; levers'!$C$14="Off",'Activity data'!AR53*ManureNEF*NtoN2O*kgtoGg,IF('Net zero activities &amp; levers'!$C$14="On",'Net zero Activity data'!AR53*ManureNEF*NtoN2O*kgtoGg,"ERROR"))</f>
        <v>0.34173046425936165</v>
      </c>
      <c r="Z1123" s="94">
        <f>IF('Net zero activities &amp; levers'!$C$14="Off",'Activity data'!AS53*ManureNEF*NtoN2O*kgtoGg,IF('Net zero activities &amp; levers'!$C$14="On",'Net zero Activity data'!AS53*ManureNEF*NtoN2O*kgtoGg,"ERROR"))</f>
        <v>0.34687619399861491</v>
      </c>
      <c r="AA1123" s="94">
        <f>IF('Net zero activities &amp; levers'!$C$14="Off",'Activity data'!AT53*ManureNEF*NtoN2O*kgtoGg,IF('Net zero activities &amp; levers'!$C$14="On",'Net zero Activity data'!AT53*ManureNEF*NtoN2O*kgtoGg,"ERROR"))</f>
        <v>0.35204565699464252</v>
      </c>
      <c r="AB1123" s="94">
        <f>IF('Net zero activities &amp; levers'!$C$14="Off",'Activity data'!AU53*ManureNEF*NtoN2O*kgtoGg,IF('Net zero activities &amp; levers'!$C$14="On",'Net zero Activity data'!AU53*ManureNEF*NtoN2O*kgtoGg,"ERROR"))</f>
        <v>0.35785970773870229</v>
      </c>
      <c r="AC1123" s="94">
        <f>IF('Net zero activities &amp; levers'!$C$14="Off",'Activity data'!AV53*ManureNEF*NtoN2O*kgtoGg,IF('Net zero activities &amp; levers'!$C$14="On",'Net zero Activity data'!AV53*ManureNEF*NtoN2O*kgtoGg,"ERROR"))</f>
        <v>0.36361606039285416</v>
      </c>
      <c r="AD1123" s="94">
        <f>IF('Net zero activities &amp; levers'!$C$14="Off",'Activity data'!AW53*ManureNEF*NtoN2O*kgtoGg,IF('Net zero activities &amp; levers'!$C$14="On",'Net zero Activity data'!AW53*ManureNEF*NtoN2O*kgtoGg,"ERROR"))</f>
        <v>0.36736576480920718</v>
      </c>
      <c r="AE1123" s="94">
        <f>IF('Net zero activities &amp; levers'!$C$14="Off",'Activity data'!AX53*ManureNEF*NtoN2O*kgtoGg,IF('Net zero activities &amp; levers'!$C$14="On",'Net zero Activity data'!AX53*ManureNEF*NtoN2O*kgtoGg,"ERROR"))</f>
        <v>0.37044453344609923</v>
      </c>
      <c r="AF1123" s="94">
        <f>IF('Net zero activities &amp; levers'!$C$14="Off",'Activity data'!AY53*ManureNEF*NtoN2O*kgtoGg,IF('Net zero activities &amp; levers'!$C$14="On",'Net zero Activity data'!AY53*ManureNEF*NtoN2O*kgtoGg,"ERROR"))</f>
        <v>0.37369707806666508</v>
      </c>
      <c r="AG1123" s="94">
        <f>IF('Net zero activities &amp; levers'!$C$14="Off",'Activity data'!AZ53*ManureNEF*NtoN2O*kgtoGg,IF('Net zero activities &amp; levers'!$C$14="On",'Net zero Activity data'!AZ53*ManureNEF*NtoN2O*kgtoGg,"ERROR"))</f>
        <v>0.37804894622531426</v>
      </c>
      <c r="AH1123" s="94">
        <f>IF('Net zero activities &amp; levers'!$C$14="Off",'Activity data'!BA53*ManureNEF*NtoN2O*kgtoGg,IF('Net zero activities &amp; levers'!$C$14="On",'Net zero Activity data'!BA53*ManureNEF*NtoN2O*kgtoGg,"ERROR"))</f>
        <v>0.38117866346584023</v>
      </c>
      <c r="AI1123" s="94">
        <f>IF('Net zero activities &amp; levers'!$C$14="Off",'Activity data'!BB53*ManureNEF*NtoN2O*kgtoGg,IF('Net zero activities &amp; levers'!$C$14="On",'Net zero Activity data'!BB53*ManureNEF*NtoN2O*kgtoGg,"ERROR"))</f>
        <v>0.38451417084428363</v>
      </c>
      <c r="AJ1123" s="94">
        <f>IF('Net zero activities &amp; levers'!$C$14="Off",'Activity data'!BC53*ManureNEF*NtoN2O*kgtoGg,IF('Net zero activities &amp; levers'!$C$14="On",'Net zero Activity data'!BC53*ManureNEF*NtoN2O*kgtoGg,"ERROR"))</f>
        <v>0.38818587422632583</v>
      </c>
      <c r="AK1123" s="94">
        <f>IF('Net zero activities &amp; levers'!$C$14="Off",'Activity data'!BD53*ManureNEF*NtoN2O*kgtoGg,IF('Net zero activities &amp; levers'!$C$14="On",'Net zero Activity data'!BD53*ManureNEF*NtoN2O*kgtoGg,"ERROR"))</f>
        <v>0.39047383423356319</v>
      </c>
      <c r="AL1123" s="94">
        <f>IF('Net zero activities &amp; levers'!$C$14="Off",'Activity data'!BE53*ManureNEF*NtoN2O*kgtoGg,IF('Net zero activities &amp; levers'!$C$14="On",'Net zero Activity data'!BE53*ManureNEF*NtoN2O*kgtoGg,"ERROR"))</f>
        <v>0.39219030360024004</v>
      </c>
      <c r="AM1123" s="94">
        <f>IF('Net zero activities &amp; levers'!$C$14="Off",'Activity data'!BF53*ManureNEF*NtoN2O*kgtoGg,IF('Net zero activities &amp; levers'!$C$14="On",'Net zero Activity data'!BF53*ManureNEF*NtoN2O*kgtoGg,"ERROR"))</f>
        <v>0.39338421797559098</v>
      </c>
      <c r="AN1123" s="94">
        <f>IF('Net zero activities &amp; levers'!$C$14="Off",'Activity data'!BG53*ManureNEF*NtoN2O*kgtoGg,IF('Net zero activities &amp; levers'!$C$14="On",'Net zero Activity data'!BG53*ManureNEF*NtoN2O*kgtoGg,"ERROR"))</f>
        <v>0.39709578221714281</v>
      </c>
      <c r="AO1123" s="94">
        <f>IF('Net zero activities &amp; levers'!$C$14="Off",'Activity data'!BH53*ManureNEF*NtoN2O*kgtoGg,IF('Net zero activities &amp; levers'!$C$14="On",'Net zero Activity data'!BH53*ManureNEF*NtoN2O*kgtoGg,"ERROR"))</f>
        <v>0.39991704090429331</v>
      </c>
      <c r="AP1123" s="94">
        <f>IF('Net zero activities &amp; levers'!$C$14="Off",'Activity data'!BI53*ManureNEF*NtoN2O*kgtoGg,IF('Net zero activities &amp; levers'!$C$14="On",'Net zero Activity data'!BI53*ManureNEF*NtoN2O*kgtoGg,"ERROR"))</f>
        <v>0.40277391205281804</v>
      </c>
      <c r="AQ1123" s="94">
        <f>IF('Net zero activities &amp; levers'!$C$14="Off",'Activity data'!BJ53*ManureNEF*NtoN2O*kgtoGg,IF('Net zero activities &amp; levers'!$C$14="On",'Net zero Activity data'!BJ53*ManureNEF*NtoN2O*kgtoGg,"ERROR"))</f>
        <v>0.40569907697718249</v>
      </c>
      <c r="AR1123" s="94">
        <f>IF('Net zero activities &amp; levers'!$C$14="Off",'Activity data'!BK53*ManureNEF*NtoN2O*kgtoGg,IF('Net zero activities &amp; levers'!$C$14="On",'Net zero Activity data'!BK53*ManureNEF*NtoN2O*kgtoGg,"ERROR"))</f>
        <v>0.40875152256691355</v>
      </c>
      <c r="AS1123" s="94">
        <f>IF('Net zero activities &amp; levers'!$C$14="Off",'Activity data'!BL53*ManureNEF*NtoN2O*kgtoGg,IF('Net zero activities &amp; levers'!$C$14="On",'Net zero Activity data'!BL53*ManureNEF*NtoN2O*kgtoGg,"ERROR"))</f>
        <v>0.41188557339004239</v>
      </c>
      <c r="AT1123" s="94">
        <f>IF('Net zero activities &amp; levers'!$C$14="Off",'Activity data'!BM53*ManureNEF*NtoN2O*kgtoGg,IF('Net zero activities &amp; levers'!$C$14="On",'Net zero Activity data'!BM53*ManureNEF*NtoN2O*kgtoGg,"ERROR"))</f>
        <v>0.4057032930761475</v>
      </c>
      <c r="AU1123" s="94">
        <f>IF('Net zero activities &amp; levers'!$C$14="Off",'Activity data'!BN53*ManureNEF*NtoN2O*kgtoGg,IF('Net zero activities &amp; levers'!$C$14="On",'Net zero Activity data'!BN53*ManureNEF*NtoN2O*kgtoGg,"ERROR"))</f>
        <v>0.3986998092121265</v>
      </c>
      <c r="AV1123" s="94">
        <f>IF('Net zero activities &amp; levers'!$C$14="Off",'Activity data'!BO53*ManureNEF*NtoN2O*kgtoGg,IF('Net zero activities &amp; levers'!$C$14="On",'Net zero Activity data'!BO53*ManureNEF*NtoN2O*kgtoGg,"ERROR"))</f>
        <v>0.39058052493607326</v>
      </c>
      <c r="AW1123" s="94">
        <f>IF('Net zero activities &amp; levers'!$C$14="Off",'Activity data'!BP53*ManureNEF*NtoN2O*kgtoGg,IF('Net zero activities &amp; levers'!$C$14="On",'Net zero Activity data'!BP53*ManureNEF*NtoN2O*kgtoGg,"ERROR"))</f>
        <v>0.38220678819508502</v>
      </c>
      <c r="AY1123" s="79"/>
    </row>
    <row r="1124" spans="1:51" x14ac:dyDescent="0.3">
      <c r="A1124" s="95" t="str">
        <f t="shared" si="374"/>
        <v>CM Organic</v>
      </c>
      <c r="B1124" s="95" t="s">
        <v>1322</v>
      </c>
      <c r="C1124" s="95" t="s">
        <v>1127</v>
      </c>
      <c r="D1124" t="s">
        <v>369</v>
      </c>
      <c r="E1124" t="s">
        <v>55</v>
      </c>
      <c r="F1124" t="s">
        <v>421</v>
      </c>
      <c r="G1124" t="s">
        <v>1160</v>
      </c>
      <c r="H1124" t="s">
        <v>1161</v>
      </c>
      <c r="I1124" t="s">
        <v>139</v>
      </c>
      <c r="J1124" t="s">
        <v>287</v>
      </c>
      <c r="K1124" s="94">
        <f>IF('Net zero activities &amp; levers'!$C$14="Off",'Activity data'!AD54*ManureNEF*NtoN2O*kgtoGg,IF('Net zero activities &amp; levers'!$C$14="On",'Net zero Activity data'!AD54*ManureNEF*NtoN2O*kgtoGg,"ERROR"))</f>
        <v>2.6602988559851246</v>
      </c>
      <c r="L1124" s="94">
        <f>IF('Net zero activities &amp; levers'!$C$14="Off",'Activity data'!AE54*ManureNEF*NtoN2O*kgtoGg,IF('Net zero activities &amp; levers'!$C$14="On",'Net zero Activity data'!AE54*ManureNEF*NtoN2O*kgtoGg,"ERROR"))</f>
        <v>2.6372269335947083</v>
      </c>
      <c r="M1124" s="94">
        <f>IF('Net zero activities &amp; levers'!$C$14="Off",'Activity data'!AF54*ManureNEF*NtoN2O*kgtoGg,IF('Net zero activities &amp; levers'!$C$14="On",'Net zero Activity data'!AF54*ManureNEF*NtoN2O*kgtoGg,"ERROR"))</f>
        <v>2.6284441511866339</v>
      </c>
      <c r="N1124" s="94">
        <f>IF('Net zero activities &amp; levers'!$C$14="Off",'Activity data'!AG54*ManureNEF*NtoN2O*kgtoGg,IF('Net zero activities &amp; levers'!$C$14="On",'Net zero Activity data'!AG54*ManureNEF*NtoN2O*kgtoGg,"ERROR"))</f>
        <v>2.5933447201068058</v>
      </c>
      <c r="O1124" s="94">
        <f>IF('Net zero activities &amp; levers'!$C$14="Off",'Activity data'!AH54*ManureNEF*NtoN2O*kgtoGg,IF('Net zero activities &amp; levers'!$C$14="On",'Net zero Activity data'!AH54*ManureNEF*NtoN2O*kgtoGg,"ERROR"))</f>
        <v>2.5423970387070201</v>
      </c>
      <c r="P1124" s="94">
        <f>IF('Net zero activities &amp; levers'!$C$14="Off",'Activity data'!AI54*ManureNEF*NtoN2O*kgtoGg,IF('Net zero activities &amp; levers'!$C$14="On",'Net zero Activity data'!AI54*ManureNEF*NtoN2O*kgtoGg,"ERROR"))</f>
        <v>2.4766546252796311</v>
      </c>
      <c r="Q1124" s="94">
        <f>IF('Net zero activities &amp; levers'!$C$14="Off",'Activity data'!AJ54*ManureNEF*NtoN2O*kgtoGg,IF('Net zero activities &amp; levers'!$C$14="On",'Net zero Activity data'!AJ54*ManureNEF*NtoN2O*kgtoGg,"ERROR"))</f>
        <v>2.4248016610449818</v>
      </c>
      <c r="R1124" s="94">
        <f>IF('Net zero activities &amp; levers'!$C$14="Off",'Activity data'!AK54*ManureNEF*NtoN2O*kgtoGg,IF('Net zero activities &amp; levers'!$C$14="On",'Net zero Activity data'!AK54*ManureNEF*NtoN2O*kgtoGg,"ERROR"))</f>
        <v>2.3757428620222045</v>
      </c>
      <c r="S1124" s="94">
        <f>IF('Net zero activities &amp; levers'!$C$14="Off",'Activity data'!AL54*ManureNEF*NtoN2O*kgtoGg,IF('Net zero activities &amp; levers'!$C$14="On",'Net zero Activity data'!AL54*ManureNEF*NtoN2O*kgtoGg,"ERROR"))</f>
        <v>2.0899611395217677</v>
      </c>
      <c r="T1124" s="94">
        <f>IF('Net zero activities &amp; levers'!$C$14="Off",'Activity data'!AM54*ManureNEF*NtoN2O*kgtoGg,IF('Net zero activities &amp; levers'!$C$14="On",'Net zero Activity data'!AM54*ManureNEF*NtoN2O*kgtoGg,"ERROR"))</f>
        <v>2.123908406459571</v>
      </c>
      <c r="U1124" s="94">
        <f>IF('Net zero activities &amp; levers'!$C$14="Off",'Activity data'!AN54*ManureNEF*NtoN2O*kgtoGg,IF('Net zero activities &amp; levers'!$C$14="On",'Net zero Activity data'!AN54*ManureNEF*NtoN2O*kgtoGg,"ERROR"))</f>
        <v>2.1872381038598681</v>
      </c>
      <c r="V1124" s="94">
        <f>IF('Net zero activities &amp; levers'!$C$14="Off",'Activity data'!AO54*ManureNEF*NtoN2O*kgtoGg,IF('Net zero activities &amp; levers'!$C$14="On",'Net zero Activity data'!AO54*ManureNEF*NtoN2O*kgtoGg,"ERROR"))</f>
        <v>2.1998857759152552</v>
      </c>
      <c r="W1124" s="94">
        <f>IF('Net zero activities &amp; levers'!$C$14="Off",'Activity data'!AP54*ManureNEF*NtoN2O*kgtoGg,IF('Net zero activities &amp; levers'!$C$14="On",'Net zero Activity data'!AP54*ManureNEF*NtoN2O*kgtoGg,"ERROR"))</f>
        <v>2.2181273565179156</v>
      </c>
      <c r="X1124" s="94">
        <f>IF('Net zero activities &amp; levers'!$C$14="Off",'Activity data'!AQ54*ManureNEF*NtoN2O*kgtoGg,IF('Net zero activities &amp; levers'!$C$14="On",'Net zero Activity data'!AQ54*ManureNEF*NtoN2O*kgtoGg,"ERROR"))</f>
        <v>2.2435747638317936</v>
      </c>
      <c r="Y1124" s="94">
        <f>IF('Net zero activities &amp; levers'!$C$14="Off",'Activity data'!AR54*ManureNEF*NtoN2O*kgtoGg,IF('Net zero activities &amp; levers'!$C$14="On",'Net zero Activity data'!AR54*ManureNEF*NtoN2O*kgtoGg,"ERROR"))</f>
        <v>2.2727641011058872</v>
      </c>
      <c r="Z1124" s="94">
        <f>IF('Net zero activities &amp; levers'!$C$14="Off",'Activity data'!AS54*ManureNEF*NtoN2O*kgtoGg,IF('Net zero activities &amp; levers'!$C$14="On",'Net zero Activity data'!AS54*ManureNEF*NtoN2O*kgtoGg,"ERROR"))</f>
        <v>2.3069870664207133</v>
      </c>
      <c r="AA1124" s="94">
        <f>IF('Net zero activities &amp; levers'!$C$14="Off",'Activity data'!AT54*ManureNEF*NtoN2O*kgtoGg,IF('Net zero activities &amp; levers'!$C$14="On",'Net zero Activity data'!AT54*ManureNEF*NtoN2O*kgtoGg,"ERROR"))</f>
        <v>2.3413678757080296</v>
      </c>
      <c r="AB1124" s="94">
        <f>IF('Net zero activities &amp; levers'!$C$14="Off",'Activity data'!AU54*ManureNEF*NtoN2O*kgtoGg,IF('Net zero activities &amp; levers'!$C$14="On",'Net zero Activity data'!AU54*ManureNEF*NtoN2O*kgtoGg,"ERROR"))</f>
        <v>2.380035677367871</v>
      </c>
      <c r="AC1124" s="94">
        <f>IF('Net zero activities &amp; levers'!$C$14="Off",'Activity data'!AV54*ManureNEF*NtoN2O*kgtoGg,IF('Net zero activities &amp; levers'!$C$14="On",'Net zero Activity data'!AV54*ManureNEF*NtoN2O*kgtoGg,"ERROR"))</f>
        <v>2.4183197434198012</v>
      </c>
      <c r="AD1124" s="94">
        <f>IF('Net zero activities &amp; levers'!$C$14="Off",'Activity data'!AW54*ManureNEF*NtoN2O*kgtoGg,IF('Net zero activities &amp; levers'!$C$14="On",'Net zero Activity data'!AW54*ManureNEF*NtoN2O*kgtoGg,"ERROR"))</f>
        <v>2.4432580924362282</v>
      </c>
      <c r="AE1124" s="94">
        <f>IF('Net zero activities &amp; levers'!$C$14="Off",'Activity data'!AX54*ManureNEF*NtoN2O*kgtoGg,IF('Net zero activities &amp; levers'!$C$14="On",'Net zero Activity data'!AX54*ManureNEF*NtoN2O*kgtoGg,"ERROR"))</f>
        <v>2.4637342148934525</v>
      </c>
      <c r="AF1124" s="94">
        <f>IF('Net zero activities &amp; levers'!$C$14="Off",'Activity data'!AY54*ManureNEF*NtoN2O*kgtoGg,IF('Net zero activities &amp; levers'!$C$14="On",'Net zero Activity data'!AY54*ManureNEF*NtoN2O*kgtoGg,"ERROR"))</f>
        <v>2.4853660780839015</v>
      </c>
      <c r="AG1124" s="94">
        <f>IF('Net zero activities &amp; levers'!$C$14="Off",'Activity data'!AZ54*ManureNEF*NtoN2O*kgtoGg,IF('Net zero activities &amp; levers'!$C$14="On",'Net zero Activity data'!AZ54*ManureNEF*NtoN2O*kgtoGg,"ERROR"))</f>
        <v>2.5143092679899</v>
      </c>
      <c r="AH1124" s="94">
        <f>IF('Net zero activities &amp; levers'!$C$14="Off",'Activity data'!BA54*ManureNEF*NtoN2O*kgtoGg,IF('Net zero activities &amp; levers'!$C$14="On",'Net zero Activity data'!BA54*ManureNEF*NtoN2O*kgtoGg,"ERROR"))</f>
        <v>2.5351242369049363</v>
      </c>
      <c r="AI1124" s="94">
        <f>IF('Net zero activities &amp; levers'!$C$14="Off",'Activity data'!BB54*ManureNEF*NtoN2O*kgtoGg,IF('Net zero activities &amp; levers'!$C$14="On",'Net zero Activity data'!BB54*ManureNEF*NtoN2O*kgtoGg,"ERROR"))</f>
        <v>2.5573078647097613</v>
      </c>
      <c r="AJ1124" s="94">
        <f>IF('Net zero activities &amp; levers'!$C$14="Off",'Activity data'!BC54*ManureNEF*NtoN2O*kgtoGg,IF('Net zero activities &amp; levers'!$C$14="On",'Net zero Activity data'!BC54*ManureNEF*NtoN2O*kgtoGg,"ERROR"))</f>
        <v>2.5817274482979573</v>
      </c>
      <c r="AK1124" s="94">
        <f>IF('Net zero activities &amp; levers'!$C$14="Off",'Activity data'!BD54*ManureNEF*NtoN2O*kgtoGg,IF('Net zero activities &amp; levers'!$C$14="On",'Net zero Activity data'!BD54*ManureNEF*NtoN2O*kgtoGg,"ERROR"))</f>
        <v>2.5969440997618101</v>
      </c>
      <c r="AL1124" s="94">
        <f>IF('Net zero activities &amp; levers'!$C$14="Off",'Activity data'!BE54*ManureNEF*NtoN2O*kgtoGg,IF('Net zero activities &amp; levers'!$C$14="On",'Net zero Activity data'!BE54*ManureNEF*NtoN2O*kgtoGg,"ERROR"))</f>
        <v>2.6083599094868397</v>
      </c>
      <c r="AM1124" s="94">
        <f>IF('Net zero activities &amp; levers'!$C$14="Off",'Activity data'!BF54*ManureNEF*NtoN2O*kgtoGg,IF('Net zero activities &amp; levers'!$C$14="On",'Net zero Activity data'!BF54*ManureNEF*NtoN2O*kgtoGg,"ERROR"))</f>
        <v>2.6163003362731181</v>
      </c>
      <c r="AN1124" s="94">
        <f>IF('Net zero activities &amp; levers'!$C$14="Off",'Activity data'!BG54*ManureNEF*NtoN2O*kgtoGg,IF('Net zero activities &amp; levers'!$C$14="On",'Net zero Activity data'!BG54*ManureNEF*NtoN2O*kgtoGg,"ERROR"))</f>
        <v>2.6409850244978843</v>
      </c>
      <c r="AO1124" s="94">
        <f>IF('Net zero activities &amp; levers'!$C$14="Off",'Activity data'!BH54*ManureNEF*NtoN2O*kgtoGg,IF('Net zero activities &amp; levers'!$C$14="On",'Net zero Activity data'!BH54*ManureNEF*NtoN2O*kgtoGg,"ERROR"))</f>
        <v>2.6597485124941493</v>
      </c>
      <c r="AP1124" s="94">
        <f>IF('Net zero activities &amp; levers'!$C$14="Off",'Activity data'!BI54*ManureNEF*NtoN2O*kgtoGg,IF('Net zero activities &amp; levers'!$C$14="On",'Net zero Activity data'!BI54*ManureNEF*NtoN2O*kgtoGg,"ERROR"))</f>
        <v>2.6787488500904026</v>
      </c>
      <c r="AQ1124" s="94">
        <f>IF('Net zero activities &amp; levers'!$C$14="Off",'Activity data'!BJ54*ManureNEF*NtoN2O*kgtoGg,IF('Net zero activities &amp; levers'!$C$14="On",'Net zero Activity data'!BJ54*ManureNEF*NtoN2O*kgtoGg,"ERROR"))</f>
        <v>2.6982033925594746</v>
      </c>
      <c r="AR1124" s="94">
        <f>IF('Net zero activities &amp; levers'!$C$14="Off",'Activity data'!BK54*ManureNEF*NtoN2O*kgtoGg,IF('Net zero activities &amp; levers'!$C$14="On",'Net zero Activity data'!BK54*ManureNEF*NtoN2O*kgtoGg,"ERROR"))</f>
        <v>2.7185044469941606</v>
      </c>
      <c r="AS1124" s="94">
        <f>IF('Net zero activities &amp; levers'!$C$14="Off",'Activity data'!BL54*ManureNEF*NtoN2O*kgtoGg,IF('Net zero activities &amp; levers'!$C$14="On",'Net zero Activity data'!BL54*ManureNEF*NtoN2O*kgtoGg,"ERROR"))</f>
        <v>2.739348237486432</v>
      </c>
      <c r="AT1124" s="94">
        <f>IF('Net zero activities &amp; levers'!$C$14="Off",'Activity data'!BM54*ManureNEF*NtoN2O*kgtoGg,IF('Net zero activities &amp; levers'!$C$14="On",'Net zero Activity data'!BM54*ManureNEF*NtoN2O*kgtoGg,"ERROR"))</f>
        <v>2.6982314327823316</v>
      </c>
      <c r="AU1124" s="94">
        <f>IF('Net zero activities &amp; levers'!$C$14="Off",'Activity data'!BN54*ManureNEF*NtoN2O*kgtoGg,IF('Net zero activities &amp; levers'!$C$14="On",'Net zero Activity data'!BN54*ManureNEF*NtoN2O*kgtoGg,"ERROR"))</f>
        <v>2.6516530080483269</v>
      </c>
      <c r="AV1124" s="94">
        <f>IF('Net zero activities &amp; levers'!$C$14="Off",'Activity data'!BO54*ManureNEF*NtoN2O*kgtoGg,IF('Net zero activities &amp; levers'!$C$14="On",'Net zero Activity data'!BO54*ManureNEF*NtoN2O*kgtoGg,"ERROR"))</f>
        <v>2.5976536730189443</v>
      </c>
      <c r="AW1124" s="94">
        <f>IF('Net zero activities &amp; levers'!$C$14="Off",'Activity data'!BP54*ManureNEF*NtoN2O*kgtoGg,IF('Net zero activities &amp; levers'!$C$14="On",'Net zero Activity data'!BP54*ManureNEF*NtoN2O*kgtoGg,"ERROR"))</f>
        <v>2.5419620380976129</v>
      </c>
      <c r="AY1124" s="79"/>
    </row>
    <row r="1125" spans="1:51" x14ac:dyDescent="0.3">
      <c r="A1125" s="95" t="str">
        <f t="shared" si="374"/>
        <v>CM Organic</v>
      </c>
      <c r="B1125" s="95" t="s">
        <v>1322</v>
      </c>
      <c r="C1125" s="95" t="s">
        <v>1127</v>
      </c>
      <c r="D1125" t="s">
        <v>369</v>
      </c>
      <c r="E1125" t="s">
        <v>55</v>
      </c>
      <c r="F1125" t="s">
        <v>421</v>
      </c>
      <c r="G1125" t="s">
        <v>1162</v>
      </c>
      <c r="H1125" t="s">
        <v>1163</v>
      </c>
      <c r="I1125" t="s">
        <v>139</v>
      </c>
      <c r="J1125" t="s">
        <v>287</v>
      </c>
      <c r="K1125" s="94">
        <f>IF('Net zero activities &amp; levers'!$C$14="Off",'Activity data'!AD55*ManureNEF*NtoN2O*kgtoGg,IF('Net zero activities &amp; levers'!$C$14="On",'Net zero Activity data'!AD55*ManureNEF*NtoN2O*kgtoGg,"ERROR"))</f>
        <v>0.34358078636628736</v>
      </c>
      <c r="L1125" s="94">
        <f>IF('Net zero activities &amp; levers'!$C$14="Off",'Activity data'!AE55*ManureNEF*NtoN2O*kgtoGg,IF('Net zero activities &amp; levers'!$C$14="On",'Net zero Activity data'!AE55*ManureNEF*NtoN2O*kgtoGg,"ERROR"))</f>
        <v>0.35516571939691499</v>
      </c>
      <c r="M1125" s="94">
        <f>IF('Net zero activities &amp; levers'!$C$14="Off",'Activity data'!AF55*ManureNEF*NtoN2O*kgtoGg,IF('Net zero activities &amp; levers'!$C$14="On",'Net zero Activity data'!AF55*ManureNEF*NtoN2O*kgtoGg,"ERROR"))</f>
        <v>0.36891582276573964</v>
      </c>
      <c r="N1125" s="94">
        <f>IF('Net zero activities &amp; levers'!$C$14="Off",'Activity data'!AG55*ManureNEF*NtoN2O*kgtoGg,IF('Net zero activities &amp; levers'!$C$14="On",'Net zero Activity data'!AG55*ManureNEF*NtoN2O*kgtoGg,"ERROR"))</f>
        <v>0.37917034791782095</v>
      </c>
      <c r="O1125" s="94">
        <f>IF('Net zero activities &amp; levers'!$C$14="Off",'Activity data'!AH55*ManureNEF*NtoN2O*kgtoGg,IF('Net zero activities &amp; levers'!$C$14="On",'Net zero Activity data'!AH55*ManureNEF*NtoN2O*kgtoGg,"ERROR"))</f>
        <v>0.38707850955818851</v>
      </c>
      <c r="P1125" s="94">
        <f>IF('Net zero activities &amp; levers'!$C$14="Off",'Activity data'!AI55*ManureNEF*NtoN2O*kgtoGg,IF('Net zero activities &amp; levers'!$C$14="On",'Net zero Activity data'!AI55*ManureNEF*NtoN2O*kgtoGg,"ERROR"))</f>
        <v>0.39252728601928993</v>
      </c>
      <c r="Q1125" s="94">
        <f>IF('Net zero activities &amp; levers'!$C$14="Off",'Activity data'!AJ55*ManureNEF*NtoN2O*kgtoGg,IF('Net zero activities &amp; levers'!$C$14="On",'Net zero Activity data'!AJ55*ManureNEF*NtoN2O*kgtoGg,"ERROR"))</f>
        <v>0.39996713645364929</v>
      </c>
      <c r="R1125" s="94">
        <f>IF('Net zero activities &amp; levers'!$C$14="Off",'Activity data'!AK55*ManureNEF*NtoN2O*kgtoGg,IF('Net zero activities &amp; levers'!$C$14="On",'Net zero Activity data'!AK55*ManureNEF*NtoN2O*kgtoGg,"ERROR"))</f>
        <v>0.40776627193753145</v>
      </c>
      <c r="S1125" s="94">
        <f>IF('Net zero activities &amp; levers'!$C$14="Off",'Activity data'!AL55*ManureNEF*NtoN2O*kgtoGg,IF('Net zero activities &amp; levers'!$C$14="On",'Net zero Activity data'!AL55*ManureNEF*NtoN2O*kgtoGg,"ERROR"))</f>
        <v>0.37321314104522196</v>
      </c>
      <c r="T1125" s="94">
        <f>IF('Net zero activities &amp; levers'!$C$14="Off",'Activity data'!AM55*ManureNEF*NtoN2O*kgtoGg,IF('Net zero activities &amp; levers'!$C$14="On",'Net zero Activity data'!AM55*ManureNEF*NtoN2O*kgtoGg,"ERROR"))</f>
        <v>0.3884130094850205</v>
      </c>
      <c r="U1125" s="94">
        <f>IF('Net zero activities &amp; levers'!$C$14="Off",'Activity data'!AN55*ManureNEF*NtoN2O*kgtoGg,IF('Net zero activities &amp; levers'!$C$14="On",'Net zero Activity data'!AN55*ManureNEF*NtoN2O*kgtoGg,"ERROR"))</f>
        <v>0.40949913684353023</v>
      </c>
      <c r="V1125" s="94">
        <f>IF('Net zero activities &amp; levers'!$C$14="Off",'Activity data'!AO55*ManureNEF*NtoN2O*kgtoGg,IF('Net zero activities &amp; levers'!$C$14="On",'Net zero Activity data'!AO55*ManureNEF*NtoN2O*kgtoGg,"ERROR"))</f>
        <v>0.4215293985273969</v>
      </c>
      <c r="W1125" s="94">
        <f>IF('Net zero activities &amp; levers'!$C$14="Off",'Activity data'!AP55*ManureNEF*NtoN2O*kgtoGg,IF('Net zero activities &amp; levers'!$C$14="On",'Net zero Activity data'!AP55*ManureNEF*NtoN2O*kgtoGg,"ERROR"))</f>
        <v>0.43487839572409737</v>
      </c>
      <c r="X1125" s="94">
        <f>IF('Net zero activities &amp; levers'!$C$14="Off",'Activity data'!AQ55*ManureNEF*NtoN2O*kgtoGg,IF('Net zero activities &amp; levers'!$C$14="On",'Net zero Activity data'!AQ55*ManureNEF*NtoN2O*kgtoGg,"ERROR"))</f>
        <v>0.4499540833261832</v>
      </c>
      <c r="Y1125" s="94">
        <f>IF('Net zero activities &amp; levers'!$C$14="Off",'Activity data'!AR55*ManureNEF*NtoN2O*kgtoGg,IF('Net zero activities &amp; levers'!$C$14="On",'Net zero Activity data'!AR55*ManureNEF*NtoN2O*kgtoGg,"ERROR"))</f>
        <v>0.46615455433442204</v>
      </c>
      <c r="Z1125" s="94">
        <f>IF('Net zero activities &amp; levers'!$C$14="Off",'Activity data'!AS55*ManureNEF*NtoN2O*kgtoGg,IF('Net zero activities &amp; levers'!$C$14="On",'Net zero Activity data'!AS55*ManureNEF*NtoN2O*kgtoGg,"ERROR"))</f>
        <v>0.48381398189083635</v>
      </c>
      <c r="AA1125" s="94">
        <f>IF('Net zero activities &amp; levers'!$C$14="Off",'Activity data'!AT55*ManureNEF*NtoN2O*kgtoGg,IF('Net zero activities &amp; levers'!$C$14="On",'Net zero Activity data'!AT55*ManureNEF*NtoN2O*kgtoGg,"ERROR"))</f>
        <v>0.50197004484830632</v>
      </c>
      <c r="AB1125" s="94">
        <f>IF('Net zero activities &amp; levers'!$C$14="Off",'Activity data'!AU55*ManureNEF*NtoN2O*kgtoGg,IF('Net zero activities &amp; levers'!$C$14="On",'Net zero Activity data'!AU55*ManureNEF*NtoN2O*kgtoGg,"ERROR"))</f>
        <v>0.52154350048929543</v>
      </c>
      <c r="AC1125" s="94">
        <f>IF('Net zero activities &amp; levers'!$C$14="Off",'Activity data'!AV55*ManureNEF*NtoN2O*kgtoGg,IF('Net zero activities &amp; levers'!$C$14="On",'Net zero Activity data'!AV55*ManureNEF*NtoN2O*kgtoGg,"ERROR"))</f>
        <v>0.5415643129229577</v>
      </c>
      <c r="AD1125" s="94">
        <f>IF('Net zero activities &amp; levers'!$C$14="Off",'Activity data'!AW55*ManureNEF*NtoN2O*kgtoGg,IF('Net zero activities &amp; levers'!$C$14="On",'Net zero Activity data'!AW55*ManureNEF*NtoN2O*kgtoGg,"ERROR"))</f>
        <v>0.56529401193420392</v>
      </c>
      <c r="AE1125" s="94">
        <f>IF('Net zero activities &amp; levers'!$C$14="Off",'Activity data'!AX55*ManureNEF*NtoN2O*kgtoGg,IF('Net zero activities &amp; levers'!$C$14="On",'Net zero Activity data'!AX55*ManureNEF*NtoN2O*kgtoGg,"ERROR"))</f>
        <v>0.58897158069089917</v>
      </c>
      <c r="AF1125" s="94">
        <f>IF('Net zero activities &amp; levers'!$C$14="Off",'Activity data'!AY55*ManureNEF*NtoN2O*kgtoGg,IF('Net zero activities &amp; levers'!$C$14="On",'Net zero Activity data'!AY55*ManureNEF*NtoN2O*kgtoGg,"ERROR"))</f>
        <v>0.61393439377098979</v>
      </c>
      <c r="AG1125" s="94">
        <f>IF('Net zero activities &amp; levers'!$C$14="Off",'Activity data'!AZ55*ManureNEF*NtoN2O*kgtoGg,IF('Net zero activities &amp; levers'!$C$14="On",'Net zero Activity data'!AZ55*ManureNEF*NtoN2O*kgtoGg,"ERROR"))</f>
        <v>0.64183870134182519</v>
      </c>
      <c r="AH1125" s="94">
        <f>IF('Net zero activities &amp; levers'!$C$14="Off",'Activity data'!BA55*ManureNEF*NtoN2O*kgtoGg,IF('Net zero activities &amp; levers'!$C$14="On",'Net zero Activity data'!BA55*ManureNEF*NtoN2O*kgtoGg,"ERROR"))</f>
        <v>0.66886013669524935</v>
      </c>
      <c r="AI1125" s="94">
        <f>IF('Net zero activities &amp; levers'!$C$14="Off",'Activity data'!BB55*ManureNEF*NtoN2O*kgtoGg,IF('Net zero activities &amp; levers'!$C$14="On",'Net zero Activity data'!BB55*ManureNEF*NtoN2O*kgtoGg,"ERROR"))</f>
        <v>0.6974449623138369</v>
      </c>
      <c r="AJ1125" s="94">
        <f>IF('Net zero activities &amp; levers'!$C$14="Off",'Activity data'!BC55*ManureNEF*NtoN2O*kgtoGg,IF('Net zero activities &amp; levers'!$C$14="On",'Net zero Activity data'!BC55*ManureNEF*NtoN2O*kgtoGg,"ERROR"))</f>
        <v>0.72794565179733817</v>
      </c>
      <c r="AK1125" s="94">
        <f>IF('Net zero activities &amp; levers'!$C$14="Off",'Activity data'!BD55*ManureNEF*NtoN2O*kgtoGg,IF('Net zero activities &amp; levers'!$C$14="On",'Net zero Activity data'!BD55*ManureNEF*NtoN2O*kgtoGg,"ERROR"))</f>
        <v>0.75716831024556897</v>
      </c>
      <c r="AL1125" s="94">
        <f>IF('Net zero activities &amp; levers'!$C$14="Off",'Activity data'!BE55*ManureNEF*NtoN2O*kgtoGg,IF('Net zero activities &amp; levers'!$C$14="On",'Net zero Activity data'!BE55*ManureNEF*NtoN2O*kgtoGg,"ERROR"))</f>
        <v>0.78655158010344739</v>
      </c>
      <c r="AM1125" s="94">
        <f>IF('Net zero activities &amp; levers'!$C$14="Off",'Activity data'!BF55*ManureNEF*NtoN2O*kgtoGg,IF('Net zero activities &amp; levers'!$C$14="On",'Net zero Activity data'!BF55*ManureNEF*NtoN2O*kgtoGg,"ERROR"))</f>
        <v>0.81615922006003327</v>
      </c>
      <c r="AN1125" s="94">
        <f>IF('Net zero activities &amp; levers'!$C$14="Off",'Activity data'!BG55*ManureNEF*NtoN2O*kgtoGg,IF('Net zero activities &amp; levers'!$C$14="On",'Net zero Activity data'!BG55*ManureNEF*NtoN2O*kgtoGg,"ERROR"))</f>
        <v>0.84710504325273028</v>
      </c>
      <c r="AO1125" s="94">
        <f>IF('Net zero activities &amp; levers'!$C$14="Off",'Activity data'!BH55*ManureNEF*NtoN2O*kgtoGg,IF('Net zero activities &amp; levers'!$C$14="On",'Net zero Activity data'!BH55*ManureNEF*NtoN2O*kgtoGg,"ERROR"))</f>
        <v>0.8772777887183536</v>
      </c>
      <c r="AP1125" s="94">
        <f>IF('Net zero activities &amp; levers'!$C$14="Off",'Activity data'!BI55*ManureNEF*NtoN2O*kgtoGg,IF('Net zero activities &amp; levers'!$C$14="On",'Net zero Activity data'!BI55*ManureNEF*NtoN2O*kgtoGg,"ERROR"))</f>
        <v>0.90865780083615855</v>
      </c>
      <c r="AQ1125" s="94">
        <f>IF('Net zero activities &amp; levers'!$C$14="Off",'Activity data'!BJ55*ManureNEF*NtoN2O*kgtoGg,IF('Net zero activities &amp; levers'!$C$14="On",'Net zero Activity data'!BJ55*ManureNEF*NtoN2O*kgtoGg,"ERROR"))</f>
        <v>0.94138400089523855</v>
      </c>
      <c r="AR1125" s="94">
        <f>IF('Net zero activities &amp; levers'!$C$14="Off",'Activity data'!BK55*ManureNEF*NtoN2O*kgtoGg,IF('Net zero activities &amp; levers'!$C$14="On",'Net zero Activity data'!BK55*ManureNEF*NtoN2O*kgtoGg,"ERROR"))</f>
        <v>0.9756708685083213</v>
      </c>
      <c r="AS1125" s="94">
        <f>IF('Net zero activities &amp; levers'!$C$14="Off",'Activity data'!BL55*ManureNEF*NtoN2O*kgtoGg,IF('Net zero activities &amp; levers'!$C$14="On",'Net zero Activity data'!BL55*ManureNEF*NtoN2O*kgtoGg,"ERROR"))</f>
        <v>1.0114969469202602</v>
      </c>
      <c r="AT1125" s="94">
        <f>IF('Net zero activities &amp; levers'!$C$14="Off",'Activity data'!BM55*ManureNEF*NtoN2O*kgtoGg,IF('Net zero activities &amp; levers'!$C$14="On",'Net zero Activity data'!BM55*ManureNEF*NtoN2O*kgtoGg,"ERROR"))</f>
        <v>1.0252009760930854</v>
      </c>
      <c r="AU1125" s="94">
        <f>IF('Net zero activities &amp; levers'!$C$14="Off",'Activity data'!BN55*ManureNEF*NtoN2O*kgtoGg,IF('Net zero activities &amp; levers'!$C$14="On",'Net zero Activity data'!BN55*ManureNEF*NtoN2O*kgtoGg,"ERROR"))</f>
        <v>1.0368909620314641</v>
      </c>
      <c r="AV1125" s="94">
        <f>IF('Net zero activities &amp; levers'!$C$14="Off",'Activity data'!BO55*ManureNEF*NtoN2O*kgtoGg,IF('Net zero activities &amp; levers'!$C$14="On",'Net zero Activity data'!BO55*ManureNEF*NtoN2O*kgtoGg,"ERROR"))</f>
        <v>1.0455964615277633</v>
      </c>
      <c r="AW1125" s="94">
        <f>IF('Net zero activities &amp; levers'!$C$14="Off",'Activity data'!BP55*ManureNEF*NtoN2O*kgtoGg,IF('Net zero activities &amp; levers'!$C$14="On",'Net zero Activity data'!BP55*ManureNEF*NtoN2O*kgtoGg,"ERROR"))</f>
        <v>1.0534263177729573</v>
      </c>
      <c r="AY1125" s="79"/>
    </row>
    <row r="1126" spans="1:51" x14ac:dyDescent="0.3">
      <c r="A1126" s="95" t="str">
        <f t="shared" si="374"/>
        <v>CM Organic</v>
      </c>
      <c r="B1126" s="95" t="s">
        <v>1322</v>
      </c>
      <c r="C1126" s="95" t="s">
        <v>1127</v>
      </c>
      <c r="D1126" t="s">
        <v>369</v>
      </c>
      <c r="E1126" t="s">
        <v>55</v>
      </c>
      <c r="F1126" t="s">
        <v>421</v>
      </c>
      <c r="G1126" t="s">
        <v>1164</v>
      </c>
      <c r="H1126" t="s">
        <v>1165</v>
      </c>
      <c r="I1126" t="s">
        <v>139</v>
      </c>
      <c r="J1126" t="s">
        <v>287</v>
      </c>
      <c r="K1126" s="94">
        <f>IF('Net zero activities &amp; levers'!$C$14="Off",'Activity data'!AD56*ManureNEF*NtoN2O*kgtoGg,IF('Net zero activities &amp; levers'!$C$14="On",'Net zero Activity data'!AD56*ManureNEF*NtoN2O*kgtoGg,"ERROR"))</f>
        <v>5.8359782740747899E-2</v>
      </c>
      <c r="L1126" s="94">
        <f>IF('Net zero activities &amp; levers'!$C$14="Off",'Activity data'!AE56*ManureNEF*NtoN2O*kgtoGg,IF('Net zero activities &amp; levers'!$C$14="On",'Net zero Activity data'!AE56*ManureNEF*NtoN2O*kgtoGg,"ERROR"))</f>
        <v>5.8391337689573865E-2</v>
      </c>
      <c r="M1126" s="94">
        <f>IF('Net zero activities &amp; levers'!$C$14="Off",'Activity data'!AF56*ManureNEF*NtoN2O*kgtoGg,IF('Net zero activities &amp; levers'!$C$14="On",'Net zero Activity data'!AF56*ManureNEF*NtoN2O*kgtoGg,"ERROR"))</f>
        <v>5.8466784388382168E-2</v>
      </c>
      <c r="N1126" s="94">
        <f>IF('Net zero activities &amp; levers'!$C$14="Off",'Activity data'!AG56*ManureNEF*NtoN2O*kgtoGg,IF('Net zero activities &amp; levers'!$C$14="On",'Net zero Activity data'!AG56*ManureNEF*NtoN2O*kgtoGg,"ERROR"))</f>
        <v>5.857803115055428E-2</v>
      </c>
      <c r="O1126" s="94">
        <f>IF('Net zero activities &amp; levers'!$C$14="Off",'Activity data'!AH56*ManureNEF*NtoN2O*kgtoGg,IF('Net zero activities &amp; levers'!$C$14="On",'Net zero Activity data'!AH56*ManureNEF*NtoN2O*kgtoGg,"ERROR"))</f>
        <v>5.872437103691365E-2</v>
      </c>
      <c r="P1126" s="94">
        <f>IF('Net zero activities &amp; levers'!$C$14="Off",'Activity data'!AI56*ManureNEF*NtoN2O*kgtoGg,IF('Net zero activities &amp; levers'!$C$14="On",'Net zero Activity data'!AI56*ManureNEF*NtoN2O*kgtoGg,"ERROR"))</f>
        <v>5.890425875881948E-2</v>
      </c>
      <c r="Q1126" s="94">
        <f>IF('Net zero activities &amp; levers'!$C$14="Off",'Activity data'!AJ56*ManureNEF*NtoN2O*kgtoGg,IF('Net zero activities &amp; levers'!$C$14="On",'Net zero Activity data'!AJ56*ManureNEF*NtoN2O*kgtoGg,"ERROR"))</f>
        <v>5.9106297224497076E-2</v>
      </c>
      <c r="R1126" s="94">
        <f>IF('Net zero activities &amp; levers'!$C$14="Off",'Activity data'!AK56*ManureNEF*NtoN2O*kgtoGg,IF('Net zero activities &amp; levers'!$C$14="On",'Net zero Activity data'!AK56*ManureNEF*NtoN2O*kgtoGg,"ERROR"))</f>
        <v>5.932921089397071E-2</v>
      </c>
      <c r="S1126" s="94">
        <f>IF('Net zero activities &amp; levers'!$C$14="Off",'Activity data'!AL56*ManureNEF*NtoN2O*kgtoGg,IF('Net zero activities &amp; levers'!$C$14="On",'Net zero Activity data'!AL56*ManureNEF*NtoN2O*kgtoGg,"ERROR"))</f>
        <v>5.9533053172061867E-2</v>
      </c>
      <c r="T1126" s="94">
        <f>IF('Net zero activities &amp; levers'!$C$14="Off",'Activity data'!AM56*ManureNEF*NtoN2O*kgtoGg,IF('Net zero activities &amp; levers'!$C$14="On",'Net zero Activity data'!AM56*ManureNEF*NtoN2O*kgtoGg,"ERROR"))</f>
        <v>5.9622626403998236E-2</v>
      </c>
      <c r="U1126" s="94">
        <f>IF('Net zero activities &amp; levers'!$C$14="Off",'Activity data'!AN56*ManureNEF*NtoN2O*kgtoGg,IF('Net zero activities &amp; levers'!$C$14="On",'Net zero Activity data'!AN56*ManureNEF*NtoN2O*kgtoGg,"ERROR"))</f>
        <v>5.9732014563410027E-2</v>
      </c>
      <c r="V1126" s="94">
        <f>IF('Net zero activities &amp; levers'!$C$14="Off",'Activity data'!AO56*ManureNEF*NtoN2O*kgtoGg,IF('Net zero activities &amp; levers'!$C$14="On",'Net zero Activity data'!AO56*ManureNEF*NtoN2O*kgtoGg,"ERROR"))</f>
        <v>5.9846990057404043E-2</v>
      </c>
      <c r="W1126" s="94">
        <f>IF('Net zero activities &amp; levers'!$C$14="Off",'Activity data'!AP56*ManureNEF*NtoN2O*kgtoGg,IF('Net zero activities &amp; levers'!$C$14="On",'Net zero Activity data'!AP56*ManureNEF*NtoN2O*kgtoGg,"ERROR"))</f>
        <v>5.9976074595492208E-2</v>
      </c>
      <c r="X1126" s="94">
        <f>IF('Net zero activities &amp; levers'!$C$14="Off",'Activity data'!AQ56*ManureNEF*NtoN2O*kgtoGg,IF('Net zero activities &amp; levers'!$C$14="On",'Net zero Activity data'!AQ56*ManureNEF*NtoN2O*kgtoGg,"ERROR"))</f>
        <v>6.0118906996584121E-2</v>
      </c>
      <c r="Y1126" s="94">
        <f>IF('Net zero activities &amp; levers'!$C$14="Off",'Activity data'!AR56*ManureNEF*NtoN2O*kgtoGg,IF('Net zero activities &amp; levers'!$C$14="On",'Net zero Activity data'!AR56*ManureNEF*NtoN2O*kgtoGg,"ERROR"))</f>
        <v>6.0208109427104674E-2</v>
      </c>
      <c r="Z1126" s="94">
        <f>IF('Net zero activities &amp; levers'!$C$14="Off",'Activity data'!AS56*ManureNEF*NtoN2O*kgtoGg,IF('Net zero activities &amp; levers'!$C$14="On",'Net zero Activity data'!AS56*ManureNEF*NtoN2O*kgtoGg,"ERROR"))</f>
        <v>6.0308885561081285E-2</v>
      </c>
      <c r="AA1126" s="94">
        <f>IF('Net zero activities &amp; levers'!$C$14="Off",'Activity data'!AT56*ManureNEF*NtoN2O*kgtoGg,IF('Net zero activities &amp; levers'!$C$14="On",'Net zero Activity data'!AT56*ManureNEF*NtoN2O*kgtoGg,"ERROR"))</f>
        <v>6.0419873689415794E-2</v>
      </c>
      <c r="AB1126" s="94">
        <f>IF('Net zero activities &amp; levers'!$C$14="Off",'Activity data'!AU56*ManureNEF*NtoN2O*kgtoGg,IF('Net zero activities &amp; levers'!$C$14="On",'Net zero Activity data'!AU56*ManureNEF*NtoN2O*kgtoGg,"ERROR"))</f>
        <v>6.0541378990392976E-2</v>
      </c>
      <c r="AC1126" s="94">
        <f>IF('Net zero activities &amp; levers'!$C$14="Off",'Activity data'!AV56*ManureNEF*NtoN2O*kgtoGg,IF('Net zero activities &amp; levers'!$C$14="On",'Net zero Activity data'!AV56*ManureNEF*NtoN2O*kgtoGg,"ERROR"))</f>
        <v>6.0672147346661598E-2</v>
      </c>
      <c r="AD1126" s="94">
        <f>IF('Net zero activities &amp; levers'!$C$14="Off",'Activity data'!AW56*ManureNEF*NtoN2O*kgtoGg,IF('Net zero activities &amp; levers'!$C$14="On",'Net zero Activity data'!AW56*ManureNEF*NtoN2O*kgtoGg,"ERROR"))</f>
        <v>6.075986875735849E-2</v>
      </c>
      <c r="AE1126" s="94">
        <f>IF('Net zero activities &amp; levers'!$C$14="Off",'Activity data'!AX56*ManureNEF*NtoN2O*kgtoGg,IF('Net zero activities &amp; levers'!$C$14="On",'Net zero Activity data'!AX56*ManureNEF*NtoN2O*kgtoGg,"ERROR"))</f>
        <v>6.0855100315135816E-2</v>
      </c>
      <c r="AF1126" s="94">
        <f>IF('Net zero activities &amp; levers'!$C$14="Off",'Activity data'!AY56*ManureNEF*NtoN2O*kgtoGg,IF('Net zero activities &amp; levers'!$C$14="On",'Net zero Activity data'!AY56*ManureNEF*NtoN2O*kgtoGg,"ERROR"))</f>
        <v>6.095860752574931E-2</v>
      </c>
      <c r="AG1126" s="94">
        <f>IF('Net zero activities &amp; levers'!$C$14="Off",'Activity data'!AZ56*ManureNEF*NtoN2O*kgtoGg,IF('Net zero activities &amp; levers'!$C$14="On",'Net zero Activity data'!AZ56*ManureNEF*NtoN2O*kgtoGg,"ERROR"))</f>
        <v>6.1071400786534412E-2</v>
      </c>
      <c r="AH1126" s="94">
        <f>IF('Net zero activities &amp; levers'!$C$14="Off",'Activity data'!BA56*ManureNEF*NtoN2O*kgtoGg,IF('Net zero activities &amp; levers'!$C$14="On",'Net zero Activity data'!BA56*ManureNEF*NtoN2O*kgtoGg,"ERROR"))</f>
        <v>6.1190093146373289E-2</v>
      </c>
      <c r="AI1126" s="94">
        <f>IF('Net zero activities &amp; levers'!$C$14="Off",'Activity data'!BB56*ManureNEF*NtoN2O*kgtoGg,IF('Net zero activities &amp; levers'!$C$14="On",'Net zero Activity data'!BB56*ManureNEF*NtoN2O*kgtoGg,"ERROR"))</f>
        <v>6.1265960925417272E-2</v>
      </c>
      <c r="AJ1126" s="94">
        <f>IF('Net zero activities &amp; levers'!$C$14="Off",'Activity data'!BC56*ManureNEF*NtoN2O*kgtoGg,IF('Net zero activities &amp; levers'!$C$14="On",'Net zero Activity data'!BC56*ManureNEF*NtoN2O*kgtoGg,"ERROR"))</f>
        <v>6.1349061452671098E-2</v>
      </c>
      <c r="AK1126" s="94">
        <f>IF('Net zero activities &amp; levers'!$C$14="Off",'Activity data'!BD56*ManureNEF*NtoN2O*kgtoGg,IF('Net zero activities &amp; levers'!$C$14="On",'Net zero Activity data'!BD56*ManureNEF*NtoN2O*kgtoGg,"ERROR"))</f>
        <v>6.1436653899188148E-2</v>
      </c>
      <c r="AL1126" s="94">
        <f>IF('Net zero activities &amp; levers'!$C$14="Off",'Activity data'!BE56*ManureNEF*NtoN2O*kgtoGg,IF('Net zero activities &amp; levers'!$C$14="On",'Net zero Activity data'!BE56*ManureNEF*NtoN2O*kgtoGg,"ERROR"))</f>
        <v>6.152967077586103E-2</v>
      </c>
      <c r="AM1126" s="94">
        <f>IF('Net zero activities &amp; levers'!$C$14="Off",'Activity data'!BF56*ManureNEF*NtoN2O*kgtoGg,IF('Net zero activities &amp; levers'!$C$14="On",'Net zero Activity data'!BF56*ManureNEF*NtoN2O*kgtoGg,"ERROR"))</f>
        <v>6.1627971048734624E-2</v>
      </c>
      <c r="AN1126" s="94">
        <f>IF('Net zero activities &amp; levers'!$C$14="Off",'Activity data'!BG56*ManureNEF*NtoN2O*kgtoGg,IF('Net zero activities &amp; levers'!$C$14="On",'Net zero Activity data'!BG56*ManureNEF*NtoN2O*kgtoGg,"ERROR"))</f>
        <v>6.1686054121935154E-2</v>
      </c>
      <c r="AO1126" s="94">
        <f>IF('Net zero activities &amp; levers'!$C$14="Off",'Activity data'!BH56*ManureNEF*NtoN2O*kgtoGg,IF('Net zero activities &amp; levers'!$C$14="On",'Net zero Activity data'!BH56*ManureNEF*NtoN2O*kgtoGg,"ERROR"))</f>
        <v>6.1748058507407479E-2</v>
      </c>
      <c r="AP1126" s="94">
        <f>IF('Net zero activities &amp; levers'!$C$14="Off",'Activity data'!BI56*ManureNEF*NtoN2O*kgtoGg,IF('Net zero activities &amp; levers'!$C$14="On",'Net zero Activity data'!BI56*ManureNEF*NtoN2O*kgtoGg,"ERROR"))</f>
        <v>6.1815315922285695E-2</v>
      </c>
      <c r="AQ1126" s="94">
        <f>IF('Net zero activities &amp; levers'!$C$14="Off",'Activity data'!BJ56*ManureNEF*NtoN2O*kgtoGg,IF('Net zero activities &amp; levers'!$C$14="On",'Net zero Activity data'!BJ56*ManureNEF*NtoN2O*kgtoGg,"ERROR"))</f>
        <v>6.1887761342917867E-2</v>
      </c>
      <c r="AR1126" s="94">
        <f>IF('Net zero activities &amp; levers'!$C$14="Off",'Activity data'!BK56*ManureNEF*NtoN2O*kgtoGg,IF('Net zero activities &amp; levers'!$C$14="On",'Net zero Activity data'!BK56*ManureNEF*NtoN2O*kgtoGg,"ERROR"))</f>
        <v>6.1965393268001254E-2</v>
      </c>
      <c r="AS1126" s="94">
        <f>IF('Net zero activities &amp; levers'!$C$14="Off",'Activity data'!BL56*ManureNEF*NtoN2O*kgtoGg,IF('Net zero activities &amp; levers'!$C$14="On",'Net zero Activity data'!BL56*ManureNEF*NtoN2O*kgtoGg,"ERROR"))</f>
        <v>6.2000613011444994E-2</v>
      </c>
      <c r="AT1126" s="94">
        <f>IF('Net zero activities &amp; levers'!$C$14="Off",'Activity data'!BM56*ManureNEF*NtoN2O*kgtoGg,IF('Net zero activities &amp; levers'!$C$14="On",'Net zero Activity data'!BM56*ManureNEF*NtoN2O*kgtoGg,"ERROR"))</f>
        <v>6.2023309807671526E-2</v>
      </c>
      <c r="AU1126" s="94">
        <f>IF('Net zero activities &amp; levers'!$C$14="Off",'Activity data'!BN56*ManureNEF*NtoN2O*kgtoGg,IF('Net zero activities &amp; levers'!$C$14="On",'Net zero Activity data'!BN56*ManureNEF*NtoN2O*kgtoGg,"ERROR"))</f>
        <v>6.2048189785904866E-2</v>
      </c>
      <c r="AV1126" s="94">
        <f>IF('Net zero activities &amp; levers'!$C$14="Off",'Activity data'!BO56*ManureNEF*NtoN2O*kgtoGg,IF('Net zero activities &amp; levers'!$C$14="On",'Net zero Activity data'!BO56*ManureNEF*NtoN2O*kgtoGg,"ERROR"))</f>
        <v>6.2074469713562223E-2</v>
      </c>
      <c r="AW1126" s="94">
        <f>IF('Net zero activities &amp; levers'!$C$14="Off",'Activity data'!BP56*ManureNEF*NtoN2O*kgtoGg,IF('Net zero activities &amp; levers'!$C$14="On",'Net zero Activity data'!BP56*ManureNEF*NtoN2O*kgtoGg,"ERROR"))</f>
        <v>6.2103581129763968E-2</v>
      </c>
      <c r="AY1126" s="79"/>
    </row>
    <row r="1127" spans="1:51" x14ac:dyDescent="0.3">
      <c r="A1127" s="95" t="str">
        <f t="shared" si="374"/>
        <v>CM Organic</v>
      </c>
      <c r="B1127" s="95" t="s">
        <v>1322</v>
      </c>
      <c r="C1127" s="95" t="s">
        <v>1127</v>
      </c>
      <c r="D1127" t="s">
        <v>369</v>
      </c>
      <c r="E1127" t="s">
        <v>55</v>
      </c>
      <c r="F1127" t="s">
        <v>421</v>
      </c>
      <c r="G1127" t="s">
        <v>1166</v>
      </c>
      <c r="H1127" t="s">
        <v>1167</v>
      </c>
      <c r="I1127" t="s">
        <v>139</v>
      </c>
      <c r="J1127" t="s">
        <v>287</v>
      </c>
      <c r="K1127" s="94">
        <f>IF('Net zero activities &amp; levers'!$C$14="Off",'Activity data'!AD57*ManureNEF*NtoN2O*kgtoGg,IF('Net zero activities &amp; levers'!$C$14="On",'Net zero Activity data'!AD57*ManureNEF*NtoN2O*kgtoGg,"ERROR"))</f>
        <v>4.7496930236945983E-2</v>
      </c>
      <c r="L1127" s="94">
        <f>IF('Net zero activities &amp; levers'!$C$14="Off",'Activity data'!AE57*ManureNEF*NtoN2O*kgtoGg,IF('Net zero activities &amp; levers'!$C$14="On",'Net zero Activity data'!AE57*ManureNEF*NtoN2O*kgtoGg,"ERROR"))</f>
        <v>4.7522611675988952E-2</v>
      </c>
      <c r="M1127" s="94">
        <f>IF('Net zero activities &amp; levers'!$C$14="Off",'Activity data'!AF57*ManureNEF*NtoN2O*kgtoGg,IF('Net zero activities &amp; levers'!$C$14="On",'Net zero Activity data'!AF57*ManureNEF*NtoN2O*kgtoGg,"ERROR"))</f>
        <v>4.7584015033260249E-2</v>
      </c>
      <c r="N1127" s="94">
        <f>IF('Net zero activities &amp; levers'!$C$14="Off",'Activity data'!AG57*ManureNEF*NtoN2O*kgtoGg,IF('Net zero activities &amp; levers'!$C$14="On",'Net zero Activity data'!AG57*ManureNEF*NtoN2O*kgtoGg,"ERROR"))</f>
        <v>4.7674554775764919E-2</v>
      </c>
      <c r="O1127" s="94">
        <f>IF('Net zero activities &amp; levers'!$C$14="Off",'Activity data'!AH57*ManureNEF*NtoN2O*kgtoGg,IF('Net zero activities &amp; levers'!$C$14="On",'Net zero Activity data'!AH57*ManureNEF*NtoN2O*kgtoGg,"ERROR"))</f>
        <v>4.7793655551108268E-2</v>
      </c>
      <c r="P1127" s="94">
        <f>IF('Net zero activities &amp; levers'!$C$14="Off",'Activity data'!AI57*ManureNEF*NtoN2O*kgtoGg,IF('Net zero activities &amp; levers'!$C$14="On",'Net zero Activity data'!AI57*ManureNEF*NtoN2O*kgtoGg,"ERROR"))</f>
        <v>4.7940059704389672E-2</v>
      </c>
      <c r="Q1127" s="94">
        <f>IF('Net zero activities &amp; levers'!$C$14="Off",'Activity data'!AJ57*ManureNEF*NtoN2O*kgtoGg,IF('Net zero activities &amp; levers'!$C$14="On",'Net zero Activity data'!AJ57*ManureNEF*NtoN2O*kgtoGg,"ERROR"))</f>
        <v>4.8104491552124547E-2</v>
      </c>
      <c r="R1127" s="94">
        <f>IF('Net zero activities &amp; levers'!$C$14="Off",'Activity data'!AK57*ManureNEF*NtoN2O*kgtoGg,IF('Net zero activities &amp; levers'!$C$14="On",'Net zero Activity data'!AK57*ManureNEF*NtoN2O*kgtoGg,"ERROR"))</f>
        <v>4.8285912978158388E-2</v>
      </c>
      <c r="S1127" s="94">
        <f>IF('Net zero activities &amp; levers'!$C$14="Off",'Activity data'!AL57*ManureNEF*NtoN2O*kgtoGg,IF('Net zero activities &amp; levers'!$C$14="On",'Net zero Activity data'!AL57*ManureNEF*NtoN2O*kgtoGg,"ERROR"))</f>
        <v>4.8451812884003569E-2</v>
      </c>
      <c r="T1127" s="94">
        <f>IF('Net zero activities &amp; levers'!$C$14="Off",'Activity data'!AM57*ManureNEF*NtoN2O*kgtoGg,IF('Net zero activities &amp; levers'!$C$14="On",'Net zero Activity data'!AM57*ManureNEF*NtoN2O*kgtoGg,"ERROR"))</f>
        <v>4.8524713319004827E-2</v>
      </c>
      <c r="U1127" s="94">
        <f>IF('Net zero activities &amp; levers'!$C$14="Off",'Activity data'!AN57*ManureNEF*NtoN2O*kgtoGg,IF('Net zero activities &amp; levers'!$C$14="On",'Net zero Activity data'!AN57*ManureNEF*NtoN2O*kgtoGg,"ERROR"))</f>
        <v>4.8613740411504645E-2</v>
      </c>
      <c r="V1127" s="94">
        <f>IF('Net zero activities &amp; levers'!$C$14="Off",'Activity data'!AO57*ManureNEF*NtoN2O*kgtoGg,IF('Net zero activities &amp; levers'!$C$14="On",'Net zero Activity data'!AO57*ManureNEF*NtoN2O*kgtoGg,"ERROR"))</f>
        <v>4.8707314834861425E-2</v>
      </c>
      <c r="W1127" s="94">
        <f>IF('Net zero activities &amp; levers'!$C$14="Off",'Activity data'!AP57*ManureNEF*NtoN2O*kgtoGg,IF('Net zero activities &amp; levers'!$C$14="On",'Net zero Activity data'!AP57*ManureNEF*NtoN2O*kgtoGg,"ERROR"))</f>
        <v>4.8812372102251839E-2</v>
      </c>
      <c r="X1127" s="94">
        <f>IF('Net zero activities &amp; levers'!$C$14="Off",'Activity data'!AQ57*ManureNEF*NtoN2O*kgtoGg,IF('Net zero activities &amp; levers'!$C$14="On",'Net zero Activity data'!AQ57*ManureNEF*NtoN2O*kgtoGg,"ERROR"))</f>
        <v>4.8928618261364118E-2</v>
      </c>
      <c r="Y1127" s="94">
        <f>IF('Net zero activities &amp; levers'!$C$14="Off",'Activity data'!AR57*ManureNEF*NtoN2O*kgtoGg,IF('Net zero activities &amp; levers'!$C$14="On",'Net zero Activity data'!AR57*ManureNEF*NtoN2O*kgtoGg,"ERROR"))</f>
        <v>4.9001216914416376E-2</v>
      </c>
      <c r="Z1127" s="94">
        <f>IF('Net zero activities &amp; levers'!$C$14="Off",'Activity data'!AS57*ManureNEF*NtoN2O*kgtoGg,IF('Net zero activities &amp; levers'!$C$14="On",'Net zero Activity data'!AS57*ManureNEF*NtoN2O*kgtoGg,"ERROR"))</f>
        <v>4.908323498885471E-2</v>
      </c>
      <c r="AA1127" s="94">
        <f>IF('Net zero activities &amp; levers'!$C$14="Off",'Activity data'!AT57*ManureNEF*NtoN2O*kgtoGg,IF('Net zero activities &amp; levers'!$C$14="On",'Net zero Activity data'!AT57*ManureNEF*NtoN2O*kgtoGg,"ERROR"))</f>
        <v>4.9173564238571964E-2</v>
      </c>
      <c r="AB1127" s="94">
        <f>IF('Net zero activities &amp; levers'!$C$14="Off",'Activity data'!AU57*ManureNEF*NtoN2O*kgtoGg,IF('Net zero activities &amp; levers'!$C$14="On",'Net zero Activity data'!AU57*ManureNEF*NtoN2O*kgtoGg,"ERROR"))</f>
        <v>4.9272453037208674E-2</v>
      </c>
      <c r="AC1127" s="94">
        <f>IF('Net zero activities &amp; levers'!$C$14="Off",'Activity data'!AV57*ManureNEF*NtoN2O*kgtoGg,IF('Net zero activities &amp; levers'!$C$14="On",'Net zero Activity data'!AV57*ManureNEF*NtoN2O*kgtoGg,"ERROR"))</f>
        <v>4.9378880703714607E-2</v>
      </c>
      <c r="AD1127" s="94">
        <f>IF('Net zero activities &amp; levers'!$C$14="Off",'Activity data'!AW57*ManureNEF*NtoN2O*kgtoGg,IF('Net zero activities &amp; levers'!$C$14="On",'Net zero Activity data'!AW57*ManureNEF*NtoN2O*kgtoGg,"ERROR"))</f>
        <v>4.9450274007947166E-2</v>
      </c>
      <c r="AE1127" s="94">
        <f>IF('Net zero activities &amp; levers'!$C$14="Off",'Activity data'!AX57*ManureNEF*NtoN2O*kgtoGg,IF('Net zero activities &amp; levers'!$C$14="On",'Net zero Activity data'!AX57*ManureNEF*NtoN2O*kgtoGg,"ERROR"))</f>
        <v>4.9527779551040076E-2</v>
      </c>
      <c r="AF1127" s="94">
        <f>IF('Net zero activities &amp; levers'!$C$14="Off",'Activity data'!AY57*ManureNEF*NtoN2O*kgtoGg,IF('Net zero activities &amp; levers'!$C$14="On",'Net zero Activity data'!AY57*ManureNEF*NtoN2O*kgtoGg,"ERROR"))</f>
        <v>4.9612020350622385E-2</v>
      </c>
      <c r="AG1127" s="94">
        <f>IF('Net zero activities &amp; levers'!$C$14="Off",'Activity data'!AZ57*ManureNEF*NtoN2O*kgtoGg,IF('Net zero activities &amp; levers'!$C$14="On",'Net zero Activity data'!AZ57*ManureNEF*NtoN2O*kgtoGg,"ERROR"))</f>
        <v>4.9703818732780645E-2</v>
      </c>
      <c r="AH1127" s="94">
        <f>IF('Net zero activities &amp; levers'!$C$14="Off",'Activity data'!BA57*ManureNEF*NtoN2O*kgtoGg,IF('Net zero activities &amp; levers'!$C$14="On",'Net zero Activity data'!BA57*ManureNEF*NtoN2O*kgtoGg,"ERROR"))</f>
        <v>4.9800418179697173E-2</v>
      </c>
      <c r="AI1127" s="94">
        <f>IF('Net zero activities &amp; levers'!$C$14="Off",'Activity data'!BB57*ManureNEF*NtoN2O*kgtoGg,IF('Net zero activities &amp; levers'!$C$14="On",'Net zero Activity data'!BB57*ManureNEF*NtoN2O*kgtoGg,"ERROR"))</f>
        <v>4.9862164239042377E-2</v>
      </c>
      <c r="AJ1127" s="94">
        <f>IF('Net zero activities &amp; levers'!$C$14="Off",'Activity data'!BC57*ManureNEF*NtoN2O*kgtoGg,IF('Net zero activities &amp; levers'!$C$14="On",'Net zero Activity data'!BC57*ManureNEF*NtoN2O*kgtoGg,"ERROR"))</f>
        <v>4.992979677227443E-2</v>
      </c>
      <c r="AK1127" s="94">
        <f>IF('Net zero activities &amp; levers'!$C$14="Off",'Activity data'!BD57*ManureNEF*NtoN2O*kgtoGg,IF('Net zero activities &amp; levers'!$C$14="On",'Net zero Activity data'!BD57*ManureNEF*NtoN2O*kgtoGg,"ERROR"))</f>
        <v>5.0001085117194859E-2</v>
      </c>
      <c r="AL1127" s="94">
        <f>IF('Net zero activities &amp; levers'!$C$14="Off",'Activity data'!BE57*ManureNEF*NtoN2O*kgtoGg,IF('Net zero activities &amp; levers'!$C$14="On",'Net zero Activity data'!BE57*ManureNEF*NtoN2O*kgtoGg,"ERROR"))</f>
        <v>5.0076788210912958E-2</v>
      </c>
      <c r="AM1127" s="94">
        <f>IF('Net zero activities &amp; levers'!$C$14="Off",'Activity data'!BF57*ManureNEF*NtoN2O*kgtoGg,IF('Net zero activities &amp; levers'!$C$14="On",'Net zero Activity data'!BF57*ManureNEF*NtoN2O*kgtoGg,"ERROR"))</f>
        <v>5.0156791270960163E-2</v>
      </c>
      <c r="AN1127" s="94">
        <f>IF('Net zero activities &amp; levers'!$C$14="Off",'Activity data'!BG57*ManureNEF*NtoN2O*kgtoGg,IF('Net zero activities &amp; levers'!$C$14="On",'Net zero Activity data'!BG57*ManureNEF*NtoN2O*kgtoGg,"ERROR"))</f>
        <v>5.0204062997244822E-2</v>
      </c>
      <c r="AO1127" s="94">
        <f>IF('Net zero activities &amp; levers'!$C$14="Off",'Activity data'!BH57*ManureNEF*NtoN2O*kgtoGg,IF('Net zero activities &amp; levers'!$C$14="On",'Net zero Activity data'!BH57*ManureNEF*NtoN2O*kgtoGg,"ERROR"))</f>
        <v>5.0254526138690123E-2</v>
      </c>
      <c r="AP1127" s="94">
        <f>IF('Net zero activities &amp; levers'!$C$14="Off",'Activity data'!BI57*ManureNEF*NtoN2O*kgtoGg,IF('Net zero activities &amp; levers'!$C$14="On",'Net zero Activity data'!BI57*ManureNEF*NtoN2O*kgtoGg,"ERROR"))</f>
        <v>5.0309264532021343E-2</v>
      </c>
      <c r="AQ1127" s="94">
        <f>IF('Net zero activities &amp; levers'!$C$14="Off",'Activity data'!BJ57*ManureNEF*NtoN2O*kgtoGg,IF('Net zero activities &amp; levers'!$C$14="On",'Net zero Activity data'!BJ57*ManureNEF*NtoN2O*kgtoGg,"ERROR"))</f>
        <v>5.036822525682455E-2</v>
      </c>
      <c r="AR1127" s="94">
        <f>IF('Net zero activities &amp; levers'!$C$14="Off",'Activity data'!BK57*ManureNEF*NtoN2O*kgtoGg,IF('Net zero activities &amp; levers'!$C$14="On",'Net zero Activity data'!BK57*ManureNEF*NtoN2O*kgtoGg,"ERROR"))</f>
        <v>5.0431407091243406E-2</v>
      </c>
      <c r="AS1127" s="94">
        <f>IF('Net zero activities &amp; levers'!$C$14="Off",'Activity data'!BL57*ManureNEF*NtoN2O*kgtoGg,IF('Net zero activities &amp; levers'!$C$14="On",'Net zero Activity data'!BL57*ManureNEF*NtoN2O*kgtoGg,"ERROR"))</f>
        <v>5.0460071174945387E-2</v>
      </c>
      <c r="AT1127" s="94">
        <f>IF('Net zero activities &amp; levers'!$C$14="Off",'Activity data'!BM57*ManureNEF*NtoN2O*kgtoGg,IF('Net zero activities &amp; levers'!$C$14="On",'Net zero Activity data'!BM57*ManureNEF*NtoN2O*kgtoGg,"ERROR"))</f>
        <v>5.0478543281871534E-2</v>
      </c>
      <c r="AU1127" s="94">
        <f>IF('Net zero activities &amp; levers'!$C$14="Off",'Activity data'!BN57*ManureNEF*NtoN2O*kgtoGg,IF('Net zero activities &amp; levers'!$C$14="On",'Net zero Activity data'!BN57*ManureNEF*NtoN2O*kgtoGg,"ERROR"))</f>
        <v>5.0498792202188725E-2</v>
      </c>
      <c r="AV1127" s="94">
        <f>IF('Net zero activities &amp; levers'!$C$14="Off",'Activity data'!BO57*ManureNEF*NtoN2O*kgtoGg,IF('Net zero activities &amp; levers'!$C$14="On",'Net zero Activity data'!BO57*ManureNEF*NtoN2O*kgtoGg,"ERROR"))</f>
        <v>5.0520180491040283E-2</v>
      </c>
      <c r="AW1127" s="94">
        <f>IF('Net zero activities &amp; levers'!$C$14="Off",'Activity data'!BP57*ManureNEF*NtoN2O*kgtoGg,IF('Net zero activities &amp; levers'!$C$14="On",'Net zero Activity data'!BP57*ManureNEF*NtoN2O*kgtoGg,"ERROR"))</f>
        <v>5.0543873226679401E-2</v>
      </c>
      <c r="AY1127" s="79"/>
    </row>
    <row r="1128" spans="1:51" x14ac:dyDescent="0.3">
      <c r="A1128" s="95" t="str">
        <f t="shared" si="374"/>
        <v>CM Organic</v>
      </c>
      <c r="B1128" s="95" t="s">
        <v>1322</v>
      </c>
      <c r="C1128" s="95" t="s">
        <v>1127</v>
      </c>
      <c r="D1128" t="s">
        <v>369</v>
      </c>
      <c r="E1128" t="s">
        <v>55</v>
      </c>
      <c r="F1128" t="s">
        <v>421</v>
      </c>
      <c r="G1128" t="s">
        <v>1168</v>
      </c>
      <c r="H1128" t="s">
        <v>1169</v>
      </c>
      <c r="I1128" t="s">
        <v>139</v>
      </c>
      <c r="J1128" t="s">
        <v>287</v>
      </c>
      <c r="K1128" s="94">
        <f>IF('Net zero activities &amp; levers'!$C$14="Off",'Activity data'!AD58*ManureNEF*NtoN2O*kgtoGg,IF('Net zero activities &amp; levers'!$C$14="On",'Net zero Activity data'!AD58*ManureNEF*NtoN2O*kgtoGg,"ERROR"))</f>
        <v>7.214092738049376E-3</v>
      </c>
      <c r="L1128" s="94">
        <f>IF('Net zero activities &amp; levers'!$C$14="Off",'Activity data'!AE58*ManureNEF*NtoN2O*kgtoGg,IF('Net zero activities &amp; levers'!$C$14="On",'Net zero Activity data'!AE58*ManureNEF*NtoN2O*kgtoGg,"ERROR"))</f>
        <v>7.2328458969643655E-3</v>
      </c>
      <c r="M1128" s="94">
        <f>IF('Net zero activities &amp; levers'!$C$14="Off",'Activity data'!AF58*ManureNEF*NtoN2O*kgtoGg,IF('Net zero activities &amp; levers'!$C$14="On",'Net zero Activity data'!AF58*ManureNEF*NtoN2O*kgtoGg,"ERROR"))</f>
        <v>7.2587152169743185E-3</v>
      </c>
      <c r="N1128" s="94">
        <f>IF('Net zero activities &amp; levers'!$C$14="Off",'Activity data'!AG58*ManureNEF*NtoN2O*kgtoGg,IF('Net zero activities &amp; levers'!$C$14="On",'Net zero Activity data'!AG58*ManureNEF*NtoN2O*kgtoGg,"ERROR"))</f>
        <v>7.2902308808567374E-3</v>
      </c>
      <c r="O1128" s="94">
        <f>IF('Net zero activities &amp; levers'!$C$14="Off",'Activity data'!AH58*ManureNEF*NtoN2O*kgtoGg,IF('Net zero activities &amp; levers'!$C$14="On",'Net zero Activity data'!AH58*ManureNEF*NtoN2O*kgtoGg,"ERROR"))</f>
        <v>7.3273479389297461E-3</v>
      </c>
      <c r="P1128" s="94">
        <f>IF('Net zero activities &amp; levers'!$C$14="Off",'Activity data'!AI58*ManureNEF*NtoN2O*kgtoGg,IF('Net zero activities &amp; levers'!$C$14="On",'Net zero Activity data'!AI58*ManureNEF*NtoN2O*kgtoGg,"ERROR"))</f>
        <v>7.3698404773103405E-3</v>
      </c>
      <c r="Q1128" s="94">
        <f>IF('Net zero activities &amp; levers'!$C$14="Off",'Activity data'!AJ58*ManureNEF*NtoN2O*kgtoGg,IF('Net zero activities &amp; levers'!$C$14="On",'Net zero Activity data'!AJ58*ManureNEF*NtoN2O*kgtoGg,"ERROR"))</f>
        <v>7.4155715935563154E-3</v>
      </c>
      <c r="R1128" s="94">
        <f>IF('Net zero activities &amp; levers'!$C$14="Off",'Activity data'!AK58*ManureNEF*NtoN2O*kgtoGg,IF('Net zero activities &amp; levers'!$C$14="On",'Net zero Activity data'!AK58*ManureNEF*NtoN2O*kgtoGg,"ERROR"))</f>
        <v>7.4643602602570466E-3</v>
      </c>
      <c r="S1128" s="94">
        <f>IF('Net zero activities &amp; levers'!$C$14="Off",'Activity data'!AL58*ManureNEF*NtoN2O*kgtoGg,IF('Net zero activities &amp; levers'!$C$14="On",'Net zero Activity data'!AL58*ManureNEF*NtoN2O*kgtoGg,"ERROR"))</f>
        <v>7.508606055628168E-3</v>
      </c>
      <c r="T1128" s="94">
        <f>IF('Net zero activities &amp; levers'!$C$14="Off",'Activity data'!AM58*ManureNEF*NtoN2O*kgtoGg,IF('Net zero activities &amp; levers'!$C$14="On",'Net zero Activity data'!AM58*ManureNEF*NtoN2O*kgtoGg,"ERROR"))</f>
        <v>7.530218392894506E-3</v>
      </c>
      <c r="U1128" s="94">
        <f>IF('Net zero activities &amp; levers'!$C$14="Off",'Activity data'!AN58*ManureNEF*NtoN2O*kgtoGg,IF('Net zero activities &amp; levers'!$C$14="On",'Net zero Activity data'!AN58*ManureNEF*NtoN2O*kgtoGg,"ERROR"))</f>
        <v>7.5549909541397786E-3</v>
      </c>
      <c r="V1128" s="94">
        <f>IF('Net zero activities &amp; levers'!$C$14="Off",'Activity data'!AO58*ManureNEF*NtoN2O*kgtoGg,IF('Net zero activities &amp; levers'!$C$14="On",'Net zero Activity data'!AO58*ManureNEF*NtoN2O*kgtoGg,"ERROR"))</f>
        <v>7.5802429112896688E-3</v>
      </c>
      <c r="W1128" s="94">
        <f>IF('Net zero activities &amp; levers'!$C$14="Off",'Activity data'!AP58*ManureNEF*NtoN2O*kgtoGg,IF('Net zero activities &amp; levers'!$C$14="On",'Net zero Activity data'!AP58*ManureNEF*NtoN2O*kgtoGg,"ERROR"))</f>
        <v>7.6076305558180233E-3</v>
      </c>
      <c r="X1128" s="94">
        <f>IF('Net zero activities &amp; levers'!$C$14="Off",'Activity data'!AQ58*ManureNEF*NtoN2O*kgtoGg,IF('Net zero activities &amp; levers'!$C$14="On",'Net zero Activity data'!AQ58*ManureNEF*NtoN2O*kgtoGg,"ERROR"))</f>
        <v>7.6371086242101958E-3</v>
      </c>
      <c r="Y1128" s="94">
        <f>IF('Net zero activities &amp; levers'!$C$14="Off",'Activity data'!AR58*ManureNEF*NtoN2O*kgtoGg,IF('Net zero activities &amp; levers'!$C$14="On",'Net zero Activity data'!AR58*ManureNEF*NtoN2O*kgtoGg,"ERROR"))</f>
        <v>7.6559732990994986E-3</v>
      </c>
      <c r="Z1128" s="94">
        <f>IF('Net zero activities &amp; levers'!$C$14="Off",'Activity data'!AS58*ManureNEF*NtoN2O*kgtoGg,IF('Net zero activities &amp; levers'!$C$14="On",'Net zero Activity data'!AS58*ManureNEF*NtoN2O*kgtoGg,"ERROR"))</f>
        <v>7.6766122997346123E-3</v>
      </c>
      <c r="AA1128" s="94">
        <f>IF('Net zero activities &amp; levers'!$C$14="Off",'Activity data'!AT58*ManureNEF*NtoN2O*kgtoGg,IF('Net zero activities &amp; levers'!$C$14="On",'Net zero Activity data'!AT58*ManureNEF*NtoN2O*kgtoGg,"ERROR"))</f>
        <v>7.6987842276677087E-3</v>
      </c>
      <c r="AB1128" s="94">
        <f>IF('Net zero activities &amp; levers'!$C$14="Off",'Activity data'!AU58*ManureNEF*NtoN2O*kgtoGg,IF('Net zero activities &amp; levers'!$C$14="On",'Net zero Activity data'!AU58*ManureNEF*NtoN2O*kgtoGg,"ERROR"))</f>
        <v>7.7225602786557407E-3</v>
      </c>
      <c r="AC1128" s="94">
        <f>IF('Net zero activities &amp; levers'!$C$14="Off",'Activity data'!AV58*ManureNEF*NtoN2O*kgtoGg,IF('Net zero activities &amp; levers'!$C$14="On",'Net zero Activity data'!AV58*ManureNEF*NtoN2O*kgtoGg,"ERROR"))</f>
        <v>7.7477172000671966E-3</v>
      </c>
      <c r="AD1128" s="94">
        <f>IF('Net zero activities &amp; levers'!$C$14="Off",'Activity data'!AW58*ManureNEF*NtoN2O*kgtoGg,IF('Net zero activities &amp; levers'!$C$14="On",'Net zero Activity data'!AW58*ManureNEF*NtoN2O*kgtoGg,"ERROR"))</f>
        <v>7.7644940114083667E-3</v>
      </c>
      <c r="AE1128" s="94">
        <f>IF('Net zero activities &amp; levers'!$C$14="Off",'Activity data'!AX58*ManureNEF*NtoN2O*kgtoGg,IF('Net zero activities &amp; levers'!$C$14="On",'Net zero Activity data'!AX58*ManureNEF*NtoN2O*kgtoGg,"ERROR"))</f>
        <v>7.7823854824558272E-3</v>
      </c>
      <c r="AF1128" s="94">
        <f>IF('Net zero activities &amp; levers'!$C$14="Off",'Activity data'!AY58*ManureNEF*NtoN2O*kgtoGg,IF('Net zero activities &amp; levers'!$C$14="On",'Net zero Activity data'!AY58*ManureNEF*NtoN2O*kgtoGg,"ERROR"))</f>
        <v>7.8015430548696758E-3</v>
      </c>
      <c r="AG1128" s="94">
        <f>IF('Net zero activities &amp; levers'!$C$14="Off",'Activity data'!AZ58*ManureNEF*NtoN2O*kgtoGg,IF('Net zero activities &amp; levers'!$C$14="On",'Net zero Activity data'!AZ58*ManureNEF*NtoN2O*kgtoGg,"ERROR"))</f>
        <v>7.8221613065677827E-3</v>
      </c>
      <c r="AH1128" s="94">
        <f>IF('Net zero activities &amp; levers'!$C$14="Off",'Activity data'!BA58*ManureNEF*NtoN2O*kgtoGg,IF('Net zero activities &amp; levers'!$C$14="On",'Net zero Activity data'!BA58*ManureNEF*NtoN2O*kgtoGg,"ERROR"))</f>
        <v>7.8436173383695379E-3</v>
      </c>
      <c r="AI1128" s="94">
        <f>IF('Net zero activities &amp; levers'!$C$14="Off",'Activity data'!BB58*ManureNEF*NtoN2O*kgtoGg,IF('Net zero activities &amp; levers'!$C$14="On",'Net zero Activity data'!BB58*ManureNEF*NtoN2O*kgtoGg,"ERROR"))</f>
        <v>7.8569056109017259E-3</v>
      </c>
      <c r="AJ1128" s="94">
        <f>IF('Net zero activities &amp; levers'!$C$14="Off",'Activity data'!BC58*ManureNEF*NtoN2O*kgtoGg,IF('Net zero activities &amp; levers'!$C$14="On",'Net zero Activity data'!BC58*ManureNEF*NtoN2O*kgtoGg,"ERROR"))</f>
        <v>7.8713258060749292E-3</v>
      </c>
      <c r="AK1128" s="94">
        <f>IF('Net zero activities &amp; levers'!$C$14="Off",'Activity data'!BD58*ManureNEF*NtoN2O*kgtoGg,IF('Net zero activities &amp; levers'!$C$14="On",'Net zero Activity data'!BD58*ManureNEF*NtoN2O*kgtoGg,"ERROR"))</f>
        <v>7.8863764085469988E-3</v>
      </c>
      <c r="AL1128" s="94">
        <f>IF('Net zero activities &amp; levers'!$C$14="Off",'Activity data'!BE58*ManureNEF*NtoN2O*kgtoGg,IF('Net zero activities &amp; levers'!$C$14="On",'Net zero Activity data'!BE58*ManureNEF*NtoN2O*kgtoGg,"ERROR"))</f>
        <v>7.9022347099283879E-3</v>
      </c>
      <c r="AM1128" s="94">
        <f>IF('Net zero activities &amp; levers'!$C$14="Off",'Activity data'!BF58*ManureNEF*NtoN2O*kgtoGg,IF('Net zero activities &amp; levers'!$C$14="On",'Net zero Activity data'!BF58*ManureNEF*NtoN2O*kgtoGg,"ERROR"))</f>
        <v>7.9188789980088534E-3</v>
      </c>
      <c r="AN1128" s="94">
        <f>IF('Net zero activities &amp; levers'!$C$14="Off",'Activity data'!BG58*ManureNEF*NtoN2O*kgtoGg,IF('Net zero activities &amp; levers'!$C$14="On",'Net zero Activity data'!BG58*ManureNEF*NtoN2O*kgtoGg,"ERROR"))</f>
        <v>7.927972418898541E-3</v>
      </c>
      <c r="AO1128" s="94">
        <f>IF('Net zero activities &amp; levers'!$C$14="Off",'Activity data'!BH58*ManureNEF*NtoN2O*kgtoGg,IF('Net zero activities &amp; levers'!$C$14="On",'Net zero Activity data'!BH58*ManureNEF*NtoN2O*kgtoGg,"ERROR"))</f>
        <v>7.9376387015817219E-3</v>
      </c>
      <c r="AP1128" s="94">
        <f>IF('Net zero activities &amp; levers'!$C$14="Off",'Activity data'!BI58*ManureNEF*NtoN2O*kgtoGg,IF('Net zero activities &amp; levers'!$C$14="On",'Net zero Activity data'!BI58*ManureNEF*NtoN2O*kgtoGg,"ERROR"))</f>
        <v>7.9481245993818089E-3</v>
      </c>
      <c r="AQ1128" s="94">
        <f>IF('Net zero activities &amp; levers'!$C$14="Off",'Activity data'!BJ58*ManureNEF*NtoN2O*kgtoGg,IF('Net zero activities &amp; levers'!$C$14="On",'Net zero Activity data'!BJ58*ManureNEF*NtoN2O*kgtoGg,"ERROR"))</f>
        <v>7.9594200977915561E-3</v>
      </c>
      <c r="AR1128" s="94">
        <f>IF('Net zero activities &amp; levers'!$C$14="Off",'Activity data'!BK58*ManureNEF*NtoN2O*kgtoGg,IF('Net zero activities &amp; levers'!$C$14="On",'Net zero Activity data'!BK58*ManureNEF*NtoN2O*kgtoGg,"ERROR"))</f>
        <v>7.9715264998755E-3</v>
      </c>
      <c r="AS1128" s="94">
        <f>IF('Net zero activities &amp; levers'!$C$14="Off",'Activity data'!BL58*ManureNEF*NtoN2O*kgtoGg,IF('Net zero activities &amp; levers'!$C$14="On",'Net zero Activity data'!BL58*ManureNEF*NtoN2O*kgtoGg,"ERROR"))</f>
        <v>7.9757936370942299E-3</v>
      </c>
      <c r="AT1128" s="94">
        <f>IF('Net zero activities &amp; levers'!$C$14="Off",'Activity data'!BM58*ManureNEF*NtoN2O*kgtoGg,IF('Net zero activities &amp; levers'!$C$14="On",'Net zero Activity data'!BM58*ManureNEF*NtoN2O*kgtoGg,"ERROR"))</f>
        <v>7.9776886737032964E-3</v>
      </c>
      <c r="AU1128" s="94">
        <f>IF('Net zero activities &amp; levers'!$C$14="Off",'Activity data'!BN58*ManureNEF*NtoN2O*kgtoGg,IF('Net zero activities &amp; levers'!$C$14="On",'Net zero Activity data'!BN58*ManureNEF*NtoN2O*kgtoGg,"ERROR"))</f>
        <v>7.979891666850529E-3</v>
      </c>
      <c r="AV1128" s="94">
        <f>IF('Net zero activities &amp; levers'!$C$14="Off",'Activity data'!BO58*ManureNEF*NtoN2O*kgtoGg,IF('Net zero activities &amp; levers'!$C$14="On",'Net zero Activity data'!BO58*ManureNEF*NtoN2O*kgtoGg,"ERROR"))</f>
        <v>7.9822633621210899E-3</v>
      </c>
      <c r="AW1128" s="94">
        <f>IF('Net zero activities &amp; levers'!$C$14="Off",'Activity data'!BP58*ManureNEF*NtoN2O*kgtoGg,IF('Net zero activities &amp; levers'!$C$14="On",'Net zero Activity data'!BP58*ManureNEF*NtoN2O*kgtoGg,"ERROR"))</f>
        <v>7.9850651414760491E-3</v>
      </c>
      <c r="AY1128" s="79"/>
    </row>
    <row r="1129" spans="1:51" x14ac:dyDescent="0.3">
      <c r="A1129" s="95" t="str">
        <f t="shared" si="374"/>
        <v>CM Organic</v>
      </c>
      <c r="B1129" s="95" t="s">
        <v>1322</v>
      </c>
      <c r="C1129" s="95" t="s">
        <v>1127</v>
      </c>
      <c r="D1129" t="s">
        <v>369</v>
      </c>
      <c r="E1129" t="s">
        <v>55</v>
      </c>
      <c r="F1129" t="s">
        <v>421</v>
      </c>
      <c r="G1129" t="s">
        <v>1170</v>
      </c>
      <c r="H1129" t="s">
        <v>1171</v>
      </c>
      <c r="I1129" t="s">
        <v>139</v>
      </c>
      <c r="J1129" t="s">
        <v>287</v>
      </c>
      <c r="K1129" s="94">
        <f>IF('Net zero activities &amp; levers'!$C$14="Off",'Activity data'!AD59*ManureNEF*NtoN2O*kgtoGg,IF('Net zero activities &amp; levers'!$C$14="On",'Net zero Activity data'!AD59*ManureNEF*NtoN2O*kgtoGg,"ERROR"))</f>
        <v>8.7045671471293537E-2</v>
      </c>
      <c r="L1129" s="94">
        <f>IF('Net zero activities &amp; levers'!$C$14="Off",'Activity data'!AE59*ManureNEF*NtoN2O*kgtoGg,IF('Net zero activities &amp; levers'!$C$14="On",'Net zero Activity data'!AE59*ManureNEF*NtoN2O*kgtoGg,"ERROR"))</f>
        <v>8.7271948200639354E-2</v>
      </c>
      <c r="M1129" s="94">
        <f>IF('Net zero activities &amp; levers'!$C$14="Off",'Activity data'!AF59*ManureNEF*NtoN2O*kgtoGg,IF('Net zero activities &amp; levers'!$C$14="On",'Net zero Activity data'!AF59*ManureNEF*NtoN2O*kgtoGg,"ERROR"))</f>
        <v>8.7584088952434122E-2</v>
      </c>
      <c r="N1129" s="94">
        <f>IF('Net zero activities &amp; levers'!$C$14="Off",'Activity data'!AG59*ManureNEF*NtoN2O*kgtoGg,IF('Net zero activities &amp; levers'!$C$14="On",'Net zero Activity data'!AG59*ManureNEF*NtoN2O*kgtoGg,"ERROR"))</f>
        <v>8.7964358824768829E-2</v>
      </c>
      <c r="O1129" s="94">
        <f>IF('Net zero activities &amp; levers'!$C$14="Off",'Activity data'!AH59*ManureNEF*NtoN2O*kgtoGg,IF('Net zero activities &amp; levers'!$C$14="On",'Net zero Activity data'!AH59*ManureNEF*NtoN2O*kgtoGg,"ERROR"))</f>
        <v>8.8412215452112072E-2</v>
      </c>
      <c r="P1129" s="94">
        <f>IF('Net zero activities &amp; levers'!$C$14="Off",'Activity data'!AI59*ManureNEF*NtoN2O*kgtoGg,IF('Net zero activities &amp; levers'!$C$14="On",'Net zero Activity data'!AI59*ManureNEF*NtoN2O*kgtoGg,"ERROR"))</f>
        <v>8.8924932944132923E-2</v>
      </c>
      <c r="Q1129" s="94">
        <f>IF('Net zero activities &amp; levers'!$C$14="Off",'Activity data'!AJ59*ManureNEF*NtoN2O*kgtoGg,IF('Net zero activities &amp; levers'!$C$14="On",'Net zero Activity data'!AJ59*ManureNEF*NtoN2O*kgtoGg,"ERROR"))</f>
        <v>8.9476727309038592E-2</v>
      </c>
      <c r="R1129" s="94">
        <f>IF('Net zero activities &amp; levers'!$C$14="Off",'Activity data'!AK59*ManureNEF*NtoN2O*kgtoGg,IF('Net zero activities &amp; levers'!$C$14="On",'Net zero Activity data'!AK59*ManureNEF*NtoN2O*kgtoGg,"ERROR"))</f>
        <v>9.0065414259340087E-2</v>
      </c>
      <c r="S1129" s="94">
        <f>IF('Net zero activities &amp; levers'!$C$14="Off",'Activity data'!AL59*ManureNEF*NtoN2O*kgtoGg,IF('Net zero activities &amp; levers'!$C$14="On",'Net zero Activity data'!AL59*ManureNEF*NtoN2O*kgtoGg,"ERROR"))</f>
        <v>9.0599286654346481E-2</v>
      </c>
      <c r="T1129" s="94">
        <f>IF('Net zero activities &amp; levers'!$C$14="Off",'Activity data'!AM59*ManureNEF*NtoN2O*kgtoGg,IF('Net zero activities &amp; levers'!$C$14="On",'Net zero Activity data'!AM59*ManureNEF*NtoN2O*kgtoGg,"ERROR"))</f>
        <v>9.0860062399505684E-2</v>
      </c>
      <c r="U1129" s="94">
        <f>IF('Net zero activities &amp; levers'!$C$14="Off",'Activity data'!AN59*ManureNEF*NtoN2O*kgtoGg,IF('Net zero activities &amp; levers'!$C$14="On",'Net zero Activity data'!AN59*ManureNEF*NtoN2O*kgtoGg,"ERROR"))</f>
        <v>9.1158969594901898E-2</v>
      </c>
      <c r="V1129" s="94">
        <f>IF('Net zero activities &amp; levers'!$C$14="Off",'Activity data'!AO59*ManureNEF*NtoN2O*kgtoGg,IF('Net zero activities &amp; levers'!$C$14="On",'Net zero Activity data'!AO59*ManureNEF*NtoN2O*kgtoGg,"ERROR"))</f>
        <v>9.146366120975781E-2</v>
      </c>
      <c r="W1129" s="94">
        <f>IF('Net zero activities &amp; levers'!$C$14="Off",'Activity data'!AP59*ManureNEF*NtoN2O*kgtoGg,IF('Net zero activities &amp; levers'!$C$14="On",'Net zero Activity data'!AP59*ManureNEF*NtoN2O*kgtoGg,"ERROR"))</f>
        <v>9.1794122155375246E-2</v>
      </c>
      <c r="X1129" s="94">
        <f>IF('Net zero activities &amp; levers'!$C$14="Off",'Activity data'!AQ59*ManureNEF*NtoN2O*kgtoGg,IF('Net zero activities &amp; levers'!$C$14="On",'Net zero Activity data'!AQ59*ManureNEF*NtoN2O*kgtoGg,"ERROR"))</f>
        <v>9.2149806279498009E-2</v>
      </c>
      <c r="Y1129" s="94">
        <f>IF('Net zero activities &amp; levers'!$C$14="Off",'Activity data'!AR59*ManureNEF*NtoN2O*kgtoGg,IF('Net zero activities &amp; levers'!$C$14="On",'Net zero Activity data'!AR59*ManureNEF*NtoN2O*kgtoGg,"ERROR"))</f>
        <v>9.2377428567213551E-2</v>
      </c>
      <c r="Z1129" s="94">
        <f>IF('Net zero activities &amp; levers'!$C$14="Off",'Activity data'!AS59*ManureNEF*NtoN2O*kgtoGg,IF('Net zero activities &amp; levers'!$C$14="On",'Net zero Activity data'!AS59*ManureNEF*NtoN2O*kgtoGg,"ERROR"))</f>
        <v>9.2626459974767344E-2</v>
      </c>
      <c r="AA1129" s="94">
        <f>IF('Net zero activities &amp; levers'!$C$14="Off",'Activity data'!AT59*ManureNEF*NtoN2O*kgtoGg,IF('Net zero activities &amp; levers'!$C$14="On",'Net zero Activity data'!AT59*ManureNEF*NtoN2O*kgtoGg,"ERROR"))</f>
        <v>9.289398777414952E-2</v>
      </c>
      <c r="AB1129" s="94">
        <f>IF('Net zero activities &amp; levers'!$C$14="Off",'Activity data'!AU59*ManureNEF*NtoN2O*kgtoGg,IF('Net zero activities &amp; levers'!$C$14="On",'Net zero Activity data'!AU59*ManureNEF*NtoN2O*kgtoGg,"ERROR"))</f>
        <v>9.3180871017592357E-2</v>
      </c>
      <c r="AC1129" s="94">
        <f>IF('Net zero activities &amp; levers'!$C$14="Off",'Activity data'!AV59*ManureNEF*NtoN2O*kgtoGg,IF('Net zero activities &amp; levers'!$C$14="On",'Net zero Activity data'!AV59*ManureNEF*NtoN2O*kgtoGg,"ERROR"))</f>
        <v>9.34844159255835E-2</v>
      </c>
      <c r="AD1129" s="94">
        <f>IF('Net zero activities &amp; levers'!$C$14="Off",'Activity data'!AW59*ManureNEF*NtoN2O*kgtoGg,IF('Net zero activities &amp; levers'!$C$14="On",'Net zero Activity data'!AW59*ManureNEF*NtoN2O*kgtoGg,"ERROR"))</f>
        <v>9.368684592771491E-2</v>
      </c>
      <c r="AE1129" s="94">
        <f>IF('Net zero activities &amp; levers'!$C$14="Off",'Activity data'!AX59*ManureNEF*NtoN2O*kgtoGg,IF('Net zero activities &amp; levers'!$C$14="On",'Net zero Activity data'!AX59*ManureNEF*NtoN2O*kgtoGg,"ERROR"))</f>
        <v>9.3902725480069615E-2</v>
      </c>
      <c r="AF1129" s="94">
        <f>IF('Net zero activities &amp; levers'!$C$14="Off",'Activity data'!AY59*ManureNEF*NtoN2O*kgtoGg,IF('Net zero activities &amp; levers'!$C$14="On",'Net zero Activity data'!AY59*ManureNEF*NtoN2O*kgtoGg,"ERROR"))</f>
        <v>9.4133881886713511E-2</v>
      </c>
      <c r="AG1129" s="94">
        <f>IF('Net zero activities &amp; levers'!$C$14="Off",'Activity data'!AZ59*ManureNEF*NtoN2O*kgtoGg,IF('Net zero activities &amp; levers'!$C$14="On",'Net zero Activity data'!AZ59*ManureNEF*NtoN2O*kgtoGg,"ERROR"))</f>
        <v>9.4382662936360925E-2</v>
      </c>
      <c r="AH1129" s="94">
        <f>IF('Net zero activities &amp; levers'!$C$14="Off",'Activity data'!BA59*ManureNEF*NtoN2O*kgtoGg,IF('Net zero activities &amp; levers'!$C$14="On",'Net zero Activity data'!BA59*ManureNEF*NtoN2O*kgtoGg,"ERROR"))</f>
        <v>9.4641552690500438E-2</v>
      </c>
      <c r="AI1129" s="94">
        <f>IF('Net zero activities &amp; levers'!$C$14="Off",'Activity data'!BB59*ManureNEF*NtoN2O*kgtoGg,IF('Net zero activities &amp; levers'!$C$14="On",'Net zero Activity data'!BB59*ManureNEF*NtoN2O*kgtoGg,"ERROR"))</f>
        <v>9.4801889776154655E-2</v>
      </c>
      <c r="AJ1129" s="94">
        <f>IF('Net zero activities &amp; levers'!$C$14="Off",'Activity data'!BC59*ManureNEF*NtoN2O*kgtoGg,IF('Net zero activities &amp; levers'!$C$14="On",'Net zero Activity data'!BC59*ManureNEF*NtoN2O*kgtoGg,"ERROR"))</f>
        <v>9.4975884707627883E-2</v>
      </c>
      <c r="AK1129" s="94">
        <f>IF('Net zero activities &amp; levers'!$C$14="Off",'Activity data'!BD59*ManureNEF*NtoN2O*kgtoGg,IF('Net zero activities &amp; levers'!$C$14="On",'Net zero Activity data'!BD59*ManureNEF*NtoN2O*kgtoGg,"ERROR"))</f>
        <v>9.5157486171013425E-2</v>
      </c>
      <c r="AL1129" s="94">
        <f>IF('Net zero activities &amp; levers'!$C$14="Off",'Activity data'!BE59*ManureNEF*NtoN2O*kgtoGg,IF('Net zero activities &amp; levers'!$C$14="On",'Net zero Activity data'!BE59*ManureNEF*NtoN2O*kgtoGg,"ERROR"))</f>
        <v>9.534883337741358E-2</v>
      </c>
      <c r="AM1129" s="94">
        <f>IF('Net zero activities &amp; levers'!$C$14="Off",'Activity data'!BF59*ManureNEF*NtoN2O*kgtoGg,IF('Net zero activities &amp; levers'!$C$14="On",'Net zero Activity data'!BF59*ManureNEF*NtoN2O*kgtoGg,"ERROR"))</f>
        <v>9.5549664346009811E-2</v>
      </c>
      <c r="AN1129" s="94">
        <f>IF('Net zero activities &amp; levers'!$C$14="Off",'Activity data'!BG59*ManureNEF*NtoN2O*kgtoGg,IF('Net zero activities &amp; levers'!$C$14="On",'Net zero Activity data'!BG59*ManureNEF*NtoN2O*kgtoGg,"ERROR"))</f>
        <v>9.5659386102584815E-2</v>
      </c>
      <c r="AO1129" s="94">
        <f>IF('Net zero activities &amp; levers'!$C$14="Off",'Activity data'!BH59*ManureNEF*NtoN2O*kgtoGg,IF('Net zero activities &amp; levers'!$C$14="On",'Net zero Activity data'!BH59*ManureNEF*NtoN2O*kgtoGg,"ERROR"))</f>
        <v>9.5776020043586318E-2</v>
      </c>
      <c r="AP1129" s="94">
        <f>IF('Net zero activities &amp; levers'!$C$14="Off",'Activity data'!BI59*ManureNEF*NtoN2O*kgtoGg,IF('Net zero activities &amp; levers'!$C$14="On",'Net zero Activity data'!BI59*ManureNEF*NtoN2O*kgtoGg,"ERROR"))</f>
        <v>9.5902543509270868E-2</v>
      </c>
      <c r="AQ1129" s="94">
        <f>IF('Net zero activities &amp; levers'!$C$14="Off",'Activity data'!BJ59*ManureNEF*NtoN2O*kgtoGg,IF('Net zero activities &amp; levers'!$C$14="On",'Net zero Activity data'!BJ59*ManureNEF*NtoN2O*kgtoGg,"ERROR"))</f>
        <v>9.6038835663999289E-2</v>
      </c>
      <c r="AR1129" s="94">
        <f>IF('Net zero activities &amp; levers'!$C$14="Off",'Activity data'!BK59*ManureNEF*NtoN2O*kgtoGg,IF('Net zero activities &amp; levers'!$C$14="On",'Net zero Activity data'!BK59*ManureNEF*NtoN2O*kgtoGg,"ERROR"))</f>
        <v>9.6184912230625655E-2</v>
      </c>
      <c r="AS1129" s="94">
        <f>IF('Net zero activities &amp; levers'!$C$14="Off",'Activity data'!BL59*ManureNEF*NtoN2O*kgtoGg,IF('Net zero activities &amp; levers'!$C$14="On",'Net zero Activity data'!BL59*ManureNEF*NtoN2O*kgtoGg,"ERROR"))</f>
        <v>9.6236399761761113E-2</v>
      </c>
      <c r="AT1129" s="94">
        <f>IF('Net zero activities &amp; levers'!$C$14="Off",'Activity data'!BM59*ManureNEF*NtoN2O*kgtoGg,IF('Net zero activities &amp; levers'!$C$14="On",'Net zero Activity data'!BM59*ManureNEF*NtoN2O*kgtoGg,"ERROR"))</f>
        <v>9.625926538604522E-2</v>
      </c>
      <c r="AU1129" s="94">
        <f>IF('Net zero activities &amp; levers'!$C$14="Off",'Activity data'!BN59*ManureNEF*NtoN2O*kgtoGg,IF('Net zero activities &amp; levers'!$C$14="On",'Net zero Activity data'!BN59*ManureNEF*NtoN2O*kgtoGg,"ERROR"))</f>
        <v>9.6285846832210489E-2</v>
      </c>
      <c r="AV1129" s="94">
        <f>IF('Net zero activities &amp; levers'!$C$14="Off",'Activity data'!BO59*ManureNEF*NtoN2O*kgtoGg,IF('Net zero activities &amp; levers'!$C$14="On",'Net zero Activity data'!BO59*ManureNEF*NtoN2O*kgtoGg,"ERROR"))</f>
        <v>9.6314463848216167E-2</v>
      </c>
      <c r="AW1129" s="94">
        <f>IF('Net zero activities &amp; levers'!$C$14="Off",'Activity data'!BP59*ManureNEF*NtoN2O*kgtoGg,IF('Net zero activities &amp; levers'!$C$14="On",'Net zero Activity data'!BP59*ManureNEF*NtoN2O*kgtoGg,"ERROR"))</f>
        <v>9.6348270284329823E-2</v>
      </c>
      <c r="AY1129" s="79"/>
    </row>
    <row r="1130" spans="1:51" x14ac:dyDescent="0.3">
      <c r="A1130" s="95" t="str">
        <f t="shared" si="374"/>
        <v>CM Organic</v>
      </c>
      <c r="B1130" s="95" t="s">
        <v>1322</v>
      </c>
      <c r="C1130" s="95" t="s">
        <v>1127</v>
      </c>
      <c r="D1130" t="s">
        <v>369</v>
      </c>
      <c r="E1130" t="s">
        <v>55</v>
      </c>
      <c r="F1130" t="s">
        <v>421</v>
      </c>
      <c r="G1130" t="s">
        <v>1172</v>
      </c>
      <c r="H1130" t="s">
        <v>1173</v>
      </c>
      <c r="I1130" t="s">
        <v>139</v>
      </c>
      <c r="J1130" t="s">
        <v>287</v>
      </c>
      <c r="K1130" s="94">
        <f>IF('Net zero activities &amp; levers'!$C$14="Off",'Activity data'!AD60*ManureNEF*NtoN2O*kgtoGg,IF('Net zero activities &amp; levers'!$C$14="On",'Net zero Activity data'!AD60*ManureNEF*NtoN2O*kgtoGg,"ERROR"))</f>
        <v>0</v>
      </c>
      <c r="L1130" s="94">
        <f>IF('Net zero activities &amp; levers'!$C$14="Off",'Activity data'!AE60*ManureNEF*NtoN2O*kgtoGg,IF('Net zero activities &amp; levers'!$C$14="On",'Net zero Activity data'!AE60*ManureNEF*NtoN2O*kgtoGg,"ERROR"))</f>
        <v>0</v>
      </c>
      <c r="M1130" s="94">
        <f>IF('Net zero activities &amp; levers'!$C$14="Off",'Activity data'!AF60*ManureNEF*NtoN2O*kgtoGg,IF('Net zero activities &amp; levers'!$C$14="On",'Net zero Activity data'!AF60*ManureNEF*NtoN2O*kgtoGg,"ERROR"))</f>
        <v>0</v>
      </c>
      <c r="N1130" s="94">
        <f>IF('Net zero activities &amp; levers'!$C$14="Off",'Activity data'!AG60*ManureNEF*NtoN2O*kgtoGg,IF('Net zero activities &amp; levers'!$C$14="On",'Net zero Activity data'!AG60*ManureNEF*NtoN2O*kgtoGg,"ERROR"))</f>
        <v>0</v>
      </c>
      <c r="O1130" s="94">
        <f>IF('Net zero activities &amp; levers'!$C$14="Off",'Activity data'!AH60*ManureNEF*NtoN2O*kgtoGg,IF('Net zero activities &amp; levers'!$C$14="On",'Net zero Activity data'!AH60*ManureNEF*NtoN2O*kgtoGg,"ERROR"))</f>
        <v>0</v>
      </c>
      <c r="P1130" s="94">
        <f>IF('Net zero activities &amp; levers'!$C$14="Off",'Activity data'!AI60*ManureNEF*NtoN2O*kgtoGg,IF('Net zero activities &amp; levers'!$C$14="On",'Net zero Activity data'!AI60*ManureNEF*NtoN2O*kgtoGg,"ERROR"))</f>
        <v>0</v>
      </c>
      <c r="Q1130" s="94">
        <f>IF('Net zero activities &amp; levers'!$C$14="Off",'Activity data'!AJ60*ManureNEF*NtoN2O*kgtoGg,IF('Net zero activities &amp; levers'!$C$14="On",'Net zero Activity data'!AJ60*ManureNEF*NtoN2O*kgtoGg,"ERROR"))</f>
        <v>0</v>
      </c>
      <c r="R1130" s="94">
        <f>IF('Net zero activities &amp; levers'!$C$14="Off",'Activity data'!AK60*ManureNEF*NtoN2O*kgtoGg,IF('Net zero activities &amp; levers'!$C$14="On",'Net zero Activity data'!AK60*ManureNEF*NtoN2O*kgtoGg,"ERROR"))</f>
        <v>0</v>
      </c>
      <c r="S1130" s="94">
        <f>IF('Net zero activities &amp; levers'!$C$14="Off",'Activity data'!AL60*ManureNEF*NtoN2O*kgtoGg,IF('Net zero activities &amp; levers'!$C$14="On",'Net zero Activity data'!AL60*ManureNEF*NtoN2O*kgtoGg,"ERROR"))</f>
        <v>0</v>
      </c>
      <c r="T1130" s="94">
        <f>IF('Net zero activities &amp; levers'!$C$14="Off",'Activity data'!AM60*ManureNEF*NtoN2O*kgtoGg,IF('Net zero activities &amp; levers'!$C$14="On",'Net zero Activity data'!AM60*ManureNEF*NtoN2O*kgtoGg,"ERROR"))</f>
        <v>0</v>
      </c>
      <c r="U1130" s="94">
        <f>IF('Net zero activities &amp; levers'!$C$14="Off",'Activity data'!AN60*ManureNEF*NtoN2O*kgtoGg,IF('Net zero activities &amp; levers'!$C$14="On",'Net zero Activity data'!AN60*ManureNEF*NtoN2O*kgtoGg,"ERROR"))</f>
        <v>0</v>
      </c>
      <c r="V1130" s="94">
        <f>IF('Net zero activities &amp; levers'!$C$14="Off",'Activity data'!AO60*ManureNEF*NtoN2O*kgtoGg,IF('Net zero activities &amp; levers'!$C$14="On",'Net zero Activity data'!AO60*ManureNEF*NtoN2O*kgtoGg,"ERROR"))</f>
        <v>0</v>
      </c>
      <c r="W1130" s="94">
        <f>IF('Net zero activities &amp; levers'!$C$14="Off",'Activity data'!AP60*ManureNEF*NtoN2O*kgtoGg,IF('Net zero activities &amp; levers'!$C$14="On",'Net zero Activity data'!AP60*ManureNEF*NtoN2O*kgtoGg,"ERROR"))</f>
        <v>0</v>
      </c>
      <c r="X1130" s="94">
        <f>IF('Net zero activities &amp; levers'!$C$14="Off",'Activity data'!AQ60*ManureNEF*NtoN2O*kgtoGg,IF('Net zero activities &amp; levers'!$C$14="On",'Net zero Activity data'!AQ60*ManureNEF*NtoN2O*kgtoGg,"ERROR"))</f>
        <v>0</v>
      </c>
      <c r="Y1130" s="94">
        <f>IF('Net zero activities &amp; levers'!$C$14="Off",'Activity data'!AR60*ManureNEF*NtoN2O*kgtoGg,IF('Net zero activities &amp; levers'!$C$14="On",'Net zero Activity data'!AR60*ManureNEF*NtoN2O*kgtoGg,"ERROR"))</f>
        <v>0</v>
      </c>
      <c r="Z1130" s="94">
        <f>IF('Net zero activities &amp; levers'!$C$14="Off",'Activity data'!AS60*ManureNEF*NtoN2O*kgtoGg,IF('Net zero activities &amp; levers'!$C$14="On",'Net zero Activity data'!AS60*ManureNEF*NtoN2O*kgtoGg,"ERROR"))</f>
        <v>0</v>
      </c>
      <c r="AA1130" s="94">
        <f>IF('Net zero activities &amp; levers'!$C$14="Off",'Activity data'!AT60*ManureNEF*NtoN2O*kgtoGg,IF('Net zero activities &amp; levers'!$C$14="On",'Net zero Activity data'!AT60*ManureNEF*NtoN2O*kgtoGg,"ERROR"))</f>
        <v>0</v>
      </c>
      <c r="AB1130" s="94">
        <f>IF('Net zero activities &amp; levers'!$C$14="Off",'Activity data'!AU60*ManureNEF*NtoN2O*kgtoGg,IF('Net zero activities &amp; levers'!$C$14="On",'Net zero Activity data'!AU60*ManureNEF*NtoN2O*kgtoGg,"ERROR"))</f>
        <v>0</v>
      </c>
      <c r="AC1130" s="94">
        <f>IF('Net zero activities &amp; levers'!$C$14="Off",'Activity data'!AV60*ManureNEF*NtoN2O*kgtoGg,IF('Net zero activities &amp; levers'!$C$14="On",'Net zero Activity data'!AV60*ManureNEF*NtoN2O*kgtoGg,"ERROR"))</f>
        <v>0</v>
      </c>
      <c r="AD1130" s="94">
        <f>IF('Net zero activities &amp; levers'!$C$14="Off",'Activity data'!AW60*ManureNEF*NtoN2O*kgtoGg,IF('Net zero activities &amp; levers'!$C$14="On",'Net zero Activity data'!AW60*ManureNEF*NtoN2O*kgtoGg,"ERROR"))</f>
        <v>0</v>
      </c>
      <c r="AE1130" s="94">
        <f>IF('Net zero activities &amp; levers'!$C$14="Off",'Activity data'!AX60*ManureNEF*NtoN2O*kgtoGg,IF('Net zero activities &amp; levers'!$C$14="On",'Net zero Activity data'!AX60*ManureNEF*NtoN2O*kgtoGg,"ERROR"))</f>
        <v>0</v>
      </c>
      <c r="AF1130" s="94">
        <f>IF('Net zero activities &amp; levers'!$C$14="Off",'Activity data'!AY60*ManureNEF*NtoN2O*kgtoGg,IF('Net zero activities &amp; levers'!$C$14="On",'Net zero Activity data'!AY60*ManureNEF*NtoN2O*kgtoGg,"ERROR"))</f>
        <v>0</v>
      </c>
      <c r="AG1130" s="94">
        <f>IF('Net zero activities &amp; levers'!$C$14="Off",'Activity data'!AZ60*ManureNEF*NtoN2O*kgtoGg,IF('Net zero activities &amp; levers'!$C$14="On",'Net zero Activity data'!AZ60*ManureNEF*NtoN2O*kgtoGg,"ERROR"))</f>
        <v>0</v>
      </c>
      <c r="AH1130" s="94">
        <f>IF('Net zero activities &amp; levers'!$C$14="Off",'Activity data'!BA60*ManureNEF*NtoN2O*kgtoGg,IF('Net zero activities &amp; levers'!$C$14="On",'Net zero Activity data'!BA60*ManureNEF*NtoN2O*kgtoGg,"ERROR"))</f>
        <v>0</v>
      </c>
      <c r="AI1130" s="94">
        <f>IF('Net zero activities &amp; levers'!$C$14="Off",'Activity data'!BB60*ManureNEF*NtoN2O*kgtoGg,IF('Net zero activities &amp; levers'!$C$14="On",'Net zero Activity data'!BB60*ManureNEF*NtoN2O*kgtoGg,"ERROR"))</f>
        <v>0</v>
      </c>
      <c r="AJ1130" s="94">
        <f>IF('Net zero activities &amp; levers'!$C$14="Off",'Activity data'!BC60*ManureNEF*NtoN2O*kgtoGg,IF('Net zero activities &amp; levers'!$C$14="On",'Net zero Activity data'!BC60*ManureNEF*NtoN2O*kgtoGg,"ERROR"))</f>
        <v>0</v>
      </c>
      <c r="AK1130" s="94">
        <f>IF('Net zero activities &amp; levers'!$C$14="Off",'Activity data'!BD60*ManureNEF*NtoN2O*kgtoGg,IF('Net zero activities &amp; levers'!$C$14="On",'Net zero Activity data'!BD60*ManureNEF*NtoN2O*kgtoGg,"ERROR"))</f>
        <v>0</v>
      </c>
      <c r="AL1130" s="94">
        <f>IF('Net zero activities &amp; levers'!$C$14="Off",'Activity data'!BE60*ManureNEF*NtoN2O*kgtoGg,IF('Net zero activities &amp; levers'!$C$14="On",'Net zero Activity data'!BE60*ManureNEF*NtoN2O*kgtoGg,"ERROR"))</f>
        <v>0</v>
      </c>
      <c r="AM1130" s="94">
        <f>IF('Net zero activities &amp; levers'!$C$14="Off",'Activity data'!BF60*ManureNEF*NtoN2O*kgtoGg,IF('Net zero activities &amp; levers'!$C$14="On",'Net zero Activity data'!BF60*ManureNEF*NtoN2O*kgtoGg,"ERROR"))</f>
        <v>0</v>
      </c>
      <c r="AN1130" s="94">
        <f>IF('Net zero activities &amp; levers'!$C$14="Off",'Activity data'!BG60*ManureNEF*NtoN2O*kgtoGg,IF('Net zero activities &amp; levers'!$C$14="On",'Net zero Activity data'!BG60*ManureNEF*NtoN2O*kgtoGg,"ERROR"))</f>
        <v>0</v>
      </c>
      <c r="AO1130" s="94">
        <f>IF('Net zero activities &amp; levers'!$C$14="Off",'Activity data'!BH60*ManureNEF*NtoN2O*kgtoGg,IF('Net zero activities &amp; levers'!$C$14="On",'Net zero Activity data'!BH60*ManureNEF*NtoN2O*kgtoGg,"ERROR"))</f>
        <v>0</v>
      </c>
      <c r="AP1130" s="94">
        <f>IF('Net zero activities &amp; levers'!$C$14="Off",'Activity data'!BI60*ManureNEF*NtoN2O*kgtoGg,IF('Net zero activities &amp; levers'!$C$14="On",'Net zero Activity data'!BI60*ManureNEF*NtoN2O*kgtoGg,"ERROR"))</f>
        <v>0</v>
      </c>
      <c r="AQ1130" s="94">
        <f>IF('Net zero activities &amp; levers'!$C$14="Off",'Activity data'!BJ60*ManureNEF*NtoN2O*kgtoGg,IF('Net zero activities &amp; levers'!$C$14="On",'Net zero Activity data'!BJ60*ManureNEF*NtoN2O*kgtoGg,"ERROR"))</f>
        <v>0</v>
      </c>
      <c r="AR1130" s="94">
        <f>IF('Net zero activities &amp; levers'!$C$14="Off",'Activity data'!BK60*ManureNEF*NtoN2O*kgtoGg,IF('Net zero activities &amp; levers'!$C$14="On",'Net zero Activity data'!BK60*ManureNEF*NtoN2O*kgtoGg,"ERROR"))</f>
        <v>0</v>
      </c>
      <c r="AS1130" s="94">
        <f>IF('Net zero activities &amp; levers'!$C$14="Off",'Activity data'!BL60*ManureNEF*NtoN2O*kgtoGg,IF('Net zero activities &amp; levers'!$C$14="On",'Net zero Activity data'!BL60*ManureNEF*NtoN2O*kgtoGg,"ERROR"))</f>
        <v>0</v>
      </c>
      <c r="AT1130" s="94">
        <f>IF('Net zero activities &amp; levers'!$C$14="Off",'Activity data'!BM60*ManureNEF*NtoN2O*kgtoGg,IF('Net zero activities &amp; levers'!$C$14="On",'Net zero Activity data'!BM60*ManureNEF*NtoN2O*kgtoGg,"ERROR"))</f>
        <v>0</v>
      </c>
      <c r="AU1130" s="94">
        <f>IF('Net zero activities &amp; levers'!$C$14="Off",'Activity data'!BN60*ManureNEF*NtoN2O*kgtoGg,IF('Net zero activities &amp; levers'!$C$14="On",'Net zero Activity data'!BN60*ManureNEF*NtoN2O*kgtoGg,"ERROR"))</f>
        <v>0</v>
      </c>
      <c r="AV1130" s="94">
        <f>IF('Net zero activities &amp; levers'!$C$14="Off",'Activity data'!BO60*ManureNEF*NtoN2O*kgtoGg,IF('Net zero activities &amp; levers'!$C$14="On",'Net zero Activity data'!BO60*ManureNEF*NtoN2O*kgtoGg,"ERROR"))</f>
        <v>0</v>
      </c>
      <c r="AW1130" s="94">
        <f>IF('Net zero activities &amp; levers'!$C$14="Off",'Activity data'!BP60*ManureNEF*NtoN2O*kgtoGg,IF('Net zero activities &amp; levers'!$C$14="On",'Net zero Activity data'!BP60*ManureNEF*NtoN2O*kgtoGg,"ERROR"))</f>
        <v>0</v>
      </c>
      <c r="AY1130" s="79"/>
    </row>
    <row r="1131" spans="1:51" x14ac:dyDescent="0.3">
      <c r="A1131" s="95" t="str">
        <f t="shared" si="374"/>
        <v>CM Organic</v>
      </c>
      <c r="B1131" s="95" t="s">
        <v>1322</v>
      </c>
      <c r="C1131" s="95" t="s">
        <v>1127</v>
      </c>
      <c r="D1131" t="s">
        <v>369</v>
      </c>
      <c r="E1131" t="s">
        <v>55</v>
      </c>
      <c r="F1131" t="s">
        <v>421</v>
      </c>
      <c r="G1131" t="s">
        <v>1174</v>
      </c>
      <c r="H1131" t="s">
        <v>1175</v>
      </c>
      <c r="I1131" t="s">
        <v>139</v>
      </c>
      <c r="J1131" t="s">
        <v>287</v>
      </c>
      <c r="K1131" s="94">
        <f>IF('Net zero activities &amp; levers'!$C$14="Off",'Activity data'!AD61*ManureNEF*NtoN2O*kgtoGg,IF('Net zero activities &amp; levers'!$C$14="On",'Net zero Activity data'!AD61*ManureNEF*NtoN2O*kgtoGg,"ERROR"))</f>
        <v>0</v>
      </c>
      <c r="L1131" s="94">
        <f>IF('Net zero activities &amp; levers'!$C$14="Off",'Activity data'!AE61*ManureNEF*NtoN2O*kgtoGg,IF('Net zero activities &amp; levers'!$C$14="On",'Net zero Activity data'!AE61*ManureNEF*NtoN2O*kgtoGg,"ERROR"))</f>
        <v>0</v>
      </c>
      <c r="M1131" s="94">
        <f>IF('Net zero activities &amp; levers'!$C$14="Off",'Activity data'!AF61*ManureNEF*NtoN2O*kgtoGg,IF('Net zero activities &amp; levers'!$C$14="On",'Net zero Activity data'!AF61*ManureNEF*NtoN2O*kgtoGg,"ERROR"))</f>
        <v>0</v>
      </c>
      <c r="N1131" s="94">
        <f>IF('Net zero activities &amp; levers'!$C$14="Off",'Activity data'!AG61*ManureNEF*NtoN2O*kgtoGg,IF('Net zero activities &amp; levers'!$C$14="On",'Net zero Activity data'!AG61*ManureNEF*NtoN2O*kgtoGg,"ERROR"))</f>
        <v>0</v>
      </c>
      <c r="O1131" s="94">
        <f>IF('Net zero activities &amp; levers'!$C$14="Off",'Activity data'!AH61*ManureNEF*NtoN2O*kgtoGg,IF('Net zero activities &amp; levers'!$C$14="On",'Net zero Activity data'!AH61*ManureNEF*NtoN2O*kgtoGg,"ERROR"))</f>
        <v>0</v>
      </c>
      <c r="P1131" s="94">
        <f>IF('Net zero activities &amp; levers'!$C$14="Off",'Activity data'!AI61*ManureNEF*NtoN2O*kgtoGg,IF('Net zero activities &amp; levers'!$C$14="On",'Net zero Activity data'!AI61*ManureNEF*NtoN2O*kgtoGg,"ERROR"))</f>
        <v>0</v>
      </c>
      <c r="Q1131" s="94">
        <f>IF('Net zero activities &amp; levers'!$C$14="Off",'Activity data'!AJ61*ManureNEF*NtoN2O*kgtoGg,IF('Net zero activities &amp; levers'!$C$14="On",'Net zero Activity data'!AJ61*ManureNEF*NtoN2O*kgtoGg,"ERROR"))</f>
        <v>0</v>
      </c>
      <c r="R1131" s="94">
        <f>IF('Net zero activities &amp; levers'!$C$14="Off",'Activity data'!AK61*ManureNEF*NtoN2O*kgtoGg,IF('Net zero activities &amp; levers'!$C$14="On",'Net zero Activity data'!AK61*ManureNEF*NtoN2O*kgtoGg,"ERROR"))</f>
        <v>0</v>
      </c>
      <c r="S1131" s="94">
        <f>IF('Net zero activities &amp; levers'!$C$14="Off",'Activity data'!AL61*ManureNEF*NtoN2O*kgtoGg,IF('Net zero activities &amp; levers'!$C$14="On",'Net zero Activity data'!AL61*ManureNEF*NtoN2O*kgtoGg,"ERROR"))</f>
        <v>0</v>
      </c>
      <c r="T1131" s="94">
        <f>IF('Net zero activities &amp; levers'!$C$14="Off",'Activity data'!AM61*ManureNEF*NtoN2O*kgtoGg,IF('Net zero activities &amp; levers'!$C$14="On",'Net zero Activity data'!AM61*ManureNEF*NtoN2O*kgtoGg,"ERROR"))</f>
        <v>0</v>
      </c>
      <c r="U1131" s="94">
        <f>IF('Net zero activities &amp; levers'!$C$14="Off",'Activity data'!AN61*ManureNEF*NtoN2O*kgtoGg,IF('Net zero activities &amp; levers'!$C$14="On",'Net zero Activity data'!AN61*ManureNEF*NtoN2O*kgtoGg,"ERROR"))</f>
        <v>0</v>
      </c>
      <c r="V1131" s="94">
        <f>IF('Net zero activities &amp; levers'!$C$14="Off",'Activity data'!AO61*ManureNEF*NtoN2O*kgtoGg,IF('Net zero activities &amp; levers'!$C$14="On",'Net zero Activity data'!AO61*ManureNEF*NtoN2O*kgtoGg,"ERROR"))</f>
        <v>0</v>
      </c>
      <c r="W1131" s="94">
        <f>IF('Net zero activities &amp; levers'!$C$14="Off",'Activity data'!AP61*ManureNEF*NtoN2O*kgtoGg,IF('Net zero activities &amp; levers'!$C$14="On",'Net zero Activity data'!AP61*ManureNEF*NtoN2O*kgtoGg,"ERROR"))</f>
        <v>0</v>
      </c>
      <c r="X1131" s="94">
        <f>IF('Net zero activities &amp; levers'!$C$14="Off",'Activity data'!AQ61*ManureNEF*NtoN2O*kgtoGg,IF('Net zero activities &amp; levers'!$C$14="On",'Net zero Activity data'!AQ61*ManureNEF*NtoN2O*kgtoGg,"ERROR"))</f>
        <v>0</v>
      </c>
      <c r="Y1131" s="94">
        <f>IF('Net zero activities &amp; levers'!$C$14="Off",'Activity data'!AR61*ManureNEF*NtoN2O*kgtoGg,IF('Net zero activities &amp; levers'!$C$14="On",'Net zero Activity data'!AR61*ManureNEF*NtoN2O*kgtoGg,"ERROR"))</f>
        <v>0</v>
      </c>
      <c r="Z1131" s="94">
        <f>IF('Net zero activities &amp; levers'!$C$14="Off",'Activity data'!AS61*ManureNEF*NtoN2O*kgtoGg,IF('Net zero activities &amp; levers'!$C$14="On",'Net zero Activity data'!AS61*ManureNEF*NtoN2O*kgtoGg,"ERROR"))</f>
        <v>0</v>
      </c>
      <c r="AA1131" s="94">
        <f>IF('Net zero activities &amp; levers'!$C$14="Off",'Activity data'!AT61*ManureNEF*NtoN2O*kgtoGg,IF('Net zero activities &amp; levers'!$C$14="On",'Net zero Activity data'!AT61*ManureNEF*NtoN2O*kgtoGg,"ERROR"))</f>
        <v>0</v>
      </c>
      <c r="AB1131" s="94">
        <f>IF('Net zero activities &amp; levers'!$C$14="Off",'Activity data'!AU61*ManureNEF*NtoN2O*kgtoGg,IF('Net zero activities &amp; levers'!$C$14="On",'Net zero Activity data'!AU61*ManureNEF*NtoN2O*kgtoGg,"ERROR"))</f>
        <v>0</v>
      </c>
      <c r="AC1131" s="94">
        <f>IF('Net zero activities &amp; levers'!$C$14="Off",'Activity data'!AV61*ManureNEF*NtoN2O*kgtoGg,IF('Net zero activities &amp; levers'!$C$14="On",'Net zero Activity data'!AV61*ManureNEF*NtoN2O*kgtoGg,"ERROR"))</f>
        <v>0</v>
      </c>
      <c r="AD1131" s="94">
        <f>IF('Net zero activities &amp; levers'!$C$14="Off",'Activity data'!AW61*ManureNEF*NtoN2O*kgtoGg,IF('Net zero activities &amp; levers'!$C$14="On",'Net zero Activity data'!AW61*ManureNEF*NtoN2O*kgtoGg,"ERROR"))</f>
        <v>0</v>
      </c>
      <c r="AE1131" s="94">
        <f>IF('Net zero activities &amp; levers'!$C$14="Off",'Activity data'!AX61*ManureNEF*NtoN2O*kgtoGg,IF('Net zero activities &amp; levers'!$C$14="On",'Net zero Activity data'!AX61*ManureNEF*NtoN2O*kgtoGg,"ERROR"))</f>
        <v>0</v>
      </c>
      <c r="AF1131" s="94">
        <f>IF('Net zero activities &amp; levers'!$C$14="Off",'Activity data'!AY61*ManureNEF*NtoN2O*kgtoGg,IF('Net zero activities &amp; levers'!$C$14="On",'Net zero Activity data'!AY61*ManureNEF*NtoN2O*kgtoGg,"ERROR"))</f>
        <v>0</v>
      </c>
      <c r="AG1131" s="94">
        <f>IF('Net zero activities &amp; levers'!$C$14="Off",'Activity data'!AZ61*ManureNEF*NtoN2O*kgtoGg,IF('Net zero activities &amp; levers'!$C$14="On",'Net zero Activity data'!AZ61*ManureNEF*NtoN2O*kgtoGg,"ERROR"))</f>
        <v>0</v>
      </c>
      <c r="AH1131" s="94">
        <f>IF('Net zero activities &amp; levers'!$C$14="Off",'Activity data'!BA61*ManureNEF*NtoN2O*kgtoGg,IF('Net zero activities &amp; levers'!$C$14="On",'Net zero Activity data'!BA61*ManureNEF*NtoN2O*kgtoGg,"ERROR"))</f>
        <v>0</v>
      </c>
      <c r="AI1131" s="94">
        <f>IF('Net zero activities &amp; levers'!$C$14="Off",'Activity data'!BB61*ManureNEF*NtoN2O*kgtoGg,IF('Net zero activities &amp; levers'!$C$14="On",'Net zero Activity data'!BB61*ManureNEF*NtoN2O*kgtoGg,"ERROR"))</f>
        <v>0</v>
      </c>
      <c r="AJ1131" s="94">
        <f>IF('Net zero activities &amp; levers'!$C$14="Off",'Activity data'!BC61*ManureNEF*NtoN2O*kgtoGg,IF('Net zero activities &amp; levers'!$C$14="On",'Net zero Activity data'!BC61*ManureNEF*NtoN2O*kgtoGg,"ERROR"))</f>
        <v>0</v>
      </c>
      <c r="AK1131" s="94">
        <f>IF('Net zero activities &amp; levers'!$C$14="Off",'Activity data'!BD61*ManureNEF*NtoN2O*kgtoGg,IF('Net zero activities &amp; levers'!$C$14="On",'Net zero Activity data'!BD61*ManureNEF*NtoN2O*kgtoGg,"ERROR"))</f>
        <v>0</v>
      </c>
      <c r="AL1131" s="94">
        <f>IF('Net zero activities &amp; levers'!$C$14="Off",'Activity data'!BE61*ManureNEF*NtoN2O*kgtoGg,IF('Net zero activities &amp; levers'!$C$14="On",'Net zero Activity data'!BE61*ManureNEF*NtoN2O*kgtoGg,"ERROR"))</f>
        <v>0</v>
      </c>
      <c r="AM1131" s="94">
        <f>IF('Net zero activities &amp; levers'!$C$14="Off",'Activity data'!BF61*ManureNEF*NtoN2O*kgtoGg,IF('Net zero activities &amp; levers'!$C$14="On",'Net zero Activity data'!BF61*ManureNEF*NtoN2O*kgtoGg,"ERROR"))</f>
        <v>0</v>
      </c>
      <c r="AN1131" s="94">
        <f>IF('Net zero activities &amp; levers'!$C$14="Off",'Activity data'!BG61*ManureNEF*NtoN2O*kgtoGg,IF('Net zero activities &amp; levers'!$C$14="On",'Net zero Activity data'!BG61*ManureNEF*NtoN2O*kgtoGg,"ERROR"))</f>
        <v>0</v>
      </c>
      <c r="AO1131" s="94">
        <f>IF('Net zero activities &amp; levers'!$C$14="Off",'Activity data'!BH61*ManureNEF*NtoN2O*kgtoGg,IF('Net zero activities &amp; levers'!$C$14="On",'Net zero Activity data'!BH61*ManureNEF*NtoN2O*kgtoGg,"ERROR"))</f>
        <v>0</v>
      </c>
      <c r="AP1131" s="94">
        <f>IF('Net zero activities &amp; levers'!$C$14="Off",'Activity data'!BI61*ManureNEF*NtoN2O*kgtoGg,IF('Net zero activities &amp; levers'!$C$14="On",'Net zero Activity data'!BI61*ManureNEF*NtoN2O*kgtoGg,"ERROR"))</f>
        <v>0</v>
      </c>
      <c r="AQ1131" s="94">
        <f>IF('Net zero activities &amp; levers'!$C$14="Off",'Activity data'!BJ61*ManureNEF*NtoN2O*kgtoGg,IF('Net zero activities &amp; levers'!$C$14="On",'Net zero Activity data'!BJ61*ManureNEF*NtoN2O*kgtoGg,"ERROR"))</f>
        <v>0</v>
      </c>
      <c r="AR1131" s="94">
        <f>IF('Net zero activities &amp; levers'!$C$14="Off",'Activity data'!BK61*ManureNEF*NtoN2O*kgtoGg,IF('Net zero activities &amp; levers'!$C$14="On",'Net zero Activity data'!BK61*ManureNEF*NtoN2O*kgtoGg,"ERROR"))</f>
        <v>0</v>
      </c>
      <c r="AS1131" s="94">
        <f>IF('Net zero activities &amp; levers'!$C$14="Off",'Activity data'!BL61*ManureNEF*NtoN2O*kgtoGg,IF('Net zero activities &amp; levers'!$C$14="On",'Net zero Activity data'!BL61*ManureNEF*NtoN2O*kgtoGg,"ERROR"))</f>
        <v>0</v>
      </c>
      <c r="AT1131" s="94">
        <f>IF('Net zero activities &amp; levers'!$C$14="Off",'Activity data'!BM61*ManureNEF*NtoN2O*kgtoGg,IF('Net zero activities &amp; levers'!$C$14="On",'Net zero Activity data'!BM61*ManureNEF*NtoN2O*kgtoGg,"ERROR"))</f>
        <v>0</v>
      </c>
      <c r="AU1131" s="94">
        <f>IF('Net zero activities &amp; levers'!$C$14="Off",'Activity data'!BN61*ManureNEF*NtoN2O*kgtoGg,IF('Net zero activities &amp; levers'!$C$14="On",'Net zero Activity data'!BN61*ManureNEF*NtoN2O*kgtoGg,"ERROR"))</f>
        <v>0</v>
      </c>
      <c r="AV1131" s="94">
        <f>IF('Net zero activities &amp; levers'!$C$14="Off",'Activity data'!BO61*ManureNEF*NtoN2O*kgtoGg,IF('Net zero activities &amp; levers'!$C$14="On",'Net zero Activity data'!BO61*ManureNEF*NtoN2O*kgtoGg,"ERROR"))</f>
        <v>0</v>
      </c>
      <c r="AW1131" s="94">
        <f>IF('Net zero activities &amp; levers'!$C$14="Off",'Activity data'!BP61*ManureNEF*NtoN2O*kgtoGg,IF('Net zero activities &amp; levers'!$C$14="On",'Net zero Activity data'!BP61*ManureNEF*NtoN2O*kgtoGg,"ERROR"))</f>
        <v>0</v>
      </c>
      <c r="AY1131" s="79"/>
    </row>
    <row r="1132" spans="1:51" x14ac:dyDescent="0.3">
      <c r="A1132" s="95" t="str">
        <f t="shared" si="374"/>
        <v>CM Organic</v>
      </c>
      <c r="B1132" s="95" t="s">
        <v>1322</v>
      </c>
      <c r="C1132" s="95" t="s">
        <v>1127</v>
      </c>
      <c r="D1132" t="s">
        <v>369</v>
      </c>
      <c r="E1132" t="s">
        <v>55</v>
      </c>
      <c r="F1132" t="s">
        <v>421</v>
      </c>
      <c r="G1132" t="s">
        <v>1176</v>
      </c>
      <c r="H1132" t="s">
        <v>1177</v>
      </c>
      <c r="I1132" t="s">
        <v>139</v>
      </c>
      <c r="J1132" t="s">
        <v>287</v>
      </c>
      <c r="K1132" s="94">
        <f>IF('Net zero activities &amp; levers'!$C$14="Off",'Activity data'!AD62*ManureNEF*NtoN2O*kgtoGg,IF('Net zero activities &amp; levers'!$C$14="On",'Net zero Activity data'!AD62*ManureNEF*NtoN2O*kgtoGg,"ERROR"))</f>
        <v>0.12462873299340151</v>
      </c>
      <c r="L1132" s="94">
        <f>IF('Net zero activities &amp; levers'!$C$14="Off",'Activity data'!AE62*ManureNEF*NtoN2O*kgtoGg,IF('Net zero activities &amp; levers'!$C$14="On",'Net zero Activity data'!AE62*ManureNEF*NtoN2O*kgtoGg,"ERROR"))</f>
        <v>0.1239512929347177</v>
      </c>
      <c r="M1132" s="94">
        <f>IF('Net zero activities &amp; levers'!$C$14="Off",'Activity data'!AF62*ManureNEF*NtoN2O*kgtoGg,IF('Net zero activities &amp; levers'!$C$14="On",'Net zero Activity data'!AF62*ManureNEF*NtoN2O*kgtoGg,"ERROR"))</f>
        <v>0.12400689511310994</v>
      </c>
      <c r="N1132" s="94">
        <f>IF('Net zero activities &amp; levers'!$C$14="Off",'Activity data'!AG62*ManureNEF*NtoN2O*kgtoGg,IF('Net zero activities &amp; levers'!$C$14="On",'Net zero Activity data'!AG62*ManureNEF*NtoN2O*kgtoGg,"ERROR"))</f>
        <v>0.12286841678965586</v>
      </c>
      <c r="O1132" s="94">
        <f>IF('Net zero activities &amp; levers'!$C$14="Off",'Activity data'!AH62*ManureNEF*NtoN2O*kgtoGg,IF('Net zero activities &amp; levers'!$C$14="On",'Net zero Activity data'!AH62*ManureNEF*NtoN2O*kgtoGg,"ERROR"))</f>
        <v>0.12100901910044999</v>
      </c>
      <c r="P1132" s="94">
        <f>IF('Net zero activities &amp; levers'!$C$14="Off",'Activity data'!AI62*ManureNEF*NtoN2O*kgtoGg,IF('Net zero activities &amp; levers'!$C$14="On",'Net zero Activity data'!AI62*ManureNEF*NtoN2O*kgtoGg,"ERROR"))</f>
        <v>0.11845842648899828</v>
      </c>
      <c r="Q1132" s="94">
        <f>IF('Net zero activities &amp; levers'!$C$14="Off",'Activity data'!AJ62*ManureNEF*NtoN2O*kgtoGg,IF('Net zero activities &amp; levers'!$C$14="On",'Net zero Activity data'!AJ62*ManureNEF*NtoN2O*kgtoGg,"ERROR"))</f>
        <v>0.11660641339960404</v>
      </c>
      <c r="R1132" s="94">
        <f>IF('Net zero activities &amp; levers'!$C$14="Off",'Activity data'!AK62*ManureNEF*NtoN2O*kgtoGg,IF('Net zero activities &amp; levers'!$C$14="On",'Net zero Activity data'!AK62*ManureNEF*NtoN2O*kgtoGg,"ERROR"))</f>
        <v>0.1149182786313902</v>
      </c>
      <c r="S1132" s="94">
        <f>IF('Net zero activities &amp; levers'!$C$14="Off",'Activity data'!AL62*ManureNEF*NtoN2O*kgtoGg,IF('Net zero activities &amp; levers'!$C$14="On",'Net zero Activity data'!AL62*ManureNEF*NtoN2O*kgtoGg,"ERROR"))</f>
        <v>0.10146708298993465</v>
      </c>
      <c r="T1132" s="94">
        <f>IF('Net zero activities &amp; levers'!$C$14="Off",'Activity data'!AM62*ManureNEF*NtoN2O*kgtoGg,IF('Net zero activities &amp; levers'!$C$14="On",'Net zero Activity data'!AM62*ManureNEF*NtoN2O*kgtoGg,"ERROR"))</f>
        <v>0.10275020296586759</v>
      </c>
      <c r="U1132" s="94">
        <f>IF('Net zero activities &amp; levers'!$C$14="Off",'Activity data'!AN62*ManureNEF*NtoN2O*kgtoGg,IF('Net zero activities &amp; levers'!$C$14="On",'Net zero Activity data'!AN62*ManureNEF*NtoN2O*kgtoGg,"ERROR"))</f>
        <v>0.10550352655141972</v>
      </c>
      <c r="V1132" s="94">
        <f>IF('Net zero activities &amp; levers'!$C$14="Off",'Activity data'!AO62*ManureNEF*NtoN2O*kgtoGg,IF('Net zero activities &amp; levers'!$C$14="On",'Net zero Activity data'!AO62*ManureNEF*NtoN2O*kgtoGg,"ERROR"))</f>
        <v>0.10575351402910073</v>
      </c>
      <c r="W1132" s="94">
        <f>IF('Net zero activities &amp; levers'!$C$14="Off",'Activity data'!AP62*ManureNEF*NtoN2O*kgtoGg,IF('Net zero activities &amp; levers'!$C$14="On",'Net zero Activity data'!AP62*ManureNEF*NtoN2O*kgtoGg,"ERROR"))</f>
        <v>0.10629487580237802</v>
      </c>
      <c r="X1132" s="94">
        <f>IF('Net zero activities &amp; levers'!$C$14="Off",'Activity data'!AQ62*ManureNEF*NtoN2O*kgtoGg,IF('Net zero activities &amp; levers'!$C$14="On",'Net zero Activity data'!AQ62*ManureNEF*NtoN2O*kgtoGg,"ERROR"))</f>
        <v>0.10720509536861222</v>
      </c>
      <c r="Y1132" s="94">
        <f>IF('Net zero activities &amp; levers'!$C$14="Off",'Activity data'!AR62*ManureNEF*NtoN2O*kgtoGg,IF('Net zero activities &amp; levers'!$C$14="On",'Net zero Activity data'!AR62*ManureNEF*NtoN2O*kgtoGg,"ERROR"))</f>
        <v>0.10834723898966528</v>
      </c>
      <c r="Z1132" s="94">
        <f>IF('Net zero activities &amp; levers'!$C$14="Off",'Activity data'!AS62*ManureNEF*NtoN2O*kgtoGg,IF('Net zero activities &amp; levers'!$C$14="On",'Net zero Activity data'!AS62*ManureNEF*NtoN2O*kgtoGg,"ERROR"))</f>
        <v>0.10974683917126901</v>
      </c>
      <c r="AA1132" s="94">
        <f>IF('Net zero activities &amp; levers'!$C$14="Off",'Activity data'!AT62*ManureNEF*NtoN2O*kgtoGg,IF('Net zero activities &amp; levers'!$C$14="On",'Net zero Activity data'!AT62*ManureNEF*NtoN2O*kgtoGg,"ERROR"))</f>
        <v>0.1111628062750292</v>
      </c>
      <c r="AB1132" s="94">
        <f>IF('Net zero activities &amp; levers'!$C$14="Off",'Activity data'!AU62*ManureNEF*NtoN2O*kgtoGg,IF('Net zero activities &amp; levers'!$C$14="On",'Net zero Activity data'!AU62*ManureNEF*NtoN2O*kgtoGg,"ERROR"))</f>
        <v>0.11279760688156307</v>
      </c>
      <c r="AC1132" s="94">
        <f>IF('Net zero activities &amp; levers'!$C$14="Off",'Activity data'!AV62*ManureNEF*NtoN2O*kgtoGg,IF('Net zero activities &amp; levers'!$C$14="On",'Net zero Activity data'!AV62*ManureNEF*NtoN2O*kgtoGg,"ERROR"))</f>
        <v>0.11442112413234014</v>
      </c>
      <c r="AD1132" s="94">
        <f>IF('Net zero activities &amp; levers'!$C$14="Off",'Activity data'!AW62*ManureNEF*NtoN2O*kgtoGg,IF('Net zero activities &amp; levers'!$C$14="On",'Net zero Activity data'!AW62*ManureNEF*NtoN2O*kgtoGg,"ERROR"))</f>
        <v>0.11643957996744059</v>
      </c>
      <c r="AE1132" s="94">
        <f>IF('Net zero activities &amp; levers'!$C$14="Off",'Activity data'!AX62*ManureNEF*NtoN2O*kgtoGg,IF('Net zero activities &amp; levers'!$C$14="On",'Net zero Activity data'!AX62*ManureNEF*NtoN2O*kgtoGg,"ERROR"))</f>
        <v>0.11829771598770626</v>
      </c>
      <c r="AF1132" s="94">
        <f>IF('Net zero activities &amp; levers'!$C$14="Off",'Activity data'!AY62*ManureNEF*NtoN2O*kgtoGg,IF('Net zero activities &amp; levers'!$C$14="On",'Net zero Activity data'!AY62*ManureNEF*NtoN2O*kgtoGg,"ERROR"))</f>
        <v>0.12027492127071612</v>
      </c>
      <c r="AG1132" s="94">
        <f>IF('Net zero activities &amp; levers'!$C$14="Off",'Activity data'!AZ62*ManureNEF*NtoN2O*kgtoGg,IF('Net zero activities &amp; levers'!$C$14="On",'Net zero Activity data'!AZ62*ManureNEF*NtoN2O*kgtoGg,"ERROR"))</f>
        <v>0.12268685377616716</v>
      </c>
      <c r="AH1132" s="94">
        <f>IF('Net zero activities &amp; levers'!$C$14="Off",'Activity data'!BA62*ManureNEF*NtoN2O*kgtoGg,IF('Net zero activities &amp; levers'!$C$14="On",'Net zero Activity data'!BA62*ManureNEF*NtoN2O*kgtoGg,"ERROR"))</f>
        <v>0.12475791099342097</v>
      </c>
      <c r="AI1132" s="94">
        <f>IF('Net zero activities &amp; levers'!$C$14="Off",'Activity data'!BB62*ManureNEF*NtoN2O*kgtoGg,IF('Net zero activities &amp; levers'!$C$14="On",'Net zero Activity data'!BB62*ManureNEF*NtoN2O*kgtoGg,"ERROR"))</f>
        <v>0.12699329856497024</v>
      </c>
      <c r="AJ1132" s="94">
        <f>IF('Net zero activities &amp; levers'!$C$14="Off",'Activity data'!BC62*ManureNEF*NtoN2O*kgtoGg,IF('Net zero activities &amp; levers'!$C$14="On",'Net zero Activity data'!BC62*ManureNEF*NtoN2O*kgtoGg,"ERROR"))</f>
        <v>0.12941943299405728</v>
      </c>
      <c r="AK1132" s="94">
        <f>IF('Net zero activities &amp; levers'!$C$14="Off",'Activity data'!BD62*ManureNEF*NtoN2O*kgtoGg,IF('Net zero activities &amp; levers'!$C$14="On",'Net zero Activity data'!BD62*ManureNEF*NtoN2O*kgtoGg,"ERROR"))</f>
        <v>0.13144337900700456</v>
      </c>
      <c r="AL1132" s="94">
        <f>IF('Net zero activities &amp; levers'!$C$14="Off",'Activity data'!BE62*ManureNEF*NtoN2O*kgtoGg,IF('Net zero activities &amp; levers'!$C$14="On",'Net zero Activity data'!BE62*ManureNEF*NtoN2O*kgtoGg,"ERROR"))</f>
        <v>0.13334140591601026</v>
      </c>
      <c r="AM1132" s="94">
        <f>IF('Net zero activities &amp; levers'!$C$14="Off",'Activity data'!BF62*ManureNEF*NtoN2O*kgtoGg,IF('Net zero activities &amp; levers'!$C$14="On",'Net zero Activity data'!BF62*ManureNEF*NtoN2O*kgtoGg,"ERROR"))</f>
        <v>0.13512882169953486</v>
      </c>
      <c r="AN1132" s="94">
        <f>IF('Net zero activities &amp; levers'!$C$14="Off",'Activity data'!BG62*ManureNEF*NtoN2O*kgtoGg,IF('Net zero activities &amp; levers'!$C$14="On",'Net zero Activity data'!BG62*ManureNEF*NtoN2O*kgtoGg,"ERROR"))</f>
        <v>0.13719268069693955</v>
      </c>
      <c r="AO1132" s="94">
        <f>IF('Net zero activities &amp; levers'!$C$14="Off",'Activity data'!BH62*ManureNEF*NtoN2O*kgtoGg,IF('Net zero activities &amp; levers'!$C$14="On",'Net zero Activity data'!BH62*ManureNEF*NtoN2O*kgtoGg,"ERROR"))</f>
        <v>0.13898281232646292</v>
      </c>
      <c r="AP1132" s="94">
        <f>IF('Net zero activities &amp; levers'!$C$14="Off",'Activity data'!BI62*ManureNEF*NtoN2O*kgtoGg,IF('Net zero activities &amp; levers'!$C$14="On",'Net zero Activity data'!BI62*ManureNEF*NtoN2O*kgtoGg,"ERROR"))</f>
        <v>0.140830682916952</v>
      </c>
      <c r="AQ1132" s="94">
        <f>IF('Net zero activities &amp; levers'!$C$14="Off",'Activity data'!BJ62*ManureNEF*NtoN2O*kgtoGg,IF('Net zero activities &amp; levers'!$C$14="On",'Net zero Activity data'!BJ62*ManureNEF*NtoN2O*kgtoGg,"ERROR"))</f>
        <v>0.14275023053200411</v>
      </c>
      <c r="AR1132" s="94">
        <f>IF('Net zero activities &amp; levers'!$C$14="Off",'Activity data'!BK62*ManureNEF*NtoN2O*kgtoGg,IF('Net zero activities &amp; levers'!$C$14="On",'Net zero Activity data'!BK62*ManureNEF*NtoN2O*kgtoGg,"ERROR"))</f>
        <v>0.14476547350370239</v>
      </c>
      <c r="AS1132" s="94">
        <f>IF('Net zero activities &amp; levers'!$C$14="Off",'Activity data'!BL62*ManureNEF*NtoN2O*kgtoGg,IF('Net zero activities &amp; levers'!$C$14="On",'Net zero Activity data'!BL62*ManureNEF*NtoN2O*kgtoGg,"ERROR"))</f>
        <v>0.14688161225730581</v>
      </c>
      <c r="AT1132" s="94">
        <f>IF('Net zero activities &amp; levers'!$C$14="Off",'Activity data'!BM62*ManureNEF*NtoN2O*kgtoGg,IF('Net zero activities &amp; levers'!$C$14="On",'Net zero Activity data'!BM62*ManureNEF*NtoN2O*kgtoGg,"ERROR"))</f>
        <v>0.14559391276445241</v>
      </c>
      <c r="AU1132" s="94">
        <f>IF('Net zero activities &amp; levers'!$C$14="Off",'Activity data'!BN62*ManureNEF*NtoN2O*kgtoGg,IF('Net zero activities &amp; levers'!$C$14="On",'Net zero Activity data'!BN62*ManureNEF*NtoN2O*kgtoGg,"ERROR"))</f>
        <v>0.14400863154663293</v>
      </c>
      <c r="AV1132" s="94">
        <f>IF('Net zero activities &amp; levers'!$C$14="Off",'Activity data'!BO62*ManureNEF*NtoN2O*kgtoGg,IF('Net zero activities &amp; levers'!$C$14="On",'Net zero Activity data'!BO62*ManureNEF*NtoN2O*kgtoGg,"ERROR"))</f>
        <v>0.1420082821543816</v>
      </c>
      <c r="AW1132" s="94">
        <f>IF('Net zero activities &amp; levers'!$C$14="Off",'Activity data'!BP62*ManureNEF*NtoN2O*kgtoGg,IF('Net zero activities &amp; levers'!$C$14="On",'Net zero Activity data'!BP62*ManureNEF*NtoN2O*kgtoGg,"ERROR"))</f>
        <v>0.13990982914905775</v>
      </c>
      <c r="AY1132" s="79"/>
    </row>
    <row r="1133" spans="1:51" x14ac:dyDescent="0.3">
      <c r="A1133" s="95" t="str">
        <f t="shared" si="374"/>
        <v>CM Organic</v>
      </c>
      <c r="B1133" s="95" t="s">
        <v>1322</v>
      </c>
      <c r="C1133" s="95" t="s">
        <v>1127</v>
      </c>
      <c r="D1133" t="s">
        <v>369</v>
      </c>
      <c r="E1133" t="s">
        <v>55</v>
      </c>
      <c r="F1133" t="s">
        <v>421</v>
      </c>
      <c r="G1133" t="s">
        <v>1178</v>
      </c>
      <c r="H1133" t="s">
        <v>1179</v>
      </c>
      <c r="I1133" t="s">
        <v>139</v>
      </c>
      <c r="J1133" t="s">
        <v>287</v>
      </c>
      <c r="K1133" s="94">
        <f>IF('Net zero activities &amp; levers'!$C$14="Off",'Activity data'!AD63*ManureNEF*NtoN2O*kgtoGg,IF('Net zero activities &amp; levers'!$C$14="On",'Net zero Activity data'!AD63*ManureNEF*NtoN2O*kgtoGg,"ERROR"))</f>
        <v>3.1618785484610064E-2</v>
      </c>
      <c r="L1133" s="94">
        <f>IF('Net zero activities &amp; levers'!$C$14="Off",'Activity data'!AE63*ManureNEF*NtoN2O*kgtoGg,IF('Net zero activities &amp; levers'!$C$14="On",'Net zero Activity data'!AE63*ManureNEF*NtoN2O*kgtoGg,"ERROR"))</f>
        <v>3.1446916354757486E-2</v>
      </c>
      <c r="M1133" s="94">
        <f>IF('Net zero activities &amp; levers'!$C$14="Off",'Activity data'!AF63*ManureNEF*NtoN2O*kgtoGg,IF('Net zero activities &amp; levers'!$C$14="On",'Net zero Activity data'!AF63*ManureNEF*NtoN2O*kgtoGg,"ERROR"))</f>
        <v>3.1461022839745618E-2</v>
      </c>
      <c r="N1133" s="94">
        <f>IF('Net zero activities &amp; levers'!$C$14="Off",'Activity data'!AG63*ManureNEF*NtoN2O*kgtoGg,IF('Net zero activities &amp; levers'!$C$14="On",'Net zero Activity data'!AG63*ManureNEF*NtoN2O*kgtoGg,"ERROR"))</f>
        <v>3.1172186541537576E-2</v>
      </c>
      <c r="O1133" s="94">
        <f>IF('Net zero activities &amp; levers'!$C$14="Off",'Activity data'!AH63*ManureNEF*NtoN2O*kgtoGg,IF('Net zero activities &amp; levers'!$C$14="On",'Net zero Activity data'!AH63*ManureNEF*NtoN2O*kgtoGg,"ERROR"))</f>
        <v>3.0700450247237825E-2</v>
      </c>
      <c r="P1133" s="94">
        <f>IF('Net zero activities &amp; levers'!$C$14="Off",'Activity data'!AI63*ManureNEF*NtoN2O*kgtoGg,IF('Net zero activities &amp; levers'!$C$14="On",'Net zero Activity data'!AI63*ManureNEF*NtoN2O*kgtoGg,"ERROR"))</f>
        <v>3.0053355161673623E-2</v>
      </c>
      <c r="Q1133" s="94">
        <f>IF('Net zero activities &amp; levers'!$C$14="Off",'Activity data'!AJ63*ManureNEF*NtoN2O*kgtoGg,IF('Net zero activities &amp; levers'!$C$14="On",'Net zero Activity data'!AJ63*ManureNEF*NtoN2O*kgtoGg,"ERROR"))</f>
        <v>2.9583492368545915E-2</v>
      </c>
      <c r="R1133" s="94">
        <f>IF('Net zero activities &amp; levers'!$C$14="Off",'Activity data'!AK63*ManureNEF*NtoN2O*kgtoGg,IF('Net zero activities &amp; levers'!$C$14="On",'Net zero Activity data'!AK63*ManureNEF*NtoN2O*kgtoGg,"ERROR"))</f>
        <v>2.9155206131309674E-2</v>
      </c>
      <c r="S1133" s="94">
        <f>IF('Net zero activities &amp; levers'!$C$14="Off",'Activity data'!AL63*ManureNEF*NtoN2O*kgtoGg,IF('Net zero activities &amp; levers'!$C$14="On",'Net zero Activity data'!AL63*ManureNEF*NtoN2O*kgtoGg,"ERROR"))</f>
        <v>2.5742586430512242E-2</v>
      </c>
      <c r="T1133" s="94">
        <f>IF('Net zero activities &amp; levers'!$C$14="Off",'Activity data'!AM63*ManureNEF*NtoN2O*kgtoGg,IF('Net zero activities &amp; levers'!$C$14="On",'Net zero Activity data'!AM63*ManureNEF*NtoN2O*kgtoGg,"ERROR"))</f>
        <v>2.6068118868302407E-2</v>
      </c>
      <c r="U1133" s="94">
        <f>IF('Net zero activities &amp; levers'!$C$14="Off",'Activity data'!AN63*ManureNEF*NtoN2O*kgtoGg,IF('Net zero activities &amp; levers'!$C$14="On",'Net zero Activity data'!AN63*ManureNEF*NtoN2O*kgtoGg,"ERROR"))</f>
        <v>2.6766647576171875E-2</v>
      </c>
      <c r="V1133" s="94">
        <f>IF('Net zero activities &amp; levers'!$C$14="Off",'Activity data'!AO63*ManureNEF*NtoN2O*kgtoGg,IF('Net zero activities &amp; levers'!$C$14="On",'Net zero Activity data'!AO63*ManureNEF*NtoN2O*kgtoGg,"ERROR"))</f>
        <v>2.6830070353895639E-2</v>
      </c>
      <c r="W1133" s="94">
        <f>IF('Net zero activities &amp; levers'!$C$14="Off",'Activity data'!AP63*ManureNEF*NtoN2O*kgtoGg,IF('Net zero activities &amp; levers'!$C$14="On",'Net zero Activity data'!AP63*ManureNEF*NtoN2O*kgtoGg,"ERROR"))</f>
        <v>2.6967415903093594E-2</v>
      </c>
      <c r="X1133" s="94">
        <f>IF('Net zero activities &amp; levers'!$C$14="Off",'Activity data'!AQ63*ManureNEF*NtoN2O*kgtoGg,IF('Net zero activities &amp; levers'!$C$14="On",'Net zero Activity data'!AQ63*ManureNEF*NtoN2O*kgtoGg,"ERROR"))</f>
        <v>2.7198342082935097E-2</v>
      </c>
      <c r="Y1133" s="94">
        <f>IF('Net zero activities &amp; levers'!$C$14="Off",'Activity data'!AR63*ManureNEF*NtoN2O*kgtoGg,IF('Net zero activities &amp; levers'!$C$14="On",'Net zero Activity data'!AR63*ManureNEF*NtoN2O*kgtoGg,"ERROR"))</f>
        <v>2.7488108281140813E-2</v>
      </c>
      <c r="Z1133" s="94">
        <f>IF('Net zero activities &amp; levers'!$C$14="Off",'Activity data'!AS63*ManureNEF*NtoN2O*kgtoGg,IF('Net zero activities &amp; levers'!$C$14="On",'Net zero Activity data'!AS63*ManureNEF*NtoN2O*kgtoGg,"ERROR"))</f>
        <v>2.7843192191916763E-2</v>
      </c>
      <c r="AA1133" s="94">
        <f>IF('Net zero activities &amp; levers'!$C$14="Off",'Activity data'!AT63*ManureNEF*NtoN2O*kgtoGg,IF('Net zero activities &amp; levers'!$C$14="On",'Net zero Activity data'!AT63*ManureNEF*NtoN2O*kgtoGg,"ERROR"))</f>
        <v>2.8202428453344759E-2</v>
      </c>
      <c r="AB1133" s="94">
        <f>IF('Net zero activities &amp; levers'!$C$14="Off",'Activity data'!AU63*ManureNEF*NtoN2O*kgtoGg,IF('Net zero activities &amp; levers'!$C$14="On",'Net zero Activity data'!AU63*ManureNEF*NtoN2O*kgtoGg,"ERROR"))</f>
        <v>2.8617183610093744E-2</v>
      </c>
      <c r="AC1133" s="94">
        <f>IF('Net zero activities &amp; levers'!$C$14="Off",'Activity data'!AV63*ManureNEF*NtoN2O*kgtoGg,IF('Net zero activities &amp; levers'!$C$14="On",'Net zero Activity data'!AV63*ManureNEF*NtoN2O*kgtoGg,"ERROR"))</f>
        <v>2.902907613639907E-2</v>
      </c>
      <c r="AD1133" s="94">
        <f>IF('Net zero activities &amp; levers'!$C$14="Off",'Activity data'!AW63*ManureNEF*NtoN2O*kgtoGg,IF('Net zero activities &amp; levers'!$C$14="On",'Net zero Activity data'!AW63*ManureNEF*NtoN2O*kgtoGg,"ERROR"))</f>
        <v>2.9541166089713286E-2</v>
      </c>
      <c r="AE1133" s="94">
        <f>IF('Net zero activities &amp; levers'!$C$14="Off",'Activity data'!AX63*ManureNEF*NtoN2O*kgtoGg,IF('Net zero activities &amp; levers'!$C$14="On",'Net zero Activity data'!AX63*ManureNEF*NtoN2O*kgtoGg,"ERROR"))</f>
        <v>3.0012582293784919E-2</v>
      </c>
      <c r="AF1133" s="94">
        <f>IF('Net zero activities &amp; levers'!$C$14="Off",'Activity data'!AY63*ManureNEF*NtoN2O*kgtoGg,IF('Net zero activities &amp; levers'!$C$14="On",'Net zero Activity data'!AY63*ManureNEF*NtoN2O*kgtoGg,"ERROR"))</f>
        <v>3.05142068245088E-2</v>
      </c>
      <c r="AG1133" s="94">
        <f>IF('Net zero activities &amp; levers'!$C$14="Off",'Activity data'!AZ63*ManureNEF*NtoN2O*kgtoGg,IF('Net zero activities &amp; levers'!$C$14="On",'Net zero Activity data'!AZ63*ManureNEF*NtoN2O*kgtoGg,"ERROR"))</f>
        <v>3.1126123311674345E-2</v>
      </c>
      <c r="AH1133" s="94">
        <f>IF('Net zero activities &amp; levers'!$C$14="Off",'Activity data'!BA63*ManureNEF*NtoN2O*kgtoGg,IF('Net zero activities &amp; levers'!$C$14="On",'Net zero Activity data'!BA63*ManureNEF*NtoN2O*kgtoGg,"ERROR"))</f>
        <v>3.1651558436511636E-2</v>
      </c>
      <c r="AI1133" s="94">
        <f>IF('Net zero activities &amp; levers'!$C$14="Off",'Activity data'!BB63*ManureNEF*NtoN2O*kgtoGg,IF('Net zero activities &amp; levers'!$C$14="On",'Net zero Activity data'!BB63*ManureNEF*NtoN2O*kgtoGg,"ERROR"))</f>
        <v>3.2218684799767874E-2</v>
      </c>
      <c r="AJ1133" s="94">
        <f>IF('Net zero activities &amp; levers'!$C$14="Off",'Activity data'!BC63*ManureNEF*NtoN2O*kgtoGg,IF('Net zero activities &amp; levers'!$C$14="On",'Net zero Activity data'!BC63*ManureNEF*NtoN2O*kgtoGg,"ERROR"))</f>
        <v>3.2834204369193265E-2</v>
      </c>
      <c r="AK1133" s="94">
        <f>IF('Net zero activities &amp; levers'!$C$14="Off",'Activity data'!BD63*ManureNEF*NtoN2O*kgtoGg,IF('Net zero activities &amp; levers'!$C$14="On",'Net zero Activity data'!BD63*ManureNEF*NtoN2O*kgtoGg,"ERROR"))</f>
        <v>3.334768720159275E-2</v>
      </c>
      <c r="AL1133" s="94">
        <f>IF('Net zero activities &amp; levers'!$C$14="Off",'Activity data'!BE63*ManureNEF*NtoN2O*kgtoGg,IF('Net zero activities &amp; levers'!$C$14="On",'Net zero Activity data'!BE63*ManureNEF*NtoN2O*kgtoGg,"ERROR"))</f>
        <v>3.3829223876470492E-2</v>
      </c>
      <c r="AM1133" s="94">
        <f>IF('Net zero activities &amp; levers'!$C$14="Off",'Activity data'!BF63*ManureNEF*NtoN2O*kgtoGg,IF('Net zero activities &amp; levers'!$C$14="On",'Net zero Activity data'!BF63*ManureNEF*NtoN2O*kgtoGg,"ERROR"))</f>
        <v>3.4282698086419032E-2</v>
      </c>
      <c r="AN1133" s="94">
        <f>IF('Net zero activities &amp; levers'!$C$14="Off",'Activity data'!BG63*ManureNEF*NtoN2O*kgtoGg,IF('Net zero activities &amp; levers'!$C$14="On",'Net zero Activity data'!BG63*ManureNEF*NtoN2O*kgtoGg,"ERROR"))</f>
        <v>3.4806306995392507E-2</v>
      </c>
      <c r="AO1133" s="94">
        <f>IF('Net zero activities &amp; levers'!$C$14="Off",'Activity data'!BH63*ManureNEF*NtoN2O*kgtoGg,IF('Net zero activities &amp; levers'!$C$14="On",'Net zero Activity data'!BH63*ManureNEF*NtoN2O*kgtoGg,"ERROR"))</f>
        <v>3.5260470225842028E-2</v>
      </c>
      <c r="AP1133" s="94">
        <f>IF('Net zero activities &amp; levers'!$C$14="Off",'Activity data'!BI63*ManureNEF*NtoN2O*kgtoGg,IF('Net zero activities &amp; levers'!$C$14="On",'Net zero Activity data'!BI63*ManureNEF*NtoN2O*kgtoGg,"ERROR"))</f>
        <v>3.5729282051178403E-2</v>
      </c>
      <c r="AQ1133" s="94">
        <f>IF('Net zero activities &amp; levers'!$C$14="Off",'Activity data'!BJ63*ManureNEF*NtoN2O*kgtoGg,IF('Net zero activities &amp; levers'!$C$14="On",'Net zero Activity data'!BJ63*ManureNEF*NtoN2O*kgtoGg,"ERROR"))</f>
        <v>3.6216278611362E-2</v>
      </c>
      <c r="AR1133" s="94">
        <f>IF('Net zero activities &amp; levers'!$C$14="Off",'Activity data'!BK63*ManureNEF*NtoN2O*kgtoGg,IF('Net zero activities &amp; levers'!$C$14="On",'Net zero Activity data'!BK63*ManureNEF*NtoN2O*kgtoGg,"ERROR"))</f>
        <v>3.672755344896201E-2</v>
      </c>
      <c r="AS1133" s="94">
        <f>IF('Net zero activities &amp; levers'!$C$14="Off",'Activity data'!BL63*ManureNEF*NtoN2O*kgtoGg,IF('Net zero activities &amp; levers'!$C$14="On",'Net zero Activity data'!BL63*ManureNEF*NtoN2O*kgtoGg,"ERROR"))</f>
        <v>3.7264425931725673E-2</v>
      </c>
      <c r="AT1133" s="94">
        <f>IF('Net zero activities &amp; levers'!$C$14="Off",'Activity data'!BM63*ManureNEF*NtoN2O*kgtoGg,IF('Net zero activities &amp; levers'!$C$14="On",'Net zero Activity data'!BM63*ManureNEF*NtoN2O*kgtoGg,"ERROR"))</f>
        <v>3.6937731653004804E-2</v>
      </c>
      <c r="AU1133" s="94">
        <f>IF('Net zero activities &amp; levers'!$C$14="Off",'Activity data'!BN63*ManureNEF*NtoN2O*kgtoGg,IF('Net zero activities &amp; levers'!$C$14="On",'Net zero Activity data'!BN63*ManureNEF*NtoN2O*kgtoGg,"ERROR"))</f>
        <v>3.6535539754274135E-2</v>
      </c>
      <c r="AV1133" s="94">
        <f>IF('Net zero activities &amp; levers'!$C$14="Off",'Activity data'!BO63*ManureNEF*NtoN2O*kgtoGg,IF('Net zero activities &amp; levers'!$C$14="On",'Net zero Activity data'!BO63*ManureNEF*NtoN2O*kgtoGg,"ERROR"))</f>
        <v>3.6028043474654464E-2</v>
      </c>
      <c r="AW1133" s="94">
        <f>IF('Net zero activities &amp; levers'!$C$14="Off",'Activity data'!BP63*ManureNEF*NtoN2O*kgtoGg,IF('Net zero activities &amp; levers'!$C$14="On",'Net zero Activity data'!BP63*ManureNEF*NtoN2O*kgtoGg,"ERROR"))</f>
        <v>3.5495657933766529E-2</v>
      </c>
      <c r="AY1133" s="79"/>
    </row>
    <row r="1134" spans="1:51" x14ac:dyDescent="0.3">
      <c r="A1134" s="95" t="str">
        <f t="shared" si="374"/>
        <v>CM Organic</v>
      </c>
      <c r="B1134" s="95" t="s">
        <v>1322</v>
      </c>
      <c r="C1134" s="95" t="s">
        <v>1127</v>
      </c>
      <c r="D1134" t="s">
        <v>369</v>
      </c>
      <c r="E1134" t="s">
        <v>55</v>
      </c>
      <c r="F1134" t="s">
        <v>421</v>
      </c>
      <c r="G1134" t="s">
        <v>1180</v>
      </c>
      <c r="H1134" t="s">
        <v>1181</v>
      </c>
      <c r="I1134" t="s">
        <v>139</v>
      </c>
      <c r="J1134" t="s">
        <v>287</v>
      </c>
      <c r="K1134" s="94">
        <f>IF('Net zero activities &amp; levers'!$C$14="Off",'Activity data'!AD64*ManureNEF*NtoN2O*kgtoGg,IF('Net zero activities &amp; levers'!$C$14="On",'Net zero Activity data'!AD64*ManureNEF*NtoN2O*kgtoGg,"ERROR"))</f>
        <v>0.15700744358616764</v>
      </c>
      <c r="L1134" s="94">
        <f>IF('Net zero activities &amp; levers'!$C$14="Off",'Activity data'!AE64*ManureNEF*NtoN2O*kgtoGg,IF('Net zero activities &amp; levers'!$C$14="On",'Net zero Activity data'!AE64*ManureNEF*NtoN2O*kgtoGg,"ERROR"))</f>
        <v>0.16019971617730658</v>
      </c>
      <c r="M1134" s="94">
        <f>IF('Net zero activities &amp; levers'!$C$14="Off",'Activity data'!AF64*ManureNEF*NtoN2O*kgtoGg,IF('Net zero activities &amp; levers'!$C$14="On",'Net zero Activity data'!AF64*ManureNEF*NtoN2O*kgtoGg,"ERROR"))</f>
        <v>0.16393118028621728</v>
      </c>
      <c r="N1134" s="94">
        <f>IF('Net zero activities &amp; levers'!$C$14="Off",'Activity data'!AG64*ManureNEF*NtoN2O*kgtoGg,IF('Net zero activities &amp; levers'!$C$14="On",'Net zero Activity data'!AG64*ManureNEF*NtoN2O*kgtoGg,"ERROR"))</f>
        <v>0.1667959170810015</v>
      </c>
      <c r="O1134" s="94">
        <f>IF('Net zero activities &amp; levers'!$C$14="Off",'Activity data'!AH64*ManureNEF*NtoN2O*kgtoGg,IF('Net zero activities &amp; levers'!$C$14="On",'Net zero Activity data'!AH64*ManureNEF*NtoN2O*kgtoGg,"ERROR"))</f>
        <v>0.16909558154641685</v>
      </c>
      <c r="P1134" s="94">
        <f>IF('Net zero activities &amp; levers'!$C$14="Off",'Activity data'!AI64*ManureNEF*NtoN2O*kgtoGg,IF('Net zero activities &amp; levers'!$C$14="On",'Net zero Activity data'!AI64*ManureNEF*NtoN2O*kgtoGg,"ERROR"))</f>
        <v>0.17081649742586277</v>
      </c>
      <c r="Q1134" s="94">
        <f>IF('Net zero activities &amp; levers'!$C$14="Off",'Activity data'!AJ64*ManureNEF*NtoN2O*kgtoGg,IF('Net zero activities &amp; levers'!$C$14="On",'Net zero Activity data'!AJ64*ManureNEF*NtoN2O*kgtoGg,"ERROR"))</f>
        <v>0.17302318661183388</v>
      </c>
      <c r="R1134" s="94">
        <f>IF('Net zero activities &amp; levers'!$C$14="Off",'Activity data'!AK64*ManureNEF*NtoN2O*kgtoGg,IF('Net zero activities &amp; levers'!$C$14="On",'Net zero Activity data'!AK64*ManureNEF*NtoN2O*kgtoGg,"ERROR"))</f>
        <v>0.17531753251219051</v>
      </c>
      <c r="S1134" s="94">
        <f>IF('Net zero activities &amp; levers'!$C$14="Off",'Activity data'!AL64*ManureNEF*NtoN2O*kgtoGg,IF('Net zero activities &amp; levers'!$C$14="On",'Net zero Activity data'!AL64*ManureNEF*NtoN2O*kgtoGg,"ERROR"))</f>
        <v>0.16751439680213853</v>
      </c>
      <c r="T1134" s="94">
        <f>IF('Net zero activities &amp; levers'!$C$14="Off",'Activity data'!AM64*ManureNEF*NtoN2O*kgtoGg,IF('Net zero activities &amp; levers'!$C$14="On",'Net zero Activity data'!AM64*ManureNEF*NtoN2O*kgtoGg,"ERROR"))</f>
        <v>0.17168380366965671</v>
      </c>
      <c r="U1134" s="94">
        <f>IF('Net zero activities &amp; levers'!$C$14="Off",'Activity data'!AN64*ManureNEF*NtoN2O*kgtoGg,IF('Net zero activities &amp; levers'!$C$14="On",'Net zero Activity data'!AN64*ManureNEF*NtoN2O*kgtoGg,"ERROR"))</f>
        <v>0.17724022876298692</v>
      </c>
      <c r="V1134" s="94">
        <f>IF('Net zero activities &amp; levers'!$C$14="Off",'Activity data'!AO64*ManureNEF*NtoN2O*kgtoGg,IF('Net zero activities &amp; levers'!$C$14="On",'Net zero Activity data'!AO64*ManureNEF*NtoN2O*kgtoGg,"ERROR"))</f>
        <v>0.18063841613712966</v>
      </c>
      <c r="W1134" s="94">
        <f>IF('Net zero activities &amp; levers'!$C$14="Off",'Activity data'!AP64*ManureNEF*NtoN2O*kgtoGg,IF('Net zero activities &amp; levers'!$C$14="On",'Net zero Activity data'!AP64*ManureNEF*NtoN2O*kgtoGg,"ERROR"))</f>
        <v>0.18434318641003919</v>
      </c>
      <c r="X1134" s="94">
        <f>IF('Net zero activities &amp; levers'!$C$14="Off",'Activity data'!AQ64*ManureNEF*NtoN2O*kgtoGg,IF('Net zero activities &amp; levers'!$C$14="On",'Net zero Activity data'!AQ64*ManureNEF*NtoN2O*kgtoGg,"ERROR"))</f>
        <v>0.188448281864291</v>
      </c>
      <c r="Y1134" s="94">
        <f>IF('Net zero activities &amp; levers'!$C$14="Off",'Activity data'!AR64*ManureNEF*NtoN2O*kgtoGg,IF('Net zero activities &amp; levers'!$C$14="On",'Net zero Activity data'!AR64*ManureNEF*NtoN2O*kgtoGg,"ERROR"))</f>
        <v>0.19268830884381843</v>
      </c>
      <c r="Z1134" s="94">
        <f>IF('Net zero activities &amp; levers'!$C$14="Off",'Activity data'!AS64*ManureNEF*NtoN2O*kgtoGg,IF('Net zero activities &amp; levers'!$C$14="On",'Net zero Activity data'!AS64*ManureNEF*NtoN2O*kgtoGg,"ERROR"))</f>
        <v>0.19725821874244767</v>
      </c>
      <c r="AA1134" s="94">
        <f>IF('Net zero activities &amp; levers'!$C$14="Off",'Activity data'!AT64*ManureNEF*NtoN2O*kgtoGg,IF('Net zero activities &amp; levers'!$C$14="On",'Net zero Activity data'!AT64*ManureNEF*NtoN2O*kgtoGg,"ERROR"))</f>
        <v>0.20193089933116126</v>
      </c>
      <c r="AB1134" s="94">
        <f>IF('Net zero activities &amp; levers'!$C$14="Off",'Activity data'!AU64*ManureNEF*NtoN2O*kgtoGg,IF('Net zero activities &amp; levers'!$C$14="On",'Net zero Activity data'!AU64*ManureNEF*NtoN2O*kgtoGg,"ERROR"))</f>
        <v>0.20692004706096712</v>
      </c>
      <c r="AC1134" s="94">
        <f>IF('Net zero activities &amp; levers'!$C$14="Off",'Activity data'!AV64*ManureNEF*NtoN2O*kgtoGg,IF('Net zero activities &amp; levers'!$C$14="On",'Net zero Activity data'!AV64*ManureNEF*NtoN2O*kgtoGg,"ERROR"))</f>
        <v>0.21199804978928341</v>
      </c>
      <c r="AD1134" s="94">
        <f>IF('Net zero activities &amp; levers'!$C$14="Off",'Activity data'!AW64*ManureNEF*NtoN2O*kgtoGg,IF('Net zero activities &amp; levers'!$C$14="On",'Net zero Activity data'!AW64*ManureNEF*NtoN2O*kgtoGg,"ERROR"))</f>
        <v>0.21747687739173732</v>
      </c>
      <c r="AE1134" s="94">
        <f>IF('Net zero activities &amp; levers'!$C$14="Off",'Activity data'!AX64*ManureNEF*NtoN2O*kgtoGg,IF('Net zero activities &amp; levers'!$C$14="On",'Net zero Activity data'!AX64*ManureNEF*NtoN2O*kgtoGg,"ERROR"))</f>
        <v>0.22289913009362322</v>
      </c>
      <c r="AF1134" s="94">
        <f>IF('Net zero activities &amp; levers'!$C$14="Off",'Activity data'!AY64*ManureNEF*NtoN2O*kgtoGg,IF('Net zero activities &amp; levers'!$C$14="On",'Net zero Activity data'!AY64*ManureNEF*NtoN2O*kgtoGg,"ERROR"))</f>
        <v>0.22857157153008073</v>
      </c>
      <c r="AG1134" s="94">
        <f>IF('Net zero activities &amp; levers'!$C$14="Off",'Activity data'!AZ64*ManureNEF*NtoN2O*kgtoGg,IF('Net zero activities &amp; levers'!$C$14="On",'Net zero Activity data'!AZ64*ManureNEF*NtoN2O*kgtoGg,"ERROR"))</f>
        <v>0.23486719230657463</v>
      </c>
      <c r="AH1134" s="94">
        <f>IF('Net zero activities &amp; levers'!$C$14="Off",'Activity data'!BA64*ManureNEF*NtoN2O*kgtoGg,IF('Net zero activities &amp; levers'!$C$14="On",'Net zero Activity data'!BA64*ManureNEF*NtoN2O*kgtoGg,"ERROR"))</f>
        <v>0.24091117160634945</v>
      </c>
      <c r="AI1134" s="94">
        <f>IF('Net zero activities &amp; levers'!$C$14="Off",'Activity data'!BB64*ManureNEF*NtoN2O*kgtoGg,IF('Net zero activities &amp; levers'!$C$14="On",'Net zero Activity data'!BB64*ManureNEF*NtoN2O*kgtoGg,"ERROR"))</f>
        <v>0.24716162450629867</v>
      </c>
      <c r="AJ1134" s="94">
        <f>IF('Net zero activities &amp; levers'!$C$14="Off",'Activity data'!BC64*ManureNEF*NtoN2O*kgtoGg,IF('Net zero activities &amp; levers'!$C$14="On",'Net zero Activity data'!BC64*ManureNEF*NtoN2O*kgtoGg,"ERROR"))</f>
        <v>0.25378810388351081</v>
      </c>
      <c r="AK1134" s="94">
        <f>IF('Net zero activities &amp; levers'!$C$14="Off",'Activity data'!BD64*ManureNEF*NtoN2O*kgtoGg,IF('Net zero activities &amp; levers'!$C$14="On",'Net zero Activity data'!BD64*ManureNEF*NtoN2O*kgtoGg,"ERROR"))</f>
        <v>0.26007320548130258</v>
      </c>
      <c r="AL1134" s="94">
        <f>IF('Net zero activities &amp; levers'!$C$14="Off",'Activity data'!BE64*ManureNEF*NtoN2O*kgtoGg,IF('Net zero activities &amp; levers'!$C$14="On",'Net zero Activity data'!BE64*ManureNEF*NtoN2O*kgtoGg,"ERROR"))</f>
        <v>0.26634117713838401</v>
      </c>
      <c r="AM1134" s="94">
        <f>IF('Net zero activities &amp; levers'!$C$14="Off",'Activity data'!BF64*ManureNEF*NtoN2O*kgtoGg,IF('Net zero activities &amp; levers'!$C$14="On",'Net zero Activity data'!BF64*ManureNEF*NtoN2O*kgtoGg,"ERROR"))</f>
        <v>0.27260643897493425</v>
      </c>
      <c r="AN1134" s="94">
        <f>IF('Net zero activities &amp; levers'!$C$14="Off",'Activity data'!BG64*ManureNEF*NtoN2O*kgtoGg,IF('Net zero activities &amp; levers'!$C$14="On",'Net zero Activity data'!BG64*ManureNEF*NtoN2O*kgtoGg,"ERROR"))</f>
        <v>0.2792535835644861</v>
      </c>
      <c r="AO1134" s="94">
        <f>IF('Net zero activities &amp; levers'!$C$14="Off",'Activity data'!BH64*ManureNEF*NtoN2O*kgtoGg,IF('Net zero activities &amp; levers'!$C$14="On",'Net zero Activity data'!BH64*ManureNEF*NtoN2O*kgtoGg,"ERROR"))</f>
        <v>0.2856890752327706</v>
      </c>
      <c r="AP1134" s="94">
        <f>IF('Net zero activities &amp; levers'!$C$14="Off",'Activity data'!BI64*ManureNEF*NtoN2O*kgtoGg,IF('Net zero activities &amp; levers'!$C$14="On",'Net zero Activity data'!BI64*ManureNEF*NtoN2O*kgtoGg,"ERROR"))</f>
        <v>0.29234742990941948</v>
      </c>
      <c r="AQ1134" s="94">
        <f>IF('Net zero activities &amp; levers'!$C$14="Off",'Activity data'!BJ64*ManureNEF*NtoN2O*kgtoGg,IF('Net zero activities &amp; levers'!$C$14="On",'Net zero Activity data'!BJ64*ManureNEF*NtoN2O*kgtoGg,"ERROR"))</f>
        <v>0.29925644298376841</v>
      </c>
      <c r="AR1134" s="94">
        <f>IF('Net zero activities &amp; levers'!$C$14="Off",'Activity data'!BK64*ManureNEF*NtoN2O*kgtoGg,IF('Net zero activities &amp; levers'!$C$14="On",'Net zero Activity data'!BK64*ManureNEF*NtoN2O*kgtoGg,"ERROR"))</f>
        <v>0.30645986851598017</v>
      </c>
      <c r="AS1134" s="94">
        <f>IF('Net zero activities &amp; levers'!$C$14="Off",'Activity data'!BL64*ManureNEF*NtoN2O*kgtoGg,IF('Net zero activities &amp; levers'!$C$14="On",'Net zero Activity data'!BL64*ManureNEF*NtoN2O*kgtoGg,"ERROR"))</f>
        <v>0.31385566843275581</v>
      </c>
      <c r="AT1134" s="94">
        <f>IF('Net zero activities &amp; levers'!$C$14="Off",'Activity data'!BM64*ManureNEF*NtoN2O*kgtoGg,IF('Net zero activities &amp; levers'!$C$14="On",'Net zero Activity data'!BM64*ManureNEF*NtoN2O*kgtoGg,"ERROR"))</f>
        <v>0.31644615504224521</v>
      </c>
      <c r="AU1134" s="94">
        <f>IF('Net zero activities &amp; levers'!$C$14="Off",'Activity data'!BN64*ManureNEF*NtoN2O*kgtoGg,IF('Net zero activities &amp; levers'!$C$14="On",'Net zero Activity data'!BN64*ManureNEF*NtoN2O*kgtoGg,"ERROR"))</f>
        <v>0.31859170882360827</v>
      </c>
      <c r="AV1134" s="94">
        <f>IF('Net zero activities &amp; levers'!$C$14="Off",'Activity data'!BO64*ManureNEF*NtoN2O*kgtoGg,IF('Net zero activities &amp; levers'!$C$14="On",'Net zero Activity data'!BO64*ManureNEF*NtoN2O*kgtoGg,"ERROR"))</f>
        <v>0.32009002936003406</v>
      </c>
      <c r="AW1134" s="94">
        <f>IF('Net zero activities &amp; levers'!$C$14="Off",'Activity data'!BP64*ManureNEF*NtoN2O*kgtoGg,IF('Net zero activities &amp; levers'!$C$14="On",'Net zero Activity data'!BP64*ManureNEF*NtoN2O*kgtoGg,"ERROR"))</f>
        <v>0.3213967030603942</v>
      </c>
      <c r="AY1134" s="79"/>
    </row>
    <row r="1135" spans="1:51" x14ac:dyDescent="0.3">
      <c r="A1135" s="95" t="str">
        <f t="shared" si="374"/>
        <v>CM Organic</v>
      </c>
      <c r="B1135" s="95" t="s">
        <v>1322</v>
      </c>
      <c r="C1135" s="95" t="s">
        <v>1127</v>
      </c>
      <c r="D1135" t="s">
        <v>369</v>
      </c>
      <c r="E1135" t="s">
        <v>55</v>
      </c>
      <c r="F1135" t="s">
        <v>421</v>
      </c>
      <c r="G1135" t="s">
        <v>1182</v>
      </c>
      <c r="H1135" t="s">
        <v>1183</v>
      </c>
      <c r="I1135" t="s">
        <v>139</v>
      </c>
      <c r="J1135" t="s">
        <v>287</v>
      </c>
      <c r="K1135" s="94">
        <f>IF('Net zero activities &amp; levers'!$C$14="Off",'Activity data'!AD65*ManureNEF*NtoN2O*kgtoGg,IF('Net zero activities &amp; levers'!$C$14="On",'Net zero Activity data'!AD65*ManureNEF*NtoN2O*kgtoGg,"ERROR"))</f>
        <v>0.78620275218739033</v>
      </c>
      <c r="L1135" s="94">
        <f>IF('Net zero activities &amp; levers'!$C$14="Off",'Activity data'!AE65*ManureNEF*NtoN2O*kgtoGg,IF('Net zero activities &amp; levers'!$C$14="On",'Net zero Activity data'!AE65*ManureNEF*NtoN2O*kgtoGg,"ERROR"))</f>
        <v>0.79655563720176326</v>
      </c>
      <c r="M1135" s="94">
        <f>IF('Net zero activities &amp; levers'!$C$14="Off",'Activity data'!AF65*ManureNEF*NtoN2O*kgtoGg,IF('Net zero activities &amp; levers'!$C$14="On",'Net zero Activity data'!AF65*ManureNEF*NtoN2O*kgtoGg,"ERROR"))</f>
        <v>0.8131853402467214</v>
      </c>
      <c r="N1135" s="94">
        <f>IF('Net zero activities &amp; levers'!$C$14="Off",'Activity data'!AG65*ManureNEF*NtoN2O*kgtoGg,IF('Net zero activities &amp; levers'!$C$14="On",'Net zero Activity data'!AG65*ManureNEF*NtoN2O*kgtoGg,"ERROR"))</f>
        <v>0.81796021384654038</v>
      </c>
      <c r="O1135" s="94">
        <f>IF('Net zero activities &amp; levers'!$C$14="Off",'Activity data'!AH65*ManureNEF*NtoN2O*kgtoGg,IF('Net zero activities &amp; levers'!$C$14="On",'Net zero Activity data'!AH65*ManureNEF*NtoN2O*kgtoGg,"ERROR"))</f>
        <v>0.81503229757580642</v>
      </c>
      <c r="P1135" s="94">
        <f>IF('Net zero activities &amp; levers'!$C$14="Off",'Activity data'!AI65*ManureNEF*NtoN2O*kgtoGg,IF('Net zero activities &amp; levers'!$C$14="On",'Net zero Activity data'!AI65*ManureNEF*NtoN2O*kgtoGg,"ERROR"))</f>
        <v>0.80443274266431908</v>
      </c>
      <c r="Q1135" s="94">
        <f>IF('Net zero activities &amp; levers'!$C$14="Off",'Activity data'!AJ65*ManureNEF*NtoN2O*kgtoGg,IF('Net zero activities &amp; levers'!$C$14="On",'Net zero Activity data'!AJ65*ManureNEF*NtoN2O*kgtoGg,"ERROR"))</f>
        <v>0.79997057217510736</v>
      </c>
      <c r="R1135" s="94">
        <f>IF('Net zero activities &amp; levers'!$C$14="Off",'Activity data'!AK65*ManureNEF*NtoN2O*kgtoGg,IF('Net zero activities &amp; levers'!$C$14="On",'Net zero Activity data'!AK65*ManureNEF*NtoN2O*kgtoGg,"ERROR"))</f>
        <v>0.79652072541357855</v>
      </c>
      <c r="S1135" s="94">
        <f>IF('Net zero activities &amp; levers'!$C$14="Off",'Activity data'!AL65*ManureNEF*NtoN2O*kgtoGg,IF('Net zero activities &amp; levers'!$C$14="On",'Net zero Activity data'!AL65*ManureNEF*NtoN2O*kgtoGg,"ERROR"))</f>
        <v>0.6714256257710044</v>
      </c>
      <c r="T1135" s="94">
        <f>IF('Net zero activities &amp; levers'!$C$14="Off",'Activity data'!AM65*ManureNEF*NtoN2O*kgtoGg,IF('Net zero activities &amp; levers'!$C$14="On",'Net zero Activity data'!AM65*ManureNEF*NtoN2O*kgtoGg,"ERROR"))</f>
        <v>0.69801734564768969</v>
      </c>
      <c r="U1135" s="94">
        <f>IF('Net zero activities &amp; levers'!$C$14="Off",'Activity data'!AN65*ManureNEF*NtoN2O*kgtoGg,IF('Net zero activities &amp; levers'!$C$14="On",'Net zero Activity data'!AN65*ManureNEF*NtoN2O*kgtoGg,"ERROR"))</f>
        <v>0.74045602078801331</v>
      </c>
      <c r="V1135" s="94">
        <f>IF('Net zero activities &amp; levers'!$C$14="Off",'Activity data'!AO65*ManureNEF*NtoN2O*kgtoGg,IF('Net zero activities &amp; levers'!$C$14="On",'Net zero Activity data'!AO65*ManureNEF*NtoN2O*kgtoGg,"ERROR"))</f>
        <v>0.75681661805559275</v>
      </c>
      <c r="W1135" s="94">
        <f>IF('Net zero activities &amp; levers'!$C$14="Off",'Activity data'!AP65*ManureNEF*NtoN2O*kgtoGg,IF('Net zero activities &amp; levers'!$C$14="On",'Net zero Activity data'!AP65*ManureNEF*NtoN2O*kgtoGg,"ERROR"))</f>
        <v>0.77639522353149193</v>
      </c>
      <c r="X1135" s="94">
        <f>IF('Net zero activities &amp; levers'!$C$14="Off",'Activity data'!AQ65*ManureNEF*NtoN2O*kgtoGg,IF('Net zero activities &amp; levers'!$C$14="On",'Net zero Activity data'!AQ65*ManureNEF*NtoN2O*kgtoGg,"ERROR"))</f>
        <v>0.8001865286543951</v>
      </c>
      <c r="Y1135" s="94">
        <f>IF('Net zero activities &amp; levers'!$C$14="Off",'Activity data'!AR65*ManureNEF*NtoN2O*kgtoGg,IF('Net zero activities &amp; levers'!$C$14="On",'Net zero Activity data'!AR65*ManureNEF*NtoN2O*kgtoGg,"ERROR"))</f>
        <v>0.82750602154681474</v>
      </c>
      <c r="Z1135" s="94">
        <f>IF('Net zero activities &amp; levers'!$C$14="Off",'Activity data'!AS65*ManureNEF*NtoN2O*kgtoGg,IF('Net zero activities &amp; levers'!$C$14="On",'Net zero Activity data'!AS65*ManureNEF*NtoN2O*kgtoGg,"ERROR"))</f>
        <v>0.85809975414422934</v>
      </c>
      <c r="AA1135" s="94">
        <f>IF('Net zero activities &amp; levers'!$C$14="Off",'Activity data'!AT65*ManureNEF*NtoN2O*kgtoGg,IF('Net zero activities &amp; levers'!$C$14="On",'Net zero Activity data'!AT65*ManureNEF*NtoN2O*kgtoGg,"ERROR"))</f>
        <v>0.88934316122776869</v>
      </c>
      <c r="AB1135" s="94">
        <f>IF('Net zero activities &amp; levers'!$C$14="Off",'Activity data'!AU65*ManureNEF*NtoN2O*kgtoGg,IF('Net zero activities &amp; levers'!$C$14="On",'Net zero Activity data'!AU65*ManureNEF*NtoN2O*kgtoGg,"ERROR"))</f>
        <v>0.92360761628524812</v>
      </c>
      <c r="AC1135" s="94">
        <f>IF('Net zero activities &amp; levers'!$C$14="Off",'Activity data'!AV65*ManureNEF*NtoN2O*kgtoGg,IF('Net zero activities &amp; levers'!$C$14="On",'Net zero Activity data'!AV65*ManureNEF*NtoN2O*kgtoGg,"ERROR"))</f>
        <v>0.95831140706580387</v>
      </c>
      <c r="AD1135" s="94">
        <f>IF('Net zero activities &amp; levers'!$C$14="Off",'Activity data'!AW65*ManureNEF*NtoN2O*kgtoGg,IF('Net zero activities &amp; levers'!$C$14="On",'Net zero Activity data'!AW65*ManureNEF*NtoN2O*kgtoGg,"ERROR"))</f>
        <v>0.99882396760608316</v>
      </c>
      <c r="AE1135" s="94">
        <f>IF('Net zero activities &amp; levers'!$C$14="Off",'Activity data'!AX65*ManureNEF*NtoN2O*kgtoGg,IF('Net zero activities &amp; levers'!$C$14="On",'Net zero Activity data'!AX65*ManureNEF*NtoN2O*kgtoGg,"ERROR"))</f>
        <v>1.0381393848215872</v>
      </c>
      <c r="AF1135" s="94">
        <f>IF('Net zero activities &amp; levers'!$C$14="Off",'Activity data'!AY65*ManureNEF*NtoN2O*kgtoGg,IF('Net zero activities &amp; levers'!$C$14="On",'Net zero Activity data'!AY65*ManureNEF*NtoN2O*kgtoGg,"ERROR"))</f>
        <v>1.079611123684572</v>
      </c>
      <c r="AG1135" s="94">
        <f>IF('Net zero activities &amp; levers'!$C$14="Off",'Activity data'!AZ65*ManureNEF*NtoN2O*kgtoGg,IF('Net zero activities &amp; levers'!$C$14="On",'Net zero Activity data'!AZ65*ManureNEF*NtoN2O*kgtoGg,"ERROR"))</f>
        <v>1.1272124079778039</v>
      </c>
      <c r="AH1135" s="94">
        <f>IF('Net zero activities &amp; levers'!$C$14="Off",'Activity data'!BA65*ManureNEF*NtoN2O*kgtoGg,IF('Net zero activities &amp; levers'!$C$14="On",'Net zero Activity data'!BA65*ManureNEF*NtoN2O*kgtoGg,"ERROR"))</f>
        <v>1.1714796676080013</v>
      </c>
      <c r="AI1135" s="94">
        <f>IF('Net zero activities &amp; levers'!$C$14="Off",'Activity data'!BB65*ManureNEF*NtoN2O*kgtoGg,IF('Net zero activities &amp; levers'!$C$14="On",'Net zero Activity data'!BB65*ManureNEF*NtoN2O*kgtoGg,"ERROR"))</f>
        <v>1.2191635190702683</v>
      </c>
      <c r="AJ1135" s="94">
        <f>IF('Net zero activities &amp; levers'!$C$14="Off",'Activity data'!BC65*ManureNEF*NtoN2O*kgtoGg,IF('Net zero activities &amp; levers'!$C$14="On",'Net zero Activity data'!BC65*ManureNEF*NtoN2O*kgtoGg,"ERROR"))</f>
        <v>1.2702163053795446</v>
      </c>
      <c r="AK1135" s="94">
        <f>IF('Net zero activities &amp; levers'!$C$14="Off",'Activity data'!BD65*ManureNEF*NtoN2O*kgtoGg,IF('Net zero activities &amp; levers'!$C$14="On",'Net zero Activity data'!BD65*ManureNEF*NtoN2O*kgtoGg,"ERROR"))</f>
        <v>1.3170629000720371</v>
      </c>
      <c r="AL1135" s="94">
        <f>IF('Net zero activities &amp; levers'!$C$14="Off",'Activity data'!BE65*ManureNEF*NtoN2O*kgtoGg,IF('Net zero activities &amp; levers'!$C$14="On",'Net zero Activity data'!BE65*ManureNEF*NtoN2O*kgtoGg,"ERROR"))</f>
        <v>1.3631650010384939</v>
      </c>
      <c r="AM1135" s="94">
        <f>IF('Net zero activities &amp; levers'!$C$14="Off",'Activity data'!BF65*ManureNEF*NtoN2O*kgtoGg,IF('Net zero activities &amp; levers'!$C$14="On",'Net zero Activity data'!BF65*ManureNEF*NtoN2O*kgtoGg,"ERROR"))</f>
        <v>1.4086909019769458</v>
      </c>
      <c r="AN1135" s="94">
        <f>IF('Net zero activities &amp; levers'!$C$14="Off",'Activity data'!BG65*ManureNEF*NtoN2O*kgtoGg,IF('Net zero activities &amp; levers'!$C$14="On",'Net zero Activity data'!BG65*ManureNEF*NtoN2O*kgtoGg,"ERROR"))</f>
        <v>1.4592838015136291</v>
      </c>
      <c r="AO1135" s="94">
        <f>IF('Net zero activities &amp; levers'!$C$14="Off",'Activity data'!BH65*ManureNEF*NtoN2O*kgtoGg,IF('Net zero activities &amp; levers'!$C$14="On",'Net zero Activity data'!BH65*ManureNEF*NtoN2O*kgtoGg,"ERROR"))</f>
        <v>1.5071494225223063</v>
      </c>
      <c r="AP1135" s="94">
        <f>IF('Net zero activities &amp; levers'!$C$14="Off",'Activity data'!BI65*ManureNEF*NtoN2O*kgtoGg,IF('Net zero activities &amp; levers'!$C$14="On",'Net zero Activity data'!BI65*ManureNEF*NtoN2O*kgtoGg,"ERROR"))</f>
        <v>1.5567592089604327</v>
      </c>
      <c r="AQ1135" s="94">
        <f>IF('Net zero activities &amp; levers'!$C$14="Off",'Activity data'!BJ65*ManureNEF*NtoN2O*kgtoGg,IF('Net zero activities &amp; levers'!$C$14="On",'Net zero Activity data'!BJ65*ManureNEF*NtoN2O*kgtoGg,"ERROR"))</f>
        <v>1.6083690614713202</v>
      </c>
      <c r="AR1135" s="94">
        <f>IF('Net zero activities &amp; levers'!$C$14="Off",'Activity data'!BK65*ManureNEF*NtoN2O*kgtoGg,IF('Net zero activities &amp; levers'!$C$14="On",'Net zero Activity data'!BK65*ManureNEF*NtoN2O*kgtoGg,"ERROR"))</f>
        <v>1.6623899573120902</v>
      </c>
      <c r="AS1135" s="94">
        <f>IF('Net zero activities &amp; levers'!$C$14="Off",'Activity data'!BL65*ManureNEF*NtoN2O*kgtoGg,IF('Net zero activities &amp; levers'!$C$14="On",'Net zero Activity data'!BL65*ManureNEF*NtoN2O*kgtoGg,"ERROR"))</f>
        <v>1.7194351847901206</v>
      </c>
      <c r="AT1135" s="94">
        <f>IF('Net zero activities &amp; levers'!$C$14="Off",'Activity data'!BM65*ManureNEF*NtoN2O*kgtoGg,IF('Net zero activities &amp; levers'!$C$14="On",'Net zero Activity data'!BM65*ManureNEF*NtoN2O*kgtoGg,"ERROR"))</f>
        <v>1.7281200285400726</v>
      </c>
      <c r="AU1135" s="94">
        <f>IF('Net zero activities &amp; levers'!$C$14="Off",'Activity data'!BN65*ManureNEF*NtoN2O*kgtoGg,IF('Net zero activities &amp; levers'!$C$14="On",'Net zero Activity data'!BN65*ManureNEF*NtoN2O*kgtoGg,"ERROR"))</f>
        <v>1.7323570747934378</v>
      </c>
      <c r="AV1135" s="94">
        <f>IF('Net zero activities &amp; levers'!$C$14="Off",'Activity data'!BO65*ManureNEF*NtoN2O*kgtoGg,IF('Net zero activities &amp; levers'!$C$14="On",'Net zero Activity data'!BO65*ManureNEF*NtoN2O*kgtoGg,"ERROR"))</f>
        <v>1.7302245779661751</v>
      </c>
      <c r="AW1135" s="94">
        <f>IF('Net zero activities &amp; levers'!$C$14="Off",'Activity data'!BP65*ManureNEF*NtoN2O*kgtoGg,IF('Net zero activities &amp; levers'!$C$14="On",'Net zero Activity data'!BP65*ManureNEF*NtoN2O*kgtoGg,"ERROR"))</f>
        <v>1.7262788410170404</v>
      </c>
      <c r="AY1135" s="79"/>
    </row>
    <row r="1136" spans="1:51" x14ac:dyDescent="0.3">
      <c r="A1136" s="95" t="str">
        <f t="shared" si="374"/>
        <v>CM U&amp;D</v>
      </c>
      <c r="B1136" s="95" t="s">
        <v>1322</v>
      </c>
      <c r="C1136" s="95" t="s">
        <v>1336</v>
      </c>
      <c r="D1136" t="s">
        <v>369</v>
      </c>
      <c r="E1136" t="s">
        <v>55</v>
      </c>
      <c r="F1136" t="s">
        <v>422</v>
      </c>
      <c r="G1136" t="s">
        <v>1152</v>
      </c>
      <c r="H1136" t="s">
        <v>1240</v>
      </c>
      <c r="I1136" t="s">
        <v>139</v>
      </c>
      <c r="J1136" t="s">
        <v>287</v>
      </c>
      <c r="K1136" s="94">
        <f>IF('Net zero activities &amp; levers'!$C$14="Off",'Activity data'!AD66*UDCPPEF*NtoN2O*kgtoGg,IF('Net zero activities &amp; levers'!$C$14="On",'Net zero Activity data'!AD66*UDCPPEF*NtoN2O*kgtoGg,"ERROR"))</f>
        <v>0</v>
      </c>
      <c r="L1136" s="94">
        <f>IF('Net zero activities &amp; levers'!$C$14="Off",'Activity data'!AE66*UDCPPEF*NtoN2O*kgtoGg,IF('Net zero activities &amp; levers'!$C$14="On",'Net zero Activity data'!AE66*UDCPPEF*NtoN2O*kgtoGg,"ERROR"))</f>
        <v>0</v>
      </c>
      <c r="M1136" s="94">
        <f>IF('Net zero activities &amp; levers'!$C$14="Off",'Activity data'!AF66*UDCPPEF*NtoN2O*kgtoGg,IF('Net zero activities &amp; levers'!$C$14="On",'Net zero Activity data'!AF66*UDCPPEF*NtoN2O*kgtoGg,"ERROR"))</f>
        <v>0</v>
      </c>
      <c r="N1136" s="94">
        <f>IF('Net zero activities &amp; levers'!$C$14="Off",'Activity data'!AG66*UDCPPEF*NtoN2O*kgtoGg,IF('Net zero activities &amp; levers'!$C$14="On",'Net zero Activity data'!AG66*UDCPPEF*NtoN2O*kgtoGg,"ERROR"))</f>
        <v>0</v>
      </c>
      <c r="O1136" s="94">
        <f>IF('Net zero activities &amp; levers'!$C$14="Off",'Activity data'!AH66*UDCPPEF*NtoN2O*kgtoGg,IF('Net zero activities &amp; levers'!$C$14="On",'Net zero Activity data'!AH66*UDCPPEF*NtoN2O*kgtoGg,"ERROR"))</f>
        <v>0</v>
      </c>
      <c r="P1136" s="94">
        <f>IF('Net zero activities &amp; levers'!$C$14="Off",'Activity data'!AI66*UDCPPEF*NtoN2O*kgtoGg,IF('Net zero activities &amp; levers'!$C$14="On",'Net zero Activity data'!AI66*UDCPPEF*NtoN2O*kgtoGg,"ERROR"))</f>
        <v>0</v>
      </c>
      <c r="Q1136" s="94">
        <f>IF('Net zero activities &amp; levers'!$C$14="Off",'Activity data'!AJ66*UDCPPEF*NtoN2O*kgtoGg,IF('Net zero activities &amp; levers'!$C$14="On",'Net zero Activity data'!AJ66*UDCPPEF*NtoN2O*kgtoGg,"ERROR"))</f>
        <v>0</v>
      </c>
      <c r="R1136" s="94">
        <f>IF('Net zero activities &amp; levers'!$C$14="Off",'Activity data'!AK66*UDCPPEF*NtoN2O*kgtoGg,IF('Net zero activities &amp; levers'!$C$14="On",'Net zero Activity data'!AK66*UDCPPEF*NtoN2O*kgtoGg,"ERROR"))</f>
        <v>0</v>
      </c>
      <c r="S1136" s="94">
        <f>IF('Net zero activities &amp; levers'!$C$14="Off",'Activity data'!AL66*UDCPPEF*NtoN2O*kgtoGg,IF('Net zero activities &amp; levers'!$C$14="On",'Net zero Activity data'!AL66*UDCPPEF*NtoN2O*kgtoGg,"ERROR"))</f>
        <v>0</v>
      </c>
      <c r="T1136" s="94">
        <f>IF('Net zero activities &amp; levers'!$C$14="Off",'Activity data'!AM66*UDCPPEF*NtoN2O*kgtoGg,IF('Net zero activities &amp; levers'!$C$14="On",'Net zero Activity data'!AM66*UDCPPEF*NtoN2O*kgtoGg,"ERROR"))</f>
        <v>0</v>
      </c>
      <c r="U1136" s="94">
        <f>IF('Net zero activities &amp; levers'!$C$14="Off",'Activity data'!AN66*UDCPPEF*NtoN2O*kgtoGg,IF('Net zero activities &amp; levers'!$C$14="On",'Net zero Activity data'!AN66*UDCPPEF*NtoN2O*kgtoGg,"ERROR"))</f>
        <v>0</v>
      </c>
      <c r="V1136" s="94">
        <f>IF('Net zero activities &amp; levers'!$C$14="Off",'Activity data'!AO66*UDCPPEF*NtoN2O*kgtoGg,IF('Net zero activities &amp; levers'!$C$14="On",'Net zero Activity data'!AO66*UDCPPEF*NtoN2O*kgtoGg,"ERROR"))</f>
        <v>0</v>
      </c>
      <c r="W1136" s="94">
        <f>IF('Net zero activities &amp; levers'!$C$14="Off",'Activity data'!AP66*UDCPPEF*NtoN2O*kgtoGg,IF('Net zero activities &amp; levers'!$C$14="On",'Net zero Activity data'!AP66*UDCPPEF*NtoN2O*kgtoGg,"ERROR"))</f>
        <v>0</v>
      </c>
      <c r="X1136" s="94">
        <f>IF('Net zero activities &amp; levers'!$C$14="Off",'Activity data'!AQ66*UDCPPEF*NtoN2O*kgtoGg,IF('Net zero activities &amp; levers'!$C$14="On",'Net zero Activity data'!AQ66*UDCPPEF*NtoN2O*kgtoGg,"ERROR"))</f>
        <v>0</v>
      </c>
      <c r="Y1136" s="94">
        <f>IF('Net zero activities &amp; levers'!$C$14="Off",'Activity data'!AR66*UDCPPEF*NtoN2O*kgtoGg,IF('Net zero activities &amp; levers'!$C$14="On",'Net zero Activity data'!AR66*UDCPPEF*NtoN2O*kgtoGg,"ERROR"))</f>
        <v>0</v>
      </c>
      <c r="Z1136" s="94">
        <f>IF('Net zero activities &amp; levers'!$C$14="Off",'Activity data'!AS66*UDCPPEF*NtoN2O*kgtoGg,IF('Net zero activities &amp; levers'!$C$14="On",'Net zero Activity data'!AS66*UDCPPEF*NtoN2O*kgtoGg,"ERROR"))</f>
        <v>0</v>
      </c>
      <c r="AA1136" s="94">
        <f>IF('Net zero activities &amp; levers'!$C$14="Off",'Activity data'!AT66*UDCPPEF*NtoN2O*kgtoGg,IF('Net zero activities &amp; levers'!$C$14="On",'Net zero Activity data'!AT66*UDCPPEF*NtoN2O*kgtoGg,"ERROR"))</f>
        <v>0</v>
      </c>
      <c r="AB1136" s="94">
        <f>IF('Net zero activities &amp; levers'!$C$14="Off",'Activity data'!AU66*UDCPPEF*NtoN2O*kgtoGg,IF('Net zero activities &amp; levers'!$C$14="On",'Net zero Activity data'!AU66*UDCPPEF*NtoN2O*kgtoGg,"ERROR"))</f>
        <v>0</v>
      </c>
      <c r="AC1136" s="94">
        <f>IF('Net zero activities &amp; levers'!$C$14="Off",'Activity data'!AV66*UDCPPEF*NtoN2O*kgtoGg,IF('Net zero activities &amp; levers'!$C$14="On",'Net zero Activity data'!AV66*UDCPPEF*NtoN2O*kgtoGg,"ERROR"))</f>
        <v>0</v>
      </c>
      <c r="AD1136" s="94">
        <f>IF('Net zero activities &amp; levers'!$C$14="Off",'Activity data'!AW66*UDCPPEF*NtoN2O*kgtoGg,IF('Net zero activities &amp; levers'!$C$14="On",'Net zero Activity data'!AW66*UDCPPEF*NtoN2O*kgtoGg,"ERROR"))</f>
        <v>0</v>
      </c>
      <c r="AE1136" s="94">
        <f>IF('Net zero activities &amp; levers'!$C$14="Off",'Activity data'!AX66*UDCPPEF*NtoN2O*kgtoGg,IF('Net zero activities &amp; levers'!$C$14="On",'Net zero Activity data'!AX66*UDCPPEF*NtoN2O*kgtoGg,"ERROR"))</f>
        <v>0</v>
      </c>
      <c r="AF1136" s="94">
        <f>IF('Net zero activities &amp; levers'!$C$14="Off",'Activity data'!AY66*UDCPPEF*NtoN2O*kgtoGg,IF('Net zero activities &amp; levers'!$C$14="On",'Net zero Activity data'!AY66*UDCPPEF*NtoN2O*kgtoGg,"ERROR"))</f>
        <v>0</v>
      </c>
      <c r="AG1136" s="94">
        <f>IF('Net zero activities &amp; levers'!$C$14="Off",'Activity data'!AZ66*UDCPPEF*NtoN2O*kgtoGg,IF('Net zero activities &amp; levers'!$C$14="On",'Net zero Activity data'!AZ66*UDCPPEF*NtoN2O*kgtoGg,"ERROR"))</f>
        <v>0</v>
      </c>
      <c r="AH1136" s="94">
        <f>IF('Net zero activities &amp; levers'!$C$14="Off",'Activity data'!BA66*UDCPPEF*NtoN2O*kgtoGg,IF('Net zero activities &amp; levers'!$C$14="On",'Net zero Activity data'!BA66*UDCPPEF*NtoN2O*kgtoGg,"ERROR"))</f>
        <v>0</v>
      </c>
      <c r="AI1136" s="94">
        <f>IF('Net zero activities &amp; levers'!$C$14="Off",'Activity data'!BB66*UDCPPEF*NtoN2O*kgtoGg,IF('Net zero activities &amp; levers'!$C$14="On",'Net zero Activity data'!BB66*UDCPPEF*NtoN2O*kgtoGg,"ERROR"))</f>
        <v>0</v>
      </c>
      <c r="AJ1136" s="94">
        <f>IF('Net zero activities &amp; levers'!$C$14="Off",'Activity data'!BC66*UDCPPEF*NtoN2O*kgtoGg,IF('Net zero activities &amp; levers'!$C$14="On",'Net zero Activity data'!BC66*UDCPPEF*NtoN2O*kgtoGg,"ERROR"))</f>
        <v>0</v>
      </c>
      <c r="AK1136" s="94">
        <f>IF('Net zero activities &amp; levers'!$C$14="Off",'Activity data'!BD66*UDCPPEF*NtoN2O*kgtoGg,IF('Net zero activities &amp; levers'!$C$14="On",'Net zero Activity data'!BD66*UDCPPEF*NtoN2O*kgtoGg,"ERROR"))</f>
        <v>0</v>
      </c>
      <c r="AL1136" s="94">
        <f>IF('Net zero activities &amp; levers'!$C$14="Off",'Activity data'!BE66*UDCPPEF*NtoN2O*kgtoGg,IF('Net zero activities &amp; levers'!$C$14="On",'Net zero Activity data'!BE66*UDCPPEF*NtoN2O*kgtoGg,"ERROR"))</f>
        <v>0</v>
      </c>
      <c r="AM1136" s="94">
        <f>IF('Net zero activities &amp; levers'!$C$14="Off",'Activity data'!BF66*UDCPPEF*NtoN2O*kgtoGg,IF('Net zero activities &amp; levers'!$C$14="On",'Net zero Activity data'!BF66*UDCPPEF*NtoN2O*kgtoGg,"ERROR"))</f>
        <v>0</v>
      </c>
      <c r="AN1136" s="94">
        <f>IF('Net zero activities &amp; levers'!$C$14="Off",'Activity data'!BG66*UDCPPEF*NtoN2O*kgtoGg,IF('Net zero activities &amp; levers'!$C$14="On",'Net zero Activity data'!BG66*UDCPPEF*NtoN2O*kgtoGg,"ERROR"))</f>
        <v>0</v>
      </c>
      <c r="AO1136" s="94">
        <f>IF('Net zero activities &amp; levers'!$C$14="Off",'Activity data'!BH66*UDCPPEF*NtoN2O*kgtoGg,IF('Net zero activities &amp; levers'!$C$14="On",'Net zero Activity data'!BH66*UDCPPEF*NtoN2O*kgtoGg,"ERROR"))</f>
        <v>0</v>
      </c>
      <c r="AP1136" s="94">
        <f>IF('Net zero activities &amp; levers'!$C$14="Off",'Activity data'!BI66*UDCPPEF*NtoN2O*kgtoGg,IF('Net zero activities &amp; levers'!$C$14="On",'Net zero Activity data'!BI66*UDCPPEF*NtoN2O*kgtoGg,"ERROR"))</f>
        <v>0</v>
      </c>
      <c r="AQ1136" s="94">
        <f>IF('Net zero activities &amp; levers'!$C$14="Off",'Activity data'!BJ66*UDCPPEF*NtoN2O*kgtoGg,IF('Net zero activities &amp; levers'!$C$14="On",'Net zero Activity data'!BJ66*UDCPPEF*NtoN2O*kgtoGg,"ERROR"))</f>
        <v>0</v>
      </c>
      <c r="AR1136" s="94">
        <f>IF('Net zero activities &amp; levers'!$C$14="Off",'Activity data'!BK66*UDCPPEF*NtoN2O*kgtoGg,IF('Net zero activities &amp; levers'!$C$14="On",'Net zero Activity data'!BK66*UDCPPEF*NtoN2O*kgtoGg,"ERROR"))</f>
        <v>0</v>
      </c>
      <c r="AS1136" s="94">
        <f>IF('Net zero activities &amp; levers'!$C$14="Off",'Activity data'!BL66*UDCPPEF*NtoN2O*kgtoGg,IF('Net zero activities &amp; levers'!$C$14="On",'Net zero Activity data'!BL66*UDCPPEF*NtoN2O*kgtoGg,"ERROR"))</f>
        <v>0</v>
      </c>
      <c r="AT1136" s="94">
        <f>IF('Net zero activities &amp; levers'!$C$14="Off",'Activity data'!BM66*UDCPPEF*NtoN2O*kgtoGg,IF('Net zero activities &amp; levers'!$C$14="On",'Net zero Activity data'!BM66*UDCPPEF*NtoN2O*kgtoGg,"ERROR"))</f>
        <v>0</v>
      </c>
      <c r="AU1136" s="94">
        <f>IF('Net zero activities &amp; levers'!$C$14="Off",'Activity data'!BN66*UDCPPEF*NtoN2O*kgtoGg,IF('Net zero activities &amp; levers'!$C$14="On",'Net zero Activity data'!BN66*UDCPPEF*NtoN2O*kgtoGg,"ERROR"))</f>
        <v>0</v>
      </c>
      <c r="AV1136" s="94">
        <f>IF('Net zero activities &amp; levers'!$C$14="Off",'Activity data'!BO66*UDCPPEF*NtoN2O*kgtoGg,IF('Net zero activities &amp; levers'!$C$14="On",'Net zero Activity data'!BO66*UDCPPEF*NtoN2O*kgtoGg,"ERROR"))</f>
        <v>0</v>
      </c>
      <c r="AW1136" s="94">
        <f>IF('Net zero activities &amp; levers'!$C$14="Off",'Activity data'!BP66*UDCPPEF*NtoN2O*kgtoGg,IF('Net zero activities &amp; levers'!$C$14="On",'Net zero Activity data'!BP66*UDCPPEF*NtoN2O*kgtoGg,"ERROR"))</f>
        <v>0</v>
      </c>
      <c r="AY1136" s="79"/>
    </row>
    <row r="1137" spans="1:51" x14ac:dyDescent="0.3">
      <c r="A1137" s="95" t="str">
        <f t="shared" si="374"/>
        <v>CM U&amp;D</v>
      </c>
      <c r="B1137" s="95" t="s">
        <v>1322</v>
      </c>
      <c r="C1137" s="95" t="s">
        <v>1336</v>
      </c>
      <c r="D1137" t="s">
        <v>369</v>
      </c>
      <c r="E1137" t="s">
        <v>55</v>
      </c>
      <c r="F1137" t="s">
        <v>422</v>
      </c>
      <c r="G1137" t="s">
        <v>1154</v>
      </c>
      <c r="H1137" t="s">
        <v>1241</v>
      </c>
      <c r="I1137" t="s">
        <v>139</v>
      </c>
      <c r="J1137" t="s">
        <v>287</v>
      </c>
      <c r="K1137" s="94">
        <f>IF('Net zero activities &amp; levers'!$C$14="Off",'Activity data'!AD67*UDCPPEF*NtoN2O*kgtoGg,IF('Net zero activities &amp; levers'!$C$14="On",'Net zero Activity data'!AD67*UDCPPEF*NtoN2O*kgtoGg,"ERROR"))</f>
        <v>1.0775797812462991</v>
      </c>
      <c r="L1137" s="94">
        <f>IF('Net zero activities &amp; levers'!$C$14="Off",'Activity data'!AE67*UDCPPEF*NtoN2O*kgtoGg,IF('Net zero activities &amp; levers'!$C$14="On",'Net zero Activity data'!AE67*UDCPPEF*NtoN2O*kgtoGg,"ERROR"))</f>
        <v>1.0836040032789305</v>
      </c>
      <c r="M1137" s="94">
        <f>IF('Net zero activities &amp; levers'!$C$14="Off",'Activity data'!AF67*UDCPPEF*NtoN2O*kgtoGg,IF('Net zero activities &amp; levers'!$C$14="On",'Net zero Activity data'!AF67*UDCPPEF*NtoN2O*kgtoGg,"ERROR"))</f>
        <v>1.0921513426512339</v>
      </c>
      <c r="N1137" s="94">
        <f>IF('Net zero activities &amp; levers'!$C$14="Off",'Activity data'!AG67*UDCPPEF*NtoN2O*kgtoGg,IF('Net zero activities &amp; levers'!$C$14="On",'Net zero Activity data'!AG67*UDCPPEF*NtoN2O*kgtoGg,"ERROR"))</f>
        <v>1.0976439186771809</v>
      </c>
      <c r="O1137" s="94">
        <f>IF('Net zero activities &amp; levers'!$C$14="Off",'Activity data'!AH67*UDCPPEF*NtoN2O*kgtoGg,IF('Net zero activities &amp; levers'!$C$14="On",'Net zero Activity data'!AH67*UDCPPEF*NtoN2O*kgtoGg,"ERROR"))</f>
        <v>1.1012937605673538</v>
      </c>
      <c r="P1137" s="94">
        <f>IF('Net zero activities &amp; levers'!$C$14="Off",'Activity data'!AI67*UDCPPEF*NtoN2O*kgtoGg,IF('Net zero activities &amp; levers'!$C$14="On",'Net zero Activity data'!AI67*UDCPPEF*NtoN2O*kgtoGg,"ERROR"))</f>
        <v>1.1030649457277464</v>
      </c>
      <c r="Q1137" s="94">
        <f>IF('Net zero activities &amp; levers'!$C$14="Off",'Activity data'!AJ67*UDCPPEF*NtoN2O*kgtoGg,IF('Net zero activities &amp; levers'!$C$14="On",'Net zero Activity data'!AJ67*UDCPPEF*NtoN2O*kgtoGg,"ERROR"))</f>
        <v>1.1069781529146336</v>
      </c>
      <c r="R1137" s="94">
        <f>IF('Net zero activities &amp; levers'!$C$14="Off",'Activity data'!AK67*UDCPPEF*NtoN2O*kgtoGg,IF('Net zero activities &amp; levers'!$C$14="On",'Net zero Activity data'!AK67*UDCPPEF*NtoN2O*kgtoGg,"ERROR"))</f>
        <v>1.1114672588381171</v>
      </c>
      <c r="S1137" s="94">
        <f>IF('Net zero activities &amp; levers'!$C$14="Off",'Activity data'!AL67*UDCPPEF*NtoN2O*kgtoGg,IF('Net zero activities &amp; levers'!$C$14="On",'Net zero Activity data'!AL67*UDCPPEF*NtoN2O*kgtoGg,"ERROR"))</f>
        <v>1.0780569980949297</v>
      </c>
      <c r="T1137" s="94">
        <f>IF('Net zero activities &amp; levers'!$C$14="Off",'Activity data'!AM67*UDCPPEF*NtoN2O*kgtoGg,IF('Net zero activities &amp; levers'!$C$14="On",'Net zero Activity data'!AM67*UDCPPEF*NtoN2O*kgtoGg,"ERROR"))</f>
        <v>1.0893928957031254</v>
      </c>
      <c r="U1137" s="94">
        <f>IF('Net zero activities &amp; levers'!$C$14="Off",'Activity data'!AN67*UDCPPEF*NtoN2O*kgtoGg,IF('Net zero activities &amp; levers'!$C$14="On",'Net zero Activity data'!AN67*UDCPPEF*NtoN2O*kgtoGg,"ERROR"))</f>
        <v>1.1059856502817549</v>
      </c>
      <c r="V1137" s="94">
        <f>IF('Net zero activities &amp; levers'!$C$14="Off",'Activity data'!AO67*UDCPPEF*NtoN2O*kgtoGg,IF('Net zero activities &amp; levers'!$C$14="On",'Net zero Activity data'!AO67*UDCPPEF*NtoN2O*kgtoGg,"ERROR"))</f>
        <v>1.1145860741325027</v>
      </c>
      <c r="W1137" s="94">
        <f>IF('Net zero activities &amp; levers'!$C$14="Off",'Activity data'!AP67*UDCPPEF*NtoN2O*kgtoGg,IF('Net zero activities &amp; levers'!$C$14="On",'Net zero Activity data'!AP67*UDCPPEF*NtoN2O*kgtoGg,"ERROR"))</f>
        <v>1.1244152137402783</v>
      </c>
      <c r="X1137" s="94">
        <f>IF('Net zero activities &amp; levers'!$C$14="Off",'Activity data'!AQ67*UDCPPEF*NtoN2O*kgtoGg,IF('Net zero activities &amp; levers'!$C$14="On",'Net zero Activity data'!AQ67*UDCPPEF*NtoN2O*kgtoGg,"ERROR"))</f>
        <v>1.1357914130193381</v>
      </c>
      <c r="Y1137" s="94">
        <f>IF('Net zero activities &amp; levers'!$C$14="Off",'Activity data'!AR67*UDCPPEF*NtoN2O*kgtoGg,IF('Net zero activities &amp; levers'!$C$14="On",'Net zero Activity data'!AR67*UDCPPEF*NtoN2O*kgtoGg,"ERROR"))</f>
        <v>1.1474086589431955</v>
      </c>
      <c r="Z1137" s="94">
        <f>IF('Net zero activities &amp; levers'!$C$14="Off",'Activity data'!AS67*UDCPPEF*NtoN2O*kgtoGg,IF('Net zero activities &amp; levers'!$C$14="On",'Net zero Activity data'!AS67*UDCPPEF*NtoN2O*kgtoGg,"ERROR"))</f>
        <v>1.1602674519477969</v>
      </c>
      <c r="AA1137" s="94">
        <f>IF('Net zero activities &amp; levers'!$C$14="Off",'Activity data'!AT67*UDCPPEF*NtoN2O*kgtoGg,IF('Net zero activities &amp; levers'!$C$14="On",'Net zero Activity data'!AT67*UDCPPEF*NtoN2O*kgtoGg,"ERROR"))</f>
        <v>1.1735245752036907</v>
      </c>
      <c r="AB1137" s="94">
        <f>IF('Net zero activities &amp; levers'!$C$14="Off",'Activity data'!AU67*UDCPPEF*NtoN2O*kgtoGg,IF('Net zero activities &amp; levers'!$C$14="On",'Net zero Activity data'!AU67*UDCPPEF*NtoN2O*kgtoGg,"ERROR"))</f>
        <v>1.18794114106982</v>
      </c>
      <c r="AC1137" s="94">
        <f>IF('Net zero activities &amp; levers'!$C$14="Off",'Activity data'!AV67*UDCPPEF*NtoN2O*kgtoGg,IF('Net zero activities &amp; levers'!$C$14="On",'Net zero Activity data'!AV67*UDCPPEF*NtoN2O*kgtoGg,"ERROR"))</f>
        <v>1.2026829177053815</v>
      </c>
      <c r="AD1137" s="94">
        <f>IF('Net zero activities &amp; levers'!$C$14="Off",'Activity data'!AW67*UDCPPEF*NtoN2O*kgtoGg,IF('Net zero activities &amp; levers'!$C$14="On",'Net zero Activity data'!AW67*UDCPPEF*NtoN2O*kgtoGg,"ERROR"))</f>
        <v>1.218608900056573</v>
      </c>
      <c r="AE1137" s="94">
        <f>IF('Net zero activities &amp; levers'!$C$14="Off",'Activity data'!AX67*UDCPPEF*NtoN2O*kgtoGg,IF('Net zero activities &amp; levers'!$C$14="On",'Net zero Activity data'!AX67*UDCPPEF*NtoN2O*kgtoGg,"ERROR"))</f>
        <v>1.2343193345034551</v>
      </c>
      <c r="AF1137" s="94">
        <f>IF('Net zero activities &amp; levers'!$C$14="Off",'Activity data'!AY67*UDCPPEF*NtoN2O*kgtoGg,IF('Net zero activities &amp; levers'!$C$14="On",'Net zero Activity data'!AY67*UDCPPEF*NtoN2O*kgtoGg,"ERROR"))</f>
        <v>1.2509015809248898</v>
      </c>
      <c r="AG1137" s="94">
        <f>IF('Net zero activities &amp; levers'!$C$14="Off",'Activity data'!AZ67*UDCPPEF*NtoN2O*kgtoGg,IF('Net zero activities &amp; levers'!$C$14="On",'Net zero Activity data'!AZ67*UDCPPEF*NtoN2O*kgtoGg,"ERROR"))</f>
        <v>1.2696588428853492</v>
      </c>
      <c r="AH1137" s="94">
        <f>IF('Net zero activities &amp; levers'!$C$14="Off",'Activity data'!BA67*UDCPPEF*NtoN2O*kgtoGg,IF('Net zero activities &amp; levers'!$C$14="On",'Net zero Activity data'!BA67*UDCPPEF*NtoN2O*kgtoGg,"ERROR"))</f>
        <v>1.2874926850325319</v>
      </c>
      <c r="AI1137" s="94">
        <f>IF('Net zero activities &amp; levers'!$C$14="Off",'Activity data'!BB67*UDCPPEF*NtoN2O*kgtoGg,IF('Net zero activities &amp; levers'!$C$14="On",'Net zero Activity data'!BB67*UDCPPEF*NtoN2O*kgtoGg,"ERROR"))</f>
        <v>1.3057811956925069</v>
      </c>
      <c r="AJ1137" s="94">
        <f>IF('Net zero activities &amp; levers'!$C$14="Off",'Activity data'!BC67*UDCPPEF*NtoN2O*kgtoGg,IF('Net zero activities &amp; levers'!$C$14="On",'Net zero Activity data'!BC67*UDCPPEF*NtoN2O*kgtoGg,"ERROR"))</f>
        <v>1.3253399300509145</v>
      </c>
      <c r="AK1137" s="94">
        <f>IF('Net zero activities &amp; levers'!$C$14="Off",'Activity data'!BD67*UDCPPEF*NtoN2O*kgtoGg,IF('Net zero activities &amp; levers'!$C$14="On",'Net zero Activity data'!BD67*UDCPPEF*NtoN2O*kgtoGg,"ERROR"))</f>
        <v>1.3436641070257576</v>
      </c>
      <c r="AL1137" s="94">
        <f>IF('Net zero activities &amp; levers'!$C$14="Off",'Activity data'!BE67*UDCPPEF*NtoN2O*kgtoGg,IF('Net zero activities &amp; levers'!$C$14="On",'Net zero Activity data'!BE67*UDCPPEF*NtoN2O*kgtoGg,"ERROR"))</f>
        <v>1.361888843730743</v>
      </c>
      <c r="AM1137" s="94">
        <f>IF('Net zero activities &amp; levers'!$C$14="Off",'Activity data'!BF67*UDCPPEF*NtoN2O*kgtoGg,IF('Net zero activities &amp; levers'!$C$14="On",'Net zero Activity data'!BF67*UDCPPEF*NtoN2O*kgtoGg,"ERROR"))</f>
        <v>1.380064832160125</v>
      </c>
      <c r="AN1137" s="94">
        <f>IF('Net zero activities &amp; levers'!$C$14="Off",'Activity data'!BG67*UDCPPEF*NtoN2O*kgtoGg,IF('Net zero activities &amp; levers'!$C$14="On",'Net zero Activity data'!BG67*UDCPPEF*NtoN2O*kgtoGg,"ERROR"))</f>
        <v>1.3992944829741121</v>
      </c>
      <c r="AO1137" s="94">
        <f>IF('Net zero activities &amp; levers'!$C$14="Off",'Activity data'!BH67*UDCPPEF*NtoN2O*kgtoGg,IF('Net zero activities &amp; levers'!$C$14="On",'Net zero Activity data'!BH67*UDCPPEF*NtoN2O*kgtoGg,"ERROR"))</f>
        <v>1.4177506785056255</v>
      </c>
      <c r="AP1137" s="94">
        <f>IF('Net zero activities &amp; levers'!$C$14="Off",'Activity data'!BI67*UDCPPEF*NtoN2O*kgtoGg,IF('Net zero activities &amp; levers'!$C$14="On",'Net zero Activity data'!BI67*UDCPPEF*NtoN2O*kgtoGg,"ERROR"))</f>
        <v>1.4369235538048923</v>
      </c>
      <c r="AQ1137" s="94">
        <f>IF('Net zero activities &amp; levers'!$C$14="Off",'Activity data'!BJ67*UDCPPEF*NtoN2O*kgtoGg,IF('Net zero activities &amp; levers'!$C$14="On",'Net zero Activity data'!BJ67*UDCPPEF*NtoN2O*kgtoGg,"ERROR"))</f>
        <v>1.4569005528602124</v>
      </c>
      <c r="AR1137" s="94">
        <f>IF('Net zero activities &amp; levers'!$C$14="Off",'Activity data'!BK67*UDCPPEF*NtoN2O*kgtoGg,IF('Net zero activities &amp; levers'!$C$14="On",'Net zero Activity data'!BK67*UDCPPEF*NtoN2O*kgtoGg,"ERROR"))</f>
        <v>1.4778222948761157</v>
      </c>
      <c r="AS1137" s="94">
        <f>IF('Net zero activities &amp; levers'!$C$14="Off",'Activity data'!BL67*UDCPPEF*NtoN2O*kgtoGg,IF('Net zero activities &amp; levers'!$C$14="On",'Net zero Activity data'!BL67*UDCPPEF*NtoN2O*kgtoGg,"ERROR"))</f>
        <v>1.499114114952786</v>
      </c>
      <c r="AT1137" s="94">
        <f>IF('Net zero activities &amp; levers'!$C$14="Off",'Activity data'!BM67*UDCPPEF*NtoN2O*kgtoGg,IF('Net zero activities &amp; levers'!$C$14="On",'Net zero Activity data'!BM67*UDCPPEF*NtoN2O*kgtoGg,"ERROR"))</f>
        <v>1.5041622353362427</v>
      </c>
      <c r="AU1137" s="94">
        <f>IF('Net zero activities &amp; levers'!$C$14="Off",'Activity data'!BN67*UDCPPEF*NtoN2O*kgtoGg,IF('Net zero activities &amp; levers'!$C$14="On",'Net zero Activity data'!BN67*UDCPPEF*NtoN2O*kgtoGg,"ERROR"))</f>
        <v>1.5077549671708836</v>
      </c>
      <c r="AV1137" s="94">
        <f>IF('Net zero activities &amp; levers'!$C$14="Off",'Activity data'!BO67*UDCPPEF*NtoN2O*kgtoGg,IF('Net zero activities &amp; levers'!$C$14="On",'Net zero Activity data'!BO67*UDCPPEF*NtoN2O*kgtoGg,"ERROR"))</f>
        <v>1.5092269750444909</v>
      </c>
      <c r="AW1137" s="94">
        <f>IF('Net zero activities &amp; levers'!$C$14="Off",'Activity data'!BP67*UDCPPEF*NtoN2O*kgtoGg,IF('Net zero activities &amp; levers'!$C$14="On",'Net zero Activity data'!BP67*UDCPPEF*NtoN2O*kgtoGg,"ERROR"))</f>
        <v>1.5101158131362518</v>
      </c>
      <c r="AY1137" s="79"/>
    </row>
    <row r="1138" spans="1:51" x14ac:dyDescent="0.3">
      <c r="A1138" s="95" t="str">
        <f t="shared" si="374"/>
        <v>CM U&amp;D</v>
      </c>
      <c r="B1138" s="95" t="s">
        <v>1322</v>
      </c>
      <c r="C1138" s="95" t="s">
        <v>1336</v>
      </c>
      <c r="D1138" t="s">
        <v>369</v>
      </c>
      <c r="E1138" t="s">
        <v>55</v>
      </c>
      <c r="F1138" t="s">
        <v>422</v>
      </c>
      <c r="G1138" t="s">
        <v>1156</v>
      </c>
      <c r="H1138" t="s">
        <v>1242</v>
      </c>
      <c r="I1138" t="s">
        <v>139</v>
      </c>
      <c r="J1138" t="s">
        <v>287</v>
      </c>
      <c r="K1138" s="94">
        <f>IF('Net zero activities &amp; levers'!$C$14="Off",'Activity data'!AD68*UDCPPEF*NtoN2O*kgtoGg,IF('Net zero activities &amp; levers'!$C$14="On",'Net zero Activity data'!AD68*UDCPPEF*NtoN2O*kgtoGg,"ERROR"))</f>
        <v>0.73383920392416069</v>
      </c>
      <c r="L1138" s="94">
        <f>IF('Net zero activities &amp; levers'!$C$14="Off",'Activity data'!AE68*UDCPPEF*NtoN2O*kgtoGg,IF('Net zero activities &amp; levers'!$C$14="On",'Net zero Activity data'!AE68*UDCPPEF*NtoN2O*kgtoGg,"ERROR"))</f>
        <v>0.7379417403466384</v>
      </c>
      <c r="M1138" s="94">
        <f>IF('Net zero activities &amp; levers'!$C$14="Off",'Activity data'!AF68*UDCPPEF*NtoN2O*kgtoGg,IF('Net zero activities &amp; levers'!$C$14="On",'Net zero Activity data'!AF68*UDCPPEF*NtoN2O*kgtoGg,"ERROR"))</f>
        <v>0.74376253694082328</v>
      </c>
      <c r="N1138" s="94">
        <f>IF('Net zero activities &amp; levers'!$C$14="Off",'Activity data'!AG68*UDCPPEF*NtoN2O*kgtoGg,IF('Net zero activities &amp; levers'!$C$14="On",'Net zero Activity data'!AG68*UDCPPEF*NtoN2O*kgtoGg,"ERROR"))</f>
        <v>0.74750301879518044</v>
      </c>
      <c r="O1138" s="94">
        <f>IF('Net zero activities &amp; levers'!$C$14="Off",'Activity data'!AH68*UDCPPEF*NtoN2O*kgtoGg,IF('Net zero activities &amp; levers'!$C$14="On",'Net zero Activity data'!AH68*UDCPPEF*NtoN2O*kgtoGg,"ERROR"))</f>
        <v>0.74998858609492636</v>
      </c>
      <c r="P1138" s="94">
        <f>IF('Net zero activities &amp; levers'!$C$14="Off",'Activity data'!AI68*UDCPPEF*NtoN2O*kgtoGg,IF('Net zero activities &amp; levers'!$C$14="On",'Net zero Activity data'!AI68*UDCPPEF*NtoN2O*kgtoGg,"ERROR"))</f>
        <v>0.75119477530775824</v>
      </c>
      <c r="Q1138" s="94">
        <f>IF('Net zero activities &amp; levers'!$C$14="Off",'Activity data'!AJ68*UDCPPEF*NtoN2O*kgtoGg,IF('Net zero activities &amp; levers'!$C$14="On",'Net zero Activity data'!AJ68*UDCPPEF*NtoN2O*kgtoGg,"ERROR"))</f>
        <v>0.7538596961765357</v>
      </c>
      <c r="R1138" s="94">
        <f>IF('Net zero activities &amp; levers'!$C$14="Off",'Activity data'!AK68*UDCPPEF*NtoN2O*kgtoGg,IF('Net zero activities &amp; levers'!$C$14="On",'Net zero Activity data'!AK68*UDCPPEF*NtoN2O*kgtoGg,"ERROR"))</f>
        <v>0.75691680802528427</v>
      </c>
      <c r="S1138" s="94">
        <f>IF('Net zero activities &amp; levers'!$C$14="Off",'Activity data'!AL68*UDCPPEF*NtoN2O*kgtoGg,IF('Net zero activities &amp; levers'!$C$14="On",'Net zero Activity data'!AL68*UDCPPEF*NtoN2O*kgtoGg,"ERROR"))</f>
        <v>0.73416419186323789</v>
      </c>
      <c r="T1138" s="94">
        <f>IF('Net zero activities &amp; levers'!$C$14="Off",'Activity data'!AM68*UDCPPEF*NtoN2O*kgtoGg,IF('Net zero activities &amp; levers'!$C$14="On",'Net zero Activity data'!AM68*UDCPPEF*NtoN2O*kgtoGg,"ERROR"))</f>
        <v>0.74188401569562545</v>
      </c>
      <c r="U1138" s="94">
        <f>IF('Net zero activities &amp; levers'!$C$14="Off",'Activity data'!AN68*UDCPPEF*NtoN2O*kgtoGg,IF('Net zero activities &amp; levers'!$C$14="On",'Net zero Activity data'!AN68*UDCPPEF*NtoN2O*kgtoGg,"ERROR"))</f>
        <v>0.75318379509275502</v>
      </c>
      <c r="V1138" s="94">
        <f>IF('Net zero activities &amp; levers'!$C$14="Off",'Activity data'!AO68*UDCPPEF*NtoN2O*kgtoGg,IF('Net zero activities &amp; levers'!$C$14="On",'Net zero Activity data'!AO68*UDCPPEF*NtoN2O*kgtoGg,"ERROR"))</f>
        <v>0.75904074257996901</v>
      </c>
      <c r="W1138" s="94">
        <f>IF('Net zero activities &amp; levers'!$C$14="Off",'Activity data'!AP68*UDCPPEF*NtoN2O*kgtoGg,IF('Net zero activities &amp; levers'!$C$14="On",'Net zero Activity data'!AP68*UDCPPEF*NtoN2O*kgtoGg,"ERROR"))</f>
        <v>0.76573445390469996</v>
      </c>
      <c r="X1138" s="94">
        <f>IF('Net zero activities &amp; levers'!$C$14="Off",'Activity data'!AQ68*UDCPPEF*NtoN2O*kgtoGg,IF('Net zero activities &amp; levers'!$C$14="On",'Net zero Activity data'!AQ68*UDCPPEF*NtoN2O*kgtoGg,"ERROR"))</f>
        <v>0.77348172345069344</v>
      </c>
      <c r="Y1138" s="94">
        <f>IF('Net zero activities &amp; levers'!$C$14="Off",'Activity data'!AR68*UDCPPEF*NtoN2O*kgtoGg,IF('Net zero activities &amp; levers'!$C$14="On",'Net zero Activity data'!AR68*UDCPPEF*NtoN2O*kgtoGg,"ERROR"))</f>
        <v>0.78139314741105659</v>
      </c>
      <c r="Z1138" s="94">
        <f>IF('Net zero activities &amp; levers'!$C$14="Off",'Activity data'!AS68*UDCPPEF*NtoN2O*kgtoGg,IF('Net zero activities &amp; levers'!$C$14="On",'Net zero Activity data'!AS68*UDCPPEF*NtoN2O*kgtoGg,"ERROR"))</f>
        <v>0.79015007342818022</v>
      </c>
      <c r="AA1138" s="94">
        <f>IF('Net zero activities &amp; levers'!$C$14="Off",'Activity data'!AT68*UDCPPEF*NtoN2O*kgtoGg,IF('Net zero activities &amp; levers'!$C$14="On",'Net zero Activity data'!AT68*UDCPPEF*NtoN2O*kgtoGg,"ERROR"))</f>
        <v>0.79917826507184453</v>
      </c>
      <c r="AB1138" s="94">
        <f>IF('Net zero activities &amp; levers'!$C$14="Off",'Activity data'!AU68*UDCPPEF*NtoN2O*kgtoGg,IF('Net zero activities &amp; levers'!$C$14="On",'Net zero Activity data'!AU68*UDCPPEF*NtoN2O*kgtoGg,"ERROR"))</f>
        <v>0.80899604506608758</v>
      </c>
      <c r="AC1138" s="94">
        <f>IF('Net zero activities &amp; levers'!$C$14="Off",'Activity data'!AV68*UDCPPEF*NtoN2O*kgtoGg,IF('Net zero activities &amp; levers'!$C$14="On",'Net zero Activity data'!AV68*UDCPPEF*NtoN2O*kgtoGg,"ERROR"))</f>
        <v>0.81903529581943424</v>
      </c>
      <c r="AD1138" s="94">
        <f>IF('Net zero activities &amp; levers'!$C$14="Off",'Activity data'!AW68*UDCPPEF*NtoN2O*kgtoGg,IF('Net zero activities &amp; levers'!$C$14="On",'Net zero Activity data'!AW68*UDCPPEF*NtoN2O*kgtoGg,"ERROR"))</f>
        <v>0.82988099876756494</v>
      </c>
      <c r="AE1138" s="94">
        <f>IF('Net zero activities &amp; levers'!$C$14="Off",'Activity data'!AX68*UDCPPEF*NtoN2O*kgtoGg,IF('Net zero activities &amp; levers'!$C$14="On",'Net zero Activity data'!AX68*UDCPPEF*NtoN2O*kgtoGg,"ERROR"))</f>
        <v>0.84057991211806271</v>
      </c>
      <c r="AF1138" s="94">
        <f>IF('Net zero activities &amp; levers'!$C$14="Off",'Activity data'!AY68*UDCPPEF*NtoN2O*kgtoGg,IF('Net zero activities &amp; levers'!$C$14="On",'Net zero Activity data'!AY68*UDCPPEF*NtoN2O*kgtoGg,"ERROR"))</f>
        <v>0.8518725353882447</v>
      </c>
      <c r="AG1138" s="94">
        <f>IF('Net zero activities &amp; levers'!$C$14="Off",'Activity data'!AZ68*UDCPPEF*NtoN2O*kgtoGg,IF('Net zero activities &amp; levers'!$C$14="On",'Net zero Activity data'!AZ68*UDCPPEF*NtoN2O*kgtoGg,"ERROR"))</f>
        <v>0.86464635912215038</v>
      </c>
      <c r="AH1138" s="94">
        <f>IF('Net zero activities &amp; levers'!$C$14="Off",'Activity data'!BA68*UDCPPEF*NtoN2O*kgtoGg,IF('Net zero activities &amp; levers'!$C$14="On",'Net zero Activity data'!BA68*UDCPPEF*NtoN2O*kgtoGg,"ERROR"))</f>
        <v>0.87679132764509471</v>
      </c>
      <c r="AI1138" s="94">
        <f>IF('Net zero activities &amp; levers'!$C$14="Off",'Activity data'!BB68*UDCPPEF*NtoN2O*kgtoGg,IF('Net zero activities &amp; levers'!$C$14="On",'Net zero Activity data'!BB68*UDCPPEF*NtoN2O*kgtoGg,"ERROR"))</f>
        <v>0.88924592853613249</v>
      </c>
      <c r="AJ1138" s="94">
        <f>IF('Net zero activities &amp; levers'!$C$14="Off",'Activity data'!BC68*UDCPPEF*NtoN2O*kgtoGg,IF('Net zero activities &amp; levers'!$C$14="On",'Net zero Activity data'!BC68*UDCPPEF*NtoN2O*kgtoGg,"ERROR"))</f>
        <v>0.90256556045678527</v>
      </c>
      <c r="AK1138" s="94">
        <f>IF('Net zero activities &amp; levers'!$C$14="Off",'Activity data'!BD68*UDCPPEF*NtoN2O*kgtoGg,IF('Net zero activities &amp; levers'!$C$14="On",'Net zero Activity data'!BD68*UDCPPEF*NtoN2O*kgtoGg,"ERROR"))</f>
        <v>0.91504445035228033</v>
      </c>
      <c r="AL1138" s="94">
        <f>IF('Net zero activities &amp; levers'!$C$14="Off",'Activity data'!BE68*UDCPPEF*NtoN2O*kgtoGg,IF('Net zero activities &amp; levers'!$C$14="On",'Net zero Activity data'!BE68*UDCPPEF*NtoN2O*kgtoGg,"ERROR"))</f>
        <v>0.92745562074362309</v>
      </c>
      <c r="AM1138" s="94">
        <f>IF('Net zero activities &amp; levers'!$C$14="Off",'Activity data'!BF68*UDCPPEF*NtoN2O*kgtoGg,IF('Net zero activities &amp; levers'!$C$14="On",'Net zero Activity data'!BF68*UDCPPEF*NtoN2O*kgtoGg,"ERROR"))</f>
        <v>0.93983359322574034</v>
      </c>
      <c r="AN1138" s="94">
        <f>IF('Net zero activities &amp; levers'!$C$14="Off",'Activity data'!BG68*UDCPPEF*NtoN2O*kgtoGg,IF('Net zero activities &amp; levers'!$C$14="On",'Net zero Activity data'!BG68*UDCPPEF*NtoN2O*kgtoGg,"ERROR"))</f>
        <v>0.95292911700102378</v>
      </c>
      <c r="AO1138" s="94">
        <f>IF('Net zero activities &amp; levers'!$C$14="Off",'Activity data'!BH68*UDCPPEF*NtoN2O*kgtoGg,IF('Net zero activities &amp; levers'!$C$14="On",'Net zero Activity data'!BH68*UDCPPEF*NtoN2O*kgtoGg,"ERROR"))</f>
        <v>0.9654979124368942</v>
      </c>
      <c r="AP1138" s="94">
        <f>IF('Net zero activities &amp; levers'!$C$14="Off",'Activity data'!BI68*UDCPPEF*NtoN2O*kgtoGg,IF('Net zero activities &amp; levers'!$C$14="On",'Net zero Activity data'!BI68*UDCPPEF*NtoN2O*kgtoGg,"ERROR"))</f>
        <v>0.97855477169819061</v>
      </c>
      <c r="AQ1138" s="94">
        <f>IF('Net zero activities &amp; levers'!$C$14="Off",'Activity data'!BJ68*UDCPPEF*NtoN2O*kgtoGg,IF('Net zero activities &amp; levers'!$C$14="On",'Net zero Activity data'!BJ68*UDCPPEF*NtoN2O*kgtoGg,"ERROR"))</f>
        <v>0.99215924473924411</v>
      </c>
      <c r="AR1138" s="94">
        <f>IF('Net zero activities &amp; levers'!$C$14="Off",'Activity data'!BK68*UDCPPEF*NtoN2O*kgtoGg,IF('Net zero activities &amp; levers'!$C$14="On",'Net zero Activity data'!BK68*UDCPPEF*NtoN2O*kgtoGg,"ERROR"))</f>
        <v>1.0064070942004693</v>
      </c>
      <c r="AS1138" s="94">
        <f>IF('Net zero activities &amp; levers'!$C$14="Off",'Activity data'!BL68*UDCPPEF*NtoN2O*kgtoGg,IF('Net zero activities &amp; levers'!$C$14="On",'Net zero Activity data'!BL68*UDCPPEF*NtoN2O*kgtoGg,"ERROR"))</f>
        <v>1.0209069693531829</v>
      </c>
      <c r="AT1138" s="94">
        <f>IF('Net zero activities &amp; levers'!$C$14="Off",'Activity data'!BM68*UDCPPEF*NtoN2O*kgtoGg,IF('Net zero activities &amp; levers'!$C$14="On",'Net zero Activity data'!BM68*UDCPPEF*NtoN2O*kgtoGg,"ERROR"))</f>
        <v>1.0243447738739997</v>
      </c>
      <c r="AU1138" s="94">
        <f>IF('Net zero activities &amp; levers'!$C$14="Off",'Activity data'!BN68*UDCPPEF*NtoN2O*kgtoGg,IF('Net zero activities &amp; levers'!$C$14="On",'Net zero Activity data'!BN68*UDCPPEF*NtoN2O*kgtoGg,"ERROR"))</f>
        <v>1.0267914488351768</v>
      </c>
      <c r="AV1138" s="94">
        <f>IF('Net zero activities &amp; levers'!$C$14="Off",'Activity data'!BO68*UDCPPEF*NtoN2O*kgtoGg,IF('Net zero activities &amp; levers'!$C$14="On",'Net zero Activity data'!BO68*UDCPPEF*NtoN2O*kgtoGg,"ERROR"))</f>
        <v>1.0277938962687103</v>
      </c>
      <c r="AW1138" s="94">
        <f>IF('Net zero activities &amp; levers'!$C$14="Off",'Activity data'!BP68*UDCPPEF*NtoN2O*kgtoGg,IF('Net zero activities &amp; levers'!$C$14="On",'Net zero Activity data'!BP68*UDCPPEF*NtoN2O*kgtoGg,"ERROR"))</f>
        <v>1.0283992010907079</v>
      </c>
      <c r="AY1138" s="79"/>
    </row>
    <row r="1139" spans="1:51" x14ac:dyDescent="0.3">
      <c r="A1139" s="95" t="str">
        <f t="shared" si="374"/>
        <v>CM U&amp;D</v>
      </c>
      <c r="B1139" s="95" t="s">
        <v>1322</v>
      </c>
      <c r="C1139" s="95" t="s">
        <v>1336</v>
      </c>
      <c r="D1139" t="s">
        <v>369</v>
      </c>
      <c r="E1139" t="s">
        <v>55</v>
      </c>
      <c r="F1139" t="s">
        <v>422</v>
      </c>
      <c r="G1139" t="s">
        <v>1158</v>
      </c>
      <c r="H1139" t="s">
        <v>1243</v>
      </c>
      <c r="I1139" t="s">
        <v>139</v>
      </c>
      <c r="J1139" t="s">
        <v>287</v>
      </c>
      <c r="K1139" s="94">
        <f>IF('Net zero activities &amp; levers'!$C$14="Off",'Activity data'!AD69*UDCPPEF*NtoN2O*kgtoGg,IF('Net zero activities &amp; levers'!$C$14="On",'Net zero Activity data'!AD69*UDCPPEF*NtoN2O*kgtoGg,"ERROR"))</f>
        <v>15.353527292296844</v>
      </c>
      <c r="L1139" s="94">
        <f>IF('Net zero activities &amp; levers'!$C$14="Off",'Activity data'!AE69*UDCPPEF*NtoN2O*kgtoGg,IF('Net zero activities &amp; levers'!$C$14="On",'Net zero Activity data'!AE69*UDCPPEF*NtoN2O*kgtoGg,"ERROR"))</f>
        <v>15.220371053361486</v>
      </c>
      <c r="M1139" s="94">
        <f>IF('Net zero activities &amp; levers'!$C$14="Off",'Activity data'!AF69*UDCPPEF*NtoN2O*kgtoGg,IF('Net zero activities &amp; levers'!$C$14="On",'Net zero Activity data'!AF69*UDCPPEF*NtoN2O*kgtoGg,"ERROR"))</f>
        <v>15.169682504177887</v>
      </c>
      <c r="N1139" s="94">
        <f>IF('Net zero activities &amp; levers'!$C$14="Off",'Activity data'!AG69*UDCPPEF*NtoN2O*kgtoGg,IF('Net zero activities &amp; levers'!$C$14="On",'Net zero Activity data'!AG69*UDCPPEF*NtoN2O*kgtoGg,"ERROR"))</f>
        <v>14.967111251021189</v>
      </c>
      <c r="O1139" s="94">
        <f>IF('Net zero activities &amp; levers'!$C$14="Off",'Activity data'!AH69*UDCPPEF*NtoN2O*kgtoGg,IF('Net zero activities &amp; levers'!$C$14="On",'Net zero Activity data'!AH69*UDCPPEF*NtoN2O*kgtoGg,"ERROR"))</f>
        <v>14.673074129931953</v>
      </c>
      <c r="P1139" s="94">
        <f>IF('Net zero activities &amp; levers'!$C$14="Off",'Activity data'!AI69*UDCPPEF*NtoN2O*kgtoGg,IF('Net zero activities &amp; levers'!$C$14="On",'Net zero Activity data'!AI69*UDCPPEF*NtoN2O*kgtoGg,"ERROR"))</f>
        <v>14.293651368256896</v>
      </c>
      <c r="Q1139" s="94">
        <f>IF('Net zero activities &amp; levers'!$C$14="Off",'Activity data'!AJ69*UDCPPEF*NtoN2O*kgtoGg,IF('Net zero activities &amp; levers'!$C$14="On",'Net zero Activity data'!AJ69*UDCPPEF*NtoN2O*kgtoGg,"ERROR"))</f>
        <v>13.994389539168758</v>
      </c>
      <c r="R1139" s="94">
        <f>IF('Net zero activities &amp; levers'!$C$14="Off",'Activity data'!AK69*UDCPPEF*NtoN2O*kgtoGg,IF('Net zero activities &amp; levers'!$C$14="On",'Net zero Activity data'!AK69*UDCPPEF*NtoN2O*kgtoGg,"ERROR"))</f>
        <v>13.711253827544139</v>
      </c>
      <c r="S1139" s="94">
        <f>IF('Net zero activities &amp; levers'!$C$14="Off",'Activity data'!AL69*UDCPPEF*NtoN2O*kgtoGg,IF('Net zero activities &amp; levers'!$C$14="On",'Net zero Activity data'!AL69*UDCPPEF*NtoN2O*kgtoGg,"ERROR"))</f>
        <v>12.061906249102522</v>
      </c>
      <c r="T1139" s="94">
        <f>IF('Net zero activities &amp; levers'!$C$14="Off",'Activity data'!AM69*UDCPPEF*NtoN2O*kgtoGg,IF('Net zero activities &amp; levers'!$C$14="On",'Net zero Activity data'!AM69*UDCPPEF*NtoN2O*kgtoGg,"ERROR"))</f>
        <v>12.257827954761961</v>
      </c>
      <c r="U1139" s="94">
        <f>IF('Net zero activities &amp; levers'!$C$14="Off",'Activity data'!AN69*UDCPPEF*NtoN2O*kgtoGg,IF('Net zero activities &amp; levers'!$C$14="On",'Net zero Activity data'!AN69*UDCPPEF*NtoN2O*kgtoGg,"ERROR"))</f>
        <v>12.623326077373568</v>
      </c>
      <c r="V1139" s="94">
        <f>IF('Net zero activities &amp; levers'!$C$14="Off",'Activity data'!AO69*UDCPPEF*NtoN2O*kgtoGg,IF('Net zero activities &amp; levers'!$C$14="On",'Net zero Activity data'!AO69*UDCPPEF*NtoN2O*kgtoGg,"ERROR"))</f>
        <v>12.696320274115601</v>
      </c>
      <c r="W1139" s="94">
        <f>IF('Net zero activities &amp; levers'!$C$14="Off",'Activity data'!AP69*UDCPPEF*NtoN2O*kgtoGg,IF('Net zero activities &amp; levers'!$C$14="On",'Net zero Activity data'!AP69*UDCPPEF*NtoN2O*kgtoGg,"ERROR"))</f>
        <v>12.80159889911199</v>
      </c>
      <c r="X1139" s="94">
        <f>IF('Net zero activities &amp; levers'!$C$14="Off",'Activity data'!AQ69*UDCPPEF*NtoN2O*kgtoGg,IF('Net zero activities &amp; levers'!$C$14="On",'Net zero Activity data'!AQ69*UDCPPEF*NtoN2O*kgtoGg,"ERROR"))</f>
        <v>12.948464903220069</v>
      </c>
      <c r="Y1139" s="94">
        <f>IF('Net zero activities &amp; levers'!$C$14="Off",'Activity data'!AR69*UDCPPEF*NtoN2O*kgtoGg,IF('Net zero activities &amp; levers'!$C$14="On",'Net zero Activity data'!AR69*UDCPPEF*NtoN2O*kgtoGg,"ERROR"))</f>
        <v>13.116926910965395</v>
      </c>
      <c r="Z1139" s="94">
        <f>IF('Net zero activities &amp; levers'!$C$14="Off",'Activity data'!AS69*UDCPPEF*NtoN2O*kgtoGg,IF('Net zero activities &amp; levers'!$C$14="On",'Net zero Activity data'!AS69*UDCPPEF*NtoN2O*kgtoGg,"ERROR"))</f>
        <v>13.314439769643803</v>
      </c>
      <c r="AA1139" s="94">
        <f>IF('Net zero activities &amp; levers'!$C$14="Off",'Activity data'!AT69*UDCPPEF*NtoN2O*kgtoGg,IF('Net zero activities &amp; levers'!$C$14="On",'Net zero Activity data'!AT69*UDCPPEF*NtoN2O*kgtoGg,"ERROR"))</f>
        <v>13.51286360181456</v>
      </c>
      <c r="AB1139" s="94">
        <f>IF('Net zero activities &amp; levers'!$C$14="Off",'Activity data'!AU69*UDCPPEF*NtoN2O*kgtoGg,IF('Net zero activities &amp; levers'!$C$14="On",'Net zero Activity data'!AU69*UDCPPEF*NtoN2O*kgtoGg,"ERROR"))</f>
        <v>13.736029185929986</v>
      </c>
      <c r="AC1139" s="94">
        <f>IF('Net zero activities &amp; levers'!$C$14="Off",'Activity data'!AV69*UDCPPEF*NtoN2O*kgtoGg,IF('Net zero activities &amp; levers'!$C$14="On",'Net zero Activity data'!AV69*UDCPPEF*NtoN2O*kgtoGg,"ERROR"))</f>
        <v>13.956980095887328</v>
      </c>
      <c r="AD1139" s="94">
        <f>IF('Net zero activities &amp; levers'!$C$14="Off",'Activity data'!AW69*UDCPPEF*NtoN2O*kgtoGg,IF('Net zero activities &amp; levers'!$C$14="On",'Net zero Activity data'!AW69*UDCPPEF*NtoN2O*kgtoGg,"ERROR"))</f>
        <v>14.10090814419179</v>
      </c>
      <c r="AE1139" s="94">
        <f>IF('Net zero activities &amp; levers'!$C$14="Off",'Activity data'!AX69*UDCPPEF*NtoN2O*kgtoGg,IF('Net zero activities &amp; levers'!$C$14="On",'Net zero Activity data'!AX69*UDCPPEF*NtoN2O*kgtoGg,"ERROR"))</f>
        <v>14.219083101971489</v>
      </c>
      <c r="AF1139" s="94">
        <f>IF('Net zero activities &amp; levers'!$C$14="Off",'Activity data'!AY69*UDCPPEF*NtoN2O*kgtoGg,IF('Net zero activities &amp; levers'!$C$14="On",'Net zero Activity data'!AY69*UDCPPEF*NtoN2O*kgtoGg,"ERROR"))</f>
        <v>14.343928249023508</v>
      </c>
      <c r="AG1139" s="94">
        <f>IF('Net zero activities &amp; levers'!$C$14="Off",'Activity data'!AZ69*UDCPPEF*NtoN2O*kgtoGg,IF('Net zero activities &amp; levers'!$C$14="On",'Net zero Activity data'!AZ69*UDCPPEF*NtoN2O*kgtoGg,"ERROR"))</f>
        <v>14.51096965309287</v>
      </c>
      <c r="AH1139" s="94">
        <f>IF('Net zero activities &amp; levers'!$C$14="Off",'Activity data'!BA69*UDCPPEF*NtoN2O*kgtoGg,IF('Net zero activities &amp; levers'!$C$14="On",'Net zero Activity data'!BA69*UDCPPEF*NtoN2O*kgtoGg,"ERROR"))</f>
        <v>14.631100213840327</v>
      </c>
      <c r="AI1139" s="94">
        <f>IF('Net zero activities &amp; levers'!$C$14="Off",'Activity data'!BB69*UDCPPEF*NtoN2O*kgtoGg,IF('Net zero activities &amp; levers'!$C$14="On",'Net zero Activity data'!BB69*UDCPPEF*NtoN2O*kgtoGg,"ERROR"))</f>
        <v>14.759129789982603</v>
      </c>
      <c r="AJ1139" s="94">
        <f>IF('Net zero activities &amp; levers'!$C$14="Off",'Activity data'!BC69*UDCPPEF*NtoN2O*kgtoGg,IF('Net zero activities &amp; levers'!$C$14="On",'Net zero Activity data'!BC69*UDCPPEF*NtoN2O*kgtoGg,"ERROR"))</f>
        <v>14.900063859192302</v>
      </c>
      <c r="AK1139" s="94">
        <f>IF('Net zero activities &amp; levers'!$C$14="Off",'Activity data'!BD69*UDCPPEF*NtoN2O*kgtoGg,IF('Net zero activities &amp; levers'!$C$14="On",'Net zero Activity data'!BD69*UDCPPEF*NtoN2O*kgtoGg,"ERROR"))</f>
        <v>14.987884546338787</v>
      </c>
      <c r="AL1139" s="94">
        <f>IF('Net zero activities &amp; levers'!$C$14="Off",'Activity data'!BE69*UDCPPEF*NtoN2O*kgtoGg,IF('Net zero activities &amp; levers'!$C$14="On",'Net zero Activity data'!BE69*UDCPPEF*NtoN2O*kgtoGg,"ERROR"))</f>
        <v>15.053769229100121</v>
      </c>
      <c r="AM1139" s="94">
        <f>IF('Net zero activities &amp; levers'!$C$14="Off",'Activity data'!BF69*UDCPPEF*NtoN2O*kgtoGg,IF('Net zero activities &amp; levers'!$C$14="On",'Net zero Activity data'!BF69*UDCPPEF*NtoN2O*kgtoGg,"ERROR"))</f>
        <v>15.099596245527735</v>
      </c>
      <c r="AN1139" s="94">
        <f>IF('Net zero activities &amp; levers'!$C$14="Off",'Activity data'!BG69*UDCPPEF*NtoN2O*kgtoGg,IF('Net zero activities &amp; levers'!$C$14="On",'Net zero Activity data'!BG69*UDCPPEF*NtoN2O*kgtoGg,"ERROR"))</f>
        <v>15.242060327526691</v>
      </c>
      <c r="AO1139" s="94">
        <f>IF('Net zero activities &amp; levers'!$C$14="Off",'Activity data'!BH69*UDCPPEF*NtoN2O*kgtoGg,IF('Net zero activities &amp; levers'!$C$14="On",'Net zero Activity data'!BH69*UDCPPEF*NtoN2O*kgtoGg,"ERROR"))</f>
        <v>15.350351065013276</v>
      </c>
      <c r="AP1139" s="94">
        <f>IF('Net zero activities &amp; levers'!$C$14="Off",'Activity data'!BI69*UDCPPEF*NtoN2O*kgtoGg,IF('Net zero activities &amp; levers'!$C$14="On",'Net zero Activity data'!BI69*UDCPPEF*NtoN2O*kgtoGg,"ERROR"))</f>
        <v>15.4600087454617</v>
      </c>
      <c r="AQ1139" s="94">
        <f>IF('Net zero activities &amp; levers'!$C$14="Off",'Activity data'!BJ69*UDCPPEF*NtoN2O*kgtoGg,IF('Net zero activities &amp; levers'!$C$14="On",'Net zero Activity data'!BJ69*UDCPPEF*NtoN2O*kgtoGg,"ERROR"))</f>
        <v>15.572287803164578</v>
      </c>
      <c r="AR1139" s="94">
        <f>IF('Net zero activities &amp; levers'!$C$14="Off",'Activity data'!BK69*UDCPPEF*NtoN2O*kgtoGg,IF('Net zero activities &amp; levers'!$C$14="On",'Net zero Activity data'!BK69*UDCPPEF*NtoN2O*kgtoGg,"ERROR"))</f>
        <v>15.689452381356277</v>
      </c>
      <c r="AS1139" s="94">
        <f>IF('Net zero activities &amp; levers'!$C$14="Off",'Activity data'!BL69*UDCPPEF*NtoN2O*kgtoGg,IF('Net zero activities &amp; levers'!$C$14="On",'Net zero Activity data'!BL69*UDCPPEF*NtoN2O*kgtoGg,"ERROR"))</f>
        <v>15.809749281637989</v>
      </c>
      <c r="AT1139" s="94">
        <f>IF('Net zero activities &amp; levers'!$C$14="Off",'Activity data'!BM69*UDCPPEF*NtoN2O*kgtoGg,IF('Net zero activities &amp; levers'!$C$14="On",'Net zero Activity data'!BM69*UDCPPEF*NtoN2O*kgtoGg,"ERROR"))</f>
        <v>15.572449633225865</v>
      </c>
      <c r="AU1139" s="94">
        <f>IF('Net zero activities &amp; levers'!$C$14="Off",'Activity data'!BN69*UDCPPEF*NtoN2O*kgtoGg,IF('Net zero activities &amp; levers'!$C$14="On",'Net zero Activity data'!BN69*UDCPPEF*NtoN2O*kgtoGg,"ERROR"))</f>
        <v>15.303629040465463</v>
      </c>
      <c r="AV1139" s="94">
        <f>IF('Net zero activities &amp; levers'!$C$14="Off",'Activity data'!BO69*UDCPPEF*NtoN2O*kgtoGg,IF('Net zero activities &amp; levers'!$C$14="On",'Net zero Activity data'!BO69*UDCPPEF*NtoN2O*kgtoGg,"ERROR"))</f>
        <v>14.991979745020995</v>
      </c>
      <c r="AW1139" s="94">
        <f>IF('Net zero activities &amp; levers'!$C$14="Off",'Activity data'!BP69*UDCPPEF*NtoN2O*kgtoGg,IF('Net zero activities &amp; levers'!$C$14="On",'Net zero Activity data'!BP69*UDCPPEF*NtoN2O*kgtoGg,"ERROR"))</f>
        <v>14.670563587286086</v>
      </c>
      <c r="AY1139" s="79"/>
    </row>
    <row r="1140" spans="1:51" x14ac:dyDescent="0.3">
      <c r="A1140" s="95" t="str">
        <f t="shared" si="374"/>
        <v>CM U&amp;D</v>
      </c>
      <c r="B1140" s="95" t="s">
        <v>1322</v>
      </c>
      <c r="C1140" s="95" t="s">
        <v>1336</v>
      </c>
      <c r="D1140" t="s">
        <v>369</v>
      </c>
      <c r="E1140" t="s">
        <v>55</v>
      </c>
      <c r="F1140" t="s">
        <v>422</v>
      </c>
      <c r="G1140" t="s">
        <v>1160</v>
      </c>
      <c r="H1140" t="s">
        <v>1244</v>
      </c>
      <c r="I1140" t="s">
        <v>139</v>
      </c>
      <c r="J1140" t="s">
        <v>287</v>
      </c>
      <c r="K1140" s="94">
        <f>IF('Net zero activities &amp; levers'!$C$14="Off",'Activity data'!AD70*UDCPPEF*NtoN2O*kgtoGg,IF('Net zero activities &amp; levers'!$C$14="On",'Net zero Activity data'!AD70*UDCPPEF*NtoN2O*kgtoGg,"ERROR"))</f>
        <v>9.6543103644621464</v>
      </c>
      <c r="L1140" s="94">
        <f>IF('Net zero activities &amp; levers'!$C$14="Off",'Activity data'!AE70*UDCPPEF*NtoN2O*kgtoGg,IF('Net zero activities &amp; levers'!$C$14="On",'Net zero Activity data'!AE70*UDCPPEF*NtoN2O*kgtoGg,"ERROR"))</f>
        <v>9.570581613851763</v>
      </c>
      <c r="M1140" s="94">
        <f>IF('Net zero activities &amp; levers'!$C$14="Off",'Activity data'!AF70*UDCPPEF*NtoN2O*kgtoGg,IF('Net zero activities &amp; levers'!$C$14="On",'Net zero Activity data'!AF70*UDCPPEF*NtoN2O*kgtoGg,"ERROR"))</f>
        <v>9.5387086131773007</v>
      </c>
      <c r="N1140" s="94">
        <f>IF('Net zero activities &amp; levers'!$C$14="Off",'Activity data'!AG70*UDCPPEF*NtoN2O*kgtoGg,IF('Net zero activities &amp; levers'!$C$14="On",'Net zero Activity data'!AG70*UDCPPEF*NtoN2O*kgtoGg,"ERROR"))</f>
        <v>9.4113316455488931</v>
      </c>
      <c r="O1140" s="94">
        <f>IF('Net zero activities &amp; levers'!$C$14="Off",'Activity data'!AH70*UDCPPEF*NtoN2O*kgtoGg,IF('Net zero activities &amp; levers'!$C$14="On",'Net zero Activity data'!AH70*UDCPPEF*NtoN2O*kgtoGg,"ERROR"))</f>
        <v>9.2264408662754782</v>
      </c>
      <c r="P1140" s="94">
        <f>IF('Net zero activities &amp; levers'!$C$14="Off",'Activity data'!AI70*UDCPPEF*NtoN2O*kgtoGg,IF('Net zero activities &amp; levers'!$C$14="On",'Net zero Activity data'!AI70*UDCPPEF*NtoN2O*kgtoGg,"ERROR"))</f>
        <v>8.9878595272244652</v>
      </c>
      <c r="Q1140" s="94">
        <f>IF('Net zero activities &amp; levers'!$C$14="Off",'Activity data'!AJ70*UDCPPEF*NtoN2O*kgtoGg,IF('Net zero activities &amp; levers'!$C$14="On",'Net zero Activity data'!AJ70*UDCPPEF*NtoN2O*kgtoGg,"ERROR"))</f>
        <v>8.7996834473406587</v>
      </c>
      <c r="R1140" s="94">
        <f>IF('Net zero activities &amp; levers'!$C$14="Off",'Activity data'!AK70*UDCPPEF*NtoN2O*kgtoGg,IF('Net zero activities &amp; levers'!$C$14="On",'Net zero Activity data'!AK70*UDCPPEF*NtoN2O*kgtoGg,"ERROR"))</f>
        <v>8.6216474831450967</v>
      </c>
      <c r="S1140" s="94">
        <f>IF('Net zero activities &amp; levers'!$C$14="Off",'Activity data'!AL70*UDCPPEF*NtoN2O*kgtoGg,IF('Net zero activities &amp; levers'!$C$14="On",'Net zero Activity data'!AL70*UDCPPEF*NtoN2O*kgtoGg,"ERROR"))</f>
        <v>7.5845363934257692</v>
      </c>
      <c r="T1140" s="94">
        <f>IF('Net zero activities &amp; levers'!$C$14="Off",'Activity data'!AM70*UDCPPEF*NtoN2O*kgtoGg,IF('Net zero activities &amp; levers'!$C$14="On",'Net zero Activity data'!AM70*UDCPPEF*NtoN2O*kgtoGg,"ERROR"))</f>
        <v>7.7077321202161873</v>
      </c>
      <c r="U1140" s="94">
        <f>IF('Net zero activities &amp; levers'!$C$14="Off",'Activity data'!AN70*UDCPPEF*NtoN2O*kgtoGg,IF('Net zero activities &amp; levers'!$C$14="On",'Net zero Activity data'!AN70*UDCPPEF*NtoN2O*kgtoGg,"ERROR"))</f>
        <v>7.9375576349753283</v>
      </c>
      <c r="V1140" s="94">
        <f>IF('Net zero activities &amp; levers'!$C$14="Off",'Activity data'!AO70*UDCPPEF*NtoN2O*kgtoGg,IF('Net zero activities &amp; levers'!$C$14="On",'Net zero Activity data'!AO70*UDCPPEF*NtoN2O*kgtoGg,"ERROR"))</f>
        <v>7.9834564448537479</v>
      </c>
      <c r="W1140" s="94">
        <f>IF('Net zero activities &amp; levers'!$C$14="Off",'Activity data'!AP70*UDCPPEF*NtoN2O*kgtoGg,IF('Net zero activities &amp; levers'!$C$14="On",'Net zero Activity data'!AP70*UDCPPEF*NtoN2O*kgtoGg,"ERROR"))</f>
        <v>8.0496557292988875</v>
      </c>
      <c r="X1140" s="94">
        <f>IF('Net zero activities &amp; levers'!$C$14="Off",'Activity data'!AQ70*UDCPPEF*NtoN2O*kgtoGg,IF('Net zero activities &amp; levers'!$C$14="On",'Net zero Activity data'!AQ70*UDCPPEF*NtoN2O*kgtoGg,"ERROR"))</f>
        <v>8.1420051913250582</v>
      </c>
      <c r="Y1140" s="94">
        <f>IF('Net zero activities &amp; levers'!$C$14="Off",'Activity data'!AR70*UDCPPEF*NtoN2O*kgtoGg,IF('Net zero activities &amp; levers'!$C$14="On",'Net zero Activity data'!AR70*UDCPPEF*NtoN2O*kgtoGg,"ERROR"))</f>
        <v>8.2479342378842677</v>
      </c>
      <c r="Z1140" s="94">
        <f>IF('Net zero activities &amp; levers'!$C$14="Off",'Activity data'!AS70*UDCPPEF*NtoN2O*kgtoGg,IF('Net zero activities &amp; levers'!$C$14="On",'Net zero Activity data'!AS70*UDCPPEF*NtoN2O*kgtoGg,"ERROR"))</f>
        <v>8.3721304829783953</v>
      </c>
      <c r="AA1140" s="94">
        <f>IF('Net zero activities &amp; levers'!$C$14="Off",'Activity data'!AT70*UDCPPEF*NtoN2O*kgtoGg,IF('Net zero activities &amp; levers'!$C$14="On",'Net zero Activity data'!AT70*UDCPPEF*NtoN2O*kgtoGg,"ERROR"))</f>
        <v>8.4968995489404282</v>
      </c>
      <c r="AB1140" s="94">
        <f>IF('Net zero activities &amp; levers'!$C$14="Off",'Activity data'!AU70*UDCPPEF*NtoN2O*kgtoGg,IF('Net zero activities &amp; levers'!$C$14="On",'Net zero Activity data'!AU70*UDCPPEF*NtoN2O*kgtoGg,"ERROR"))</f>
        <v>8.6372262485124356</v>
      </c>
      <c r="AC1140" s="94">
        <f>IF('Net zero activities &amp; levers'!$C$14="Off",'Activity data'!AV70*UDCPPEF*NtoN2O*kgtoGg,IF('Net zero activities &amp; levers'!$C$14="On",'Net zero Activity data'!AV70*UDCPPEF*NtoN2O*kgtoGg,"ERROR"))</f>
        <v>8.7761603591847646</v>
      </c>
      <c r="AD1140" s="94">
        <f>IF('Net zero activities &amp; levers'!$C$14="Off",'Activity data'!AW70*UDCPPEF*NtoN2O*kgtoGg,IF('Net zero activities &amp; levers'!$C$14="On",'Net zero Activity data'!AW70*UDCPPEF*NtoN2O*kgtoGg,"ERROR"))</f>
        <v>8.8666624322282459</v>
      </c>
      <c r="AE1140" s="94">
        <f>IF('Net zero activities &amp; levers'!$C$14="Off",'Activity data'!AX70*UDCPPEF*NtoN2O*kgtoGg,IF('Net zero activities &amp; levers'!$C$14="On",'Net zero Activity data'!AX70*UDCPPEF*NtoN2O*kgtoGg,"ERROR"))</f>
        <v>8.9409709411455953</v>
      </c>
      <c r="AF1140" s="94">
        <f>IF('Net zero activities &amp; levers'!$C$14="Off",'Activity data'!AY70*UDCPPEF*NtoN2O*kgtoGg,IF('Net zero activities &amp; levers'!$C$14="On",'Net zero Activity data'!AY70*UDCPPEF*NtoN2O*kgtoGg,"ERROR"))</f>
        <v>9.0194736704657732</v>
      </c>
      <c r="AG1140" s="94">
        <f>IF('Net zero activities &amp; levers'!$C$14="Off",'Activity data'!AZ70*UDCPPEF*NtoN2O*kgtoGg,IF('Net zero activities &amp; levers'!$C$14="On",'Net zero Activity data'!AZ70*UDCPPEF*NtoN2O*kgtoGg,"ERROR"))</f>
        <v>9.1245094402859266</v>
      </c>
      <c r="AH1140" s="94">
        <f>IF('Net zero activities &amp; levers'!$C$14="Off",'Activity data'!BA70*UDCPPEF*NtoN2O*kgtoGg,IF('Net zero activities &amp; levers'!$C$14="On",'Net zero Activity data'!BA70*UDCPPEF*NtoN2O*kgtoGg,"ERROR"))</f>
        <v>9.2000476339292057</v>
      </c>
      <c r="AI1140" s="94">
        <f>IF('Net zero activities &amp; levers'!$C$14="Off",'Activity data'!BB70*UDCPPEF*NtoN2O*kgtoGg,IF('Net zero activities &amp; levers'!$C$14="On",'Net zero Activity data'!BB70*UDCPPEF*NtoN2O*kgtoGg,"ERROR"))</f>
        <v>9.2805527348338117</v>
      </c>
      <c r="AJ1140" s="94">
        <f>IF('Net zero activities &amp; levers'!$C$14="Off",'Activity data'!BC70*UDCPPEF*NtoN2O*kgtoGg,IF('Net zero activities &amp; levers'!$C$14="On",'Net zero Activity data'!BC70*UDCPPEF*NtoN2O*kgtoGg,"ERROR"))</f>
        <v>9.3691721914038766</v>
      </c>
      <c r="AK1140" s="94">
        <f>IF('Net zero activities &amp; levers'!$C$14="Off",'Activity data'!BD70*UDCPPEF*NtoN2O*kgtoGg,IF('Net zero activities &amp; levers'!$C$14="On",'Net zero Activity data'!BD70*UDCPPEF*NtoN2O*kgtoGg,"ERROR"))</f>
        <v>9.4243939104259251</v>
      </c>
      <c r="AL1140" s="94">
        <f>IF('Net zero activities &amp; levers'!$C$14="Off",'Activity data'!BE70*UDCPPEF*NtoN2O*kgtoGg,IF('Net zero activities &amp; levers'!$C$14="On",'Net zero Activity data'!BE70*UDCPPEF*NtoN2O*kgtoGg,"ERROR"))</f>
        <v>9.4658222521699837</v>
      </c>
      <c r="AM1140" s="94">
        <f>IF('Net zero activities &amp; levers'!$C$14="Off",'Activity data'!BF70*UDCPPEF*NtoN2O*kgtoGg,IF('Net zero activities &amp; levers'!$C$14="On",'Net zero Activity data'!BF70*UDCPPEF*NtoN2O*kgtoGg,"ERROR"))</f>
        <v>9.4946383171201845</v>
      </c>
      <c r="AN1140" s="94">
        <f>IF('Net zero activities &amp; levers'!$C$14="Off",'Activity data'!BG70*UDCPPEF*NtoN2O*kgtoGg,IF('Net zero activities &amp; levers'!$C$14="On",'Net zero Activity data'!BG70*UDCPPEF*NtoN2O*kgtoGg,"ERROR"))</f>
        <v>9.5842198469681268</v>
      </c>
      <c r="AO1140" s="94">
        <f>IF('Net zero activities &amp; levers'!$C$14="Off",'Activity data'!BH70*UDCPPEF*NtoN2O*kgtoGg,IF('Net zero activities &amp; levers'!$C$14="On",'Net zero Activity data'!BH70*UDCPPEF*NtoN2O*kgtoGg,"ERROR"))</f>
        <v>9.6523131501803814</v>
      </c>
      <c r="AP1140" s="94">
        <f>IF('Net zero activities &amp; levers'!$C$14="Off",'Activity data'!BI70*UDCPPEF*NtoN2O*kgtoGg,IF('Net zero activities &amp; levers'!$C$14="On",'Net zero Activity data'!BI70*UDCPPEF*NtoN2O*kgtoGg,"ERROR"))</f>
        <v>9.7212659882312984</v>
      </c>
      <c r="AQ1140" s="94">
        <f>IF('Net zero activities &amp; levers'!$C$14="Off",'Activity data'!BJ70*UDCPPEF*NtoN2O*kgtoGg,IF('Net zero activities &amp; levers'!$C$14="On",'Net zero Activity data'!BJ70*UDCPPEF*NtoN2O*kgtoGg,"ERROR"))</f>
        <v>9.7918671504174508</v>
      </c>
      <c r="AR1140" s="94">
        <f>IF('Net zero activities &amp; levers'!$C$14="Off",'Activity data'!BK70*UDCPPEF*NtoN2O*kgtoGg,IF('Net zero activities &amp; levers'!$C$14="On",'Net zero Activity data'!BK70*UDCPPEF*NtoN2O*kgtoGg,"ERROR"))</f>
        <v>9.8655403318336496</v>
      </c>
      <c r="AS1140" s="94">
        <f>IF('Net zero activities &amp; levers'!$C$14="Off",'Activity data'!BL70*UDCPPEF*NtoN2O*kgtoGg,IF('Net zero activities &amp; levers'!$C$14="On",'Net zero Activity data'!BL70*UDCPPEF*NtoN2O*kgtoGg,"ERROR"))</f>
        <v>9.9411831199104377</v>
      </c>
      <c r="AT1140" s="94">
        <f>IF('Net zero activities &amp; levers'!$C$14="Off",'Activity data'!BM70*UDCPPEF*NtoN2O*kgtoGg,IF('Net zero activities &amp; levers'!$C$14="On",'Net zero Activity data'!BM70*UDCPPEF*NtoN2O*kgtoGg,"ERROR"))</f>
        <v>9.7919689092907181</v>
      </c>
      <c r="AU1140" s="94">
        <f>IF('Net zero activities &amp; levers'!$C$14="Off",'Activity data'!BN70*UDCPPEF*NtoN2O*kgtoGg,IF('Net zero activities &amp; levers'!$C$14="On",'Net zero Activity data'!BN70*UDCPPEF*NtoN2O*kgtoGg,"ERROR"))</f>
        <v>9.6229343034011841</v>
      </c>
      <c r="AV1140" s="94">
        <f>IF('Net zero activities &amp; levers'!$C$14="Off",'Activity data'!BO70*UDCPPEF*NtoN2O*kgtoGg,IF('Net zero activities &amp; levers'!$C$14="On",'Net zero Activity data'!BO70*UDCPPEF*NtoN2O*kgtoGg,"ERROR"))</f>
        <v>9.4269689746655256</v>
      </c>
      <c r="AW1140" s="94">
        <f>IF('Net zero activities &amp; levers'!$C$14="Off",'Activity data'!BP70*UDCPPEF*NtoN2O*kgtoGg,IF('Net zero activities &amp; levers'!$C$14="On",'Net zero Activity data'!BP70*UDCPPEF*NtoN2O*kgtoGg,"ERROR"))</f>
        <v>9.2248622350316598</v>
      </c>
      <c r="AY1140" s="79"/>
    </row>
    <row r="1141" spans="1:51" x14ac:dyDescent="0.3">
      <c r="A1141" s="95" t="str">
        <f t="shared" si="374"/>
        <v>CM U&amp;D</v>
      </c>
      <c r="B1141" s="95" t="s">
        <v>1322</v>
      </c>
      <c r="C1141" s="95" t="s">
        <v>1336</v>
      </c>
      <c r="D1141" t="s">
        <v>369</v>
      </c>
      <c r="E1141" t="s">
        <v>55</v>
      </c>
      <c r="F1141" t="s">
        <v>422</v>
      </c>
      <c r="G1141" t="s">
        <v>1162</v>
      </c>
      <c r="H1141" t="s">
        <v>1245</v>
      </c>
      <c r="I1141" t="s">
        <v>139</v>
      </c>
      <c r="J1141" t="s">
        <v>287</v>
      </c>
      <c r="K1141" s="94">
        <f>IF('Net zero activities &amp; levers'!$C$14="Off",'Activity data'!AD71*UDCPPEF*NtoN2O*kgtoGg,IF('Net zero activities &amp; levers'!$C$14="On",'Net zero Activity data'!AD71*UDCPPEF*NtoN2O*kgtoGg,"ERROR"))</f>
        <v>0</v>
      </c>
      <c r="L1141" s="94">
        <f>IF('Net zero activities &amp; levers'!$C$14="Off",'Activity data'!AE71*UDCPPEF*NtoN2O*kgtoGg,IF('Net zero activities &amp; levers'!$C$14="On",'Net zero Activity data'!AE71*UDCPPEF*NtoN2O*kgtoGg,"ERROR"))</f>
        <v>0</v>
      </c>
      <c r="M1141" s="94">
        <f>IF('Net zero activities &amp; levers'!$C$14="Off",'Activity data'!AF71*UDCPPEF*NtoN2O*kgtoGg,IF('Net zero activities &amp; levers'!$C$14="On",'Net zero Activity data'!AF71*UDCPPEF*NtoN2O*kgtoGg,"ERROR"))</f>
        <v>0</v>
      </c>
      <c r="N1141" s="94">
        <f>IF('Net zero activities &amp; levers'!$C$14="Off",'Activity data'!AG71*UDCPPEF*NtoN2O*kgtoGg,IF('Net zero activities &amp; levers'!$C$14="On",'Net zero Activity data'!AG71*UDCPPEF*NtoN2O*kgtoGg,"ERROR"))</f>
        <v>0</v>
      </c>
      <c r="O1141" s="94">
        <f>IF('Net zero activities &amp; levers'!$C$14="Off",'Activity data'!AH71*UDCPPEF*NtoN2O*kgtoGg,IF('Net zero activities &amp; levers'!$C$14="On",'Net zero Activity data'!AH71*UDCPPEF*NtoN2O*kgtoGg,"ERROR"))</f>
        <v>0</v>
      </c>
      <c r="P1141" s="94">
        <f>IF('Net zero activities &amp; levers'!$C$14="Off",'Activity data'!AI71*UDCPPEF*NtoN2O*kgtoGg,IF('Net zero activities &amp; levers'!$C$14="On",'Net zero Activity data'!AI71*UDCPPEF*NtoN2O*kgtoGg,"ERROR"))</f>
        <v>0</v>
      </c>
      <c r="Q1141" s="94">
        <f>IF('Net zero activities &amp; levers'!$C$14="Off",'Activity data'!AJ71*UDCPPEF*NtoN2O*kgtoGg,IF('Net zero activities &amp; levers'!$C$14="On",'Net zero Activity data'!AJ71*UDCPPEF*NtoN2O*kgtoGg,"ERROR"))</f>
        <v>0</v>
      </c>
      <c r="R1141" s="94">
        <f>IF('Net zero activities &amp; levers'!$C$14="Off",'Activity data'!AK71*UDCPPEF*NtoN2O*kgtoGg,IF('Net zero activities &amp; levers'!$C$14="On",'Net zero Activity data'!AK71*UDCPPEF*NtoN2O*kgtoGg,"ERROR"))</f>
        <v>0</v>
      </c>
      <c r="S1141" s="94">
        <f>IF('Net zero activities &amp; levers'!$C$14="Off",'Activity data'!AL71*UDCPPEF*NtoN2O*kgtoGg,IF('Net zero activities &amp; levers'!$C$14="On",'Net zero Activity data'!AL71*UDCPPEF*NtoN2O*kgtoGg,"ERROR"))</f>
        <v>0</v>
      </c>
      <c r="T1141" s="94">
        <f>IF('Net zero activities &amp; levers'!$C$14="Off",'Activity data'!AM71*UDCPPEF*NtoN2O*kgtoGg,IF('Net zero activities &amp; levers'!$C$14="On",'Net zero Activity data'!AM71*UDCPPEF*NtoN2O*kgtoGg,"ERROR"))</f>
        <v>0</v>
      </c>
      <c r="U1141" s="94">
        <f>IF('Net zero activities &amp; levers'!$C$14="Off",'Activity data'!AN71*UDCPPEF*NtoN2O*kgtoGg,IF('Net zero activities &amp; levers'!$C$14="On",'Net zero Activity data'!AN71*UDCPPEF*NtoN2O*kgtoGg,"ERROR"))</f>
        <v>0</v>
      </c>
      <c r="V1141" s="94">
        <f>IF('Net zero activities &amp; levers'!$C$14="Off",'Activity data'!AO71*UDCPPEF*NtoN2O*kgtoGg,IF('Net zero activities &amp; levers'!$C$14="On",'Net zero Activity data'!AO71*UDCPPEF*NtoN2O*kgtoGg,"ERROR"))</f>
        <v>0</v>
      </c>
      <c r="W1141" s="94">
        <f>IF('Net zero activities &amp; levers'!$C$14="Off",'Activity data'!AP71*UDCPPEF*NtoN2O*kgtoGg,IF('Net zero activities &amp; levers'!$C$14="On",'Net zero Activity data'!AP71*UDCPPEF*NtoN2O*kgtoGg,"ERROR"))</f>
        <v>0</v>
      </c>
      <c r="X1141" s="94">
        <f>IF('Net zero activities &amp; levers'!$C$14="Off",'Activity data'!AQ71*UDCPPEF*NtoN2O*kgtoGg,IF('Net zero activities &amp; levers'!$C$14="On",'Net zero Activity data'!AQ71*UDCPPEF*NtoN2O*kgtoGg,"ERROR"))</f>
        <v>0</v>
      </c>
      <c r="Y1141" s="94">
        <f>IF('Net zero activities &amp; levers'!$C$14="Off",'Activity data'!AR71*UDCPPEF*NtoN2O*kgtoGg,IF('Net zero activities &amp; levers'!$C$14="On",'Net zero Activity data'!AR71*UDCPPEF*NtoN2O*kgtoGg,"ERROR"))</f>
        <v>0</v>
      </c>
      <c r="Z1141" s="94">
        <f>IF('Net zero activities &amp; levers'!$C$14="Off",'Activity data'!AS71*UDCPPEF*NtoN2O*kgtoGg,IF('Net zero activities &amp; levers'!$C$14="On",'Net zero Activity data'!AS71*UDCPPEF*NtoN2O*kgtoGg,"ERROR"))</f>
        <v>0</v>
      </c>
      <c r="AA1141" s="94">
        <f>IF('Net zero activities &amp; levers'!$C$14="Off",'Activity data'!AT71*UDCPPEF*NtoN2O*kgtoGg,IF('Net zero activities &amp; levers'!$C$14="On",'Net zero Activity data'!AT71*UDCPPEF*NtoN2O*kgtoGg,"ERROR"))</f>
        <v>0</v>
      </c>
      <c r="AB1141" s="94">
        <f>IF('Net zero activities &amp; levers'!$C$14="Off",'Activity data'!AU71*UDCPPEF*NtoN2O*kgtoGg,IF('Net zero activities &amp; levers'!$C$14="On",'Net zero Activity data'!AU71*UDCPPEF*NtoN2O*kgtoGg,"ERROR"))</f>
        <v>0</v>
      </c>
      <c r="AC1141" s="94">
        <f>IF('Net zero activities &amp; levers'!$C$14="Off",'Activity data'!AV71*UDCPPEF*NtoN2O*kgtoGg,IF('Net zero activities &amp; levers'!$C$14="On",'Net zero Activity data'!AV71*UDCPPEF*NtoN2O*kgtoGg,"ERROR"))</f>
        <v>0</v>
      </c>
      <c r="AD1141" s="94">
        <f>IF('Net zero activities &amp; levers'!$C$14="Off",'Activity data'!AW71*UDCPPEF*NtoN2O*kgtoGg,IF('Net zero activities &amp; levers'!$C$14="On",'Net zero Activity data'!AW71*UDCPPEF*NtoN2O*kgtoGg,"ERROR"))</f>
        <v>0</v>
      </c>
      <c r="AE1141" s="94">
        <f>IF('Net zero activities &amp; levers'!$C$14="Off",'Activity data'!AX71*UDCPPEF*NtoN2O*kgtoGg,IF('Net zero activities &amp; levers'!$C$14="On",'Net zero Activity data'!AX71*UDCPPEF*NtoN2O*kgtoGg,"ERROR"))</f>
        <v>0</v>
      </c>
      <c r="AF1141" s="94">
        <f>IF('Net zero activities &amp; levers'!$C$14="Off",'Activity data'!AY71*UDCPPEF*NtoN2O*kgtoGg,IF('Net zero activities &amp; levers'!$C$14="On",'Net zero Activity data'!AY71*UDCPPEF*NtoN2O*kgtoGg,"ERROR"))</f>
        <v>0</v>
      </c>
      <c r="AG1141" s="94">
        <f>IF('Net zero activities &amp; levers'!$C$14="Off",'Activity data'!AZ71*UDCPPEF*NtoN2O*kgtoGg,IF('Net zero activities &amp; levers'!$C$14="On",'Net zero Activity data'!AZ71*UDCPPEF*NtoN2O*kgtoGg,"ERROR"))</f>
        <v>0</v>
      </c>
      <c r="AH1141" s="94">
        <f>IF('Net zero activities &amp; levers'!$C$14="Off",'Activity data'!BA71*UDCPPEF*NtoN2O*kgtoGg,IF('Net zero activities &amp; levers'!$C$14="On",'Net zero Activity data'!BA71*UDCPPEF*NtoN2O*kgtoGg,"ERROR"))</f>
        <v>0</v>
      </c>
      <c r="AI1141" s="94">
        <f>IF('Net zero activities &amp; levers'!$C$14="Off",'Activity data'!BB71*UDCPPEF*NtoN2O*kgtoGg,IF('Net zero activities &amp; levers'!$C$14="On",'Net zero Activity data'!BB71*UDCPPEF*NtoN2O*kgtoGg,"ERROR"))</f>
        <v>0</v>
      </c>
      <c r="AJ1141" s="94">
        <f>IF('Net zero activities &amp; levers'!$C$14="Off",'Activity data'!BC71*UDCPPEF*NtoN2O*kgtoGg,IF('Net zero activities &amp; levers'!$C$14="On",'Net zero Activity data'!BC71*UDCPPEF*NtoN2O*kgtoGg,"ERROR"))</f>
        <v>0</v>
      </c>
      <c r="AK1141" s="94">
        <f>IF('Net zero activities &amp; levers'!$C$14="Off",'Activity data'!BD71*UDCPPEF*NtoN2O*kgtoGg,IF('Net zero activities &amp; levers'!$C$14="On",'Net zero Activity data'!BD71*UDCPPEF*NtoN2O*kgtoGg,"ERROR"))</f>
        <v>0</v>
      </c>
      <c r="AL1141" s="94">
        <f>IF('Net zero activities &amp; levers'!$C$14="Off",'Activity data'!BE71*UDCPPEF*NtoN2O*kgtoGg,IF('Net zero activities &amp; levers'!$C$14="On",'Net zero Activity data'!BE71*UDCPPEF*NtoN2O*kgtoGg,"ERROR"))</f>
        <v>0</v>
      </c>
      <c r="AM1141" s="94">
        <f>IF('Net zero activities &amp; levers'!$C$14="Off",'Activity data'!BF71*UDCPPEF*NtoN2O*kgtoGg,IF('Net zero activities &amp; levers'!$C$14="On",'Net zero Activity data'!BF71*UDCPPEF*NtoN2O*kgtoGg,"ERROR"))</f>
        <v>0</v>
      </c>
      <c r="AN1141" s="94">
        <f>IF('Net zero activities &amp; levers'!$C$14="Off",'Activity data'!BG71*UDCPPEF*NtoN2O*kgtoGg,IF('Net zero activities &amp; levers'!$C$14="On",'Net zero Activity data'!BG71*UDCPPEF*NtoN2O*kgtoGg,"ERROR"))</f>
        <v>0</v>
      </c>
      <c r="AO1141" s="94">
        <f>IF('Net zero activities &amp; levers'!$C$14="Off",'Activity data'!BH71*UDCPPEF*NtoN2O*kgtoGg,IF('Net zero activities &amp; levers'!$C$14="On",'Net zero Activity data'!BH71*UDCPPEF*NtoN2O*kgtoGg,"ERROR"))</f>
        <v>0</v>
      </c>
      <c r="AP1141" s="94">
        <f>IF('Net zero activities &amp; levers'!$C$14="Off",'Activity data'!BI71*UDCPPEF*NtoN2O*kgtoGg,IF('Net zero activities &amp; levers'!$C$14="On",'Net zero Activity data'!BI71*UDCPPEF*NtoN2O*kgtoGg,"ERROR"))</f>
        <v>0</v>
      </c>
      <c r="AQ1141" s="94">
        <f>IF('Net zero activities &amp; levers'!$C$14="Off",'Activity data'!BJ71*UDCPPEF*NtoN2O*kgtoGg,IF('Net zero activities &amp; levers'!$C$14="On",'Net zero Activity data'!BJ71*UDCPPEF*NtoN2O*kgtoGg,"ERROR"))</f>
        <v>0</v>
      </c>
      <c r="AR1141" s="94">
        <f>IF('Net zero activities &amp; levers'!$C$14="Off",'Activity data'!BK71*UDCPPEF*NtoN2O*kgtoGg,IF('Net zero activities &amp; levers'!$C$14="On",'Net zero Activity data'!BK71*UDCPPEF*NtoN2O*kgtoGg,"ERROR"))</f>
        <v>0</v>
      </c>
      <c r="AS1141" s="94">
        <f>IF('Net zero activities &amp; levers'!$C$14="Off",'Activity data'!BL71*UDCPPEF*NtoN2O*kgtoGg,IF('Net zero activities &amp; levers'!$C$14="On",'Net zero Activity data'!BL71*UDCPPEF*NtoN2O*kgtoGg,"ERROR"))</f>
        <v>0</v>
      </c>
      <c r="AT1141" s="94">
        <f>IF('Net zero activities &amp; levers'!$C$14="Off",'Activity data'!BM71*UDCPPEF*NtoN2O*kgtoGg,IF('Net zero activities &amp; levers'!$C$14="On",'Net zero Activity data'!BM71*UDCPPEF*NtoN2O*kgtoGg,"ERROR"))</f>
        <v>0</v>
      </c>
      <c r="AU1141" s="94">
        <f>IF('Net zero activities &amp; levers'!$C$14="Off",'Activity data'!BN71*UDCPPEF*NtoN2O*kgtoGg,IF('Net zero activities &amp; levers'!$C$14="On",'Net zero Activity data'!BN71*UDCPPEF*NtoN2O*kgtoGg,"ERROR"))</f>
        <v>0</v>
      </c>
      <c r="AV1141" s="94">
        <f>IF('Net zero activities &amp; levers'!$C$14="Off",'Activity data'!BO71*UDCPPEF*NtoN2O*kgtoGg,IF('Net zero activities &amp; levers'!$C$14="On",'Net zero Activity data'!BO71*UDCPPEF*NtoN2O*kgtoGg,"ERROR"))</f>
        <v>0</v>
      </c>
      <c r="AW1141" s="94">
        <f>IF('Net zero activities &amp; levers'!$C$14="Off",'Activity data'!BP71*UDCPPEF*NtoN2O*kgtoGg,IF('Net zero activities &amp; levers'!$C$14="On",'Net zero Activity data'!BP71*UDCPPEF*NtoN2O*kgtoGg,"ERROR"))</f>
        <v>0</v>
      </c>
      <c r="AY1141" s="79"/>
    </row>
    <row r="1142" spans="1:51" x14ac:dyDescent="0.3">
      <c r="A1142" s="95" t="str">
        <f t="shared" si="374"/>
        <v>CM U&amp;D</v>
      </c>
      <c r="B1142" s="95" t="s">
        <v>1322</v>
      </c>
      <c r="C1142" s="95" t="s">
        <v>1336</v>
      </c>
      <c r="D1142" t="s">
        <v>369</v>
      </c>
      <c r="E1142" t="s">
        <v>55</v>
      </c>
      <c r="F1142" t="s">
        <v>422</v>
      </c>
      <c r="G1142" t="s">
        <v>1164</v>
      </c>
      <c r="H1142" t="s">
        <v>1246</v>
      </c>
      <c r="I1142" t="s">
        <v>139</v>
      </c>
      <c r="J1142" t="s">
        <v>287</v>
      </c>
      <c r="K1142" s="94">
        <f>IF('Net zero activities &amp; levers'!$C$14="Off",'Activity data'!AD72*UDSOEF*NtoN2O*kgtoGg,IF('Net zero activities &amp; levers'!$C$14="On",'Net zero Activity data'!AD72*UDSOEF*NtoN2O*kgtoGg,"ERROR"))</f>
        <v>5.8008217784478333</v>
      </c>
      <c r="L1142" s="94">
        <f>IF('Net zero activities &amp; levers'!$C$14="Off",'Activity data'!AE72*UDSOEF*NtoN2O*kgtoGg,IF('Net zero activities &amp; levers'!$C$14="On",'Net zero Activity data'!AE72*UDSOEF*NtoN2O*kgtoGg,"ERROR"))</f>
        <v>5.8039582643251126</v>
      </c>
      <c r="M1142" s="94">
        <f>IF('Net zero activities &amp; levers'!$C$14="Off",'Activity data'!AF72*UDSOEF*NtoN2O*kgtoGg,IF('Net zero activities &amp; levers'!$C$14="On",'Net zero Activity data'!AF72*UDSOEF*NtoN2O*kgtoGg,"ERROR"))</f>
        <v>5.8114574843873825</v>
      </c>
      <c r="N1142" s="94">
        <f>IF('Net zero activities &amp; levers'!$C$14="Off",'Activity data'!AG72*UDSOEF*NtoN2O*kgtoGg,IF('Net zero activities &amp; levers'!$C$14="On",'Net zero Activity data'!AG72*UDSOEF*NtoN2O*kgtoGg,"ERROR"))</f>
        <v>5.8225151444828054</v>
      </c>
      <c r="O1142" s="94">
        <f>IF('Net zero activities &amp; levers'!$C$14="Off",'Activity data'!AH72*UDSOEF*NtoN2O*kgtoGg,IF('Net zero activities &amp; levers'!$C$14="On",'Net zero Activity data'!AH72*UDSOEF*NtoN2O*kgtoGg,"ERROR"))</f>
        <v>5.8370609765606929</v>
      </c>
      <c r="P1142" s="94">
        <f>IF('Net zero activities &amp; levers'!$C$14="Off",'Activity data'!AI72*UDSOEF*NtoN2O*kgtoGg,IF('Net zero activities &amp; levers'!$C$14="On",'Net zero Activity data'!AI72*UDSOEF*NtoN2O*kgtoGg,"ERROR"))</f>
        <v>5.8549413826537444</v>
      </c>
      <c r="Q1142" s="94">
        <f>IF('Net zero activities &amp; levers'!$C$14="Off",'Activity data'!AJ72*UDSOEF*NtoN2O*kgtoGg,IF('Net zero activities &amp; levers'!$C$14="On",'Net zero Activity data'!AJ72*UDSOEF*NtoN2O*kgtoGg,"ERROR"))</f>
        <v>5.8750235193024203</v>
      </c>
      <c r="R1142" s="94">
        <f>IF('Net zero activities &amp; levers'!$C$14="Off",'Activity data'!AK72*UDSOEF*NtoN2O*kgtoGg,IF('Net zero activities &amp; levers'!$C$14="On",'Net zero Activity data'!AK72*UDSOEF*NtoN2O*kgtoGg,"ERROR"))</f>
        <v>5.8971806009067276</v>
      </c>
      <c r="S1142" s="94">
        <f>IF('Net zero activities &amp; levers'!$C$14="Off",'Activity data'!AL72*UDSOEF*NtoN2O*kgtoGg,IF('Net zero activities &amp; levers'!$C$14="On",'Net zero Activity data'!AL72*UDSOEF*NtoN2O*kgtoGg,"ERROR"))</f>
        <v>5.917442032162775</v>
      </c>
      <c r="T1142" s="94">
        <f>IF('Net zero activities &amp; levers'!$C$14="Off",'Activity data'!AM72*UDSOEF*NtoN2O*kgtoGg,IF('Net zero activities &amp; levers'!$C$14="On",'Net zero Activity data'!AM72*UDSOEF*NtoN2O*kgtoGg,"ERROR"))</f>
        <v>5.9263453955781369</v>
      </c>
      <c r="U1142" s="94">
        <f>IF('Net zero activities &amp; levers'!$C$14="Off",'Activity data'!AN72*UDSOEF*NtoN2O*kgtoGg,IF('Net zero activities &amp; levers'!$C$14="On",'Net zero Activity data'!AN72*UDSOEF*NtoN2O*kgtoGg,"ERROR"))</f>
        <v>5.9372183150377431</v>
      </c>
      <c r="V1142" s="94">
        <f>IF('Net zero activities &amp; levers'!$C$14="Off",'Activity data'!AO72*UDSOEF*NtoN2O*kgtoGg,IF('Net zero activities &amp; levers'!$C$14="On",'Net zero Activity data'!AO72*UDSOEF*NtoN2O*kgtoGg,"ERROR"))</f>
        <v>5.9486466020913653</v>
      </c>
      <c r="W1142" s="94">
        <f>IF('Net zero activities &amp; levers'!$C$14="Off",'Activity data'!AP72*UDSOEF*NtoN2O*kgtoGg,IF('Net zero activities &amp; levers'!$C$14="On",'Net zero Activity data'!AP72*UDSOEF*NtoN2O*kgtoGg,"ERROR"))</f>
        <v>5.9614772941302494</v>
      </c>
      <c r="X1142" s="94">
        <f>IF('Net zero activities &amp; levers'!$C$14="Off",'Activity data'!AQ72*UDSOEF*NtoN2O*kgtoGg,IF('Net zero activities &amp; levers'!$C$14="On",'Net zero Activity data'!AQ72*UDSOEF*NtoN2O*kgtoGg,"ERROR"))</f>
        <v>5.975674490624324</v>
      </c>
      <c r="Y1142" s="94">
        <f>IF('Net zero activities &amp; levers'!$C$14="Off",'Activity data'!AR72*UDSOEF*NtoN2O*kgtoGg,IF('Net zero activities &amp; levers'!$C$14="On",'Net zero Activity data'!AR72*UDSOEF*NtoN2O*kgtoGg,"ERROR"))</f>
        <v>5.984540997272453</v>
      </c>
      <c r="Z1142" s="94">
        <f>IF('Net zero activities &amp; levers'!$C$14="Off",'Activity data'!AS72*UDSOEF*NtoN2O*kgtoGg,IF('Net zero activities &amp; levers'!$C$14="On",'Net zero Activity data'!AS72*UDSOEF*NtoN2O*kgtoGg,"ERROR"))</f>
        <v>5.9945579021556687</v>
      </c>
      <c r="AA1142" s="94">
        <f>IF('Net zero activities &amp; levers'!$C$14="Off",'Activity data'!AT72*UDSOEF*NtoN2O*kgtoGg,IF('Net zero activities &amp; levers'!$C$14="On",'Net zero Activity data'!AT72*UDSOEF*NtoN2O*kgtoGg,"ERROR"))</f>
        <v>6.0055898546708475</v>
      </c>
      <c r="AB1142" s="94">
        <f>IF('Net zero activities &amp; levers'!$C$14="Off",'Activity data'!AU72*UDSOEF*NtoN2O*kgtoGg,IF('Net zero activities &amp; levers'!$C$14="On",'Net zero Activity data'!AU72*UDSOEF*NtoN2O*kgtoGg,"ERROR"))</f>
        <v>6.0176671888041211</v>
      </c>
      <c r="AC1142" s="94">
        <f>IF('Net zero activities &amp; levers'!$C$14="Off",'Activity data'!AV72*UDSOEF*NtoN2O*kgtoGg,IF('Net zero activities &amp; levers'!$C$14="On",'Net zero Activity data'!AV72*UDSOEF*NtoN2O*kgtoGg,"ERROR"))</f>
        <v>6.030665248312749</v>
      </c>
      <c r="AD1142" s="94">
        <f>IF('Net zero activities &amp; levers'!$C$14="Off",'Activity data'!AW72*UDSOEF*NtoN2O*kgtoGg,IF('Net zero activities &amp; levers'!$C$14="On",'Net zero Activity data'!AW72*UDSOEF*NtoN2O*kgtoGg,"ERROR"))</f>
        <v>6.0393845451591259</v>
      </c>
      <c r="AE1142" s="94">
        <f>IF('Net zero activities &amp; levers'!$C$14="Off",'Activity data'!AX72*UDSOEF*NtoN2O*kgtoGg,IF('Net zero activities &amp; levers'!$C$14="On",'Net zero Activity data'!AX72*UDSOEF*NtoN2O*kgtoGg,"ERROR"))</f>
        <v>6.0488503325285592</v>
      </c>
      <c r="AF1142" s="94">
        <f>IF('Net zero activities &amp; levers'!$C$14="Off",'Activity data'!AY72*UDSOEF*NtoN2O*kgtoGg,IF('Net zero activities &amp; levers'!$C$14="On",'Net zero Activity data'!AY72*UDSOEF*NtoN2O*kgtoGg,"ERROR"))</f>
        <v>6.0591386998485763</v>
      </c>
      <c r="AG1142" s="94">
        <f>IF('Net zero activities &amp; levers'!$C$14="Off",'Activity data'!AZ72*UDSOEF*NtoN2O*kgtoGg,IF('Net zero activities &amp; levers'!$C$14="On",'Net zero Activity data'!AZ72*UDSOEF*NtoN2O*kgtoGg,"ERROR"))</f>
        <v>6.0703500781796258</v>
      </c>
      <c r="AH1142" s="94">
        <f>IF('Net zero activities &amp; levers'!$C$14="Off",'Activity data'!BA72*UDSOEF*NtoN2O*kgtoGg,IF('Net zero activities &amp; levers'!$C$14="On",'Net zero Activity data'!BA72*UDSOEF*NtoN2O*kgtoGg,"ERROR"))</f>
        <v>6.0821478127419235</v>
      </c>
      <c r="AI1142" s="94">
        <f>IF('Net zero activities &amp; levers'!$C$14="Off",'Activity data'!BB72*UDSOEF*NtoN2O*kgtoGg,IF('Net zero activities &amp; levers'!$C$14="On",'Net zero Activity data'!BB72*UDSOEF*NtoN2O*kgtoGg,"ERROR"))</f>
        <v>6.0896888871649706</v>
      </c>
      <c r="AJ1142" s="94">
        <f>IF('Net zero activities &amp; levers'!$C$14="Off",'Activity data'!BC72*UDSOEF*NtoN2O*kgtoGg,IF('Net zero activities &amp; levers'!$C$14="On",'Net zero Activity data'!BC72*UDSOEF*NtoN2O*kgtoGg,"ERROR"))</f>
        <v>6.0979488793317644</v>
      </c>
      <c r="AK1142" s="94">
        <f>IF('Net zero activities &amp; levers'!$C$14="Off",'Activity data'!BD72*UDSOEF*NtoN2O*kgtoGg,IF('Net zero activities &amp; levers'!$C$14="On",'Net zero Activity data'!BD72*UDSOEF*NtoN2O*kgtoGg,"ERROR"))</f>
        <v>6.1066553574494229</v>
      </c>
      <c r="AL1142" s="94">
        <f>IF('Net zero activities &amp; levers'!$C$14="Off",'Activity data'!BE72*UDSOEF*NtoN2O*kgtoGg,IF('Net zero activities &amp; levers'!$C$14="On",'Net zero Activity data'!BE72*UDSOEF*NtoN2O*kgtoGg,"ERROR"))</f>
        <v>6.1159010108536567</v>
      </c>
      <c r="AM1142" s="94">
        <f>IF('Net zero activities &amp; levers'!$C$14="Off",'Activity data'!BF72*UDSOEF*NtoN2O*kgtoGg,IF('Net zero activities &amp; levers'!$C$14="On",'Net zero Activity data'!BF72*UDSOEF*NtoN2O*kgtoGg,"ERROR"))</f>
        <v>6.1256718211091643</v>
      </c>
      <c r="AN1142" s="94">
        <f>IF('Net zero activities &amp; levers'!$C$14="Off",'Activity data'!BG72*UDSOEF*NtoN2O*kgtoGg,IF('Net zero activities &amp; levers'!$C$14="On",'Net zero Activity data'!BG72*UDSOEF*NtoN2O*kgtoGg,"ERROR"))</f>
        <v>6.1314451386260842</v>
      </c>
      <c r="AO1142" s="94">
        <f>IF('Net zero activities &amp; levers'!$C$14="Off",'Activity data'!BH72*UDSOEF*NtoN2O*kgtoGg,IF('Net zero activities &amp; levers'!$C$14="On",'Net zero Activity data'!BH72*UDSOEF*NtoN2O*kgtoGg,"ERROR"))</f>
        <v>6.1376082251338753</v>
      </c>
      <c r="AP1142" s="94">
        <f>IF('Net zero activities &amp; levers'!$C$14="Off",'Activity data'!BI72*UDSOEF*NtoN2O*kgtoGg,IF('Net zero activities &amp; levers'!$C$14="On",'Net zero Activity data'!BI72*UDSOEF*NtoN2O*kgtoGg,"ERROR"))</f>
        <v>6.1442934501067121</v>
      </c>
      <c r="AQ1142" s="94">
        <f>IF('Net zero activities &amp; levers'!$C$14="Off",'Activity data'!BJ72*UDSOEF*NtoN2O*kgtoGg,IF('Net zero activities &amp; levers'!$C$14="On",'Net zero Activity data'!BJ72*UDSOEF*NtoN2O*kgtoGg,"ERROR"))</f>
        <v>6.1514943503502693</v>
      </c>
      <c r="AR1142" s="94">
        <f>IF('Net zero activities &amp; levers'!$C$14="Off",'Activity data'!BK72*UDSOEF*NtoN2O*kgtoGg,IF('Net zero activities &amp; levers'!$C$14="On",'Net zero Activity data'!BK72*UDSOEF*NtoN2O*kgtoGg,"ERROR"))</f>
        <v>6.1592107766386786</v>
      </c>
      <c r="AS1142" s="94">
        <f>IF('Net zero activities &amp; levers'!$C$14="Off",'Activity data'!BL72*UDSOEF*NtoN2O*kgtoGg,IF('Net zero activities &amp; levers'!$C$14="On",'Net zero Activity data'!BL72*UDSOEF*NtoN2O*kgtoGg,"ERROR"))</f>
        <v>6.1627115342701337</v>
      </c>
      <c r="AT1142" s="94">
        <f>IF('Net zero activities &amp; levers'!$C$14="Off",'Activity data'!BM72*UDSOEF*NtoN2O*kgtoGg,IF('Net zero activities &amp; levers'!$C$14="On",'Net zero Activity data'!BM72*UDSOEF*NtoN2O*kgtoGg,"ERROR"))</f>
        <v>6.1649675411239766</v>
      </c>
      <c r="AU1142" s="94">
        <f>IF('Net zero activities &amp; levers'!$C$14="Off",'Activity data'!BN72*UDSOEF*NtoN2O*kgtoGg,IF('Net zero activities &amp; levers'!$C$14="On",'Net zero Activity data'!BN72*UDSOEF*NtoN2O*kgtoGg,"ERROR"))</f>
        <v>6.1674405510086165</v>
      </c>
      <c r="AV1142" s="94">
        <f>IF('Net zero activities &amp; levers'!$C$14="Off",'Activity data'!BO72*UDSOEF*NtoN2O*kgtoGg,IF('Net zero activities &amp; levers'!$C$14="On",'Net zero Activity data'!BO72*UDSOEF*NtoN2O*kgtoGg,"ERROR"))</f>
        <v>6.1700527124926303</v>
      </c>
      <c r="AW1142" s="94">
        <f>IF('Net zero activities &amp; levers'!$C$14="Off",'Activity data'!BP72*UDSOEF*NtoN2O*kgtoGg,IF('Net zero activities &amp; levers'!$C$14="On",'Net zero Activity data'!BP72*UDSOEF*NtoN2O*kgtoGg,"ERROR"))</f>
        <v>6.1729463171150929</v>
      </c>
      <c r="AY1142" s="79"/>
    </row>
    <row r="1143" spans="1:51" x14ac:dyDescent="0.3">
      <c r="A1143" s="95" t="str">
        <f t="shared" si="374"/>
        <v>CM U&amp;D</v>
      </c>
      <c r="B1143" s="95" t="s">
        <v>1322</v>
      </c>
      <c r="C1143" s="95" t="s">
        <v>1336</v>
      </c>
      <c r="D1143" t="s">
        <v>369</v>
      </c>
      <c r="E1143" t="s">
        <v>55</v>
      </c>
      <c r="F1143" t="s">
        <v>422</v>
      </c>
      <c r="G1143" t="s">
        <v>1166</v>
      </c>
      <c r="H1143" t="s">
        <v>1247</v>
      </c>
      <c r="I1143" t="s">
        <v>139</v>
      </c>
      <c r="J1143" t="s">
        <v>287</v>
      </c>
      <c r="K1143" s="94">
        <f>IF('Net zero activities &amp; levers'!$C$14="Off",'Activity data'!AD73*UDSOEF*NtoN2O*kgtoGg,IF('Net zero activities &amp; levers'!$C$14="On",'Net zero Activity data'!AD73*UDSOEF*NtoN2O*kgtoGg,"ERROR"))</f>
        <v>0.6475429908430661</v>
      </c>
      <c r="L1143" s="94">
        <f>IF('Net zero activities &amp; levers'!$C$14="Off",'Activity data'!AE73*UDSOEF*NtoN2O*kgtoGg,IF('Net zero activities &amp; levers'!$C$14="On",'Net zero Activity data'!AE73*UDSOEF*NtoN2O*kgtoGg,"ERROR"))</f>
        <v>0.64789311527772075</v>
      </c>
      <c r="M1143" s="94">
        <f>IF('Net zero activities &amp; levers'!$C$14="Off",'Activity data'!AF73*UDSOEF*NtoN2O*kgtoGg,IF('Net zero activities &amp; levers'!$C$14="On",'Net zero Activity data'!AF73*UDSOEF*NtoN2O*kgtoGg,"ERROR"))</f>
        <v>0.64873024966549919</v>
      </c>
      <c r="N1143" s="94">
        <f>IF('Net zero activities &amp; levers'!$C$14="Off",'Activity data'!AG73*UDSOEF*NtoN2O*kgtoGg,IF('Net zero activities &amp; levers'!$C$14="On",'Net zero Activity data'!AG73*UDSOEF*NtoN2O*kgtoGg,"ERROR"))</f>
        <v>0.64996461103073178</v>
      </c>
      <c r="O1143" s="94">
        <f>IF('Net zero activities &amp; levers'!$C$14="Off",'Activity data'!AH73*UDSOEF*NtoN2O*kgtoGg,IF('Net zero activities &amp; levers'!$C$14="On",'Net zero Activity data'!AH73*UDSOEF*NtoN2O*kgtoGg,"ERROR"))</f>
        <v>0.65158835538416293</v>
      </c>
      <c r="P1143" s="94">
        <f>IF('Net zero activities &amp; levers'!$C$14="Off",'Activity data'!AI73*UDSOEF*NtoN2O*kgtoGg,IF('Net zero activities &amp; levers'!$C$14="On",'Net zero Activity data'!AI73*UDSOEF*NtoN2O*kgtoGg,"ERROR"))</f>
        <v>0.65358433665736837</v>
      </c>
      <c r="Q1143" s="94">
        <f>IF('Net zero activities &amp; levers'!$C$14="Off",'Activity data'!AJ73*UDSOEF*NtoN2O*kgtoGg,IF('Net zero activities &amp; levers'!$C$14="On",'Net zero Activity data'!AJ73*UDSOEF*NtoN2O*kgtoGg,"ERROR"))</f>
        <v>0.65582609607089082</v>
      </c>
      <c r="R1143" s="94">
        <f>IF('Net zero activities &amp; levers'!$C$14="Off",'Activity data'!AK73*UDSOEF*NtoN2O*kgtoGg,IF('Net zero activities &amp; levers'!$C$14="On",'Net zero Activity data'!AK73*UDSOEF*NtoN2O*kgtoGg,"ERROR"))</f>
        <v>0.65829948060818433</v>
      </c>
      <c r="S1143" s="94">
        <f>IF('Net zero activities &amp; levers'!$C$14="Off",'Activity data'!AL73*UDSOEF*NtoN2O*kgtoGg,IF('Net zero activities &amp; levers'!$C$14="On",'Net zero Activity data'!AL73*UDSOEF*NtoN2O*kgtoGg,"ERROR"))</f>
        <v>0.66056125459390613</v>
      </c>
      <c r="T1143" s="94">
        <f>IF('Net zero activities &amp; levers'!$C$14="Off",'Activity data'!AM73*UDSOEF*NtoN2O*kgtoGg,IF('Net zero activities &amp; levers'!$C$14="On",'Net zero Activity data'!AM73*UDSOEF*NtoN2O*kgtoGg,"ERROR"))</f>
        <v>0.6615551328399103</v>
      </c>
      <c r="U1143" s="94">
        <f>IF('Net zero activities &amp; levers'!$C$14="Off",'Activity data'!AN73*UDSOEF*NtoN2O*kgtoGg,IF('Net zero activities &amp; levers'!$C$14="On",'Net zero Activity data'!AN73*UDSOEF*NtoN2O*kgtoGg,"ERROR"))</f>
        <v>0.6627688716953648</v>
      </c>
      <c r="V1143" s="94">
        <f>IF('Net zero activities &amp; levers'!$C$14="Off",'Activity data'!AO73*UDSOEF*NtoN2O*kgtoGg,IF('Net zero activities &amp; levers'!$C$14="On",'Net zero Activity data'!AO73*UDSOEF*NtoN2O*kgtoGg,"ERROR"))</f>
        <v>0.66404460597260306</v>
      </c>
      <c r="W1143" s="94">
        <f>IF('Net zero activities &amp; levers'!$C$14="Off",'Activity data'!AP73*UDSOEF*NtoN2O*kgtoGg,IF('Net zero activities &amp; levers'!$C$14="On",'Net zero Activity data'!AP73*UDSOEF*NtoN2O*kgtoGg,"ERROR"))</f>
        <v>0.6654768900548883</v>
      </c>
      <c r="X1143" s="94">
        <f>IF('Net zero activities &amp; levers'!$C$14="Off",'Activity data'!AQ73*UDSOEF*NtoN2O*kgtoGg,IF('Net zero activities &amp; levers'!$C$14="On",'Net zero Activity data'!AQ73*UDSOEF*NtoN2O*kgtoGg,"ERROR"))</f>
        <v>0.66706171638303324</v>
      </c>
      <c r="Y1143" s="94">
        <f>IF('Net zero activities &amp; levers'!$C$14="Off",'Activity data'!AR73*UDSOEF*NtoN2O*kgtoGg,IF('Net zero activities &amp; levers'!$C$14="On",'Net zero Activity data'!AR73*UDSOEF*NtoN2O*kgtoGg,"ERROR"))</f>
        <v>0.66805148032554751</v>
      </c>
      <c r="Z1143" s="94">
        <f>IF('Net zero activities &amp; levers'!$C$14="Off",'Activity data'!AS73*UDSOEF*NtoN2O*kgtoGg,IF('Net zero activities &amp; levers'!$C$14="On",'Net zero Activity data'!AS73*UDSOEF*NtoN2O*kgtoGg,"ERROR"))</f>
        <v>0.66916966267880784</v>
      </c>
      <c r="AA1143" s="94">
        <f>IF('Net zero activities &amp; levers'!$C$14="Off",'Activity data'!AT73*UDSOEF*NtoN2O*kgtoGg,IF('Net zero activities &amp; levers'!$C$14="On",'Net zero Activity data'!AT73*UDSOEF*NtoN2O*kgtoGg,"ERROR"))</f>
        <v>0.67040115431901948</v>
      </c>
      <c r="AB1143" s="94">
        <f>IF('Net zero activities &amp; levers'!$C$14="Off",'Activity data'!AU73*UDSOEF*NtoN2O*kgtoGg,IF('Net zero activities &amp; levers'!$C$14="On",'Net zero Activity data'!AU73*UDSOEF*NtoN2O*kgtoGg,"ERROR"))</f>
        <v>0.67174934141470444</v>
      </c>
      <c r="AC1143" s="94">
        <f>IF('Net zero activities &amp; levers'!$C$14="Off",'Activity data'!AV73*UDSOEF*NtoN2O*kgtoGg,IF('Net zero activities &amp; levers'!$C$14="On",'Net zero Activity data'!AV73*UDSOEF*NtoN2O*kgtoGg,"ERROR"))</f>
        <v>0.67320030864845803</v>
      </c>
      <c r="AD1143" s="94">
        <f>IF('Net zero activities &amp; levers'!$C$14="Off",'Activity data'!AW73*UDSOEF*NtoN2O*kgtoGg,IF('Net zero activities &amp; levers'!$C$14="On",'Net zero Activity data'!AW73*UDSOEF*NtoN2O*kgtoGg,"ERROR"))</f>
        <v>0.67417363963044585</v>
      </c>
      <c r="AE1143" s="94">
        <f>IF('Net zero activities &amp; levers'!$C$14="Off",'Activity data'!AX73*UDSOEF*NtoN2O*kgtoGg,IF('Net zero activities &amp; levers'!$C$14="On",'Net zero Activity data'!AX73*UDSOEF*NtoN2O*kgtoGg,"ERROR"))</f>
        <v>0.67523030099636827</v>
      </c>
      <c r="AF1143" s="94">
        <f>IF('Net zero activities &amp; levers'!$C$14="Off",'Activity data'!AY73*UDSOEF*NtoN2O*kgtoGg,IF('Net zero activities &amp; levers'!$C$14="On",'Net zero Activity data'!AY73*UDSOEF*NtoN2O*kgtoGg,"ERROR"))</f>
        <v>0.67637878657302375</v>
      </c>
      <c r="AG1143" s="94">
        <f>IF('Net zero activities &amp; levers'!$C$14="Off",'Activity data'!AZ73*UDSOEF*NtoN2O*kgtoGg,IF('Net zero activities &amp; levers'!$C$14="On",'Net zero Activity data'!AZ73*UDSOEF*NtoN2O*kgtoGg,"ERROR"))</f>
        <v>0.67763030743217745</v>
      </c>
      <c r="AH1143" s="94">
        <f>IF('Net zero activities &amp; levers'!$C$14="Off",'Activity data'!BA73*UDSOEF*NtoN2O*kgtoGg,IF('Net zero activities &amp; levers'!$C$14="On",'Net zero Activity data'!BA73*UDSOEF*NtoN2O*kgtoGg,"ERROR"))</f>
        <v>0.67894728296002871</v>
      </c>
      <c r="AI1143" s="94">
        <f>IF('Net zero activities &amp; levers'!$C$14="Off",'Activity data'!BB73*UDSOEF*NtoN2O*kgtoGg,IF('Net zero activities &amp; levers'!$C$14="On",'Net zero Activity data'!BB73*UDSOEF*NtoN2O*kgtoGg,"ERROR"))</f>
        <v>0.67978908953029982</v>
      </c>
      <c r="AJ1143" s="94">
        <f>IF('Net zero activities &amp; levers'!$C$14="Off",'Activity data'!BC73*UDSOEF*NtoN2O*kgtoGg,IF('Net zero activities &amp; levers'!$C$14="On",'Net zero Activity data'!BC73*UDSOEF*NtoN2O*kgtoGg,"ERROR"))</f>
        <v>0.68071114854819625</v>
      </c>
      <c r="AK1143" s="94">
        <f>IF('Net zero activities &amp; levers'!$C$14="Off",'Activity data'!BD73*UDSOEF*NtoN2O*kgtoGg,IF('Net zero activities &amp; levers'!$C$14="On",'Net zero Activity data'!BD73*UDSOEF*NtoN2O*kgtoGg,"ERROR"))</f>
        <v>0.68168304858156126</v>
      </c>
      <c r="AL1143" s="94">
        <f>IF('Net zero activities &amp; levers'!$C$14="Off",'Activity data'!BE73*UDSOEF*NtoN2O*kgtoGg,IF('Net zero activities &amp; levers'!$C$14="On",'Net zero Activity data'!BE73*UDSOEF*NtoN2O*kgtoGg,"ERROR"))</f>
        <v>0.68271513649709059</v>
      </c>
      <c r="AM1143" s="94">
        <f>IF('Net zero activities &amp; levers'!$C$14="Off",'Activity data'!BF73*UDSOEF*NtoN2O*kgtoGg,IF('Net zero activities &amp; levers'!$C$14="On",'Net zero Activity data'!BF73*UDSOEF*NtoN2O*kgtoGg,"ERROR"))</f>
        <v>0.68380584742348371</v>
      </c>
      <c r="AN1143" s="94">
        <f>IF('Net zero activities &amp; levers'!$C$14="Off",'Activity data'!BG73*UDSOEF*NtoN2O*kgtoGg,IF('Net zero activities &amp; levers'!$C$14="On",'Net zero Activity data'!BG73*UDSOEF*NtoN2O*kgtoGg,"ERROR"))</f>
        <v>0.68445032012662432</v>
      </c>
      <c r="AO1143" s="94">
        <f>IF('Net zero activities &amp; levers'!$C$14="Off",'Activity data'!BH73*UDSOEF*NtoN2O*kgtoGg,IF('Net zero activities &amp; levers'!$C$14="On",'Net zero Activity data'!BH73*UDSOEF*NtoN2O*kgtoGg,"ERROR"))</f>
        <v>0.68513830255782171</v>
      </c>
      <c r="AP1143" s="94">
        <f>IF('Net zero activities &amp; levers'!$C$14="Off",'Activity data'!BI73*UDSOEF*NtoN2O*kgtoGg,IF('Net zero activities &amp; levers'!$C$14="On",'Net zero Activity data'!BI73*UDSOEF*NtoN2O*kgtoGg,"ERROR"))</f>
        <v>0.6858845710588557</v>
      </c>
      <c r="AQ1143" s="94">
        <f>IF('Net zero activities &amp; levers'!$C$14="Off",'Activity data'!BJ73*UDSOEF*NtoN2O*kgtoGg,IF('Net zero activities &amp; levers'!$C$14="On",'Net zero Activity data'!BJ73*UDSOEF*NtoN2O*kgtoGg,"ERROR"))</f>
        <v>0.6866884041464022</v>
      </c>
      <c r="AR1143" s="94">
        <f>IF('Net zero activities &amp; levers'!$C$14="Off",'Activity data'!BK73*UDSOEF*NtoN2O*kgtoGg,IF('Net zero activities &amp; levers'!$C$14="On",'Net zero Activity data'!BK73*UDSOEF*NtoN2O*kgtoGg,"ERROR"))</f>
        <v>0.68754978516244758</v>
      </c>
      <c r="AS1143" s="94">
        <f>IF('Net zero activities &amp; levers'!$C$14="Off",'Activity data'!BL73*UDSOEF*NtoN2O*kgtoGg,IF('Net zero activities &amp; levers'!$C$14="On",'Net zero Activity data'!BL73*UDSOEF*NtoN2O*kgtoGg,"ERROR"))</f>
        <v>0.6879405730806889</v>
      </c>
      <c r="AT1143" s="94">
        <f>IF('Net zero activities &amp; levers'!$C$14="Off",'Activity data'!BM73*UDSOEF*NtoN2O*kgtoGg,IF('Net zero activities &amp; levers'!$C$14="On",'Net zero Activity data'!BM73*UDSOEF*NtoN2O*kgtoGg,"ERROR"))</f>
        <v>0.68819241005849918</v>
      </c>
      <c r="AU1143" s="94">
        <f>IF('Net zero activities &amp; levers'!$C$14="Off",'Activity data'!BN73*UDSOEF*NtoN2O*kgtoGg,IF('Net zero activities &amp; levers'!$C$14="On",'Net zero Activity data'!BN73*UDSOEF*NtoN2O*kgtoGg,"ERROR"))</f>
        <v>0.68846847098197617</v>
      </c>
      <c r="AV1143" s="94">
        <f>IF('Net zero activities &amp; levers'!$C$14="Off",'Activity data'!BO73*UDSOEF*NtoN2O*kgtoGg,IF('Net zero activities &amp; levers'!$C$14="On",'Net zero Activity data'!BO73*UDSOEF*NtoN2O*kgtoGg,"ERROR"))</f>
        <v>0.68876006533266065</v>
      </c>
      <c r="AW1143" s="94">
        <f>IF('Net zero activities &amp; levers'!$C$14="Off",'Activity data'!BP73*UDSOEF*NtoN2O*kgtoGg,IF('Net zero activities &amp; levers'!$C$14="On",'Net zero Activity data'!BP73*UDSOEF*NtoN2O*kgtoGg,"ERROR"))</f>
        <v>0.68908307704774374</v>
      </c>
      <c r="AY1143" s="79"/>
    </row>
    <row r="1144" spans="1:51" x14ac:dyDescent="0.3">
      <c r="A1144" s="95" t="str">
        <f t="shared" si="374"/>
        <v>CM U&amp;D</v>
      </c>
      <c r="B1144" s="95" t="s">
        <v>1322</v>
      </c>
      <c r="C1144" s="95" t="s">
        <v>1336</v>
      </c>
      <c r="D1144" t="s">
        <v>369</v>
      </c>
      <c r="E1144" t="s">
        <v>55</v>
      </c>
      <c r="F1144" t="s">
        <v>422</v>
      </c>
      <c r="G1144" t="s">
        <v>1168</v>
      </c>
      <c r="H1144" t="s">
        <v>1248</v>
      </c>
      <c r="I1144" t="s">
        <v>139</v>
      </c>
      <c r="J1144" t="s">
        <v>287</v>
      </c>
      <c r="K1144" s="94">
        <f>IF('Net zero activities &amp; levers'!$C$14="Off",'Activity data'!AD74*UDSOEF*NtoN2O*kgtoGg,IF('Net zero activities &amp; levers'!$C$14="On",'Net zero Activity data'!AD74*UDSOEF*NtoN2O*kgtoGg,"ERROR"))</f>
        <v>0.71706343480611268</v>
      </c>
      <c r="L1144" s="94">
        <f>IF('Net zero activities &amp; levers'!$C$14="Off",'Activity data'!AE74*UDSOEF*NtoN2O*kgtoGg,IF('Net zero activities &amp; levers'!$C$14="On",'Net zero Activity data'!AE74*UDSOEF*NtoN2O*kgtoGg,"ERROR"))</f>
        <v>0.71892745361392807</v>
      </c>
      <c r="M1144" s="94">
        <f>IF('Net zero activities &amp; levers'!$C$14="Off",'Activity data'!AF74*UDSOEF*NtoN2O*kgtoGg,IF('Net zero activities &amp; levers'!$C$14="On",'Net zero Activity data'!AF74*UDSOEF*NtoN2O*kgtoGg,"ERROR"))</f>
        <v>0.72149880168720626</v>
      </c>
      <c r="N1144" s="94">
        <f>IF('Net zero activities &amp; levers'!$C$14="Off",'Activity data'!AG74*UDSOEF*NtoN2O*kgtoGg,IF('Net zero activities &amp; levers'!$C$14="On",'Net zero Activity data'!AG74*UDSOEF*NtoN2O*kgtoGg,"ERROR"))</f>
        <v>0.72463138273575978</v>
      </c>
      <c r="O1144" s="94">
        <f>IF('Net zero activities &amp; levers'!$C$14="Off",'Activity data'!AH74*UDSOEF*NtoN2O*kgtoGg,IF('Net zero activities &amp; levers'!$C$14="On",'Net zero Activity data'!AH74*UDSOEF*NtoN2O*kgtoGg,"ERROR"))</f>
        <v>0.72832072886952293</v>
      </c>
      <c r="P1144" s="94">
        <f>IF('Net zero activities &amp; levers'!$C$14="Off",'Activity data'!AI74*UDSOEF*NtoN2O*kgtoGg,IF('Net zero activities &amp; levers'!$C$14="On",'Net zero Activity data'!AI74*UDSOEF*NtoN2O*kgtoGg,"ERROR"))</f>
        <v>0.7325443847928953</v>
      </c>
      <c r="Q1144" s="94">
        <f>IF('Net zero activities &amp; levers'!$C$14="Off",'Activity data'!AJ74*UDSOEF*NtoN2O*kgtoGg,IF('Net zero activities &amp; levers'!$C$14="On",'Net zero Activity data'!AJ74*UDSOEF*NtoN2O*kgtoGg,"ERROR"))</f>
        <v>0.73708994755228441</v>
      </c>
      <c r="R1144" s="94">
        <f>IF('Net zero activities &amp; levers'!$C$14="Off",'Activity data'!AK74*UDSOEF*NtoN2O*kgtoGg,IF('Net zero activities &amp; levers'!$C$14="On",'Net zero Activity data'!AK74*UDSOEF*NtoN2O*kgtoGg,"ERROR"))</f>
        <v>0.74193942345928476</v>
      </c>
      <c r="S1144" s="94">
        <f>IF('Net zero activities &amp; levers'!$C$14="Off",'Activity data'!AL74*UDSOEF*NtoN2O*kgtoGg,IF('Net zero activities &amp; levers'!$C$14="On",'Net zero Activity data'!AL74*UDSOEF*NtoN2O*kgtoGg,"ERROR"))</f>
        <v>0.74633734890279979</v>
      </c>
      <c r="T1144" s="94">
        <f>IF('Net zero activities &amp; levers'!$C$14="Off",'Activity data'!AM74*UDSOEF*NtoN2O*kgtoGg,IF('Net zero activities &amp; levers'!$C$14="On",'Net zero Activity data'!AM74*UDSOEF*NtoN2O*kgtoGg,"ERROR"))</f>
        <v>0.7484855631491526</v>
      </c>
      <c r="U1144" s="94">
        <f>IF('Net zero activities &amp; levers'!$C$14="Off",'Activity data'!AN74*UDSOEF*NtoN2O*kgtoGg,IF('Net zero activities &amp; levers'!$C$14="On",'Net zero Activity data'!AN74*UDSOEF*NtoN2O*kgtoGg,"ERROR"))</f>
        <v>0.75094789604401424</v>
      </c>
      <c r="V1144" s="94">
        <f>IF('Net zero activities &amp; levers'!$C$14="Off",'Activity data'!AO74*UDSOEF*NtoN2O*kgtoGg,IF('Net zero activities &amp; levers'!$C$14="On",'Net zero Activity data'!AO74*UDSOEF*NtoN2O*kgtoGg,"ERROR"))</f>
        <v>0.7534578797366237</v>
      </c>
      <c r="W1144" s="94">
        <f>IF('Net zero activities &amp; levers'!$C$14="Off",'Activity data'!AP74*UDSOEF*NtoN2O*kgtoGg,IF('Net zero activities &amp; levers'!$C$14="On",'Net zero Activity data'!AP74*UDSOEF*NtoN2O*kgtoGg,"ERROR"))</f>
        <v>0.75618014560841795</v>
      </c>
      <c r="X1144" s="94">
        <f>IF('Net zero activities &amp; levers'!$C$14="Off",'Activity data'!AQ74*UDSOEF*NtoN2O*kgtoGg,IF('Net zero activities &amp; levers'!$C$14="On",'Net zero Activity data'!AQ74*UDSOEF*NtoN2O*kgtoGg,"ERROR"))</f>
        <v>0.75911019457510998</v>
      </c>
      <c r="Y1144" s="94">
        <f>IF('Net zero activities &amp; levers'!$C$14="Off",'Activity data'!AR74*UDSOEF*NtoN2O*kgtoGg,IF('Net zero activities &amp; levers'!$C$14="On",'Net zero Activity data'!AR74*UDSOEF*NtoN2O*kgtoGg,"ERROR"))</f>
        <v>0.76098529780205848</v>
      </c>
      <c r="Z1144" s="94">
        <f>IF('Net zero activities &amp; levers'!$C$14="Off",'Activity data'!AS74*UDSOEF*NtoN2O*kgtoGg,IF('Net zero activities &amp; levers'!$C$14="On",'Net zero Activity data'!AS74*UDSOEF*NtoN2O*kgtoGg,"ERROR"))</f>
        <v>0.76303676473265736</v>
      </c>
      <c r="AA1144" s="94">
        <f>IF('Net zero activities &amp; levers'!$C$14="Off",'Activity data'!AT74*UDSOEF*NtoN2O*kgtoGg,IF('Net zero activities &amp; levers'!$C$14="On",'Net zero Activity data'!AT74*UDSOEF*NtoN2O*kgtoGg,"ERROR"))</f>
        <v>0.7652406009428746</v>
      </c>
      <c r="AB1144" s="94">
        <f>IF('Net zero activities &amp; levers'!$C$14="Off",'Activity data'!AU74*UDSOEF*NtoN2O*kgtoGg,IF('Net zero activities &amp; levers'!$C$14="On",'Net zero Activity data'!AU74*UDSOEF*NtoN2O*kgtoGg,"ERROR"))</f>
        <v>0.76760388311939587</v>
      </c>
      <c r="AC1144" s="94">
        <f>IF('Net zero activities &amp; levers'!$C$14="Off",'Activity data'!AV74*UDSOEF*NtoN2O*kgtoGg,IF('Net zero activities &amp; levers'!$C$14="On",'Net zero Activity data'!AV74*UDSOEF*NtoN2O*kgtoGg,"ERROR"))</f>
        <v>0.77010442048860683</v>
      </c>
      <c r="AD1144" s="94">
        <f>IF('Net zero activities &amp; levers'!$C$14="Off",'Activity data'!AW74*UDSOEF*NtoN2O*kgtoGg,IF('Net zero activities &amp; levers'!$C$14="On",'Net zero Activity data'!AW74*UDSOEF*NtoN2O*kgtoGg,"ERROR"))</f>
        <v>0.77177199510986771</v>
      </c>
      <c r="AE1144" s="94">
        <f>IF('Net zero activities &amp; levers'!$C$14="Off",'Activity data'!AX74*UDSOEF*NtoN2O*kgtoGg,IF('Net zero activities &amp; levers'!$C$14="On",'Net zero Activity data'!AX74*UDSOEF*NtoN2O*kgtoGg,"ERROR"))</f>
        <v>0.773550364220007</v>
      </c>
      <c r="AF1144" s="94">
        <f>IF('Net zero activities &amp; levers'!$C$14="Off",'Activity data'!AY74*UDSOEF*NtoN2O*kgtoGg,IF('Net zero activities &amp; levers'!$C$14="On",'Net zero Activity data'!AY74*UDSOEF*NtoN2O*kgtoGg,"ERROR"))</f>
        <v>0.77545458075511842</v>
      </c>
      <c r="AG1144" s="94">
        <f>IF('Net zero activities &amp; levers'!$C$14="Off",'Activity data'!AZ74*UDSOEF*NtoN2O*kgtoGg,IF('Net zero activities &amp; levers'!$C$14="On",'Net zero Activity data'!AZ74*UDSOEF*NtoN2O*kgtoGg,"ERROR"))</f>
        <v>0.77750398529137599</v>
      </c>
      <c r="AH1144" s="94">
        <f>IF('Net zero activities &amp; levers'!$C$14="Off",'Activity data'!BA74*UDSOEF*NtoN2O*kgtoGg,IF('Net zero activities &amp; levers'!$C$14="On",'Net zero Activity data'!BA74*UDSOEF*NtoN2O*kgtoGg,"ERROR"))</f>
        <v>0.77963666315118907</v>
      </c>
      <c r="AI1144" s="94">
        <f>IF('Net zero activities &amp; levers'!$C$14="Off",'Activity data'!BB74*UDSOEF*NtoN2O*kgtoGg,IF('Net zero activities &amp; levers'!$C$14="On",'Net zero Activity data'!BB74*UDSOEF*NtoN2O*kgtoGg,"ERROR"))</f>
        <v>0.78095748542095478</v>
      </c>
      <c r="AJ1144" s="94">
        <f>IF('Net zero activities &amp; levers'!$C$14="Off",'Activity data'!BC74*UDSOEF*NtoN2O*kgtoGg,IF('Net zero activities &amp; levers'!$C$14="On",'Net zero Activity data'!BC74*UDSOEF*NtoN2O*kgtoGg,"ERROR"))</f>
        <v>0.78239081807371291</v>
      </c>
      <c r="AK1144" s="94">
        <f>IF('Net zero activities &amp; levers'!$C$14="Off",'Activity data'!BD74*UDSOEF*NtoN2O*kgtoGg,IF('Net zero activities &amp; levers'!$C$14="On",'Net zero Activity data'!BD74*UDSOEF*NtoN2O*kgtoGg,"ERROR"))</f>
        <v>0.78388681169292429</v>
      </c>
      <c r="AL1144" s="94">
        <f>IF('Net zero activities &amp; levers'!$C$14="Off",'Activity data'!BE74*UDSOEF*NtoN2O*kgtoGg,IF('Net zero activities &amp; levers'!$C$14="On",'Net zero Activity data'!BE74*UDSOEF*NtoN2O*kgtoGg,"ERROR"))</f>
        <v>0.78546308863746028</v>
      </c>
      <c r="AM1144" s="94">
        <f>IF('Net zero activities &amp; levers'!$C$14="Off",'Activity data'!BF74*UDSOEF*NtoN2O*kgtoGg,IF('Net zero activities &amp; levers'!$C$14="On",'Net zero Activity data'!BF74*UDSOEF*NtoN2O*kgtoGg,"ERROR"))</f>
        <v>0.78711749076594029</v>
      </c>
      <c r="AN1144" s="94">
        <f>IF('Net zero activities &amp; levers'!$C$14="Off",'Activity data'!BG74*UDSOEF*NtoN2O*kgtoGg,IF('Net zero activities &amp; levers'!$C$14="On",'Net zero Activity data'!BG74*UDSOEF*NtoN2O*kgtoGg,"ERROR"))</f>
        <v>0.7880213548905175</v>
      </c>
      <c r="AO1144" s="94">
        <f>IF('Net zero activities &amp; levers'!$C$14="Off",'Activity data'!BH74*UDSOEF*NtoN2O*kgtoGg,IF('Net zero activities &amp; levers'!$C$14="On",'Net zero Activity data'!BH74*UDSOEF*NtoN2O*kgtoGg,"ERROR"))</f>
        <v>0.7889821600969783</v>
      </c>
      <c r="AP1144" s="94">
        <f>IF('Net zero activities &amp; levers'!$C$14="Off",'Activity data'!BI74*UDSOEF*NtoN2O*kgtoGg,IF('Net zero activities &amp; levers'!$C$14="On",'Net zero Activity data'!BI74*UDSOEF*NtoN2O*kgtoGg,"ERROR"))</f>
        <v>0.7900244330710835</v>
      </c>
      <c r="AQ1144" s="94">
        <f>IF('Net zero activities &amp; levers'!$C$14="Off",'Activity data'!BJ74*UDSOEF*NtoN2O*kgtoGg,IF('Net zero activities &amp; levers'!$C$14="On",'Net zero Activity data'!BJ74*UDSOEF*NtoN2O*kgtoGg,"ERROR"))</f>
        <v>0.79114717839494386</v>
      </c>
      <c r="AR1144" s="94">
        <f>IF('Net zero activities &amp; levers'!$C$14="Off",'Activity data'!BK74*UDSOEF*NtoN2O*kgtoGg,IF('Net zero activities &amp; levers'!$C$14="On",'Net zero Activity data'!BK74*UDSOEF*NtoN2O*kgtoGg,"ERROR"))</f>
        <v>0.79235052559003472</v>
      </c>
      <c r="AS1144" s="94">
        <f>IF('Net zero activities &amp; levers'!$C$14="Off",'Activity data'!BL74*UDSOEF*NtoN2O*kgtoGg,IF('Net zero activities &amp; levers'!$C$14="On",'Net zero Activity data'!BL74*UDSOEF*NtoN2O*kgtoGg,"ERROR"))</f>
        <v>0.79277466874731783</v>
      </c>
      <c r="AT1144" s="94">
        <f>IF('Net zero activities &amp; levers'!$C$14="Off",'Activity data'!BM74*UDSOEF*NtoN2O*kgtoGg,IF('Net zero activities &amp; levers'!$C$14="On",'Net zero Activity data'!BM74*UDSOEF*NtoN2O*kgtoGg,"ERROR"))</f>
        <v>0.79296303081990593</v>
      </c>
      <c r="AU1144" s="94">
        <f>IF('Net zero activities &amp; levers'!$C$14="Off",'Activity data'!BN74*UDSOEF*NtoN2O*kgtoGg,IF('Net zero activities &amp; levers'!$C$14="On",'Net zero Activity data'!BN74*UDSOEF*NtoN2O*kgtoGg,"ERROR"))</f>
        <v>0.79318200303032371</v>
      </c>
      <c r="AV1144" s="94">
        <f>IF('Net zero activities &amp; levers'!$C$14="Off",'Activity data'!BO74*UDSOEF*NtoN2O*kgtoGg,IF('Net zero activities &amp; levers'!$C$14="On",'Net zero Activity data'!BO74*UDSOEF*NtoN2O*kgtoGg,"ERROR"))</f>
        <v>0.79341774382528896</v>
      </c>
      <c r="AW1144" s="94">
        <f>IF('Net zero activities &amp; levers'!$C$14="Off",'Activity data'!BP74*UDSOEF*NtoN2O*kgtoGg,IF('Net zero activities &amp; levers'!$C$14="On",'Net zero Activity data'!BP74*UDSOEF*NtoN2O*kgtoGg,"ERROR"))</f>
        <v>0.79369623394189648</v>
      </c>
      <c r="AY1144" s="79"/>
    </row>
    <row r="1145" spans="1:51" x14ac:dyDescent="0.3">
      <c r="A1145" s="95" t="str">
        <f t="shared" si="374"/>
        <v>CM U&amp;D</v>
      </c>
      <c r="B1145" s="95" t="s">
        <v>1322</v>
      </c>
      <c r="C1145" s="95" t="s">
        <v>1336</v>
      </c>
      <c r="D1145" t="s">
        <v>369</v>
      </c>
      <c r="E1145" t="s">
        <v>55</v>
      </c>
      <c r="F1145" t="s">
        <v>422</v>
      </c>
      <c r="G1145" t="s">
        <v>1170</v>
      </c>
      <c r="H1145" t="s">
        <v>1249</v>
      </c>
      <c r="I1145" t="s">
        <v>139</v>
      </c>
      <c r="J1145" t="s">
        <v>287</v>
      </c>
      <c r="K1145" s="94">
        <f>IF('Net zero activities &amp; levers'!$C$14="Off",'Activity data'!AD75*UDSOEF*NtoN2O*kgtoGg,IF('Net zero activities &amp; levers'!$C$14="On",'Net zero Activity data'!AD75*UDSOEF*NtoN2O*kgtoGg,"ERROR"))</f>
        <v>1.1867254191644503</v>
      </c>
      <c r="L1145" s="94">
        <f>IF('Net zero activities &amp; levers'!$C$14="Off",'Activity data'!AE75*UDSOEF*NtoN2O*kgtoGg,IF('Net zero activities &amp; levers'!$C$14="On",'Net zero Activity data'!AE75*UDSOEF*NtoN2O*kgtoGg,"ERROR"))</f>
        <v>1.1898103324282718</v>
      </c>
      <c r="M1145" s="94">
        <f>IF('Net zero activities &amp; levers'!$C$14="Off",'Activity data'!AF75*UDSOEF*NtoN2O*kgtoGg,IF('Net zero activities &amp; levers'!$C$14="On",'Net zero Activity data'!AF75*UDSOEF*NtoN2O*kgtoGg,"ERROR"))</f>
        <v>1.194065861258722</v>
      </c>
      <c r="N1145" s="94">
        <f>IF('Net zero activities &amp; levers'!$C$14="Off",'Activity data'!AG75*UDSOEF*NtoN2O*kgtoGg,IF('Net zero activities &amp; levers'!$C$14="On",'Net zero Activity data'!AG75*UDSOEF*NtoN2O*kgtoGg,"ERROR"))</f>
        <v>1.1992502192631385</v>
      </c>
      <c r="O1145" s="94">
        <f>IF('Net zero activities &amp; levers'!$C$14="Off",'Activity data'!AH75*UDSOEF*NtoN2O*kgtoGg,IF('Net zero activities &amp; levers'!$C$14="On",'Net zero Activity data'!AH75*UDSOEF*NtoN2O*kgtoGg,"ERROR"))</f>
        <v>1.2053560121742171</v>
      </c>
      <c r="P1145" s="94">
        <f>IF('Net zero activities &amp; levers'!$C$14="Off",'Activity data'!AI75*UDSOEF*NtoN2O*kgtoGg,IF('Net zero activities &amp; levers'!$C$14="On",'Net zero Activity data'!AI75*UDSOEF*NtoN2O*kgtoGg,"ERROR"))</f>
        <v>1.212346076933865</v>
      </c>
      <c r="Q1145" s="94">
        <f>IF('Net zero activities &amp; levers'!$C$14="Off",'Activity data'!AJ75*UDSOEF*NtoN2O*kgtoGg,IF('Net zero activities &amp; levers'!$C$14="On",'Net zero Activity data'!AJ75*UDSOEF*NtoN2O*kgtoGg,"ERROR"))</f>
        <v>1.2198688909683484</v>
      </c>
      <c r="R1145" s="94">
        <f>IF('Net zero activities &amp; levers'!$C$14="Off",'Activity data'!AK75*UDSOEF*NtoN2O*kgtoGg,IF('Net zero activities &amp; levers'!$C$14="On",'Net zero Activity data'!AK75*UDSOEF*NtoN2O*kgtoGg,"ERROR"))</f>
        <v>1.2278946750888551</v>
      </c>
      <c r="S1145" s="94">
        <f>IF('Net zero activities &amp; levers'!$C$14="Off",'Activity data'!AL75*UDSOEF*NtoN2O*kgtoGg,IF('Net zero activities &amp; levers'!$C$14="On",'Net zero Activity data'!AL75*UDSOEF*NtoN2O*kgtoGg,"ERROR"))</f>
        <v>1.2351731523644685</v>
      </c>
      <c r="T1145" s="94">
        <f>IF('Net zero activities &amp; levers'!$C$14="Off",'Activity data'!AM75*UDSOEF*NtoN2O*kgtoGg,IF('Net zero activities &amp; levers'!$C$14="On",'Net zero Activity data'!AM75*UDSOEF*NtoN2O*kgtoGg,"ERROR"))</f>
        <v>1.2387284033063148</v>
      </c>
      <c r="U1145" s="94">
        <f>IF('Net zero activities &amp; levers'!$C$14="Off",'Activity data'!AN75*UDSOEF*NtoN2O*kgtoGg,IF('Net zero activities &amp; levers'!$C$14="On",'Net zero Activity data'!AN75*UDSOEF*NtoN2O*kgtoGg,"ERROR"))</f>
        <v>1.2428035142308693</v>
      </c>
      <c r="V1145" s="94">
        <f>IF('Net zero activities &amp; levers'!$C$14="Off",'Activity data'!AO75*UDSOEF*NtoN2O*kgtoGg,IF('Net zero activities &amp; levers'!$C$14="On",'Net zero Activity data'!AO75*UDSOEF*NtoN2O*kgtoGg,"ERROR"))</f>
        <v>1.2469574862577844</v>
      </c>
      <c r="W1145" s="94">
        <f>IF('Net zero activities &amp; levers'!$C$14="Off",'Activity data'!AP75*UDSOEF*NtoN2O*kgtoGg,IF('Net zero activities &amp; levers'!$C$14="On",'Net zero Activity data'!AP75*UDSOEF*NtoN2O*kgtoGg,"ERROR"))</f>
        <v>1.2514627809792418</v>
      </c>
      <c r="X1145" s="94">
        <f>IF('Net zero activities &amp; levers'!$C$14="Off",'Activity data'!AQ75*UDSOEF*NtoN2O*kgtoGg,IF('Net zero activities &amp; levers'!$C$14="On",'Net zero Activity data'!AQ75*UDSOEF*NtoN2O*kgtoGg,"ERROR"))</f>
        <v>1.2563119525021347</v>
      </c>
      <c r="Y1145" s="94">
        <f>IF('Net zero activities &amp; levers'!$C$14="Off",'Activity data'!AR75*UDSOEF*NtoN2O*kgtoGg,IF('Net zero activities &amp; levers'!$C$14="On",'Net zero Activity data'!AR75*UDSOEF*NtoN2O*kgtoGg,"ERROR"))</f>
        <v>1.2594152102544689</v>
      </c>
      <c r="Z1145" s="94">
        <f>IF('Net zero activities &amp; levers'!$C$14="Off",'Activity data'!AS75*UDSOEF*NtoN2O*kgtoGg,IF('Net zero activities &amp; levers'!$C$14="On",'Net zero Activity data'!AS75*UDSOEF*NtoN2O*kgtoGg,"ERROR"))</f>
        <v>1.2628103463539342</v>
      </c>
      <c r="AA1145" s="94">
        <f>IF('Net zero activities &amp; levers'!$C$14="Off",'Activity data'!AT75*UDSOEF*NtoN2O*kgtoGg,IF('Net zero activities &amp; levers'!$C$14="On",'Net zero Activity data'!AT75*UDSOEF*NtoN2O*kgtoGg,"ERROR"))</f>
        <v>1.2664576505161484</v>
      </c>
      <c r="AB1145" s="94">
        <f>IF('Net zero activities &amp; levers'!$C$14="Off",'Activity data'!AU75*UDSOEF*NtoN2O*kgtoGg,IF('Net zero activities &amp; levers'!$C$14="On",'Net zero Activity data'!AU75*UDSOEF*NtoN2O*kgtoGg,"ERROR"))</f>
        <v>1.2703688345138295</v>
      </c>
      <c r="AC1145" s="94">
        <f>IF('Net zero activities &amp; levers'!$C$14="Off",'Activity data'!AV75*UDSOEF*NtoN2O*kgtoGg,IF('Net zero activities &amp; levers'!$C$14="On",'Net zero Activity data'!AV75*UDSOEF*NtoN2O*kgtoGg,"ERROR"))</f>
        <v>1.2745071730673998</v>
      </c>
      <c r="AD1145" s="94">
        <f>IF('Net zero activities &amp; levers'!$C$14="Off",'Activity data'!AW75*UDSOEF*NtoN2O*kgtoGg,IF('Net zero activities &amp; levers'!$C$14="On",'Net zero Activity data'!AW75*UDSOEF*NtoN2O*kgtoGg,"ERROR"))</f>
        <v>1.2772669751927705</v>
      </c>
      <c r="AE1145" s="94">
        <f>IF('Net zero activities &amp; levers'!$C$14="Off",'Activity data'!AX75*UDSOEF*NtoN2O*kgtoGg,IF('Net zero activities &amp; levers'!$C$14="On",'Net zero Activity data'!AX75*UDSOEF*NtoN2O*kgtoGg,"ERROR"))</f>
        <v>1.2802101399467087</v>
      </c>
      <c r="AF1145" s="94">
        <f>IF('Net zero activities &amp; levers'!$C$14="Off",'Activity data'!AY75*UDSOEF*NtoN2O*kgtoGg,IF('Net zero activities &amp; levers'!$C$14="On",'Net zero Activity data'!AY75*UDSOEF*NtoN2O*kgtoGg,"ERROR"))</f>
        <v>1.2833615796326843</v>
      </c>
      <c r="AG1145" s="94">
        <f>IF('Net zero activities &amp; levers'!$C$14="Off",'Activity data'!AZ75*UDSOEF*NtoN2O*kgtoGg,IF('Net zero activities &amp; levers'!$C$14="On",'Net zero Activity data'!AZ75*UDSOEF*NtoN2O*kgtoGg,"ERROR"))</f>
        <v>1.2867533025114073</v>
      </c>
      <c r="AH1145" s="94">
        <f>IF('Net zero activities &amp; levers'!$C$14="Off",'Activity data'!BA75*UDSOEF*NtoN2O*kgtoGg,IF('Net zero activities &amp; levers'!$C$14="On",'Net zero Activity data'!BA75*UDSOEF*NtoN2O*kgtoGg,"ERROR"))</f>
        <v>1.2902828410491152</v>
      </c>
      <c r="AI1145" s="94">
        <f>IF('Net zero activities &amp; levers'!$C$14="Off",'Activity data'!BB75*UDSOEF*NtoN2O*kgtoGg,IF('Net zero activities &amp; levers'!$C$14="On",'Net zero Activity data'!BB75*UDSOEF*NtoN2O*kgtoGg,"ERROR"))</f>
        <v>1.2924687750762118</v>
      </c>
      <c r="AJ1145" s="94">
        <f>IF('Net zero activities &amp; levers'!$C$14="Off",'Activity data'!BC75*UDSOEF*NtoN2O*kgtoGg,IF('Net zero activities &amp; levers'!$C$14="On",'Net zero Activity data'!BC75*UDSOEF*NtoN2O*kgtoGg,"ERROR"))</f>
        <v>1.2948409115017798</v>
      </c>
      <c r="AK1145" s="94">
        <f>IF('Net zero activities &amp; levers'!$C$14="Off",'Activity data'!BD75*UDSOEF*NtoN2O*kgtoGg,IF('Net zero activities &amp; levers'!$C$14="On",'Net zero Activity data'!BD75*UDSOEF*NtoN2O*kgtoGg,"ERROR"))</f>
        <v>1.2973167505540197</v>
      </c>
      <c r="AL1145" s="94">
        <f>IF('Net zero activities &amp; levers'!$C$14="Off",'Activity data'!BE75*UDSOEF*NtoN2O*kgtoGg,IF('Net zero activities &amp; levers'!$C$14="On",'Net zero Activity data'!BE75*UDSOEF*NtoN2O*kgtoGg,"ERROR"))</f>
        <v>1.2999254568789065</v>
      </c>
      <c r="AM1145" s="94">
        <f>IF('Net zero activities &amp; levers'!$C$14="Off",'Activity data'!BF75*UDSOEF*NtoN2O*kgtoGg,IF('Net zero activities &amp; levers'!$C$14="On",'Net zero Activity data'!BF75*UDSOEF*NtoN2O*kgtoGg,"ERROR"))</f>
        <v>1.3026634587962926</v>
      </c>
      <c r="AN1145" s="94">
        <f>IF('Net zero activities &amp; levers'!$C$14="Off",'Activity data'!BG75*UDSOEF*NtoN2O*kgtoGg,IF('Net zero activities &amp; levers'!$C$14="On",'Net zero Activity data'!BG75*UDSOEF*NtoN2O*kgtoGg,"ERROR"))</f>
        <v>1.3041593355626162</v>
      </c>
      <c r="AO1145" s="94">
        <f>IF('Net zero activities &amp; levers'!$C$14="Off",'Activity data'!BH75*UDSOEF*NtoN2O*kgtoGg,IF('Net zero activities &amp; levers'!$C$14="On",'Net zero Activity data'!BH75*UDSOEF*NtoN2O*kgtoGg,"ERROR"))</f>
        <v>1.3057494486628347</v>
      </c>
      <c r="AP1145" s="94">
        <f>IF('Net zero activities &amp; levers'!$C$14="Off",'Activity data'!BI75*UDSOEF*NtoN2O*kgtoGg,IF('Net zero activities &amp; levers'!$C$14="On",'Net zero Activity data'!BI75*UDSOEF*NtoN2O*kgtoGg,"ERROR"))</f>
        <v>1.3074743892636795</v>
      </c>
      <c r="AQ1145" s="94">
        <f>IF('Net zero activities &amp; levers'!$C$14="Off",'Activity data'!BJ75*UDSOEF*NtoN2O*kgtoGg,IF('Net zero activities &amp; levers'!$C$14="On",'Net zero Activity data'!BJ75*UDSOEF*NtoN2O*kgtoGg,"ERROR"))</f>
        <v>1.3093325099687654</v>
      </c>
      <c r="AR1145" s="94">
        <f>IF('Net zero activities &amp; levers'!$C$14="Off",'Activity data'!BK75*UDSOEF*NtoN2O*kgtoGg,IF('Net zero activities &amp; levers'!$C$14="On",'Net zero Activity data'!BK75*UDSOEF*NtoN2O*kgtoGg,"ERROR"))</f>
        <v>1.3113240251335019</v>
      </c>
      <c r="AS1145" s="94">
        <f>IF('Net zero activities &amp; levers'!$C$14="Off",'Activity data'!BL75*UDSOEF*NtoN2O*kgtoGg,IF('Net zero activities &amp; levers'!$C$14="On",'Net zero Activity data'!BL75*UDSOEF*NtoN2O*kgtoGg,"ERROR"))</f>
        <v>1.3120259734433455</v>
      </c>
      <c r="AT1145" s="94">
        <f>IF('Net zero activities &amp; levers'!$C$14="Off",'Activity data'!BM75*UDSOEF*NtoN2O*kgtoGg,IF('Net zero activities &amp; levers'!$C$14="On",'Net zero Activity data'!BM75*UDSOEF*NtoN2O*kgtoGg,"ERROR"))</f>
        <v>1.3123377088473509</v>
      </c>
      <c r="AU1145" s="94">
        <f>IF('Net zero activities &amp; levers'!$C$14="Off",'Activity data'!BN75*UDSOEF*NtoN2O*kgtoGg,IF('Net zero activities &amp; levers'!$C$14="On",'Net zero Activity data'!BN75*UDSOEF*NtoN2O*kgtoGg,"ERROR"))</f>
        <v>1.3127001034076922</v>
      </c>
      <c r="AV1145" s="94">
        <f>IF('Net zero activities &amp; levers'!$C$14="Off",'Activity data'!BO75*UDSOEF*NtoN2O*kgtoGg,IF('Net zero activities &amp; levers'!$C$14="On",'Net zero Activity data'!BO75*UDSOEF*NtoN2O*kgtoGg,"ERROR"))</f>
        <v>1.313090249634846</v>
      </c>
      <c r="AW1145" s="94">
        <f>IF('Net zero activities &amp; levers'!$C$14="Off",'Activity data'!BP75*UDSOEF*NtoN2O*kgtoGg,IF('Net zero activities &amp; levers'!$C$14="On",'Net zero Activity data'!BP75*UDSOEF*NtoN2O*kgtoGg,"ERROR"))</f>
        <v>1.3135511451209665</v>
      </c>
      <c r="AY1145" s="79"/>
    </row>
    <row r="1146" spans="1:51" x14ac:dyDescent="0.3">
      <c r="A1146" s="95" t="str">
        <f t="shared" si="374"/>
        <v>CM U&amp;D</v>
      </c>
      <c r="B1146" s="95" t="s">
        <v>1322</v>
      </c>
      <c r="C1146" s="95" t="s">
        <v>1336</v>
      </c>
      <c r="D1146" t="s">
        <v>369</v>
      </c>
      <c r="E1146" t="s">
        <v>55</v>
      </c>
      <c r="F1146" t="s">
        <v>422</v>
      </c>
      <c r="G1146" t="s">
        <v>1172</v>
      </c>
      <c r="H1146" t="s">
        <v>1250</v>
      </c>
      <c r="I1146" t="s">
        <v>139</v>
      </c>
      <c r="J1146" t="s">
        <v>287</v>
      </c>
      <c r="K1146" s="94">
        <f>IF('Net zero activities &amp; levers'!$C$14="Off",'Activity data'!AD76*UDSOEF*NtoN2O*kgtoGg,IF('Net zero activities &amp; levers'!$C$14="On",'Net zero Activity data'!AD76*UDSOEF*NtoN2O*kgtoGg,"ERROR"))</f>
        <v>0.19147730421375916</v>
      </c>
      <c r="L1146" s="94">
        <f>IF('Net zero activities &amp; levers'!$C$14="Off",'Activity data'!AE76*UDSOEF*NtoN2O*kgtoGg,IF('Net zero activities &amp; levers'!$C$14="On",'Net zero Activity data'!AE76*UDSOEF*NtoN2O*kgtoGg,"ERROR"))</f>
        <v>0.19240499933397132</v>
      </c>
      <c r="M1146" s="94">
        <f>IF('Net zero activities &amp; levers'!$C$14="Off",'Activity data'!AF76*UDSOEF*NtoN2O*kgtoGg,IF('Net zero activities &amp; levers'!$C$14="On",'Net zero Activity data'!AF76*UDSOEF*NtoN2O*kgtoGg,"ERROR"))</f>
        <v>0.19381280191845887</v>
      </c>
      <c r="N1146" s="94">
        <f>IF('Net zero activities &amp; levers'!$C$14="Off",'Activity data'!AG76*UDSOEF*NtoN2O*kgtoGg,IF('Net zero activities &amp; levers'!$C$14="On",'Net zero Activity data'!AG76*UDSOEF*NtoN2O*kgtoGg,"ERROR"))</f>
        <v>0.19411375969056655</v>
      </c>
      <c r="O1146" s="94">
        <f>IF('Net zero activities &amp; levers'!$C$14="Off",'Activity data'!AH76*UDSOEF*NtoN2O*kgtoGg,IF('Net zero activities &amp; levers'!$C$14="On",'Net zero Activity data'!AH76*UDSOEF*NtoN2O*kgtoGg,"ERROR"))</f>
        <v>0.19368291106027893</v>
      </c>
      <c r="P1146" s="94">
        <f>IF('Net zero activities &amp; levers'!$C$14="Off",'Activity data'!AI76*UDSOEF*NtoN2O*kgtoGg,IF('Net zero activities &amp; levers'!$C$14="On",'Net zero Activity data'!AI76*UDSOEF*NtoN2O*kgtoGg,"ERROR"))</f>
        <v>0.19253602379697463</v>
      </c>
      <c r="Q1146" s="94">
        <f>IF('Net zero activities &amp; levers'!$C$14="Off",'Activity data'!AJ76*UDSOEF*NtoN2O*kgtoGg,IF('Net zero activities &amp; levers'!$C$14="On",'Net zero Activity data'!AJ76*UDSOEF*NtoN2O*kgtoGg,"ERROR"))</f>
        <v>0.19190012409058904</v>
      </c>
      <c r="R1146" s="94">
        <f>IF('Net zero activities &amp; levers'!$C$14="Off",'Activity data'!AK76*UDSOEF*NtoN2O*kgtoGg,IF('Net zero activities &amp; levers'!$C$14="On",'Net zero Activity data'!AK76*UDSOEF*NtoN2O*kgtoGg,"ERROR"))</f>
        <v>0.19132863754616405</v>
      </c>
      <c r="S1146" s="94">
        <f>IF('Net zero activities &amp; levers'!$C$14="Off",'Activity data'!AL76*UDSOEF*NtoN2O*kgtoGg,IF('Net zero activities &amp; levers'!$C$14="On",'Net zero Activity data'!AL76*UDSOEF*NtoN2O*kgtoGg,"ERROR"))</f>
        <v>0.1803905818810948</v>
      </c>
      <c r="T1146" s="94">
        <f>IF('Net zero activities &amp; levers'!$C$14="Off",'Activity data'!AM76*UDSOEF*NtoN2O*kgtoGg,IF('Net zero activities &amp; levers'!$C$14="On",'Net zero Activity data'!AM76*UDSOEF*NtoN2O*kgtoGg,"ERROR"))</f>
        <v>0.18262456774024571</v>
      </c>
      <c r="U1146" s="94">
        <f>IF('Net zero activities &amp; levers'!$C$14="Off",'Activity data'!AN76*UDSOEF*NtoN2O*kgtoGg,IF('Net zero activities &amp; levers'!$C$14="On",'Net zero Activity data'!AN76*UDSOEF*NtoN2O*kgtoGg,"ERROR"))</f>
        <v>0.18617292598676535</v>
      </c>
      <c r="V1146" s="94">
        <f>IF('Net zero activities &amp; levers'!$C$14="Off",'Activity data'!AO76*UDSOEF*NtoN2O*kgtoGg,IF('Net zero activities &amp; levers'!$C$14="On",'Net zero Activity data'!AO76*UDSOEF*NtoN2O*kgtoGg,"ERROR"))</f>
        <v>0.1874827131948397</v>
      </c>
      <c r="W1146" s="94">
        <f>IF('Net zero activities &amp; levers'!$C$14="Off",'Activity data'!AP76*UDSOEF*NtoN2O*kgtoGg,IF('Net zero activities &amp; levers'!$C$14="On",'Net zero Activity data'!AP76*UDSOEF*NtoN2O*kgtoGg,"ERROR"))</f>
        <v>0.18903918513554135</v>
      </c>
      <c r="X1146" s="94">
        <f>IF('Net zero activities &amp; levers'!$C$14="Off",'Activity data'!AQ76*UDSOEF*NtoN2O*kgtoGg,IF('Net zero activities &amp; levers'!$C$14="On",'Net zero Activity data'!AQ76*UDSOEF*NtoN2O*kgtoGg,"ERROR"))</f>
        <v>0.19092374052200031</v>
      </c>
      <c r="Y1146" s="94">
        <f>IF('Net zero activities &amp; levers'!$C$14="Off",'Activity data'!AR76*UDSOEF*NtoN2O*kgtoGg,IF('Net zero activities &amp; levers'!$C$14="On",'Net zero Activity data'!AR76*UDSOEF*NtoN2O*kgtoGg,"ERROR"))</f>
        <v>0.19317866485257018</v>
      </c>
      <c r="Z1146" s="94">
        <f>IF('Net zero activities &amp; levers'!$C$14="Off",'Activity data'!AS76*UDSOEF*NtoN2O*kgtoGg,IF('Net zero activities &amp; levers'!$C$14="On",'Net zero Activity data'!AS76*UDSOEF*NtoN2O*kgtoGg,"ERROR"))</f>
        <v>0.19568472941200174</v>
      </c>
      <c r="AA1146" s="94">
        <f>IF('Net zero activities &amp; levers'!$C$14="Off",'Activity data'!AT76*UDSOEF*NtoN2O*kgtoGg,IF('Net zero activities &amp; levers'!$C$14="On",'Net zero Activity data'!AT76*UDSOEF*NtoN2O*kgtoGg,"ERROR"))</f>
        <v>0.19822057353598227</v>
      </c>
      <c r="AB1146" s="94">
        <f>IF('Net zero activities &amp; levers'!$C$14="Off",'Activity data'!AU76*UDSOEF*NtoN2O*kgtoGg,IF('Net zero activities &amp; levers'!$C$14="On",'Net zero Activity data'!AU76*UDSOEF*NtoN2O*kgtoGg,"ERROR"))</f>
        <v>0.20098305885598644</v>
      </c>
      <c r="AC1146" s="94">
        <f>IF('Net zero activities &amp; levers'!$C$14="Off",'Activity data'!AV76*UDSOEF*NtoN2O*kgtoGg,IF('Net zero activities &amp; levers'!$C$14="On",'Net zero Activity data'!AV76*UDSOEF*NtoN2O*kgtoGg,"ERROR"))</f>
        <v>0.20375514589644325</v>
      </c>
      <c r="AD1146" s="94">
        <f>IF('Net zero activities &amp; levers'!$C$14="Off",'Activity data'!AW76*UDSOEF*NtoN2O*kgtoGg,IF('Net zero activities &amp; levers'!$C$14="On",'Net zero Activity data'!AW76*UDSOEF*NtoN2O*kgtoGg,"ERROR"))</f>
        <v>0.20708073603212976</v>
      </c>
      <c r="AE1146" s="94">
        <f>IF('Net zero activities &amp; levers'!$C$14="Off",'Activity data'!AX76*UDSOEF*NtoN2O*kgtoGg,IF('Net zero activities &amp; levers'!$C$14="On",'Net zero Activity data'!AX76*UDSOEF*NtoN2O*kgtoGg,"ERROR"))</f>
        <v>0.21028463440230635</v>
      </c>
      <c r="AF1146" s="94">
        <f>IF('Net zero activities &amp; levers'!$C$14="Off",'Activity data'!AY76*UDSOEF*NtoN2O*kgtoGg,IF('Net zero activities &amp; levers'!$C$14="On",'Net zero Activity data'!AY76*UDSOEF*NtoN2O*kgtoGg,"ERROR"))</f>
        <v>0.2136443220754487</v>
      </c>
      <c r="AG1146" s="94">
        <f>IF('Net zero activities &amp; levers'!$C$14="Off",'Activity data'!AZ76*UDSOEF*NtoN2O*kgtoGg,IF('Net zero activities &amp; levers'!$C$14="On",'Net zero Activity data'!AZ76*UDSOEF*NtoN2O*kgtoGg,"ERROR"))</f>
        <v>0.21748682395851593</v>
      </c>
      <c r="AH1146" s="94">
        <f>IF('Net zero activities &amp; levers'!$C$14="Off",'Activity data'!BA76*UDSOEF*NtoN2O*kgtoGg,IF('Net zero activities &amp; levers'!$C$14="On",'Net zero Activity data'!BA76*UDSOEF*NtoN2O*kgtoGg,"ERROR"))</f>
        <v>0.22102739700732632</v>
      </c>
      <c r="AI1146" s="94">
        <f>IF('Net zero activities &amp; levers'!$C$14="Off",'Activity data'!BB76*UDSOEF*NtoN2O*kgtoGg,IF('Net zero activities &amp; levers'!$C$14="On",'Net zero Activity data'!BB76*UDSOEF*NtoN2O*kgtoGg,"ERROR"))</f>
        <v>0.22493633340985938</v>
      </c>
      <c r="AJ1146" s="94">
        <f>IF('Net zero activities &amp; levers'!$C$14="Off",'Activity data'!BC76*UDSOEF*NtoN2O*kgtoGg,IF('Net zero activities &amp; levers'!$C$14="On",'Net zero Activity data'!BC76*UDSOEF*NtoN2O*kgtoGg,"ERROR"))</f>
        <v>0.22910386680533321</v>
      </c>
      <c r="AK1146" s="94">
        <f>IF('Net zero activities &amp; levers'!$C$14="Off",'Activity data'!BD76*UDSOEF*NtoN2O*kgtoGg,IF('Net zero activities &amp; levers'!$C$14="On",'Net zero Activity data'!BD76*UDSOEF*NtoN2O*kgtoGg,"ERROR"))</f>
        <v>0.2329046036438828</v>
      </c>
      <c r="AL1146" s="94">
        <f>IF('Net zero activities &amp; levers'!$C$14="Off",'Activity data'!BE76*UDSOEF*NtoN2O*kgtoGg,IF('Net zero activities &amp; levers'!$C$14="On",'Net zero Activity data'!BE76*UDSOEF*NtoN2O*kgtoGg,"ERROR"))</f>
        <v>0.23662356544971794</v>
      </c>
      <c r="AM1146" s="94">
        <f>IF('Net zero activities &amp; levers'!$C$14="Off",'Activity data'!BF76*UDSOEF*NtoN2O*kgtoGg,IF('Net zero activities &amp; levers'!$C$14="On",'Net zero Activity data'!BF76*UDSOEF*NtoN2O*kgtoGg,"ERROR"))</f>
        <v>0.24027411251375713</v>
      </c>
      <c r="AN1146" s="94">
        <f>IF('Net zero activities &amp; levers'!$C$14="Off",'Activity data'!BG76*UDSOEF*NtoN2O*kgtoGg,IF('Net zero activities &amp; levers'!$C$14="On",'Net zero Activity data'!BG76*UDSOEF*NtoN2O*kgtoGg,"ERROR"))</f>
        <v>0.24444413665938144</v>
      </c>
      <c r="AO1146" s="94">
        <f>IF('Net zero activities &amp; levers'!$C$14="Off",'Activity data'!BH76*UDSOEF*NtoN2O*kgtoGg,IF('Net zero activities &amp; levers'!$C$14="On",'Net zero Activity data'!BH76*UDSOEF*NtoN2O*kgtoGg,"ERROR"))</f>
        <v>0.2483759174868751</v>
      </c>
      <c r="AP1146" s="94">
        <f>IF('Net zero activities &amp; levers'!$C$14="Off",'Activity data'!BI76*UDSOEF*NtoN2O*kgtoGg,IF('Net zero activities &amp; levers'!$C$14="On",'Net zero Activity data'!BI76*UDSOEF*NtoN2O*kgtoGg,"ERROR"))</f>
        <v>0.25243602460510989</v>
      </c>
      <c r="AQ1146" s="94">
        <f>IF('Net zero activities &amp; levers'!$C$14="Off",'Activity data'!BJ76*UDSOEF*NtoN2O*kgtoGg,IF('Net zero activities &amp; levers'!$C$14="On",'Net zero Activity data'!BJ76*UDSOEF*NtoN2O*kgtoGg,"ERROR"))</f>
        <v>0.25664462657697379</v>
      </c>
      <c r="AR1146" s="94">
        <f>IF('Net zero activities &amp; levers'!$C$14="Off",'Activity data'!BK76*UDSOEF*NtoN2O*kgtoGg,IF('Net zero activities &amp; levers'!$C$14="On",'Net zero Activity data'!BK76*UDSOEF*NtoN2O*kgtoGg,"ERROR"))</f>
        <v>0.26103451555954071</v>
      </c>
      <c r="AS1146" s="94">
        <f>IF('Net zero activities &amp; levers'!$C$14="Off",'Activity data'!BL76*UDSOEF*NtoN2O*kgtoGg,IF('Net zero activities &amp; levers'!$C$14="On",'Net zero Activity data'!BL76*UDSOEF*NtoN2O*kgtoGg,"ERROR"))</f>
        <v>0.26580339289786814</v>
      </c>
      <c r="AT1146" s="94">
        <f>IF('Net zero activities &amp; levers'!$C$14="Off",'Activity data'!BM76*UDSOEF*NtoN2O*kgtoGg,IF('Net zero activities &amp; levers'!$C$14="On",'Net zero Activity data'!BM76*UDSOEF*NtoN2O*kgtoGg,"ERROR"))</f>
        <v>0.26659601183855292</v>
      </c>
      <c r="AU1146" s="94">
        <f>IF('Net zero activities &amp; levers'!$C$14="Off",'Activity data'!BN76*UDSOEF*NtoN2O*kgtoGg,IF('Net zero activities &amp; levers'!$C$14="On",'Net zero Activity data'!BN76*UDSOEF*NtoN2O*kgtoGg,"ERROR"))</f>
        <v>0.26701268168020675</v>
      </c>
      <c r="AV1146" s="94">
        <f>IF('Net zero activities &amp; levers'!$C$14="Off",'Activity data'!BO76*UDSOEF*NtoN2O*kgtoGg,IF('Net zero activities &amp; levers'!$C$14="On",'Net zero Activity data'!BO76*UDSOEF*NtoN2O*kgtoGg,"ERROR"))</f>
        <v>0.26689564753163691</v>
      </c>
      <c r="AW1146" s="94">
        <f>IF('Net zero activities &amp; levers'!$C$14="Off",'Activity data'!BP76*UDSOEF*NtoN2O*kgtoGg,IF('Net zero activities &amp; levers'!$C$14="On",'Net zero Activity data'!BP76*UDSOEF*NtoN2O*kgtoGg,"ERROR"))</f>
        <v>0.2666191038621068</v>
      </c>
      <c r="AY1146" s="79"/>
    </row>
    <row r="1147" spans="1:51" x14ac:dyDescent="0.3">
      <c r="A1147" s="95" t="str">
        <f t="shared" si="374"/>
        <v>CM U&amp;D</v>
      </c>
      <c r="B1147" s="95" t="s">
        <v>1322</v>
      </c>
      <c r="C1147" s="95" t="s">
        <v>1336</v>
      </c>
      <c r="D1147" t="s">
        <v>369</v>
      </c>
      <c r="E1147" t="s">
        <v>55</v>
      </c>
      <c r="F1147" t="s">
        <v>422</v>
      </c>
      <c r="G1147" t="s">
        <v>1174</v>
      </c>
      <c r="H1147" t="s">
        <v>1251</v>
      </c>
      <c r="I1147" t="s">
        <v>139</v>
      </c>
      <c r="J1147" t="s">
        <v>287</v>
      </c>
      <c r="K1147" s="94">
        <f>IF('Net zero activities &amp; levers'!$C$14="Off",'Activity data'!AD77*UDSOEF*NtoN2O*kgtoGg,IF('Net zero activities &amp; levers'!$C$14="On",'Net zero Activity data'!AD77*UDSOEF*NtoN2O*kgtoGg,"ERROR"))</f>
        <v>3.4640571428571423E-2</v>
      </c>
      <c r="L1147" s="94">
        <f>IF('Net zero activities &amp; levers'!$C$14="Off",'Activity data'!AE77*UDSOEF*NtoN2O*kgtoGg,IF('Net zero activities &amp; levers'!$C$14="On",'Net zero Activity data'!AE77*UDSOEF*NtoN2O*kgtoGg,"ERROR"))</f>
        <v>3.4640571428571423E-2</v>
      </c>
      <c r="M1147" s="94">
        <f>IF('Net zero activities &amp; levers'!$C$14="Off",'Activity data'!AF77*UDSOEF*NtoN2O*kgtoGg,IF('Net zero activities &amp; levers'!$C$14="On",'Net zero Activity data'!AF77*UDSOEF*NtoN2O*kgtoGg,"ERROR"))</f>
        <v>3.4640571428571423E-2</v>
      </c>
      <c r="N1147" s="94">
        <f>IF('Net zero activities &amp; levers'!$C$14="Off",'Activity data'!AG77*UDSOEF*NtoN2O*kgtoGg,IF('Net zero activities &amp; levers'!$C$14="On",'Net zero Activity data'!AG77*UDSOEF*NtoN2O*kgtoGg,"ERROR"))</f>
        <v>3.4640571428571423E-2</v>
      </c>
      <c r="O1147" s="94">
        <f>IF('Net zero activities &amp; levers'!$C$14="Off",'Activity data'!AH77*UDSOEF*NtoN2O*kgtoGg,IF('Net zero activities &amp; levers'!$C$14="On",'Net zero Activity data'!AH77*UDSOEF*NtoN2O*kgtoGg,"ERROR"))</f>
        <v>3.4640571428571423E-2</v>
      </c>
      <c r="P1147" s="94">
        <f>IF('Net zero activities &amp; levers'!$C$14="Off",'Activity data'!AI77*UDSOEF*NtoN2O*kgtoGg,IF('Net zero activities &amp; levers'!$C$14="On",'Net zero Activity data'!AI77*UDSOEF*NtoN2O*kgtoGg,"ERROR"))</f>
        <v>3.4640571428571423E-2</v>
      </c>
      <c r="Q1147" s="94">
        <f>IF('Net zero activities &amp; levers'!$C$14="Off",'Activity data'!AJ77*UDSOEF*NtoN2O*kgtoGg,IF('Net zero activities &amp; levers'!$C$14="On",'Net zero Activity data'!AJ77*UDSOEF*NtoN2O*kgtoGg,"ERROR"))</f>
        <v>3.4640571428571423E-2</v>
      </c>
      <c r="R1147" s="94">
        <f>IF('Net zero activities &amp; levers'!$C$14="Off",'Activity data'!AK77*UDSOEF*NtoN2O*kgtoGg,IF('Net zero activities &amp; levers'!$C$14="On",'Net zero Activity data'!AK77*UDSOEF*NtoN2O*kgtoGg,"ERROR"))</f>
        <v>3.4640571428571423E-2</v>
      </c>
      <c r="S1147" s="94">
        <f>IF('Net zero activities &amp; levers'!$C$14="Off",'Activity data'!AL77*UDSOEF*NtoN2O*kgtoGg,IF('Net zero activities &amp; levers'!$C$14="On",'Net zero Activity data'!AL77*UDSOEF*NtoN2O*kgtoGg,"ERROR"))</f>
        <v>3.4640571428571423E-2</v>
      </c>
      <c r="T1147" s="94">
        <f>IF('Net zero activities &amp; levers'!$C$14="Off",'Activity data'!AM77*UDSOEF*NtoN2O*kgtoGg,IF('Net zero activities &amp; levers'!$C$14="On",'Net zero Activity data'!AM77*UDSOEF*NtoN2O*kgtoGg,"ERROR"))</f>
        <v>3.4640571428571423E-2</v>
      </c>
      <c r="U1147" s="94">
        <f>IF('Net zero activities &amp; levers'!$C$14="Off",'Activity data'!AN77*UDSOEF*NtoN2O*kgtoGg,IF('Net zero activities &amp; levers'!$C$14="On",'Net zero Activity data'!AN77*UDSOEF*NtoN2O*kgtoGg,"ERROR"))</f>
        <v>3.4640571428571423E-2</v>
      </c>
      <c r="V1147" s="94">
        <f>IF('Net zero activities &amp; levers'!$C$14="Off",'Activity data'!AO77*UDSOEF*NtoN2O*kgtoGg,IF('Net zero activities &amp; levers'!$C$14="On",'Net zero Activity data'!AO77*UDSOEF*NtoN2O*kgtoGg,"ERROR"))</f>
        <v>3.4640571428571423E-2</v>
      </c>
      <c r="W1147" s="94">
        <f>IF('Net zero activities &amp; levers'!$C$14="Off",'Activity data'!AP77*UDSOEF*NtoN2O*kgtoGg,IF('Net zero activities &amp; levers'!$C$14="On",'Net zero Activity data'!AP77*UDSOEF*NtoN2O*kgtoGg,"ERROR"))</f>
        <v>3.4640571428571423E-2</v>
      </c>
      <c r="X1147" s="94">
        <f>IF('Net zero activities &amp; levers'!$C$14="Off",'Activity data'!AQ77*UDSOEF*NtoN2O*kgtoGg,IF('Net zero activities &amp; levers'!$C$14="On",'Net zero Activity data'!AQ77*UDSOEF*NtoN2O*kgtoGg,"ERROR"))</f>
        <v>3.4640571428571423E-2</v>
      </c>
      <c r="Y1147" s="94">
        <f>IF('Net zero activities &amp; levers'!$C$14="Off",'Activity data'!AR77*UDSOEF*NtoN2O*kgtoGg,IF('Net zero activities &amp; levers'!$C$14="On",'Net zero Activity data'!AR77*UDSOEF*NtoN2O*kgtoGg,"ERROR"))</f>
        <v>3.4640571428571423E-2</v>
      </c>
      <c r="Z1147" s="94">
        <f>IF('Net zero activities &amp; levers'!$C$14="Off",'Activity data'!AS77*UDSOEF*NtoN2O*kgtoGg,IF('Net zero activities &amp; levers'!$C$14="On",'Net zero Activity data'!AS77*UDSOEF*NtoN2O*kgtoGg,"ERROR"))</f>
        <v>3.4640571428571423E-2</v>
      </c>
      <c r="AA1147" s="94">
        <f>IF('Net zero activities &amp; levers'!$C$14="Off",'Activity data'!AT77*UDSOEF*NtoN2O*kgtoGg,IF('Net zero activities &amp; levers'!$C$14="On",'Net zero Activity data'!AT77*UDSOEF*NtoN2O*kgtoGg,"ERROR"))</f>
        <v>3.4640571428571423E-2</v>
      </c>
      <c r="AB1147" s="94">
        <f>IF('Net zero activities &amp; levers'!$C$14="Off",'Activity data'!AU77*UDSOEF*NtoN2O*kgtoGg,IF('Net zero activities &amp; levers'!$C$14="On",'Net zero Activity data'!AU77*UDSOEF*NtoN2O*kgtoGg,"ERROR"))</f>
        <v>3.4640571428571423E-2</v>
      </c>
      <c r="AC1147" s="94">
        <f>IF('Net zero activities &amp; levers'!$C$14="Off",'Activity data'!AV77*UDSOEF*NtoN2O*kgtoGg,IF('Net zero activities &amp; levers'!$C$14="On",'Net zero Activity data'!AV77*UDSOEF*NtoN2O*kgtoGg,"ERROR"))</f>
        <v>3.4640571428571423E-2</v>
      </c>
      <c r="AD1147" s="94">
        <f>IF('Net zero activities &amp; levers'!$C$14="Off",'Activity data'!AW77*UDSOEF*NtoN2O*kgtoGg,IF('Net zero activities &amp; levers'!$C$14="On",'Net zero Activity data'!AW77*UDSOEF*NtoN2O*kgtoGg,"ERROR"))</f>
        <v>3.4640571428571423E-2</v>
      </c>
      <c r="AE1147" s="94">
        <f>IF('Net zero activities &amp; levers'!$C$14="Off",'Activity data'!AX77*UDSOEF*NtoN2O*kgtoGg,IF('Net zero activities &amp; levers'!$C$14="On",'Net zero Activity data'!AX77*UDSOEF*NtoN2O*kgtoGg,"ERROR"))</f>
        <v>3.4640571428571423E-2</v>
      </c>
      <c r="AF1147" s="94">
        <f>IF('Net zero activities &amp; levers'!$C$14="Off",'Activity data'!AY77*UDSOEF*NtoN2O*kgtoGg,IF('Net zero activities &amp; levers'!$C$14="On",'Net zero Activity data'!AY77*UDSOEF*NtoN2O*kgtoGg,"ERROR"))</f>
        <v>3.4640571428571423E-2</v>
      </c>
      <c r="AG1147" s="94">
        <f>IF('Net zero activities &amp; levers'!$C$14="Off",'Activity data'!AZ77*UDSOEF*NtoN2O*kgtoGg,IF('Net zero activities &amp; levers'!$C$14="On",'Net zero Activity data'!AZ77*UDSOEF*NtoN2O*kgtoGg,"ERROR"))</f>
        <v>3.4640571428571423E-2</v>
      </c>
      <c r="AH1147" s="94">
        <f>IF('Net zero activities &amp; levers'!$C$14="Off",'Activity data'!BA77*UDSOEF*NtoN2O*kgtoGg,IF('Net zero activities &amp; levers'!$C$14="On",'Net zero Activity data'!BA77*UDSOEF*NtoN2O*kgtoGg,"ERROR"))</f>
        <v>3.4640571428571423E-2</v>
      </c>
      <c r="AI1147" s="94">
        <f>IF('Net zero activities &amp; levers'!$C$14="Off",'Activity data'!BB77*UDSOEF*NtoN2O*kgtoGg,IF('Net zero activities &amp; levers'!$C$14="On",'Net zero Activity data'!BB77*UDSOEF*NtoN2O*kgtoGg,"ERROR"))</f>
        <v>3.4640571428571423E-2</v>
      </c>
      <c r="AJ1147" s="94">
        <f>IF('Net zero activities &amp; levers'!$C$14="Off",'Activity data'!BC77*UDSOEF*NtoN2O*kgtoGg,IF('Net zero activities &amp; levers'!$C$14="On",'Net zero Activity data'!BC77*UDSOEF*NtoN2O*kgtoGg,"ERROR"))</f>
        <v>3.4640571428571423E-2</v>
      </c>
      <c r="AK1147" s="94">
        <f>IF('Net zero activities &amp; levers'!$C$14="Off",'Activity data'!BD77*UDSOEF*NtoN2O*kgtoGg,IF('Net zero activities &amp; levers'!$C$14="On",'Net zero Activity data'!BD77*UDSOEF*NtoN2O*kgtoGg,"ERROR"))</f>
        <v>3.4640571428571423E-2</v>
      </c>
      <c r="AL1147" s="94">
        <f>IF('Net zero activities &amp; levers'!$C$14="Off",'Activity data'!BE77*UDSOEF*NtoN2O*kgtoGg,IF('Net zero activities &amp; levers'!$C$14="On",'Net zero Activity data'!BE77*UDSOEF*NtoN2O*kgtoGg,"ERROR"))</f>
        <v>3.4640571428571423E-2</v>
      </c>
      <c r="AM1147" s="94">
        <f>IF('Net zero activities &amp; levers'!$C$14="Off",'Activity data'!BF77*UDSOEF*NtoN2O*kgtoGg,IF('Net zero activities &amp; levers'!$C$14="On",'Net zero Activity data'!BF77*UDSOEF*NtoN2O*kgtoGg,"ERROR"))</f>
        <v>3.4640571428571423E-2</v>
      </c>
      <c r="AN1147" s="94">
        <f>IF('Net zero activities &amp; levers'!$C$14="Off",'Activity data'!BG77*UDSOEF*NtoN2O*kgtoGg,IF('Net zero activities &amp; levers'!$C$14="On",'Net zero Activity data'!BG77*UDSOEF*NtoN2O*kgtoGg,"ERROR"))</f>
        <v>3.4640571428571423E-2</v>
      </c>
      <c r="AO1147" s="94">
        <f>IF('Net zero activities &amp; levers'!$C$14="Off",'Activity data'!BH77*UDSOEF*NtoN2O*kgtoGg,IF('Net zero activities &amp; levers'!$C$14="On",'Net zero Activity data'!BH77*UDSOEF*NtoN2O*kgtoGg,"ERROR"))</f>
        <v>3.4640571428571423E-2</v>
      </c>
      <c r="AP1147" s="94">
        <f>IF('Net zero activities &amp; levers'!$C$14="Off",'Activity data'!BI77*UDSOEF*NtoN2O*kgtoGg,IF('Net zero activities &amp; levers'!$C$14="On",'Net zero Activity data'!BI77*UDSOEF*NtoN2O*kgtoGg,"ERROR"))</f>
        <v>3.4640571428571423E-2</v>
      </c>
      <c r="AQ1147" s="94">
        <f>IF('Net zero activities &amp; levers'!$C$14="Off",'Activity data'!BJ77*UDSOEF*NtoN2O*kgtoGg,IF('Net zero activities &amp; levers'!$C$14="On",'Net zero Activity data'!BJ77*UDSOEF*NtoN2O*kgtoGg,"ERROR"))</f>
        <v>3.4640571428571423E-2</v>
      </c>
      <c r="AR1147" s="94">
        <f>IF('Net zero activities &amp; levers'!$C$14="Off",'Activity data'!BK77*UDSOEF*NtoN2O*kgtoGg,IF('Net zero activities &amp; levers'!$C$14="On",'Net zero Activity data'!BK77*UDSOEF*NtoN2O*kgtoGg,"ERROR"))</f>
        <v>3.4640571428571423E-2</v>
      </c>
      <c r="AS1147" s="94">
        <f>IF('Net zero activities &amp; levers'!$C$14="Off",'Activity data'!BL77*UDSOEF*NtoN2O*kgtoGg,IF('Net zero activities &amp; levers'!$C$14="On",'Net zero Activity data'!BL77*UDSOEF*NtoN2O*kgtoGg,"ERROR"))</f>
        <v>3.4640571428571423E-2</v>
      </c>
      <c r="AT1147" s="94">
        <f>IF('Net zero activities &amp; levers'!$C$14="Off",'Activity data'!BM77*UDSOEF*NtoN2O*kgtoGg,IF('Net zero activities &amp; levers'!$C$14="On",'Net zero Activity data'!BM77*UDSOEF*NtoN2O*kgtoGg,"ERROR"))</f>
        <v>3.4640571428571423E-2</v>
      </c>
      <c r="AU1147" s="94">
        <f>IF('Net zero activities &amp; levers'!$C$14="Off",'Activity data'!BN77*UDSOEF*NtoN2O*kgtoGg,IF('Net zero activities &amp; levers'!$C$14="On",'Net zero Activity data'!BN77*UDSOEF*NtoN2O*kgtoGg,"ERROR"))</f>
        <v>3.4640571428571423E-2</v>
      </c>
      <c r="AV1147" s="94">
        <f>IF('Net zero activities &amp; levers'!$C$14="Off",'Activity data'!BO77*UDSOEF*NtoN2O*kgtoGg,IF('Net zero activities &amp; levers'!$C$14="On",'Net zero Activity data'!BO77*UDSOEF*NtoN2O*kgtoGg,"ERROR"))</f>
        <v>3.4640571428571423E-2</v>
      </c>
      <c r="AW1147" s="94">
        <f>IF('Net zero activities &amp; levers'!$C$14="Off",'Activity data'!BP77*UDSOEF*NtoN2O*kgtoGg,IF('Net zero activities &amp; levers'!$C$14="On",'Net zero Activity data'!BP77*UDSOEF*NtoN2O*kgtoGg,"ERROR"))</f>
        <v>3.4640571428571423E-2</v>
      </c>
      <c r="AY1147" s="79"/>
    </row>
    <row r="1148" spans="1:51" x14ac:dyDescent="0.3">
      <c r="A1148" s="95" t="str">
        <f t="shared" si="374"/>
        <v>CM U&amp;D</v>
      </c>
      <c r="B1148" s="95" t="s">
        <v>1322</v>
      </c>
      <c r="C1148" s="95" t="s">
        <v>1336</v>
      </c>
      <c r="D1148" t="s">
        <v>369</v>
      </c>
      <c r="E1148" t="s">
        <v>55</v>
      </c>
      <c r="F1148" t="s">
        <v>422</v>
      </c>
      <c r="G1148" t="s">
        <v>1176</v>
      </c>
      <c r="H1148" t="s">
        <v>1252</v>
      </c>
      <c r="I1148" t="s">
        <v>139</v>
      </c>
      <c r="J1148" t="s">
        <v>287</v>
      </c>
      <c r="K1148" s="94">
        <f>IF('Net zero activities &amp; levers'!$C$14="Off",'Activity data'!AD78*UDCPPEF*NtoN2O*kgtoGg,IF('Net zero activities &amp; levers'!$C$14="On",'Net zero Activity data'!AD78*UDCPPEF*NtoN2O*kgtoGg,"ERROR"))</f>
        <v>0</v>
      </c>
      <c r="L1148" s="94">
        <f>IF('Net zero activities &amp; levers'!$C$14="Off",'Activity data'!AE78*UDCPPEF*NtoN2O*kgtoGg,IF('Net zero activities &amp; levers'!$C$14="On",'Net zero Activity data'!AE78*UDCPPEF*NtoN2O*kgtoGg,"ERROR"))</f>
        <v>0</v>
      </c>
      <c r="M1148" s="94">
        <f>IF('Net zero activities &amp; levers'!$C$14="Off",'Activity data'!AF78*UDCPPEF*NtoN2O*kgtoGg,IF('Net zero activities &amp; levers'!$C$14="On",'Net zero Activity data'!AF78*UDCPPEF*NtoN2O*kgtoGg,"ERROR"))</f>
        <v>0</v>
      </c>
      <c r="N1148" s="94">
        <f>IF('Net zero activities &amp; levers'!$C$14="Off",'Activity data'!AG78*UDCPPEF*NtoN2O*kgtoGg,IF('Net zero activities &amp; levers'!$C$14="On",'Net zero Activity data'!AG78*UDCPPEF*NtoN2O*kgtoGg,"ERROR"))</f>
        <v>0</v>
      </c>
      <c r="O1148" s="94">
        <f>IF('Net zero activities &amp; levers'!$C$14="Off",'Activity data'!AH78*UDCPPEF*NtoN2O*kgtoGg,IF('Net zero activities &amp; levers'!$C$14="On",'Net zero Activity data'!AH78*UDCPPEF*NtoN2O*kgtoGg,"ERROR"))</f>
        <v>0</v>
      </c>
      <c r="P1148" s="94">
        <f>IF('Net zero activities &amp; levers'!$C$14="Off",'Activity data'!AI78*UDCPPEF*NtoN2O*kgtoGg,IF('Net zero activities &amp; levers'!$C$14="On",'Net zero Activity data'!AI78*UDCPPEF*NtoN2O*kgtoGg,"ERROR"))</f>
        <v>0</v>
      </c>
      <c r="Q1148" s="94">
        <f>IF('Net zero activities &amp; levers'!$C$14="Off",'Activity data'!AJ78*UDCPPEF*NtoN2O*kgtoGg,IF('Net zero activities &amp; levers'!$C$14="On",'Net zero Activity data'!AJ78*UDCPPEF*NtoN2O*kgtoGg,"ERROR"))</f>
        <v>0</v>
      </c>
      <c r="R1148" s="94">
        <f>IF('Net zero activities &amp; levers'!$C$14="Off",'Activity data'!AK78*UDCPPEF*NtoN2O*kgtoGg,IF('Net zero activities &amp; levers'!$C$14="On",'Net zero Activity data'!AK78*UDCPPEF*NtoN2O*kgtoGg,"ERROR"))</f>
        <v>0</v>
      </c>
      <c r="S1148" s="94">
        <f>IF('Net zero activities &amp; levers'!$C$14="Off",'Activity data'!AL78*UDCPPEF*NtoN2O*kgtoGg,IF('Net zero activities &amp; levers'!$C$14="On",'Net zero Activity data'!AL78*UDCPPEF*NtoN2O*kgtoGg,"ERROR"))</f>
        <v>0</v>
      </c>
      <c r="T1148" s="94">
        <f>IF('Net zero activities &amp; levers'!$C$14="Off",'Activity data'!AM78*UDCPPEF*NtoN2O*kgtoGg,IF('Net zero activities &amp; levers'!$C$14="On",'Net zero Activity data'!AM78*UDCPPEF*NtoN2O*kgtoGg,"ERROR"))</f>
        <v>0</v>
      </c>
      <c r="U1148" s="94">
        <f>IF('Net zero activities &amp; levers'!$C$14="Off",'Activity data'!AN78*UDCPPEF*NtoN2O*kgtoGg,IF('Net zero activities &amp; levers'!$C$14="On",'Net zero Activity data'!AN78*UDCPPEF*NtoN2O*kgtoGg,"ERROR"))</f>
        <v>0</v>
      </c>
      <c r="V1148" s="94">
        <f>IF('Net zero activities &amp; levers'!$C$14="Off",'Activity data'!AO78*UDCPPEF*NtoN2O*kgtoGg,IF('Net zero activities &amp; levers'!$C$14="On",'Net zero Activity data'!AO78*UDCPPEF*NtoN2O*kgtoGg,"ERROR"))</f>
        <v>0</v>
      </c>
      <c r="W1148" s="94">
        <f>IF('Net zero activities &amp; levers'!$C$14="Off",'Activity data'!AP78*UDCPPEF*NtoN2O*kgtoGg,IF('Net zero activities &amp; levers'!$C$14="On",'Net zero Activity data'!AP78*UDCPPEF*NtoN2O*kgtoGg,"ERROR"))</f>
        <v>0</v>
      </c>
      <c r="X1148" s="94">
        <f>IF('Net zero activities &amp; levers'!$C$14="Off",'Activity data'!AQ78*UDCPPEF*NtoN2O*kgtoGg,IF('Net zero activities &amp; levers'!$C$14="On",'Net zero Activity data'!AQ78*UDCPPEF*NtoN2O*kgtoGg,"ERROR"))</f>
        <v>0</v>
      </c>
      <c r="Y1148" s="94">
        <f>IF('Net zero activities &amp; levers'!$C$14="Off",'Activity data'!AR78*UDCPPEF*NtoN2O*kgtoGg,IF('Net zero activities &amp; levers'!$C$14="On",'Net zero Activity data'!AR78*UDCPPEF*NtoN2O*kgtoGg,"ERROR"))</f>
        <v>0</v>
      </c>
      <c r="Z1148" s="94">
        <f>IF('Net zero activities &amp; levers'!$C$14="Off",'Activity data'!AS78*UDCPPEF*NtoN2O*kgtoGg,IF('Net zero activities &amp; levers'!$C$14="On",'Net zero Activity data'!AS78*UDCPPEF*NtoN2O*kgtoGg,"ERROR"))</f>
        <v>0</v>
      </c>
      <c r="AA1148" s="94">
        <f>IF('Net zero activities &amp; levers'!$C$14="Off",'Activity data'!AT78*UDCPPEF*NtoN2O*kgtoGg,IF('Net zero activities &amp; levers'!$C$14="On",'Net zero Activity data'!AT78*UDCPPEF*NtoN2O*kgtoGg,"ERROR"))</f>
        <v>0</v>
      </c>
      <c r="AB1148" s="94">
        <f>IF('Net zero activities &amp; levers'!$C$14="Off",'Activity data'!AU78*UDCPPEF*NtoN2O*kgtoGg,IF('Net zero activities &amp; levers'!$C$14="On",'Net zero Activity data'!AU78*UDCPPEF*NtoN2O*kgtoGg,"ERROR"))</f>
        <v>0</v>
      </c>
      <c r="AC1148" s="94">
        <f>IF('Net zero activities &amp; levers'!$C$14="Off",'Activity data'!AV78*UDCPPEF*NtoN2O*kgtoGg,IF('Net zero activities &amp; levers'!$C$14="On",'Net zero Activity data'!AV78*UDCPPEF*NtoN2O*kgtoGg,"ERROR"))</f>
        <v>0</v>
      </c>
      <c r="AD1148" s="94">
        <f>IF('Net zero activities &amp; levers'!$C$14="Off",'Activity data'!AW78*UDCPPEF*NtoN2O*kgtoGg,IF('Net zero activities &amp; levers'!$C$14="On",'Net zero Activity data'!AW78*UDCPPEF*NtoN2O*kgtoGg,"ERROR"))</f>
        <v>0</v>
      </c>
      <c r="AE1148" s="94">
        <f>IF('Net zero activities &amp; levers'!$C$14="Off",'Activity data'!AX78*UDCPPEF*NtoN2O*kgtoGg,IF('Net zero activities &amp; levers'!$C$14="On",'Net zero Activity data'!AX78*UDCPPEF*NtoN2O*kgtoGg,"ERROR"))</f>
        <v>0</v>
      </c>
      <c r="AF1148" s="94">
        <f>IF('Net zero activities &amp; levers'!$C$14="Off",'Activity data'!AY78*UDCPPEF*NtoN2O*kgtoGg,IF('Net zero activities &amp; levers'!$C$14="On",'Net zero Activity data'!AY78*UDCPPEF*NtoN2O*kgtoGg,"ERROR"))</f>
        <v>0</v>
      </c>
      <c r="AG1148" s="94">
        <f>IF('Net zero activities &amp; levers'!$C$14="Off",'Activity data'!AZ78*UDCPPEF*NtoN2O*kgtoGg,IF('Net zero activities &amp; levers'!$C$14="On",'Net zero Activity data'!AZ78*UDCPPEF*NtoN2O*kgtoGg,"ERROR"))</f>
        <v>0</v>
      </c>
      <c r="AH1148" s="94">
        <f>IF('Net zero activities &amp; levers'!$C$14="Off",'Activity data'!BA78*UDCPPEF*NtoN2O*kgtoGg,IF('Net zero activities &amp; levers'!$C$14="On",'Net zero Activity data'!BA78*UDCPPEF*NtoN2O*kgtoGg,"ERROR"))</f>
        <v>0</v>
      </c>
      <c r="AI1148" s="94">
        <f>IF('Net zero activities &amp; levers'!$C$14="Off",'Activity data'!BB78*UDCPPEF*NtoN2O*kgtoGg,IF('Net zero activities &amp; levers'!$C$14="On",'Net zero Activity data'!BB78*UDCPPEF*NtoN2O*kgtoGg,"ERROR"))</f>
        <v>0</v>
      </c>
      <c r="AJ1148" s="94">
        <f>IF('Net zero activities &amp; levers'!$C$14="Off",'Activity data'!BC78*UDCPPEF*NtoN2O*kgtoGg,IF('Net zero activities &amp; levers'!$C$14="On",'Net zero Activity data'!BC78*UDCPPEF*NtoN2O*kgtoGg,"ERROR"))</f>
        <v>0</v>
      </c>
      <c r="AK1148" s="94">
        <f>IF('Net zero activities &amp; levers'!$C$14="Off",'Activity data'!BD78*UDCPPEF*NtoN2O*kgtoGg,IF('Net zero activities &amp; levers'!$C$14="On",'Net zero Activity data'!BD78*UDCPPEF*NtoN2O*kgtoGg,"ERROR"))</f>
        <v>0</v>
      </c>
      <c r="AL1148" s="94">
        <f>IF('Net zero activities &amp; levers'!$C$14="Off",'Activity data'!BE78*UDCPPEF*NtoN2O*kgtoGg,IF('Net zero activities &amp; levers'!$C$14="On",'Net zero Activity data'!BE78*UDCPPEF*NtoN2O*kgtoGg,"ERROR"))</f>
        <v>0</v>
      </c>
      <c r="AM1148" s="94">
        <f>IF('Net zero activities &amp; levers'!$C$14="Off",'Activity data'!BF78*UDCPPEF*NtoN2O*kgtoGg,IF('Net zero activities &amp; levers'!$C$14="On",'Net zero Activity data'!BF78*UDCPPEF*NtoN2O*kgtoGg,"ERROR"))</f>
        <v>0</v>
      </c>
      <c r="AN1148" s="94">
        <f>IF('Net zero activities &amp; levers'!$C$14="Off",'Activity data'!BG78*UDCPPEF*NtoN2O*kgtoGg,IF('Net zero activities &amp; levers'!$C$14="On",'Net zero Activity data'!BG78*UDCPPEF*NtoN2O*kgtoGg,"ERROR"))</f>
        <v>0</v>
      </c>
      <c r="AO1148" s="94">
        <f>IF('Net zero activities &amp; levers'!$C$14="Off",'Activity data'!BH78*UDCPPEF*NtoN2O*kgtoGg,IF('Net zero activities &amp; levers'!$C$14="On",'Net zero Activity data'!BH78*UDCPPEF*NtoN2O*kgtoGg,"ERROR"))</f>
        <v>0</v>
      </c>
      <c r="AP1148" s="94">
        <f>IF('Net zero activities &amp; levers'!$C$14="Off",'Activity data'!BI78*UDCPPEF*NtoN2O*kgtoGg,IF('Net zero activities &amp; levers'!$C$14="On",'Net zero Activity data'!BI78*UDCPPEF*NtoN2O*kgtoGg,"ERROR"))</f>
        <v>0</v>
      </c>
      <c r="AQ1148" s="94">
        <f>IF('Net zero activities &amp; levers'!$C$14="Off",'Activity data'!BJ78*UDCPPEF*NtoN2O*kgtoGg,IF('Net zero activities &amp; levers'!$C$14="On",'Net zero Activity data'!BJ78*UDCPPEF*NtoN2O*kgtoGg,"ERROR"))</f>
        <v>0</v>
      </c>
      <c r="AR1148" s="94">
        <f>IF('Net zero activities &amp; levers'!$C$14="Off",'Activity data'!BK78*UDCPPEF*NtoN2O*kgtoGg,IF('Net zero activities &amp; levers'!$C$14="On",'Net zero Activity data'!BK78*UDCPPEF*NtoN2O*kgtoGg,"ERROR"))</f>
        <v>0</v>
      </c>
      <c r="AS1148" s="94">
        <f>IF('Net zero activities &amp; levers'!$C$14="Off",'Activity data'!BL78*UDCPPEF*NtoN2O*kgtoGg,IF('Net zero activities &amp; levers'!$C$14="On",'Net zero Activity data'!BL78*UDCPPEF*NtoN2O*kgtoGg,"ERROR"))</f>
        <v>0</v>
      </c>
      <c r="AT1148" s="94">
        <f>IF('Net zero activities &amp; levers'!$C$14="Off",'Activity data'!BM78*UDCPPEF*NtoN2O*kgtoGg,IF('Net zero activities &amp; levers'!$C$14="On",'Net zero Activity data'!BM78*UDCPPEF*NtoN2O*kgtoGg,"ERROR"))</f>
        <v>0</v>
      </c>
      <c r="AU1148" s="94">
        <f>IF('Net zero activities &amp; levers'!$C$14="Off",'Activity data'!BN78*UDCPPEF*NtoN2O*kgtoGg,IF('Net zero activities &amp; levers'!$C$14="On",'Net zero Activity data'!BN78*UDCPPEF*NtoN2O*kgtoGg,"ERROR"))</f>
        <v>0</v>
      </c>
      <c r="AV1148" s="94">
        <f>IF('Net zero activities &amp; levers'!$C$14="Off",'Activity data'!BO78*UDCPPEF*NtoN2O*kgtoGg,IF('Net zero activities &amp; levers'!$C$14="On",'Net zero Activity data'!BO78*UDCPPEF*NtoN2O*kgtoGg,"ERROR"))</f>
        <v>0</v>
      </c>
      <c r="AW1148" s="94">
        <f>IF('Net zero activities &amp; levers'!$C$14="Off",'Activity data'!BP78*UDCPPEF*NtoN2O*kgtoGg,IF('Net zero activities &amp; levers'!$C$14="On",'Net zero Activity data'!BP78*UDCPPEF*NtoN2O*kgtoGg,"ERROR"))</f>
        <v>0</v>
      </c>
      <c r="AY1148" s="79"/>
    </row>
    <row r="1149" spans="1:51" x14ac:dyDescent="0.3">
      <c r="A1149" s="95" t="str">
        <f t="shared" si="374"/>
        <v>CM U&amp;D</v>
      </c>
      <c r="B1149" s="95" t="s">
        <v>1322</v>
      </c>
      <c r="C1149" s="95" t="s">
        <v>1336</v>
      </c>
      <c r="D1149" t="s">
        <v>369</v>
      </c>
      <c r="E1149" t="s">
        <v>55</v>
      </c>
      <c r="F1149" t="s">
        <v>422</v>
      </c>
      <c r="G1149" t="s">
        <v>1178</v>
      </c>
      <c r="H1149" t="s">
        <v>1253</v>
      </c>
      <c r="I1149" t="s">
        <v>139</v>
      </c>
      <c r="J1149" t="s">
        <v>287</v>
      </c>
      <c r="K1149" s="94">
        <f>IF('Net zero activities &amp; levers'!$C$14="Off",'Activity data'!AD79*UDCPPEF*NtoN2O*kgtoGg,IF('Net zero activities &amp; levers'!$C$14="On",'Net zero Activity data'!AD79*UDCPPEF*NtoN2O*kgtoGg,"ERROR"))</f>
        <v>0</v>
      </c>
      <c r="L1149" s="94">
        <f>IF('Net zero activities &amp; levers'!$C$14="Off",'Activity data'!AE79*UDCPPEF*NtoN2O*kgtoGg,IF('Net zero activities &amp; levers'!$C$14="On",'Net zero Activity data'!AE79*UDCPPEF*NtoN2O*kgtoGg,"ERROR"))</f>
        <v>0</v>
      </c>
      <c r="M1149" s="94">
        <f>IF('Net zero activities &amp; levers'!$C$14="Off",'Activity data'!AF79*UDCPPEF*NtoN2O*kgtoGg,IF('Net zero activities &amp; levers'!$C$14="On",'Net zero Activity data'!AF79*UDCPPEF*NtoN2O*kgtoGg,"ERROR"))</f>
        <v>0</v>
      </c>
      <c r="N1149" s="94">
        <f>IF('Net zero activities &amp; levers'!$C$14="Off",'Activity data'!AG79*UDCPPEF*NtoN2O*kgtoGg,IF('Net zero activities &amp; levers'!$C$14="On",'Net zero Activity data'!AG79*UDCPPEF*NtoN2O*kgtoGg,"ERROR"))</f>
        <v>0</v>
      </c>
      <c r="O1149" s="94">
        <f>IF('Net zero activities &amp; levers'!$C$14="Off",'Activity data'!AH79*UDCPPEF*NtoN2O*kgtoGg,IF('Net zero activities &amp; levers'!$C$14="On",'Net zero Activity data'!AH79*UDCPPEF*NtoN2O*kgtoGg,"ERROR"))</f>
        <v>0</v>
      </c>
      <c r="P1149" s="94">
        <f>IF('Net zero activities &amp; levers'!$C$14="Off",'Activity data'!AI79*UDCPPEF*NtoN2O*kgtoGg,IF('Net zero activities &amp; levers'!$C$14="On",'Net zero Activity data'!AI79*UDCPPEF*NtoN2O*kgtoGg,"ERROR"))</f>
        <v>0</v>
      </c>
      <c r="Q1149" s="94">
        <f>IF('Net zero activities &amp; levers'!$C$14="Off",'Activity data'!AJ79*UDCPPEF*NtoN2O*kgtoGg,IF('Net zero activities &amp; levers'!$C$14="On",'Net zero Activity data'!AJ79*UDCPPEF*NtoN2O*kgtoGg,"ERROR"))</f>
        <v>0</v>
      </c>
      <c r="R1149" s="94">
        <f>IF('Net zero activities &amp; levers'!$C$14="Off",'Activity data'!AK79*UDCPPEF*NtoN2O*kgtoGg,IF('Net zero activities &amp; levers'!$C$14="On",'Net zero Activity data'!AK79*UDCPPEF*NtoN2O*kgtoGg,"ERROR"))</f>
        <v>0</v>
      </c>
      <c r="S1149" s="94">
        <f>IF('Net zero activities &amp; levers'!$C$14="Off",'Activity data'!AL79*UDCPPEF*NtoN2O*kgtoGg,IF('Net zero activities &amp; levers'!$C$14="On",'Net zero Activity data'!AL79*UDCPPEF*NtoN2O*kgtoGg,"ERROR"))</f>
        <v>0</v>
      </c>
      <c r="T1149" s="94">
        <f>IF('Net zero activities &amp; levers'!$C$14="Off",'Activity data'!AM79*UDCPPEF*NtoN2O*kgtoGg,IF('Net zero activities &amp; levers'!$C$14="On",'Net zero Activity data'!AM79*UDCPPEF*NtoN2O*kgtoGg,"ERROR"))</f>
        <v>0</v>
      </c>
      <c r="U1149" s="94">
        <f>IF('Net zero activities &amp; levers'!$C$14="Off",'Activity data'!AN79*UDCPPEF*NtoN2O*kgtoGg,IF('Net zero activities &amp; levers'!$C$14="On",'Net zero Activity data'!AN79*UDCPPEF*NtoN2O*kgtoGg,"ERROR"))</f>
        <v>0</v>
      </c>
      <c r="V1149" s="94">
        <f>IF('Net zero activities &amp; levers'!$C$14="Off",'Activity data'!AO79*UDCPPEF*NtoN2O*kgtoGg,IF('Net zero activities &amp; levers'!$C$14="On",'Net zero Activity data'!AO79*UDCPPEF*NtoN2O*kgtoGg,"ERROR"))</f>
        <v>0</v>
      </c>
      <c r="W1149" s="94">
        <f>IF('Net zero activities &amp; levers'!$C$14="Off",'Activity data'!AP79*UDCPPEF*NtoN2O*kgtoGg,IF('Net zero activities &amp; levers'!$C$14="On",'Net zero Activity data'!AP79*UDCPPEF*NtoN2O*kgtoGg,"ERROR"))</f>
        <v>0</v>
      </c>
      <c r="X1149" s="94">
        <f>IF('Net zero activities &amp; levers'!$C$14="Off",'Activity data'!AQ79*UDCPPEF*NtoN2O*kgtoGg,IF('Net zero activities &amp; levers'!$C$14="On",'Net zero Activity data'!AQ79*UDCPPEF*NtoN2O*kgtoGg,"ERROR"))</f>
        <v>0</v>
      </c>
      <c r="Y1149" s="94">
        <f>IF('Net zero activities &amp; levers'!$C$14="Off",'Activity data'!AR79*UDCPPEF*NtoN2O*kgtoGg,IF('Net zero activities &amp; levers'!$C$14="On",'Net zero Activity data'!AR79*UDCPPEF*NtoN2O*kgtoGg,"ERROR"))</f>
        <v>0</v>
      </c>
      <c r="Z1149" s="94">
        <f>IF('Net zero activities &amp; levers'!$C$14="Off",'Activity data'!AS79*UDCPPEF*NtoN2O*kgtoGg,IF('Net zero activities &amp; levers'!$C$14="On",'Net zero Activity data'!AS79*UDCPPEF*NtoN2O*kgtoGg,"ERROR"))</f>
        <v>0</v>
      </c>
      <c r="AA1149" s="94">
        <f>IF('Net zero activities &amp; levers'!$C$14="Off",'Activity data'!AT79*UDCPPEF*NtoN2O*kgtoGg,IF('Net zero activities &amp; levers'!$C$14="On",'Net zero Activity data'!AT79*UDCPPEF*NtoN2O*kgtoGg,"ERROR"))</f>
        <v>0</v>
      </c>
      <c r="AB1149" s="94">
        <f>IF('Net zero activities &amp; levers'!$C$14="Off",'Activity data'!AU79*UDCPPEF*NtoN2O*kgtoGg,IF('Net zero activities &amp; levers'!$C$14="On",'Net zero Activity data'!AU79*UDCPPEF*NtoN2O*kgtoGg,"ERROR"))</f>
        <v>0</v>
      </c>
      <c r="AC1149" s="94">
        <f>IF('Net zero activities &amp; levers'!$C$14="Off",'Activity data'!AV79*UDCPPEF*NtoN2O*kgtoGg,IF('Net zero activities &amp; levers'!$C$14="On",'Net zero Activity data'!AV79*UDCPPEF*NtoN2O*kgtoGg,"ERROR"))</f>
        <v>0</v>
      </c>
      <c r="AD1149" s="94">
        <f>IF('Net zero activities &amp; levers'!$C$14="Off",'Activity data'!AW79*UDCPPEF*NtoN2O*kgtoGg,IF('Net zero activities &amp; levers'!$C$14="On",'Net zero Activity data'!AW79*UDCPPEF*NtoN2O*kgtoGg,"ERROR"))</f>
        <v>0</v>
      </c>
      <c r="AE1149" s="94">
        <f>IF('Net zero activities &amp; levers'!$C$14="Off",'Activity data'!AX79*UDCPPEF*NtoN2O*kgtoGg,IF('Net zero activities &amp; levers'!$C$14="On",'Net zero Activity data'!AX79*UDCPPEF*NtoN2O*kgtoGg,"ERROR"))</f>
        <v>0</v>
      </c>
      <c r="AF1149" s="94">
        <f>IF('Net zero activities &amp; levers'!$C$14="Off",'Activity data'!AY79*UDCPPEF*NtoN2O*kgtoGg,IF('Net zero activities &amp; levers'!$C$14="On",'Net zero Activity data'!AY79*UDCPPEF*NtoN2O*kgtoGg,"ERROR"))</f>
        <v>0</v>
      </c>
      <c r="AG1149" s="94">
        <f>IF('Net zero activities &amp; levers'!$C$14="Off",'Activity data'!AZ79*UDCPPEF*NtoN2O*kgtoGg,IF('Net zero activities &amp; levers'!$C$14="On",'Net zero Activity data'!AZ79*UDCPPEF*NtoN2O*kgtoGg,"ERROR"))</f>
        <v>0</v>
      </c>
      <c r="AH1149" s="94">
        <f>IF('Net zero activities &amp; levers'!$C$14="Off",'Activity data'!BA79*UDCPPEF*NtoN2O*kgtoGg,IF('Net zero activities &amp; levers'!$C$14="On",'Net zero Activity data'!BA79*UDCPPEF*NtoN2O*kgtoGg,"ERROR"))</f>
        <v>0</v>
      </c>
      <c r="AI1149" s="94">
        <f>IF('Net zero activities &amp; levers'!$C$14="Off",'Activity data'!BB79*UDCPPEF*NtoN2O*kgtoGg,IF('Net zero activities &amp; levers'!$C$14="On",'Net zero Activity data'!BB79*UDCPPEF*NtoN2O*kgtoGg,"ERROR"))</f>
        <v>0</v>
      </c>
      <c r="AJ1149" s="94">
        <f>IF('Net zero activities &amp; levers'!$C$14="Off",'Activity data'!BC79*UDCPPEF*NtoN2O*kgtoGg,IF('Net zero activities &amp; levers'!$C$14="On",'Net zero Activity data'!BC79*UDCPPEF*NtoN2O*kgtoGg,"ERROR"))</f>
        <v>0</v>
      </c>
      <c r="AK1149" s="94">
        <f>IF('Net zero activities &amp; levers'!$C$14="Off",'Activity data'!BD79*UDCPPEF*NtoN2O*kgtoGg,IF('Net zero activities &amp; levers'!$C$14="On",'Net zero Activity data'!BD79*UDCPPEF*NtoN2O*kgtoGg,"ERROR"))</f>
        <v>0</v>
      </c>
      <c r="AL1149" s="94">
        <f>IF('Net zero activities &amp; levers'!$C$14="Off",'Activity data'!BE79*UDCPPEF*NtoN2O*kgtoGg,IF('Net zero activities &amp; levers'!$C$14="On",'Net zero Activity data'!BE79*UDCPPEF*NtoN2O*kgtoGg,"ERROR"))</f>
        <v>0</v>
      </c>
      <c r="AM1149" s="94">
        <f>IF('Net zero activities &amp; levers'!$C$14="Off",'Activity data'!BF79*UDCPPEF*NtoN2O*kgtoGg,IF('Net zero activities &amp; levers'!$C$14="On",'Net zero Activity data'!BF79*UDCPPEF*NtoN2O*kgtoGg,"ERROR"))</f>
        <v>0</v>
      </c>
      <c r="AN1149" s="94">
        <f>IF('Net zero activities &amp; levers'!$C$14="Off",'Activity data'!BG79*UDCPPEF*NtoN2O*kgtoGg,IF('Net zero activities &amp; levers'!$C$14="On",'Net zero Activity data'!BG79*UDCPPEF*NtoN2O*kgtoGg,"ERROR"))</f>
        <v>0</v>
      </c>
      <c r="AO1149" s="94">
        <f>IF('Net zero activities &amp; levers'!$C$14="Off",'Activity data'!BH79*UDCPPEF*NtoN2O*kgtoGg,IF('Net zero activities &amp; levers'!$C$14="On",'Net zero Activity data'!BH79*UDCPPEF*NtoN2O*kgtoGg,"ERROR"))</f>
        <v>0</v>
      </c>
      <c r="AP1149" s="94">
        <f>IF('Net zero activities &amp; levers'!$C$14="Off",'Activity data'!BI79*UDCPPEF*NtoN2O*kgtoGg,IF('Net zero activities &amp; levers'!$C$14="On",'Net zero Activity data'!BI79*UDCPPEF*NtoN2O*kgtoGg,"ERROR"))</f>
        <v>0</v>
      </c>
      <c r="AQ1149" s="94">
        <f>IF('Net zero activities &amp; levers'!$C$14="Off",'Activity data'!BJ79*UDCPPEF*NtoN2O*kgtoGg,IF('Net zero activities &amp; levers'!$C$14="On",'Net zero Activity data'!BJ79*UDCPPEF*NtoN2O*kgtoGg,"ERROR"))</f>
        <v>0</v>
      </c>
      <c r="AR1149" s="94">
        <f>IF('Net zero activities &amp; levers'!$C$14="Off",'Activity data'!BK79*UDCPPEF*NtoN2O*kgtoGg,IF('Net zero activities &amp; levers'!$C$14="On",'Net zero Activity data'!BK79*UDCPPEF*NtoN2O*kgtoGg,"ERROR"))</f>
        <v>0</v>
      </c>
      <c r="AS1149" s="94">
        <f>IF('Net zero activities &amp; levers'!$C$14="Off",'Activity data'!BL79*UDCPPEF*NtoN2O*kgtoGg,IF('Net zero activities &amp; levers'!$C$14="On",'Net zero Activity data'!BL79*UDCPPEF*NtoN2O*kgtoGg,"ERROR"))</f>
        <v>0</v>
      </c>
      <c r="AT1149" s="94">
        <f>IF('Net zero activities &amp; levers'!$C$14="Off",'Activity data'!BM79*UDCPPEF*NtoN2O*kgtoGg,IF('Net zero activities &amp; levers'!$C$14="On",'Net zero Activity data'!BM79*UDCPPEF*NtoN2O*kgtoGg,"ERROR"))</f>
        <v>0</v>
      </c>
      <c r="AU1149" s="94">
        <f>IF('Net zero activities &amp; levers'!$C$14="Off",'Activity data'!BN79*UDCPPEF*NtoN2O*kgtoGg,IF('Net zero activities &amp; levers'!$C$14="On",'Net zero Activity data'!BN79*UDCPPEF*NtoN2O*kgtoGg,"ERROR"))</f>
        <v>0</v>
      </c>
      <c r="AV1149" s="94">
        <f>IF('Net zero activities &amp; levers'!$C$14="Off",'Activity data'!BO79*UDCPPEF*NtoN2O*kgtoGg,IF('Net zero activities &amp; levers'!$C$14="On",'Net zero Activity data'!BO79*UDCPPEF*NtoN2O*kgtoGg,"ERROR"))</f>
        <v>0</v>
      </c>
      <c r="AW1149" s="94">
        <f>IF('Net zero activities &amp; levers'!$C$14="Off",'Activity data'!BP79*UDCPPEF*NtoN2O*kgtoGg,IF('Net zero activities &amp; levers'!$C$14="On",'Net zero Activity data'!BP79*UDCPPEF*NtoN2O*kgtoGg,"ERROR"))</f>
        <v>0</v>
      </c>
      <c r="AY1149" s="79"/>
    </row>
    <row r="1150" spans="1:51" x14ac:dyDescent="0.3">
      <c r="A1150" s="95" t="str">
        <f t="shared" si="374"/>
        <v>CM U&amp;D</v>
      </c>
      <c r="B1150" s="95" t="s">
        <v>1322</v>
      </c>
      <c r="C1150" s="95" t="s">
        <v>1336</v>
      </c>
      <c r="D1150" t="s">
        <v>369</v>
      </c>
      <c r="E1150" t="s">
        <v>55</v>
      </c>
      <c r="F1150" t="s">
        <v>422</v>
      </c>
      <c r="G1150" t="s">
        <v>1180</v>
      </c>
      <c r="H1150" t="s">
        <v>1254</v>
      </c>
      <c r="I1150" t="s">
        <v>139</v>
      </c>
      <c r="J1150" t="s">
        <v>287</v>
      </c>
      <c r="K1150" s="94">
        <f>IF('Net zero activities &amp; levers'!$C$14="Off",'Activity data'!AD80*UDCPPEF*NtoN2O*kgtoGg,IF('Net zero activities &amp; levers'!$C$14="On",'Net zero Activity data'!AD80*UDCPPEF*NtoN2O*kgtoGg,"ERROR"))</f>
        <v>0</v>
      </c>
      <c r="L1150" s="94">
        <f>IF('Net zero activities &amp; levers'!$C$14="Off",'Activity data'!AE80*UDCPPEF*NtoN2O*kgtoGg,IF('Net zero activities &amp; levers'!$C$14="On",'Net zero Activity data'!AE80*UDCPPEF*NtoN2O*kgtoGg,"ERROR"))</f>
        <v>0</v>
      </c>
      <c r="M1150" s="94">
        <f>IF('Net zero activities &amp; levers'!$C$14="Off",'Activity data'!AF80*UDCPPEF*NtoN2O*kgtoGg,IF('Net zero activities &amp; levers'!$C$14="On",'Net zero Activity data'!AF80*UDCPPEF*NtoN2O*kgtoGg,"ERROR"))</f>
        <v>0</v>
      </c>
      <c r="N1150" s="94">
        <f>IF('Net zero activities &amp; levers'!$C$14="Off",'Activity data'!AG80*UDCPPEF*NtoN2O*kgtoGg,IF('Net zero activities &amp; levers'!$C$14="On",'Net zero Activity data'!AG80*UDCPPEF*NtoN2O*kgtoGg,"ERROR"))</f>
        <v>0</v>
      </c>
      <c r="O1150" s="94">
        <f>IF('Net zero activities &amp; levers'!$C$14="Off",'Activity data'!AH80*UDCPPEF*NtoN2O*kgtoGg,IF('Net zero activities &amp; levers'!$C$14="On",'Net zero Activity data'!AH80*UDCPPEF*NtoN2O*kgtoGg,"ERROR"))</f>
        <v>0</v>
      </c>
      <c r="P1150" s="94">
        <f>IF('Net zero activities &amp; levers'!$C$14="Off",'Activity data'!AI80*UDCPPEF*NtoN2O*kgtoGg,IF('Net zero activities &amp; levers'!$C$14="On",'Net zero Activity data'!AI80*UDCPPEF*NtoN2O*kgtoGg,"ERROR"))</f>
        <v>0</v>
      </c>
      <c r="Q1150" s="94">
        <f>IF('Net zero activities &amp; levers'!$C$14="Off",'Activity data'!AJ80*UDCPPEF*NtoN2O*kgtoGg,IF('Net zero activities &amp; levers'!$C$14="On",'Net zero Activity data'!AJ80*UDCPPEF*NtoN2O*kgtoGg,"ERROR"))</f>
        <v>0</v>
      </c>
      <c r="R1150" s="94">
        <f>IF('Net zero activities &amp; levers'!$C$14="Off",'Activity data'!AK80*UDCPPEF*NtoN2O*kgtoGg,IF('Net zero activities &amp; levers'!$C$14="On",'Net zero Activity data'!AK80*UDCPPEF*NtoN2O*kgtoGg,"ERROR"))</f>
        <v>0</v>
      </c>
      <c r="S1150" s="94">
        <f>IF('Net zero activities &amp; levers'!$C$14="Off",'Activity data'!AL80*UDCPPEF*NtoN2O*kgtoGg,IF('Net zero activities &amp; levers'!$C$14="On",'Net zero Activity data'!AL80*UDCPPEF*NtoN2O*kgtoGg,"ERROR"))</f>
        <v>0</v>
      </c>
      <c r="T1150" s="94">
        <f>IF('Net zero activities &amp; levers'!$C$14="Off",'Activity data'!AM80*UDCPPEF*NtoN2O*kgtoGg,IF('Net zero activities &amp; levers'!$C$14="On",'Net zero Activity data'!AM80*UDCPPEF*NtoN2O*kgtoGg,"ERROR"))</f>
        <v>0</v>
      </c>
      <c r="U1150" s="94">
        <f>IF('Net zero activities &amp; levers'!$C$14="Off",'Activity data'!AN80*UDCPPEF*NtoN2O*kgtoGg,IF('Net zero activities &amp; levers'!$C$14="On",'Net zero Activity data'!AN80*UDCPPEF*NtoN2O*kgtoGg,"ERROR"))</f>
        <v>0</v>
      </c>
      <c r="V1150" s="94">
        <f>IF('Net zero activities &amp; levers'!$C$14="Off",'Activity data'!AO80*UDCPPEF*NtoN2O*kgtoGg,IF('Net zero activities &amp; levers'!$C$14="On",'Net zero Activity data'!AO80*UDCPPEF*NtoN2O*kgtoGg,"ERROR"))</f>
        <v>0</v>
      </c>
      <c r="W1150" s="94">
        <f>IF('Net zero activities &amp; levers'!$C$14="Off",'Activity data'!AP80*UDCPPEF*NtoN2O*kgtoGg,IF('Net zero activities &amp; levers'!$C$14="On",'Net zero Activity data'!AP80*UDCPPEF*NtoN2O*kgtoGg,"ERROR"))</f>
        <v>0</v>
      </c>
      <c r="X1150" s="94">
        <f>IF('Net zero activities &amp; levers'!$C$14="Off",'Activity data'!AQ80*UDCPPEF*NtoN2O*kgtoGg,IF('Net zero activities &amp; levers'!$C$14="On",'Net zero Activity data'!AQ80*UDCPPEF*NtoN2O*kgtoGg,"ERROR"))</f>
        <v>0</v>
      </c>
      <c r="Y1150" s="94">
        <f>IF('Net zero activities &amp; levers'!$C$14="Off",'Activity data'!AR80*UDCPPEF*NtoN2O*kgtoGg,IF('Net zero activities &amp; levers'!$C$14="On",'Net zero Activity data'!AR80*UDCPPEF*NtoN2O*kgtoGg,"ERROR"))</f>
        <v>0</v>
      </c>
      <c r="Z1150" s="94">
        <f>IF('Net zero activities &amp; levers'!$C$14="Off",'Activity data'!AS80*UDCPPEF*NtoN2O*kgtoGg,IF('Net zero activities &amp; levers'!$C$14="On",'Net zero Activity data'!AS80*UDCPPEF*NtoN2O*kgtoGg,"ERROR"))</f>
        <v>0</v>
      </c>
      <c r="AA1150" s="94">
        <f>IF('Net zero activities &amp; levers'!$C$14="Off",'Activity data'!AT80*UDCPPEF*NtoN2O*kgtoGg,IF('Net zero activities &amp; levers'!$C$14="On",'Net zero Activity data'!AT80*UDCPPEF*NtoN2O*kgtoGg,"ERROR"))</f>
        <v>0</v>
      </c>
      <c r="AB1150" s="94">
        <f>IF('Net zero activities &amp; levers'!$C$14="Off",'Activity data'!AU80*UDCPPEF*NtoN2O*kgtoGg,IF('Net zero activities &amp; levers'!$C$14="On",'Net zero Activity data'!AU80*UDCPPEF*NtoN2O*kgtoGg,"ERROR"))</f>
        <v>0</v>
      </c>
      <c r="AC1150" s="94">
        <f>IF('Net zero activities &amp; levers'!$C$14="Off",'Activity data'!AV80*UDCPPEF*NtoN2O*kgtoGg,IF('Net zero activities &amp; levers'!$C$14="On",'Net zero Activity data'!AV80*UDCPPEF*NtoN2O*kgtoGg,"ERROR"))</f>
        <v>0</v>
      </c>
      <c r="AD1150" s="94">
        <f>IF('Net zero activities &amp; levers'!$C$14="Off",'Activity data'!AW80*UDCPPEF*NtoN2O*kgtoGg,IF('Net zero activities &amp; levers'!$C$14="On",'Net zero Activity data'!AW80*UDCPPEF*NtoN2O*kgtoGg,"ERROR"))</f>
        <v>0</v>
      </c>
      <c r="AE1150" s="94">
        <f>IF('Net zero activities &amp; levers'!$C$14="Off",'Activity data'!AX80*UDCPPEF*NtoN2O*kgtoGg,IF('Net zero activities &amp; levers'!$C$14="On",'Net zero Activity data'!AX80*UDCPPEF*NtoN2O*kgtoGg,"ERROR"))</f>
        <v>0</v>
      </c>
      <c r="AF1150" s="94">
        <f>IF('Net zero activities &amp; levers'!$C$14="Off",'Activity data'!AY80*UDCPPEF*NtoN2O*kgtoGg,IF('Net zero activities &amp; levers'!$C$14="On",'Net zero Activity data'!AY80*UDCPPEF*NtoN2O*kgtoGg,"ERROR"))</f>
        <v>0</v>
      </c>
      <c r="AG1150" s="94">
        <f>IF('Net zero activities &amp; levers'!$C$14="Off",'Activity data'!AZ80*UDCPPEF*NtoN2O*kgtoGg,IF('Net zero activities &amp; levers'!$C$14="On",'Net zero Activity data'!AZ80*UDCPPEF*NtoN2O*kgtoGg,"ERROR"))</f>
        <v>0</v>
      </c>
      <c r="AH1150" s="94">
        <f>IF('Net zero activities &amp; levers'!$C$14="Off",'Activity data'!BA80*UDCPPEF*NtoN2O*kgtoGg,IF('Net zero activities &amp; levers'!$C$14="On",'Net zero Activity data'!BA80*UDCPPEF*NtoN2O*kgtoGg,"ERROR"))</f>
        <v>0</v>
      </c>
      <c r="AI1150" s="94">
        <f>IF('Net zero activities &amp; levers'!$C$14="Off",'Activity data'!BB80*UDCPPEF*NtoN2O*kgtoGg,IF('Net zero activities &amp; levers'!$C$14="On",'Net zero Activity data'!BB80*UDCPPEF*NtoN2O*kgtoGg,"ERROR"))</f>
        <v>0</v>
      </c>
      <c r="AJ1150" s="94">
        <f>IF('Net zero activities &amp; levers'!$C$14="Off",'Activity data'!BC80*UDCPPEF*NtoN2O*kgtoGg,IF('Net zero activities &amp; levers'!$C$14="On",'Net zero Activity data'!BC80*UDCPPEF*NtoN2O*kgtoGg,"ERROR"))</f>
        <v>0</v>
      </c>
      <c r="AK1150" s="94">
        <f>IF('Net zero activities &amp; levers'!$C$14="Off",'Activity data'!BD80*UDCPPEF*NtoN2O*kgtoGg,IF('Net zero activities &amp; levers'!$C$14="On",'Net zero Activity data'!BD80*UDCPPEF*NtoN2O*kgtoGg,"ERROR"))</f>
        <v>0</v>
      </c>
      <c r="AL1150" s="94">
        <f>IF('Net zero activities &amp; levers'!$C$14="Off",'Activity data'!BE80*UDCPPEF*NtoN2O*kgtoGg,IF('Net zero activities &amp; levers'!$C$14="On",'Net zero Activity data'!BE80*UDCPPEF*NtoN2O*kgtoGg,"ERROR"))</f>
        <v>0</v>
      </c>
      <c r="AM1150" s="94">
        <f>IF('Net zero activities &amp; levers'!$C$14="Off",'Activity data'!BF80*UDCPPEF*NtoN2O*kgtoGg,IF('Net zero activities &amp; levers'!$C$14="On",'Net zero Activity data'!BF80*UDCPPEF*NtoN2O*kgtoGg,"ERROR"))</f>
        <v>0</v>
      </c>
      <c r="AN1150" s="94">
        <f>IF('Net zero activities &amp; levers'!$C$14="Off",'Activity data'!BG80*UDCPPEF*NtoN2O*kgtoGg,IF('Net zero activities &amp; levers'!$C$14="On",'Net zero Activity data'!BG80*UDCPPEF*NtoN2O*kgtoGg,"ERROR"))</f>
        <v>0</v>
      </c>
      <c r="AO1150" s="94">
        <f>IF('Net zero activities &amp; levers'!$C$14="Off",'Activity data'!BH80*UDCPPEF*NtoN2O*kgtoGg,IF('Net zero activities &amp; levers'!$C$14="On",'Net zero Activity data'!BH80*UDCPPEF*NtoN2O*kgtoGg,"ERROR"))</f>
        <v>0</v>
      </c>
      <c r="AP1150" s="94">
        <f>IF('Net zero activities &amp; levers'!$C$14="Off",'Activity data'!BI80*UDCPPEF*NtoN2O*kgtoGg,IF('Net zero activities &amp; levers'!$C$14="On",'Net zero Activity data'!BI80*UDCPPEF*NtoN2O*kgtoGg,"ERROR"))</f>
        <v>0</v>
      </c>
      <c r="AQ1150" s="94">
        <f>IF('Net zero activities &amp; levers'!$C$14="Off",'Activity data'!BJ80*UDCPPEF*NtoN2O*kgtoGg,IF('Net zero activities &amp; levers'!$C$14="On",'Net zero Activity data'!BJ80*UDCPPEF*NtoN2O*kgtoGg,"ERROR"))</f>
        <v>0</v>
      </c>
      <c r="AR1150" s="94">
        <f>IF('Net zero activities &amp; levers'!$C$14="Off",'Activity data'!BK80*UDCPPEF*NtoN2O*kgtoGg,IF('Net zero activities &amp; levers'!$C$14="On",'Net zero Activity data'!BK80*UDCPPEF*NtoN2O*kgtoGg,"ERROR"))</f>
        <v>0</v>
      </c>
      <c r="AS1150" s="94">
        <f>IF('Net zero activities &amp; levers'!$C$14="Off",'Activity data'!BL80*UDCPPEF*NtoN2O*kgtoGg,IF('Net zero activities &amp; levers'!$C$14="On",'Net zero Activity data'!BL80*UDCPPEF*NtoN2O*kgtoGg,"ERROR"))</f>
        <v>0</v>
      </c>
      <c r="AT1150" s="94">
        <f>IF('Net zero activities &amp; levers'!$C$14="Off",'Activity data'!BM80*UDCPPEF*NtoN2O*kgtoGg,IF('Net zero activities &amp; levers'!$C$14="On",'Net zero Activity data'!BM80*UDCPPEF*NtoN2O*kgtoGg,"ERROR"))</f>
        <v>0</v>
      </c>
      <c r="AU1150" s="94">
        <f>IF('Net zero activities &amp; levers'!$C$14="Off",'Activity data'!BN80*UDCPPEF*NtoN2O*kgtoGg,IF('Net zero activities &amp; levers'!$C$14="On",'Net zero Activity data'!BN80*UDCPPEF*NtoN2O*kgtoGg,"ERROR"))</f>
        <v>0</v>
      </c>
      <c r="AV1150" s="94">
        <f>IF('Net zero activities &amp; levers'!$C$14="Off",'Activity data'!BO80*UDCPPEF*NtoN2O*kgtoGg,IF('Net zero activities &amp; levers'!$C$14="On",'Net zero Activity data'!BO80*UDCPPEF*NtoN2O*kgtoGg,"ERROR"))</f>
        <v>0</v>
      </c>
      <c r="AW1150" s="94">
        <f>IF('Net zero activities &amp; levers'!$C$14="Off",'Activity data'!BP80*UDCPPEF*NtoN2O*kgtoGg,IF('Net zero activities &amp; levers'!$C$14="On",'Net zero Activity data'!BP80*UDCPPEF*NtoN2O*kgtoGg,"ERROR"))</f>
        <v>0</v>
      </c>
      <c r="AY1150" s="79"/>
    </row>
    <row r="1151" spans="1:51" x14ac:dyDescent="0.3">
      <c r="A1151" s="95" t="str">
        <f t="shared" si="374"/>
        <v>CM U&amp;D</v>
      </c>
      <c r="B1151" s="95" t="s">
        <v>1322</v>
      </c>
      <c r="C1151" s="95" t="s">
        <v>1336</v>
      </c>
      <c r="D1151" t="s">
        <v>369</v>
      </c>
      <c r="E1151" t="s">
        <v>55</v>
      </c>
      <c r="F1151" t="s">
        <v>422</v>
      </c>
      <c r="G1151" t="s">
        <v>1182</v>
      </c>
      <c r="H1151" t="s">
        <v>1255</v>
      </c>
      <c r="I1151" t="s">
        <v>139</v>
      </c>
      <c r="J1151" t="s">
        <v>287</v>
      </c>
      <c r="K1151" s="94">
        <f>IF('Net zero activities &amp; levers'!$C$14="Off",'Activity data'!AD81*UDCPPEF*NtoN2O*kgtoGg,IF('Net zero activities &amp; levers'!$C$14="On",'Net zero Activity data'!AD81*UDCPPEF*NtoN2O*kgtoGg,"ERROR"))</f>
        <v>0</v>
      </c>
      <c r="L1151" s="94">
        <f>IF('Net zero activities &amp; levers'!$C$14="Off",'Activity data'!AE81*UDCPPEF*NtoN2O*kgtoGg,IF('Net zero activities &amp; levers'!$C$14="On",'Net zero Activity data'!AE81*UDCPPEF*NtoN2O*kgtoGg,"ERROR"))</f>
        <v>0</v>
      </c>
      <c r="M1151" s="94">
        <f>IF('Net zero activities &amp; levers'!$C$14="Off",'Activity data'!AF81*UDCPPEF*NtoN2O*kgtoGg,IF('Net zero activities &amp; levers'!$C$14="On",'Net zero Activity data'!AF81*UDCPPEF*NtoN2O*kgtoGg,"ERROR"))</f>
        <v>0</v>
      </c>
      <c r="N1151" s="94">
        <f>IF('Net zero activities &amp; levers'!$C$14="Off",'Activity data'!AG81*UDCPPEF*NtoN2O*kgtoGg,IF('Net zero activities &amp; levers'!$C$14="On",'Net zero Activity data'!AG81*UDCPPEF*NtoN2O*kgtoGg,"ERROR"))</f>
        <v>0</v>
      </c>
      <c r="O1151" s="94">
        <f>IF('Net zero activities &amp; levers'!$C$14="Off",'Activity data'!AH81*UDCPPEF*NtoN2O*kgtoGg,IF('Net zero activities &amp; levers'!$C$14="On",'Net zero Activity data'!AH81*UDCPPEF*NtoN2O*kgtoGg,"ERROR"))</f>
        <v>0</v>
      </c>
      <c r="P1151" s="94">
        <f>IF('Net zero activities &amp; levers'!$C$14="Off",'Activity data'!AI81*UDCPPEF*NtoN2O*kgtoGg,IF('Net zero activities &amp; levers'!$C$14="On",'Net zero Activity data'!AI81*UDCPPEF*NtoN2O*kgtoGg,"ERROR"))</f>
        <v>0</v>
      </c>
      <c r="Q1151" s="94">
        <f>IF('Net zero activities &amp; levers'!$C$14="Off",'Activity data'!AJ81*UDCPPEF*NtoN2O*kgtoGg,IF('Net zero activities &amp; levers'!$C$14="On",'Net zero Activity data'!AJ81*UDCPPEF*NtoN2O*kgtoGg,"ERROR"))</f>
        <v>0</v>
      </c>
      <c r="R1151" s="94">
        <f>IF('Net zero activities &amp; levers'!$C$14="Off",'Activity data'!AK81*UDCPPEF*NtoN2O*kgtoGg,IF('Net zero activities &amp; levers'!$C$14="On",'Net zero Activity data'!AK81*UDCPPEF*NtoN2O*kgtoGg,"ERROR"))</f>
        <v>0</v>
      </c>
      <c r="S1151" s="94">
        <f>IF('Net zero activities &amp; levers'!$C$14="Off",'Activity data'!AL81*UDCPPEF*NtoN2O*kgtoGg,IF('Net zero activities &amp; levers'!$C$14="On",'Net zero Activity data'!AL81*UDCPPEF*NtoN2O*kgtoGg,"ERROR"))</f>
        <v>0</v>
      </c>
      <c r="T1151" s="94">
        <f>IF('Net zero activities &amp; levers'!$C$14="Off",'Activity data'!AM81*UDCPPEF*NtoN2O*kgtoGg,IF('Net zero activities &amp; levers'!$C$14="On",'Net zero Activity data'!AM81*UDCPPEF*NtoN2O*kgtoGg,"ERROR"))</f>
        <v>0</v>
      </c>
      <c r="U1151" s="94">
        <f>IF('Net zero activities &amp; levers'!$C$14="Off",'Activity data'!AN81*UDCPPEF*NtoN2O*kgtoGg,IF('Net zero activities &amp; levers'!$C$14="On",'Net zero Activity data'!AN81*UDCPPEF*NtoN2O*kgtoGg,"ERROR"))</f>
        <v>0</v>
      </c>
      <c r="V1151" s="94">
        <f>IF('Net zero activities &amp; levers'!$C$14="Off",'Activity data'!AO81*UDCPPEF*NtoN2O*kgtoGg,IF('Net zero activities &amp; levers'!$C$14="On",'Net zero Activity data'!AO81*UDCPPEF*NtoN2O*kgtoGg,"ERROR"))</f>
        <v>0</v>
      </c>
      <c r="W1151" s="94">
        <f>IF('Net zero activities &amp; levers'!$C$14="Off",'Activity data'!AP81*UDCPPEF*NtoN2O*kgtoGg,IF('Net zero activities &amp; levers'!$C$14="On",'Net zero Activity data'!AP81*UDCPPEF*NtoN2O*kgtoGg,"ERROR"))</f>
        <v>0</v>
      </c>
      <c r="X1151" s="94">
        <f>IF('Net zero activities &amp; levers'!$C$14="Off",'Activity data'!AQ81*UDCPPEF*NtoN2O*kgtoGg,IF('Net zero activities &amp; levers'!$C$14="On",'Net zero Activity data'!AQ81*UDCPPEF*NtoN2O*kgtoGg,"ERROR"))</f>
        <v>0</v>
      </c>
      <c r="Y1151" s="94">
        <f>IF('Net zero activities &amp; levers'!$C$14="Off",'Activity data'!AR81*UDCPPEF*NtoN2O*kgtoGg,IF('Net zero activities &amp; levers'!$C$14="On",'Net zero Activity data'!AR81*UDCPPEF*NtoN2O*kgtoGg,"ERROR"))</f>
        <v>0</v>
      </c>
      <c r="Z1151" s="94">
        <f>IF('Net zero activities &amp; levers'!$C$14="Off",'Activity data'!AS81*UDCPPEF*NtoN2O*kgtoGg,IF('Net zero activities &amp; levers'!$C$14="On",'Net zero Activity data'!AS81*UDCPPEF*NtoN2O*kgtoGg,"ERROR"))</f>
        <v>0</v>
      </c>
      <c r="AA1151" s="94">
        <f>IF('Net zero activities &amp; levers'!$C$14="Off",'Activity data'!AT81*UDCPPEF*NtoN2O*kgtoGg,IF('Net zero activities &amp; levers'!$C$14="On",'Net zero Activity data'!AT81*UDCPPEF*NtoN2O*kgtoGg,"ERROR"))</f>
        <v>0</v>
      </c>
      <c r="AB1151" s="94">
        <f>IF('Net zero activities &amp; levers'!$C$14="Off",'Activity data'!AU81*UDCPPEF*NtoN2O*kgtoGg,IF('Net zero activities &amp; levers'!$C$14="On",'Net zero Activity data'!AU81*UDCPPEF*NtoN2O*kgtoGg,"ERROR"))</f>
        <v>0</v>
      </c>
      <c r="AC1151" s="94">
        <f>IF('Net zero activities &amp; levers'!$C$14="Off",'Activity data'!AV81*UDCPPEF*NtoN2O*kgtoGg,IF('Net zero activities &amp; levers'!$C$14="On",'Net zero Activity data'!AV81*UDCPPEF*NtoN2O*kgtoGg,"ERROR"))</f>
        <v>0</v>
      </c>
      <c r="AD1151" s="94">
        <f>IF('Net zero activities &amp; levers'!$C$14="Off",'Activity data'!AW81*UDCPPEF*NtoN2O*kgtoGg,IF('Net zero activities &amp; levers'!$C$14="On",'Net zero Activity data'!AW81*UDCPPEF*NtoN2O*kgtoGg,"ERROR"))</f>
        <v>0</v>
      </c>
      <c r="AE1151" s="94">
        <f>IF('Net zero activities &amp; levers'!$C$14="Off",'Activity data'!AX81*UDCPPEF*NtoN2O*kgtoGg,IF('Net zero activities &amp; levers'!$C$14="On",'Net zero Activity data'!AX81*UDCPPEF*NtoN2O*kgtoGg,"ERROR"))</f>
        <v>0</v>
      </c>
      <c r="AF1151" s="94">
        <f>IF('Net zero activities &amp; levers'!$C$14="Off",'Activity data'!AY81*UDCPPEF*NtoN2O*kgtoGg,IF('Net zero activities &amp; levers'!$C$14="On",'Net zero Activity data'!AY81*UDCPPEF*NtoN2O*kgtoGg,"ERROR"))</f>
        <v>0</v>
      </c>
      <c r="AG1151" s="94">
        <f>IF('Net zero activities &amp; levers'!$C$14="Off",'Activity data'!AZ81*UDCPPEF*NtoN2O*kgtoGg,IF('Net zero activities &amp; levers'!$C$14="On",'Net zero Activity data'!AZ81*UDCPPEF*NtoN2O*kgtoGg,"ERROR"))</f>
        <v>0</v>
      </c>
      <c r="AH1151" s="94">
        <f>IF('Net zero activities &amp; levers'!$C$14="Off",'Activity data'!BA81*UDCPPEF*NtoN2O*kgtoGg,IF('Net zero activities &amp; levers'!$C$14="On",'Net zero Activity data'!BA81*UDCPPEF*NtoN2O*kgtoGg,"ERROR"))</f>
        <v>0</v>
      </c>
      <c r="AI1151" s="94">
        <f>IF('Net zero activities &amp; levers'!$C$14="Off",'Activity data'!BB81*UDCPPEF*NtoN2O*kgtoGg,IF('Net zero activities &amp; levers'!$C$14="On",'Net zero Activity data'!BB81*UDCPPEF*NtoN2O*kgtoGg,"ERROR"))</f>
        <v>0</v>
      </c>
      <c r="AJ1151" s="94">
        <f>IF('Net zero activities &amp; levers'!$C$14="Off",'Activity data'!BC81*UDCPPEF*NtoN2O*kgtoGg,IF('Net zero activities &amp; levers'!$C$14="On",'Net zero Activity data'!BC81*UDCPPEF*NtoN2O*kgtoGg,"ERROR"))</f>
        <v>0</v>
      </c>
      <c r="AK1151" s="94">
        <f>IF('Net zero activities &amp; levers'!$C$14="Off",'Activity data'!BD81*UDCPPEF*NtoN2O*kgtoGg,IF('Net zero activities &amp; levers'!$C$14="On",'Net zero Activity data'!BD81*UDCPPEF*NtoN2O*kgtoGg,"ERROR"))</f>
        <v>0</v>
      </c>
      <c r="AL1151" s="94">
        <f>IF('Net zero activities &amp; levers'!$C$14="Off",'Activity data'!BE81*UDCPPEF*NtoN2O*kgtoGg,IF('Net zero activities &amp; levers'!$C$14="On",'Net zero Activity data'!BE81*UDCPPEF*NtoN2O*kgtoGg,"ERROR"))</f>
        <v>0</v>
      </c>
      <c r="AM1151" s="94">
        <f>IF('Net zero activities &amp; levers'!$C$14="Off",'Activity data'!BF81*UDCPPEF*NtoN2O*kgtoGg,IF('Net zero activities &amp; levers'!$C$14="On",'Net zero Activity data'!BF81*UDCPPEF*NtoN2O*kgtoGg,"ERROR"))</f>
        <v>0</v>
      </c>
      <c r="AN1151" s="94">
        <f>IF('Net zero activities &amp; levers'!$C$14="Off",'Activity data'!BG81*UDCPPEF*NtoN2O*kgtoGg,IF('Net zero activities &amp; levers'!$C$14="On",'Net zero Activity data'!BG81*UDCPPEF*NtoN2O*kgtoGg,"ERROR"))</f>
        <v>0</v>
      </c>
      <c r="AO1151" s="94">
        <f>IF('Net zero activities &amp; levers'!$C$14="Off",'Activity data'!BH81*UDCPPEF*NtoN2O*kgtoGg,IF('Net zero activities &amp; levers'!$C$14="On",'Net zero Activity data'!BH81*UDCPPEF*NtoN2O*kgtoGg,"ERROR"))</f>
        <v>0</v>
      </c>
      <c r="AP1151" s="94">
        <f>IF('Net zero activities &amp; levers'!$C$14="Off",'Activity data'!BI81*UDCPPEF*NtoN2O*kgtoGg,IF('Net zero activities &amp; levers'!$C$14="On",'Net zero Activity data'!BI81*UDCPPEF*NtoN2O*kgtoGg,"ERROR"))</f>
        <v>0</v>
      </c>
      <c r="AQ1151" s="94">
        <f>IF('Net zero activities &amp; levers'!$C$14="Off",'Activity data'!BJ81*UDCPPEF*NtoN2O*kgtoGg,IF('Net zero activities &amp; levers'!$C$14="On",'Net zero Activity data'!BJ81*UDCPPEF*NtoN2O*kgtoGg,"ERROR"))</f>
        <v>0</v>
      </c>
      <c r="AR1151" s="94">
        <f>IF('Net zero activities &amp; levers'!$C$14="Off",'Activity data'!BK81*UDCPPEF*NtoN2O*kgtoGg,IF('Net zero activities &amp; levers'!$C$14="On",'Net zero Activity data'!BK81*UDCPPEF*NtoN2O*kgtoGg,"ERROR"))</f>
        <v>0</v>
      </c>
      <c r="AS1151" s="94">
        <f>IF('Net zero activities &amp; levers'!$C$14="Off",'Activity data'!BL81*UDCPPEF*NtoN2O*kgtoGg,IF('Net zero activities &amp; levers'!$C$14="On",'Net zero Activity data'!BL81*UDCPPEF*NtoN2O*kgtoGg,"ERROR"))</f>
        <v>0</v>
      </c>
      <c r="AT1151" s="94">
        <f>IF('Net zero activities &amp; levers'!$C$14="Off",'Activity data'!BM81*UDCPPEF*NtoN2O*kgtoGg,IF('Net zero activities &amp; levers'!$C$14="On",'Net zero Activity data'!BM81*UDCPPEF*NtoN2O*kgtoGg,"ERROR"))</f>
        <v>0</v>
      </c>
      <c r="AU1151" s="94">
        <f>IF('Net zero activities &amp; levers'!$C$14="Off",'Activity data'!BN81*UDCPPEF*NtoN2O*kgtoGg,IF('Net zero activities &amp; levers'!$C$14="On",'Net zero Activity data'!BN81*UDCPPEF*NtoN2O*kgtoGg,"ERROR"))</f>
        <v>0</v>
      </c>
      <c r="AV1151" s="94">
        <f>IF('Net zero activities &amp; levers'!$C$14="Off",'Activity data'!BO81*UDCPPEF*NtoN2O*kgtoGg,IF('Net zero activities &amp; levers'!$C$14="On",'Net zero Activity data'!BO81*UDCPPEF*NtoN2O*kgtoGg,"ERROR"))</f>
        <v>0</v>
      </c>
      <c r="AW1151" s="94">
        <f>IF('Net zero activities &amp; levers'!$C$14="Off",'Activity data'!BP81*UDCPPEF*NtoN2O*kgtoGg,IF('Net zero activities &amp; levers'!$C$14="On",'Net zero Activity data'!BP81*UDCPPEF*NtoN2O*kgtoGg,"ERROR"))</f>
        <v>0</v>
      </c>
      <c r="AY1151" s="79"/>
    </row>
    <row r="1152" spans="1:51" x14ac:dyDescent="0.3">
      <c r="A1152" s="95" t="str">
        <f t="shared" si="374"/>
        <v>CM FSOM</v>
      </c>
      <c r="B1152" s="95" t="s">
        <v>1322</v>
      </c>
      <c r="C1152" s="95" t="s">
        <v>60</v>
      </c>
      <c r="D1152" t="s">
        <v>369</v>
      </c>
      <c r="E1152" t="s">
        <v>55</v>
      </c>
      <c r="F1152" t="s">
        <v>60</v>
      </c>
      <c r="G1152" t="s">
        <v>1266</v>
      </c>
      <c r="H1152" t="s">
        <v>1267</v>
      </c>
      <c r="J1152" t="s">
        <v>287</v>
      </c>
      <c r="K1152" s="22" t="str">
        <f>K1498</f>
        <v>NO</v>
      </c>
      <c r="L1152" s="22" t="str">
        <f t="shared" ref="L1152:AW1159" si="377">L1498</f>
        <v>NO</v>
      </c>
      <c r="M1152" s="22" t="str">
        <f t="shared" si="377"/>
        <v>NO</v>
      </c>
      <c r="N1152" s="22" t="str">
        <f t="shared" si="377"/>
        <v>NO</v>
      </c>
      <c r="O1152" s="22" t="str">
        <f t="shared" si="377"/>
        <v>NO</v>
      </c>
      <c r="P1152" s="22" t="str">
        <f t="shared" si="377"/>
        <v>NO</v>
      </c>
      <c r="Q1152" s="22" t="str">
        <f t="shared" si="377"/>
        <v>NO</v>
      </c>
      <c r="R1152" s="22" t="str">
        <f t="shared" si="377"/>
        <v>NO</v>
      </c>
      <c r="S1152" s="22" t="str">
        <f t="shared" si="377"/>
        <v>NO</v>
      </c>
      <c r="T1152" s="22" t="str">
        <f t="shared" si="377"/>
        <v>NO</v>
      </c>
      <c r="U1152" s="22" t="str">
        <f t="shared" si="377"/>
        <v>NO</v>
      </c>
      <c r="V1152" s="22" t="str">
        <f t="shared" si="377"/>
        <v>NO</v>
      </c>
      <c r="W1152" s="22" t="str">
        <f t="shared" si="377"/>
        <v>NO</v>
      </c>
      <c r="X1152" s="22" t="str">
        <f t="shared" si="377"/>
        <v>NO</v>
      </c>
      <c r="Y1152" s="22" t="str">
        <f t="shared" si="377"/>
        <v>NO</v>
      </c>
      <c r="Z1152" s="22" t="str">
        <f t="shared" si="377"/>
        <v>NO</v>
      </c>
      <c r="AA1152" s="22" t="str">
        <f t="shared" si="377"/>
        <v>NO</v>
      </c>
      <c r="AB1152" s="22" t="str">
        <f t="shared" si="377"/>
        <v>NO</v>
      </c>
      <c r="AC1152" s="22" t="str">
        <f t="shared" si="377"/>
        <v>NO</v>
      </c>
      <c r="AD1152" s="22" t="str">
        <f t="shared" si="377"/>
        <v>NO</v>
      </c>
      <c r="AE1152" s="22" t="str">
        <f t="shared" si="377"/>
        <v>NO</v>
      </c>
      <c r="AF1152" s="22" t="str">
        <f t="shared" si="377"/>
        <v>NO</v>
      </c>
      <c r="AG1152" s="22" t="str">
        <f t="shared" si="377"/>
        <v>NO</v>
      </c>
      <c r="AH1152" s="22" t="str">
        <f t="shared" si="377"/>
        <v>NO</v>
      </c>
      <c r="AI1152" s="22" t="str">
        <f t="shared" si="377"/>
        <v>NO</v>
      </c>
      <c r="AJ1152" s="22" t="str">
        <f t="shared" si="377"/>
        <v>NO</v>
      </c>
      <c r="AK1152" s="22" t="str">
        <f t="shared" si="377"/>
        <v>NO</v>
      </c>
      <c r="AL1152" s="22" t="str">
        <f t="shared" si="377"/>
        <v>NO</v>
      </c>
      <c r="AM1152" s="22" t="str">
        <f t="shared" si="377"/>
        <v>NO</v>
      </c>
      <c r="AN1152" s="22" t="str">
        <f t="shared" si="377"/>
        <v>NO</v>
      </c>
      <c r="AO1152" s="22" t="str">
        <f t="shared" si="377"/>
        <v>NO</v>
      </c>
      <c r="AP1152" s="22" t="str">
        <f t="shared" si="377"/>
        <v>NO</v>
      </c>
      <c r="AQ1152" s="22" t="str">
        <f t="shared" si="377"/>
        <v>NO</v>
      </c>
      <c r="AR1152" s="22" t="str">
        <f t="shared" si="377"/>
        <v>NO</v>
      </c>
      <c r="AS1152" s="22" t="str">
        <f t="shared" si="377"/>
        <v>NO</v>
      </c>
      <c r="AT1152" s="22" t="str">
        <f t="shared" si="377"/>
        <v>NO</v>
      </c>
      <c r="AU1152" s="22" t="str">
        <f t="shared" si="377"/>
        <v>NO</v>
      </c>
      <c r="AV1152" s="22" t="str">
        <f t="shared" si="377"/>
        <v>NO</v>
      </c>
      <c r="AW1152" s="22" t="str">
        <f t="shared" si="377"/>
        <v>NO</v>
      </c>
      <c r="AY1152" s="79"/>
    </row>
    <row r="1153" spans="1:51" x14ac:dyDescent="0.3">
      <c r="A1153" s="95" t="str">
        <f t="shared" si="374"/>
        <v>CM FSOM</v>
      </c>
      <c r="B1153" s="95" t="s">
        <v>1322</v>
      </c>
      <c r="C1153" s="95" t="s">
        <v>60</v>
      </c>
      <c r="D1153" t="s">
        <v>369</v>
      </c>
      <c r="E1153" t="s">
        <v>55</v>
      </c>
      <c r="F1153" t="s">
        <v>60</v>
      </c>
      <c r="G1153" t="s">
        <v>1268</v>
      </c>
      <c r="H1153" t="s">
        <v>1269</v>
      </c>
      <c r="J1153" t="s">
        <v>287</v>
      </c>
      <c r="K1153" s="22" t="str">
        <f t="shared" ref="K1153:Z1163" si="378">K1499</f>
        <v>NO</v>
      </c>
      <c r="L1153" s="22" t="str">
        <f t="shared" si="378"/>
        <v>NO</v>
      </c>
      <c r="M1153" s="22" t="str">
        <f t="shared" si="378"/>
        <v>NO</v>
      </c>
      <c r="N1153" s="22" t="str">
        <f t="shared" si="378"/>
        <v>NO</v>
      </c>
      <c r="O1153" s="22" t="str">
        <f t="shared" si="378"/>
        <v>NO</v>
      </c>
      <c r="P1153" s="22" t="str">
        <f t="shared" si="378"/>
        <v>NO</v>
      </c>
      <c r="Q1153" s="22" t="str">
        <f t="shared" si="378"/>
        <v>NO</v>
      </c>
      <c r="R1153" s="22" t="str">
        <f t="shared" si="378"/>
        <v>NO</v>
      </c>
      <c r="S1153" s="22" t="str">
        <f t="shared" si="378"/>
        <v>NO</v>
      </c>
      <c r="T1153" s="22" t="str">
        <f t="shared" si="378"/>
        <v>NO</v>
      </c>
      <c r="U1153" s="22" t="str">
        <f t="shared" si="378"/>
        <v>NO</v>
      </c>
      <c r="V1153" s="22" t="str">
        <f t="shared" si="378"/>
        <v>NO</v>
      </c>
      <c r="W1153" s="22" t="str">
        <f t="shared" si="378"/>
        <v>NO</v>
      </c>
      <c r="X1153" s="22" t="str">
        <f t="shared" si="378"/>
        <v>NO</v>
      </c>
      <c r="Y1153" s="22" t="str">
        <f t="shared" si="378"/>
        <v>NO</v>
      </c>
      <c r="Z1153" s="22" t="str">
        <f t="shared" si="378"/>
        <v>NO</v>
      </c>
      <c r="AA1153" s="22" t="str">
        <f t="shared" si="377"/>
        <v>NO</v>
      </c>
      <c r="AB1153" s="22" t="str">
        <f t="shared" si="377"/>
        <v>NO</v>
      </c>
      <c r="AC1153" s="22" t="str">
        <f t="shared" si="377"/>
        <v>NO</v>
      </c>
      <c r="AD1153" s="22" t="str">
        <f t="shared" si="377"/>
        <v>NO</v>
      </c>
      <c r="AE1153" s="22" t="str">
        <f t="shared" si="377"/>
        <v>NO</v>
      </c>
      <c r="AF1153" s="22" t="str">
        <f t="shared" si="377"/>
        <v>NO</v>
      </c>
      <c r="AG1153" s="22" t="str">
        <f t="shared" si="377"/>
        <v>NO</v>
      </c>
      <c r="AH1153" s="22" t="str">
        <f t="shared" si="377"/>
        <v>NO</v>
      </c>
      <c r="AI1153" s="22" t="str">
        <f t="shared" si="377"/>
        <v>NO</v>
      </c>
      <c r="AJ1153" s="22" t="str">
        <f t="shared" si="377"/>
        <v>NO</v>
      </c>
      <c r="AK1153" s="22" t="str">
        <f t="shared" si="377"/>
        <v>NO</v>
      </c>
      <c r="AL1153" s="22" t="str">
        <f t="shared" si="377"/>
        <v>NO</v>
      </c>
      <c r="AM1153" s="22" t="str">
        <f t="shared" si="377"/>
        <v>NO</v>
      </c>
      <c r="AN1153" s="22" t="str">
        <f t="shared" si="377"/>
        <v>NO</v>
      </c>
      <c r="AO1153" s="22" t="str">
        <f t="shared" si="377"/>
        <v>NO</v>
      </c>
      <c r="AP1153" s="22" t="str">
        <f t="shared" si="377"/>
        <v>NO</v>
      </c>
      <c r="AQ1153" s="22" t="str">
        <f t="shared" si="377"/>
        <v>NO</v>
      </c>
      <c r="AR1153" s="22" t="str">
        <f t="shared" si="377"/>
        <v>NO</v>
      </c>
      <c r="AS1153" s="22" t="str">
        <f t="shared" si="377"/>
        <v>NO</v>
      </c>
      <c r="AT1153" s="22" t="str">
        <f t="shared" si="377"/>
        <v>NO</v>
      </c>
      <c r="AU1153" s="22" t="str">
        <f t="shared" si="377"/>
        <v>NO</v>
      </c>
      <c r="AV1153" s="22" t="str">
        <f t="shared" si="377"/>
        <v>NO</v>
      </c>
      <c r="AW1153" s="22" t="str">
        <f t="shared" si="377"/>
        <v>NO</v>
      </c>
      <c r="AY1153" s="79"/>
    </row>
    <row r="1154" spans="1:51" x14ac:dyDescent="0.3">
      <c r="A1154" s="95" t="str">
        <f t="shared" si="374"/>
        <v>CM FSOM</v>
      </c>
      <c r="B1154" s="95" t="s">
        <v>1322</v>
      </c>
      <c r="C1154" s="95" t="s">
        <v>60</v>
      </c>
      <c r="D1154" t="s">
        <v>369</v>
      </c>
      <c r="E1154" t="s">
        <v>55</v>
      </c>
      <c r="F1154" t="s">
        <v>60</v>
      </c>
      <c r="G1154" t="s">
        <v>1270</v>
      </c>
      <c r="H1154" t="s">
        <v>1271</v>
      </c>
      <c r="J1154" t="s">
        <v>287</v>
      </c>
      <c r="K1154" s="22">
        <f t="shared" si="378"/>
        <v>3.4398813895090996E-3</v>
      </c>
      <c r="L1154" s="22">
        <f t="shared" si="377"/>
        <v>3.4358310252377683E-3</v>
      </c>
      <c r="M1154" s="22">
        <f t="shared" si="377"/>
        <v>3.4317806609664363E-3</v>
      </c>
      <c r="N1154" s="22">
        <f t="shared" si="377"/>
        <v>3.4277302966951037E-3</v>
      </c>
      <c r="O1154" s="22">
        <f t="shared" si="377"/>
        <v>3.4236799324237725E-3</v>
      </c>
      <c r="P1154" s="22">
        <f t="shared" si="377"/>
        <v>3.4196295681524396E-3</v>
      </c>
      <c r="Q1154" s="22">
        <f t="shared" si="377"/>
        <v>3.4155792038811079E-3</v>
      </c>
      <c r="R1154" s="22">
        <f t="shared" si="377"/>
        <v>3.4115288396097763E-3</v>
      </c>
      <c r="S1154" s="22">
        <f t="shared" si="377"/>
        <v>3.4074784753384451E-3</v>
      </c>
      <c r="T1154" s="22">
        <f t="shared" si="377"/>
        <v>3.4034281110671134E-3</v>
      </c>
      <c r="U1154" s="22">
        <f t="shared" si="377"/>
        <v>3.39937774679578E-3</v>
      </c>
      <c r="V1154" s="22">
        <f t="shared" si="377"/>
        <v>3.3953273825244488E-3</v>
      </c>
      <c r="W1154" s="22">
        <f t="shared" si="377"/>
        <v>3.3912770182531172E-3</v>
      </c>
      <c r="X1154" s="22">
        <f t="shared" si="377"/>
        <v>3.387226653981786E-3</v>
      </c>
      <c r="Y1154" s="22">
        <f t="shared" si="377"/>
        <v>3.3831762897104547E-3</v>
      </c>
      <c r="Z1154" s="22">
        <f t="shared" si="377"/>
        <v>3.3791259254391218E-3</v>
      </c>
      <c r="AA1154" s="22">
        <f t="shared" si="377"/>
        <v>3.375075561167791E-3</v>
      </c>
      <c r="AB1154" s="22">
        <f t="shared" si="377"/>
        <v>3.3710251968964585E-3</v>
      </c>
      <c r="AC1154" s="22">
        <f t="shared" si="377"/>
        <v>3.3669748326251273E-3</v>
      </c>
      <c r="AD1154" s="22">
        <f t="shared" si="377"/>
        <v>3.3629244683537943E-3</v>
      </c>
      <c r="AE1154" s="22">
        <f t="shared" si="377"/>
        <v>3.358874104082464E-3</v>
      </c>
      <c r="AF1154" s="22">
        <f t="shared" si="377"/>
        <v>3.3548237398111319E-3</v>
      </c>
      <c r="AG1154" s="22">
        <f t="shared" si="377"/>
        <v>3.3507733755397998E-3</v>
      </c>
      <c r="AH1154" s="22">
        <f t="shared" si="377"/>
        <v>3.3467230112684673E-3</v>
      </c>
      <c r="AI1154" s="22">
        <f t="shared" si="377"/>
        <v>3.3426726469971361E-3</v>
      </c>
      <c r="AJ1154" s="22">
        <f t="shared" si="377"/>
        <v>3.3386222827258044E-3</v>
      </c>
      <c r="AK1154" s="22">
        <f t="shared" si="377"/>
        <v>3.3345719184544728E-3</v>
      </c>
      <c r="AL1154" s="22">
        <f t="shared" si="377"/>
        <v>3.3305215541831416E-3</v>
      </c>
      <c r="AM1154" s="22">
        <f t="shared" si="377"/>
        <v>3.3264711899118095E-3</v>
      </c>
      <c r="AN1154" s="22">
        <f t="shared" si="377"/>
        <v>3.3224208256404765E-3</v>
      </c>
      <c r="AO1154" s="22">
        <f t="shared" si="377"/>
        <v>3.3183704613691458E-3</v>
      </c>
      <c r="AP1154" s="22">
        <f t="shared" si="377"/>
        <v>3.3143200970978137E-3</v>
      </c>
      <c r="AQ1154" s="22">
        <f t="shared" si="377"/>
        <v>3.3102697328264833E-3</v>
      </c>
      <c r="AR1154" s="22">
        <f t="shared" si="377"/>
        <v>3.3062193685551499E-3</v>
      </c>
      <c r="AS1154" s="22">
        <f t="shared" si="377"/>
        <v>3.3021690042838187E-3</v>
      </c>
      <c r="AT1154" s="22">
        <f t="shared" si="377"/>
        <v>3.2981186400124866E-3</v>
      </c>
      <c r="AU1154" s="22">
        <f t="shared" si="377"/>
        <v>3.2940682757411541E-3</v>
      </c>
      <c r="AV1154" s="22">
        <f t="shared" si="377"/>
        <v>3.2900179114698229E-3</v>
      </c>
      <c r="AW1154" s="22">
        <f t="shared" si="377"/>
        <v>3.2859675471984908E-3</v>
      </c>
      <c r="AY1154" s="79"/>
    </row>
    <row r="1155" spans="1:51" x14ac:dyDescent="0.3">
      <c r="A1155" s="95" t="str">
        <f t="shared" si="374"/>
        <v>CM FSOM</v>
      </c>
      <c r="B1155" s="95" t="s">
        <v>1322</v>
      </c>
      <c r="C1155" s="95" t="s">
        <v>60</v>
      </c>
      <c r="D1155" t="s">
        <v>369</v>
      </c>
      <c r="E1155" t="s">
        <v>55</v>
      </c>
      <c r="F1155" t="s">
        <v>60</v>
      </c>
      <c r="G1155" t="s">
        <v>1272</v>
      </c>
      <c r="H1155" t="s">
        <v>1273</v>
      </c>
      <c r="J1155" t="s">
        <v>287</v>
      </c>
      <c r="K1155" s="22">
        <f t="shared" si="378"/>
        <v>0.49020960547040615</v>
      </c>
      <c r="L1155" s="22">
        <f t="shared" si="377"/>
        <v>0.49134551154341793</v>
      </c>
      <c r="M1155" s="22">
        <f t="shared" si="377"/>
        <v>0.49248141761642988</v>
      </c>
      <c r="N1155" s="22">
        <f t="shared" si="377"/>
        <v>0.49361732368944172</v>
      </c>
      <c r="O1155" s="22">
        <f t="shared" si="377"/>
        <v>0.49475322976245356</v>
      </c>
      <c r="P1155" s="22">
        <f t="shared" si="377"/>
        <v>0.49588913583546534</v>
      </c>
      <c r="Q1155" s="22">
        <f t="shared" si="377"/>
        <v>0.49702504190847724</v>
      </c>
      <c r="R1155" s="22">
        <f t="shared" si="377"/>
        <v>0.49816094798148913</v>
      </c>
      <c r="S1155" s="22">
        <f t="shared" si="377"/>
        <v>0.49929685405450086</v>
      </c>
      <c r="T1155" s="22">
        <f t="shared" si="377"/>
        <v>0.50043276012751292</v>
      </c>
      <c r="U1155" s="22">
        <f t="shared" si="377"/>
        <v>0.50156866620052454</v>
      </c>
      <c r="V1155" s="22">
        <f t="shared" si="377"/>
        <v>0.50270457227353649</v>
      </c>
      <c r="W1155" s="22">
        <f t="shared" si="377"/>
        <v>0.50384047834654833</v>
      </c>
      <c r="X1155" s="22">
        <f t="shared" si="377"/>
        <v>0.50497638441956039</v>
      </c>
      <c r="Y1155" s="22">
        <f t="shared" si="377"/>
        <v>0.506112290492572</v>
      </c>
      <c r="Z1155" s="22">
        <f t="shared" si="377"/>
        <v>0.50724819656558406</v>
      </c>
      <c r="AA1155" s="22">
        <f t="shared" si="377"/>
        <v>0.50838410263859568</v>
      </c>
      <c r="AB1155" s="22">
        <f t="shared" si="377"/>
        <v>0.50952000871160763</v>
      </c>
      <c r="AC1155" s="22">
        <f t="shared" si="377"/>
        <v>0.51065591478461958</v>
      </c>
      <c r="AD1155" s="22">
        <f t="shared" si="377"/>
        <v>0.51179182085763142</v>
      </c>
      <c r="AE1155" s="22">
        <f t="shared" si="377"/>
        <v>0.51292772693064326</v>
      </c>
      <c r="AF1155" s="22">
        <f t="shared" si="377"/>
        <v>0.5140636330036551</v>
      </c>
      <c r="AG1155" s="22">
        <f t="shared" si="377"/>
        <v>0.51519953907666705</v>
      </c>
      <c r="AH1155" s="22">
        <f t="shared" si="377"/>
        <v>0.51633544514967877</v>
      </c>
      <c r="AI1155" s="22">
        <f t="shared" si="377"/>
        <v>0.51747135122269072</v>
      </c>
      <c r="AJ1155" s="22">
        <f t="shared" si="377"/>
        <v>0.51860725729570256</v>
      </c>
      <c r="AK1155" s="22">
        <f t="shared" si="377"/>
        <v>0.5197431633687144</v>
      </c>
      <c r="AL1155" s="22">
        <f t="shared" si="377"/>
        <v>0.52087906944172624</v>
      </c>
      <c r="AM1155" s="22">
        <f t="shared" si="377"/>
        <v>0.52201497551473808</v>
      </c>
      <c r="AN1155" s="22">
        <f t="shared" si="377"/>
        <v>0.52315088158774992</v>
      </c>
      <c r="AO1155" s="22">
        <f t="shared" si="377"/>
        <v>0.52428678766076187</v>
      </c>
      <c r="AP1155" s="22">
        <f t="shared" si="377"/>
        <v>0.52542269373377359</v>
      </c>
      <c r="AQ1155" s="22">
        <f t="shared" si="377"/>
        <v>0.52655859980678543</v>
      </c>
      <c r="AR1155" s="22">
        <f t="shared" si="377"/>
        <v>0.52769450587979749</v>
      </c>
      <c r="AS1155" s="22">
        <f t="shared" si="377"/>
        <v>0.52883041195280922</v>
      </c>
      <c r="AT1155" s="22">
        <f t="shared" si="377"/>
        <v>0.52996631802582106</v>
      </c>
      <c r="AU1155" s="22">
        <f t="shared" si="377"/>
        <v>0.53110222409883301</v>
      </c>
      <c r="AV1155" s="22">
        <f t="shared" si="377"/>
        <v>0.53223813017184474</v>
      </c>
      <c r="AW1155" s="22">
        <f t="shared" si="377"/>
        <v>0.5333740362448568</v>
      </c>
      <c r="AY1155" s="79"/>
    </row>
    <row r="1156" spans="1:51" x14ac:dyDescent="0.3">
      <c r="A1156" s="95" t="str">
        <f t="shared" si="374"/>
        <v>CM FSOM</v>
      </c>
      <c r="B1156" s="95" t="s">
        <v>1322</v>
      </c>
      <c r="C1156" s="95" t="s">
        <v>60</v>
      </c>
      <c r="D1156" t="s">
        <v>369</v>
      </c>
      <c r="E1156" t="s">
        <v>55</v>
      </c>
      <c r="F1156" t="s">
        <v>60</v>
      </c>
      <c r="G1156" t="s">
        <v>1274</v>
      </c>
      <c r="H1156" t="s">
        <v>1275</v>
      </c>
      <c r="J1156" t="s">
        <v>287</v>
      </c>
      <c r="K1156" s="22">
        <f t="shared" si="378"/>
        <v>0.57597220909378744</v>
      </c>
      <c r="L1156" s="22">
        <f t="shared" si="377"/>
        <v>0.57597220909378744</v>
      </c>
      <c r="M1156" s="22">
        <f t="shared" si="377"/>
        <v>0.57597220909378744</v>
      </c>
      <c r="N1156" s="22">
        <f t="shared" si="377"/>
        <v>0.57597220909378744</v>
      </c>
      <c r="O1156" s="22">
        <f t="shared" si="377"/>
        <v>0.57597220909378744</v>
      </c>
      <c r="P1156" s="22">
        <f t="shared" si="377"/>
        <v>0.57597220909378744</v>
      </c>
      <c r="Q1156" s="22">
        <f t="shared" si="377"/>
        <v>0.57597220909378744</v>
      </c>
      <c r="R1156" s="22">
        <f t="shared" si="377"/>
        <v>0.57597220909378744</v>
      </c>
      <c r="S1156" s="22">
        <f t="shared" si="377"/>
        <v>0.57597220909378744</v>
      </c>
      <c r="T1156" s="22">
        <f t="shared" si="377"/>
        <v>0.57597220909378744</v>
      </c>
      <c r="U1156" s="22">
        <f t="shared" si="377"/>
        <v>0.57597220909378744</v>
      </c>
      <c r="V1156" s="22">
        <f t="shared" si="377"/>
        <v>0.57597220909378744</v>
      </c>
      <c r="W1156" s="22">
        <f t="shared" si="377"/>
        <v>0.57597220909378744</v>
      </c>
      <c r="X1156" s="22">
        <f t="shared" si="377"/>
        <v>0.57597220909378744</v>
      </c>
      <c r="Y1156" s="22">
        <f t="shared" si="377"/>
        <v>0.57597220909378744</v>
      </c>
      <c r="Z1156" s="22">
        <f t="shared" si="377"/>
        <v>0.57597220909378744</v>
      </c>
      <c r="AA1156" s="22">
        <f t="shared" si="377"/>
        <v>0.57597220909378744</v>
      </c>
      <c r="AB1156" s="22">
        <f t="shared" si="377"/>
        <v>0.57597220909378744</v>
      </c>
      <c r="AC1156" s="22">
        <f t="shared" si="377"/>
        <v>0.57597220909378744</v>
      </c>
      <c r="AD1156" s="22">
        <f t="shared" si="377"/>
        <v>0.57597220909378744</v>
      </c>
      <c r="AE1156" s="22">
        <f t="shared" si="377"/>
        <v>0.57597220909378744</v>
      </c>
      <c r="AF1156" s="22">
        <f t="shared" si="377"/>
        <v>0.57597220909378744</v>
      </c>
      <c r="AG1156" s="22">
        <f t="shared" si="377"/>
        <v>0.57597220909378744</v>
      </c>
      <c r="AH1156" s="22">
        <f t="shared" si="377"/>
        <v>0.57597220909378744</v>
      </c>
      <c r="AI1156" s="22">
        <f t="shared" si="377"/>
        <v>0.57597220909378744</v>
      </c>
      <c r="AJ1156" s="22">
        <f t="shared" si="377"/>
        <v>0.57597220909378744</v>
      </c>
      <c r="AK1156" s="22">
        <f t="shared" si="377"/>
        <v>0.57597220909378744</v>
      </c>
      <c r="AL1156" s="22">
        <f t="shared" si="377"/>
        <v>0.57597220909378744</v>
      </c>
      <c r="AM1156" s="22">
        <f t="shared" si="377"/>
        <v>0.57597220909378744</v>
      </c>
      <c r="AN1156" s="22">
        <f t="shared" si="377"/>
        <v>0.57597220909378744</v>
      </c>
      <c r="AO1156" s="22">
        <f t="shared" si="377"/>
        <v>0.57597220909378744</v>
      </c>
      <c r="AP1156" s="22">
        <f t="shared" si="377"/>
        <v>0.57597220909378744</v>
      </c>
      <c r="AQ1156" s="22">
        <f t="shared" si="377"/>
        <v>0.57597220909378744</v>
      </c>
      <c r="AR1156" s="22">
        <f t="shared" si="377"/>
        <v>0.57597220909378744</v>
      </c>
      <c r="AS1156" s="22">
        <f t="shared" si="377"/>
        <v>0.57597220909378744</v>
      </c>
      <c r="AT1156" s="22">
        <f t="shared" si="377"/>
        <v>0.57597220909378744</v>
      </c>
      <c r="AU1156" s="22">
        <f t="shared" si="377"/>
        <v>0.57597220909378744</v>
      </c>
      <c r="AV1156" s="22">
        <f t="shared" si="377"/>
        <v>0.57597220909378744</v>
      </c>
      <c r="AW1156" s="22">
        <f t="shared" si="377"/>
        <v>0.57597220909378744</v>
      </c>
      <c r="AY1156" s="79"/>
    </row>
    <row r="1157" spans="1:51" x14ac:dyDescent="0.3">
      <c r="A1157" s="95" t="str">
        <f t="shared" si="374"/>
        <v>CM FSOM</v>
      </c>
      <c r="B1157" s="95" t="s">
        <v>1322</v>
      </c>
      <c r="C1157" s="95" t="s">
        <v>60</v>
      </c>
      <c r="D1157" t="s">
        <v>369</v>
      </c>
      <c r="E1157" t="s">
        <v>55</v>
      </c>
      <c r="F1157" t="s">
        <v>60</v>
      </c>
      <c r="G1157" t="s">
        <v>1276</v>
      </c>
      <c r="H1157" t="s">
        <v>1277</v>
      </c>
      <c r="J1157" t="s">
        <v>287</v>
      </c>
      <c r="K1157" s="22" t="str">
        <f t="shared" si="378"/>
        <v>NO</v>
      </c>
      <c r="L1157" s="22" t="str">
        <f t="shared" si="377"/>
        <v>NO</v>
      </c>
      <c r="M1157" s="22" t="str">
        <f t="shared" si="377"/>
        <v>NO</v>
      </c>
      <c r="N1157" s="22" t="str">
        <f t="shared" si="377"/>
        <v>NO</v>
      </c>
      <c r="O1157" s="22" t="str">
        <f t="shared" si="377"/>
        <v>NO</v>
      </c>
      <c r="P1157" s="22" t="str">
        <f t="shared" si="377"/>
        <v>NO</v>
      </c>
      <c r="Q1157" s="22" t="str">
        <f t="shared" si="377"/>
        <v>NO</v>
      </c>
      <c r="R1157" s="22" t="str">
        <f t="shared" si="377"/>
        <v>NO</v>
      </c>
      <c r="S1157" s="22" t="str">
        <f t="shared" si="377"/>
        <v>NO</v>
      </c>
      <c r="T1157" s="22" t="str">
        <f t="shared" si="377"/>
        <v>NO</v>
      </c>
      <c r="U1157" s="22" t="str">
        <f t="shared" si="377"/>
        <v>NO</v>
      </c>
      <c r="V1157" s="22" t="str">
        <f t="shared" si="377"/>
        <v>NO</v>
      </c>
      <c r="W1157" s="22" t="str">
        <f t="shared" si="377"/>
        <v>NO</v>
      </c>
      <c r="X1157" s="22" t="str">
        <f t="shared" si="377"/>
        <v>NO</v>
      </c>
      <c r="Y1157" s="22" t="str">
        <f t="shared" si="377"/>
        <v>NO</v>
      </c>
      <c r="Z1157" s="22" t="str">
        <f t="shared" si="377"/>
        <v>NO</v>
      </c>
      <c r="AA1157" s="22" t="str">
        <f t="shared" si="377"/>
        <v>NO</v>
      </c>
      <c r="AB1157" s="22" t="str">
        <f t="shared" si="377"/>
        <v>NO</v>
      </c>
      <c r="AC1157" s="22" t="str">
        <f t="shared" si="377"/>
        <v>NO</v>
      </c>
      <c r="AD1157" s="22" t="str">
        <f t="shared" si="377"/>
        <v>NO</v>
      </c>
      <c r="AE1157" s="22" t="str">
        <f t="shared" si="377"/>
        <v>NO</v>
      </c>
      <c r="AF1157" s="22" t="str">
        <f t="shared" si="377"/>
        <v>NO</v>
      </c>
      <c r="AG1157" s="22" t="str">
        <f t="shared" si="377"/>
        <v>NO</v>
      </c>
      <c r="AH1157" s="22" t="str">
        <f t="shared" si="377"/>
        <v>NO</v>
      </c>
      <c r="AI1157" s="22" t="str">
        <f t="shared" si="377"/>
        <v>NO</v>
      </c>
      <c r="AJ1157" s="22" t="str">
        <f t="shared" si="377"/>
        <v>NO</v>
      </c>
      <c r="AK1157" s="22" t="str">
        <f t="shared" si="377"/>
        <v>NO</v>
      </c>
      <c r="AL1157" s="22" t="str">
        <f t="shared" si="377"/>
        <v>NO</v>
      </c>
      <c r="AM1157" s="22" t="str">
        <f t="shared" si="377"/>
        <v>NO</v>
      </c>
      <c r="AN1157" s="22" t="str">
        <f t="shared" si="377"/>
        <v>NO</v>
      </c>
      <c r="AO1157" s="22" t="str">
        <f t="shared" si="377"/>
        <v>NO</v>
      </c>
      <c r="AP1157" s="22" t="str">
        <f t="shared" si="377"/>
        <v>NO</v>
      </c>
      <c r="AQ1157" s="22" t="str">
        <f t="shared" si="377"/>
        <v>NO</v>
      </c>
      <c r="AR1157" s="22" t="str">
        <f t="shared" si="377"/>
        <v>NO</v>
      </c>
      <c r="AS1157" s="22" t="str">
        <f t="shared" si="377"/>
        <v>NO</v>
      </c>
      <c r="AT1157" s="22" t="str">
        <f t="shared" si="377"/>
        <v>NO</v>
      </c>
      <c r="AU1157" s="22" t="str">
        <f t="shared" si="377"/>
        <v>NO</v>
      </c>
      <c r="AV1157" s="22" t="str">
        <f t="shared" si="377"/>
        <v>NO</v>
      </c>
      <c r="AW1157" s="22" t="str">
        <f t="shared" si="377"/>
        <v>NO</v>
      </c>
      <c r="AY1157" s="79"/>
    </row>
    <row r="1158" spans="1:51" x14ac:dyDescent="0.3">
      <c r="A1158" s="95" t="str">
        <f t="shared" si="374"/>
        <v>CM FSOM</v>
      </c>
      <c r="B1158" s="95" t="s">
        <v>1322</v>
      </c>
      <c r="C1158" s="95" t="s">
        <v>60</v>
      </c>
      <c r="D1158" t="s">
        <v>369</v>
      </c>
      <c r="E1158" t="s">
        <v>55</v>
      </c>
      <c r="F1158" t="s">
        <v>60</v>
      </c>
      <c r="G1158" t="s">
        <v>1278</v>
      </c>
      <c r="H1158" t="s">
        <v>1279</v>
      </c>
      <c r="J1158" t="s">
        <v>287</v>
      </c>
      <c r="K1158" s="22" t="str">
        <f t="shared" si="378"/>
        <v>NO</v>
      </c>
      <c r="L1158" s="22" t="str">
        <f t="shared" si="377"/>
        <v>NO</v>
      </c>
      <c r="M1158" s="22" t="str">
        <f t="shared" si="377"/>
        <v>NO</v>
      </c>
      <c r="N1158" s="22" t="str">
        <f t="shared" si="377"/>
        <v>NO</v>
      </c>
      <c r="O1158" s="22" t="str">
        <f t="shared" si="377"/>
        <v>NO</v>
      </c>
      <c r="P1158" s="22" t="str">
        <f t="shared" si="377"/>
        <v>NO</v>
      </c>
      <c r="Q1158" s="22" t="str">
        <f t="shared" si="377"/>
        <v>NO</v>
      </c>
      <c r="R1158" s="22" t="str">
        <f t="shared" si="377"/>
        <v>NO</v>
      </c>
      <c r="S1158" s="22" t="str">
        <f t="shared" si="377"/>
        <v>NO</v>
      </c>
      <c r="T1158" s="22" t="str">
        <f t="shared" si="377"/>
        <v>NO</v>
      </c>
      <c r="U1158" s="22" t="str">
        <f t="shared" si="377"/>
        <v>NO</v>
      </c>
      <c r="V1158" s="22" t="str">
        <f t="shared" si="377"/>
        <v>NO</v>
      </c>
      <c r="W1158" s="22" t="str">
        <f t="shared" si="377"/>
        <v>NO</v>
      </c>
      <c r="X1158" s="22" t="str">
        <f t="shared" si="377"/>
        <v>NO</v>
      </c>
      <c r="Y1158" s="22" t="str">
        <f t="shared" si="377"/>
        <v>NO</v>
      </c>
      <c r="Z1158" s="22" t="str">
        <f t="shared" si="377"/>
        <v>NO</v>
      </c>
      <c r="AA1158" s="22" t="str">
        <f t="shared" si="377"/>
        <v>NO</v>
      </c>
      <c r="AB1158" s="22" t="str">
        <f t="shared" si="377"/>
        <v>NO</v>
      </c>
      <c r="AC1158" s="22" t="str">
        <f t="shared" si="377"/>
        <v>NO</v>
      </c>
      <c r="AD1158" s="22" t="str">
        <f t="shared" si="377"/>
        <v>NO</v>
      </c>
      <c r="AE1158" s="22" t="str">
        <f t="shared" si="377"/>
        <v>NO</v>
      </c>
      <c r="AF1158" s="22" t="str">
        <f t="shared" si="377"/>
        <v>NO</v>
      </c>
      <c r="AG1158" s="22" t="str">
        <f t="shared" si="377"/>
        <v>NO</v>
      </c>
      <c r="AH1158" s="22" t="str">
        <f t="shared" si="377"/>
        <v>NO</v>
      </c>
      <c r="AI1158" s="22" t="str">
        <f t="shared" si="377"/>
        <v>NO</v>
      </c>
      <c r="AJ1158" s="22" t="str">
        <f t="shared" si="377"/>
        <v>NO</v>
      </c>
      <c r="AK1158" s="22" t="str">
        <f t="shared" si="377"/>
        <v>NO</v>
      </c>
      <c r="AL1158" s="22" t="str">
        <f t="shared" si="377"/>
        <v>NO</v>
      </c>
      <c r="AM1158" s="22" t="str">
        <f t="shared" si="377"/>
        <v>NO</v>
      </c>
      <c r="AN1158" s="22" t="str">
        <f t="shared" si="377"/>
        <v>NO</v>
      </c>
      <c r="AO1158" s="22" t="str">
        <f t="shared" si="377"/>
        <v>NO</v>
      </c>
      <c r="AP1158" s="22" t="str">
        <f t="shared" si="377"/>
        <v>NO</v>
      </c>
      <c r="AQ1158" s="22" t="str">
        <f t="shared" si="377"/>
        <v>NO</v>
      </c>
      <c r="AR1158" s="22" t="str">
        <f t="shared" si="377"/>
        <v>NO</v>
      </c>
      <c r="AS1158" s="22" t="str">
        <f t="shared" si="377"/>
        <v>NO</v>
      </c>
      <c r="AT1158" s="22" t="str">
        <f t="shared" si="377"/>
        <v>NO</v>
      </c>
      <c r="AU1158" s="22" t="str">
        <f t="shared" si="377"/>
        <v>NO</v>
      </c>
      <c r="AV1158" s="22" t="str">
        <f t="shared" si="377"/>
        <v>NO</v>
      </c>
      <c r="AW1158" s="22" t="str">
        <f t="shared" si="377"/>
        <v>NO</v>
      </c>
      <c r="AY1158" s="79"/>
    </row>
    <row r="1159" spans="1:51" x14ac:dyDescent="0.3">
      <c r="A1159" s="95" t="str">
        <f t="shared" si="374"/>
        <v>CM FSOM</v>
      </c>
      <c r="B1159" s="95" t="s">
        <v>1322</v>
      </c>
      <c r="C1159" s="95" t="s">
        <v>60</v>
      </c>
      <c r="D1159" t="s">
        <v>369</v>
      </c>
      <c r="E1159" t="s">
        <v>55</v>
      </c>
      <c r="F1159" t="s">
        <v>60</v>
      </c>
      <c r="G1159" t="s">
        <v>1280</v>
      </c>
      <c r="H1159" t="s">
        <v>1281</v>
      </c>
      <c r="J1159" t="s">
        <v>287</v>
      </c>
      <c r="K1159" s="22" t="str">
        <f t="shared" si="378"/>
        <v>NO</v>
      </c>
      <c r="L1159" s="22" t="str">
        <f t="shared" si="377"/>
        <v>NO</v>
      </c>
      <c r="M1159" s="22" t="str">
        <f t="shared" si="377"/>
        <v>NO</v>
      </c>
      <c r="N1159" s="22" t="str">
        <f t="shared" si="377"/>
        <v>NO</v>
      </c>
      <c r="O1159" s="22" t="str">
        <f t="shared" si="377"/>
        <v>NO</v>
      </c>
      <c r="P1159" s="22" t="str">
        <f t="shared" ref="L1159:AW1163" si="379">P1505</f>
        <v>NO</v>
      </c>
      <c r="Q1159" s="22" t="str">
        <f t="shared" si="379"/>
        <v>NO</v>
      </c>
      <c r="R1159" s="22" t="str">
        <f t="shared" si="379"/>
        <v>NO</v>
      </c>
      <c r="S1159" s="22" t="str">
        <f t="shared" si="379"/>
        <v>NO</v>
      </c>
      <c r="T1159" s="22" t="str">
        <f t="shared" si="379"/>
        <v>NO</v>
      </c>
      <c r="U1159" s="22" t="str">
        <f t="shared" si="379"/>
        <v>NO</v>
      </c>
      <c r="V1159" s="22" t="str">
        <f t="shared" si="379"/>
        <v>NO</v>
      </c>
      <c r="W1159" s="22" t="str">
        <f t="shared" si="379"/>
        <v>NO</v>
      </c>
      <c r="X1159" s="22" t="str">
        <f t="shared" si="379"/>
        <v>NO</v>
      </c>
      <c r="Y1159" s="22" t="str">
        <f t="shared" si="379"/>
        <v>NO</v>
      </c>
      <c r="Z1159" s="22" t="str">
        <f t="shared" si="379"/>
        <v>NO</v>
      </c>
      <c r="AA1159" s="22" t="str">
        <f t="shared" si="379"/>
        <v>NO</v>
      </c>
      <c r="AB1159" s="22" t="str">
        <f t="shared" si="379"/>
        <v>NO</v>
      </c>
      <c r="AC1159" s="22" t="str">
        <f t="shared" si="379"/>
        <v>NO</v>
      </c>
      <c r="AD1159" s="22" t="str">
        <f t="shared" si="379"/>
        <v>NO</v>
      </c>
      <c r="AE1159" s="22" t="str">
        <f t="shared" si="379"/>
        <v>NO</v>
      </c>
      <c r="AF1159" s="22" t="str">
        <f t="shared" si="379"/>
        <v>NO</v>
      </c>
      <c r="AG1159" s="22" t="str">
        <f t="shared" si="379"/>
        <v>NO</v>
      </c>
      <c r="AH1159" s="22" t="str">
        <f t="shared" si="379"/>
        <v>NO</v>
      </c>
      <c r="AI1159" s="22" t="str">
        <f t="shared" si="379"/>
        <v>NO</v>
      </c>
      <c r="AJ1159" s="22" t="str">
        <f t="shared" si="379"/>
        <v>NO</v>
      </c>
      <c r="AK1159" s="22" t="str">
        <f t="shared" si="379"/>
        <v>NO</v>
      </c>
      <c r="AL1159" s="22" t="str">
        <f t="shared" si="379"/>
        <v>NO</v>
      </c>
      <c r="AM1159" s="22" t="str">
        <f t="shared" si="379"/>
        <v>NO</v>
      </c>
      <c r="AN1159" s="22" t="str">
        <f t="shared" si="379"/>
        <v>NO</v>
      </c>
      <c r="AO1159" s="22" t="str">
        <f t="shared" si="379"/>
        <v>NO</v>
      </c>
      <c r="AP1159" s="22" t="str">
        <f t="shared" si="379"/>
        <v>NO</v>
      </c>
      <c r="AQ1159" s="22" t="str">
        <f t="shared" si="379"/>
        <v>NO</v>
      </c>
      <c r="AR1159" s="22" t="str">
        <f t="shared" si="379"/>
        <v>NO</v>
      </c>
      <c r="AS1159" s="22" t="str">
        <f t="shared" si="379"/>
        <v>NO</v>
      </c>
      <c r="AT1159" s="22" t="str">
        <f t="shared" si="379"/>
        <v>NO</v>
      </c>
      <c r="AU1159" s="22" t="str">
        <f t="shared" si="379"/>
        <v>NO</v>
      </c>
      <c r="AV1159" s="22" t="str">
        <f t="shared" si="379"/>
        <v>NO</v>
      </c>
      <c r="AW1159" s="22" t="str">
        <f t="shared" si="379"/>
        <v>NO</v>
      </c>
      <c r="AY1159" s="79"/>
    </row>
    <row r="1160" spans="1:51" x14ac:dyDescent="0.3">
      <c r="A1160" s="95" t="str">
        <f t="shared" si="374"/>
        <v>CM FSOM</v>
      </c>
      <c r="B1160" s="95" t="s">
        <v>1322</v>
      </c>
      <c r="C1160" s="95" t="s">
        <v>60</v>
      </c>
      <c r="D1160" t="s">
        <v>369</v>
      </c>
      <c r="E1160" t="s">
        <v>55</v>
      </c>
      <c r="F1160" t="s">
        <v>60</v>
      </c>
      <c r="G1160" t="s">
        <v>1282</v>
      </c>
      <c r="H1160" t="s">
        <v>1283</v>
      </c>
      <c r="J1160" t="s">
        <v>287</v>
      </c>
      <c r="K1160" s="22">
        <f t="shared" si="378"/>
        <v>5.604018730639919E-5</v>
      </c>
      <c r="L1160" s="22">
        <f t="shared" si="379"/>
        <v>5.604018730639919E-5</v>
      </c>
      <c r="M1160" s="22">
        <f t="shared" si="379"/>
        <v>5.604018730639919E-5</v>
      </c>
      <c r="N1160" s="22">
        <f t="shared" si="379"/>
        <v>5.604018730639919E-5</v>
      </c>
      <c r="O1160" s="22">
        <f t="shared" si="379"/>
        <v>5.604018730639919E-5</v>
      </c>
      <c r="P1160" s="22">
        <f t="shared" si="379"/>
        <v>5.604018730639919E-5</v>
      </c>
      <c r="Q1160" s="22">
        <f t="shared" si="379"/>
        <v>5.604018730639919E-5</v>
      </c>
      <c r="R1160" s="22">
        <f t="shared" si="379"/>
        <v>5.604018730639919E-5</v>
      </c>
      <c r="S1160" s="22">
        <f t="shared" si="379"/>
        <v>5.604018730639919E-5</v>
      </c>
      <c r="T1160" s="22">
        <f t="shared" si="379"/>
        <v>5.604018730639919E-5</v>
      </c>
      <c r="U1160" s="22">
        <f t="shared" si="379"/>
        <v>5.604018730639919E-5</v>
      </c>
      <c r="V1160" s="22">
        <f t="shared" si="379"/>
        <v>5.604018730639919E-5</v>
      </c>
      <c r="W1160" s="22">
        <f t="shared" si="379"/>
        <v>5.604018730639919E-5</v>
      </c>
      <c r="X1160" s="22">
        <f t="shared" si="379"/>
        <v>5.604018730639919E-5</v>
      </c>
      <c r="Y1160" s="22">
        <f t="shared" si="379"/>
        <v>5.604018730639919E-5</v>
      </c>
      <c r="Z1160" s="22">
        <f t="shared" si="379"/>
        <v>5.604018730639919E-5</v>
      </c>
      <c r="AA1160" s="22">
        <f t="shared" si="379"/>
        <v>5.604018730639919E-5</v>
      </c>
      <c r="AB1160" s="22">
        <f t="shared" si="379"/>
        <v>5.604018730639919E-5</v>
      </c>
      <c r="AC1160" s="22">
        <f t="shared" si="379"/>
        <v>5.604018730639919E-5</v>
      </c>
      <c r="AD1160" s="22">
        <f t="shared" si="379"/>
        <v>5.604018730639919E-5</v>
      </c>
      <c r="AE1160" s="22">
        <f t="shared" si="379"/>
        <v>5.604018730639919E-5</v>
      </c>
      <c r="AF1160" s="22">
        <f t="shared" si="379"/>
        <v>5.604018730639919E-5</v>
      </c>
      <c r="AG1160" s="22">
        <f t="shared" si="379"/>
        <v>5.604018730639919E-5</v>
      </c>
      <c r="AH1160" s="22">
        <f t="shared" si="379"/>
        <v>5.604018730639919E-5</v>
      </c>
      <c r="AI1160" s="22">
        <f t="shared" si="379"/>
        <v>5.604018730639919E-5</v>
      </c>
      <c r="AJ1160" s="22">
        <f t="shared" si="379"/>
        <v>5.604018730639919E-5</v>
      </c>
      <c r="AK1160" s="22">
        <f t="shared" si="379"/>
        <v>5.604018730639919E-5</v>
      </c>
      <c r="AL1160" s="22">
        <f t="shared" si="379"/>
        <v>5.604018730639919E-5</v>
      </c>
      <c r="AM1160" s="22">
        <f t="shared" si="379"/>
        <v>5.604018730639919E-5</v>
      </c>
      <c r="AN1160" s="22">
        <f t="shared" si="379"/>
        <v>5.604018730639919E-5</v>
      </c>
      <c r="AO1160" s="22">
        <f t="shared" si="379"/>
        <v>5.604018730639919E-5</v>
      </c>
      <c r="AP1160" s="22">
        <f t="shared" si="379"/>
        <v>5.604018730639919E-5</v>
      </c>
      <c r="AQ1160" s="22">
        <f t="shared" si="379"/>
        <v>5.604018730639919E-5</v>
      </c>
      <c r="AR1160" s="22">
        <f t="shared" si="379"/>
        <v>5.604018730639919E-5</v>
      </c>
      <c r="AS1160" s="22">
        <f t="shared" si="379"/>
        <v>5.604018730639919E-5</v>
      </c>
      <c r="AT1160" s="22">
        <f t="shared" si="379"/>
        <v>5.604018730639919E-5</v>
      </c>
      <c r="AU1160" s="22">
        <f t="shared" si="379"/>
        <v>5.604018730639919E-5</v>
      </c>
      <c r="AV1160" s="22">
        <f t="shared" si="379"/>
        <v>5.604018730639919E-5</v>
      </c>
      <c r="AW1160" s="22">
        <f t="shared" si="379"/>
        <v>5.604018730639919E-5</v>
      </c>
      <c r="AY1160" s="79"/>
    </row>
    <row r="1161" spans="1:51" x14ac:dyDescent="0.3">
      <c r="A1161" s="95" t="str">
        <f t="shared" si="374"/>
        <v>CM FSOM</v>
      </c>
      <c r="B1161" s="95" t="s">
        <v>1322</v>
      </c>
      <c r="C1161" s="95" t="s">
        <v>60</v>
      </c>
      <c r="D1161" t="s">
        <v>369</v>
      </c>
      <c r="E1161" t="s">
        <v>55</v>
      </c>
      <c r="F1161" t="s">
        <v>60</v>
      </c>
      <c r="G1161" t="s">
        <v>1284</v>
      </c>
      <c r="H1161" t="s">
        <v>1285</v>
      </c>
      <c r="J1161" t="s">
        <v>287</v>
      </c>
      <c r="K1161" s="22">
        <f t="shared" si="378"/>
        <v>6.110857899094551E-2</v>
      </c>
      <c r="L1161" s="22">
        <f t="shared" si="379"/>
        <v>6.110857899094551E-2</v>
      </c>
      <c r="M1161" s="22">
        <f t="shared" si="379"/>
        <v>6.110857899094551E-2</v>
      </c>
      <c r="N1161" s="22">
        <f t="shared" si="379"/>
        <v>6.110857899094551E-2</v>
      </c>
      <c r="O1161" s="22">
        <f t="shared" si="379"/>
        <v>6.110857899094551E-2</v>
      </c>
      <c r="P1161" s="22">
        <f t="shared" si="379"/>
        <v>6.110857899094551E-2</v>
      </c>
      <c r="Q1161" s="22">
        <f t="shared" si="379"/>
        <v>6.110857899094551E-2</v>
      </c>
      <c r="R1161" s="22">
        <f t="shared" si="379"/>
        <v>6.110857899094551E-2</v>
      </c>
      <c r="S1161" s="22">
        <f t="shared" si="379"/>
        <v>6.110857899094551E-2</v>
      </c>
      <c r="T1161" s="22">
        <f t="shared" si="379"/>
        <v>6.110857899094551E-2</v>
      </c>
      <c r="U1161" s="22">
        <f t="shared" si="379"/>
        <v>6.110857899094551E-2</v>
      </c>
      <c r="V1161" s="22">
        <f t="shared" si="379"/>
        <v>6.110857899094551E-2</v>
      </c>
      <c r="W1161" s="22">
        <f t="shared" si="379"/>
        <v>6.110857899094551E-2</v>
      </c>
      <c r="X1161" s="22">
        <f t="shared" si="379"/>
        <v>6.110857899094551E-2</v>
      </c>
      <c r="Y1161" s="22">
        <f t="shared" si="379"/>
        <v>6.110857899094551E-2</v>
      </c>
      <c r="Z1161" s="22">
        <f t="shared" si="379"/>
        <v>6.110857899094551E-2</v>
      </c>
      <c r="AA1161" s="22">
        <f t="shared" si="379"/>
        <v>6.110857899094551E-2</v>
      </c>
      <c r="AB1161" s="22">
        <f t="shared" si="379"/>
        <v>6.110857899094551E-2</v>
      </c>
      <c r="AC1161" s="22">
        <f t="shared" si="379"/>
        <v>6.110857899094551E-2</v>
      </c>
      <c r="AD1161" s="22">
        <f t="shared" si="379"/>
        <v>6.110857899094551E-2</v>
      </c>
      <c r="AE1161" s="22">
        <f t="shared" si="379"/>
        <v>6.110857899094551E-2</v>
      </c>
      <c r="AF1161" s="22">
        <f t="shared" si="379"/>
        <v>6.110857899094551E-2</v>
      </c>
      <c r="AG1161" s="22">
        <f t="shared" si="379"/>
        <v>6.110857899094551E-2</v>
      </c>
      <c r="AH1161" s="22">
        <f t="shared" si="379"/>
        <v>6.110857899094551E-2</v>
      </c>
      <c r="AI1161" s="22">
        <f t="shared" si="379"/>
        <v>6.110857899094551E-2</v>
      </c>
      <c r="AJ1161" s="22">
        <f t="shared" si="379"/>
        <v>6.110857899094551E-2</v>
      </c>
      <c r="AK1161" s="22">
        <f t="shared" si="379"/>
        <v>6.110857899094551E-2</v>
      </c>
      <c r="AL1161" s="22">
        <f t="shared" si="379"/>
        <v>6.110857899094551E-2</v>
      </c>
      <c r="AM1161" s="22">
        <f t="shared" si="379"/>
        <v>6.110857899094551E-2</v>
      </c>
      <c r="AN1161" s="22">
        <f t="shared" si="379"/>
        <v>6.110857899094551E-2</v>
      </c>
      <c r="AO1161" s="22">
        <f t="shared" si="379"/>
        <v>6.110857899094551E-2</v>
      </c>
      <c r="AP1161" s="22">
        <f t="shared" si="379"/>
        <v>6.110857899094551E-2</v>
      </c>
      <c r="AQ1161" s="22">
        <f t="shared" si="379"/>
        <v>6.110857899094551E-2</v>
      </c>
      <c r="AR1161" s="22">
        <f t="shared" si="379"/>
        <v>6.110857899094551E-2</v>
      </c>
      <c r="AS1161" s="22">
        <f t="shared" si="379"/>
        <v>6.110857899094551E-2</v>
      </c>
      <c r="AT1161" s="22">
        <f t="shared" si="379"/>
        <v>6.110857899094551E-2</v>
      </c>
      <c r="AU1161" s="22">
        <f t="shared" si="379"/>
        <v>6.110857899094551E-2</v>
      </c>
      <c r="AV1161" s="22">
        <f t="shared" si="379"/>
        <v>6.110857899094551E-2</v>
      </c>
      <c r="AW1161" s="22">
        <f t="shared" si="379"/>
        <v>6.110857899094551E-2</v>
      </c>
      <c r="AY1161" s="79"/>
    </row>
    <row r="1162" spans="1:51" x14ac:dyDescent="0.3">
      <c r="A1162" s="95" t="str">
        <f t="shared" si="374"/>
        <v>CM FSOM</v>
      </c>
      <c r="B1162" s="95" t="s">
        <v>1322</v>
      </c>
      <c r="C1162" s="95" t="s">
        <v>60</v>
      </c>
      <c r="D1162" t="s">
        <v>369</v>
      </c>
      <c r="E1162" t="s">
        <v>55</v>
      </c>
      <c r="F1162" t="s">
        <v>60</v>
      </c>
      <c r="G1162" t="s">
        <v>1286</v>
      </c>
      <c r="H1162" t="s">
        <v>1287</v>
      </c>
      <c r="J1162" t="s">
        <v>287</v>
      </c>
      <c r="K1162" s="22" t="str">
        <f t="shared" si="378"/>
        <v>NO</v>
      </c>
      <c r="L1162" s="22" t="str">
        <f t="shared" si="379"/>
        <v>NO</v>
      </c>
      <c r="M1162" s="22" t="str">
        <f t="shared" si="379"/>
        <v>NO</v>
      </c>
      <c r="N1162" s="22" t="str">
        <f t="shared" si="379"/>
        <v>NO</v>
      </c>
      <c r="O1162" s="22" t="str">
        <f t="shared" si="379"/>
        <v>NO</v>
      </c>
      <c r="P1162" s="22" t="str">
        <f t="shared" si="379"/>
        <v>NO</v>
      </c>
      <c r="Q1162" s="22" t="str">
        <f t="shared" si="379"/>
        <v>NO</v>
      </c>
      <c r="R1162" s="22" t="str">
        <f t="shared" si="379"/>
        <v>NO</v>
      </c>
      <c r="S1162" s="22" t="str">
        <f t="shared" si="379"/>
        <v>NO</v>
      </c>
      <c r="T1162" s="22" t="str">
        <f t="shared" si="379"/>
        <v>NO</v>
      </c>
      <c r="U1162" s="22" t="str">
        <f t="shared" si="379"/>
        <v>NO</v>
      </c>
      <c r="V1162" s="22" t="str">
        <f t="shared" si="379"/>
        <v>NO</v>
      </c>
      <c r="W1162" s="22" t="str">
        <f t="shared" si="379"/>
        <v>NO</v>
      </c>
      <c r="X1162" s="22" t="str">
        <f t="shared" si="379"/>
        <v>NO</v>
      </c>
      <c r="Y1162" s="22" t="str">
        <f t="shared" si="379"/>
        <v>NO</v>
      </c>
      <c r="Z1162" s="22" t="str">
        <f t="shared" si="379"/>
        <v>NO</v>
      </c>
      <c r="AA1162" s="22" t="str">
        <f t="shared" si="379"/>
        <v>NO</v>
      </c>
      <c r="AB1162" s="22" t="str">
        <f t="shared" si="379"/>
        <v>NO</v>
      </c>
      <c r="AC1162" s="22" t="str">
        <f t="shared" si="379"/>
        <v>NO</v>
      </c>
      <c r="AD1162" s="22" t="str">
        <f t="shared" si="379"/>
        <v>NO</v>
      </c>
      <c r="AE1162" s="22" t="str">
        <f t="shared" si="379"/>
        <v>NO</v>
      </c>
      <c r="AF1162" s="22" t="str">
        <f t="shared" si="379"/>
        <v>NO</v>
      </c>
      <c r="AG1162" s="22" t="str">
        <f t="shared" si="379"/>
        <v>NO</v>
      </c>
      <c r="AH1162" s="22" t="str">
        <f t="shared" si="379"/>
        <v>NO</v>
      </c>
      <c r="AI1162" s="22" t="str">
        <f t="shared" si="379"/>
        <v>NO</v>
      </c>
      <c r="AJ1162" s="22" t="str">
        <f t="shared" si="379"/>
        <v>NO</v>
      </c>
      <c r="AK1162" s="22" t="str">
        <f t="shared" si="379"/>
        <v>NO</v>
      </c>
      <c r="AL1162" s="22" t="str">
        <f t="shared" si="379"/>
        <v>NO</v>
      </c>
      <c r="AM1162" s="22" t="str">
        <f t="shared" si="379"/>
        <v>NO</v>
      </c>
      <c r="AN1162" s="22" t="str">
        <f t="shared" si="379"/>
        <v>NO</v>
      </c>
      <c r="AO1162" s="22" t="str">
        <f t="shared" si="379"/>
        <v>NO</v>
      </c>
      <c r="AP1162" s="22" t="str">
        <f t="shared" si="379"/>
        <v>NO</v>
      </c>
      <c r="AQ1162" s="22" t="str">
        <f t="shared" si="379"/>
        <v>NO</v>
      </c>
      <c r="AR1162" s="22" t="str">
        <f t="shared" si="379"/>
        <v>NO</v>
      </c>
      <c r="AS1162" s="22" t="str">
        <f t="shared" si="379"/>
        <v>NO</v>
      </c>
      <c r="AT1162" s="22" t="str">
        <f t="shared" si="379"/>
        <v>NO</v>
      </c>
      <c r="AU1162" s="22" t="str">
        <f t="shared" si="379"/>
        <v>NO</v>
      </c>
      <c r="AV1162" s="22" t="str">
        <f t="shared" si="379"/>
        <v>NO</v>
      </c>
      <c r="AW1162" s="22" t="str">
        <f t="shared" si="379"/>
        <v>NO</v>
      </c>
      <c r="AY1162" s="79"/>
    </row>
    <row r="1163" spans="1:51" x14ac:dyDescent="0.3">
      <c r="A1163" s="95" t="str">
        <f t="shared" si="374"/>
        <v>CM FSOM</v>
      </c>
      <c r="B1163" s="95" t="s">
        <v>1322</v>
      </c>
      <c r="C1163" s="95" t="s">
        <v>60</v>
      </c>
      <c r="D1163" t="s">
        <v>369</v>
      </c>
      <c r="E1163" t="s">
        <v>55</v>
      </c>
      <c r="F1163" t="s">
        <v>60</v>
      </c>
      <c r="G1163" t="s">
        <v>1288</v>
      </c>
      <c r="H1163" t="s">
        <v>1289</v>
      </c>
      <c r="J1163" t="s">
        <v>287</v>
      </c>
      <c r="K1163" s="22">
        <f t="shared" si="378"/>
        <v>3.1961717215001131</v>
      </c>
      <c r="L1163" s="22">
        <f t="shared" si="379"/>
        <v>3.1961717215001131</v>
      </c>
      <c r="M1163" s="22">
        <f t="shared" si="379"/>
        <v>3.1961717215001131</v>
      </c>
      <c r="N1163" s="22">
        <f t="shared" si="379"/>
        <v>3.1961717215001131</v>
      </c>
      <c r="O1163" s="22">
        <f t="shared" si="379"/>
        <v>3.1961717215001131</v>
      </c>
      <c r="P1163" s="22">
        <f t="shared" si="379"/>
        <v>3.1961717215001131</v>
      </c>
      <c r="Q1163" s="22">
        <f t="shared" si="379"/>
        <v>3.1961717215001131</v>
      </c>
      <c r="R1163" s="22">
        <f t="shared" si="379"/>
        <v>3.1961717215001131</v>
      </c>
      <c r="S1163" s="22">
        <f t="shared" si="379"/>
        <v>3.1961717215001131</v>
      </c>
      <c r="T1163" s="22">
        <f t="shared" si="379"/>
        <v>3.1961717215001131</v>
      </c>
      <c r="U1163" s="22">
        <f t="shared" si="379"/>
        <v>3.1961717215001131</v>
      </c>
      <c r="V1163" s="22">
        <f t="shared" si="379"/>
        <v>3.1961717215001131</v>
      </c>
      <c r="W1163" s="22">
        <f t="shared" si="379"/>
        <v>3.1961717215001131</v>
      </c>
      <c r="X1163" s="22">
        <f t="shared" si="379"/>
        <v>3.1961717215001131</v>
      </c>
      <c r="Y1163" s="22">
        <f t="shared" si="379"/>
        <v>3.1961717215001131</v>
      </c>
      <c r="Z1163" s="22">
        <f t="shared" si="379"/>
        <v>3.1961717215001131</v>
      </c>
      <c r="AA1163" s="22">
        <f t="shared" si="379"/>
        <v>3.1961717215001131</v>
      </c>
      <c r="AB1163" s="22">
        <f t="shared" si="379"/>
        <v>3.1961717215001131</v>
      </c>
      <c r="AC1163" s="22">
        <f t="shared" si="379"/>
        <v>3.1961717215001131</v>
      </c>
      <c r="AD1163" s="22">
        <f t="shared" si="379"/>
        <v>3.1961717215001131</v>
      </c>
      <c r="AE1163" s="22">
        <f t="shared" si="379"/>
        <v>3.1961717215001131</v>
      </c>
      <c r="AF1163" s="22">
        <f t="shared" si="379"/>
        <v>3.1961717215001131</v>
      </c>
      <c r="AG1163" s="22">
        <f t="shared" si="379"/>
        <v>3.1961717215001131</v>
      </c>
      <c r="AH1163" s="22">
        <f t="shared" si="379"/>
        <v>3.1961717215001131</v>
      </c>
      <c r="AI1163" s="22">
        <f t="shared" si="379"/>
        <v>3.1961717215001131</v>
      </c>
      <c r="AJ1163" s="22">
        <f t="shared" si="379"/>
        <v>3.1961717215001131</v>
      </c>
      <c r="AK1163" s="22">
        <f t="shared" si="379"/>
        <v>3.1961717215001131</v>
      </c>
      <c r="AL1163" s="22">
        <f t="shared" si="379"/>
        <v>3.1961717215001131</v>
      </c>
      <c r="AM1163" s="22">
        <f t="shared" si="379"/>
        <v>3.1961717215001131</v>
      </c>
      <c r="AN1163" s="22">
        <f t="shared" si="379"/>
        <v>3.1961717215001131</v>
      </c>
      <c r="AO1163" s="22">
        <f t="shared" si="379"/>
        <v>3.1961717215001131</v>
      </c>
      <c r="AP1163" s="22">
        <f t="shared" si="379"/>
        <v>3.1961717215001131</v>
      </c>
      <c r="AQ1163" s="22">
        <f t="shared" si="379"/>
        <v>3.1961717215001131</v>
      </c>
      <c r="AR1163" s="22">
        <f t="shared" si="379"/>
        <v>3.1961717215001131</v>
      </c>
      <c r="AS1163" s="22">
        <f t="shared" si="379"/>
        <v>3.1961717215001131</v>
      </c>
      <c r="AT1163" s="22">
        <f t="shared" si="379"/>
        <v>3.1961717215001131</v>
      </c>
      <c r="AU1163" s="22">
        <f t="shared" si="379"/>
        <v>3.1961717215001131</v>
      </c>
      <c r="AV1163" s="22">
        <f t="shared" si="379"/>
        <v>3.1961717215001131</v>
      </c>
      <c r="AW1163" s="22">
        <f t="shared" si="379"/>
        <v>3.1961717215001131</v>
      </c>
      <c r="AY1163" s="79"/>
    </row>
    <row r="1164" spans="1:51" x14ac:dyDescent="0.3">
      <c r="A1164" s="95" t="str">
        <f t="shared" si="374"/>
        <v>CM Volatilisation</v>
      </c>
      <c r="B1164" s="95" t="s">
        <v>1322</v>
      </c>
      <c r="C1164" s="95" t="s">
        <v>62</v>
      </c>
      <c r="D1164" t="s">
        <v>369</v>
      </c>
      <c r="E1164" t="s">
        <v>61</v>
      </c>
      <c r="F1164" t="s">
        <v>62</v>
      </c>
      <c r="G1164" t="s">
        <v>435</v>
      </c>
      <c r="H1164" t="s">
        <v>1184</v>
      </c>
      <c r="I1164" t="s">
        <v>139</v>
      </c>
      <c r="J1164" t="s">
        <v>287</v>
      </c>
      <c r="K1164" s="94">
        <f>IF('Net zero activities &amp; levers'!$C$14="Off",'Activity data'!AD47*ttokg*FracGASF*MSVolatEF*NtoN2O*kgtoGg,IF('Net zero activities &amp; levers'!$C$14="On",'Net zero Activity data'!AD47*ttokg*FracGASF*MSVolatEF*NtoN2O*kgtoGg,"ERROR"))</f>
        <v>0.66064812063358536</v>
      </c>
      <c r="L1164" s="94">
        <f>IF('Net zero activities &amp; levers'!$C$14="Off",'Activity data'!AE47*ttokg*FracGASF*MSVolatEF*NtoN2O*kgtoGg,IF('Net zero activities &amp; levers'!$C$14="On",'Net zero Activity data'!AE47*ttokg*FracGASF*MSVolatEF*NtoN2O*kgtoGg,"ERROR"))</f>
        <v>0.66058242184852956</v>
      </c>
      <c r="M1164" s="94">
        <f>IF('Net zero activities &amp; levers'!$C$14="Off",'Activity data'!AF47*ttokg*FracGASF*MSVolatEF*NtoN2O*kgtoGg,IF('Net zero activities &amp; levers'!$C$14="On",'Net zero Activity data'!AF47*ttokg*FracGASF*MSVolatEF*NtoN2O*kgtoGg,"ERROR"))</f>
        <v>0.66046196765835474</v>
      </c>
      <c r="N1164" s="94">
        <f>IF('Net zero activities &amp; levers'!$C$14="Off",'Activity data'!AG47*ttokg*FracGASF*MSVolatEF*NtoN2O*kgtoGg,IF('Net zero activities &amp; levers'!$C$14="On",'Net zero Activity data'!AG47*ttokg*FracGASF*MSVolatEF*NtoN2O*kgtoGg,"ERROR"))</f>
        <v>0.66031799495417198</v>
      </c>
      <c r="O1164" s="94">
        <f>IF('Net zero activities &amp; levers'!$C$14="Off",'Activity data'!AH47*ttokg*FracGASF*MSVolatEF*NtoN2O*kgtoGg,IF('Net zero activities &amp; levers'!$C$14="On",'Net zero Activity data'!AH47*ttokg*FracGASF*MSVolatEF*NtoN2O*kgtoGg,"ERROR"))</f>
        <v>0.66022073532502734</v>
      </c>
      <c r="P1164" s="94">
        <f>IF('Net zero activities &amp; levers'!$C$14="Off",'Activity data'!AI47*ttokg*FracGASF*MSVolatEF*NtoN2O*kgtoGg,IF('Net zero activities &amp; levers'!$C$14="On",'Net zero Activity data'!AI47*ttokg*FracGASF*MSVolatEF*NtoN2O*kgtoGg,"ERROR"))</f>
        <v>0.66015380384919209</v>
      </c>
      <c r="Q1164" s="94">
        <f>IF('Net zero activities &amp; levers'!$C$14="Off",'Activity data'!AJ47*ttokg*FracGASF*MSVolatEF*NtoN2O*kgtoGg,IF('Net zero activities &amp; levers'!$C$14="On",'Net zero Activity data'!AJ47*ttokg*FracGASF*MSVolatEF*NtoN2O*kgtoGg,"ERROR"))</f>
        <v>0.66011715236312984</v>
      </c>
      <c r="R1164" s="94">
        <f>IF('Net zero activities &amp; levers'!$C$14="Off",'Activity data'!AK47*ttokg*FracGASF*MSVolatEF*NtoN2O*kgtoGg,IF('Net zero activities &amp; levers'!$C$14="On",'Net zero Activity data'!AK47*ttokg*FracGASF*MSVolatEF*NtoN2O*kgtoGg,"ERROR"))</f>
        <v>0.66005785698707231</v>
      </c>
      <c r="S1164" s="94">
        <f>IF('Net zero activities &amp; levers'!$C$14="Off",'Activity data'!AL47*ttokg*FracGASF*MSVolatEF*NtoN2O*kgtoGg,IF('Net zero activities &amp; levers'!$C$14="On",'Net zero Activity data'!AL47*ttokg*FracGASF*MSVolatEF*NtoN2O*kgtoGg,"ERROR"))</f>
        <v>0.65999557160724309</v>
      </c>
      <c r="T1164" s="94">
        <f>IF('Net zero activities &amp; levers'!$C$14="Off",'Activity data'!AM47*ttokg*FracGASF*MSVolatEF*NtoN2O*kgtoGg,IF('Net zero activities &amp; levers'!$C$14="On",'Net zero Activity data'!AM47*ttokg*FracGASF*MSVolatEF*NtoN2O*kgtoGg,"ERROR"))</f>
        <v>0.66042852126323504</v>
      </c>
      <c r="U1164" s="94">
        <f>IF('Net zero activities &amp; levers'!$C$14="Off",'Activity data'!AN47*ttokg*FracGASF*MSVolatEF*NtoN2O*kgtoGg,IF('Net zero activities &amp; levers'!$C$14="On",'Net zero Activity data'!AN47*ttokg*FracGASF*MSVolatEF*NtoN2O*kgtoGg,"ERROR"))</f>
        <v>0.660256842080582</v>
      </c>
      <c r="V1164" s="94">
        <f>IF('Net zero activities &amp; levers'!$C$14="Off",'Activity data'!AO47*ttokg*FracGASF*MSVolatEF*NtoN2O*kgtoGg,IF('Net zero activities &amp; levers'!$C$14="On",'Net zero Activity data'!AO47*ttokg*FracGASF*MSVolatEF*NtoN2O*kgtoGg,"ERROR"))</f>
        <v>0.66002252909433212</v>
      </c>
      <c r="W1164" s="94">
        <f>IF('Net zero activities &amp; levers'!$C$14="Off",'Activity data'!AP47*ttokg*FracGASF*MSVolatEF*NtoN2O*kgtoGg,IF('Net zero activities &amp; levers'!$C$14="On",'Net zero Activity data'!AP47*ttokg*FracGASF*MSVolatEF*NtoN2O*kgtoGg,"ERROR"))</f>
        <v>0.65989661681898848</v>
      </c>
      <c r="X1164" s="94">
        <f>IF('Net zero activities &amp; levers'!$C$14="Off",'Activity data'!AQ47*ttokg*FracGASF*MSVolatEF*NtoN2O*kgtoGg,IF('Net zero activities &amp; levers'!$C$14="On",'Net zero Activity data'!AQ47*ttokg*FracGASF*MSVolatEF*NtoN2O*kgtoGg,"ERROR"))</f>
        <v>0.6597589047711292</v>
      </c>
      <c r="Y1164" s="94">
        <f>IF('Net zero activities &amp; levers'!$C$14="Off",'Activity data'!AR47*ttokg*FracGASF*MSVolatEF*NtoN2O*kgtoGg,IF('Net zero activities &amp; levers'!$C$14="On",'Net zero Activity data'!AR47*ttokg*FracGASF*MSVolatEF*NtoN2O*kgtoGg,"ERROR"))</f>
        <v>0.659605796092819</v>
      </c>
      <c r="Z1164" s="94">
        <f>IF('Net zero activities &amp; levers'!$C$14="Off",'Activity data'!AS47*ttokg*FracGASF*MSVolatEF*NtoN2O*kgtoGg,IF('Net zero activities &amp; levers'!$C$14="On",'Net zero Activity data'!AS47*ttokg*FracGASF*MSVolatEF*NtoN2O*kgtoGg,"ERROR"))</f>
        <v>0.65944507555305243</v>
      </c>
      <c r="AA1164" s="94">
        <f>IF('Net zero activities &amp; levers'!$C$14="Off",'Activity data'!AT47*ttokg*FracGASF*MSVolatEF*NtoN2O*kgtoGg,IF('Net zero activities &amp; levers'!$C$14="On",'Net zero Activity data'!AT47*ttokg*FracGASF*MSVolatEF*NtoN2O*kgtoGg,"ERROR"))</f>
        <v>0.65927354812209926</v>
      </c>
      <c r="AB1164" s="94">
        <f>IF('Net zero activities &amp; levers'!$C$14="Off",'Activity data'!AU47*ttokg*FracGASF*MSVolatEF*NtoN2O*kgtoGg,IF('Net zero activities &amp; levers'!$C$14="On",'Net zero Activity data'!AU47*ttokg*FracGASF*MSVolatEF*NtoN2O*kgtoGg,"ERROR"))</f>
        <v>0.65910165055066838</v>
      </c>
      <c r="AC1164" s="94">
        <f>IF('Net zero activities &amp; levers'!$C$14="Off",'Activity data'!AV47*ttokg*FracGASF*MSVolatEF*NtoN2O*kgtoGg,IF('Net zero activities &amp; levers'!$C$14="On",'Net zero Activity data'!AV47*ttokg*FracGASF*MSVolatEF*NtoN2O*kgtoGg,"ERROR"))</f>
        <v>0.65892060560614785</v>
      </c>
      <c r="AD1164" s="94">
        <f>IF('Net zero activities &amp; levers'!$C$14="Off",'Activity data'!AW47*ttokg*FracGASF*MSVolatEF*NtoN2O*kgtoGg,IF('Net zero activities &amp; levers'!$C$14="On",'Net zero Activity data'!AW47*ttokg*FracGASF*MSVolatEF*NtoN2O*kgtoGg,"ERROR"))</f>
        <v>0.6587403682229962</v>
      </c>
      <c r="AE1164" s="94">
        <f>IF('Net zero activities &amp; levers'!$C$14="Off",'Activity data'!AX47*ttokg*FracGASF*MSVolatEF*NtoN2O*kgtoGg,IF('Net zero activities &amp; levers'!$C$14="On",'Net zero Activity data'!AX47*ttokg*FracGASF*MSVolatEF*NtoN2O*kgtoGg,"ERROR"))</f>
        <v>0.6585449608557925</v>
      </c>
      <c r="AF1164" s="94">
        <f>IF('Net zero activities &amp; levers'!$C$14="Off",'Activity data'!AY47*ttokg*FracGASF*MSVolatEF*NtoN2O*kgtoGg,IF('Net zero activities &amp; levers'!$C$14="On",'Net zero Activity data'!AY47*ttokg*FracGASF*MSVolatEF*NtoN2O*kgtoGg,"ERROR"))</f>
        <v>0.65835675614397215</v>
      </c>
      <c r="AG1164" s="94">
        <f>IF('Net zero activities &amp; levers'!$C$14="Off",'Activity data'!AZ47*ttokg*FracGASF*MSVolatEF*NtoN2O*kgtoGg,IF('Net zero activities &amp; levers'!$C$14="On",'Net zero Activity data'!AZ47*ttokg*FracGASF*MSVolatEF*NtoN2O*kgtoGg,"ERROR"))</f>
        <v>0.65816378763594341</v>
      </c>
      <c r="AH1164" s="94">
        <f>IF('Net zero activities &amp; levers'!$C$14="Off",'Activity data'!BA47*ttokg*FracGASF*MSVolatEF*NtoN2O*kgtoGg,IF('Net zero activities &amp; levers'!$C$14="On",'Net zero Activity data'!BA47*ttokg*FracGASF*MSVolatEF*NtoN2O*kgtoGg,"ERROR"))</f>
        <v>0.6579528278100244</v>
      </c>
      <c r="AI1164" s="94">
        <f>IF('Net zero activities &amp; levers'!$C$14="Off",'Activity data'!BB47*ttokg*FracGASF*MSVolatEF*NtoN2O*kgtoGg,IF('Net zero activities &amp; levers'!$C$14="On",'Net zero Activity data'!BB47*ttokg*FracGASF*MSVolatEF*NtoN2O*kgtoGg,"ERROR"))</f>
        <v>0.65775665224366497</v>
      </c>
      <c r="AJ1164" s="94">
        <f>IF('Net zero activities &amp; levers'!$C$14="Off",'Activity data'!BC47*ttokg*FracGASF*MSVolatEF*NtoN2O*kgtoGg,IF('Net zero activities &amp; levers'!$C$14="On",'Net zero Activity data'!BC47*ttokg*FracGASF*MSVolatEF*NtoN2O*kgtoGg,"ERROR"))</f>
        <v>0.65755521924304883</v>
      </c>
      <c r="AK1164" s="94">
        <f>IF('Net zero activities &amp; levers'!$C$14="Off",'Activity data'!BD47*ttokg*FracGASF*MSVolatEF*NtoN2O*kgtoGg,IF('Net zero activities &amp; levers'!$C$14="On",'Net zero Activity data'!BD47*ttokg*FracGASF*MSVolatEF*NtoN2O*kgtoGg,"ERROR"))</f>
        <v>0.65734627926543143</v>
      </c>
      <c r="AL1164" s="94">
        <f>IF('Net zero activities &amp; levers'!$C$14="Off",'Activity data'!BE47*ttokg*FracGASF*MSVolatEF*NtoN2O*kgtoGg,IF('Net zero activities &amp; levers'!$C$14="On",'Net zero Activity data'!BE47*ttokg*FracGASF*MSVolatEF*NtoN2O*kgtoGg,"ERROR"))</f>
        <v>0.65715425101563263</v>
      </c>
      <c r="AM1164" s="94">
        <f>IF('Net zero activities &amp; levers'!$C$14="Off",'Activity data'!BF47*ttokg*FracGASF*MSVolatEF*NtoN2O*kgtoGg,IF('Net zero activities &amp; levers'!$C$14="On",'Net zero Activity data'!BF47*ttokg*FracGASF*MSVolatEF*NtoN2O*kgtoGg,"ERROR"))</f>
        <v>0.65696756052718408</v>
      </c>
      <c r="AN1164" s="94">
        <f>IF('Net zero activities &amp; levers'!$C$14="Off",'Activity data'!BG47*ttokg*FracGASF*MSVolatEF*NtoN2O*kgtoGg,IF('Net zero activities &amp; levers'!$C$14="On",'Net zero Activity data'!BG47*ttokg*FracGASF*MSVolatEF*NtoN2O*kgtoGg,"ERROR"))</f>
        <v>0.65678548596880248</v>
      </c>
      <c r="AO1164" s="94">
        <f>IF('Net zero activities &amp; levers'!$C$14="Off",'Activity data'!BH47*ttokg*FracGASF*MSVolatEF*NtoN2O*kgtoGg,IF('Net zero activities &amp; levers'!$C$14="On",'Net zero Activity data'!BH47*ttokg*FracGASF*MSVolatEF*NtoN2O*kgtoGg,"ERROR"))</f>
        <v>0.65659337062591927</v>
      </c>
      <c r="AP1164" s="94">
        <f>IF('Net zero activities &amp; levers'!$C$14="Off",'Activity data'!BI47*ttokg*FracGASF*MSVolatEF*NtoN2O*kgtoGg,IF('Net zero activities &amp; levers'!$C$14="On",'Net zero Activity data'!BI47*ttokg*FracGASF*MSVolatEF*NtoN2O*kgtoGg,"ERROR"))</f>
        <v>0.65641235920406316</v>
      </c>
      <c r="AQ1164" s="94">
        <f>IF('Net zero activities &amp; levers'!$C$14="Off",'Activity data'!BJ47*ttokg*FracGASF*MSVolatEF*NtoN2O*kgtoGg,IF('Net zero activities &amp; levers'!$C$14="On",'Net zero Activity data'!BJ47*ttokg*FracGASF*MSVolatEF*NtoN2O*kgtoGg,"ERROR"))</f>
        <v>0.65622903638449304</v>
      </c>
      <c r="AR1164" s="94">
        <f>IF('Net zero activities &amp; levers'!$C$14="Off",'Activity data'!BK47*ttokg*FracGASF*MSVolatEF*NtoN2O*kgtoGg,IF('Net zero activities &amp; levers'!$C$14="On",'Net zero Activity data'!BK47*ttokg*FracGASF*MSVolatEF*NtoN2O*kgtoGg,"ERROR"))</f>
        <v>0.65604286486377728</v>
      </c>
      <c r="AS1164" s="94">
        <f>IF('Net zero activities &amp; levers'!$C$14="Off",'Activity data'!BL47*ttokg*FracGASF*MSVolatEF*NtoN2O*kgtoGg,IF('Net zero activities &amp; levers'!$C$14="On",'Net zero Activity data'!BL47*ttokg*FracGASF*MSVolatEF*NtoN2O*kgtoGg,"ERROR"))</f>
        <v>0.65585292511260118</v>
      </c>
      <c r="AT1164" s="94">
        <f>IF('Net zero activities &amp; levers'!$C$14="Off",'Activity data'!BM47*ttokg*FracGASF*MSVolatEF*NtoN2O*kgtoGg,IF('Net zero activities &amp; levers'!$C$14="On",'Net zero Activity data'!BM47*ttokg*FracGASF*MSVolatEF*NtoN2O*kgtoGg,"ERROR"))</f>
        <v>0.65566000956326953</v>
      </c>
      <c r="AU1164" s="94">
        <f>IF('Net zero activities &amp; levers'!$C$14="Off",'Activity data'!BN47*ttokg*FracGASF*MSVolatEF*NtoN2O*kgtoGg,IF('Net zero activities &amp; levers'!$C$14="On",'Net zero Activity data'!BN47*ttokg*FracGASF*MSVolatEF*NtoN2O*kgtoGg,"ERROR"))</f>
        <v>0.65560073347552816</v>
      </c>
      <c r="AV1164" s="94">
        <f>IF('Net zero activities &amp; levers'!$C$14="Off",'Activity data'!BO47*ttokg*FracGASF*MSVolatEF*NtoN2O*kgtoGg,IF('Net zero activities &amp; levers'!$C$14="On",'Net zero Activity data'!BO47*ttokg*FracGASF*MSVolatEF*NtoN2O*kgtoGg,"ERROR"))</f>
        <v>0.65555391486602432</v>
      </c>
      <c r="AW1164" s="94">
        <f>IF('Net zero activities &amp; levers'!$C$14="Off",'Activity data'!BP47*ttokg*FracGASF*MSVolatEF*NtoN2O*kgtoGg,IF('Net zero activities &amp; levers'!$C$14="On",'Net zero Activity data'!BP47*ttokg*FracGASF*MSVolatEF*NtoN2O*kgtoGg,"ERROR"))</f>
        <v>0.65552474687649953</v>
      </c>
      <c r="AY1164" s="79"/>
    </row>
    <row r="1165" spans="1:51" x14ac:dyDescent="0.3">
      <c r="A1165" s="95" t="str">
        <f t="shared" si="374"/>
        <v>CM Volatilisation</v>
      </c>
      <c r="B1165" s="95" t="s">
        <v>1322</v>
      </c>
      <c r="C1165" s="95" t="s">
        <v>62</v>
      </c>
      <c r="D1165" t="s">
        <v>369</v>
      </c>
      <c r="E1165" t="s">
        <v>61</v>
      </c>
      <c r="F1165" t="s">
        <v>62</v>
      </c>
      <c r="G1165" t="s">
        <v>436</v>
      </c>
      <c r="H1165" t="s">
        <v>1185</v>
      </c>
      <c r="I1165" t="s">
        <v>139</v>
      </c>
      <c r="J1165" t="s">
        <v>287</v>
      </c>
      <c r="K1165" s="94">
        <f>IF('Net zero activities &amp; levers'!$C$14="Off",'Activity data'!AD48*ttokg*FracGASM*MSVolatEF*NtoN2O*kgtoGg,IF('Net zero activities &amp; levers'!$C$14="On",'Net zero Activity data'!AD48*ttokg*FracGASM*MSVolatEF*NtoN2O*kgtoGg,"ERROR"))</f>
        <v>8.720555192363328E-3</v>
      </c>
      <c r="L1165" s="94">
        <f>IF('Net zero activities &amp; levers'!$C$14="Off",'Activity data'!AE48*ttokg*FracGASM*MSVolatEF*NtoN2O*kgtoGg,IF('Net zero activities &amp; levers'!$C$14="On",'Net zero Activity data'!AE48*ttokg*FracGASM*MSVolatEF*NtoN2O*kgtoGg,"ERROR"))</f>
        <v>8.7196879684005926E-3</v>
      </c>
      <c r="M1165" s="94">
        <f>IF('Net zero activities &amp; levers'!$C$14="Off",'Activity data'!AF48*ttokg*FracGASM*MSVolatEF*NtoN2O*kgtoGg,IF('Net zero activities &amp; levers'!$C$14="On",'Net zero Activity data'!AF48*ttokg*FracGASM*MSVolatEF*NtoN2O*kgtoGg,"ERROR"))</f>
        <v>8.7180979730902847E-3</v>
      </c>
      <c r="N1165" s="94">
        <f>IF('Net zero activities &amp; levers'!$C$14="Off",'Activity data'!AG48*ttokg*FracGASM*MSVolatEF*NtoN2O*kgtoGg,IF('Net zero activities &amp; levers'!$C$14="On",'Net zero Activity data'!AG48*ttokg*FracGASM*MSVolatEF*NtoN2O*kgtoGg,"ERROR"))</f>
        <v>8.7161975333950713E-3</v>
      </c>
      <c r="O1165" s="94">
        <f>IF('Net zero activities &amp; levers'!$C$14="Off",'Activity data'!AH48*ttokg*FracGASM*MSVolatEF*NtoN2O*kgtoGg,IF('Net zero activities &amp; levers'!$C$14="On",'Net zero Activity data'!AH48*ttokg*FracGASM*MSVolatEF*NtoN2O*kgtoGg,"ERROR"))</f>
        <v>8.7149137062903607E-3</v>
      </c>
      <c r="P1165" s="94">
        <f>IF('Net zero activities &amp; levers'!$C$14="Off",'Activity data'!AI48*ttokg*FracGASM*MSVolatEF*NtoN2O*kgtoGg,IF('Net zero activities &amp; levers'!$C$14="On",'Net zero Activity data'!AI48*ttokg*FracGASM*MSVolatEF*NtoN2O*kgtoGg,"ERROR"))</f>
        <v>8.7140302108093363E-3</v>
      </c>
      <c r="Q1165" s="94">
        <f>IF('Net zero activities &amp; levers'!$C$14="Off",'Activity data'!AJ48*ttokg*FracGASM*MSVolatEF*NtoN2O*kgtoGg,IF('Net zero activities &amp; levers'!$C$14="On",'Net zero Activity data'!AJ48*ttokg*FracGASM*MSVolatEF*NtoN2O*kgtoGg,"ERROR"))</f>
        <v>8.7135464111933163E-3</v>
      </c>
      <c r="R1165" s="94">
        <f>IF('Net zero activities &amp; levers'!$C$14="Off",'Activity data'!AK48*ttokg*FracGASM*MSVolatEF*NtoN2O*kgtoGg,IF('Net zero activities &amp; levers'!$C$14="On",'Net zero Activity data'!AK48*ttokg*FracGASM*MSVolatEF*NtoN2O*kgtoGg,"ERROR"))</f>
        <v>8.7127637122293555E-3</v>
      </c>
      <c r="S1165" s="94">
        <f>IF('Net zero activities &amp; levers'!$C$14="Off",'Activity data'!AL48*ttokg*FracGASM*MSVolatEF*NtoN2O*kgtoGg,IF('Net zero activities &amp; levers'!$C$14="On",'Net zero Activity data'!AL48*ttokg*FracGASM*MSVolatEF*NtoN2O*kgtoGg,"ERROR"))</f>
        <v>8.7119415452156113E-3</v>
      </c>
      <c r="T1165" s="94">
        <f>IF('Net zero activities &amp; levers'!$C$14="Off",'Activity data'!AM48*ttokg*FracGASM*MSVolatEF*NtoN2O*kgtoGg,IF('Net zero activities &amp; levers'!$C$14="On",'Net zero Activity data'!AM48*ttokg*FracGASM*MSVolatEF*NtoN2O*kgtoGg,"ERROR"))</f>
        <v>8.7176564806747021E-3</v>
      </c>
      <c r="U1165" s="94">
        <f>IF('Net zero activities &amp; levers'!$C$14="Off",'Activity data'!AN48*ttokg*FracGASM*MSVolatEF*NtoN2O*kgtoGg,IF('Net zero activities &amp; levers'!$C$14="On",'Net zero Activity data'!AN48*ttokg*FracGASM*MSVolatEF*NtoN2O*kgtoGg,"ERROR"))</f>
        <v>8.7153903154636864E-3</v>
      </c>
      <c r="V1165" s="94">
        <f>IF('Net zero activities &amp; levers'!$C$14="Off",'Activity data'!AO48*ttokg*FracGASM*MSVolatEF*NtoN2O*kgtoGg,IF('Net zero activities &amp; levers'!$C$14="On",'Net zero Activity data'!AO48*ttokg*FracGASM*MSVolatEF*NtoN2O*kgtoGg,"ERROR"))</f>
        <v>8.7122973840451836E-3</v>
      </c>
      <c r="W1165" s="94">
        <f>IF('Net zero activities &amp; levers'!$C$14="Off",'Activity data'!AP48*ttokg*FracGASM*MSVolatEF*NtoN2O*kgtoGg,IF('Net zero activities &amp; levers'!$C$14="On",'Net zero Activity data'!AP48*ttokg*FracGASM*MSVolatEF*NtoN2O*kgtoGg,"ERROR"))</f>
        <v>8.7106353420106468E-3</v>
      </c>
      <c r="X1165" s="94">
        <f>IF('Net zero activities &amp; levers'!$C$14="Off",'Activity data'!AQ48*ttokg*FracGASM*MSVolatEF*NtoN2O*kgtoGg,IF('Net zero activities &amp; levers'!$C$14="On",'Net zero Activity data'!AQ48*ttokg*FracGASM*MSVolatEF*NtoN2O*kgtoGg,"ERROR"))</f>
        <v>8.7088175429789073E-3</v>
      </c>
      <c r="Y1165" s="94">
        <f>IF('Net zero activities &amp; levers'!$C$14="Off",'Activity data'!AR48*ttokg*FracGASM*MSVolatEF*NtoN2O*kgtoGg,IF('Net zero activities &amp; levers'!$C$14="On",'Net zero Activity data'!AR48*ttokg*FracGASM*MSVolatEF*NtoN2O*kgtoGg,"ERROR"))</f>
        <v>8.7067965084252144E-3</v>
      </c>
      <c r="Z1165" s="94">
        <f>IF('Net zero activities &amp; levers'!$C$14="Off",'Activity data'!AS48*ttokg*FracGASM*MSVolatEF*NtoN2O*kgtoGg,IF('Net zero activities &amp; levers'!$C$14="On",'Net zero Activity data'!AS48*ttokg*FracGASM*MSVolatEF*NtoN2O*kgtoGg,"ERROR"))</f>
        <v>8.7046749973002935E-3</v>
      </c>
      <c r="AA1165" s="94">
        <f>IF('Net zero activities &amp; levers'!$C$14="Off",'Activity data'!AT48*ttokg*FracGASM*MSVolatEF*NtoN2O*kgtoGg,IF('Net zero activities &amp; levers'!$C$14="On",'Net zero Activity data'!AT48*ttokg*FracGASM*MSVolatEF*NtoN2O*kgtoGg,"ERROR"))</f>
        <v>8.702410835211713E-3</v>
      </c>
      <c r="AB1165" s="94">
        <f>IF('Net zero activities &amp; levers'!$C$14="Off",'Activity data'!AU48*ttokg*FracGASM*MSVolatEF*NtoN2O*kgtoGg,IF('Net zero activities &amp; levers'!$C$14="On",'Net zero Activity data'!AU48*ttokg*FracGASM*MSVolatEF*NtoN2O*kgtoGg,"ERROR"))</f>
        <v>8.7001417872688246E-3</v>
      </c>
      <c r="AC1165" s="94">
        <f>IF('Net zero activities &amp; levers'!$C$14="Off",'Activity data'!AV48*ttokg*FracGASM*MSVolatEF*NtoN2O*kgtoGg,IF('Net zero activities &amp; levers'!$C$14="On",'Net zero Activity data'!AV48*ttokg*FracGASM*MSVolatEF*NtoN2O*kgtoGg,"ERROR"))</f>
        <v>8.6977519940011523E-3</v>
      </c>
      <c r="AD1165" s="94">
        <f>IF('Net zero activities &amp; levers'!$C$14="Off",'Activity data'!AW48*ttokg*FracGASM*MSVolatEF*NtoN2O*kgtoGg,IF('Net zero activities &amp; levers'!$C$14="On",'Net zero Activity data'!AW48*ttokg*FracGASM*MSVolatEF*NtoN2O*kgtoGg,"ERROR"))</f>
        <v>8.6953728605435512E-3</v>
      </c>
      <c r="AE1165" s="94">
        <f>IF('Net zero activities &amp; levers'!$C$14="Off",'Activity data'!AX48*ttokg*FracGASM*MSVolatEF*NtoN2O*kgtoGg,IF('Net zero activities &amp; levers'!$C$14="On",'Net zero Activity data'!AX48*ttokg*FracGASM*MSVolatEF*NtoN2O*kgtoGg,"ERROR"))</f>
        <v>8.6927934832964609E-3</v>
      </c>
      <c r="AF1165" s="94">
        <f>IF('Net zero activities &amp; levers'!$C$14="Off",'Activity data'!AY48*ttokg*FracGASM*MSVolatEF*NtoN2O*kgtoGg,IF('Net zero activities &amp; levers'!$C$14="On",'Net zero Activity data'!AY48*ttokg*FracGASM*MSVolatEF*NtoN2O*kgtoGg,"ERROR"))</f>
        <v>8.6903091811004352E-3</v>
      </c>
      <c r="AG1165" s="94">
        <f>IF('Net zero activities &amp; levers'!$C$14="Off",'Activity data'!AZ48*ttokg*FracGASM*MSVolatEF*NtoN2O*kgtoGg,IF('Net zero activities &amp; levers'!$C$14="On",'Net zero Activity data'!AZ48*ttokg*FracGASM*MSVolatEF*NtoN2O*kgtoGg,"ERROR"))</f>
        <v>8.6877619967944547E-3</v>
      </c>
      <c r="AH1165" s="94">
        <f>IF('Net zero activities &amp; levers'!$C$14="Off",'Activity data'!BA48*ttokg*FracGASM*MSVolatEF*NtoN2O*kgtoGg,IF('Net zero activities &amp; levers'!$C$14="On",'Net zero Activity data'!BA48*ttokg*FracGASM*MSVolatEF*NtoN2O*kgtoGg,"ERROR"))</f>
        <v>8.6849773270923237E-3</v>
      </c>
      <c r="AI1165" s="94">
        <f>IF('Net zero activities &amp; levers'!$C$14="Off",'Activity data'!BB48*ttokg*FracGASM*MSVolatEF*NtoN2O*kgtoGg,IF('Net zero activities &amp; levers'!$C$14="On",'Net zero Activity data'!BB48*ttokg*FracGASM*MSVolatEF*NtoN2O*kgtoGg,"ERROR"))</f>
        <v>8.6823878096163789E-3</v>
      </c>
      <c r="AJ1165" s="94">
        <f>IF('Net zero activities &amp; levers'!$C$14="Off",'Activity data'!BC48*ttokg*FracGASM*MSVolatEF*NtoN2O*kgtoGg,IF('Net zero activities &amp; levers'!$C$14="On",'Net zero Activity data'!BC48*ttokg*FracGASM*MSVolatEF*NtoN2O*kgtoGg,"ERROR"))</f>
        <v>8.6797288940082453E-3</v>
      </c>
      <c r="AK1165" s="94">
        <f>IF('Net zero activities &amp; levers'!$C$14="Off",'Activity data'!BD48*ttokg*FracGASM*MSVolatEF*NtoN2O*kgtoGg,IF('Net zero activities &amp; levers'!$C$14="On",'Net zero Activity data'!BD48*ttokg*FracGASM*MSVolatEF*NtoN2O*kgtoGg,"ERROR"))</f>
        <v>8.6769708863036962E-3</v>
      </c>
      <c r="AL1165" s="94">
        <f>IF('Net zero activities &amp; levers'!$C$14="Off",'Activity data'!BE48*ttokg*FracGASM*MSVolatEF*NtoN2O*kgtoGg,IF('Net zero activities &amp; levers'!$C$14="On",'Net zero Activity data'!BE48*ttokg*FracGASM*MSVolatEF*NtoN2O*kgtoGg,"ERROR"))</f>
        <v>8.6744361134063527E-3</v>
      </c>
      <c r="AM1165" s="94">
        <f>IF('Net zero activities &amp; levers'!$C$14="Off",'Activity data'!BF48*ttokg*FracGASM*MSVolatEF*NtoN2O*kgtoGg,IF('Net zero activities &amp; levers'!$C$14="On",'Net zero Activity data'!BF48*ttokg*FracGASM*MSVolatEF*NtoN2O*kgtoGg,"ERROR"))</f>
        <v>8.6719717989588319E-3</v>
      </c>
      <c r="AN1165" s="94">
        <f>IF('Net zero activities &amp; levers'!$C$14="Off",'Activity data'!BG48*ttokg*FracGASM*MSVolatEF*NtoN2O*kgtoGg,IF('Net zero activities &amp; levers'!$C$14="On",'Net zero Activity data'!BG48*ttokg*FracGASM*MSVolatEF*NtoN2O*kgtoGg,"ERROR"))</f>
        <v>8.6695684147881907E-3</v>
      </c>
      <c r="AO1165" s="94">
        <f>IF('Net zero activities &amp; levers'!$C$14="Off",'Activity data'!BH48*ttokg*FracGASM*MSVolatEF*NtoN2O*kgtoGg,IF('Net zero activities &amp; levers'!$C$14="On",'Net zero Activity data'!BH48*ttokg*FracGASM*MSVolatEF*NtoN2O*kgtoGg,"ERROR"))</f>
        <v>8.6670324922621354E-3</v>
      </c>
      <c r="AP1165" s="94">
        <f>IF('Net zero activities &amp; levers'!$C$14="Off",'Activity data'!BI48*ttokg*FracGASM*MSVolatEF*NtoN2O*kgtoGg,IF('Net zero activities &amp; levers'!$C$14="On",'Net zero Activity data'!BI48*ttokg*FracGASM*MSVolatEF*NtoN2O*kgtoGg,"ERROR"))</f>
        <v>8.6646431414936359E-3</v>
      </c>
      <c r="AQ1165" s="94">
        <f>IF('Net zero activities &amp; levers'!$C$14="Off",'Activity data'!BJ48*ttokg*FracGASM*MSVolatEF*NtoN2O*kgtoGg,IF('Net zero activities &amp; levers'!$C$14="On",'Net zero Activity data'!BJ48*ttokg*FracGASM*MSVolatEF*NtoN2O*kgtoGg,"ERROR"))</f>
        <v>8.6622232802753101E-3</v>
      </c>
      <c r="AR1165" s="94">
        <f>IF('Net zero activities &amp; levers'!$C$14="Off",'Activity data'!BK48*ttokg*FracGASM*MSVolatEF*NtoN2O*kgtoGg,IF('Net zero activities &amp; levers'!$C$14="On",'Net zero Activity data'!BK48*ttokg*FracGASM*MSVolatEF*NtoN2O*kgtoGg,"ERROR"))</f>
        <v>8.6597658162018594E-3</v>
      </c>
      <c r="AS1165" s="94">
        <f>IF('Net zero activities &amp; levers'!$C$14="Off",'Activity data'!BL48*ttokg*FracGASM*MSVolatEF*NtoN2O*kgtoGg,IF('Net zero activities &amp; levers'!$C$14="On",'Net zero Activity data'!BL48*ttokg*FracGASM*MSVolatEF*NtoN2O*kgtoGg,"ERROR"))</f>
        <v>8.6572586114863365E-3</v>
      </c>
      <c r="AT1165" s="94">
        <f>IF('Net zero activities &amp; levers'!$C$14="Off",'Activity data'!BM48*ttokg*FracGASM*MSVolatEF*NtoN2O*kgtoGg,IF('Net zero activities &amp; levers'!$C$14="On",'Net zero Activity data'!BM48*ttokg*FracGASM*MSVolatEF*NtoN2O*kgtoGg,"ERROR"))</f>
        <v>8.6547121262351596E-3</v>
      </c>
      <c r="AU1165" s="94">
        <f>IF('Net zero activities &amp; levers'!$C$14="Off",'Activity data'!BN48*ttokg*FracGASM*MSVolatEF*NtoN2O*kgtoGg,IF('Net zero activities &amp; levers'!$C$14="On",'Net zero Activity data'!BN48*ttokg*FracGASM*MSVolatEF*NtoN2O*kgtoGg,"ERROR"))</f>
        <v>8.6539296818769745E-3</v>
      </c>
      <c r="AV1165" s="94">
        <f>IF('Net zero activities &amp; levers'!$C$14="Off",'Activity data'!BO48*ttokg*FracGASM*MSVolatEF*NtoN2O*kgtoGg,IF('Net zero activities &amp; levers'!$C$14="On",'Net zero Activity data'!BO48*ttokg*FracGASM*MSVolatEF*NtoN2O*kgtoGg,"ERROR"))</f>
        <v>8.6533116762315225E-3</v>
      </c>
      <c r="AW1165" s="94">
        <f>IF('Net zero activities &amp; levers'!$C$14="Off",'Activity data'!BP48*ttokg*FracGASM*MSVolatEF*NtoN2O*kgtoGg,IF('Net zero activities &amp; levers'!$C$14="On",'Net zero Activity data'!BP48*ttokg*FracGASM*MSVolatEF*NtoN2O*kgtoGg,"ERROR"))</f>
        <v>8.6529266587697939E-3</v>
      </c>
      <c r="AY1165" s="79"/>
    </row>
    <row r="1166" spans="1:51" x14ac:dyDescent="0.3">
      <c r="A1166" s="95" t="str">
        <f t="shared" si="374"/>
        <v>CM Volatilisation</v>
      </c>
      <c r="B1166" s="95" t="s">
        <v>1322</v>
      </c>
      <c r="C1166" s="95" t="s">
        <v>62</v>
      </c>
      <c r="D1166" t="s">
        <v>369</v>
      </c>
      <c r="E1166" t="s">
        <v>61</v>
      </c>
      <c r="F1166" t="s">
        <v>62</v>
      </c>
      <c r="G1166" t="s">
        <v>437</v>
      </c>
      <c r="H1166" t="s">
        <v>1186</v>
      </c>
      <c r="I1166" t="s">
        <v>139</v>
      </c>
      <c r="J1166" t="s">
        <v>287</v>
      </c>
      <c r="K1166" s="94">
        <f>IF('Net zero activities &amp; levers'!$C$14="Off",SUM('Activity data'!AD50:AD65)*FracGASM*MSVolatEF*NtoN2O*kgtoGg,IF('Net zero activities &amp; levers'!$C$14="On",SUM('Net zero Activity data'!AD50:AD65)*FracGASM*MSVolatEF*NtoN2O*kgtoGg,"ERROR"))</f>
        <v>1.2008407282256135</v>
      </c>
      <c r="L1166" s="94">
        <f>IF('Net zero activities &amp; levers'!$C$14="Off",SUM('Activity data'!AE50:AE65)*FracGASM*MSVolatEF*NtoN2O*kgtoGg,IF('Net zero activities &amp; levers'!$C$14="On",SUM('Net zero Activity data'!AE50:AE65)*FracGASM*MSVolatEF*NtoN2O*kgtoGg,"ERROR"))</f>
        <v>1.201903510760759</v>
      </c>
      <c r="M1166" s="94">
        <f>IF('Net zero activities &amp; levers'!$C$14="Off",SUM('Activity data'!AF50:AF65)*FracGASM*MSVolatEF*NtoN2O*kgtoGg,IF('Net zero activities &amp; levers'!$C$14="On",SUM('Net zero Activity data'!AF50:AF65)*FracGASM*MSVolatEF*NtoN2O*kgtoGg,"ERROR"))</f>
        <v>1.2088775122881088</v>
      </c>
      <c r="N1166" s="94">
        <f>IF('Net zero activities &amp; levers'!$C$14="Off",SUM('Activity data'!AG50:AG65)*FracGASM*MSVolatEF*NtoN2O*kgtoGg,IF('Net zero activities &amp; levers'!$C$14="On",SUM('Net zero Activity data'!AG50:AG65)*FracGASM*MSVolatEF*NtoN2O*kgtoGg,"ERROR"))</f>
        <v>1.2055442230548155</v>
      </c>
      <c r="O1166" s="94">
        <f>IF('Net zero activities &amp; levers'!$C$14="Off",SUM('Activity data'!AH50:AH65)*FracGASM*MSVolatEF*NtoN2O*kgtoGg,IF('Net zero activities &amp; levers'!$C$14="On",SUM('Net zero Activity data'!AH50:AH65)*FracGASM*MSVolatEF*NtoN2O*kgtoGg,"ERROR"))</f>
        <v>1.195843583832628</v>
      </c>
      <c r="P1166" s="94">
        <f>IF('Net zero activities &amp; levers'!$C$14="Off",SUM('Activity data'!AI50:AI65)*FracGASM*MSVolatEF*NtoN2O*kgtoGg,IF('Net zero activities &amp; levers'!$C$14="On",SUM('Net zero Activity data'!AI50:AI65)*FracGASM*MSVolatEF*NtoN2O*kgtoGg,"ERROR"))</f>
        <v>1.1799964998501222</v>
      </c>
      <c r="Q1166" s="94">
        <f>IF('Net zero activities &amp; levers'!$C$14="Off",SUM('Activity data'!AJ50:AJ65)*FracGASM*MSVolatEF*NtoN2O*kgtoGg,IF('Net zero activities &amp; levers'!$C$14="On",SUM('Net zero Activity data'!AJ50:AJ65)*FracGASM*MSVolatEF*NtoN2O*kgtoGg,"ERROR"))</f>
        <v>1.169776622170569</v>
      </c>
      <c r="R1166" s="94">
        <f>IF('Net zero activities &amp; levers'!$C$14="Off",SUM('Activity data'!AK50:AK65)*FracGASM*MSVolatEF*NtoN2O*kgtoGg,IF('Net zero activities &amp; levers'!$C$14="On",SUM('Net zero Activity data'!AK50:AK65)*FracGASM*MSVolatEF*NtoN2O*kgtoGg,"ERROR"))</f>
        <v>1.1606871439933113</v>
      </c>
      <c r="S1166" s="94">
        <f>IF('Net zero activities &amp; levers'!$C$14="Off",SUM('Activity data'!AL50:AL65)*FracGASM*MSVolatEF*NtoN2O*kgtoGg,IF('Net zero activities &amp; levers'!$C$14="On",SUM('Net zero Activity data'!AL50:AL65)*FracGASM*MSVolatEF*NtoN2O*kgtoGg,"ERROR"))</f>
        <v>1.0501974396641209</v>
      </c>
      <c r="T1166" s="94">
        <f>IF('Net zero activities &amp; levers'!$C$14="Off",SUM('Activity data'!AM50:AM65)*FracGASM*MSVolatEF*NtoN2O*kgtoGg,IF('Net zero activities &amp; levers'!$C$14="On",SUM('Net zero Activity data'!AM50:AM65)*FracGASM*MSVolatEF*NtoN2O*kgtoGg,"ERROR"))</f>
        <v>1.0703473698117068</v>
      </c>
      <c r="U1166" s="94">
        <f>IF('Net zero activities &amp; levers'!$C$14="Off",SUM('Activity data'!AN50:AN65)*FracGASM*MSVolatEF*NtoN2O*kgtoGg,IF('Net zero activities &amp; levers'!$C$14="On",SUM('Net zero Activity data'!AN50:AN65)*FracGASM*MSVolatEF*NtoN2O*kgtoGg,"ERROR"))</f>
        <v>1.1035346153332457</v>
      </c>
      <c r="V1166" s="94">
        <f>IF('Net zero activities &amp; levers'!$C$14="Off",SUM('Activity data'!AO50:AO65)*FracGASM*MSVolatEF*NtoN2O*kgtoGg,IF('Net zero activities &amp; levers'!$C$14="On",SUM('Net zero Activity data'!AO50:AO65)*FracGASM*MSVolatEF*NtoN2O*kgtoGg,"ERROR"))</f>
        <v>1.1150489977959306</v>
      </c>
      <c r="W1166" s="94">
        <f>IF('Net zero activities &amp; levers'!$C$14="Off",SUM('Activity data'!AP50:AP65)*FracGASM*MSVolatEF*NtoN2O*kgtoGg,IF('Net zero activities &amp; levers'!$C$14="On",SUM('Net zero Activity data'!AP50:AP65)*FracGASM*MSVolatEF*NtoN2O*kgtoGg,"ERROR"))</f>
        <v>1.1291994422976275</v>
      </c>
      <c r="X1166" s="94">
        <f>IF('Net zero activities &amp; levers'!$C$14="Off",SUM('Activity data'!AQ50:AQ65)*FracGASM*MSVolatEF*NtoN2O*kgtoGg,IF('Net zero activities &amp; levers'!$C$14="On",SUM('Net zero Activity data'!AQ50:AQ65)*FracGASM*MSVolatEF*NtoN2O*kgtoGg,"ERROR"))</f>
        <v>1.1467521172180308</v>
      </c>
      <c r="Y1166" s="94">
        <f>IF('Net zero activities &amp; levers'!$C$14="Off",SUM('Activity data'!AR50:AR65)*FracGASM*MSVolatEF*NtoN2O*kgtoGg,IF('Net zero activities &amp; levers'!$C$14="On",SUM('Net zero Activity data'!AR50:AR65)*FracGASM*MSVolatEF*NtoN2O*kgtoGg,"ERROR"))</f>
        <v>1.1661924411251976</v>
      </c>
      <c r="Z1166" s="94">
        <f>IF('Net zero activities &amp; levers'!$C$14="Off",SUM('Activity data'!AS50:AS65)*FracGASM*MSVolatEF*NtoN2O*kgtoGg,IF('Net zero activities &amp; levers'!$C$14="On",SUM('Net zero Activity data'!AS50:AS65)*FracGASM*MSVolatEF*NtoN2O*kgtoGg,"ERROR"))</f>
        <v>1.1881766019612736</v>
      </c>
      <c r="AA1166" s="94">
        <f>IF('Net zero activities &amp; levers'!$C$14="Off",SUM('Activity data'!AT50:AT65)*FracGASM*MSVolatEF*NtoN2O*kgtoGg,IF('Net zero activities &amp; levers'!$C$14="On",SUM('Net zero Activity data'!AT50:AT65)*FracGASM*MSVolatEF*NtoN2O*kgtoGg,"ERROR"))</f>
        <v>1.2105548738562886</v>
      </c>
      <c r="AB1166" s="94">
        <f>IF('Net zero activities &amp; levers'!$C$14="Off",SUM('Activity data'!AU50:AU65)*FracGASM*MSVolatEF*NtoN2O*kgtoGg,IF('Net zero activities &amp; levers'!$C$14="On",SUM('Net zero Activity data'!AU50:AU65)*FracGASM*MSVolatEF*NtoN2O*kgtoGg,"ERROR"))</f>
        <v>1.2352132344527478</v>
      </c>
      <c r="AC1166" s="94">
        <f>IF('Net zero activities &amp; levers'!$C$14="Off",SUM('Activity data'!AV50:AV65)*FracGASM*MSVolatEF*NtoN2O*kgtoGg,IF('Net zero activities &amp; levers'!$C$14="On",SUM('Net zero Activity data'!AV50:AV65)*FracGASM*MSVolatEF*NtoN2O*kgtoGg,"ERROR"))</f>
        <v>1.2600610700998878</v>
      </c>
      <c r="AD1166" s="94">
        <f>IF('Net zero activities &amp; levers'!$C$14="Off",SUM('Activity data'!AW50:AW65)*FracGASM*MSVolatEF*NtoN2O*kgtoGg,IF('Net zero activities &amp; levers'!$C$14="On",SUM('Net zero Activity data'!AW50:AW65)*FracGASM*MSVolatEF*NtoN2O*kgtoGg,"ERROR"))</f>
        <v>1.2841695325772586</v>
      </c>
      <c r="AE1166" s="94">
        <f>IF('Net zero activities &amp; levers'!$C$14="Off",SUM('Activity data'!AX50:AX65)*FracGASM*MSVolatEF*NtoN2O*kgtoGg,IF('Net zero activities &amp; levers'!$C$14="On",SUM('Net zero Activity data'!AX50:AX65)*FracGASM*MSVolatEF*NtoN2O*kgtoGg,"ERROR"))</f>
        <v>1.3069035937836597</v>
      </c>
      <c r="AF1166" s="94">
        <f>IF('Net zero activities &amp; levers'!$C$14="Off",SUM('Activity data'!AY50:AY65)*FracGASM*MSVolatEF*NtoN2O*kgtoGg,IF('Net zero activities &amp; levers'!$C$14="On",SUM('Net zero Activity data'!AY50:AY65)*FracGASM*MSVolatEF*NtoN2O*kgtoGg,"ERROR"))</f>
        <v>1.3308885489727156</v>
      </c>
      <c r="AG1166" s="94">
        <f>IF('Net zero activities &amp; levers'!$C$14="Off",SUM('Activity data'!AZ50:AZ65)*FracGASM*MSVolatEF*NtoN2O*kgtoGg,IF('Net zero activities &amp; levers'!$C$14="On",SUM('Net zero Activity data'!AZ50:AZ65)*FracGASM*MSVolatEF*NtoN2O*kgtoGg,"ERROR"))</f>
        <v>1.3591357613410466</v>
      </c>
      <c r="AH1166" s="94">
        <f>IF('Net zero activities &amp; levers'!$C$14="Off",SUM('Activity data'!BA50:BA65)*FracGASM*MSVolatEF*NtoN2O*kgtoGg,IF('Net zero activities &amp; levers'!$C$14="On",SUM('Net zero Activity data'!BA50:BA65)*FracGASM*MSVolatEF*NtoN2O*kgtoGg,"ERROR"))</f>
        <v>1.3843151170507964</v>
      </c>
      <c r="AI1166" s="94">
        <f>IF('Net zero activities &amp; levers'!$C$14="Off",SUM('Activity data'!BB50:BB65)*FracGASM*MSVolatEF*NtoN2O*kgtoGg,IF('Net zero activities &amp; levers'!$C$14="On",SUM('Net zero Activity data'!BB50:BB65)*FracGASM*MSVolatEF*NtoN2O*kgtoGg,"ERROR"))</f>
        <v>1.4109607447095132</v>
      </c>
      <c r="AJ1166" s="94">
        <f>IF('Net zero activities &amp; levers'!$C$14="Off",SUM('Activity data'!BC50:BC65)*FracGASM*MSVolatEF*NtoN2O*kgtoGg,IF('Net zero activities &amp; levers'!$C$14="On",SUM('Net zero Activity data'!BC50:BC65)*FracGASM*MSVolatEF*NtoN2O*kgtoGg,"ERROR"))</f>
        <v>1.439613035796105</v>
      </c>
      <c r="AK1166" s="94">
        <f>IF('Net zero activities &amp; levers'!$C$14="Off",SUM('Activity data'!BD50:BD65)*FracGASM*MSVolatEF*NtoN2O*kgtoGg,IF('Net zero activities &amp; levers'!$C$14="On",SUM('Net zero Activity data'!BD50:BD65)*FracGASM*MSVolatEF*NtoN2O*kgtoGg,"ERROR"))</f>
        <v>1.4645872559628428</v>
      </c>
      <c r="AL1166" s="94">
        <f>IF('Net zero activities &amp; levers'!$C$14="Off",SUM('Activity data'!BE50:BE65)*FracGASM*MSVolatEF*NtoN2O*kgtoGg,IF('Net zero activities &amp; levers'!$C$14="On",SUM('Net zero Activity data'!BE50:BE65)*FracGASM*MSVolatEF*NtoN2O*kgtoGg,"ERROR"))</f>
        <v>1.4885153057402958</v>
      </c>
      <c r="AM1166" s="94">
        <f>IF('Net zero activities &amp; levers'!$C$14="Off",SUM('Activity data'!BF50:BF65)*FracGASM*MSVolatEF*NtoN2O*kgtoGg,IF('Net zero activities &amp; levers'!$C$14="On",SUM('Net zero Activity data'!BF50:BF65)*FracGASM*MSVolatEF*NtoN2O*kgtoGg,"ERROR"))</f>
        <v>1.5115373270459393</v>
      </c>
      <c r="AN1166" s="94">
        <f>IF('Net zero activities &amp; levers'!$C$14="Off",SUM('Activity data'!BG50:BG65)*FracGASM*MSVolatEF*NtoN2O*kgtoGg,IF('Net zero activities &amp; levers'!$C$14="On",SUM('Net zero Activity data'!BG50:BG65)*FracGASM*MSVolatEF*NtoN2O*kgtoGg,"ERROR"))</f>
        <v>1.5400585132402391</v>
      </c>
      <c r="AO1166" s="94">
        <f>IF('Net zero activities &amp; levers'!$C$14="Off",SUM('Activity data'!BH50:BH65)*FracGASM*MSVolatEF*NtoN2O*kgtoGg,IF('Net zero activities &amp; levers'!$C$14="On",SUM('Net zero Activity data'!BH50:BH65)*FracGASM*MSVolatEF*NtoN2O*kgtoGg,"ERROR"))</f>
        <v>1.5662225533166572</v>
      </c>
      <c r="AP1166" s="94">
        <f>IF('Net zero activities &amp; levers'!$C$14="Off",SUM('Activity data'!BI50:BI65)*FracGASM*MSVolatEF*NtoN2O*kgtoGg,IF('Net zero activities &amp; levers'!$C$14="On",SUM('Net zero Activity data'!BI50:BI65)*FracGASM*MSVolatEF*NtoN2O*kgtoGg,"ERROR"))</f>
        <v>1.593267491108957</v>
      </c>
      <c r="AQ1166" s="94">
        <f>IF('Net zero activities &amp; levers'!$C$14="Off",SUM('Activity data'!BJ50:BJ65)*FracGASM*MSVolatEF*NtoN2O*kgtoGg,IF('Net zero activities &amp; levers'!$C$14="On",SUM('Net zero Activity data'!BJ50:BJ65)*FracGASM*MSVolatEF*NtoN2O*kgtoGg,"ERROR"))</f>
        <v>1.6213524132646824</v>
      </c>
      <c r="AR1166" s="94">
        <f>IF('Net zero activities &amp; levers'!$C$14="Off",SUM('Activity data'!BK50:BK65)*FracGASM*MSVolatEF*NtoN2O*kgtoGg,IF('Net zero activities &amp; levers'!$C$14="On",SUM('Net zero Activity data'!BK50:BK65)*FracGASM*MSVolatEF*NtoN2O*kgtoGg,"ERROR"))</f>
        <v>1.6507413943805305</v>
      </c>
      <c r="AS1166" s="94">
        <f>IF('Net zero activities &amp; levers'!$C$14="Off",SUM('Activity data'!BL50:BL65)*FracGASM*MSVolatEF*NtoN2O*kgtoGg,IF('Net zero activities &amp; levers'!$C$14="On",SUM('Net zero Activity data'!BL50:BL65)*FracGASM*MSVolatEF*NtoN2O*kgtoGg,"ERROR"))</f>
        <v>1.6812851986409043</v>
      </c>
      <c r="AT1166" s="94">
        <f>IF('Net zero activities &amp; levers'!$C$14="Off",SUM('Activity data'!BM50:BM65)*FracGASM*MSVolatEF*NtoN2O*kgtoGg,IF('Net zero activities &amp; levers'!$C$14="On",SUM('Net zero Activity data'!BM50:BM65)*FracGASM*MSVolatEF*NtoN2O*kgtoGg,"ERROR"))</f>
        <v>1.6777302811702246</v>
      </c>
      <c r="AU1166" s="94">
        <f>IF('Net zero activities &amp; levers'!$C$14="Off",SUM('Activity data'!BN50:BN65)*FracGASM*MSVolatEF*NtoN2O*kgtoGg,IF('Net zero activities &amp; levers'!$C$14="On",SUM('Net zero Activity data'!BN50:BN65)*FracGASM*MSVolatEF*NtoN2O*kgtoGg,"ERROR"))</f>
        <v>1.6711130643184777</v>
      </c>
      <c r="AV1166" s="94">
        <f>IF('Net zero activities &amp; levers'!$C$14="Off",SUM('Activity data'!BO50:BO65)*FracGASM*MSVolatEF*NtoN2O*kgtoGg,IF('Net zero activities &amp; levers'!$C$14="On",SUM('Net zero Activity data'!BO50:BO65)*FracGASM*MSVolatEF*NtoN2O*kgtoGg,"ERROR"))</f>
        <v>1.6601731404367381</v>
      </c>
      <c r="AW1166" s="94">
        <f>IF('Net zero activities &amp; levers'!$C$14="Off",SUM('Activity data'!BP50:BP65)*FracGASM*MSVolatEF*NtoN2O*kgtoGg,IF('Net zero activities &amp; levers'!$C$14="On",SUM('Net zero Activity data'!BP50:BP65)*FracGASM*MSVolatEF*NtoN2O*kgtoGg,"ERROR"))</f>
        <v>1.6481045233312475</v>
      </c>
      <c r="AY1166" s="79"/>
    </row>
    <row r="1167" spans="1:51" x14ac:dyDescent="0.3">
      <c r="A1167" s="95" t="str">
        <f t="shared" si="374"/>
        <v>CM Volatilisation</v>
      </c>
      <c r="B1167" s="95" t="s">
        <v>1322</v>
      </c>
      <c r="C1167" s="95" t="s">
        <v>62</v>
      </c>
      <c r="D1167" t="s">
        <v>369</v>
      </c>
      <c r="E1167" t="s">
        <v>61</v>
      </c>
      <c r="F1167" t="s">
        <v>62</v>
      </c>
      <c r="G1167" t="s">
        <v>438</v>
      </c>
      <c r="H1167" t="s">
        <v>1265</v>
      </c>
      <c r="I1167" t="s">
        <v>139</v>
      </c>
      <c r="J1167" t="s">
        <v>287</v>
      </c>
      <c r="K1167" s="94">
        <f>IF('Net zero activities &amp; levers'!$C$14="Off",SUM('Activity data'!AD66:AD81)*FracGASM*MSVolatEF*NtoN2O*kgtoGg,IF('Net zero activities &amp; levers'!$C$14="On",SUM('Net zero Activity data'!AD66:AD81)*FracGASM*MSVolatEF*NtoN2O*kgtoGg,"ERROR"))</f>
        <v>4.3975799639737048</v>
      </c>
      <c r="L1167" s="94">
        <f>IF('Net zero activities &amp; levers'!$C$14="Off",SUM('Activity data'!AE66:AE81)*FracGASM*MSVolatEF*NtoN2O*kgtoGg,IF('Net zero activities &amp; levers'!$C$14="On",SUM('Net zero Activity data'!AE66:AE81)*FracGASM*MSVolatEF*NtoN2O*kgtoGg,"ERROR"))</f>
        <v>4.3787767883653972</v>
      </c>
      <c r="M1167" s="94">
        <f>IF('Net zero activities &amp; levers'!$C$14="Off",SUM('Activity data'!AF66:AF81)*FracGASM*MSVolatEF*NtoN2O*kgtoGg,IF('Net zero activities &amp; levers'!$C$14="On",SUM('Net zero Activity data'!AF66:AF81)*FracGASM*MSVolatEF*NtoN2O*kgtoGg,"ERROR"))</f>
        <v>4.3752716537638934</v>
      </c>
      <c r="N1167" s="94">
        <f>IF('Net zero activities &amp; levers'!$C$14="Off",SUM('Activity data'!AG66:AG81)*FracGASM*MSVolatEF*NtoN2O*kgtoGg,IF('Net zero activities &amp; levers'!$C$14="On",SUM('Net zero Activity data'!AG66:AG81)*FracGASM*MSVolatEF*NtoN2O*kgtoGg,"ERROR"))</f>
        <v>4.3473821211305594</v>
      </c>
      <c r="O1167" s="94">
        <f>IF('Net zero activities &amp; levers'!$C$14="Off",SUM('Activity data'!AH66:AH81)*FracGASM*MSVolatEF*NtoN2O*kgtoGg,IF('Net zero activities &amp; levers'!$C$14="On",SUM('Net zero Activity data'!AH66:AH81)*FracGASM*MSVolatEF*NtoN2O*kgtoGg,"ERROR"))</f>
        <v>4.3052096453824609</v>
      </c>
      <c r="P1167" s="94">
        <f>IF('Net zero activities &amp; levers'!$C$14="Off",SUM('Activity data'!AI66:AI81)*FracGASM*MSVolatEF*NtoN2O*kgtoGg,IF('Net zero activities &amp; levers'!$C$14="On",SUM('Net zero Activity data'!AI66:AI81)*FracGASM*MSVolatEF*NtoN2O*kgtoGg,"ERROR"))</f>
        <v>4.2496956169043703</v>
      </c>
      <c r="Q1167" s="94">
        <f>IF('Net zero activities &amp; levers'!$C$14="Off",SUM('Activity data'!AJ66:AJ81)*FracGASM*MSVolatEF*NtoN2O*kgtoGg,IF('Net zero activities &amp; levers'!$C$14="On",SUM('Net zero Activity data'!AJ66:AJ81)*FracGASM*MSVolatEF*NtoN2O*kgtoGg,"ERROR"))</f>
        <v>4.2083609134426787</v>
      </c>
      <c r="R1167" s="94">
        <f>IF('Net zero activities &amp; levers'!$C$14="Off",SUM('Activity data'!AK66:AK81)*FracGASM*MSVolatEF*NtoN2O*kgtoGg,IF('Net zero activities &amp; levers'!$C$14="On",SUM('Net zero Activity data'!AK66:AK81)*FracGASM*MSVolatEF*NtoN2O*kgtoGg,"ERROR"))</f>
        <v>4.1703852155628214</v>
      </c>
      <c r="S1167" s="94">
        <f>IF('Net zero activities &amp; levers'!$C$14="Off",SUM('Activity data'!AL66:AL81)*FracGASM*MSVolatEF*NtoN2O*kgtoGg,IF('Net zero activities &amp; levers'!$C$14="On",SUM('Net zero Activity data'!AL66:AL81)*FracGASM*MSVolatEF*NtoN2O*kgtoGg,"ERROR"))</f>
        <v>3.900775371515369</v>
      </c>
      <c r="T1167" s="94">
        <f>IF('Net zero activities &amp; levers'!$C$14="Off",SUM('Activity data'!AM66:AM81)*FracGASM*MSVolatEF*NtoN2O*kgtoGg,IF('Net zero activities &amp; levers'!$C$14="On",SUM('Net zero Activity data'!AM66:AM81)*FracGASM*MSVolatEF*NtoN2O*kgtoGg,"ERROR"))</f>
        <v>3.9381596254461564</v>
      </c>
      <c r="U1167" s="94">
        <f>IF('Net zero activities &amp; levers'!$C$14="Off",SUM('Activity data'!AN66:AN81)*FracGASM*MSVolatEF*NtoN2O*kgtoGg,IF('Net zero activities &amp; levers'!$C$14="On",SUM('Net zero Activity data'!AN66:AN81)*FracGASM*MSVolatEF*NtoN2O*kgtoGg,"ERROR"))</f>
        <v>4.0049157346570068</v>
      </c>
      <c r="V1167" s="94">
        <f>IF('Net zero activities &amp; levers'!$C$14="Off",SUM('Activity data'!AO66:AO81)*FracGASM*MSVolatEF*NtoN2O*kgtoGg,IF('Net zero activities &amp; levers'!$C$14="On",SUM('Net zero Activity data'!AO66:AO81)*FracGASM*MSVolatEF*NtoN2O*kgtoGg,"ERROR"))</f>
        <v>4.0223863253045398</v>
      </c>
      <c r="W1167" s="94">
        <f>IF('Net zero activities &amp; levers'!$C$14="Off",SUM('Activity data'!AP66:AP81)*FracGASM*MSVolatEF*NtoN2O*kgtoGg,IF('Net zero activities &amp; levers'!$C$14="On",SUM('Net zero Activity data'!AP66:AP81)*FracGASM*MSVolatEF*NtoN2O*kgtoGg,"ERROR"))</f>
        <v>4.045795803072969</v>
      </c>
      <c r="X1167" s="94">
        <f>IF('Net zero activities &amp; levers'!$C$14="Off",SUM('Activity data'!AQ66:AQ81)*FracGASM*MSVolatEF*NtoN2O*kgtoGg,IF('Net zero activities &amp; levers'!$C$14="On",SUM('Net zero Activity data'!AQ66:AQ81)*FracGASM*MSVolatEF*NtoN2O*kgtoGg,"ERROR"))</f>
        <v>4.0767188563085508</v>
      </c>
      <c r="Y1167" s="94">
        <f>IF('Net zero activities &amp; levers'!$C$14="Off",SUM('Activity data'!AR66:AR81)*FracGASM*MSVolatEF*NtoN2O*kgtoGg,IF('Net zero activities &amp; levers'!$C$14="On",SUM('Net zero Activity data'!AR66:AR81)*FracGASM*MSVolatEF*NtoN2O*kgtoGg,"ERROR"))</f>
        <v>4.1095287399075264</v>
      </c>
      <c r="Z1167" s="94">
        <f>IF('Net zero activities &amp; levers'!$C$14="Off",SUM('Activity data'!AS66:AS81)*FracGASM*MSVolatEF*NtoN2O*kgtoGg,IF('Net zero activities &amp; levers'!$C$14="On",SUM('Net zero Activity data'!AS66:AS81)*FracGASM*MSVolatEF*NtoN2O*kgtoGg,"ERROR"))</f>
        <v>4.1476787731521458</v>
      </c>
      <c r="AA1167" s="94">
        <f>IF('Net zero activities &amp; levers'!$C$14="Off",SUM('Activity data'!AT66:AT81)*FracGASM*MSVolatEF*NtoN2O*kgtoGg,IF('Net zero activities &amp; levers'!$C$14="On",SUM('Net zero Activity data'!AT66:AT81)*FracGASM*MSVolatEF*NtoN2O*kgtoGg,"ERROR"))</f>
        <v>4.1863566801857406</v>
      </c>
      <c r="AB1167" s="94">
        <f>IF('Net zero activities &amp; levers'!$C$14="Off",SUM('Activity data'!AU66:AU81)*FracGASM*MSVolatEF*NtoN2O*kgtoGg,IF('Net zero activities &amp; levers'!$C$14="On",SUM('Net zero Activity data'!AU66:AU81)*FracGASM*MSVolatEF*NtoN2O*kgtoGg,"ERROR"))</f>
        <v>4.2296218376851549</v>
      </c>
      <c r="AC1167" s="94">
        <f>IF('Net zero activities &amp; levers'!$C$14="Off",SUM('Activity data'!AV66:AV81)*FracGASM*MSVolatEF*NtoN2O*kgtoGg,IF('Net zero activities &amp; levers'!$C$14="On",SUM('Net zero Activity data'!AV66:AV81)*FracGASM*MSVolatEF*NtoN2O*kgtoGg,"ERROR"))</f>
        <v>4.2728604404281354</v>
      </c>
      <c r="AD1167" s="94">
        <f>IF('Net zero activities &amp; levers'!$C$14="Off",SUM('Activity data'!AW66:AW81)*FracGASM*MSVolatEF*NtoN2O*kgtoGg,IF('Net zero activities &amp; levers'!$C$14="On",SUM('Net zero Activity data'!AW66:AW81)*FracGASM*MSVolatEF*NtoN2O*kgtoGg,"ERROR"))</f>
        <v>4.3024697400350007</v>
      </c>
      <c r="AE1167" s="94">
        <f>IF('Net zero activities &amp; levers'!$C$14="Off",SUM('Activity data'!AX66:AX81)*FracGASM*MSVolatEF*NtoN2O*kgtoGg,IF('Net zero activities &amp; levers'!$C$14="On",SUM('Net zero Activity data'!AX66:AX81)*FracGASM*MSVolatEF*NtoN2O*kgtoGg,"ERROR"))</f>
        <v>4.3280485976783627</v>
      </c>
      <c r="AF1167" s="94">
        <f>IF('Net zero activities &amp; levers'!$C$14="Off",SUM('Activity data'!AY66:AY81)*FracGASM*MSVolatEF*NtoN2O*kgtoGg,IF('Net zero activities &amp; levers'!$C$14="On",SUM('Net zero Activity data'!AY66:AY81)*FracGASM*MSVolatEF*NtoN2O*kgtoGg,"ERROR"))</f>
        <v>4.3551413116429245</v>
      </c>
      <c r="AG1167" s="94">
        <f>IF('Net zero activities &amp; levers'!$C$14="Off",SUM('Activity data'!AZ66:AZ81)*FracGASM*MSVolatEF*NtoN2O*kgtoGg,IF('Net zero activities &amp; levers'!$C$14="On",SUM('Net zero Activity data'!AZ66:AZ81)*FracGASM*MSVolatEF*NtoN2O*kgtoGg,"ERROR"))</f>
        <v>4.3898514432989648</v>
      </c>
      <c r="AH1167" s="94">
        <f>IF('Net zero activities &amp; levers'!$C$14="Off",SUM('Activity data'!BA66:BA81)*FracGASM*MSVolatEF*NtoN2O*kgtoGg,IF('Net zero activities &amp; levers'!$C$14="On",SUM('Net zero Activity data'!BA66:BA81)*FracGASM*MSVolatEF*NtoN2O*kgtoGg,"ERROR"))</f>
        <v>4.4168796997123483</v>
      </c>
      <c r="AI1167" s="94">
        <f>IF('Net zero activities &amp; levers'!$C$14="Off",SUM('Activity data'!BB66:BB81)*FracGASM*MSVolatEF*NtoN2O*kgtoGg,IF('Net zero activities &amp; levers'!$C$14="On",SUM('Net zero Activity data'!BB66:BB81)*FracGASM*MSVolatEF*NtoN2O*kgtoGg,"ERROR"))</f>
        <v>4.4439671933106792</v>
      </c>
      <c r="AJ1167" s="94">
        <f>IF('Net zero activities &amp; levers'!$C$14="Off",SUM('Activity data'!BC66:BC81)*FracGASM*MSVolatEF*NtoN2O*kgtoGg,IF('Net zero activities &amp; levers'!$C$14="On",SUM('Net zero Activity data'!BC66:BC81)*FracGASM*MSVolatEF*NtoN2O*kgtoGg,"ERROR"))</f>
        <v>4.4736413932482595</v>
      </c>
      <c r="AK1167" s="94">
        <f>IF('Net zero activities &amp; levers'!$C$14="Off",SUM('Activity data'!BD66:BD81)*FracGASM*MSVolatEF*NtoN2O*kgtoGg,IF('Net zero activities &amp; levers'!$C$14="On",SUM('Net zero Activity data'!BD66:BD81)*FracGASM*MSVolatEF*NtoN2O*kgtoGg,"ERROR"))</f>
        <v>4.4945161300843504</v>
      </c>
      <c r="AL1167" s="94">
        <f>IF('Net zero activities &amp; levers'!$C$14="Off",SUM('Activity data'!BE66:BE81)*FracGASM*MSVolatEF*NtoN2O*kgtoGg,IF('Net zero activities &amp; levers'!$C$14="On",SUM('Net zero Activity data'!BE66:BE81)*FracGASM*MSVolatEF*NtoN2O*kgtoGg,"ERROR"))</f>
        <v>4.5119473605235276</v>
      </c>
      <c r="AM1167" s="94">
        <f>IF('Net zero activities &amp; levers'!$C$14="Off",SUM('Activity data'!BF66:BF81)*FracGASM*MSVolatEF*NtoN2O*kgtoGg,IF('Net zero activities &amp; levers'!$C$14="On",SUM('Net zero Activity data'!BF66:BF81)*FracGASM*MSVolatEF*NtoN2O*kgtoGg,"ERROR"))</f>
        <v>4.5262479592108207</v>
      </c>
      <c r="AN1167" s="94">
        <f>IF('Net zero activities &amp; levers'!$C$14="Off",SUM('Activity data'!BG66:BG81)*FracGASM*MSVolatEF*NtoN2O*kgtoGg,IF('Net zero activities &amp; levers'!$C$14="On",SUM('Net zero Activity data'!BG66:BG81)*FracGASM*MSVolatEF*NtoN2O*kgtoGg,"ERROR"))</f>
        <v>4.5552825489057529</v>
      </c>
      <c r="AO1167" s="94">
        <f>IF('Net zero activities &amp; levers'!$C$14="Off",SUM('Activity data'!BH66:BH81)*FracGASM*MSVolatEF*NtoN2O*kgtoGg,IF('Net zero activities &amp; levers'!$C$14="On",SUM('Net zero Activity data'!BH66:BH81)*FracGASM*MSVolatEF*NtoN2O*kgtoGg,"ERROR"))</f>
        <v>4.5786902056870105</v>
      </c>
      <c r="AP1167" s="94">
        <f>IF('Net zero activities &amp; levers'!$C$14="Off",SUM('Activity data'!BI66:BI81)*FracGASM*MSVolatEF*NtoN2O*kgtoGg,IF('Net zero activities &amp; levers'!$C$14="On",SUM('Net zero Activity data'!BI66:BI81)*FracGASM*MSVolatEF*NtoN2O*kgtoGg,"ERROR"))</f>
        <v>4.6026259938264094</v>
      </c>
      <c r="AQ1167" s="94">
        <f>IF('Net zero activities &amp; levers'!$C$14="Off",SUM('Activity data'!BJ66:BJ81)*FracGASM*MSVolatEF*NtoN2O*kgtoGg,IF('Net zero activities &amp; levers'!$C$14="On",SUM('Net zero Activity data'!BJ66:BJ81)*FracGASM*MSVolatEF*NtoN2O*kgtoGg,"ERROR"))</f>
        <v>4.6273110032913349</v>
      </c>
      <c r="AR1167" s="94">
        <f>IF('Net zero activities &amp; levers'!$C$14="Off",SUM('Activity data'!BK66:BK81)*FracGASM*MSVolatEF*NtoN2O*kgtoGg,IF('Net zero activities &amp; levers'!$C$14="On",SUM('Net zero Activity data'!BK66:BK81)*FracGASM*MSVolatEF*NtoN2O*kgtoGg,"ERROR"))</f>
        <v>4.6531442501292055</v>
      </c>
      <c r="AS1167" s="94">
        <f>IF('Net zero activities &amp; levers'!$C$14="Off",SUM('Activity data'!BL66:BL81)*FracGASM*MSVolatEF*NtoN2O*kgtoGg,IF('Net zero activities &amp; levers'!$C$14="On",SUM('Net zero Activity data'!BL66:BL81)*FracGASM*MSVolatEF*NtoN2O*kgtoGg,"ERROR"))</f>
        <v>4.6782746913590252</v>
      </c>
      <c r="AT1167" s="94">
        <f>IF('Net zero activities &amp; levers'!$C$14="Off",SUM('Activity data'!BM66:BM81)*FracGASM*MSVolatEF*NtoN2O*kgtoGg,IF('Net zero activities &amp; levers'!$C$14="On",SUM('Net zero Activity data'!BM66:BM81)*FracGASM*MSVolatEF*NtoN2O*kgtoGg,"ERROR"))</f>
        <v>4.6412320099960542</v>
      </c>
      <c r="AU1167" s="94">
        <f>IF('Net zero activities &amp; levers'!$C$14="Off",SUM('Activity data'!BN66:BN81)*FracGASM*MSVolatEF*NtoN2O*kgtoGg,IF('Net zero activities &amp; levers'!$C$14="On",SUM('Net zero Activity data'!BN66:BN81)*FracGASM*MSVolatEF*NtoN2O*kgtoGg,"ERROR"))</f>
        <v>4.5987998522947482</v>
      </c>
      <c r="AV1167" s="94">
        <f>IF('Net zero activities &amp; levers'!$C$14="Off",SUM('Activity data'!BO66:BO81)*FracGASM*MSVolatEF*NtoN2O*kgtoGg,IF('Net zero activities &amp; levers'!$C$14="On",SUM('Net zero Activity data'!BO66:BO81)*FracGASM*MSVolatEF*NtoN2O*kgtoGg,"ERROR"))</f>
        <v>4.5489683571490982</v>
      </c>
      <c r="AW1167" s="94">
        <f>IF('Net zero activities &amp; levers'!$C$14="Off",SUM('Activity data'!BP66:BP81)*FracGASM*MSVolatEF*NtoN2O*kgtoGg,IF('Net zero activities &amp; levers'!$C$14="On",SUM('Net zero Activity data'!BP66:BP81)*FracGASM*MSVolatEF*NtoN2O*kgtoGg,"ERROR"))</f>
        <v>4.4975013733577454</v>
      </c>
      <c r="AY1167" s="79"/>
    </row>
    <row r="1168" spans="1:51" x14ac:dyDescent="0.3">
      <c r="A1168" s="95" t="str">
        <f t="shared" ref="A1168:A1216" si="380">B1168&amp;" "&amp;C1168</f>
        <v>CM Leaching</v>
      </c>
      <c r="B1168" s="95" t="s">
        <v>1322</v>
      </c>
      <c r="C1168" s="95" t="s">
        <v>1190</v>
      </c>
      <c r="D1168" t="s">
        <v>369</v>
      </c>
      <c r="E1168" t="s">
        <v>61</v>
      </c>
      <c r="F1168" t="s">
        <v>63</v>
      </c>
      <c r="G1168" t="s">
        <v>435</v>
      </c>
      <c r="H1168" t="s">
        <v>1187</v>
      </c>
      <c r="I1168" t="s">
        <v>139</v>
      </c>
      <c r="J1168" t="s">
        <v>287</v>
      </c>
      <c r="K1168" s="94">
        <f>IF('Net zero activities &amp; levers'!$C$14="Off",'Activity data'!AD47*FracLEACH*MSLeachEF*NtoN2O*kgtoGg,IF('Net zero activities &amp; levers'!$C$14="On",'Net zero Activity data'!AD47*FracLEACH*MSLeachEF*NtoN2O*kgtoGg,"ERROR"))</f>
        <v>2.2792360161858692E-4</v>
      </c>
      <c r="L1168" s="94">
        <f>IF('Net zero activities &amp; levers'!$C$14="Off",'Activity data'!AE47*FracLEACH*MSLeachEF*NtoN2O*kgtoGg,IF('Net zero activities &amp; levers'!$C$14="On",'Net zero Activity data'!AE47*FracLEACH*MSLeachEF*NtoN2O*kgtoGg,"ERROR"))</f>
        <v>2.2790093553774266E-4</v>
      </c>
      <c r="M1168" s="94">
        <f>IF('Net zero activities &amp; levers'!$C$14="Off",'Activity data'!AF47*FracLEACH*MSLeachEF*NtoN2O*kgtoGg,IF('Net zero activities &amp; levers'!$C$14="On",'Net zero Activity data'!AF47*FracLEACH*MSLeachEF*NtoN2O*kgtoGg,"ERROR"))</f>
        <v>2.278593788421324E-4</v>
      </c>
      <c r="N1168" s="94">
        <f>IF('Net zero activities &amp; levers'!$C$14="Off",'Activity data'!AG47*FracLEACH*MSLeachEF*NtoN2O*kgtoGg,IF('Net zero activities &amp; levers'!$C$14="On",'Net zero Activity data'!AG47*FracLEACH*MSLeachEF*NtoN2O*kgtoGg,"ERROR"))</f>
        <v>2.2780970825918929E-4</v>
      </c>
      <c r="O1168" s="94">
        <f>IF('Net zero activities &amp; levers'!$C$14="Off",'Activity data'!AH47*FracLEACH*MSLeachEF*NtoN2O*kgtoGg,IF('Net zero activities &amp; levers'!$C$14="On",'Net zero Activity data'!AH47*FracLEACH*MSLeachEF*NtoN2O*kgtoGg,"ERROR"))</f>
        <v>2.277761536871344E-4</v>
      </c>
      <c r="P1168" s="94">
        <f>IF('Net zero activities &amp; levers'!$C$14="Off",'Activity data'!AI47*FracLEACH*MSLeachEF*NtoN2O*kgtoGg,IF('Net zero activities &amp; levers'!$C$14="On",'Net zero Activity data'!AI47*FracLEACH*MSLeachEF*NtoN2O*kgtoGg,"ERROR"))</f>
        <v>2.2775306232797126E-4</v>
      </c>
      <c r="Q1168" s="94">
        <f>IF('Net zero activities &amp; levers'!$C$14="Off",'Activity data'!AJ47*FracLEACH*MSLeachEF*NtoN2O*kgtoGg,IF('Net zero activities &amp; levers'!$C$14="On",'Net zero Activity data'!AJ47*FracLEACH*MSLeachEF*NtoN2O*kgtoGg,"ERROR"))</f>
        <v>2.2774041756527976E-4</v>
      </c>
      <c r="R1168" s="94">
        <f>IF('Net zero activities &amp; levers'!$C$14="Off",'Activity data'!AK47*FracLEACH*MSLeachEF*NtoN2O*kgtoGg,IF('Net zero activities &amp; levers'!$C$14="On",'Net zero Activity data'!AK47*FracLEACH*MSLeachEF*NtoN2O*kgtoGg,"ERROR"))</f>
        <v>2.2771996066053992E-4</v>
      </c>
      <c r="S1168" s="94">
        <f>IF('Net zero activities &amp; levers'!$C$14="Off",'Activity data'!AL47*FracLEACH*MSLeachEF*NtoN2O*kgtoGg,IF('Net zero activities &amp; levers'!$C$14="On",'Net zero Activity data'!AL47*FracLEACH*MSLeachEF*NtoN2O*kgtoGg,"ERROR"))</f>
        <v>2.2769847220449889E-4</v>
      </c>
      <c r="T1168" s="94">
        <f>IF('Net zero activities &amp; levers'!$C$14="Off",'Activity data'!AM47*FracLEACH*MSLeachEF*NtoN2O*kgtoGg,IF('Net zero activities &amp; levers'!$C$14="On",'Net zero Activity data'!AM47*FracLEACH*MSLeachEF*NtoN2O*kgtoGg,"ERROR"))</f>
        <v>2.2784783983581601E-4</v>
      </c>
      <c r="U1168" s="94">
        <f>IF('Net zero activities &amp; levers'!$C$14="Off",'Activity data'!AN47*FracLEACH*MSLeachEF*NtoN2O*kgtoGg,IF('Net zero activities &amp; levers'!$C$14="On",'Net zero Activity data'!AN47*FracLEACH*MSLeachEF*NtoN2O*kgtoGg,"ERROR"))</f>
        <v>2.2778861051780079E-4</v>
      </c>
      <c r="V1168" s="94">
        <f>IF('Net zero activities &amp; levers'!$C$14="Off",'Activity data'!AO47*FracLEACH*MSLeachEF*NtoN2O*kgtoGg,IF('Net zero activities &amp; levers'!$C$14="On",'Net zero Activity data'!AO47*FracLEACH*MSLeachEF*NtoN2O*kgtoGg,"ERROR"))</f>
        <v>2.2770777253754449E-4</v>
      </c>
      <c r="W1168" s="94">
        <f>IF('Net zero activities &amp; levers'!$C$14="Off",'Activity data'!AP47*FracLEACH*MSLeachEF*NtoN2O*kgtoGg,IF('Net zero activities &amp; levers'!$C$14="On",'Net zero Activity data'!AP47*FracLEACH*MSLeachEF*NtoN2O*kgtoGg,"ERROR"))</f>
        <v>2.2766433280255099E-4</v>
      </c>
      <c r="X1168" s="94">
        <f>IF('Net zero activities &amp; levers'!$C$14="Off",'Activity data'!AQ47*FracLEACH*MSLeachEF*NtoN2O*kgtoGg,IF('Net zero activities &amp; levers'!$C$14="On",'Net zero Activity data'!AQ47*FracLEACH*MSLeachEF*NtoN2O*kgtoGg,"ERROR"))</f>
        <v>2.2761682214603963E-4</v>
      </c>
      <c r="Y1168" s="94">
        <f>IF('Net zero activities &amp; levers'!$C$14="Off",'Activity data'!AR47*FracLEACH*MSLeachEF*NtoN2O*kgtoGg,IF('Net zero activities &amp; levers'!$C$14="On",'Net zero Activity data'!AR47*FracLEACH*MSLeachEF*NtoN2O*kgtoGg,"ERROR"))</f>
        <v>2.2756399965202255E-4</v>
      </c>
      <c r="Z1168" s="94">
        <f>IF('Net zero activities &amp; levers'!$C$14="Off",'Activity data'!AS47*FracLEACH*MSLeachEF*NtoN2O*kgtoGg,IF('Net zero activities &amp; levers'!$C$14="On",'Net zero Activity data'!AS47*FracLEACH*MSLeachEF*NtoN2O*kgtoGg,"ERROR"))</f>
        <v>2.2750855106580306E-4</v>
      </c>
      <c r="AA1168" s="94">
        <f>IF('Net zero activities &amp; levers'!$C$14="Off",'Activity data'!AT47*FracLEACH*MSLeachEF*NtoN2O*kgtoGg,IF('Net zero activities &amp; levers'!$C$14="On",'Net zero Activity data'!AT47*FracLEACH*MSLeachEF*NtoN2O*kgtoGg,"ERROR"))</f>
        <v>2.2744937410212421E-4</v>
      </c>
      <c r="AB1168" s="94">
        <f>IF('Net zero activities &amp; levers'!$C$14="Off",'Activity data'!AU47*FracLEACH*MSLeachEF*NtoN2O*kgtoGg,IF('Net zero activities &amp; levers'!$C$14="On",'Net zero Activity data'!AU47*FracLEACH*MSLeachEF*NtoN2O*kgtoGg,"ERROR"))</f>
        <v>2.273900694399806E-4</v>
      </c>
      <c r="AC1168" s="94">
        <f>IF('Net zero activities &amp; levers'!$C$14="Off",'Activity data'!AV47*FracLEACH*MSLeachEF*NtoN2O*kgtoGg,IF('Net zero activities &amp; levers'!$C$14="On",'Net zero Activity data'!AV47*FracLEACH*MSLeachEF*NtoN2O*kgtoGg,"ERROR"))</f>
        <v>2.27327608934121E-4</v>
      </c>
      <c r="AD1168" s="94">
        <f>IF('Net zero activities &amp; levers'!$C$14="Off",'Activity data'!AW47*FracLEACH*MSLeachEF*NtoN2O*kgtoGg,IF('Net zero activities &amp; levers'!$C$14="On",'Net zero Activity data'!AW47*FracLEACH*MSLeachEF*NtoN2O*kgtoGg,"ERROR"))</f>
        <v>2.2726542703693366E-4</v>
      </c>
      <c r="AE1168" s="94">
        <f>IF('Net zero activities &amp; levers'!$C$14="Off",'Activity data'!AX47*FracLEACH*MSLeachEF*NtoN2O*kgtoGg,IF('Net zero activities &amp; levers'!$C$14="On",'Net zero Activity data'!AX47*FracLEACH*MSLeachEF*NtoN2O*kgtoGg,"ERROR"))</f>
        <v>2.2719801149524835E-4</v>
      </c>
      <c r="AF1168" s="94">
        <f>IF('Net zero activities &amp; levers'!$C$14="Off",'Activity data'!AY47*FracLEACH*MSLeachEF*NtoN2O*kgtoGg,IF('Net zero activities &amp; levers'!$C$14="On",'Net zero Activity data'!AY47*FracLEACH*MSLeachEF*NtoN2O*kgtoGg,"ERROR"))</f>
        <v>2.2713308086967036E-4</v>
      </c>
      <c r="AG1168" s="94">
        <f>IF('Net zero activities &amp; levers'!$C$14="Off",'Activity data'!AZ47*FracLEACH*MSLeachEF*NtoN2O*kgtoGg,IF('Net zero activities &amp; levers'!$C$14="On",'Net zero Activity data'!AZ47*FracLEACH*MSLeachEF*NtoN2O*kgtoGg,"ERROR"))</f>
        <v>2.2706650673440042E-4</v>
      </c>
      <c r="AH1168" s="94">
        <f>IF('Net zero activities &amp; levers'!$C$14="Off",'Activity data'!BA47*FracLEACH*MSLeachEF*NtoN2O*kgtoGg,IF('Net zero activities &amp; levers'!$C$14="On",'Net zero Activity data'!BA47*FracLEACH*MSLeachEF*NtoN2O*kgtoGg,"ERROR"))</f>
        <v>2.2699372559445836E-4</v>
      </c>
      <c r="AI1168" s="94">
        <f>IF('Net zero activities &amp; levers'!$C$14="Off",'Activity data'!BB47*FracLEACH*MSLeachEF*NtoN2O*kgtoGg,IF('Net zero activities &amp; levers'!$C$14="On",'Net zero Activity data'!BB47*FracLEACH*MSLeachEF*NtoN2O*kgtoGg,"ERROR"))</f>
        <v>2.2692604502406438E-4</v>
      </c>
      <c r="AJ1168" s="94">
        <f>IF('Net zero activities &amp; levers'!$C$14="Off",'Activity data'!BC47*FracLEACH*MSLeachEF*NtoN2O*kgtoGg,IF('Net zero activities &amp; levers'!$C$14="On",'Net zero Activity data'!BC47*FracLEACH*MSLeachEF*NtoN2O*kgtoGg,"ERROR"))</f>
        <v>2.2685655063885179E-4</v>
      </c>
      <c r="AK1168" s="94">
        <f>IF('Net zero activities &amp; levers'!$C$14="Off",'Activity data'!BD47*FracLEACH*MSLeachEF*NtoN2O*kgtoGg,IF('Net zero activities &amp; levers'!$C$14="On",'Net zero Activity data'!BD47*FracLEACH*MSLeachEF*NtoN2O*kgtoGg,"ERROR"))</f>
        <v>2.2678446634657377E-4</v>
      </c>
      <c r="AL1168" s="94">
        <f>IF('Net zero activities &amp; levers'!$C$14="Off",'Activity data'!BE47*FracLEACH*MSLeachEF*NtoN2O*kgtoGg,IF('Net zero activities &amp; levers'!$C$14="On",'Net zero Activity data'!BE47*FracLEACH*MSLeachEF*NtoN2O*kgtoGg,"ERROR"))</f>
        <v>2.2671821660039324E-4</v>
      </c>
      <c r="AM1168" s="94">
        <f>IF('Net zero activities &amp; levers'!$C$14="Off",'Activity data'!BF47*FracLEACH*MSLeachEF*NtoN2O*kgtoGg,IF('Net zero activities &amp; levers'!$C$14="On",'Net zero Activity data'!BF47*FracLEACH*MSLeachEF*NtoN2O*kgtoGg,"ERROR"))</f>
        <v>2.2665380838187847E-4</v>
      </c>
      <c r="AN1168" s="94">
        <f>IF('Net zero activities &amp; levers'!$C$14="Off",'Activity data'!BG47*FracLEACH*MSLeachEF*NtoN2O*kgtoGg,IF('Net zero activities &amp; levers'!$C$14="On",'Net zero Activity data'!BG47*FracLEACH*MSLeachEF*NtoN2O*kgtoGg,"ERROR"))</f>
        <v>2.2659099265923683E-4</v>
      </c>
      <c r="AO1168" s="94">
        <f>IF('Net zero activities &amp; levers'!$C$14="Off",'Activity data'!BH47*FracLEACH*MSLeachEF*NtoN2O*kgtoGg,IF('Net zero activities &amp; levers'!$C$14="On",'Net zero Activity data'!BH47*FracLEACH*MSLeachEF*NtoN2O*kgtoGg,"ERROR"))</f>
        <v>2.2652471286594214E-4</v>
      </c>
      <c r="AP1168" s="94">
        <f>IF('Net zero activities &amp; levers'!$C$14="Off",'Activity data'!BI47*FracLEACH*MSLeachEF*NtoN2O*kgtoGg,IF('Net zero activities &amp; levers'!$C$14="On",'Net zero Activity data'!BI47*FracLEACH*MSLeachEF*NtoN2O*kgtoGg,"ERROR"))</f>
        <v>2.2646226392540174E-4</v>
      </c>
      <c r="AQ1168" s="94">
        <f>IF('Net zero activities &amp; levers'!$C$14="Off",'Activity data'!BJ47*FracLEACH*MSLeachEF*NtoN2O*kgtoGg,IF('Net zero activities &amp; levers'!$C$14="On",'Net zero Activity data'!BJ47*FracLEACH*MSLeachEF*NtoN2O*kgtoGg,"ERROR"))</f>
        <v>2.2639901755265007E-4</v>
      </c>
      <c r="AR1168" s="94">
        <f>IF('Net zero activities &amp; levers'!$C$14="Off",'Activity data'!BK47*FracLEACH*MSLeachEF*NtoN2O*kgtoGg,IF('Net zero activities &amp; levers'!$C$14="On",'Net zero Activity data'!BK47*FracLEACH*MSLeachEF*NtoN2O*kgtoGg,"ERROR"))</f>
        <v>2.2633478837800309E-4</v>
      </c>
      <c r="AS1168" s="94">
        <f>IF('Net zero activities &amp; levers'!$C$14="Off",'Activity data'!BL47*FracLEACH*MSLeachEF*NtoN2O*kgtoGg,IF('Net zero activities &amp; levers'!$C$14="On",'Net zero Activity data'!BL47*FracLEACH*MSLeachEF*NtoN2O*kgtoGg,"ERROR"))</f>
        <v>2.2626925916384739E-4</v>
      </c>
      <c r="AT1168" s="94">
        <f>IF('Net zero activities &amp; levers'!$C$14="Off",'Activity data'!BM47*FracLEACH*MSLeachEF*NtoN2O*kgtoGg,IF('Net zero activities &amp; levers'!$C$14="On",'Net zero Activity data'!BM47*FracLEACH*MSLeachEF*NtoN2O*kgtoGg,"ERROR"))</f>
        <v>2.2620270329932796E-4</v>
      </c>
      <c r="AU1168" s="94">
        <f>IF('Net zero activities &amp; levers'!$C$14="Off",'Activity data'!BN47*FracLEACH*MSLeachEF*NtoN2O*kgtoGg,IF('Net zero activities &amp; levers'!$C$14="On",'Net zero Activity data'!BN47*FracLEACH*MSLeachEF*NtoN2O*kgtoGg,"ERROR"))</f>
        <v>2.261822530490572E-4</v>
      </c>
      <c r="AV1168" s="94">
        <f>IF('Net zero activities &amp; levers'!$C$14="Off",'Activity data'!BO47*FracLEACH*MSLeachEF*NtoN2O*kgtoGg,IF('Net zero activities &amp; levers'!$C$14="On",'Net zero Activity data'!BO47*FracLEACH*MSLeachEF*NtoN2O*kgtoGg,"ERROR"))</f>
        <v>2.2616610062877842E-4</v>
      </c>
      <c r="AW1168" s="94">
        <f>IF('Net zero activities &amp; levers'!$C$14="Off",'Activity data'!BP47*FracLEACH*MSLeachEF*NtoN2O*kgtoGg,IF('Net zero activities &amp; levers'!$C$14="On",'Net zero Activity data'!BP47*FracLEACH*MSLeachEF*NtoN2O*kgtoGg,"ERROR"))</f>
        <v>2.2615603767239231E-4</v>
      </c>
      <c r="AY1168" s="79"/>
    </row>
    <row r="1169" spans="1:51" x14ac:dyDescent="0.3">
      <c r="A1169" s="95" t="str">
        <f t="shared" si="380"/>
        <v>CM Leaching</v>
      </c>
      <c r="B1169" s="95" t="s">
        <v>1322</v>
      </c>
      <c r="C1169" s="95" t="s">
        <v>1190</v>
      </c>
      <c r="D1169" t="s">
        <v>369</v>
      </c>
      <c r="E1169" t="s">
        <v>61</v>
      </c>
      <c r="F1169" t="s">
        <v>63</v>
      </c>
      <c r="G1169" t="s">
        <v>436</v>
      </c>
      <c r="H1169" t="s">
        <v>1188</v>
      </c>
      <c r="I1169" t="s">
        <v>139</v>
      </c>
      <c r="J1169" t="s">
        <v>287</v>
      </c>
      <c r="K1169" s="94">
        <f>IF('Net zero activities &amp; levers'!$C$14="Off",'Activity data'!AD48*FracLEACH*MSLeachEF*NtoN2O*kgtoGg,IF('Net zero activities &amp; levers'!$C$14="On",'Net zero Activity data'!AD48*FracLEACH*MSLeachEF*NtoN2O*kgtoGg,"ERROR"))</f>
        <v>1.5042957706826741E-6</v>
      </c>
      <c r="L1169" s="94">
        <f>IF('Net zero activities &amp; levers'!$C$14="Off",'Activity data'!AE48*FracLEACH*MSLeachEF*NtoN2O*kgtoGg,IF('Net zero activities &amp; levers'!$C$14="On",'Net zero Activity data'!AE48*FracLEACH*MSLeachEF*NtoN2O*kgtoGg,"ERROR"))</f>
        <v>1.5041461745491019E-6</v>
      </c>
      <c r="M1169" s="94">
        <f>IF('Net zero activities &amp; levers'!$C$14="Off",'Activity data'!AF48*FracLEACH*MSLeachEF*NtoN2O*kgtoGg,IF('Net zero activities &amp; levers'!$C$14="On",'Net zero Activity data'!AF48*FracLEACH*MSLeachEF*NtoN2O*kgtoGg,"ERROR"))</f>
        <v>1.5038719003580737E-6</v>
      </c>
      <c r="N1169" s="94">
        <f>IF('Net zero activities &amp; levers'!$C$14="Off",'Activity data'!AG48*FracLEACH*MSLeachEF*NtoN2O*kgtoGg,IF('Net zero activities &amp; levers'!$C$14="On",'Net zero Activity data'!AG48*FracLEACH*MSLeachEF*NtoN2O*kgtoGg,"ERROR"))</f>
        <v>1.5035440745106496E-6</v>
      </c>
      <c r="O1169" s="94">
        <f>IF('Net zero activities &amp; levers'!$C$14="Off",'Activity data'!AH48*FracLEACH*MSLeachEF*NtoN2O*kgtoGg,IF('Net zero activities &amp; levers'!$C$14="On",'Net zero Activity data'!AH48*FracLEACH*MSLeachEF*NtoN2O*kgtoGg,"ERROR"))</f>
        <v>1.5033226143350872E-6</v>
      </c>
      <c r="P1169" s="94">
        <f>IF('Net zero activities &amp; levers'!$C$14="Off",'Activity data'!AI48*FracLEACH*MSLeachEF*NtoN2O*kgtoGg,IF('Net zero activities &amp; levers'!$C$14="On",'Net zero Activity data'!AI48*FracLEACH*MSLeachEF*NtoN2O*kgtoGg,"ERROR"))</f>
        <v>1.5031702113646103E-6</v>
      </c>
      <c r="Q1169" s="94">
        <f>IF('Net zero activities &amp; levers'!$C$14="Off",'Activity data'!AJ48*FracLEACH*MSLeachEF*NtoN2O*kgtoGg,IF('Net zero activities &amp; levers'!$C$14="On",'Net zero Activity data'!AJ48*FracLEACH*MSLeachEF*NtoN2O*kgtoGg,"ERROR"))</f>
        <v>1.5030867559308466E-6</v>
      </c>
      <c r="R1169" s="94">
        <f>IF('Net zero activities &amp; levers'!$C$14="Off",'Activity data'!AK48*FracLEACH*MSLeachEF*NtoN2O*kgtoGg,IF('Net zero activities &amp; levers'!$C$14="On",'Net zero Activity data'!AK48*FracLEACH*MSLeachEF*NtoN2O*kgtoGg,"ERROR"))</f>
        <v>1.5029517403595637E-6</v>
      </c>
      <c r="S1169" s="94">
        <f>IF('Net zero activities &amp; levers'!$C$14="Off",'Activity data'!AL48*FracLEACH*MSLeachEF*NtoN2O*kgtoGg,IF('Net zero activities &amp; levers'!$C$14="On",'Net zero Activity data'!AL48*FracLEACH*MSLeachEF*NtoN2O*kgtoGg,"ERROR"))</f>
        <v>1.5028099165496928E-6</v>
      </c>
      <c r="T1169" s="94">
        <f>IF('Net zero activities &amp; levers'!$C$14="Off",'Activity data'!AM48*FracLEACH*MSLeachEF*NtoN2O*kgtoGg,IF('Net zero activities &amp; levers'!$C$14="On",'Net zero Activity data'!AM48*FracLEACH*MSLeachEF*NtoN2O*kgtoGg,"ERROR"))</f>
        <v>1.503795742916386E-6</v>
      </c>
      <c r="U1169" s="94">
        <f>IF('Net zero activities &amp; levers'!$C$14="Off",'Activity data'!AN48*FracLEACH*MSLeachEF*NtoN2O*kgtoGg,IF('Net zero activities &amp; levers'!$C$14="On",'Net zero Activity data'!AN48*FracLEACH*MSLeachEF*NtoN2O*kgtoGg,"ERROR"))</f>
        <v>1.5034048294174857E-6</v>
      </c>
      <c r="V1169" s="94">
        <f>IF('Net zero activities &amp; levers'!$C$14="Off",'Activity data'!AO48*FracLEACH*MSLeachEF*NtoN2O*kgtoGg,IF('Net zero activities &amp; levers'!$C$14="On",'Net zero Activity data'!AO48*FracLEACH*MSLeachEF*NtoN2O*kgtoGg,"ERROR"))</f>
        <v>1.502871298747794E-6</v>
      </c>
      <c r="W1169" s="94">
        <f>IF('Net zero activities &amp; levers'!$C$14="Off",'Activity data'!AP48*FracLEACH*MSLeachEF*NtoN2O*kgtoGg,IF('Net zero activities &amp; levers'!$C$14="On",'Net zero Activity data'!AP48*FracLEACH*MSLeachEF*NtoN2O*kgtoGg,"ERROR"))</f>
        <v>1.5025845964968368E-6</v>
      </c>
      <c r="X1169" s="94">
        <f>IF('Net zero activities &amp; levers'!$C$14="Off",'Activity data'!AQ48*FracLEACH*MSLeachEF*NtoN2O*kgtoGg,IF('Net zero activities &amp; levers'!$C$14="On",'Net zero Activity data'!AQ48*FracLEACH*MSLeachEF*NtoN2O*kgtoGg,"ERROR"))</f>
        <v>1.5022710261638614E-6</v>
      </c>
      <c r="Y1169" s="94">
        <f>IF('Net zero activities &amp; levers'!$C$14="Off",'Activity data'!AR48*FracLEACH*MSLeachEF*NtoN2O*kgtoGg,IF('Net zero activities &amp; levers'!$C$14="On",'Net zero Activity data'!AR48*FracLEACH*MSLeachEF*NtoN2O*kgtoGg,"ERROR"))</f>
        <v>1.5019223977033493E-6</v>
      </c>
      <c r="Z1169" s="94">
        <f>IF('Net zero activities &amp; levers'!$C$14="Off",'Activity data'!AS48*FracLEACH*MSLeachEF*NtoN2O*kgtoGg,IF('Net zero activities &amp; levers'!$C$14="On",'Net zero Activity data'!AS48*FracLEACH*MSLeachEF*NtoN2O*kgtoGg,"ERROR"))</f>
        <v>1.5015564370343004E-6</v>
      </c>
      <c r="AA1169" s="94">
        <f>IF('Net zero activities &amp; levers'!$C$14="Off",'Activity data'!AT48*FracLEACH*MSLeachEF*NtoN2O*kgtoGg,IF('Net zero activities &amp; levers'!$C$14="On",'Net zero Activity data'!AT48*FracLEACH*MSLeachEF*NtoN2O*kgtoGg,"ERROR"))</f>
        <v>1.5011658690740202E-6</v>
      </c>
      <c r="AB1169" s="94">
        <f>IF('Net zero activities &amp; levers'!$C$14="Off",'Activity data'!AU48*FracLEACH*MSLeachEF*NtoN2O*kgtoGg,IF('Net zero activities &amp; levers'!$C$14="On",'Net zero Activity data'!AU48*FracLEACH*MSLeachEF*NtoN2O*kgtoGg,"ERROR"))</f>
        <v>1.500774458303872E-6</v>
      </c>
      <c r="AC1169" s="94">
        <f>IF('Net zero activities &amp; levers'!$C$14="Off",'Activity data'!AV48*FracLEACH*MSLeachEF*NtoN2O*kgtoGg,IF('Net zero activities &amp; levers'!$C$14="On",'Net zero Activity data'!AV48*FracLEACH*MSLeachEF*NtoN2O*kgtoGg,"ERROR"))</f>
        <v>1.5003622189651987E-6</v>
      </c>
      <c r="AD1169" s="94">
        <f>IF('Net zero activities &amp; levers'!$C$14="Off",'Activity data'!AW48*FracLEACH*MSLeachEF*NtoN2O*kgtoGg,IF('Net zero activities &amp; levers'!$C$14="On",'Net zero Activity data'!AW48*FracLEACH*MSLeachEF*NtoN2O*kgtoGg,"ERROR"))</f>
        <v>1.4999518184437622E-6</v>
      </c>
      <c r="AE1169" s="94">
        <f>IF('Net zero activities &amp; levers'!$C$14="Off",'Activity data'!AX48*FracLEACH*MSLeachEF*NtoN2O*kgtoGg,IF('Net zero activities &amp; levers'!$C$14="On",'Net zero Activity data'!AX48*FracLEACH*MSLeachEF*NtoN2O*kgtoGg,"ERROR"))</f>
        <v>1.4995068758686393E-6</v>
      </c>
      <c r="AF1169" s="94">
        <f>IF('Net zero activities &amp; levers'!$C$14="Off",'Activity data'!AY48*FracLEACH*MSLeachEF*NtoN2O*kgtoGg,IF('Net zero activities &amp; levers'!$C$14="On",'Net zero Activity data'!AY48*FracLEACH*MSLeachEF*NtoN2O*kgtoGg,"ERROR"))</f>
        <v>1.4990783337398247E-6</v>
      </c>
      <c r="AG1169" s="94">
        <f>IF('Net zero activities &amp; levers'!$C$14="Off",'Activity data'!AZ48*FracLEACH*MSLeachEF*NtoN2O*kgtoGg,IF('Net zero activities &amp; levers'!$C$14="On",'Net zero Activity data'!AZ48*FracLEACH*MSLeachEF*NtoN2O*kgtoGg,"ERROR"))</f>
        <v>1.498638944447043E-6</v>
      </c>
      <c r="AH1169" s="94">
        <f>IF('Net zero activities &amp; levers'!$C$14="Off",'Activity data'!BA48*FracLEACH*MSLeachEF*NtoN2O*kgtoGg,IF('Net zero activities &amp; levers'!$C$14="On",'Net zero Activity data'!BA48*FracLEACH*MSLeachEF*NtoN2O*kgtoGg,"ERROR"))</f>
        <v>1.4981585889234254E-6</v>
      </c>
      <c r="AI1169" s="94">
        <f>IF('Net zero activities &amp; levers'!$C$14="Off",'Activity data'!BB48*FracLEACH*MSLeachEF*NtoN2O*kgtoGg,IF('Net zero activities &amp; levers'!$C$14="On",'Net zero Activity data'!BB48*FracLEACH*MSLeachEF*NtoN2O*kgtoGg,"ERROR"))</f>
        <v>1.497711897158825E-6</v>
      </c>
      <c r="AJ1169" s="94">
        <f>IF('Net zero activities &amp; levers'!$C$14="Off",'Activity data'!BC48*FracLEACH*MSLeachEF*NtoN2O*kgtoGg,IF('Net zero activities &amp; levers'!$C$14="On",'Net zero Activity data'!BC48*FracLEACH*MSLeachEF*NtoN2O*kgtoGg,"ERROR"))</f>
        <v>1.4972532342164218E-6</v>
      </c>
      <c r="AK1169" s="94">
        <f>IF('Net zero activities &amp; levers'!$C$14="Off",'Activity data'!BD48*FracLEACH*MSLeachEF*NtoN2O*kgtoGg,IF('Net zero activities &amp; levers'!$C$14="On",'Net zero Activity data'!BD48*FracLEACH*MSLeachEF*NtoN2O*kgtoGg,"ERROR"))</f>
        <v>1.4967774778873874E-6</v>
      </c>
      <c r="AL1169" s="94">
        <f>IF('Net zero activities &amp; levers'!$C$14="Off",'Activity data'!BE48*FracLEACH*MSLeachEF*NtoN2O*kgtoGg,IF('Net zero activities &amp; levers'!$C$14="On",'Net zero Activity data'!BE48*FracLEACH*MSLeachEF*NtoN2O*kgtoGg,"ERROR"))</f>
        <v>1.4963402295625958E-6</v>
      </c>
      <c r="AM1169" s="94">
        <f>IF('Net zero activities &amp; levers'!$C$14="Off",'Activity data'!BF48*FracLEACH*MSLeachEF*NtoN2O*kgtoGg,IF('Net zero activities &amp; levers'!$C$14="On",'Net zero Activity data'!BF48*FracLEACH*MSLeachEF*NtoN2O*kgtoGg,"ERROR"))</f>
        <v>1.4959151353203979E-6</v>
      </c>
      <c r="AN1169" s="94">
        <f>IF('Net zero activities &amp; levers'!$C$14="Off",'Activity data'!BG48*FracLEACH*MSLeachEF*NtoN2O*kgtoGg,IF('Net zero activities &amp; levers'!$C$14="On",'Net zero Activity data'!BG48*FracLEACH*MSLeachEF*NtoN2O*kgtoGg,"ERROR"))</f>
        <v>1.4955005515509629E-6</v>
      </c>
      <c r="AO1169" s="94">
        <f>IF('Net zero activities &amp; levers'!$C$14="Off",'Activity data'!BH48*FracLEACH*MSLeachEF*NtoN2O*kgtoGg,IF('Net zero activities &amp; levers'!$C$14="On",'Net zero Activity data'!BH48*FracLEACH*MSLeachEF*NtoN2O*kgtoGg,"ERROR"))</f>
        <v>1.4950631049152183E-6</v>
      </c>
      <c r="AP1169" s="94">
        <f>IF('Net zero activities &amp; levers'!$C$14="Off",'Activity data'!BI48*FracLEACH*MSLeachEF*NtoN2O*kgtoGg,IF('Net zero activities &amp; levers'!$C$14="On",'Net zero Activity data'!BI48*FracLEACH*MSLeachEF*NtoN2O*kgtoGg,"ERROR"))</f>
        <v>1.4946509419076516E-6</v>
      </c>
      <c r="AQ1169" s="94">
        <f>IF('Net zero activities &amp; levers'!$C$14="Off",'Activity data'!BJ48*FracLEACH*MSLeachEF*NtoN2O*kgtoGg,IF('Net zero activities &amp; levers'!$C$14="On",'Net zero Activity data'!BJ48*FracLEACH*MSLeachEF*NtoN2O*kgtoGg,"ERROR"))</f>
        <v>1.4942335158474905E-6</v>
      </c>
      <c r="AR1169" s="94">
        <f>IF('Net zero activities &amp; levers'!$C$14="Off",'Activity data'!BK48*FracLEACH*MSLeachEF*NtoN2O*kgtoGg,IF('Net zero activities &amp; levers'!$C$14="On",'Net zero Activity data'!BK48*FracLEACH*MSLeachEF*NtoN2O*kgtoGg,"ERROR"))</f>
        <v>1.4938096032948206E-6</v>
      </c>
      <c r="AS1169" s="94">
        <f>IF('Net zero activities &amp; levers'!$C$14="Off",'Activity data'!BL48*FracLEACH*MSLeachEF*NtoN2O*kgtoGg,IF('Net zero activities &amp; levers'!$C$14="On",'Net zero Activity data'!BL48*FracLEACH*MSLeachEF*NtoN2O*kgtoGg,"ERROR"))</f>
        <v>1.4933771104813929E-6</v>
      </c>
      <c r="AT1169" s="94">
        <f>IF('Net zero activities &amp; levers'!$C$14="Off",'Activity data'!BM48*FracLEACH*MSLeachEF*NtoN2O*kgtoGg,IF('Net zero activities &amp; levers'!$C$14="On",'Net zero Activity data'!BM48*FracLEACH*MSLeachEF*NtoN2O*kgtoGg,"ERROR"))</f>
        <v>1.4929378417755646E-6</v>
      </c>
      <c r="AU1169" s="94">
        <f>IF('Net zero activities &amp; levers'!$C$14="Off",'Activity data'!BN48*FracLEACH*MSLeachEF*NtoN2O*kgtoGg,IF('Net zero activities &amp; levers'!$C$14="On",'Net zero Activity data'!BN48*FracLEACH*MSLeachEF*NtoN2O*kgtoGg,"ERROR"))</f>
        <v>1.4928028701237777E-6</v>
      </c>
      <c r="AV1169" s="94">
        <f>IF('Net zero activities &amp; levers'!$C$14="Off",'Activity data'!BO48*FracLEACH*MSLeachEF*NtoN2O*kgtoGg,IF('Net zero activities &amp; levers'!$C$14="On",'Net zero Activity data'!BO48*FracLEACH*MSLeachEF*NtoN2O*kgtoGg,"ERROR"))</f>
        <v>1.4926962641499375E-6</v>
      </c>
      <c r="AW1169" s="94">
        <f>IF('Net zero activities &amp; levers'!$C$14="Off",'Activity data'!BP48*FracLEACH*MSLeachEF*NtoN2O*kgtoGg,IF('Net zero activities &amp; levers'!$C$14="On",'Net zero Activity data'!BP48*FracLEACH*MSLeachEF*NtoN2O*kgtoGg,"ERROR"))</f>
        <v>1.4926298486377895E-6</v>
      </c>
      <c r="AY1169" s="79"/>
    </row>
    <row r="1170" spans="1:51" x14ac:dyDescent="0.3">
      <c r="A1170" s="95" t="str">
        <f t="shared" si="380"/>
        <v>CM Leaching</v>
      </c>
      <c r="B1170" s="95" t="s">
        <v>1322</v>
      </c>
      <c r="C1170" s="95" t="s">
        <v>1190</v>
      </c>
      <c r="D1170" t="s">
        <v>369</v>
      </c>
      <c r="E1170" t="s">
        <v>61</v>
      </c>
      <c r="F1170" t="s">
        <v>63</v>
      </c>
      <c r="G1170" t="s">
        <v>437</v>
      </c>
      <c r="H1170" t="s">
        <v>1189</v>
      </c>
      <c r="I1170" t="s">
        <v>139</v>
      </c>
      <c r="J1170" t="s">
        <v>287</v>
      </c>
      <c r="K1170" s="94">
        <f>IF('Net zero activities &amp; levers'!$C$14="Off",SUM('Activity data'!AD50:AD65)*FracLEACH*MSLeachEF*NtoN2O*kgtoGg,IF('Net zero activities &amp; levers'!$C$14="On",SUM('Net zero Activity data'!AD50:AD65)*FracLEACH*MSLeachEF*NtoN2O*kgtoGg,"ERROR"))</f>
        <v>0.20714502561891829</v>
      </c>
      <c r="L1170" s="94">
        <f>IF('Net zero activities &amp; levers'!$C$14="Off",SUM('Activity data'!AE50:AE65)*FracLEACH*MSLeachEF*NtoN2O*kgtoGg,IF('Net zero activities &amp; levers'!$C$14="On",SUM('Net zero Activity data'!AE50:AE65)*FracLEACH*MSLeachEF*NtoN2O*kgtoGg,"ERROR"))</f>
        <v>0.20732835560623092</v>
      </c>
      <c r="M1170" s="94">
        <f>IF('Net zero activities &amp; levers'!$C$14="Off",SUM('Activity data'!AF50:AF65)*FracLEACH*MSLeachEF*NtoN2O*kgtoGg,IF('Net zero activities &amp; levers'!$C$14="On",SUM('Net zero Activity data'!AF50:AF65)*FracLEACH*MSLeachEF*NtoN2O*kgtoGg,"ERROR"))</f>
        <v>0.20853137086969875</v>
      </c>
      <c r="N1170" s="94">
        <f>IF('Net zero activities &amp; levers'!$C$14="Off",SUM('Activity data'!AG50:AG65)*FracLEACH*MSLeachEF*NtoN2O*kgtoGg,IF('Net zero activities &amp; levers'!$C$14="On",SUM('Net zero Activity data'!AG50:AG65)*FracLEACH*MSLeachEF*NtoN2O*kgtoGg,"ERROR"))</f>
        <v>0.20795637847695567</v>
      </c>
      <c r="O1170" s="94">
        <f>IF('Net zero activities &amp; levers'!$C$14="Off",SUM('Activity data'!AH50:AH65)*FracLEACH*MSLeachEF*NtoN2O*kgtoGg,IF('Net zero activities &amp; levers'!$C$14="On",SUM('Net zero Activity data'!AH50:AH65)*FracLEACH*MSLeachEF*NtoN2O*kgtoGg,"ERROR"))</f>
        <v>0.20628301821112832</v>
      </c>
      <c r="P1170" s="94">
        <f>IF('Net zero activities &amp; levers'!$C$14="Off",SUM('Activity data'!AI50:AI65)*FracLEACH*MSLeachEF*NtoN2O*kgtoGg,IF('Net zero activities &amp; levers'!$C$14="On",SUM('Net zero Activity data'!AI50:AI65)*FracLEACH*MSLeachEF*NtoN2O*kgtoGg,"ERROR"))</f>
        <v>0.20354939622414608</v>
      </c>
      <c r="Q1170" s="94">
        <f>IF('Net zero activities &amp; levers'!$C$14="Off",SUM('Activity data'!AJ50:AJ65)*FracLEACH*MSLeachEF*NtoN2O*kgtoGg,IF('Net zero activities &amp; levers'!$C$14="On",SUM('Net zero Activity data'!AJ50:AJ65)*FracLEACH*MSLeachEF*NtoN2O*kgtoGg,"ERROR"))</f>
        <v>0.20178646732442315</v>
      </c>
      <c r="R1170" s="94">
        <f>IF('Net zero activities &amp; levers'!$C$14="Off",SUM('Activity data'!AK50:AK65)*FracLEACH*MSLeachEF*NtoN2O*kgtoGg,IF('Net zero activities &amp; levers'!$C$14="On",SUM('Net zero Activity data'!AK50:AK65)*FracLEACH*MSLeachEF*NtoN2O*kgtoGg,"ERROR"))</f>
        <v>0.20021853233884618</v>
      </c>
      <c r="S1170" s="94">
        <f>IF('Net zero activities &amp; levers'!$C$14="Off",SUM('Activity data'!AL50:AL65)*FracLEACH*MSLeachEF*NtoN2O*kgtoGg,IF('Net zero activities &amp; levers'!$C$14="On",SUM('Net zero Activity data'!AL50:AL65)*FracLEACH*MSLeachEF*NtoN2O*kgtoGg,"ERROR"))</f>
        <v>0.18115905834206086</v>
      </c>
      <c r="T1170" s="94">
        <f>IF('Net zero activities &amp; levers'!$C$14="Off",SUM('Activity data'!AM50:AM65)*FracLEACH*MSLeachEF*NtoN2O*kgtoGg,IF('Net zero activities &amp; levers'!$C$14="On",SUM('Net zero Activity data'!AM50:AM65)*FracLEACH*MSLeachEF*NtoN2O*kgtoGg,"ERROR"))</f>
        <v>0.1846349212925194</v>
      </c>
      <c r="U1170" s="94">
        <f>IF('Net zero activities &amp; levers'!$C$14="Off",SUM('Activity data'!AN50:AN65)*FracLEACH*MSLeachEF*NtoN2O*kgtoGg,IF('Net zero activities &amp; levers'!$C$14="On",SUM('Net zero Activity data'!AN50:AN65)*FracLEACH*MSLeachEF*NtoN2O*kgtoGg,"ERROR"))</f>
        <v>0.19035972114498487</v>
      </c>
      <c r="V1170" s="94">
        <f>IF('Net zero activities &amp; levers'!$C$14="Off",SUM('Activity data'!AO50:AO65)*FracLEACH*MSLeachEF*NtoN2O*kgtoGg,IF('Net zero activities &amp; levers'!$C$14="On",SUM('Net zero Activity data'!AO50:AO65)*FracLEACH*MSLeachEF*NtoN2O*kgtoGg,"ERROR"))</f>
        <v>0.19234595211979802</v>
      </c>
      <c r="W1170" s="94">
        <f>IF('Net zero activities &amp; levers'!$C$14="Off",SUM('Activity data'!AP50:AP65)*FracLEACH*MSLeachEF*NtoN2O*kgtoGg,IF('Net zero activities &amp; levers'!$C$14="On",SUM('Net zero Activity data'!AP50:AP65)*FracLEACH*MSLeachEF*NtoN2O*kgtoGg,"ERROR"))</f>
        <v>0.1947869037963407</v>
      </c>
      <c r="X1170" s="94">
        <f>IF('Net zero activities &amp; levers'!$C$14="Off",SUM('Activity data'!AQ50:AQ65)*FracLEACH*MSLeachEF*NtoN2O*kgtoGg,IF('Net zero activities &amp; levers'!$C$14="On",SUM('Net zero Activity data'!AQ50:AQ65)*FracLEACH*MSLeachEF*NtoN2O*kgtoGg,"ERROR"))</f>
        <v>0.19781474022011031</v>
      </c>
      <c r="Y1170" s="94">
        <f>IF('Net zero activities &amp; levers'!$C$14="Off",SUM('Activity data'!AR50:AR65)*FracLEACH*MSLeachEF*NtoN2O*kgtoGg,IF('Net zero activities &amp; levers'!$C$14="On",SUM('Net zero Activity data'!AR50:AR65)*FracLEACH*MSLeachEF*NtoN2O*kgtoGg,"ERROR"))</f>
        <v>0.20116819609409653</v>
      </c>
      <c r="Z1170" s="94">
        <f>IF('Net zero activities &amp; levers'!$C$14="Off",SUM('Activity data'!AS50:AS65)*FracLEACH*MSLeachEF*NtoN2O*kgtoGg,IF('Net zero activities &amp; levers'!$C$14="On",SUM('Net zero Activity data'!AS50:AS65)*FracLEACH*MSLeachEF*NtoN2O*kgtoGg,"ERROR"))</f>
        <v>0.20496046383831973</v>
      </c>
      <c r="AA1170" s="94">
        <f>IF('Net zero activities &amp; levers'!$C$14="Off",SUM('Activity data'!AT50:AT65)*FracLEACH*MSLeachEF*NtoN2O*kgtoGg,IF('Net zero activities &amp; levers'!$C$14="On",SUM('Net zero Activity data'!AT50:AT65)*FracLEACH*MSLeachEF*NtoN2O*kgtoGg,"ERROR"))</f>
        <v>0.20882071574020974</v>
      </c>
      <c r="AB1170" s="94">
        <f>IF('Net zero activities &amp; levers'!$C$14="Off",SUM('Activity data'!AU50:AU65)*FracLEACH*MSLeachEF*NtoN2O*kgtoGg,IF('Net zero activities &amp; levers'!$C$14="On",SUM('Net zero Activity data'!AU50:AU65)*FracLEACH*MSLeachEF*NtoN2O*kgtoGg,"ERROR"))</f>
        <v>0.21307428294309891</v>
      </c>
      <c r="AC1170" s="94">
        <f>IF('Net zero activities &amp; levers'!$C$14="Off",SUM('Activity data'!AV50:AV65)*FracLEACH*MSLeachEF*NtoN2O*kgtoGg,IF('Net zero activities &amp; levers'!$C$14="On",SUM('Net zero Activity data'!AV50:AV65)*FracLEACH*MSLeachEF*NtoN2O*kgtoGg,"ERROR"))</f>
        <v>0.21736053459223065</v>
      </c>
      <c r="AD1170" s="94">
        <f>IF('Net zero activities &amp; levers'!$C$14="Off",SUM('Activity data'!AW50:AW65)*FracLEACH*MSLeachEF*NtoN2O*kgtoGg,IF('Net zero activities &amp; levers'!$C$14="On",SUM('Net zero Activity data'!AW50:AW65)*FracLEACH*MSLeachEF*NtoN2O*kgtoGg,"ERROR"))</f>
        <v>0.2215192443695771</v>
      </c>
      <c r="AE1170" s="94">
        <f>IF('Net zero activities &amp; levers'!$C$14="Off",SUM('Activity data'!AX50:AX65)*FracLEACH*MSLeachEF*NtoN2O*kgtoGg,IF('Net zero activities &amp; levers'!$C$14="On",SUM('Net zero Activity data'!AX50:AX65)*FracLEACH*MSLeachEF*NtoN2O*kgtoGg,"ERROR"))</f>
        <v>0.22544086992768131</v>
      </c>
      <c r="AF1170" s="94">
        <f>IF('Net zero activities &amp; levers'!$C$14="Off",SUM('Activity data'!AY50:AY65)*FracLEACH*MSLeachEF*NtoN2O*kgtoGg,IF('Net zero activities &amp; levers'!$C$14="On",SUM('Net zero Activity data'!AY50:AY65)*FracLEACH*MSLeachEF*NtoN2O*kgtoGg,"ERROR"))</f>
        <v>0.22957827469779338</v>
      </c>
      <c r="AG1170" s="94">
        <f>IF('Net zero activities &amp; levers'!$C$14="Off",SUM('Activity data'!AZ50:AZ65)*FracLEACH*MSLeachEF*NtoN2O*kgtoGg,IF('Net zero activities &amp; levers'!$C$14="On",SUM('Net zero Activity data'!AZ50:AZ65)*FracLEACH*MSLeachEF*NtoN2O*kgtoGg,"ERROR"))</f>
        <v>0.23445091883133051</v>
      </c>
      <c r="AH1170" s="94">
        <f>IF('Net zero activities &amp; levers'!$C$14="Off",SUM('Activity data'!BA50:BA65)*FracLEACH*MSLeachEF*NtoN2O*kgtoGg,IF('Net zero activities &amp; levers'!$C$14="On",SUM('Net zero Activity data'!BA50:BA65)*FracLEACH*MSLeachEF*NtoN2O*kgtoGg,"ERROR"))</f>
        <v>0.23879435769126237</v>
      </c>
      <c r="AI1170" s="94">
        <f>IF('Net zero activities &amp; levers'!$C$14="Off",SUM('Activity data'!BB50:BB65)*FracLEACH*MSLeachEF*NtoN2O*kgtoGg,IF('Net zero activities &amp; levers'!$C$14="On",SUM('Net zero Activity data'!BB50:BB65)*FracLEACH*MSLeachEF*NtoN2O*kgtoGg,"ERROR"))</f>
        <v>0.24339072846239099</v>
      </c>
      <c r="AJ1170" s="94">
        <f>IF('Net zero activities &amp; levers'!$C$14="Off",SUM('Activity data'!BC50:BC65)*FracLEACH*MSLeachEF*NtoN2O*kgtoGg,IF('Net zero activities &amp; levers'!$C$14="On",SUM('Net zero Activity data'!BC50:BC65)*FracLEACH*MSLeachEF*NtoN2O*kgtoGg,"ERROR"))</f>
        <v>0.24833324867482812</v>
      </c>
      <c r="AK1170" s="94">
        <f>IF('Net zero activities &amp; levers'!$C$14="Off",SUM('Activity data'!BD50:BD65)*FracLEACH*MSLeachEF*NtoN2O*kgtoGg,IF('Net zero activities &amp; levers'!$C$14="On",SUM('Net zero Activity data'!BD50:BD65)*FracLEACH*MSLeachEF*NtoN2O*kgtoGg,"ERROR"))</f>
        <v>0.25264130165359039</v>
      </c>
      <c r="AL1170" s="94">
        <f>IF('Net zero activities &amp; levers'!$C$14="Off",SUM('Activity data'!BE50:BE65)*FracLEACH*MSLeachEF*NtoN2O*kgtoGg,IF('Net zero activities &amp; levers'!$C$14="On",SUM('Net zero Activity data'!BE50:BE65)*FracLEACH*MSLeachEF*NtoN2O*kgtoGg,"ERROR"))</f>
        <v>0.256768890240201</v>
      </c>
      <c r="AM1170" s="94">
        <f>IF('Net zero activities &amp; levers'!$C$14="Off",SUM('Activity data'!BF50:BF65)*FracLEACH*MSLeachEF*NtoN2O*kgtoGg,IF('Net zero activities &amp; levers'!$C$14="On",SUM('Net zero Activity data'!BF50:BF65)*FracLEACH*MSLeachEF*NtoN2O*kgtoGg,"ERROR"))</f>
        <v>0.26074018891542444</v>
      </c>
      <c r="AN1170" s="94">
        <f>IF('Net zero activities &amp; levers'!$C$14="Off",SUM('Activity data'!BG50:BG65)*FracLEACH*MSLeachEF*NtoN2O*kgtoGg,IF('Net zero activities &amp; levers'!$C$14="On",SUM('Net zero Activity data'!BG50:BG65)*FracLEACH*MSLeachEF*NtoN2O*kgtoGg,"ERROR"))</f>
        <v>0.26566009353394121</v>
      </c>
      <c r="AO1170" s="94">
        <f>IF('Net zero activities &amp; levers'!$C$14="Off",SUM('Activity data'!BH50:BH65)*FracLEACH*MSLeachEF*NtoN2O*kgtoGg,IF('Net zero activities &amp; levers'!$C$14="On",SUM('Net zero Activity data'!BH50:BH65)*FracLEACH*MSLeachEF*NtoN2O*kgtoGg,"ERROR"))</f>
        <v>0.2701733904471233</v>
      </c>
      <c r="AP1170" s="94">
        <f>IF('Net zero activities &amp; levers'!$C$14="Off",SUM('Activity data'!BI50:BI65)*FracLEACH*MSLeachEF*NtoN2O*kgtoGg,IF('Net zero activities &amp; levers'!$C$14="On",SUM('Net zero Activity data'!BI50:BI65)*FracLEACH*MSLeachEF*NtoN2O*kgtoGg,"ERROR"))</f>
        <v>0.27483864221629506</v>
      </c>
      <c r="AQ1170" s="94">
        <f>IF('Net zero activities &amp; levers'!$C$14="Off",SUM('Activity data'!BJ50:BJ65)*FracLEACH*MSLeachEF*NtoN2O*kgtoGg,IF('Net zero activities &amp; levers'!$C$14="On",SUM('Net zero Activity data'!BJ50:BJ65)*FracLEACH*MSLeachEF*NtoN2O*kgtoGg,"ERROR"))</f>
        <v>0.27968329128815766</v>
      </c>
      <c r="AR1170" s="94">
        <f>IF('Net zero activities &amp; levers'!$C$14="Off",SUM('Activity data'!BK50:BK65)*FracLEACH*MSLeachEF*NtoN2O*kgtoGg,IF('Net zero activities &amp; levers'!$C$14="On",SUM('Net zero Activity data'!BK50:BK65)*FracLEACH*MSLeachEF*NtoN2O*kgtoGg,"ERROR"))</f>
        <v>0.28475289053064146</v>
      </c>
      <c r="AS1170" s="94">
        <f>IF('Net zero activities &amp; levers'!$C$14="Off",SUM('Activity data'!BL50:BL65)*FracLEACH*MSLeachEF*NtoN2O*kgtoGg,IF('Net zero activities &amp; levers'!$C$14="On",SUM('Net zero Activity data'!BL50:BL65)*FracLEACH*MSLeachEF*NtoN2O*kgtoGg,"ERROR"))</f>
        <v>0.29002169676555595</v>
      </c>
      <c r="AT1170" s="94">
        <f>IF('Net zero activities &amp; levers'!$C$14="Off",SUM('Activity data'!BM50:BM65)*FracLEACH*MSLeachEF*NtoN2O*kgtoGg,IF('Net zero activities &amp; levers'!$C$14="On",SUM('Net zero Activity data'!BM50:BM65)*FracLEACH*MSLeachEF*NtoN2O*kgtoGg,"ERROR"))</f>
        <v>0.28940847350186372</v>
      </c>
      <c r="AU1170" s="94">
        <f>IF('Net zero activities &amp; levers'!$C$14="Off",SUM('Activity data'!BN50:BN65)*FracLEACH*MSLeachEF*NtoN2O*kgtoGg,IF('Net zero activities &amp; levers'!$C$14="On",SUM('Net zero Activity data'!BN50:BN65)*FracLEACH*MSLeachEF*NtoN2O*kgtoGg,"ERROR"))</f>
        <v>0.2882670035949374</v>
      </c>
      <c r="AV1170" s="94">
        <f>IF('Net zero activities &amp; levers'!$C$14="Off",SUM('Activity data'!BO50:BO65)*FracLEACH*MSLeachEF*NtoN2O*kgtoGg,IF('Net zero activities &amp; levers'!$C$14="On",SUM('Net zero Activity data'!BO50:BO65)*FracLEACH*MSLeachEF*NtoN2O*kgtoGg,"ERROR"))</f>
        <v>0.28637986672533733</v>
      </c>
      <c r="AW1170" s="94">
        <f>IF('Net zero activities &amp; levers'!$C$14="Off",SUM('Activity data'!BP50:BP65)*FracLEACH*MSLeachEF*NtoN2O*kgtoGg,IF('Net zero activities &amp; levers'!$C$14="On",SUM('Net zero Activity data'!BP50:BP65)*FracLEACH*MSLeachEF*NtoN2O*kgtoGg,"ERROR"))</f>
        <v>0.28429803027464012</v>
      </c>
      <c r="AY1170" s="79"/>
    </row>
    <row r="1171" spans="1:51" x14ac:dyDescent="0.3">
      <c r="A1171" s="95" t="str">
        <f t="shared" si="380"/>
        <v>CM Leaching</v>
      </c>
      <c r="B1171" s="95" t="s">
        <v>1322</v>
      </c>
      <c r="C1171" s="95" t="s">
        <v>1190</v>
      </c>
      <c r="D1171" t="s">
        <v>369</v>
      </c>
      <c r="E1171" t="s">
        <v>61</v>
      </c>
      <c r="F1171" t="s">
        <v>63</v>
      </c>
      <c r="G1171" t="s">
        <v>438</v>
      </c>
      <c r="H1171" t="s">
        <v>1191</v>
      </c>
      <c r="I1171" t="s">
        <v>139</v>
      </c>
      <c r="J1171" t="s">
        <v>287</v>
      </c>
      <c r="K1171" s="94">
        <f>IF('Net zero activities &amp; levers'!$C$14="Off",SUM('Activity data'!AD66:AD81)*FracLEACHUD*MSLeachEF*NtoN2O*kgtoGg,IF('Net zero activities &amp; levers'!$C$14="On",SUM('Net zero Activity data'!AD66:AD81)*FracLEACHUD*MSLeachEF*NtoN2O*kgtoGg,"ERROR"))</f>
        <v>0</v>
      </c>
      <c r="L1171" s="94">
        <f>IF('Net zero activities &amp; levers'!$C$14="Off",SUM('Activity data'!AE66:AE81)*FracLEACHUD*MSLeachEF*NtoN2O*kgtoGg,IF('Net zero activities &amp; levers'!$C$14="On",SUM('Net zero Activity data'!AE66:AE81)*FracLEACHUD*MSLeachEF*NtoN2O*kgtoGg,"ERROR"))</f>
        <v>0</v>
      </c>
      <c r="M1171" s="94">
        <f>IF('Net zero activities &amp; levers'!$C$14="Off",SUM('Activity data'!AF66:AF81)*FracLEACHUD*MSLeachEF*NtoN2O*kgtoGg,IF('Net zero activities &amp; levers'!$C$14="On",SUM('Net zero Activity data'!AF66:AF81)*FracLEACHUD*MSLeachEF*NtoN2O*kgtoGg,"ERROR"))</f>
        <v>0</v>
      </c>
      <c r="N1171" s="94">
        <f>IF('Net zero activities &amp; levers'!$C$14="Off",SUM('Activity data'!AG66:AG81)*FracLEACHUD*MSLeachEF*NtoN2O*kgtoGg,IF('Net zero activities &amp; levers'!$C$14="On",SUM('Net zero Activity data'!AG66:AG81)*FracLEACHUD*MSLeachEF*NtoN2O*kgtoGg,"ERROR"))</f>
        <v>0</v>
      </c>
      <c r="O1171" s="94">
        <f>IF('Net zero activities &amp; levers'!$C$14="Off",SUM('Activity data'!AH66:AH81)*FracLEACHUD*MSLeachEF*NtoN2O*kgtoGg,IF('Net zero activities &amp; levers'!$C$14="On",SUM('Net zero Activity data'!AH66:AH81)*FracLEACHUD*MSLeachEF*NtoN2O*kgtoGg,"ERROR"))</f>
        <v>0</v>
      </c>
      <c r="P1171" s="94">
        <f>IF('Net zero activities &amp; levers'!$C$14="Off",SUM('Activity data'!AI66:AI81)*FracLEACHUD*MSLeachEF*NtoN2O*kgtoGg,IF('Net zero activities &amp; levers'!$C$14="On",SUM('Net zero Activity data'!AI66:AI81)*FracLEACHUD*MSLeachEF*NtoN2O*kgtoGg,"ERROR"))</f>
        <v>0</v>
      </c>
      <c r="Q1171" s="94">
        <f>IF('Net zero activities &amp; levers'!$C$14="Off",SUM('Activity data'!AJ66:AJ81)*FracLEACHUD*MSLeachEF*NtoN2O*kgtoGg,IF('Net zero activities &amp; levers'!$C$14="On",SUM('Net zero Activity data'!AJ66:AJ81)*FracLEACHUD*MSLeachEF*NtoN2O*kgtoGg,"ERROR"))</f>
        <v>0</v>
      </c>
      <c r="R1171" s="94">
        <f>IF('Net zero activities &amp; levers'!$C$14="Off",SUM('Activity data'!AK66:AK81)*FracLEACHUD*MSLeachEF*NtoN2O*kgtoGg,IF('Net zero activities &amp; levers'!$C$14="On",SUM('Net zero Activity data'!AK66:AK81)*FracLEACHUD*MSLeachEF*NtoN2O*kgtoGg,"ERROR"))</f>
        <v>0</v>
      </c>
      <c r="S1171" s="94">
        <f>IF('Net zero activities &amp; levers'!$C$14="Off",SUM('Activity data'!AL66:AL81)*FracLEACHUD*MSLeachEF*NtoN2O*kgtoGg,IF('Net zero activities &amp; levers'!$C$14="On",SUM('Net zero Activity data'!AL66:AL81)*FracLEACHUD*MSLeachEF*NtoN2O*kgtoGg,"ERROR"))</f>
        <v>0</v>
      </c>
      <c r="T1171" s="94">
        <f>IF('Net zero activities &amp; levers'!$C$14="Off",SUM('Activity data'!AM66:AM81)*FracLEACHUD*MSLeachEF*NtoN2O*kgtoGg,IF('Net zero activities &amp; levers'!$C$14="On",SUM('Net zero Activity data'!AM66:AM81)*FracLEACHUD*MSLeachEF*NtoN2O*kgtoGg,"ERROR"))</f>
        <v>0</v>
      </c>
      <c r="U1171" s="94">
        <f>IF('Net zero activities &amp; levers'!$C$14="Off",SUM('Activity data'!AN66:AN81)*FracLEACHUD*MSLeachEF*NtoN2O*kgtoGg,IF('Net zero activities &amp; levers'!$C$14="On",SUM('Net zero Activity data'!AN66:AN81)*FracLEACHUD*MSLeachEF*NtoN2O*kgtoGg,"ERROR"))</f>
        <v>0</v>
      </c>
      <c r="V1171" s="94">
        <f>IF('Net zero activities &amp; levers'!$C$14="Off",SUM('Activity data'!AO66:AO81)*FracLEACHUD*MSLeachEF*NtoN2O*kgtoGg,IF('Net zero activities &amp; levers'!$C$14="On",SUM('Net zero Activity data'!AO66:AO81)*FracLEACHUD*MSLeachEF*NtoN2O*kgtoGg,"ERROR"))</f>
        <v>0</v>
      </c>
      <c r="W1171" s="94">
        <f>IF('Net zero activities &amp; levers'!$C$14="Off",SUM('Activity data'!AP66:AP81)*FracLEACHUD*MSLeachEF*NtoN2O*kgtoGg,IF('Net zero activities &amp; levers'!$C$14="On",SUM('Net zero Activity data'!AP66:AP81)*FracLEACHUD*MSLeachEF*NtoN2O*kgtoGg,"ERROR"))</f>
        <v>0</v>
      </c>
      <c r="X1171" s="94">
        <f>IF('Net zero activities &amp; levers'!$C$14="Off",SUM('Activity data'!AQ66:AQ81)*FracLEACHUD*MSLeachEF*NtoN2O*kgtoGg,IF('Net zero activities &amp; levers'!$C$14="On",SUM('Net zero Activity data'!AQ66:AQ81)*FracLEACHUD*MSLeachEF*NtoN2O*kgtoGg,"ERROR"))</f>
        <v>0</v>
      </c>
      <c r="Y1171" s="94">
        <f>IF('Net zero activities &amp; levers'!$C$14="Off",SUM('Activity data'!AR66:AR81)*FracLEACHUD*MSLeachEF*NtoN2O*kgtoGg,IF('Net zero activities &amp; levers'!$C$14="On",SUM('Net zero Activity data'!AR66:AR81)*FracLEACHUD*MSLeachEF*NtoN2O*kgtoGg,"ERROR"))</f>
        <v>0</v>
      </c>
      <c r="Z1171" s="94">
        <f>IF('Net zero activities &amp; levers'!$C$14="Off",SUM('Activity data'!AS66:AS81)*FracLEACHUD*MSLeachEF*NtoN2O*kgtoGg,IF('Net zero activities &amp; levers'!$C$14="On",SUM('Net zero Activity data'!AS66:AS81)*FracLEACHUD*MSLeachEF*NtoN2O*kgtoGg,"ERROR"))</f>
        <v>0</v>
      </c>
      <c r="AA1171" s="94">
        <f>IF('Net zero activities &amp; levers'!$C$14="Off",SUM('Activity data'!AT66:AT81)*FracLEACHUD*MSLeachEF*NtoN2O*kgtoGg,IF('Net zero activities &amp; levers'!$C$14="On",SUM('Net zero Activity data'!AT66:AT81)*FracLEACHUD*MSLeachEF*NtoN2O*kgtoGg,"ERROR"))</f>
        <v>0</v>
      </c>
      <c r="AB1171" s="94">
        <f>IF('Net zero activities &amp; levers'!$C$14="Off",SUM('Activity data'!AU66:AU81)*FracLEACHUD*MSLeachEF*NtoN2O*kgtoGg,IF('Net zero activities &amp; levers'!$C$14="On",SUM('Net zero Activity data'!AU66:AU81)*FracLEACHUD*MSLeachEF*NtoN2O*kgtoGg,"ERROR"))</f>
        <v>0</v>
      </c>
      <c r="AC1171" s="94">
        <f>IF('Net zero activities &amp; levers'!$C$14="Off",SUM('Activity data'!AV66:AV81)*FracLEACHUD*MSLeachEF*NtoN2O*kgtoGg,IF('Net zero activities &amp; levers'!$C$14="On",SUM('Net zero Activity data'!AV66:AV81)*FracLEACHUD*MSLeachEF*NtoN2O*kgtoGg,"ERROR"))</f>
        <v>0</v>
      </c>
      <c r="AD1171" s="94">
        <f>IF('Net zero activities &amp; levers'!$C$14="Off",SUM('Activity data'!AW66:AW81)*FracLEACHUD*MSLeachEF*NtoN2O*kgtoGg,IF('Net zero activities &amp; levers'!$C$14="On",SUM('Net zero Activity data'!AW66:AW81)*FracLEACHUD*MSLeachEF*NtoN2O*kgtoGg,"ERROR"))</f>
        <v>0</v>
      </c>
      <c r="AE1171" s="94">
        <f>IF('Net zero activities &amp; levers'!$C$14="Off",SUM('Activity data'!AX66:AX81)*FracLEACHUD*MSLeachEF*NtoN2O*kgtoGg,IF('Net zero activities &amp; levers'!$C$14="On",SUM('Net zero Activity data'!AX66:AX81)*FracLEACHUD*MSLeachEF*NtoN2O*kgtoGg,"ERROR"))</f>
        <v>0</v>
      </c>
      <c r="AF1171" s="94">
        <f>IF('Net zero activities &amp; levers'!$C$14="Off",SUM('Activity data'!AY66:AY81)*FracLEACHUD*MSLeachEF*NtoN2O*kgtoGg,IF('Net zero activities &amp; levers'!$C$14="On",SUM('Net zero Activity data'!AY66:AY81)*FracLEACHUD*MSLeachEF*NtoN2O*kgtoGg,"ERROR"))</f>
        <v>0</v>
      </c>
      <c r="AG1171" s="94">
        <f>IF('Net zero activities &amp; levers'!$C$14="Off",SUM('Activity data'!AZ66:AZ81)*FracLEACHUD*MSLeachEF*NtoN2O*kgtoGg,IF('Net zero activities &amp; levers'!$C$14="On",SUM('Net zero Activity data'!AZ66:AZ81)*FracLEACHUD*MSLeachEF*NtoN2O*kgtoGg,"ERROR"))</f>
        <v>0</v>
      </c>
      <c r="AH1171" s="94">
        <f>IF('Net zero activities &amp; levers'!$C$14="Off",SUM('Activity data'!BA66:BA81)*FracLEACHUD*MSLeachEF*NtoN2O*kgtoGg,IF('Net zero activities &amp; levers'!$C$14="On",SUM('Net zero Activity data'!BA66:BA81)*FracLEACHUD*MSLeachEF*NtoN2O*kgtoGg,"ERROR"))</f>
        <v>0</v>
      </c>
      <c r="AI1171" s="94">
        <f>IF('Net zero activities &amp; levers'!$C$14="Off",SUM('Activity data'!BB66:BB81)*FracLEACHUD*MSLeachEF*NtoN2O*kgtoGg,IF('Net zero activities &amp; levers'!$C$14="On",SUM('Net zero Activity data'!BB66:BB81)*FracLEACHUD*MSLeachEF*NtoN2O*kgtoGg,"ERROR"))</f>
        <v>0</v>
      </c>
      <c r="AJ1171" s="94">
        <f>IF('Net zero activities &amp; levers'!$C$14="Off",SUM('Activity data'!BC66:BC81)*FracLEACHUD*MSLeachEF*NtoN2O*kgtoGg,IF('Net zero activities &amp; levers'!$C$14="On",SUM('Net zero Activity data'!BC66:BC81)*FracLEACHUD*MSLeachEF*NtoN2O*kgtoGg,"ERROR"))</f>
        <v>0</v>
      </c>
      <c r="AK1171" s="94">
        <f>IF('Net zero activities &amp; levers'!$C$14="Off",SUM('Activity data'!BD66:BD81)*FracLEACHUD*MSLeachEF*NtoN2O*kgtoGg,IF('Net zero activities &amp; levers'!$C$14="On",SUM('Net zero Activity data'!BD66:BD81)*FracLEACHUD*MSLeachEF*NtoN2O*kgtoGg,"ERROR"))</f>
        <v>0</v>
      </c>
      <c r="AL1171" s="94">
        <f>IF('Net zero activities &amp; levers'!$C$14="Off",SUM('Activity data'!BE66:BE81)*FracLEACHUD*MSLeachEF*NtoN2O*kgtoGg,IF('Net zero activities &amp; levers'!$C$14="On",SUM('Net zero Activity data'!BE66:BE81)*FracLEACHUD*MSLeachEF*NtoN2O*kgtoGg,"ERROR"))</f>
        <v>0</v>
      </c>
      <c r="AM1171" s="94">
        <f>IF('Net zero activities &amp; levers'!$C$14="Off",SUM('Activity data'!BF66:BF81)*FracLEACHUD*MSLeachEF*NtoN2O*kgtoGg,IF('Net zero activities &amp; levers'!$C$14="On",SUM('Net zero Activity data'!BF66:BF81)*FracLEACHUD*MSLeachEF*NtoN2O*kgtoGg,"ERROR"))</f>
        <v>0</v>
      </c>
      <c r="AN1171" s="94">
        <f>IF('Net zero activities &amp; levers'!$C$14="Off",SUM('Activity data'!BG66:BG81)*FracLEACHUD*MSLeachEF*NtoN2O*kgtoGg,IF('Net zero activities &amp; levers'!$C$14="On",SUM('Net zero Activity data'!BG66:BG81)*FracLEACHUD*MSLeachEF*NtoN2O*kgtoGg,"ERROR"))</f>
        <v>0</v>
      </c>
      <c r="AO1171" s="94">
        <f>IF('Net zero activities &amp; levers'!$C$14="Off",SUM('Activity data'!BH66:BH81)*FracLEACHUD*MSLeachEF*NtoN2O*kgtoGg,IF('Net zero activities &amp; levers'!$C$14="On",SUM('Net zero Activity data'!BH66:BH81)*FracLEACHUD*MSLeachEF*NtoN2O*kgtoGg,"ERROR"))</f>
        <v>0</v>
      </c>
      <c r="AP1171" s="94">
        <f>IF('Net zero activities &amp; levers'!$C$14="Off",SUM('Activity data'!BI66:BI81)*FracLEACHUD*MSLeachEF*NtoN2O*kgtoGg,IF('Net zero activities &amp; levers'!$C$14="On",SUM('Net zero Activity data'!BI66:BI81)*FracLEACHUD*MSLeachEF*NtoN2O*kgtoGg,"ERROR"))</f>
        <v>0</v>
      </c>
      <c r="AQ1171" s="94">
        <f>IF('Net zero activities &amp; levers'!$C$14="Off",SUM('Activity data'!BJ66:BJ81)*FracLEACHUD*MSLeachEF*NtoN2O*kgtoGg,IF('Net zero activities &amp; levers'!$C$14="On",SUM('Net zero Activity data'!BJ66:BJ81)*FracLEACHUD*MSLeachEF*NtoN2O*kgtoGg,"ERROR"))</f>
        <v>0</v>
      </c>
      <c r="AR1171" s="94">
        <f>IF('Net zero activities &amp; levers'!$C$14="Off",SUM('Activity data'!BK66:BK81)*FracLEACHUD*MSLeachEF*NtoN2O*kgtoGg,IF('Net zero activities &amp; levers'!$C$14="On",SUM('Net zero Activity data'!BK66:BK81)*FracLEACHUD*MSLeachEF*NtoN2O*kgtoGg,"ERROR"))</f>
        <v>0</v>
      </c>
      <c r="AS1171" s="94">
        <f>IF('Net zero activities &amp; levers'!$C$14="Off",SUM('Activity data'!BL66:BL81)*FracLEACHUD*MSLeachEF*NtoN2O*kgtoGg,IF('Net zero activities &amp; levers'!$C$14="On",SUM('Net zero Activity data'!BL66:BL81)*FracLEACHUD*MSLeachEF*NtoN2O*kgtoGg,"ERROR"))</f>
        <v>0</v>
      </c>
      <c r="AT1171" s="94">
        <f>IF('Net zero activities &amp; levers'!$C$14="Off",SUM('Activity data'!BM66:BM81)*FracLEACHUD*MSLeachEF*NtoN2O*kgtoGg,IF('Net zero activities &amp; levers'!$C$14="On",SUM('Net zero Activity data'!BM66:BM81)*FracLEACHUD*MSLeachEF*NtoN2O*kgtoGg,"ERROR"))</f>
        <v>0</v>
      </c>
      <c r="AU1171" s="94">
        <f>IF('Net zero activities &amp; levers'!$C$14="Off",SUM('Activity data'!BN66:BN81)*FracLEACHUD*MSLeachEF*NtoN2O*kgtoGg,IF('Net zero activities &amp; levers'!$C$14="On",SUM('Net zero Activity data'!BN66:BN81)*FracLEACHUD*MSLeachEF*NtoN2O*kgtoGg,"ERROR"))</f>
        <v>0</v>
      </c>
      <c r="AV1171" s="94">
        <f>IF('Net zero activities &amp; levers'!$C$14="Off",SUM('Activity data'!BO66:BO81)*FracLEACHUD*MSLeachEF*NtoN2O*kgtoGg,IF('Net zero activities &amp; levers'!$C$14="On",SUM('Net zero Activity data'!BO66:BO81)*FracLEACHUD*MSLeachEF*NtoN2O*kgtoGg,"ERROR"))</f>
        <v>0</v>
      </c>
      <c r="AW1171" s="94">
        <f>IF('Net zero activities &amp; levers'!$C$14="Off",SUM('Activity data'!BP66:BP81)*FracLEACHUD*MSLeachEF*NtoN2O*kgtoGg,IF('Net zero activities &amp; levers'!$C$14="On",SUM('Net zero Activity data'!BP66:BP81)*FracLEACHUD*MSLeachEF*NtoN2O*kgtoGg,"ERROR"))</f>
        <v>0</v>
      </c>
      <c r="AY1171" s="79"/>
    </row>
    <row r="1172" spans="1:51" x14ac:dyDescent="0.3">
      <c r="A1172" s="95" t="str">
        <f t="shared" si="380"/>
        <v>CM Leaching</v>
      </c>
      <c r="B1172" s="95" t="s">
        <v>1322</v>
      </c>
      <c r="C1172" s="95" t="s">
        <v>1190</v>
      </c>
      <c r="D1172" t="s">
        <v>369</v>
      </c>
      <c r="E1172" t="s">
        <v>61</v>
      </c>
      <c r="F1172" t="s">
        <v>63</v>
      </c>
      <c r="G1172" t="s">
        <v>439</v>
      </c>
      <c r="H1172" t="s">
        <v>1192</v>
      </c>
      <c r="I1172" t="s">
        <v>139</v>
      </c>
      <c r="J1172" t="s">
        <v>287</v>
      </c>
      <c r="K1172" s="22">
        <f>K1518</f>
        <v>0.10175116378121943</v>
      </c>
      <c r="L1172" s="22">
        <f t="shared" ref="L1172:AW1179" si="381">L1518</f>
        <v>0.10192037938520998</v>
      </c>
      <c r="M1172" s="22">
        <f t="shared" si="381"/>
        <v>0.102230624521803</v>
      </c>
      <c r="N1172" s="22">
        <f t="shared" si="381"/>
        <v>0.10260144459215571</v>
      </c>
      <c r="O1172" s="22">
        <f t="shared" si="381"/>
        <v>0.10285194917721978</v>
      </c>
      <c r="P1172" s="22">
        <f t="shared" si="381"/>
        <v>0.10302433973360284</v>
      </c>
      <c r="Q1172" s="22">
        <f t="shared" si="381"/>
        <v>0.10311874031263807</v>
      </c>
      <c r="R1172" s="22">
        <f t="shared" si="381"/>
        <v>0.10327146311968674</v>
      </c>
      <c r="S1172" s="22">
        <f t="shared" si="381"/>
        <v>0.10343188706296993</v>
      </c>
      <c r="T1172" s="22">
        <f t="shared" si="381"/>
        <v>0.10231676998015095</v>
      </c>
      <c r="U1172" s="22">
        <f t="shared" si="381"/>
        <v>0.10275895162111336</v>
      </c>
      <c r="V1172" s="22">
        <f t="shared" si="381"/>
        <v>0.10336245461523248</v>
      </c>
      <c r="W1172" s="22">
        <f t="shared" si="381"/>
        <v>0.10368675774662221</v>
      </c>
      <c r="X1172" s="22">
        <f t="shared" si="381"/>
        <v>0.10404145269776151</v>
      </c>
      <c r="Y1172" s="22">
        <f t="shared" si="381"/>
        <v>0.10443580363521765</v>
      </c>
      <c r="Z1172" s="22">
        <f t="shared" si="381"/>
        <v>0.1048497598931184</v>
      </c>
      <c r="AA1172" s="22">
        <f t="shared" si="381"/>
        <v>0.10529155067821512</v>
      </c>
      <c r="AB1172" s="22">
        <f t="shared" si="381"/>
        <v>0.10573429480734184</v>
      </c>
      <c r="AC1172" s="22">
        <f t="shared" si="381"/>
        <v>0.10620059916305352</v>
      </c>
      <c r="AD1172" s="22">
        <f t="shared" si="381"/>
        <v>0.10666482354141628</v>
      </c>
      <c r="AE1172" s="22">
        <f t="shared" si="381"/>
        <v>0.10716812014937527</v>
      </c>
      <c r="AF1172" s="22">
        <f t="shared" si="381"/>
        <v>0.10765286539934465</v>
      </c>
      <c r="AG1172" s="22">
        <f t="shared" si="381"/>
        <v>0.10814988041430322</v>
      </c>
      <c r="AH1172" s="22">
        <f t="shared" si="381"/>
        <v>0.1086932343641567</v>
      </c>
      <c r="AI1172" s="22">
        <f t="shared" si="381"/>
        <v>0.1091985095670623</v>
      </c>
      <c r="AJ1172" s="22">
        <f t="shared" si="381"/>
        <v>0.10971732596273812</v>
      </c>
      <c r="AK1172" s="22">
        <f t="shared" si="381"/>
        <v>0.11025547753556091</v>
      </c>
      <c r="AL1172" s="22">
        <f t="shared" si="381"/>
        <v>0.11075007079547201</v>
      </c>
      <c r="AM1172" s="22">
        <f t="shared" si="381"/>
        <v>0.11123091596993474</v>
      </c>
      <c r="AN1172" s="22">
        <f t="shared" si="381"/>
        <v>0.11169987222752331</v>
      </c>
      <c r="AO1172" s="22">
        <f t="shared" si="381"/>
        <v>0.11219468980678651</v>
      </c>
      <c r="AP1172" s="22">
        <f t="shared" si="381"/>
        <v>0.11266090782059876</v>
      </c>
      <c r="AQ1172" s="22">
        <f t="shared" si="381"/>
        <v>0.11313307913415467</v>
      </c>
      <c r="AR1172" s="22">
        <f t="shared" si="381"/>
        <v>0.11361258764100189</v>
      </c>
      <c r="AS1172" s="22">
        <f t="shared" si="381"/>
        <v>0.11410180170622075</v>
      </c>
      <c r="AT1172" s="22">
        <f t="shared" si="381"/>
        <v>0.1145986803192975</v>
      </c>
      <c r="AU1172" s="22">
        <f t="shared" si="381"/>
        <v>0.11475135344682705</v>
      </c>
      <c r="AV1172" s="22">
        <f t="shared" si="381"/>
        <v>0.11487194074959778</v>
      </c>
      <c r="AW1172" s="22">
        <f t="shared" si="381"/>
        <v>0.11494706662841653</v>
      </c>
      <c r="AY1172" s="79"/>
    </row>
    <row r="1173" spans="1:51" x14ac:dyDescent="0.3">
      <c r="A1173" s="95" t="str">
        <f t="shared" si="380"/>
        <v>CM Leaching</v>
      </c>
      <c r="B1173" s="95" t="s">
        <v>1322</v>
      </c>
      <c r="C1173" s="95" t="s">
        <v>1190</v>
      </c>
      <c r="D1173" t="s">
        <v>369</v>
      </c>
      <c r="E1173" t="s">
        <v>61</v>
      </c>
      <c r="F1173" t="s">
        <v>63</v>
      </c>
      <c r="G1173" t="s">
        <v>1193</v>
      </c>
      <c r="H1173" t="s">
        <v>1194</v>
      </c>
      <c r="I1173" t="s">
        <v>139</v>
      </c>
      <c r="J1173" t="s">
        <v>287</v>
      </c>
      <c r="K1173" s="22" t="str">
        <f t="shared" ref="K1173:Z1184" si="382">K1519</f>
        <v>NO</v>
      </c>
      <c r="L1173" s="22" t="str">
        <f t="shared" si="382"/>
        <v>NO</v>
      </c>
      <c r="M1173" s="22" t="str">
        <f t="shared" si="382"/>
        <v>NO</v>
      </c>
      <c r="N1173" s="22" t="str">
        <f t="shared" si="382"/>
        <v>NO</v>
      </c>
      <c r="O1173" s="22" t="str">
        <f t="shared" si="382"/>
        <v>NO</v>
      </c>
      <c r="P1173" s="22" t="str">
        <f t="shared" si="382"/>
        <v>NO</v>
      </c>
      <c r="Q1173" s="22" t="str">
        <f t="shared" si="382"/>
        <v>NO</v>
      </c>
      <c r="R1173" s="22" t="str">
        <f t="shared" si="382"/>
        <v>NO</v>
      </c>
      <c r="S1173" s="22" t="str">
        <f t="shared" si="382"/>
        <v>NO</v>
      </c>
      <c r="T1173" s="22" t="str">
        <f t="shared" si="382"/>
        <v>NO</v>
      </c>
      <c r="U1173" s="22" t="str">
        <f t="shared" si="382"/>
        <v>NO</v>
      </c>
      <c r="V1173" s="22" t="str">
        <f t="shared" si="382"/>
        <v>NO</v>
      </c>
      <c r="W1173" s="22" t="str">
        <f t="shared" si="382"/>
        <v>NO</v>
      </c>
      <c r="X1173" s="22" t="str">
        <f t="shared" si="382"/>
        <v>NO</v>
      </c>
      <c r="Y1173" s="22" t="str">
        <f t="shared" si="382"/>
        <v>NO</v>
      </c>
      <c r="Z1173" s="22" t="str">
        <f t="shared" si="382"/>
        <v>NO</v>
      </c>
      <c r="AA1173" s="22" t="str">
        <f t="shared" si="381"/>
        <v>NO</v>
      </c>
      <c r="AB1173" s="22" t="str">
        <f t="shared" si="381"/>
        <v>NO</v>
      </c>
      <c r="AC1173" s="22" t="str">
        <f t="shared" si="381"/>
        <v>NO</v>
      </c>
      <c r="AD1173" s="22" t="str">
        <f t="shared" si="381"/>
        <v>NO</v>
      </c>
      <c r="AE1173" s="22" t="str">
        <f t="shared" si="381"/>
        <v>NO</v>
      </c>
      <c r="AF1173" s="22" t="str">
        <f t="shared" si="381"/>
        <v>NO</v>
      </c>
      <c r="AG1173" s="22" t="str">
        <f t="shared" si="381"/>
        <v>NO</v>
      </c>
      <c r="AH1173" s="22" t="str">
        <f t="shared" si="381"/>
        <v>NO</v>
      </c>
      <c r="AI1173" s="22" t="str">
        <f t="shared" si="381"/>
        <v>NO</v>
      </c>
      <c r="AJ1173" s="22" t="str">
        <f t="shared" si="381"/>
        <v>NO</v>
      </c>
      <c r="AK1173" s="22" t="str">
        <f t="shared" si="381"/>
        <v>NO</v>
      </c>
      <c r="AL1173" s="22" t="str">
        <f t="shared" si="381"/>
        <v>NO</v>
      </c>
      <c r="AM1173" s="22" t="str">
        <f t="shared" si="381"/>
        <v>NO</v>
      </c>
      <c r="AN1173" s="22" t="str">
        <f t="shared" si="381"/>
        <v>NO</v>
      </c>
      <c r="AO1173" s="22" t="str">
        <f t="shared" si="381"/>
        <v>NO</v>
      </c>
      <c r="AP1173" s="22" t="str">
        <f t="shared" si="381"/>
        <v>NO</v>
      </c>
      <c r="AQ1173" s="22" t="str">
        <f t="shared" si="381"/>
        <v>NO</v>
      </c>
      <c r="AR1173" s="22" t="str">
        <f t="shared" si="381"/>
        <v>NO</v>
      </c>
      <c r="AS1173" s="22" t="str">
        <f t="shared" si="381"/>
        <v>NO</v>
      </c>
      <c r="AT1173" s="22" t="str">
        <f t="shared" si="381"/>
        <v>NO</v>
      </c>
      <c r="AU1173" s="22" t="str">
        <f t="shared" si="381"/>
        <v>NO</v>
      </c>
      <c r="AV1173" s="22" t="str">
        <f t="shared" si="381"/>
        <v>NO</v>
      </c>
      <c r="AW1173" s="22" t="str">
        <f t="shared" si="381"/>
        <v>NO</v>
      </c>
      <c r="AY1173" s="79"/>
    </row>
    <row r="1174" spans="1:51" x14ac:dyDescent="0.3">
      <c r="A1174" s="95" t="str">
        <f t="shared" si="380"/>
        <v>CM Leaching</v>
      </c>
      <c r="B1174" s="95" t="s">
        <v>1322</v>
      </c>
      <c r="C1174" s="95" t="s">
        <v>1190</v>
      </c>
      <c r="D1174" t="s">
        <v>369</v>
      </c>
      <c r="E1174" t="s">
        <v>61</v>
      </c>
      <c r="F1174" t="s">
        <v>63</v>
      </c>
      <c r="G1174" t="s">
        <v>1195</v>
      </c>
      <c r="H1174" t="s">
        <v>1196</v>
      </c>
      <c r="I1174" t="s">
        <v>139</v>
      </c>
      <c r="J1174" t="s">
        <v>287</v>
      </c>
      <c r="K1174" s="22" t="str">
        <f t="shared" si="382"/>
        <v>NO</v>
      </c>
      <c r="L1174" s="22" t="str">
        <f t="shared" si="381"/>
        <v>NO</v>
      </c>
      <c r="M1174" s="22" t="str">
        <f t="shared" si="381"/>
        <v>NO</v>
      </c>
      <c r="N1174" s="22" t="str">
        <f t="shared" si="381"/>
        <v>NO</v>
      </c>
      <c r="O1174" s="22" t="str">
        <f t="shared" si="381"/>
        <v>NO</v>
      </c>
      <c r="P1174" s="22" t="str">
        <f t="shared" si="381"/>
        <v>NO</v>
      </c>
      <c r="Q1174" s="22" t="str">
        <f t="shared" si="381"/>
        <v>NO</v>
      </c>
      <c r="R1174" s="22" t="str">
        <f t="shared" si="381"/>
        <v>NO</v>
      </c>
      <c r="S1174" s="22" t="str">
        <f t="shared" si="381"/>
        <v>NO</v>
      </c>
      <c r="T1174" s="22" t="str">
        <f t="shared" si="381"/>
        <v>NO</v>
      </c>
      <c r="U1174" s="22" t="str">
        <f t="shared" si="381"/>
        <v>NO</v>
      </c>
      <c r="V1174" s="22" t="str">
        <f t="shared" si="381"/>
        <v>NO</v>
      </c>
      <c r="W1174" s="22" t="str">
        <f t="shared" si="381"/>
        <v>NO</v>
      </c>
      <c r="X1174" s="22" t="str">
        <f t="shared" si="381"/>
        <v>NO</v>
      </c>
      <c r="Y1174" s="22" t="str">
        <f t="shared" si="381"/>
        <v>NO</v>
      </c>
      <c r="Z1174" s="22" t="str">
        <f t="shared" si="381"/>
        <v>NO</v>
      </c>
      <c r="AA1174" s="22" t="str">
        <f t="shared" si="381"/>
        <v>NO</v>
      </c>
      <c r="AB1174" s="22" t="str">
        <f t="shared" si="381"/>
        <v>NO</v>
      </c>
      <c r="AC1174" s="22" t="str">
        <f t="shared" si="381"/>
        <v>NO</v>
      </c>
      <c r="AD1174" s="22" t="str">
        <f t="shared" si="381"/>
        <v>NO</v>
      </c>
      <c r="AE1174" s="22" t="str">
        <f t="shared" si="381"/>
        <v>NO</v>
      </c>
      <c r="AF1174" s="22" t="str">
        <f t="shared" si="381"/>
        <v>NO</v>
      </c>
      <c r="AG1174" s="22" t="str">
        <f t="shared" si="381"/>
        <v>NO</v>
      </c>
      <c r="AH1174" s="22" t="str">
        <f t="shared" si="381"/>
        <v>NO</v>
      </c>
      <c r="AI1174" s="22" t="str">
        <f t="shared" si="381"/>
        <v>NO</v>
      </c>
      <c r="AJ1174" s="22" t="str">
        <f t="shared" si="381"/>
        <v>NO</v>
      </c>
      <c r="AK1174" s="22" t="str">
        <f t="shared" si="381"/>
        <v>NO</v>
      </c>
      <c r="AL1174" s="22" t="str">
        <f t="shared" si="381"/>
        <v>NO</v>
      </c>
      <c r="AM1174" s="22" t="str">
        <f t="shared" si="381"/>
        <v>NO</v>
      </c>
      <c r="AN1174" s="22" t="str">
        <f t="shared" si="381"/>
        <v>NO</v>
      </c>
      <c r="AO1174" s="22" t="str">
        <f t="shared" si="381"/>
        <v>NO</v>
      </c>
      <c r="AP1174" s="22" t="str">
        <f t="shared" si="381"/>
        <v>NO</v>
      </c>
      <c r="AQ1174" s="22" t="str">
        <f t="shared" si="381"/>
        <v>NO</v>
      </c>
      <c r="AR1174" s="22" t="str">
        <f t="shared" si="381"/>
        <v>NO</v>
      </c>
      <c r="AS1174" s="22" t="str">
        <f t="shared" si="381"/>
        <v>NO</v>
      </c>
      <c r="AT1174" s="22" t="str">
        <f t="shared" si="381"/>
        <v>NO</v>
      </c>
      <c r="AU1174" s="22" t="str">
        <f t="shared" si="381"/>
        <v>NO</v>
      </c>
      <c r="AV1174" s="22" t="str">
        <f t="shared" si="381"/>
        <v>NO</v>
      </c>
      <c r="AW1174" s="22" t="str">
        <f t="shared" si="381"/>
        <v>NO</v>
      </c>
      <c r="AY1174" s="79"/>
    </row>
    <row r="1175" spans="1:51" x14ac:dyDescent="0.3">
      <c r="A1175" s="95" t="str">
        <f t="shared" si="380"/>
        <v>CM Leaching</v>
      </c>
      <c r="B1175" s="95" t="s">
        <v>1322</v>
      </c>
      <c r="C1175" s="95" t="s">
        <v>1190</v>
      </c>
      <c r="D1175" t="s">
        <v>369</v>
      </c>
      <c r="E1175" t="s">
        <v>61</v>
      </c>
      <c r="F1175" t="s">
        <v>63</v>
      </c>
      <c r="G1175" t="s">
        <v>1197</v>
      </c>
      <c r="H1175" t="s">
        <v>1198</v>
      </c>
      <c r="I1175" t="s">
        <v>139</v>
      </c>
      <c r="J1175" t="s">
        <v>287</v>
      </c>
      <c r="K1175" s="22">
        <f t="shared" si="382"/>
        <v>1.1867590793806392E-4</v>
      </c>
      <c r="L1175" s="22">
        <f t="shared" si="381"/>
        <v>1.1853617037070301E-4</v>
      </c>
      <c r="M1175" s="22">
        <f t="shared" si="381"/>
        <v>1.1839643280334203E-4</v>
      </c>
      <c r="N1175" s="22">
        <f t="shared" si="381"/>
        <v>1.1825669523598106E-4</v>
      </c>
      <c r="O1175" s="22">
        <f t="shared" si="381"/>
        <v>1.1811695766862012E-4</v>
      </c>
      <c r="P1175" s="22">
        <f t="shared" si="381"/>
        <v>1.1797722010125916E-4</v>
      </c>
      <c r="Q1175" s="22">
        <f t="shared" si="381"/>
        <v>1.178374825338982E-4</v>
      </c>
      <c r="R1175" s="22">
        <f t="shared" si="381"/>
        <v>1.1769774496653728E-4</v>
      </c>
      <c r="S1175" s="22">
        <f t="shared" si="381"/>
        <v>1.1755800739917633E-4</v>
      </c>
      <c r="T1175" s="22">
        <f t="shared" si="381"/>
        <v>1.174182698318154E-4</v>
      </c>
      <c r="U1175" s="22">
        <f t="shared" si="381"/>
        <v>1.1727853226445441E-4</v>
      </c>
      <c r="V1175" s="22">
        <f t="shared" si="381"/>
        <v>1.1713879469709348E-4</v>
      </c>
      <c r="W1175" s="22">
        <f t="shared" si="381"/>
        <v>1.1699905712973254E-4</v>
      </c>
      <c r="X1175" s="22">
        <f t="shared" si="381"/>
        <v>1.168593195623716E-4</v>
      </c>
      <c r="Y1175" s="22">
        <f t="shared" si="381"/>
        <v>1.1671958199501069E-4</v>
      </c>
      <c r="Z1175" s="22">
        <f t="shared" si="381"/>
        <v>1.1657984442764968E-4</v>
      </c>
      <c r="AA1175" s="22">
        <f t="shared" si="381"/>
        <v>1.1644010686028878E-4</v>
      </c>
      <c r="AB1175" s="22">
        <f t="shared" si="381"/>
        <v>1.1630036929292779E-4</v>
      </c>
      <c r="AC1175" s="22">
        <f t="shared" si="381"/>
        <v>1.1616063172556689E-4</v>
      </c>
      <c r="AD1175" s="22">
        <f t="shared" si="381"/>
        <v>1.1602089415820588E-4</v>
      </c>
      <c r="AE1175" s="22">
        <f t="shared" si="381"/>
        <v>1.1588115659084502E-4</v>
      </c>
      <c r="AF1175" s="22">
        <f t="shared" si="381"/>
        <v>1.1574141902348403E-4</v>
      </c>
      <c r="AG1175" s="22">
        <f t="shared" si="381"/>
        <v>1.1560168145612309E-4</v>
      </c>
      <c r="AH1175" s="22">
        <f t="shared" si="381"/>
        <v>1.154619438887621E-4</v>
      </c>
      <c r="AI1175" s="22">
        <f t="shared" si="381"/>
        <v>1.1532220632140118E-4</v>
      </c>
      <c r="AJ1175" s="22">
        <f t="shared" si="381"/>
        <v>1.1518246875404022E-4</v>
      </c>
      <c r="AK1175" s="22">
        <f t="shared" si="381"/>
        <v>1.1504273118667928E-4</v>
      </c>
      <c r="AL1175" s="22">
        <f t="shared" si="381"/>
        <v>1.1490299361931835E-4</v>
      </c>
      <c r="AM1175" s="22">
        <f t="shared" si="381"/>
        <v>1.1476325605195744E-4</v>
      </c>
      <c r="AN1175" s="22">
        <f t="shared" si="381"/>
        <v>1.1462351848459642E-4</v>
      </c>
      <c r="AO1175" s="22">
        <f t="shared" si="381"/>
        <v>1.1448378091723552E-4</v>
      </c>
      <c r="AP1175" s="22">
        <f t="shared" si="381"/>
        <v>1.1434404334987458E-4</v>
      </c>
      <c r="AQ1175" s="22">
        <f t="shared" si="381"/>
        <v>1.1420430578251366E-4</v>
      </c>
      <c r="AR1175" s="22">
        <f t="shared" si="381"/>
        <v>1.1406456821515268E-4</v>
      </c>
      <c r="AS1175" s="22">
        <f t="shared" si="381"/>
        <v>1.1392483064779174E-4</v>
      </c>
      <c r="AT1175" s="22">
        <f t="shared" si="381"/>
        <v>1.1378509308043078E-4</v>
      </c>
      <c r="AU1175" s="22">
        <f t="shared" si="381"/>
        <v>1.136453555130698E-4</v>
      </c>
      <c r="AV1175" s="22">
        <f t="shared" si="381"/>
        <v>1.1350561794570888E-4</v>
      </c>
      <c r="AW1175" s="22">
        <f t="shared" si="381"/>
        <v>1.1336588037834792E-4</v>
      </c>
      <c r="AY1175" s="79"/>
    </row>
    <row r="1176" spans="1:51" x14ac:dyDescent="0.3">
      <c r="A1176" s="95" t="str">
        <f t="shared" si="380"/>
        <v>CM Leaching</v>
      </c>
      <c r="B1176" s="95" t="s">
        <v>1322</v>
      </c>
      <c r="C1176" s="95" t="s">
        <v>1190</v>
      </c>
      <c r="D1176" t="s">
        <v>369</v>
      </c>
      <c r="E1176" t="s">
        <v>61</v>
      </c>
      <c r="F1176" t="s">
        <v>63</v>
      </c>
      <c r="G1176" t="s">
        <v>1199</v>
      </c>
      <c r="H1176" t="s">
        <v>1200</v>
      </c>
      <c r="I1176" t="s">
        <v>139</v>
      </c>
      <c r="J1176" t="s">
        <v>287</v>
      </c>
      <c r="K1176" s="22">
        <f t="shared" si="382"/>
        <v>1.6912231388729011E-2</v>
      </c>
      <c r="L1176" s="22">
        <f t="shared" si="381"/>
        <v>1.6951420148247919E-2</v>
      </c>
      <c r="M1176" s="22">
        <f t="shared" si="381"/>
        <v>1.6990608907766828E-2</v>
      </c>
      <c r="N1176" s="22">
        <f t="shared" si="381"/>
        <v>1.702979766728574E-2</v>
      </c>
      <c r="O1176" s="22">
        <f t="shared" si="381"/>
        <v>1.7068986426804648E-2</v>
      </c>
      <c r="P1176" s="22">
        <f t="shared" si="381"/>
        <v>1.7108175186323554E-2</v>
      </c>
      <c r="Q1176" s="22">
        <f t="shared" si="381"/>
        <v>1.7147363945842466E-2</v>
      </c>
      <c r="R1176" s="22">
        <f t="shared" si="381"/>
        <v>1.7186552705361371E-2</v>
      </c>
      <c r="S1176" s="22">
        <f t="shared" si="381"/>
        <v>1.7225741464880276E-2</v>
      </c>
      <c r="T1176" s="22">
        <f t="shared" si="381"/>
        <v>1.7264930224399191E-2</v>
      </c>
      <c r="U1176" s="22">
        <f t="shared" si="381"/>
        <v>1.7304118983918097E-2</v>
      </c>
      <c r="V1176" s="22">
        <f t="shared" si="381"/>
        <v>1.7343307743437009E-2</v>
      </c>
      <c r="W1176" s="22">
        <f t="shared" si="381"/>
        <v>1.7382496502955917E-2</v>
      </c>
      <c r="X1176" s="22">
        <f t="shared" si="381"/>
        <v>1.7421685262474829E-2</v>
      </c>
      <c r="Y1176" s="22">
        <f t="shared" si="381"/>
        <v>1.7460874021993734E-2</v>
      </c>
      <c r="Z1176" s="22">
        <f t="shared" si="381"/>
        <v>1.750006278151265E-2</v>
      </c>
      <c r="AA1176" s="22">
        <f t="shared" si="381"/>
        <v>1.7539251541031548E-2</v>
      </c>
      <c r="AB1176" s="22">
        <f t="shared" si="381"/>
        <v>1.7578440300550464E-2</v>
      </c>
      <c r="AC1176" s="22">
        <f t="shared" si="381"/>
        <v>1.7617629060069376E-2</v>
      </c>
      <c r="AD1176" s="22">
        <f t="shared" si="381"/>
        <v>1.7656817819588281E-2</v>
      </c>
      <c r="AE1176" s="22">
        <f t="shared" si="381"/>
        <v>1.769600657910719E-2</v>
      </c>
      <c r="AF1176" s="22">
        <f t="shared" si="381"/>
        <v>1.7735195338626102E-2</v>
      </c>
      <c r="AG1176" s="22">
        <f t="shared" si="381"/>
        <v>1.777438409814501E-2</v>
      </c>
      <c r="AH1176" s="22">
        <f t="shared" si="381"/>
        <v>1.7813572857663919E-2</v>
      </c>
      <c r="AI1176" s="22">
        <f t="shared" si="381"/>
        <v>1.7852761617182831E-2</v>
      </c>
      <c r="AJ1176" s="22">
        <f t="shared" si="381"/>
        <v>1.7891950376701736E-2</v>
      </c>
      <c r="AK1176" s="22">
        <f t="shared" si="381"/>
        <v>1.7931139136220645E-2</v>
      </c>
      <c r="AL1176" s="22">
        <f t="shared" si="381"/>
        <v>1.7970327895739557E-2</v>
      </c>
      <c r="AM1176" s="22">
        <f t="shared" si="381"/>
        <v>1.8009516655258465E-2</v>
      </c>
      <c r="AN1176" s="22">
        <f t="shared" si="381"/>
        <v>1.8048705414777374E-2</v>
      </c>
      <c r="AO1176" s="22">
        <f t="shared" si="381"/>
        <v>1.8087894174296286E-2</v>
      </c>
      <c r="AP1176" s="22">
        <f t="shared" si="381"/>
        <v>1.8127082933815188E-2</v>
      </c>
      <c r="AQ1176" s="22">
        <f t="shared" si="381"/>
        <v>1.8166271693334096E-2</v>
      </c>
      <c r="AR1176" s="22">
        <f t="shared" si="381"/>
        <v>1.8205460452853015E-2</v>
      </c>
      <c r="AS1176" s="22">
        <f t="shared" si="381"/>
        <v>1.8244649212371917E-2</v>
      </c>
      <c r="AT1176" s="22">
        <f t="shared" si="381"/>
        <v>1.8283837971890825E-2</v>
      </c>
      <c r="AU1176" s="22">
        <f t="shared" si="381"/>
        <v>1.8323026731409734E-2</v>
      </c>
      <c r="AV1176" s="22">
        <f t="shared" si="381"/>
        <v>1.8362215490928643E-2</v>
      </c>
      <c r="AW1176" s="22">
        <f t="shared" si="381"/>
        <v>1.8401404250447555E-2</v>
      </c>
      <c r="AY1176" s="79"/>
    </row>
    <row r="1177" spans="1:51" x14ac:dyDescent="0.3">
      <c r="A1177" s="95" t="str">
        <f t="shared" si="380"/>
        <v>CM Leaching</v>
      </c>
      <c r="B1177" s="95" t="s">
        <v>1322</v>
      </c>
      <c r="C1177" s="95" t="s">
        <v>1190</v>
      </c>
      <c r="D1177" t="s">
        <v>369</v>
      </c>
      <c r="E1177" t="s">
        <v>61</v>
      </c>
      <c r="F1177" t="s">
        <v>63</v>
      </c>
      <c r="G1177" t="s">
        <v>1201</v>
      </c>
      <c r="H1177" t="s">
        <v>1202</v>
      </c>
      <c r="I1177" t="s">
        <v>139</v>
      </c>
      <c r="J1177" t="s">
        <v>287</v>
      </c>
      <c r="K1177" s="22">
        <f t="shared" si="382"/>
        <v>1.9871041213735664E-2</v>
      </c>
      <c r="L1177" s="22">
        <f t="shared" si="381"/>
        <v>1.9871041213735664E-2</v>
      </c>
      <c r="M1177" s="22">
        <f t="shared" si="381"/>
        <v>1.9871041213735664E-2</v>
      </c>
      <c r="N1177" s="22">
        <f t="shared" si="381"/>
        <v>1.9871041213735664E-2</v>
      </c>
      <c r="O1177" s="22">
        <f t="shared" si="381"/>
        <v>1.9871041213735664E-2</v>
      </c>
      <c r="P1177" s="22">
        <f t="shared" si="381"/>
        <v>1.9871041213735664E-2</v>
      </c>
      <c r="Q1177" s="22">
        <f t="shared" si="381"/>
        <v>1.9871041213735664E-2</v>
      </c>
      <c r="R1177" s="22">
        <f t="shared" si="381"/>
        <v>1.9871041213735664E-2</v>
      </c>
      <c r="S1177" s="22">
        <f t="shared" si="381"/>
        <v>1.9871041213735664E-2</v>
      </c>
      <c r="T1177" s="22">
        <f t="shared" si="381"/>
        <v>1.9871041213735664E-2</v>
      </c>
      <c r="U1177" s="22">
        <f t="shared" si="381"/>
        <v>1.9871041213735664E-2</v>
      </c>
      <c r="V1177" s="22">
        <f t="shared" si="381"/>
        <v>1.9871041213735664E-2</v>
      </c>
      <c r="W1177" s="22">
        <f t="shared" si="381"/>
        <v>1.9871041213735664E-2</v>
      </c>
      <c r="X1177" s="22">
        <f t="shared" si="381"/>
        <v>1.9871041213735664E-2</v>
      </c>
      <c r="Y1177" s="22">
        <f t="shared" si="381"/>
        <v>1.9871041213735664E-2</v>
      </c>
      <c r="Z1177" s="22">
        <f t="shared" si="381"/>
        <v>1.9871041213735664E-2</v>
      </c>
      <c r="AA1177" s="22">
        <f t="shared" si="381"/>
        <v>1.9871041213735664E-2</v>
      </c>
      <c r="AB1177" s="22">
        <f t="shared" si="381"/>
        <v>1.9871041213735664E-2</v>
      </c>
      <c r="AC1177" s="22">
        <f t="shared" si="381"/>
        <v>1.9871041213735664E-2</v>
      </c>
      <c r="AD1177" s="22">
        <f t="shared" si="381"/>
        <v>1.9871041213735664E-2</v>
      </c>
      <c r="AE1177" s="22">
        <f t="shared" si="381"/>
        <v>1.9871041213735664E-2</v>
      </c>
      <c r="AF1177" s="22">
        <f t="shared" si="381"/>
        <v>1.9871041213735664E-2</v>
      </c>
      <c r="AG1177" s="22">
        <f t="shared" si="381"/>
        <v>1.9871041213735664E-2</v>
      </c>
      <c r="AH1177" s="22">
        <f t="shared" si="381"/>
        <v>1.9871041213735664E-2</v>
      </c>
      <c r="AI1177" s="22">
        <f t="shared" si="381"/>
        <v>1.9871041213735664E-2</v>
      </c>
      <c r="AJ1177" s="22">
        <f t="shared" si="381"/>
        <v>1.9871041213735664E-2</v>
      </c>
      <c r="AK1177" s="22">
        <f t="shared" si="381"/>
        <v>1.9871041213735664E-2</v>
      </c>
      <c r="AL1177" s="22">
        <f t="shared" si="381"/>
        <v>1.9871041213735664E-2</v>
      </c>
      <c r="AM1177" s="22">
        <f t="shared" si="381"/>
        <v>1.9871041213735664E-2</v>
      </c>
      <c r="AN1177" s="22">
        <f t="shared" si="381"/>
        <v>1.9871041213735664E-2</v>
      </c>
      <c r="AO1177" s="22">
        <f t="shared" si="381"/>
        <v>1.9871041213735664E-2</v>
      </c>
      <c r="AP1177" s="22">
        <f t="shared" si="381"/>
        <v>1.9871041213735664E-2</v>
      </c>
      <c r="AQ1177" s="22">
        <f t="shared" si="381"/>
        <v>1.9871041213735664E-2</v>
      </c>
      <c r="AR1177" s="22">
        <f t="shared" si="381"/>
        <v>1.9871041213735664E-2</v>
      </c>
      <c r="AS1177" s="22">
        <f t="shared" si="381"/>
        <v>1.9871041213735664E-2</v>
      </c>
      <c r="AT1177" s="22">
        <f t="shared" si="381"/>
        <v>1.9871041213735664E-2</v>
      </c>
      <c r="AU1177" s="22">
        <f t="shared" si="381"/>
        <v>1.9871041213735664E-2</v>
      </c>
      <c r="AV1177" s="22">
        <f t="shared" si="381"/>
        <v>1.9871041213735664E-2</v>
      </c>
      <c r="AW1177" s="22">
        <f t="shared" si="381"/>
        <v>1.9871041213735664E-2</v>
      </c>
      <c r="AY1177" s="79"/>
    </row>
    <row r="1178" spans="1:51" x14ac:dyDescent="0.3">
      <c r="A1178" s="95" t="str">
        <f t="shared" si="380"/>
        <v>CM Leaching</v>
      </c>
      <c r="B1178" s="95" t="s">
        <v>1322</v>
      </c>
      <c r="C1178" s="95" t="s">
        <v>1190</v>
      </c>
      <c r="D1178" t="s">
        <v>369</v>
      </c>
      <c r="E1178" t="s">
        <v>61</v>
      </c>
      <c r="F1178" t="s">
        <v>63</v>
      </c>
      <c r="G1178" t="s">
        <v>1203</v>
      </c>
      <c r="H1178" t="s">
        <v>1204</v>
      </c>
      <c r="I1178" t="s">
        <v>139</v>
      </c>
      <c r="J1178" t="s">
        <v>287</v>
      </c>
      <c r="K1178" s="22" t="str">
        <f t="shared" si="382"/>
        <v>NO</v>
      </c>
      <c r="L1178" s="22" t="str">
        <f t="shared" si="381"/>
        <v>NO</v>
      </c>
      <c r="M1178" s="22" t="str">
        <f t="shared" si="381"/>
        <v>NO</v>
      </c>
      <c r="N1178" s="22" t="str">
        <f t="shared" si="381"/>
        <v>NO</v>
      </c>
      <c r="O1178" s="22" t="str">
        <f t="shared" si="381"/>
        <v>NO</v>
      </c>
      <c r="P1178" s="22" t="str">
        <f t="shared" si="381"/>
        <v>NO</v>
      </c>
      <c r="Q1178" s="22" t="str">
        <f t="shared" si="381"/>
        <v>NO</v>
      </c>
      <c r="R1178" s="22" t="str">
        <f t="shared" si="381"/>
        <v>NO</v>
      </c>
      <c r="S1178" s="22" t="str">
        <f t="shared" si="381"/>
        <v>NO</v>
      </c>
      <c r="T1178" s="22" t="str">
        <f t="shared" si="381"/>
        <v>NO</v>
      </c>
      <c r="U1178" s="22" t="str">
        <f t="shared" si="381"/>
        <v>NO</v>
      </c>
      <c r="V1178" s="22" t="str">
        <f t="shared" si="381"/>
        <v>NO</v>
      </c>
      <c r="W1178" s="22" t="str">
        <f t="shared" si="381"/>
        <v>NO</v>
      </c>
      <c r="X1178" s="22" t="str">
        <f t="shared" si="381"/>
        <v>NO</v>
      </c>
      <c r="Y1178" s="22" t="str">
        <f t="shared" si="381"/>
        <v>NO</v>
      </c>
      <c r="Z1178" s="22" t="str">
        <f t="shared" si="381"/>
        <v>NO</v>
      </c>
      <c r="AA1178" s="22" t="str">
        <f t="shared" si="381"/>
        <v>NO</v>
      </c>
      <c r="AB1178" s="22" t="str">
        <f t="shared" si="381"/>
        <v>NO</v>
      </c>
      <c r="AC1178" s="22" t="str">
        <f t="shared" si="381"/>
        <v>NO</v>
      </c>
      <c r="AD1178" s="22" t="str">
        <f t="shared" si="381"/>
        <v>NO</v>
      </c>
      <c r="AE1178" s="22" t="str">
        <f t="shared" si="381"/>
        <v>NO</v>
      </c>
      <c r="AF1178" s="22" t="str">
        <f t="shared" si="381"/>
        <v>NO</v>
      </c>
      <c r="AG1178" s="22" t="str">
        <f t="shared" si="381"/>
        <v>NO</v>
      </c>
      <c r="AH1178" s="22" t="str">
        <f t="shared" si="381"/>
        <v>NO</v>
      </c>
      <c r="AI1178" s="22" t="str">
        <f t="shared" si="381"/>
        <v>NO</v>
      </c>
      <c r="AJ1178" s="22" t="str">
        <f t="shared" si="381"/>
        <v>NO</v>
      </c>
      <c r="AK1178" s="22" t="str">
        <f t="shared" si="381"/>
        <v>NO</v>
      </c>
      <c r="AL1178" s="22" t="str">
        <f t="shared" si="381"/>
        <v>NO</v>
      </c>
      <c r="AM1178" s="22" t="str">
        <f t="shared" si="381"/>
        <v>NO</v>
      </c>
      <c r="AN1178" s="22" t="str">
        <f t="shared" si="381"/>
        <v>NO</v>
      </c>
      <c r="AO1178" s="22" t="str">
        <f t="shared" si="381"/>
        <v>NO</v>
      </c>
      <c r="AP1178" s="22" t="str">
        <f t="shared" si="381"/>
        <v>NO</v>
      </c>
      <c r="AQ1178" s="22" t="str">
        <f t="shared" si="381"/>
        <v>NO</v>
      </c>
      <c r="AR1178" s="22" t="str">
        <f t="shared" si="381"/>
        <v>NO</v>
      </c>
      <c r="AS1178" s="22" t="str">
        <f t="shared" si="381"/>
        <v>NO</v>
      </c>
      <c r="AT1178" s="22" t="str">
        <f t="shared" si="381"/>
        <v>NO</v>
      </c>
      <c r="AU1178" s="22" t="str">
        <f t="shared" si="381"/>
        <v>NO</v>
      </c>
      <c r="AV1178" s="22" t="str">
        <f t="shared" si="381"/>
        <v>NO</v>
      </c>
      <c r="AW1178" s="22" t="str">
        <f t="shared" si="381"/>
        <v>NO</v>
      </c>
      <c r="AY1178" s="79"/>
    </row>
    <row r="1179" spans="1:51" x14ac:dyDescent="0.3">
      <c r="A1179" s="95" t="str">
        <f t="shared" si="380"/>
        <v>CM Leaching</v>
      </c>
      <c r="B1179" s="95" t="s">
        <v>1322</v>
      </c>
      <c r="C1179" s="95" t="s">
        <v>1190</v>
      </c>
      <c r="D1179" t="s">
        <v>369</v>
      </c>
      <c r="E1179" t="s">
        <v>61</v>
      </c>
      <c r="F1179" t="s">
        <v>63</v>
      </c>
      <c r="G1179" t="s">
        <v>1205</v>
      </c>
      <c r="H1179" t="s">
        <v>1206</v>
      </c>
      <c r="I1179" t="s">
        <v>139</v>
      </c>
      <c r="J1179" t="s">
        <v>287</v>
      </c>
      <c r="K1179" s="22" t="str">
        <f t="shared" si="382"/>
        <v>NO</v>
      </c>
      <c r="L1179" s="22" t="str">
        <f t="shared" si="381"/>
        <v>NO</v>
      </c>
      <c r="M1179" s="22" t="str">
        <f t="shared" si="381"/>
        <v>NO</v>
      </c>
      <c r="N1179" s="22" t="str">
        <f t="shared" si="381"/>
        <v>NO</v>
      </c>
      <c r="O1179" s="22" t="str">
        <f t="shared" si="381"/>
        <v>NO</v>
      </c>
      <c r="P1179" s="22" t="str">
        <f t="shared" ref="L1179:AW1184" si="383">P1525</f>
        <v>NO</v>
      </c>
      <c r="Q1179" s="22" t="str">
        <f t="shared" si="383"/>
        <v>NO</v>
      </c>
      <c r="R1179" s="22" t="str">
        <f t="shared" si="383"/>
        <v>NO</v>
      </c>
      <c r="S1179" s="22" t="str">
        <f t="shared" si="383"/>
        <v>NO</v>
      </c>
      <c r="T1179" s="22" t="str">
        <f t="shared" si="383"/>
        <v>NO</v>
      </c>
      <c r="U1179" s="22" t="str">
        <f t="shared" si="383"/>
        <v>NO</v>
      </c>
      <c r="V1179" s="22" t="str">
        <f t="shared" si="383"/>
        <v>NO</v>
      </c>
      <c r="W1179" s="22" t="str">
        <f t="shared" si="383"/>
        <v>NO</v>
      </c>
      <c r="X1179" s="22" t="str">
        <f t="shared" si="383"/>
        <v>NO</v>
      </c>
      <c r="Y1179" s="22" t="str">
        <f t="shared" si="383"/>
        <v>NO</v>
      </c>
      <c r="Z1179" s="22" t="str">
        <f t="shared" si="383"/>
        <v>NO</v>
      </c>
      <c r="AA1179" s="22" t="str">
        <f t="shared" si="383"/>
        <v>NO</v>
      </c>
      <c r="AB1179" s="22" t="str">
        <f t="shared" si="383"/>
        <v>NO</v>
      </c>
      <c r="AC1179" s="22" t="str">
        <f t="shared" si="383"/>
        <v>NO</v>
      </c>
      <c r="AD1179" s="22" t="str">
        <f t="shared" si="383"/>
        <v>NO</v>
      </c>
      <c r="AE1179" s="22" t="str">
        <f t="shared" si="383"/>
        <v>NO</v>
      </c>
      <c r="AF1179" s="22" t="str">
        <f t="shared" si="383"/>
        <v>NO</v>
      </c>
      <c r="AG1179" s="22" t="str">
        <f t="shared" si="383"/>
        <v>NO</v>
      </c>
      <c r="AH1179" s="22" t="str">
        <f t="shared" si="383"/>
        <v>NO</v>
      </c>
      <c r="AI1179" s="22" t="str">
        <f t="shared" si="383"/>
        <v>NO</v>
      </c>
      <c r="AJ1179" s="22" t="str">
        <f t="shared" si="383"/>
        <v>NO</v>
      </c>
      <c r="AK1179" s="22" t="str">
        <f t="shared" si="383"/>
        <v>NO</v>
      </c>
      <c r="AL1179" s="22" t="str">
        <f t="shared" si="383"/>
        <v>NO</v>
      </c>
      <c r="AM1179" s="22" t="str">
        <f t="shared" si="383"/>
        <v>NO</v>
      </c>
      <c r="AN1179" s="22" t="str">
        <f t="shared" si="383"/>
        <v>NO</v>
      </c>
      <c r="AO1179" s="22" t="str">
        <f t="shared" si="383"/>
        <v>NO</v>
      </c>
      <c r="AP1179" s="22" t="str">
        <f t="shared" si="383"/>
        <v>NO</v>
      </c>
      <c r="AQ1179" s="22" t="str">
        <f t="shared" si="383"/>
        <v>NO</v>
      </c>
      <c r="AR1179" s="22" t="str">
        <f t="shared" si="383"/>
        <v>NO</v>
      </c>
      <c r="AS1179" s="22" t="str">
        <f t="shared" si="383"/>
        <v>NO</v>
      </c>
      <c r="AT1179" s="22" t="str">
        <f t="shared" si="383"/>
        <v>NO</v>
      </c>
      <c r="AU1179" s="22" t="str">
        <f t="shared" si="383"/>
        <v>NO</v>
      </c>
      <c r="AV1179" s="22" t="str">
        <f t="shared" si="383"/>
        <v>NO</v>
      </c>
      <c r="AW1179" s="22" t="str">
        <f t="shared" si="383"/>
        <v>NO</v>
      </c>
      <c r="AY1179" s="79"/>
    </row>
    <row r="1180" spans="1:51" x14ac:dyDescent="0.3">
      <c r="A1180" s="95" t="str">
        <f t="shared" si="380"/>
        <v>CM Leaching</v>
      </c>
      <c r="B1180" s="95" t="s">
        <v>1322</v>
      </c>
      <c r="C1180" s="95" t="s">
        <v>1190</v>
      </c>
      <c r="D1180" t="s">
        <v>369</v>
      </c>
      <c r="E1180" t="s">
        <v>61</v>
      </c>
      <c r="F1180" t="s">
        <v>63</v>
      </c>
      <c r="G1180" t="s">
        <v>1207</v>
      </c>
      <c r="H1180" t="s">
        <v>1208</v>
      </c>
      <c r="I1180" t="s">
        <v>139</v>
      </c>
      <c r="J1180" t="s">
        <v>287</v>
      </c>
      <c r="K1180" s="22" t="str">
        <f t="shared" si="382"/>
        <v>NO</v>
      </c>
      <c r="L1180" s="22" t="str">
        <f t="shared" si="383"/>
        <v>NO</v>
      </c>
      <c r="M1180" s="22" t="str">
        <f t="shared" si="383"/>
        <v>NO</v>
      </c>
      <c r="N1180" s="22" t="str">
        <f t="shared" si="383"/>
        <v>NO</v>
      </c>
      <c r="O1180" s="22" t="str">
        <f t="shared" si="383"/>
        <v>NO</v>
      </c>
      <c r="P1180" s="22" t="str">
        <f t="shared" si="383"/>
        <v>NO</v>
      </c>
      <c r="Q1180" s="22" t="str">
        <f t="shared" si="383"/>
        <v>NO</v>
      </c>
      <c r="R1180" s="22" t="str">
        <f t="shared" si="383"/>
        <v>NO</v>
      </c>
      <c r="S1180" s="22" t="str">
        <f t="shared" si="383"/>
        <v>NO</v>
      </c>
      <c r="T1180" s="22" t="str">
        <f t="shared" si="383"/>
        <v>NO</v>
      </c>
      <c r="U1180" s="22" t="str">
        <f t="shared" si="383"/>
        <v>NO</v>
      </c>
      <c r="V1180" s="22" t="str">
        <f t="shared" si="383"/>
        <v>NO</v>
      </c>
      <c r="W1180" s="22" t="str">
        <f t="shared" si="383"/>
        <v>NO</v>
      </c>
      <c r="X1180" s="22" t="str">
        <f t="shared" si="383"/>
        <v>NO</v>
      </c>
      <c r="Y1180" s="22" t="str">
        <f t="shared" si="383"/>
        <v>NO</v>
      </c>
      <c r="Z1180" s="22" t="str">
        <f t="shared" si="383"/>
        <v>NO</v>
      </c>
      <c r="AA1180" s="22" t="str">
        <f t="shared" si="383"/>
        <v>NO</v>
      </c>
      <c r="AB1180" s="22" t="str">
        <f t="shared" si="383"/>
        <v>NO</v>
      </c>
      <c r="AC1180" s="22" t="str">
        <f t="shared" si="383"/>
        <v>NO</v>
      </c>
      <c r="AD1180" s="22" t="str">
        <f t="shared" si="383"/>
        <v>NO</v>
      </c>
      <c r="AE1180" s="22" t="str">
        <f t="shared" si="383"/>
        <v>NO</v>
      </c>
      <c r="AF1180" s="22" t="str">
        <f t="shared" si="383"/>
        <v>NO</v>
      </c>
      <c r="AG1180" s="22" t="str">
        <f t="shared" si="383"/>
        <v>NO</v>
      </c>
      <c r="AH1180" s="22" t="str">
        <f t="shared" si="383"/>
        <v>NO</v>
      </c>
      <c r="AI1180" s="22" t="str">
        <f t="shared" si="383"/>
        <v>NO</v>
      </c>
      <c r="AJ1180" s="22" t="str">
        <f t="shared" si="383"/>
        <v>NO</v>
      </c>
      <c r="AK1180" s="22" t="str">
        <f t="shared" si="383"/>
        <v>NO</v>
      </c>
      <c r="AL1180" s="22" t="str">
        <f t="shared" si="383"/>
        <v>NO</v>
      </c>
      <c r="AM1180" s="22" t="str">
        <f t="shared" si="383"/>
        <v>NO</v>
      </c>
      <c r="AN1180" s="22" t="str">
        <f t="shared" si="383"/>
        <v>NO</v>
      </c>
      <c r="AO1180" s="22" t="str">
        <f t="shared" si="383"/>
        <v>NO</v>
      </c>
      <c r="AP1180" s="22" t="str">
        <f t="shared" si="383"/>
        <v>NO</v>
      </c>
      <c r="AQ1180" s="22" t="str">
        <f t="shared" si="383"/>
        <v>NO</v>
      </c>
      <c r="AR1180" s="22" t="str">
        <f t="shared" si="383"/>
        <v>NO</v>
      </c>
      <c r="AS1180" s="22" t="str">
        <f t="shared" si="383"/>
        <v>NO</v>
      </c>
      <c r="AT1180" s="22" t="str">
        <f t="shared" si="383"/>
        <v>NO</v>
      </c>
      <c r="AU1180" s="22" t="str">
        <f t="shared" si="383"/>
        <v>NO</v>
      </c>
      <c r="AV1180" s="22" t="str">
        <f t="shared" si="383"/>
        <v>NO</v>
      </c>
      <c r="AW1180" s="22" t="str">
        <f t="shared" si="383"/>
        <v>NO</v>
      </c>
      <c r="AY1180" s="79"/>
    </row>
    <row r="1181" spans="1:51" x14ac:dyDescent="0.3">
      <c r="A1181" s="95" t="str">
        <f t="shared" si="380"/>
        <v>CM Leaching</v>
      </c>
      <c r="B1181" s="95" t="s">
        <v>1322</v>
      </c>
      <c r="C1181" s="95" t="s">
        <v>1190</v>
      </c>
      <c r="D1181" t="s">
        <v>369</v>
      </c>
      <c r="E1181" t="s">
        <v>61</v>
      </c>
      <c r="F1181" t="s">
        <v>63</v>
      </c>
      <c r="G1181" t="s">
        <v>1209</v>
      </c>
      <c r="H1181" t="s">
        <v>1210</v>
      </c>
      <c r="I1181" t="s">
        <v>139</v>
      </c>
      <c r="J1181" t="s">
        <v>287</v>
      </c>
      <c r="K1181" s="22">
        <f t="shared" si="382"/>
        <v>1.9333864620707719E-6</v>
      </c>
      <c r="L1181" s="22">
        <f t="shared" si="383"/>
        <v>1.9333864620707719E-6</v>
      </c>
      <c r="M1181" s="22">
        <f t="shared" si="383"/>
        <v>1.9333864620707719E-6</v>
      </c>
      <c r="N1181" s="22">
        <f t="shared" si="383"/>
        <v>1.9333864620707719E-6</v>
      </c>
      <c r="O1181" s="22">
        <f t="shared" si="383"/>
        <v>1.9333864620707719E-6</v>
      </c>
      <c r="P1181" s="22">
        <f t="shared" si="383"/>
        <v>1.9333864620707719E-6</v>
      </c>
      <c r="Q1181" s="22">
        <f t="shared" si="383"/>
        <v>1.9333864620707719E-6</v>
      </c>
      <c r="R1181" s="22">
        <f t="shared" si="383"/>
        <v>1.9333864620707719E-6</v>
      </c>
      <c r="S1181" s="22">
        <f t="shared" si="383"/>
        <v>1.9333864620707719E-6</v>
      </c>
      <c r="T1181" s="22">
        <f t="shared" si="383"/>
        <v>1.9333864620707719E-6</v>
      </c>
      <c r="U1181" s="22">
        <f t="shared" si="383"/>
        <v>1.9333864620707719E-6</v>
      </c>
      <c r="V1181" s="22">
        <f t="shared" si="383"/>
        <v>1.9333864620707719E-6</v>
      </c>
      <c r="W1181" s="22">
        <f t="shared" si="383"/>
        <v>1.9333864620707719E-6</v>
      </c>
      <c r="X1181" s="22">
        <f t="shared" si="383"/>
        <v>1.9333864620707719E-6</v>
      </c>
      <c r="Y1181" s="22">
        <f t="shared" si="383"/>
        <v>1.9333864620707719E-6</v>
      </c>
      <c r="Z1181" s="22">
        <f t="shared" si="383"/>
        <v>1.9333864620707719E-6</v>
      </c>
      <c r="AA1181" s="22">
        <f t="shared" si="383"/>
        <v>1.9333864620707719E-6</v>
      </c>
      <c r="AB1181" s="22">
        <f t="shared" si="383"/>
        <v>1.9333864620707719E-6</v>
      </c>
      <c r="AC1181" s="22">
        <f t="shared" si="383"/>
        <v>1.9333864620707719E-6</v>
      </c>
      <c r="AD1181" s="22">
        <f t="shared" si="383"/>
        <v>1.9333864620707719E-6</v>
      </c>
      <c r="AE1181" s="22">
        <f t="shared" si="383"/>
        <v>1.9333864620707719E-6</v>
      </c>
      <c r="AF1181" s="22">
        <f t="shared" si="383"/>
        <v>1.9333864620707719E-6</v>
      </c>
      <c r="AG1181" s="22">
        <f t="shared" si="383"/>
        <v>1.9333864620707719E-6</v>
      </c>
      <c r="AH1181" s="22">
        <f t="shared" si="383"/>
        <v>1.9333864620707719E-6</v>
      </c>
      <c r="AI1181" s="22">
        <f t="shared" si="383"/>
        <v>1.9333864620707719E-6</v>
      </c>
      <c r="AJ1181" s="22">
        <f t="shared" si="383"/>
        <v>1.9333864620707719E-6</v>
      </c>
      <c r="AK1181" s="22">
        <f t="shared" si="383"/>
        <v>1.9333864620707719E-6</v>
      </c>
      <c r="AL1181" s="22">
        <f t="shared" si="383"/>
        <v>1.9333864620707719E-6</v>
      </c>
      <c r="AM1181" s="22">
        <f t="shared" si="383"/>
        <v>1.9333864620707719E-6</v>
      </c>
      <c r="AN1181" s="22">
        <f t="shared" si="383"/>
        <v>1.9333864620707719E-6</v>
      </c>
      <c r="AO1181" s="22">
        <f t="shared" si="383"/>
        <v>1.9333864620707719E-6</v>
      </c>
      <c r="AP1181" s="22">
        <f t="shared" si="383"/>
        <v>1.9333864620707719E-6</v>
      </c>
      <c r="AQ1181" s="22">
        <f t="shared" si="383"/>
        <v>1.9333864620707719E-6</v>
      </c>
      <c r="AR1181" s="22">
        <f t="shared" si="383"/>
        <v>1.9333864620707719E-6</v>
      </c>
      <c r="AS1181" s="22">
        <f t="shared" si="383"/>
        <v>1.9333864620707719E-6</v>
      </c>
      <c r="AT1181" s="22">
        <f t="shared" si="383"/>
        <v>1.9333864620707719E-6</v>
      </c>
      <c r="AU1181" s="22">
        <f t="shared" si="383"/>
        <v>1.9333864620707719E-6</v>
      </c>
      <c r="AV1181" s="22">
        <f t="shared" si="383"/>
        <v>1.9333864620707719E-6</v>
      </c>
      <c r="AW1181" s="22">
        <f t="shared" si="383"/>
        <v>1.9333864620707719E-6</v>
      </c>
      <c r="AY1181" s="79"/>
    </row>
    <row r="1182" spans="1:51" x14ac:dyDescent="0.3">
      <c r="A1182" s="95" t="str">
        <f t="shared" si="380"/>
        <v>CM Leaching</v>
      </c>
      <c r="B1182" s="95" t="s">
        <v>1322</v>
      </c>
      <c r="C1182" s="95" t="s">
        <v>1190</v>
      </c>
      <c r="D1182" t="s">
        <v>369</v>
      </c>
      <c r="E1182" t="s">
        <v>61</v>
      </c>
      <c r="F1182" t="s">
        <v>63</v>
      </c>
      <c r="G1182" t="s">
        <v>1211</v>
      </c>
      <c r="H1182" t="s">
        <v>1212</v>
      </c>
      <c r="I1182" t="s">
        <v>139</v>
      </c>
      <c r="J1182" t="s">
        <v>287</v>
      </c>
      <c r="K1182" s="22">
        <f t="shared" si="382"/>
        <v>2.1082459751876198E-3</v>
      </c>
      <c r="L1182" s="22">
        <f t="shared" si="383"/>
        <v>2.1082459751876198E-3</v>
      </c>
      <c r="M1182" s="22">
        <f t="shared" si="383"/>
        <v>2.1082459751876198E-3</v>
      </c>
      <c r="N1182" s="22">
        <f t="shared" si="383"/>
        <v>2.1082459751876198E-3</v>
      </c>
      <c r="O1182" s="22">
        <f t="shared" si="383"/>
        <v>2.1082459751876198E-3</v>
      </c>
      <c r="P1182" s="22">
        <f t="shared" si="383"/>
        <v>2.1082459751876198E-3</v>
      </c>
      <c r="Q1182" s="22">
        <f t="shared" si="383"/>
        <v>2.1082459751876198E-3</v>
      </c>
      <c r="R1182" s="22">
        <f t="shared" si="383"/>
        <v>2.1082459751876198E-3</v>
      </c>
      <c r="S1182" s="22">
        <f t="shared" si="383"/>
        <v>2.1082459751876198E-3</v>
      </c>
      <c r="T1182" s="22">
        <f t="shared" si="383"/>
        <v>2.1082459751876198E-3</v>
      </c>
      <c r="U1182" s="22">
        <f t="shared" si="383"/>
        <v>2.1082459751876198E-3</v>
      </c>
      <c r="V1182" s="22">
        <f t="shared" si="383"/>
        <v>2.1082459751876198E-3</v>
      </c>
      <c r="W1182" s="22">
        <f t="shared" si="383"/>
        <v>2.1082459751876198E-3</v>
      </c>
      <c r="X1182" s="22">
        <f t="shared" si="383"/>
        <v>2.1082459751876198E-3</v>
      </c>
      <c r="Y1182" s="22">
        <f t="shared" si="383"/>
        <v>2.1082459751876198E-3</v>
      </c>
      <c r="Z1182" s="22">
        <f t="shared" si="383"/>
        <v>2.1082459751876198E-3</v>
      </c>
      <c r="AA1182" s="22">
        <f t="shared" si="383"/>
        <v>2.1082459751876198E-3</v>
      </c>
      <c r="AB1182" s="22">
        <f t="shared" si="383"/>
        <v>2.1082459751876198E-3</v>
      </c>
      <c r="AC1182" s="22">
        <f t="shared" si="383"/>
        <v>2.1082459751876198E-3</v>
      </c>
      <c r="AD1182" s="22">
        <f t="shared" si="383"/>
        <v>2.1082459751876198E-3</v>
      </c>
      <c r="AE1182" s="22">
        <f t="shared" si="383"/>
        <v>2.1082459751876198E-3</v>
      </c>
      <c r="AF1182" s="22">
        <f t="shared" si="383"/>
        <v>2.1082459751876198E-3</v>
      </c>
      <c r="AG1182" s="22">
        <f t="shared" si="383"/>
        <v>2.1082459751876198E-3</v>
      </c>
      <c r="AH1182" s="22">
        <f t="shared" si="383"/>
        <v>2.1082459751876198E-3</v>
      </c>
      <c r="AI1182" s="22">
        <f t="shared" si="383"/>
        <v>2.1082459751876198E-3</v>
      </c>
      <c r="AJ1182" s="22">
        <f t="shared" si="383"/>
        <v>2.1082459751876198E-3</v>
      </c>
      <c r="AK1182" s="22">
        <f t="shared" si="383"/>
        <v>2.1082459751876198E-3</v>
      </c>
      <c r="AL1182" s="22">
        <f t="shared" si="383"/>
        <v>2.1082459751876198E-3</v>
      </c>
      <c r="AM1182" s="22">
        <f t="shared" si="383"/>
        <v>2.1082459751876198E-3</v>
      </c>
      <c r="AN1182" s="22">
        <f t="shared" si="383"/>
        <v>2.1082459751876198E-3</v>
      </c>
      <c r="AO1182" s="22">
        <f t="shared" si="383"/>
        <v>2.1082459751876198E-3</v>
      </c>
      <c r="AP1182" s="22">
        <f t="shared" si="383"/>
        <v>2.1082459751876198E-3</v>
      </c>
      <c r="AQ1182" s="22">
        <f t="shared" si="383"/>
        <v>2.1082459751876198E-3</v>
      </c>
      <c r="AR1182" s="22">
        <f t="shared" si="383"/>
        <v>2.1082459751876198E-3</v>
      </c>
      <c r="AS1182" s="22">
        <f t="shared" si="383"/>
        <v>2.1082459751876198E-3</v>
      </c>
      <c r="AT1182" s="22">
        <f t="shared" si="383"/>
        <v>2.1082459751876198E-3</v>
      </c>
      <c r="AU1182" s="22">
        <f t="shared" si="383"/>
        <v>2.1082459751876198E-3</v>
      </c>
      <c r="AV1182" s="22">
        <f t="shared" si="383"/>
        <v>2.1082459751876198E-3</v>
      </c>
      <c r="AW1182" s="22">
        <f t="shared" si="383"/>
        <v>2.1082459751876198E-3</v>
      </c>
      <c r="AY1182" s="79"/>
    </row>
    <row r="1183" spans="1:51" x14ac:dyDescent="0.3">
      <c r="A1183" s="95" t="str">
        <f t="shared" si="380"/>
        <v>CM Leaching</v>
      </c>
      <c r="B1183" s="95" t="s">
        <v>1322</v>
      </c>
      <c r="C1183" s="95" t="s">
        <v>1190</v>
      </c>
      <c r="D1183" t="s">
        <v>369</v>
      </c>
      <c r="E1183" t="s">
        <v>61</v>
      </c>
      <c r="F1183" t="s">
        <v>63</v>
      </c>
      <c r="G1183" t="s">
        <v>1213</v>
      </c>
      <c r="H1183" t="s">
        <v>1214</v>
      </c>
      <c r="I1183" t="s">
        <v>139</v>
      </c>
      <c r="J1183" t="s">
        <v>287</v>
      </c>
      <c r="K1183" s="22" t="str">
        <f t="shared" si="382"/>
        <v>NO</v>
      </c>
      <c r="L1183" s="22" t="str">
        <f t="shared" si="383"/>
        <v>NO</v>
      </c>
      <c r="M1183" s="22" t="str">
        <f t="shared" si="383"/>
        <v>NO</v>
      </c>
      <c r="N1183" s="22" t="str">
        <f t="shared" si="383"/>
        <v>NO</v>
      </c>
      <c r="O1183" s="22" t="str">
        <f t="shared" si="383"/>
        <v>NO</v>
      </c>
      <c r="P1183" s="22" t="str">
        <f t="shared" si="383"/>
        <v>NO</v>
      </c>
      <c r="Q1183" s="22" t="str">
        <f t="shared" si="383"/>
        <v>NO</v>
      </c>
      <c r="R1183" s="22" t="str">
        <f t="shared" si="383"/>
        <v>NO</v>
      </c>
      <c r="S1183" s="22" t="str">
        <f t="shared" si="383"/>
        <v>NO</v>
      </c>
      <c r="T1183" s="22" t="str">
        <f t="shared" si="383"/>
        <v>NO</v>
      </c>
      <c r="U1183" s="22" t="str">
        <f t="shared" si="383"/>
        <v>NO</v>
      </c>
      <c r="V1183" s="22" t="str">
        <f t="shared" si="383"/>
        <v>NO</v>
      </c>
      <c r="W1183" s="22" t="str">
        <f t="shared" si="383"/>
        <v>NO</v>
      </c>
      <c r="X1183" s="22" t="str">
        <f t="shared" si="383"/>
        <v>NO</v>
      </c>
      <c r="Y1183" s="22" t="str">
        <f t="shared" si="383"/>
        <v>NO</v>
      </c>
      <c r="Z1183" s="22" t="str">
        <f t="shared" si="383"/>
        <v>NO</v>
      </c>
      <c r="AA1183" s="22" t="str">
        <f t="shared" si="383"/>
        <v>NO</v>
      </c>
      <c r="AB1183" s="22" t="str">
        <f t="shared" si="383"/>
        <v>NO</v>
      </c>
      <c r="AC1183" s="22" t="str">
        <f t="shared" si="383"/>
        <v>NO</v>
      </c>
      <c r="AD1183" s="22" t="str">
        <f t="shared" si="383"/>
        <v>NO</v>
      </c>
      <c r="AE1183" s="22" t="str">
        <f t="shared" si="383"/>
        <v>NO</v>
      </c>
      <c r="AF1183" s="22" t="str">
        <f t="shared" si="383"/>
        <v>NO</v>
      </c>
      <c r="AG1183" s="22" t="str">
        <f t="shared" si="383"/>
        <v>NO</v>
      </c>
      <c r="AH1183" s="22" t="str">
        <f t="shared" si="383"/>
        <v>NO</v>
      </c>
      <c r="AI1183" s="22" t="str">
        <f t="shared" si="383"/>
        <v>NO</v>
      </c>
      <c r="AJ1183" s="22" t="str">
        <f t="shared" si="383"/>
        <v>NO</v>
      </c>
      <c r="AK1183" s="22" t="str">
        <f t="shared" si="383"/>
        <v>NO</v>
      </c>
      <c r="AL1183" s="22" t="str">
        <f t="shared" si="383"/>
        <v>NO</v>
      </c>
      <c r="AM1183" s="22" t="str">
        <f t="shared" si="383"/>
        <v>NO</v>
      </c>
      <c r="AN1183" s="22" t="str">
        <f t="shared" si="383"/>
        <v>NO</v>
      </c>
      <c r="AO1183" s="22" t="str">
        <f t="shared" si="383"/>
        <v>NO</v>
      </c>
      <c r="AP1183" s="22" t="str">
        <f t="shared" si="383"/>
        <v>NO</v>
      </c>
      <c r="AQ1183" s="22" t="str">
        <f t="shared" si="383"/>
        <v>NO</v>
      </c>
      <c r="AR1183" s="22" t="str">
        <f t="shared" si="383"/>
        <v>NO</v>
      </c>
      <c r="AS1183" s="22" t="str">
        <f t="shared" si="383"/>
        <v>NO</v>
      </c>
      <c r="AT1183" s="22" t="str">
        <f t="shared" si="383"/>
        <v>NO</v>
      </c>
      <c r="AU1183" s="22" t="str">
        <f t="shared" si="383"/>
        <v>NO</v>
      </c>
      <c r="AV1183" s="22" t="str">
        <f t="shared" si="383"/>
        <v>NO</v>
      </c>
      <c r="AW1183" s="22" t="str">
        <f t="shared" si="383"/>
        <v>NO</v>
      </c>
      <c r="AY1183" s="79"/>
    </row>
    <row r="1184" spans="1:51" x14ac:dyDescent="0.3">
      <c r="A1184" s="95" t="str">
        <f t="shared" si="380"/>
        <v xml:space="preserve"> </v>
      </c>
      <c r="B1184" s="95"/>
      <c r="C1184" s="95"/>
      <c r="D1184" t="s">
        <v>369</v>
      </c>
      <c r="E1184" t="s">
        <v>61</v>
      </c>
      <c r="F1184" t="s">
        <v>63</v>
      </c>
      <c r="G1184" t="s">
        <v>1215</v>
      </c>
      <c r="H1184" t="s">
        <v>1216</v>
      </c>
      <c r="I1184" t="s">
        <v>139</v>
      </c>
      <c r="J1184" t="s">
        <v>287</v>
      </c>
      <c r="K1184" s="22">
        <f t="shared" si="382"/>
        <v>0.11026792439175388</v>
      </c>
      <c r="L1184" s="22">
        <f t="shared" si="383"/>
        <v>0.11026792439175388</v>
      </c>
      <c r="M1184" s="22">
        <f t="shared" si="383"/>
        <v>0.11026792439175388</v>
      </c>
      <c r="N1184" s="22">
        <f t="shared" si="383"/>
        <v>0.11026792439175388</v>
      </c>
      <c r="O1184" s="22">
        <f t="shared" si="383"/>
        <v>0.11026792439175388</v>
      </c>
      <c r="P1184" s="22">
        <f t="shared" si="383"/>
        <v>0.11026792439175388</v>
      </c>
      <c r="Q1184" s="22">
        <f t="shared" si="383"/>
        <v>0.11026792439175388</v>
      </c>
      <c r="R1184" s="22">
        <f t="shared" si="383"/>
        <v>0.11026792439175388</v>
      </c>
      <c r="S1184" s="22">
        <f t="shared" si="383"/>
        <v>0.11026792439175388</v>
      </c>
      <c r="T1184" s="22">
        <f t="shared" si="383"/>
        <v>0.11026792439175388</v>
      </c>
      <c r="U1184" s="22">
        <f t="shared" si="383"/>
        <v>0.11026792439175388</v>
      </c>
      <c r="V1184" s="22">
        <f t="shared" si="383"/>
        <v>0.11026792439175388</v>
      </c>
      <c r="W1184" s="22">
        <f t="shared" si="383"/>
        <v>0.11026792439175388</v>
      </c>
      <c r="X1184" s="22">
        <f t="shared" si="383"/>
        <v>0.11026792439175388</v>
      </c>
      <c r="Y1184" s="22">
        <f t="shared" si="383"/>
        <v>0.11026792439175388</v>
      </c>
      <c r="Z1184" s="22">
        <f t="shared" si="383"/>
        <v>0.11026792439175388</v>
      </c>
      <c r="AA1184" s="22">
        <f t="shared" si="383"/>
        <v>0.11026792439175388</v>
      </c>
      <c r="AB1184" s="22">
        <f t="shared" si="383"/>
        <v>0.11026792439175388</v>
      </c>
      <c r="AC1184" s="22">
        <f t="shared" si="383"/>
        <v>0.11026792439175388</v>
      </c>
      <c r="AD1184" s="22">
        <f t="shared" si="383"/>
        <v>0.11026792439175388</v>
      </c>
      <c r="AE1184" s="22">
        <f t="shared" si="383"/>
        <v>0.11026792439175388</v>
      </c>
      <c r="AF1184" s="22">
        <f t="shared" si="383"/>
        <v>0.11026792439175388</v>
      </c>
      <c r="AG1184" s="22">
        <f t="shared" si="383"/>
        <v>0.11026792439175388</v>
      </c>
      <c r="AH1184" s="22">
        <f t="shared" si="383"/>
        <v>0.11026792439175388</v>
      </c>
      <c r="AI1184" s="22">
        <f t="shared" si="383"/>
        <v>0.11026792439175388</v>
      </c>
      <c r="AJ1184" s="22">
        <f t="shared" si="383"/>
        <v>0.11026792439175388</v>
      </c>
      <c r="AK1184" s="22">
        <f t="shared" si="383"/>
        <v>0.11026792439175388</v>
      </c>
      <c r="AL1184" s="22">
        <f t="shared" si="383"/>
        <v>0.11026792439175388</v>
      </c>
      <c r="AM1184" s="22">
        <f t="shared" si="383"/>
        <v>0.11026792439175388</v>
      </c>
      <c r="AN1184" s="22">
        <f t="shared" si="383"/>
        <v>0.11026792439175388</v>
      </c>
      <c r="AO1184" s="22">
        <f t="shared" si="383"/>
        <v>0.11026792439175388</v>
      </c>
      <c r="AP1184" s="22">
        <f t="shared" si="383"/>
        <v>0.11026792439175388</v>
      </c>
      <c r="AQ1184" s="22">
        <f t="shared" si="383"/>
        <v>0.11026792439175388</v>
      </c>
      <c r="AR1184" s="22">
        <f t="shared" si="383"/>
        <v>0.11026792439175388</v>
      </c>
      <c r="AS1184" s="22">
        <f t="shared" si="383"/>
        <v>0.11026792439175388</v>
      </c>
      <c r="AT1184" s="22">
        <f t="shared" si="383"/>
        <v>0.11026792439175388</v>
      </c>
      <c r="AU1184" s="22">
        <f t="shared" si="383"/>
        <v>0.11026792439175388</v>
      </c>
      <c r="AV1184" s="22">
        <f t="shared" si="383"/>
        <v>0.11026792439175388</v>
      </c>
      <c r="AW1184" s="22">
        <f t="shared" si="383"/>
        <v>0.11026792439175388</v>
      </c>
      <c r="AY1184" s="79"/>
    </row>
    <row r="1185" spans="1:51" x14ac:dyDescent="0.3">
      <c r="A1185" s="95" t="str">
        <f t="shared" si="380"/>
        <v>CM MM Volatilisation</v>
      </c>
      <c r="B1185" s="95" t="s">
        <v>1322</v>
      </c>
      <c r="C1185" s="95" t="s">
        <v>1332</v>
      </c>
      <c r="D1185" t="s">
        <v>369</v>
      </c>
      <c r="E1185" t="s">
        <v>64</v>
      </c>
      <c r="F1185" t="s">
        <v>62</v>
      </c>
      <c r="G1185" t="s">
        <v>1152</v>
      </c>
      <c r="H1185" t="s">
        <v>1290</v>
      </c>
      <c r="I1185" t="s">
        <v>139</v>
      </c>
      <c r="J1185" t="s">
        <v>287</v>
      </c>
      <c r="K1185" s="94">
        <f>IF('Net zero activities &amp; levers'!$C$14="Off",Constants!$H63*'Activity data'!AD5*Constants!$H81*EF!$H206*MMVolatEF*NtoN2O*kgtoGg,IF('Net zero activities &amp; levers'!$C$14="On",Constants!$H63*'Net zero Activity data'!AD5*Constants!$H81*EF!$H206*MMVolatEF*NtoN2O*kgtoGg,"ERROR"))</f>
        <v>0.39609736661915962</v>
      </c>
      <c r="L1185" s="94">
        <f>IF('Net zero activities &amp; levers'!$C$14="Off",Constants!$H63*'Activity data'!AE5*Constants!$H81*EF!$H206*MMVolatEF*NtoN2O*kgtoGg,IF('Net zero activities &amp; levers'!$C$14="On",Constants!$H63*'Net zero Activity data'!AE5*Constants!$H81*EF!$H206*MMVolatEF*NtoN2O*kgtoGg,"ERROR"))</f>
        <v>0.39831175345583031</v>
      </c>
      <c r="M1185" s="94">
        <f>IF('Net zero activities &amp; levers'!$C$14="Off",Constants!$H63*'Activity data'!AF5*Constants!$H81*EF!$H206*MMVolatEF*NtoN2O*kgtoGg,IF('Net zero activities &amp; levers'!$C$14="On",Constants!$H63*'Net zero Activity data'!AF5*Constants!$H81*EF!$H206*MMVolatEF*NtoN2O*kgtoGg,"ERROR"))</f>
        <v>0.40145358914715529</v>
      </c>
      <c r="N1185" s="94">
        <f>IF('Net zero activities &amp; levers'!$C$14="Off",Constants!$H63*'Activity data'!AG5*Constants!$H81*EF!$H206*MMVolatEF*NtoN2O*kgtoGg,IF('Net zero activities &amp; levers'!$C$14="On",Constants!$H63*'Net zero Activity data'!AG5*Constants!$H81*EF!$H206*MMVolatEF*NtoN2O*kgtoGg,"ERROR"))</f>
        <v>0.40347255325329029</v>
      </c>
      <c r="O1185" s="94">
        <f>IF('Net zero activities &amp; levers'!$C$14="Off",Constants!$H63*'Activity data'!AH5*Constants!$H81*EF!$H206*MMVolatEF*NtoN2O*kgtoGg,IF('Net zero activities &amp; levers'!$C$14="On",Constants!$H63*'Net zero Activity data'!AH5*Constants!$H81*EF!$H206*MMVolatEF*NtoN2O*kgtoGg,"ERROR"))</f>
        <v>0.40481416413578264</v>
      </c>
      <c r="P1185" s="94">
        <f>IF('Net zero activities &amp; levers'!$C$14="Off",Constants!$H63*'Activity data'!AI5*Constants!$H81*EF!$H206*MMVolatEF*NtoN2O*kgtoGg,IF('Net zero activities &amp; levers'!$C$14="On",Constants!$H63*'Net zero Activity data'!AI5*Constants!$H81*EF!$H206*MMVolatEF*NtoN2O*kgtoGg,"ERROR"))</f>
        <v>0.40546521734783814</v>
      </c>
      <c r="Q1185" s="94">
        <f>IF('Net zero activities &amp; levers'!$C$14="Off",Constants!$H63*'Activity data'!AJ5*Constants!$H81*EF!$H206*MMVolatEF*NtoN2O*kgtoGg,IF('Net zero activities &amp; levers'!$C$14="On",Constants!$H63*'Net zero Activity data'!AJ5*Constants!$H81*EF!$H206*MMVolatEF*NtoN2O*kgtoGg,"ERROR"))</f>
        <v>0.40690363619044922</v>
      </c>
      <c r="R1185" s="94">
        <f>IF('Net zero activities &amp; levers'!$C$14="Off",Constants!$H63*'Activity data'!AK5*Constants!$H81*EF!$H206*MMVolatEF*NtoN2O*kgtoGg,IF('Net zero activities &amp; levers'!$C$14="On",Constants!$H63*'Net zero Activity data'!AK5*Constants!$H81*EF!$H206*MMVolatEF*NtoN2O*kgtoGg,"ERROR"))</f>
        <v>0.40855374420631185</v>
      </c>
      <c r="S1185" s="94">
        <f>IF('Net zero activities &amp; levers'!$C$14="Off",Constants!$H63*'Activity data'!AL5*Constants!$H81*EF!$H206*MMVolatEF*NtoN2O*kgtoGg,IF('Net zero activities &amp; levers'!$C$14="On",Constants!$H63*'Net zero Activity data'!AL5*Constants!$H81*EF!$H206*MMVolatEF*NtoN2O*kgtoGg,"ERROR"))</f>
        <v>0.39627278224994505</v>
      </c>
      <c r="T1185" s="94">
        <f>IF('Net zero activities &amp; levers'!$C$14="Off",Constants!$H63*'Activity data'!AM5*Constants!$H81*EF!$H206*MMVolatEF*NtoN2O*kgtoGg,IF('Net zero activities &amp; levers'!$C$14="On",Constants!$H63*'Net zero Activity data'!AM5*Constants!$H81*EF!$H206*MMVolatEF*NtoN2O*kgtoGg,"ERROR"))</f>
        <v>0.40043963770604657</v>
      </c>
      <c r="U1185" s="94">
        <f>IF('Net zero activities &amp; levers'!$C$14="Off",Constants!$H63*'Activity data'!AN5*Constants!$H81*EF!$H206*MMVolatEF*NtoN2O*kgtoGg,IF('Net zero activities &amp; levers'!$C$14="On",Constants!$H63*'Net zero Activity data'!AN5*Constants!$H81*EF!$H206*MMVolatEF*NtoN2O*kgtoGg,"ERROR"))</f>
        <v>0.40653881152865828</v>
      </c>
      <c r="V1185" s="94">
        <f>IF('Net zero activities &amp; levers'!$C$14="Off",Constants!$H63*'Activity data'!AO5*Constants!$H81*EF!$H206*MMVolatEF*NtoN2O*kgtoGg,IF('Net zero activities &amp; levers'!$C$14="On",Constants!$H63*'Net zero Activity data'!AO5*Constants!$H81*EF!$H206*MMVolatEF*NtoN2O*kgtoGg,"ERROR"))</f>
        <v>0.4097001600416656</v>
      </c>
      <c r="W1185" s="94">
        <f>IF('Net zero activities &amp; levers'!$C$14="Off",Constants!$H63*'Activity data'!AP5*Constants!$H81*EF!$H206*MMVolatEF*NtoN2O*kgtoGg,IF('Net zero activities &amp; levers'!$C$14="On",Constants!$H63*'Net zero Activity data'!AP5*Constants!$H81*EF!$H206*MMVolatEF*NtoN2O*kgtoGg,"ERROR"))</f>
        <v>0.41331316056610856</v>
      </c>
      <c r="X1185" s="94">
        <f>IF('Net zero activities &amp; levers'!$C$14="Off",Constants!$H63*'Activity data'!AQ5*Constants!$H81*EF!$H206*MMVolatEF*NtoN2O*kgtoGg,IF('Net zero activities &amp; levers'!$C$14="On",Constants!$H63*'Net zero Activity data'!AQ5*Constants!$H81*EF!$H206*MMVolatEF*NtoN2O*kgtoGg,"ERROR"))</f>
        <v>0.41749483013247579</v>
      </c>
      <c r="Y1185" s="94">
        <f>IF('Net zero activities &amp; levers'!$C$14="Off",Constants!$H63*'Activity data'!AR5*Constants!$H81*EF!$H206*MMVolatEF*NtoN2O*kgtoGg,IF('Net zero activities &amp; levers'!$C$14="On",Constants!$H63*'Net zero Activity data'!AR5*Constants!$H81*EF!$H206*MMVolatEF*NtoN2O*kgtoGg,"ERROR"))</f>
        <v>0.42176510375665716</v>
      </c>
      <c r="Z1185" s="94">
        <f>IF('Net zero activities &amp; levers'!$C$14="Off",Constants!$H63*'Activity data'!AS5*Constants!$H81*EF!$H206*MMVolatEF*NtoN2O*kgtoGg,IF('Net zero activities &amp; levers'!$C$14="On",Constants!$H63*'Net zero Activity data'!AS5*Constants!$H81*EF!$H206*MMVolatEF*NtoN2O*kgtoGg,"ERROR"))</f>
        <v>0.42649174593727851</v>
      </c>
      <c r="AA1185" s="94">
        <f>IF('Net zero activities &amp; levers'!$C$14="Off",Constants!$H63*'Activity data'!AT5*Constants!$H81*EF!$H206*MMVolatEF*NtoN2O*kgtoGg,IF('Net zero activities &amp; levers'!$C$14="On",Constants!$H63*'Net zero Activity data'!AT5*Constants!$H81*EF!$H206*MMVolatEF*NtoN2O*kgtoGg,"ERROR"))</f>
        <v>0.43136480656999721</v>
      </c>
      <c r="AB1185" s="94">
        <f>IF('Net zero activities &amp; levers'!$C$14="Off",Constants!$H63*'Activity data'!AU5*Constants!$H81*EF!$H206*MMVolatEF*NtoN2O*kgtoGg,IF('Net zero activities &amp; levers'!$C$14="On",Constants!$H63*'Net zero Activity data'!AU5*Constants!$H81*EF!$H206*MMVolatEF*NtoN2O*kgtoGg,"ERROR"))</f>
        <v>0.43666405575288475</v>
      </c>
      <c r="AC1185" s="94">
        <f>IF('Net zero activities &amp; levers'!$C$14="Off",Constants!$H63*'Activity data'!AV5*Constants!$H81*EF!$H206*MMVolatEF*NtoN2O*kgtoGg,IF('Net zero activities &amp; levers'!$C$14="On",Constants!$H63*'Net zero Activity data'!AV5*Constants!$H81*EF!$H206*MMVolatEF*NtoN2O*kgtoGg,"ERROR"))</f>
        <v>0.44208284608865023</v>
      </c>
      <c r="AD1185" s="94">
        <f>IF('Net zero activities &amp; levers'!$C$14="Off",Constants!$H63*'Activity data'!AW5*Constants!$H81*EF!$H206*MMVolatEF*NtoN2O*kgtoGg,IF('Net zero activities &amp; levers'!$C$14="On",Constants!$H63*'Net zero Activity data'!AW5*Constants!$H81*EF!$H206*MMVolatEF*NtoN2O*kgtoGg,"ERROR"))</f>
        <v>0.44793692741043817</v>
      </c>
      <c r="AE1185" s="94">
        <f>IF('Net zero activities &amp; levers'!$C$14="Off",Constants!$H63*'Activity data'!AX5*Constants!$H81*EF!$H206*MMVolatEF*NtoN2O*kgtoGg,IF('Net zero activities &amp; levers'!$C$14="On",Constants!$H63*'Net zero Activity data'!AX5*Constants!$H81*EF!$H206*MMVolatEF*NtoN2O*kgtoGg,"ERROR"))</f>
        <v>0.45371177751541658</v>
      </c>
      <c r="AF1185" s="94">
        <f>IF('Net zero activities &amp; levers'!$C$14="Off",Constants!$H63*'Activity data'!AY5*Constants!$H81*EF!$H206*MMVolatEF*NtoN2O*kgtoGg,IF('Net zero activities &amp; levers'!$C$14="On",Constants!$H63*'Net zero Activity data'!AY5*Constants!$H81*EF!$H206*MMVolatEF*NtoN2O*kgtoGg,"ERROR"))</f>
        <v>0.45980708874384696</v>
      </c>
      <c r="AG1185" s="94">
        <f>IF('Net zero activities &amp; levers'!$C$14="Off",Constants!$H63*'Activity data'!AZ5*Constants!$H81*EF!$H206*MMVolatEF*NtoN2O*kgtoGg,IF('Net zero activities &amp; levers'!$C$14="On",Constants!$H63*'Net zero Activity data'!AZ5*Constants!$H81*EF!$H206*MMVolatEF*NtoN2O*kgtoGg,"ERROR"))</f>
        <v>0.4667018933762529</v>
      </c>
      <c r="AH1185" s="94">
        <f>IF('Net zero activities &amp; levers'!$C$14="Off",Constants!$H63*'Activity data'!BA5*Constants!$H81*EF!$H206*MMVolatEF*NtoN2O*kgtoGg,IF('Net zero activities &amp; levers'!$C$14="On",Constants!$H63*'Net zero Activity data'!BA5*Constants!$H81*EF!$H206*MMVolatEF*NtoN2O*kgtoGg,"ERROR"))</f>
        <v>0.47325726684756153</v>
      </c>
      <c r="AI1185" s="94">
        <f>IF('Net zero activities &amp; levers'!$C$14="Off",Constants!$H63*'Activity data'!BB5*Constants!$H81*EF!$H206*MMVolatEF*NtoN2O*kgtoGg,IF('Net zero activities &amp; levers'!$C$14="On",Constants!$H63*'Net zero Activity data'!BB5*Constants!$H81*EF!$H206*MMVolatEF*NtoN2O*kgtoGg,"ERROR"))</f>
        <v>0.47997976762000966</v>
      </c>
      <c r="AJ1185" s="94">
        <f>IF('Net zero activities &amp; levers'!$C$14="Off",Constants!$H63*'Activity data'!BC5*Constants!$H81*EF!$H206*MMVolatEF*NtoN2O*kgtoGg,IF('Net zero activities &amp; levers'!$C$14="On",Constants!$H63*'Net zero Activity data'!BC5*Constants!$H81*EF!$H206*MMVolatEF*NtoN2O*kgtoGg,"ERROR"))</f>
        <v>0.48716917791574549</v>
      </c>
      <c r="AK1185" s="94">
        <f>IF('Net zero activities &amp; levers'!$C$14="Off",Constants!$H63*'Activity data'!BD5*Constants!$H81*EF!$H206*MMVolatEF*NtoN2O*kgtoGg,IF('Net zero activities &amp; levers'!$C$14="On",Constants!$H63*'Net zero Activity data'!BD5*Constants!$H81*EF!$H206*MMVolatEF*NtoN2O*kgtoGg,"ERROR"))</f>
        <v>0.49390478893176154</v>
      </c>
      <c r="AL1185" s="94">
        <f>IF('Net zero activities &amp; levers'!$C$14="Off",Constants!$H63*'Activity data'!BE5*Constants!$H81*EF!$H206*MMVolatEF*NtoN2O*kgtoGg,IF('Net zero activities &amp; levers'!$C$14="On",Constants!$H63*'Net zero Activity data'!BE5*Constants!$H81*EF!$H206*MMVolatEF*NtoN2O*kgtoGg,"ERROR"))</f>
        <v>0.50060384763887944</v>
      </c>
      <c r="AM1185" s="94">
        <f>IF('Net zero activities &amp; levers'!$C$14="Off",Constants!$H63*'Activity data'!BF5*Constants!$H81*EF!$H206*MMVolatEF*NtoN2O*kgtoGg,IF('Net zero activities &amp; levers'!$C$14="On",Constants!$H63*'Net zero Activity data'!BF5*Constants!$H81*EF!$H206*MMVolatEF*NtoN2O*kgtoGg,"ERROR"))</f>
        <v>0.50728498742813199</v>
      </c>
      <c r="AN1185" s="94">
        <f>IF('Net zero activities &amp; levers'!$C$14="Off",Constants!$H63*'Activity data'!BG5*Constants!$H81*EF!$H206*MMVolatEF*NtoN2O*kgtoGg,IF('Net zero activities &amp; levers'!$C$14="On",Constants!$H63*'Net zero Activity data'!BG5*Constants!$H81*EF!$H206*MMVolatEF*NtoN2O*kgtoGg,"ERROR"))</f>
        <v>0.51435343301423675</v>
      </c>
      <c r="AO1185" s="94">
        <f>IF('Net zero activities &amp; levers'!$C$14="Off",Constants!$H63*'Activity data'!BH5*Constants!$H81*EF!$H206*MMVolatEF*NtoN2O*kgtoGg,IF('Net zero activities &amp; levers'!$C$14="On",Constants!$H63*'Net zero Activity data'!BH5*Constants!$H81*EF!$H206*MMVolatEF*NtoN2O*kgtoGg,"ERROR"))</f>
        <v>0.52113757148367401</v>
      </c>
      <c r="AP1185" s="94">
        <f>IF('Net zero activities &amp; levers'!$C$14="Off",Constants!$H63*'Activity data'!BI5*Constants!$H81*EF!$H206*MMVolatEF*NtoN2O*kgtoGg,IF('Net zero activities &amp; levers'!$C$14="On",Constants!$H63*'Net zero Activity data'!BI5*Constants!$H81*EF!$H206*MMVolatEF*NtoN2O*kgtoGg,"ERROR"))</f>
        <v>0.52818514749495915</v>
      </c>
      <c r="AQ1185" s="94">
        <f>IF('Net zero activities &amp; levers'!$C$14="Off",Constants!$H63*'Activity data'!BJ5*Constants!$H81*EF!$H206*MMVolatEF*NtoN2O*kgtoGg,IF('Net zero activities &amp; levers'!$C$14="On",Constants!$H63*'Net zero Activity data'!BJ5*Constants!$H81*EF!$H206*MMVolatEF*NtoN2O*kgtoGg,"ERROR"))</f>
        <v>0.5355283037572397</v>
      </c>
      <c r="AR1185" s="94">
        <f>IF('Net zero activities &amp; levers'!$C$14="Off",Constants!$H63*'Activity data'!BK5*Constants!$H81*EF!$H206*MMVolatEF*NtoN2O*kgtoGg,IF('Net zero activities &amp; levers'!$C$14="On",Constants!$H63*'Net zero Activity data'!BK5*Constants!$H81*EF!$H206*MMVolatEF*NtoN2O*kgtoGg,"ERROR"))</f>
        <v>0.5432187291547913</v>
      </c>
      <c r="AS1185" s="94">
        <f>IF('Net zero activities &amp; levers'!$C$14="Off",Constants!$H63*'Activity data'!BL5*Constants!$H81*EF!$H206*MMVolatEF*NtoN2O*kgtoGg,IF('Net zero activities &amp; levers'!$C$14="On",Constants!$H63*'Net zero Activity data'!BL5*Constants!$H81*EF!$H206*MMVolatEF*NtoN2O*kgtoGg,"ERROR"))</f>
        <v>0.55104518804876201</v>
      </c>
      <c r="AT1185" s="94">
        <f>IF('Net zero activities &amp; levers'!$C$14="Off",Constants!$H63*'Activity data'!BM5*Constants!$H81*EF!$H206*MMVolatEF*NtoN2O*kgtoGg,IF('Net zero activities &amp; levers'!$C$14="On",Constants!$H63*'Net zero Activity data'!BM5*Constants!$H81*EF!$H206*MMVolatEF*NtoN2O*kgtoGg,"ERROR"))</f>
        <v>0.55290077890622136</v>
      </c>
      <c r="AU1185" s="94">
        <f>IF('Net zero activities &amp; levers'!$C$14="Off",Constants!$H63*'Activity data'!BN5*Constants!$H81*EF!$H206*MMVolatEF*NtoN2O*kgtoGg,IF('Net zero activities &amp; levers'!$C$14="On",Constants!$H63*'Net zero Activity data'!BN5*Constants!$H81*EF!$H206*MMVolatEF*NtoN2O*kgtoGg,"ERROR"))</f>
        <v>0.55422139724319897</v>
      </c>
      <c r="AV1185" s="94">
        <f>IF('Net zero activities &amp; levers'!$C$14="Off",Constants!$H63*'Activity data'!BO5*Constants!$H81*EF!$H206*MMVolatEF*NtoN2O*kgtoGg,IF('Net zero activities &amp; levers'!$C$14="On",Constants!$H63*'Net zero Activity data'!BO5*Constants!$H81*EF!$H206*MMVolatEF*NtoN2O*kgtoGg,"ERROR"))</f>
        <v>0.55476247870419659</v>
      </c>
      <c r="AW1185" s="94">
        <f>IF('Net zero activities &amp; levers'!$C$14="Off",Constants!$H63*'Activity data'!BP5*Constants!$H81*EF!$H206*MMVolatEF*NtoN2O*kgtoGg,IF('Net zero activities &amp; levers'!$C$14="On",Constants!$H63*'Net zero Activity data'!BP5*Constants!$H81*EF!$H206*MMVolatEF*NtoN2O*kgtoGg,"ERROR"))</f>
        <v>0.55508919829714432</v>
      </c>
      <c r="AY1185" s="79"/>
    </row>
    <row r="1186" spans="1:51" x14ac:dyDescent="0.3">
      <c r="A1186" s="95" t="str">
        <f t="shared" si="380"/>
        <v>CM MM Volatilisation</v>
      </c>
      <c r="B1186" s="95" t="s">
        <v>1322</v>
      </c>
      <c r="C1186" s="95" t="s">
        <v>1332</v>
      </c>
      <c r="D1186" t="s">
        <v>369</v>
      </c>
      <c r="E1186" t="s">
        <v>64</v>
      </c>
      <c r="F1186" t="s">
        <v>62</v>
      </c>
      <c r="G1186" t="s">
        <v>1154</v>
      </c>
      <c r="H1186" t="s">
        <v>1291</v>
      </c>
      <c r="I1186" t="s">
        <v>139</v>
      </c>
      <c r="J1186" t="s">
        <v>287</v>
      </c>
      <c r="K1186" s="94">
        <f>IF('Net zero activities &amp; levers'!$C$14="Off",Constants!$H64*'Activity data'!AD6*Constants!$H82*EF!$H207*MMVolatEF*NtoN2O*kgtoGg,IF('Net zero activities &amp; levers'!$C$14="On",Constants!$H64*'Net zero Activity data'!AD6*Constants!$H82*EF!$H207*MMVolatEF*NtoN2O*kgtoGg,"ERROR"))</f>
        <v>3.1249813656142676E-2</v>
      </c>
      <c r="L1186" s="94">
        <f>IF('Net zero activities &amp; levers'!$C$14="Off",Constants!$H64*'Activity data'!AE6*Constants!$H82*EF!$H207*MMVolatEF*NtoN2O*kgtoGg,IF('Net zero activities &amp; levers'!$C$14="On",Constants!$H64*'Net zero Activity data'!AE6*Constants!$H82*EF!$H207*MMVolatEF*NtoN2O*kgtoGg,"ERROR"))</f>
        <v>3.1424516095088978E-2</v>
      </c>
      <c r="M1186" s="94">
        <f>IF('Net zero activities &amp; levers'!$C$14="Off",Constants!$H64*'Activity data'!AF6*Constants!$H82*EF!$H207*MMVolatEF*NtoN2O*kgtoGg,IF('Net zero activities &amp; levers'!$C$14="On",Constants!$H64*'Net zero Activity data'!AF6*Constants!$H82*EF!$H207*MMVolatEF*NtoN2O*kgtoGg,"ERROR"))</f>
        <v>3.1672388936885787E-2</v>
      </c>
      <c r="N1186" s="94">
        <f>IF('Net zero activities &amp; levers'!$C$14="Off",Constants!$H64*'Activity data'!AG6*Constants!$H82*EF!$H207*MMVolatEF*NtoN2O*kgtoGg,IF('Net zero activities &amp; levers'!$C$14="On",Constants!$H64*'Net zero Activity data'!AG6*Constants!$H82*EF!$H207*MMVolatEF*NtoN2O*kgtoGg,"ERROR"))</f>
        <v>3.1831673641638247E-2</v>
      </c>
      <c r="O1186" s="94">
        <f>IF('Net zero activities &amp; levers'!$C$14="Off",Constants!$H64*'Activity data'!AH6*Constants!$H82*EF!$H207*MMVolatEF*NtoN2O*kgtoGg,IF('Net zero activities &amp; levers'!$C$14="On",Constants!$H64*'Net zero Activity data'!AH6*Constants!$H82*EF!$H207*MMVolatEF*NtoN2O*kgtoGg,"ERROR"))</f>
        <v>3.1937519056453256E-2</v>
      </c>
      <c r="P1186" s="94">
        <f>IF('Net zero activities &amp; levers'!$C$14="Off",Constants!$H64*'Activity data'!AI6*Constants!$H82*EF!$H207*MMVolatEF*NtoN2O*kgtoGg,IF('Net zero activities &amp; levers'!$C$14="On",Constants!$H64*'Net zero Activity data'!AI6*Constants!$H82*EF!$H207*MMVolatEF*NtoN2O*kgtoGg,"ERROR"))</f>
        <v>3.198888342610464E-2</v>
      </c>
      <c r="Q1186" s="94">
        <f>IF('Net zero activities &amp; levers'!$C$14="Off",Constants!$H64*'Activity data'!AJ6*Constants!$H82*EF!$H207*MMVolatEF*NtoN2O*kgtoGg,IF('Net zero activities &amp; levers'!$C$14="On",Constants!$H64*'Net zero Activity data'!AJ6*Constants!$H82*EF!$H207*MMVolatEF*NtoN2O*kgtoGg,"ERROR"))</f>
        <v>3.2102366434524382E-2</v>
      </c>
      <c r="R1186" s="94">
        <f>IF('Net zero activities &amp; levers'!$C$14="Off",Constants!$H64*'Activity data'!AK6*Constants!$H82*EF!$H207*MMVolatEF*NtoN2O*kgtoGg,IF('Net zero activities &amp; levers'!$C$14="On",Constants!$H64*'Net zero Activity data'!AK6*Constants!$H82*EF!$H207*MMVolatEF*NtoN2O*kgtoGg,"ERROR"))</f>
        <v>3.2232550506305392E-2</v>
      </c>
      <c r="S1186" s="94">
        <f>IF('Net zero activities &amp; levers'!$C$14="Off",Constants!$H64*'Activity data'!AL6*Constants!$H82*EF!$H207*MMVolatEF*NtoN2O*kgtoGg,IF('Net zero activities &amp; levers'!$C$14="On",Constants!$H64*'Net zero Activity data'!AL6*Constants!$H82*EF!$H207*MMVolatEF*NtoN2O*kgtoGg,"ERROR"))</f>
        <v>3.1263652944752973E-2</v>
      </c>
      <c r="T1186" s="94">
        <f>IF('Net zero activities &amp; levers'!$C$14="Off",Constants!$H64*'Activity data'!AM6*Constants!$H82*EF!$H207*MMVolatEF*NtoN2O*kgtoGg,IF('Net zero activities &amp; levers'!$C$14="On",Constants!$H64*'Net zero Activity data'!AM6*Constants!$H82*EF!$H207*MMVolatEF*NtoN2O*kgtoGg,"ERROR"))</f>
        <v>3.1592393975390647E-2</v>
      </c>
      <c r="U1186" s="94">
        <f>IF('Net zero activities &amp; levers'!$C$14="Off",Constants!$H64*'Activity data'!AN6*Constants!$H82*EF!$H207*MMVolatEF*NtoN2O*kgtoGg,IF('Net zero activities &amp; levers'!$C$14="On",Constants!$H64*'Net zero Activity data'!AN6*Constants!$H82*EF!$H207*MMVolatEF*NtoN2O*kgtoGg,"ERROR"))</f>
        <v>3.2073583858170898E-2</v>
      </c>
      <c r="V1186" s="94">
        <f>IF('Net zero activities &amp; levers'!$C$14="Off",Constants!$H64*'Activity data'!AO6*Constants!$H82*EF!$H207*MMVolatEF*NtoN2O*kgtoGg,IF('Net zero activities &amp; levers'!$C$14="On",Constants!$H64*'Net zero Activity data'!AO6*Constants!$H82*EF!$H207*MMVolatEF*NtoN2O*kgtoGg,"ERROR"))</f>
        <v>3.2322996149842582E-2</v>
      </c>
      <c r="W1186" s="94">
        <f>IF('Net zero activities &amp; levers'!$C$14="Off",Constants!$H64*'Activity data'!AP6*Constants!$H82*EF!$H207*MMVolatEF*NtoN2O*kgtoGg,IF('Net zero activities &amp; levers'!$C$14="On",Constants!$H64*'Net zero Activity data'!AP6*Constants!$H82*EF!$H207*MMVolatEF*NtoN2O*kgtoGg,"ERROR"))</f>
        <v>3.2608041198468073E-2</v>
      </c>
      <c r="X1186" s="94">
        <f>IF('Net zero activities &amp; levers'!$C$14="Off",Constants!$H64*'Activity data'!AQ6*Constants!$H82*EF!$H207*MMVolatEF*NtoN2O*kgtoGg,IF('Net zero activities &amp; levers'!$C$14="On",Constants!$H64*'Net zero Activity data'!AQ6*Constants!$H82*EF!$H207*MMVolatEF*NtoN2O*kgtoGg,"ERROR"))</f>
        <v>3.2937950977560811E-2</v>
      </c>
      <c r="Y1186" s="94">
        <f>IF('Net zero activities &amp; levers'!$C$14="Off",Constants!$H64*'Activity data'!AR6*Constants!$H82*EF!$H207*MMVolatEF*NtoN2O*kgtoGg,IF('Net zero activities &amp; levers'!$C$14="On",Constants!$H64*'Net zero Activity data'!AR6*Constants!$H82*EF!$H207*MMVolatEF*NtoN2O*kgtoGg,"ERROR"))</f>
        <v>3.3274851109352674E-2</v>
      </c>
      <c r="Z1186" s="94">
        <f>IF('Net zero activities &amp; levers'!$C$14="Off",Constants!$H64*'Activity data'!AS6*Constants!$H82*EF!$H207*MMVolatEF*NtoN2O*kgtoGg,IF('Net zero activities &amp; levers'!$C$14="On",Constants!$H64*'Net zero Activity data'!AS6*Constants!$H82*EF!$H207*MMVolatEF*NtoN2O*kgtoGg,"ERROR"))</f>
        <v>3.3647756106486112E-2</v>
      </c>
      <c r="AA1186" s="94">
        <f>IF('Net zero activities &amp; levers'!$C$14="Off",Constants!$H64*'Activity data'!AT6*Constants!$H82*EF!$H207*MMVolatEF*NtoN2O*kgtoGg,IF('Net zero activities &amp; levers'!$C$14="On",Constants!$H64*'Net zero Activity data'!AT6*Constants!$H82*EF!$H207*MMVolatEF*NtoN2O*kgtoGg,"ERROR"))</f>
        <v>3.4032212680907031E-2</v>
      </c>
      <c r="AB1186" s="94">
        <f>IF('Net zero activities &amp; levers'!$C$14="Off",Constants!$H64*'Activity data'!AU6*Constants!$H82*EF!$H207*MMVolatEF*NtoN2O*kgtoGg,IF('Net zero activities &amp; levers'!$C$14="On",Constants!$H64*'Net zero Activity data'!AU6*Constants!$H82*EF!$H207*MMVolatEF*NtoN2O*kgtoGg,"ERROR"))</f>
        <v>3.4450293091024778E-2</v>
      </c>
      <c r="AC1186" s="94">
        <f>IF('Net zero activities &amp; levers'!$C$14="Off",Constants!$H64*'Activity data'!AV6*Constants!$H82*EF!$H207*MMVolatEF*NtoN2O*kgtoGg,IF('Net zero activities &amp; levers'!$C$14="On",Constants!$H64*'Net zero Activity data'!AV6*Constants!$H82*EF!$H207*MMVolatEF*NtoN2O*kgtoGg,"ERROR"))</f>
        <v>3.4877804613456062E-2</v>
      </c>
      <c r="AD1186" s="94">
        <f>IF('Net zero activities &amp; levers'!$C$14="Off",Constants!$H64*'Activity data'!AW6*Constants!$H82*EF!$H207*MMVolatEF*NtoN2O*kgtoGg,IF('Net zero activities &amp; levers'!$C$14="On",Constants!$H64*'Net zero Activity data'!AW6*Constants!$H82*EF!$H207*MMVolatEF*NtoN2O*kgtoGg,"ERROR"))</f>
        <v>3.5339658101640622E-2</v>
      </c>
      <c r="AE1186" s="94">
        <f>IF('Net zero activities &amp; levers'!$C$14="Off",Constants!$H64*'Activity data'!AX6*Constants!$H82*EF!$H207*MMVolatEF*NtoN2O*kgtoGg,IF('Net zero activities &amp; levers'!$C$14="On",Constants!$H64*'Net zero Activity data'!AX6*Constants!$H82*EF!$H207*MMVolatEF*NtoN2O*kgtoGg,"ERROR"))</f>
        <v>3.5795260700600191E-2</v>
      </c>
      <c r="AF1186" s="94">
        <f>IF('Net zero activities &amp; levers'!$C$14="Off",Constants!$H64*'Activity data'!AY6*Constants!$H82*EF!$H207*MMVolatEF*NtoN2O*kgtoGg,IF('Net zero activities &amp; levers'!$C$14="On",Constants!$H64*'Net zero Activity data'!AY6*Constants!$H82*EF!$H207*MMVolatEF*NtoN2O*kgtoGg,"ERROR"))</f>
        <v>3.6276145846821803E-2</v>
      </c>
      <c r="AG1186" s="94">
        <f>IF('Net zero activities &amp; levers'!$C$14="Off",Constants!$H64*'Activity data'!AZ6*Constants!$H82*EF!$H207*MMVolatEF*NtoN2O*kgtoGg,IF('Net zero activities &amp; levers'!$C$14="On",Constants!$H64*'Net zero Activity data'!AZ6*Constants!$H82*EF!$H207*MMVolatEF*NtoN2O*kgtoGg,"ERROR"))</f>
        <v>3.682010644367513E-2</v>
      </c>
      <c r="AH1186" s="94">
        <f>IF('Net zero activities &amp; levers'!$C$14="Off",Constants!$H64*'Activity data'!BA6*Constants!$H82*EF!$H207*MMVolatEF*NtoN2O*kgtoGg,IF('Net zero activities &amp; levers'!$C$14="On",Constants!$H64*'Net zero Activity data'!BA6*Constants!$H82*EF!$H207*MMVolatEF*NtoN2O*kgtoGg,"ERROR"))</f>
        <v>3.7337287865943425E-2</v>
      </c>
      <c r="AI1186" s="94">
        <f>IF('Net zero activities &amp; levers'!$C$14="Off",Constants!$H64*'Activity data'!BB6*Constants!$H82*EF!$H207*MMVolatEF*NtoN2O*kgtoGg,IF('Net zero activities &amp; levers'!$C$14="On",Constants!$H64*'Net zero Activity data'!BB6*Constants!$H82*EF!$H207*MMVolatEF*NtoN2O*kgtoGg,"ERROR"))</f>
        <v>3.7867654675082699E-2</v>
      </c>
      <c r="AJ1186" s="94">
        <f>IF('Net zero activities &amp; levers'!$C$14="Off",Constants!$H64*'Activity data'!BC6*Constants!$H82*EF!$H207*MMVolatEF*NtoN2O*kgtoGg,IF('Net zero activities &amp; levers'!$C$14="On",Constants!$H64*'Net zero Activity data'!BC6*Constants!$H82*EF!$H207*MMVolatEF*NtoN2O*kgtoGg,"ERROR"))</f>
        <v>3.843485797147652E-2</v>
      </c>
      <c r="AK1186" s="94">
        <f>IF('Net zero activities &amp; levers'!$C$14="Off",Constants!$H64*'Activity data'!BD6*Constants!$H82*EF!$H207*MMVolatEF*NtoN2O*kgtoGg,IF('Net zero activities &amp; levers'!$C$14="On",Constants!$H64*'Net zero Activity data'!BD6*Constants!$H82*EF!$H207*MMVolatEF*NtoN2O*kgtoGg,"ERROR"))</f>
        <v>3.8966259103746965E-2</v>
      </c>
      <c r="AL1186" s="94">
        <f>IF('Net zero activities &amp; levers'!$C$14="Off",Constants!$H64*'Activity data'!BE6*Constants!$H82*EF!$H207*MMVolatEF*NtoN2O*kgtoGg,IF('Net zero activities &amp; levers'!$C$14="On",Constants!$H64*'Net zero Activity data'!BE6*Constants!$H82*EF!$H207*MMVolatEF*NtoN2O*kgtoGg,"ERROR"))</f>
        <v>3.9494776468191543E-2</v>
      </c>
      <c r="AM1186" s="94">
        <f>IF('Net zero activities &amp; levers'!$C$14="Off",Constants!$H64*'Activity data'!BF6*Constants!$H82*EF!$H207*MMVolatEF*NtoN2O*kgtoGg,IF('Net zero activities &amp; levers'!$C$14="On",Constants!$H64*'Net zero Activity data'!BF6*Constants!$H82*EF!$H207*MMVolatEF*NtoN2O*kgtoGg,"ERROR"))</f>
        <v>4.0021880132643621E-2</v>
      </c>
      <c r="AN1186" s="94">
        <f>IF('Net zero activities &amp; levers'!$C$14="Off",Constants!$H64*'Activity data'!BG6*Constants!$H82*EF!$H207*MMVolatEF*NtoN2O*kgtoGg,IF('Net zero activities &amp; levers'!$C$14="On",Constants!$H64*'Net zero Activity data'!BG6*Constants!$H82*EF!$H207*MMVolatEF*NtoN2O*kgtoGg,"ERROR"))</f>
        <v>4.0579540006249255E-2</v>
      </c>
      <c r="AO1186" s="94">
        <f>IF('Net zero activities &amp; levers'!$C$14="Off",Constants!$H64*'Activity data'!BH6*Constants!$H82*EF!$H207*MMVolatEF*NtoN2O*kgtoGg,IF('Net zero activities &amp; levers'!$C$14="On",Constants!$H64*'Net zero Activity data'!BH6*Constants!$H82*EF!$H207*MMVolatEF*NtoN2O*kgtoGg,"ERROR"))</f>
        <v>4.1114769676663131E-2</v>
      </c>
      <c r="AP1186" s="94">
        <f>IF('Net zero activities &amp; levers'!$C$14="Off",Constants!$H64*'Activity data'!BI6*Constants!$H82*EF!$H207*MMVolatEF*NtoN2O*kgtoGg,IF('Net zero activities &amp; levers'!$C$14="On",Constants!$H64*'Net zero Activity data'!BI6*Constants!$H82*EF!$H207*MMVolatEF*NtoN2O*kgtoGg,"ERROR"))</f>
        <v>4.167078306034188E-2</v>
      </c>
      <c r="AQ1186" s="94">
        <f>IF('Net zero activities &amp; levers'!$C$14="Off",Constants!$H64*'Activity data'!BJ6*Constants!$H82*EF!$H207*MMVolatEF*NtoN2O*kgtoGg,IF('Net zero activities &amp; levers'!$C$14="On",Constants!$H64*'Net zero Activity data'!BJ6*Constants!$H82*EF!$H207*MMVolatEF*NtoN2O*kgtoGg,"ERROR"))</f>
        <v>4.2250116032946157E-2</v>
      </c>
      <c r="AR1186" s="94">
        <f>IF('Net zero activities &amp; levers'!$C$14="Off",Constants!$H64*'Activity data'!BK6*Constants!$H82*EF!$H207*MMVolatEF*NtoN2O*kgtoGg,IF('Net zero activities &amp; levers'!$C$14="On",Constants!$H64*'Net zero Activity data'!BK6*Constants!$H82*EF!$H207*MMVolatEF*NtoN2O*kgtoGg,"ERROR"))</f>
        <v>4.2856846551407354E-2</v>
      </c>
      <c r="AS1186" s="94">
        <f>IF('Net zero activities &amp; levers'!$C$14="Off",Constants!$H64*'Activity data'!BL6*Constants!$H82*EF!$H207*MMVolatEF*NtoN2O*kgtoGg,IF('Net zero activities &amp; levers'!$C$14="On",Constants!$H64*'Net zero Activity data'!BL6*Constants!$H82*EF!$H207*MMVolatEF*NtoN2O*kgtoGg,"ERROR"))</f>
        <v>4.3474309333630792E-2</v>
      </c>
      <c r="AT1186" s="94">
        <f>IF('Net zero activities &amp; levers'!$C$14="Off",Constants!$H64*'Activity data'!BM6*Constants!$H82*EF!$H207*MMVolatEF*NtoN2O*kgtoGg,IF('Net zero activities &amp; levers'!$C$14="On",Constants!$H64*'Net zero Activity data'!BM6*Constants!$H82*EF!$H207*MMVolatEF*NtoN2O*kgtoGg,"ERROR"))</f>
        <v>4.3620704824751035E-2</v>
      </c>
      <c r="AU1186" s="94">
        <f>IF('Net zero activities &amp; levers'!$C$14="Off",Constants!$H64*'Activity data'!BN6*Constants!$H82*EF!$H207*MMVolatEF*NtoN2O*kgtoGg,IF('Net zero activities &amp; levers'!$C$14="On",Constants!$H64*'Net zero Activity data'!BN6*Constants!$H82*EF!$H207*MMVolatEF*NtoN2O*kgtoGg,"ERROR"))</f>
        <v>4.3724894047955633E-2</v>
      </c>
      <c r="AV1186" s="94">
        <f>IF('Net zero activities &amp; levers'!$C$14="Off",Constants!$H64*'Activity data'!BO6*Constants!$H82*EF!$H207*MMVolatEF*NtoN2O*kgtoGg,IF('Net zero activities &amp; levers'!$C$14="On",Constants!$H64*'Net zero Activity data'!BO6*Constants!$H82*EF!$H207*MMVolatEF*NtoN2O*kgtoGg,"ERROR"))</f>
        <v>4.376758227629024E-2</v>
      </c>
      <c r="AW1186" s="94">
        <f>IF('Net zero activities &amp; levers'!$C$14="Off",Constants!$H64*'Activity data'!BP6*Constants!$H82*EF!$H207*MMVolatEF*NtoN2O*kgtoGg,IF('Net zero activities &amp; levers'!$C$14="On",Constants!$H64*'Net zero Activity data'!BP6*Constants!$H82*EF!$H207*MMVolatEF*NtoN2O*kgtoGg,"ERROR"))</f>
        <v>4.3793358580951298E-2</v>
      </c>
      <c r="AY1186" s="79"/>
    </row>
    <row r="1187" spans="1:51" x14ac:dyDescent="0.3">
      <c r="A1187" s="95" t="str">
        <f t="shared" si="380"/>
        <v>CM MM Volatilisation</v>
      </c>
      <c r="B1187" s="95" t="s">
        <v>1322</v>
      </c>
      <c r="C1187" s="95" t="s">
        <v>1332</v>
      </c>
      <c r="D1187" t="s">
        <v>369</v>
      </c>
      <c r="E1187" t="s">
        <v>64</v>
      </c>
      <c r="F1187" t="s">
        <v>62</v>
      </c>
      <c r="G1187" t="s">
        <v>1156</v>
      </c>
      <c r="H1187" t="s">
        <v>1292</v>
      </c>
      <c r="I1187" t="s">
        <v>139</v>
      </c>
      <c r="J1187" t="s">
        <v>287</v>
      </c>
      <c r="K1187" s="94">
        <f>IF('Net zero activities &amp; levers'!$C$14="Off",Constants!$H65*'Activity data'!AD7*Constants!$H83*EF!$H208*MMVolatEF*NtoN2O*kgtoGg,IF('Net zero activities &amp; levers'!$C$14="On",Constants!$H65*'Net zero Activity data'!AD7*Constants!$H83*EF!$H208*MMVolatEF*NtoN2O*kgtoGg,"ERROR"))</f>
        <v>2.8967336997006343E-4</v>
      </c>
      <c r="L1187" s="94">
        <f>IF('Net zero activities &amp; levers'!$C$14="Off",Constants!$H65*'Activity data'!AE7*Constants!$H83*EF!$H208*MMVolatEF*NtoN2O*kgtoGg,IF('Net zero activities &amp; levers'!$C$14="On",Constants!$H65*'Net zero Activity data'!AE7*Constants!$H83*EF!$H208*MMVolatEF*NtoN2O*kgtoGg,"ERROR"))</f>
        <v>2.9129279224209415E-4</v>
      </c>
      <c r="M1187" s="94">
        <f>IF('Net zero activities &amp; levers'!$C$14="Off",Constants!$H65*'Activity data'!AF7*Constants!$H83*EF!$H208*MMVolatEF*NtoN2O*kgtoGg,IF('Net zero activities &amp; levers'!$C$14="On",Constants!$H65*'Net zero Activity data'!AF7*Constants!$H83*EF!$H208*MMVolatEF*NtoN2O*kgtoGg,"ERROR"))</f>
        <v>2.9359047510821973E-4</v>
      </c>
      <c r="N1187" s="94">
        <f>IF('Net zero activities &amp; levers'!$C$14="Off",Constants!$H65*'Activity data'!AG7*Constants!$H83*EF!$H208*MMVolatEF*NtoN2O*kgtoGg,IF('Net zero activities &amp; levers'!$C$14="On",Constants!$H65*'Net zero Activity data'!AG7*Constants!$H83*EF!$H208*MMVolatEF*NtoN2O*kgtoGg,"ERROR"))</f>
        <v>2.9506698110336069E-4</v>
      </c>
      <c r="O1187" s="94">
        <f>IF('Net zero activities &amp; levers'!$C$14="Off",Constants!$H65*'Activity data'!AH7*Constants!$H83*EF!$H208*MMVolatEF*NtoN2O*kgtoGg,IF('Net zero activities &amp; levers'!$C$14="On",Constants!$H65*'Net zero Activity data'!AH7*Constants!$H83*EF!$H208*MMVolatEF*NtoN2O*kgtoGg,"ERROR"))</f>
        <v>2.9604812609010248E-4</v>
      </c>
      <c r="P1187" s="94">
        <f>IF('Net zero activities &amp; levers'!$C$14="Off",Constants!$H65*'Activity data'!AI7*Constants!$H83*EF!$H208*MMVolatEF*NtoN2O*kgtoGg,IF('Net zero activities &amp; levers'!$C$14="On",Constants!$H65*'Net zero Activity data'!AI7*Constants!$H83*EF!$H208*MMVolatEF*NtoN2O*kgtoGg,"ERROR"))</f>
        <v>2.9652425341095714E-4</v>
      </c>
      <c r="Q1187" s="94">
        <f>IF('Net zero activities &amp; levers'!$C$14="Off",Constants!$H65*'Activity data'!AJ7*Constants!$H83*EF!$H208*MMVolatEF*NtoN2O*kgtoGg,IF('Net zero activities &amp; levers'!$C$14="On",Constants!$H65*'Net zero Activity data'!AJ7*Constants!$H83*EF!$H208*MMVolatEF*NtoN2O*kgtoGg,"ERROR"))</f>
        <v>2.9757619585915883E-4</v>
      </c>
      <c r="R1187" s="94">
        <f>IF('Net zero activities &amp; levers'!$C$14="Off",Constants!$H65*'Activity data'!AK7*Constants!$H83*EF!$H208*MMVolatEF*NtoN2O*kgtoGg,IF('Net zero activities &amp; levers'!$C$14="On",Constants!$H65*'Net zero Activity data'!AK7*Constants!$H83*EF!$H208*MMVolatEF*NtoN2O*kgtoGg,"ERROR"))</f>
        <v>2.9878295053629647E-4</v>
      </c>
      <c r="S1187" s="94">
        <f>IF('Net zero activities &amp; levers'!$C$14="Off",Constants!$H65*'Activity data'!AL7*Constants!$H83*EF!$H208*MMVolatEF*NtoN2O*kgtoGg,IF('Net zero activities &amp; levers'!$C$14="On",Constants!$H65*'Net zero Activity data'!AL7*Constants!$H83*EF!$H208*MMVolatEF*NtoN2O*kgtoGg,"ERROR"))</f>
        <v>2.8980165468285715E-4</v>
      </c>
      <c r="T1187" s="94">
        <f>IF('Net zero activities &amp; levers'!$C$14="Off",Constants!$H65*'Activity data'!AM7*Constants!$H83*EF!$H208*MMVolatEF*NtoN2O*kgtoGg,IF('Net zero activities &amp; levers'!$C$14="On",Constants!$H65*'Net zero Activity data'!AM7*Constants!$H83*EF!$H208*MMVolatEF*NtoN2O*kgtoGg,"ERROR"))</f>
        <v>2.9284895356406268E-4</v>
      </c>
      <c r="U1187" s="94">
        <f>IF('Net zero activities &amp; levers'!$C$14="Off",Constants!$H65*'Activity data'!AN7*Constants!$H83*EF!$H208*MMVolatEF*NtoN2O*kgtoGg,IF('Net zero activities &amp; levers'!$C$14="On",Constants!$H65*'Net zero Activity data'!AN7*Constants!$H83*EF!$H208*MMVolatEF*NtoN2O*kgtoGg,"ERROR"))</f>
        <v>2.9730939279977176E-4</v>
      </c>
      <c r="V1187" s="94">
        <f>IF('Net zero activities &amp; levers'!$C$14="Off",Constants!$H65*'Activity data'!AO7*Constants!$H83*EF!$H208*MMVolatEF*NtoN2O*kgtoGg,IF('Net zero activities &amp; levers'!$C$14="On",Constants!$H65*'Net zero Activity data'!AO7*Constants!$H83*EF!$H208*MMVolatEF*NtoN2O*kgtoGg,"ERROR"))</f>
        <v>2.996213457552509E-4</v>
      </c>
      <c r="W1187" s="94">
        <f>IF('Net zero activities &amp; levers'!$C$14="Off",Constants!$H65*'Activity data'!AP7*Constants!$H83*EF!$H208*MMVolatEF*NtoN2O*kgtoGg,IF('Net zero activities &amp; levers'!$C$14="On",Constants!$H65*'Net zero Activity data'!AP7*Constants!$H83*EF!$H208*MMVolatEF*NtoN2O*kgtoGg,"ERROR"))</f>
        <v>3.0226360022553945E-4</v>
      </c>
      <c r="X1187" s="94">
        <f>IF('Net zero activities &amp; levers'!$C$14="Off",Constants!$H65*'Activity data'!AQ7*Constants!$H83*EF!$H208*MMVolatEF*NtoN2O*kgtoGg,IF('Net zero activities &amp; levers'!$C$14="On",Constants!$H65*'Net zero Activity data'!AQ7*Constants!$H83*EF!$H208*MMVolatEF*NtoN2O*kgtoGg,"ERROR"))</f>
        <v>3.0532173294106326E-4</v>
      </c>
      <c r="Y1187" s="94">
        <f>IF('Net zero activities &amp; levers'!$C$14="Off",Constants!$H65*'Activity data'!AR7*Constants!$H83*EF!$H208*MMVolatEF*NtoN2O*kgtoGg,IF('Net zero activities &amp; levers'!$C$14="On",Constants!$H65*'Net zero Activity data'!AR7*Constants!$H83*EF!$H208*MMVolatEF*NtoN2O*kgtoGg,"ERROR"))</f>
        <v>3.084446634517329E-4</v>
      </c>
      <c r="Z1187" s="94">
        <f>IF('Net zero activities &amp; levers'!$C$14="Off",Constants!$H65*'Activity data'!AS7*Constants!$H83*EF!$H208*MMVolatEF*NtoN2O*kgtoGg,IF('Net zero activities &amp; levers'!$C$14="On",Constants!$H65*'Net zero Activity data'!AS7*Constants!$H83*EF!$H208*MMVolatEF*NtoN2O*kgtoGg,"ERROR"))</f>
        <v>3.1190134477428172E-4</v>
      </c>
      <c r="AA1187" s="94">
        <f>IF('Net zero activities &amp; levers'!$C$14="Off",Constants!$H65*'Activity data'!AT7*Constants!$H83*EF!$H208*MMVolatEF*NtoN2O*kgtoGg,IF('Net zero activities &amp; levers'!$C$14="On",Constants!$H65*'Net zero Activity data'!AT7*Constants!$H83*EF!$H208*MMVolatEF*NtoN2O*kgtoGg,"ERROR"))</f>
        <v>3.1546510463362291E-4</v>
      </c>
      <c r="AB1187" s="94">
        <f>IF('Net zero activities &amp; levers'!$C$14="Off",Constants!$H65*'Activity data'!AU7*Constants!$H83*EF!$H208*MMVolatEF*NtoN2O*kgtoGg,IF('Net zero activities &amp; levers'!$C$14="On",Constants!$H65*'Net zero Activity data'!AU7*Constants!$H83*EF!$H208*MMVolatEF*NtoN2O*kgtoGg,"ERROR"))</f>
        <v>3.1934054410503462E-4</v>
      </c>
      <c r="AC1187" s="94">
        <f>IF('Net zero activities &amp; levers'!$C$14="Off",Constants!$H65*'Activity data'!AV7*Constants!$H83*EF!$H208*MMVolatEF*NtoN2O*kgtoGg,IF('Net zero activities &amp; levers'!$C$14="On",Constants!$H65*'Net zero Activity data'!AV7*Constants!$H83*EF!$H208*MMVolatEF*NtoN2O*kgtoGg,"ERROR"))</f>
        <v>3.2330340624451355E-4</v>
      </c>
      <c r="AD1187" s="94">
        <f>IF('Net zero activities &amp; levers'!$C$14="Off",Constants!$H65*'Activity data'!AW7*Constants!$H83*EF!$H208*MMVolatEF*NtoN2O*kgtoGg,IF('Net zero activities &amp; levers'!$C$14="On",Constants!$H65*'Net zero Activity data'!AW7*Constants!$H83*EF!$H208*MMVolatEF*NtoN2O*kgtoGg,"ERROR"))</f>
        <v>3.2758460477667038E-4</v>
      </c>
      <c r="AE1187" s="94">
        <f>IF('Net zero activities &amp; levers'!$C$14="Off",Constants!$H65*'Activity data'!AX7*Constants!$H83*EF!$H208*MMVolatEF*NtoN2O*kgtoGg,IF('Net zero activities &amp; levers'!$C$14="On",Constants!$H65*'Net zero Activity data'!AX7*Constants!$H83*EF!$H208*MMVolatEF*NtoN2O*kgtoGg,"ERROR"))</f>
        <v>3.3180786004660364E-4</v>
      </c>
      <c r="AF1187" s="94">
        <f>IF('Net zero activities &amp; levers'!$C$14="Off",Constants!$H65*'Activity data'!AY7*Constants!$H83*EF!$H208*MMVolatEF*NtoN2O*kgtoGg,IF('Net zero activities &amp; levers'!$C$14="On",Constants!$H65*'Net zero Activity data'!AY7*Constants!$H83*EF!$H208*MMVolatEF*NtoN2O*kgtoGg,"ERROR"))</f>
        <v>3.3626547449535976E-4</v>
      </c>
      <c r="AG1187" s="94">
        <f>IF('Net zero activities &amp; levers'!$C$14="Off",Constants!$H65*'Activity data'!AZ7*Constants!$H83*EF!$H208*MMVolatEF*NtoN2O*kgtoGg,IF('Net zero activities &amp; levers'!$C$14="On",Constants!$H65*'Net zero Activity data'!AZ7*Constants!$H83*EF!$H208*MMVolatEF*NtoN2O*kgtoGg,"ERROR"))</f>
        <v>3.4130777333769093E-4</v>
      </c>
      <c r="AH1187" s="94">
        <f>IF('Net zero activities &amp; levers'!$C$14="Off",Constants!$H65*'Activity data'!BA7*Constants!$H83*EF!$H208*MMVolatEF*NtoN2O*kgtoGg,IF('Net zero activities &amp; levers'!$C$14="On",Constants!$H65*'Net zero Activity data'!BA7*Constants!$H83*EF!$H208*MMVolatEF*NtoN2O*kgtoGg,"ERROR"))</f>
        <v>3.4610183985990577E-4</v>
      </c>
      <c r="AI1187" s="94">
        <f>IF('Net zero activities &amp; levers'!$C$14="Off",Constants!$H65*'Activity data'!BB7*Constants!$H83*EF!$H208*MMVolatEF*NtoN2O*kgtoGg,IF('Net zero activities &amp; levers'!$C$14="On",Constants!$H65*'Net zero Activity data'!BB7*Constants!$H83*EF!$H208*MMVolatEF*NtoN2O*kgtoGg,"ERROR"))</f>
        <v>3.5101812968531553E-4</v>
      </c>
      <c r="AJ1187" s="94">
        <f>IF('Net zero activities &amp; levers'!$C$14="Off",Constants!$H65*'Activity data'!BC7*Constants!$H83*EF!$H208*MMVolatEF*NtoN2O*kgtoGg,IF('Net zero activities &amp; levers'!$C$14="On",Constants!$H65*'Net zero Activity data'!BC7*Constants!$H83*EF!$H208*MMVolatEF*NtoN2O*kgtoGg,"ERROR"))</f>
        <v>3.5627587912767834E-4</v>
      </c>
      <c r="AK1187" s="94">
        <f>IF('Net zero activities &amp; levers'!$C$14="Off",Constants!$H65*'Activity data'!BD7*Constants!$H83*EF!$H208*MMVolatEF*NtoN2O*kgtoGg,IF('Net zero activities &amp; levers'!$C$14="On",Constants!$H65*'Net zero Activity data'!BD7*Constants!$H83*EF!$H208*MMVolatEF*NtoN2O*kgtoGg,"ERROR"))</f>
        <v>3.6120175671800533E-4</v>
      </c>
      <c r="AL1187" s="94">
        <f>IF('Net zero activities &amp; levers'!$C$14="Off",Constants!$H65*'Activity data'!BE7*Constants!$H83*EF!$H208*MMVolatEF*NtoN2O*kgtoGg,IF('Net zero activities &amp; levers'!$C$14="On",Constants!$H65*'Net zero Activity data'!BE7*Constants!$H83*EF!$H208*MMVolatEF*NtoN2O*kgtoGg,"ERROR"))</f>
        <v>3.661009029251144E-4</v>
      </c>
      <c r="AM1187" s="94">
        <f>IF('Net zero activities &amp; levers'!$C$14="Off",Constants!$H65*'Activity data'!BF7*Constants!$H83*EF!$H208*MMVolatEF*NtoN2O*kgtoGg,IF('Net zero activities &amp; levers'!$C$14="On",Constants!$H65*'Net zero Activity data'!BF7*Constants!$H83*EF!$H208*MMVolatEF*NtoN2O*kgtoGg,"ERROR"))</f>
        <v>3.7098694469437114E-4</v>
      </c>
      <c r="AN1187" s="94">
        <f>IF('Net zero activities &amp; levers'!$C$14="Off",Constants!$H65*'Activity data'!BG7*Constants!$H83*EF!$H208*MMVolatEF*NtoN2O*kgtoGg,IF('Net zero activities &amp; levers'!$C$14="On",Constants!$H65*'Net zero Activity data'!BG7*Constants!$H83*EF!$H208*MMVolatEF*NtoN2O*kgtoGg,"ERROR"))</f>
        <v>3.7615623039514106E-4</v>
      </c>
      <c r="AO1187" s="94">
        <f>IF('Net zero activities &amp; levers'!$C$14="Off",Constants!$H65*'Activity data'!BH7*Constants!$H83*EF!$H208*MMVolatEF*NtoN2O*kgtoGg,IF('Net zero activities &amp; levers'!$C$14="On",Constants!$H65*'Net zero Activity data'!BH7*Constants!$H83*EF!$H208*MMVolatEF*NtoN2O*kgtoGg,"ERROR"))</f>
        <v>3.8111759701456354E-4</v>
      </c>
      <c r="AP1187" s="94">
        <f>IF('Net zero activities &amp; levers'!$C$14="Off",Constants!$H65*'Activity data'!BI7*Constants!$H83*EF!$H208*MMVolatEF*NtoN2O*kgtoGg,IF('Net zero activities &amp; levers'!$C$14="On",Constants!$H65*'Net zero Activity data'!BI7*Constants!$H83*EF!$H208*MMVolatEF*NtoN2O*kgtoGg,"ERROR"))</f>
        <v>3.8627162040718048E-4</v>
      </c>
      <c r="AQ1187" s="94">
        <f>IF('Net zero activities &amp; levers'!$C$14="Off",Constants!$H65*'Activity data'!BJ7*Constants!$H83*EF!$H208*MMVolatEF*NtoN2O*kgtoGg,IF('Net zero activities &amp; levers'!$C$14="On",Constants!$H65*'Net zero Activity data'!BJ7*Constants!$H83*EF!$H208*MMVolatEF*NtoN2O*kgtoGg,"ERROR"))</f>
        <v>3.916418071339122E-4</v>
      </c>
      <c r="AR1187" s="94">
        <f>IF('Net zero activities &amp; levers'!$C$14="Off",Constants!$H65*'Activity data'!BK7*Constants!$H83*EF!$H208*MMVolatEF*NtoN2O*kgtoGg,IF('Net zero activities &amp; levers'!$C$14="On",Constants!$H65*'Net zero Activity data'!BK7*Constants!$H83*EF!$H208*MMVolatEF*NtoN2O*kgtoGg,"ERROR"))</f>
        <v>3.9726595823702738E-4</v>
      </c>
      <c r="AS1187" s="94">
        <f>IF('Net zero activities &amp; levers'!$C$14="Off",Constants!$H65*'Activity data'!BL7*Constants!$H83*EF!$H208*MMVolatEF*NtoN2O*kgtoGg,IF('Net zero activities &amp; levers'!$C$14="On",Constants!$H65*'Net zero Activity data'!BL7*Constants!$H83*EF!$H208*MMVolatEF*NtoN2O*kgtoGg,"ERROR"))</f>
        <v>4.0298959316573016E-4</v>
      </c>
      <c r="AT1187" s="94">
        <f>IF('Net zero activities &amp; levers'!$C$14="Off",Constants!$H65*'Activity data'!BM7*Constants!$H83*EF!$H208*MMVolatEF*NtoN2O*kgtoGg,IF('Net zero activities &amp; levers'!$C$14="On",Constants!$H65*'Net zero Activity data'!BM7*Constants!$H83*EF!$H208*MMVolatEF*NtoN2O*kgtoGg,"ERROR"))</f>
        <v>4.0434662126605264E-4</v>
      </c>
      <c r="AU1187" s="94">
        <f>IF('Net zero activities &amp; levers'!$C$14="Off",Constants!$H65*'Activity data'!BN7*Constants!$H83*EF!$H208*MMVolatEF*NtoN2O*kgtoGg,IF('Net zero activities &amp; levers'!$C$14="On",Constants!$H65*'Net zero Activity data'!BN7*Constants!$H83*EF!$H208*MMVolatEF*NtoN2O*kgtoGg,"ERROR"))</f>
        <v>4.0531241401388569E-4</v>
      </c>
      <c r="AV1187" s="94">
        <f>IF('Net zero activities &amp; levers'!$C$14="Off",Constants!$H65*'Activity data'!BO7*Constants!$H83*EF!$H208*MMVolatEF*NtoN2O*kgtoGg,IF('Net zero activities &amp; levers'!$C$14="On",Constants!$H65*'Net zero Activity data'!BO7*Constants!$H83*EF!$H208*MMVolatEF*NtoN2O*kgtoGg,"ERROR"))</f>
        <v>4.0570811694817522E-4</v>
      </c>
      <c r="AW1187" s="94">
        <f>IF('Net zero activities &amp; levers'!$C$14="Off",Constants!$H65*'Activity data'!BP7*Constants!$H83*EF!$H208*MMVolatEF*NtoN2O*kgtoGg,IF('Net zero activities &amp; levers'!$C$14="On",Constants!$H65*'Net zero Activity data'!BP7*Constants!$H83*EF!$H208*MMVolatEF*NtoN2O*kgtoGg,"ERROR"))</f>
        <v>4.0594705306212152E-4</v>
      </c>
      <c r="AY1187" s="79"/>
    </row>
    <row r="1188" spans="1:51" x14ac:dyDescent="0.3">
      <c r="A1188" s="95" t="str">
        <f t="shared" si="380"/>
        <v>CM MM Volatilisation</v>
      </c>
      <c r="B1188" s="95" t="s">
        <v>1322</v>
      </c>
      <c r="C1188" s="95" t="s">
        <v>1332</v>
      </c>
      <c r="D1188" t="s">
        <v>369</v>
      </c>
      <c r="E1188" t="s">
        <v>64</v>
      </c>
      <c r="F1188" t="s">
        <v>62</v>
      </c>
      <c r="G1188" t="s">
        <v>1158</v>
      </c>
      <c r="H1188" t="s">
        <v>1293</v>
      </c>
      <c r="I1188" t="s">
        <v>139</v>
      </c>
      <c r="J1188" t="s">
        <v>287</v>
      </c>
      <c r="K1188" s="94">
        <f>IF('Net zero activities &amp; levers'!$C$14="Off",Constants!$H66*'Activity data'!AD8*Constants!$H84*EF!$H209*MMVolatEF*NtoN2O*kgtoGg,IF('Net zero activities &amp; levers'!$C$14="On",Constants!$H66*'Net zero Activity data'!AD8*Constants!$H84*EF!$H209*MMVolatEF*NtoN2O*kgtoGg,"ERROR"))</f>
        <v>3.2323215352203891E-3</v>
      </c>
      <c r="L1188" s="94">
        <f>IF('Net zero activities &amp; levers'!$C$14="Off",Constants!$H66*'Activity data'!AE8*Constants!$H84*EF!$H209*MMVolatEF*NtoN2O*kgtoGg,IF('Net zero activities &amp; levers'!$C$14="On",Constants!$H66*'Net zero Activity data'!AE8*Constants!$H84*EF!$H209*MMVolatEF*NtoN2O*kgtoGg,"ERROR"))</f>
        <v>3.2042886428129448E-3</v>
      </c>
      <c r="M1188" s="94">
        <f>IF('Net zero activities &amp; levers'!$C$14="Off",Constants!$H66*'Activity data'!AF8*Constants!$H84*EF!$H209*MMVolatEF*NtoN2O*kgtoGg,IF('Net zero activities &amp; levers'!$C$14="On",Constants!$H66*'Net zero Activity data'!AF8*Constants!$H84*EF!$H209*MMVolatEF*NtoN2O*kgtoGg,"ERROR"))</f>
        <v>3.193617369300608E-3</v>
      </c>
      <c r="N1188" s="94">
        <f>IF('Net zero activities &amp; levers'!$C$14="Off",Constants!$H66*'Activity data'!AG8*Constants!$H84*EF!$H209*MMVolatEF*NtoN2O*kgtoGg,IF('Net zero activities &amp; levers'!$C$14="On",Constants!$H66*'Net zero Activity data'!AG8*Constants!$H84*EF!$H209*MMVolatEF*NtoN2O*kgtoGg,"ERROR"))</f>
        <v>3.150970789688672E-3</v>
      </c>
      <c r="O1188" s="94">
        <f>IF('Net zero activities &amp; levers'!$C$14="Off",Constants!$H66*'Activity data'!AH8*Constants!$H84*EF!$H209*MMVolatEF*NtoN2O*kgtoGg,IF('Net zero activities &amp; levers'!$C$14="On",Constants!$H66*'Net zero Activity data'!AH8*Constants!$H84*EF!$H209*MMVolatEF*NtoN2O*kgtoGg,"ERROR"))</f>
        <v>3.0890682378804119E-3</v>
      </c>
      <c r="P1188" s="94">
        <f>IF('Net zero activities &amp; levers'!$C$14="Off",Constants!$H66*'Activity data'!AI8*Constants!$H84*EF!$H209*MMVolatEF*NtoN2O*kgtoGg,IF('Net zero activities &amp; levers'!$C$14="On",Constants!$H66*'Net zero Activity data'!AI8*Constants!$H84*EF!$H209*MMVolatEF*NtoN2O*kgtoGg,"ERROR"))</f>
        <v>3.0091897617382942E-3</v>
      </c>
      <c r="Q1188" s="94">
        <f>IF('Net zero activities &amp; levers'!$C$14="Off",Constants!$H66*'Activity data'!AJ8*Constants!$H84*EF!$H209*MMVolatEF*NtoN2O*kgtoGg,IF('Net zero activities &amp; levers'!$C$14="On",Constants!$H66*'Net zero Activity data'!AJ8*Constants!$H84*EF!$H209*MMVolatEF*NtoN2O*kgtoGg,"ERROR"))</f>
        <v>2.9461872714039495E-3</v>
      </c>
      <c r="R1188" s="94">
        <f>IF('Net zero activities &amp; levers'!$C$14="Off",Constants!$H66*'Activity data'!AK8*Constants!$H84*EF!$H209*MMVolatEF*NtoN2O*kgtoGg,IF('Net zero activities &amp; levers'!$C$14="On",Constants!$H66*'Net zero Activity data'!AK8*Constants!$H84*EF!$H209*MMVolatEF*NtoN2O*kgtoGg,"ERROR"))</f>
        <v>2.8865797531671877E-3</v>
      </c>
      <c r="S1188" s="94">
        <f>IF('Net zero activities &amp; levers'!$C$14="Off",Constants!$H66*'Activity data'!AL8*Constants!$H84*EF!$H209*MMVolatEF*NtoN2O*kgtoGg,IF('Net zero activities &amp; levers'!$C$14="On",Constants!$H66*'Net zero Activity data'!AL8*Constants!$H84*EF!$H209*MMVolatEF*NtoN2O*kgtoGg,"ERROR"))</f>
        <v>2.5393486840215836E-3</v>
      </c>
      <c r="T1188" s="94">
        <f>IF('Net zero activities &amp; levers'!$C$14="Off",Constants!$H66*'Activity data'!AM8*Constants!$H84*EF!$H209*MMVolatEF*NtoN2O*kgtoGg,IF('Net zero activities &amp; levers'!$C$14="On",Constants!$H66*'Net zero Activity data'!AM8*Constants!$H84*EF!$H209*MMVolatEF*NtoN2O*kgtoGg,"ERROR"))</f>
        <v>2.580595358897255E-3</v>
      </c>
      <c r="U1188" s="94">
        <f>IF('Net zero activities &amp; levers'!$C$14="Off",Constants!$H66*'Activity data'!AN8*Constants!$H84*EF!$H209*MMVolatEF*NtoN2O*kgtoGg,IF('Net zero activities &amp; levers'!$C$14="On",Constants!$H66*'Net zero Activity data'!AN8*Constants!$H84*EF!$H209*MMVolatEF*NtoN2O*kgtoGg,"ERROR"))</f>
        <v>2.657542332078646E-3</v>
      </c>
      <c r="V1188" s="94">
        <f>IF('Net zero activities &amp; levers'!$C$14="Off",Constants!$H66*'Activity data'!AO8*Constants!$H84*EF!$H209*MMVolatEF*NtoN2O*kgtoGg,IF('Net zero activities &amp; levers'!$C$14="On",Constants!$H66*'Net zero Activity data'!AO8*Constants!$H84*EF!$H209*MMVolatEF*NtoN2O*kgtoGg,"ERROR"))</f>
        <v>2.672909531392759E-3</v>
      </c>
      <c r="W1188" s="94">
        <f>IF('Net zero activities &amp; levers'!$C$14="Off",Constants!$H66*'Activity data'!AP8*Constants!$H84*EF!$H209*MMVolatEF*NtoN2O*kgtoGg,IF('Net zero activities &amp; levers'!$C$14="On",Constants!$H66*'Net zero Activity data'!AP8*Constants!$H84*EF!$H209*MMVolatEF*NtoN2O*kgtoGg,"ERROR"))</f>
        <v>2.69507345244463E-3</v>
      </c>
      <c r="X1188" s="94">
        <f>IF('Net zero activities &amp; levers'!$C$14="Off",Constants!$H66*'Activity data'!AQ8*Constants!$H84*EF!$H209*MMVolatEF*NtoN2O*kgtoGg,IF('Net zero activities &amp; levers'!$C$14="On",Constants!$H66*'Net zero Activity data'!AQ8*Constants!$H84*EF!$H209*MMVolatEF*NtoN2O*kgtoGg,"ERROR"))</f>
        <v>2.7259926112042248E-3</v>
      </c>
      <c r="Y1188" s="94">
        <f>IF('Net zero activities &amp; levers'!$C$14="Off",Constants!$H66*'Activity data'!AR8*Constants!$H84*EF!$H209*MMVolatEF*NtoN2O*kgtoGg,IF('Net zero activities &amp; levers'!$C$14="On",Constants!$H66*'Net zero Activity data'!AR8*Constants!$H84*EF!$H209*MMVolatEF*NtoN2O*kgtoGg,"ERROR"))</f>
        <v>2.7614582970453471E-3</v>
      </c>
      <c r="Z1188" s="94">
        <f>IF('Net zero activities &amp; levers'!$C$14="Off",Constants!$H66*'Activity data'!AS8*Constants!$H84*EF!$H209*MMVolatEF*NtoN2O*kgtoGg,IF('Net zero activities &amp; levers'!$C$14="On",Constants!$H66*'Net zero Activity data'!AS8*Constants!$H84*EF!$H209*MMVolatEF*NtoN2O*kgtoGg,"ERROR"))</f>
        <v>2.8030399515039583E-3</v>
      </c>
      <c r="AA1188" s="94">
        <f>IF('Net zero activities &amp; levers'!$C$14="Off",Constants!$H66*'Activity data'!AT8*Constants!$H84*EF!$H209*MMVolatEF*NtoN2O*kgtoGg,IF('Net zero activities &amp; levers'!$C$14="On",Constants!$H66*'Net zero Activity data'!AT8*Constants!$H84*EF!$H209*MMVolatEF*NtoN2O*kgtoGg,"ERROR"))</f>
        <v>2.8448133898556971E-3</v>
      </c>
      <c r="AB1188" s="94">
        <f>IF('Net zero activities &amp; levers'!$C$14="Off",Constants!$H66*'Activity data'!AU8*Constants!$H84*EF!$H209*MMVolatEF*NtoN2O*kgtoGg,IF('Net zero activities &amp; levers'!$C$14="On",Constants!$H66*'Net zero Activity data'!AU8*Constants!$H84*EF!$H209*MMVolatEF*NtoN2O*kgtoGg,"ERROR"))</f>
        <v>2.8917956180905236E-3</v>
      </c>
      <c r="AC1188" s="94">
        <f>IF('Net zero activities &amp; levers'!$C$14="Off",Constants!$H66*'Activity data'!AV8*Constants!$H84*EF!$H209*MMVolatEF*NtoN2O*kgtoGg,IF('Net zero activities &amp; levers'!$C$14="On",Constants!$H66*'Net zero Activity data'!AV8*Constants!$H84*EF!$H209*MMVolatEF*NtoN2O*kgtoGg,"ERROR"))</f>
        <v>2.9383115991341744E-3</v>
      </c>
      <c r="AD1188" s="94">
        <f>IF('Net zero activities &amp; levers'!$C$14="Off",Constants!$H66*'Activity data'!AW8*Constants!$H84*EF!$H209*MMVolatEF*NtoN2O*kgtoGg,IF('Net zero activities &amp; levers'!$C$14="On",Constants!$H66*'Net zero Activity data'!AW8*Constants!$H84*EF!$H209*MMVolatEF*NtoN2O*kgtoGg,"ERROR"))</f>
        <v>2.9686122408824826E-3</v>
      </c>
      <c r="AE1188" s="94">
        <f>IF('Net zero activities &amp; levers'!$C$14="Off",Constants!$H66*'Activity data'!AX8*Constants!$H84*EF!$H209*MMVolatEF*NtoN2O*kgtoGg,IF('Net zero activities &amp; levers'!$C$14="On",Constants!$H66*'Net zero Activity data'!AX8*Constants!$H84*EF!$H209*MMVolatEF*NtoN2O*kgtoGg,"ERROR"))</f>
        <v>2.9934911793624186E-3</v>
      </c>
      <c r="AF1188" s="94">
        <f>IF('Net zero activities &amp; levers'!$C$14="Off",Constants!$H66*'Activity data'!AY8*Constants!$H84*EF!$H209*MMVolatEF*NtoN2O*kgtoGg,IF('Net zero activities &amp; levers'!$C$14="On",Constants!$H66*'Net zero Activity data'!AY8*Constants!$H84*EF!$H209*MMVolatEF*NtoN2O*kgtoGg,"ERROR"))</f>
        <v>3.0197743682154753E-3</v>
      </c>
      <c r="AG1188" s="94">
        <f>IF('Net zero activities &amp; levers'!$C$14="Off",Constants!$H66*'Activity data'!AZ8*Constants!$H84*EF!$H209*MMVolatEF*NtoN2O*kgtoGg,IF('Net zero activities &amp; levers'!$C$14="On",Constants!$H66*'Net zero Activity data'!AZ8*Constants!$H84*EF!$H209*MMVolatEF*NtoN2O*kgtoGg,"ERROR"))</f>
        <v>3.0549409795984986E-3</v>
      </c>
      <c r="AH1188" s="94">
        <f>IF('Net zero activities &amp; levers'!$C$14="Off",Constants!$H66*'Activity data'!BA8*Constants!$H84*EF!$H209*MMVolatEF*NtoN2O*kgtoGg,IF('Net zero activities &amp; levers'!$C$14="On",Constants!$H66*'Net zero Activity data'!BA8*Constants!$H84*EF!$H209*MMVolatEF*NtoN2O*kgtoGg,"ERROR"))</f>
        <v>3.0802316239663852E-3</v>
      </c>
      <c r="AI1188" s="94">
        <f>IF('Net zero activities &amp; levers'!$C$14="Off",Constants!$H66*'Activity data'!BB8*Constants!$H84*EF!$H209*MMVolatEF*NtoN2O*kgtoGg,IF('Net zero activities &amp; levers'!$C$14="On",Constants!$H66*'Net zero Activity data'!BB8*Constants!$H84*EF!$H209*MMVolatEF*NtoN2O*kgtoGg,"ERROR"))</f>
        <v>3.1071852189437066E-3</v>
      </c>
      <c r="AJ1188" s="94">
        <f>IF('Net zero activities &amp; levers'!$C$14="Off",Constants!$H66*'Activity data'!BC8*Constants!$H84*EF!$H209*MMVolatEF*NtoN2O*kgtoGg,IF('Net zero activities &amp; levers'!$C$14="On",Constants!$H66*'Net zero Activity data'!BC8*Constants!$H84*EF!$H209*MMVolatEF*NtoN2O*kgtoGg,"ERROR"))</f>
        <v>3.1368555493036434E-3</v>
      </c>
      <c r="AK1188" s="94">
        <f>IF('Net zero activities &amp; levers'!$C$14="Off",Constants!$H66*'Activity data'!BD8*Constants!$H84*EF!$H209*MMVolatEF*NtoN2O*kgtoGg,IF('Net zero activities &amp; levers'!$C$14="On",Constants!$H66*'Net zero Activity data'!BD8*Constants!$H84*EF!$H209*MMVolatEF*NtoN2O*kgtoGg,"ERROR"))</f>
        <v>3.1553441150186925E-3</v>
      </c>
      <c r="AL1188" s="94">
        <f>IF('Net zero activities &amp; levers'!$C$14="Off",Constants!$H66*'Activity data'!BE8*Constants!$H84*EF!$H209*MMVolatEF*NtoN2O*kgtoGg,IF('Net zero activities &amp; levers'!$C$14="On",Constants!$H66*'Net zero Activity data'!BE8*Constants!$H84*EF!$H209*MMVolatEF*NtoN2O*kgtoGg,"ERROR"))</f>
        <v>3.1692145745473945E-3</v>
      </c>
      <c r="AM1188" s="94">
        <f>IF('Net zero activities &amp; levers'!$C$14="Off",Constants!$H66*'Activity data'!BF8*Constants!$H84*EF!$H209*MMVolatEF*NtoN2O*kgtoGg,IF('Net zero activities &amp; levers'!$C$14="On",Constants!$H66*'Net zero Activity data'!BF8*Constants!$H84*EF!$H209*MMVolatEF*NtoN2O*kgtoGg,"ERROR"))</f>
        <v>3.1788623674795236E-3</v>
      </c>
      <c r="AN1188" s="94">
        <f>IF('Net zero activities &amp; levers'!$C$14="Off",Constants!$H66*'Activity data'!BG8*Constants!$H84*EF!$H209*MMVolatEF*NtoN2O*kgtoGg,IF('Net zero activities &amp; levers'!$C$14="On",Constants!$H66*'Net zero Activity data'!BG8*Constants!$H84*EF!$H209*MMVolatEF*NtoN2O*kgtoGg,"ERROR"))</f>
        <v>3.2088548057950931E-3</v>
      </c>
      <c r="AO1188" s="94">
        <f>IF('Net zero activities &amp; levers'!$C$14="Off",Constants!$H66*'Activity data'!BH8*Constants!$H84*EF!$H209*MMVolatEF*NtoN2O*kgtoGg,IF('Net zero activities &amp; levers'!$C$14="On",Constants!$H66*'Net zero Activity data'!BH8*Constants!$H84*EF!$H209*MMVolatEF*NtoN2O*kgtoGg,"ERROR"))</f>
        <v>3.2316528557922693E-3</v>
      </c>
      <c r="AP1188" s="94">
        <f>IF('Net zero activities &amp; levers'!$C$14="Off",Constants!$H66*'Activity data'!BI8*Constants!$H84*EF!$H209*MMVolatEF*NtoN2O*kgtoGg,IF('Net zero activities &amp; levers'!$C$14="On",Constants!$H66*'Net zero Activity data'!BI8*Constants!$H84*EF!$H209*MMVolatEF*NtoN2O*kgtoGg,"ERROR"))</f>
        <v>3.2547386832550949E-3</v>
      </c>
      <c r="AQ1188" s="94">
        <f>IF('Net zero activities &amp; levers'!$C$14="Off",Constants!$H66*'Activity data'!BJ8*Constants!$H84*EF!$H209*MMVolatEF*NtoN2O*kgtoGg,IF('Net zero activities &amp; levers'!$C$14="On",Constants!$H66*'Net zero Activity data'!BJ8*Constants!$H84*EF!$H209*MMVolatEF*NtoN2O*kgtoGg,"ERROR"))</f>
        <v>3.2783763796135966E-3</v>
      </c>
      <c r="AR1188" s="94">
        <f>IF('Net zero activities &amp; levers'!$C$14="Off",Constants!$H66*'Activity data'!BK8*Constants!$H84*EF!$H209*MMVolatEF*NtoN2O*kgtoGg,IF('Net zero activities &amp; levers'!$C$14="On",Constants!$H66*'Net zero Activity data'!BK8*Constants!$H84*EF!$H209*MMVolatEF*NtoN2O*kgtoGg,"ERROR"))</f>
        <v>3.3030426066013221E-3</v>
      </c>
      <c r="AS1188" s="94">
        <f>IF('Net zero activities &amp; levers'!$C$14="Off",Constants!$H66*'Activity data'!BL8*Constants!$H84*EF!$H209*MMVolatEF*NtoN2O*kgtoGg,IF('Net zero activities &amp; levers'!$C$14="On",Constants!$H66*'Net zero Activity data'!BL8*Constants!$H84*EF!$H209*MMVolatEF*NtoN2O*kgtoGg,"ERROR"))</f>
        <v>3.3283682698185247E-3</v>
      </c>
      <c r="AT1188" s="94">
        <f>IF('Net zero activities &amp; levers'!$C$14="Off",Constants!$H66*'Activity data'!BM8*Constants!$H84*EF!$H209*MMVolatEF*NtoN2O*kgtoGg,IF('Net zero activities &amp; levers'!$C$14="On",Constants!$H66*'Net zero Activity data'!BM8*Constants!$H84*EF!$H209*MMVolatEF*NtoN2O*kgtoGg,"ERROR"))</f>
        <v>3.2784104491001818E-3</v>
      </c>
      <c r="AU1188" s="94">
        <f>IF('Net zero activities &amp; levers'!$C$14="Off",Constants!$H66*'Activity data'!BN8*Constants!$H84*EF!$H209*MMVolatEF*NtoN2O*kgtoGg,IF('Net zero activities &amp; levers'!$C$14="On",Constants!$H66*'Net zero Activity data'!BN8*Constants!$H84*EF!$H209*MMVolatEF*NtoN2O*kgtoGg,"ERROR"))</f>
        <v>3.2218166400979921E-3</v>
      </c>
      <c r="AV1188" s="94">
        <f>IF('Net zero activities &amp; levers'!$C$14="Off",Constants!$H66*'Activity data'!BO8*Constants!$H84*EF!$H209*MMVolatEF*NtoN2O*kgtoGg,IF('Net zero activities &amp; levers'!$C$14="On",Constants!$H66*'Net zero Activity data'!BO8*Constants!$H84*EF!$H209*MMVolatEF*NtoN2O*kgtoGg,"ERROR"))</f>
        <v>3.1562062621096833E-3</v>
      </c>
      <c r="AW1188" s="94">
        <f>IF('Net zero activities &amp; levers'!$C$14="Off",Constants!$H66*'Activity data'!BP8*Constants!$H84*EF!$H209*MMVolatEF*NtoN2O*kgtoGg,IF('Net zero activities &amp; levers'!$C$14="On",Constants!$H66*'Net zero Activity data'!BP8*Constants!$H84*EF!$H209*MMVolatEF*NtoN2O*kgtoGg,"ERROR"))</f>
        <v>3.0885397025865453E-3</v>
      </c>
      <c r="AY1188" s="79"/>
    </row>
    <row r="1189" spans="1:51" x14ac:dyDescent="0.3">
      <c r="A1189" s="95" t="str">
        <f t="shared" si="380"/>
        <v>CM MM Volatilisation</v>
      </c>
      <c r="B1189" s="95" t="s">
        <v>1322</v>
      </c>
      <c r="C1189" s="95" t="s">
        <v>1332</v>
      </c>
      <c r="D1189" t="s">
        <v>369</v>
      </c>
      <c r="E1189" t="s">
        <v>64</v>
      </c>
      <c r="F1189" t="s">
        <v>62</v>
      </c>
      <c r="G1189" t="s">
        <v>1160</v>
      </c>
      <c r="H1189" t="s">
        <v>1294</v>
      </c>
      <c r="I1189" t="s">
        <v>139</v>
      </c>
      <c r="J1189" t="s">
        <v>287</v>
      </c>
      <c r="K1189" s="94">
        <f>IF('Net zero activities &amp; levers'!$C$14="Off",Constants!$H67*'Activity data'!AD9*Constants!$H85*EF!$H210*MMVolatEF*NtoN2O*kgtoGg,IF('Net zero activities &amp; levers'!$C$14="On",Constants!$H67*'Net zero Activity data'!AD9*Constants!$H85*EF!$H210*MMVolatEF*NtoN2O*kgtoGg,"ERROR"))</f>
        <v>1.6090517274103575E-2</v>
      </c>
      <c r="L1189" s="94">
        <f>IF('Net zero activities &amp; levers'!$C$14="Off",Constants!$H67*'Activity data'!AE9*Constants!$H85*EF!$H210*MMVolatEF*NtoN2O*kgtoGg,IF('Net zero activities &amp; levers'!$C$14="On",Constants!$H67*'Net zero Activity data'!AE9*Constants!$H85*EF!$H210*MMVolatEF*NtoN2O*kgtoGg,"ERROR"))</f>
        <v>1.5950969356419605E-2</v>
      </c>
      <c r="M1189" s="94">
        <f>IF('Net zero activities &amp; levers'!$C$14="Off",Constants!$H67*'Activity data'!AF9*Constants!$H85*EF!$H210*MMVolatEF*NtoN2O*kgtoGg,IF('Net zero activities &amp; levers'!$C$14="On",Constants!$H67*'Net zero Activity data'!AF9*Constants!$H85*EF!$H210*MMVolatEF*NtoN2O*kgtoGg,"ERROR"))</f>
        <v>1.5897847688628834E-2</v>
      </c>
      <c r="N1189" s="94">
        <f>IF('Net zero activities &amp; levers'!$C$14="Off",Constants!$H67*'Activity data'!AG9*Constants!$H85*EF!$H210*MMVolatEF*NtoN2O*kgtoGg,IF('Net zero activities &amp; levers'!$C$14="On",Constants!$H67*'Net zero Activity data'!AG9*Constants!$H85*EF!$H210*MMVolatEF*NtoN2O*kgtoGg,"ERROR"))</f>
        <v>1.5685552742581484E-2</v>
      </c>
      <c r="O1189" s="94">
        <f>IF('Net zero activities &amp; levers'!$C$14="Off",Constants!$H67*'Activity data'!AH9*Constants!$H85*EF!$H210*MMVolatEF*NtoN2O*kgtoGg,IF('Net zero activities &amp; levers'!$C$14="On",Constants!$H67*'Net zero Activity data'!AH9*Constants!$H85*EF!$H210*MMVolatEF*NtoN2O*kgtoGg,"ERROR"))</f>
        <v>1.5377401443792458E-2</v>
      </c>
      <c r="P1189" s="94">
        <f>IF('Net zero activities &amp; levers'!$C$14="Off",Constants!$H67*'Activity data'!AI9*Constants!$H85*EF!$H210*MMVolatEF*NtoN2O*kgtoGg,IF('Net zero activities &amp; levers'!$C$14="On",Constants!$H67*'Net zero Activity data'!AI9*Constants!$H85*EF!$H210*MMVolatEF*NtoN2O*kgtoGg,"ERROR"))</f>
        <v>1.4979765878707444E-2</v>
      </c>
      <c r="Q1189" s="94">
        <f>IF('Net zero activities &amp; levers'!$C$14="Off",Constants!$H67*'Activity data'!AJ9*Constants!$H85*EF!$H210*MMVolatEF*NtoN2O*kgtoGg,IF('Net zero activities &amp; levers'!$C$14="On",Constants!$H67*'Net zero Activity data'!AJ9*Constants!$H85*EF!$H210*MMVolatEF*NtoN2O*kgtoGg,"ERROR"))</f>
        <v>1.4666139078901097E-2</v>
      </c>
      <c r="R1189" s="94">
        <f>IF('Net zero activities &amp; levers'!$C$14="Off",Constants!$H67*'Activity data'!AK9*Constants!$H85*EF!$H210*MMVolatEF*NtoN2O*kgtoGg,IF('Net zero activities &amp; levers'!$C$14="On",Constants!$H67*'Net zero Activity data'!AK9*Constants!$H85*EF!$H210*MMVolatEF*NtoN2O*kgtoGg,"ERROR"))</f>
        <v>1.4369412471908495E-2</v>
      </c>
      <c r="S1189" s="94">
        <f>IF('Net zero activities &amp; levers'!$C$14="Off",Constants!$H67*'Activity data'!AL9*Constants!$H85*EF!$H210*MMVolatEF*NtoN2O*kgtoGg,IF('Net zero activities &amp; levers'!$C$14="On",Constants!$H67*'Net zero Activity data'!AL9*Constants!$H85*EF!$H210*MMVolatEF*NtoN2O*kgtoGg,"ERROR"))</f>
        <v>1.2640893989042949E-2</v>
      </c>
      <c r="T1189" s="94">
        <f>IF('Net zero activities &amp; levers'!$C$14="Off",Constants!$H67*'Activity data'!AM9*Constants!$H85*EF!$H210*MMVolatEF*NtoN2O*kgtoGg,IF('Net zero activities &amp; levers'!$C$14="On",Constants!$H67*'Net zero Activity data'!AM9*Constants!$H85*EF!$H210*MMVolatEF*NtoN2O*kgtoGg,"ERROR"))</f>
        <v>1.284622020036031E-2</v>
      </c>
      <c r="U1189" s="94">
        <f>IF('Net zero activities &amp; levers'!$C$14="Off",Constants!$H67*'Activity data'!AN9*Constants!$H85*EF!$H210*MMVolatEF*NtoN2O*kgtoGg,IF('Net zero activities &amp; levers'!$C$14="On",Constants!$H67*'Net zero Activity data'!AN9*Constants!$H85*EF!$H210*MMVolatEF*NtoN2O*kgtoGg,"ERROR"))</f>
        <v>1.322926272495888E-2</v>
      </c>
      <c r="V1189" s="94">
        <f>IF('Net zero activities &amp; levers'!$C$14="Off",Constants!$H67*'Activity data'!AO9*Constants!$H85*EF!$H210*MMVolatEF*NtoN2O*kgtoGg,IF('Net zero activities &amp; levers'!$C$14="On",Constants!$H67*'Net zero Activity data'!AO9*Constants!$H85*EF!$H210*MMVolatEF*NtoN2O*kgtoGg,"ERROR"))</f>
        <v>1.3305760741422912E-2</v>
      </c>
      <c r="W1189" s="94">
        <f>IF('Net zero activities &amp; levers'!$C$14="Off",Constants!$H67*'Activity data'!AP9*Constants!$H85*EF!$H210*MMVolatEF*NtoN2O*kgtoGg,IF('Net zero activities &amp; levers'!$C$14="On",Constants!$H67*'Net zero Activity data'!AP9*Constants!$H85*EF!$H210*MMVolatEF*NtoN2O*kgtoGg,"ERROR"))</f>
        <v>1.3416092882164809E-2</v>
      </c>
      <c r="X1189" s="94">
        <f>IF('Net zero activities &amp; levers'!$C$14="Off",Constants!$H67*'Activity data'!AQ9*Constants!$H85*EF!$H210*MMVolatEF*NtoN2O*kgtoGg,IF('Net zero activities &amp; levers'!$C$14="On",Constants!$H67*'Net zero Activity data'!AQ9*Constants!$H85*EF!$H210*MMVolatEF*NtoN2O*kgtoGg,"ERROR"))</f>
        <v>1.3570008652208428E-2</v>
      </c>
      <c r="Y1189" s="94">
        <f>IF('Net zero activities &amp; levers'!$C$14="Off",Constants!$H67*'Activity data'!AR9*Constants!$H85*EF!$H210*MMVolatEF*NtoN2O*kgtoGg,IF('Net zero activities &amp; levers'!$C$14="On",Constants!$H67*'Net zero Activity data'!AR9*Constants!$H85*EF!$H210*MMVolatEF*NtoN2O*kgtoGg,"ERROR"))</f>
        <v>1.3746557063140447E-2</v>
      </c>
      <c r="Z1189" s="94">
        <f>IF('Net zero activities &amp; levers'!$C$14="Off",Constants!$H67*'Activity data'!AS9*Constants!$H85*EF!$H210*MMVolatEF*NtoN2O*kgtoGg,IF('Net zero activities &amp; levers'!$C$14="On",Constants!$H67*'Net zero Activity data'!AS9*Constants!$H85*EF!$H210*MMVolatEF*NtoN2O*kgtoGg,"ERROR"))</f>
        <v>1.3953550804963992E-2</v>
      </c>
      <c r="AA1189" s="94">
        <f>IF('Net zero activities &amp; levers'!$C$14="Off",Constants!$H67*'Activity data'!AT9*Constants!$H85*EF!$H210*MMVolatEF*NtoN2O*kgtoGg,IF('Net zero activities &amp; levers'!$C$14="On",Constants!$H67*'Net zero Activity data'!AT9*Constants!$H85*EF!$H210*MMVolatEF*NtoN2O*kgtoGg,"ERROR"))</f>
        <v>1.4161499248234047E-2</v>
      </c>
      <c r="AB1189" s="94">
        <f>IF('Net zero activities &amp; levers'!$C$14="Off",Constants!$H67*'Activity data'!AU9*Constants!$H85*EF!$H210*MMVolatEF*NtoN2O*kgtoGg,IF('Net zero activities &amp; levers'!$C$14="On",Constants!$H67*'Net zero Activity data'!AU9*Constants!$H85*EF!$H210*MMVolatEF*NtoN2O*kgtoGg,"ERROR"))</f>
        <v>1.439537708085406E-2</v>
      </c>
      <c r="AC1189" s="94">
        <f>IF('Net zero activities &amp; levers'!$C$14="Off",Constants!$H67*'Activity data'!AV9*Constants!$H85*EF!$H210*MMVolatEF*NtoN2O*kgtoGg,IF('Net zero activities &amp; levers'!$C$14="On",Constants!$H67*'Net zero Activity data'!AV9*Constants!$H85*EF!$H210*MMVolatEF*NtoN2O*kgtoGg,"ERROR"))</f>
        <v>1.4626933931974607E-2</v>
      </c>
      <c r="AD1189" s="94">
        <f>IF('Net zero activities &amp; levers'!$C$14="Off",Constants!$H67*'Activity data'!AW9*Constants!$H85*EF!$H210*MMVolatEF*NtoN2O*kgtoGg,IF('Net zero activities &amp; levers'!$C$14="On",Constants!$H67*'Net zero Activity data'!AW9*Constants!$H85*EF!$H210*MMVolatEF*NtoN2O*kgtoGg,"ERROR"))</f>
        <v>1.4777770720380409E-2</v>
      </c>
      <c r="AE1189" s="94">
        <f>IF('Net zero activities &amp; levers'!$C$14="Off",Constants!$H67*'Activity data'!AX9*Constants!$H85*EF!$H210*MMVolatEF*NtoN2O*kgtoGg,IF('Net zero activities &amp; levers'!$C$14="On",Constants!$H67*'Net zero Activity data'!AX9*Constants!$H85*EF!$H210*MMVolatEF*NtoN2O*kgtoGg,"ERROR"))</f>
        <v>1.4901618235242655E-2</v>
      </c>
      <c r="AF1189" s="94">
        <f>IF('Net zero activities &amp; levers'!$C$14="Off",Constants!$H67*'Activity data'!AY9*Constants!$H85*EF!$H210*MMVolatEF*NtoN2O*kgtoGg,IF('Net zero activities &amp; levers'!$C$14="On",Constants!$H67*'Net zero Activity data'!AY9*Constants!$H85*EF!$H210*MMVolatEF*NtoN2O*kgtoGg,"ERROR"))</f>
        <v>1.5032456117442953E-2</v>
      </c>
      <c r="AG1189" s="94">
        <f>IF('Net zero activities &amp; levers'!$C$14="Off",Constants!$H67*'Activity data'!AZ9*Constants!$H85*EF!$H210*MMVolatEF*NtoN2O*kgtoGg,IF('Net zero activities &amp; levers'!$C$14="On",Constants!$H67*'Net zero Activity data'!AZ9*Constants!$H85*EF!$H210*MMVolatEF*NtoN2O*kgtoGg,"ERROR"))</f>
        <v>1.5207515733809875E-2</v>
      </c>
      <c r="AH1189" s="94">
        <f>IF('Net zero activities &amp; levers'!$C$14="Off",Constants!$H67*'Activity data'!BA9*Constants!$H85*EF!$H210*MMVolatEF*NtoN2O*kgtoGg,IF('Net zero activities &amp; levers'!$C$14="On",Constants!$H67*'Net zero Activity data'!BA9*Constants!$H85*EF!$H210*MMVolatEF*NtoN2O*kgtoGg,"ERROR"))</f>
        <v>1.5333412723215338E-2</v>
      </c>
      <c r="AI1189" s="94">
        <f>IF('Net zero activities &amp; levers'!$C$14="Off",Constants!$H67*'Activity data'!BB9*Constants!$H85*EF!$H210*MMVolatEF*NtoN2O*kgtoGg,IF('Net zero activities &amp; levers'!$C$14="On",Constants!$H67*'Net zero Activity data'!BB9*Constants!$H85*EF!$H210*MMVolatEF*NtoN2O*kgtoGg,"ERROR"))</f>
        <v>1.5467587891389686E-2</v>
      </c>
      <c r="AJ1189" s="94">
        <f>IF('Net zero activities &amp; levers'!$C$14="Off",Constants!$H67*'Activity data'!BC9*Constants!$H85*EF!$H210*MMVolatEF*NtoN2O*kgtoGg,IF('Net zero activities &amp; levers'!$C$14="On",Constants!$H67*'Net zero Activity data'!BC9*Constants!$H85*EF!$H210*MMVolatEF*NtoN2O*kgtoGg,"ERROR"))</f>
        <v>1.5615286985673127E-2</v>
      </c>
      <c r="AK1189" s="94">
        <f>IF('Net zero activities &amp; levers'!$C$14="Off",Constants!$H67*'Activity data'!BD9*Constants!$H85*EF!$H210*MMVolatEF*NtoN2O*kgtoGg,IF('Net zero activities &amp; levers'!$C$14="On",Constants!$H67*'Net zero Activity data'!BD9*Constants!$H85*EF!$H210*MMVolatEF*NtoN2O*kgtoGg,"ERROR"))</f>
        <v>1.5707323184043206E-2</v>
      </c>
      <c r="AL1189" s="94">
        <f>IF('Net zero activities &amp; levers'!$C$14="Off",Constants!$H67*'Activity data'!BE9*Constants!$H85*EF!$H210*MMVolatEF*NtoN2O*kgtoGg,IF('Net zero activities &amp; levers'!$C$14="On",Constants!$H67*'Net zero Activity data'!BE9*Constants!$H85*EF!$H210*MMVolatEF*NtoN2O*kgtoGg,"ERROR"))</f>
        <v>1.5776370420283306E-2</v>
      </c>
      <c r="AM1189" s="94">
        <f>IF('Net zero activities &amp; levers'!$C$14="Off",Constants!$H67*'Activity data'!BF9*Constants!$H85*EF!$H210*MMVolatEF*NtoN2O*kgtoGg,IF('Net zero activities &amp; levers'!$C$14="On",Constants!$H67*'Net zero Activity data'!BF9*Constants!$H85*EF!$H210*MMVolatEF*NtoN2O*kgtoGg,"ERROR"))</f>
        <v>1.5824397195200308E-2</v>
      </c>
      <c r="AN1189" s="94">
        <f>IF('Net zero activities &amp; levers'!$C$14="Off",Constants!$H67*'Activity data'!BG9*Constants!$H85*EF!$H210*MMVolatEF*NtoN2O*kgtoGg,IF('Net zero activities &amp; levers'!$C$14="On",Constants!$H67*'Net zero Activity data'!BG9*Constants!$H85*EF!$H210*MMVolatEF*NtoN2O*kgtoGg,"ERROR"))</f>
        <v>1.5973699744946876E-2</v>
      </c>
      <c r="AO1189" s="94">
        <f>IF('Net zero activities &amp; levers'!$C$14="Off",Constants!$H67*'Activity data'!BH9*Constants!$H85*EF!$H210*MMVolatEF*NtoN2O*kgtoGg,IF('Net zero activities &amp; levers'!$C$14="On",Constants!$H67*'Net zero Activity data'!BH9*Constants!$H85*EF!$H210*MMVolatEF*NtoN2O*kgtoGg,"ERROR"))</f>
        <v>1.608718858363397E-2</v>
      </c>
      <c r="AP1189" s="94">
        <f>IF('Net zero activities &amp; levers'!$C$14="Off",Constants!$H67*'Activity data'!BI9*Constants!$H85*EF!$H210*MMVolatEF*NtoN2O*kgtoGg,IF('Net zero activities &amp; levers'!$C$14="On",Constants!$H67*'Net zero Activity data'!BI9*Constants!$H85*EF!$H210*MMVolatEF*NtoN2O*kgtoGg,"ERROR"))</f>
        <v>1.6202109980385494E-2</v>
      </c>
      <c r="AQ1189" s="94">
        <f>IF('Net zero activities &amp; levers'!$C$14="Off",Constants!$H67*'Activity data'!BJ9*Constants!$H85*EF!$H210*MMVolatEF*NtoN2O*kgtoGg,IF('Net zero activities &amp; levers'!$C$14="On",Constants!$H67*'Net zero Activity data'!BJ9*Constants!$H85*EF!$H210*MMVolatEF*NtoN2O*kgtoGg,"ERROR"))</f>
        <v>1.6319778584029082E-2</v>
      </c>
      <c r="AR1189" s="94">
        <f>IF('Net zero activities &amp; levers'!$C$14="Off",Constants!$H67*'Activity data'!BK9*Constants!$H85*EF!$H210*MMVolatEF*NtoN2O*kgtoGg,IF('Net zero activities &amp; levers'!$C$14="On",Constants!$H67*'Net zero Activity data'!BK9*Constants!$H85*EF!$H210*MMVolatEF*NtoN2O*kgtoGg,"ERROR"))</f>
        <v>1.6442567219722745E-2</v>
      </c>
      <c r="AS1189" s="94">
        <f>IF('Net zero activities &amp; levers'!$C$14="Off",Constants!$H67*'Activity data'!BL9*Constants!$H85*EF!$H210*MMVolatEF*NtoN2O*kgtoGg,IF('Net zero activities &amp; levers'!$C$14="On",Constants!$H67*'Net zero Activity data'!BL9*Constants!$H85*EF!$H210*MMVolatEF*NtoN2O*kgtoGg,"ERROR"))</f>
        <v>1.6568638533184063E-2</v>
      </c>
      <c r="AT1189" s="94">
        <f>IF('Net zero activities &amp; levers'!$C$14="Off",Constants!$H67*'Activity data'!BM9*Constants!$H85*EF!$H210*MMVolatEF*NtoN2O*kgtoGg,IF('Net zero activities &amp; levers'!$C$14="On",Constants!$H67*'Net zero Activity data'!BM9*Constants!$H85*EF!$H210*MMVolatEF*NtoN2O*kgtoGg,"ERROR"))</f>
        <v>1.6319948182151194E-2</v>
      </c>
      <c r="AU1189" s="94">
        <f>IF('Net zero activities &amp; levers'!$C$14="Off",Constants!$H67*'Activity data'!BN9*Constants!$H85*EF!$H210*MMVolatEF*NtoN2O*kgtoGg,IF('Net zero activities &amp; levers'!$C$14="On",Constants!$H67*'Net zero Activity data'!BN9*Constants!$H85*EF!$H210*MMVolatEF*NtoN2O*kgtoGg,"ERROR"))</f>
        <v>1.603822383900198E-2</v>
      </c>
      <c r="AV1189" s="94">
        <f>IF('Net zero activities &amp; levers'!$C$14="Off",Constants!$H67*'Activity data'!BO9*Constants!$H85*EF!$H210*MMVolatEF*NtoN2O*kgtoGg,IF('Net zero activities &amp; levers'!$C$14="On",Constants!$H67*'Net zero Activity data'!BO9*Constants!$H85*EF!$H210*MMVolatEF*NtoN2O*kgtoGg,"ERROR"))</f>
        <v>1.5711614957775871E-2</v>
      </c>
      <c r="AW1189" s="94">
        <f>IF('Net zero activities &amp; levers'!$C$14="Off",Constants!$H67*'Activity data'!BP9*Constants!$H85*EF!$H210*MMVolatEF*NtoN2O*kgtoGg,IF('Net zero activities &amp; levers'!$C$14="On",Constants!$H67*'Net zero Activity data'!BP9*Constants!$H85*EF!$H210*MMVolatEF*NtoN2O*kgtoGg,"ERROR"))</f>
        <v>1.5374770391719434E-2</v>
      </c>
      <c r="AY1189" s="79"/>
    </row>
    <row r="1190" spans="1:51" x14ac:dyDescent="0.3">
      <c r="A1190" s="95" t="str">
        <f t="shared" si="380"/>
        <v>CM MM Volatilisation</v>
      </c>
      <c r="B1190" s="95" t="s">
        <v>1322</v>
      </c>
      <c r="C1190" s="95" t="s">
        <v>1332</v>
      </c>
      <c r="D1190" t="s">
        <v>369</v>
      </c>
      <c r="E1190" t="s">
        <v>64</v>
      </c>
      <c r="F1190" t="s">
        <v>62</v>
      </c>
      <c r="G1190" t="s">
        <v>1162</v>
      </c>
      <c r="H1190" t="s">
        <v>1295</v>
      </c>
      <c r="I1190" t="s">
        <v>139</v>
      </c>
      <c r="J1190" t="s">
        <v>287</v>
      </c>
      <c r="K1190" s="94">
        <f>IF('Net zero activities &amp; levers'!$C$14="Off",Constants!$H68*'Activity data'!AD10*Constants!$H86*EF!$H211*MMVolatEF*NtoN2O*kgtoGg,IF('Net zero activities &amp; levers'!$C$14="On",Constants!$H68*'Net zero Activity data'!AD10*Constants!$H86*EF!$H211*MMVolatEF*NtoN2O*kgtoGg,"ERROR"))</f>
        <v>0.15836052531214873</v>
      </c>
      <c r="L1190" s="94">
        <f>IF('Net zero activities &amp; levers'!$C$14="Off",Constants!$H68*'Activity data'!AE10*Constants!$H86*EF!$H211*MMVolatEF*NtoN2O*kgtoGg,IF('Net zero activities &amp; levers'!$C$14="On",Constants!$H68*'Net zero Activity data'!AE10*Constants!$H86*EF!$H211*MMVolatEF*NtoN2O*kgtoGg,"ERROR"))</f>
        <v>0.16370016056893641</v>
      </c>
      <c r="M1190" s="94">
        <f>IF('Net zero activities &amp; levers'!$C$14="Off",Constants!$H68*'Activity data'!AF10*Constants!$H86*EF!$H211*MMVolatEF*NtoN2O*kgtoGg,IF('Net zero activities &amp; levers'!$C$14="On",Constants!$H68*'Net zero Activity data'!AF10*Constants!$H86*EF!$H211*MMVolatEF*NtoN2O*kgtoGg,"ERROR"))</f>
        <v>0.17003774892948584</v>
      </c>
      <c r="N1190" s="94">
        <f>IF('Net zero activities &amp; levers'!$C$14="Off",Constants!$H68*'Activity data'!AG10*Constants!$H86*EF!$H211*MMVolatEF*NtoN2O*kgtoGg,IF('Net zero activities &amp; levers'!$C$14="On",Constants!$H68*'Net zero Activity data'!AG10*Constants!$H86*EF!$H211*MMVolatEF*NtoN2O*kgtoGg,"ERROR"))</f>
        <v>0.17476418316081974</v>
      </c>
      <c r="O1190" s="94">
        <f>IF('Net zero activities &amp; levers'!$C$14="Off",Constants!$H68*'Activity data'!AH10*Constants!$H86*EF!$H211*MMVolatEF*NtoN2O*kgtoGg,IF('Net zero activities &amp; levers'!$C$14="On",Constants!$H68*'Net zero Activity data'!AH10*Constants!$H86*EF!$H211*MMVolatEF*NtoN2O*kgtoGg,"ERROR"))</f>
        <v>0.1784091501709566</v>
      </c>
      <c r="P1190" s="94">
        <f>IF('Net zero activities &amp; levers'!$C$14="Off",Constants!$H68*'Activity data'!AI10*Constants!$H86*EF!$H211*MMVolatEF*NtoN2O*kgtoGg,IF('Net zero activities &amp; levers'!$C$14="On",Constants!$H68*'Net zero Activity data'!AI10*Constants!$H86*EF!$H211*MMVolatEF*NtoN2O*kgtoGg,"ERROR"))</f>
        <v>0.18092055691117107</v>
      </c>
      <c r="Q1190" s="94">
        <f>IF('Net zero activities &amp; levers'!$C$14="Off",Constants!$H68*'Activity data'!AJ10*Constants!$H86*EF!$H211*MMVolatEF*NtoN2O*kgtoGg,IF('Net zero activities &amp; levers'!$C$14="On",Constants!$H68*'Net zero Activity data'!AJ10*Constants!$H86*EF!$H211*MMVolatEF*NtoN2O*kgtoGg,"ERROR"))</f>
        <v>0.18434967364231716</v>
      </c>
      <c r="R1190" s="94">
        <f>IF('Net zero activities &amp; levers'!$C$14="Off",Constants!$H68*'Activity data'!AK10*Constants!$H86*EF!$H211*MMVolatEF*NtoN2O*kgtoGg,IF('Net zero activities &amp; levers'!$C$14="On",Constants!$H68*'Net zero Activity data'!AK10*Constants!$H86*EF!$H211*MMVolatEF*NtoN2O*kgtoGg,"ERROR"))</f>
        <v>0.18794438918293385</v>
      </c>
      <c r="S1190" s="94">
        <f>IF('Net zero activities &amp; levers'!$C$14="Off",Constants!$H68*'Activity data'!AL10*Constants!$H86*EF!$H211*MMVolatEF*NtoN2O*kgtoGg,IF('Net zero activities &amp; levers'!$C$14="On",Constants!$H68*'Net zero Activity data'!AL10*Constants!$H86*EF!$H211*MMVolatEF*NtoN2O*kgtoGg,"ERROR"))</f>
        <v>0.17201843471628311</v>
      </c>
      <c r="T1190" s="94">
        <f>IF('Net zero activities &amp; levers'!$C$14="Off",Constants!$H68*'Activity data'!AM10*Constants!$H86*EF!$H211*MMVolatEF*NtoN2O*kgtoGg,IF('Net zero activities &amp; levers'!$C$14="On",Constants!$H68*'Net zero Activity data'!AM10*Constants!$H86*EF!$H211*MMVolatEF*NtoN2O*kgtoGg,"ERROR"))</f>
        <v>0.17902423727078304</v>
      </c>
      <c r="U1190" s="94">
        <f>IF('Net zero activities &amp; levers'!$C$14="Off",Constants!$H68*'Activity data'!AN10*Constants!$H86*EF!$H211*MMVolatEF*NtoN2O*kgtoGg,IF('Net zero activities &amp; levers'!$C$14="On",Constants!$H68*'Net zero Activity data'!AN10*Constants!$H86*EF!$H211*MMVolatEF*NtoN2O*kgtoGg,"ERROR"))</f>
        <v>0.18874308750279975</v>
      </c>
      <c r="V1190" s="94">
        <f>IF('Net zero activities &amp; levers'!$C$14="Off",Constants!$H68*'Activity data'!AO10*Constants!$H86*EF!$H211*MMVolatEF*NtoN2O*kgtoGg,IF('Net zero activities &amp; levers'!$C$14="On",Constants!$H68*'Net zero Activity data'!AO10*Constants!$H86*EF!$H211*MMVolatEF*NtoN2O*kgtoGg,"ERROR"))</f>
        <v>0.19428798010301845</v>
      </c>
      <c r="W1190" s="94">
        <f>IF('Net zero activities &amp; levers'!$C$14="Off",Constants!$H68*'Activity data'!AP10*Constants!$H86*EF!$H211*MMVolatEF*NtoN2O*kgtoGg,IF('Net zero activities &amp; levers'!$C$14="On",Constants!$H68*'Net zero Activity data'!AP10*Constants!$H86*EF!$H211*MMVolatEF*NtoN2O*kgtoGg,"ERROR"))</f>
        <v>0.20044069379465723</v>
      </c>
      <c r="X1190" s="94">
        <f>IF('Net zero activities &amp; levers'!$C$14="Off",Constants!$H68*'Activity data'!AQ10*Constants!$H86*EF!$H211*MMVolatEF*NtoN2O*kgtoGg,IF('Net zero activities &amp; levers'!$C$14="On",Constants!$H68*'Net zero Activity data'!AQ10*Constants!$H86*EF!$H211*MMVolatEF*NtoN2O*kgtoGg,"ERROR"))</f>
        <v>0.20738925990441343</v>
      </c>
      <c r="Y1190" s="94">
        <f>IF('Net zero activities &amp; levers'!$C$14="Off",Constants!$H68*'Activity data'!AR10*Constants!$H86*EF!$H211*MMVolatEF*NtoN2O*kgtoGg,IF('Net zero activities &amp; levers'!$C$14="On",Constants!$H68*'Net zero Activity data'!AR10*Constants!$H86*EF!$H211*MMVolatEF*NtoN2O*kgtoGg,"ERROR"))</f>
        <v>0.21485625224208699</v>
      </c>
      <c r="Z1190" s="94">
        <f>IF('Net zero activities &amp; levers'!$C$14="Off",Constants!$H68*'Activity data'!AS10*Constants!$H86*EF!$H211*MMVolatEF*NtoN2O*kgtoGg,IF('Net zero activities &amp; levers'!$C$14="On",Constants!$H68*'Net zero Activity data'!AS10*Constants!$H86*EF!$H211*MMVolatEF*NtoN2O*kgtoGg,"ERROR"))</f>
        <v>0.22299569523633012</v>
      </c>
      <c r="AA1190" s="94">
        <f>IF('Net zero activities &amp; levers'!$C$14="Off",Constants!$H68*'Activity data'!AT10*Constants!$H86*EF!$H211*MMVolatEF*NtoN2O*kgtoGg,IF('Net zero activities &amp; levers'!$C$14="On",Constants!$H68*'Net zero Activity data'!AT10*Constants!$H86*EF!$H211*MMVolatEF*NtoN2O*kgtoGg,"ERROR"))</f>
        <v>0.23136404347242787</v>
      </c>
      <c r="AB1190" s="94">
        <f>IF('Net zero activities &amp; levers'!$C$14="Off",Constants!$H68*'Activity data'!AU10*Constants!$H86*EF!$H211*MMVolatEF*NtoN2O*kgtoGg,IF('Net zero activities &amp; levers'!$C$14="On",Constants!$H68*'Net zero Activity data'!AU10*Constants!$H86*EF!$H211*MMVolatEF*NtoN2O*kgtoGg,"ERROR"))</f>
        <v>0.24038568507894228</v>
      </c>
      <c r="AC1190" s="94">
        <f>IF('Net zero activities &amp; levers'!$C$14="Off",Constants!$H68*'Activity data'!AV10*Constants!$H86*EF!$H211*MMVolatEF*NtoN2O*kgtoGg,IF('Net zero activities &amp; levers'!$C$14="On",Constants!$H68*'Net zero Activity data'!AV10*Constants!$H86*EF!$H211*MMVolatEF*NtoN2O*kgtoGg,"ERROR"))</f>
        <v>0.24961351882279642</v>
      </c>
      <c r="AD1190" s="94">
        <f>IF('Net zero activities &amp; levers'!$C$14="Off",Constants!$H68*'Activity data'!AW10*Constants!$H86*EF!$H211*MMVolatEF*NtoN2O*kgtoGg,IF('Net zero activities &amp; levers'!$C$14="On",Constants!$H68*'Net zero Activity data'!AW10*Constants!$H86*EF!$H211*MMVolatEF*NtoN2O*kgtoGg,"ERROR"))</f>
        <v>0.26055082309019489</v>
      </c>
      <c r="AE1190" s="94">
        <f>IF('Net zero activities &amp; levers'!$C$14="Off",Constants!$H68*'Activity data'!AX10*Constants!$H86*EF!$H211*MMVolatEF*NtoN2O*kgtoGg,IF('Net zero activities &amp; levers'!$C$14="On",Constants!$H68*'Net zero Activity data'!AX10*Constants!$H86*EF!$H211*MMVolatEF*NtoN2O*kgtoGg,"ERROR"))</f>
        <v>0.27146409989499087</v>
      </c>
      <c r="AF1190" s="94">
        <f>IF('Net zero activities &amp; levers'!$C$14="Off",Constants!$H68*'Activity data'!AY10*Constants!$H86*EF!$H211*MMVolatEF*NtoN2O*kgtoGg,IF('Net zero activities &amp; levers'!$C$14="On",Constants!$H68*'Net zero Activity data'!AY10*Constants!$H86*EF!$H211*MMVolatEF*NtoN2O*kgtoGg,"ERROR"))</f>
        <v>0.28296976129835516</v>
      </c>
      <c r="AG1190" s="94">
        <f>IF('Net zero activities &amp; levers'!$C$14="Off",Constants!$H68*'Activity data'!AZ10*Constants!$H86*EF!$H211*MMVolatEF*NtoN2O*kgtoGg,IF('Net zero activities &amp; levers'!$C$14="On",Constants!$H68*'Net zero Activity data'!AZ10*Constants!$H86*EF!$H211*MMVolatEF*NtoN2O*kgtoGg,"ERROR"))</f>
        <v>0.29583119296374027</v>
      </c>
      <c r="AH1190" s="94">
        <f>IF('Net zero activities &amp; levers'!$C$14="Off",Constants!$H68*'Activity data'!BA10*Constants!$H86*EF!$H211*MMVolatEF*NtoN2O*kgtoGg,IF('Net zero activities &amp; levers'!$C$14="On",Constants!$H68*'Net zero Activity data'!BA10*Constants!$H86*EF!$H211*MMVolatEF*NtoN2O*kgtoGg,"ERROR"))</f>
        <v>0.30828569818364093</v>
      </c>
      <c r="AI1190" s="94">
        <f>IF('Net zero activities &amp; levers'!$C$14="Off",Constants!$H68*'Activity data'!BB10*Constants!$H86*EF!$H211*MMVolatEF*NtoN2O*kgtoGg,IF('Net zero activities &amp; levers'!$C$14="On",Constants!$H68*'Net zero Activity data'!BB10*Constants!$H86*EF!$H211*MMVolatEF*NtoN2O*kgtoGg,"ERROR"))</f>
        <v>0.32146078881891821</v>
      </c>
      <c r="AJ1190" s="94">
        <f>IF('Net zero activities &amp; levers'!$C$14="Off",Constants!$H68*'Activity data'!BC10*Constants!$H86*EF!$H211*MMVolatEF*NtoN2O*kgtoGg,IF('Net zero activities &amp; levers'!$C$14="On",Constants!$H68*'Net zero Activity data'!BC10*Constants!$H86*EF!$H211*MMVolatEF*NtoN2O*kgtoGg,"ERROR"))</f>
        <v>0.33551892419975027</v>
      </c>
      <c r="AK1190" s="94">
        <f>IF('Net zero activities &amp; levers'!$C$14="Off",Constants!$H68*'Activity data'!BD10*Constants!$H86*EF!$H211*MMVolatEF*NtoN2O*kgtoGg,IF('Net zero activities &amp; levers'!$C$14="On",Constants!$H68*'Net zero Activity data'!BD10*Constants!$H86*EF!$H211*MMVolatEF*NtoN2O*kgtoGg,"ERROR"))</f>
        <v>0.34898799967344624</v>
      </c>
      <c r="AL1190" s="94">
        <f>IF('Net zero activities &amp; levers'!$C$14="Off",Constants!$H68*'Activity data'!BE10*Constants!$H86*EF!$H211*MMVolatEF*NtoN2O*kgtoGg,IF('Net zero activities &amp; levers'!$C$14="On",Constants!$H68*'Net zero Activity data'!BE10*Constants!$H86*EF!$H211*MMVolatEF*NtoN2O*kgtoGg,"ERROR"))</f>
        <v>0.36253110288155638</v>
      </c>
      <c r="AM1190" s="94">
        <f>IF('Net zero activities &amp; levers'!$C$14="Off",Constants!$H68*'Activity data'!BF10*Constants!$H86*EF!$H211*MMVolatEF*NtoN2O*kgtoGg,IF('Net zero activities &amp; levers'!$C$14="On",Constants!$H68*'Net zero Activity data'!BF10*Constants!$H86*EF!$H211*MMVolatEF*NtoN2O*kgtoGg,"ERROR"))</f>
        <v>0.3761776209722954</v>
      </c>
      <c r="AN1190" s="94">
        <f>IF('Net zero activities &amp; levers'!$C$14="Off",Constants!$H68*'Activity data'!BG10*Constants!$H86*EF!$H211*MMVolatEF*NtoN2O*kgtoGg,IF('Net zero activities &amp; levers'!$C$14="On",Constants!$H68*'Net zero Activity data'!BG10*Constants!$H86*EF!$H211*MMVolatEF*NtoN2O*kgtoGg,"ERROR"))</f>
        <v>0.39044092384449941</v>
      </c>
      <c r="AO1190" s="94">
        <f>IF('Net zero activities &amp; levers'!$C$14="Off",Constants!$H68*'Activity data'!BH10*Constants!$H86*EF!$H211*MMVolatEF*NtoN2O*kgtoGg,IF('Net zero activities &amp; levers'!$C$14="On",Constants!$H68*'Net zero Activity data'!BH10*Constants!$H86*EF!$H211*MMVolatEF*NtoN2O*kgtoGg,"ERROR"))</f>
        <v>0.40434790587507169</v>
      </c>
      <c r="AP1190" s="94">
        <f>IF('Net zero activities &amp; levers'!$C$14="Off",Constants!$H68*'Activity data'!BI10*Constants!$H86*EF!$H211*MMVolatEF*NtoN2O*kgtoGg,IF('Net zero activities &amp; levers'!$C$14="On",Constants!$H68*'Net zero Activity data'!BI10*Constants!$H86*EF!$H211*MMVolatEF*NtoN2O*kgtoGg,"ERROR"))</f>
        <v>0.41881133165575385</v>
      </c>
      <c r="AQ1190" s="94">
        <f>IF('Net zero activities &amp; levers'!$C$14="Off",Constants!$H68*'Activity data'!BJ10*Constants!$H86*EF!$H211*MMVolatEF*NtoN2O*kgtoGg,IF('Net zero activities &amp; levers'!$C$14="On",Constants!$H68*'Net zero Activity data'!BJ10*Constants!$H86*EF!$H211*MMVolatEF*NtoN2O*kgtoGg,"ERROR"))</f>
        <v>0.43389523168298461</v>
      </c>
      <c r="AR1190" s="94">
        <f>IF('Net zero activities &amp; levers'!$C$14="Off",Constants!$H68*'Activity data'!BK10*Constants!$H86*EF!$H211*MMVolatEF*NtoN2O*kgtoGg,IF('Net zero activities &amp; levers'!$C$14="On",Constants!$H68*'Net zero Activity data'!BK10*Constants!$H86*EF!$H211*MMVolatEF*NtoN2O*kgtoGg,"ERROR"))</f>
        <v>0.44969846219520337</v>
      </c>
      <c r="AS1190" s="94">
        <f>IF('Net zero activities &amp; levers'!$C$14="Off",Constants!$H68*'Activity data'!BL10*Constants!$H86*EF!$H211*MMVolatEF*NtoN2O*kgtoGg,IF('Net zero activities &amp; levers'!$C$14="On",Constants!$H68*'Net zero Activity data'!BL10*Constants!$H86*EF!$H211*MMVolatEF*NtoN2O*kgtoGg,"ERROR"))</f>
        <v>0.46621113351536414</v>
      </c>
      <c r="AT1190" s="94">
        <f>IF('Net zero activities &amp; levers'!$C$14="Off",Constants!$H68*'Activity data'!BM10*Constants!$H86*EF!$H211*MMVolatEF*NtoN2O*kgtoGg,IF('Net zero activities &amp; levers'!$C$14="On",Constants!$H68*'Net zero Activity data'!BM10*Constants!$H86*EF!$H211*MMVolatEF*NtoN2O*kgtoGg,"ERROR"))</f>
        <v>0.47252748572368597</v>
      </c>
      <c r="AU1190" s="94">
        <f>IF('Net zero activities &amp; levers'!$C$14="Off",Constants!$H68*'Activity data'!BN10*Constants!$H86*EF!$H211*MMVolatEF*NtoN2O*kgtoGg,IF('Net zero activities &amp; levers'!$C$14="On",Constants!$H68*'Net zero Activity data'!BN10*Constants!$H86*EF!$H211*MMVolatEF*NtoN2O*kgtoGg,"ERROR"))</f>
        <v>0.47791554113176593</v>
      </c>
      <c r="AV1190" s="94">
        <f>IF('Net zero activities &amp; levers'!$C$14="Off",Constants!$H68*'Activity data'!BO10*Constants!$H86*EF!$H211*MMVolatEF*NtoN2O*kgtoGg,IF('Net zero activities &amp; levers'!$C$14="On",Constants!$H68*'Net zero Activity data'!BO10*Constants!$H86*EF!$H211*MMVolatEF*NtoN2O*kgtoGg,"ERROR"))</f>
        <v>0.48192801076931108</v>
      </c>
      <c r="AW1190" s="94">
        <f>IF('Net zero activities &amp; levers'!$C$14="Off",Constants!$H68*'Activity data'!BP10*Constants!$H86*EF!$H211*MMVolatEF*NtoN2O*kgtoGg,IF('Net zero activities &amp; levers'!$C$14="On",Constants!$H68*'Net zero Activity data'!BP10*Constants!$H86*EF!$H211*MMVolatEF*NtoN2O*kgtoGg,"ERROR"))</f>
        <v>0.48553688587906652</v>
      </c>
      <c r="AY1190" s="79"/>
    </row>
    <row r="1191" spans="1:51" x14ac:dyDescent="0.3">
      <c r="A1191" s="95" t="str">
        <f t="shared" si="380"/>
        <v>CM MM Volatilisation</v>
      </c>
      <c r="B1191" s="95" t="s">
        <v>1322</v>
      </c>
      <c r="C1191" s="95" t="s">
        <v>1332</v>
      </c>
      <c r="D1191" t="s">
        <v>369</v>
      </c>
      <c r="E1191" t="s">
        <v>64</v>
      </c>
      <c r="F1191" t="s">
        <v>62</v>
      </c>
      <c r="G1191" t="s">
        <v>1164</v>
      </c>
      <c r="H1191" t="s">
        <v>1296</v>
      </c>
      <c r="I1191" t="s">
        <v>139</v>
      </c>
      <c r="J1191" t="s">
        <v>287</v>
      </c>
      <c r="K1191" s="94">
        <f>IF('Net zero activities &amp; levers'!$C$14="Off",Constants!$H69*'Activity data'!AD11*Constants!$H87*EF!$H212*MMVolatEF*NtoN2O*kgtoGg,IF('Net zero activities &amp; levers'!$C$14="On",Constants!$H69*'Net zero Activity data'!AD11*Constants!$H87*EF!$H212*MMVolatEF*NtoN2O*kgtoGg,"ERROR"))</f>
        <v>1.1718831875652189E-4</v>
      </c>
      <c r="L1191" s="94">
        <f>IF('Net zero activities &amp; levers'!$C$14="Off",Constants!$H69*'Activity data'!AE11*Constants!$H87*EF!$H212*MMVolatEF*NtoN2O*kgtoGg,IF('Net zero activities &amp; levers'!$C$14="On",Constants!$H69*'Net zero Activity data'!AE11*Constants!$H87*EF!$H212*MMVolatEF*NtoN2O*kgtoGg,"ERROR"))</f>
        <v>1.1725168210757805E-4</v>
      </c>
      <c r="M1191" s="94">
        <f>IF('Net zero activities &amp; levers'!$C$14="Off",Constants!$H69*'Activity data'!AF11*Constants!$H87*EF!$H212*MMVolatEF*NtoN2O*kgtoGg,IF('Net zero activities &amp; levers'!$C$14="On",Constants!$H69*'Net zero Activity data'!AF11*Constants!$H87*EF!$H212*MMVolatEF*NtoN2O*kgtoGg,"ERROR"))</f>
        <v>1.1740318150277543E-4</v>
      </c>
      <c r="N1191" s="94">
        <f>IF('Net zero activities &amp; levers'!$C$14="Off",Constants!$H69*'Activity data'!AG11*Constants!$H87*EF!$H212*MMVolatEF*NtoN2O*kgtoGg,IF('Net zero activities &amp; levers'!$C$14="On",Constants!$H69*'Net zero Activity data'!AG11*Constants!$H87*EF!$H212*MMVolatEF*NtoN2O*kgtoGg,"ERROR"))</f>
        <v>1.1762656857541023E-4</v>
      </c>
      <c r="O1191" s="94">
        <f>IF('Net zero activities &amp; levers'!$C$14="Off",Constants!$H69*'Activity data'!AH11*Constants!$H87*EF!$H212*MMVolatEF*NtoN2O*kgtoGg,IF('Net zero activities &amp; levers'!$C$14="On",Constants!$H69*'Net zero Activity data'!AH11*Constants!$H87*EF!$H212*MMVolatEF*NtoN2O*kgtoGg,"ERROR"))</f>
        <v>1.179204237689029E-4</v>
      </c>
      <c r="P1191" s="94">
        <f>IF('Net zero activities &amp; levers'!$C$14="Off",Constants!$H69*'Activity data'!AI11*Constants!$H87*EF!$H212*MMVolatEF*NtoN2O*kgtoGg,IF('Net zero activities &amp; levers'!$C$14="On",Constants!$H69*'Net zero Activity data'!AI11*Constants!$H87*EF!$H212*MMVolatEF*NtoN2O*kgtoGg,"ERROR"))</f>
        <v>1.1828164409401504E-4</v>
      </c>
      <c r="Q1191" s="94">
        <f>IF('Net zero activities &amp; levers'!$C$14="Off",Constants!$H69*'Activity data'!AJ11*Constants!$H87*EF!$H212*MMVolatEF*NtoN2O*kgtoGg,IF('Net zero activities &amp; levers'!$C$14="On",Constants!$H69*'Net zero Activity data'!AJ11*Constants!$H87*EF!$H212*MMVolatEF*NtoN2O*kgtoGg,"ERROR"))</f>
        <v>1.1868734382429133E-4</v>
      </c>
      <c r="R1191" s="94">
        <f>IF('Net zero activities &amp; levers'!$C$14="Off",Constants!$H69*'Activity data'!AK11*Constants!$H87*EF!$H212*MMVolatEF*NtoN2O*kgtoGg,IF('Net zero activities &amp; levers'!$C$14="On",Constants!$H69*'Net zero Activity data'!AK11*Constants!$H87*EF!$H212*MMVolatEF*NtoN2O*kgtoGg,"ERROR"))</f>
        <v>1.1913496163447935E-4</v>
      </c>
      <c r="S1191" s="94">
        <f>IF('Net zero activities &amp; levers'!$C$14="Off",Constants!$H69*'Activity data'!AL11*Constants!$H87*EF!$H212*MMVolatEF*NtoN2O*kgtoGg,IF('Net zero activities &amp; levers'!$C$14="On",Constants!$H69*'Net zero Activity data'!AL11*Constants!$H87*EF!$H212*MMVolatEF*NtoN2O*kgtoGg,"ERROR"))</f>
        <v>1.1954428347803586E-4</v>
      </c>
      <c r="T1191" s="94">
        <f>IF('Net zero activities &amp; levers'!$C$14="Off",Constants!$H69*'Activity data'!AM11*Constants!$H87*EF!$H212*MMVolatEF*NtoN2O*kgtoGg,IF('Net zero activities &amp; levers'!$C$14="On",Constants!$H69*'Net zero Activity data'!AM11*Constants!$H87*EF!$H212*MMVolatEF*NtoN2O*kgtoGg,"ERROR"))</f>
        <v>1.1972414940561896E-4</v>
      </c>
      <c r="U1191" s="94">
        <f>IF('Net zero activities &amp; levers'!$C$14="Off",Constants!$H69*'Activity data'!AN11*Constants!$H87*EF!$H212*MMVolatEF*NtoN2O*kgtoGg,IF('Net zero activities &amp; levers'!$C$14="On",Constants!$H69*'Net zero Activity data'!AN11*Constants!$H87*EF!$H212*MMVolatEF*NtoN2O*kgtoGg,"ERROR"))</f>
        <v>1.1994380434419684E-4</v>
      </c>
      <c r="V1191" s="94">
        <f>IF('Net zero activities &amp; levers'!$C$14="Off",Constants!$H69*'Activity data'!AO11*Constants!$H87*EF!$H212*MMVolatEF*NtoN2O*kgtoGg,IF('Net zero activities &amp; levers'!$C$14="On",Constants!$H69*'Net zero Activity data'!AO11*Constants!$H87*EF!$H212*MMVolatEF*NtoN2O*kgtoGg,"ERROR"))</f>
        <v>1.201746788301286E-4</v>
      </c>
      <c r="W1191" s="94">
        <f>IF('Net zero activities &amp; levers'!$C$14="Off",Constants!$H69*'Activity data'!AP11*Constants!$H87*EF!$H212*MMVolatEF*NtoN2O*kgtoGg,IF('Net zero activities &amp; levers'!$C$14="On",Constants!$H69*'Net zero Activity data'!AP11*Constants!$H87*EF!$H212*MMVolatEF*NtoN2O*kgtoGg,"ERROR"))</f>
        <v>1.2043388472990403E-4</v>
      </c>
      <c r="X1191" s="94">
        <f>IF('Net zero activities &amp; levers'!$C$14="Off",Constants!$H69*'Activity data'!AQ11*Constants!$H87*EF!$H212*MMVolatEF*NtoN2O*kgtoGg,IF('Net zero activities &amp; levers'!$C$14="On",Constants!$H69*'Net zero Activity data'!AQ11*Constants!$H87*EF!$H212*MMVolatEF*NtoN2O*kgtoGg,"ERROR"))</f>
        <v>1.207206967802894E-4</v>
      </c>
      <c r="Y1191" s="94">
        <f>IF('Net zero activities &amp; levers'!$C$14="Off",Constants!$H69*'Activity data'!AR11*Constants!$H87*EF!$H212*MMVolatEF*NtoN2O*kgtoGg,IF('Net zero activities &amp; levers'!$C$14="On",Constants!$H69*'Net zero Activity data'!AR11*Constants!$H87*EF!$H212*MMVolatEF*NtoN2O*kgtoGg,"ERROR"))</f>
        <v>1.2089981812671622E-4</v>
      </c>
      <c r="Z1191" s="94">
        <f>IF('Net zero activities &amp; levers'!$C$14="Off",Constants!$H69*'Activity data'!AS11*Constants!$H87*EF!$H212*MMVolatEF*NtoN2O*kgtoGg,IF('Net zero activities &amp; levers'!$C$14="On",Constants!$H69*'Net zero Activity data'!AS11*Constants!$H87*EF!$H212*MMVolatEF*NtoN2O*kgtoGg,"ERROR"))</f>
        <v>1.2110217984152869E-4</v>
      </c>
      <c r="AA1191" s="94">
        <f>IF('Net zero activities &amp; levers'!$C$14="Off",Constants!$H69*'Activity data'!AT11*Constants!$H87*EF!$H212*MMVolatEF*NtoN2O*kgtoGg,IF('Net zero activities &amp; levers'!$C$14="On",Constants!$H69*'Net zero Activity data'!AT11*Constants!$H87*EF!$H212*MMVolatEF*NtoN2O*kgtoGg,"ERROR"))</f>
        <v>1.2132504756910802E-4</v>
      </c>
      <c r="AB1191" s="94">
        <f>IF('Net zero activities &amp; levers'!$C$14="Off",Constants!$H69*'Activity data'!AU11*Constants!$H87*EF!$H212*MMVolatEF*NtoN2O*kgtoGg,IF('Net zero activities &amp; levers'!$C$14="On",Constants!$H69*'Net zero Activity data'!AU11*Constants!$H87*EF!$H212*MMVolatEF*NtoN2O*kgtoGg,"ERROR"))</f>
        <v>1.2156903411725496E-4</v>
      </c>
      <c r="AC1191" s="94">
        <f>IF('Net zero activities &amp; levers'!$C$14="Off",Constants!$H69*'Activity data'!AV11*Constants!$H87*EF!$H212*MMVolatEF*NtoN2O*kgtoGg,IF('Net zero activities &amp; levers'!$C$14="On",Constants!$H69*'Net zero Activity data'!AV11*Constants!$H87*EF!$H212*MMVolatEF*NtoN2O*kgtoGg,"ERROR"))</f>
        <v>1.2183162117803533E-4</v>
      </c>
      <c r="AD1191" s="94">
        <f>IF('Net zero activities &amp; levers'!$C$14="Off",Constants!$H69*'Activity data'!AW11*Constants!$H87*EF!$H212*MMVolatEF*NtoN2O*kgtoGg,IF('Net zero activities &amp; levers'!$C$14="On",Constants!$H69*'Net zero Activity data'!AW11*Constants!$H87*EF!$H212*MMVolatEF*NtoN2O*kgtoGg,"ERROR"))</f>
        <v>1.2200776858907327E-4</v>
      </c>
      <c r="AE1191" s="94">
        <f>IF('Net zero activities &amp; levers'!$C$14="Off",Constants!$H69*'Activity data'!AX11*Constants!$H87*EF!$H212*MMVolatEF*NtoN2O*kgtoGg,IF('Net zero activities &amp; levers'!$C$14="On",Constants!$H69*'Net zero Activity data'!AX11*Constants!$H87*EF!$H212*MMVolatEF*NtoN2O*kgtoGg,"ERROR"))</f>
        <v>1.2219899661673858E-4</v>
      </c>
      <c r="AF1191" s="94">
        <f>IF('Net zero activities &amp; levers'!$C$14="Off",Constants!$H69*'Activity data'!AY11*Constants!$H87*EF!$H212*MMVolatEF*NtoN2O*kgtoGg,IF('Net zero activities &amp; levers'!$C$14="On",Constants!$H69*'Net zero Activity data'!AY11*Constants!$H87*EF!$H212*MMVolatEF*NtoN2O*kgtoGg,"ERROR"))</f>
        <v>1.2240684242118336E-4</v>
      </c>
      <c r="AG1191" s="94">
        <f>IF('Net zero activities &amp; levers'!$C$14="Off",Constants!$H69*'Activity data'!AZ11*Constants!$H87*EF!$H212*MMVolatEF*NtoN2O*kgtoGg,IF('Net zero activities &amp; levers'!$C$14="On",Constants!$H69*'Net zero Activity data'!AZ11*Constants!$H87*EF!$H212*MMVolatEF*NtoN2O*kgtoGg,"ERROR"))</f>
        <v>1.2263333491271974E-4</v>
      </c>
      <c r="AH1191" s="94">
        <f>IF('Net zero activities &amp; levers'!$C$14="Off",Constants!$H69*'Activity data'!BA11*Constants!$H87*EF!$H212*MMVolatEF*NtoN2O*kgtoGg,IF('Net zero activities &amp; levers'!$C$14="On",Constants!$H69*'Net zero Activity data'!BA11*Constants!$H87*EF!$H212*MMVolatEF*NtoN2O*kgtoGg,"ERROR"))</f>
        <v>1.2287167298468532E-4</v>
      </c>
      <c r="AI1191" s="94">
        <f>IF('Net zero activities &amp; levers'!$C$14="Off",Constants!$H69*'Activity data'!BB11*Constants!$H87*EF!$H212*MMVolatEF*NtoN2O*kgtoGg,IF('Net zero activities &amp; levers'!$C$14="On",Constants!$H69*'Net zero Activity data'!BB11*Constants!$H87*EF!$H212*MMVolatEF*NtoN2O*kgtoGg,"ERROR"))</f>
        <v>1.2302401792252464E-4</v>
      </c>
      <c r="AJ1191" s="94">
        <f>IF('Net zero activities &amp; levers'!$C$14="Off",Constants!$H69*'Activity data'!BC11*Constants!$H87*EF!$H212*MMVolatEF*NtoN2O*kgtoGg,IF('Net zero activities &amp; levers'!$C$14="On",Constants!$H69*'Net zero Activity data'!BC11*Constants!$H87*EF!$H212*MMVolatEF*NtoN2O*kgtoGg,"ERROR"))</f>
        <v>1.2319088645114677E-4</v>
      </c>
      <c r="AK1191" s="94">
        <f>IF('Net zero activities &amp; levers'!$C$14="Off",Constants!$H69*'Activity data'!BD11*Constants!$H87*EF!$H212*MMVolatEF*NtoN2O*kgtoGg,IF('Net zero activities &amp; levers'!$C$14="On",Constants!$H69*'Net zero Activity data'!BD11*Constants!$H87*EF!$H212*MMVolatEF*NtoN2O*kgtoGg,"ERROR"))</f>
        <v>1.2336677489796816E-4</v>
      </c>
      <c r="AL1191" s="94">
        <f>IF('Net zero activities &amp; levers'!$C$14="Off",Constants!$H69*'Activity data'!BE11*Constants!$H87*EF!$H212*MMVolatEF*NtoN2O*kgtoGg,IF('Net zero activities &amp; levers'!$C$14="On",Constants!$H69*'Net zero Activity data'!BE11*Constants!$H87*EF!$H212*MMVolatEF*NtoN2O*kgtoGg,"ERROR"))</f>
        <v>1.2355355577482136E-4</v>
      </c>
      <c r="AM1191" s="94">
        <f>IF('Net zero activities &amp; levers'!$C$14="Off",Constants!$H69*'Activity data'!BF11*Constants!$H87*EF!$H212*MMVolatEF*NtoN2O*kgtoGg,IF('Net zero activities &amp; levers'!$C$14="On",Constants!$H69*'Net zero Activity data'!BF11*Constants!$H87*EF!$H212*MMVolatEF*NtoN2O*kgtoGg,"ERROR"))</f>
        <v>1.2375094588099321E-4</v>
      </c>
      <c r="AN1191" s="94">
        <f>IF('Net zero activities &amp; levers'!$C$14="Off",Constants!$H69*'Activity data'!BG11*Constants!$H87*EF!$H212*MMVolatEF*NtoN2O*kgtoGg,IF('Net zero activities &amp; levers'!$C$14="On",Constants!$H69*'Net zero Activity data'!BG11*Constants!$H87*EF!$H212*MMVolatEF*NtoN2O*kgtoGg,"ERROR"))</f>
        <v>1.2386757855810271E-4</v>
      </c>
      <c r="AO1191" s="94">
        <f>IF('Net zero activities &amp; levers'!$C$14="Off",Constants!$H69*'Activity data'!BH11*Constants!$H87*EF!$H212*MMVolatEF*NtoN2O*kgtoGg,IF('Net zero activities &amp; levers'!$C$14="On",Constants!$H69*'Net zero Activity data'!BH11*Constants!$H87*EF!$H212*MMVolatEF*NtoN2O*kgtoGg,"ERROR"))</f>
        <v>1.2399208535623994E-4</v>
      </c>
      <c r="AP1191" s="94">
        <f>IF('Net zero activities &amp; levers'!$C$14="Off",Constants!$H69*'Activity data'!BI11*Constants!$H87*EF!$H212*MMVolatEF*NtoN2O*kgtoGg,IF('Net zero activities &amp; levers'!$C$14="On",Constants!$H69*'Net zero Activity data'!BI11*Constants!$H87*EF!$H212*MMVolatEF*NtoN2O*kgtoGg,"ERROR"))</f>
        <v>1.2412714040619619E-4</v>
      </c>
      <c r="AQ1191" s="94">
        <f>IF('Net zero activities &amp; levers'!$C$14="Off",Constants!$H69*'Activity data'!BJ11*Constants!$H87*EF!$H212*MMVolatEF*NtoN2O*kgtoGg,IF('Net zero activities &amp; levers'!$C$14="On",Constants!$H69*'Net zero Activity data'!BJ11*Constants!$H87*EF!$H212*MMVolatEF*NtoN2O*kgtoGg,"ERROR"))</f>
        <v>1.242726131383893E-4</v>
      </c>
      <c r="AR1191" s="94">
        <f>IF('Net zero activities &amp; levers'!$C$14="Off",Constants!$H69*'Activity data'!BK11*Constants!$H87*EF!$H212*MMVolatEF*NtoN2O*kgtoGg,IF('Net zero activities &amp; levers'!$C$14="On",Constants!$H69*'Net zero Activity data'!BK11*Constants!$H87*EF!$H212*MMVolatEF*NtoN2O*kgtoGg,"ERROR"))</f>
        <v>1.2442850053815514E-4</v>
      </c>
      <c r="AS1191" s="94">
        <f>IF('Net zero activities &amp; levers'!$C$14="Off",Constants!$H69*'Activity data'!BL11*Constants!$H87*EF!$H212*MMVolatEF*NtoN2O*kgtoGg,IF('Net zero activities &amp; levers'!$C$14="On",Constants!$H69*'Net zero Activity data'!BL11*Constants!$H87*EF!$H212*MMVolatEF*NtoN2O*kgtoGg,"ERROR"))</f>
        <v>1.2449922291454818E-4</v>
      </c>
      <c r="AT1191" s="94">
        <f>IF('Net zero activities &amp; levers'!$C$14="Off",Constants!$H69*'Activity data'!BM11*Constants!$H87*EF!$H212*MMVolatEF*NtoN2O*kgtoGg,IF('Net zero activities &amp; levers'!$C$14="On",Constants!$H69*'Net zero Activity data'!BM11*Constants!$H87*EF!$H212*MMVolatEF*NtoN2O*kgtoGg,"ERROR"))</f>
        <v>1.2454479881058539E-4</v>
      </c>
      <c r="AU1191" s="94">
        <f>IF('Net zero activities &amp; levers'!$C$14="Off",Constants!$H69*'Activity data'!BN11*Constants!$H87*EF!$H212*MMVolatEF*NtoN2O*kgtoGg,IF('Net zero activities &amp; levers'!$C$14="On",Constants!$H69*'Net zero Activity data'!BN11*Constants!$H87*EF!$H212*MMVolatEF*NtoN2O*kgtoGg,"ERROR"))</f>
        <v>1.2459475860623469E-4</v>
      </c>
      <c r="AV1191" s="94">
        <f>IF('Net zero activities &amp; levers'!$C$14="Off",Constants!$H69*'Activity data'!BO11*Constants!$H87*EF!$H212*MMVolatEF*NtoN2O*kgtoGg,IF('Net zero activities &amp; levers'!$C$14="On",Constants!$H69*'Net zero Activity data'!BO11*Constants!$H87*EF!$H212*MMVolatEF*NtoN2O*kgtoGg,"ERROR"))</f>
        <v>1.2464752954530566E-4</v>
      </c>
      <c r="AW1191" s="94">
        <f>IF('Net zero activities &amp; levers'!$C$14="Off",Constants!$H69*'Activity data'!BP11*Constants!$H87*EF!$H212*MMVolatEF*NtoN2O*kgtoGg,IF('Net zero activities &amp; levers'!$C$14="On",Constants!$H69*'Net zero Activity data'!BP11*Constants!$H87*EF!$H212*MMVolatEF*NtoN2O*kgtoGg,"ERROR"))</f>
        <v>1.2470598620434531E-4</v>
      </c>
      <c r="AY1191" s="79"/>
    </row>
    <row r="1192" spans="1:51" x14ac:dyDescent="0.3">
      <c r="A1192" s="95" t="str">
        <f t="shared" si="380"/>
        <v>CM MM Volatilisation</v>
      </c>
      <c r="B1192" s="95" t="s">
        <v>1322</v>
      </c>
      <c r="C1192" s="95" t="s">
        <v>1332</v>
      </c>
      <c r="D1192" t="s">
        <v>369</v>
      </c>
      <c r="E1192" t="s">
        <v>64</v>
      </c>
      <c r="F1192" t="s">
        <v>62</v>
      </c>
      <c r="G1192" t="s">
        <v>1166</v>
      </c>
      <c r="H1192" t="s">
        <v>1297</v>
      </c>
      <c r="I1192" t="s">
        <v>139</v>
      </c>
      <c r="J1192" t="s">
        <v>287</v>
      </c>
      <c r="K1192" s="94">
        <f>IF('Net zero activities &amp; levers'!$C$14="Off",Constants!$H70*'Activity data'!AD12*Constants!$H88*EF!$H213*MMVolatEF*NtoN2O*kgtoGg,IF('Net zero activities &amp; levers'!$C$14="On",Constants!$H70*'Net zero Activity data'!AD12*Constants!$H88*EF!$H213*MMVolatEF*NtoN2O*kgtoGg,"ERROR"))</f>
        <v>8.042066176599371E-4</v>
      </c>
      <c r="L1192" s="94">
        <f>IF('Net zero activities &amp; levers'!$C$14="Off",Constants!$H70*'Activity data'!AE12*Constants!$H88*EF!$H213*MMVolatEF*NtoN2O*kgtoGg,IF('Net zero activities &amp; levers'!$C$14="On",Constants!$H70*'Net zero Activity data'!AE12*Constants!$H88*EF!$H213*MMVolatEF*NtoN2O*kgtoGg,"ERROR"))</f>
        <v>8.046414496191049E-4</v>
      </c>
      <c r="M1192" s="94">
        <f>IF('Net zero activities &amp; levers'!$C$14="Off",Constants!$H70*'Activity data'!AF12*Constants!$H88*EF!$H213*MMVolatEF*NtoN2O*kgtoGg,IF('Net zero activities &amp; levers'!$C$14="On",Constants!$H70*'Net zero Activity data'!AF12*Constants!$H88*EF!$H213*MMVolatEF*NtoN2O*kgtoGg,"ERROR"))</f>
        <v>8.0568111652005547E-4</v>
      </c>
      <c r="N1192" s="94">
        <f>IF('Net zero activities &amp; levers'!$C$14="Off",Constants!$H70*'Activity data'!AG12*Constants!$H88*EF!$H213*MMVolatEF*NtoN2O*kgtoGg,IF('Net zero activities &amp; levers'!$C$14="On",Constants!$H70*'Net zero Activity data'!AG12*Constants!$H88*EF!$H213*MMVolatEF*NtoN2O*kgtoGg,"ERROR"))</f>
        <v>8.0721411369945729E-4</v>
      </c>
      <c r="O1192" s="94">
        <f>IF('Net zero activities &amp; levers'!$C$14="Off",Constants!$H70*'Activity data'!AH12*Constants!$H88*EF!$H213*MMVolatEF*NtoN2O*kgtoGg,IF('Net zero activities &amp; levers'!$C$14="On",Constants!$H70*'Net zero Activity data'!AH12*Constants!$H88*EF!$H213*MMVolatEF*NtoN2O*kgtoGg,"ERROR"))</f>
        <v>8.0923069942871869E-4</v>
      </c>
      <c r="P1192" s="94">
        <f>IF('Net zero activities &amp; levers'!$C$14="Off",Constants!$H70*'Activity data'!AI12*Constants!$H88*EF!$H213*MMVolatEF*NtoN2O*kgtoGg,IF('Net zero activities &amp; levers'!$C$14="On",Constants!$H70*'Net zero Activity data'!AI12*Constants!$H88*EF!$H213*MMVolatEF*NtoN2O*kgtoGg,"ERROR"))</f>
        <v>8.117095793970544E-4</v>
      </c>
      <c r="Q1192" s="94">
        <f>IF('Net zero activities &amp; levers'!$C$14="Off",Constants!$H70*'Activity data'!AJ12*Constants!$H88*EF!$H213*MMVolatEF*NtoN2O*kgtoGg,IF('Net zero activities &amp; levers'!$C$14="On",Constants!$H70*'Net zero Activity data'!AJ12*Constants!$H88*EF!$H213*MMVolatEF*NtoN2O*kgtoGg,"ERROR"))</f>
        <v>8.1449369995900982E-4</v>
      </c>
      <c r="R1192" s="94">
        <f>IF('Net zero activities &amp; levers'!$C$14="Off",Constants!$H70*'Activity data'!AK12*Constants!$H88*EF!$H213*MMVolatEF*NtoN2O*kgtoGg,IF('Net zero activities &amp; levers'!$C$14="On",Constants!$H70*'Net zero Activity data'!AK12*Constants!$H88*EF!$H213*MMVolatEF*NtoN2O*kgtoGg,"ERROR"))</f>
        <v>8.1756548398113221E-4</v>
      </c>
      <c r="S1192" s="94">
        <f>IF('Net zero activities &amp; levers'!$C$14="Off",Constants!$H70*'Activity data'!AL12*Constants!$H88*EF!$H213*MMVolatEF*NtoN2O*kgtoGg,IF('Net zero activities &amp; levers'!$C$14="On",Constants!$H70*'Net zero Activity data'!AL12*Constants!$H88*EF!$H213*MMVolatEF*NtoN2O*kgtoGg,"ERROR"))</f>
        <v>8.2037446135049667E-4</v>
      </c>
      <c r="T1192" s="94">
        <f>IF('Net zero activities &amp; levers'!$C$14="Off",Constants!$H70*'Activity data'!AM12*Constants!$H88*EF!$H213*MMVolatEF*NtoN2O*kgtoGg,IF('Net zero activities &amp; levers'!$C$14="On",Constants!$H70*'Net zero Activity data'!AM12*Constants!$H88*EF!$H213*MMVolatEF*NtoN2O*kgtoGg,"ERROR"))</f>
        <v>8.2160879401085645E-4</v>
      </c>
      <c r="U1192" s="94">
        <f>IF('Net zero activities &amp; levers'!$C$14="Off",Constants!$H70*'Activity data'!AN12*Constants!$H88*EF!$H213*MMVolatEF*NtoN2O*kgtoGg,IF('Net zero activities &amp; levers'!$C$14="On",Constants!$H70*'Net zero Activity data'!AN12*Constants!$H88*EF!$H213*MMVolatEF*NtoN2O*kgtoGg,"ERROR"))</f>
        <v>8.2311617936359845E-4</v>
      </c>
      <c r="V1192" s="94">
        <f>IF('Net zero activities &amp; levers'!$C$14="Off",Constants!$H70*'Activity data'!AO12*Constants!$H88*EF!$H213*MMVolatEF*NtoN2O*kgtoGg,IF('Net zero activities &amp; levers'!$C$14="On",Constants!$H70*'Net zero Activity data'!AO12*Constants!$H88*EF!$H213*MMVolatEF*NtoN2O*kgtoGg,"ERROR"))</f>
        <v>8.2470055903049121E-4</v>
      </c>
      <c r="W1192" s="94">
        <f>IF('Net zero activities &amp; levers'!$C$14="Off",Constants!$H70*'Activity data'!AP12*Constants!$H88*EF!$H213*MMVolatEF*NtoN2O*kgtoGg,IF('Net zero activities &amp; levers'!$C$14="On",Constants!$H70*'Net zero Activity data'!AP12*Constants!$H88*EF!$H213*MMVolatEF*NtoN2O*kgtoGg,"ERROR"))</f>
        <v>8.2647936345526477E-4</v>
      </c>
      <c r="X1192" s="94">
        <f>IF('Net zero activities &amp; levers'!$C$14="Off",Constants!$H70*'Activity data'!AQ12*Constants!$H88*EF!$H213*MMVolatEF*NtoN2O*kgtoGg,IF('Net zero activities &amp; levers'!$C$14="On",Constants!$H70*'Net zero Activity data'!AQ12*Constants!$H88*EF!$H213*MMVolatEF*NtoN2O*kgtoGg,"ERROR"))</f>
        <v>8.2844761550796096E-4</v>
      </c>
      <c r="Y1192" s="94">
        <f>IF('Net zero activities &amp; levers'!$C$14="Off",Constants!$H70*'Activity data'!AR12*Constants!$H88*EF!$H213*MMVolatEF*NtoN2O*kgtoGg,IF('Net zero activities &amp; levers'!$C$14="On",Constants!$H70*'Net zero Activity data'!AR12*Constants!$H88*EF!$H213*MMVolatEF*NtoN2O*kgtoGg,"ERROR"))</f>
        <v>8.2967683846882541E-4</v>
      </c>
      <c r="Z1192" s="94">
        <f>IF('Net zero activities &amp; levers'!$C$14="Off",Constants!$H70*'Activity data'!AS12*Constants!$H88*EF!$H213*MMVolatEF*NtoN2O*kgtoGg,IF('Net zero activities &amp; levers'!$C$14="On",Constants!$H70*'Net zero Activity data'!AS12*Constants!$H88*EF!$H213*MMVolatEF*NtoN2O*kgtoGg,"ERROR"))</f>
        <v>8.3106554881077761E-4</v>
      </c>
      <c r="AA1192" s="94">
        <f>IF('Net zero activities &amp; levers'!$C$14="Off",Constants!$H70*'Activity data'!AT12*Constants!$H88*EF!$H213*MMVolatEF*NtoN2O*kgtoGg,IF('Net zero activities &amp; levers'!$C$14="On",Constants!$H70*'Net zero Activity data'!AT12*Constants!$H88*EF!$H213*MMVolatEF*NtoN2O*kgtoGg,"ERROR"))</f>
        <v>8.3259498197684714E-4</v>
      </c>
      <c r="AB1192" s="94">
        <f>IF('Net zero activities &amp; levers'!$C$14="Off",Constants!$H70*'Activity data'!AU12*Constants!$H88*EF!$H213*MMVolatEF*NtoN2O*kgtoGg,IF('Net zero activities &amp; levers'!$C$14="On",Constants!$H70*'Net zero Activity data'!AU12*Constants!$H88*EF!$H213*MMVolatEF*NtoN2O*kgtoGg,"ERROR"))</f>
        <v>8.3426934336987486E-4</v>
      </c>
      <c r="AC1192" s="94">
        <f>IF('Net zero activities &amp; levers'!$C$14="Off",Constants!$H70*'Activity data'!AV12*Constants!$H88*EF!$H213*MMVolatEF*NtoN2O*kgtoGg,IF('Net zero activities &amp; levers'!$C$14="On",Constants!$H70*'Net zero Activity data'!AV12*Constants!$H88*EF!$H213*MMVolatEF*NtoN2O*kgtoGg,"ERROR"))</f>
        <v>8.3607135106340792E-4</v>
      </c>
      <c r="AD1192" s="94">
        <f>IF('Net zero activities &amp; levers'!$C$14="Off",Constants!$H70*'Activity data'!AW12*Constants!$H88*EF!$H213*MMVolatEF*NtoN2O*kgtoGg,IF('Net zero activities &amp; levers'!$C$14="On",Constants!$H70*'Net zero Activity data'!AW12*Constants!$H88*EF!$H213*MMVolatEF*NtoN2O*kgtoGg,"ERROR"))</f>
        <v>8.3728016534748921E-4</v>
      </c>
      <c r="AE1192" s="94">
        <f>IF('Net zero activities &amp; levers'!$C$14="Off",Constants!$H70*'Activity data'!AX12*Constants!$H88*EF!$H213*MMVolatEF*NtoN2O*kgtoGg,IF('Net zero activities &amp; levers'!$C$14="On",Constants!$H70*'Net zero Activity data'!AX12*Constants!$H88*EF!$H213*MMVolatEF*NtoN2O*kgtoGg,"ERROR"))</f>
        <v>8.3859247059226414E-4</v>
      </c>
      <c r="AF1192" s="94">
        <f>IF('Net zero activities &amp; levers'!$C$14="Off",Constants!$H70*'Activity data'!AY12*Constants!$H88*EF!$H213*MMVolatEF*NtoN2O*kgtoGg,IF('Net zero activities &amp; levers'!$C$14="On",Constants!$H70*'Net zero Activity data'!AY12*Constants!$H88*EF!$H213*MMVolatEF*NtoN2O*kgtoGg,"ERROR"))</f>
        <v>8.4001881558262628E-4</v>
      </c>
      <c r="AG1192" s="94">
        <f>IF('Net zero activities &amp; levers'!$C$14="Off",Constants!$H70*'Activity data'!AZ12*Constants!$H88*EF!$H213*MMVolatEF*NtoN2O*kgtoGg,IF('Net zero activities &amp; levers'!$C$14="On",Constants!$H70*'Net zero Activity data'!AZ12*Constants!$H88*EF!$H213*MMVolatEF*NtoN2O*kgtoGg,"ERROR"))</f>
        <v>8.4157312374641413E-4</v>
      </c>
      <c r="AH1192" s="94">
        <f>IF('Net zero activities &amp; levers'!$C$14="Off",Constants!$H70*'Activity data'!BA12*Constants!$H88*EF!$H213*MMVolatEF*NtoN2O*kgtoGg,IF('Net zero activities &amp; levers'!$C$14="On",Constants!$H70*'Net zero Activity data'!BA12*Constants!$H88*EF!$H213*MMVolatEF*NtoN2O*kgtoGg,"ERROR"))</f>
        <v>8.4320872238584225E-4</v>
      </c>
      <c r="AI1192" s="94">
        <f>IF('Net zero activities &amp; levers'!$C$14="Off",Constants!$H70*'Activity data'!BB12*Constants!$H88*EF!$H213*MMVolatEF*NtoN2O*kgtoGg,IF('Net zero activities &amp; levers'!$C$14="On",Constants!$H70*'Net zero Activity data'!BB12*Constants!$H88*EF!$H213*MMVolatEF*NtoN2O*kgtoGg,"ERROR"))</f>
        <v>8.4425419183601768E-4</v>
      </c>
      <c r="AJ1192" s="94">
        <f>IF('Net zero activities &amp; levers'!$C$14="Off",Constants!$H70*'Activity data'!BC12*Constants!$H88*EF!$H213*MMVolatEF*NtoN2O*kgtoGg,IF('Net zero activities &amp; levers'!$C$14="On",Constants!$H70*'Net zero Activity data'!BC12*Constants!$H88*EF!$H213*MMVolatEF*NtoN2O*kgtoGg,"ERROR"))</f>
        <v>8.4539932964856662E-4</v>
      </c>
      <c r="AK1192" s="94">
        <f>IF('Net zero activities &amp; levers'!$C$14="Off",Constants!$H70*'Activity data'!BD12*Constants!$H88*EF!$H213*MMVolatEF*NtoN2O*kgtoGg,IF('Net zero activities &amp; levers'!$C$14="On",Constants!$H70*'Net zero Activity data'!BD12*Constants!$H88*EF!$H213*MMVolatEF*NtoN2O*kgtoGg,"ERROR"))</f>
        <v>8.4660636678677789E-4</v>
      </c>
      <c r="AL1192" s="94">
        <f>IF('Net zero activities &amp; levers'!$C$14="Off",Constants!$H70*'Activity data'!BE12*Constants!$H88*EF!$H213*MMVolatEF*NtoN2O*kgtoGg,IF('Net zero activities &amp; levers'!$C$14="On",Constants!$H70*'Net zero Activity data'!BE12*Constants!$H88*EF!$H213*MMVolatEF*NtoN2O*kgtoGg,"ERROR"))</f>
        <v>8.4788815339154825E-4</v>
      </c>
      <c r="AM1192" s="94">
        <f>IF('Net zero activities &amp; levers'!$C$14="Off",Constants!$H70*'Activity data'!BF12*Constants!$H88*EF!$H213*MMVolatEF*NtoN2O*kgtoGg,IF('Net zero activities &amp; levers'!$C$14="On",Constants!$H70*'Net zero Activity data'!BF12*Constants!$H88*EF!$H213*MMVolatEF*NtoN2O*kgtoGg,"ERROR"))</f>
        <v>8.4924274599368159E-4</v>
      </c>
      <c r="AN1192" s="94">
        <f>IF('Net zero activities &amp; levers'!$C$14="Off",Constants!$H70*'Activity data'!BG12*Constants!$H88*EF!$H213*MMVolatEF*NtoN2O*kgtoGg,IF('Net zero activities &amp; levers'!$C$14="On",Constants!$H70*'Net zero Activity data'!BG12*Constants!$H88*EF!$H213*MMVolatEF*NtoN2O*kgtoGg,"ERROR"))</f>
        <v>8.5004313951209814E-4</v>
      </c>
      <c r="AO1192" s="94">
        <f>IF('Net zero activities &amp; levers'!$C$14="Off",Constants!$H70*'Activity data'!BH12*Constants!$H88*EF!$H213*MMVolatEF*NtoN2O*kgtoGg,IF('Net zero activities &amp; levers'!$C$14="On",Constants!$H70*'Net zero Activity data'!BH12*Constants!$H88*EF!$H213*MMVolatEF*NtoN2O*kgtoGg,"ERROR"))</f>
        <v>8.5089756930568201E-4</v>
      </c>
      <c r="AP1192" s="94">
        <f>IF('Net zero activities &amp; levers'!$C$14="Off",Constants!$H70*'Activity data'!BI12*Constants!$H88*EF!$H213*MMVolatEF*NtoN2O*kgtoGg,IF('Net zero activities &amp; levers'!$C$14="On",Constants!$H70*'Net zero Activity data'!BI12*Constants!$H88*EF!$H213*MMVolatEF*NtoN2O*kgtoGg,"ERROR"))</f>
        <v>8.5182438663761119E-4</v>
      </c>
      <c r="AQ1192" s="94">
        <f>IF('Net zero activities &amp; levers'!$C$14="Off",Constants!$H70*'Activity data'!BJ12*Constants!$H88*EF!$H213*MMVolatEF*NtoN2O*kgtoGg,IF('Net zero activities &amp; levers'!$C$14="On",Constants!$H70*'Net zero Activity data'!BJ12*Constants!$H88*EF!$H213*MMVolatEF*NtoN2O*kgtoGg,"ERROR"))</f>
        <v>8.5282269547214476E-4</v>
      </c>
      <c r="AR1192" s="94">
        <f>IF('Net zero activities &amp; levers'!$C$14="Off",Constants!$H70*'Activity data'!BK12*Constants!$H88*EF!$H213*MMVolatEF*NtoN2O*kgtoGg,IF('Net zero activities &amp; levers'!$C$14="On",Constants!$H70*'Net zero Activity data'!BK12*Constants!$H88*EF!$H213*MMVolatEF*NtoN2O*kgtoGg,"ERROR"))</f>
        <v>8.5389247512110444E-4</v>
      </c>
      <c r="AS1192" s="94">
        <f>IF('Net zero activities &amp; levers'!$C$14="Off",Constants!$H70*'Activity data'!BL12*Constants!$H88*EF!$H213*MMVolatEF*NtoN2O*kgtoGg,IF('Net zero activities &amp; levers'!$C$14="On",Constants!$H70*'Net zero Activity data'!BL12*Constants!$H88*EF!$H213*MMVolatEF*NtoN2O*kgtoGg,"ERROR"))</f>
        <v>8.5437780850343642E-4</v>
      </c>
      <c r="AT1192" s="94">
        <f>IF('Net zero activities &amp; levers'!$C$14="Off",Constants!$H70*'Activity data'!BM12*Constants!$H88*EF!$H213*MMVolatEF*NtoN2O*kgtoGg,IF('Net zero activities &amp; levers'!$C$14="On",Constants!$H70*'Net zero Activity data'!BM12*Constants!$H88*EF!$H213*MMVolatEF*NtoN2O*kgtoGg,"ERROR"))</f>
        <v>8.5469057378232966E-4</v>
      </c>
      <c r="AU1192" s="94">
        <f>IF('Net zero activities &amp; levers'!$C$14="Off",Constants!$H70*'Activity data'!BN12*Constants!$H88*EF!$H213*MMVolatEF*NtoN2O*kgtoGg,IF('Net zero activities &amp; levers'!$C$14="On",Constants!$H70*'Net zero Activity data'!BN12*Constants!$H88*EF!$H213*MMVolatEF*NtoN2O*kgtoGg,"ERROR"))</f>
        <v>8.5503342363890623E-4</v>
      </c>
      <c r="AV1192" s="94">
        <f>IF('Net zero activities &amp; levers'!$C$14="Off",Constants!$H70*'Activity data'!BO12*Constants!$H88*EF!$H213*MMVolatEF*NtoN2O*kgtoGg,IF('Net zero activities &amp; levers'!$C$14="On",Constants!$H70*'Net zero Activity data'!BO12*Constants!$H88*EF!$H213*MMVolatEF*NtoN2O*kgtoGg,"ERROR"))</f>
        <v>8.5539556500991744E-4</v>
      </c>
      <c r="AW1192" s="94">
        <f>IF('Net zero activities &amp; levers'!$C$14="Off",Constants!$H70*'Activity data'!BP12*Constants!$H88*EF!$H213*MMVolatEF*NtoN2O*kgtoGg,IF('Net zero activities &amp; levers'!$C$14="On",Constants!$H70*'Net zero Activity data'!BP12*Constants!$H88*EF!$H213*MMVolatEF*NtoN2O*kgtoGg,"ERROR"))</f>
        <v>8.5579672472058501E-4</v>
      </c>
      <c r="AY1192" s="79"/>
    </row>
    <row r="1193" spans="1:51" x14ac:dyDescent="0.3">
      <c r="A1193" s="95" t="str">
        <f t="shared" si="380"/>
        <v>CM MM Volatilisation</v>
      </c>
      <c r="B1193" s="95" t="s">
        <v>1322</v>
      </c>
      <c r="C1193" s="95" t="s">
        <v>1332</v>
      </c>
      <c r="D1193" t="s">
        <v>369</v>
      </c>
      <c r="E1193" t="s">
        <v>64</v>
      </c>
      <c r="F1193" t="s">
        <v>62</v>
      </c>
      <c r="G1193" t="s">
        <v>1168</v>
      </c>
      <c r="H1193" t="s">
        <v>1298</v>
      </c>
      <c r="I1193" t="s">
        <v>139</v>
      </c>
      <c r="J1193" t="s">
        <v>287</v>
      </c>
      <c r="K1193" s="94">
        <f>IF('Net zero activities &amp; levers'!$C$14="Off",Constants!$H71*'Activity data'!AD13*Constants!$H89*EF!$H214*MMVolatEF*NtoN2O*kgtoGg,IF('Net zero activities &amp; levers'!$C$14="On",Constants!$H71*'Net zero Activity data'!AD13*Constants!$H89*EF!$H214*MMVolatEF*NtoN2O*kgtoGg,"ERROR"))</f>
        <v>1.4486129996083085E-5</v>
      </c>
      <c r="L1193" s="94">
        <f>IF('Net zero activities &amp; levers'!$C$14="Off",Constants!$H71*'Activity data'!AE13*Constants!$H89*EF!$H214*MMVolatEF*NtoN2O*kgtoGg,IF('Net zero activities &amp; levers'!$C$14="On",Constants!$H71*'Net zero Activity data'!AE13*Constants!$H89*EF!$H214*MMVolatEF*NtoN2O*kgtoGg,"ERROR"))</f>
        <v>1.4523786941695515E-5</v>
      </c>
      <c r="M1193" s="94">
        <f>IF('Net zero activities &amp; levers'!$C$14="Off",Constants!$H71*'Activity data'!AF13*Constants!$H89*EF!$H214*MMVolatEF*NtoN2O*kgtoGg,IF('Net zero activities &amp; levers'!$C$14="On",Constants!$H71*'Net zero Activity data'!AF13*Constants!$H89*EF!$H214*MMVolatEF*NtoN2O*kgtoGg,"ERROR"))</f>
        <v>1.4575733367418309E-5</v>
      </c>
      <c r="N1193" s="94">
        <f>IF('Net zero activities &amp; levers'!$C$14="Off",Constants!$H71*'Activity data'!AG13*Constants!$H89*EF!$H214*MMVolatEF*NtoN2O*kgtoGg,IF('Net zero activities &amp; levers'!$C$14="On",Constants!$H71*'Net zero Activity data'!AG13*Constants!$H89*EF!$H214*MMVolatEF*NtoN2O*kgtoGg,"ERROR"))</f>
        <v>1.4639017833045655E-5</v>
      </c>
      <c r="O1193" s="94">
        <f>IF('Net zero activities &amp; levers'!$C$14="Off",Constants!$H71*'Activity data'!AH13*Constants!$H89*EF!$H214*MMVolatEF*NtoN2O*kgtoGg,IF('Net zero activities &amp; levers'!$C$14="On",Constants!$H71*'Net zero Activity data'!AH13*Constants!$H89*EF!$H214*MMVolatEF*NtoN2O*kgtoGg,"ERROR"))</f>
        <v>1.471355007817218E-5</v>
      </c>
      <c r="P1193" s="94">
        <f>IF('Net zero activities &amp; levers'!$C$14="Off",Constants!$H71*'Activity data'!AI13*Constants!$H89*EF!$H214*MMVolatEF*NtoN2O*kgtoGg,IF('Net zero activities &amp; levers'!$C$14="On",Constants!$H71*'Net zero Activity data'!AI13*Constants!$H89*EF!$H214*MMVolatEF*NtoN2O*kgtoGg,"ERROR"))</f>
        <v>1.4798876460462532E-5</v>
      </c>
      <c r="Q1193" s="94">
        <f>IF('Net zero activities &amp; levers'!$C$14="Off",Constants!$H71*'Activity data'!AJ13*Constants!$H89*EF!$H214*MMVolatEF*NtoN2O*kgtoGg,IF('Net zero activities &amp; levers'!$C$14="On",Constants!$H71*'Net zero Activity data'!AJ13*Constants!$H89*EF!$H214*MMVolatEF*NtoN2O*kgtoGg,"ERROR"))</f>
        <v>1.489070601115726E-5</v>
      </c>
      <c r="R1193" s="94">
        <f>IF('Net zero activities &amp; levers'!$C$14="Off",Constants!$H71*'Activity data'!AK13*Constants!$H89*EF!$H214*MMVolatEF*NtoN2O*kgtoGg,IF('Net zero activities &amp; levers'!$C$14="On",Constants!$H71*'Net zero Activity data'!AK13*Constants!$H89*EF!$H214*MMVolatEF*NtoN2O*kgtoGg,"ERROR"))</f>
        <v>1.4988675221399694E-5</v>
      </c>
      <c r="S1193" s="94">
        <f>IF('Net zero activities &amp; levers'!$C$14="Off",Constants!$H71*'Activity data'!AL13*Constants!$H89*EF!$H214*MMVolatEF*NtoN2O*kgtoGg,IF('Net zero activities &amp; levers'!$C$14="On",Constants!$H71*'Net zero Activity data'!AL13*Constants!$H89*EF!$H214*MMVolatEF*NtoN2O*kgtoGg,"ERROR"))</f>
        <v>1.5077522200056562E-5</v>
      </c>
      <c r="T1193" s="94">
        <f>IF('Net zero activities &amp; levers'!$C$14="Off",Constants!$H71*'Activity data'!AM13*Constants!$H89*EF!$H214*MMVolatEF*NtoN2O*kgtoGg,IF('Net zero activities &amp; levers'!$C$14="On",Constants!$H71*'Net zero Activity data'!AM13*Constants!$H89*EF!$H214*MMVolatEF*NtoN2O*kgtoGg,"ERROR"))</f>
        <v>1.5120920467659651E-5</v>
      </c>
      <c r="U1193" s="94">
        <f>IF('Net zero activities &amp; levers'!$C$14="Off",Constants!$H71*'Activity data'!AN13*Constants!$H89*EF!$H214*MMVolatEF*NtoN2O*kgtoGg,IF('Net zero activities &amp; levers'!$C$14="On",Constants!$H71*'Net zero Activity data'!AN13*Constants!$H89*EF!$H214*MMVolatEF*NtoN2O*kgtoGg,"ERROR"))</f>
        <v>1.5170664566545744E-5</v>
      </c>
      <c r="V1193" s="94">
        <f>IF('Net zero activities &amp; levers'!$C$14="Off",Constants!$H71*'Activity data'!AO13*Constants!$H89*EF!$H214*MMVolatEF*NtoN2O*kgtoGg,IF('Net zero activities &amp; levers'!$C$14="On",Constants!$H71*'Net zero Activity data'!AO13*Constants!$H89*EF!$H214*MMVolatEF*NtoN2O*kgtoGg,"ERROR"))</f>
        <v>1.5221371307810579E-5</v>
      </c>
      <c r="W1193" s="94">
        <f>IF('Net zero activities &amp; levers'!$C$14="Off",Constants!$H71*'Activity data'!AP13*Constants!$H89*EF!$H214*MMVolatEF*NtoN2O*kgtoGg,IF('Net zero activities &amp; levers'!$C$14="On",Constants!$H71*'Net zero Activity data'!AP13*Constants!$H89*EF!$H214*MMVolatEF*NtoN2O*kgtoGg,"ERROR"))</f>
        <v>1.5276366577947841E-5</v>
      </c>
      <c r="X1193" s="94">
        <f>IF('Net zero activities &amp; levers'!$C$14="Off",Constants!$H71*'Activity data'!AQ13*Constants!$H89*EF!$H214*MMVolatEF*NtoN2O*kgtoGg,IF('Net zero activities &amp; levers'!$C$14="On",Constants!$H71*'Net zero Activity data'!AQ13*Constants!$H89*EF!$H214*MMVolatEF*NtoN2O*kgtoGg,"ERROR"))</f>
        <v>1.5335559486365855E-5</v>
      </c>
      <c r="Y1193" s="94">
        <f>IF('Net zero activities &amp; levers'!$C$14="Off",Constants!$H71*'Activity data'!AR13*Constants!$H89*EF!$H214*MMVolatEF*NtoN2O*kgtoGg,IF('Net zero activities &amp; levers'!$C$14="On",Constants!$H71*'Net zero Activity data'!AR13*Constants!$H89*EF!$H214*MMVolatEF*NtoN2O*kgtoGg,"ERROR"))</f>
        <v>1.5373440359637545E-5</v>
      </c>
      <c r="Z1193" s="94">
        <f>IF('Net zero activities &amp; levers'!$C$14="Off",Constants!$H71*'Activity data'!AS13*Constants!$H89*EF!$H214*MMVolatEF*NtoN2O*kgtoGg,IF('Net zero activities &amp; levers'!$C$14="On",Constants!$H71*'Net zero Activity data'!AS13*Constants!$H89*EF!$H214*MMVolatEF*NtoN2O*kgtoGg,"ERROR"))</f>
        <v>1.5414884136013281E-5</v>
      </c>
      <c r="AA1193" s="94">
        <f>IF('Net zero activities &amp; levers'!$C$14="Off",Constants!$H71*'Activity data'!AT13*Constants!$H89*EF!$H214*MMVolatEF*NtoN2O*kgtoGg,IF('Net zero activities &amp; levers'!$C$14="On",Constants!$H71*'Net zero Activity data'!AT13*Constants!$H89*EF!$H214*MMVolatEF*NtoN2O*kgtoGg,"ERROR"))</f>
        <v>1.5459406079654033E-5</v>
      </c>
      <c r="AB1193" s="94">
        <f>IF('Net zero activities &amp; levers'!$C$14="Off",Constants!$H71*'Activity data'!AU13*Constants!$H89*EF!$H214*MMVolatEF*NtoN2O*kgtoGg,IF('Net zero activities &amp; levers'!$C$14="On",Constants!$H71*'Net zero Activity data'!AU13*Constants!$H89*EF!$H214*MMVolatEF*NtoN2O*kgtoGg,"ERROR"))</f>
        <v>1.5507149153927191E-5</v>
      </c>
      <c r="AC1193" s="94">
        <f>IF('Net zero activities &amp; levers'!$C$14="Off",Constants!$H71*'Activity data'!AV13*Constants!$H89*EF!$H214*MMVolatEF*NtoN2O*kgtoGg,IF('Net zero activities &amp; levers'!$C$14="On",Constants!$H71*'Net zero Activity data'!AV13*Constants!$H89*EF!$H214*MMVolatEF*NtoN2O*kgtoGg,"ERROR"))</f>
        <v>1.5557665060375898E-5</v>
      </c>
      <c r="AD1193" s="94">
        <f>IF('Net zero activities &amp; levers'!$C$14="Off",Constants!$H71*'Activity data'!AW13*Constants!$H89*EF!$H214*MMVolatEF*NtoN2O*kgtoGg,IF('Net zero activities &amp; levers'!$C$14="On",Constants!$H71*'Net zero Activity data'!AW13*Constants!$H89*EF!$H214*MMVolatEF*NtoN2O*kgtoGg,"ERROR"))</f>
        <v>1.5591353436562986E-5</v>
      </c>
      <c r="AE1193" s="94">
        <f>IF('Net zero activities &amp; levers'!$C$14="Off",Constants!$H71*'Activity data'!AX13*Constants!$H89*EF!$H214*MMVolatEF*NtoN2O*kgtoGg,IF('Net zero activities &amp; levers'!$C$14="On",Constants!$H71*'Net zero Activity data'!AX13*Constants!$H89*EF!$H214*MMVolatEF*NtoN2O*kgtoGg,"ERROR"))</f>
        <v>1.5627280085252664E-5</v>
      </c>
      <c r="AF1193" s="94">
        <f>IF('Net zero activities &amp; levers'!$C$14="Off",Constants!$H71*'Activity data'!AY13*Constants!$H89*EF!$H214*MMVolatEF*NtoN2O*kgtoGg,IF('Net zero activities &amp; levers'!$C$14="On",Constants!$H71*'Net zero Activity data'!AY13*Constants!$H89*EF!$H214*MMVolatEF*NtoN2O*kgtoGg,"ERROR"))</f>
        <v>1.5665749106164008E-5</v>
      </c>
      <c r="AG1193" s="94">
        <f>IF('Net zero activities &amp; levers'!$C$14="Off",Constants!$H71*'Activity data'!AZ13*Constants!$H89*EF!$H214*MMVolatEF*NtoN2O*kgtoGg,IF('Net zero activities &amp; levers'!$C$14="On",Constants!$H71*'Net zero Activity data'!AZ13*Constants!$H89*EF!$H214*MMVolatEF*NtoN2O*kgtoGg,"ERROR"))</f>
        <v>1.5707151218007595E-5</v>
      </c>
      <c r="AH1193" s="94">
        <f>IF('Net zero activities &amp; levers'!$C$14="Off",Constants!$H71*'Activity data'!BA13*Constants!$H89*EF!$H214*MMVolatEF*NtoN2O*kgtoGg,IF('Net zero activities &amp; levers'!$C$14="On",Constants!$H71*'Net zero Activity data'!BA13*Constants!$H89*EF!$H214*MMVolatEF*NtoN2O*kgtoGg,"ERROR"))</f>
        <v>1.5750235619215941E-5</v>
      </c>
      <c r="AI1193" s="94">
        <f>IF('Net zero activities &amp; levers'!$C$14="Off",Constants!$H71*'Activity data'!BB13*Constants!$H89*EF!$H214*MMVolatEF*NtoN2O*kgtoGg,IF('Net zero activities &amp; levers'!$C$14="On",Constants!$H71*'Net zero Activity data'!BB13*Constants!$H89*EF!$H214*MMVolatEF*NtoN2O*kgtoGg,"ERROR"))</f>
        <v>1.5776918897393027E-5</v>
      </c>
      <c r="AJ1193" s="94">
        <f>IF('Net zero activities &amp; levers'!$C$14="Off",Constants!$H71*'Activity data'!BC13*Constants!$H89*EF!$H214*MMVolatEF*NtoN2O*kgtoGg,IF('Net zero activities &amp; levers'!$C$14="On",Constants!$H71*'Net zero Activity data'!BC13*Constants!$H89*EF!$H214*MMVolatEF*NtoN2O*kgtoGg,"ERROR"))</f>
        <v>1.5805875112600263E-5</v>
      </c>
      <c r="AK1193" s="94">
        <f>IF('Net zero activities &amp; levers'!$C$14="Off",Constants!$H71*'Activity data'!BD13*Constants!$H89*EF!$H214*MMVolatEF*NtoN2O*kgtoGg,IF('Net zero activities &amp; levers'!$C$14="On",Constants!$H71*'Net zero Activity data'!BD13*Constants!$H89*EF!$H214*MMVolatEF*NtoN2O*kgtoGg,"ERROR"))</f>
        <v>1.5836097205917668E-5</v>
      </c>
      <c r="AL1193" s="94">
        <f>IF('Net zero activities &amp; levers'!$C$14="Off",Constants!$H71*'Activity data'!BE13*Constants!$H89*EF!$H214*MMVolatEF*NtoN2O*kgtoGg,IF('Net zero activities &amp; levers'!$C$14="On",Constants!$H71*'Net zero Activity data'!BE13*Constants!$H89*EF!$H214*MMVolatEF*NtoN2O*kgtoGg,"ERROR"))</f>
        <v>1.5867941184595161E-5</v>
      </c>
      <c r="AM1193" s="94">
        <f>IF('Net zero activities &amp; levers'!$C$14="Off",Constants!$H71*'Activity data'!BF13*Constants!$H89*EF!$H214*MMVolatEF*NtoN2O*kgtoGg,IF('Net zero activities &amp; levers'!$C$14="On",Constants!$H71*'Net zero Activity data'!BF13*Constants!$H89*EF!$H214*MMVolatEF*NtoN2O*kgtoGg,"ERROR"))</f>
        <v>1.5901363449816974E-5</v>
      </c>
      <c r="AN1193" s="94">
        <f>IF('Net zero activities &amp; levers'!$C$14="Off",Constants!$H71*'Activity data'!BG13*Constants!$H89*EF!$H214*MMVolatEF*NtoN2O*kgtoGg,IF('Net zero activities &amp; levers'!$C$14="On",Constants!$H71*'Net zero Activity data'!BG13*Constants!$H89*EF!$H214*MMVolatEF*NtoN2O*kgtoGg,"ERROR"))</f>
        <v>1.5919623331121566E-5</v>
      </c>
      <c r="AO1193" s="94">
        <f>IF('Net zero activities &amp; levers'!$C$14="Off",Constants!$H71*'Activity data'!BH13*Constants!$H89*EF!$H214*MMVolatEF*NtoN2O*kgtoGg,IF('Net zero activities &amp; levers'!$C$14="On",Constants!$H71*'Net zero Activity data'!BH13*Constants!$H89*EF!$H214*MMVolatEF*NtoN2O*kgtoGg,"ERROR"))</f>
        <v>1.5939033537312695E-5</v>
      </c>
      <c r="AP1193" s="94">
        <f>IF('Net zero activities &amp; levers'!$C$14="Off",Constants!$H71*'Activity data'!BI13*Constants!$H89*EF!$H214*MMVolatEF*NtoN2O*kgtoGg,IF('Net zero activities &amp; levers'!$C$14="On",Constants!$H71*'Net zero Activity data'!BI13*Constants!$H89*EF!$H214*MMVolatEF*NtoN2O*kgtoGg,"ERROR"))</f>
        <v>1.5960089556991586E-5</v>
      </c>
      <c r="AQ1193" s="94">
        <f>IF('Net zero activities &amp; levers'!$C$14="Off",Constants!$H71*'Activity data'!BJ13*Constants!$H89*EF!$H214*MMVolatEF*NtoN2O*kgtoGg,IF('Net zero activities &amp; levers'!$C$14="On",Constants!$H71*'Net zero Activity data'!BJ13*Constants!$H89*EF!$H214*MMVolatEF*NtoN2O*kgtoGg,"ERROR"))</f>
        <v>1.5982771280705936E-5</v>
      </c>
      <c r="AR1193" s="94">
        <f>IF('Net zero activities &amp; levers'!$C$14="Off",Constants!$H71*'Activity data'!BK13*Constants!$H89*EF!$H214*MMVolatEF*NtoN2O*kgtoGg,IF('Net zero activities &amp; levers'!$C$14="On",Constants!$H71*'Net zero Activity data'!BK13*Constants!$H89*EF!$H214*MMVolatEF*NtoN2O*kgtoGg,"ERROR"))</f>
        <v>1.6007081325051207E-5</v>
      </c>
      <c r="AS1193" s="94">
        <f>IF('Net zero activities &amp; levers'!$C$14="Off",Constants!$H71*'Activity data'!BL13*Constants!$H89*EF!$H214*MMVolatEF*NtoN2O*kgtoGg,IF('Net zero activities &amp; levers'!$C$14="On",Constants!$H71*'Net zero Activity data'!BL13*Constants!$H89*EF!$H214*MMVolatEF*NtoN2O*kgtoGg,"ERROR"))</f>
        <v>1.6015649873683189E-5</v>
      </c>
      <c r="AT1193" s="94">
        <f>IF('Net zero activities &amp; levers'!$C$14="Off",Constants!$H71*'Activity data'!BM13*Constants!$H89*EF!$H214*MMVolatEF*NtoN2O*kgtoGg,IF('Net zero activities &amp; levers'!$C$14="On",Constants!$H71*'Net zero Activity data'!BM13*Constants!$H89*EF!$H214*MMVolatEF*NtoN2O*kgtoGg,"ERROR"))</f>
        <v>1.6019455168078908E-5</v>
      </c>
      <c r="AU1193" s="94">
        <f>IF('Net zero activities &amp; levers'!$C$14="Off",Constants!$H71*'Activity data'!BN13*Constants!$H89*EF!$H214*MMVolatEF*NtoN2O*kgtoGg,IF('Net zero activities &amp; levers'!$C$14="On",Constants!$H71*'Net zero Activity data'!BN13*Constants!$H89*EF!$H214*MMVolatEF*NtoN2O*kgtoGg,"ERROR"))</f>
        <v>1.6023878849097448E-5</v>
      </c>
      <c r="AV1193" s="94">
        <f>IF('Net zero activities &amp; levers'!$C$14="Off",Constants!$H71*'Activity data'!BO13*Constants!$H89*EF!$H214*MMVolatEF*NtoN2O*kgtoGg,IF('Net zero activities &amp; levers'!$C$14="On",Constants!$H71*'Net zero Activity data'!BO13*Constants!$H89*EF!$H214*MMVolatEF*NtoN2O*kgtoGg,"ERROR"))</f>
        <v>1.6028641289399774E-5</v>
      </c>
      <c r="AW1193" s="94">
        <f>IF('Net zero activities &amp; levers'!$C$14="Off",Constants!$H71*'Activity data'!BP13*Constants!$H89*EF!$H214*MMVolatEF*NtoN2O*kgtoGg,IF('Net zero activities &amp; levers'!$C$14="On",Constants!$H71*'Net zero Activity data'!BP13*Constants!$H89*EF!$H214*MMVolatEF*NtoN2O*kgtoGg,"ERROR"))</f>
        <v>1.6034267352361545E-5</v>
      </c>
      <c r="AY1193" s="79"/>
    </row>
    <row r="1194" spans="1:51" x14ac:dyDescent="0.3">
      <c r="A1194" s="95" t="str">
        <f t="shared" si="380"/>
        <v>CM MM Volatilisation</v>
      </c>
      <c r="B1194" s="95" t="s">
        <v>1322</v>
      </c>
      <c r="C1194" s="95" t="s">
        <v>1332</v>
      </c>
      <c r="D1194" t="s">
        <v>369</v>
      </c>
      <c r="E1194" t="s">
        <v>64</v>
      </c>
      <c r="F1194" t="s">
        <v>62</v>
      </c>
      <c r="G1194" t="s">
        <v>1170</v>
      </c>
      <c r="H1194" t="s">
        <v>1299</v>
      </c>
      <c r="I1194" t="s">
        <v>139</v>
      </c>
      <c r="J1194" t="s">
        <v>287</v>
      </c>
      <c r="K1194" s="94">
        <f>IF('Net zero activities &amp; levers'!$C$14="Off",Constants!$H72*'Activity data'!AD14*Constants!$H90*EF!$H215*MMVolatEF*NtoN2O*kgtoGg,IF('Net zero activities &amp; levers'!$C$14="On",Constants!$H72*'Net zero Activity data'!AD14*Constants!$H90*EF!$H215*MMVolatEF*NtoN2O*kgtoGg,"ERROR"))</f>
        <v>1.4738364076719787E-3</v>
      </c>
      <c r="L1194" s="94">
        <f>IF('Net zero activities &amp; levers'!$C$14="Off",Constants!$H72*'Activity data'!AE14*Constants!$H90*EF!$H215*MMVolatEF*NtoN2O*kgtoGg,IF('Net zero activities &amp; levers'!$C$14="On",Constants!$H72*'Net zero Activity data'!AE14*Constants!$H90*EF!$H215*MMVolatEF*NtoN2O*kgtoGg,"ERROR"))</f>
        <v>1.4776676709189833E-3</v>
      </c>
      <c r="M1194" s="94">
        <f>IF('Net zero activities &amp; levers'!$C$14="Off",Constants!$H72*'Activity data'!AF14*Constants!$H90*EF!$H215*MMVolatEF*NtoN2O*kgtoGg,IF('Net zero activities &amp; levers'!$C$14="On",Constants!$H72*'Net zero Activity data'!AF14*Constants!$H90*EF!$H215*MMVolatEF*NtoN2O*kgtoGg,"ERROR"))</f>
        <v>1.4829527631761549E-3</v>
      </c>
      <c r="N1194" s="94">
        <f>IF('Net zero activities &amp; levers'!$C$14="Off",Constants!$H72*'Activity data'!AG14*Constants!$H90*EF!$H215*MMVolatEF*NtoN2O*kgtoGg,IF('Net zero activities &amp; levers'!$C$14="On",Constants!$H72*'Net zero Activity data'!AG14*Constants!$H90*EF!$H215*MMVolatEF*NtoN2O*kgtoGg,"ERROR"))</f>
        <v>1.4893914013429305E-3</v>
      </c>
      <c r="O1194" s="94">
        <f>IF('Net zero activities &amp; levers'!$C$14="Off",Constants!$H72*'Activity data'!AH14*Constants!$H90*EF!$H215*MMVolatEF*NtoN2O*kgtoGg,IF('Net zero activities &amp; levers'!$C$14="On",Constants!$H72*'Net zero Activity data'!AH14*Constants!$H90*EF!$H215*MMVolatEF*NtoN2O*kgtoGg,"ERROR"))</f>
        <v>1.4969744022163664E-3</v>
      </c>
      <c r="P1194" s="94">
        <f>IF('Net zero activities &amp; levers'!$C$14="Off",Constants!$H72*'Activity data'!AI14*Constants!$H90*EF!$H215*MMVolatEF*NtoN2O*kgtoGg,IF('Net zero activities &amp; levers'!$C$14="On",Constants!$H72*'Net zero Activity data'!AI14*Constants!$H90*EF!$H215*MMVolatEF*NtoN2O*kgtoGg,"ERROR"))</f>
        <v>1.5056556116759296E-3</v>
      </c>
      <c r="Q1194" s="94">
        <f>IF('Net zero activities &amp; levers'!$C$14="Off",Constants!$H72*'Activity data'!AJ14*Constants!$H90*EF!$H215*MMVolatEF*NtoN2O*kgtoGg,IF('Net zero activities &amp; levers'!$C$14="On",Constants!$H72*'Net zero Activity data'!AJ14*Constants!$H90*EF!$H215*MMVolatEF*NtoN2O*kgtoGg,"ERROR"))</f>
        <v>1.5149984613639169E-3</v>
      </c>
      <c r="R1194" s="94">
        <f>IF('Net zero activities &amp; levers'!$C$14="Off",Constants!$H72*'Activity data'!AK14*Constants!$H90*EF!$H215*MMVolatEF*NtoN2O*kgtoGg,IF('Net zero activities &amp; levers'!$C$14="On",Constants!$H72*'Net zero Activity data'!AK14*Constants!$H90*EF!$H215*MMVolatEF*NtoN2O*kgtoGg,"ERROR"))</f>
        <v>1.5249659674490626E-3</v>
      </c>
      <c r="S1194" s="94">
        <f>IF('Net zero activities &amp; levers'!$C$14="Off",Constants!$H72*'Activity data'!AL14*Constants!$H90*EF!$H215*MMVolatEF*NtoN2O*kgtoGg,IF('Net zero activities &amp; levers'!$C$14="On",Constants!$H72*'Net zero Activity data'!AL14*Constants!$H90*EF!$H215*MMVolatEF*NtoN2O*kgtoGg,"ERROR"))</f>
        <v>1.5340053666461951E-3</v>
      </c>
      <c r="T1194" s="94">
        <f>IF('Net zero activities &amp; levers'!$C$14="Off",Constants!$H72*'Activity data'!AM14*Constants!$H90*EF!$H215*MMVolatEF*NtoN2O*kgtoGg,IF('Net zero activities &amp; levers'!$C$14="On",Constants!$H72*'Net zero Activity data'!AM14*Constants!$H90*EF!$H215*MMVolatEF*NtoN2O*kgtoGg,"ERROR"))</f>
        <v>1.5384207589449399E-3</v>
      </c>
      <c r="U1194" s="94">
        <f>IF('Net zero activities &amp; levers'!$C$14="Off",Constants!$H72*'Activity data'!AN14*Constants!$H90*EF!$H215*MMVolatEF*NtoN2O*kgtoGg,IF('Net zero activities &amp; levers'!$C$14="On",Constants!$H72*'Net zero Activity data'!AN14*Constants!$H90*EF!$H215*MMVolatEF*NtoN2O*kgtoGg,"ERROR"))</f>
        <v>1.5434817838028542E-3</v>
      </c>
      <c r="V1194" s="94">
        <f>IF('Net zero activities &amp; levers'!$C$14="Off",Constants!$H72*'Activity data'!AO14*Constants!$H90*EF!$H215*MMVolatEF*NtoN2O*kgtoGg,IF('Net zero activities &amp; levers'!$C$14="On",Constants!$H72*'Net zero Activity data'!AO14*Constants!$H90*EF!$H215*MMVolatEF*NtoN2O*kgtoGg,"ERROR"))</f>
        <v>1.5486407490620871E-3</v>
      </c>
      <c r="W1194" s="94">
        <f>IF('Net zero activities &amp; levers'!$C$14="Off",Constants!$H72*'Activity data'!AP14*Constants!$H90*EF!$H215*MMVolatEF*NtoN2O*kgtoGg,IF('Net zero activities &amp; levers'!$C$14="On",Constants!$H72*'Net zero Activity data'!AP14*Constants!$H90*EF!$H215*MMVolatEF*NtoN2O*kgtoGg,"ERROR"))</f>
        <v>1.5542360344419619E-3</v>
      </c>
      <c r="X1194" s="94">
        <f>IF('Net zero activities &amp; levers'!$C$14="Off",Constants!$H72*'Activity data'!AQ14*Constants!$H90*EF!$H215*MMVolatEF*NtoN2O*kgtoGg,IF('Net zero activities &amp; levers'!$C$14="On",Constants!$H72*'Net zero Activity data'!AQ14*Constants!$H90*EF!$H215*MMVolatEF*NtoN2O*kgtoGg,"ERROR"))</f>
        <v>1.5602583926236193E-3</v>
      </c>
      <c r="Y1194" s="94">
        <f>IF('Net zero activities &amp; levers'!$C$14="Off",Constants!$H72*'Activity data'!AR14*Constants!$H90*EF!$H215*MMVolatEF*NtoN2O*kgtoGg,IF('Net zero activities &amp; levers'!$C$14="On",Constants!$H72*'Net zero Activity data'!AR14*Constants!$H90*EF!$H215*MMVolatEF*NtoN2O*kgtoGg,"ERROR"))</f>
        <v>1.5641124385418405E-3</v>
      </c>
      <c r="Z1194" s="94">
        <f>IF('Net zero activities &amp; levers'!$C$14="Off",Constants!$H72*'Activity data'!AS14*Constants!$H90*EF!$H215*MMVolatEF*NtoN2O*kgtoGg,IF('Net zero activities &amp; levers'!$C$14="On",Constants!$H72*'Net zero Activity data'!AS14*Constants!$H90*EF!$H215*MMVolatEF*NtoN2O*kgtoGg,"ERROR"))</f>
        <v>1.5683289785363378E-3</v>
      </c>
      <c r="AA1194" s="94">
        <f>IF('Net zero activities &amp; levers'!$C$14="Off",Constants!$H72*'Activity data'!AT14*Constants!$H90*EF!$H215*MMVolatEF*NtoN2O*kgtoGg,IF('Net zero activities &amp; levers'!$C$14="On",Constants!$H72*'Net zero Activity data'!AT14*Constants!$H90*EF!$H215*MMVolatEF*NtoN2O*kgtoGg,"ERROR"))</f>
        <v>1.5728586949958615E-3</v>
      </c>
      <c r="AB1194" s="94">
        <f>IF('Net zero activities &amp; levers'!$C$14="Off",Constants!$H72*'Activity data'!AU14*Constants!$H90*EF!$H215*MMVolatEF*NtoN2O*kgtoGg,IF('Net zero activities &amp; levers'!$C$14="On",Constants!$H72*'Net zero Activity data'!AU14*Constants!$H90*EF!$H215*MMVolatEF*NtoN2O*kgtoGg,"ERROR"))</f>
        <v>1.5777161331865307E-3</v>
      </c>
      <c r="AC1194" s="94">
        <f>IF('Net zero activities &amp; levers'!$C$14="Off",Constants!$H72*'Activity data'!AV14*Constants!$H90*EF!$H215*MMVolatEF*NtoN2O*kgtoGg,IF('Net zero activities &amp; levers'!$C$14="On",Constants!$H72*'Net zero Activity data'!AV14*Constants!$H90*EF!$H215*MMVolatEF*NtoN2O*kgtoGg,"ERROR"))</f>
        <v>1.5828556826804803E-3</v>
      </c>
      <c r="AD1194" s="94">
        <f>IF('Net zero activities &amp; levers'!$C$14="Off",Constants!$H72*'Activity data'!AW14*Constants!$H90*EF!$H215*MMVolatEF*NtoN2O*kgtoGg,IF('Net zero activities &amp; levers'!$C$14="On",Constants!$H72*'Net zero Activity data'!AW14*Constants!$H90*EF!$H215*MMVolatEF*NtoN2O*kgtoGg,"ERROR"))</f>
        <v>1.5862831788684411E-3</v>
      </c>
      <c r="AE1194" s="94">
        <f>IF('Net zero activities &amp; levers'!$C$14="Off",Constants!$H72*'Activity data'!AX14*Constants!$H90*EF!$H215*MMVolatEF*NtoN2O*kgtoGg,IF('Net zero activities &amp; levers'!$C$14="On",Constants!$H72*'Net zero Activity data'!AX14*Constants!$H90*EF!$H215*MMVolatEF*NtoN2O*kgtoGg,"ERROR"))</f>
        <v>1.5899383996112353E-3</v>
      </c>
      <c r="AF1194" s="94">
        <f>IF('Net zero activities &amp; levers'!$C$14="Off",Constants!$H72*'Activity data'!AY14*Constants!$H90*EF!$H215*MMVolatEF*NtoN2O*kgtoGg,IF('Net zero activities &amp; levers'!$C$14="On",Constants!$H72*'Net zero Activity data'!AY14*Constants!$H90*EF!$H215*MMVolatEF*NtoN2O*kgtoGg,"ERROR"))</f>
        <v>1.5938522843825273E-3</v>
      </c>
      <c r="AG1194" s="94">
        <f>IF('Net zero activities &amp; levers'!$C$14="Off",Constants!$H72*'Activity data'!AZ14*Constants!$H90*EF!$H215*MMVolatEF*NtoN2O*kgtoGg,IF('Net zero activities &amp; levers'!$C$14="On",Constants!$H72*'Net zero Activity data'!AZ14*Constants!$H90*EF!$H215*MMVolatEF*NtoN2O*kgtoGg,"ERROR"))</f>
        <v>1.5980645853770706E-3</v>
      </c>
      <c r="AH1194" s="94">
        <f>IF('Net zero activities &amp; levers'!$C$14="Off",Constants!$H72*'Activity data'!BA14*Constants!$H90*EF!$H215*MMVolatEF*NtoN2O*kgtoGg,IF('Net zero activities &amp; levers'!$C$14="On",Constants!$H72*'Net zero Activity data'!BA14*Constants!$H90*EF!$H215*MMVolatEF*NtoN2O*kgtoGg,"ERROR"))</f>
        <v>1.6024480445287401E-3</v>
      </c>
      <c r="AI1194" s="94">
        <f>IF('Net zero activities &amp; levers'!$C$14="Off",Constants!$H72*'Activity data'!BB14*Constants!$H90*EF!$H215*MMVolatEF*NtoN2O*kgtoGg,IF('Net zero activities &amp; levers'!$C$14="On",Constants!$H72*'Net zero Activity data'!BB14*Constants!$H90*EF!$H215*MMVolatEF*NtoN2O*kgtoGg,"ERROR"))</f>
        <v>1.6051628335623928E-3</v>
      </c>
      <c r="AJ1194" s="94">
        <f>IF('Net zero activities &amp; levers'!$C$14="Off",Constants!$H72*'Activity data'!BC14*Constants!$H90*EF!$H215*MMVolatEF*NtoN2O*kgtoGg,IF('Net zero activities &amp; levers'!$C$14="On",Constants!$H72*'Net zero Activity data'!BC14*Constants!$H90*EF!$H215*MMVolatEF*NtoN2O*kgtoGg,"ERROR"))</f>
        <v>1.6081088739618883E-3</v>
      </c>
      <c r="AK1194" s="94">
        <f>IF('Net zero activities &amp; levers'!$C$14="Off",Constants!$H72*'Activity data'!BD14*Constants!$H90*EF!$H215*MMVolatEF*NtoN2O*kgtoGg,IF('Net zero activities &amp; levers'!$C$14="On",Constants!$H72*'Net zero Activity data'!BD14*Constants!$H90*EF!$H215*MMVolatEF*NtoN2O*kgtoGg,"ERROR"))</f>
        <v>1.611183706333218E-3</v>
      </c>
      <c r="AL1194" s="94">
        <f>IF('Net zero activities &amp; levers'!$C$14="Off",Constants!$H72*'Activity data'!BE14*Constants!$H90*EF!$H215*MMVolatEF*NtoN2O*kgtoGg,IF('Net zero activities &amp; levers'!$C$14="On",Constants!$H72*'Net zero Activity data'!BE14*Constants!$H90*EF!$H215*MMVolatEF*NtoN2O*kgtoGg,"ERROR"))</f>
        <v>1.6144235512850938E-3</v>
      </c>
      <c r="AM1194" s="94">
        <f>IF('Net zero activities &amp; levers'!$C$14="Off",Constants!$H72*'Activity data'!BF14*Constants!$H90*EF!$H215*MMVolatEF*NtoN2O*kgtoGg,IF('Net zero activities &amp; levers'!$C$14="On",Constants!$H72*'Net zero Activity data'!BF14*Constants!$H90*EF!$H215*MMVolatEF*NtoN2O*kgtoGg,"ERROR"))</f>
        <v>1.6178239730212022E-3</v>
      </c>
      <c r="AN1194" s="94">
        <f>IF('Net zero activities &amp; levers'!$C$14="Off",Constants!$H72*'Activity data'!BG14*Constants!$H90*EF!$H215*MMVolatEF*NtoN2O*kgtoGg,IF('Net zero activities &amp; levers'!$C$14="On",Constants!$H72*'Net zero Activity data'!BG14*Constants!$H90*EF!$H215*MMVolatEF*NtoN2O*kgtoGg,"ERROR"))</f>
        <v>1.6196817554567978E-3</v>
      </c>
      <c r="AO1194" s="94">
        <f>IF('Net zero activities &amp; levers'!$C$14="Off",Constants!$H72*'Activity data'!BH14*Constants!$H90*EF!$H215*MMVolatEF*NtoN2O*kgtoGg,IF('Net zero activities &amp; levers'!$C$14="On",Constants!$H72*'Net zero Activity data'!BH14*Constants!$H90*EF!$H215*MMVolatEF*NtoN2O*kgtoGg,"ERROR"))</f>
        <v>1.6216565733393274E-3</v>
      </c>
      <c r="AP1194" s="94">
        <f>IF('Net zero activities &amp; levers'!$C$14="Off",Constants!$H72*'Activity data'!BI14*Constants!$H90*EF!$H215*MMVolatEF*NtoN2O*kgtoGg,IF('Net zero activities &amp; levers'!$C$14="On",Constants!$H72*'Net zero Activity data'!BI14*Constants!$H90*EF!$H215*MMVolatEF*NtoN2O*kgtoGg,"ERROR"))</f>
        <v>1.623798838279086E-3</v>
      </c>
      <c r="AQ1194" s="94">
        <f>IF('Net zero activities &amp; levers'!$C$14="Off",Constants!$H72*'Activity data'!BJ14*Constants!$H90*EF!$H215*MMVolatEF*NtoN2O*kgtoGg,IF('Net zero activities &amp; levers'!$C$14="On",Constants!$H72*'Net zero Activity data'!BJ14*Constants!$H90*EF!$H215*MMVolatEF*NtoN2O*kgtoGg,"ERROR"))</f>
        <v>1.6261065043160481E-3</v>
      </c>
      <c r="AR1194" s="94">
        <f>IF('Net zero activities &amp; levers'!$C$14="Off",Constants!$H72*'Activity data'!BK14*Constants!$H90*EF!$H215*MMVolatEF*NtoN2O*kgtoGg,IF('Net zero activities &amp; levers'!$C$14="On",Constants!$H72*'Net zero Activity data'!BK14*Constants!$H90*EF!$H215*MMVolatEF*NtoN2O*kgtoGg,"ERROR"))</f>
        <v>1.6285798376658015E-3</v>
      </c>
      <c r="AS1194" s="94">
        <f>IF('Net zero activities &amp; levers'!$C$14="Off",Constants!$H72*'Activity data'!BL14*Constants!$H90*EF!$H215*MMVolatEF*NtoN2O*kgtoGg,IF('Net zero activities &amp; levers'!$C$14="On",Constants!$H72*'Net zero Activity data'!BL14*Constants!$H90*EF!$H215*MMVolatEF*NtoN2O*kgtoGg,"ERROR"))</f>
        <v>1.6294516121796393E-3</v>
      </c>
      <c r="AT1194" s="94">
        <f>IF('Net zero activities &amp; levers'!$C$14="Off",Constants!$H72*'Activity data'!BM14*Constants!$H90*EF!$H215*MMVolatEF*NtoN2O*kgtoGg,IF('Net zero activities &amp; levers'!$C$14="On",Constants!$H72*'Net zero Activity data'!BM14*Constants!$H90*EF!$H215*MMVolatEF*NtoN2O*kgtoGg,"ERROR"))</f>
        <v>1.6298387674394525E-3</v>
      </c>
      <c r="AU1194" s="94">
        <f>IF('Net zero activities &amp; levers'!$C$14="Off",Constants!$H72*'Activity data'!BN14*Constants!$H90*EF!$H215*MMVolatEF*NtoN2O*kgtoGg,IF('Net zero activities &amp; levers'!$C$14="On",Constants!$H72*'Net zero Activity data'!BN14*Constants!$H90*EF!$H215*MMVolatEF*NtoN2O*kgtoGg,"ERROR"))</f>
        <v>1.630288838103102E-3</v>
      </c>
      <c r="AV1194" s="94">
        <f>IF('Net zero activities &amp; levers'!$C$14="Off",Constants!$H72*'Activity data'!BO14*Constants!$H90*EF!$H215*MMVolatEF*NtoN2O*kgtoGg,IF('Net zero activities &amp; levers'!$C$14="On",Constants!$H72*'Net zero Activity data'!BO14*Constants!$H90*EF!$H215*MMVolatEF*NtoN2O*kgtoGg,"ERROR"))</f>
        <v>1.6307733745465026E-3</v>
      </c>
      <c r="AW1194" s="94">
        <f>IF('Net zero activities &amp; levers'!$C$14="Off",Constants!$H72*'Activity data'!BP14*Constants!$H90*EF!$H215*MMVolatEF*NtoN2O*kgtoGg,IF('Net zero activities &amp; levers'!$C$14="On",Constants!$H72*'Net zero Activity data'!BP14*Constants!$H90*EF!$H215*MMVolatEF*NtoN2O*kgtoGg,"ERROR"))</f>
        <v>1.6313457770050716E-3</v>
      </c>
      <c r="AY1194" s="79"/>
    </row>
    <row r="1195" spans="1:51" x14ac:dyDescent="0.3">
      <c r="A1195" s="95" t="str">
        <f t="shared" si="380"/>
        <v>CM MM Volatilisation</v>
      </c>
      <c r="B1195" s="95" t="s">
        <v>1322</v>
      </c>
      <c r="C1195" s="95" t="s">
        <v>1332</v>
      </c>
      <c r="D1195" t="s">
        <v>369</v>
      </c>
      <c r="E1195" t="s">
        <v>64</v>
      </c>
      <c r="F1195" t="s">
        <v>62</v>
      </c>
      <c r="G1195" t="s">
        <v>1172</v>
      </c>
      <c r="H1195" t="s">
        <v>1300</v>
      </c>
      <c r="I1195" t="s">
        <v>139</v>
      </c>
      <c r="J1195" t="s">
        <v>287</v>
      </c>
      <c r="K1195" s="94">
        <f>IF('Net zero activities &amp; levers'!$C$14="Off",Constants!$H73*'Activity data'!AD15*Constants!$H91*EF!$H216*MMVolatEF*NtoN2O*kgtoGg,IF('Net zero activities &amp; levers'!$C$14="On",Constants!$H73*'Net zero Activity data'!AD15*Constants!$H91*EF!$H216*MMVolatEF*NtoN2O*kgtoGg,"ERROR"))</f>
        <v>0</v>
      </c>
      <c r="L1195" s="94">
        <f>IF('Net zero activities &amp; levers'!$C$14="Off",Constants!$H73*'Activity data'!AE15*Constants!$H91*EF!$H216*MMVolatEF*NtoN2O*kgtoGg,IF('Net zero activities &amp; levers'!$C$14="On",Constants!$H73*'Net zero Activity data'!AE15*Constants!$H91*EF!$H216*MMVolatEF*NtoN2O*kgtoGg,"ERROR"))</f>
        <v>0</v>
      </c>
      <c r="M1195" s="94">
        <f>IF('Net zero activities &amp; levers'!$C$14="Off",Constants!$H73*'Activity data'!AF15*Constants!$H91*EF!$H216*MMVolatEF*NtoN2O*kgtoGg,IF('Net zero activities &amp; levers'!$C$14="On",Constants!$H73*'Net zero Activity data'!AF15*Constants!$H91*EF!$H216*MMVolatEF*NtoN2O*kgtoGg,"ERROR"))</f>
        <v>0</v>
      </c>
      <c r="N1195" s="94">
        <f>IF('Net zero activities &amp; levers'!$C$14="Off",Constants!$H73*'Activity data'!AG15*Constants!$H91*EF!$H216*MMVolatEF*NtoN2O*kgtoGg,IF('Net zero activities &amp; levers'!$C$14="On",Constants!$H73*'Net zero Activity data'!AG15*Constants!$H91*EF!$H216*MMVolatEF*NtoN2O*kgtoGg,"ERROR"))</f>
        <v>0</v>
      </c>
      <c r="O1195" s="94">
        <f>IF('Net zero activities &amp; levers'!$C$14="Off",Constants!$H73*'Activity data'!AH15*Constants!$H91*EF!$H216*MMVolatEF*NtoN2O*kgtoGg,IF('Net zero activities &amp; levers'!$C$14="On",Constants!$H73*'Net zero Activity data'!AH15*Constants!$H91*EF!$H216*MMVolatEF*NtoN2O*kgtoGg,"ERROR"))</f>
        <v>0</v>
      </c>
      <c r="P1195" s="94">
        <f>IF('Net zero activities &amp; levers'!$C$14="Off",Constants!$H73*'Activity data'!AI15*Constants!$H91*EF!$H216*MMVolatEF*NtoN2O*kgtoGg,IF('Net zero activities &amp; levers'!$C$14="On",Constants!$H73*'Net zero Activity data'!AI15*Constants!$H91*EF!$H216*MMVolatEF*NtoN2O*kgtoGg,"ERROR"))</f>
        <v>0</v>
      </c>
      <c r="Q1195" s="94">
        <f>IF('Net zero activities &amp; levers'!$C$14="Off",Constants!$H73*'Activity data'!AJ15*Constants!$H91*EF!$H216*MMVolatEF*NtoN2O*kgtoGg,IF('Net zero activities &amp; levers'!$C$14="On",Constants!$H73*'Net zero Activity data'!AJ15*Constants!$H91*EF!$H216*MMVolatEF*NtoN2O*kgtoGg,"ERROR"))</f>
        <v>0</v>
      </c>
      <c r="R1195" s="94">
        <f>IF('Net zero activities &amp; levers'!$C$14="Off",Constants!$H73*'Activity data'!AK15*Constants!$H91*EF!$H216*MMVolatEF*NtoN2O*kgtoGg,IF('Net zero activities &amp; levers'!$C$14="On",Constants!$H73*'Net zero Activity data'!AK15*Constants!$H91*EF!$H216*MMVolatEF*NtoN2O*kgtoGg,"ERROR"))</f>
        <v>0</v>
      </c>
      <c r="S1195" s="94">
        <f>IF('Net zero activities &amp; levers'!$C$14="Off",Constants!$H73*'Activity data'!AL15*Constants!$H91*EF!$H216*MMVolatEF*NtoN2O*kgtoGg,IF('Net zero activities &amp; levers'!$C$14="On",Constants!$H73*'Net zero Activity data'!AL15*Constants!$H91*EF!$H216*MMVolatEF*NtoN2O*kgtoGg,"ERROR"))</f>
        <v>0</v>
      </c>
      <c r="T1195" s="94">
        <f>IF('Net zero activities &amp; levers'!$C$14="Off",Constants!$H73*'Activity data'!AM15*Constants!$H91*EF!$H216*MMVolatEF*NtoN2O*kgtoGg,IF('Net zero activities &amp; levers'!$C$14="On",Constants!$H73*'Net zero Activity data'!AM15*Constants!$H91*EF!$H216*MMVolatEF*NtoN2O*kgtoGg,"ERROR"))</f>
        <v>0</v>
      </c>
      <c r="U1195" s="94">
        <f>IF('Net zero activities &amp; levers'!$C$14="Off",Constants!$H73*'Activity data'!AN15*Constants!$H91*EF!$H216*MMVolatEF*NtoN2O*kgtoGg,IF('Net zero activities &amp; levers'!$C$14="On",Constants!$H73*'Net zero Activity data'!AN15*Constants!$H91*EF!$H216*MMVolatEF*NtoN2O*kgtoGg,"ERROR"))</f>
        <v>0</v>
      </c>
      <c r="V1195" s="94">
        <f>IF('Net zero activities &amp; levers'!$C$14="Off",Constants!$H73*'Activity data'!AO15*Constants!$H91*EF!$H216*MMVolatEF*NtoN2O*kgtoGg,IF('Net zero activities &amp; levers'!$C$14="On",Constants!$H73*'Net zero Activity data'!AO15*Constants!$H91*EF!$H216*MMVolatEF*NtoN2O*kgtoGg,"ERROR"))</f>
        <v>0</v>
      </c>
      <c r="W1195" s="94">
        <f>IF('Net zero activities &amp; levers'!$C$14="Off",Constants!$H73*'Activity data'!AP15*Constants!$H91*EF!$H216*MMVolatEF*NtoN2O*kgtoGg,IF('Net zero activities &amp; levers'!$C$14="On",Constants!$H73*'Net zero Activity data'!AP15*Constants!$H91*EF!$H216*MMVolatEF*NtoN2O*kgtoGg,"ERROR"))</f>
        <v>0</v>
      </c>
      <c r="X1195" s="94">
        <f>IF('Net zero activities &amp; levers'!$C$14="Off",Constants!$H73*'Activity data'!AQ15*Constants!$H91*EF!$H216*MMVolatEF*NtoN2O*kgtoGg,IF('Net zero activities &amp; levers'!$C$14="On",Constants!$H73*'Net zero Activity data'!AQ15*Constants!$H91*EF!$H216*MMVolatEF*NtoN2O*kgtoGg,"ERROR"))</f>
        <v>0</v>
      </c>
      <c r="Y1195" s="94">
        <f>IF('Net zero activities &amp; levers'!$C$14="Off",Constants!$H73*'Activity data'!AR15*Constants!$H91*EF!$H216*MMVolatEF*NtoN2O*kgtoGg,IF('Net zero activities &amp; levers'!$C$14="On",Constants!$H73*'Net zero Activity data'!AR15*Constants!$H91*EF!$H216*MMVolatEF*NtoN2O*kgtoGg,"ERROR"))</f>
        <v>0</v>
      </c>
      <c r="Z1195" s="94">
        <f>IF('Net zero activities &amp; levers'!$C$14="Off",Constants!$H73*'Activity data'!AS15*Constants!$H91*EF!$H216*MMVolatEF*NtoN2O*kgtoGg,IF('Net zero activities &amp; levers'!$C$14="On",Constants!$H73*'Net zero Activity data'!AS15*Constants!$H91*EF!$H216*MMVolatEF*NtoN2O*kgtoGg,"ERROR"))</f>
        <v>0</v>
      </c>
      <c r="AA1195" s="94">
        <f>IF('Net zero activities &amp; levers'!$C$14="Off",Constants!$H73*'Activity data'!AT15*Constants!$H91*EF!$H216*MMVolatEF*NtoN2O*kgtoGg,IF('Net zero activities &amp; levers'!$C$14="On",Constants!$H73*'Net zero Activity data'!AT15*Constants!$H91*EF!$H216*MMVolatEF*NtoN2O*kgtoGg,"ERROR"))</f>
        <v>0</v>
      </c>
      <c r="AB1195" s="94">
        <f>IF('Net zero activities &amp; levers'!$C$14="Off",Constants!$H73*'Activity data'!AU15*Constants!$H91*EF!$H216*MMVolatEF*NtoN2O*kgtoGg,IF('Net zero activities &amp; levers'!$C$14="On",Constants!$H73*'Net zero Activity data'!AU15*Constants!$H91*EF!$H216*MMVolatEF*NtoN2O*kgtoGg,"ERROR"))</f>
        <v>0</v>
      </c>
      <c r="AC1195" s="94">
        <f>IF('Net zero activities &amp; levers'!$C$14="Off",Constants!$H73*'Activity data'!AV15*Constants!$H91*EF!$H216*MMVolatEF*NtoN2O*kgtoGg,IF('Net zero activities &amp; levers'!$C$14="On",Constants!$H73*'Net zero Activity data'!AV15*Constants!$H91*EF!$H216*MMVolatEF*NtoN2O*kgtoGg,"ERROR"))</f>
        <v>0</v>
      </c>
      <c r="AD1195" s="94">
        <f>IF('Net zero activities &amp; levers'!$C$14="Off",Constants!$H73*'Activity data'!AW15*Constants!$H91*EF!$H216*MMVolatEF*NtoN2O*kgtoGg,IF('Net zero activities &amp; levers'!$C$14="On",Constants!$H73*'Net zero Activity data'!AW15*Constants!$H91*EF!$H216*MMVolatEF*NtoN2O*kgtoGg,"ERROR"))</f>
        <v>0</v>
      </c>
      <c r="AE1195" s="94">
        <f>IF('Net zero activities &amp; levers'!$C$14="Off",Constants!$H73*'Activity data'!AX15*Constants!$H91*EF!$H216*MMVolatEF*NtoN2O*kgtoGg,IF('Net zero activities &amp; levers'!$C$14="On",Constants!$H73*'Net zero Activity data'!AX15*Constants!$H91*EF!$H216*MMVolatEF*NtoN2O*kgtoGg,"ERROR"))</f>
        <v>0</v>
      </c>
      <c r="AF1195" s="94">
        <f>IF('Net zero activities &amp; levers'!$C$14="Off",Constants!$H73*'Activity data'!AY15*Constants!$H91*EF!$H216*MMVolatEF*NtoN2O*kgtoGg,IF('Net zero activities &amp; levers'!$C$14="On",Constants!$H73*'Net zero Activity data'!AY15*Constants!$H91*EF!$H216*MMVolatEF*NtoN2O*kgtoGg,"ERROR"))</f>
        <v>0</v>
      </c>
      <c r="AG1195" s="94">
        <f>IF('Net zero activities &amp; levers'!$C$14="Off",Constants!$H73*'Activity data'!AZ15*Constants!$H91*EF!$H216*MMVolatEF*NtoN2O*kgtoGg,IF('Net zero activities &amp; levers'!$C$14="On",Constants!$H73*'Net zero Activity data'!AZ15*Constants!$H91*EF!$H216*MMVolatEF*NtoN2O*kgtoGg,"ERROR"))</f>
        <v>0</v>
      </c>
      <c r="AH1195" s="94">
        <f>IF('Net zero activities &amp; levers'!$C$14="Off",Constants!$H73*'Activity data'!BA15*Constants!$H91*EF!$H216*MMVolatEF*NtoN2O*kgtoGg,IF('Net zero activities &amp; levers'!$C$14="On",Constants!$H73*'Net zero Activity data'!BA15*Constants!$H91*EF!$H216*MMVolatEF*NtoN2O*kgtoGg,"ERROR"))</f>
        <v>0</v>
      </c>
      <c r="AI1195" s="94">
        <f>IF('Net zero activities &amp; levers'!$C$14="Off",Constants!$H73*'Activity data'!BB15*Constants!$H91*EF!$H216*MMVolatEF*NtoN2O*kgtoGg,IF('Net zero activities &amp; levers'!$C$14="On",Constants!$H73*'Net zero Activity data'!BB15*Constants!$H91*EF!$H216*MMVolatEF*NtoN2O*kgtoGg,"ERROR"))</f>
        <v>0</v>
      </c>
      <c r="AJ1195" s="94">
        <f>IF('Net zero activities &amp; levers'!$C$14="Off",Constants!$H73*'Activity data'!BC15*Constants!$H91*EF!$H216*MMVolatEF*NtoN2O*kgtoGg,IF('Net zero activities &amp; levers'!$C$14="On",Constants!$H73*'Net zero Activity data'!BC15*Constants!$H91*EF!$H216*MMVolatEF*NtoN2O*kgtoGg,"ERROR"))</f>
        <v>0</v>
      </c>
      <c r="AK1195" s="94">
        <f>IF('Net zero activities &amp; levers'!$C$14="Off",Constants!$H73*'Activity data'!BD15*Constants!$H91*EF!$H216*MMVolatEF*NtoN2O*kgtoGg,IF('Net zero activities &amp; levers'!$C$14="On",Constants!$H73*'Net zero Activity data'!BD15*Constants!$H91*EF!$H216*MMVolatEF*NtoN2O*kgtoGg,"ERROR"))</f>
        <v>0</v>
      </c>
      <c r="AL1195" s="94">
        <f>IF('Net zero activities &amp; levers'!$C$14="Off",Constants!$H73*'Activity data'!BE15*Constants!$H91*EF!$H216*MMVolatEF*NtoN2O*kgtoGg,IF('Net zero activities &amp; levers'!$C$14="On",Constants!$H73*'Net zero Activity data'!BE15*Constants!$H91*EF!$H216*MMVolatEF*NtoN2O*kgtoGg,"ERROR"))</f>
        <v>0</v>
      </c>
      <c r="AM1195" s="94">
        <f>IF('Net zero activities &amp; levers'!$C$14="Off",Constants!$H73*'Activity data'!BF15*Constants!$H91*EF!$H216*MMVolatEF*NtoN2O*kgtoGg,IF('Net zero activities &amp; levers'!$C$14="On",Constants!$H73*'Net zero Activity data'!BF15*Constants!$H91*EF!$H216*MMVolatEF*NtoN2O*kgtoGg,"ERROR"))</f>
        <v>0</v>
      </c>
      <c r="AN1195" s="94">
        <f>IF('Net zero activities &amp; levers'!$C$14="Off",Constants!$H73*'Activity data'!BG15*Constants!$H91*EF!$H216*MMVolatEF*NtoN2O*kgtoGg,IF('Net zero activities &amp; levers'!$C$14="On",Constants!$H73*'Net zero Activity data'!BG15*Constants!$H91*EF!$H216*MMVolatEF*NtoN2O*kgtoGg,"ERROR"))</f>
        <v>0</v>
      </c>
      <c r="AO1195" s="94">
        <f>IF('Net zero activities &amp; levers'!$C$14="Off",Constants!$H73*'Activity data'!BH15*Constants!$H91*EF!$H216*MMVolatEF*NtoN2O*kgtoGg,IF('Net zero activities &amp; levers'!$C$14="On",Constants!$H73*'Net zero Activity data'!BH15*Constants!$H91*EF!$H216*MMVolatEF*NtoN2O*kgtoGg,"ERROR"))</f>
        <v>0</v>
      </c>
      <c r="AP1195" s="94">
        <f>IF('Net zero activities &amp; levers'!$C$14="Off",Constants!$H73*'Activity data'!BI15*Constants!$H91*EF!$H216*MMVolatEF*NtoN2O*kgtoGg,IF('Net zero activities &amp; levers'!$C$14="On",Constants!$H73*'Net zero Activity data'!BI15*Constants!$H91*EF!$H216*MMVolatEF*NtoN2O*kgtoGg,"ERROR"))</f>
        <v>0</v>
      </c>
      <c r="AQ1195" s="94">
        <f>IF('Net zero activities &amp; levers'!$C$14="Off",Constants!$H73*'Activity data'!BJ15*Constants!$H91*EF!$H216*MMVolatEF*NtoN2O*kgtoGg,IF('Net zero activities &amp; levers'!$C$14="On",Constants!$H73*'Net zero Activity data'!BJ15*Constants!$H91*EF!$H216*MMVolatEF*NtoN2O*kgtoGg,"ERROR"))</f>
        <v>0</v>
      </c>
      <c r="AR1195" s="94">
        <f>IF('Net zero activities &amp; levers'!$C$14="Off",Constants!$H73*'Activity data'!BK15*Constants!$H91*EF!$H216*MMVolatEF*NtoN2O*kgtoGg,IF('Net zero activities &amp; levers'!$C$14="On",Constants!$H73*'Net zero Activity data'!BK15*Constants!$H91*EF!$H216*MMVolatEF*NtoN2O*kgtoGg,"ERROR"))</f>
        <v>0</v>
      </c>
      <c r="AS1195" s="94">
        <f>IF('Net zero activities &amp; levers'!$C$14="Off",Constants!$H73*'Activity data'!BL15*Constants!$H91*EF!$H216*MMVolatEF*NtoN2O*kgtoGg,IF('Net zero activities &amp; levers'!$C$14="On",Constants!$H73*'Net zero Activity data'!BL15*Constants!$H91*EF!$H216*MMVolatEF*NtoN2O*kgtoGg,"ERROR"))</f>
        <v>0</v>
      </c>
      <c r="AT1195" s="94">
        <f>IF('Net zero activities &amp; levers'!$C$14="Off",Constants!$H73*'Activity data'!BM15*Constants!$H91*EF!$H216*MMVolatEF*NtoN2O*kgtoGg,IF('Net zero activities &amp; levers'!$C$14="On",Constants!$H73*'Net zero Activity data'!BM15*Constants!$H91*EF!$H216*MMVolatEF*NtoN2O*kgtoGg,"ERROR"))</f>
        <v>0</v>
      </c>
      <c r="AU1195" s="94">
        <f>IF('Net zero activities &amp; levers'!$C$14="Off",Constants!$H73*'Activity data'!BN15*Constants!$H91*EF!$H216*MMVolatEF*NtoN2O*kgtoGg,IF('Net zero activities &amp; levers'!$C$14="On",Constants!$H73*'Net zero Activity data'!BN15*Constants!$H91*EF!$H216*MMVolatEF*NtoN2O*kgtoGg,"ERROR"))</f>
        <v>0</v>
      </c>
      <c r="AV1195" s="94">
        <f>IF('Net zero activities &amp; levers'!$C$14="Off",Constants!$H73*'Activity data'!BO15*Constants!$H91*EF!$H216*MMVolatEF*NtoN2O*kgtoGg,IF('Net zero activities &amp; levers'!$C$14="On",Constants!$H73*'Net zero Activity data'!BO15*Constants!$H91*EF!$H216*MMVolatEF*NtoN2O*kgtoGg,"ERROR"))</f>
        <v>0</v>
      </c>
      <c r="AW1195" s="94">
        <f>IF('Net zero activities &amp; levers'!$C$14="Off",Constants!$H73*'Activity data'!BP15*Constants!$H91*EF!$H216*MMVolatEF*NtoN2O*kgtoGg,IF('Net zero activities &amp; levers'!$C$14="On",Constants!$H73*'Net zero Activity data'!BP15*Constants!$H91*EF!$H216*MMVolatEF*NtoN2O*kgtoGg,"ERROR"))</f>
        <v>0</v>
      </c>
      <c r="AY1195" s="79"/>
    </row>
    <row r="1196" spans="1:51" x14ac:dyDescent="0.3">
      <c r="A1196" s="95" t="str">
        <f t="shared" si="380"/>
        <v>CM MM Volatilisation</v>
      </c>
      <c r="B1196" s="95" t="s">
        <v>1322</v>
      </c>
      <c r="C1196" s="95" t="s">
        <v>1332</v>
      </c>
      <c r="D1196" t="s">
        <v>369</v>
      </c>
      <c r="E1196" t="s">
        <v>64</v>
      </c>
      <c r="F1196" t="s">
        <v>62</v>
      </c>
      <c r="G1196" t="s">
        <v>1174</v>
      </c>
      <c r="H1196" t="s">
        <v>1301</v>
      </c>
      <c r="I1196" t="s">
        <v>139</v>
      </c>
      <c r="J1196" t="s">
        <v>287</v>
      </c>
      <c r="K1196" s="94">
        <f>IF('Net zero activities &amp; levers'!$C$14="Off",Constants!$H74*'Activity data'!AD16*Constants!$H92*EF!$H217*MMVolatEF*NtoN2O*kgtoGg,IF('Net zero activities &amp; levers'!$C$14="On",Constants!$H74*'Net zero Activity data'!AD16*Constants!$H92*EF!$H217*MMVolatEF*NtoN2O*kgtoGg,"ERROR"))</f>
        <v>0</v>
      </c>
      <c r="L1196" s="94">
        <f>IF('Net zero activities &amp; levers'!$C$14="Off",Constants!$H74*'Activity data'!AE16*Constants!$H92*EF!$H217*MMVolatEF*NtoN2O*kgtoGg,IF('Net zero activities &amp; levers'!$C$14="On",Constants!$H74*'Net zero Activity data'!AE16*Constants!$H92*EF!$H217*MMVolatEF*NtoN2O*kgtoGg,"ERROR"))</f>
        <v>0</v>
      </c>
      <c r="M1196" s="94">
        <f>IF('Net zero activities &amp; levers'!$C$14="Off",Constants!$H74*'Activity data'!AF16*Constants!$H92*EF!$H217*MMVolatEF*NtoN2O*kgtoGg,IF('Net zero activities &amp; levers'!$C$14="On",Constants!$H74*'Net zero Activity data'!AF16*Constants!$H92*EF!$H217*MMVolatEF*NtoN2O*kgtoGg,"ERROR"))</f>
        <v>0</v>
      </c>
      <c r="N1196" s="94">
        <f>IF('Net zero activities &amp; levers'!$C$14="Off",Constants!$H74*'Activity data'!AG16*Constants!$H92*EF!$H217*MMVolatEF*NtoN2O*kgtoGg,IF('Net zero activities &amp; levers'!$C$14="On",Constants!$H74*'Net zero Activity data'!AG16*Constants!$H92*EF!$H217*MMVolatEF*NtoN2O*kgtoGg,"ERROR"))</f>
        <v>0</v>
      </c>
      <c r="O1196" s="94">
        <f>IF('Net zero activities &amp; levers'!$C$14="Off",Constants!$H74*'Activity data'!AH16*Constants!$H92*EF!$H217*MMVolatEF*NtoN2O*kgtoGg,IF('Net zero activities &amp; levers'!$C$14="On",Constants!$H74*'Net zero Activity data'!AH16*Constants!$H92*EF!$H217*MMVolatEF*NtoN2O*kgtoGg,"ERROR"))</f>
        <v>0</v>
      </c>
      <c r="P1196" s="94">
        <f>IF('Net zero activities &amp; levers'!$C$14="Off",Constants!$H74*'Activity data'!AI16*Constants!$H92*EF!$H217*MMVolatEF*NtoN2O*kgtoGg,IF('Net zero activities &amp; levers'!$C$14="On",Constants!$H74*'Net zero Activity data'!AI16*Constants!$H92*EF!$H217*MMVolatEF*NtoN2O*kgtoGg,"ERROR"))</f>
        <v>0</v>
      </c>
      <c r="Q1196" s="94">
        <f>IF('Net zero activities &amp; levers'!$C$14="Off",Constants!$H74*'Activity data'!AJ16*Constants!$H92*EF!$H217*MMVolatEF*NtoN2O*kgtoGg,IF('Net zero activities &amp; levers'!$C$14="On",Constants!$H74*'Net zero Activity data'!AJ16*Constants!$H92*EF!$H217*MMVolatEF*NtoN2O*kgtoGg,"ERROR"))</f>
        <v>0</v>
      </c>
      <c r="R1196" s="94">
        <f>IF('Net zero activities &amp; levers'!$C$14="Off",Constants!$H74*'Activity data'!AK16*Constants!$H92*EF!$H217*MMVolatEF*NtoN2O*kgtoGg,IF('Net zero activities &amp; levers'!$C$14="On",Constants!$H74*'Net zero Activity data'!AK16*Constants!$H92*EF!$H217*MMVolatEF*NtoN2O*kgtoGg,"ERROR"))</f>
        <v>0</v>
      </c>
      <c r="S1196" s="94">
        <f>IF('Net zero activities &amp; levers'!$C$14="Off",Constants!$H74*'Activity data'!AL16*Constants!$H92*EF!$H217*MMVolatEF*NtoN2O*kgtoGg,IF('Net zero activities &amp; levers'!$C$14="On",Constants!$H74*'Net zero Activity data'!AL16*Constants!$H92*EF!$H217*MMVolatEF*NtoN2O*kgtoGg,"ERROR"))</f>
        <v>0</v>
      </c>
      <c r="T1196" s="94">
        <f>IF('Net zero activities &amp; levers'!$C$14="Off",Constants!$H74*'Activity data'!AM16*Constants!$H92*EF!$H217*MMVolatEF*NtoN2O*kgtoGg,IF('Net zero activities &amp; levers'!$C$14="On",Constants!$H74*'Net zero Activity data'!AM16*Constants!$H92*EF!$H217*MMVolatEF*NtoN2O*kgtoGg,"ERROR"))</f>
        <v>0</v>
      </c>
      <c r="U1196" s="94">
        <f>IF('Net zero activities &amp; levers'!$C$14="Off",Constants!$H74*'Activity data'!AN16*Constants!$H92*EF!$H217*MMVolatEF*NtoN2O*kgtoGg,IF('Net zero activities &amp; levers'!$C$14="On",Constants!$H74*'Net zero Activity data'!AN16*Constants!$H92*EF!$H217*MMVolatEF*NtoN2O*kgtoGg,"ERROR"))</f>
        <v>0</v>
      </c>
      <c r="V1196" s="94">
        <f>IF('Net zero activities &amp; levers'!$C$14="Off",Constants!$H74*'Activity data'!AO16*Constants!$H92*EF!$H217*MMVolatEF*NtoN2O*kgtoGg,IF('Net zero activities &amp; levers'!$C$14="On",Constants!$H74*'Net zero Activity data'!AO16*Constants!$H92*EF!$H217*MMVolatEF*NtoN2O*kgtoGg,"ERROR"))</f>
        <v>0</v>
      </c>
      <c r="W1196" s="94">
        <f>IF('Net zero activities &amp; levers'!$C$14="Off",Constants!$H74*'Activity data'!AP16*Constants!$H92*EF!$H217*MMVolatEF*NtoN2O*kgtoGg,IF('Net zero activities &amp; levers'!$C$14="On",Constants!$H74*'Net zero Activity data'!AP16*Constants!$H92*EF!$H217*MMVolatEF*NtoN2O*kgtoGg,"ERROR"))</f>
        <v>0</v>
      </c>
      <c r="X1196" s="94">
        <f>IF('Net zero activities &amp; levers'!$C$14="Off",Constants!$H74*'Activity data'!AQ16*Constants!$H92*EF!$H217*MMVolatEF*NtoN2O*kgtoGg,IF('Net zero activities &amp; levers'!$C$14="On",Constants!$H74*'Net zero Activity data'!AQ16*Constants!$H92*EF!$H217*MMVolatEF*NtoN2O*kgtoGg,"ERROR"))</f>
        <v>0</v>
      </c>
      <c r="Y1196" s="94">
        <f>IF('Net zero activities &amp; levers'!$C$14="Off",Constants!$H74*'Activity data'!AR16*Constants!$H92*EF!$H217*MMVolatEF*NtoN2O*kgtoGg,IF('Net zero activities &amp; levers'!$C$14="On",Constants!$H74*'Net zero Activity data'!AR16*Constants!$H92*EF!$H217*MMVolatEF*NtoN2O*kgtoGg,"ERROR"))</f>
        <v>0</v>
      </c>
      <c r="Z1196" s="94">
        <f>IF('Net zero activities &amp; levers'!$C$14="Off",Constants!$H74*'Activity data'!AS16*Constants!$H92*EF!$H217*MMVolatEF*NtoN2O*kgtoGg,IF('Net zero activities &amp; levers'!$C$14="On",Constants!$H74*'Net zero Activity data'!AS16*Constants!$H92*EF!$H217*MMVolatEF*NtoN2O*kgtoGg,"ERROR"))</f>
        <v>0</v>
      </c>
      <c r="AA1196" s="94">
        <f>IF('Net zero activities &amp; levers'!$C$14="Off",Constants!$H74*'Activity data'!AT16*Constants!$H92*EF!$H217*MMVolatEF*NtoN2O*kgtoGg,IF('Net zero activities &amp; levers'!$C$14="On",Constants!$H74*'Net zero Activity data'!AT16*Constants!$H92*EF!$H217*MMVolatEF*NtoN2O*kgtoGg,"ERROR"))</f>
        <v>0</v>
      </c>
      <c r="AB1196" s="94">
        <f>IF('Net zero activities &amp; levers'!$C$14="Off",Constants!$H74*'Activity data'!AU16*Constants!$H92*EF!$H217*MMVolatEF*NtoN2O*kgtoGg,IF('Net zero activities &amp; levers'!$C$14="On",Constants!$H74*'Net zero Activity data'!AU16*Constants!$H92*EF!$H217*MMVolatEF*NtoN2O*kgtoGg,"ERROR"))</f>
        <v>0</v>
      </c>
      <c r="AC1196" s="94">
        <f>IF('Net zero activities &amp; levers'!$C$14="Off",Constants!$H74*'Activity data'!AV16*Constants!$H92*EF!$H217*MMVolatEF*NtoN2O*kgtoGg,IF('Net zero activities &amp; levers'!$C$14="On",Constants!$H74*'Net zero Activity data'!AV16*Constants!$H92*EF!$H217*MMVolatEF*NtoN2O*kgtoGg,"ERROR"))</f>
        <v>0</v>
      </c>
      <c r="AD1196" s="94">
        <f>IF('Net zero activities &amp; levers'!$C$14="Off",Constants!$H74*'Activity data'!AW16*Constants!$H92*EF!$H217*MMVolatEF*NtoN2O*kgtoGg,IF('Net zero activities &amp; levers'!$C$14="On",Constants!$H74*'Net zero Activity data'!AW16*Constants!$H92*EF!$H217*MMVolatEF*NtoN2O*kgtoGg,"ERROR"))</f>
        <v>0</v>
      </c>
      <c r="AE1196" s="94">
        <f>IF('Net zero activities &amp; levers'!$C$14="Off",Constants!$H74*'Activity data'!AX16*Constants!$H92*EF!$H217*MMVolatEF*NtoN2O*kgtoGg,IF('Net zero activities &amp; levers'!$C$14="On",Constants!$H74*'Net zero Activity data'!AX16*Constants!$H92*EF!$H217*MMVolatEF*NtoN2O*kgtoGg,"ERROR"))</f>
        <v>0</v>
      </c>
      <c r="AF1196" s="94">
        <f>IF('Net zero activities &amp; levers'!$C$14="Off",Constants!$H74*'Activity data'!AY16*Constants!$H92*EF!$H217*MMVolatEF*NtoN2O*kgtoGg,IF('Net zero activities &amp; levers'!$C$14="On",Constants!$H74*'Net zero Activity data'!AY16*Constants!$H92*EF!$H217*MMVolatEF*NtoN2O*kgtoGg,"ERROR"))</f>
        <v>0</v>
      </c>
      <c r="AG1196" s="94">
        <f>IF('Net zero activities &amp; levers'!$C$14="Off",Constants!$H74*'Activity data'!AZ16*Constants!$H92*EF!$H217*MMVolatEF*NtoN2O*kgtoGg,IF('Net zero activities &amp; levers'!$C$14="On",Constants!$H74*'Net zero Activity data'!AZ16*Constants!$H92*EF!$H217*MMVolatEF*NtoN2O*kgtoGg,"ERROR"))</f>
        <v>0</v>
      </c>
      <c r="AH1196" s="94">
        <f>IF('Net zero activities &amp; levers'!$C$14="Off",Constants!$H74*'Activity data'!BA16*Constants!$H92*EF!$H217*MMVolatEF*NtoN2O*kgtoGg,IF('Net zero activities &amp; levers'!$C$14="On",Constants!$H74*'Net zero Activity data'!BA16*Constants!$H92*EF!$H217*MMVolatEF*NtoN2O*kgtoGg,"ERROR"))</f>
        <v>0</v>
      </c>
      <c r="AI1196" s="94">
        <f>IF('Net zero activities &amp; levers'!$C$14="Off",Constants!$H74*'Activity data'!BB16*Constants!$H92*EF!$H217*MMVolatEF*NtoN2O*kgtoGg,IF('Net zero activities &amp; levers'!$C$14="On",Constants!$H74*'Net zero Activity data'!BB16*Constants!$H92*EF!$H217*MMVolatEF*NtoN2O*kgtoGg,"ERROR"))</f>
        <v>0</v>
      </c>
      <c r="AJ1196" s="94">
        <f>IF('Net zero activities &amp; levers'!$C$14="Off",Constants!$H74*'Activity data'!BC16*Constants!$H92*EF!$H217*MMVolatEF*NtoN2O*kgtoGg,IF('Net zero activities &amp; levers'!$C$14="On",Constants!$H74*'Net zero Activity data'!BC16*Constants!$H92*EF!$H217*MMVolatEF*NtoN2O*kgtoGg,"ERROR"))</f>
        <v>0</v>
      </c>
      <c r="AK1196" s="94">
        <f>IF('Net zero activities &amp; levers'!$C$14="Off",Constants!$H74*'Activity data'!BD16*Constants!$H92*EF!$H217*MMVolatEF*NtoN2O*kgtoGg,IF('Net zero activities &amp; levers'!$C$14="On",Constants!$H74*'Net zero Activity data'!BD16*Constants!$H92*EF!$H217*MMVolatEF*NtoN2O*kgtoGg,"ERROR"))</f>
        <v>0</v>
      </c>
      <c r="AL1196" s="94">
        <f>IF('Net zero activities &amp; levers'!$C$14="Off",Constants!$H74*'Activity data'!BE16*Constants!$H92*EF!$H217*MMVolatEF*NtoN2O*kgtoGg,IF('Net zero activities &amp; levers'!$C$14="On",Constants!$H74*'Net zero Activity data'!BE16*Constants!$H92*EF!$H217*MMVolatEF*NtoN2O*kgtoGg,"ERROR"))</f>
        <v>0</v>
      </c>
      <c r="AM1196" s="94">
        <f>IF('Net zero activities &amp; levers'!$C$14="Off",Constants!$H74*'Activity data'!BF16*Constants!$H92*EF!$H217*MMVolatEF*NtoN2O*kgtoGg,IF('Net zero activities &amp; levers'!$C$14="On",Constants!$H74*'Net zero Activity data'!BF16*Constants!$H92*EF!$H217*MMVolatEF*NtoN2O*kgtoGg,"ERROR"))</f>
        <v>0</v>
      </c>
      <c r="AN1196" s="94">
        <f>IF('Net zero activities &amp; levers'!$C$14="Off",Constants!$H74*'Activity data'!BG16*Constants!$H92*EF!$H217*MMVolatEF*NtoN2O*kgtoGg,IF('Net zero activities &amp; levers'!$C$14="On",Constants!$H74*'Net zero Activity data'!BG16*Constants!$H92*EF!$H217*MMVolatEF*NtoN2O*kgtoGg,"ERROR"))</f>
        <v>0</v>
      </c>
      <c r="AO1196" s="94">
        <f>IF('Net zero activities &amp; levers'!$C$14="Off",Constants!$H74*'Activity data'!BH16*Constants!$H92*EF!$H217*MMVolatEF*NtoN2O*kgtoGg,IF('Net zero activities &amp; levers'!$C$14="On",Constants!$H74*'Net zero Activity data'!BH16*Constants!$H92*EF!$H217*MMVolatEF*NtoN2O*kgtoGg,"ERROR"))</f>
        <v>0</v>
      </c>
      <c r="AP1196" s="94">
        <f>IF('Net zero activities &amp; levers'!$C$14="Off",Constants!$H74*'Activity data'!BI16*Constants!$H92*EF!$H217*MMVolatEF*NtoN2O*kgtoGg,IF('Net zero activities &amp; levers'!$C$14="On",Constants!$H74*'Net zero Activity data'!BI16*Constants!$H92*EF!$H217*MMVolatEF*NtoN2O*kgtoGg,"ERROR"))</f>
        <v>0</v>
      </c>
      <c r="AQ1196" s="94">
        <f>IF('Net zero activities &amp; levers'!$C$14="Off",Constants!$H74*'Activity data'!BJ16*Constants!$H92*EF!$H217*MMVolatEF*NtoN2O*kgtoGg,IF('Net zero activities &amp; levers'!$C$14="On",Constants!$H74*'Net zero Activity data'!BJ16*Constants!$H92*EF!$H217*MMVolatEF*NtoN2O*kgtoGg,"ERROR"))</f>
        <v>0</v>
      </c>
      <c r="AR1196" s="94">
        <f>IF('Net zero activities &amp; levers'!$C$14="Off",Constants!$H74*'Activity data'!BK16*Constants!$H92*EF!$H217*MMVolatEF*NtoN2O*kgtoGg,IF('Net zero activities &amp; levers'!$C$14="On",Constants!$H74*'Net zero Activity data'!BK16*Constants!$H92*EF!$H217*MMVolatEF*NtoN2O*kgtoGg,"ERROR"))</f>
        <v>0</v>
      </c>
      <c r="AS1196" s="94">
        <f>IF('Net zero activities &amp; levers'!$C$14="Off",Constants!$H74*'Activity data'!BL16*Constants!$H92*EF!$H217*MMVolatEF*NtoN2O*kgtoGg,IF('Net zero activities &amp; levers'!$C$14="On",Constants!$H74*'Net zero Activity data'!BL16*Constants!$H92*EF!$H217*MMVolatEF*NtoN2O*kgtoGg,"ERROR"))</f>
        <v>0</v>
      </c>
      <c r="AT1196" s="94">
        <f>IF('Net zero activities &amp; levers'!$C$14="Off",Constants!$H74*'Activity data'!BM16*Constants!$H92*EF!$H217*MMVolatEF*NtoN2O*kgtoGg,IF('Net zero activities &amp; levers'!$C$14="On",Constants!$H74*'Net zero Activity data'!BM16*Constants!$H92*EF!$H217*MMVolatEF*NtoN2O*kgtoGg,"ERROR"))</f>
        <v>0</v>
      </c>
      <c r="AU1196" s="94">
        <f>IF('Net zero activities &amp; levers'!$C$14="Off",Constants!$H74*'Activity data'!BN16*Constants!$H92*EF!$H217*MMVolatEF*NtoN2O*kgtoGg,IF('Net zero activities &amp; levers'!$C$14="On",Constants!$H74*'Net zero Activity data'!BN16*Constants!$H92*EF!$H217*MMVolatEF*NtoN2O*kgtoGg,"ERROR"))</f>
        <v>0</v>
      </c>
      <c r="AV1196" s="94">
        <f>IF('Net zero activities &amp; levers'!$C$14="Off",Constants!$H74*'Activity data'!BO16*Constants!$H92*EF!$H217*MMVolatEF*NtoN2O*kgtoGg,IF('Net zero activities &amp; levers'!$C$14="On",Constants!$H74*'Net zero Activity data'!BO16*Constants!$H92*EF!$H217*MMVolatEF*NtoN2O*kgtoGg,"ERROR"))</f>
        <v>0</v>
      </c>
      <c r="AW1196" s="94">
        <f>IF('Net zero activities &amp; levers'!$C$14="Off",Constants!$H74*'Activity data'!BP16*Constants!$H92*EF!$H217*MMVolatEF*NtoN2O*kgtoGg,IF('Net zero activities &amp; levers'!$C$14="On",Constants!$H74*'Net zero Activity data'!BP16*Constants!$H92*EF!$H217*MMVolatEF*NtoN2O*kgtoGg,"ERROR"))</f>
        <v>0</v>
      </c>
      <c r="AY1196" s="79"/>
    </row>
    <row r="1197" spans="1:51" x14ac:dyDescent="0.3">
      <c r="A1197" s="95" t="str">
        <f t="shared" si="380"/>
        <v>CM MM Volatilisation</v>
      </c>
      <c r="B1197" s="95" t="s">
        <v>1322</v>
      </c>
      <c r="C1197" s="95" t="s">
        <v>1332</v>
      </c>
      <c r="D1197" t="s">
        <v>369</v>
      </c>
      <c r="E1197" t="s">
        <v>64</v>
      </c>
      <c r="F1197" t="s">
        <v>62</v>
      </c>
      <c r="G1197" t="s">
        <v>1176</v>
      </c>
      <c r="H1197" t="s">
        <v>1302</v>
      </c>
      <c r="I1197" t="s">
        <v>139</v>
      </c>
      <c r="J1197" t="s">
        <v>287</v>
      </c>
      <c r="K1197" s="94">
        <f>IF('Net zero activities &amp; levers'!$C$14="Off",Constants!$H75*'Activity data'!AD17*Constants!$H93*EF!$H218*MMVolatEF*NtoN2O*kgtoGg,IF('Net zero activities &amp; levers'!$C$14="On",Constants!$H75*'Net zero Activity data'!AD17*Constants!$H93*EF!$H218*MMVolatEF*NtoN2O*kgtoGg,"ERROR"))</f>
        <v>0.13075625264316332</v>
      </c>
      <c r="L1197" s="94">
        <f>IF('Net zero activities &amp; levers'!$C$14="Off",Constants!$H75*'Activity data'!AE17*Constants!$H93*EF!$H218*MMVolatEF*NtoN2O*kgtoGg,IF('Net zero activities &amp; levers'!$C$14="On",Constants!$H75*'Net zero Activity data'!AE17*Constants!$H93*EF!$H218*MMVolatEF*NtoN2O*kgtoGg,"ERROR"))</f>
        <v>0.13004550543955862</v>
      </c>
      <c r="M1197" s="94">
        <f>IF('Net zero activities &amp; levers'!$C$14="Off",Constants!$H75*'Activity data'!AF17*Constants!$H93*EF!$H218*MMVolatEF*NtoN2O*kgtoGg,IF('Net zero activities &amp; levers'!$C$14="On",Constants!$H75*'Net zero Activity data'!AF17*Constants!$H93*EF!$H218*MMVolatEF*NtoN2O*kgtoGg,"ERROR"))</f>
        <v>0.13010384136507711</v>
      </c>
      <c r="N1197" s="94">
        <f>IF('Net zero activities &amp; levers'!$C$14="Off",Constants!$H75*'Activity data'!AG17*Constants!$H93*EF!$H218*MMVolatEF*NtoN2O*kgtoGg,IF('Net zero activities &amp; levers'!$C$14="On",Constants!$H75*'Net zero Activity data'!AG17*Constants!$H93*EF!$H218*MMVolatEF*NtoN2O*kgtoGg,"ERROR"))</f>
        <v>0.1289093884029483</v>
      </c>
      <c r="O1197" s="94">
        <f>IF('Net zero activities &amp; levers'!$C$14="Off",Constants!$H75*'Activity data'!AH17*Constants!$H93*EF!$H218*MMVolatEF*NtoN2O*kgtoGg,IF('Net zero activities &amp; levers'!$C$14="On",Constants!$H75*'Net zero Activity data'!AH17*Constants!$H93*EF!$H218*MMVolatEF*NtoN2O*kgtoGg,"ERROR"))</f>
        <v>0.12695857121838472</v>
      </c>
      <c r="P1197" s="94">
        <f>IF('Net zero activities &amp; levers'!$C$14="Off",Constants!$H75*'Activity data'!AI17*Constants!$H93*EF!$H218*MMVolatEF*NtoN2O*kgtoGg,IF('Net zero activities &amp; levers'!$C$14="On",Constants!$H75*'Net zero Activity data'!AI17*Constants!$H93*EF!$H218*MMVolatEF*NtoN2O*kgtoGg,"ERROR"))</f>
        <v>0.12428257569245393</v>
      </c>
      <c r="Q1197" s="94">
        <f>IF('Net zero activities &amp; levers'!$C$14="Off",Constants!$H75*'Activity data'!AJ17*Constants!$H93*EF!$H218*MMVolatEF*NtoN2O*kgtoGg,IF('Net zero activities &amp; levers'!$C$14="On",Constants!$H75*'Net zero Activity data'!AJ17*Constants!$H93*EF!$H218*MMVolatEF*NtoN2O*kgtoGg,"ERROR"))</f>
        <v>0.12233950618032063</v>
      </c>
      <c r="R1197" s="94">
        <f>IF('Net zero activities &amp; levers'!$C$14="Off",Constants!$H75*'Activity data'!AK17*Constants!$H93*EF!$H218*MMVolatEF*NtoN2O*kgtoGg,IF('Net zero activities &amp; levers'!$C$14="On",Constants!$H75*'Net zero Activity data'!AK17*Constants!$H93*EF!$H218*MMVolatEF*NtoN2O*kgtoGg,"ERROR"))</f>
        <v>0.1205683722616282</v>
      </c>
      <c r="S1197" s="94">
        <f>IF('Net zero activities &amp; levers'!$C$14="Off",Constants!$H75*'Activity data'!AL17*Constants!$H93*EF!$H218*MMVolatEF*NtoN2O*kgtoGg,IF('Net zero activities &amp; levers'!$C$14="On",Constants!$H75*'Net zero Activity data'!AL17*Constants!$H93*EF!$H218*MMVolatEF*NtoN2O*kgtoGg,"ERROR"))</f>
        <v>0.1064558326136491</v>
      </c>
      <c r="T1197" s="94">
        <f>IF('Net zero activities &amp; levers'!$C$14="Off",Constants!$H75*'Activity data'!AM17*Constants!$H93*EF!$H218*MMVolatEF*NtoN2O*kgtoGg,IF('Net zero activities &amp; levers'!$C$14="On",Constants!$H75*'Net zero Activity data'!AM17*Constants!$H93*EF!$H218*MMVolatEF*NtoN2O*kgtoGg,"ERROR"))</f>
        <v>0.10780203870685764</v>
      </c>
      <c r="U1197" s="94">
        <f>IF('Net zero activities &amp; levers'!$C$14="Off",Constants!$H75*'Activity data'!AN17*Constants!$H93*EF!$H218*MMVolatEF*NtoN2O*kgtoGg,IF('Net zero activities &amp; levers'!$C$14="On",Constants!$H75*'Net zero Activity data'!AN17*Constants!$H93*EF!$H218*MMVolatEF*NtoN2O*kgtoGg,"ERROR"))</f>
        <v>0.11069073271596624</v>
      </c>
      <c r="V1197" s="94">
        <f>IF('Net zero activities &amp; levers'!$C$14="Off",Constants!$H75*'Activity data'!AO17*Constants!$H93*EF!$H218*MMVolatEF*NtoN2O*kgtoGg,IF('Net zero activities &amp; levers'!$C$14="On",Constants!$H75*'Net zero Activity data'!AO17*Constants!$H93*EF!$H218*MMVolatEF*NtoN2O*kgtoGg,"ERROR"))</f>
        <v>0.11095301112483856</v>
      </c>
      <c r="W1197" s="94">
        <f>IF('Net zero activities &amp; levers'!$C$14="Off",Constants!$H75*'Activity data'!AP17*Constants!$H93*EF!$H218*MMVolatEF*NtoN2O*kgtoGg,IF('Net zero activities &amp; levers'!$C$14="On",Constants!$H75*'Net zero Activity data'!AP17*Constants!$H93*EF!$H218*MMVolatEF*NtoN2O*kgtoGg,"ERROR"))</f>
        <v>0.11152098959254672</v>
      </c>
      <c r="X1197" s="94">
        <f>IF('Net zero activities &amp; levers'!$C$14="Off",Constants!$H75*'Activity data'!AQ17*Constants!$H93*EF!$H218*MMVolatEF*NtoN2O*kgtoGg,IF('Net zero activities &amp; levers'!$C$14="On",Constants!$H75*'Net zero Activity data'!AQ17*Constants!$H93*EF!$H218*MMVolatEF*NtoN2O*kgtoGg,"ERROR"))</f>
        <v>0.11247596118460781</v>
      </c>
      <c r="Y1197" s="94">
        <f>IF('Net zero activities &amp; levers'!$C$14="Off",Constants!$H75*'Activity data'!AR17*Constants!$H93*EF!$H218*MMVolatEF*NtoN2O*kgtoGg,IF('Net zero activities &amp; levers'!$C$14="On",Constants!$H75*'Net zero Activity data'!AR17*Constants!$H93*EF!$H218*MMVolatEF*NtoN2O*kgtoGg,"ERROR"))</f>
        <v>0.11367425965304444</v>
      </c>
      <c r="Z1197" s="94">
        <f>IF('Net zero activities &amp; levers'!$C$14="Off",Constants!$H75*'Activity data'!AS17*Constants!$H93*EF!$H218*MMVolatEF*NtoN2O*kgtoGg,IF('Net zero activities &amp; levers'!$C$14="On",Constants!$H75*'Net zero Activity data'!AS17*Constants!$H93*EF!$H218*MMVolatEF*NtoN2O*kgtoGg,"ERROR"))</f>
        <v>0.11514267283955164</v>
      </c>
      <c r="AA1197" s="94">
        <f>IF('Net zero activities &amp; levers'!$C$14="Off",Constants!$H75*'Activity data'!AT17*Constants!$H93*EF!$H218*MMVolatEF*NtoN2O*kgtoGg,IF('Net zero activities &amp; levers'!$C$14="On",Constants!$H75*'Net zero Activity data'!AT17*Constants!$H93*EF!$H218*MMVolatEF*NtoN2O*kgtoGg,"ERROR"))</f>
        <v>0.11662825764737823</v>
      </c>
      <c r="AB1197" s="94">
        <f>IF('Net zero activities &amp; levers'!$C$14="Off",Constants!$H75*'Activity data'!AU17*Constants!$H93*EF!$H218*MMVolatEF*NtoN2O*kgtoGg,IF('Net zero activities &amp; levers'!$C$14="On",Constants!$H75*'Net zero Activity data'!AU17*Constants!$H93*EF!$H218*MMVolatEF*NtoN2O*kgtoGg,"ERROR"))</f>
        <v>0.11834343516699931</v>
      </c>
      <c r="AC1197" s="94">
        <f>IF('Net zero activities &amp; levers'!$C$14="Off",Constants!$H75*'Activity data'!AV17*Constants!$H93*EF!$H218*MMVolatEF*NtoN2O*kgtoGg,IF('Net zero activities &amp; levers'!$C$14="On",Constants!$H75*'Net zero Activity data'!AV17*Constants!$H93*EF!$H218*MMVolatEF*NtoN2O*kgtoGg,"ERROR"))</f>
        <v>0.12004677457127924</v>
      </c>
      <c r="AD1197" s="94">
        <f>IF('Net zero activities &amp; levers'!$C$14="Off",Constants!$H75*'Activity data'!AW17*Constants!$H93*EF!$H218*MMVolatEF*NtoN2O*kgtoGg,IF('Net zero activities &amp; levers'!$C$14="On",Constants!$H75*'Net zero Activity data'!AW17*Constants!$H93*EF!$H218*MMVolatEF*NtoN2O*kgtoGg,"ERROR"))</f>
        <v>0.12216447018435615</v>
      </c>
      <c r="AE1197" s="94">
        <f>IF('Net zero activities &amp; levers'!$C$14="Off",Constants!$H75*'Activity data'!AX17*Constants!$H93*EF!$H218*MMVolatEF*NtoN2O*kgtoGg,IF('Net zero activities &amp; levers'!$C$14="On",Constants!$H75*'Net zero Activity data'!AX17*Constants!$H93*EF!$H218*MMVolatEF*NtoN2O*kgtoGg,"ERROR"))</f>
        <v>0.12411396366852792</v>
      </c>
      <c r="AF1197" s="94">
        <f>IF('Net zero activities &amp; levers'!$C$14="Off",Constants!$H75*'Activity data'!AY17*Constants!$H93*EF!$H218*MMVolatEF*NtoN2O*kgtoGg,IF('Net zero activities &amp; levers'!$C$14="On",Constants!$H75*'Net zero Activity data'!AY17*Constants!$H93*EF!$H218*MMVolatEF*NtoN2O*kgtoGg,"ERROR"))</f>
        <v>0.12618838059713719</v>
      </c>
      <c r="AG1197" s="94">
        <f>IF('Net zero activities &amp; levers'!$C$14="Off",Constants!$H75*'Activity data'!AZ17*Constants!$H93*EF!$H218*MMVolatEF*NtoN2O*kgtoGg,IF('Net zero activities &amp; levers'!$C$14="On",Constants!$H75*'Net zero Activity data'!AZ17*Constants!$H93*EF!$H218*MMVolatEF*NtoN2O*kgtoGg,"ERROR"))</f>
        <v>0.12871889862830188</v>
      </c>
      <c r="AH1197" s="94">
        <f>IF('Net zero activities &amp; levers'!$C$14="Off",Constants!$H75*'Activity data'!BA17*Constants!$H93*EF!$H218*MMVolatEF*NtoN2O*kgtoGg,IF('Net zero activities &amp; levers'!$C$14="On",Constants!$H75*'Net zero Activity data'!BA17*Constants!$H93*EF!$H218*MMVolatEF*NtoN2O*kgtoGg,"ERROR"))</f>
        <v>0.13089178183294797</v>
      </c>
      <c r="AI1197" s="94">
        <f>IF('Net zero activities &amp; levers'!$C$14="Off",Constants!$H75*'Activity data'!BB17*Constants!$H93*EF!$H218*MMVolatEF*NtoN2O*kgtoGg,IF('Net zero activities &amp; levers'!$C$14="On",Constants!$H75*'Net zero Activity data'!BB17*Constants!$H93*EF!$H218*MMVolatEF*NtoN2O*kgtoGg,"ERROR"))</f>
        <v>0.13323707488889489</v>
      </c>
      <c r="AJ1197" s="94">
        <f>IF('Net zero activities &amp; levers'!$C$14="Off",Constants!$H75*'Activity data'!BC17*Constants!$H93*EF!$H218*MMVolatEF*NtoN2O*kgtoGg,IF('Net zero activities &amp; levers'!$C$14="On",Constants!$H75*'Net zero Activity data'!BC17*Constants!$H93*EF!$H218*MMVolatEF*NtoN2O*kgtoGg,"ERROR"))</f>
        <v>0.13578249309813545</v>
      </c>
      <c r="AK1197" s="94">
        <f>IF('Net zero activities &amp; levers'!$C$14="Off",Constants!$H75*'Activity data'!BD17*Constants!$H93*EF!$H218*MMVolatEF*NtoN2O*kgtoGg,IF('Net zero activities &amp; levers'!$C$14="On",Constants!$H75*'Net zero Activity data'!BD17*Constants!$H93*EF!$H218*MMVolatEF*NtoN2O*kgtoGg,"ERROR"))</f>
        <v>0.13790594882017243</v>
      </c>
      <c r="AL1197" s="94">
        <f>IF('Net zero activities &amp; levers'!$C$14="Off",Constants!$H75*'Activity data'!BE17*Constants!$H93*EF!$H218*MMVolatEF*NtoN2O*kgtoGg,IF('Net zero activities &amp; levers'!$C$14="On",Constants!$H75*'Net zero Activity data'!BE17*Constants!$H93*EF!$H218*MMVolatEF*NtoN2O*kgtoGg,"ERROR"))</f>
        <v>0.13989729447599811</v>
      </c>
      <c r="AM1197" s="94">
        <f>IF('Net zero activities &amp; levers'!$C$14="Off",Constants!$H75*'Activity data'!BF17*Constants!$H93*EF!$H218*MMVolatEF*NtoN2O*kgtoGg,IF('Net zero activities &amp; levers'!$C$14="On",Constants!$H75*'Net zero Activity data'!BF17*Constants!$H93*EF!$H218*MMVolatEF*NtoN2O*kgtoGg,"ERROR"))</f>
        <v>0.14177259067901168</v>
      </c>
      <c r="AN1197" s="94">
        <f>IF('Net zero activities &amp; levers'!$C$14="Off",Constants!$H75*'Activity data'!BG17*Constants!$H93*EF!$H218*MMVolatEF*NtoN2O*kgtoGg,IF('Net zero activities &amp; levers'!$C$14="On",Constants!$H75*'Net zero Activity data'!BG17*Constants!$H93*EF!$H218*MMVolatEF*NtoN2O*kgtoGg,"ERROR"))</f>
        <v>0.14393792175478221</v>
      </c>
      <c r="AO1197" s="94">
        <f>IF('Net zero activities &amp; levers'!$C$14="Off",Constants!$H75*'Activity data'!BH17*Constants!$H93*EF!$H218*MMVolatEF*NtoN2O*kgtoGg,IF('Net zero activities &amp; levers'!$C$14="On",Constants!$H75*'Net zero Activity data'!BH17*Constants!$H93*EF!$H218*MMVolatEF*NtoN2O*kgtoGg,"ERROR"))</f>
        <v>0.14581606733158803</v>
      </c>
      <c r="AP1197" s="94">
        <f>IF('Net zero activities &amp; levers'!$C$14="Off",Constants!$H75*'Activity data'!BI17*Constants!$H93*EF!$H218*MMVolatEF*NtoN2O*kgtoGg,IF('Net zero activities &amp; levers'!$C$14="On",Constants!$H75*'Net zero Activity data'!BI17*Constants!$H93*EF!$H218*MMVolatEF*NtoN2O*kgtoGg,"ERROR"))</f>
        <v>0.14775479067393846</v>
      </c>
      <c r="AQ1197" s="94">
        <f>IF('Net zero activities &amp; levers'!$C$14="Off",Constants!$H75*'Activity data'!BJ17*Constants!$H93*EF!$H218*MMVolatEF*NtoN2O*kgtoGg,IF('Net zero activities &amp; levers'!$C$14="On",Constants!$H75*'Net zero Activity data'!BJ17*Constants!$H93*EF!$H218*MMVolatEF*NtoN2O*kgtoGg,"ERROR"))</f>
        <v>0.14976871512687839</v>
      </c>
      <c r="AR1197" s="94">
        <f>IF('Net zero activities &amp; levers'!$C$14="Off",Constants!$H75*'Activity data'!BK17*Constants!$H93*EF!$H218*MMVolatEF*NtoN2O*kgtoGg,IF('Net zero activities &amp; levers'!$C$14="On",Constants!$H75*'Net zero Activity data'!BK17*Constants!$H93*EF!$H218*MMVolatEF*NtoN2O*kgtoGg,"ERROR"))</f>
        <v>0.15188303991230881</v>
      </c>
      <c r="AS1197" s="94">
        <f>IF('Net zero activities &amp; levers'!$C$14="Off",Constants!$H75*'Activity data'!BL17*Constants!$H93*EF!$H218*MMVolatEF*NtoN2O*kgtoGg,IF('Net zero activities &amp; levers'!$C$14="On",Constants!$H75*'Net zero Activity data'!BL17*Constants!$H93*EF!$H218*MMVolatEF*NtoN2O*kgtoGg,"ERROR"))</f>
        <v>0.15410322114057187</v>
      </c>
      <c r="AT1197" s="94">
        <f>IF('Net zero activities &amp; levers'!$C$14="Off",Constants!$H75*'Activity data'!BM17*Constants!$H93*EF!$H218*MMVolatEF*NtoN2O*kgtoGg,IF('Net zero activities &amp; levers'!$C$14="On",Constants!$H75*'Net zero Activity data'!BM17*Constants!$H93*EF!$H218*MMVolatEF*NtoN2O*kgtoGg,"ERROR"))</f>
        <v>0.15275221037305547</v>
      </c>
      <c r="AU1197" s="94">
        <f>IF('Net zero activities &amp; levers'!$C$14="Off",Constants!$H75*'Activity data'!BN17*Constants!$H93*EF!$H218*MMVolatEF*NtoN2O*kgtoGg,IF('Net zero activities &amp; levers'!$C$14="On",Constants!$H75*'Net zero Activity data'!BN17*Constants!$H93*EF!$H218*MMVolatEF*NtoN2O*kgtoGg,"ERROR"))</f>
        <v>0.15108898692169739</v>
      </c>
      <c r="AV1197" s="94">
        <f>IF('Net zero activities &amp; levers'!$C$14="Off",Constants!$H75*'Activity data'!BO17*Constants!$H93*EF!$H218*MMVolatEF*NtoN2O*kgtoGg,IF('Net zero activities &amp; levers'!$C$14="On",Constants!$H75*'Net zero Activity data'!BO17*Constants!$H93*EF!$H218*MMVolatEF*NtoN2O*kgtoGg,"ERROR"))</f>
        <v>0.14899028797623304</v>
      </c>
      <c r="AW1197" s="94">
        <f>IF('Net zero activities &amp; levers'!$C$14="Off",Constants!$H75*'Activity data'!BP17*Constants!$H93*EF!$H218*MMVolatEF*NtoN2O*kgtoGg,IF('Net zero activities &amp; levers'!$C$14="On",Constants!$H75*'Net zero Activity data'!BP17*Constants!$H93*EF!$H218*MMVolatEF*NtoN2O*kgtoGg,"ERROR"))</f>
        <v>0.14678866203706492</v>
      </c>
      <c r="AY1197" s="79"/>
    </row>
    <row r="1198" spans="1:51" x14ac:dyDescent="0.3">
      <c r="A1198" s="95" t="str">
        <f t="shared" si="380"/>
        <v>CM MM Volatilisation</v>
      </c>
      <c r="B1198" s="95" t="s">
        <v>1322</v>
      </c>
      <c r="C1198" s="95" t="s">
        <v>1332</v>
      </c>
      <c r="D1198" t="s">
        <v>369</v>
      </c>
      <c r="E1198" t="s">
        <v>64</v>
      </c>
      <c r="F1198" t="s">
        <v>62</v>
      </c>
      <c r="G1198" t="s">
        <v>1178</v>
      </c>
      <c r="H1198" t="s">
        <v>1303</v>
      </c>
      <c r="I1198" t="s">
        <v>139</v>
      </c>
      <c r="J1198" t="s">
        <v>287</v>
      </c>
      <c r="K1198" s="94">
        <f>IF('Net zero activities &amp; levers'!$C$14="Off",Constants!$H76*'Activity data'!AD18*Constants!$H94*EF!$H219*MMVolatEF*NtoN2O*kgtoGg,IF('Net zero activities &amp; levers'!$C$14="On",Constants!$H76*'Net zero Activity data'!AD18*Constants!$H94*EF!$H219*MMVolatEF*NtoN2O*kgtoGg,"ERROR"))</f>
        <v>1.2724633182830876E-2</v>
      </c>
      <c r="L1198" s="94">
        <f>IF('Net zero activities &amp; levers'!$C$14="Off",Constants!$H76*'Activity data'!AE18*Constants!$H94*EF!$H219*MMVolatEF*NtoN2O*kgtoGg,IF('Net zero activities &amp; levers'!$C$14="On",Constants!$H76*'Net zero Activity data'!AE18*Constants!$H94*EF!$H219*MMVolatEF*NtoN2O*kgtoGg,"ERROR"))</f>
        <v>1.2655466337890209E-2</v>
      </c>
      <c r="M1198" s="94">
        <f>IF('Net zero activities &amp; levers'!$C$14="Off",Constants!$H76*'Activity data'!AF18*Constants!$H94*EF!$H219*MMVolatEF*NtoN2O*kgtoGg,IF('Net zero activities &amp; levers'!$C$14="On",Constants!$H76*'Net zero Activity data'!AF18*Constants!$H94*EF!$H219*MMVolatEF*NtoN2O*kgtoGg,"ERROR"))</f>
        <v>1.2661143337946407E-2</v>
      </c>
      <c r="N1198" s="94">
        <f>IF('Net zero activities &amp; levers'!$C$14="Off",Constants!$H76*'Activity data'!AG18*Constants!$H94*EF!$H219*MMVolatEF*NtoN2O*kgtoGg,IF('Net zero activities &amp; levers'!$C$14="On",Constants!$H76*'Net zero Activity data'!AG18*Constants!$H94*EF!$H219*MMVolatEF*NtoN2O*kgtoGg,"ERROR"))</f>
        <v>1.2544904339887072E-2</v>
      </c>
      <c r="O1198" s="94">
        <f>IF('Net zero activities &amp; levers'!$C$14="Off",Constants!$H76*'Activity data'!AH18*Constants!$H94*EF!$H219*MMVolatEF*NtoN2O*kgtoGg,IF('Net zero activities &amp; levers'!$C$14="On",Constants!$H76*'Net zero Activity data'!AH18*Constants!$H94*EF!$H219*MMVolatEF*NtoN2O*kgtoGg,"ERROR"))</f>
        <v>1.2355059245839611E-2</v>
      </c>
      <c r="P1198" s="94">
        <f>IF('Net zero activities &amp; levers'!$C$14="Off",Constants!$H76*'Activity data'!AI18*Constants!$H94*EF!$H219*MMVolatEF*NtoN2O*kgtoGg,IF('Net zero activities &amp; levers'!$C$14="On",Constants!$H76*'Net zero Activity data'!AI18*Constants!$H94*EF!$H219*MMVolatEF*NtoN2O*kgtoGg,"ERROR"))</f>
        <v>1.2094642930917434E-2</v>
      </c>
      <c r="Q1198" s="94">
        <f>IF('Net zero activities &amp; levers'!$C$14="Off",Constants!$H76*'Activity data'!AJ18*Constants!$H94*EF!$H219*MMVolatEF*NtoN2O*kgtoGg,IF('Net zero activities &amp; levers'!$C$14="On",Constants!$H76*'Net zero Activity data'!AJ18*Constants!$H94*EF!$H219*MMVolatEF*NtoN2O*kgtoGg,"ERROR"))</f>
        <v>1.1905551806853844E-2</v>
      </c>
      <c r="R1198" s="94">
        <f>IF('Net zero activities &amp; levers'!$C$14="Off",Constants!$H76*'Activity data'!AK18*Constants!$H94*EF!$H219*MMVolatEF*NtoN2O*kgtoGg,IF('Net zero activities &amp; levers'!$C$14="On",Constants!$H76*'Net zero Activity data'!AK18*Constants!$H94*EF!$H219*MMVolatEF*NtoN2O*kgtoGg,"ERROR"))</f>
        <v>1.1733192711380723E-2</v>
      </c>
      <c r="S1198" s="94">
        <f>IF('Net zero activities &amp; levers'!$C$14="Off",Constants!$H76*'Activity data'!AL18*Constants!$H94*EF!$H219*MMVolatEF*NtoN2O*kgtoGg,IF('Net zero activities &amp; levers'!$C$14="On",Constants!$H76*'Net zero Activity data'!AL18*Constants!$H94*EF!$H219*MMVolatEF*NtoN2O*kgtoGg,"ERROR"))</f>
        <v>1.0359821368376874E-2</v>
      </c>
      <c r="T1198" s="94">
        <f>IF('Net zero activities &amp; levers'!$C$14="Off",Constants!$H76*'Activity data'!AM18*Constants!$H94*EF!$H219*MMVolatEF*NtoN2O*kgtoGg,IF('Net zero activities &amp; levers'!$C$14="On",Constants!$H76*'Net zero Activity data'!AM18*Constants!$H94*EF!$H219*MMVolatEF*NtoN2O*kgtoGg,"ERROR"))</f>
        <v>1.049082832504853E-2</v>
      </c>
      <c r="U1198" s="94">
        <f>IF('Net zero activities &amp; levers'!$C$14="Off",Constants!$H76*'Activity data'!AN18*Constants!$H94*EF!$H219*MMVolatEF*NtoN2O*kgtoGg,IF('Net zero activities &amp; levers'!$C$14="On",Constants!$H76*'Net zero Activity data'!AN18*Constants!$H94*EF!$H219*MMVolatEF*NtoN2O*kgtoGg,"ERROR"))</f>
        <v>1.0771943536752097E-2</v>
      </c>
      <c r="V1198" s="94">
        <f>IF('Net zero activities &amp; levers'!$C$14="Off",Constants!$H76*'Activity data'!AO18*Constants!$H94*EF!$H219*MMVolatEF*NtoN2O*kgtoGg,IF('Net zero activities &amp; levers'!$C$14="On",Constants!$H76*'Net zero Activity data'!AO18*Constants!$H94*EF!$H219*MMVolatEF*NtoN2O*kgtoGg,"ERROR"))</f>
        <v>1.0797467337543365E-2</v>
      </c>
      <c r="W1198" s="94">
        <f>IF('Net zero activities &amp; levers'!$C$14="Off",Constants!$H76*'Activity data'!AP18*Constants!$H94*EF!$H219*MMVolatEF*NtoN2O*kgtoGg,IF('Net zero activities &amp; levers'!$C$14="On",Constants!$H76*'Net zero Activity data'!AP18*Constants!$H94*EF!$H219*MMVolatEF*NtoN2O*kgtoGg,"ERROR"))</f>
        <v>1.0852740546366932E-2</v>
      </c>
      <c r="X1198" s="94">
        <f>IF('Net zero activities &amp; levers'!$C$14="Off",Constants!$H76*'Activity data'!AQ18*Constants!$H94*EF!$H219*MMVolatEF*NtoN2O*kgtoGg,IF('Net zero activities &amp; levers'!$C$14="On",Constants!$H76*'Net zero Activity data'!AQ18*Constants!$H94*EF!$H219*MMVolatEF*NtoN2O*kgtoGg,"ERROR"))</f>
        <v>1.0945674252888513E-2</v>
      </c>
      <c r="Y1198" s="94">
        <f>IF('Net zero activities &amp; levers'!$C$14="Off",Constants!$H76*'Activity data'!AR18*Constants!$H94*EF!$H219*MMVolatEF*NtoN2O*kgtoGg,IF('Net zero activities &amp; levers'!$C$14="On",Constants!$H76*'Net zero Activity data'!AR18*Constants!$H94*EF!$H219*MMVolatEF*NtoN2O*kgtoGg,"ERROR"))</f>
        <v>1.1062287478995693E-2</v>
      </c>
      <c r="Z1198" s="94">
        <f>IF('Net zero activities &amp; levers'!$C$14="Off",Constants!$H76*'Activity data'!AS18*Constants!$H94*EF!$H219*MMVolatEF*NtoN2O*kgtoGg,IF('Net zero activities &amp; levers'!$C$14="On",Constants!$H76*'Net zero Activity data'!AS18*Constants!$H94*EF!$H219*MMVolatEF*NtoN2O*kgtoGg,"ERROR"))</f>
        <v>1.1205187101625038E-2</v>
      </c>
      <c r="AA1198" s="94">
        <f>IF('Net zero activities &amp; levers'!$C$14="Off",Constants!$H76*'Activity data'!AT18*Constants!$H94*EF!$H219*MMVolatEF*NtoN2O*kgtoGg,IF('Net zero activities &amp; levers'!$C$14="On",Constants!$H76*'Net zero Activity data'!AT18*Constants!$H94*EF!$H219*MMVolatEF*NtoN2O*kgtoGg,"ERROR"))</f>
        <v>1.1349757792199721E-2</v>
      </c>
      <c r="AB1198" s="94">
        <f>IF('Net zero activities &amp; levers'!$C$14="Off",Constants!$H76*'Activity data'!AU18*Constants!$H94*EF!$H219*MMVolatEF*NtoN2O*kgtoGg,IF('Net zero activities &amp; levers'!$C$14="On",Constants!$H76*'Net zero Activity data'!AU18*Constants!$H94*EF!$H219*MMVolatEF*NtoN2O*kgtoGg,"ERROR"))</f>
        <v>1.1516671452842603E-2</v>
      </c>
      <c r="AC1198" s="94">
        <f>IF('Net zero activities &amp; levers'!$C$14="Off",Constants!$H76*'Activity data'!AV18*Constants!$H94*EF!$H219*MMVolatEF*NtoN2O*kgtoGg,IF('Net zero activities &amp; levers'!$C$14="On",Constants!$H76*'Net zero Activity data'!AV18*Constants!$H94*EF!$H219*MMVolatEF*NtoN2O*kgtoGg,"ERROR"))</f>
        <v>1.1682433079282552E-2</v>
      </c>
      <c r="AD1198" s="94">
        <f>IF('Net zero activities &amp; levers'!$C$14="Off",Constants!$H76*'Activity data'!AW18*Constants!$H94*EF!$H219*MMVolatEF*NtoN2O*kgtoGg,IF('Net zero activities &amp; levers'!$C$14="On",Constants!$H76*'Net zero Activity data'!AW18*Constants!$H94*EF!$H219*MMVolatEF*NtoN2O*kgtoGg,"ERROR"))</f>
        <v>1.1888518060494371E-2</v>
      </c>
      <c r="AE1198" s="94">
        <f>IF('Net zero activities &amp; levers'!$C$14="Off",Constants!$H76*'Activity data'!AX18*Constants!$H94*EF!$H219*MMVolatEF*NtoN2O*kgtoGg,IF('Net zero activities &amp; levers'!$C$14="On",Constants!$H76*'Net zero Activity data'!AX18*Constants!$H94*EF!$H219*MMVolatEF*NtoN2O*kgtoGg,"ERROR"))</f>
        <v>1.2078234337742711E-2</v>
      </c>
      <c r="AF1198" s="94">
        <f>IF('Net zero activities &amp; levers'!$C$14="Off",Constants!$H76*'Activity data'!AY18*Constants!$H94*EF!$H219*MMVolatEF*NtoN2O*kgtoGg,IF('Net zero activities &amp; levers'!$C$14="On",Constants!$H76*'Net zero Activity data'!AY18*Constants!$H94*EF!$H219*MMVolatEF*NtoN2O*kgtoGg,"ERROR"))</f>
        <v>1.2280107624497444E-2</v>
      </c>
      <c r="AG1198" s="94">
        <f>IF('Net zero activities &amp; levers'!$C$14="Off",Constants!$H76*'Activity data'!AZ18*Constants!$H94*EF!$H219*MMVolatEF*NtoN2O*kgtoGg,IF('Net zero activities &amp; levers'!$C$14="On",Constants!$H76*'Net zero Activity data'!AZ18*Constants!$H94*EF!$H219*MMVolatEF*NtoN2O*kgtoGg,"ERROR"))</f>
        <v>1.2526366698600652E-2</v>
      </c>
      <c r="AH1198" s="94">
        <f>IF('Net zero activities &amp; levers'!$C$14="Off",Constants!$H76*'Activity data'!BA18*Constants!$H94*EF!$H219*MMVolatEF*NtoN2O*kgtoGg,IF('Net zero activities &amp; levers'!$C$14="On",Constants!$H76*'Net zero Activity data'!BA18*Constants!$H94*EF!$H219*MMVolatEF*NtoN2O*kgtoGg,"ERROR"))</f>
        <v>1.2737822297620535E-2</v>
      </c>
      <c r="AI1198" s="94">
        <f>IF('Net zero activities &amp; levers'!$C$14="Off",Constants!$H76*'Activity data'!BB18*Constants!$H94*EF!$H219*MMVolatEF*NtoN2O*kgtoGg,IF('Net zero activities &amp; levers'!$C$14="On",Constants!$H76*'Net zero Activity data'!BB18*Constants!$H94*EF!$H219*MMVolatEF*NtoN2O*kgtoGg,"ERROR"))</f>
        <v>1.2966056077955363E-2</v>
      </c>
      <c r="AJ1198" s="94">
        <f>IF('Net zero activities &amp; levers'!$C$14="Off",Constants!$H76*'Activity data'!BC18*Constants!$H94*EF!$H219*MMVolatEF*NtoN2O*kgtoGg,IF('Net zero activities &amp; levers'!$C$14="On",Constants!$H76*'Net zero Activity data'!BC18*Constants!$H94*EF!$H219*MMVolatEF*NtoN2O*kgtoGg,"ERROR"))</f>
        <v>1.3213765172968019E-2</v>
      </c>
      <c r="AK1198" s="94">
        <f>IF('Net zero activities &amp; levers'!$C$14="Off",Constants!$H76*'Activity data'!BD18*Constants!$H94*EF!$H219*MMVolatEF*NtoN2O*kgtoGg,IF('Net zero activities &amp; levers'!$C$14="On",Constants!$H76*'Net zero Activity data'!BD18*Constants!$H94*EF!$H219*MMVolatEF*NtoN2O*kgtoGg,"ERROR"))</f>
        <v>1.3420410703080012E-2</v>
      </c>
      <c r="AL1198" s="94">
        <f>IF('Net zero activities &amp; levers'!$C$14="Off",Constants!$H76*'Activity data'!BE18*Constants!$H94*EF!$H219*MMVolatEF*NtoN2O*kgtoGg,IF('Net zero activities &amp; levers'!$C$14="On",Constants!$H76*'Net zero Activity data'!BE18*Constants!$H94*EF!$H219*MMVolatEF*NtoN2O*kgtoGg,"ERROR"))</f>
        <v>1.3614199852725929E-2</v>
      </c>
      <c r="AM1198" s="94">
        <f>IF('Net zero activities &amp; levers'!$C$14="Off",Constants!$H76*'Activity data'!BF18*Constants!$H94*EF!$H219*MMVolatEF*NtoN2O*kgtoGg,IF('Net zero activities &amp; levers'!$C$14="On",Constants!$H76*'Net zero Activity data'!BF18*Constants!$H94*EF!$H219*MMVolatEF*NtoN2O*kgtoGg,"ERROR"))</f>
        <v>1.3796695571363754E-2</v>
      </c>
      <c r="AN1198" s="94">
        <f>IF('Net zero activities &amp; levers'!$C$14="Off",Constants!$H76*'Activity data'!BG18*Constants!$H94*EF!$H219*MMVolatEF*NtoN2O*kgtoGg,IF('Net zero activities &amp; levers'!$C$14="On",Constants!$H76*'Net zero Activity data'!BG18*Constants!$H94*EF!$H219*MMVolatEF*NtoN2O*kgtoGg,"ERROR"))</f>
        <v>1.4007416229853083E-2</v>
      </c>
      <c r="AO1198" s="94">
        <f>IF('Net zero activities &amp; levers'!$C$14="Off",Constants!$H76*'Activity data'!BH18*Constants!$H94*EF!$H219*MMVolatEF*NtoN2O*kgtoGg,IF('Net zero activities &amp; levers'!$C$14="On",Constants!$H76*'Net zero Activity data'!BH18*Constants!$H94*EF!$H219*MMVolatEF*NtoN2O*kgtoGg,"ERROR"))</f>
        <v>1.419018923722911E-2</v>
      </c>
      <c r="AP1198" s="94">
        <f>IF('Net zero activities &amp; levers'!$C$14="Off",Constants!$H76*'Activity data'!BI18*Constants!$H94*EF!$H219*MMVolatEF*NtoN2O*kgtoGg,IF('Net zero activities &amp; levers'!$C$14="On",Constants!$H76*'Net zero Activity data'!BI18*Constants!$H94*EF!$H219*MMVolatEF*NtoN2O*kgtoGg,"ERROR"))</f>
        <v>1.4378857410840086E-2</v>
      </c>
      <c r="AQ1198" s="94">
        <f>IF('Net zero activities &amp; levers'!$C$14="Off",Constants!$H76*'Activity data'!BJ18*Constants!$H94*EF!$H219*MMVolatEF*NtoN2O*kgtoGg,IF('Net zero activities &amp; levers'!$C$14="On",Constants!$H76*'Net zero Activity data'!BJ18*Constants!$H94*EF!$H219*MMVolatEF*NtoN2O*kgtoGg,"ERROR"))</f>
        <v>1.4574843831401781E-2</v>
      </c>
      <c r="AR1198" s="94">
        <f>IF('Net zero activities &amp; levers'!$C$14="Off",Constants!$H76*'Activity data'!BK18*Constants!$H94*EF!$H219*MMVolatEF*NtoN2O*kgtoGg,IF('Net zero activities &amp; levers'!$C$14="On",Constants!$H76*'Net zero Activity data'!BK18*Constants!$H94*EF!$H219*MMVolatEF*NtoN2O*kgtoGg,"ERROR"))</f>
        <v>1.4780600778240808E-2</v>
      </c>
      <c r="AS1198" s="94">
        <f>IF('Net zero activities &amp; levers'!$C$14="Off",Constants!$H76*'Activity data'!BL18*Constants!$H94*EF!$H219*MMVolatEF*NtoN2O*kgtoGg,IF('Net zero activities &amp; levers'!$C$14="On",Constants!$H76*'Net zero Activity data'!BL18*Constants!$H94*EF!$H219*MMVolatEF*NtoN2O*kgtoGg,"ERROR"))</f>
        <v>1.4996659216426185E-2</v>
      </c>
      <c r="AT1198" s="94">
        <f>IF('Net zero activities &amp; levers'!$C$14="Off",Constants!$H76*'Activity data'!BM18*Constants!$H94*EF!$H219*MMVolatEF*NtoN2O*kgtoGg,IF('Net zero activities &amp; levers'!$C$14="On",Constants!$H76*'Net zero Activity data'!BM18*Constants!$H94*EF!$H219*MMVolatEF*NtoN2O*kgtoGg,"ERROR"))</f>
        <v>1.4865184689623886E-2</v>
      </c>
      <c r="AU1198" s="94">
        <f>IF('Net zero activities &amp; levers'!$C$14="Off",Constants!$H76*'Activity data'!BN18*Constants!$H94*EF!$H219*MMVolatEF*NtoN2O*kgtoGg,IF('Net zero activities &amp; levers'!$C$14="On",Constants!$H76*'Net zero Activity data'!BN18*Constants!$H94*EF!$H219*MMVolatEF*NtoN2O*kgtoGg,"ERROR"))</f>
        <v>1.4703326974281053E-2</v>
      </c>
      <c r="AV1198" s="94">
        <f>IF('Net zero activities &amp; levers'!$C$14="Off",Constants!$H76*'Activity data'!BO18*Constants!$H94*EF!$H219*MMVolatEF*NtoN2O*kgtoGg,IF('Net zero activities &amp; levers'!$C$14="On",Constants!$H76*'Net zero Activity data'!BO18*Constants!$H94*EF!$H219*MMVolatEF*NtoN2O*kgtoGg,"ERROR"))</f>
        <v>1.4499090666629237E-2</v>
      </c>
      <c r="AW1198" s="94">
        <f>IF('Net zero activities &amp; levers'!$C$14="Off",Constants!$H76*'Activity data'!BP18*Constants!$H94*EF!$H219*MMVolatEF*NtoN2O*kgtoGg,IF('Net zero activities &amp; levers'!$C$14="On",Constants!$H76*'Net zero Activity data'!BP18*Constants!$H94*EF!$H219*MMVolatEF*NtoN2O*kgtoGg,"ERROR"))</f>
        <v>1.4284837948954819E-2</v>
      </c>
      <c r="AY1198" s="79"/>
    </row>
    <row r="1199" spans="1:51" x14ac:dyDescent="0.3">
      <c r="A1199" s="95" t="str">
        <f t="shared" si="380"/>
        <v>CM MM Volatilisation</v>
      </c>
      <c r="B1199" s="95" t="s">
        <v>1322</v>
      </c>
      <c r="C1199" s="95" t="s">
        <v>1332</v>
      </c>
      <c r="D1199" t="s">
        <v>369</v>
      </c>
      <c r="E1199" t="s">
        <v>64</v>
      </c>
      <c r="F1199" t="s">
        <v>62</v>
      </c>
      <c r="G1199" t="s">
        <v>1180</v>
      </c>
      <c r="H1199" t="s">
        <v>1304</v>
      </c>
      <c r="I1199" t="s">
        <v>139</v>
      </c>
      <c r="J1199" t="s">
        <v>287</v>
      </c>
      <c r="K1199" s="94">
        <f>IF('Net zero activities &amp; levers'!$C$14="Off",Constants!$H77*'Activity data'!AD19*Constants!$H95*EF!$H220*MMVolatEF*NtoN2O*kgtoGg,IF('Net zero activities &amp; levers'!$C$14="On",Constants!$H77*'Net zero Activity data'!AD19*Constants!$H95*EF!$H220*MMVolatEF*NtoN2O*kgtoGg,"ERROR"))</f>
        <v>6.4453339767617107E-2</v>
      </c>
      <c r="L1199" s="94">
        <f>IF('Net zero activities &amp; levers'!$C$14="Off",Constants!$H77*'Activity data'!AE19*Constants!$H95*EF!$H220*MMVolatEF*NtoN2O*kgtoGg,IF('Net zero activities &amp; levers'!$C$14="On",Constants!$H77*'Net zero Activity data'!AE19*Constants!$H95*EF!$H220*MMVolatEF*NtoN2O*kgtoGg,"ERROR"))</f>
        <v>6.5763803942104543E-2</v>
      </c>
      <c r="M1199" s="94">
        <f>IF('Net zero activities &amp; levers'!$C$14="Off",Constants!$H77*'Activity data'!AF19*Constants!$H95*EF!$H220*MMVolatEF*NtoN2O*kgtoGg,IF('Net zero activities &amp; levers'!$C$14="On",Constants!$H77*'Net zero Activity data'!AF19*Constants!$H95*EF!$H220*MMVolatEF*NtoN2O*kgtoGg,"ERROR"))</f>
        <v>6.7295612361813625E-2</v>
      </c>
      <c r="N1199" s="94">
        <f>IF('Net zero activities &amp; levers'!$C$14="Off",Constants!$H77*'Activity data'!AG19*Constants!$H95*EF!$H220*MMVolatEF*NtoN2O*kgtoGg,IF('Net zero activities &amp; levers'!$C$14="On",Constants!$H77*'Net zero Activity data'!AG19*Constants!$H95*EF!$H220*MMVolatEF*NtoN2O*kgtoGg,"ERROR"))</f>
        <v>6.8471619369899747E-2</v>
      </c>
      <c r="O1199" s="94">
        <f>IF('Net zero activities &amp; levers'!$C$14="Off",Constants!$H77*'Activity data'!AH19*Constants!$H95*EF!$H220*MMVolatEF*NtoN2O*kgtoGg,IF('Net zero activities &amp; levers'!$C$14="On",Constants!$H77*'Net zero Activity data'!AH19*Constants!$H95*EF!$H220*MMVolatEF*NtoN2O*kgtoGg,"ERROR"))</f>
        <v>6.94156577655035E-2</v>
      </c>
      <c r="P1199" s="94">
        <f>IF('Net zero activities &amp; levers'!$C$14="Off",Constants!$H77*'Activity data'!AI19*Constants!$H95*EF!$H220*MMVolatEF*NtoN2O*kgtoGg,IF('Net zero activities &amp; levers'!$C$14="On",Constants!$H77*'Net zero Activity data'!AI19*Constants!$H95*EF!$H220*MMVolatEF*NtoN2O*kgtoGg,"ERROR"))</f>
        <v>7.0122113289878316E-2</v>
      </c>
      <c r="Q1199" s="94">
        <f>IF('Net zero activities &amp; levers'!$C$14="Off",Constants!$H77*'Activity data'!AJ19*Constants!$H95*EF!$H220*MMVolatEF*NtoN2O*kgtoGg,IF('Net zero activities &amp; levers'!$C$14="On",Constants!$H77*'Net zero Activity data'!AJ19*Constants!$H95*EF!$H220*MMVolatEF*NtoN2O*kgtoGg,"ERROR"))</f>
        <v>7.1027984276732931E-2</v>
      </c>
      <c r="R1199" s="94">
        <f>IF('Net zero activities &amp; levers'!$C$14="Off",Constants!$H77*'Activity data'!AK19*Constants!$H95*EF!$H220*MMVolatEF*NtoN2O*kgtoGg,IF('Net zero activities &amp; levers'!$C$14="On",Constants!$H77*'Net zero Activity data'!AK19*Constants!$H95*EF!$H220*MMVolatEF*NtoN2O*kgtoGg,"ERROR"))</f>
        <v>7.1969839340941838E-2</v>
      </c>
      <c r="S1199" s="94">
        <f>IF('Net zero activities &amp; levers'!$C$14="Off",Constants!$H77*'Activity data'!AL19*Constants!$H95*EF!$H220*MMVolatEF*NtoN2O*kgtoGg,IF('Net zero activities &amp; levers'!$C$14="On",Constants!$H77*'Net zero Activity data'!AL19*Constants!$H95*EF!$H220*MMVolatEF*NtoN2O*kgtoGg,"ERROR"))</f>
        <v>6.8766563459968802E-2</v>
      </c>
      <c r="T1199" s="94">
        <f>IF('Net zero activities &amp; levers'!$C$14="Off",Constants!$H77*'Activity data'!AM19*Constants!$H95*EF!$H220*MMVolatEF*NtoN2O*kgtoGg,IF('Net zero activities &amp; levers'!$C$14="On",Constants!$H77*'Net zero Activity data'!AM19*Constants!$H95*EF!$H220*MMVolatEF*NtoN2O*kgtoGg,"ERROR"))</f>
        <v>7.0478152358708523E-2</v>
      </c>
      <c r="U1199" s="94">
        <f>IF('Net zero activities &amp; levers'!$C$14="Off",Constants!$H77*'Activity data'!AN19*Constants!$H95*EF!$H220*MMVolatEF*NtoN2O*kgtoGg,IF('Net zero activities &amp; levers'!$C$14="On",Constants!$H77*'Net zero Activity data'!AN19*Constants!$H95*EF!$H220*MMVolatEF*NtoN2O*kgtoGg,"ERROR"))</f>
        <v>7.2759128000714796E-2</v>
      </c>
      <c r="V1199" s="94">
        <f>IF('Net zero activities &amp; levers'!$C$14="Off",Constants!$H77*'Activity data'!AO19*Constants!$H95*EF!$H220*MMVolatEF*NtoN2O*kgtoGg,IF('Net zero activities &amp; levers'!$C$14="On",Constants!$H77*'Net zero Activity data'!AO19*Constants!$H95*EF!$H220*MMVolatEF*NtoN2O*kgtoGg,"ERROR"))</f>
        <v>7.4154122533566028E-2</v>
      </c>
      <c r="W1199" s="94">
        <f>IF('Net zero activities &amp; levers'!$C$14="Off",Constants!$H77*'Activity data'!AP19*Constants!$H95*EF!$H220*MMVolatEF*NtoN2O*kgtoGg,IF('Net zero activities &amp; levers'!$C$14="On",Constants!$H77*'Net zero Activity data'!AP19*Constants!$H95*EF!$H220*MMVolatEF*NtoN2O*kgtoGg,"ERROR"))</f>
        <v>7.5674972830257564E-2</v>
      </c>
      <c r="X1199" s="94">
        <f>IF('Net zero activities &amp; levers'!$C$14="Off",Constants!$H77*'Activity data'!AQ19*Constants!$H95*EF!$H220*MMVolatEF*NtoN2O*kgtoGg,IF('Net zero activities &amp; levers'!$C$14="On",Constants!$H77*'Net zero Activity data'!AQ19*Constants!$H95*EF!$H220*MMVolatEF*NtoN2O*kgtoGg,"ERROR"))</f>
        <v>7.7360161163039912E-2</v>
      </c>
      <c r="Y1199" s="94">
        <f>IF('Net zero activities &amp; levers'!$C$14="Off",Constants!$H77*'Activity data'!AR19*Constants!$H95*EF!$H220*MMVolatEF*NtoN2O*kgtoGg,IF('Net zero activities &amp; levers'!$C$14="On",Constants!$H77*'Net zero Activity data'!AR19*Constants!$H95*EF!$H220*MMVolatEF*NtoN2O*kgtoGg,"ERROR"))</f>
        <v>7.9100740420260676E-2</v>
      </c>
      <c r="Z1199" s="94">
        <f>IF('Net zero activities &amp; levers'!$C$14="Off",Constants!$H77*'Activity data'!AS19*Constants!$H95*EF!$H220*MMVolatEF*NtoN2O*kgtoGg,IF('Net zero activities &amp; levers'!$C$14="On",Constants!$H77*'Net zero Activity data'!AS19*Constants!$H95*EF!$H220*MMVolatEF*NtoN2O*kgtoGg,"ERROR"))</f>
        <v>8.0976740364442315E-2</v>
      </c>
      <c r="AA1199" s="94">
        <f>IF('Net zero activities &amp; levers'!$C$14="Off",Constants!$H77*'Activity data'!AT19*Constants!$H95*EF!$H220*MMVolatEF*NtoN2O*kgtoGg,IF('Net zero activities &amp; levers'!$C$14="On",Constants!$H77*'Net zero Activity data'!AT19*Constants!$H95*EF!$H220*MMVolatEF*NtoN2O*kgtoGg,"ERROR"))</f>
        <v>8.2894928844752261E-2</v>
      </c>
      <c r="AB1199" s="94">
        <f>IF('Net zero activities &amp; levers'!$C$14="Off",Constants!$H77*'Activity data'!AU19*Constants!$H95*EF!$H220*MMVolatEF*NtoN2O*kgtoGg,IF('Net zero activities &amp; levers'!$C$14="On",Constants!$H77*'Net zero Activity data'!AU19*Constants!$H95*EF!$H220*MMVolatEF*NtoN2O*kgtoGg,"ERROR"))</f>
        <v>8.4943030682698137E-2</v>
      </c>
      <c r="AC1199" s="94">
        <f>IF('Net zero activities &amp; levers'!$C$14="Off",Constants!$H77*'Activity data'!AV19*Constants!$H95*EF!$H220*MMVolatEF*NtoN2O*kgtoGg,IF('Net zero activities &amp; levers'!$C$14="On",Constants!$H77*'Net zero Activity data'!AV19*Constants!$H95*EF!$H220*MMVolatEF*NtoN2O*kgtoGg,"ERROR"))</f>
        <v>8.7027608507248444E-2</v>
      </c>
      <c r="AD1199" s="94">
        <f>IF('Net zero activities &amp; levers'!$C$14="Off",Constants!$H77*'Activity data'!AW19*Constants!$H95*EF!$H220*MMVolatEF*NtoN2O*kgtoGg,IF('Net zero activities &amp; levers'!$C$14="On",Constants!$H77*'Net zero Activity data'!AW19*Constants!$H95*EF!$H220*MMVolatEF*NtoN2O*kgtoGg,"ERROR"))</f>
        <v>8.9276729497460336E-2</v>
      </c>
      <c r="AE1199" s="94">
        <f>IF('Net zero activities &amp; levers'!$C$14="Off",Constants!$H77*'Activity data'!AX19*Constants!$H95*EF!$H220*MMVolatEF*NtoN2O*kgtoGg,IF('Net zero activities &amp; levers'!$C$14="On",Constants!$H77*'Net zero Activity data'!AX19*Constants!$H95*EF!$H220*MMVolatEF*NtoN2O*kgtoGg,"ERROR"))</f>
        <v>9.1502625848092475E-2</v>
      </c>
      <c r="AF1199" s="94">
        <f>IF('Net zero activities &amp; levers'!$C$14="Off",Constants!$H77*'Activity data'!AY19*Constants!$H95*EF!$H220*MMVolatEF*NtoN2O*kgtoGg,IF('Net zero activities &amp; levers'!$C$14="On",Constants!$H77*'Net zero Activity data'!AY19*Constants!$H95*EF!$H220*MMVolatEF*NtoN2O*kgtoGg,"ERROR"))</f>
        <v>9.3831227517320093E-2</v>
      </c>
      <c r="AG1199" s="94">
        <f>IF('Net zero activities &amp; levers'!$C$14="Off",Constants!$H77*'Activity data'!AZ19*Constants!$H95*EF!$H220*MMVolatEF*NtoN2O*kgtoGg,IF('Net zero activities &amp; levers'!$C$14="On",Constants!$H77*'Net zero Activity data'!AZ19*Constants!$H95*EF!$H220*MMVolatEF*NtoN2O*kgtoGg,"ERROR"))</f>
        <v>9.6415651387216014E-2</v>
      </c>
      <c r="AH1199" s="94">
        <f>IF('Net zero activities &amp; levers'!$C$14="Off",Constants!$H77*'Activity data'!BA19*Constants!$H95*EF!$H220*MMVolatEF*NtoN2O*kgtoGg,IF('Net zero activities &amp; levers'!$C$14="On",Constants!$H77*'Net zero Activity data'!BA19*Constants!$H95*EF!$H220*MMVolatEF*NtoN2O*kgtoGg,"ERROR"))</f>
        <v>9.8896773571356525E-2</v>
      </c>
      <c r="AI1199" s="94">
        <f>IF('Net zero activities &amp; levers'!$C$14="Off",Constants!$H77*'Activity data'!BB19*Constants!$H95*EF!$H220*MMVolatEF*NtoN2O*kgtoGg,IF('Net zero activities &amp; levers'!$C$14="On",Constants!$H77*'Net zero Activity data'!BB19*Constants!$H95*EF!$H220*MMVolatEF*NtoN2O*kgtoGg,"ERROR"))</f>
        <v>0.10146265551465955</v>
      </c>
      <c r="AJ1199" s="94">
        <f>IF('Net zero activities &amp; levers'!$C$14="Off",Constants!$H77*'Activity data'!BC19*Constants!$H95*EF!$H220*MMVolatEF*NtoN2O*kgtoGg,IF('Net zero activities &amp; levers'!$C$14="On",Constants!$H77*'Net zero Activity data'!BC19*Constants!$H95*EF!$H220*MMVolatEF*NtoN2O*kgtoGg,"ERROR"))</f>
        <v>0.10418290059990712</v>
      </c>
      <c r="AK1199" s="94">
        <f>IF('Net zero activities &amp; levers'!$C$14="Off",Constants!$H77*'Activity data'!BD19*Constants!$H95*EF!$H220*MMVolatEF*NtoN2O*kgtoGg,IF('Net zero activities &amp; levers'!$C$14="On",Constants!$H77*'Net zero Activity data'!BD19*Constants!$H95*EF!$H220*MMVolatEF*NtoN2O*kgtoGg,"ERROR"))</f>
        <v>0.10676300622740972</v>
      </c>
      <c r="AL1199" s="94">
        <f>IF('Net zero activities &amp; levers'!$C$14="Off",Constants!$H77*'Activity data'!BE19*Constants!$H95*EF!$H220*MMVolatEF*NtoN2O*kgtoGg,IF('Net zero activities &amp; levers'!$C$14="On",Constants!$H77*'Net zero Activity data'!BE19*Constants!$H95*EF!$H220*MMVolatEF*NtoN2O*kgtoGg,"ERROR"))</f>
        <v>0.1093360798195923</v>
      </c>
      <c r="AM1199" s="94">
        <f>IF('Net zero activities &amp; levers'!$C$14="Off",Constants!$H77*'Activity data'!BF19*Constants!$H95*EF!$H220*MMVolatEF*NtoN2O*kgtoGg,IF('Net zero activities &amp; levers'!$C$14="On",Constants!$H77*'Net zero Activity data'!BF19*Constants!$H95*EF!$H220*MMVolatEF*NtoN2O*kgtoGg,"ERROR"))</f>
        <v>0.11190804099965344</v>
      </c>
      <c r="AN1199" s="94">
        <f>IF('Net zero activities &amp; levers'!$C$14="Off",Constants!$H77*'Activity data'!BG19*Constants!$H95*EF!$H220*MMVolatEF*NtoN2O*kgtoGg,IF('Net zero activities &amp; levers'!$C$14="On",Constants!$H77*'Net zero Activity data'!BG19*Constants!$H95*EF!$H220*MMVolatEF*NtoN2O*kgtoGg,"ERROR"))</f>
        <v>0.11463676938939842</v>
      </c>
      <c r="AO1199" s="94">
        <f>IF('Net zero activities &amp; levers'!$C$14="Off",Constants!$H77*'Activity data'!BH19*Constants!$H95*EF!$H220*MMVolatEF*NtoN2O*kgtoGg,IF('Net zero activities &amp; levers'!$C$14="On",Constants!$H77*'Net zero Activity data'!BH19*Constants!$H95*EF!$H220*MMVolatEF*NtoN2O*kgtoGg,"ERROR"))</f>
        <v>0.11727861184981632</v>
      </c>
      <c r="AP1199" s="94">
        <f>IF('Net zero activities &amp; levers'!$C$14="Off",Constants!$H77*'Activity data'!BI19*Constants!$H95*EF!$H220*MMVolatEF*NtoN2O*kgtoGg,IF('Net zero activities &amp; levers'!$C$14="On",Constants!$H77*'Net zero Activity data'!BI19*Constants!$H95*EF!$H220*MMVolatEF*NtoN2O*kgtoGg,"ERROR"))</f>
        <v>0.12001194210770205</v>
      </c>
      <c r="AQ1199" s="94">
        <f>IF('Net zero activities &amp; levers'!$C$14="Off",Constants!$H77*'Activity data'!BJ19*Constants!$H95*EF!$H220*MMVolatEF*NtoN2O*kgtoGg,IF('Net zero activities &amp; levers'!$C$14="On",Constants!$H77*'Net zero Activity data'!BJ19*Constants!$H95*EF!$H220*MMVolatEF*NtoN2O*kgtoGg,"ERROR"))</f>
        <v>0.12284817048623448</v>
      </c>
      <c r="AR1199" s="94">
        <f>IF('Net zero activities &amp; levers'!$C$14="Off",Constants!$H77*'Activity data'!BK19*Constants!$H95*EF!$H220*MMVolatEF*NtoN2O*kgtoGg,IF('Net zero activities &amp; levers'!$C$14="On",Constants!$H77*'Net zero Activity data'!BK19*Constants!$H95*EF!$H220*MMVolatEF*NtoN2O*kgtoGg,"ERROR"))</f>
        <v>0.12580525852431573</v>
      </c>
      <c r="AS1199" s="94">
        <f>IF('Net zero activities &amp; levers'!$C$14="Off",Constants!$H77*'Activity data'!BL19*Constants!$H95*EF!$H220*MMVolatEF*NtoN2O*kgtoGg,IF('Net zero activities &amp; levers'!$C$14="On",Constants!$H77*'Net zero Activity data'!BL19*Constants!$H95*EF!$H220*MMVolatEF*NtoN2O*kgtoGg,"ERROR"))</f>
        <v>0.12884131843333302</v>
      </c>
      <c r="AT1199" s="94">
        <f>IF('Net zero activities &amp; levers'!$C$14="Off",Constants!$H77*'Activity data'!BM19*Constants!$H95*EF!$H220*MMVolatEF*NtoN2O*kgtoGg,IF('Net zero activities &amp; levers'!$C$14="On",Constants!$H77*'Net zero Activity data'!BM19*Constants!$H95*EF!$H220*MMVolatEF*NtoN2O*kgtoGg,"ERROR"))</f>
        <v>0.12990474262387622</v>
      </c>
      <c r="AU1199" s="94">
        <f>IF('Net zero activities &amp; levers'!$C$14="Off",Constants!$H77*'Activity data'!BN19*Constants!$H95*EF!$H220*MMVolatEF*NtoN2O*kgtoGg,IF('Net zero activities &amp; levers'!$C$14="On",Constants!$H77*'Net zero Activity data'!BN19*Constants!$H95*EF!$H220*MMVolatEF*NtoN2O*kgtoGg,"ERROR"))</f>
        <v>0.13078551683241871</v>
      </c>
      <c r="AV1199" s="94">
        <f>IF('Net zero activities &amp; levers'!$C$14="Off",Constants!$H77*'Activity data'!BO19*Constants!$H95*EF!$H220*MMVolatEF*NtoN2O*kgtoGg,IF('Net zero activities &amp; levers'!$C$14="On",Constants!$H77*'Net zero Activity data'!BO19*Constants!$H95*EF!$H220*MMVolatEF*NtoN2O*kgtoGg,"ERROR"))</f>
        <v>0.13140059443899127</v>
      </c>
      <c r="AW1199" s="94">
        <f>IF('Net zero activities &amp; levers'!$C$14="Off",Constants!$H77*'Activity data'!BP19*Constants!$H95*EF!$H220*MMVolatEF*NtoN2O*kgtoGg,IF('Net zero activities &amp; levers'!$C$14="On",Constants!$H77*'Net zero Activity data'!BP19*Constants!$H95*EF!$H220*MMVolatEF*NtoN2O*kgtoGg,"ERROR"))</f>
        <v>0.13193699884155385</v>
      </c>
      <c r="AY1199" s="79"/>
    </row>
    <row r="1200" spans="1:51" x14ac:dyDescent="0.3">
      <c r="A1200" s="95" t="str">
        <f t="shared" si="380"/>
        <v>CM MM Volatilisation</v>
      </c>
      <c r="B1200" s="95" t="s">
        <v>1322</v>
      </c>
      <c r="C1200" s="95" t="s">
        <v>1332</v>
      </c>
      <c r="D1200" t="s">
        <v>369</v>
      </c>
      <c r="E1200" t="s">
        <v>64</v>
      </c>
      <c r="F1200" t="s">
        <v>62</v>
      </c>
      <c r="G1200" t="s">
        <v>1182</v>
      </c>
      <c r="H1200" t="s">
        <v>1305</v>
      </c>
      <c r="I1200" t="s">
        <v>139</v>
      </c>
      <c r="J1200" t="s">
        <v>287</v>
      </c>
      <c r="K1200" s="94">
        <f>IF('Net zero activities &amp; levers'!$C$14="Off",Constants!$H78*'Activity data'!AD20*Constants!$H96*EF!$H221*MMVolatEF*NtoN2O*kgtoGg,IF('Net zero activities &amp; levers'!$C$14="On",Constants!$H78*'Net zero Activity data'!AD20*Constants!$H96*EF!$H221*MMVolatEF*NtoN2O*kgtoGg,"ERROR"))</f>
        <v>0.31034319165291718</v>
      </c>
      <c r="L1200" s="94">
        <f>IF('Net zero activities &amp; levers'!$C$14="Off",Constants!$H78*'Activity data'!AE20*Constants!$H96*EF!$H221*MMVolatEF*NtoN2O*kgtoGg,IF('Net zero activities &amp; levers'!$C$14="On",Constants!$H78*'Net zero Activity data'!AE20*Constants!$H96*EF!$H221*MMVolatEF*NtoN2O*kgtoGg,"ERROR"))</f>
        <v>0.31442985679016972</v>
      </c>
      <c r="M1200" s="94">
        <f>IF('Net zero activities &amp; levers'!$C$14="Off",Constants!$H78*'Activity data'!AF20*Constants!$H96*EF!$H221*MMVolatEF*NtoN2O*kgtoGg,IF('Net zero activities &amp; levers'!$C$14="On",Constants!$H78*'Net zero Activity data'!AF20*Constants!$H96*EF!$H221*MMVolatEF*NtoN2O*kgtoGg,"ERROR"))</f>
        <v>0.32099421325528477</v>
      </c>
      <c r="N1200" s="94">
        <f>IF('Net zero activities &amp; levers'!$C$14="Off",Constants!$H78*'Activity data'!AG20*Constants!$H96*EF!$H221*MMVolatEF*NtoN2O*kgtoGg,IF('Net zero activities &amp; levers'!$C$14="On",Constants!$H78*'Net zero Activity data'!AG20*Constants!$H96*EF!$H221*MMVolatEF*NtoN2O*kgtoGg,"ERROR"))</f>
        <v>0.3228790317815291</v>
      </c>
      <c r="O1200" s="94">
        <f>IF('Net zero activities &amp; levers'!$C$14="Off",Constants!$H78*'Activity data'!AH20*Constants!$H96*EF!$H221*MMVolatEF*NtoN2O*kgtoGg,IF('Net zero activities &amp; levers'!$C$14="On",Constants!$H78*'Net zero Activity data'!AH20*Constants!$H96*EF!$H221*MMVolatEF*NtoN2O*kgtoGg,"ERROR"))</f>
        <v>0.32172327535887091</v>
      </c>
      <c r="P1200" s="94">
        <f>IF('Net zero activities &amp; levers'!$C$14="Off",Constants!$H78*'Activity data'!AI20*Constants!$H96*EF!$H221*MMVolatEF*NtoN2O*kgtoGg,IF('Net zero activities &amp; levers'!$C$14="On",Constants!$H78*'Net zero Activity data'!AI20*Constants!$H96*EF!$H221*MMVolatEF*NtoN2O*kgtoGg,"ERROR"))</f>
        <v>0.31753924052538912</v>
      </c>
      <c r="Q1200" s="94">
        <f>IF('Net zero activities &amp; levers'!$C$14="Off",Constants!$H78*'Activity data'!AJ20*Constants!$H96*EF!$H221*MMVolatEF*NtoN2O*kgtoGg,IF('Net zero activities &amp; levers'!$C$14="On",Constants!$H78*'Net zero Activity data'!AJ20*Constants!$H96*EF!$H221*MMVolatEF*NtoN2O*kgtoGg,"ERROR"))</f>
        <v>0.31577785743754239</v>
      </c>
      <c r="R1200" s="94">
        <f>IF('Net zero activities &amp; levers'!$C$14="Off",Constants!$H78*'Activity data'!AK20*Constants!$H96*EF!$H221*MMVolatEF*NtoN2O*kgtoGg,IF('Net zero activities &amp; levers'!$C$14="On",Constants!$H78*'Net zero Activity data'!AK20*Constants!$H96*EF!$H221*MMVolatEF*NtoN2O*kgtoGg,"ERROR"))</f>
        <v>0.31441607582114939</v>
      </c>
      <c r="S1200" s="94">
        <f>IF('Net zero activities &amp; levers'!$C$14="Off",Constants!$H78*'Activity data'!AL20*Constants!$H96*EF!$H221*MMVolatEF*NtoN2O*kgtoGg,IF('Net zero activities &amp; levers'!$C$14="On",Constants!$H78*'Net zero Activity data'!AL20*Constants!$H96*EF!$H221*MMVolatEF*NtoN2O*kgtoGg,"ERROR"))</f>
        <v>0.2650364312253965</v>
      </c>
      <c r="T1200" s="94">
        <f>IF('Net zero activities &amp; levers'!$C$14="Off",Constants!$H78*'Activity data'!AM20*Constants!$H96*EF!$H221*MMVolatEF*NtoN2O*kgtoGg,IF('Net zero activities &amp; levers'!$C$14="On",Constants!$H78*'Net zero Activity data'!AM20*Constants!$H96*EF!$H221*MMVolatEF*NtoN2O*kgtoGg,"ERROR"))</f>
        <v>0.27553316275566697</v>
      </c>
      <c r="U1200" s="94">
        <f>IF('Net zero activities &amp; levers'!$C$14="Off",Constants!$H78*'Activity data'!AN20*Constants!$H96*EF!$H221*MMVolatEF*NtoN2O*kgtoGg,IF('Net zero activities &amp; levers'!$C$14="On",Constants!$H78*'Net zero Activity data'!AN20*Constants!$H96*EF!$H221*MMVolatEF*NtoN2O*kgtoGg,"ERROR"))</f>
        <v>0.29228527136368948</v>
      </c>
      <c r="V1200" s="94">
        <f>IF('Net zero activities &amp; levers'!$C$14="Off",Constants!$H78*'Activity data'!AO20*Constants!$H96*EF!$H221*MMVolatEF*NtoN2O*kgtoGg,IF('Net zero activities &amp; levers'!$C$14="On",Constants!$H78*'Net zero Activity data'!AO20*Constants!$H96*EF!$H221*MMVolatEF*NtoN2O*kgtoGg,"ERROR"))</f>
        <v>0.29874340186404968</v>
      </c>
      <c r="W1200" s="94">
        <f>IF('Net zero activities &amp; levers'!$C$14="Off",Constants!$H78*'Activity data'!AP20*Constants!$H96*EF!$H221*MMVolatEF*NtoN2O*kgtoGg,IF('Net zero activities &amp; levers'!$C$14="On",Constants!$H78*'Net zero Activity data'!AP20*Constants!$H96*EF!$H221*MMVolatEF*NtoN2O*kgtoGg,"ERROR"))</f>
        <v>0.30647179876243097</v>
      </c>
      <c r="X1200" s="94">
        <f>IF('Net zero activities &amp; levers'!$C$14="Off",Constants!$H78*'Activity data'!AQ20*Constants!$H96*EF!$H221*MMVolatEF*NtoN2O*kgtoGg,IF('Net zero activities &amp; levers'!$C$14="On",Constants!$H78*'Net zero Activity data'!AQ20*Constants!$H96*EF!$H221*MMVolatEF*NtoN2O*kgtoGg,"ERROR"))</f>
        <v>0.3158631034162086</v>
      </c>
      <c r="Y1200" s="94">
        <f>IF('Net zero activities &amp; levers'!$C$14="Off",Constants!$H78*'Activity data'!AR20*Constants!$H96*EF!$H221*MMVolatEF*NtoN2O*kgtoGg,IF('Net zero activities &amp; levers'!$C$14="On",Constants!$H78*'Net zero Activity data'!AR20*Constants!$H96*EF!$H221*MMVolatEF*NtoN2O*kgtoGg,"ERROR"))</f>
        <v>0.32664711376847955</v>
      </c>
      <c r="Z1200" s="94">
        <f>IF('Net zero activities &amp; levers'!$C$14="Off",Constants!$H78*'Activity data'!AS20*Constants!$H96*EF!$H221*MMVolatEF*NtoN2O*kgtoGg,IF('Net zero activities &amp; levers'!$C$14="On",Constants!$H78*'Net zero Activity data'!AS20*Constants!$H96*EF!$H221*MMVolatEF*NtoN2O*kgtoGg,"ERROR"))</f>
        <v>0.3387235871621958</v>
      </c>
      <c r="AA1200" s="94">
        <f>IF('Net zero activities &amp; levers'!$C$14="Off",Constants!$H78*'Activity data'!AT20*Constants!$H96*EF!$H221*MMVolatEF*NtoN2O*kgtoGg,IF('Net zero activities &amp; levers'!$C$14="On",Constants!$H78*'Net zero Activity data'!AT20*Constants!$H96*EF!$H221*MMVolatEF*NtoN2O*kgtoGg,"ERROR"))</f>
        <v>0.35105651101096136</v>
      </c>
      <c r="AB1200" s="94">
        <f>IF('Net zero activities &amp; levers'!$C$14="Off",Constants!$H78*'Activity data'!AU20*Constants!$H96*EF!$H221*MMVolatEF*NtoN2O*kgtoGg,IF('Net zero activities &amp; levers'!$C$14="On",Constants!$H78*'Net zero Activity data'!AU20*Constants!$H96*EF!$H221*MMVolatEF*NtoN2O*kgtoGg,"ERROR"))</f>
        <v>0.36458195379680847</v>
      </c>
      <c r="AC1200" s="94">
        <f>IF('Net zero activities &amp; levers'!$C$14="Off",Constants!$H78*'Activity data'!AV20*Constants!$H96*EF!$H221*MMVolatEF*NtoN2O*kgtoGg,IF('Net zero activities &amp; levers'!$C$14="On",Constants!$H78*'Net zero Activity data'!AV20*Constants!$H96*EF!$H221*MMVolatEF*NtoN2O*kgtoGg,"ERROR"))</f>
        <v>0.37828081857860674</v>
      </c>
      <c r="AD1200" s="94">
        <f>IF('Net zero activities &amp; levers'!$C$14="Off",Constants!$H78*'Activity data'!AW20*Constants!$H96*EF!$H221*MMVolatEF*NtoN2O*kgtoGg,IF('Net zero activities &amp; levers'!$C$14="On",Constants!$H78*'Net zero Activity data'!AW20*Constants!$H96*EF!$H221*MMVolatEF*NtoN2O*kgtoGg,"ERROR"))</f>
        <v>0.39427261879187497</v>
      </c>
      <c r="AE1200" s="94">
        <f>IF('Net zero activities &amp; levers'!$C$14="Off",Constants!$H78*'Activity data'!AX20*Constants!$H96*EF!$H221*MMVolatEF*NtoN2O*kgtoGg,IF('Net zero activities &amp; levers'!$C$14="On",Constants!$H78*'Net zero Activity data'!AX20*Constants!$H96*EF!$H221*MMVolatEF*NtoN2O*kgtoGg,"ERROR"))</f>
        <v>0.40979186242957388</v>
      </c>
      <c r="AF1200" s="94">
        <f>IF('Net zero activities &amp; levers'!$C$14="Off",Constants!$H78*'Activity data'!AY20*Constants!$H96*EF!$H221*MMVolatEF*NtoN2O*kgtoGg,IF('Net zero activities &amp; levers'!$C$14="On",Constants!$H78*'Net zero Activity data'!AY20*Constants!$H96*EF!$H221*MMVolatEF*NtoN2O*kgtoGg,"ERROR"))</f>
        <v>0.42616228566496256</v>
      </c>
      <c r="AG1200" s="94">
        <f>IF('Net zero activities &amp; levers'!$C$14="Off",Constants!$H78*'Activity data'!AZ20*Constants!$H96*EF!$H221*MMVolatEF*NtoN2O*kgtoGg,IF('Net zero activities &amp; levers'!$C$14="On",Constants!$H78*'Net zero Activity data'!AZ20*Constants!$H96*EF!$H221*MMVolatEF*NtoN2O*kgtoGg,"ERROR"))</f>
        <v>0.44495226630702778</v>
      </c>
      <c r="AH1200" s="94">
        <f>IF('Net zero activities &amp; levers'!$C$14="Off",Constants!$H78*'Activity data'!BA20*Constants!$H96*EF!$H221*MMVolatEF*NtoN2O*kgtoGg,IF('Net zero activities &amp; levers'!$C$14="On",Constants!$H78*'Net zero Activity data'!BA20*Constants!$H96*EF!$H221*MMVolatEF*NtoN2O*kgtoGg,"ERROR"))</f>
        <v>0.46242618458210583</v>
      </c>
      <c r="AI1200" s="94">
        <f>IF('Net zero activities &amp; levers'!$C$14="Off",Constants!$H78*'Activity data'!BB20*Constants!$H96*EF!$H221*MMVolatEF*NtoN2O*kgtoGg,IF('Net zero activities &amp; levers'!$C$14="On",Constants!$H78*'Net zero Activity data'!BB20*Constants!$H96*EF!$H221*MMVolatEF*NtoN2O*kgtoGg,"ERROR"))</f>
        <v>0.48124875752773738</v>
      </c>
      <c r="AJ1200" s="94">
        <f>IF('Net zero activities &amp; levers'!$C$14="Off",Constants!$H78*'Activity data'!BC20*Constants!$H96*EF!$H221*MMVolatEF*NtoN2O*kgtoGg,IF('Net zero activities &amp; levers'!$C$14="On",Constants!$H78*'Net zero Activity data'!BC20*Constants!$H96*EF!$H221*MMVolatEF*NtoN2O*kgtoGg,"ERROR"))</f>
        <v>0.50140117317613597</v>
      </c>
      <c r="AK1200" s="94">
        <f>IF('Net zero activities &amp; levers'!$C$14="Off",Constants!$H78*'Activity data'!BD20*Constants!$H96*EF!$H221*MMVolatEF*NtoN2O*kgtoGg,IF('Net zero activities &amp; levers'!$C$14="On",Constants!$H78*'Net zero Activity data'!BD20*Constants!$H96*EF!$H221*MMVolatEF*NtoN2O*kgtoGg,"ERROR"))</f>
        <v>0.51989325002843578</v>
      </c>
      <c r="AL1200" s="94">
        <f>IF('Net zero activities &amp; levers'!$C$14="Off",Constants!$H78*'Activity data'!BE20*Constants!$H96*EF!$H221*MMVolatEF*NtoN2O*kgtoGg,IF('Net zero activities &amp; levers'!$C$14="On",Constants!$H78*'Net zero Activity data'!BE20*Constants!$H96*EF!$H221*MMVolatEF*NtoN2O*kgtoGg,"ERROR"))</f>
        <v>0.53809144777835283</v>
      </c>
      <c r="AM1200" s="94">
        <f>IF('Net zero activities &amp; levers'!$C$14="Off",Constants!$H78*'Activity data'!BF20*Constants!$H96*EF!$H221*MMVolatEF*NtoN2O*kgtoGg,IF('Net zero activities &amp; levers'!$C$14="On",Constants!$H78*'Net zero Activity data'!BF20*Constants!$H96*EF!$H221*MMVolatEF*NtoN2O*kgtoGg,"ERROR"))</f>
        <v>0.55606219814879432</v>
      </c>
      <c r="AN1200" s="94">
        <f>IF('Net zero activities &amp; levers'!$C$14="Off",Constants!$H78*'Activity data'!BG20*Constants!$H96*EF!$H221*MMVolatEF*NtoN2O*kgtoGg,IF('Net zero activities &amp; levers'!$C$14="On",Constants!$H78*'Net zero Activity data'!BG20*Constants!$H96*EF!$H221*MMVolatEF*NtoN2O*kgtoGg,"ERROR"))</f>
        <v>0.57603307954485361</v>
      </c>
      <c r="AO1200" s="94">
        <f>IF('Net zero activities &amp; levers'!$C$14="Off",Constants!$H78*'Activity data'!BH20*Constants!$H96*EF!$H221*MMVolatEF*NtoN2O*kgtoGg,IF('Net zero activities &amp; levers'!$C$14="On",Constants!$H78*'Net zero Activity data'!BH20*Constants!$H96*EF!$H221*MMVolatEF*NtoN2O*kgtoGg,"ERROR"))</f>
        <v>0.59492740362722618</v>
      </c>
      <c r="AP1200" s="94">
        <f>IF('Net zero activities &amp; levers'!$C$14="Off",Constants!$H78*'Activity data'!BI20*Constants!$H96*EF!$H221*MMVolatEF*NtoN2O*kgtoGg,IF('Net zero activities &amp; levers'!$C$14="On",Constants!$H78*'Net zero Activity data'!BI20*Constants!$H96*EF!$H221*MMVolatEF*NtoN2O*kgtoGg,"ERROR"))</f>
        <v>0.61451021406332851</v>
      </c>
      <c r="AQ1200" s="94">
        <f>IF('Net zero activities &amp; levers'!$C$14="Off",Constants!$H78*'Activity data'!BJ20*Constants!$H96*EF!$H221*MMVolatEF*NtoN2O*kgtoGg,IF('Net zero activities &amp; levers'!$C$14="On",Constants!$H78*'Net zero Activity data'!BJ20*Constants!$H96*EF!$H221*MMVolatEF*NtoN2O*kgtoGg,"ERROR"))</f>
        <v>0.6348825242649947</v>
      </c>
      <c r="AR1200" s="94">
        <f>IF('Net zero activities &amp; levers'!$C$14="Off",Constants!$H78*'Activity data'!BK20*Constants!$H96*EF!$H221*MMVolatEF*NtoN2O*kgtoGg,IF('Net zero activities &amp; levers'!$C$14="On",Constants!$H78*'Net zero Activity data'!BK20*Constants!$H96*EF!$H221*MMVolatEF*NtoN2O*kgtoGg,"ERROR"))</f>
        <v>0.65620656209687755</v>
      </c>
      <c r="AS1200" s="94">
        <f>IF('Net zero activities &amp; levers'!$C$14="Off",Constants!$H78*'Activity data'!BL20*Constants!$H96*EF!$H221*MMVolatEF*NtoN2O*kgtoGg,IF('Net zero activities &amp; levers'!$C$14="On",Constants!$H78*'Net zero Activity data'!BL20*Constants!$H96*EF!$H221*MMVolatEF*NtoN2O*kgtoGg,"ERROR"))</f>
        <v>0.67872441504873171</v>
      </c>
      <c r="AT1200" s="94">
        <f>IF('Net zero activities &amp; levers'!$C$14="Off",Constants!$H78*'Activity data'!BM20*Constants!$H96*EF!$H221*MMVolatEF*NtoN2O*kgtoGg,IF('Net zero activities &amp; levers'!$C$14="On",Constants!$H78*'Net zero Activity data'!BM20*Constants!$H96*EF!$H221*MMVolatEF*NtoN2O*kgtoGg,"ERROR"))</f>
        <v>0.6821526428447654</v>
      </c>
      <c r="AU1200" s="94">
        <f>IF('Net zero activities &amp; levers'!$C$14="Off",Constants!$H78*'Activity data'!BN20*Constants!$H96*EF!$H221*MMVolatEF*NtoN2O*kgtoGg,IF('Net zero activities &amp; levers'!$C$14="On",Constants!$H78*'Net zero Activity data'!BN20*Constants!$H96*EF!$H221*MMVolatEF*NtoN2O*kgtoGg,"ERROR"))</f>
        <v>0.68382516110267277</v>
      </c>
      <c r="AV1200" s="94">
        <f>IF('Net zero activities &amp; levers'!$C$14="Off",Constants!$H78*'Activity data'!BO20*Constants!$H96*EF!$H221*MMVolatEF*NtoN2O*kgtoGg,IF('Net zero activities &amp; levers'!$C$14="On",Constants!$H78*'Net zero Activity data'!BO20*Constants!$H96*EF!$H221*MMVolatEF*NtoN2O*kgtoGg,"ERROR"))</f>
        <v>0.68298338603927977</v>
      </c>
      <c r="AW1200" s="94">
        <f>IF('Net zero activities &amp; levers'!$C$14="Off",Constants!$H78*'Activity data'!BP20*Constants!$H96*EF!$H221*MMVolatEF*NtoN2O*kgtoGg,IF('Net zero activities &amp; levers'!$C$14="On",Constants!$H78*'Net zero Activity data'!BP20*Constants!$H96*EF!$H221*MMVolatEF*NtoN2O*kgtoGg,"ERROR"))</f>
        <v>0.68142585829620028</v>
      </c>
      <c r="AY1200" s="79"/>
    </row>
    <row r="1201" spans="1:51" x14ac:dyDescent="0.3">
      <c r="A1201" s="95" t="str">
        <f t="shared" si="380"/>
        <v>CM MM Leaching</v>
      </c>
      <c r="B1201" s="95" t="s">
        <v>1322</v>
      </c>
      <c r="C1201" s="95" t="s">
        <v>1333</v>
      </c>
      <c r="D1201" t="s">
        <v>369</v>
      </c>
      <c r="E1201" t="s">
        <v>64</v>
      </c>
      <c r="F1201" t="s">
        <v>63</v>
      </c>
      <c r="G1201" t="s">
        <v>1152</v>
      </c>
      <c r="H1201" t="s">
        <v>1306</v>
      </c>
      <c r="I1201" t="s">
        <v>139</v>
      </c>
      <c r="J1201" t="s">
        <v>287</v>
      </c>
      <c r="K1201" s="94">
        <f>IF('Net zero activities &amp; levers'!$C$14="Off",Constants!$H63*'Activity data'!AD5*Constants!$H81*FracLEACHMM*MMLeachEF*NtoN2O*kgtoGg,IF('Net zero activities &amp; levers'!$C$14="On",Constants!$H63*'Net zero Activity data'!AD5*Constants!$H81*FracLEACHMM*MMLeachEF*NtoN2O*kgtoGg,"ERROR"))</f>
        <v>8.9211118607918846E-2</v>
      </c>
      <c r="L1201" s="94">
        <f>IF('Net zero activities &amp; levers'!$C$14="Off",Constants!$H63*'Activity data'!AE5*Constants!$H81*FracLEACHMM*MMLeachEF*NtoN2O*kgtoGg,IF('Net zero activities &amp; levers'!$C$14="On",Constants!$H63*'Net zero Activity data'!AE5*Constants!$H81*FracLEACHMM*MMLeachEF*NtoN2O*kgtoGg,"ERROR"))</f>
        <v>8.9709854381943774E-2</v>
      </c>
      <c r="M1201" s="94">
        <f>IF('Net zero activities &amp; levers'!$C$14="Off",Constants!$H63*'Activity data'!AF5*Constants!$H81*FracLEACHMM*MMLeachEF*NtoN2O*kgtoGg,IF('Net zero activities &amp; levers'!$C$14="On",Constants!$H63*'Net zero Activity data'!AF5*Constants!$H81*FracLEACHMM*MMLeachEF*NtoN2O*kgtoGg,"ERROR"))</f>
        <v>9.0417475033143083E-2</v>
      </c>
      <c r="N1201" s="94">
        <f>IF('Net zero activities &amp; levers'!$C$14="Off",Constants!$H63*'Activity data'!AG5*Constants!$H81*FracLEACHMM*MMLeachEF*NtoN2O*kgtoGg,IF('Net zero activities &amp; levers'!$C$14="On",Constants!$H63*'Net zero Activity data'!AG5*Constants!$H81*FracLEACHMM*MMLeachEF*NtoN2O*kgtoGg,"ERROR"))</f>
        <v>9.0872196678668984E-2</v>
      </c>
      <c r="O1201" s="94">
        <f>IF('Net zero activities &amp; levers'!$C$14="Off",Constants!$H63*'Activity data'!AH5*Constants!$H81*FracLEACHMM*MMLeachEF*NtoN2O*kgtoGg,IF('Net zero activities &amp; levers'!$C$14="On",Constants!$H63*'Net zero Activity data'!AH5*Constants!$H81*FracLEACHMM*MMLeachEF*NtoN2O*kgtoGg,"ERROR"))</f>
        <v>9.1174361291842934E-2</v>
      </c>
      <c r="P1201" s="94">
        <f>IF('Net zero activities &amp; levers'!$C$14="Off",Constants!$H63*'Activity data'!AI5*Constants!$H81*FracLEACHMM*MMLeachEF*NtoN2O*kgtoGg,IF('Net zero activities &amp; levers'!$C$14="On",Constants!$H63*'Net zero Activity data'!AI5*Constants!$H81*FracLEACHMM*MMLeachEF*NtoN2O*kgtoGg,"ERROR"))</f>
        <v>9.1320994898161728E-2</v>
      </c>
      <c r="Q1201" s="94">
        <f>IF('Net zero activities &amp; levers'!$C$14="Off",Constants!$H63*'Activity data'!AJ5*Constants!$H81*FracLEACHMM*MMLeachEF*NtoN2O*kgtoGg,IF('Net zero activities &amp; levers'!$C$14="On",Constants!$H63*'Net zero Activity data'!AJ5*Constants!$H81*FracLEACHMM*MMLeachEF*NtoN2O*kgtoGg,"ERROR"))</f>
        <v>9.1644963105957017E-2</v>
      </c>
      <c r="R1201" s="94">
        <f>IF('Net zero activities &amp; levers'!$C$14="Off",Constants!$H63*'Activity data'!AK5*Constants!$H81*FracLEACHMM*MMLeachEF*NtoN2O*kgtoGg,IF('Net zero activities &amp; levers'!$C$14="On",Constants!$H63*'Net zero Activity data'!AK5*Constants!$H81*FracLEACHMM*MMLeachEF*NtoN2O*kgtoGg,"ERROR"))</f>
        <v>9.2016609055475651E-2</v>
      </c>
      <c r="S1201" s="94">
        <f>IF('Net zero activities &amp; levers'!$C$14="Off",Constants!$H63*'Activity data'!AL5*Constants!$H81*FracLEACHMM*MMLeachEF*NtoN2O*kgtoGg,IF('Net zero activities &amp; levers'!$C$14="On",Constants!$H63*'Net zero Activity data'!AL5*Constants!$H81*FracLEACHMM*MMLeachEF*NtoN2O*kgtoGg,"ERROR"))</f>
        <v>8.9250626632870506E-2</v>
      </c>
      <c r="T1201" s="94">
        <f>IF('Net zero activities &amp; levers'!$C$14="Off",Constants!$H63*'Activity data'!AM5*Constants!$H81*FracLEACHMM*MMLeachEF*NtoN2O*kgtoGg,IF('Net zero activities &amp; levers'!$C$14="On",Constants!$H63*'Net zero Activity data'!AM5*Constants!$H81*FracLEACHMM*MMLeachEF*NtoN2O*kgtoGg,"ERROR"))</f>
        <v>9.018910759145192E-2</v>
      </c>
      <c r="U1201" s="94">
        <f>IF('Net zero activities &amp; levers'!$C$14="Off",Constants!$H63*'Activity data'!AN5*Constants!$H81*FracLEACHMM*MMLeachEF*NtoN2O*kgtoGg,IF('Net zero activities &amp; levers'!$C$14="On",Constants!$H63*'Net zero Activity data'!AN5*Constants!$H81*FracLEACHMM*MMLeachEF*NtoN2O*kgtoGg,"ERROR"))</f>
        <v>9.1562795389337467E-2</v>
      </c>
      <c r="V1201" s="94">
        <f>IF('Net zero activities &amp; levers'!$C$14="Off",Constants!$H63*'Activity data'!AO5*Constants!$H81*FracLEACHMM*MMLeachEF*NtoN2O*kgtoGg,IF('Net zero activities &amp; levers'!$C$14="On",Constants!$H63*'Net zero Activity data'!AO5*Constants!$H81*FracLEACHMM*MMLeachEF*NtoN2O*kgtoGg,"ERROR"))</f>
        <v>9.2274810820194952E-2</v>
      </c>
      <c r="W1201" s="94">
        <f>IF('Net zero activities &amp; levers'!$C$14="Off",Constants!$H63*'Activity data'!AP5*Constants!$H81*FracLEACHMM*MMLeachEF*NtoN2O*kgtoGg,IF('Net zero activities &amp; levers'!$C$14="On",Constants!$H63*'Net zero Activity data'!AP5*Constants!$H81*FracLEACHMM*MMLeachEF*NtoN2O*kgtoGg,"ERROR"))</f>
        <v>9.3088549677051477E-2</v>
      </c>
      <c r="X1201" s="94">
        <f>IF('Net zero activities &amp; levers'!$C$14="Off",Constants!$H63*'Activity data'!AQ5*Constants!$H81*FracLEACHMM*MMLeachEF*NtoN2O*kgtoGg,IF('Net zero activities &amp; levers'!$C$14="On",Constants!$H63*'Net zero Activity data'!AQ5*Constants!$H81*FracLEACHMM*MMLeachEF*NtoN2O*kgtoGg,"ERROR"))</f>
        <v>9.4030367146954022E-2</v>
      </c>
      <c r="Y1201" s="94">
        <f>IF('Net zero activities &amp; levers'!$C$14="Off",Constants!$H63*'Activity data'!AR5*Constants!$H81*FracLEACHMM*MMLeachEF*NtoN2O*kgtoGg,IF('Net zero activities &amp; levers'!$C$14="On",Constants!$H63*'Net zero Activity data'!AR5*Constants!$H81*FracLEACHMM*MMLeachEF*NtoN2O*kgtoGg,"ERROR"))</f>
        <v>9.4992140485733595E-2</v>
      </c>
      <c r="Z1201" s="94">
        <f>IF('Net zero activities &amp; levers'!$C$14="Off",Constants!$H63*'Activity data'!AS5*Constants!$H81*FracLEACHMM*MMLeachEF*NtoN2O*kgtoGg,IF('Net zero activities &amp; levers'!$C$14="On",Constants!$H63*'Net zero Activity data'!AS5*Constants!$H81*FracLEACHMM*MMLeachEF*NtoN2O*kgtoGg,"ERROR"))</f>
        <v>9.605669953542309E-2</v>
      </c>
      <c r="AA1201" s="94">
        <f>IF('Net zero activities &amp; levers'!$C$14="Off",Constants!$H63*'Activity data'!AT5*Constants!$H81*FracLEACHMM*MMLeachEF*NtoN2O*kgtoGg,IF('Net zero activities &amp; levers'!$C$14="On",Constants!$H63*'Net zero Activity data'!AT5*Constants!$H81*FracLEACHMM*MMLeachEF*NtoN2O*kgtoGg,"ERROR"))</f>
        <v>9.7154235713963338E-2</v>
      </c>
      <c r="AB1201" s="94">
        <f>IF('Net zero activities &amp; levers'!$C$14="Off",Constants!$H63*'Activity data'!AU5*Constants!$H81*FracLEACHMM*MMLeachEF*NtoN2O*kgtoGg,IF('Net zero activities &amp; levers'!$C$14="On",Constants!$H63*'Net zero Activity data'!AU5*Constants!$H81*FracLEACHMM*MMLeachEF*NtoN2O*kgtoGg,"ERROR"))</f>
        <v>9.8347760304703769E-2</v>
      </c>
      <c r="AC1201" s="94">
        <f>IF('Net zero activities &amp; levers'!$C$14="Off",Constants!$H63*'Activity data'!AV5*Constants!$H81*FracLEACHMM*MMLeachEF*NtoN2O*kgtoGg,IF('Net zero activities &amp; levers'!$C$14="On",Constants!$H63*'Net zero Activity data'!AV5*Constants!$H81*FracLEACHMM*MMLeachEF*NtoN2O*kgtoGg,"ERROR"))</f>
        <v>9.9568208578524817E-2</v>
      </c>
      <c r="AD1201" s="94">
        <f>IF('Net zero activities &amp; levers'!$C$14="Off",Constants!$H63*'Activity data'!AW5*Constants!$H81*FracLEACHMM*MMLeachEF*NtoN2O*kgtoGg,IF('Net zero activities &amp; levers'!$C$14="On",Constants!$H63*'Net zero Activity data'!AW5*Constants!$H81*FracLEACHMM*MMLeachEF*NtoN2O*kgtoGg,"ERROR"))</f>
        <v>0.10088669536271129</v>
      </c>
      <c r="AE1201" s="94">
        <f>IF('Net zero activities &amp; levers'!$C$14="Off",Constants!$H63*'Activity data'!AX5*Constants!$H81*FracLEACHMM*MMLeachEF*NtoN2O*kgtoGg,IF('Net zero activities &amp; levers'!$C$14="On",Constants!$H63*'Net zero Activity data'!AX5*Constants!$H81*FracLEACHMM*MMLeachEF*NtoN2O*kgtoGg,"ERROR"))</f>
        <v>0.10218733727824697</v>
      </c>
      <c r="AF1201" s="94">
        <f>IF('Net zero activities &amp; levers'!$C$14="Off",Constants!$H63*'Activity data'!AY5*Constants!$H81*FracLEACHMM*MMLeachEF*NtoN2O*kgtoGg,IF('Net zero activities &amp; levers'!$C$14="On",Constants!$H63*'Net zero Activity data'!AY5*Constants!$H81*FracLEACHMM*MMLeachEF*NtoN2O*kgtoGg,"ERROR"))</f>
        <v>0.10356015512248805</v>
      </c>
      <c r="AG1201" s="94">
        <f>IF('Net zero activities &amp; levers'!$C$14="Off",Constants!$H63*'Activity data'!AZ5*Constants!$H81*FracLEACHMM*MMLeachEF*NtoN2O*kgtoGg,IF('Net zero activities &amp; levers'!$C$14="On",Constants!$H63*'Net zero Activity data'!AZ5*Constants!$H81*FracLEACHMM*MMLeachEF*NtoN2O*kgtoGg,"ERROR"))</f>
        <v>0.1051130390487056</v>
      </c>
      <c r="AH1201" s="94">
        <f>IF('Net zero activities &amp; levers'!$C$14="Off",Constants!$H63*'Activity data'!BA5*Constants!$H81*FracLEACHMM*MMLeachEF*NtoN2O*kgtoGg,IF('Net zero activities &amp; levers'!$C$14="On",Constants!$H63*'Net zero Activity data'!BA5*Constants!$H81*FracLEACHMM*MMLeachEF*NtoN2O*kgtoGg,"ERROR"))</f>
        <v>0.10658947451521658</v>
      </c>
      <c r="AI1201" s="94">
        <f>IF('Net zero activities &amp; levers'!$C$14="Off",Constants!$H63*'Activity data'!BB5*Constants!$H81*FracLEACHMM*MMLeachEF*NtoN2O*kgtoGg,IF('Net zero activities &amp; levers'!$C$14="On",Constants!$H63*'Net zero Activity data'!BB5*Constants!$H81*FracLEACHMM*MMLeachEF*NtoN2O*kgtoGg,"ERROR"))</f>
        <v>0.10810355126576793</v>
      </c>
      <c r="AJ1201" s="94">
        <f>IF('Net zero activities &amp; levers'!$C$14="Off",Constants!$H63*'Activity data'!BC5*Constants!$H81*FracLEACHMM*MMLeachEF*NtoN2O*kgtoGg,IF('Net zero activities &amp; levers'!$C$14="On",Constants!$H63*'Net zero Activity data'!BC5*Constants!$H81*FracLEACHMM*MMLeachEF*NtoN2O*kgtoGg,"ERROR"))</f>
        <v>0.10972278781886159</v>
      </c>
      <c r="AK1201" s="94">
        <f>IF('Net zero activities &amp; levers'!$C$14="Off",Constants!$H63*'Activity data'!BD5*Constants!$H81*FracLEACHMM*MMLeachEF*NtoN2O*kgtoGg,IF('Net zero activities &amp; levers'!$C$14="On",Constants!$H63*'Net zero Activity data'!BD5*Constants!$H81*FracLEACHMM*MMLeachEF*NtoN2O*kgtoGg,"ERROR"))</f>
        <v>0.1112398173269733</v>
      </c>
      <c r="AL1201" s="94">
        <f>IF('Net zero activities &amp; levers'!$C$14="Off",Constants!$H63*'Activity data'!BE5*Constants!$H81*FracLEACHMM*MMLeachEF*NtoN2O*kgtoGg,IF('Net zero activities &amp; levers'!$C$14="On",Constants!$H63*'Net zero Activity data'!BE5*Constants!$H81*FracLEACHMM*MMLeachEF*NtoN2O*kgtoGg,"ERROR"))</f>
        <v>0.11274861433308095</v>
      </c>
      <c r="AM1201" s="94">
        <f>IF('Net zero activities &amp; levers'!$C$14="Off",Constants!$H63*'Activity data'!BF5*Constants!$H81*FracLEACHMM*MMLeachEF*NtoN2O*kgtoGg,IF('Net zero activities &amp; levers'!$C$14="On",Constants!$H63*'Net zero Activity data'!BF5*Constants!$H81*FracLEACHMM*MMLeachEF*NtoN2O*kgtoGg,"ERROR"))</f>
        <v>0.11425337554687653</v>
      </c>
      <c r="AN1201" s="94">
        <f>IF('Net zero activities &amp; levers'!$C$14="Off",Constants!$H63*'Activity data'!BG5*Constants!$H81*FracLEACHMM*MMLeachEF*NtoN2O*kgtoGg,IF('Net zero activities &amp; levers'!$C$14="On",Constants!$H63*'Net zero Activity data'!BG5*Constants!$H81*FracLEACHMM*MMLeachEF*NtoN2O*kgtoGg,"ERROR"))</f>
        <v>0.11584536779599926</v>
      </c>
      <c r="AO1201" s="94">
        <f>IF('Net zero activities &amp; levers'!$C$14="Off",Constants!$H63*'Activity data'!BH5*Constants!$H81*FracLEACHMM*MMLeachEF*NtoN2O*kgtoGg,IF('Net zero activities &amp; levers'!$C$14="On",Constants!$H63*'Net zero Activity data'!BH5*Constants!$H81*FracLEACHMM*MMLeachEF*NtoN2O*kgtoGg,"ERROR"))</f>
        <v>0.11737332691073739</v>
      </c>
      <c r="AP1201" s="94">
        <f>IF('Net zero activities &amp; levers'!$C$14="Off",Constants!$H63*'Activity data'!BI5*Constants!$H81*FracLEACHMM*MMLeachEF*NtoN2O*kgtoGg,IF('Net zero activities &amp; levers'!$C$14="On",Constants!$H63*'Net zero Activity data'!BI5*Constants!$H81*FracLEACHMM*MMLeachEF*NtoN2O*kgtoGg,"ERROR"))</f>
        <v>0.11896061880517098</v>
      </c>
      <c r="AQ1201" s="94">
        <f>IF('Net zero activities &amp; levers'!$C$14="Off",Constants!$H63*'Activity data'!BJ5*Constants!$H81*FracLEACHMM*MMLeachEF*NtoN2O*kgtoGg,IF('Net zero activities &amp; levers'!$C$14="On",Constants!$H63*'Net zero Activity data'!BJ5*Constants!$H81*FracLEACHMM*MMLeachEF*NtoN2O*kgtoGg,"ERROR"))</f>
        <v>0.12061448282820714</v>
      </c>
      <c r="AR1201" s="94">
        <f>IF('Net zero activities &amp; levers'!$C$14="Off",Constants!$H63*'Activity data'!BK5*Constants!$H81*FracLEACHMM*MMLeachEF*NtoN2O*kgtoGg,IF('Net zero activities &amp; levers'!$C$14="On",Constants!$H63*'Net zero Activity data'!BK5*Constants!$H81*FracLEACHMM*MMLeachEF*NtoN2O*kgtoGg,"ERROR"))</f>
        <v>0.12234656062044848</v>
      </c>
      <c r="AS1201" s="94">
        <f>IF('Net zero activities &amp; levers'!$C$14="Off",Constants!$H63*'Activity data'!BL5*Constants!$H81*FracLEACHMM*MMLeachEF*NtoN2O*kgtoGg,IF('Net zero activities &amp; levers'!$C$14="On",Constants!$H63*'Net zero Activity data'!BL5*Constants!$H81*FracLEACHMM*MMLeachEF*NtoN2O*kgtoGg,"ERROR"))</f>
        <v>0.12410927658755902</v>
      </c>
      <c r="AT1201" s="94">
        <f>IF('Net zero activities &amp; levers'!$C$14="Off",Constants!$H63*'Activity data'!BM5*Constants!$H81*FracLEACHMM*MMLeachEF*NtoN2O*kgtoGg,IF('Net zero activities &amp; levers'!$C$14="On",Constants!$H63*'Net zero Activity data'!BM5*Constants!$H81*FracLEACHMM*MMLeachEF*NtoN2O*kgtoGg,"ERROR"))</f>
        <v>0.12452720245635615</v>
      </c>
      <c r="AU1201" s="94">
        <f>IF('Net zero activities &amp; levers'!$C$14="Off",Constants!$H63*'Activity data'!BN5*Constants!$H81*FracLEACHMM*MMLeachEF*NtoN2O*kgtoGg,IF('Net zero activities &amp; levers'!$C$14="On",Constants!$H63*'Net zero Activity data'!BN5*Constants!$H81*FracLEACHMM*MMLeachEF*NtoN2O*kgtoGg,"ERROR"))</f>
        <v>0.12482463901873847</v>
      </c>
      <c r="AV1201" s="94">
        <f>IF('Net zero activities &amp; levers'!$C$14="Off",Constants!$H63*'Activity data'!BO5*Constants!$H81*FracLEACHMM*MMLeachEF*NtoN2O*kgtoGg,IF('Net zero activities &amp; levers'!$C$14="On",Constants!$H63*'Net zero Activity data'!BO5*Constants!$H81*FracLEACHMM*MMLeachEF*NtoN2O*kgtoGg,"ERROR"))</f>
        <v>0.12494650421265691</v>
      </c>
      <c r="AW1201" s="94">
        <f>IF('Net zero activities &amp; levers'!$C$14="Off",Constants!$H63*'Activity data'!BP5*Constants!$H81*FracLEACHMM*MMLeachEF*NtoN2O*kgtoGg,IF('Net zero activities &amp; levers'!$C$14="On",Constants!$H63*'Net zero Activity data'!BP5*Constants!$H81*FracLEACHMM*MMLeachEF*NtoN2O*kgtoGg,"ERROR"))</f>
        <v>0.12502008970656403</v>
      </c>
      <c r="AY1201" s="79"/>
    </row>
    <row r="1202" spans="1:51" x14ac:dyDescent="0.3">
      <c r="A1202" s="95" t="str">
        <f t="shared" si="380"/>
        <v>CM MM Leaching</v>
      </c>
      <c r="B1202" s="95" t="s">
        <v>1322</v>
      </c>
      <c r="C1202" s="95" t="s">
        <v>1333</v>
      </c>
      <c r="D1202" t="s">
        <v>369</v>
      </c>
      <c r="E1202" t="s">
        <v>64</v>
      </c>
      <c r="F1202" t="s">
        <v>63</v>
      </c>
      <c r="G1202" t="s">
        <v>1154</v>
      </c>
      <c r="H1202" t="s">
        <v>1307</v>
      </c>
      <c r="I1202" t="s">
        <v>139</v>
      </c>
      <c r="J1202" t="s">
        <v>287</v>
      </c>
      <c r="K1202" s="94">
        <f>IF('Net zero activities &amp; levers'!$C$14="Off",Constants!$H64*'Activity data'!AD6*Constants!$H82*FracLEACHMM*MMLeachEF*NtoN2O*kgtoGg,IF('Net zero activities &amp; levers'!$C$14="On",Constants!$H64*'Net zero Activity data'!AD6*Constants!$H82*FracLEACHMM*MMLeachEF*NtoN2O*kgtoGg,"ERROR"))</f>
        <v>2.6939494531157477E-2</v>
      </c>
      <c r="L1202" s="94">
        <f>IF('Net zero activities &amp; levers'!$C$14="Off",Constants!$H64*'Activity data'!AE6*Constants!$H82*FracLEACHMM*MMLeachEF*NtoN2O*kgtoGg,IF('Net zero activities &amp; levers'!$C$14="On",Constants!$H64*'Net zero Activity data'!AE6*Constants!$H82*FracLEACHMM*MMLeachEF*NtoN2O*kgtoGg,"ERROR"))</f>
        <v>2.709010008197326E-2</v>
      </c>
      <c r="M1202" s="94">
        <f>IF('Net zero activities &amp; levers'!$C$14="Off",Constants!$H64*'Activity data'!AF6*Constants!$H82*FracLEACHMM*MMLeachEF*NtoN2O*kgtoGg,IF('Net zero activities &amp; levers'!$C$14="On",Constants!$H64*'Net zero Activity data'!AF6*Constants!$H82*FracLEACHMM*MMLeachEF*NtoN2O*kgtoGg,"ERROR"))</f>
        <v>2.730378356628085E-2</v>
      </c>
      <c r="N1202" s="94">
        <f>IF('Net zero activities &amp; levers'!$C$14="Off",Constants!$H64*'Activity data'!AG6*Constants!$H82*FracLEACHMM*MMLeachEF*NtoN2O*kgtoGg,IF('Net zero activities &amp; levers'!$C$14="On",Constants!$H64*'Net zero Activity data'!AG6*Constants!$H82*FracLEACHMM*MMLeachEF*NtoN2O*kgtoGg,"ERROR"))</f>
        <v>2.7441097966929517E-2</v>
      </c>
      <c r="O1202" s="94">
        <f>IF('Net zero activities &amp; levers'!$C$14="Off",Constants!$H64*'Activity data'!AH6*Constants!$H82*FracLEACHMM*MMLeachEF*NtoN2O*kgtoGg,IF('Net zero activities &amp; levers'!$C$14="On",Constants!$H64*'Net zero Activity data'!AH6*Constants!$H82*FracLEACHMM*MMLeachEF*NtoN2O*kgtoGg,"ERROR"))</f>
        <v>2.7532344014183842E-2</v>
      </c>
      <c r="P1202" s="94">
        <f>IF('Net zero activities &amp; levers'!$C$14="Off",Constants!$H64*'Activity data'!AI6*Constants!$H82*FracLEACHMM*MMLeachEF*NtoN2O*kgtoGg,IF('Net zero activities &amp; levers'!$C$14="On",Constants!$H64*'Net zero Activity data'!AI6*Constants!$H82*FracLEACHMM*MMLeachEF*NtoN2O*kgtoGg,"ERROR"))</f>
        <v>2.757662364319366E-2</v>
      </c>
      <c r="Q1202" s="94">
        <f>IF('Net zero activities &amp; levers'!$C$14="Off",Constants!$H64*'Activity data'!AJ6*Constants!$H82*FracLEACHMM*MMLeachEF*NtoN2O*kgtoGg,IF('Net zero activities &amp; levers'!$C$14="On",Constants!$H64*'Net zero Activity data'!AJ6*Constants!$H82*FracLEACHMM*MMLeachEF*NtoN2O*kgtoGg,"ERROR"))</f>
        <v>2.7674453822865853E-2</v>
      </c>
      <c r="R1202" s="94">
        <f>IF('Net zero activities &amp; levers'!$C$14="Off",Constants!$H64*'Activity data'!AK6*Constants!$H82*FracLEACHMM*MMLeachEF*NtoN2O*kgtoGg,IF('Net zero activities &amp; levers'!$C$14="On",Constants!$H64*'Net zero Activity data'!AK6*Constants!$H82*FracLEACHMM*MMLeachEF*NtoN2O*kgtoGg,"ERROR"))</f>
        <v>2.7786681470952927E-2</v>
      </c>
      <c r="S1202" s="94">
        <f>IF('Net zero activities &amp; levers'!$C$14="Off",Constants!$H64*'Activity data'!AL6*Constants!$H82*FracLEACHMM*MMLeachEF*NtoN2O*kgtoGg,IF('Net zero activities &amp; levers'!$C$14="On",Constants!$H64*'Net zero Activity data'!AL6*Constants!$H82*FracLEACHMM*MMLeachEF*NtoN2O*kgtoGg,"ERROR"))</f>
        <v>2.6951424952373251E-2</v>
      </c>
      <c r="T1202" s="94">
        <f>IF('Net zero activities &amp; levers'!$C$14="Off",Constants!$H64*'Activity data'!AM6*Constants!$H82*FracLEACHMM*MMLeachEF*NtoN2O*kgtoGg,IF('Net zero activities &amp; levers'!$C$14="On",Constants!$H64*'Net zero Activity data'!AM6*Constants!$H82*FracLEACHMM*MMLeachEF*NtoN2O*kgtoGg,"ERROR"))</f>
        <v>2.7234822392578142E-2</v>
      </c>
      <c r="U1202" s="94">
        <f>IF('Net zero activities &amp; levers'!$C$14="Off",Constants!$H64*'Activity data'!AN6*Constants!$H82*FracLEACHMM*MMLeachEF*NtoN2O*kgtoGg,IF('Net zero activities &amp; levers'!$C$14="On",Constants!$H64*'Net zero Activity data'!AN6*Constants!$H82*FracLEACHMM*MMLeachEF*NtoN2O*kgtoGg,"ERROR"))</f>
        <v>2.7649641257043878E-2</v>
      </c>
      <c r="V1202" s="94">
        <f>IF('Net zero activities &amp; levers'!$C$14="Off",Constants!$H64*'Activity data'!AO6*Constants!$H82*FracLEACHMM*MMLeachEF*NtoN2O*kgtoGg,IF('Net zero activities &amp; levers'!$C$14="On",Constants!$H64*'Net zero Activity data'!AO6*Constants!$H82*FracLEACHMM*MMLeachEF*NtoN2O*kgtoGg,"ERROR"))</f>
        <v>2.7864651853312578E-2</v>
      </c>
      <c r="W1202" s="94">
        <f>IF('Net zero activities &amp; levers'!$C$14="Off",Constants!$H64*'Activity data'!AP6*Constants!$H82*FracLEACHMM*MMLeachEF*NtoN2O*kgtoGg,IF('Net zero activities &amp; levers'!$C$14="On",Constants!$H64*'Net zero Activity data'!AP6*Constants!$H82*FracLEACHMM*MMLeachEF*NtoN2O*kgtoGg,"ERROR"))</f>
        <v>2.8110380343506967E-2</v>
      </c>
      <c r="X1202" s="94">
        <f>IF('Net zero activities &amp; levers'!$C$14="Off",Constants!$H64*'Activity data'!AQ6*Constants!$H82*FracLEACHMM*MMLeachEF*NtoN2O*kgtoGg,IF('Net zero activities &amp; levers'!$C$14="On",Constants!$H64*'Net zero Activity data'!AQ6*Constants!$H82*FracLEACHMM*MMLeachEF*NtoN2O*kgtoGg,"ERROR"))</f>
        <v>2.8394785325483455E-2</v>
      </c>
      <c r="Y1202" s="94">
        <f>IF('Net zero activities &amp; levers'!$C$14="Off",Constants!$H64*'Activity data'!AR6*Constants!$H82*FracLEACHMM*MMLeachEF*NtoN2O*kgtoGg,IF('Net zero activities &amp; levers'!$C$14="On",Constants!$H64*'Net zero Activity data'!AR6*Constants!$H82*FracLEACHMM*MMLeachEF*NtoN2O*kgtoGg,"ERROR"))</f>
        <v>2.8685216473579894E-2</v>
      </c>
      <c r="Z1202" s="94">
        <f>IF('Net zero activities &amp; levers'!$C$14="Off",Constants!$H64*'Activity data'!AS6*Constants!$H82*FracLEACHMM*MMLeachEF*NtoN2O*kgtoGg,IF('Net zero activities &amp; levers'!$C$14="On",Constants!$H64*'Net zero Activity data'!AS6*Constants!$H82*FracLEACHMM*MMLeachEF*NtoN2O*kgtoGg,"ERROR"))</f>
        <v>2.9006686298694923E-2</v>
      </c>
      <c r="AA1202" s="94">
        <f>IF('Net zero activities &amp; levers'!$C$14="Off",Constants!$H64*'Activity data'!AT6*Constants!$H82*FracLEACHMM*MMLeachEF*NtoN2O*kgtoGg,IF('Net zero activities &amp; levers'!$C$14="On",Constants!$H64*'Net zero Activity data'!AT6*Constants!$H82*FracLEACHMM*MMLeachEF*NtoN2O*kgtoGg,"ERROR"))</f>
        <v>2.9338114380092265E-2</v>
      </c>
      <c r="AB1202" s="94">
        <f>IF('Net zero activities &amp; levers'!$C$14="Off",Constants!$H64*'Activity data'!AU6*Constants!$H82*FracLEACHMM*MMLeachEF*NtoN2O*kgtoGg,IF('Net zero activities &amp; levers'!$C$14="On",Constants!$H64*'Net zero Activity data'!AU6*Constants!$H82*FracLEACHMM*MMLeachEF*NtoN2O*kgtoGg,"ERROR"))</f>
        <v>2.9698528526745503E-2</v>
      </c>
      <c r="AC1202" s="94">
        <f>IF('Net zero activities &amp; levers'!$C$14="Off",Constants!$H64*'Activity data'!AV6*Constants!$H82*FracLEACHMM*MMLeachEF*NtoN2O*kgtoGg,IF('Net zero activities &amp; levers'!$C$14="On",Constants!$H64*'Net zero Activity data'!AV6*Constants!$H82*FracLEACHMM*MMLeachEF*NtoN2O*kgtoGg,"ERROR"))</f>
        <v>3.006707294263454E-2</v>
      </c>
      <c r="AD1202" s="94">
        <f>IF('Net zero activities &amp; levers'!$C$14="Off",Constants!$H64*'Activity data'!AW6*Constants!$H82*FracLEACHMM*MMLeachEF*NtoN2O*kgtoGg,IF('Net zero activities &amp; levers'!$C$14="On",Constants!$H64*'Net zero Activity data'!AW6*Constants!$H82*FracLEACHMM*MMLeachEF*NtoN2O*kgtoGg,"ERROR"))</f>
        <v>3.046522250141433E-2</v>
      </c>
      <c r="AE1202" s="94">
        <f>IF('Net zero activities &amp; levers'!$C$14="Off",Constants!$H64*'Activity data'!AX6*Constants!$H82*FracLEACHMM*MMLeachEF*NtoN2O*kgtoGg,IF('Net zero activities &amp; levers'!$C$14="On",Constants!$H64*'Net zero Activity data'!AX6*Constants!$H82*FracLEACHMM*MMLeachEF*NtoN2O*kgtoGg,"ERROR"))</f>
        <v>3.0857983362586373E-2</v>
      </c>
      <c r="AF1202" s="94">
        <f>IF('Net zero activities &amp; levers'!$C$14="Off",Constants!$H64*'Activity data'!AY6*Constants!$H82*FracLEACHMM*MMLeachEF*NtoN2O*kgtoGg,IF('Net zero activities &amp; levers'!$C$14="On",Constants!$H64*'Net zero Activity data'!AY6*Constants!$H82*FracLEACHMM*MMLeachEF*NtoN2O*kgtoGg,"ERROR"))</f>
        <v>3.1272539523122242E-2</v>
      </c>
      <c r="AG1202" s="94">
        <f>IF('Net zero activities &amp; levers'!$C$14="Off",Constants!$H64*'Activity data'!AZ6*Constants!$H82*FracLEACHMM*MMLeachEF*NtoN2O*kgtoGg,IF('Net zero activities &amp; levers'!$C$14="On",Constants!$H64*'Net zero Activity data'!AZ6*Constants!$H82*FracLEACHMM*MMLeachEF*NtoN2O*kgtoGg,"ERROR"))</f>
        <v>3.1741471072133737E-2</v>
      </c>
      <c r="AH1202" s="94">
        <f>IF('Net zero activities &amp; levers'!$C$14="Off",Constants!$H64*'Activity data'!BA6*Constants!$H82*FracLEACHMM*MMLeachEF*NtoN2O*kgtoGg,IF('Net zero activities &amp; levers'!$C$14="On",Constants!$H64*'Net zero Activity data'!BA6*Constants!$H82*FracLEACHMM*MMLeachEF*NtoN2O*kgtoGg,"ERROR"))</f>
        <v>3.2187317125813304E-2</v>
      </c>
      <c r="AI1202" s="94">
        <f>IF('Net zero activities &amp; levers'!$C$14="Off",Constants!$H64*'Activity data'!BB6*Constants!$H82*FracLEACHMM*MMLeachEF*NtoN2O*kgtoGg,IF('Net zero activities &amp; levers'!$C$14="On",Constants!$H64*'Net zero Activity data'!BB6*Constants!$H82*FracLEACHMM*MMLeachEF*NtoN2O*kgtoGg,"ERROR"))</f>
        <v>3.2644529892312681E-2</v>
      </c>
      <c r="AJ1202" s="94">
        <f>IF('Net zero activities &amp; levers'!$C$14="Off",Constants!$H64*'Activity data'!BC6*Constants!$H82*FracLEACHMM*MMLeachEF*NtoN2O*kgtoGg,IF('Net zero activities &amp; levers'!$C$14="On",Constants!$H64*'Net zero Activity data'!BC6*Constants!$H82*FracLEACHMM*MMLeachEF*NtoN2O*kgtoGg,"ERROR"))</f>
        <v>3.3133498251272868E-2</v>
      </c>
      <c r="AK1202" s="94">
        <f>IF('Net zero activities &amp; levers'!$C$14="Off",Constants!$H64*'Activity data'!BD6*Constants!$H82*FracLEACHMM*MMLeachEF*NtoN2O*kgtoGg,IF('Net zero activities &amp; levers'!$C$14="On",Constants!$H64*'Net zero Activity data'!BD6*Constants!$H82*FracLEACHMM*MMLeachEF*NtoN2O*kgtoGg,"ERROR"))</f>
        <v>3.3591602675643942E-2</v>
      </c>
      <c r="AL1202" s="94">
        <f>IF('Net zero activities &amp; levers'!$C$14="Off",Constants!$H64*'Activity data'!BE6*Constants!$H82*FracLEACHMM*MMLeachEF*NtoN2O*kgtoGg,IF('Net zero activities &amp; levers'!$C$14="On",Constants!$H64*'Net zero Activity data'!BE6*Constants!$H82*FracLEACHMM*MMLeachEF*NtoN2O*kgtoGg,"ERROR"))</f>
        <v>3.4047221093268576E-2</v>
      </c>
      <c r="AM1202" s="94">
        <f>IF('Net zero activities &amp; levers'!$C$14="Off",Constants!$H64*'Activity data'!BF6*Constants!$H82*FracLEACHMM*MMLeachEF*NtoN2O*kgtoGg,IF('Net zero activities &amp; levers'!$C$14="On",Constants!$H64*'Net zero Activity data'!BF6*Constants!$H82*FracLEACHMM*MMLeachEF*NtoN2O*kgtoGg,"ERROR"))</f>
        <v>3.4501620804003125E-2</v>
      </c>
      <c r="AN1202" s="94">
        <f>IF('Net zero activities &amp; levers'!$C$14="Off",Constants!$H64*'Activity data'!BG6*Constants!$H82*FracLEACHMM*MMLeachEF*NtoN2O*kgtoGg,IF('Net zero activities &amp; levers'!$C$14="On",Constants!$H64*'Net zero Activity data'!BG6*Constants!$H82*FracLEACHMM*MMLeachEF*NtoN2O*kgtoGg,"ERROR"))</f>
        <v>3.4982362074352798E-2</v>
      </c>
      <c r="AO1202" s="94">
        <f>IF('Net zero activities &amp; levers'!$C$14="Off",Constants!$H64*'Activity data'!BH6*Constants!$H82*FracLEACHMM*MMLeachEF*NtoN2O*kgtoGg,IF('Net zero activities &amp; levers'!$C$14="On",Constants!$H64*'Net zero Activity data'!BH6*Constants!$H82*FracLEACHMM*MMLeachEF*NtoN2O*kgtoGg,"ERROR"))</f>
        <v>3.5443766962640642E-2</v>
      </c>
      <c r="AP1202" s="94">
        <f>IF('Net zero activities &amp; levers'!$C$14="Off",Constants!$H64*'Activity data'!BI6*Constants!$H82*FracLEACHMM*MMLeachEF*NtoN2O*kgtoGg,IF('Net zero activities &amp; levers'!$C$14="On",Constants!$H64*'Net zero Activity data'!BI6*Constants!$H82*FracLEACHMM*MMLeachEF*NtoN2O*kgtoGg,"ERROR"))</f>
        <v>3.5923088845122318E-2</v>
      </c>
      <c r="AQ1202" s="94">
        <f>IF('Net zero activities &amp; levers'!$C$14="Off",Constants!$H64*'Activity data'!BJ6*Constants!$H82*FracLEACHMM*MMLeachEF*NtoN2O*kgtoGg,IF('Net zero activities &amp; levers'!$C$14="On",Constants!$H64*'Net zero Activity data'!BJ6*Constants!$H82*FracLEACHMM*MMLeachEF*NtoN2O*kgtoGg,"ERROR"))</f>
        <v>3.6422513821505312E-2</v>
      </c>
      <c r="AR1202" s="94">
        <f>IF('Net zero activities &amp; levers'!$C$14="Off",Constants!$H64*'Activity data'!BK6*Constants!$H82*FracLEACHMM*MMLeachEF*NtoN2O*kgtoGg,IF('Net zero activities &amp; levers'!$C$14="On",Constants!$H64*'Net zero Activity data'!BK6*Constants!$H82*FracLEACHMM*MMLeachEF*NtoN2O*kgtoGg,"ERROR"))</f>
        <v>3.6945557371902887E-2</v>
      </c>
      <c r="AS1202" s="94">
        <f>IF('Net zero activities &amp; levers'!$C$14="Off",Constants!$H64*'Activity data'!BL6*Constants!$H82*FracLEACHMM*MMLeachEF*NtoN2O*kgtoGg,IF('Net zero activities &amp; levers'!$C$14="On",Constants!$H64*'Net zero Activity data'!BL6*Constants!$H82*FracLEACHMM*MMLeachEF*NtoN2O*kgtoGg,"ERROR"))</f>
        <v>3.7477852873819655E-2</v>
      </c>
      <c r="AT1202" s="94">
        <f>IF('Net zero activities &amp; levers'!$C$14="Off",Constants!$H64*'Activity data'!BM6*Constants!$H82*FracLEACHMM*MMLeachEF*NtoN2O*kgtoGg,IF('Net zero activities &amp; levers'!$C$14="On",Constants!$H64*'Net zero Activity data'!BM6*Constants!$H82*FracLEACHMM*MMLeachEF*NtoN2O*kgtoGg,"ERROR"))</f>
        <v>3.7604055883406068E-2</v>
      </c>
      <c r="AU1202" s="94">
        <f>IF('Net zero activities &amp; levers'!$C$14="Off",Constants!$H64*'Activity data'!BN6*Constants!$H82*FracLEACHMM*MMLeachEF*NtoN2O*kgtoGg,IF('Net zero activities &amp; levers'!$C$14="On",Constants!$H64*'Net zero Activity data'!BN6*Constants!$H82*FracLEACHMM*MMLeachEF*NtoN2O*kgtoGg,"ERROR"))</f>
        <v>3.7693874179272106E-2</v>
      </c>
      <c r="AV1202" s="94">
        <f>IF('Net zero activities &amp; levers'!$C$14="Off",Constants!$H64*'Activity data'!BO6*Constants!$H82*FracLEACHMM*MMLeachEF*NtoN2O*kgtoGg,IF('Net zero activities &amp; levers'!$C$14="On",Constants!$H64*'Net zero Activity data'!BO6*Constants!$H82*FracLEACHMM*MMLeachEF*NtoN2O*kgtoGg,"ERROR"))</f>
        <v>3.7730674376112279E-2</v>
      </c>
      <c r="AW1202" s="94">
        <f>IF('Net zero activities &amp; levers'!$C$14="Off",Constants!$H64*'Activity data'!BP6*Constants!$H82*FracLEACHMM*MMLeachEF*NtoN2O*kgtoGg,IF('Net zero activities &amp; levers'!$C$14="On",Constants!$H64*'Net zero Activity data'!BP6*Constants!$H82*FracLEACHMM*MMLeachEF*NtoN2O*kgtoGg,"ERROR"))</f>
        <v>3.7752895328406304E-2</v>
      </c>
      <c r="AY1202" s="79"/>
    </row>
    <row r="1203" spans="1:51" x14ac:dyDescent="0.3">
      <c r="A1203" s="95" t="str">
        <f t="shared" si="380"/>
        <v>CM MM Leaching</v>
      </c>
      <c r="B1203" s="95" t="s">
        <v>1322</v>
      </c>
      <c r="C1203" s="95" t="s">
        <v>1333</v>
      </c>
      <c r="D1203" t="s">
        <v>369</v>
      </c>
      <c r="E1203" t="s">
        <v>64</v>
      </c>
      <c r="F1203" t="s">
        <v>63</v>
      </c>
      <c r="G1203" t="s">
        <v>1156</v>
      </c>
      <c r="H1203" t="s">
        <v>1308</v>
      </c>
      <c r="I1203" t="s">
        <v>139</v>
      </c>
      <c r="J1203" t="s">
        <v>287</v>
      </c>
      <c r="K1203" s="94">
        <f>IF('Net zero activities &amp; levers'!$C$14="Off",Constants!$H65*'Activity data'!AD7*Constants!$H83*FracLEACHMM*MMLeachEF*NtoN2O*kgtoGg,IF('Net zero activities &amp; levers'!$C$14="On",Constants!$H65*'Net zero Activity data'!AD7*Constants!$H83*FracLEACHMM*MMLeachEF*NtoN2O*kgtoGg,"ERROR"))</f>
        <v>1.4483668498503175E-3</v>
      </c>
      <c r="L1203" s="94">
        <f>IF('Net zero activities &amp; levers'!$C$14="Off",Constants!$H65*'Activity data'!AE7*Constants!$H83*FracLEACHMM*MMLeachEF*NtoN2O*kgtoGg,IF('Net zero activities &amp; levers'!$C$14="On",Constants!$H65*'Net zero Activity data'!AE7*Constants!$H83*FracLEACHMM*MMLeachEF*NtoN2O*kgtoGg,"ERROR"))</f>
        <v>1.4564639612104709E-3</v>
      </c>
      <c r="M1203" s="94">
        <f>IF('Net zero activities &amp; levers'!$C$14="Off",Constants!$H65*'Activity data'!AF7*Constants!$H83*FracLEACHMM*MMLeachEF*NtoN2O*kgtoGg,IF('Net zero activities &amp; levers'!$C$14="On",Constants!$H65*'Net zero Activity data'!AF7*Constants!$H83*FracLEACHMM*MMLeachEF*NtoN2O*kgtoGg,"ERROR"))</f>
        <v>1.4679523755410987E-3</v>
      </c>
      <c r="N1203" s="94">
        <f>IF('Net zero activities &amp; levers'!$C$14="Off",Constants!$H65*'Activity data'!AG7*Constants!$H83*FracLEACHMM*MMLeachEF*NtoN2O*kgtoGg,IF('Net zero activities &amp; levers'!$C$14="On",Constants!$H65*'Net zero Activity data'!AG7*Constants!$H83*FracLEACHMM*MMLeachEF*NtoN2O*kgtoGg,"ERROR"))</f>
        <v>1.4753349055168039E-3</v>
      </c>
      <c r="O1203" s="94">
        <f>IF('Net zero activities &amp; levers'!$C$14="Off",Constants!$H65*'Activity data'!AH7*Constants!$H83*FracLEACHMM*MMLeachEF*NtoN2O*kgtoGg,IF('Net zero activities &amp; levers'!$C$14="On",Constants!$H65*'Net zero Activity data'!AH7*Constants!$H83*FracLEACHMM*MMLeachEF*NtoN2O*kgtoGg,"ERROR"))</f>
        <v>1.4802406304505124E-3</v>
      </c>
      <c r="P1203" s="94">
        <f>IF('Net zero activities &amp; levers'!$C$14="Off",Constants!$H65*'Activity data'!AI7*Constants!$H83*FracLEACHMM*MMLeachEF*NtoN2O*kgtoGg,IF('Net zero activities &amp; levers'!$C$14="On",Constants!$H65*'Net zero Activity data'!AI7*Constants!$H83*FracLEACHMM*MMLeachEF*NtoN2O*kgtoGg,"ERROR"))</f>
        <v>1.4826212670547858E-3</v>
      </c>
      <c r="Q1203" s="94">
        <f>IF('Net zero activities &amp; levers'!$C$14="Off",Constants!$H65*'Activity data'!AJ7*Constants!$H83*FracLEACHMM*MMLeachEF*NtoN2O*kgtoGg,IF('Net zero activities &amp; levers'!$C$14="On",Constants!$H65*'Net zero Activity data'!AJ7*Constants!$H83*FracLEACHMM*MMLeachEF*NtoN2O*kgtoGg,"ERROR"))</f>
        <v>1.4878809792957942E-3</v>
      </c>
      <c r="R1203" s="94">
        <f>IF('Net zero activities &amp; levers'!$C$14="Off",Constants!$H65*'Activity data'!AK7*Constants!$H83*FracLEACHMM*MMLeachEF*NtoN2O*kgtoGg,IF('Net zero activities &amp; levers'!$C$14="On",Constants!$H65*'Net zero Activity data'!AK7*Constants!$H83*FracLEACHMM*MMLeachEF*NtoN2O*kgtoGg,"ERROR"))</f>
        <v>1.4939147526814823E-3</v>
      </c>
      <c r="S1203" s="94">
        <f>IF('Net zero activities &amp; levers'!$C$14="Off",Constants!$H65*'Activity data'!AL7*Constants!$H83*FracLEACHMM*MMLeachEF*NtoN2O*kgtoGg,IF('Net zero activities &amp; levers'!$C$14="On",Constants!$H65*'Net zero Activity data'!AL7*Constants!$H83*FracLEACHMM*MMLeachEF*NtoN2O*kgtoGg,"ERROR"))</f>
        <v>1.4490082734142855E-3</v>
      </c>
      <c r="T1203" s="94">
        <f>IF('Net zero activities &amp; levers'!$C$14="Off",Constants!$H65*'Activity data'!AM7*Constants!$H83*FracLEACHMM*MMLeachEF*NtoN2O*kgtoGg,IF('Net zero activities &amp; levers'!$C$14="On",Constants!$H65*'Net zero Activity data'!AM7*Constants!$H83*FracLEACHMM*MMLeachEF*NtoN2O*kgtoGg,"ERROR"))</f>
        <v>1.4642447678203134E-3</v>
      </c>
      <c r="U1203" s="94">
        <f>IF('Net zero activities &amp; levers'!$C$14="Off",Constants!$H65*'Activity data'!AN7*Constants!$H83*FracLEACHMM*MMLeachEF*NtoN2O*kgtoGg,IF('Net zero activities &amp; levers'!$C$14="On",Constants!$H65*'Net zero Activity data'!AN7*Constants!$H83*FracLEACHMM*MMLeachEF*NtoN2O*kgtoGg,"ERROR"))</f>
        <v>1.4865469639988589E-3</v>
      </c>
      <c r="V1203" s="94">
        <f>IF('Net zero activities &amp; levers'!$C$14="Off",Constants!$H65*'Activity data'!AO7*Constants!$H83*FracLEACHMM*MMLeachEF*NtoN2O*kgtoGg,IF('Net zero activities &amp; levers'!$C$14="On",Constants!$H65*'Net zero Activity data'!AO7*Constants!$H83*FracLEACHMM*MMLeachEF*NtoN2O*kgtoGg,"ERROR"))</f>
        <v>1.4981067287762548E-3</v>
      </c>
      <c r="W1203" s="94">
        <f>IF('Net zero activities &amp; levers'!$C$14="Off",Constants!$H65*'Activity data'!AP7*Constants!$H83*FracLEACHMM*MMLeachEF*NtoN2O*kgtoGg,IF('Net zero activities &amp; levers'!$C$14="On",Constants!$H65*'Net zero Activity data'!AP7*Constants!$H83*FracLEACHMM*MMLeachEF*NtoN2O*kgtoGg,"ERROR"))</f>
        <v>1.5113180011276973E-3</v>
      </c>
      <c r="X1203" s="94">
        <f>IF('Net zero activities &amp; levers'!$C$14="Off",Constants!$H65*'Activity data'!AQ7*Constants!$H83*FracLEACHMM*MMLeachEF*NtoN2O*kgtoGg,IF('Net zero activities &amp; levers'!$C$14="On",Constants!$H65*'Net zero Activity data'!AQ7*Constants!$H83*FracLEACHMM*MMLeachEF*NtoN2O*kgtoGg,"ERROR"))</f>
        <v>1.5266086647053162E-3</v>
      </c>
      <c r="Y1203" s="94">
        <f>IF('Net zero activities &amp; levers'!$C$14="Off",Constants!$H65*'Activity data'!AR7*Constants!$H83*FracLEACHMM*MMLeachEF*NtoN2O*kgtoGg,IF('Net zero activities &amp; levers'!$C$14="On",Constants!$H65*'Net zero Activity data'!AR7*Constants!$H83*FracLEACHMM*MMLeachEF*NtoN2O*kgtoGg,"ERROR"))</f>
        <v>1.5422233172586648E-3</v>
      </c>
      <c r="Z1203" s="94">
        <f>IF('Net zero activities &amp; levers'!$C$14="Off",Constants!$H65*'Activity data'!AS7*Constants!$H83*FracLEACHMM*MMLeachEF*NtoN2O*kgtoGg,IF('Net zero activities &amp; levers'!$C$14="On",Constants!$H65*'Net zero Activity data'!AS7*Constants!$H83*FracLEACHMM*MMLeachEF*NtoN2O*kgtoGg,"ERROR"))</f>
        <v>1.5595067238714088E-3</v>
      </c>
      <c r="AA1203" s="94">
        <f>IF('Net zero activities &amp; levers'!$C$14="Off",Constants!$H65*'Activity data'!AT7*Constants!$H83*FracLEACHMM*MMLeachEF*NtoN2O*kgtoGg,IF('Net zero activities &amp; levers'!$C$14="On",Constants!$H65*'Net zero Activity data'!AT7*Constants!$H83*FracLEACHMM*MMLeachEF*NtoN2O*kgtoGg,"ERROR"))</f>
        <v>1.5773255231681144E-3</v>
      </c>
      <c r="AB1203" s="94">
        <f>IF('Net zero activities &amp; levers'!$C$14="Off",Constants!$H65*'Activity data'!AU7*Constants!$H83*FracLEACHMM*MMLeachEF*NtoN2O*kgtoGg,IF('Net zero activities &amp; levers'!$C$14="On",Constants!$H65*'Net zero Activity data'!AU7*Constants!$H83*FracLEACHMM*MMLeachEF*NtoN2O*kgtoGg,"ERROR"))</f>
        <v>1.5967027205251731E-3</v>
      </c>
      <c r="AC1203" s="94">
        <f>IF('Net zero activities &amp; levers'!$C$14="Off",Constants!$H65*'Activity data'!AV7*Constants!$H83*FracLEACHMM*MMLeachEF*NtoN2O*kgtoGg,IF('Net zero activities &amp; levers'!$C$14="On",Constants!$H65*'Net zero Activity data'!AV7*Constants!$H83*FracLEACHMM*MMLeachEF*NtoN2O*kgtoGg,"ERROR"))</f>
        <v>1.6165170312225675E-3</v>
      </c>
      <c r="AD1203" s="94">
        <f>IF('Net zero activities &amp; levers'!$C$14="Off",Constants!$H65*'Activity data'!AW7*Constants!$H83*FracLEACHMM*MMLeachEF*NtoN2O*kgtoGg,IF('Net zero activities &amp; levers'!$C$14="On",Constants!$H65*'Net zero Activity data'!AW7*Constants!$H83*FracLEACHMM*MMLeachEF*NtoN2O*kgtoGg,"ERROR"))</f>
        <v>1.6379230238833516E-3</v>
      </c>
      <c r="AE1203" s="94">
        <f>IF('Net zero activities &amp; levers'!$C$14="Off",Constants!$H65*'Activity data'!AX7*Constants!$H83*FracLEACHMM*MMLeachEF*NtoN2O*kgtoGg,IF('Net zero activities &amp; levers'!$C$14="On",Constants!$H65*'Net zero Activity data'!AX7*Constants!$H83*FracLEACHMM*MMLeachEF*NtoN2O*kgtoGg,"ERROR"))</f>
        <v>1.6590393002330185E-3</v>
      </c>
      <c r="AF1203" s="94">
        <f>IF('Net zero activities &amp; levers'!$C$14="Off",Constants!$H65*'Activity data'!AY7*Constants!$H83*FracLEACHMM*MMLeachEF*NtoN2O*kgtoGg,IF('Net zero activities &amp; levers'!$C$14="On",Constants!$H65*'Net zero Activity data'!AY7*Constants!$H83*FracLEACHMM*MMLeachEF*NtoN2O*kgtoGg,"ERROR"))</f>
        <v>1.6813273724767988E-3</v>
      </c>
      <c r="AG1203" s="94">
        <f>IF('Net zero activities &amp; levers'!$C$14="Off",Constants!$H65*'Activity data'!AZ7*Constants!$H83*FracLEACHMM*MMLeachEF*NtoN2O*kgtoGg,IF('Net zero activities &amp; levers'!$C$14="On",Constants!$H65*'Net zero Activity data'!AZ7*Constants!$H83*FracLEACHMM*MMLeachEF*NtoN2O*kgtoGg,"ERROR"))</f>
        <v>1.7065388666884546E-3</v>
      </c>
      <c r="AH1203" s="94">
        <f>IF('Net zero activities &amp; levers'!$C$14="Off",Constants!$H65*'Activity data'!BA7*Constants!$H83*FracLEACHMM*MMLeachEF*NtoN2O*kgtoGg,IF('Net zero activities &amp; levers'!$C$14="On",Constants!$H65*'Net zero Activity data'!BA7*Constants!$H83*FracLEACHMM*MMLeachEF*NtoN2O*kgtoGg,"ERROR"))</f>
        <v>1.7305091992995292E-3</v>
      </c>
      <c r="AI1203" s="94">
        <f>IF('Net zero activities &amp; levers'!$C$14="Off",Constants!$H65*'Activity data'!BB7*Constants!$H83*FracLEACHMM*MMLeachEF*NtoN2O*kgtoGg,IF('Net zero activities &amp; levers'!$C$14="On",Constants!$H65*'Net zero Activity data'!BB7*Constants!$H83*FracLEACHMM*MMLeachEF*NtoN2O*kgtoGg,"ERROR"))</f>
        <v>1.7550906484265776E-3</v>
      </c>
      <c r="AJ1203" s="94">
        <f>IF('Net zero activities &amp; levers'!$C$14="Off",Constants!$H65*'Activity data'!BC7*Constants!$H83*FracLEACHMM*MMLeachEF*NtoN2O*kgtoGg,IF('Net zero activities &amp; levers'!$C$14="On",Constants!$H65*'Net zero Activity data'!BC7*Constants!$H83*FracLEACHMM*MMLeachEF*NtoN2O*kgtoGg,"ERROR"))</f>
        <v>1.7813793956383919E-3</v>
      </c>
      <c r="AK1203" s="94">
        <f>IF('Net zero activities &amp; levers'!$C$14="Off",Constants!$H65*'Activity data'!BD7*Constants!$H83*FracLEACHMM*MMLeachEF*NtoN2O*kgtoGg,IF('Net zero activities &amp; levers'!$C$14="On",Constants!$H65*'Net zero Activity data'!BD7*Constants!$H83*FracLEACHMM*MMLeachEF*NtoN2O*kgtoGg,"ERROR"))</f>
        <v>1.8060087835900271E-3</v>
      </c>
      <c r="AL1203" s="94">
        <f>IF('Net zero activities &amp; levers'!$C$14="Off",Constants!$H65*'Activity data'!BE7*Constants!$H83*FracLEACHMM*MMLeachEF*NtoN2O*kgtoGg,IF('Net zero activities &amp; levers'!$C$14="On",Constants!$H65*'Net zero Activity data'!BE7*Constants!$H83*FracLEACHMM*MMLeachEF*NtoN2O*kgtoGg,"ERROR"))</f>
        <v>1.8305045146255719E-3</v>
      </c>
      <c r="AM1203" s="94">
        <f>IF('Net zero activities &amp; levers'!$C$14="Off",Constants!$H65*'Activity data'!BF7*Constants!$H83*FracLEACHMM*MMLeachEF*NtoN2O*kgtoGg,IF('Net zero activities &amp; levers'!$C$14="On",Constants!$H65*'Net zero Activity data'!BF7*Constants!$H83*FracLEACHMM*MMLeachEF*NtoN2O*kgtoGg,"ERROR"))</f>
        <v>1.8549347234718561E-3</v>
      </c>
      <c r="AN1203" s="94">
        <f>IF('Net zero activities &amp; levers'!$C$14="Off",Constants!$H65*'Activity data'!BG7*Constants!$H83*FracLEACHMM*MMLeachEF*NtoN2O*kgtoGg,IF('Net zero activities &amp; levers'!$C$14="On",Constants!$H65*'Net zero Activity data'!BG7*Constants!$H83*FracLEACHMM*MMLeachEF*NtoN2O*kgtoGg,"ERROR"))</f>
        <v>1.8807811519757052E-3</v>
      </c>
      <c r="AO1203" s="94">
        <f>IF('Net zero activities &amp; levers'!$C$14="Off",Constants!$H65*'Activity data'!BH7*Constants!$H83*FracLEACHMM*MMLeachEF*NtoN2O*kgtoGg,IF('Net zero activities &amp; levers'!$C$14="On",Constants!$H65*'Net zero Activity data'!BH7*Constants!$H83*FracLEACHMM*MMLeachEF*NtoN2O*kgtoGg,"ERROR"))</f>
        <v>1.9055879850728176E-3</v>
      </c>
      <c r="AP1203" s="94">
        <f>IF('Net zero activities &amp; levers'!$C$14="Off",Constants!$H65*'Activity data'!BI7*Constants!$H83*FracLEACHMM*MMLeachEF*NtoN2O*kgtoGg,IF('Net zero activities &amp; levers'!$C$14="On",Constants!$H65*'Net zero Activity data'!BI7*Constants!$H83*FracLEACHMM*MMLeachEF*NtoN2O*kgtoGg,"ERROR"))</f>
        <v>1.9313581020359023E-3</v>
      </c>
      <c r="AQ1203" s="94">
        <f>IF('Net zero activities &amp; levers'!$C$14="Off",Constants!$H65*'Activity data'!BJ7*Constants!$H83*FracLEACHMM*MMLeachEF*NtoN2O*kgtoGg,IF('Net zero activities &amp; levers'!$C$14="On",Constants!$H65*'Net zero Activity data'!BJ7*Constants!$H83*FracLEACHMM*MMLeachEF*NtoN2O*kgtoGg,"ERROR"))</f>
        <v>1.9582090356695609E-3</v>
      </c>
      <c r="AR1203" s="94">
        <f>IF('Net zero activities &amp; levers'!$C$14="Off",Constants!$H65*'Activity data'!BK7*Constants!$H83*FracLEACHMM*MMLeachEF*NtoN2O*kgtoGg,IF('Net zero activities &amp; levers'!$C$14="On",Constants!$H65*'Net zero Activity data'!BK7*Constants!$H83*FracLEACHMM*MMLeachEF*NtoN2O*kgtoGg,"ERROR"))</f>
        <v>1.9863297911851367E-3</v>
      </c>
      <c r="AS1203" s="94">
        <f>IF('Net zero activities &amp; levers'!$C$14="Off",Constants!$H65*'Activity data'!BL7*Constants!$H83*FracLEACHMM*MMLeachEF*NtoN2O*kgtoGg,IF('Net zero activities &amp; levers'!$C$14="On",Constants!$H65*'Net zero Activity data'!BL7*Constants!$H83*FracLEACHMM*MMLeachEF*NtoN2O*kgtoGg,"ERROR"))</f>
        <v>2.014947965828651E-3</v>
      </c>
      <c r="AT1203" s="94">
        <f>IF('Net zero activities &amp; levers'!$C$14="Off",Constants!$H65*'Activity data'!BM7*Constants!$H83*FracLEACHMM*MMLeachEF*NtoN2O*kgtoGg,IF('Net zero activities &amp; levers'!$C$14="On",Constants!$H65*'Net zero Activity data'!BM7*Constants!$H83*FracLEACHMM*MMLeachEF*NtoN2O*kgtoGg,"ERROR"))</f>
        <v>2.0217331063302627E-3</v>
      </c>
      <c r="AU1203" s="94">
        <f>IF('Net zero activities &amp; levers'!$C$14="Off",Constants!$H65*'Activity data'!BN7*Constants!$H83*FracLEACHMM*MMLeachEF*NtoN2O*kgtoGg,IF('Net zero activities &amp; levers'!$C$14="On",Constants!$H65*'Net zero Activity data'!BN7*Constants!$H83*FracLEACHMM*MMLeachEF*NtoN2O*kgtoGg,"ERROR"))</f>
        <v>2.0265620700694281E-3</v>
      </c>
      <c r="AV1203" s="94">
        <f>IF('Net zero activities &amp; levers'!$C$14="Off",Constants!$H65*'Activity data'!BO7*Constants!$H83*FracLEACHMM*MMLeachEF*NtoN2O*kgtoGg,IF('Net zero activities &amp; levers'!$C$14="On",Constants!$H65*'Net zero Activity data'!BO7*Constants!$H83*FracLEACHMM*MMLeachEF*NtoN2O*kgtoGg,"ERROR"))</f>
        <v>2.0285405847408761E-3</v>
      </c>
      <c r="AW1203" s="94">
        <f>IF('Net zero activities &amp; levers'!$C$14="Off",Constants!$H65*'Activity data'!BP7*Constants!$H83*FracLEACHMM*MMLeachEF*NtoN2O*kgtoGg,IF('Net zero activities &amp; levers'!$C$14="On",Constants!$H65*'Net zero Activity data'!BP7*Constants!$H83*FracLEACHMM*MMLeachEF*NtoN2O*kgtoGg,"ERROR"))</f>
        <v>2.0297352653106076E-3</v>
      </c>
      <c r="AY1203" s="79"/>
    </row>
    <row r="1204" spans="1:51" x14ac:dyDescent="0.3">
      <c r="A1204" s="95" t="str">
        <f t="shared" si="380"/>
        <v>CM MM Leaching</v>
      </c>
      <c r="B1204" s="95" t="s">
        <v>1322</v>
      </c>
      <c r="C1204" s="95" t="s">
        <v>1333</v>
      </c>
      <c r="D1204" t="s">
        <v>369</v>
      </c>
      <c r="E1204" t="s">
        <v>64</v>
      </c>
      <c r="F1204" t="s">
        <v>63</v>
      </c>
      <c r="G1204" t="s">
        <v>1158</v>
      </c>
      <c r="H1204" t="s">
        <v>1309</v>
      </c>
      <c r="I1204" t="s">
        <v>139</v>
      </c>
      <c r="J1204" t="s">
        <v>287</v>
      </c>
      <c r="K1204" s="94">
        <f>IF('Net zero activities &amp; levers'!$C$14="Off",Constants!$H66*'Activity data'!AD8*Constants!$H84*FracLEACHMM*MMLeachEF*NtoN2O*kgtoGg,IF('Net zero activities &amp; levers'!$C$14="On",Constants!$H66*'Net zero Activity data'!AD8*Constants!$H84*FracLEACHMM*MMLeachEF*NtoN2O*kgtoGg,"ERROR"))</f>
        <v>3.030301439269115E-2</v>
      </c>
      <c r="L1204" s="94">
        <f>IF('Net zero activities &amp; levers'!$C$14="Off",Constants!$H66*'Activity data'!AE8*Constants!$H84*FracLEACHMM*MMLeachEF*NtoN2O*kgtoGg,IF('Net zero activities &amp; levers'!$C$14="On",Constants!$H66*'Net zero Activity data'!AE8*Constants!$H84*FracLEACHMM*MMLeachEF*NtoN2O*kgtoGg,"ERROR"))</f>
        <v>3.0040206026371356E-2</v>
      </c>
      <c r="M1204" s="94">
        <f>IF('Net zero activities &amp; levers'!$C$14="Off",Constants!$H66*'Activity data'!AF8*Constants!$H84*FracLEACHMM*MMLeachEF*NtoN2O*kgtoGg,IF('Net zero activities &amp; levers'!$C$14="On",Constants!$H66*'Net zero Activity data'!AF8*Constants!$H84*FracLEACHMM*MMLeachEF*NtoN2O*kgtoGg,"ERROR"))</f>
        <v>2.99401628371932E-2</v>
      </c>
      <c r="N1204" s="94">
        <f>IF('Net zero activities &amp; levers'!$C$14="Off",Constants!$H66*'Activity data'!AG8*Constants!$H84*FracLEACHMM*MMLeachEF*NtoN2O*kgtoGg,IF('Net zero activities &amp; levers'!$C$14="On",Constants!$H66*'Net zero Activity data'!AG8*Constants!$H84*FracLEACHMM*MMLeachEF*NtoN2O*kgtoGg,"ERROR"))</f>
        <v>2.9540351153331298E-2</v>
      </c>
      <c r="O1204" s="94">
        <f>IF('Net zero activities &amp; levers'!$C$14="Off",Constants!$H66*'Activity data'!AH8*Constants!$H84*FracLEACHMM*MMLeachEF*NtoN2O*kgtoGg,IF('Net zero activities &amp; levers'!$C$14="On",Constants!$H66*'Net zero Activity data'!AH8*Constants!$H84*FracLEACHMM*MMLeachEF*NtoN2O*kgtoGg,"ERROR"))</f>
        <v>2.8960014730128859E-2</v>
      </c>
      <c r="P1204" s="94">
        <f>IF('Net zero activities &amp; levers'!$C$14="Off",Constants!$H66*'Activity data'!AI8*Constants!$H84*FracLEACHMM*MMLeachEF*NtoN2O*kgtoGg,IF('Net zero activities &amp; levers'!$C$14="On",Constants!$H66*'Net zero Activity data'!AI8*Constants!$H84*FracLEACHMM*MMLeachEF*NtoN2O*kgtoGg,"ERROR"))</f>
        <v>2.8211154016296501E-2</v>
      </c>
      <c r="Q1204" s="94">
        <f>IF('Net zero activities &amp; levers'!$C$14="Off",Constants!$H66*'Activity data'!AJ8*Constants!$H84*FracLEACHMM*MMLeachEF*NtoN2O*kgtoGg,IF('Net zero activities &amp; levers'!$C$14="On",Constants!$H66*'Net zero Activity data'!AJ8*Constants!$H84*FracLEACHMM*MMLeachEF*NtoN2O*kgtoGg,"ERROR"))</f>
        <v>2.7620505669412022E-2</v>
      </c>
      <c r="R1204" s="94">
        <f>IF('Net zero activities &amp; levers'!$C$14="Off",Constants!$H66*'Activity data'!AK8*Constants!$H84*FracLEACHMM*MMLeachEF*NtoN2O*kgtoGg,IF('Net zero activities &amp; levers'!$C$14="On",Constants!$H66*'Net zero Activity data'!AK8*Constants!$H84*FracLEACHMM*MMLeachEF*NtoN2O*kgtoGg,"ERROR"))</f>
        <v>2.7061685185942385E-2</v>
      </c>
      <c r="S1204" s="94">
        <f>IF('Net zero activities &amp; levers'!$C$14="Off",Constants!$H66*'Activity data'!AL8*Constants!$H84*FracLEACHMM*MMLeachEF*NtoN2O*kgtoGg,IF('Net zero activities &amp; levers'!$C$14="On",Constants!$H66*'Net zero Activity data'!AL8*Constants!$H84*FracLEACHMM*MMLeachEF*NtoN2O*kgtoGg,"ERROR"))</f>
        <v>2.3806393912702346E-2</v>
      </c>
      <c r="T1204" s="94">
        <f>IF('Net zero activities &amp; levers'!$C$14="Off",Constants!$H66*'Activity data'!AM8*Constants!$H84*FracLEACHMM*MMLeachEF*NtoN2O*kgtoGg,IF('Net zero activities &amp; levers'!$C$14="On",Constants!$H66*'Net zero Activity data'!AM8*Constants!$H84*FracLEACHMM*MMLeachEF*NtoN2O*kgtoGg,"ERROR"))</f>
        <v>2.4193081489661764E-2</v>
      </c>
      <c r="U1204" s="94">
        <f>IF('Net zero activities &amp; levers'!$C$14="Off",Constants!$H66*'Activity data'!AN8*Constants!$H84*FracLEACHMM*MMLeachEF*NtoN2O*kgtoGg,IF('Net zero activities &amp; levers'!$C$14="On",Constants!$H66*'Net zero Activity data'!AN8*Constants!$H84*FracLEACHMM*MMLeachEF*NtoN2O*kgtoGg,"ERROR"))</f>
        <v>2.4914459363237305E-2</v>
      </c>
      <c r="V1204" s="94">
        <f>IF('Net zero activities &amp; levers'!$C$14="Off",Constants!$H66*'Activity data'!AO8*Constants!$H84*FracLEACHMM*MMLeachEF*NtoN2O*kgtoGg,IF('Net zero activities &amp; levers'!$C$14="On",Constants!$H66*'Net zero Activity data'!AO8*Constants!$H84*FracLEACHMM*MMLeachEF*NtoN2O*kgtoGg,"ERROR"))</f>
        <v>2.5058526856807112E-2</v>
      </c>
      <c r="W1204" s="94">
        <f>IF('Net zero activities &amp; levers'!$C$14="Off",Constants!$H66*'Activity data'!AP8*Constants!$H84*FracLEACHMM*MMLeachEF*NtoN2O*kgtoGg,IF('Net zero activities &amp; levers'!$C$14="On",Constants!$H66*'Net zero Activity data'!AP8*Constants!$H84*FracLEACHMM*MMLeachEF*NtoN2O*kgtoGg,"ERROR"))</f>
        <v>2.5266313616668409E-2</v>
      </c>
      <c r="X1204" s="94">
        <f>IF('Net zero activities &amp; levers'!$C$14="Off",Constants!$H66*'Activity data'!AQ8*Constants!$H84*FracLEACHMM*MMLeachEF*NtoN2O*kgtoGg,IF('Net zero activities &amp; levers'!$C$14="On",Constants!$H66*'Net zero Activity data'!AQ8*Constants!$H84*FracLEACHMM*MMLeachEF*NtoN2O*kgtoGg,"ERROR"))</f>
        <v>2.5556180730039606E-2</v>
      </c>
      <c r="Y1204" s="94">
        <f>IF('Net zero activities &amp; levers'!$C$14="Off",Constants!$H66*'Activity data'!AR8*Constants!$H84*FracLEACHMM*MMLeachEF*NtoN2O*kgtoGg,IF('Net zero activities &amp; levers'!$C$14="On",Constants!$H66*'Net zero Activity data'!AR8*Constants!$H84*FracLEACHMM*MMLeachEF*NtoN2O*kgtoGg,"ERROR"))</f>
        <v>2.588867153480013E-2</v>
      </c>
      <c r="Z1204" s="94">
        <f>IF('Net zero activities &amp; levers'!$C$14="Off",Constants!$H66*'Activity data'!AS8*Constants!$H84*FracLEACHMM*MMLeachEF*NtoN2O*kgtoGg,IF('Net zero activities &amp; levers'!$C$14="On",Constants!$H66*'Net zero Activity data'!AS8*Constants!$H84*FracLEACHMM*MMLeachEF*NtoN2O*kgtoGg,"ERROR"))</f>
        <v>2.627849954534961E-2</v>
      </c>
      <c r="AA1204" s="94">
        <f>IF('Net zero activities &amp; levers'!$C$14="Off",Constants!$H66*'Activity data'!AT8*Constants!$H84*FracLEACHMM*MMLeachEF*NtoN2O*kgtoGg,IF('Net zero activities &amp; levers'!$C$14="On",Constants!$H66*'Net zero Activity data'!AT8*Constants!$H84*FracLEACHMM*MMLeachEF*NtoN2O*kgtoGg,"ERROR"))</f>
        <v>2.6670125529897157E-2</v>
      </c>
      <c r="AB1204" s="94">
        <f>IF('Net zero activities &amp; levers'!$C$14="Off",Constants!$H66*'Activity data'!AU8*Constants!$H84*FracLEACHMM*MMLeachEF*NtoN2O*kgtoGg,IF('Net zero activities &amp; levers'!$C$14="On",Constants!$H66*'Net zero Activity data'!AU8*Constants!$H84*FracLEACHMM*MMLeachEF*NtoN2O*kgtoGg,"ERROR"))</f>
        <v>2.7110583919598655E-2</v>
      </c>
      <c r="AC1204" s="94">
        <f>IF('Net zero activities &amp; levers'!$C$14="Off",Constants!$H66*'Activity data'!AV8*Constants!$H84*FracLEACHMM*MMLeachEF*NtoN2O*kgtoGg,IF('Net zero activities &amp; levers'!$C$14="On",Constants!$H66*'Net zero Activity data'!AV8*Constants!$H84*FracLEACHMM*MMLeachEF*NtoN2O*kgtoGg,"ERROR"))</f>
        <v>2.7546671241882887E-2</v>
      </c>
      <c r="AD1204" s="94">
        <f>IF('Net zero activities &amp; levers'!$C$14="Off",Constants!$H66*'Activity data'!AW8*Constants!$H84*FracLEACHMM*MMLeachEF*NtoN2O*kgtoGg,IF('Net zero activities &amp; levers'!$C$14="On",Constants!$H66*'Net zero Activity data'!AW8*Constants!$H84*FracLEACHMM*MMLeachEF*NtoN2O*kgtoGg,"ERROR"))</f>
        <v>2.7830739758273274E-2</v>
      </c>
      <c r="AE1204" s="94">
        <f>IF('Net zero activities &amp; levers'!$C$14="Off",Constants!$H66*'Activity data'!AX8*Constants!$H84*FracLEACHMM*MMLeachEF*NtoN2O*kgtoGg,IF('Net zero activities &amp; levers'!$C$14="On",Constants!$H66*'Net zero Activity data'!AX8*Constants!$H84*FracLEACHMM*MMLeachEF*NtoN2O*kgtoGg,"ERROR"))</f>
        <v>2.8063979806522674E-2</v>
      </c>
      <c r="AF1204" s="94">
        <f>IF('Net zero activities &amp; levers'!$C$14="Off",Constants!$H66*'Activity data'!AY8*Constants!$H84*FracLEACHMM*MMLeachEF*NtoN2O*kgtoGg,IF('Net zero activities &amp; levers'!$C$14="On",Constants!$H66*'Net zero Activity data'!AY8*Constants!$H84*FracLEACHMM*MMLeachEF*NtoN2O*kgtoGg,"ERROR"))</f>
        <v>2.8310384702020075E-2</v>
      </c>
      <c r="AG1204" s="94">
        <f>IF('Net zero activities &amp; levers'!$C$14="Off",Constants!$H66*'Activity data'!AZ8*Constants!$H84*FracLEACHMM*MMLeachEF*NtoN2O*kgtoGg,IF('Net zero activities &amp; levers'!$C$14="On",Constants!$H66*'Net zero Activity data'!AZ8*Constants!$H84*FracLEACHMM*MMLeachEF*NtoN2O*kgtoGg,"ERROR"))</f>
        <v>2.8640071683735925E-2</v>
      </c>
      <c r="AH1204" s="94">
        <f>IF('Net zero activities &amp; levers'!$C$14="Off",Constants!$H66*'Activity data'!BA8*Constants!$H84*FracLEACHMM*MMLeachEF*NtoN2O*kgtoGg,IF('Net zero activities &amp; levers'!$C$14="On",Constants!$H66*'Net zero Activity data'!BA8*Constants!$H84*FracLEACHMM*MMLeachEF*NtoN2O*kgtoGg,"ERROR"))</f>
        <v>2.8877171474684857E-2</v>
      </c>
      <c r="AI1204" s="94">
        <f>IF('Net zero activities &amp; levers'!$C$14="Off",Constants!$H66*'Activity data'!BB8*Constants!$H84*FracLEACHMM*MMLeachEF*NtoN2O*kgtoGg,IF('Net zero activities &amp; levers'!$C$14="On",Constants!$H66*'Net zero Activity data'!BB8*Constants!$H84*FracLEACHMM*MMLeachEF*NtoN2O*kgtoGg,"ERROR"))</f>
        <v>2.9129861427597242E-2</v>
      </c>
      <c r="AJ1204" s="94">
        <f>IF('Net zero activities &amp; levers'!$C$14="Off",Constants!$H66*'Activity data'!BC8*Constants!$H84*FracLEACHMM*MMLeachEF*NtoN2O*kgtoGg,IF('Net zero activities &amp; levers'!$C$14="On",Constants!$H66*'Net zero Activity data'!BC8*Constants!$H84*FracLEACHMM*MMLeachEF*NtoN2O*kgtoGg,"ERROR"))</f>
        <v>2.9408020774721655E-2</v>
      </c>
      <c r="AK1204" s="94">
        <f>IF('Net zero activities &amp; levers'!$C$14="Off",Constants!$H66*'Activity data'!BD8*Constants!$H84*FracLEACHMM*MMLeachEF*NtoN2O*kgtoGg,IF('Net zero activities &amp; levers'!$C$14="On",Constants!$H66*'Net zero Activity data'!BD8*Constants!$H84*FracLEACHMM*MMLeachEF*NtoN2O*kgtoGg,"ERROR"))</f>
        <v>2.958135107830024E-2</v>
      </c>
      <c r="AL1204" s="94">
        <f>IF('Net zero activities &amp; levers'!$C$14="Off",Constants!$H66*'Activity data'!BE8*Constants!$H84*FracLEACHMM*MMLeachEF*NtoN2O*kgtoGg,IF('Net zero activities &amp; levers'!$C$14="On",Constants!$H66*'Net zero Activity data'!BE8*Constants!$H84*FracLEACHMM*MMLeachEF*NtoN2O*kgtoGg,"ERROR"))</f>
        <v>2.9711386636381822E-2</v>
      </c>
      <c r="AM1204" s="94">
        <f>IF('Net zero activities &amp; levers'!$C$14="Off",Constants!$H66*'Activity data'!BF8*Constants!$H84*FracLEACHMM*MMLeachEF*NtoN2O*kgtoGg,IF('Net zero activities &amp; levers'!$C$14="On",Constants!$H66*'Net zero Activity data'!BF8*Constants!$H84*FracLEACHMM*MMLeachEF*NtoN2O*kgtoGg,"ERROR"))</f>
        <v>2.9801834695120533E-2</v>
      </c>
      <c r="AN1204" s="94">
        <f>IF('Net zero activities &amp; levers'!$C$14="Off",Constants!$H66*'Activity data'!BG8*Constants!$H84*FracLEACHMM*MMLeachEF*NtoN2O*kgtoGg,IF('Net zero activities &amp; levers'!$C$14="On",Constants!$H66*'Net zero Activity data'!BG8*Constants!$H84*FracLEACHMM*MMLeachEF*NtoN2O*kgtoGg,"ERROR"))</f>
        <v>3.0083013804328998E-2</v>
      </c>
      <c r="AO1204" s="94">
        <f>IF('Net zero activities &amp; levers'!$C$14="Off",Constants!$H66*'Activity data'!BH8*Constants!$H84*FracLEACHMM*MMLeachEF*NtoN2O*kgtoGg,IF('Net zero activities &amp; levers'!$C$14="On",Constants!$H66*'Net zero Activity data'!BH8*Constants!$H84*FracLEACHMM*MMLeachEF*NtoN2O*kgtoGg,"ERROR"))</f>
        <v>3.0296745523052525E-2</v>
      </c>
      <c r="AP1204" s="94">
        <f>IF('Net zero activities &amp; levers'!$C$14="Off",Constants!$H66*'Activity data'!BI8*Constants!$H84*FracLEACHMM*MMLeachEF*NtoN2O*kgtoGg,IF('Net zero activities &amp; levers'!$C$14="On",Constants!$H66*'Net zero Activity data'!BI8*Constants!$H84*FracLEACHMM*MMLeachEF*NtoN2O*kgtoGg,"ERROR"))</f>
        <v>3.0513175155516516E-2</v>
      </c>
      <c r="AQ1204" s="94">
        <f>IF('Net zero activities &amp; levers'!$C$14="Off",Constants!$H66*'Activity data'!BJ8*Constants!$H84*FracLEACHMM*MMLeachEF*NtoN2O*kgtoGg,IF('Net zero activities &amp; levers'!$C$14="On",Constants!$H66*'Net zero Activity data'!BJ8*Constants!$H84*FracLEACHMM*MMLeachEF*NtoN2O*kgtoGg,"ERROR"))</f>
        <v>3.0734778558877459E-2</v>
      </c>
      <c r="AR1204" s="94">
        <f>IF('Net zero activities &amp; levers'!$C$14="Off",Constants!$H66*'Activity data'!BK8*Constants!$H84*FracLEACHMM*MMLeachEF*NtoN2O*kgtoGg,IF('Net zero activities &amp; levers'!$C$14="On",Constants!$H66*'Net zero Activity data'!BK8*Constants!$H84*FracLEACHMM*MMLeachEF*NtoN2O*kgtoGg,"ERROR"))</f>
        <v>3.0966024436887393E-2</v>
      </c>
      <c r="AS1204" s="94">
        <f>IF('Net zero activities &amp; levers'!$C$14="Off",Constants!$H66*'Activity data'!BL8*Constants!$H84*FracLEACHMM*MMLeachEF*NtoN2O*kgtoGg,IF('Net zero activities &amp; levers'!$C$14="On",Constants!$H66*'Net zero Activity data'!BL8*Constants!$H84*FracLEACHMM*MMLeachEF*NtoN2O*kgtoGg,"ERROR"))</f>
        <v>3.1203452529548665E-2</v>
      </c>
      <c r="AT1204" s="94">
        <f>IF('Net zero activities &amp; levers'!$C$14="Off",Constants!$H66*'Activity data'!BM8*Constants!$H84*FracLEACHMM*MMLeachEF*NtoN2O*kgtoGg,IF('Net zero activities &amp; levers'!$C$14="On",Constants!$H66*'Net zero Activity data'!BM8*Constants!$H84*FracLEACHMM*MMLeachEF*NtoN2O*kgtoGg,"ERROR"))</f>
        <v>3.0735097960314203E-2</v>
      </c>
      <c r="AU1204" s="94">
        <f>IF('Net zero activities &amp; levers'!$C$14="Off",Constants!$H66*'Activity data'!BN8*Constants!$H84*FracLEACHMM*MMLeachEF*NtoN2O*kgtoGg,IF('Net zero activities &amp; levers'!$C$14="On",Constants!$H66*'Net zero Activity data'!BN8*Constants!$H84*FracLEACHMM*MMLeachEF*NtoN2O*kgtoGg,"ERROR"))</f>
        <v>3.0204531000918678E-2</v>
      </c>
      <c r="AV1204" s="94">
        <f>IF('Net zero activities &amp; levers'!$C$14="Off",Constants!$H66*'Activity data'!BO8*Constants!$H84*FracLEACHMM*MMLeachEF*NtoN2O*kgtoGg,IF('Net zero activities &amp; levers'!$C$14="On",Constants!$H66*'Net zero Activity data'!BO8*Constants!$H84*FracLEACHMM*MMLeachEF*NtoN2O*kgtoGg,"ERROR"))</f>
        <v>2.9589433707278279E-2</v>
      </c>
      <c r="AW1204" s="94">
        <f>IF('Net zero activities &amp; levers'!$C$14="Off",Constants!$H66*'Activity data'!BP8*Constants!$H84*FracLEACHMM*MMLeachEF*NtoN2O*kgtoGg,IF('Net zero activities &amp; levers'!$C$14="On",Constants!$H66*'Net zero Activity data'!BP8*Constants!$H84*FracLEACHMM*MMLeachEF*NtoN2O*kgtoGg,"ERROR"))</f>
        <v>2.8955059711748863E-2</v>
      </c>
      <c r="AY1204" s="79"/>
    </row>
    <row r="1205" spans="1:51" x14ac:dyDescent="0.3">
      <c r="A1205" s="95" t="str">
        <f t="shared" si="380"/>
        <v>CM MM Leaching</v>
      </c>
      <c r="B1205" s="95" t="s">
        <v>1322</v>
      </c>
      <c r="C1205" s="95" t="s">
        <v>1333</v>
      </c>
      <c r="D1205" t="s">
        <v>369</v>
      </c>
      <c r="E1205" t="s">
        <v>64</v>
      </c>
      <c r="F1205" t="s">
        <v>63</v>
      </c>
      <c r="G1205" t="s">
        <v>1160</v>
      </c>
      <c r="H1205" t="s">
        <v>1310</v>
      </c>
      <c r="I1205" t="s">
        <v>139</v>
      </c>
      <c r="J1205" t="s">
        <v>287</v>
      </c>
      <c r="K1205" s="94">
        <f>IF('Net zero activities &amp; levers'!$C$14="Off",Constants!$H67*'Activity data'!AD9*Constants!$H85*FracLEACHMM*MMLeachEF*NtoN2O*kgtoGg,IF('Net zero activities &amp; levers'!$C$14="On",Constants!$H67*'Net zero Activity data'!AD9*Constants!$H85*FracLEACHMM*MMLeachEF*NtoN2O*kgtoGg,"ERROR"))</f>
        <v>4.0226293185258936E-2</v>
      </c>
      <c r="L1205" s="94">
        <f>IF('Net zero activities &amp; levers'!$C$14="Off",Constants!$H67*'Activity data'!AE9*Constants!$H85*FracLEACHMM*MMLeachEF*NtoN2O*kgtoGg,IF('Net zero activities &amp; levers'!$C$14="On",Constants!$H67*'Net zero Activity data'!AE9*Constants!$H85*FracLEACHMM*MMLeachEF*NtoN2O*kgtoGg,"ERROR"))</f>
        <v>3.9877423391049015E-2</v>
      </c>
      <c r="M1205" s="94">
        <f>IF('Net zero activities &amp; levers'!$C$14="Off",Constants!$H67*'Activity data'!AF9*Constants!$H85*FracLEACHMM*MMLeachEF*NtoN2O*kgtoGg,IF('Net zero activities &amp; levers'!$C$14="On",Constants!$H67*'Net zero Activity data'!AF9*Constants!$H85*FracLEACHMM*MMLeachEF*NtoN2O*kgtoGg,"ERROR"))</f>
        <v>3.9744619221572089E-2</v>
      </c>
      <c r="N1205" s="94">
        <f>IF('Net zero activities &amp; levers'!$C$14="Off",Constants!$H67*'Activity data'!AG9*Constants!$H85*FracLEACHMM*MMLeachEF*NtoN2O*kgtoGg,IF('Net zero activities &amp; levers'!$C$14="On",Constants!$H67*'Net zero Activity data'!AG9*Constants!$H85*FracLEACHMM*MMLeachEF*NtoN2O*kgtoGg,"ERROR"))</f>
        <v>3.9213881856453713E-2</v>
      </c>
      <c r="O1205" s="94">
        <f>IF('Net zero activities &amp; levers'!$C$14="Off",Constants!$H67*'Activity data'!AH9*Constants!$H85*FracLEACHMM*MMLeachEF*NtoN2O*kgtoGg,IF('Net zero activities &amp; levers'!$C$14="On",Constants!$H67*'Net zero Activity data'!AH9*Constants!$H85*FracLEACHMM*MMLeachEF*NtoN2O*kgtoGg,"ERROR"))</f>
        <v>3.8443503609481157E-2</v>
      </c>
      <c r="P1205" s="94">
        <f>IF('Net zero activities &amp; levers'!$C$14="Off",Constants!$H67*'Activity data'!AI9*Constants!$H85*FracLEACHMM*MMLeachEF*NtoN2O*kgtoGg,IF('Net zero activities &amp; levers'!$C$14="On",Constants!$H67*'Net zero Activity data'!AI9*Constants!$H85*FracLEACHMM*MMLeachEF*NtoN2O*kgtoGg,"ERROR"))</f>
        <v>3.7449414696768608E-2</v>
      </c>
      <c r="Q1205" s="94">
        <f>IF('Net zero activities &amp; levers'!$C$14="Off",Constants!$H67*'Activity data'!AJ9*Constants!$H85*FracLEACHMM*MMLeachEF*NtoN2O*kgtoGg,IF('Net zero activities &amp; levers'!$C$14="On",Constants!$H67*'Net zero Activity data'!AJ9*Constants!$H85*FracLEACHMM*MMLeachEF*NtoN2O*kgtoGg,"ERROR"))</f>
        <v>3.666534769725275E-2</v>
      </c>
      <c r="R1205" s="94">
        <f>IF('Net zero activities &amp; levers'!$C$14="Off",Constants!$H67*'Activity data'!AK9*Constants!$H85*FracLEACHMM*MMLeachEF*NtoN2O*kgtoGg,IF('Net zero activities &amp; levers'!$C$14="On",Constants!$H67*'Net zero Activity data'!AK9*Constants!$H85*FracLEACHMM*MMLeachEF*NtoN2O*kgtoGg,"ERROR"))</f>
        <v>3.5923531179771241E-2</v>
      </c>
      <c r="S1205" s="94">
        <f>IF('Net zero activities &amp; levers'!$C$14="Off",Constants!$H67*'Activity data'!AL9*Constants!$H85*FracLEACHMM*MMLeachEF*NtoN2O*kgtoGg,IF('Net zero activities &amp; levers'!$C$14="On",Constants!$H67*'Net zero Activity data'!AL9*Constants!$H85*FracLEACHMM*MMLeachEF*NtoN2O*kgtoGg,"ERROR"))</f>
        <v>3.160223497260737E-2</v>
      </c>
      <c r="T1205" s="94">
        <f>IF('Net zero activities &amp; levers'!$C$14="Off",Constants!$H67*'Activity data'!AM9*Constants!$H85*FracLEACHMM*MMLeachEF*NtoN2O*kgtoGg,IF('Net zero activities &amp; levers'!$C$14="On",Constants!$H67*'Net zero Activity data'!AM9*Constants!$H85*FracLEACHMM*MMLeachEF*NtoN2O*kgtoGg,"ERROR"))</f>
        <v>3.2115550500900779E-2</v>
      </c>
      <c r="U1205" s="94">
        <f>IF('Net zero activities &amp; levers'!$C$14="Off",Constants!$H67*'Activity data'!AN9*Constants!$H85*FracLEACHMM*MMLeachEF*NtoN2O*kgtoGg,IF('Net zero activities &amp; levers'!$C$14="On",Constants!$H67*'Net zero Activity data'!AN9*Constants!$H85*FracLEACHMM*MMLeachEF*NtoN2O*kgtoGg,"ERROR"))</f>
        <v>3.3073156812397204E-2</v>
      </c>
      <c r="V1205" s="94">
        <f>IF('Net zero activities &amp; levers'!$C$14="Off",Constants!$H67*'Activity data'!AO9*Constants!$H85*FracLEACHMM*MMLeachEF*NtoN2O*kgtoGg,IF('Net zero activities &amp; levers'!$C$14="On",Constants!$H67*'Net zero Activity data'!AO9*Constants!$H85*FracLEACHMM*MMLeachEF*NtoN2O*kgtoGg,"ERROR"))</f>
        <v>3.3264401853557279E-2</v>
      </c>
      <c r="W1205" s="94">
        <f>IF('Net zero activities &amp; levers'!$C$14="Off",Constants!$H67*'Activity data'!AP9*Constants!$H85*FracLEACHMM*MMLeachEF*NtoN2O*kgtoGg,IF('Net zero activities &amp; levers'!$C$14="On",Constants!$H67*'Net zero Activity data'!AP9*Constants!$H85*FracLEACHMM*MMLeachEF*NtoN2O*kgtoGg,"ERROR"))</f>
        <v>3.3540232205412031E-2</v>
      </c>
      <c r="X1205" s="94">
        <f>IF('Net zero activities &amp; levers'!$C$14="Off",Constants!$H67*'Activity data'!AQ9*Constants!$H85*FracLEACHMM*MMLeachEF*NtoN2O*kgtoGg,IF('Net zero activities &amp; levers'!$C$14="On",Constants!$H67*'Net zero Activity data'!AQ9*Constants!$H85*FracLEACHMM*MMLeachEF*NtoN2O*kgtoGg,"ERROR"))</f>
        <v>3.3925021630521073E-2</v>
      </c>
      <c r="Y1205" s="94">
        <f>IF('Net zero activities &amp; levers'!$C$14="Off",Constants!$H67*'Activity data'!AR9*Constants!$H85*FracLEACHMM*MMLeachEF*NtoN2O*kgtoGg,IF('Net zero activities &amp; levers'!$C$14="On",Constants!$H67*'Net zero Activity data'!AR9*Constants!$H85*FracLEACHMM*MMLeachEF*NtoN2O*kgtoGg,"ERROR"))</f>
        <v>3.4366392657851123E-2</v>
      </c>
      <c r="Z1205" s="94">
        <f>IF('Net zero activities &amp; levers'!$C$14="Off",Constants!$H67*'Activity data'!AS9*Constants!$H85*FracLEACHMM*MMLeachEF*NtoN2O*kgtoGg,IF('Net zero activities &amp; levers'!$C$14="On",Constants!$H67*'Net zero Activity data'!AS9*Constants!$H85*FracLEACHMM*MMLeachEF*NtoN2O*kgtoGg,"ERROR"))</f>
        <v>3.4883877012409983E-2</v>
      </c>
      <c r="AA1205" s="94">
        <f>IF('Net zero activities &amp; levers'!$C$14="Off",Constants!$H67*'Activity data'!AT9*Constants!$H85*FracLEACHMM*MMLeachEF*NtoN2O*kgtoGg,IF('Net zero activities &amp; levers'!$C$14="On",Constants!$H67*'Net zero Activity data'!AT9*Constants!$H85*FracLEACHMM*MMLeachEF*NtoN2O*kgtoGg,"ERROR"))</f>
        <v>3.5403748120585117E-2</v>
      </c>
      <c r="AB1205" s="94">
        <f>IF('Net zero activities &amp; levers'!$C$14="Off",Constants!$H67*'Activity data'!AU9*Constants!$H85*FracLEACHMM*MMLeachEF*NtoN2O*kgtoGg,IF('Net zero activities &amp; levers'!$C$14="On",Constants!$H67*'Net zero Activity data'!AU9*Constants!$H85*FracLEACHMM*MMLeachEF*NtoN2O*kgtoGg,"ERROR"))</f>
        <v>3.5988442702135158E-2</v>
      </c>
      <c r="AC1205" s="94">
        <f>IF('Net zero activities &amp; levers'!$C$14="Off",Constants!$H67*'Activity data'!AV9*Constants!$H85*FracLEACHMM*MMLeachEF*NtoN2O*kgtoGg,IF('Net zero activities &amp; levers'!$C$14="On",Constants!$H67*'Net zero Activity data'!AV9*Constants!$H85*FracLEACHMM*MMLeachEF*NtoN2O*kgtoGg,"ERROR"))</f>
        <v>3.6567334829936515E-2</v>
      </c>
      <c r="AD1205" s="94">
        <f>IF('Net zero activities &amp; levers'!$C$14="Off",Constants!$H67*'Activity data'!AW9*Constants!$H85*FracLEACHMM*MMLeachEF*NtoN2O*kgtoGg,IF('Net zero activities &amp; levers'!$C$14="On",Constants!$H67*'Net zero Activity data'!AW9*Constants!$H85*FracLEACHMM*MMLeachEF*NtoN2O*kgtoGg,"ERROR"))</f>
        <v>3.6944426800951023E-2</v>
      </c>
      <c r="AE1205" s="94">
        <f>IF('Net zero activities &amp; levers'!$C$14="Off",Constants!$H67*'Activity data'!AX9*Constants!$H85*FracLEACHMM*MMLeachEF*NtoN2O*kgtoGg,IF('Net zero activities &amp; levers'!$C$14="On",Constants!$H67*'Net zero Activity data'!AX9*Constants!$H85*FracLEACHMM*MMLeachEF*NtoN2O*kgtoGg,"ERROR"))</f>
        <v>3.7254045588106646E-2</v>
      </c>
      <c r="AF1205" s="94">
        <f>IF('Net zero activities &amp; levers'!$C$14="Off",Constants!$H67*'Activity data'!AY9*Constants!$H85*FracLEACHMM*MMLeachEF*NtoN2O*kgtoGg,IF('Net zero activities &amp; levers'!$C$14="On",Constants!$H67*'Net zero Activity data'!AY9*Constants!$H85*FracLEACHMM*MMLeachEF*NtoN2O*kgtoGg,"ERROR"))</f>
        <v>3.7581140293607394E-2</v>
      </c>
      <c r="AG1205" s="94">
        <f>IF('Net zero activities &amp; levers'!$C$14="Off",Constants!$H67*'Activity data'!AZ9*Constants!$H85*FracLEACHMM*MMLeachEF*NtoN2O*kgtoGg,IF('Net zero activities &amp; levers'!$C$14="On",Constants!$H67*'Net zero Activity data'!AZ9*Constants!$H85*FracLEACHMM*MMLeachEF*NtoN2O*kgtoGg,"ERROR"))</f>
        <v>3.801878933452469E-2</v>
      </c>
      <c r="AH1205" s="94">
        <f>IF('Net zero activities &amp; levers'!$C$14="Off",Constants!$H67*'Activity data'!BA9*Constants!$H85*FracLEACHMM*MMLeachEF*NtoN2O*kgtoGg,IF('Net zero activities &amp; levers'!$C$14="On",Constants!$H67*'Net zero Activity data'!BA9*Constants!$H85*FracLEACHMM*MMLeachEF*NtoN2O*kgtoGg,"ERROR"))</f>
        <v>3.8333531808038356E-2</v>
      </c>
      <c r="AI1205" s="94">
        <f>IF('Net zero activities &amp; levers'!$C$14="Off",Constants!$H67*'Activity data'!BB9*Constants!$H85*FracLEACHMM*MMLeachEF*NtoN2O*kgtoGg,IF('Net zero activities &amp; levers'!$C$14="On",Constants!$H67*'Net zero Activity data'!BB9*Constants!$H85*FracLEACHMM*MMLeachEF*NtoN2O*kgtoGg,"ERROR"))</f>
        <v>3.8668969728474223E-2</v>
      </c>
      <c r="AJ1205" s="94">
        <f>IF('Net zero activities &amp; levers'!$C$14="Off",Constants!$H67*'Activity data'!BC9*Constants!$H85*FracLEACHMM*MMLeachEF*NtoN2O*kgtoGg,IF('Net zero activities &amp; levers'!$C$14="On",Constants!$H67*'Net zero Activity data'!BC9*Constants!$H85*FracLEACHMM*MMLeachEF*NtoN2O*kgtoGg,"ERROR"))</f>
        <v>3.9038217464182824E-2</v>
      </c>
      <c r="AK1205" s="94">
        <f>IF('Net zero activities &amp; levers'!$C$14="Off",Constants!$H67*'Activity data'!BD9*Constants!$H85*FracLEACHMM*MMLeachEF*NtoN2O*kgtoGg,IF('Net zero activities &amp; levers'!$C$14="On",Constants!$H67*'Net zero Activity data'!BD9*Constants!$H85*FracLEACHMM*MMLeachEF*NtoN2O*kgtoGg,"ERROR"))</f>
        <v>3.9268307960108023E-2</v>
      </c>
      <c r="AL1205" s="94">
        <f>IF('Net zero activities &amp; levers'!$C$14="Off",Constants!$H67*'Activity data'!BE9*Constants!$H85*FracLEACHMM*MMLeachEF*NtoN2O*kgtoGg,IF('Net zero activities &amp; levers'!$C$14="On",Constants!$H67*'Net zero Activity data'!BE9*Constants!$H85*FracLEACHMM*MMLeachEF*NtoN2O*kgtoGg,"ERROR"))</f>
        <v>3.9440926050708265E-2</v>
      </c>
      <c r="AM1205" s="94">
        <f>IF('Net zero activities &amp; levers'!$C$14="Off",Constants!$H67*'Activity data'!BF9*Constants!$H85*FracLEACHMM*MMLeachEF*NtoN2O*kgtoGg,IF('Net zero activities &amp; levers'!$C$14="On",Constants!$H67*'Net zero Activity data'!BF9*Constants!$H85*FracLEACHMM*MMLeachEF*NtoN2O*kgtoGg,"ERROR"))</f>
        <v>3.9560992988000768E-2</v>
      </c>
      <c r="AN1205" s="94">
        <f>IF('Net zero activities &amp; levers'!$C$14="Off",Constants!$H67*'Activity data'!BG9*Constants!$H85*FracLEACHMM*MMLeachEF*NtoN2O*kgtoGg,IF('Net zero activities &amp; levers'!$C$14="On",Constants!$H67*'Net zero Activity data'!BG9*Constants!$H85*FracLEACHMM*MMLeachEF*NtoN2O*kgtoGg,"ERROR"))</f>
        <v>3.9934249362367197E-2</v>
      </c>
      <c r="AO1205" s="94">
        <f>IF('Net zero activities &amp; levers'!$C$14="Off",Constants!$H67*'Activity data'!BH9*Constants!$H85*FracLEACHMM*MMLeachEF*NtoN2O*kgtoGg,IF('Net zero activities &amp; levers'!$C$14="On",Constants!$H67*'Net zero Activity data'!BH9*Constants!$H85*FracLEACHMM*MMLeachEF*NtoN2O*kgtoGg,"ERROR"))</f>
        <v>4.0217971459084928E-2</v>
      </c>
      <c r="AP1205" s="94">
        <f>IF('Net zero activities &amp; levers'!$C$14="Off",Constants!$H67*'Activity data'!BI9*Constants!$H85*FracLEACHMM*MMLeachEF*NtoN2O*kgtoGg,IF('Net zero activities &amp; levers'!$C$14="On",Constants!$H67*'Net zero Activity data'!BI9*Constants!$H85*FracLEACHMM*MMLeachEF*NtoN2O*kgtoGg,"ERROR"))</f>
        <v>4.0505274950963739E-2</v>
      </c>
      <c r="AQ1205" s="94">
        <f>IF('Net zero activities &amp; levers'!$C$14="Off",Constants!$H67*'Activity data'!BJ9*Constants!$H85*FracLEACHMM*MMLeachEF*NtoN2O*kgtoGg,IF('Net zero activities &amp; levers'!$C$14="On",Constants!$H67*'Net zero Activity data'!BJ9*Constants!$H85*FracLEACHMM*MMLeachEF*NtoN2O*kgtoGg,"ERROR"))</f>
        <v>4.0799446460072705E-2</v>
      </c>
      <c r="AR1205" s="94">
        <f>IF('Net zero activities &amp; levers'!$C$14="Off",Constants!$H67*'Activity data'!BK9*Constants!$H85*FracLEACHMM*MMLeachEF*NtoN2O*kgtoGg,IF('Net zero activities &amp; levers'!$C$14="On",Constants!$H67*'Net zero Activity data'!BK9*Constants!$H85*FracLEACHMM*MMLeachEF*NtoN2O*kgtoGg,"ERROR"))</f>
        <v>4.1106418049306863E-2</v>
      </c>
      <c r="AS1205" s="94">
        <f>IF('Net zero activities &amp; levers'!$C$14="Off",Constants!$H67*'Activity data'!BL9*Constants!$H85*FracLEACHMM*MMLeachEF*NtoN2O*kgtoGg,IF('Net zero activities &amp; levers'!$C$14="On",Constants!$H67*'Net zero Activity data'!BL9*Constants!$H85*FracLEACHMM*MMLeachEF*NtoN2O*kgtoGg,"ERROR"))</f>
        <v>4.1421596332960157E-2</v>
      </c>
      <c r="AT1205" s="94">
        <f>IF('Net zero activities &amp; levers'!$C$14="Off",Constants!$H67*'Activity data'!BM9*Constants!$H85*FracLEACHMM*MMLeachEF*NtoN2O*kgtoGg,IF('Net zero activities &amp; levers'!$C$14="On",Constants!$H67*'Net zero Activity data'!BM9*Constants!$H85*FracLEACHMM*MMLeachEF*NtoN2O*kgtoGg,"ERROR"))</f>
        <v>4.0799870455377994E-2</v>
      </c>
      <c r="AU1205" s="94">
        <f>IF('Net zero activities &amp; levers'!$C$14="Off",Constants!$H67*'Activity data'!BN9*Constants!$H85*FracLEACHMM*MMLeachEF*NtoN2O*kgtoGg,IF('Net zero activities &amp; levers'!$C$14="On",Constants!$H67*'Net zero Activity data'!BN9*Constants!$H85*FracLEACHMM*MMLeachEF*NtoN2O*kgtoGg,"ERROR"))</f>
        <v>4.0095559597504944E-2</v>
      </c>
      <c r="AV1205" s="94">
        <f>IF('Net zero activities &amp; levers'!$C$14="Off",Constants!$H67*'Activity data'!BO9*Constants!$H85*FracLEACHMM*MMLeachEF*NtoN2O*kgtoGg,IF('Net zero activities &amp; levers'!$C$14="On",Constants!$H67*'Net zero Activity data'!BO9*Constants!$H85*FracLEACHMM*MMLeachEF*NtoN2O*kgtoGg,"ERROR"))</f>
        <v>3.9279037394439685E-2</v>
      </c>
      <c r="AW1205" s="94">
        <f>IF('Net zero activities &amp; levers'!$C$14="Off",Constants!$H67*'Activity data'!BP9*Constants!$H85*FracLEACHMM*MMLeachEF*NtoN2O*kgtoGg,IF('Net zero activities &amp; levers'!$C$14="On",Constants!$H67*'Net zero Activity data'!BP9*Constants!$H85*FracLEACHMM*MMLeachEF*NtoN2O*kgtoGg,"ERROR"))</f>
        <v>3.843692597929859E-2</v>
      </c>
      <c r="AY1205" s="79"/>
    </row>
    <row r="1206" spans="1:51" x14ac:dyDescent="0.3">
      <c r="A1206" s="95" t="str">
        <f t="shared" si="380"/>
        <v>CM MM Leaching</v>
      </c>
      <c r="B1206" s="95" t="s">
        <v>1322</v>
      </c>
      <c r="C1206" s="95" t="s">
        <v>1333</v>
      </c>
      <c r="D1206" t="s">
        <v>369</v>
      </c>
      <c r="E1206" t="s">
        <v>64</v>
      </c>
      <c r="F1206" t="s">
        <v>63</v>
      </c>
      <c r="G1206" t="s">
        <v>1162</v>
      </c>
      <c r="H1206" t="s">
        <v>1311</v>
      </c>
      <c r="I1206" t="s">
        <v>139</v>
      </c>
      <c r="J1206" t="s">
        <v>287</v>
      </c>
      <c r="K1206" s="94">
        <f>IF('Net zero activities &amp; levers'!$C$14="Off",Constants!$H68*'Activity data'!AD10*Constants!$H86*FracLEACHMM*MMLeachEF*NtoN2O*kgtoGg,IF('Net zero activities &amp; levers'!$C$14="On",Constants!$H68*'Net zero Activity data'!AD10*Constants!$H86*FracLEACHMM*MMLeachEF*NtoN2O*kgtoGg,"ERROR"))</f>
        <v>4.1968337096859203E-2</v>
      </c>
      <c r="L1206" s="94">
        <f>IF('Net zero activities &amp; levers'!$C$14="Off",Constants!$H68*'Activity data'!AE10*Constants!$H86*FracLEACHMM*MMLeachEF*NtoN2O*kgtoGg,IF('Net zero activities &amp; levers'!$C$14="On",Constants!$H68*'Net zero Activity data'!AE10*Constants!$H86*FracLEACHMM*MMLeachEF*NtoN2O*kgtoGg,"ERROR"))</f>
        <v>4.3383434779753462E-2</v>
      </c>
      <c r="M1206" s="94">
        <f>IF('Net zero activities &amp; levers'!$C$14="Off",Constants!$H68*'Activity data'!AF10*Constants!$H86*FracLEACHMM*MMLeachEF*NtoN2O*kgtoGg,IF('Net zero activities &amp; levers'!$C$14="On",Constants!$H68*'Net zero Activity data'!AF10*Constants!$H86*FracLEACHMM*MMLeachEF*NtoN2O*kgtoGg,"ERROR"))</f>
        <v>4.5063007666824861E-2</v>
      </c>
      <c r="N1206" s="94">
        <f>IF('Net zero activities &amp; levers'!$C$14="Off",Constants!$H68*'Activity data'!AG10*Constants!$H86*FracLEACHMM*MMLeachEF*NtoN2O*kgtoGg,IF('Net zero activities &amp; levers'!$C$14="On",Constants!$H68*'Net zero Activity data'!AG10*Constants!$H86*FracLEACHMM*MMLeachEF*NtoN2O*kgtoGg,"ERROR"))</f>
        <v>4.6315596244033502E-2</v>
      </c>
      <c r="O1206" s="94">
        <f>IF('Net zero activities &amp; levers'!$C$14="Off",Constants!$H68*'Activity data'!AH10*Constants!$H86*FracLEACHMM*MMLeachEF*NtoN2O*kgtoGg,IF('Net zero activities &amp; levers'!$C$14="On",Constants!$H68*'Net zero Activity data'!AH10*Constants!$H86*FracLEACHMM*MMLeachEF*NtoN2O*kgtoGg,"ERROR"))</f>
        <v>4.7281576900430194E-2</v>
      </c>
      <c r="P1206" s="94">
        <f>IF('Net zero activities &amp; levers'!$C$14="Off",Constants!$H68*'Activity data'!AI10*Constants!$H86*FracLEACHMM*MMLeachEF*NtoN2O*kgtoGg,IF('Net zero activities &amp; levers'!$C$14="On",Constants!$H68*'Net zero Activity data'!AI10*Constants!$H86*FracLEACHMM*MMLeachEF*NtoN2O*kgtoGg,"ERROR"))</f>
        <v>4.7947144057730852E-2</v>
      </c>
      <c r="Q1206" s="94">
        <f>IF('Net zero activities &amp; levers'!$C$14="Off",Constants!$H68*'Activity data'!AJ10*Constants!$H86*FracLEACHMM*MMLeachEF*NtoN2O*kgtoGg,IF('Net zero activities &amp; levers'!$C$14="On",Constants!$H68*'Net zero Activity data'!AJ10*Constants!$H86*FracLEACHMM*MMLeachEF*NtoN2O*kgtoGg,"ERROR"))</f>
        <v>4.8855920576585825E-2</v>
      </c>
      <c r="R1206" s="94">
        <f>IF('Net zero activities &amp; levers'!$C$14="Off",Constants!$H68*'Activity data'!AK10*Constants!$H86*FracLEACHMM*MMLeachEF*NtoN2O*kgtoGg,IF('Net zero activities &amp; levers'!$C$14="On",Constants!$H68*'Net zero Activity data'!AK10*Constants!$H86*FracLEACHMM*MMLeachEF*NtoN2O*kgtoGg,"ERROR"))</f>
        <v>4.9808583705724517E-2</v>
      </c>
      <c r="S1206" s="94">
        <f>IF('Net zero activities &amp; levers'!$C$14="Off",Constants!$H68*'Activity data'!AL10*Constants!$H86*FracLEACHMM*MMLeachEF*NtoN2O*kgtoGg,IF('Net zero activities &amp; levers'!$C$14="On",Constants!$H68*'Net zero Activity data'!AL10*Constants!$H86*FracLEACHMM*MMLeachEF*NtoN2O*kgtoGg,"ERROR"))</f>
        <v>4.558792439477468E-2</v>
      </c>
      <c r="T1206" s="94">
        <f>IF('Net zero activities &amp; levers'!$C$14="Off",Constants!$H68*'Activity data'!AM10*Constants!$H86*FracLEACHMM*MMLeachEF*NtoN2O*kgtoGg,IF('Net zero activities &amp; levers'!$C$14="On",Constants!$H68*'Net zero Activity data'!AM10*Constants!$H86*FracLEACHMM*MMLeachEF*NtoN2O*kgtoGg,"ERROR"))</f>
        <v>4.7444585849147458E-2</v>
      </c>
      <c r="U1206" s="94">
        <f>IF('Net zero activities &amp; levers'!$C$14="Off",Constants!$H68*'Activity data'!AN10*Constants!$H86*FracLEACHMM*MMLeachEF*NtoN2O*kgtoGg,IF('Net zero activities &amp; levers'!$C$14="On",Constants!$H68*'Net zero Activity data'!AN10*Constants!$H86*FracLEACHMM*MMLeachEF*NtoN2O*kgtoGg,"ERROR"))</f>
        <v>5.0020252871766716E-2</v>
      </c>
      <c r="V1206" s="94">
        <f>IF('Net zero activities &amp; levers'!$C$14="Off",Constants!$H68*'Activity data'!AO10*Constants!$H86*FracLEACHMM*MMLeachEF*NtoN2O*kgtoGg,IF('Net zero activities &amp; levers'!$C$14="On",Constants!$H68*'Net zero Activity data'!AO10*Constants!$H86*FracLEACHMM*MMLeachEF*NtoN2O*kgtoGg,"ERROR"))</f>
        <v>5.1489747377125035E-2</v>
      </c>
      <c r="W1206" s="94">
        <f>IF('Net zero activities &amp; levers'!$C$14="Off",Constants!$H68*'Activity data'!AP10*Constants!$H86*FracLEACHMM*MMLeachEF*NtoN2O*kgtoGg,IF('Net zero activities &amp; levers'!$C$14="On",Constants!$H68*'Net zero Activity data'!AP10*Constants!$H86*FracLEACHMM*MMLeachEF*NtoN2O*kgtoGg,"ERROR"))</f>
        <v>5.3120325210598208E-2</v>
      </c>
      <c r="X1206" s="94">
        <f>IF('Net zero activities &amp; levers'!$C$14="Off",Constants!$H68*'Activity data'!AQ10*Constants!$H86*FracLEACHMM*MMLeachEF*NtoN2O*kgtoGg,IF('Net zero activities &amp; levers'!$C$14="On",Constants!$H68*'Net zero Activity data'!AQ10*Constants!$H86*FracLEACHMM*MMLeachEF*NtoN2O*kgtoGg,"ERROR"))</f>
        <v>5.4961817995869279E-2</v>
      </c>
      <c r="Y1206" s="94">
        <f>IF('Net zero activities &amp; levers'!$C$14="Off",Constants!$H68*'Activity data'!AR10*Constants!$H86*FracLEACHMM*MMLeachEF*NtoN2O*kgtoGg,IF('Net zero activities &amp; levers'!$C$14="On",Constants!$H68*'Net zero Activity data'!AR10*Constants!$H86*FracLEACHMM*MMLeachEF*NtoN2O*kgtoGg,"ERROR"))</f>
        <v>5.6940702891012454E-2</v>
      </c>
      <c r="Z1206" s="94">
        <f>IF('Net zero activities &amp; levers'!$C$14="Off",Constants!$H68*'Activity data'!AS10*Constants!$H86*FracLEACHMM*MMLeachEF*NtoN2O*kgtoGg,IF('Net zero activities &amp; levers'!$C$14="On",Constants!$H68*'Net zero Activity data'!AS10*Constants!$H86*FracLEACHMM*MMLeachEF*NtoN2O*kgtoGg,"ERROR"))</f>
        <v>5.909779909090021E-2</v>
      </c>
      <c r="AA1206" s="94">
        <f>IF('Net zero activities &amp; levers'!$C$14="Off",Constants!$H68*'Activity data'!AT10*Constants!$H86*FracLEACHMM*MMLeachEF*NtoN2O*kgtoGg,IF('Net zero activities &amp; levers'!$C$14="On",Constants!$H68*'Net zero Activity data'!AT10*Constants!$H86*FracLEACHMM*MMLeachEF*NtoN2O*kgtoGg,"ERROR"))</f>
        <v>6.1315559224141662E-2</v>
      </c>
      <c r="AB1206" s="94">
        <f>IF('Net zero activities &amp; levers'!$C$14="Off",Constants!$H68*'Activity data'!AU10*Constants!$H86*FracLEACHMM*MMLeachEF*NtoN2O*kgtoGg,IF('Net zero activities &amp; levers'!$C$14="On",Constants!$H68*'Net zero Activity data'!AU10*Constants!$H86*FracLEACHMM*MMLeachEF*NtoN2O*kgtoGg,"ERROR"))</f>
        <v>6.3706453642829244E-2</v>
      </c>
      <c r="AC1206" s="94">
        <f>IF('Net zero activities &amp; levers'!$C$14="Off",Constants!$H68*'Activity data'!AV10*Constants!$H86*FracLEACHMM*MMLeachEF*NtoN2O*kgtoGg,IF('Net zero activities &amp; levers'!$C$14="On",Constants!$H68*'Net zero Activity data'!AV10*Constants!$H86*FracLEACHMM*MMLeachEF*NtoN2O*kgtoGg,"ERROR"))</f>
        <v>6.6151992620882463E-2</v>
      </c>
      <c r="AD1206" s="94">
        <f>IF('Net zero activities &amp; levers'!$C$14="Off",Constants!$H68*'Activity data'!AW10*Constants!$H86*FracLEACHMM*MMLeachEF*NtoN2O*kgtoGg,IF('Net zero activities &amp; levers'!$C$14="On",Constants!$H68*'Net zero Activity data'!AW10*Constants!$H86*FracLEACHMM*MMLeachEF*NtoN2O*kgtoGg,"ERROR"))</f>
        <v>6.9050571490334375E-2</v>
      </c>
      <c r="AE1206" s="94">
        <f>IF('Net zero activities &amp; levers'!$C$14="Off",Constants!$H68*'Activity data'!AX10*Constants!$H86*FracLEACHMM*MMLeachEF*NtoN2O*kgtoGg,IF('Net zero activities &amp; levers'!$C$14="On",Constants!$H68*'Net zero Activity data'!AX10*Constants!$H86*FracLEACHMM*MMLeachEF*NtoN2O*kgtoGg,"ERROR"))</f>
        <v>7.1942782657683113E-2</v>
      </c>
      <c r="AF1206" s="94">
        <f>IF('Net zero activities &amp; levers'!$C$14="Off",Constants!$H68*'Activity data'!AY10*Constants!$H86*FracLEACHMM*MMLeachEF*NtoN2O*kgtoGg,IF('Net zero activities &amp; levers'!$C$14="On",Constants!$H68*'Net zero Activity data'!AY10*Constants!$H86*FracLEACHMM*MMLeachEF*NtoN2O*kgtoGg,"ERROR"))</f>
        <v>7.499198620981147E-2</v>
      </c>
      <c r="AG1206" s="94">
        <f>IF('Net zero activities &amp; levers'!$C$14="Off",Constants!$H68*'Activity data'!AZ10*Constants!$H86*FracLEACHMM*MMLeachEF*NtoN2O*kgtoGg,IF('Net zero activities &amp; levers'!$C$14="On",Constants!$H68*'Net zero Activity data'!AZ10*Constants!$H86*FracLEACHMM*MMLeachEF*NtoN2O*kgtoGg,"ERROR"))</f>
        <v>7.8400492834913502E-2</v>
      </c>
      <c r="AH1206" s="94">
        <f>IF('Net zero activities &amp; levers'!$C$14="Off",Constants!$H68*'Activity data'!BA10*Constants!$H86*FracLEACHMM*MMLeachEF*NtoN2O*kgtoGg,IF('Net zero activities &amp; levers'!$C$14="On",Constants!$H68*'Net zero Activity data'!BA10*Constants!$H86*FracLEACHMM*MMLeachEF*NtoN2O*kgtoGg,"ERROR"))</f>
        <v>8.1701156762449018E-2</v>
      </c>
      <c r="AI1206" s="94">
        <f>IF('Net zero activities &amp; levers'!$C$14="Off",Constants!$H68*'Activity data'!BB10*Constants!$H86*FracLEACHMM*MMLeachEF*NtoN2O*kgtoGg,IF('Net zero activities &amp; levers'!$C$14="On",Constants!$H68*'Net zero Activity data'!BB10*Constants!$H86*FracLEACHMM*MMLeachEF*NtoN2O*kgtoGg,"ERROR"))</f>
        <v>8.5192788556250426E-2</v>
      </c>
      <c r="AJ1206" s="94">
        <f>IF('Net zero activities &amp; levers'!$C$14="Off",Constants!$H68*'Activity data'!BC10*Constants!$H86*FracLEACHMM*MMLeachEF*NtoN2O*kgtoGg,IF('Net zero activities &amp; levers'!$C$14="On",Constants!$H68*'Net zero Activity data'!BC10*Constants!$H86*FracLEACHMM*MMLeachEF*NtoN2O*kgtoGg,"ERROR"))</f>
        <v>8.8918442809121118E-2</v>
      </c>
      <c r="AK1206" s="94">
        <f>IF('Net zero activities &amp; levers'!$C$14="Off",Constants!$H68*'Activity data'!BD10*Constants!$H86*FracLEACHMM*MMLeachEF*NtoN2O*kgtoGg,IF('Net zero activities &amp; levers'!$C$14="On",Constants!$H68*'Net zero Activity data'!BD10*Constants!$H86*FracLEACHMM*MMLeachEF*NtoN2O*kgtoGg,"ERROR"))</f>
        <v>9.248798577918188E-2</v>
      </c>
      <c r="AL1206" s="94">
        <f>IF('Net zero activities &amp; levers'!$C$14="Off",Constants!$H68*'Activity data'!BE10*Constants!$H86*FracLEACHMM*MMLeachEF*NtoN2O*kgtoGg,IF('Net zero activities &amp; levers'!$C$14="On",Constants!$H68*'Net zero Activity data'!BE10*Constants!$H86*FracLEACHMM*MMLeachEF*NtoN2O*kgtoGg,"ERROR"))</f>
        <v>9.6077147406772881E-2</v>
      </c>
      <c r="AM1206" s="94">
        <f>IF('Net zero activities &amp; levers'!$C$14="Off",Constants!$H68*'Activity data'!BF10*Constants!$H86*FracLEACHMM*MMLeachEF*NtoN2O*kgtoGg,IF('Net zero activities &amp; levers'!$C$14="On",Constants!$H68*'Net zero Activity data'!BF10*Constants!$H86*FracLEACHMM*MMLeachEF*NtoN2O*kgtoGg,"ERROR"))</f>
        <v>9.9693715805378641E-2</v>
      </c>
      <c r="AN1206" s="94">
        <f>IF('Net zero activities &amp; levers'!$C$14="Off",Constants!$H68*'Activity data'!BG10*Constants!$H86*FracLEACHMM*MMLeachEF*NtoN2O*kgtoGg,IF('Net zero activities &amp; levers'!$C$14="On",Constants!$H68*'Net zero Activity data'!BG10*Constants!$H86*FracLEACHMM*MMLeachEF*NtoN2O*kgtoGg,"ERROR"))</f>
        <v>0.10347374306833025</v>
      </c>
      <c r="AO1206" s="94">
        <f>IF('Net zero activities &amp; levers'!$C$14="Off",Constants!$H68*'Activity data'!BH10*Constants!$H86*FracLEACHMM*MMLeachEF*NtoN2O*kgtoGg,IF('Net zero activities &amp; levers'!$C$14="On",Constants!$H68*'Net zero Activity data'!BH10*Constants!$H86*FracLEACHMM*MMLeachEF*NtoN2O*kgtoGg,"ERROR"))</f>
        <v>0.1071593390128282</v>
      </c>
      <c r="AP1206" s="94">
        <f>IF('Net zero activities &amp; levers'!$C$14="Off",Constants!$H68*'Activity data'!BI10*Constants!$H86*FracLEACHMM*MMLeachEF*NtoN2O*kgtoGg,IF('Net zero activities &amp; levers'!$C$14="On",Constants!$H68*'Net zero Activity data'!BI10*Constants!$H86*FracLEACHMM*MMLeachEF*NtoN2O*kgtoGg,"ERROR"))</f>
        <v>0.11099240238226693</v>
      </c>
      <c r="AQ1206" s="94">
        <f>IF('Net zero activities &amp; levers'!$C$14="Off",Constants!$H68*'Activity data'!BJ10*Constants!$H86*FracLEACHMM*MMLeachEF*NtoN2O*kgtoGg,IF('Net zero activities &amp; levers'!$C$14="On",Constants!$H68*'Net zero Activity data'!BJ10*Constants!$H86*FracLEACHMM*MMLeachEF*NtoN2O*kgtoGg,"ERROR"))</f>
        <v>0.11498990238948355</v>
      </c>
      <c r="AR1206" s="94">
        <f>IF('Net zero activities &amp; levers'!$C$14="Off",Constants!$H68*'Activity data'!BK10*Constants!$H86*FracLEACHMM*MMLeachEF*NtoN2O*kgtoGg,IF('Net zero activities &amp; levers'!$C$14="On",Constants!$H68*'Net zero Activity data'!BK10*Constants!$H86*FracLEACHMM*MMLeachEF*NtoN2O*kgtoGg,"ERROR"))</f>
        <v>0.11917803768424121</v>
      </c>
      <c r="AS1206" s="94">
        <f>IF('Net zero activities &amp; levers'!$C$14="Off",Constants!$H68*'Activity data'!BL10*Constants!$H86*FracLEACHMM*MMLeachEF*NtoN2O*kgtoGg,IF('Net zero activities &amp; levers'!$C$14="On",Constants!$H68*'Net zero Activity data'!BL10*Constants!$H86*FracLEACHMM*MMLeachEF*NtoN2O*kgtoGg,"ERROR"))</f>
        <v>0.12355418732739334</v>
      </c>
      <c r="AT1206" s="94">
        <f>IF('Net zero activities &amp; levers'!$C$14="Off",Constants!$H68*'Activity data'!BM10*Constants!$H86*FracLEACHMM*MMLeachEF*NtoN2O*kgtoGg,IF('Net zero activities &amp; levers'!$C$14="On",Constants!$H68*'Net zero Activity data'!BM10*Constants!$H86*FracLEACHMM*MMLeachEF*NtoN2O*kgtoGg,"ERROR"))</f>
        <v>0.1252281322589274</v>
      </c>
      <c r="AU1206" s="94">
        <f>IF('Net zero activities &amp; levers'!$C$14="Off",Constants!$H68*'Activity data'!BN10*Constants!$H86*FracLEACHMM*MMLeachEF*NtoN2O*kgtoGg,IF('Net zero activities &amp; levers'!$C$14="On",Constants!$H68*'Net zero Activity data'!BN10*Constants!$H86*FracLEACHMM*MMLeachEF*NtoN2O*kgtoGg,"ERROR"))</f>
        <v>0.1266560621373938</v>
      </c>
      <c r="AV1206" s="94">
        <f>IF('Net zero activities &amp; levers'!$C$14="Off",Constants!$H68*'Activity data'!BO10*Constants!$H86*FracLEACHMM*MMLeachEF*NtoN2O*kgtoGg,IF('Net zero activities &amp; levers'!$C$14="On",Constants!$H68*'Net zero Activity data'!BO10*Constants!$H86*FracLEACHMM*MMLeachEF*NtoN2O*kgtoGg,"ERROR"))</f>
        <v>0.12771943748303299</v>
      </c>
      <c r="AW1206" s="94">
        <f>IF('Net zero activities &amp; levers'!$C$14="Off",Constants!$H68*'Activity data'!BP10*Constants!$H86*FracLEACHMM*MMLeachEF*NtoN2O*kgtoGg,IF('Net zero activities &amp; levers'!$C$14="On",Constants!$H68*'Net zero Activity data'!BP10*Constants!$H86*FracLEACHMM*MMLeachEF*NtoN2O*kgtoGg,"ERROR"))</f>
        <v>0.12867585314816252</v>
      </c>
      <c r="AY1206" s="79"/>
    </row>
    <row r="1207" spans="1:51" x14ac:dyDescent="0.3">
      <c r="A1207" s="95" t="str">
        <f t="shared" si="380"/>
        <v>CM MM Leaching</v>
      </c>
      <c r="B1207" s="95" t="s">
        <v>1322</v>
      </c>
      <c r="C1207" s="95" t="s">
        <v>1333</v>
      </c>
      <c r="D1207" t="s">
        <v>369</v>
      </c>
      <c r="E1207" t="s">
        <v>64</v>
      </c>
      <c r="F1207" t="s">
        <v>63</v>
      </c>
      <c r="G1207" t="s">
        <v>1164</v>
      </c>
      <c r="H1207" t="s">
        <v>1312</v>
      </c>
      <c r="I1207" t="s">
        <v>139</v>
      </c>
      <c r="J1207" t="s">
        <v>287</v>
      </c>
      <c r="K1207" s="94">
        <f>IF('Net zero activities &amp; levers'!$C$14="Off",Constants!$H69*'Activity data'!AD11*Constants!$H87*FracLEACHMM*MMLeachEF*NtoN2O*kgtoGg,IF('Net zero activities &amp; levers'!$C$14="On",Constants!$H69*'Net zero Activity data'!AD11*Constants!$H87*FracLEACHMM*MMLeachEF*NtoN2O*kgtoGg,"ERROR"))</f>
        <v>4.3945619533695716E-3</v>
      </c>
      <c r="L1207" s="94">
        <f>IF('Net zero activities &amp; levers'!$C$14="Off",Constants!$H69*'Activity data'!AE11*Constants!$H87*FracLEACHMM*MMLeachEF*NtoN2O*kgtoGg,IF('Net zero activities &amp; levers'!$C$14="On",Constants!$H69*'Net zero Activity data'!AE11*Constants!$H87*FracLEACHMM*MMLeachEF*NtoN2O*kgtoGg,"ERROR"))</f>
        <v>4.3969380790341763E-3</v>
      </c>
      <c r="M1207" s="94">
        <f>IF('Net zero activities &amp; levers'!$C$14="Off",Constants!$H69*'Activity data'!AF11*Constants!$H87*FracLEACHMM*MMLeachEF*NtoN2O*kgtoGg,IF('Net zero activities &amp; levers'!$C$14="On",Constants!$H69*'Net zero Activity data'!AF11*Constants!$H87*FracLEACHMM*MMLeachEF*NtoN2O*kgtoGg,"ERROR"))</f>
        <v>4.4026193063540784E-3</v>
      </c>
      <c r="N1207" s="94">
        <f>IF('Net zero activities &amp; levers'!$C$14="Off",Constants!$H69*'Activity data'!AG11*Constants!$H87*FracLEACHMM*MMLeachEF*NtoN2O*kgtoGg,IF('Net zero activities &amp; levers'!$C$14="On",Constants!$H69*'Net zero Activity data'!AG11*Constants!$H87*FracLEACHMM*MMLeachEF*NtoN2O*kgtoGg,"ERROR"))</f>
        <v>4.4109963215778836E-3</v>
      </c>
      <c r="O1207" s="94">
        <f>IF('Net zero activities &amp; levers'!$C$14="Off",Constants!$H69*'Activity data'!AH11*Constants!$H87*FracLEACHMM*MMLeachEF*NtoN2O*kgtoGg,IF('Net zero activities &amp; levers'!$C$14="On",Constants!$H69*'Net zero Activity data'!AH11*Constants!$H87*FracLEACHMM*MMLeachEF*NtoN2O*kgtoGg,"ERROR"))</f>
        <v>4.4220158913338588E-3</v>
      </c>
      <c r="P1207" s="94">
        <f>IF('Net zero activities &amp; levers'!$C$14="Off",Constants!$H69*'Activity data'!AI11*Constants!$H87*FracLEACHMM*MMLeachEF*NtoN2O*kgtoGg,IF('Net zero activities &amp; levers'!$C$14="On",Constants!$H69*'Net zero Activity data'!AI11*Constants!$H87*FracLEACHMM*MMLeachEF*NtoN2O*kgtoGg,"ERROR"))</f>
        <v>4.4355616535255637E-3</v>
      </c>
      <c r="Q1207" s="94">
        <f>IF('Net zero activities &amp; levers'!$C$14="Off",Constants!$H69*'Activity data'!AJ11*Constants!$H87*FracLEACHMM*MMLeachEF*NtoN2O*kgtoGg,IF('Net zero activities &amp; levers'!$C$14="On",Constants!$H69*'Net zero Activity data'!AJ11*Constants!$H87*FracLEACHMM*MMLeachEF*NtoN2O*kgtoGg,"ERROR"))</f>
        <v>4.4507753934109251E-3</v>
      </c>
      <c r="R1207" s="94">
        <f>IF('Net zero activities &amp; levers'!$C$14="Off",Constants!$H69*'Activity data'!AK11*Constants!$H87*FracLEACHMM*MMLeachEF*NtoN2O*kgtoGg,IF('Net zero activities &amp; levers'!$C$14="On",Constants!$H69*'Net zero Activity data'!AK11*Constants!$H87*FracLEACHMM*MMLeachEF*NtoN2O*kgtoGg,"ERROR"))</f>
        <v>4.467561061292976E-3</v>
      </c>
      <c r="S1207" s="94">
        <f>IF('Net zero activities &amp; levers'!$C$14="Off",Constants!$H69*'Activity data'!AL11*Constants!$H87*FracLEACHMM*MMLeachEF*NtoN2O*kgtoGg,IF('Net zero activities &amp; levers'!$C$14="On",Constants!$H69*'Net zero Activity data'!AL11*Constants!$H87*FracLEACHMM*MMLeachEF*NtoN2O*kgtoGg,"ERROR"))</f>
        <v>4.4829106304263445E-3</v>
      </c>
      <c r="T1207" s="94">
        <f>IF('Net zero activities &amp; levers'!$C$14="Off",Constants!$H69*'Activity data'!AM11*Constants!$H87*FracLEACHMM*MMLeachEF*NtoN2O*kgtoGg,IF('Net zero activities &amp; levers'!$C$14="On",Constants!$H69*'Net zero Activity data'!AM11*Constants!$H87*FracLEACHMM*MMLeachEF*NtoN2O*kgtoGg,"ERROR"))</f>
        <v>4.4896556027107107E-3</v>
      </c>
      <c r="U1207" s="94">
        <f>IF('Net zero activities &amp; levers'!$C$14="Off",Constants!$H69*'Activity data'!AN11*Constants!$H87*FracLEACHMM*MMLeachEF*NtoN2O*kgtoGg,IF('Net zero activities &amp; levers'!$C$14="On",Constants!$H69*'Net zero Activity data'!AN11*Constants!$H87*FracLEACHMM*MMLeachEF*NtoN2O*kgtoGg,"ERROR"))</f>
        <v>4.4978926629073816E-3</v>
      </c>
      <c r="V1207" s="94">
        <f>IF('Net zero activities &amp; levers'!$C$14="Off",Constants!$H69*'Activity data'!AO11*Constants!$H87*FracLEACHMM*MMLeachEF*NtoN2O*kgtoGg,IF('Net zero activities &amp; levers'!$C$14="On",Constants!$H69*'Net zero Activity data'!AO11*Constants!$H87*FracLEACHMM*MMLeachEF*NtoN2O*kgtoGg,"ERROR"))</f>
        <v>4.5065504561298229E-3</v>
      </c>
      <c r="W1207" s="94">
        <f>IF('Net zero activities &amp; levers'!$C$14="Off",Constants!$H69*'Activity data'!AP11*Constants!$H87*FracLEACHMM*MMLeachEF*NtoN2O*kgtoGg,IF('Net zero activities &amp; levers'!$C$14="On",Constants!$H69*'Net zero Activity data'!AP11*Constants!$H87*FracLEACHMM*MMLeachEF*NtoN2O*kgtoGg,"ERROR"))</f>
        <v>4.5162706773714013E-3</v>
      </c>
      <c r="X1207" s="94">
        <f>IF('Net zero activities &amp; levers'!$C$14="Off",Constants!$H69*'Activity data'!AQ11*Constants!$H87*FracLEACHMM*MMLeachEF*NtoN2O*kgtoGg,IF('Net zero activities &amp; levers'!$C$14="On",Constants!$H69*'Net zero Activity data'!AQ11*Constants!$H87*FracLEACHMM*MMLeachEF*NtoN2O*kgtoGg,"ERROR"))</f>
        <v>4.527026129260852E-3</v>
      </c>
      <c r="Y1207" s="94">
        <f>IF('Net zero activities &amp; levers'!$C$14="Off",Constants!$H69*'Activity data'!AR11*Constants!$H87*FracLEACHMM*MMLeachEF*NtoN2O*kgtoGg,IF('Net zero activities &amp; levers'!$C$14="On",Constants!$H69*'Net zero Activity data'!AR11*Constants!$H87*FracLEACHMM*MMLeachEF*NtoN2O*kgtoGg,"ERROR"))</f>
        <v>4.5337431797518573E-3</v>
      </c>
      <c r="Z1207" s="94">
        <f>IF('Net zero activities &amp; levers'!$C$14="Off",Constants!$H69*'Activity data'!AS11*Constants!$H87*FracLEACHMM*MMLeachEF*NtoN2O*kgtoGg,IF('Net zero activities &amp; levers'!$C$14="On",Constants!$H69*'Net zero Activity data'!AS11*Constants!$H87*FracLEACHMM*MMLeachEF*NtoN2O*kgtoGg,"ERROR"))</f>
        <v>4.5413317440573253E-3</v>
      </c>
      <c r="AA1207" s="94">
        <f>IF('Net zero activities &amp; levers'!$C$14="Off",Constants!$H69*'Activity data'!AT11*Constants!$H87*FracLEACHMM*MMLeachEF*NtoN2O*kgtoGg,IF('Net zero activities &amp; levers'!$C$14="On",Constants!$H69*'Net zero Activity data'!AT11*Constants!$H87*FracLEACHMM*MMLeachEF*NtoN2O*kgtoGg,"ERROR"))</f>
        <v>4.5496892838415501E-3</v>
      </c>
      <c r="AB1207" s="94">
        <f>IF('Net zero activities &amp; levers'!$C$14="Off",Constants!$H69*'Activity data'!AU11*Constants!$H87*FracLEACHMM*MMLeachEF*NtoN2O*kgtoGg,IF('Net zero activities &amp; levers'!$C$14="On",Constants!$H69*'Net zero Activity data'!AU11*Constants!$H87*FracLEACHMM*MMLeachEF*NtoN2O*kgtoGg,"ERROR"))</f>
        <v>4.5588387793970616E-3</v>
      </c>
      <c r="AC1207" s="94">
        <f>IF('Net zero activities &amp; levers'!$C$14="Off",Constants!$H69*'Activity data'!AV11*Constants!$H87*FracLEACHMM*MMLeachEF*NtoN2O*kgtoGg,IF('Net zero activities &amp; levers'!$C$14="On",Constants!$H69*'Net zero Activity data'!AV11*Constants!$H87*FracLEACHMM*MMLeachEF*NtoN2O*kgtoGg,"ERROR"))</f>
        <v>4.5686857941763257E-3</v>
      </c>
      <c r="AD1207" s="94">
        <f>IF('Net zero activities &amp; levers'!$C$14="Off",Constants!$H69*'Activity data'!AW11*Constants!$H87*FracLEACHMM*MMLeachEF*NtoN2O*kgtoGg,IF('Net zero activities &amp; levers'!$C$14="On",Constants!$H69*'Net zero Activity data'!AW11*Constants!$H87*FracLEACHMM*MMLeachEF*NtoN2O*kgtoGg,"ERROR"))</f>
        <v>4.5752913220902473E-3</v>
      </c>
      <c r="AE1207" s="94">
        <f>IF('Net zero activities &amp; levers'!$C$14="Off",Constants!$H69*'Activity data'!AX11*Constants!$H87*FracLEACHMM*MMLeachEF*NtoN2O*kgtoGg,IF('Net zero activities &amp; levers'!$C$14="On",Constants!$H69*'Net zero Activity data'!AX11*Constants!$H87*FracLEACHMM*MMLeachEF*NtoN2O*kgtoGg,"ERROR"))</f>
        <v>4.582462373127697E-3</v>
      </c>
      <c r="AF1207" s="94">
        <f>IF('Net zero activities &amp; levers'!$C$14="Off",Constants!$H69*'Activity data'!AY11*Constants!$H87*FracLEACHMM*MMLeachEF*NtoN2O*kgtoGg,IF('Net zero activities &amp; levers'!$C$14="On",Constants!$H69*'Net zero Activity data'!AY11*Constants!$H87*FracLEACHMM*MMLeachEF*NtoN2O*kgtoGg,"ERROR"))</f>
        <v>4.5902565907943761E-3</v>
      </c>
      <c r="AG1207" s="94">
        <f>IF('Net zero activities &amp; levers'!$C$14="Off",Constants!$H69*'Activity data'!AZ11*Constants!$H87*FracLEACHMM*MMLeachEF*NtoN2O*kgtoGg,IF('Net zero activities &amp; levers'!$C$14="On",Constants!$H69*'Net zero Activity data'!AZ11*Constants!$H87*FracLEACHMM*MMLeachEF*NtoN2O*kgtoGg,"ERROR"))</f>
        <v>4.59875005922699E-3</v>
      </c>
      <c r="AH1207" s="94">
        <f>IF('Net zero activities &amp; levers'!$C$14="Off",Constants!$H69*'Activity data'!BA11*Constants!$H87*FracLEACHMM*MMLeachEF*NtoN2O*kgtoGg,IF('Net zero activities &amp; levers'!$C$14="On",Constants!$H69*'Net zero Activity data'!BA11*Constants!$H87*FracLEACHMM*MMLeachEF*NtoN2O*kgtoGg,"ERROR"))</f>
        <v>4.6076877369256993E-3</v>
      </c>
      <c r="AI1207" s="94">
        <f>IF('Net zero activities &amp; levers'!$C$14="Off",Constants!$H69*'Activity data'!BB11*Constants!$H87*FracLEACHMM*MMLeachEF*NtoN2O*kgtoGg,IF('Net zero activities &amp; levers'!$C$14="On",Constants!$H69*'Net zero Activity data'!BB11*Constants!$H87*FracLEACHMM*MMLeachEF*NtoN2O*kgtoGg,"ERROR"))</f>
        <v>4.6134006720946743E-3</v>
      </c>
      <c r="AJ1207" s="94">
        <f>IF('Net zero activities &amp; levers'!$C$14="Off",Constants!$H69*'Activity data'!BC11*Constants!$H87*FracLEACHMM*MMLeachEF*NtoN2O*kgtoGg,IF('Net zero activities &amp; levers'!$C$14="On",Constants!$H69*'Net zero Activity data'!BC11*Constants!$H87*FracLEACHMM*MMLeachEF*NtoN2O*kgtoGg,"ERROR"))</f>
        <v>4.6196582419180043E-3</v>
      </c>
      <c r="AK1207" s="94">
        <f>IF('Net zero activities &amp; levers'!$C$14="Off",Constants!$H69*'Activity data'!BD11*Constants!$H87*FracLEACHMM*MMLeachEF*NtoN2O*kgtoGg,IF('Net zero activities &amp; levers'!$C$14="On",Constants!$H69*'Net zero Activity data'!BD11*Constants!$H87*FracLEACHMM*MMLeachEF*NtoN2O*kgtoGg,"ERROR"))</f>
        <v>4.626254058673806E-3</v>
      </c>
      <c r="AL1207" s="94">
        <f>IF('Net zero activities &amp; levers'!$C$14="Off",Constants!$H69*'Activity data'!BE11*Constants!$H87*FracLEACHMM*MMLeachEF*NtoN2O*kgtoGg,IF('Net zero activities &amp; levers'!$C$14="On",Constants!$H69*'Net zero Activity data'!BE11*Constants!$H87*FracLEACHMM*MMLeachEF*NtoN2O*kgtoGg,"ERROR"))</f>
        <v>4.6332583415557996E-3</v>
      </c>
      <c r="AM1207" s="94">
        <f>IF('Net zero activities &amp; levers'!$C$14="Off",Constants!$H69*'Activity data'!BF11*Constants!$H87*FracLEACHMM*MMLeachEF*NtoN2O*kgtoGg,IF('Net zero activities &amp; levers'!$C$14="On",Constants!$H69*'Net zero Activity data'!BF11*Constants!$H87*FracLEACHMM*MMLeachEF*NtoN2O*kgtoGg,"ERROR"))</f>
        <v>4.6406604705372459E-3</v>
      </c>
      <c r="AN1207" s="94">
        <f>IF('Net zero activities &amp; levers'!$C$14="Off",Constants!$H69*'Activity data'!BG11*Constants!$H87*FracLEACHMM*MMLeachEF*NtoN2O*kgtoGg,IF('Net zero activities &amp; levers'!$C$14="On",Constants!$H69*'Net zero Activity data'!BG11*Constants!$H87*FracLEACHMM*MMLeachEF*NtoN2O*kgtoGg,"ERROR"))</f>
        <v>4.6450341959288514E-3</v>
      </c>
      <c r="AO1207" s="94">
        <f>IF('Net zero activities &amp; levers'!$C$14="Off",Constants!$H69*'Activity data'!BH11*Constants!$H87*FracLEACHMM*MMLeachEF*NtoN2O*kgtoGg,IF('Net zero activities &amp; levers'!$C$14="On",Constants!$H69*'Net zero Activity data'!BH11*Constants!$H87*FracLEACHMM*MMLeachEF*NtoN2O*kgtoGg,"ERROR"))</f>
        <v>4.6497032008589968E-3</v>
      </c>
      <c r="AP1207" s="94">
        <f>IF('Net zero activities &amp; levers'!$C$14="Off",Constants!$H69*'Activity data'!BI11*Constants!$H87*FracLEACHMM*MMLeachEF*NtoN2O*kgtoGg,IF('Net zero activities &amp; levers'!$C$14="On",Constants!$H69*'Net zero Activity data'!BI11*Constants!$H87*FracLEACHMM*MMLeachEF*NtoN2O*kgtoGg,"ERROR"))</f>
        <v>4.6547677652323564E-3</v>
      </c>
      <c r="AQ1207" s="94">
        <f>IF('Net zero activities &amp; levers'!$C$14="Off",Constants!$H69*'Activity data'!BJ11*Constants!$H87*FracLEACHMM*MMLeachEF*NtoN2O*kgtoGg,IF('Net zero activities &amp; levers'!$C$14="On",Constants!$H69*'Net zero Activity data'!BJ11*Constants!$H87*FracLEACHMM*MMLeachEF*NtoN2O*kgtoGg,"ERROR"))</f>
        <v>4.6602229926895984E-3</v>
      </c>
      <c r="AR1207" s="94">
        <f>IF('Net zero activities &amp; levers'!$C$14="Off",Constants!$H69*'Activity data'!BK11*Constants!$H87*FracLEACHMM*MMLeachEF*NtoN2O*kgtoGg,IF('Net zero activities &amp; levers'!$C$14="On",Constants!$H69*'Net zero Activity data'!BK11*Constants!$H87*FracLEACHMM*MMLeachEF*NtoN2O*kgtoGg,"ERROR"))</f>
        <v>4.6660687701808173E-3</v>
      </c>
      <c r="AS1207" s="94">
        <f>IF('Net zero activities &amp; levers'!$C$14="Off",Constants!$H69*'Activity data'!BL11*Constants!$H87*FracLEACHMM*MMLeachEF*NtoN2O*kgtoGg,IF('Net zero activities &amp; levers'!$C$14="On",Constants!$H69*'Net zero Activity data'!BL11*Constants!$H87*FracLEACHMM*MMLeachEF*NtoN2O*kgtoGg,"ERROR"))</f>
        <v>4.6687208592955552E-3</v>
      </c>
      <c r="AT1207" s="94">
        <f>IF('Net zero activities &amp; levers'!$C$14="Off",Constants!$H69*'Activity data'!BM11*Constants!$H87*FracLEACHMM*MMLeachEF*NtoN2O*kgtoGg,IF('Net zero activities &amp; levers'!$C$14="On",Constants!$H69*'Net zero Activity data'!BM11*Constants!$H87*FracLEACHMM*MMLeachEF*NtoN2O*kgtoGg,"ERROR"))</f>
        <v>4.6704299553969519E-3</v>
      </c>
      <c r="AU1207" s="94">
        <f>IF('Net zero activities &amp; levers'!$C$14="Off",Constants!$H69*'Activity data'!BN11*Constants!$H87*FracLEACHMM*MMLeachEF*NtoN2O*kgtoGg,IF('Net zero activities &amp; levers'!$C$14="On",Constants!$H69*'Net zero Activity data'!BN11*Constants!$H87*FracLEACHMM*MMLeachEF*NtoN2O*kgtoGg,"ERROR"))</f>
        <v>4.6723034477338006E-3</v>
      </c>
      <c r="AV1207" s="94">
        <f>IF('Net zero activities &amp; levers'!$C$14="Off",Constants!$H69*'Activity data'!BO11*Constants!$H87*FracLEACHMM*MMLeachEF*NtoN2O*kgtoGg,IF('Net zero activities &amp; levers'!$C$14="On",Constants!$H69*'Net zero Activity data'!BO11*Constants!$H87*FracLEACHMM*MMLeachEF*NtoN2O*kgtoGg,"ERROR"))</f>
        <v>4.6742823579489622E-3</v>
      </c>
      <c r="AW1207" s="94">
        <f>IF('Net zero activities &amp; levers'!$C$14="Off",Constants!$H69*'Activity data'!BP11*Constants!$H87*FracLEACHMM*MMLeachEF*NtoN2O*kgtoGg,IF('Net zero activities &amp; levers'!$C$14="On",Constants!$H69*'Net zero Activity data'!BP11*Constants!$H87*FracLEACHMM*MMLeachEF*NtoN2O*kgtoGg,"ERROR"))</f>
        <v>4.6764744826629494E-3</v>
      </c>
      <c r="AY1207" s="79"/>
    </row>
    <row r="1208" spans="1:51" x14ac:dyDescent="0.3">
      <c r="A1208" s="95" t="str">
        <f t="shared" si="380"/>
        <v>CM MM Leaching</v>
      </c>
      <c r="B1208" s="95" t="s">
        <v>1322</v>
      </c>
      <c r="C1208" s="95" t="s">
        <v>1333</v>
      </c>
      <c r="D1208" t="s">
        <v>369</v>
      </c>
      <c r="E1208" t="s">
        <v>64</v>
      </c>
      <c r="F1208" t="s">
        <v>63</v>
      </c>
      <c r="G1208" t="s">
        <v>1166</v>
      </c>
      <c r="H1208" t="s">
        <v>1313</v>
      </c>
      <c r="I1208" t="s">
        <v>139</v>
      </c>
      <c r="J1208" t="s">
        <v>287</v>
      </c>
      <c r="K1208" s="94">
        <f>IF('Net zero activities &amp; levers'!$C$14="Off",Constants!$H70*'Activity data'!AD12*Constants!$H88*FracLEACHMM*MMLeachEF*NtoN2O*kgtoGg,IF('Net zero activities &amp; levers'!$C$14="On",Constants!$H70*'Net zero Activity data'!AD12*Constants!$H88*FracLEACHMM*MMLeachEF*NtoN2O*kgtoGg,"ERROR"))</f>
        <v>3.6554846257269864E-3</v>
      </c>
      <c r="L1208" s="94">
        <f>IF('Net zero activities &amp; levers'!$C$14="Off",Constants!$H70*'Activity data'!AE12*Constants!$H88*FracLEACHMM*MMLeachEF*NtoN2O*kgtoGg,IF('Net zero activities &amp; levers'!$C$14="On",Constants!$H70*'Net zero Activity data'!AE12*Constants!$H88*FracLEACHMM*MMLeachEF*NtoN2O*kgtoGg,"ERROR"))</f>
        <v>3.6574611346322943E-3</v>
      </c>
      <c r="M1208" s="94">
        <f>IF('Net zero activities &amp; levers'!$C$14="Off",Constants!$H70*'Activity data'!AF12*Constants!$H88*FracLEACHMM*MMLeachEF*NtoN2O*kgtoGg,IF('Net zero activities &amp; levers'!$C$14="On",Constants!$H70*'Net zero Activity data'!AF12*Constants!$H88*FracLEACHMM*MMLeachEF*NtoN2O*kgtoGg,"ERROR"))</f>
        <v>3.662186893272979E-3</v>
      </c>
      <c r="N1208" s="94">
        <f>IF('Net zero activities &amp; levers'!$C$14="Off",Constants!$H70*'Activity data'!AG12*Constants!$H88*FracLEACHMM*MMLeachEF*NtoN2O*kgtoGg,IF('Net zero activities &amp; levers'!$C$14="On",Constants!$H70*'Net zero Activity data'!AG12*Constants!$H88*FracLEACHMM*MMLeachEF*NtoN2O*kgtoGg,"ERROR"))</f>
        <v>3.6691550622702605E-3</v>
      </c>
      <c r="O1208" s="94">
        <f>IF('Net zero activities &amp; levers'!$C$14="Off",Constants!$H70*'Activity data'!AH12*Constants!$H88*FracLEACHMM*MMLeachEF*NtoN2O*kgtoGg,IF('Net zero activities &amp; levers'!$C$14="On",Constants!$H70*'Net zero Activity data'!AH12*Constants!$H88*FracLEACHMM*MMLeachEF*NtoN2O*kgtoGg,"ERROR"))</f>
        <v>3.6783213610396305E-3</v>
      </c>
      <c r="P1208" s="94">
        <f>IF('Net zero activities &amp; levers'!$C$14="Off",Constants!$H70*'Activity data'!AI12*Constants!$H88*FracLEACHMM*MMLeachEF*NtoN2O*kgtoGg,IF('Net zero activities &amp; levers'!$C$14="On",Constants!$H70*'Net zero Activity data'!AI12*Constants!$H88*FracLEACHMM*MMLeachEF*NtoN2O*kgtoGg,"ERROR"))</f>
        <v>3.6895889972593382E-3</v>
      </c>
      <c r="Q1208" s="94">
        <f>IF('Net zero activities &amp; levers'!$C$14="Off",Constants!$H70*'Activity data'!AJ12*Constants!$H88*FracLEACHMM*MMLeachEF*NtoN2O*kgtoGg,IF('Net zero activities &amp; levers'!$C$14="On",Constants!$H70*'Net zero Activity data'!AJ12*Constants!$H88*FracLEACHMM*MMLeachEF*NtoN2O*kgtoGg,"ERROR"))</f>
        <v>3.7022440907227717E-3</v>
      </c>
      <c r="R1208" s="94">
        <f>IF('Net zero activities &amp; levers'!$C$14="Off",Constants!$H70*'Activity data'!AK12*Constants!$H88*FracLEACHMM*MMLeachEF*NtoN2O*kgtoGg,IF('Net zero activities &amp; levers'!$C$14="On",Constants!$H70*'Net zero Activity data'!AK12*Constants!$H88*FracLEACHMM*MMLeachEF*NtoN2O*kgtoGg,"ERROR"))</f>
        <v>3.7162067453687837E-3</v>
      </c>
      <c r="S1208" s="94">
        <f>IF('Net zero activities &amp; levers'!$C$14="Off",Constants!$H70*'Activity data'!AL12*Constants!$H88*FracLEACHMM*MMLeachEF*NtoN2O*kgtoGg,IF('Net zero activities &amp; levers'!$C$14="On",Constants!$H70*'Net zero Activity data'!AL12*Constants!$H88*FracLEACHMM*MMLeachEF*NtoN2O*kgtoGg,"ERROR"))</f>
        <v>3.7289748243204386E-3</v>
      </c>
      <c r="T1208" s="94">
        <f>IF('Net zero activities &amp; levers'!$C$14="Off",Constants!$H70*'Activity data'!AM12*Constants!$H88*FracLEACHMM*MMLeachEF*NtoN2O*kgtoGg,IF('Net zero activities &amp; levers'!$C$14="On",Constants!$H70*'Net zero Activity data'!AM12*Constants!$H88*FracLEACHMM*MMLeachEF*NtoN2O*kgtoGg,"ERROR"))</f>
        <v>3.7345854273220752E-3</v>
      </c>
      <c r="U1208" s="94">
        <f>IF('Net zero activities &amp; levers'!$C$14="Off",Constants!$H70*'Activity data'!AN12*Constants!$H88*FracLEACHMM*MMLeachEF*NtoN2O*kgtoGg,IF('Net zero activities &amp; levers'!$C$14="On",Constants!$H70*'Net zero Activity data'!AN12*Constants!$H88*FracLEACHMM*MMLeachEF*NtoN2O*kgtoGg,"ERROR"))</f>
        <v>3.7414371789254476E-3</v>
      </c>
      <c r="V1208" s="94">
        <f>IF('Net zero activities &amp; levers'!$C$14="Off",Constants!$H70*'Activity data'!AO12*Constants!$H88*FracLEACHMM*MMLeachEF*NtoN2O*kgtoGg,IF('Net zero activities &amp; levers'!$C$14="On",Constants!$H70*'Net zero Activity data'!AO12*Constants!$H88*FracLEACHMM*MMLeachEF*NtoN2O*kgtoGg,"ERROR"))</f>
        <v>3.7486389046840498E-3</v>
      </c>
      <c r="W1208" s="94">
        <f>IF('Net zero activities &amp; levers'!$C$14="Off",Constants!$H70*'Activity data'!AP12*Constants!$H88*FracLEACHMM*MMLeachEF*NtoN2O*kgtoGg,IF('Net zero activities &amp; levers'!$C$14="On",Constants!$H70*'Net zero Activity data'!AP12*Constants!$H88*FracLEACHMM*MMLeachEF*NtoN2O*kgtoGg,"ERROR"))</f>
        <v>3.7567243793421119E-3</v>
      </c>
      <c r="X1208" s="94">
        <f>IF('Net zero activities &amp; levers'!$C$14="Off",Constants!$H70*'Activity data'!AQ12*Constants!$H88*FracLEACHMM*MMLeachEF*NtoN2O*kgtoGg,IF('Net zero activities &amp; levers'!$C$14="On",Constants!$H70*'Net zero Activity data'!AQ12*Constants!$H88*FracLEACHMM*MMLeachEF*NtoN2O*kgtoGg,"ERROR"))</f>
        <v>3.7656709795816407E-3</v>
      </c>
      <c r="Y1208" s="94">
        <f>IF('Net zero activities &amp; levers'!$C$14="Off",Constants!$H70*'Activity data'!AR12*Constants!$H88*FracLEACHMM*MMLeachEF*NtoN2O*kgtoGg,IF('Net zero activities &amp; levers'!$C$14="On",Constants!$H70*'Net zero Activity data'!AR12*Constants!$H88*FracLEACHMM*MMLeachEF*NtoN2O*kgtoGg,"ERROR"))</f>
        <v>3.7712583566764787E-3</v>
      </c>
      <c r="Z1208" s="94">
        <f>IF('Net zero activities &amp; levers'!$C$14="Off",Constants!$H70*'Activity data'!AS12*Constants!$H88*FracLEACHMM*MMLeachEF*NtoN2O*kgtoGg,IF('Net zero activities &amp; levers'!$C$14="On",Constants!$H70*'Net zero Activity data'!AS12*Constants!$H88*FracLEACHMM*MMLeachEF*NtoN2O*kgtoGg,"ERROR"))</f>
        <v>3.7775706764126256E-3</v>
      </c>
      <c r="AA1208" s="94">
        <f>IF('Net zero activities &amp; levers'!$C$14="Off",Constants!$H70*'Activity data'!AT12*Constants!$H88*FracLEACHMM*MMLeachEF*NtoN2O*kgtoGg,IF('Net zero activities &amp; levers'!$C$14="On",Constants!$H70*'Net zero Activity data'!AT12*Constants!$H88*FracLEACHMM*MMLeachEF*NtoN2O*kgtoGg,"ERROR"))</f>
        <v>3.784522645349305E-3</v>
      </c>
      <c r="AB1208" s="94">
        <f>IF('Net zero activities &amp; levers'!$C$14="Off",Constants!$H70*'Activity data'!AU12*Constants!$H88*FracLEACHMM*MMLeachEF*NtoN2O*kgtoGg,IF('Net zero activities &amp; levers'!$C$14="On",Constants!$H70*'Net zero Activity data'!AU12*Constants!$H88*FracLEACHMM*MMLeachEF*NtoN2O*kgtoGg,"ERROR"))</f>
        <v>3.7921333789539768E-3</v>
      </c>
      <c r="AC1208" s="94">
        <f>IF('Net zero activities &amp; levers'!$C$14="Off",Constants!$H70*'Activity data'!AV12*Constants!$H88*FracLEACHMM*MMLeachEF*NtoN2O*kgtoGg,IF('Net zero activities &amp; levers'!$C$14="On",Constants!$H70*'Net zero Activity data'!AV12*Constants!$H88*FracLEACHMM*MMLeachEF*NtoN2O*kgtoGg,"ERROR"))</f>
        <v>3.8003243230154901E-3</v>
      </c>
      <c r="AD1208" s="94">
        <f>IF('Net zero activities &amp; levers'!$C$14="Off",Constants!$H70*'Activity data'!AW12*Constants!$H88*FracLEACHMM*MMLeachEF*NtoN2O*kgtoGg,IF('Net zero activities &amp; levers'!$C$14="On",Constants!$H70*'Net zero Activity data'!AW12*Constants!$H88*FracLEACHMM*MMLeachEF*NtoN2O*kgtoGg,"ERROR"))</f>
        <v>3.805818933397678E-3</v>
      </c>
      <c r="AE1208" s="94">
        <f>IF('Net zero activities &amp; levers'!$C$14="Off",Constants!$H70*'Activity data'!AX12*Constants!$H88*FracLEACHMM*MMLeachEF*NtoN2O*kgtoGg,IF('Net zero activities &amp; levers'!$C$14="On",Constants!$H70*'Net zero Activity data'!AX12*Constants!$H88*FracLEACHMM*MMLeachEF*NtoN2O*kgtoGg,"ERROR"))</f>
        <v>3.8117839572375635E-3</v>
      </c>
      <c r="AF1208" s="94">
        <f>IF('Net zero activities &amp; levers'!$C$14="Off",Constants!$H70*'Activity data'!AY12*Constants!$H88*FracLEACHMM*MMLeachEF*NtoN2O*kgtoGg,IF('Net zero activities &amp; levers'!$C$14="On",Constants!$H70*'Net zero Activity data'!AY12*Constants!$H88*FracLEACHMM*MMLeachEF*NtoN2O*kgtoGg,"ERROR"))</f>
        <v>3.8182673435573919E-3</v>
      </c>
      <c r="AG1208" s="94">
        <f>IF('Net zero activities &amp; levers'!$C$14="Off",Constants!$H70*'Activity data'!AZ12*Constants!$H88*FracLEACHMM*MMLeachEF*NtoN2O*kgtoGg,IF('Net zero activities &amp; levers'!$C$14="On",Constants!$H70*'Net zero Activity data'!AZ12*Constants!$H88*FracLEACHMM*MMLeachEF*NtoN2O*kgtoGg,"ERROR"))</f>
        <v>3.8253323806655189E-3</v>
      </c>
      <c r="AH1208" s="94">
        <f>IF('Net zero activities &amp; levers'!$C$14="Off",Constants!$H70*'Activity data'!BA12*Constants!$H88*FracLEACHMM*MMLeachEF*NtoN2O*kgtoGg,IF('Net zero activities &amp; levers'!$C$14="On",Constants!$H70*'Net zero Activity data'!BA12*Constants!$H88*FracLEACHMM*MMLeachEF*NtoN2O*kgtoGg,"ERROR"))</f>
        <v>3.8327669199356464E-3</v>
      </c>
      <c r="AI1208" s="94">
        <f>IF('Net zero activities &amp; levers'!$C$14="Off",Constants!$H70*'Activity data'!BB12*Constants!$H88*FracLEACHMM*MMLeachEF*NtoN2O*kgtoGg,IF('Net zero activities &amp; levers'!$C$14="On",Constants!$H70*'Net zero Activity data'!BB12*Constants!$H88*FracLEACHMM*MMLeachEF*NtoN2O*kgtoGg,"ERROR"))</f>
        <v>3.8375190538000809E-3</v>
      </c>
      <c r="AJ1208" s="94">
        <f>IF('Net zero activities &amp; levers'!$C$14="Off",Constants!$H70*'Activity data'!BC12*Constants!$H88*FracLEACHMM*MMLeachEF*NtoN2O*kgtoGg,IF('Net zero activities &amp; levers'!$C$14="On",Constants!$H70*'Net zero Activity data'!BC12*Constants!$H88*FracLEACHMM*MMLeachEF*NtoN2O*kgtoGg,"ERROR"))</f>
        <v>3.8427242256753023E-3</v>
      </c>
      <c r="AK1208" s="94">
        <f>IF('Net zero activities &amp; levers'!$C$14="Off",Constants!$H70*'Activity data'!BD12*Constants!$H88*FracLEACHMM*MMLeachEF*NtoN2O*kgtoGg,IF('Net zero activities &amp; levers'!$C$14="On",Constants!$H70*'Net zero Activity data'!BD12*Constants!$H88*FracLEACHMM*MMLeachEF*NtoN2O*kgtoGg,"ERROR"))</f>
        <v>3.8482107581217181E-3</v>
      </c>
      <c r="AL1208" s="94">
        <f>IF('Net zero activities &amp; levers'!$C$14="Off",Constants!$H70*'Activity data'!BE12*Constants!$H88*FracLEACHMM*MMLeachEF*NtoN2O*kgtoGg,IF('Net zero activities &amp; levers'!$C$14="On",Constants!$H70*'Net zero Activity data'!BE12*Constants!$H88*FracLEACHMM*MMLeachEF*NtoN2O*kgtoGg,"ERROR"))</f>
        <v>3.8540370608706733E-3</v>
      </c>
      <c r="AM1208" s="94">
        <f>IF('Net zero activities &amp; levers'!$C$14="Off",Constants!$H70*'Activity data'!BF12*Constants!$H88*FracLEACHMM*MMLeachEF*NtoN2O*kgtoGg,IF('Net zero activities &amp; levers'!$C$14="On",Constants!$H70*'Net zero Activity data'!BF12*Constants!$H88*FracLEACHMM*MMLeachEF*NtoN2O*kgtoGg,"ERROR"))</f>
        <v>3.8601942999712795E-3</v>
      </c>
      <c r="AN1208" s="94">
        <f>IF('Net zero activities &amp; levers'!$C$14="Off",Constants!$H70*'Activity data'!BG12*Constants!$H88*FracLEACHMM*MMLeachEF*NtoN2O*kgtoGg,IF('Net zero activities &amp; levers'!$C$14="On",Constants!$H70*'Net zero Activity data'!BG12*Constants!$H88*FracLEACHMM*MMLeachEF*NtoN2O*kgtoGg,"ERROR"))</f>
        <v>3.8638324523277176E-3</v>
      </c>
      <c r="AO1208" s="94">
        <f>IF('Net zero activities &amp; levers'!$C$14="Off",Constants!$H70*'Activity data'!BH12*Constants!$H88*FracLEACHMM*MMLeachEF*NtoN2O*kgtoGg,IF('Net zero activities &amp; levers'!$C$14="On",Constants!$H70*'Net zero Activity data'!BH12*Constants!$H88*FracLEACHMM*MMLeachEF*NtoN2O*kgtoGg,"ERROR"))</f>
        <v>3.8677162241167358E-3</v>
      </c>
      <c r="AP1208" s="94">
        <f>IF('Net zero activities &amp; levers'!$C$14="Off",Constants!$H70*'Activity data'!BI12*Constants!$H88*FracLEACHMM*MMLeachEF*NtoN2O*kgtoGg,IF('Net zero activities &amp; levers'!$C$14="On",Constants!$H70*'Net zero Activity data'!BI12*Constants!$H88*FracLEACHMM*MMLeachEF*NtoN2O*kgtoGg,"ERROR"))</f>
        <v>3.87192903017096E-3</v>
      </c>
      <c r="AQ1208" s="94">
        <f>IF('Net zero activities &amp; levers'!$C$14="Off",Constants!$H70*'Activity data'!BJ12*Constants!$H88*FracLEACHMM*MMLeachEF*NtoN2O*kgtoGg,IF('Net zero activities &amp; levers'!$C$14="On",Constants!$H70*'Net zero Activity data'!BJ12*Constants!$H88*FracLEACHMM*MMLeachEF*NtoN2O*kgtoGg,"ERROR"))</f>
        <v>3.8764667976006581E-3</v>
      </c>
      <c r="AR1208" s="94">
        <f>IF('Net zero activities &amp; levers'!$C$14="Off",Constants!$H70*'Activity data'!BK12*Constants!$H88*FracLEACHMM*MMLeachEF*NtoN2O*kgtoGg,IF('Net zero activities &amp; levers'!$C$14="On",Constants!$H70*'Net zero Activity data'!BK12*Constants!$H88*FracLEACHMM*MMLeachEF*NtoN2O*kgtoGg,"ERROR"))</f>
        <v>3.8813294323686563E-3</v>
      </c>
      <c r="AS1208" s="94">
        <f>IF('Net zero activities &amp; levers'!$C$14="Off",Constants!$H70*'Activity data'!BL12*Constants!$H88*FracLEACHMM*MMLeachEF*NtoN2O*kgtoGg,IF('Net zero activities &amp; levers'!$C$14="On",Constants!$H70*'Net zero Activity data'!BL12*Constants!$H88*FracLEACHMM*MMLeachEF*NtoN2O*kgtoGg,"ERROR"))</f>
        <v>3.8835354931974382E-3</v>
      </c>
      <c r="AT1208" s="94">
        <f>IF('Net zero activities &amp; levers'!$C$14="Off",Constants!$H70*'Activity data'!BM12*Constants!$H88*FracLEACHMM*MMLeachEF*NtoN2O*kgtoGg,IF('Net zero activities &amp; levers'!$C$14="On",Constants!$H70*'Net zero Activity data'!BM12*Constants!$H88*FracLEACHMM*MMLeachEF*NtoN2O*kgtoGg,"ERROR"))</f>
        <v>3.8849571535560438E-3</v>
      </c>
      <c r="AU1208" s="94">
        <f>IF('Net zero activities &amp; levers'!$C$14="Off",Constants!$H70*'Activity data'!BN12*Constants!$H88*FracLEACHMM*MMLeachEF*NtoN2O*kgtoGg,IF('Net zero activities &amp; levers'!$C$14="On",Constants!$H70*'Net zero Activity data'!BN12*Constants!$H88*FracLEACHMM*MMLeachEF*NtoN2O*kgtoGg,"ERROR"))</f>
        <v>3.8865155619950283E-3</v>
      </c>
      <c r="AV1208" s="94">
        <f>IF('Net zero activities &amp; levers'!$C$14="Off",Constants!$H70*'Activity data'!BO12*Constants!$H88*FracLEACHMM*MMLeachEF*NtoN2O*kgtoGg,IF('Net zero activities &amp; levers'!$C$14="On",Constants!$H70*'Net zero Activity data'!BO12*Constants!$H88*FracLEACHMM*MMLeachEF*NtoN2O*kgtoGg,"ERROR"))</f>
        <v>3.8881616591359886E-3</v>
      </c>
      <c r="AW1208" s="94">
        <f>IF('Net zero activities &amp; levers'!$C$14="Off",Constants!$H70*'Activity data'!BP12*Constants!$H88*FracLEACHMM*MMLeachEF*NtoN2O*kgtoGg,IF('Net zero activities &amp; levers'!$C$14="On",Constants!$H70*'Net zero Activity data'!BP12*Constants!$H88*FracLEACHMM*MMLeachEF*NtoN2O*kgtoGg,"ERROR"))</f>
        <v>3.8899851123662963E-3</v>
      </c>
      <c r="AY1208" s="79"/>
    </row>
    <row r="1209" spans="1:51" x14ac:dyDescent="0.3">
      <c r="A1209" s="95" t="str">
        <f t="shared" si="380"/>
        <v>CM MM Leaching</v>
      </c>
      <c r="B1209" s="95" t="s">
        <v>1322</v>
      </c>
      <c r="C1209" s="95" t="s">
        <v>1333</v>
      </c>
      <c r="D1209" t="s">
        <v>369</v>
      </c>
      <c r="E1209" t="s">
        <v>64</v>
      </c>
      <c r="F1209" t="s">
        <v>63</v>
      </c>
      <c r="G1209" t="s">
        <v>1168</v>
      </c>
      <c r="H1209" t="s">
        <v>1314</v>
      </c>
      <c r="I1209" t="s">
        <v>139</v>
      </c>
      <c r="J1209" t="s">
        <v>287</v>
      </c>
      <c r="K1209" s="94">
        <f>IF('Net zero activities &amp; levers'!$C$14="Off",Constants!$H71*'Activity data'!AD13*Constants!$H89*FracLEACHMM*MMLeachEF*NtoN2O*kgtoGg,IF('Net zero activities &amp; levers'!$C$14="On",Constants!$H71*'Net zero Activity data'!AD13*Constants!$H89*FracLEACHMM*MMLeachEF*NtoN2O*kgtoGg,"ERROR"))</f>
        <v>5.4322987485311562E-4</v>
      </c>
      <c r="L1209" s="94">
        <f>IF('Net zero activities &amp; levers'!$C$14="Off",Constants!$H71*'Activity data'!AE13*Constants!$H89*FracLEACHMM*MMLeachEF*NtoN2O*kgtoGg,IF('Net zero activities &amp; levers'!$C$14="On",Constants!$H71*'Net zero Activity data'!AE13*Constants!$H89*FracLEACHMM*MMLeachEF*NtoN2O*kgtoGg,"ERROR"))</f>
        <v>5.4464201031358182E-4</v>
      </c>
      <c r="M1209" s="94">
        <f>IF('Net zero activities &amp; levers'!$C$14="Off",Constants!$H71*'Activity data'!AF13*Constants!$H89*FracLEACHMM*MMLeachEF*NtoN2O*kgtoGg,IF('Net zero activities &amp; levers'!$C$14="On",Constants!$H71*'Net zero Activity data'!AF13*Constants!$H89*FracLEACHMM*MMLeachEF*NtoN2O*kgtoGg,"ERROR"))</f>
        <v>5.4659000127818655E-4</v>
      </c>
      <c r="N1209" s="94">
        <f>IF('Net zero activities &amp; levers'!$C$14="Off",Constants!$H71*'Activity data'!AG13*Constants!$H89*FracLEACHMM*MMLeachEF*NtoN2O*kgtoGg,IF('Net zero activities &amp; levers'!$C$14="On",Constants!$H71*'Net zero Activity data'!AG13*Constants!$H89*FracLEACHMM*MMLeachEF*NtoN2O*kgtoGg,"ERROR"))</f>
        <v>5.4896316873921213E-4</v>
      </c>
      <c r="O1209" s="94">
        <f>IF('Net zero activities &amp; levers'!$C$14="Off",Constants!$H71*'Activity data'!AH13*Constants!$H89*FracLEACHMM*MMLeachEF*NtoN2O*kgtoGg,IF('Net zero activities &amp; levers'!$C$14="On",Constants!$H71*'Net zero Activity data'!AH13*Constants!$H89*FracLEACHMM*MMLeachEF*NtoN2O*kgtoGg,"ERROR"))</f>
        <v>5.5175812793145673E-4</v>
      </c>
      <c r="P1209" s="94">
        <f>IF('Net zero activities &amp; levers'!$C$14="Off",Constants!$H71*'Activity data'!AI13*Constants!$H89*FracLEACHMM*MMLeachEF*NtoN2O*kgtoGg,IF('Net zero activities &amp; levers'!$C$14="On",Constants!$H71*'Net zero Activity data'!AI13*Constants!$H89*FracLEACHMM*MMLeachEF*NtoN2O*kgtoGg,"ERROR"))</f>
        <v>5.5495786726734487E-4</v>
      </c>
      <c r="Q1209" s="94">
        <f>IF('Net zero activities &amp; levers'!$C$14="Off",Constants!$H71*'Activity data'!AJ13*Constants!$H89*FracLEACHMM*MMLeachEF*NtoN2O*kgtoGg,IF('Net zero activities &amp; levers'!$C$14="On",Constants!$H71*'Net zero Activity data'!AJ13*Constants!$H89*FracLEACHMM*MMLeachEF*NtoN2O*kgtoGg,"ERROR"))</f>
        <v>5.5840147541839718E-4</v>
      </c>
      <c r="R1209" s="94">
        <f>IF('Net zero activities &amp; levers'!$C$14="Off",Constants!$H71*'Activity data'!AK13*Constants!$H89*FracLEACHMM*MMLeachEF*NtoN2O*kgtoGg,IF('Net zero activities &amp; levers'!$C$14="On",Constants!$H71*'Net zero Activity data'!AK13*Constants!$H89*FracLEACHMM*MMLeachEF*NtoN2O*kgtoGg,"ERROR"))</f>
        <v>5.620753208024884E-4</v>
      </c>
      <c r="S1209" s="94">
        <f>IF('Net zero activities &amp; levers'!$C$14="Off",Constants!$H71*'Activity data'!AL13*Constants!$H89*FracLEACHMM*MMLeachEF*NtoN2O*kgtoGg,IF('Net zero activities &amp; levers'!$C$14="On",Constants!$H71*'Net zero Activity data'!AL13*Constants!$H89*FracLEACHMM*MMLeachEF*NtoN2O*kgtoGg,"ERROR"))</f>
        <v>5.65407082502121E-4</v>
      </c>
      <c r="T1209" s="94">
        <f>IF('Net zero activities &amp; levers'!$C$14="Off",Constants!$H71*'Activity data'!AM13*Constants!$H89*FracLEACHMM*MMLeachEF*NtoN2O*kgtoGg,IF('Net zero activities &amp; levers'!$C$14="On",Constants!$H71*'Net zero Activity data'!AM13*Constants!$H89*FracLEACHMM*MMLeachEF*NtoN2O*kgtoGg,"ERROR"))</f>
        <v>5.6703451753723681E-4</v>
      </c>
      <c r="U1209" s="94">
        <f>IF('Net zero activities &amp; levers'!$C$14="Off",Constants!$H71*'Activity data'!AN13*Constants!$H89*FracLEACHMM*MMLeachEF*NtoN2O*kgtoGg,IF('Net zero activities &amp; levers'!$C$14="On",Constants!$H71*'Net zero Activity data'!AN13*Constants!$H89*FracLEACHMM*MMLeachEF*NtoN2O*kgtoGg,"ERROR"))</f>
        <v>5.6889992124546543E-4</v>
      </c>
      <c r="V1209" s="94">
        <f>IF('Net zero activities &amp; levers'!$C$14="Off",Constants!$H71*'Activity data'!AO13*Constants!$H89*FracLEACHMM*MMLeachEF*NtoN2O*kgtoGg,IF('Net zero activities &amp; levers'!$C$14="On",Constants!$H71*'Net zero Activity data'!AO13*Constants!$H89*FracLEACHMM*MMLeachEF*NtoN2O*kgtoGg,"ERROR"))</f>
        <v>5.7080142404289684E-4</v>
      </c>
      <c r="W1209" s="94">
        <f>IF('Net zero activities &amp; levers'!$C$14="Off",Constants!$H71*'Activity data'!AP13*Constants!$H89*FracLEACHMM*MMLeachEF*NtoN2O*kgtoGg,IF('Net zero activities &amp; levers'!$C$14="On",Constants!$H71*'Net zero Activity data'!AP13*Constants!$H89*FracLEACHMM*MMLeachEF*NtoN2O*kgtoGg,"ERROR"))</f>
        <v>5.7286374667304399E-4</v>
      </c>
      <c r="X1209" s="94">
        <f>IF('Net zero activities &amp; levers'!$C$14="Off",Constants!$H71*'Activity data'!AQ13*Constants!$H89*FracLEACHMM*MMLeachEF*NtoN2O*kgtoGg,IF('Net zero activities &amp; levers'!$C$14="On",Constants!$H71*'Net zero Activity data'!AQ13*Constants!$H89*FracLEACHMM*MMLeachEF*NtoN2O*kgtoGg,"ERROR"))</f>
        <v>5.7508348073871955E-4</v>
      </c>
      <c r="Y1209" s="94">
        <f>IF('Net zero activities &amp; levers'!$C$14="Off",Constants!$H71*'Activity data'!AR13*Constants!$H89*FracLEACHMM*MMLeachEF*NtoN2O*kgtoGg,IF('Net zero activities &amp; levers'!$C$14="On",Constants!$H71*'Net zero Activity data'!AR13*Constants!$H89*FracLEACHMM*MMLeachEF*NtoN2O*kgtoGg,"ERROR"))</f>
        <v>5.765040134864081E-4</v>
      </c>
      <c r="Z1209" s="94">
        <f>IF('Net zero activities &amp; levers'!$C$14="Off",Constants!$H71*'Activity data'!AS13*Constants!$H89*FracLEACHMM*MMLeachEF*NtoN2O*kgtoGg,IF('Net zero activities &amp; levers'!$C$14="On",Constants!$H71*'Net zero Activity data'!AS13*Constants!$H89*FracLEACHMM*MMLeachEF*NtoN2O*kgtoGg,"ERROR"))</f>
        <v>5.7805815510049798E-4</v>
      </c>
      <c r="AA1209" s="94">
        <f>IF('Net zero activities &amp; levers'!$C$14="Off",Constants!$H71*'Activity data'!AT13*Constants!$H89*FracLEACHMM*MMLeachEF*NtoN2O*kgtoGg,IF('Net zero activities &amp; levers'!$C$14="On",Constants!$H71*'Net zero Activity data'!AT13*Constants!$H89*FracLEACHMM*MMLeachEF*NtoN2O*kgtoGg,"ERROR"))</f>
        <v>5.7972772798702628E-4</v>
      </c>
      <c r="AB1209" s="94">
        <f>IF('Net zero activities &amp; levers'!$C$14="Off",Constants!$H71*'Activity data'!AU13*Constants!$H89*FracLEACHMM*MMLeachEF*NtoN2O*kgtoGg,IF('Net zero activities &amp; levers'!$C$14="On",Constants!$H71*'Net zero Activity data'!AU13*Constants!$H89*FracLEACHMM*MMLeachEF*NtoN2O*kgtoGg,"ERROR"))</f>
        <v>5.8151809327226973E-4</v>
      </c>
      <c r="AC1209" s="94">
        <f>IF('Net zero activities &amp; levers'!$C$14="Off",Constants!$H71*'Activity data'!AV13*Constants!$H89*FracLEACHMM*MMLeachEF*NtoN2O*kgtoGg,IF('Net zero activities &amp; levers'!$C$14="On",Constants!$H71*'Net zero Activity data'!AV13*Constants!$H89*FracLEACHMM*MMLeachEF*NtoN2O*kgtoGg,"ERROR"))</f>
        <v>5.8341243976409618E-4</v>
      </c>
      <c r="AD1209" s="94">
        <f>IF('Net zero activities &amp; levers'!$C$14="Off",Constants!$H71*'Activity data'!AW13*Constants!$H89*FracLEACHMM*MMLeachEF*NtoN2O*kgtoGg,IF('Net zero activities &amp; levers'!$C$14="On",Constants!$H71*'Net zero Activity data'!AW13*Constants!$H89*FracLEACHMM*MMLeachEF*NtoN2O*kgtoGg,"ERROR"))</f>
        <v>5.8467575387111191E-4</v>
      </c>
      <c r="AE1209" s="94">
        <f>IF('Net zero activities &amp; levers'!$C$14="Off",Constants!$H71*'Activity data'!AX13*Constants!$H89*FracLEACHMM*MMLeachEF*NtoN2O*kgtoGg,IF('Net zero activities &amp; levers'!$C$14="On",Constants!$H71*'Net zero Activity data'!AX13*Constants!$H89*FracLEACHMM*MMLeachEF*NtoN2O*kgtoGg,"ERROR"))</f>
        <v>5.8602300319697499E-4</v>
      </c>
      <c r="AF1209" s="94">
        <f>IF('Net zero activities &amp; levers'!$C$14="Off",Constants!$H71*'Activity data'!AY13*Constants!$H89*FracLEACHMM*MMLeachEF*NtoN2O*kgtoGg,IF('Net zero activities &amp; levers'!$C$14="On",Constants!$H71*'Net zero Activity data'!AY13*Constants!$H89*FracLEACHMM*MMLeachEF*NtoN2O*kgtoGg,"ERROR"))</f>
        <v>5.8746559148115021E-4</v>
      </c>
      <c r="AG1209" s="94">
        <f>IF('Net zero activities &amp; levers'!$C$14="Off",Constants!$H71*'Activity data'!AZ13*Constants!$H89*FracLEACHMM*MMLeachEF*NtoN2O*kgtoGg,IF('Net zero activities &amp; levers'!$C$14="On",Constants!$H71*'Net zero Activity data'!AZ13*Constants!$H89*FracLEACHMM*MMLeachEF*NtoN2O*kgtoGg,"ERROR"))</f>
        <v>5.8901817067528485E-4</v>
      </c>
      <c r="AH1209" s="94">
        <f>IF('Net zero activities &amp; levers'!$C$14="Off",Constants!$H71*'Activity data'!BA13*Constants!$H89*FracLEACHMM*MMLeachEF*NtoN2O*kgtoGg,IF('Net zero activities &amp; levers'!$C$14="On",Constants!$H71*'Net zero Activity data'!BA13*Constants!$H89*FracLEACHMM*MMLeachEF*NtoN2O*kgtoGg,"ERROR"))</f>
        <v>5.9063383572059778E-4</v>
      </c>
      <c r="AI1209" s="94">
        <f>IF('Net zero activities &amp; levers'!$C$14="Off",Constants!$H71*'Activity data'!BB13*Constants!$H89*FracLEACHMM*MMLeachEF*NtoN2O*kgtoGg,IF('Net zero activities &amp; levers'!$C$14="On",Constants!$H71*'Net zero Activity data'!BB13*Constants!$H89*FracLEACHMM*MMLeachEF*NtoN2O*kgtoGg,"ERROR"))</f>
        <v>5.9163445865223843E-4</v>
      </c>
      <c r="AJ1209" s="94">
        <f>IF('Net zero activities &amp; levers'!$C$14="Off",Constants!$H71*'Activity data'!BC13*Constants!$H89*FracLEACHMM*MMLeachEF*NtoN2O*kgtoGg,IF('Net zero activities &amp; levers'!$C$14="On",Constants!$H71*'Net zero Activity data'!BC13*Constants!$H89*FracLEACHMM*MMLeachEF*NtoN2O*kgtoGg,"ERROR"))</f>
        <v>5.927203167225099E-4</v>
      </c>
      <c r="AK1209" s="94">
        <f>IF('Net zero activities &amp; levers'!$C$14="Off",Constants!$H71*'Activity data'!BD13*Constants!$H89*FracLEACHMM*MMLeachEF*NtoN2O*kgtoGg,IF('Net zero activities &amp; levers'!$C$14="On",Constants!$H71*'Net zero Activity data'!BD13*Constants!$H89*FracLEACHMM*MMLeachEF*NtoN2O*kgtoGg,"ERROR"))</f>
        <v>5.9385364522191255E-4</v>
      </c>
      <c r="AL1209" s="94">
        <f>IF('Net zero activities &amp; levers'!$C$14="Off",Constants!$H71*'Activity data'!BE13*Constants!$H89*FracLEACHMM*MMLeachEF*NtoN2O*kgtoGg,IF('Net zero activities &amp; levers'!$C$14="On",Constants!$H71*'Net zero Activity data'!BE13*Constants!$H89*FracLEACHMM*MMLeachEF*NtoN2O*kgtoGg,"ERROR"))</f>
        <v>5.9504779442231843E-4</v>
      </c>
      <c r="AM1209" s="94">
        <f>IF('Net zero activities &amp; levers'!$C$14="Off",Constants!$H71*'Activity data'!BF13*Constants!$H89*FracLEACHMM*MMLeachEF*NtoN2O*kgtoGg,IF('Net zero activities &amp; levers'!$C$14="On",Constants!$H71*'Net zero Activity data'!BF13*Constants!$H89*FracLEACHMM*MMLeachEF*NtoN2O*kgtoGg,"ERROR"))</f>
        <v>5.9630112936813668E-4</v>
      </c>
      <c r="AN1209" s="94">
        <f>IF('Net zero activities &amp; levers'!$C$14="Off",Constants!$H71*'Activity data'!BG13*Constants!$H89*FracLEACHMM*MMLeachEF*NtoN2O*kgtoGg,IF('Net zero activities &amp; levers'!$C$14="On",Constants!$H71*'Net zero Activity data'!BG13*Constants!$H89*FracLEACHMM*MMLeachEF*NtoN2O*kgtoGg,"ERROR"))</f>
        <v>5.9698587491705869E-4</v>
      </c>
      <c r="AO1209" s="94">
        <f>IF('Net zero activities &amp; levers'!$C$14="Off",Constants!$H71*'Activity data'!BH13*Constants!$H89*FracLEACHMM*MMLeachEF*NtoN2O*kgtoGg,IF('Net zero activities &amp; levers'!$C$14="On",Constants!$H71*'Net zero Activity data'!BH13*Constants!$H89*FracLEACHMM*MMLeachEF*NtoN2O*kgtoGg,"ERROR"))</f>
        <v>5.9771375764922606E-4</v>
      </c>
      <c r="AP1209" s="94">
        <f>IF('Net zero activities &amp; levers'!$C$14="Off",Constants!$H71*'Activity data'!BI13*Constants!$H89*FracLEACHMM*MMLeachEF*NtoN2O*kgtoGg,IF('Net zero activities &amp; levers'!$C$14="On",Constants!$H71*'Net zero Activity data'!BI13*Constants!$H89*FracLEACHMM*MMLeachEF*NtoN2O*kgtoGg,"ERROR"))</f>
        <v>5.9850335838718442E-4</v>
      </c>
      <c r="AQ1209" s="94">
        <f>IF('Net zero activities &amp; levers'!$C$14="Off",Constants!$H71*'Activity data'!BJ13*Constants!$H89*FracLEACHMM*MMLeachEF*NtoN2O*kgtoGg,IF('Net zero activities &amp; levers'!$C$14="On",Constants!$H71*'Net zero Activity data'!BJ13*Constants!$H89*FracLEACHMM*MMLeachEF*NtoN2O*kgtoGg,"ERROR"))</f>
        <v>5.993539230264727E-4</v>
      </c>
      <c r="AR1209" s="94">
        <f>IF('Net zero activities &amp; levers'!$C$14="Off",Constants!$H71*'Activity data'!BK13*Constants!$H89*FracLEACHMM*MMLeachEF*NtoN2O*kgtoGg,IF('Net zero activities &amp; levers'!$C$14="On",Constants!$H71*'Net zero Activity data'!BK13*Constants!$H89*FracLEACHMM*MMLeachEF*NtoN2O*kgtoGg,"ERROR"))</f>
        <v>6.0026554968942018E-4</v>
      </c>
      <c r="AS1209" s="94">
        <f>IF('Net zero activities &amp; levers'!$C$14="Off",Constants!$H71*'Activity data'!BL13*Constants!$H89*FracLEACHMM*MMLeachEF*NtoN2O*kgtoGg,IF('Net zero activities &amp; levers'!$C$14="On",Constants!$H71*'Net zero Activity data'!BL13*Constants!$H89*FracLEACHMM*MMLeachEF*NtoN2O*kgtoGg,"ERROR"))</f>
        <v>6.0058687026311956E-4</v>
      </c>
      <c r="AT1209" s="94">
        <f>IF('Net zero activities &amp; levers'!$C$14="Off",Constants!$H71*'Activity data'!BM13*Constants!$H89*FracLEACHMM*MMLeachEF*NtoN2O*kgtoGg,IF('Net zero activities &amp; levers'!$C$14="On",Constants!$H71*'Net zero Activity data'!BM13*Constants!$H89*FracLEACHMM*MMLeachEF*NtoN2O*kgtoGg,"ERROR"))</f>
        <v>6.0072956880295909E-4</v>
      </c>
      <c r="AU1209" s="94">
        <f>IF('Net zero activities &amp; levers'!$C$14="Off",Constants!$H71*'Activity data'!BN13*Constants!$H89*FracLEACHMM*MMLeachEF*NtoN2O*kgtoGg,IF('Net zero activities &amp; levers'!$C$14="On",Constants!$H71*'Net zero Activity data'!BN13*Constants!$H89*FracLEACHMM*MMLeachEF*NtoN2O*kgtoGg,"ERROR"))</f>
        <v>6.0089545684115426E-4</v>
      </c>
      <c r="AV1209" s="94">
        <f>IF('Net zero activities &amp; levers'!$C$14="Off",Constants!$H71*'Activity data'!BO13*Constants!$H89*FracLEACHMM*MMLeachEF*NtoN2O*kgtoGg,IF('Net zero activities &amp; levers'!$C$14="On",Constants!$H71*'Net zero Activity data'!BO13*Constants!$H89*FracLEACHMM*MMLeachEF*NtoN2O*kgtoGg,"ERROR"))</f>
        <v>6.0107404835249166E-4</v>
      </c>
      <c r="AW1209" s="94">
        <f>IF('Net zero activities &amp; levers'!$C$14="Off",Constants!$H71*'Activity data'!BP13*Constants!$H89*FracLEACHMM*MMLeachEF*NtoN2O*kgtoGg,IF('Net zero activities &amp; levers'!$C$14="On",Constants!$H71*'Net zero Activity data'!BP13*Constants!$H89*FracLEACHMM*MMLeachEF*NtoN2O*kgtoGg,"ERROR"))</f>
        <v>6.0128502571355803E-4</v>
      </c>
      <c r="AY1209" s="79"/>
    </row>
    <row r="1210" spans="1:51" x14ac:dyDescent="0.3">
      <c r="A1210" s="95" t="str">
        <f t="shared" si="380"/>
        <v>CM MM Leaching</v>
      </c>
      <c r="B1210" s="95" t="s">
        <v>1322</v>
      </c>
      <c r="C1210" s="95" t="s">
        <v>1333</v>
      </c>
      <c r="D1210" t="s">
        <v>369</v>
      </c>
      <c r="E1210" t="s">
        <v>64</v>
      </c>
      <c r="F1210" t="s">
        <v>63</v>
      </c>
      <c r="G1210" t="s">
        <v>1170</v>
      </c>
      <c r="H1210" t="s">
        <v>1315</v>
      </c>
      <c r="I1210" t="s">
        <v>139</v>
      </c>
      <c r="J1210" t="s">
        <v>287</v>
      </c>
      <c r="K1210" s="94">
        <f>IF('Net zero activities &amp; levers'!$C$14="Off",Constants!$H72*'Activity data'!AD14*Constants!$H90*FracLEACHMM*MMLeachEF*NtoN2O*kgtoGg,IF('Net zero activities &amp; levers'!$C$14="On",Constants!$H72*'Net zero Activity data'!AD14*Constants!$H90*FracLEACHMM*MMLeachEF*NtoN2O*kgtoGg,"ERROR"))</f>
        <v>6.6992563985089947E-3</v>
      </c>
      <c r="L1210" s="94">
        <f>IF('Net zero activities &amp; levers'!$C$14="Off",Constants!$H72*'Activity data'!AE14*Constants!$H90*FracLEACHMM*MMLeachEF*NtoN2O*kgtoGg,IF('Net zero activities &amp; levers'!$C$14="On",Constants!$H72*'Net zero Activity data'!AE14*Constants!$H90*FracLEACHMM*MMLeachEF*NtoN2O*kgtoGg,"ERROR"))</f>
        <v>6.716671231449923E-3</v>
      </c>
      <c r="M1210" s="94">
        <f>IF('Net zero activities &amp; levers'!$C$14="Off",Constants!$H72*'Activity data'!AF14*Constants!$H90*FracLEACHMM*MMLeachEF*NtoN2O*kgtoGg,IF('Net zero activities &amp; levers'!$C$14="On",Constants!$H72*'Net zero Activity data'!AF14*Constants!$H90*FracLEACHMM*MMLeachEF*NtoN2O*kgtoGg,"ERROR"))</f>
        <v>6.7406943780734313E-3</v>
      </c>
      <c r="N1210" s="94">
        <f>IF('Net zero activities &amp; levers'!$C$14="Off",Constants!$H72*'Activity data'!AG14*Constants!$H90*FracLEACHMM*MMLeachEF*NtoN2O*kgtoGg,IF('Net zero activities &amp; levers'!$C$14="On",Constants!$H72*'Net zero Activity data'!AG14*Constants!$H90*FracLEACHMM*MMLeachEF*NtoN2O*kgtoGg,"ERROR"))</f>
        <v>6.7699609151951386E-3</v>
      </c>
      <c r="O1210" s="94">
        <f>IF('Net zero activities &amp; levers'!$C$14="Off",Constants!$H72*'Activity data'!AH14*Constants!$H90*FracLEACHMM*MMLeachEF*NtoN2O*kgtoGg,IF('Net zero activities &amp; levers'!$C$14="On",Constants!$H72*'Net zero Activity data'!AH14*Constants!$H90*FracLEACHMM*MMLeachEF*NtoN2O*kgtoGg,"ERROR"))</f>
        <v>6.8044291009834836E-3</v>
      </c>
      <c r="P1210" s="94">
        <f>IF('Net zero activities &amp; levers'!$C$14="Off",Constants!$H72*'Activity data'!AI14*Constants!$H90*FracLEACHMM*MMLeachEF*NtoN2O*kgtoGg,IF('Net zero activities &amp; levers'!$C$14="On",Constants!$H72*'Net zero Activity data'!AI14*Constants!$H90*FracLEACHMM*MMLeachEF*NtoN2O*kgtoGg,"ERROR"))</f>
        <v>6.8438891439814974E-3</v>
      </c>
      <c r="Q1210" s="94">
        <f>IF('Net zero activities &amp; levers'!$C$14="Off",Constants!$H72*'Activity data'!AJ14*Constants!$H90*FracLEACHMM*MMLeachEF*NtoN2O*kgtoGg,IF('Net zero activities &amp; levers'!$C$14="On",Constants!$H72*'Net zero Activity data'!AJ14*Constants!$H90*FracLEACHMM*MMLeachEF*NtoN2O*kgtoGg,"ERROR"))</f>
        <v>6.8863566425632575E-3</v>
      </c>
      <c r="R1210" s="94">
        <f>IF('Net zero activities &amp; levers'!$C$14="Off",Constants!$H72*'Activity data'!AK14*Constants!$H90*FracLEACHMM*MMLeachEF*NtoN2O*kgtoGg,IF('Net zero activities &amp; levers'!$C$14="On",Constants!$H72*'Net zero Activity data'!AK14*Constants!$H90*FracLEACHMM*MMLeachEF*NtoN2O*kgtoGg,"ERROR"))</f>
        <v>6.9316634884048298E-3</v>
      </c>
      <c r="S1210" s="94">
        <f>IF('Net zero activities &amp; levers'!$C$14="Off",Constants!$H72*'Activity data'!AL14*Constants!$H90*FracLEACHMM*MMLeachEF*NtoN2O*kgtoGg,IF('Net zero activities &amp; levers'!$C$14="On",Constants!$H72*'Net zero Activity data'!AL14*Constants!$H90*FracLEACHMM*MMLeachEF*NtoN2O*kgtoGg,"ERROR"))</f>
        <v>6.9727516665736141E-3</v>
      </c>
      <c r="T1210" s="94">
        <f>IF('Net zero activities &amp; levers'!$C$14="Off",Constants!$H72*'Activity data'!AM14*Constants!$H90*FracLEACHMM*MMLeachEF*NtoN2O*kgtoGg,IF('Net zero activities &amp; levers'!$C$14="On",Constants!$H72*'Net zero Activity data'!AM14*Constants!$H90*FracLEACHMM*MMLeachEF*NtoN2O*kgtoGg,"ERROR"))</f>
        <v>6.9928216315679071E-3</v>
      </c>
      <c r="U1210" s="94">
        <f>IF('Net zero activities &amp; levers'!$C$14="Off",Constants!$H72*'Activity data'!AN14*Constants!$H90*FracLEACHMM*MMLeachEF*NtoN2O*kgtoGg,IF('Net zero activities &amp; levers'!$C$14="On",Constants!$H72*'Net zero Activity data'!AN14*Constants!$H90*FracLEACHMM*MMLeachEF*NtoN2O*kgtoGg,"ERROR"))</f>
        <v>7.0158262900129739E-3</v>
      </c>
      <c r="V1210" s="94">
        <f>IF('Net zero activities &amp; levers'!$C$14="Off",Constants!$H72*'Activity data'!AO14*Constants!$H90*FracLEACHMM*MMLeachEF*NtoN2O*kgtoGg,IF('Net zero activities &amp; levers'!$C$14="On",Constants!$H72*'Net zero Activity data'!AO14*Constants!$H90*FracLEACHMM*MMLeachEF*NtoN2O*kgtoGg,"ERROR"))</f>
        <v>7.0392761321003963E-3</v>
      </c>
      <c r="W1210" s="94">
        <f>IF('Net zero activities &amp; levers'!$C$14="Off",Constants!$H72*'Activity data'!AP14*Constants!$H90*FracLEACHMM*MMLeachEF*NtoN2O*kgtoGg,IF('Net zero activities &amp; levers'!$C$14="On",Constants!$H72*'Net zero Activity data'!AP14*Constants!$H90*FracLEACHMM*MMLeachEF*NtoN2O*kgtoGg,"ERROR"))</f>
        <v>7.0647092474634627E-3</v>
      </c>
      <c r="X1210" s="94">
        <f>IF('Net zero activities &amp; levers'!$C$14="Off",Constants!$H72*'Activity data'!AQ14*Constants!$H90*FracLEACHMM*MMLeachEF*NtoN2O*kgtoGg,IF('Net zero activities &amp; levers'!$C$14="On",Constants!$H72*'Net zero Activity data'!AQ14*Constants!$H90*FracLEACHMM*MMLeachEF*NtoN2O*kgtoGg,"ERROR"))</f>
        <v>7.0920836028346328E-3</v>
      </c>
      <c r="Y1210" s="94">
        <f>IF('Net zero activities &amp; levers'!$C$14="Off",Constants!$H72*'Activity data'!AR14*Constants!$H90*FracLEACHMM*MMLeachEF*NtoN2O*kgtoGg,IF('Net zero activities &amp; levers'!$C$14="On",Constants!$H72*'Net zero Activity data'!AR14*Constants!$H90*FracLEACHMM*MMLeachEF*NtoN2O*kgtoGg,"ERROR"))</f>
        <v>7.1096019933720011E-3</v>
      </c>
      <c r="Z1210" s="94">
        <f>IF('Net zero activities &amp; levers'!$C$14="Off",Constants!$H72*'Activity data'!AS14*Constants!$H90*FracLEACHMM*MMLeachEF*NtoN2O*kgtoGg,IF('Net zero activities &amp; levers'!$C$14="On",Constants!$H72*'Net zero Activity data'!AS14*Constants!$H90*FracLEACHMM*MMLeachEF*NtoN2O*kgtoGg,"ERROR"))</f>
        <v>7.1287680842560801E-3</v>
      </c>
      <c r="AA1210" s="94">
        <f>IF('Net zero activities &amp; levers'!$C$14="Off",Constants!$H72*'Activity data'!AT14*Constants!$H90*FracLEACHMM*MMLeachEF*NtoN2O*kgtoGg,IF('Net zero activities &amp; levers'!$C$14="On",Constants!$H72*'Net zero Activity data'!AT14*Constants!$H90*FracLEACHMM*MMLeachEF*NtoN2O*kgtoGg,"ERROR"))</f>
        <v>7.1493577045266439E-3</v>
      </c>
      <c r="AB1210" s="94">
        <f>IF('Net zero activities &amp; levers'!$C$14="Off",Constants!$H72*'Activity data'!AU14*Constants!$H90*FracLEACHMM*MMLeachEF*NtoN2O*kgtoGg,IF('Net zero activities &amp; levers'!$C$14="On",Constants!$H72*'Net zero Activity data'!AU14*Constants!$H90*FracLEACHMM*MMLeachEF*NtoN2O*kgtoGg,"ERROR"))</f>
        <v>7.1714369690296844E-3</v>
      </c>
      <c r="AC1210" s="94">
        <f>IF('Net zero activities &amp; levers'!$C$14="Off",Constants!$H72*'Activity data'!AV14*Constants!$H90*FracLEACHMM*MMLeachEF*NtoN2O*kgtoGg,IF('Net zero activities &amp; levers'!$C$14="On",Constants!$H72*'Net zero Activity data'!AV14*Constants!$H90*FracLEACHMM*MMLeachEF*NtoN2O*kgtoGg,"ERROR"))</f>
        <v>7.1947985576385452E-3</v>
      </c>
      <c r="AD1210" s="94">
        <f>IF('Net zero activities &amp; levers'!$C$14="Off",Constants!$H72*'Activity data'!AW14*Constants!$H90*FracLEACHMM*MMLeachEF*NtoN2O*kgtoGg,IF('Net zero activities &amp; levers'!$C$14="On",Constants!$H72*'Net zero Activity data'!AW14*Constants!$H90*FracLEACHMM*MMLeachEF*NtoN2O*kgtoGg,"ERROR"))</f>
        <v>7.2103780857656428E-3</v>
      </c>
      <c r="AE1210" s="94">
        <f>IF('Net zero activities &amp; levers'!$C$14="Off",Constants!$H72*'Activity data'!AX14*Constants!$H90*FracLEACHMM*MMLeachEF*NtoN2O*kgtoGg,IF('Net zero activities &amp; levers'!$C$14="On",Constants!$H72*'Net zero Activity data'!AX14*Constants!$H90*FracLEACHMM*MMLeachEF*NtoN2O*kgtoGg,"ERROR"))</f>
        <v>7.2269927255056137E-3</v>
      </c>
      <c r="AF1210" s="94">
        <f>IF('Net zero activities &amp; levers'!$C$14="Off",Constants!$H72*'Activity data'!AY14*Constants!$H90*FracLEACHMM*MMLeachEF*NtoN2O*kgtoGg,IF('Net zero activities &amp; levers'!$C$14="On",Constants!$H72*'Net zero Activity data'!AY14*Constants!$H90*FracLEACHMM*MMLeachEF*NtoN2O*kgtoGg,"ERROR"))</f>
        <v>7.2447831108296695E-3</v>
      </c>
      <c r="AG1210" s="94">
        <f>IF('Net zero activities &amp; levers'!$C$14="Off",Constants!$H72*'Activity data'!AZ14*Constants!$H90*FracLEACHMM*MMLeachEF*NtoN2O*kgtoGg,IF('Net zero activities &amp; levers'!$C$14="On",Constants!$H72*'Net zero Activity data'!AZ14*Constants!$H90*FracLEACHMM*MMLeachEF*NtoN2O*kgtoGg,"ERROR"))</f>
        <v>7.2639299335321393E-3</v>
      </c>
      <c r="AH1210" s="94">
        <f>IF('Net zero activities &amp; levers'!$C$14="Off",Constants!$H72*'Activity data'!BA14*Constants!$H90*FracLEACHMM*MMLeachEF*NtoN2O*kgtoGg,IF('Net zero activities &amp; levers'!$C$14="On",Constants!$H72*'Net zero Activity data'!BA14*Constants!$H90*FracLEACHMM*MMLeachEF*NtoN2O*kgtoGg,"ERROR"))</f>
        <v>7.2838547478579095E-3</v>
      </c>
      <c r="AI1210" s="94">
        <f>IF('Net zero activities &amp; levers'!$C$14="Off",Constants!$H72*'Activity data'!BB14*Constants!$H90*FracLEACHMM*MMLeachEF*NtoN2O*kgtoGg,IF('Net zero activities &amp; levers'!$C$14="On",Constants!$H72*'Net zero Activity data'!BB14*Constants!$H90*FracLEACHMM*MMLeachEF*NtoN2O*kgtoGg,"ERROR"))</f>
        <v>7.2961946980108746E-3</v>
      </c>
      <c r="AJ1210" s="94">
        <f>IF('Net zero activities &amp; levers'!$C$14="Off",Constants!$H72*'Activity data'!BC14*Constants!$H90*FracLEACHMM*MMLeachEF*NtoN2O*kgtoGg,IF('Net zero activities &amp; levers'!$C$14="On",Constants!$H72*'Net zero Activity data'!BC14*Constants!$H90*FracLEACHMM*MMLeachEF*NtoN2O*kgtoGg,"ERROR"))</f>
        <v>7.3095857907358557E-3</v>
      </c>
      <c r="AK1210" s="94">
        <f>IF('Net zero activities &amp; levers'!$C$14="Off",Constants!$H72*'Activity data'!BD14*Constants!$H90*FracLEACHMM*MMLeachEF*NtoN2O*kgtoGg,IF('Net zero activities &amp; levers'!$C$14="On",Constants!$H72*'Net zero Activity data'!BD14*Constants!$H90*FracLEACHMM*MMLeachEF*NtoN2O*kgtoGg,"ERROR"))</f>
        <v>7.3235623015146271E-3</v>
      </c>
      <c r="AL1210" s="94">
        <f>IF('Net zero activities &amp; levers'!$C$14="Off",Constants!$H72*'Activity data'!BE14*Constants!$H90*FracLEACHMM*MMLeachEF*NtoN2O*kgtoGg,IF('Net zero activities &amp; levers'!$C$14="On",Constants!$H72*'Net zero Activity data'!BE14*Constants!$H90*FracLEACHMM*MMLeachEF*NtoN2O*kgtoGg,"ERROR"))</f>
        <v>7.3382888694777E-3</v>
      </c>
      <c r="AM1210" s="94">
        <f>IF('Net zero activities &amp; levers'!$C$14="Off",Constants!$H72*'Activity data'!BF14*Constants!$H90*FracLEACHMM*MMLeachEF*NtoN2O*kgtoGg,IF('Net zero activities &amp; levers'!$C$14="On",Constants!$H72*'Net zero Activity data'!BF14*Constants!$H90*FracLEACHMM*MMLeachEF*NtoN2O*kgtoGg,"ERROR"))</f>
        <v>7.3537453319145558E-3</v>
      </c>
      <c r="AN1210" s="94">
        <f>IF('Net zero activities &amp; levers'!$C$14="Off",Constants!$H72*'Activity data'!BG14*Constants!$H90*FracLEACHMM*MMLeachEF*NtoN2O*kgtoGg,IF('Net zero activities &amp; levers'!$C$14="On",Constants!$H72*'Net zero Activity data'!BG14*Constants!$H90*FracLEACHMM*MMLeachEF*NtoN2O*kgtoGg,"ERROR"))</f>
        <v>7.3621897975308988E-3</v>
      </c>
      <c r="AO1210" s="94">
        <f>IF('Net zero activities &amp; levers'!$C$14="Off",Constants!$H72*'Activity data'!BH14*Constants!$H90*FracLEACHMM*MMLeachEF*NtoN2O*kgtoGg,IF('Net zero activities &amp; levers'!$C$14="On",Constants!$H72*'Net zero Activity data'!BH14*Constants!$H90*FracLEACHMM*MMLeachEF*NtoN2O*kgtoGg,"ERROR"))</f>
        <v>7.3711662424514879E-3</v>
      </c>
      <c r="AP1210" s="94">
        <f>IF('Net zero activities &amp; levers'!$C$14="Off",Constants!$H72*'Activity data'!BI14*Constants!$H90*FracLEACHMM*MMLeachEF*NtoN2O*kgtoGg,IF('Net zero activities &amp; levers'!$C$14="On",Constants!$H72*'Net zero Activity data'!BI14*Constants!$H90*FracLEACHMM*MMLeachEF*NtoN2O*kgtoGg,"ERROR"))</f>
        <v>7.3809038103594829E-3</v>
      </c>
      <c r="AQ1210" s="94">
        <f>IF('Net zero activities &amp; levers'!$C$14="Off",Constants!$H72*'Activity data'!BJ14*Constants!$H90*FracLEACHMM*MMLeachEF*NtoN2O*kgtoGg,IF('Net zero activities &amp; levers'!$C$14="On",Constants!$H72*'Net zero Activity data'!BJ14*Constants!$H90*FracLEACHMM*MMLeachEF*NtoN2O*kgtoGg,"ERROR"))</f>
        <v>7.3913932014365797E-3</v>
      </c>
      <c r="AR1210" s="94">
        <f>IF('Net zero activities &amp; levers'!$C$14="Off",Constants!$H72*'Activity data'!BK14*Constants!$H90*FracLEACHMM*MMLeachEF*NtoN2O*kgtoGg,IF('Net zero activities &amp; levers'!$C$14="On",Constants!$H72*'Net zero Activity data'!BK14*Constants!$H90*FracLEACHMM*MMLeachEF*NtoN2O*kgtoGg,"ERROR"))</f>
        <v>7.4026356257536402E-3</v>
      </c>
      <c r="AS1210" s="94">
        <f>IF('Net zero activities &amp; levers'!$C$14="Off",Constants!$H72*'Activity data'!BL14*Constants!$H90*FracLEACHMM*MMLeachEF*NtoN2O*kgtoGg,IF('Net zero activities &amp; levers'!$C$14="On",Constants!$H72*'Net zero Activity data'!BL14*Constants!$H90*FracLEACHMM*MMLeachEF*NtoN2O*kgtoGg,"ERROR"))</f>
        <v>7.4065982371801786E-3</v>
      </c>
      <c r="AT1210" s="94">
        <f>IF('Net zero activities &amp; levers'!$C$14="Off",Constants!$H72*'Activity data'!BM14*Constants!$H90*FracLEACHMM*MMLeachEF*NtoN2O*kgtoGg,IF('Net zero activities &amp; levers'!$C$14="On",Constants!$H72*'Net zero Activity data'!BM14*Constants!$H90*FracLEACHMM*MMLeachEF*NtoN2O*kgtoGg,"ERROR"))</f>
        <v>7.408358033815691E-3</v>
      </c>
      <c r="AU1210" s="94">
        <f>IF('Net zero activities &amp; levers'!$C$14="Off",Constants!$H72*'Activity data'!BN14*Constants!$H90*FracLEACHMM*MMLeachEF*NtoN2O*kgtoGg,IF('Net zero activities &amp; levers'!$C$14="On",Constants!$H72*'Net zero Activity data'!BN14*Constants!$H90*FracLEACHMM*MMLeachEF*NtoN2O*kgtoGg,"ERROR"))</f>
        <v>7.4104038095595542E-3</v>
      </c>
      <c r="AV1210" s="94">
        <f>IF('Net zero activities &amp; levers'!$C$14="Off",Constants!$H72*'Activity data'!BO14*Constants!$H90*FracLEACHMM*MMLeachEF*NtoN2O*kgtoGg,IF('Net zero activities &amp; levers'!$C$14="On",Constants!$H72*'Net zero Activity data'!BO14*Constants!$H90*FracLEACHMM*MMLeachEF*NtoN2O*kgtoGg,"ERROR"))</f>
        <v>7.4126062479386483E-3</v>
      </c>
      <c r="AW1210" s="94">
        <f>IF('Net zero activities &amp; levers'!$C$14="Off",Constants!$H72*'Activity data'!BP14*Constants!$H90*FracLEACHMM*MMLeachEF*NtoN2O*kgtoGg,IF('Net zero activities &amp; levers'!$C$14="On",Constants!$H72*'Net zero Activity data'!BP14*Constants!$H90*FracLEACHMM*MMLeachEF*NtoN2O*kgtoGg,"ERROR"))</f>
        <v>7.4152080772957795E-3</v>
      </c>
      <c r="AY1210" s="79"/>
    </row>
    <row r="1211" spans="1:51" x14ac:dyDescent="0.3">
      <c r="A1211" s="95" t="str">
        <f t="shared" si="380"/>
        <v>CM MM Leaching</v>
      </c>
      <c r="B1211" s="95" t="s">
        <v>1322</v>
      </c>
      <c r="C1211" s="95" t="s">
        <v>1333</v>
      </c>
      <c r="D1211" t="s">
        <v>369</v>
      </c>
      <c r="E1211" t="s">
        <v>64</v>
      </c>
      <c r="F1211" t="s">
        <v>63</v>
      </c>
      <c r="G1211" t="s">
        <v>1172</v>
      </c>
      <c r="H1211" t="s">
        <v>1316</v>
      </c>
      <c r="I1211" t="s">
        <v>139</v>
      </c>
      <c r="J1211" t="s">
        <v>287</v>
      </c>
      <c r="K1211" s="94">
        <f>IF('Net zero activities &amp; levers'!$C$14="Off",Constants!$H73*'Activity data'!AD15*Constants!$H91*FracLEACHMM*MMLeachEF*NtoN2O*kgtoGg,IF('Net zero activities &amp; levers'!$C$14="On",Constants!$H73*'Net zero Activity data'!AD15*Constants!$H91*FracLEACHMM*MMLeachEF*NtoN2O*kgtoGg,"ERROR"))</f>
        <v>0</v>
      </c>
      <c r="L1211" s="94">
        <f>IF('Net zero activities &amp; levers'!$C$14="Off",Constants!$H73*'Activity data'!AE15*Constants!$H91*FracLEACHMM*MMLeachEF*NtoN2O*kgtoGg,IF('Net zero activities &amp; levers'!$C$14="On",Constants!$H73*'Net zero Activity data'!AE15*Constants!$H91*FracLEACHMM*MMLeachEF*NtoN2O*kgtoGg,"ERROR"))</f>
        <v>0</v>
      </c>
      <c r="M1211" s="94">
        <f>IF('Net zero activities &amp; levers'!$C$14="Off",Constants!$H73*'Activity data'!AF15*Constants!$H91*FracLEACHMM*MMLeachEF*NtoN2O*kgtoGg,IF('Net zero activities &amp; levers'!$C$14="On",Constants!$H73*'Net zero Activity data'!AF15*Constants!$H91*FracLEACHMM*MMLeachEF*NtoN2O*kgtoGg,"ERROR"))</f>
        <v>0</v>
      </c>
      <c r="N1211" s="94">
        <f>IF('Net zero activities &amp; levers'!$C$14="Off",Constants!$H73*'Activity data'!AG15*Constants!$H91*FracLEACHMM*MMLeachEF*NtoN2O*kgtoGg,IF('Net zero activities &amp; levers'!$C$14="On",Constants!$H73*'Net zero Activity data'!AG15*Constants!$H91*FracLEACHMM*MMLeachEF*NtoN2O*kgtoGg,"ERROR"))</f>
        <v>0</v>
      </c>
      <c r="O1211" s="94">
        <f>IF('Net zero activities &amp; levers'!$C$14="Off",Constants!$H73*'Activity data'!AH15*Constants!$H91*FracLEACHMM*MMLeachEF*NtoN2O*kgtoGg,IF('Net zero activities &amp; levers'!$C$14="On",Constants!$H73*'Net zero Activity data'!AH15*Constants!$H91*FracLEACHMM*MMLeachEF*NtoN2O*kgtoGg,"ERROR"))</f>
        <v>0</v>
      </c>
      <c r="P1211" s="94">
        <f>IF('Net zero activities &amp; levers'!$C$14="Off",Constants!$H73*'Activity data'!AI15*Constants!$H91*FracLEACHMM*MMLeachEF*NtoN2O*kgtoGg,IF('Net zero activities &amp; levers'!$C$14="On",Constants!$H73*'Net zero Activity data'!AI15*Constants!$H91*FracLEACHMM*MMLeachEF*NtoN2O*kgtoGg,"ERROR"))</f>
        <v>0</v>
      </c>
      <c r="Q1211" s="94">
        <f>IF('Net zero activities &amp; levers'!$C$14="Off",Constants!$H73*'Activity data'!AJ15*Constants!$H91*FracLEACHMM*MMLeachEF*NtoN2O*kgtoGg,IF('Net zero activities &amp; levers'!$C$14="On",Constants!$H73*'Net zero Activity data'!AJ15*Constants!$H91*FracLEACHMM*MMLeachEF*NtoN2O*kgtoGg,"ERROR"))</f>
        <v>0</v>
      </c>
      <c r="R1211" s="94">
        <f>IF('Net zero activities &amp; levers'!$C$14="Off",Constants!$H73*'Activity data'!AK15*Constants!$H91*FracLEACHMM*MMLeachEF*NtoN2O*kgtoGg,IF('Net zero activities &amp; levers'!$C$14="On",Constants!$H73*'Net zero Activity data'!AK15*Constants!$H91*FracLEACHMM*MMLeachEF*NtoN2O*kgtoGg,"ERROR"))</f>
        <v>0</v>
      </c>
      <c r="S1211" s="94">
        <f>IF('Net zero activities &amp; levers'!$C$14="Off",Constants!$H73*'Activity data'!AL15*Constants!$H91*FracLEACHMM*MMLeachEF*NtoN2O*kgtoGg,IF('Net zero activities &amp; levers'!$C$14="On",Constants!$H73*'Net zero Activity data'!AL15*Constants!$H91*FracLEACHMM*MMLeachEF*NtoN2O*kgtoGg,"ERROR"))</f>
        <v>0</v>
      </c>
      <c r="T1211" s="94">
        <f>IF('Net zero activities &amp; levers'!$C$14="Off",Constants!$H73*'Activity data'!AM15*Constants!$H91*FracLEACHMM*MMLeachEF*NtoN2O*kgtoGg,IF('Net zero activities &amp; levers'!$C$14="On",Constants!$H73*'Net zero Activity data'!AM15*Constants!$H91*FracLEACHMM*MMLeachEF*NtoN2O*kgtoGg,"ERROR"))</f>
        <v>0</v>
      </c>
      <c r="U1211" s="94">
        <f>IF('Net zero activities &amp; levers'!$C$14="Off",Constants!$H73*'Activity data'!AN15*Constants!$H91*FracLEACHMM*MMLeachEF*NtoN2O*kgtoGg,IF('Net zero activities &amp; levers'!$C$14="On",Constants!$H73*'Net zero Activity data'!AN15*Constants!$H91*FracLEACHMM*MMLeachEF*NtoN2O*kgtoGg,"ERROR"))</f>
        <v>0</v>
      </c>
      <c r="V1211" s="94">
        <f>IF('Net zero activities &amp; levers'!$C$14="Off",Constants!$H73*'Activity data'!AO15*Constants!$H91*FracLEACHMM*MMLeachEF*NtoN2O*kgtoGg,IF('Net zero activities &amp; levers'!$C$14="On",Constants!$H73*'Net zero Activity data'!AO15*Constants!$H91*FracLEACHMM*MMLeachEF*NtoN2O*kgtoGg,"ERROR"))</f>
        <v>0</v>
      </c>
      <c r="W1211" s="94">
        <f>IF('Net zero activities &amp; levers'!$C$14="Off",Constants!$H73*'Activity data'!AP15*Constants!$H91*FracLEACHMM*MMLeachEF*NtoN2O*kgtoGg,IF('Net zero activities &amp; levers'!$C$14="On",Constants!$H73*'Net zero Activity data'!AP15*Constants!$H91*FracLEACHMM*MMLeachEF*NtoN2O*kgtoGg,"ERROR"))</f>
        <v>0</v>
      </c>
      <c r="X1211" s="94">
        <f>IF('Net zero activities &amp; levers'!$C$14="Off",Constants!$H73*'Activity data'!AQ15*Constants!$H91*FracLEACHMM*MMLeachEF*NtoN2O*kgtoGg,IF('Net zero activities &amp; levers'!$C$14="On",Constants!$H73*'Net zero Activity data'!AQ15*Constants!$H91*FracLEACHMM*MMLeachEF*NtoN2O*kgtoGg,"ERROR"))</f>
        <v>0</v>
      </c>
      <c r="Y1211" s="94">
        <f>IF('Net zero activities &amp; levers'!$C$14="Off",Constants!$H73*'Activity data'!AR15*Constants!$H91*FracLEACHMM*MMLeachEF*NtoN2O*kgtoGg,IF('Net zero activities &amp; levers'!$C$14="On",Constants!$H73*'Net zero Activity data'!AR15*Constants!$H91*FracLEACHMM*MMLeachEF*NtoN2O*kgtoGg,"ERROR"))</f>
        <v>0</v>
      </c>
      <c r="Z1211" s="94">
        <f>IF('Net zero activities &amp; levers'!$C$14="Off",Constants!$H73*'Activity data'!AS15*Constants!$H91*FracLEACHMM*MMLeachEF*NtoN2O*kgtoGg,IF('Net zero activities &amp; levers'!$C$14="On",Constants!$H73*'Net zero Activity data'!AS15*Constants!$H91*FracLEACHMM*MMLeachEF*NtoN2O*kgtoGg,"ERROR"))</f>
        <v>0</v>
      </c>
      <c r="AA1211" s="94">
        <f>IF('Net zero activities &amp; levers'!$C$14="Off",Constants!$H73*'Activity data'!AT15*Constants!$H91*FracLEACHMM*MMLeachEF*NtoN2O*kgtoGg,IF('Net zero activities &amp; levers'!$C$14="On",Constants!$H73*'Net zero Activity data'!AT15*Constants!$H91*FracLEACHMM*MMLeachEF*NtoN2O*kgtoGg,"ERROR"))</f>
        <v>0</v>
      </c>
      <c r="AB1211" s="94">
        <f>IF('Net zero activities &amp; levers'!$C$14="Off",Constants!$H73*'Activity data'!AU15*Constants!$H91*FracLEACHMM*MMLeachEF*NtoN2O*kgtoGg,IF('Net zero activities &amp; levers'!$C$14="On",Constants!$H73*'Net zero Activity data'!AU15*Constants!$H91*FracLEACHMM*MMLeachEF*NtoN2O*kgtoGg,"ERROR"))</f>
        <v>0</v>
      </c>
      <c r="AC1211" s="94">
        <f>IF('Net zero activities &amp; levers'!$C$14="Off",Constants!$H73*'Activity data'!AV15*Constants!$H91*FracLEACHMM*MMLeachEF*NtoN2O*kgtoGg,IF('Net zero activities &amp; levers'!$C$14="On",Constants!$H73*'Net zero Activity data'!AV15*Constants!$H91*FracLEACHMM*MMLeachEF*NtoN2O*kgtoGg,"ERROR"))</f>
        <v>0</v>
      </c>
      <c r="AD1211" s="94">
        <f>IF('Net zero activities &amp; levers'!$C$14="Off",Constants!$H73*'Activity data'!AW15*Constants!$H91*FracLEACHMM*MMLeachEF*NtoN2O*kgtoGg,IF('Net zero activities &amp; levers'!$C$14="On",Constants!$H73*'Net zero Activity data'!AW15*Constants!$H91*FracLEACHMM*MMLeachEF*NtoN2O*kgtoGg,"ERROR"))</f>
        <v>0</v>
      </c>
      <c r="AE1211" s="94">
        <f>IF('Net zero activities &amp; levers'!$C$14="Off",Constants!$H73*'Activity data'!AX15*Constants!$H91*FracLEACHMM*MMLeachEF*NtoN2O*kgtoGg,IF('Net zero activities &amp; levers'!$C$14="On",Constants!$H73*'Net zero Activity data'!AX15*Constants!$H91*FracLEACHMM*MMLeachEF*NtoN2O*kgtoGg,"ERROR"))</f>
        <v>0</v>
      </c>
      <c r="AF1211" s="94">
        <f>IF('Net zero activities &amp; levers'!$C$14="Off",Constants!$H73*'Activity data'!AY15*Constants!$H91*FracLEACHMM*MMLeachEF*NtoN2O*kgtoGg,IF('Net zero activities &amp; levers'!$C$14="On",Constants!$H73*'Net zero Activity data'!AY15*Constants!$H91*FracLEACHMM*MMLeachEF*NtoN2O*kgtoGg,"ERROR"))</f>
        <v>0</v>
      </c>
      <c r="AG1211" s="94">
        <f>IF('Net zero activities &amp; levers'!$C$14="Off",Constants!$H73*'Activity data'!AZ15*Constants!$H91*FracLEACHMM*MMLeachEF*NtoN2O*kgtoGg,IF('Net zero activities &amp; levers'!$C$14="On",Constants!$H73*'Net zero Activity data'!AZ15*Constants!$H91*FracLEACHMM*MMLeachEF*NtoN2O*kgtoGg,"ERROR"))</f>
        <v>0</v>
      </c>
      <c r="AH1211" s="94">
        <f>IF('Net zero activities &amp; levers'!$C$14="Off",Constants!$H73*'Activity data'!BA15*Constants!$H91*FracLEACHMM*MMLeachEF*NtoN2O*kgtoGg,IF('Net zero activities &amp; levers'!$C$14="On",Constants!$H73*'Net zero Activity data'!BA15*Constants!$H91*FracLEACHMM*MMLeachEF*NtoN2O*kgtoGg,"ERROR"))</f>
        <v>0</v>
      </c>
      <c r="AI1211" s="94">
        <f>IF('Net zero activities &amp; levers'!$C$14="Off",Constants!$H73*'Activity data'!BB15*Constants!$H91*FracLEACHMM*MMLeachEF*NtoN2O*kgtoGg,IF('Net zero activities &amp; levers'!$C$14="On",Constants!$H73*'Net zero Activity data'!BB15*Constants!$H91*FracLEACHMM*MMLeachEF*NtoN2O*kgtoGg,"ERROR"))</f>
        <v>0</v>
      </c>
      <c r="AJ1211" s="94">
        <f>IF('Net zero activities &amp; levers'!$C$14="Off",Constants!$H73*'Activity data'!BC15*Constants!$H91*FracLEACHMM*MMLeachEF*NtoN2O*kgtoGg,IF('Net zero activities &amp; levers'!$C$14="On",Constants!$H73*'Net zero Activity data'!BC15*Constants!$H91*FracLEACHMM*MMLeachEF*NtoN2O*kgtoGg,"ERROR"))</f>
        <v>0</v>
      </c>
      <c r="AK1211" s="94">
        <f>IF('Net zero activities &amp; levers'!$C$14="Off",Constants!$H73*'Activity data'!BD15*Constants!$H91*FracLEACHMM*MMLeachEF*NtoN2O*kgtoGg,IF('Net zero activities &amp; levers'!$C$14="On",Constants!$H73*'Net zero Activity data'!BD15*Constants!$H91*FracLEACHMM*MMLeachEF*NtoN2O*kgtoGg,"ERROR"))</f>
        <v>0</v>
      </c>
      <c r="AL1211" s="94">
        <f>IF('Net zero activities &amp; levers'!$C$14="Off",Constants!$H73*'Activity data'!BE15*Constants!$H91*FracLEACHMM*MMLeachEF*NtoN2O*kgtoGg,IF('Net zero activities &amp; levers'!$C$14="On",Constants!$H73*'Net zero Activity data'!BE15*Constants!$H91*FracLEACHMM*MMLeachEF*NtoN2O*kgtoGg,"ERROR"))</f>
        <v>0</v>
      </c>
      <c r="AM1211" s="94">
        <f>IF('Net zero activities &amp; levers'!$C$14="Off",Constants!$H73*'Activity data'!BF15*Constants!$H91*FracLEACHMM*MMLeachEF*NtoN2O*kgtoGg,IF('Net zero activities &amp; levers'!$C$14="On",Constants!$H73*'Net zero Activity data'!BF15*Constants!$H91*FracLEACHMM*MMLeachEF*NtoN2O*kgtoGg,"ERROR"))</f>
        <v>0</v>
      </c>
      <c r="AN1211" s="94">
        <f>IF('Net zero activities &amp; levers'!$C$14="Off",Constants!$H73*'Activity data'!BG15*Constants!$H91*FracLEACHMM*MMLeachEF*NtoN2O*kgtoGg,IF('Net zero activities &amp; levers'!$C$14="On",Constants!$H73*'Net zero Activity data'!BG15*Constants!$H91*FracLEACHMM*MMLeachEF*NtoN2O*kgtoGg,"ERROR"))</f>
        <v>0</v>
      </c>
      <c r="AO1211" s="94">
        <f>IF('Net zero activities &amp; levers'!$C$14="Off",Constants!$H73*'Activity data'!BH15*Constants!$H91*FracLEACHMM*MMLeachEF*NtoN2O*kgtoGg,IF('Net zero activities &amp; levers'!$C$14="On",Constants!$H73*'Net zero Activity data'!BH15*Constants!$H91*FracLEACHMM*MMLeachEF*NtoN2O*kgtoGg,"ERROR"))</f>
        <v>0</v>
      </c>
      <c r="AP1211" s="94">
        <f>IF('Net zero activities &amp; levers'!$C$14="Off",Constants!$H73*'Activity data'!BI15*Constants!$H91*FracLEACHMM*MMLeachEF*NtoN2O*kgtoGg,IF('Net zero activities &amp; levers'!$C$14="On",Constants!$H73*'Net zero Activity data'!BI15*Constants!$H91*FracLEACHMM*MMLeachEF*NtoN2O*kgtoGg,"ERROR"))</f>
        <v>0</v>
      </c>
      <c r="AQ1211" s="94">
        <f>IF('Net zero activities &amp; levers'!$C$14="Off",Constants!$H73*'Activity data'!BJ15*Constants!$H91*FracLEACHMM*MMLeachEF*NtoN2O*kgtoGg,IF('Net zero activities &amp; levers'!$C$14="On",Constants!$H73*'Net zero Activity data'!BJ15*Constants!$H91*FracLEACHMM*MMLeachEF*NtoN2O*kgtoGg,"ERROR"))</f>
        <v>0</v>
      </c>
      <c r="AR1211" s="94">
        <f>IF('Net zero activities &amp; levers'!$C$14="Off",Constants!$H73*'Activity data'!BK15*Constants!$H91*FracLEACHMM*MMLeachEF*NtoN2O*kgtoGg,IF('Net zero activities &amp; levers'!$C$14="On",Constants!$H73*'Net zero Activity data'!BK15*Constants!$H91*FracLEACHMM*MMLeachEF*NtoN2O*kgtoGg,"ERROR"))</f>
        <v>0</v>
      </c>
      <c r="AS1211" s="94">
        <f>IF('Net zero activities &amp; levers'!$C$14="Off",Constants!$H73*'Activity data'!BL15*Constants!$H91*FracLEACHMM*MMLeachEF*NtoN2O*kgtoGg,IF('Net zero activities &amp; levers'!$C$14="On",Constants!$H73*'Net zero Activity data'!BL15*Constants!$H91*FracLEACHMM*MMLeachEF*NtoN2O*kgtoGg,"ERROR"))</f>
        <v>0</v>
      </c>
      <c r="AT1211" s="94">
        <f>IF('Net zero activities &amp; levers'!$C$14="Off",Constants!$H73*'Activity data'!BM15*Constants!$H91*FracLEACHMM*MMLeachEF*NtoN2O*kgtoGg,IF('Net zero activities &amp; levers'!$C$14="On",Constants!$H73*'Net zero Activity data'!BM15*Constants!$H91*FracLEACHMM*MMLeachEF*NtoN2O*kgtoGg,"ERROR"))</f>
        <v>0</v>
      </c>
      <c r="AU1211" s="94">
        <f>IF('Net zero activities &amp; levers'!$C$14="Off",Constants!$H73*'Activity data'!BN15*Constants!$H91*FracLEACHMM*MMLeachEF*NtoN2O*kgtoGg,IF('Net zero activities &amp; levers'!$C$14="On",Constants!$H73*'Net zero Activity data'!BN15*Constants!$H91*FracLEACHMM*MMLeachEF*NtoN2O*kgtoGg,"ERROR"))</f>
        <v>0</v>
      </c>
      <c r="AV1211" s="94">
        <f>IF('Net zero activities &amp; levers'!$C$14="Off",Constants!$H73*'Activity data'!BO15*Constants!$H91*FracLEACHMM*MMLeachEF*NtoN2O*kgtoGg,IF('Net zero activities &amp; levers'!$C$14="On",Constants!$H73*'Net zero Activity data'!BO15*Constants!$H91*FracLEACHMM*MMLeachEF*NtoN2O*kgtoGg,"ERROR"))</f>
        <v>0</v>
      </c>
      <c r="AW1211" s="94">
        <f>IF('Net zero activities &amp; levers'!$C$14="Off",Constants!$H73*'Activity data'!BP15*Constants!$H91*FracLEACHMM*MMLeachEF*NtoN2O*kgtoGg,IF('Net zero activities &amp; levers'!$C$14="On",Constants!$H73*'Net zero Activity data'!BP15*Constants!$H91*FracLEACHMM*MMLeachEF*NtoN2O*kgtoGg,"ERROR"))</f>
        <v>0</v>
      </c>
      <c r="AY1211" s="79"/>
    </row>
    <row r="1212" spans="1:51" x14ac:dyDescent="0.3">
      <c r="A1212" s="95" t="str">
        <f t="shared" si="380"/>
        <v>CM MM Leaching</v>
      </c>
      <c r="B1212" s="95" t="s">
        <v>1322</v>
      </c>
      <c r="C1212" s="95" t="s">
        <v>1333</v>
      </c>
      <c r="D1212" t="s">
        <v>369</v>
      </c>
      <c r="E1212" t="s">
        <v>64</v>
      </c>
      <c r="F1212" t="s">
        <v>63</v>
      </c>
      <c r="G1212" t="s">
        <v>1174</v>
      </c>
      <c r="H1212" t="s">
        <v>1317</v>
      </c>
      <c r="I1212" t="s">
        <v>139</v>
      </c>
      <c r="J1212" t="s">
        <v>287</v>
      </c>
      <c r="K1212" s="94">
        <f>IF('Net zero activities &amp; levers'!$C$14="Off",Constants!$H74*'Activity data'!AD16*Constants!$H92*FracLEACHMM*MMLeachEF*NtoN2O*kgtoGg,IF('Net zero activities &amp; levers'!$C$14="On",Constants!$H74*'Net zero Activity data'!AD16*Constants!$H92*FracLEACHMM*MMLeachEF*NtoN2O*kgtoGg,"ERROR"))</f>
        <v>0</v>
      </c>
      <c r="L1212" s="94">
        <f>IF('Net zero activities &amp; levers'!$C$14="Off",Constants!$H74*'Activity data'!AE16*Constants!$H92*FracLEACHMM*MMLeachEF*NtoN2O*kgtoGg,IF('Net zero activities &amp; levers'!$C$14="On",Constants!$H74*'Net zero Activity data'!AE16*Constants!$H92*FracLEACHMM*MMLeachEF*NtoN2O*kgtoGg,"ERROR"))</f>
        <v>0</v>
      </c>
      <c r="M1212" s="94">
        <f>IF('Net zero activities &amp; levers'!$C$14="Off",Constants!$H74*'Activity data'!AF16*Constants!$H92*FracLEACHMM*MMLeachEF*NtoN2O*kgtoGg,IF('Net zero activities &amp; levers'!$C$14="On",Constants!$H74*'Net zero Activity data'!AF16*Constants!$H92*FracLEACHMM*MMLeachEF*NtoN2O*kgtoGg,"ERROR"))</f>
        <v>0</v>
      </c>
      <c r="N1212" s="94">
        <f>IF('Net zero activities &amp; levers'!$C$14="Off",Constants!$H74*'Activity data'!AG16*Constants!$H92*FracLEACHMM*MMLeachEF*NtoN2O*kgtoGg,IF('Net zero activities &amp; levers'!$C$14="On",Constants!$H74*'Net zero Activity data'!AG16*Constants!$H92*FracLEACHMM*MMLeachEF*NtoN2O*kgtoGg,"ERROR"))</f>
        <v>0</v>
      </c>
      <c r="O1212" s="94">
        <f>IF('Net zero activities &amp; levers'!$C$14="Off",Constants!$H74*'Activity data'!AH16*Constants!$H92*FracLEACHMM*MMLeachEF*NtoN2O*kgtoGg,IF('Net zero activities &amp; levers'!$C$14="On",Constants!$H74*'Net zero Activity data'!AH16*Constants!$H92*FracLEACHMM*MMLeachEF*NtoN2O*kgtoGg,"ERROR"))</f>
        <v>0</v>
      </c>
      <c r="P1212" s="94">
        <f>IF('Net zero activities &amp; levers'!$C$14="Off",Constants!$H74*'Activity data'!AI16*Constants!$H92*FracLEACHMM*MMLeachEF*NtoN2O*kgtoGg,IF('Net zero activities &amp; levers'!$C$14="On",Constants!$H74*'Net zero Activity data'!AI16*Constants!$H92*FracLEACHMM*MMLeachEF*NtoN2O*kgtoGg,"ERROR"))</f>
        <v>0</v>
      </c>
      <c r="Q1212" s="94">
        <f>IF('Net zero activities &amp; levers'!$C$14="Off",Constants!$H74*'Activity data'!AJ16*Constants!$H92*FracLEACHMM*MMLeachEF*NtoN2O*kgtoGg,IF('Net zero activities &amp; levers'!$C$14="On",Constants!$H74*'Net zero Activity data'!AJ16*Constants!$H92*FracLEACHMM*MMLeachEF*NtoN2O*kgtoGg,"ERROR"))</f>
        <v>0</v>
      </c>
      <c r="R1212" s="94">
        <f>IF('Net zero activities &amp; levers'!$C$14="Off",Constants!$H74*'Activity data'!AK16*Constants!$H92*FracLEACHMM*MMLeachEF*NtoN2O*kgtoGg,IF('Net zero activities &amp; levers'!$C$14="On",Constants!$H74*'Net zero Activity data'!AK16*Constants!$H92*FracLEACHMM*MMLeachEF*NtoN2O*kgtoGg,"ERROR"))</f>
        <v>0</v>
      </c>
      <c r="S1212" s="94">
        <f>IF('Net zero activities &amp; levers'!$C$14="Off",Constants!$H74*'Activity data'!AL16*Constants!$H92*FracLEACHMM*MMLeachEF*NtoN2O*kgtoGg,IF('Net zero activities &amp; levers'!$C$14="On",Constants!$H74*'Net zero Activity data'!AL16*Constants!$H92*FracLEACHMM*MMLeachEF*NtoN2O*kgtoGg,"ERROR"))</f>
        <v>0</v>
      </c>
      <c r="T1212" s="94">
        <f>IF('Net zero activities &amp; levers'!$C$14="Off",Constants!$H74*'Activity data'!AM16*Constants!$H92*FracLEACHMM*MMLeachEF*NtoN2O*kgtoGg,IF('Net zero activities &amp; levers'!$C$14="On",Constants!$H74*'Net zero Activity data'!AM16*Constants!$H92*FracLEACHMM*MMLeachEF*NtoN2O*kgtoGg,"ERROR"))</f>
        <v>0</v>
      </c>
      <c r="U1212" s="94">
        <f>IF('Net zero activities &amp; levers'!$C$14="Off",Constants!$H74*'Activity data'!AN16*Constants!$H92*FracLEACHMM*MMLeachEF*NtoN2O*kgtoGg,IF('Net zero activities &amp; levers'!$C$14="On",Constants!$H74*'Net zero Activity data'!AN16*Constants!$H92*FracLEACHMM*MMLeachEF*NtoN2O*kgtoGg,"ERROR"))</f>
        <v>0</v>
      </c>
      <c r="V1212" s="94">
        <f>IF('Net zero activities &amp; levers'!$C$14="Off",Constants!$H74*'Activity data'!AO16*Constants!$H92*FracLEACHMM*MMLeachEF*NtoN2O*kgtoGg,IF('Net zero activities &amp; levers'!$C$14="On",Constants!$H74*'Net zero Activity data'!AO16*Constants!$H92*FracLEACHMM*MMLeachEF*NtoN2O*kgtoGg,"ERROR"))</f>
        <v>0</v>
      </c>
      <c r="W1212" s="94">
        <f>IF('Net zero activities &amp; levers'!$C$14="Off",Constants!$H74*'Activity data'!AP16*Constants!$H92*FracLEACHMM*MMLeachEF*NtoN2O*kgtoGg,IF('Net zero activities &amp; levers'!$C$14="On",Constants!$H74*'Net zero Activity data'!AP16*Constants!$H92*FracLEACHMM*MMLeachEF*NtoN2O*kgtoGg,"ERROR"))</f>
        <v>0</v>
      </c>
      <c r="X1212" s="94">
        <f>IF('Net zero activities &amp; levers'!$C$14="Off",Constants!$H74*'Activity data'!AQ16*Constants!$H92*FracLEACHMM*MMLeachEF*NtoN2O*kgtoGg,IF('Net zero activities &amp; levers'!$C$14="On",Constants!$H74*'Net zero Activity data'!AQ16*Constants!$H92*FracLEACHMM*MMLeachEF*NtoN2O*kgtoGg,"ERROR"))</f>
        <v>0</v>
      </c>
      <c r="Y1212" s="94">
        <f>IF('Net zero activities &amp; levers'!$C$14="Off",Constants!$H74*'Activity data'!AR16*Constants!$H92*FracLEACHMM*MMLeachEF*NtoN2O*kgtoGg,IF('Net zero activities &amp; levers'!$C$14="On",Constants!$H74*'Net zero Activity data'!AR16*Constants!$H92*FracLEACHMM*MMLeachEF*NtoN2O*kgtoGg,"ERROR"))</f>
        <v>0</v>
      </c>
      <c r="Z1212" s="94">
        <f>IF('Net zero activities &amp; levers'!$C$14="Off",Constants!$H74*'Activity data'!AS16*Constants!$H92*FracLEACHMM*MMLeachEF*NtoN2O*kgtoGg,IF('Net zero activities &amp; levers'!$C$14="On",Constants!$H74*'Net zero Activity data'!AS16*Constants!$H92*FracLEACHMM*MMLeachEF*NtoN2O*kgtoGg,"ERROR"))</f>
        <v>0</v>
      </c>
      <c r="AA1212" s="94">
        <f>IF('Net zero activities &amp; levers'!$C$14="Off",Constants!$H74*'Activity data'!AT16*Constants!$H92*FracLEACHMM*MMLeachEF*NtoN2O*kgtoGg,IF('Net zero activities &amp; levers'!$C$14="On",Constants!$H74*'Net zero Activity data'!AT16*Constants!$H92*FracLEACHMM*MMLeachEF*NtoN2O*kgtoGg,"ERROR"))</f>
        <v>0</v>
      </c>
      <c r="AB1212" s="94">
        <f>IF('Net zero activities &amp; levers'!$C$14="Off",Constants!$H74*'Activity data'!AU16*Constants!$H92*FracLEACHMM*MMLeachEF*NtoN2O*kgtoGg,IF('Net zero activities &amp; levers'!$C$14="On",Constants!$H74*'Net zero Activity data'!AU16*Constants!$H92*FracLEACHMM*MMLeachEF*NtoN2O*kgtoGg,"ERROR"))</f>
        <v>0</v>
      </c>
      <c r="AC1212" s="94">
        <f>IF('Net zero activities &amp; levers'!$C$14="Off",Constants!$H74*'Activity data'!AV16*Constants!$H92*FracLEACHMM*MMLeachEF*NtoN2O*kgtoGg,IF('Net zero activities &amp; levers'!$C$14="On",Constants!$H74*'Net zero Activity data'!AV16*Constants!$H92*FracLEACHMM*MMLeachEF*NtoN2O*kgtoGg,"ERROR"))</f>
        <v>0</v>
      </c>
      <c r="AD1212" s="94">
        <f>IF('Net zero activities &amp; levers'!$C$14="Off",Constants!$H74*'Activity data'!AW16*Constants!$H92*FracLEACHMM*MMLeachEF*NtoN2O*kgtoGg,IF('Net zero activities &amp; levers'!$C$14="On",Constants!$H74*'Net zero Activity data'!AW16*Constants!$H92*FracLEACHMM*MMLeachEF*NtoN2O*kgtoGg,"ERROR"))</f>
        <v>0</v>
      </c>
      <c r="AE1212" s="94">
        <f>IF('Net zero activities &amp; levers'!$C$14="Off",Constants!$H74*'Activity data'!AX16*Constants!$H92*FracLEACHMM*MMLeachEF*NtoN2O*kgtoGg,IF('Net zero activities &amp; levers'!$C$14="On",Constants!$H74*'Net zero Activity data'!AX16*Constants!$H92*FracLEACHMM*MMLeachEF*NtoN2O*kgtoGg,"ERROR"))</f>
        <v>0</v>
      </c>
      <c r="AF1212" s="94">
        <f>IF('Net zero activities &amp; levers'!$C$14="Off",Constants!$H74*'Activity data'!AY16*Constants!$H92*FracLEACHMM*MMLeachEF*NtoN2O*kgtoGg,IF('Net zero activities &amp; levers'!$C$14="On",Constants!$H74*'Net zero Activity data'!AY16*Constants!$H92*FracLEACHMM*MMLeachEF*NtoN2O*kgtoGg,"ERROR"))</f>
        <v>0</v>
      </c>
      <c r="AG1212" s="94">
        <f>IF('Net zero activities &amp; levers'!$C$14="Off",Constants!$H74*'Activity data'!AZ16*Constants!$H92*FracLEACHMM*MMLeachEF*NtoN2O*kgtoGg,IF('Net zero activities &amp; levers'!$C$14="On",Constants!$H74*'Net zero Activity data'!AZ16*Constants!$H92*FracLEACHMM*MMLeachEF*NtoN2O*kgtoGg,"ERROR"))</f>
        <v>0</v>
      </c>
      <c r="AH1212" s="94">
        <f>IF('Net zero activities &amp; levers'!$C$14="Off",Constants!$H74*'Activity data'!BA16*Constants!$H92*FracLEACHMM*MMLeachEF*NtoN2O*kgtoGg,IF('Net zero activities &amp; levers'!$C$14="On",Constants!$H74*'Net zero Activity data'!BA16*Constants!$H92*FracLEACHMM*MMLeachEF*NtoN2O*kgtoGg,"ERROR"))</f>
        <v>0</v>
      </c>
      <c r="AI1212" s="94">
        <f>IF('Net zero activities &amp; levers'!$C$14="Off",Constants!$H74*'Activity data'!BB16*Constants!$H92*FracLEACHMM*MMLeachEF*NtoN2O*kgtoGg,IF('Net zero activities &amp; levers'!$C$14="On",Constants!$H74*'Net zero Activity data'!BB16*Constants!$H92*FracLEACHMM*MMLeachEF*NtoN2O*kgtoGg,"ERROR"))</f>
        <v>0</v>
      </c>
      <c r="AJ1212" s="94">
        <f>IF('Net zero activities &amp; levers'!$C$14="Off",Constants!$H74*'Activity data'!BC16*Constants!$H92*FracLEACHMM*MMLeachEF*NtoN2O*kgtoGg,IF('Net zero activities &amp; levers'!$C$14="On",Constants!$H74*'Net zero Activity data'!BC16*Constants!$H92*FracLEACHMM*MMLeachEF*NtoN2O*kgtoGg,"ERROR"))</f>
        <v>0</v>
      </c>
      <c r="AK1212" s="94">
        <f>IF('Net zero activities &amp; levers'!$C$14="Off",Constants!$H74*'Activity data'!BD16*Constants!$H92*FracLEACHMM*MMLeachEF*NtoN2O*kgtoGg,IF('Net zero activities &amp; levers'!$C$14="On",Constants!$H74*'Net zero Activity data'!BD16*Constants!$H92*FracLEACHMM*MMLeachEF*NtoN2O*kgtoGg,"ERROR"))</f>
        <v>0</v>
      </c>
      <c r="AL1212" s="94">
        <f>IF('Net zero activities &amp; levers'!$C$14="Off",Constants!$H74*'Activity data'!BE16*Constants!$H92*FracLEACHMM*MMLeachEF*NtoN2O*kgtoGg,IF('Net zero activities &amp; levers'!$C$14="On",Constants!$H74*'Net zero Activity data'!BE16*Constants!$H92*FracLEACHMM*MMLeachEF*NtoN2O*kgtoGg,"ERROR"))</f>
        <v>0</v>
      </c>
      <c r="AM1212" s="94">
        <f>IF('Net zero activities &amp; levers'!$C$14="Off",Constants!$H74*'Activity data'!BF16*Constants!$H92*FracLEACHMM*MMLeachEF*NtoN2O*kgtoGg,IF('Net zero activities &amp; levers'!$C$14="On",Constants!$H74*'Net zero Activity data'!BF16*Constants!$H92*FracLEACHMM*MMLeachEF*NtoN2O*kgtoGg,"ERROR"))</f>
        <v>0</v>
      </c>
      <c r="AN1212" s="94">
        <f>IF('Net zero activities &amp; levers'!$C$14="Off",Constants!$H74*'Activity data'!BG16*Constants!$H92*FracLEACHMM*MMLeachEF*NtoN2O*kgtoGg,IF('Net zero activities &amp; levers'!$C$14="On",Constants!$H74*'Net zero Activity data'!BG16*Constants!$H92*FracLEACHMM*MMLeachEF*NtoN2O*kgtoGg,"ERROR"))</f>
        <v>0</v>
      </c>
      <c r="AO1212" s="94">
        <f>IF('Net zero activities &amp; levers'!$C$14="Off",Constants!$H74*'Activity data'!BH16*Constants!$H92*FracLEACHMM*MMLeachEF*NtoN2O*kgtoGg,IF('Net zero activities &amp; levers'!$C$14="On",Constants!$H74*'Net zero Activity data'!BH16*Constants!$H92*FracLEACHMM*MMLeachEF*NtoN2O*kgtoGg,"ERROR"))</f>
        <v>0</v>
      </c>
      <c r="AP1212" s="94">
        <f>IF('Net zero activities &amp; levers'!$C$14="Off",Constants!$H74*'Activity data'!BI16*Constants!$H92*FracLEACHMM*MMLeachEF*NtoN2O*kgtoGg,IF('Net zero activities &amp; levers'!$C$14="On",Constants!$H74*'Net zero Activity data'!BI16*Constants!$H92*FracLEACHMM*MMLeachEF*NtoN2O*kgtoGg,"ERROR"))</f>
        <v>0</v>
      </c>
      <c r="AQ1212" s="94">
        <f>IF('Net zero activities &amp; levers'!$C$14="Off",Constants!$H74*'Activity data'!BJ16*Constants!$H92*FracLEACHMM*MMLeachEF*NtoN2O*kgtoGg,IF('Net zero activities &amp; levers'!$C$14="On",Constants!$H74*'Net zero Activity data'!BJ16*Constants!$H92*FracLEACHMM*MMLeachEF*NtoN2O*kgtoGg,"ERROR"))</f>
        <v>0</v>
      </c>
      <c r="AR1212" s="94">
        <f>IF('Net zero activities &amp; levers'!$C$14="Off",Constants!$H74*'Activity data'!BK16*Constants!$H92*FracLEACHMM*MMLeachEF*NtoN2O*kgtoGg,IF('Net zero activities &amp; levers'!$C$14="On",Constants!$H74*'Net zero Activity data'!BK16*Constants!$H92*FracLEACHMM*MMLeachEF*NtoN2O*kgtoGg,"ERROR"))</f>
        <v>0</v>
      </c>
      <c r="AS1212" s="94">
        <f>IF('Net zero activities &amp; levers'!$C$14="Off",Constants!$H74*'Activity data'!BL16*Constants!$H92*FracLEACHMM*MMLeachEF*NtoN2O*kgtoGg,IF('Net zero activities &amp; levers'!$C$14="On",Constants!$H74*'Net zero Activity data'!BL16*Constants!$H92*FracLEACHMM*MMLeachEF*NtoN2O*kgtoGg,"ERROR"))</f>
        <v>0</v>
      </c>
      <c r="AT1212" s="94">
        <f>IF('Net zero activities &amp; levers'!$C$14="Off",Constants!$H74*'Activity data'!BM16*Constants!$H92*FracLEACHMM*MMLeachEF*NtoN2O*kgtoGg,IF('Net zero activities &amp; levers'!$C$14="On",Constants!$H74*'Net zero Activity data'!BM16*Constants!$H92*FracLEACHMM*MMLeachEF*NtoN2O*kgtoGg,"ERROR"))</f>
        <v>0</v>
      </c>
      <c r="AU1212" s="94">
        <f>IF('Net zero activities &amp; levers'!$C$14="Off",Constants!$H74*'Activity data'!BN16*Constants!$H92*FracLEACHMM*MMLeachEF*NtoN2O*kgtoGg,IF('Net zero activities &amp; levers'!$C$14="On",Constants!$H74*'Net zero Activity data'!BN16*Constants!$H92*FracLEACHMM*MMLeachEF*NtoN2O*kgtoGg,"ERROR"))</f>
        <v>0</v>
      </c>
      <c r="AV1212" s="94">
        <f>IF('Net zero activities &amp; levers'!$C$14="Off",Constants!$H74*'Activity data'!BO16*Constants!$H92*FracLEACHMM*MMLeachEF*NtoN2O*kgtoGg,IF('Net zero activities &amp; levers'!$C$14="On",Constants!$H74*'Net zero Activity data'!BO16*Constants!$H92*FracLEACHMM*MMLeachEF*NtoN2O*kgtoGg,"ERROR"))</f>
        <v>0</v>
      </c>
      <c r="AW1212" s="94">
        <f>IF('Net zero activities &amp; levers'!$C$14="Off",Constants!$H74*'Activity data'!BP16*Constants!$H92*FracLEACHMM*MMLeachEF*NtoN2O*kgtoGg,IF('Net zero activities &amp; levers'!$C$14="On",Constants!$H74*'Net zero Activity data'!BP16*Constants!$H92*FracLEACHMM*MMLeachEF*NtoN2O*kgtoGg,"ERROR"))</f>
        <v>0</v>
      </c>
      <c r="AY1212" s="79"/>
    </row>
    <row r="1213" spans="1:51" x14ac:dyDescent="0.3">
      <c r="A1213" s="95" t="str">
        <f t="shared" si="380"/>
        <v>CM MM Leaching</v>
      </c>
      <c r="B1213" s="95" t="s">
        <v>1322</v>
      </c>
      <c r="C1213" s="95" t="s">
        <v>1333</v>
      </c>
      <c r="D1213" t="s">
        <v>369</v>
      </c>
      <c r="E1213" t="s">
        <v>64</v>
      </c>
      <c r="F1213" t="s">
        <v>63</v>
      </c>
      <c r="G1213" t="s">
        <v>1176</v>
      </c>
      <c r="H1213" t="s">
        <v>1318</v>
      </c>
      <c r="I1213" t="s">
        <v>139</v>
      </c>
      <c r="J1213" t="s">
        <v>287</v>
      </c>
      <c r="K1213" s="94">
        <f>IF('Net zero activities &amp; levers'!$C$14="Off",Constants!$H75*'Activity data'!AD17*Constants!$H93*FracLEACHMM*MMLeachEF*NtoN2O*kgtoGg,IF('Net zero activities &amp; levers'!$C$14="On",Constants!$H75*'Net zero Activity data'!AD17*Constants!$H93*FracLEACHMM*MMLeachEF*NtoN2O*kgtoGg,"ERROR"))</f>
        <v>2.6875086183165937E-2</v>
      </c>
      <c r="L1213" s="94">
        <f>IF('Net zero activities &amp; levers'!$C$14="Off",Constants!$H75*'Activity data'!AE17*Constants!$H93*FracLEACHMM*MMLeachEF*NtoN2O*kgtoGg,IF('Net zero activities &amp; levers'!$C$14="On",Constants!$H75*'Net zero Activity data'!AE17*Constants!$H93*FracLEACHMM*MMLeachEF*NtoN2O*kgtoGg,"ERROR"))</f>
        <v>2.6729002214214568E-2</v>
      </c>
      <c r="M1213" s="94">
        <f>IF('Net zero activities &amp; levers'!$C$14="Off",Constants!$H75*'Activity data'!AF17*Constants!$H93*FracLEACHMM*MMLeachEF*NtoN2O*kgtoGg,IF('Net zero activities &amp; levers'!$C$14="On",Constants!$H75*'Net zero Activity data'!AF17*Constants!$H93*FracLEACHMM*MMLeachEF*NtoN2O*kgtoGg,"ERROR"))</f>
        <v>2.6740992333189318E-2</v>
      </c>
      <c r="N1213" s="94">
        <f>IF('Net zero activities &amp; levers'!$C$14="Off",Constants!$H75*'Activity data'!AG17*Constants!$H93*FracLEACHMM*MMLeachEF*NtoN2O*kgtoGg,IF('Net zero activities &amp; levers'!$C$14="On",Constants!$H75*'Net zero Activity data'!AG17*Constants!$H93*FracLEACHMM*MMLeachEF*NtoN2O*kgtoGg,"ERROR"))</f>
        <v>2.6495489531984443E-2</v>
      </c>
      <c r="O1213" s="94">
        <f>IF('Net zero activities &amp; levers'!$C$14="Off",Constants!$H75*'Activity data'!AH17*Constants!$H93*FracLEACHMM*MMLeachEF*NtoN2O*kgtoGg,IF('Net zero activities &amp; levers'!$C$14="On",Constants!$H75*'Net zero Activity data'!AH17*Constants!$H93*FracLEACHMM*MMLeachEF*NtoN2O*kgtoGg,"ERROR"))</f>
        <v>2.609452683304701E-2</v>
      </c>
      <c r="P1213" s="94">
        <f>IF('Net zero activities &amp; levers'!$C$14="Off",Constants!$H75*'Activity data'!AI17*Constants!$H93*FracLEACHMM*MMLeachEF*NtoN2O*kgtoGg,IF('Net zero activities &amp; levers'!$C$14="On",Constants!$H75*'Net zero Activity data'!AI17*Constants!$H93*FracLEACHMM*MMLeachEF*NtoN2O*kgtoGg,"ERROR"))</f>
        <v>2.5544514050244025E-2</v>
      </c>
      <c r="Q1213" s="94">
        <f>IF('Net zero activities &amp; levers'!$C$14="Off",Constants!$H75*'Activity data'!AJ17*Constants!$H93*FracLEACHMM*MMLeachEF*NtoN2O*kgtoGg,IF('Net zero activities &amp; levers'!$C$14="On",Constants!$H75*'Net zero Activity data'!AJ17*Constants!$H93*FracLEACHMM*MMLeachEF*NtoN2O*kgtoGg,"ERROR"))</f>
        <v>2.5145143775072754E-2</v>
      </c>
      <c r="R1213" s="94">
        <f>IF('Net zero activities &amp; levers'!$C$14="Off",Constants!$H75*'Activity data'!AK17*Constants!$H93*FracLEACHMM*MMLeachEF*NtoN2O*kgtoGg,IF('Net zero activities &amp; levers'!$C$14="On",Constants!$H75*'Net zero Activity data'!AK17*Constants!$H93*FracLEACHMM*MMLeachEF*NtoN2O*kgtoGg,"ERROR"))</f>
        <v>2.4781112413324514E-2</v>
      </c>
      <c r="S1213" s="94">
        <f>IF('Net zero activities &amp; levers'!$C$14="Off",Constants!$H75*'Activity data'!AL17*Constants!$H93*FracLEACHMM*MMLeachEF*NtoN2O*kgtoGg,IF('Net zero activities &amp; levers'!$C$14="On",Constants!$H75*'Net zero Activity data'!AL17*Constants!$H93*FracLEACHMM*MMLeachEF*NtoN2O*kgtoGg,"ERROR"))</f>
        <v>2.1880480805765091E-2</v>
      </c>
      <c r="T1213" s="94">
        <f>IF('Net zero activities &amp; levers'!$C$14="Off",Constants!$H75*'Activity data'!AM17*Constants!$H93*FracLEACHMM*MMLeachEF*NtoN2O*kgtoGg,IF('Net zero activities &amp; levers'!$C$14="On",Constants!$H75*'Net zero Activity data'!AM17*Constants!$H93*FracLEACHMM*MMLeachEF*NtoN2O*kgtoGg,"ERROR"))</f>
        <v>2.2157174302587897E-2</v>
      </c>
      <c r="U1213" s="94">
        <f>IF('Net zero activities &amp; levers'!$C$14="Off",Constants!$H75*'Activity data'!AN17*Constants!$H93*FracLEACHMM*MMLeachEF*NtoN2O*kgtoGg,IF('Net zero activities &amp; levers'!$C$14="On",Constants!$H75*'Net zero Activity data'!AN17*Constants!$H93*FracLEACHMM*MMLeachEF*NtoN2O*kgtoGg,"ERROR"))</f>
        <v>2.2750904230467162E-2</v>
      </c>
      <c r="V1213" s="94">
        <f>IF('Net zero activities &amp; levers'!$C$14="Off",Constants!$H75*'Activity data'!AO17*Constants!$H93*FracLEACHMM*MMLeachEF*NtoN2O*kgtoGg,IF('Net zero activities &amp; levers'!$C$14="On",Constants!$H75*'Net zero Activity data'!AO17*Constants!$H93*FracLEACHMM*MMLeachEF*NtoN2O*kgtoGg,"ERROR"))</f>
        <v>2.2804811823411601E-2</v>
      </c>
      <c r="W1213" s="94">
        <f>IF('Net zero activities &amp; levers'!$C$14="Off",Constants!$H75*'Activity data'!AP17*Constants!$H93*FracLEACHMM*MMLeachEF*NtoN2O*kgtoGg,IF('Net zero activities &amp; levers'!$C$14="On",Constants!$H75*'Net zero Activity data'!AP17*Constants!$H93*FracLEACHMM*MMLeachEF*NtoN2O*kgtoGg,"ERROR"))</f>
        <v>2.292155171126611E-2</v>
      </c>
      <c r="X1213" s="94">
        <f>IF('Net zero activities &amp; levers'!$C$14="Off",Constants!$H75*'Activity data'!AQ17*Constants!$H93*FracLEACHMM*MMLeachEF*NtoN2O*kgtoGg,IF('Net zero activities &amp; levers'!$C$14="On",Constants!$H75*'Net zero Activity data'!AQ17*Constants!$H93*FracLEACHMM*MMLeachEF*NtoN2O*kgtoGg,"ERROR"))</f>
        <v>2.3117832526296487E-2</v>
      </c>
      <c r="Y1213" s="94">
        <f>IF('Net zero activities &amp; levers'!$C$14="Off",Constants!$H75*'Activity data'!AR17*Constants!$H93*FracLEACHMM*MMLeachEF*NtoN2O*kgtoGg,IF('Net zero activities &amp; levers'!$C$14="On",Constants!$H75*'Net zero Activity data'!AR17*Constants!$H93*FracLEACHMM*MMLeachEF*NtoN2O*kgtoGg,"ERROR"))</f>
        <v>2.3364125716575319E-2</v>
      </c>
      <c r="Z1213" s="94">
        <f>IF('Net zero activities &amp; levers'!$C$14="Off",Constants!$H75*'Activity data'!AS17*Constants!$H93*FracLEACHMM*MMLeachEF*NtoN2O*kgtoGg,IF('Net zero activities &amp; levers'!$C$14="On",Constants!$H75*'Net zero Activity data'!AS17*Constants!$H93*FracLEACHMM*MMLeachEF*NtoN2O*kgtoGg,"ERROR"))</f>
        <v>2.3665937141590494E-2</v>
      </c>
      <c r="AA1213" s="94">
        <f>IF('Net zero activities &amp; levers'!$C$14="Off",Constants!$H75*'Activity data'!AT17*Constants!$H93*FracLEACHMM*MMLeachEF*NtoN2O*kgtoGg,IF('Net zero activities &amp; levers'!$C$14="On",Constants!$H75*'Net zero Activity data'!AT17*Constants!$H93*FracLEACHMM*MMLeachEF*NtoN2O*kgtoGg,"ERROR"))</f>
        <v>2.3971277948899337E-2</v>
      </c>
      <c r="AB1213" s="94">
        <f>IF('Net zero activities &amp; levers'!$C$14="Off",Constants!$H75*'Activity data'!AU17*Constants!$H93*FracLEACHMM*MMLeachEF*NtoN2O*kgtoGg,IF('Net zero activities &amp; levers'!$C$14="On",Constants!$H75*'Net zero Activity data'!AU17*Constants!$H93*FracLEACHMM*MMLeachEF*NtoN2O*kgtoGg,"ERROR"))</f>
        <v>2.4323808269457244E-2</v>
      </c>
      <c r="AC1213" s="94">
        <f>IF('Net zero activities &amp; levers'!$C$14="Off",Constants!$H75*'Activity data'!AV17*Constants!$H93*FracLEACHMM*MMLeachEF*NtoN2O*kgtoGg,IF('Net zero activities &amp; levers'!$C$14="On",Constants!$H75*'Net zero Activity data'!AV17*Constants!$H93*FracLEACHMM*MMLeachEF*NtoN2O*kgtoGg,"ERROR"))</f>
        <v>2.4673905433943388E-2</v>
      </c>
      <c r="AD1213" s="94">
        <f>IF('Net zero activities &amp; levers'!$C$14="Off",Constants!$H75*'Activity data'!AW17*Constants!$H93*FracLEACHMM*MMLeachEF*NtoN2O*kgtoGg,IF('Net zero activities &amp; levers'!$C$14="On",Constants!$H75*'Net zero Activity data'!AW17*Constants!$H93*FracLEACHMM*MMLeachEF*NtoN2O*kgtoGg,"ERROR"))</f>
        <v>2.5109167618050737E-2</v>
      </c>
      <c r="AE1213" s="94">
        <f>IF('Net zero activities &amp; levers'!$C$14="Off",Constants!$H75*'Activity data'!AX17*Constants!$H93*FracLEACHMM*MMLeachEF*NtoN2O*kgtoGg,IF('Net zero activities &amp; levers'!$C$14="On",Constants!$H75*'Net zero Activity data'!AX17*Constants!$H93*FracLEACHMM*MMLeachEF*NtoN2O*kgtoGg,"ERROR"))</f>
        <v>2.5509858249217851E-2</v>
      </c>
      <c r="AF1213" s="94">
        <f>IF('Net zero activities &amp; levers'!$C$14="Off",Constants!$H75*'Activity data'!AY17*Constants!$H93*FracLEACHMM*MMLeachEF*NtoN2O*kgtoGg,IF('Net zero activities &amp; levers'!$C$14="On",Constants!$H75*'Net zero Activity data'!AY17*Constants!$H93*FracLEACHMM*MMLeachEF*NtoN2O*kgtoGg,"ERROR"))</f>
        <v>2.5936225115881856E-2</v>
      </c>
      <c r="AG1213" s="94">
        <f>IF('Net zero activities &amp; levers'!$C$14="Off",Constants!$H75*'Activity data'!AZ17*Constants!$H93*FracLEACHMM*MMLeachEF*NtoN2O*kgtoGg,IF('Net zero activities &amp; levers'!$C$14="On",Constants!$H75*'Net zero Activity data'!AZ17*Constants!$H93*FracLEACHMM*MMLeachEF*NtoN2O*kgtoGg,"ERROR"))</f>
        <v>2.6456337070766354E-2</v>
      </c>
      <c r="AH1213" s="94">
        <f>IF('Net zero activities &amp; levers'!$C$14="Off",Constants!$H75*'Activity data'!BA17*Constants!$H93*FracLEACHMM*MMLeachEF*NtoN2O*kgtoGg,IF('Net zero activities &amp; levers'!$C$14="On",Constants!$H75*'Net zero Activity data'!BA17*Constants!$H93*FracLEACHMM*MMLeachEF*NtoN2O*kgtoGg,"ERROR"))</f>
        <v>2.6902942278627297E-2</v>
      </c>
      <c r="AI1213" s="94">
        <f>IF('Net zero activities &amp; levers'!$C$14="Off",Constants!$H75*'Activity data'!BB17*Constants!$H93*FracLEACHMM*MMLeachEF*NtoN2O*kgtoGg,IF('Net zero activities &amp; levers'!$C$14="On",Constants!$H75*'Net zero Activity data'!BB17*Constants!$H93*FracLEACHMM*MMLeachEF*NtoN2O*kgtoGg,"ERROR"))</f>
        <v>2.7384983876862477E-2</v>
      </c>
      <c r="AJ1213" s="94">
        <f>IF('Net zero activities &amp; levers'!$C$14="Off",Constants!$H75*'Activity data'!BC17*Constants!$H93*FracLEACHMM*MMLeachEF*NtoN2O*kgtoGg,IF('Net zero activities &amp; levers'!$C$14="On",Constants!$H75*'Net zero Activity data'!BC17*Constants!$H93*FracLEACHMM*MMLeachEF*NtoN2O*kgtoGg,"ERROR"))</f>
        <v>2.7908158351219941E-2</v>
      </c>
      <c r="AK1213" s="94">
        <f>IF('Net zero activities &amp; levers'!$C$14="Off",Constants!$H75*'Activity data'!BD17*Constants!$H93*FracLEACHMM*MMLeachEF*NtoN2O*kgtoGg,IF('Net zero activities &amp; levers'!$C$14="On",Constants!$H75*'Net zero Activity data'!BD17*Constants!$H93*FracLEACHMM*MMLeachEF*NtoN2O*kgtoGg,"ERROR"))</f>
        <v>2.8344604443718637E-2</v>
      </c>
      <c r="AL1213" s="94">
        <f>IF('Net zero activities &amp; levers'!$C$14="Off",Constants!$H75*'Activity data'!BE17*Constants!$H93*FracLEACHMM*MMLeachEF*NtoN2O*kgtoGg,IF('Net zero activities &amp; levers'!$C$14="On",Constants!$H75*'Net zero Activity data'!BE17*Constants!$H93*FracLEACHMM*MMLeachEF*NtoN2O*kgtoGg,"ERROR"))</f>
        <v>2.8753897192929187E-2</v>
      </c>
      <c r="AM1213" s="94">
        <f>IF('Net zero activities &amp; levers'!$C$14="Off",Constants!$H75*'Activity data'!BF17*Constants!$H93*FracLEACHMM*MMLeachEF*NtoN2O*kgtoGg,IF('Net zero activities &amp; levers'!$C$14="On",Constants!$H75*'Net zero Activity data'!BF17*Constants!$H93*FracLEACHMM*MMLeachEF*NtoN2O*kgtoGg,"ERROR"))</f>
        <v>2.9139337629284397E-2</v>
      </c>
      <c r="AN1213" s="94">
        <f>IF('Net zero activities &amp; levers'!$C$14="Off",Constants!$H75*'Activity data'!BG17*Constants!$H93*FracLEACHMM*MMLeachEF*NtoN2O*kgtoGg,IF('Net zero activities &amp; levers'!$C$14="On",Constants!$H75*'Net zero Activity data'!BG17*Constants!$H93*FracLEACHMM*MMLeachEF*NtoN2O*kgtoGg,"ERROR"))</f>
        <v>2.9584390604572932E-2</v>
      </c>
      <c r="AO1213" s="94">
        <f>IF('Net zero activities &amp; levers'!$C$14="Off",Constants!$H75*'Activity data'!BH17*Constants!$H93*FracLEACHMM*MMLeachEF*NtoN2O*kgtoGg,IF('Net zero activities &amp; levers'!$C$14="On",Constants!$H75*'Net zero Activity data'!BH17*Constants!$H93*FracLEACHMM*MMLeachEF*NtoN2O*kgtoGg,"ERROR"))</f>
        <v>2.9970416689145254E-2</v>
      </c>
      <c r="AP1213" s="94">
        <f>IF('Net zero activities &amp; levers'!$C$14="Off",Constants!$H75*'Activity data'!BI17*Constants!$H93*FracLEACHMM*MMLeachEF*NtoN2O*kgtoGg,IF('Net zero activities &amp; levers'!$C$14="On",Constants!$H75*'Net zero Activity data'!BI17*Constants!$H93*FracLEACHMM*MMLeachEF*NtoN2O*kgtoGg,"ERROR"))</f>
        <v>3.0368893670993099E-2</v>
      </c>
      <c r="AQ1213" s="94">
        <f>IF('Net zero activities &amp; levers'!$C$14="Off",Constants!$H75*'Activity data'!BJ17*Constants!$H93*FracLEACHMM*MMLeachEF*NtoN2O*kgtoGg,IF('Net zero activities &amp; levers'!$C$14="On",Constants!$H75*'Net zero Activity data'!BJ17*Constants!$H93*FracLEACHMM*MMLeachEF*NtoN2O*kgtoGg,"ERROR"))</f>
        <v>3.0782827170501174E-2</v>
      </c>
      <c r="AR1213" s="94">
        <f>IF('Net zero activities &amp; levers'!$C$14="Off",Constants!$H75*'Activity data'!BK17*Constants!$H93*FracLEACHMM*MMLeachEF*NtoN2O*kgtoGg,IF('Net zero activities &amp; levers'!$C$14="On",Constants!$H75*'Net zero Activity data'!BK17*Constants!$H93*FracLEACHMM*MMLeachEF*NtoN2O*kgtoGg,"ERROR"))</f>
        <v>3.1217396528975507E-2</v>
      </c>
      <c r="AS1213" s="94">
        <f>IF('Net zero activities &amp; levers'!$C$14="Off",Constants!$H75*'Activity data'!BL17*Constants!$H93*FracLEACHMM*MMLeachEF*NtoN2O*kgtoGg,IF('Net zero activities &amp; levers'!$C$14="On",Constants!$H75*'Net zero Activity data'!BL17*Constants!$H93*FracLEACHMM*MMLeachEF*NtoN2O*kgtoGg,"ERROR"))</f>
        <v>3.1673723172219483E-2</v>
      </c>
      <c r="AT1213" s="94">
        <f>IF('Net zero activities &amp; levers'!$C$14="Off",Constants!$H75*'Activity data'!BM17*Constants!$H93*FracLEACHMM*MMLeachEF*NtoN2O*kgtoGg,IF('Net zero activities &amp; levers'!$C$14="On",Constants!$H75*'Net zero Activity data'!BM17*Constants!$H93*FracLEACHMM*MMLeachEF*NtoN2O*kgtoGg,"ERROR"))</f>
        <v>3.1396042142995774E-2</v>
      </c>
      <c r="AU1213" s="94">
        <f>IF('Net zero activities &amp; levers'!$C$14="Off",Constants!$H75*'Activity data'!BN17*Constants!$H93*FracLEACHMM*MMLeachEF*NtoN2O*kgtoGg,IF('Net zero activities &amp; levers'!$C$14="On",Constants!$H75*'Net zero Activity data'!BN17*Constants!$H93*FracLEACHMM*MMLeachEF*NtoN2O*kgtoGg,"ERROR"))</f>
        <v>3.1054190241510845E-2</v>
      </c>
      <c r="AV1213" s="94">
        <f>IF('Net zero activities &amp; levers'!$C$14="Off",Constants!$H75*'Activity data'!BO17*Constants!$H93*FracLEACHMM*MMLeachEF*NtoN2O*kgtoGg,IF('Net zero activities &amp; levers'!$C$14="On",Constants!$H75*'Net zero Activity data'!BO17*Constants!$H93*FracLEACHMM*MMLeachEF*NtoN2O*kgtoGg,"ERROR"))</f>
        <v>3.0622832551979947E-2</v>
      </c>
      <c r="AW1213" s="94">
        <f>IF('Net zero activities &amp; levers'!$C$14="Off",Constants!$H75*'Activity data'!BP17*Constants!$H93*FracLEACHMM*MMLeachEF*NtoN2O*kgtoGg,IF('Net zero activities &amp; levers'!$C$14="On",Constants!$H75*'Net zero Activity data'!BP17*Constants!$H93*FracLEACHMM*MMLeachEF*NtoN2O*kgtoGg,"ERROR"))</f>
        <v>3.01703196842419E-2</v>
      </c>
      <c r="AY1213" s="79"/>
    </row>
    <row r="1214" spans="1:51" x14ac:dyDescent="0.3">
      <c r="A1214" s="95" t="str">
        <f t="shared" si="380"/>
        <v>CM MM Leaching</v>
      </c>
      <c r="B1214" s="95" t="s">
        <v>1322</v>
      </c>
      <c r="C1214" s="95" t="s">
        <v>1333</v>
      </c>
      <c r="D1214" t="s">
        <v>369</v>
      </c>
      <c r="E1214" t="s">
        <v>64</v>
      </c>
      <c r="F1214" t="s">
        <v>63</v>
      </c>
      <c r="G1214" t="s">
        <v>1178</v>
      </c>
      <c r="H1214" t="s">
        <v>1319</v>
      </c>
      <c r="I1214" t="s">
        <v>139</v>
      </c>
      <c r="J1214" t="s">
        <v>287</v>
      </c>
      <c r="K1214" s="94">
        <f>IF('Net zero activities &amp; levers'!$C$14="Off",Constants!$H76*'Activity data'!AD18*Constants!$H94*FracLEACHMM*MMLeachEF*NtoN2O*kgtoGg,IF('Net zero activities &amp; levers'!$C$14="On",Constants!$H76*'Net zero Activity data'!AD18*Constants!$H94*FracLEACHMM*MMLeachEF*NtoN2O*kgtoGg,"ERROR"))</f>
        <v>4.0166140097319695E-3</v>
      </c>
      <c r="L1214" s="94">
        <f>IF('Net zero activities &amp; levers'!$C$14="Off",Constants!$H76*'Activity data'!AE18*Constants!$H94*FracLEACHMM*MMLeachEF*NtoN2O*kgtoGg,IF('Net zero activities &amp; levers'!$C$14="On",Constants!$H76*'Net zero Activity data'!AE18*Constants!$H94*FracLEACHMM*MMLeachEF*NtoN2O*kgtoGg,"ERROR"))</f>
        <v>3.994781041000697E-3</v>
      </c>
      <c r="M1214" s="94">
        <f>IF('Net zero activities &amp; levers'!$C$14="Off",Constants!$H76*'Activity data'!AF18*Constants!$H94*FracLEACHMM*MMLeachEF*NtoN2O*kgtoGg,IF('Net zero activities &amp; levers'!$C$14="On",Constants!$H76*'Net zero Activity data'!AF18*Constants!$H94*FracLEACHMM*MMLeachEF*NtoN2O*kgtoGg,"ERROR"))</f>
        <v>3.9965730233416695E-3</v>
      </c>
      <c r="N1214" s="94">
        <f>IF('Net zero activities &amp; levers'!$C$14="Off",Constants!$H76*'Activity data'!AG18*Constants!$H94*FracLEACHMM*MMLeachEF*NtoN2O*kgtoGg,IF('Net zero activities &amp; levers'!$C$14="On",Constants!$H76*'Net zero Activity data'!AG18*Constants!$H94*FracLEACHMM*MMLeachEF*NtoN2O*kgtoGg,"ERROR"))</f>
        <v>3.9598814204188995E-3</v>
      </c>
      <c r="O1214" s="94">
        <f>IF('Net zero activities &amp; levers'!$C$14="Off",Constants!$H76*'Activity data'!AH18*Constants!$H94*FracLEACHMM*MMLeachEF*NtoN2O*kgtoGg,IF('Net zero activities &amp; levers'!$C$14="On",Constants!$H76*'Net zero Activity data'!AH18*Constants!$H94*FracLEACHMM*MMLeachEF*NtoN2O*kgtoGg,"ERROR"))</f>
        <v>3.8999555700251301E-3</v>
      </c>
      <c r="P1214" s="94">
        <f>IF('Net zero activities &amp; levers'!$C$14="Off",Constants!$H76*'Activity data'!AI18*Constants!$H94*FracLEACHMM*MMLeachEF*NtoN2O*kgtoGg,IF('Net zero activities &amp; levers'!$C$14="On",Constants!$H76*'Net zero Activity data'!AI18*Constants!$H94*FracLEACHMM*MMLeachEF*NtoN2O*kgtoGg,"ERROR"))</f>
        <v>3.8177534504158571E-3</v>
      </c>
      <c r="Q1214" s="94">
        <f>IF('Net zero activities &amp; levers'!$C$14="Off",Constants!$H76*'Activity data'!AJ18*Constants!$H94*FracLEACHMM*MMLeachEF*NtoN2O*kgtoGg,IF('Net zero activities &amp; levers'!$C$14="On",Constants!$H76*'Net zero Activity data'!AJ18*Constants!$H94*FracLEACHMM*MMLeachEF*NtoN2O*kgtoGg,"ERROR"))</f>
        <v>3.7580655955978047E-3</v>
      </c>
      <c r="R1214" s="94">
        <f>IF('Net zero activities &amp; levers'!$C$14="Off",Constants!$H76*'Activity data'!AK18*Constants!$H94*FracLEACHMM*MMLeachEF*NtoN2O*kgtoGg,IF('Net zero activities &amp; levers'!$C$14="On",Constants!$H76*'Net zero Activity data'!AK18*Constants!$H94*FracLEACHMM*MMLeachEF*NtoN2O*kgtoGg,"ERROR"))</f>
        <v>3.7036593154610871E-3</v>
      </c>
      <c r="S1214" s="94">
        <f>IF('Net zero activities &amp; levers'!$C$14="Off",Constants!$H76*'Activity data'!AL18*Constants!$H94*FracLEACHMM*MMLeachEF*NtoN2O*kgtoGg,IF('Net zero activities &amp; levers'!$C$14="On",Constants!$H76*'Net zero Activity data'!AL18*Constants!$H94*FracLEACHMM*MMLeachEF*NtoN2O*kgtoGg,"ERROR"))</f>
        <v>3.2701456339573466E-3</v>
      </c>
      <c r="T1214" s="94">
        <f>IF('Net zero activities &amp; levers'!$C$14="Off",Constants!$H76*'Activity data'!AM18*Constants!$H94*FracLEACHMM*MMLeachEF*NtoN2O*kgtoGg,IF('Net zero activities &amp; levers'!$C$14="On",Constants!$H76*'Net zero Activity data'!AM18*Constants!$H94*FracLEACHMM*MMLeachEF*NtoN2O*kgtoGg,"ERROR"))</f>
        <v>3.31149883997744E-3</v>
      </c>
      <c r="U1214" s="94">
        <f>IF('Net zero activities &amp; levers'!$C$14="Off",Constants!$H76*'Activity data'!AN18*Constants!$H94*FracLEACHMM*MMLeachEF*NtoN2O*kgtoGg,IF('Net zero activities &amp; levers'!$C$14="On",Constants!$H76*'Net zero Activity data'!AN18*Constants!$H94*FracLEACHMM*MMLeachEF*NtoN2O*kgtoGg,"ERROR"))</f>
        <v>3.4002347022576052E-3</v>
      </c>
      <c r="V1214" s="94">
        <f>IF('Net zero activities &amp; levers'!$C$14="Off",Constants!$H76*'Activity data'!AO18*Constants!$H94*FracLEACHMM*MMLeachEF*NtoN2O*kgtoGg,IF('Net zero activities &amp; levers'!$C$14="On",Constants!$H76*'Net zero Activity data'!AO18*Constants!$H94*FracLEACHMM*MMLeachEF*NtoN2O*kgtoGg,"ERROR"))</f>
        <v>3.40829145755788E-3</v>
      </c>
      <c r="W1214" s="94">
        <f>IF('Net zero activities &amp; levers'!$C$14="Off",Constants!$H76*'Activity data'!AP18*Constants!$H94*FracLEACHMM*MMLeachEF*NtoN2O*kgtoGg,IF('Net zero activities &amp; levers'!$C$14="On",Constants!$H76*'Net zero Activity data'!AP18*Constants!$H94*FracLEACHMM*MMLeachEF*NtoN2O*kgtoGg,"ERROR"))</f>
        <v>3.4257388088279458E-3</v>
      </c>
      <c r="X1214" s="94">
        <f>IF('Net zero activities &amp; levers'!$C$14="Off",Constants!$H76*'Activity data'!AQ18*Constants!$H94*FracLEACHMM*MMLeachEF*NtoN2O*kgtoGg,IF('Net zero activities &amp; levers'!$C$14="On",Constants!$H76*'Net zero Activity data'!AQ18*Constants!$H94*FracLEACHMM*MMLeachEF*NtoN2O*kgtoGg,"ERROR"))</f>
        <v>3.4550739434622826E-3</v>
      </c>
      <c r="Y1214" s="94">
        <f>IF('Net zero activities &amp; levers'!$C$14="Off",Constants!$H76*'Activity data'!AR18*Constants!$H94*FracLEACHMM*MMLeachEF*NtoN2O*kgtoGg,IF('Net zero activities &amp; levers'!$C$14="On",Constants!$H76*'Net zero Activity data'!AR18*Constants!$H94*FracLEACHMM*MMLeachEF*NtoN2O*kgtoGg,"ERROR"))</f>
        <v>3.491883673925408E-3</v>
      </c>
      <c r="Z1214" s="94">
        <f>IF('Net zero activities &amp; levers'!$C$14="Off",Constants!$H76*'Activity data'!AS18*Constants!$H94*FracLEACHMM*MMLeachEF*NtoN2O*kgtoGg,IF('Net zero activities &amp; levers'!$C$14="On",Constants!$H76*'Net zero Activity data'!AS18*Constants!$H94*FracLEACHMM*MMLeachEF*NtoN2O*kgtoGg,"ERROR"))</f>
        <v>3.5369908780382062E-3</v>
      </c>
      <c r="AA1214" s="94">
        <f>IF('Net zero activities &amp; levers'!$C$14="Off",Constants!$H76*'Activity data'!AT18*Constants!$H94*FracLEACHMM*MMLeachEF*NtoN2O*kgtoGg,IF('Net zero activities &amp; levers'!$C$14="On",Constants!$H76*'Net zero Activity data'!AT18*Constants!$H94*FracLEACHMM*MMLeachEF*NtoN2O*kgtoGg,"ERROR"))</f>
        <v>3.5826255657196082E-3</v>
      </c>
      <c r="AB1214" s="94">
        <f>IF('Net zero activities &amp; levers'!$C$14="Off",Constants!$H76*'Activity data'!AU18*Constants!$H94*FracLEACHMM*MMLeachEF*NtoN2O*kgtoGg,IF('Net zero activities &amp; levers'!$C$14="On",Constants!$H76*'Net zero Activity data'!AU18*Constants!$H94*FracLEACHMM*MMLeachEF*NtoN2O*kgtoGg,"ERROR"))</f>
        <v>3.6353129585993062E-3</v>
      </c>
      <c r="AC1214" s="94">
        <f>IF('Net zero activities &amp; levers'!$C$14="Off",Constants!$H76*'Activity data'!AV18*Constants!$H94*FracLEACHMM*MMLeachEF*NtoN2O*kgtoGg,IF('Net zero activities &amp; levers'!$C$14="On",Constants!$H76*'Net zero Activity data'!AV18*Constants!$H94*FracLEACHMM*MMLeachEF*NtoN2O*kgtoGg,"ERROR"))</f>
        <v>3.6876367043189875E-3</v>
      </c>
      <c r="AD1214" s="94">
        <f>IF('Net zero activities &amp; levers'!$C$14="Off",Constants!$H76*'Activity data'!AW18*Constants!$H94*FracLEACHMM*MMLeachEF*NtoN2O*kgtoGg,IF('Net zero activities &amp; levers'!$C$14="On",Constants!$H76*'Net zero Activity data'!AW18*Constants!$H94*FracLEACHMM*MMLeachEF*NtoN2O*kgtoGg,"ERROR"))</f>
        <v>3.7526887817217083E-3</v>
      </c>
      <c r="AE1214" s="94">
        <f>IF('Net zero activities &amp; levers'!$C$14="Off",Constants!$H76*'Activity data'!AX18*Constants!$H94*FracLEACHMM*MMLeachEF*NtoN2O*kgtoGg,IF('Net zero activities &amp; levers'!$C$14="On",Constants!$H76*'Net zero Activity data'!AX18*Constants!$H94*FracLEACHMM*MMLeachEF*NtoN2O*kgtoGg,"ERROR"))</f>
        <v>3.8125739702470681E-3</v>
      </c>
      <c r="AF1214" s="94">
        <f>IF('Net zero activities &amp; levers'!$C$14="Off",Constants!$H76*'Activity data'!AY18*Constants!$H94*FracLEACHMM*MMLeachEF*NtoN2O*kgtoGg,IF('Net zero activities &amp; levers'!$C$14="On",Constants!$H76*'Net zero Activity data'!AY18*Constants!$H94*FracLEACHMM*MMLeachEF*NtoN2O*kgtoGg,"ERROR"))</f>
        <v>3.87629659864187E-3</v>
      </c>
      <c r="AG1214" s="94">
        <f>IF('Net zero activities &amp; levers'!$C$14="Off",Constants!$H76*'Activity data'!AZ18*Constants!$H94*FracLEACHMM*MMLeachEF*NtoN2O*kgtoGg,IF('Net zero activities &amp; levers'!$C$14="On",Constants!$H76*'Net zero Activity data'!AZ18*Constants!$H94*FracLEACHMM*MMLeachEF*NtoN2O*kgtoGg,"ERROR"))</f>
        <v>3.9540298922350536E-3</v>
      </c>
      <c r="AH1214" s="94">
        <f>IF('Net zero activities &amp; levers'!$C$14="Off",Constants!$H76*'Activity data'!BA18*Constants!$H94*FracLEACHMM*MMLeachEF*NtoN2O*kgtoGg,IF('Net zero activities &amp; levers'!$C$14="On",Constants!$H76*'Net zero Activity data'!BA18*Constants!$H94*FracLEACHMM*MMLeachEF*NtoN2O*kgtoGg,"ERROR"))</f>
        <v>4.0207772404105219E-3</v>
      </c>
      <c r="AI1214" s="94">
        <f>IF('Net zero activities &amp; levers'!$C$14="Off",Constants!$H76*'Activity data'!BB18*Constants!$H94*FracLEACHMM*MMLeachEF*NtoN2O*kgtoGg,IF('Net zero activities &amp; levers'!$C$14="On",Constants!$H76*'Net zero Activity data'!BB18*Constants!$H94*FracLEACHMM*MMLeachEF*NtoN2O*kgtoGg,"ERROR"))</f>
        <v>4.0928207316778291E-3</v>
      </c>
      <c r="AJ1214" s="94">
        <f>IF('Net zero activities &amp; levers'!$C$14="Off",Constants!$H76*'Activity data'!BC18*Constants!$H94*FracLEACHMM*MMLeachEF*NtoN2O*kgtoGg,IF('Net zero activities &amp; levers'!$C$14="On",Constants!$H76*'Net zero Activity data'!BC18*Constants!$H94*FracLEACHMM*MMLeachEF*NtoN2O*kgtoGg,"ERROR"))</f>
        <v>4.1710117338914204E-3</v>
      </c>
      <c r="AK1214" s="94">
        <f>IF('Net zero activities &amp; levers'!$C$14="Off",Constants!$H76*'Activity data'!BD18*Constants!$H94*FracLEACHMM*MMLeachEF*NtoN2O*kgtoGg,IF('Net zero activities &amp; levers'!$C$14="On",Constants!$H76*'Net zero Activity data'!BD18*Constants!$H94*FracLEACHMM*MMLeachEF*NtoN2O*kgtoGg,"ERROR"))</f>
        <v>4.2362407522348522E-3</v>
      </c>
      <c r="AL1214" s="94">
        <f>IF('Net zero activities &amp; levers'!$C$14="Off",Constants!$H76*'Activity data'!BE18*Constants!$H94*FracLEACHMM*MMLeachEF*NtoN2O*kgtoGg,IF('Net zero activities &amp; levers'!$C$14="On",Constants!$H76*'Net zero Activity data'!BE18*Constants!$H94*FracLEACHMM*MMLeachEF*NtoN2O*kgtoGg,"ERROR"))</f>
        <v>4.2974115696735888E-3</v>
      </c>
      <c r="AM1214" s="94">
        <f>IF('Net zero activities &amp; levers'!$C$14="Off",Constants!$H76*'Activity data'!BF18*Constants!$H94*FracLEACHMM*MMLeachEF*NtoN2O*kgtoGg,IF('Net zero activities &amp; levers'!$C$14="On",Constants!$H76*'Net zero Activity data'!BF18*Constants!$H94*FracLEACHMM*MMLeachEF*NtoN2O*kgtoGg,"ERROR"))</f>
        <v>4.3550175414658315E-3</v>
      </c>
      <c r="AN1214" s="94">
        <f>IF('Net zero activities &amp; levers'!$C$14="Off",Constants!$H76*'Activity data'!BG18*Constants!$H94*FracLEACHMM*MMLeachEF*NtoN2O*kgtoGg,IF('Net zero activities &amp; levers'!$C$14="On",Constants!$H76*'Net zero Activity data'!BG18*Constants!$H94*FracLEACHMM*MMLeachEF*NtoN2O*kgtoGg,"ERROR"))</f>
        <v>4.4215329008374625E-3</v>
      </c>
      <c r="AO1214" s="94">
        <f>IF('Net zero activities &amp; levers'!$C$14="Off",Constants!$H76*'Activity data'!BH18*Constants!$H94*FracLEACHMM*MMLeachEF*NtoN2O*kgtoGg,IF('Net zero activities &amp; levers'!$C$14="On",Constants!$H76*'Net zero Activity data'!BH18*Constants!$H94*FracLEACHMM*MMLeachEF*NtoN2O*kgtoGg,"ERROR"))</f>
        <v>4.479226400640501E-3</v>
      </c>
      <c r="AP1214" s="94">
        <f>IF('Net zero activities &amp; levers'!$C$14="Off",Constants!$H76*'Activity data'!BI18*Constants!$H94*FracLEACHMM*MMLeachEF*NtoN2O*kgtoGg,IF('Net zero activities &amp; levers'!$C$14="On",Constants!$H76*'Net zero Activity data'!BI18*Constants!$H94*FracLEACHMM*MMLeachEF*NtoN2O*kgtoGg,"ERROR"))</f>
        <v>4.5387807483712392E-3</v>
      </c>
      <c r="AQ1214" s="94">
        <f>IF('Net zero activities &amp; levers'!$C$14="Off",Constants!$H76*'Activity data'!BJ18*Constants!$H94*FracLEACHMM*MMLeachEF*NtoN2O*kgtoGg,IF('Net zero activities &amp; levers'!$C$14="On",Constants!$H76*'Net zero Activity data'!BJ18*Constants!$H94*FracLEACHMM*MMLeachEF*NtoN2O*kgtoGg,"ERROR"))</f>
        <v>4.6006451488010665E-3</v>
      </c>
      <c r="AR1214" s="94">
        <f>IF('Net zero activities &amp; levers'!$C$14="Off",Constants!$H76*'Activity data'!BK18*Constants!$H94*FracLEACHMM*MMLeachEF*NtoN2O*kgtoGg,IF('Net zero activities &amp; levers'!$C$14="On",Constants!$H76*'Net zero Activity data'!BK18*Constants!$H94*FracLEACHMM*MMLeachEF*NtoN2O*kgtoGg,"ERROR"))</f>
        <v>4.665593680000254E-3</v>
      </c>
      <c r="AS1214" s="94">
        <f>IF('Net zero activities &amp; levers'!$C$14="Off",Constants!$H76*'Activity data'!BL18*Constants!$H94*FracLEACHMM*MMLeachEF*NtoN2O*kgtoGg,IF('Net zero activities &amp; levers'!$C$14="On",Constants!$H76*'Net zero Activity data'!BL18*Constants!$H94*FracLEACHMM*MMLeachEF*NtoN2O*kgtoGg,"ERROR"))</f>
        <v>4.7337939445789724E-3</v>
      </c>
      <c r="AT1214" s="94">
        <f>IF('Net zero activities &amp; levers'!$C$14="Off",Constants!$H76*'Activity data'!BM18*Constants!$H94*FracLEACHMM*MMLeachEF*NtoN2O*kgtoGg,IF('Net zero activities &amp; levers'!$C$14="On",Constants!$H76*'Net zero Activity data'!BM18*Constants!$H94*FracLEACHMM*MMLeachEF*NtoN2O*kgtoGg,"ERROR"))</f>
        <v>4.6922931469772361E-3</v>
      </c>
      <c r="AU1214" s="94">
        <f>IF('Net zero activities &amp; levers'!$C$14="Off",Constants!$H76*'Activity data'!BN18*Constants!$H94*FracLEACHMM*MMLeachEF*NtoN2O*kgtoGg,IF('Net zero activities &amp; levers'!$C$14="On",Constants!$H76*'Net zero Activity data'!BN18*Constants!$H94*FracLEACHMM*MMLeachEF*NtoN2O*kgtoGg,"ERROR"))</f>
        <v>4.6412016964271002E-3</v>
      </c>
      <c r="AV1214" s="94">
        <f>IF('Net zero activities &amp; levers'!$C$14="Off",Constants!$H76*'Activity data'!BO18*Constants!$H94*FracLEACHMM*MMLeachEF*NtoN2O*kgtoGg,IF('Net zero activities &amp; levers'!$C$14="On",Constants!$H76*'Net zero Activity data'!BO18*Constants!$H94*FracLEACHMM*MMLeachEF*NtoN2O*kgtoGg,"ERROR"))</f>
        <v>4.5767331649713494E-3</v>
      </c>
      <c r="AW1214" s="94">
        <f>IF('Net zero activities &amp; levers'!$C$14="Off",Constants!$H76*'Activity data'!BP18*Constants!$H94*FracLEACHMM*MMLeachEF*NtoN2O*kgtoGg,IF('Net zero activities &amp; levers'!$C$14="On",Constants!$H76*'Net zero Activity data'!BP18*Constants!$H94*FracLEACHMM*MMLeachEF*NtoN2O*kgtoGg,"ERROR"))</f>
        <v>4.5091028879276577E-3</v>
      </c>
      <c r="AY1214" s="79"/>
    </row>
    <row r="1215" spans="1:51" x14ac:dyDescent="0.3">
      <c r="A1215" s="95" t="str">
        <f t="shared" si="380"/>
        <v>CM MM Leaching</v>
      </c>
      <c r="B1215" s="95" t="s">
        <v>1322</v>
      </c>
      <c r="C1215" s="95" t="s">
        <v>1333</v>
      </c>
      <c r="D1215" t="s">
        <v>369</v>
      </c>
      <c r="E1215" t="s">
        <v>64</v>
      </c>
      <c r="F1215" t="s">
        <v>63</v>
      </c>
      <c r="G1215" t="s">
        <v>1180</v>
      </c>
      <c r="H1215" t="s">
        <v>1320</v>
      </c>
      <c r="I1215" t="s">
        <v>139</v>
      </c>
      <c r="J1215" t="s">
        <v>287</v>
      </c>
      <c r="K1215" s="94">
        <f>IF('Net zero activities &amp; levers'!$C$14="Off",Constants!$H77*'Activity data'!AD19*Constants!$H95*FracLEACHMM*MMLeachEF*NtoN2O*kgtoGg,IF('Net zero activities &amp; levers'!$C$14="On",Constants!$H77*'Net zero Activity data'!AD19*Constants!$H95*FracLEACHMM*MMLeachEF*NtoN2O*kgtoGg,"ERROR"))</f>
        <v>1.6726645268412742E-2</v>
      </c>
      <c r="L1215" s="94">
        <f>IF('Net zero activities &amp; levers'!$C$14="Off",Constants!$H77*'Activity data'!AE19*Constants!$H95*FracLEACHMM*MMLeachEF*NtoN2O*kgtoGg,IF('Net zero activities &amp; levers'!$C$14="On",Constants!$H77*'Net zero Activity data'!AE19*Constants!$H95*FracLEACHMM*MMLeachEF*NtoN2O*kgtoGg,"ERROR"))</f>
        <v>1.7066731126843739E-2</v>
      </c>
      <c r="M1215" s="94">
        <f>IF('Net zero activities &amp; levers'!$C$14="Off",Constants!$H77*'Activity data'!AF19*Constants!$H95*FracLEACHMM*MMLeachEF*NtoN2O*kgtoGg,IF('Net zero activities &amp; levers'!$C$14="On",Constants!$H77*'Net zero Activity data'!AF19*Constants!$H95*FracLEACHMM*MMLeachEF*NtoN2O*kgtoGg,"ERROR"))</f>
        <v>1.7464259263446445E-2</v>
      </c>
      <c r="N1215" s="94">
        <f>IF('Net zero activities &amp; levers'!$C$14="Off",Constants!$H77*'Activity data'!AG19*Constants!$H95*FracLEACHMM*MMLeachEF*NtoN2O*kgtoGg,IF('Net zero activities &amp; levers'!$C$14="On",Constants!$H77*'Net zero Activity data'!AG19*Constants!$H95*FracLEACHMM*MMLeachEF*NtoN2O*kgtoGg,"ERROR"))</f>
        <v>1.77694513935726E-2</v>
      </c>
      <c r="O1215" s="94">
        <f>IF('Net zero activities &amp; levers'!$C$14="Off",Constants!$H77*'Activity data'!AH19*Constants!$H95*FracLEACHMM*MMLeachEF*NtoN2O*kgtoGg,IF('Net zero activities &amp; levers'!$C$14="On",Constants!$H77*'Net zero Activity data'!AH19*Constants!$H95*FracLEACHMM*MMLeachEF*NtoN2O*kgtoGg,"ERROR"))</f>
        <v>1.8014444056791569E-2</v>
      </c>
      <c r="P1215" s="94">
        <f>IF('Net zero activities &amp; levers'!$C$14="Off",Constants!$H77*'Activity data'!AI19*Constants!$H95*FracLEACHMM*MMLeachEF*NtoN2O*kgtoGg,IF('Net zero activities &amp; levers'!$C$14="On",Constants!$H77*'Net zero Activity data'!AI19*Constants!$H95*FracLEACHMM*MMLeachEF*NtoN2O*kgtoGg,"ERROR"))</f>
        <v>1.8197780265539362E-2</v>
      </c>
      <c r="Q1215" s="94">
        <f>IF('Net zero activities &amp; levers'!$C$14="Off",Constants!$H77*'Activity data'!AJ19*Constants!$H95*FracLEACHMM*MMLeachEF*NtoN2O*kgtoGg,IF('Net zero activities &amp; levers'!$C$14="On",Constants!$H77*'Net zero Activity data'!AJ19*Constants!$H95*FracLEACHMM*MMLeachEF*NtoN2O*kgtoGg,"ERROR"))</f>
        <v>1.8432867891885713E-2</v>
      </c>
      <c r="R1215" s="94">
        <f>IF('Net zero activities &amp; levers'!$C$14="Off",Constants!$H77*'Activity data'!AK19*Constants!$H95*FracLEACHMM*MMLeachEF*NtoN2O*kgtoGg,IF('Net zero activities &amp; levers'!$C$14="On",Constants!$H77*'Net zero Activity data'!AK19*Constants!$H95*FracLEACHMM*MMLeachEF*NtoN2O*kgtoGg,"ERROR"))</f>
        <v>1.8677293946611207E-2</v>
      </c>
      <c r="S1215" s="94">
        <f>IF('Net zero activities &amp; levers'!$C$14="Off",Constants!$H77*'Activity data'!AL19*Constants!$H95*FracLEACHMM*MMLeachEF*NtoN2O*kgtoGg,IF('Net zero activities &amp; levers'!$C$14="On",Constants!$H77*'Net zero Activity data'!AL19*Constants!$H95*FracLEACHMM*MMLeachEF*NtoN2O*kgtoGg,"ERROR"))</f>
        <v>1.7845993977500554E-2</v>
      </c>
      <c r="T1215" s="94">
        <f>IF('Net zero activities &amp; levers'!$C$14="Off",Constants!$H77*'Activity data'!AM19*Constants!$H95*FracLEACHMM*MMLeachEF*NtoN2O*kgtoGg,IF('Net zero activities &amp; levers'!$C$14="On",Constants!$H77*'Net zero Activity data'!AM19*Constants!$H95*FracLEACHMM*MMLeachEF*NtoN2O*kgtoGg,"ERROR"))</f>
        <v>1.8290177947761724E-2</v>
      </c>
      <c r="U1215" s="94">
        <f>IF('Net zero activities &amp; levers'!$C$14="Off",Constants!$H77*'Activity data'!AN19*Constants!$H95*FracLEACHMM*MMLeachEF*NtoN2O*kgtoGg,IF('Net zero activities &amp; levers'!$C$14="On",Constants!$H77*'Net zero Activity data'!AN19*Constants!$H95*FracLEACHMM*MMLeachEF*NtoN2O*kgtoGg,"ERROR"))</f>
        <v>1.8882126643784119E-2</v>
      </c>
      <c r="V1215" s="94">
        <f>IF('Net zero activities &amp; levers'!$C$14="Off",Constants!$H77*'Activity data'!AO19*Constants!$H95*FracLEACHMM*MMLeachEF*NtoN2O*kgtoGg,IF('Net zero activities &amp; levers'!$C$14="On",Constants!$H77*'Net zero Activity data'!AO19*Constants!$H95*FracLEACHMM*MMLeachEF*NtoN2O*kgtoGg,"ERROR"))</f>
        <v>1.9244149446427172E-2</v>
      </c>
      <c r="W1215" s="94">
        <f>IF('Net zero activities &amp; levers'!$C$14="Off",Constants!$H77*'Activity data'!AP19*Constants!$H95*FracLEACHMM*MMLeachEF*NtoN2O*kgtoGg,IF('Net zero activities &amp; levers'!$C$14="On",Constants!$H77*'Net zero Activity data'!AP19*Constants!$H95*FracLEACHMM*MMLeachEF*NtoN2O*kgtoGg,"ERROR"))</f>
        <v>1.9638833779478608E-2</v>
      </c>
      <c r="X1215" s="94">
        <f>IF('Net zero activities &amp; levers'!$C$14="Off",Constants!$H77*'Activity data'!AQ19*Constants!$H95*FracLEACHMM*MMLeachEF*NtoN2O*kgtoGg,IF('Net zero activities &amp; levers'!$C$14="On",Constants!$H77*'Net zero Activity data'!AQ19*Constants!$H95*FracLEACHMM*MMLeachEF*NtoN2O*kgtoGg,"ERROR"))</f>
        <v>2.0076166391792365E-2</v>
      </c>
      <c r="Y1215" s="94">
        <f>IF('Net zero activities &amp; levers'!$C$14="Off",Constants!$H77*'Activity data'!AR19*Constants!$H95*FracLEACHMM*MMLeachEF*NtoN2O*kgtoGg,IF('Net zero activities &amp; levers'!$C$14="On",Constants!$H77*'Net zero Activity data'!AR19*Constants!$H95*FracLEACHMM*MMLeachEF*NtoN2O*kgtoGg,"ERROR"))</f>
        <v>2.0527873811486335E-2</v>
      </c>
      <c r="Z1215" s="94">
        <f>IF('Net zero activities &amp; levers'!$C$14="Off",Constants!$H77*'Activity data'!AS19*Constants!$H95*FracLEACHMM*MMLeachEF*NtoN2O*kgtoGg,IF('Net zero activities &amp; levers'!$C$14="On",Constants!$H77*'Net zero Activity data'!AS19*Constants!$H95*FracLEACHMM*MMLeachEF*NtoN2O*kgtoGg,"ERROR"))</f>
        <v>2.1014725008073262E-2</v>
      </c>
      <c r="AA1215" s="94">
        <f>IF('Net zero activities &amp; levers'!$C$14="Off",Constants!$H77*'Activity data'!AT19*Constants!$H95*FracLEACHMM*MMLeachEF*NtoN2O*kgtoGg,IF('Net zero activities &amp; levers'!$C$14="On",Constants!$H77*'Net zero Activity data'!AT19*Constants!$H95*FracLEACHMM*MMLeachEF*NtoN2O*kgtoGg,"ERROR"))</f>
        <v>2.1512524786700418E-2</v>
      </c>
      <c r="AB1215" s="94">
        <f>IF('Net zero activities &amp; levers'!$C$14="Off",Constants!$H77*'Activity data'!AU19*Constants!$H95*FracLEACHMM*MMLeachEF*NtoN2O*kgtoGg,IF('Net zero activities &amp; levers'!$C$14="On",Constants!$H77*'Net zero Activity data'!AU19*Constants!$H95*FracLEACHMM*MMLeachEF*NtoN2O*kgtoGg,"ERROR"))</f>
        <v>2.204403910450644E-2</v>
      </c>
      <c r="AC1215" s="94">
        <f>IF('Net zero activities &amp; levers'!$C$14="Off",Constants!$H77*'Activity data'!AV19*Constants!$H95*FracLEACHMM*MMLeachEF*NtoN2O*kgtoGg,IF('Net zero activities &amp; levers'!$C$14="On",Constants!$H77*'Net zero Activity data'!AV19*Constants!$H95*FracLEACHMM*MMLeachEF*NtoN2O*kgtoGg,"ERROR"))</f>
        <v>2.2585019508801499E-2</v>
      </c>
      <c r="AD1215" s="94">
        <f>IF('Net zero activities &amp; levers'!$C$14="Off",Constants!$H77*'Activity data'!AW19*Constants!$H95*FracLEACHMM*MMLeachEF*NtoN2O*kgtoGg,IF('Net zero activities &amp; levers'!$C$14="On",Constants!$H77*'Net zero Activity data'!AW19*Constants!$H95*FracLEACHMM*MMLeachEF*NtoN2O*kgtoGg,"ERROR"))</f>
        <v>2.3168701426676565E-2</v>
      </c>
      <c r="AE1215" s="94">
        <f>IF('Net zero activities &amp; levers'!$C$14="Off",Constants!$H77*'Activity data'!AX19*Constants!$H95*FracLEACHMM*MMLeachEF*NtoN2O*kgtoGg,IF('Net zero activities &amp; levers'!$C$14="On",Constants!$H77*'Net zero Activity data'!AX19*Constants!$H95*FracLEACHMM*MMLeachEF*NtoN2O*kgtoGg,"ERROR"))</f>
        <v>2.3746356188951337E-2</v>
      </c>
      <c r="AF1215" s="94">
        <f>IF('Net zero activities &amp; levers'!$C$14="Off",Constants!$H77*'Activity data'!AY19*Constants!$H95*FracLEACHMM*MMLeachEF*NtoN2O*kgtoGg,IF('Net zero activities &amp; levers'!$C$14="On",Constants!$H77*'Net zero Activity data'!AY19*Constants!$H95*FracLEACHMM*MMLeachEF*NtoN2O*kgtoGg,"ERROR"))</f>
        <v>2.4350664580619397E-2</v>
      </c>
      <c r="AG1215" s="94">
        <f>IF('Net zero activities &amp; levers'!$C$14="Off",Constants!$H77*'Activity data'!AZ19*Constants!$H95*FracLEACHMM*MMLeachEF*NtoN2O*kgtoGg,IF('Net zero activities &amp; levers'!$C$14="On",Constants!$H77*'Net zero Activity data'!AZ19*Constants!$H95*FracLEACHMM*MMLeachEF*NtoN2O*kgtoGg,"ERROR"))</f>
        <v>2.5021362816751564E-2</v>
      </c>
      <c r="AH1215" s="94">
        <f>IF('Net zero activities &amp; levers'!$C$14="Off",Constants!$H77*'Activity data'!BA19*Constants!$H95*FracLEACHMM*MMLeachEF*NtoN2O*kgtoGg,IF('Net zero activities &amp; levers'!$C$14="On",Constants!$H77*'Net zero Activity data'!BA19*Constants!$H95*FracLEACHMM*MMLeachEF*NtoN2O*kgtoGg,"ERROR"))</f>
        <v>2.5665252656926436E-2</v>
      </c>
      <c r="AI1215" s="94">
        <f>IF('Net zero activities &amp; levers'!$C$14="Off",Constants!$H77*'Activity data'!BB19*Constants!$H95*FracLEACHMM*MMLeachEF*NtoN2O*kgtoGg,IF('Net zero activities &amp; levers'!$C$14="On",Constants!$H77*'Net zero Activity data'!BB19*Constants!$H95*FracLEACHMM*MMLeachEF*NtoN2O*kgtoGg,"ERROR"))</f>
        <v>2.6331138974392616E-2</v>
      </c>
      <c r="AJ1215" s="94">
        <f>IF('Net zero activities &amp; levers'!$C$14="Off",Constants!$H77*'Activity data'!BC19*Constants!$H95*FracLEACHMM*MMLeachEF*NtoN2O*kgtoGg,IF('Net zero activities &amp; levers'!$C$14="On",Constants!$H77*'Net zero Activity data'!BC19*Constants!$H95*FracLEACHMM*MMLeachEF*NtoN2O*kgtoGg,"ERROR"))</f>
        <v>2.7037084930771747E-2</v>
      </c>
      <c r="AK1215" s="94">
        <f>IF('Net zero activities &amp; levers'!$C$14="Off",Constants!$H77*'Activity data'!BD19*Constants!$H95*FracLEACHMM*MMLeachEF*NtoN2O*kgtoGg,IF('Net zero activities &amp; levers'!$C$14="On",Constants!$H77*'Net zero Activity data'!BD19*Constants!$H95*FracLEACHMM*MMLeachEF*NtoN2O*kgtoGg,"ERROR"))</f>
        <v>2.7706662515763772E-2</v>
      </c>
      <c r="AL1215" s="94">
        <f>IF('Net zero activities &amp; levers'!$C$14="Off",Constants!$H77*'Activity data'!BE19*Constants!$H95*FracLEACHMM*MMLeachEF*NtoN2O*kgtoGg,IF('Net zero activities &amp; levers'!$C$14="On",Constants!$H77*'Net zero Activity data'!BE19*Constants!$H95*FracLEACHMM*MMLeachEF*NtoN2O*kgtoGg,"ERROR"))</f>
        <v>2.8374415178094886E-2</v>
      </c>
      <c r="AM1215" s="94">
        <f>IF('Net zero activities &amp; levers'!$C$14="Off",Constants!$H77*'Activity data'!BF19*Constants!$H95*FracLEACHMM*MMLeachEF*NtoN2O*kgtoGg,IF('Net zero activities &amp; levers'!$C$14="On",Constants!$H77*'Net zero Activity data'!BF19*Constants!$H95*FracLEACHMM*MMLeachEF*NtoN2O*kgtoGg,"ERROR"))</f>
        <v>2.9041879152159198E-2</v>
      </c>
      <c r="AN1215" s="94">
        <f>IF('Net zero activities &amp; levers'!$C$14="Off",Constants!$H77*'Activity data'!BG19*Constants!$H95*FracLEACHMM*MMLeachEF*NtoN2O*kgtoGg,IF('Net zero activities &amp; levers'!$C$14="On",Constants!$H77*'Net zero Activity data'!BG19*Constants!$H95*FracLEACHMM*MMLeachEF*NtoN2O*kgtoGg,"ERROR"))</f>
        <v>2.9750026658148378E-2</v>
      </c>
      <c r="AO1215" s="94">
        <f>IF('Net zero activities &amp; levers'!$C$14="Off",Constants!$H77*'Activity data'!BH19*Constants!$H95*FracLEACHMM*MMLeachEF*NtoN2O*kgtoGg,IF('Net zero activities &amp; levers'!$C$14="On",Constants!$H77*'Net zero Activity data'!BH19*Constants!$H95*FracLEACHMM*MMLeachEF*NtoN2O*kgtoGg,"ERROR"))</f>
        <v>3.0435625912582094E-2</v>
      </c>
      <c r="AP1215" s="94">
        <f>IF('Net zero activities &amp; levers'!$C$14="Off",Constants!$H77*'Activity data'!BI19*Constants!$H95*FracLEACHMM*MMLeachEF*NtoN2O*kgtoGg,IF('Net zero activities &amp; levers'!$C$14="On",Constants!$H77*'Net zero Activity data'!BI19*Constants!$H95*FracLEACHMM*MMLeachEF*NtoN2O*kgtoGg,"ERROR"))</f>
        <v>3.1144967675009176E-2</v>
      </c>
      <c r="AQ1215" s="94">
        <f>IF('Net zero activities &amp; levers'!$C$14="Off",Constants!$H77*'Activity data'!BJ19*Constants!$H95*FracLEACHMM*MMLeachEF*NtoN2O*kgtoGg,IF('Net zero activities &amp; levers'!$C$14="On",Constants!$H77*'Net zero Activity data'!BJ19*Constants!$H95*FracLEACHMM*MMLeachEF*NtoN2O*kgtoGg,"ERROR"))</f>
        <v>3.1881013101963972E-2</v>
      </c>
      <c r="AR1215" s="94">
        <f>IF('Net zero activities &amp; levers'!$C$14="Off",Constants!$H77*'Activity data'!BK19*Constants!$H95*FracLEACHMM*MMLeachEF*NtoN2O*kgtoGg,IF('Net zero activities &amp; levers'!$C$14="On",Constants!$H77*'Net zero Activity data'!BK19*Constants!$H95*FracLEACHMM*MMLeachEF*NtoN2O*kgtoGg,"ERROR"))</f>
        <v>3.2648423492469485E-2</v>
      </c>
      <c r="AS1215" s="94">
        <f>IF('Net zero activities &amp; levers'!$C$14="Off",Constants!$H77*'Activity data'!BL19*Constants!$H95*FracLEACHMM*MMLeachEF*NtoN2O*kgtoGg,IF('Net zero activities &amp; levers'!$C$14="On",Constants!$H77*'Net zero Activity data'!BL19*Constants!$H95*FracLEACHMM*MMLeachEF*NtoN2O*kgtoGg,"ERROR"))</f>
        <v>3.3436328313148703E-2</v>
      </c>
      <c r="AT1215" s="94">
        <f>IF('Net zero activities &amp; levers'!$C$14="Off",Constants!$H77*'Activity data'!BM19*Constants!$H95*FracLEACHMM*MMLeachEF*NtoN2O*kgtoGg,IF('Net zero activities &amp; levers'!$C$14="On",Constants!$H77*'Net zero Activity data'!BM19*Constants!$H95*FracLEACHMM*MMLeachEF*NtoN2O*kgtoGg,"ERROR"))</f>
        <v>3.371230344910283E-2</v>
      </c>
      <c r="AU1215" s="94">
        <f>IF('Net zero activities &amp; levers'!$C$14="Off",Constants!$H77*'Activity data'!BN19*Constants!$H95*FracLEACHMM*MMLeachEF*NtoN2O*kgtoGg,IF('Net zero activities &amp; levers'!$C$14="On",Constants!$H77*'Net zero Activity data'!BN19*Constants!$H95*FracLEACHMM*MMLeachEF*NtoN2O*kgtoGg,"ERROR"))</f>
        <v>3.39408780706969E-2</v>
      </c>
      <c r="AV1215" s="94">
        <f>IF('Net zero activities &amp; levers'!$C$14="Off",Constants!$H77*'Activity data'!BO19*Constants!$H95*FracLEACHMM*MMLeachEF*NtoN2O*kgtoGg,IF('Net zero activities &amp; levers'!$C$14="On",Constants!$H77*'Net zero Activity data'!BO19*Constants!$H95*FracLEACHMM*MMLeachEF*NtoN2O*kgtoGg,"ERROR"))</f>
        <v>3.4100500286935446E-2</v>
      </c>
      <c r="AW1215" s="94">
        <f>IF('Net zero activities &amp; levers'!$C$14="Off",Constants!$H77*'Activity data'!BP19*Constants!$H95*FracLEACHMM*MMLeachEF*NtoN2O*kgtoGg,IF('Net zero activities &amp; levers'!$C$14="On",Constants!$H77*'Net zero Activity data'!BP19*Constants!$H95*FracLEACHMM*MMLeachEF*NtoN2O*kgtoGg,"ERROR"))</f>
        <v>3.4239705581718134E-2</v>
      </c>
      <c r="AY1215" s="79"/>
    </row>
    <row r="1216" spans="1:51" x14ac:dyDescent="0.3">
      <c r="A1216" s="95" t="str">
        <f t="shared" si="380"/>
        <v>CM MM Leaching</v>
      </c>
      <c r="B1216" s="95" t="s">
        <v>1322</v>
      </c>
      <c r="C1216" s="95" t="s">
        <v>1333</v>
      </c>
      <c r="D1216" t="s">
        <v>369</v>
      </c>
      <c r="E1216" t="s">
        <v>64</v>
      </c>
      <c r="F1216" t="s">
        <v>63</v>
      </c>
      <c r="G1216" t="s">
        <v>1182</v>
      </c>
      <c r="H1216" t="s">
        <v>1321</v>
      </c>
      <c r="I1216" t="s">
        <v>139</v>
      </c>
      <c r="J1216" t="s">
        <v>287</v>
      </c>
      <c r="K1216" s="94">
        <f>IF('Net zero activities &amp; levers'!$C$14="Off",Constants!$H78*'Activity data'!AD20*Constants!$H96*FracLEACHMM*MMLeachEF*NtoN2O*kgtoGg,IF('Net zero activities &amp; levers'!$C$14="On",Constants!$H78*'Net zero Activity data'!AD20*Constants!$H96*FracLEACHMM*MMLeachEF*NtoN2O*kgtoGg,"ERROR"))</f>
        <v>7.758579791322931E-2</v>
      </c>
      <c r="L1216" s="94">
        <f>IF('Net zero activities &amp; levers'!$C$14="Off",Constants!$H78*'Activity data'!AE20*Constants!$H96*FracLEACHMM*MMLeachEF*NtoN2O*kgtoGg,IF('Net zero activities &amp; levers'!$C$14="On",Constants!$H78*'Net zero Activity data'!AE20*Constants!$H96*FracLEACHMM*MMLeachEF*NtoN2O*kgtoGg,"ERROR"))</f>
        <v>7.8607464197542429E-2</v>
      </c>
      <c r="M1216" s="94">
        <f>IF('Net zero activities &amp; levers'!$C$14="Off",Constants!$H78*'Activity data'!AF20*Constants!$H96*FracLEACHMM*MMLeachEF*NtoN2O*kgtoGg,IF('Net zero activities &amp; levers'!$C$14="On",Constants!$H78*'Net zero Activity data'!AF20*Constants!$H96*FracLEACHMM*MMLeachEF*NtoN2O*kgtoGg,"ERROR"))</f>
        <v>8.0248553313821205E-2</v>
      </c>
      <c r="N1216" s="94">
        <f>IF('Net zero activities &amp; levers'!$C$14="Off",Constants!$H78*'Activity data'!AG20*Constants!$H96*FracLEACHMM*MMLeachEF*NtoN2O*kgtoGg,IF('Net zero activities &amp; levers'!$C$14="On",Constants!$H78*'Net zero Activity data'!AG20*Constants!$H96*FracLEACHMM*MMLeachEF*NtoN2O*kgtoGg,"ERROR"))</f>
        <v>8.0719757945382262E-2</v>
      </c>
      <c r="O1216" s="94">
        <f>IF('Net zero activities &amp; levers'!$C$14="Off",Constants!$H78*'Activity data'!AH20*Constants!$H96*FracLEACHMM*MMLeachEF*NtoN2O*kgtoGg,IF('Net zero activities &amp; levers'!$C$14="On",Constants!$H78*'Net zero Activity data'!AH20*Constants!$H96*FracLEACHMM*MMLeachEF*NtoN2O*kgtoGg,"ERROR"))</f>
        <v>8.0430818839717741E-2</v>
      </c>
      <c r="P1216" s="94">
        <f>IF('Net zero activities &amp; levers'!$C$14="Off",Constants!$H78*'Activity data'!AI20*Constants!$H96*FracLEACHMM*MMLeachEF*NtoN2O*kgtoGg,IF('Net zero activities &amp; levers'!$C$14="On",Constants!$H78*'Net zero Activity data'!AI20*Constants!$H96*FracLEACHMM*MMLeachEF*NtoN2O*kgtoGg,"ERROR"))</f>
        <v>7.938481013134728E-2</v>
      </c>
      <c r="Q1216" s="94">
        <f>IF('Net zero activities &amp; levers'!$C$14="Off",Constants!$H78*'Activity data'!AJ20*Constants!$H96*FracLEACHMM*MMLeachEF*NtoN2O*kgtoGg,IF('Net zero activities &amp; levers'!$C$14="On",Constants!$H78*'Net zero Activity data'!AJ20*Constants!$H96*FracLEACHMM*MMLeachEF*NtoN2O*kgtoGg,"ERROR"))</f>
        <v>7.8944464359385597E-2</v>
      </c>
      <c r="R1216" s="94">
        <f>IF('Net zero activities &amp; levers'!$C$14="Off",Constants!$H78*'Activity data'!AK20*Constants!$H96*FracLEACHMM*MMLeachEF*NtoN2O*kgtoGg,IF('Net zero activities &amp; levers'!$C$14="On",Constants!$H78*'Net zero Activity data'!AK20*Constants!$H96*FracLEACHMM*MMLeachEF*NtoN2O*kgtoGg,"ERROR"))</f>
        <v>7.8604018955287347E-2</v>
      </c>
      <c r="S1216" s="94">
        <f>IF('Net zero activities &amp; levers'!$C$14="Off",Constants!$H78*'Activity data'!AL20*Constants!$H96*FracLEACHMM*MMLeachEF*NtoN2O*kgtoGg,IF('Net zero activities &amp; levers'!$C$14="On",Constants!$H78*'Net zero Activity data'!AL20*Constants!$H96*FracLEACHMM*MMLeachEF*NtoN2O*kgtoGg,"ERROR"))</f>
        <v>6.6259107806349124E-2</v>
      </c>
      <c r="T1216" s="94">
        <f>IF('Net zero activities &amp; levers'!$C$14="Off",Constants!$H78*'Activity data'!AM20*Constants!$H96*FracLEACHMM*MMLeachEF*NtoN2O*kgtoGg,IF('Net zero activities &amp; levers'!$C$14="On",Constants!$H78*'Net zero Activity data'!AM20*Constants!$H96*FracLEACHMM*MMLeachEF*NtoN2O*kgtoGg,"ERROR"))</f>
        <v>6.8883290688916743E-2</v>
      </c>
      <c r="U1216" s="94">
        <f>IF('Net zero activities &amp; levers'!$C$14="Off",Constants!$H78*'Activity data'!AN20*Constants!$H96*FracLEACHMM*MMLeachEF*NtoN2O*kgtoGg,IF('Net zero activities &amp; levers'!$C$14="On",Constants!$H78*'Net zero Activity data'!AN20*Constants!$H96*FracLEACHMM*MMLeachEF*NtoN2O*kgtoGg,"ERROR"))</f>
        <v>7.307131784092237E-2</v>
      </c>
      <c r="V1216" s="94">
        <f>IF('Net zero activities &amp; levers'!$C$14="Off",Constants!$H78*'Activity data'!AO20*Constants!$H96*FracLEACHMM*MMLeachEF*NtoN2O*kgtoGg,IF('Net zero activities &amp; levers'!$C$14="On",Constants!$H78*'Net zero Activity data'!AO20*Constants!$H96*FracLEACHMM*MMLeachEF*NtoN2O*kgtoGg,"ERROR"))</f>
        <v>7.4685850466012449E-2</v>
      </c>
      <c r="W1216" s="94">
        <f>IF('Net zero activities &amp; levers'!$C$14="Off",Constants!$H78*'Activity data'!AP20*Constants!$H96*FracLEACHMM*MMLeachEF*NtoN2O*kgtoGg,IF('Net zero activities &amp; levers'!$C$14="On",Constants!$H78*'Net zero Activity data'!AP20*Constants!$H96*FracLEACHMM*MMLeachEF*NtoN2O*kgtoGg,"ERROR"))</f>
        <v>7.6617949690607756E-2</v>
      </c>
      <c r="X1216" s="94">
        <f>IF('Net zero activities &amp; levers'!$C$14="Off",Constants!$H78*'Activity data'!AQ20*Constants!$H96*FracLEACHMM*MMLeachEF*NtoN2O*kgtoGg,IF('Net zero activities &amp; levers'!$C$14="On",Constants!$H78*'Net zero Activity data'!AQ20*Constants!$H96*FracLEACHMM*MMLeachEF*NtoN2O*kgtoGg,"ERROR"))</f>
        <v>7.8965775854052137E-2</v>
      </c>
      <c r="Y1216" s="94">
        <f>IF('Net zero activities &amp; levers'!$C$14="Off",Constants!$H78*'Activity data'!AR20*Constants!$H96*FracLEACHMM*MMLeachEF*NtoN2O*kgtoGg,IF('Net zero activities &amp; levers'!$C$14="On",Constants!$H78*'Net zero Activity data'!AR20*Constants!$H96*FracLEACHMM*MMLeachEF*NtoN2O*kgtoGg,"ERROR"))</f>
        <v>8.1661778442119887E-2</v>
      </c>
      <c r="Z1216" s="94">
        <f>IF('Net zero activities &amp; levers'!$C$14="Off",Constants!$H78*'Activity data'!AS20*Constants!$H96*FracLEACHMM*MMLeachEF*NtoN2O*kgtoGg,IF('Net zero activities &amp; levers'!$C$14="On",Constants!$H78*'Net zero Activity data'!AS20*Constants!$H96*FracLEACHMM*MMLeachEF*NtoN2O*kgtoGg,"ERROR"))</f>
        <v>8.4680896790548951E-2</v>
      </c>
      <c r="AA1216" s="94">
        <f>IF('Net zero activities &amp; levers'!$C$14="Off",Constants!$H78*'Activity data'!AT20*Constants!$H96*FracLEACHMM*MMLeachEF*NtoN2O*kgtoGg,IF('Net zero activities &amp; levers'!$C$14="On",Constants!$H78*'Net zero Activity data'!AT20*Constants!$H96*FracLEACHMM*MMLeachEF*NtoN2O*kgtoGg,"ERROR"))</f>
        <v>8.776412775274034E-2</v>
      </c>
      <c r="AB1216" s="94">
        <f>IF('Net zero activities &amp; levers'!$C$14="Off",Constants!$H78*'Activity data'!AU20*Constants!$H96*FracLEACHMM*MMLeachEF*NtoN2O*kgtoGg,IF('Net zero activities &amp; levers'!$C$14="On",Constants!$H78*'Net zero Activity data'!AU20*Constants!$H96*FracLEACHMM*MMLeachEF*NtoN2O*kgtoGg,"ERROR"))</f>
        <v>9.1145488449202117E-2</v>
      </c>
      <c r="AC1216" s="94">
        <f>IF('Net zero activities &amp; levers'!$C$14="Off",Constants!$H78*'Activity data'!AV20*Constants!$H96*FracLEACHMM*MMLeachEF*NtoN2O*kgtoGg,IF('Net zero activities &amp; levers'!$C$14="On",Constants!$H78*'Net zero Activity data'!AV20*Constants!$H96*FracLEACHMM*MMLeachEF*NtoN2O*kgtoGg,"ERROR"))</f>
        <v>9.4570204644651698E-2</v>
      </c>
      <c r="AD1216" s="94">
        <f>IF('Net zero activities &amp; levers'!$C$14="Off",Constants!$H78*'Activity data'!AW20*Constants!$H96*FracLEACHMM*MMLeachEF*NtoN2O*kgtoGg,IF('Net zero activities &amp; levers'!$C$14="On",Constants!$H78*'Net zero Activity data'!AW20*Constants!$H96*FracLEACHMM*MMLeachEF*NtoN2O*kgtoGg,"ERROR"))</f>
        <v>9.8568154697968743E-2</v>
      </c>
      <c r="AE1216" s="94">
        <f>IF('Net zero activities &amp; levers'!$C$14="Off",Constants!$H78*'Activity data'!AX20*Constants!$H96*FracLEACHMM*MMLeachEF*NtoN2O*kgtoGg,IF('Net zero activities &amp; levers'!$C$14="On",Constants!$H78*'Net zero Activity data'!AX20*Constants!$H96*FracLEACHMM*MMLeachEF*NtoN2O*kgtoGg,"ERROR"))</f>
        <v>0.10244796560739347</v>
      </c>
      <c r="AF1216" s="94">
        <f>IF('Net zero activities &amp; levers'!$C$14="Off",Constants!$H78*'Activity data'!AY20*Constants!$H96*FracLEACHMM*MMLeachEF*NtoN2O*kgtoGg,IF('Net zero activities &amp; levers'!$C$14="On",Constants!$H78*'Net zero Activity data'!AY20*Constants!$H96*FracLEACHMM*MMLeachEF*NtoN2O*kgtoGg,"ERROR"))</f>
        <v>0.10654057141624064</v>
      </c>
      <c r="AG1216" s="94">
        <f>IF('Net zero activities &amp; levers'!$C$14="Off",Constants!$H78*'Activity data'!AZ20*Constants!$H96*FracLEACHMM*MMLeachEF*NtoN2O*kgtoGg,IF('Net zero activities &amp; levers'!$C$14="On",Constants!$H78*'Net zero Activity data'!AZ20*Constants!$H96*FracLEACHMM*MMLeachEF*NtoN2O*kgtoGg,"ERROR"))</f>
        <v>0.11123806657675694</v>
      </c>
      <c r="AH1216" s="94">
        <f>IF('Net zero activities &amp; levers'!$C$14="Off",Constants!$H78*'Activity data'!BA20*Constants!$H96*FracLEACHMM*MMLeachEF*NtoN2O*kgtoGg,IF('Net zero activities &amp; levers'!$C$14="On",Constants!$H78*'Net zero Activity data'!BA20*Constants!$H96*FracLEACHMM*MMLeachEF*NtoN2O*kgtoGg,"ERROR"))</f>
        <v>0.11560654614552646</v>
      </c>
      <c r="AI1216" s="94">
        <f>IF('Net zero activities &amp; levers'!$C$14="Off",Constants!$H78*'Activity data'!BB20*Constants!$H96*FracLEACHMM*MMLeachEF*NtoN2O*kgtoGg,IF('Net zero activities &amp; levers'!$C$14="On",Constants!$H78*'Net zero Activity data'!BB20*Constants!$H96*FracLEACHMM*MMLeachEF*NtoN2O*kgtoGg,"ERROR"))</f>
        <v>0.12031218938193437</v>
      </c>
      <c r="AJ1216" s="94">
        <f>IF('Net zero activities &amp; levers'!$C$14="Off",Constants!$H78*'Activity data'!BC20*Constants!$H96*FracLEACHMM*MMLeachEF*NtoN2O*kgtoGg,IF('Net zero activities &amp; levers'!$C$14="On",Constants!$H78*'Net zero Activity data'!BC20*Constants!$H96*FracLEACHMM*MMLeachEF*NtoN2O*kgtoGg,"ERROR"))</f>
        <v>0.12535029329403399</v>
      </c>
      <c r="AK1216" s="94">
        <f>IF('Net zero activities &amp; levers'!$C$14="Off",Constants!$H78*'Activity data'!BD20*Constants!$H96*FracLEACHMM*MMLeachEF*NtoN2O*kgtoGg,IF('Net zero activities &amp; levers'!$C$14="On",Constants!$H78*'Net zero Activity data'!BD20*Constants!$H96*FracLEACHMM*MMLeachEF*NtoN2O*kgtoGg,"ERROR"))</f>
        <v>0.12997331250710895</v>
      </c>
      <c r="AL1216" s="94">
        <f>IF('Net zero activities &amp; levers'!$C$14="Off",Constants!$H78*'Activity data'!BE20*Constants!$H96*FracLEACHMM*MMLeachEF*NtoN2O*kgtoGg,IF('Net zero activities &amp; levers'!$C$14="On",Constants!$H78*'Net zero Activity data'!BE20*Constants!$H96*FracLEACHMM*MMLeachEF*NtoN2O*kgtoGg,"ERROR"))</f>
        <v>0.13452286194458821</v>
      </c>
      <c r="AM1216" s="94">
        <f>IF('Net zero activities &amp; levers'!$C$14="Off",Constants!$H78*'Activity data'!BF20*Constants!$H96*FracLEACHMM*MMLeachEF*NtoN2O*kgtoGg,IF('Net zero activities &amp; levers'!$C$14="On",Constants!$H78*'Net zero Activity data'!BF20*Constants!$H96*FracLEACHMM*MMLeachEF*NtoN2O*kgtoGg,"ERROR"))</f>
        <v>0.13901554953719861</v>
      </c>
      <c r="AN1216" s="94">
        <f>IF('Net zero activities &amp; levers'!$C$14="Off",Constants!$H78*'Activity data'!BG20*Constants!$H96*FracLEACHMM*MMLeachEF*NtoN2O*kgtoGg,IF('Net zero activities &amp; levers'!$C$14="On",Constants!$H78*'Net zero Activity data'!BG20*Constants!$H96*FracLEACHMM*MMLeachEF*NtoN2O*kgtoGg,"ERROR"))</f>
        <v>0.1440082698862134</v>
      </c>
      <c r="AO1216" s="94">
        <f>IF('Net zero activities &amp; levers'!$C$14="Off",Constants!$H78*'Activity data'!BH20*Constants!$H96*FracLEACHMM*MMLeachEF*NtoN2O*kgtoGg,IF('Net zero activities &amp; levers'!$C$14="On",Constants!$H78*'Net zero Activity data'!BH20*Constants!$H96*FracLEACHMM*MMLeachEF*NtoN2O*kgtoGg,"ERROR"))</f>
        <v>0.14873185090680655</v>
      </c>
      <c r="AP1216" s="94">
        <f>IF('Net zero activities &amp; levers'!$C$14="Off",Constants!$H78*'Activity data'!BI20*Constants!$H96*FracLEACHMM*MMLeachEF*NtoN2O*kgtoGg,IF('Net zero activities &amp; levers'!$C$14="On",Constants!$H78*'Net zero Activity data'!BI20*Constants!$H96*FracLEACHMM*MMLeachEF*NtoN2O*kgtoGg,"ERROR"))</f>
        <v>0.15362755351583215</v>
      </c>
      <c r="AQ1216" s="94">
        <f>IF('Net zero activities &amp; levers'!$C$14="Off",Constants!$H78*'Activity data'!BJ20*Constants!$H96*FracLEACHMM*MMLeachEF*NtoN2O*kgtoGg,IF('Net zero activities &amp; levers'!$C$14="On",Constants!$H78*'Net zero Activity data'!BJ20*Constants!$H96*FracLEACHMM*MMLeachEF*NtoN2O*kgtoGg,"ERROR"))</f>
        <v>0.15872063106624867</v>
      </c>
      <c r="AR1216" s="94">
        <f>IF('Net zero activities &amp; levers'!$C$14="Off",Constants!$H78*'Activity data'!BK20*Constants!$H96*FracLEACHMM*MMLeachEF*NtoN2O*kgtoGg,IF('Net zero activities &amp; levers'!$C$14="On",Constants!$H78*'Net zero Activity data'!BK20*Constants!$H96*FracLEACHMM*MMLeachEF*NtoN2O*kgtoGg,"ERROR"))</f>
        <v>0.16405164052421939</v>
      </c>
      <c r="AS1216" s="94">
        <f>IF('Net zero activities &amp; levers'!$C$14="Off",Constants!$H78*'Activity data'!BL20*Constants!$H96*FracLEACHMM*MMLeachEF*NtoN2O*kgtoGg,IF('Net zero activities &amp; levers'!$C$14="On",Constants!$H78*'Net zero Activity data'!BL20*Constants!$H96*FracLEACHMM*MMLeachEF*NtoN2O*kgtoGg,"ERROR"))</f>
        <v>0.16968110376218293</v>
      </c>
      <c r="AT1216" s="94">
        <f>IF('Net zero activities &amp; levers'!$C$14="Off",Constants!$H78*'Activity data'!BM20*Constants!$H96*FracLEACHMM*MMLeachEF*NtoN2O*kgtoGg,IF('Net zero activities &amp; levers'!$C$14="On",Constants!$H78*'Net zero Activity data'!BM20*Constants!$H96*FracLEACHMM*MMLeachEF*NtoN2O*kgtoGg,"ERROR"))</f>
        <v>0.17053816071119138</v>
      </c>
      <c r="AU1216" s="94">
        <f>IF('Net zero activities &amp; levers'!$C$14="Off",Constants!$H78*'Activity data'!BN20*Constants!$H96*FracLEACHMM*MMLeachEF*NtoN2O*kgtoGg,IF('Net zero activities &amp; levers'!$C$14="On",Constants!$H78*'Net zero Activity data'!BN20*Constants!$H96*FracLEACHMM*MMLeachEF*NtoN2O*kgtoGg,"ERROR"))</f>
        <v>0.17095629027566819</v>
      </c>
      <c r="AV1216" s="94">
        <f>IF('Net zero activities &amp; levers'!$C$14="Off",Constants!$H78*'Activity data'!BO20*Constants!$H96*FracLEACHMM*MMLeachEF*NtoN2O*kgtoGg,IF('Net zero activities &amp; levers'!$C$14="On",Constants!$H78*'Net zero Activity data'!BO20*Constants!$H96*FracLEACHMM*MMLeachEF*NtoN2O*kgtoGg,"ERROR"))</f>
        <v>0.17074584650981994</v>
      </c>
      <c r="AW1216" s="94">
        <f>IF('Net zero activities &amp; levers'!$C$14="Off",Constants!$H78*'Activity data'!BP20*Constants!$H96*FracLEACHMM*MMLeachEF*NtoN2O*kgtoGg,IF('Net zero activities &amp; levers'!$C$14="On",Constants!$H78*'Net zero Activity data'!BP20*Constants!$H96*FracLEACHMM*MMLeachEF*NtoN2O*kgtoGg,"ERROR"))</f>
        <v>0.17035646457405007</v>
      </c>
      <c r="AY1216" s="79"/>
    </row>
    <row r="1220" spans="1:52" x14ac:dyDescent="0.3">
      <c r="A1220" s="95" t="str">
        <f t="shared" ref="A1220:A1338" si="384">B1220&amp;" "&amp;C1220</f>
        <v>FSFAGSPQNIBDDSCM Cattle</v>
      </c>
      <c r="B1220" s="95" t="s">
        <v>1375</v>
      </c>
      <c r="C1220" s="95" t="s">
        <v>1108</v>
      </c>
      <c r="D1220" t="s">
        <v>15</v>
      </c>
      <c r="E1220" t="s">
        <v>16</v>
      </c>
      <c r="F1220" t="s">
        <v>6</v>
      </c>
      <c r="G1220" t="s">
        <v>136</v>
      </c>
      <c r="H1220" t="s">
        <v>1020</v>
      </c>
      <c r="I1220" t="s">
        <v>121</v>
      </c>
      <c r="J1220" t="s">
        <v>286</v>
      </c>
      <c r="K1220" s="27">
        <f t="shared" ref="K1220:AW1220" si="385">IFERROR(K1379-((K1379-K4)+(K1379-K157)+(K1379-K310)+(K1379-K462)+(K1379-K614)+(K1379-K765)+(K1379-K916)+(K1379-K1067)),0)</f>
        <v>72.246065125367707</v>
      </c>
      <c r="L1220" s="27">
        <f t="shared" si="385"/>
        <v>72.649957574793376</v>
      </c>
      <c r="M1220" s="27">
        <f t="shared" si="385"/>
        <v>73.223011790998029</v>
      </c>
      <c r="N1220" s="27">
        <f t="shared" si="385"/>
        <v>73.591260167761035</v>
      </c>
      <c r="O1220" s="27">
        <f t="shared" si="385"/>
        <v>73.835962898346551</v>
      </c>
      <c r="P1220" s="27">
        <f t="shared" si="385"/>
        <v>73.954711561483904</v>
      </c>
      <c r="Q1220" s="27">
        <f t="shared" si="385"/>
        <v>74.217071552078707</v>
      </c>
      <c r="R1220" s="27">
        <f t="shared" si="385"/>
        <v>74.518042528471312</v>
      </c>
      <c r="S1220" s="27">
        <f t="shared" si="385"/>
        <v>72.278060008832611</v>
      </c>
      <c r="T1220" s="27">
        <f t="shared" si="385"/>
        <v>73.038072409871731</v>
      </c>
      <c r="U1220" s="27">
        <f t="shared" si="385"/>
        <v>74.1505294629453</v>
      </c>
      <c r="V1220" s="27">
        <f t="shared" si="385"/>
        <v>74.727142714641815</v>
      </c>
      <c r="W1220" s="27">
        <f t="shared" si="385"/>
        <v>75.386134904907664</v>
      </c>
      <c r="X1220" s="27">
        <f t="shared" si="385"/>
        <v>76.148849321322899</v>
      </c>
      <c r="Y1220" s="27">
        <f t="shared" si="385"/>
        <v>76.927724649348932</v>
      </c>
      <c r="Z1220" s="27">
        <f t="shared" si="385"/>
        <v>77.789839188812167</v>
      </c>
      <c r="AA1220" s="27">
        <f t="shared" si="385"/>
        <v>78.678659679683463</v>
      </c>
      <c r="AB1220" s="27">
        <f t="shared" si="385"/>
        <v>79.645214708438644</v>
      </c>
      <c r="AC1220" s="27">
        <f t="shared" si="385"/>
        <v>80.63357341135027</v>
      </c>
      <c r="AD1220" s="27">
        <f t="shared" si="385"/>
        <v>81.701326888312266</v>
      </c>
      <c r="AE1220" s="27">
        <f t="shared" si="385"/>
        <v>82.754629010299467</v>
      </c>
      <c r="AF1220" s="27">
        <f t="shared" si="385"/>
        <v>83.866381546619579</v>
      </c>
      <c r="AG1220" s="27">
        <f t="shared" si="385"/>
        <v>85.123957452137844</v>
      </c>
      <c r="AH1220" s="27">
        <f t="shared" si="385"/>
        <v>86.31962290876946</v>
      </c>
      <c r="AI1220" s="27">
        <f t="shared" si="385"/>
        <v>87.545771501366829</v>
      </c>
      <c r="AJ1220" s="27">
        <f t="shared" si="385"/>
        <v>88.857081922014302</v>
      </c>
      <c r="AK1220" s="27">
        <f t="shared" si="385"/>
        <v>90.085621753712104</v>
      </c>
      <c r="AL1220" s="27">
        <f t="shared" si="385"/>
        <v>91.307494637553916</v>
      </c>
      <c r="AM1220" s="27">
        <f t="shared" si="385"/>
        <v>92.526099205531537</v>
      </c>
      <c r="AN1220" s="27">
        <f t="shared" si="385"/>
        <v>93.815346302798517</v>
      </c>
      <c r="AO1220" s="27">
        <f t="shared" si="385"/>
        <v>95.052737285389242</v>
      </c>
      <c r="AP1220" s="27">
        <f t="shared" si="385"/>
        <v>96.338177882566526</v>
      </c>
      <c r="AQ1220" s="27">
        <f t="shared" si="385"/>
        <v>97.677530754509618</v>
      </c>
      <c r="AR1220" s="27">
        <f t="shared" si="385"/>
        <v>99.08022368038182</v>
      </c>
      <c r="AS1220" s="27">
        <f t="shared" si="385"/>
        <v>100.50772839666152</v>
      </c>
      <c r="AT1220" s="27">
        <f t="shared" si="385"/>
        <v>100.84617835677685</v>
      </c>
      <c r="AU1220" s="27">
        <f t="shared" si="385"/>
        <v>101.08705215806816</v>
      </c>
      <c r="AV1220" s="27">
        <f t="shared" si="385"/>
        <v>101.18574255533849</v>
      </c>
      <c r="AW1220" s="27">
        <f t="shared" si="385"/>
        <v>101.24533448141288</v>
      </c>
      <c r="AY1220" s="79"/>
      <c r="AZ1220" s="79"/>
    </row>
    <row r="1221" spans="1:52" x14ac:dyDescent="0.3">
      <c r="A1221" s="95" t="str">
        <f t="shared" si="384"/>
        <v>FSFAGSPQNIBDDSCM Cattle</v>
      </c>
      <c r="B1221" s="95" t="s">
        <v>1375</v>
      </c>
      <c r="C1221" s="95" t="s">
        <v>1108</v>
      </c>
      <c r="D1221" t="s">
        <v>15</v>
      </c>
      <c r="E1221" t="s">
        <v>16</v>
      </c>
      <c r="F1221" t="s">
        <v>6</v>
      </c>
      <c r="G1221" t="s">
        <v>137</v>
      </c>
      <c r="H1221" t="s">
        <v>1020</v>
      </c>
      <c r="I1221" t="s">
        <v>121</v>
      </c>
      <c r="J1221" t="s">
        <v>286</v>
      </c>
      <c r="K1221" s="27">
        <f t="shared" ref="K1221:AW1221" si="386">IFERROR(K1380-((K1380-K5)+(K1380-K158)+(K1380-K311)+(K1380-K463)+(K1380-K615)+(K1380-K766)+(K1380-K917)+(K1380-K1068)),0)</f>
        <v>57.783598896292567</v>
      </c>
      <c r="L1221" s="27">
        <f t="shared" si="386"/>
        <v>58.106638763645272</v>
      </c>
      <c r="M1221" s="27">
        <f t="shared" si="386"/>
        <v>58.564977012483297</v>
      </c>
      <c r="N1221" s="27">
        <f t="shared" si="386"/>
        <v>58.859508160444918</v>
      </c>
      <c r="O1221" s="27">
        <f t="shared" si="386"/>
        <v>59.055225455337649</v>
      </c>
      <c r="P1221" s="27">
        <f t="shared" si="386"/>
        <v>59.150202601958597</v>
      </c>
      <c r="Q1221" s="27">
        <f t="shared" si="386"/>
        <v>59.360042465716688</v>
      </c>
      <c r="R1221" s="27">
        <f t="shared" si="386"/>
        <v>59.600764035107602</v>
      </c>
      <c r="S1221" s="27">
        <f t="shared" si="386"/>
        <v>57.809188933752196</v>
      </c>
      <c r="T1221" s="27">
        <f t="shared" si="386"/>
        <v>58.417059433849957</v>
      </c>
      <c r="U1221" s="27">
        <f t="shared" si="386"/>
        <v>59.306821001246142</v>
      </c>
      <c r="V1221" s="27">
        <f t="shared" si="386"/>
        <v>59.768005825589199</v>
      </c>
      <c r="W1221" s="27">
        <f t="shared" si="386"/>
        <v>60.295078688755297</v>
      </c>
      <c r="X1221" s="27">
        <f t="shared" si="386"/>
        <v>60.905110305481806</v>
      </c>
      <c r="Y1221" s="27">
        <f t="shared" si="386"/>
        <v>61.528067686853028</v>
      </c>
      <c r="Z1221" s="27">
        <f t="shared" si="386"/>
        <v>62.217601167528549</v>
      </c>
      <c r="AA1221" s="27">
        <f t="shared" si="386"/>
        <v>62.928494510248186</v>
      </c>
      <c r="AB1221" s="27">
        <f t="shared" si="386"/>
        <v>63.701561223236183</v>
      </c>
      <c r="AC1221" s="27">
        <f t="shared" si="386"/>
        <v>64.492066875766909</v>
      </c>
      <c r="AD1221" s="27">
        <f t="shared" si="386"/>
        <v>65.346073782936557</v>
      </c>
      <c r="AE1221" s="27">
        <f t="shared" si="386"/>
        <v>66.18852225716013</v>
      </c>
      <c r="AF1221" s="27">
        <f t="shared" si="386"/>
        <v>67.077720340393881</v>
      </c>
      <c r="AG1221" s="27">
        <f t="shared" si="386"/>
        <v>68.083550368368549</v>
      </c>
      <c r="AH1221" s="27">
        <f t="shared" si="386"/>
        <v>69.039863394417281</v>
      </c>
      <c r="AI1221" s="27">
        <f t="shared" si="386"/>
        <v>70.020557337249372</v>
      </c>
      <c r="AJ1221" s="27">
        <f t="shared" si="386"/>
        <v>71.069365119981001</v>
      </c>
      <c r="AK1221" s="27">
        <f t="shared" si="386"/>
        <v>72.051971615431754</v>
      </c>
      <c r="AL1221" s="27">
        <f t="shared" si="386"/>
        <v>73.029245775618222</v>
      </c>
      <c r="AM1221" s="27">
        <f t="shared" si="386"/>
        <v>74.003905882670679</v>
      </c>
      <c r="AN1221" s="27">
        <f t="shared" si="386"/>
        <v>75.035067054111778</v>
      </c>
      <c r="AO1221" s="27">
        <f t="shared" si="386"/>
        <v>76.024752846574486</v>
      </c>
      <c r="AP1221" s="27">
        <f t="shared" si="386"/>
        <v>77.05286951622854</v>
      </c>
      <c r="AQ1221" s="27">
        <f t="shared" si="386"/>
        <v>78.12410611573965</v>
      </c>
      <c r="AR1221" s="27">
        <f t="shared" si="386"/>
        <v>79.246003138956311</v>
      </c>
      <c r="AS1221" s="27">
        <f t="shared" si="386"/>
        <v>80.387745042891623</v>
      </c>
      <c r="AT1221" s="27">
        <f t="shared" si="386"/>
        <v>80.658442923915771</v>
      </c>
      <c r="AU1221" s="27">
        <f t="shared" si="386"/>
        <v>80.851097777772381</v>
      </c>
      <c r="AV1221" s="27">
        <f t="shared" si="386"/>
        <v>80.930031991295138</v>
      </c>
      <c r="AW1221" s="27">
        <f t="shared" si="386"/>
        <v>80.977694600293489</v>
      </c>
      <c r="AY1221" s="79"/>
      <c r="AZ1221" s="79"/>
    </row>
    <row r="1222" spans="1:52" x14ac:dyDescent="0.3">
      <c r="A1222" s="95" t="str">
        <f t="shared" si="384"/>
        <v>FSFAGSPQNIBDDSCM Cattle</v>
      </c>
      <c r="B1222" s="95" t="s">
        <v>1375</v>
      </c>
      <c r="C1222" s="95" t="s">
        <v>1108</v>
      </c>
      <c r="D1222" t="s">
        <v>15</v>
      </c>
      <c r="E1222" t="s">
        <v>16</v>
      </c>
      <c r="F1222" t="s">
        <v>67</v>
      </c>
      <c r="G1222" t="s">
        <v>307</v>
      </c>
      <c r="H1222" t="s">
        <v>1020</v>
      </c>
      <c r="I1222" t="s">
        <v>121</v>
      </c>
      <c r="J1222" t="s">
        <v>286</v>
      </c>
      <c r="K1222" s="27">
        <f t="shared" ref="K1222:AW1222" si="387">IFERROR(K1381-((K1381-K6)+(K1381-K159)+(K1381-K312)+(K1381-K464)+(K1381-K616)+(K1381-K767)+(K1381-K918)+(K1381-K1069)),0)</f>
        <v>26.126191807126649</v>
      </c>
      <c r="L1222" s="27">
        <f t="shared" si="387"/>
        <v>26.272250579806297</v>
      </c>
      <c r="M1222" s="27">
        <f t="shared" si="387"/>
        <v>26.479482964607669</v>
      </c>
      <c r="N1222" s="27">
        <f t="shared" si="387"/>
        <v>26.61265184663991</v>
      </c>
      <c r="O1222" s="27">
        <f t="shared" si="387"/>
        <v>26.701143177813595</v>
      </c>
      <c r="P1222" s="27">
        <f t="shared" si="387"/>
        <v>26.744086005835889</v>
      </c>
      <c r="Q1222" s="27">
        <f t="shared" si="387"/>
        <v>26.838962694620271</v>
      </c>
      <c r="R1222" s="27">
        <f t="shared" si="387"/>
        <v>26.947802192577246</v>
      </c>
      <c r="S1222" s="27">
        <f t="shared" si="387"/>
        <v>26.137762049198656</v>
      </c>
      <c r="T1222" s="27">
        <f t="shared" si="387"/>
        <v>26.412603727162519</v>
      </c>
      <c r="U1222" s="27">
        <f t="shared" si="387"/>
        <v>26.814899219593229</v>
      </c>
      <c r="V1222" s="27">
        <f t="shared" si="387"/>
        <v>27.023418650875932</v>
      </c>
      <c r="W1222" s="27">
        <f t="shared" si="387"/>
        <v>27.261728603568962</v>
      </c>
      <c r="X1222" s="27">
        <f t="shared" si="387"/>
        <v>27.53754740564138</v>
      </c>
      <c r="Y1222" s="27">
        <f t="shared" si="387"/>
        <v>27.819210444016349</v>
      </c>
      <c r="Z1222" s="27">
        <f t="shared" si="387"/>
        <v>28.13097510246029</v>
      </c>
      <c r="AA1222" s="27">
        <f t="shared" si="387"/>
        <v>28.452397377657032</v>
      </c>
      <c r="AB1222" s="27">
        <f t="shared" si="387"/>
        <v>28.801930629462248</v>
      </c>
      <c r="AC1222" s="27">
        <f t="shared" si="387"/>
        <v>29.159348697860899</v>
      </c>
      <c r="AD1222" s="27">
        <f t="shared" si="387"/>
        <v>29.545478130563247</v>
      </c>
      <c r="AE1222" s="27">
        <f t="shared" si="387"/>
        <v>29.92638155031543</v>
      </c>
      <c r="AF1222" s="27">
        <f t="shared" si="387"/>
        <v>30.328422269841898</v>
      </c>
      <c r="AG1222" s="27">
        <f t="shared" si="387"/>
        <v>30.783196786108999</v>
      </c>
      <c r="AH1222" s="27">
        <f t="shared" si="387"/>
        <v>31.215582757620478</v>
      </c>
      <c r="AI1222" s="27">
        <f t="shared" si="387"/>
        <v>31.658992281151598</v>
      </c>
      <c r="AJ1222" s="27">
        <f t="shared" si="387"/>
        <v>32.133198696533107</v>
      </c>
      <c r="AK1222" s="27">
        <f t="shared" si="387"/>
        <v>32.57747295880516</v>
      </c>
      <c r="AL1222" s="27">
        <f t="shared" si="387"/>
        <v>33.019336266817611</v>
      </c>
      <c r="AM1222" s="27">
        <f t="shared" si="387"/>
        <v>33.460017660673138</v>
      </c>
      <c r="AN1222" s="27">
        <f t="shared" si="387"/>
        <v>33.926245363061206</v>
      </c>
      <c r="AO1222" s="27">
        <f t="shared" si="387"/>
        <v>34.37372044831983</v>
      </c>
      <c r="AP1222" s="27">
        <f t="shared" si="387"/>
        <v>34.838571614127183</v>
      </c>
      <c r="AQ1222" s="27">
        <f t="shared" si="387"/>
        <v>35.322918961890544</v>
      </c>
      <c r="AR1222" s="27">
        <f t="shared" si="387"/>
        <v>35.830171839458941</v>
      </c>
      <c r="AS1222" s="27">
        <f t="shared" si="387"/>
        <v>36.346397352341668</v>
      </c>
      <c r="AT1222" s="27">
        <f t="shared" si="387"/>
        <v>36.468790295953795</v>
      </c>
      <c r="AU1222" s="27">
        <f t="shared" si="387"/>
        <v>36.555896979520966</v>
      </c>
      <c r="AV1222" s="27">
        <f t="shared" si="387"/>
        <v>36.591586179259828</v>
      </c>
      <c r="AW1222" s="27">
        <f t="shared" si="387"/>
        <v>36.613136281512098</v>
      </c>
      <c r="AY1222" s="79"/>
      <c r="AZ1222" s="79"/>
    </row>
    <row r="1223" spans="1:52" x14ac:dyDescent="0.3">
      <c r="A1223" s="95" t="str">
        <f t="shared" si="384"/>
        <v>FSFAGSPQNIBDDSCM Cattle</v>
      </c>
      <c r="B1223" s="95" t="s">
        <v>1375</v>
      </c>
      <c r="C1223" s="95" t="s">
        <v>1108</v>
      </c>
      <c r="D1223" t="s">
        <v>15</v>
      </c>
      <c r="E1223" t="s">
        <v>16</v>
      </c>
      <c r="F1223" t="s">
        <v>67</v>
      </c>
      <c r="G1223" t="s">
        <v>122</v>
      </c>
      <c r="H1223" t="s">
        <v>1020</v>
      </c>
      <c r="I1223" t="s">
        <v>121</v>
      </c>
      <c r="J1223" t="s">
        <v>286</v>
      </c>
      <c r="K1223" s="27">
        <f t="shared" ref="K1223:AW1223" si="388">IFERROR(K1382-((K1382-K7)+(K1382-K160)+(K1382-K313)+(K1382-K465)+(K1382-K617)+(K1382-K768)+(K1382-K919)+(K1382-K1070)),0)</f>
        <v>463.23498593143194</v>
      </c>
      <c r="L1223" s="27">
        <f t="shared" si="388"/>
        <v>459.2174968362159</v>
      </c>
      <c r="M1223" s="27">
        <f t="shared" si="388"/>
        <v>457.68816035731248</v>
      </c>
      <c r="N1223" s="27">
        <f t="shared" si="388"/>
        <v>451.57633407663525</v>
      </c>
      <c r="O1223" s="27">
        <f t="shared" si="388"/>
        <v>442.70486896910717</v>
      </c>
      <c r="P1223" s="27">
        <f t="shared" si="388"/>
        <v>431.25721304480408</v>
      </c>
      <c r="Q1223" s="27">
        <f t="shared" si="388"/>
        <v>422.22811200839215</v>
      </c>
      <c r="R1223" s="27">
        <f t="shared" si="388"/>
        <v>413.68555596285586</v>
      </c>
      <c r="S1223" s="27">
        <f t="shared" si="388"/>
        <v>363.92269119895411</v>
      </c>
      <c r="T1223" s="27">
        <f t="shared" si="388"/>
        <v>369.83389237357579</v>
      </c>
      <c r="U1223" s="27">
        <f t="shared" si="388"/>
        <v>380.86142464434585</v>
      </c>
      <c r="V1223" s="27">
        <f t="shared" si="388"/>
        <v>383.06375021143805</v>
      </c>
      <c r="W1223" s="27">
        <f t="shared" si="388"/>
        <v>386.24013707294779</v>
      </c>
      <c r="X1223" s="27">
        <f t="shared" si="388"/>
        <v>390.6712668095617</v>
      </c>
      <c r="Y1223" s="27">
        <f t="shared" si="388"/>
        <v>395.75397479595648</v>
      </c>
      <c r="Z1223" s="27">
        <f t="shared" si="388"/>
        <v>401.71318303321101</v>
      </c>
      <c r="AA1223" s="27">
        <f t="shared" si="388"/>
        <v>407.69987647206653</v>
      </c>
      <c r="AB1223" s="27">
        <f t="shared" si="388"/>
        <v>414.43305929383774</v>
      </c>
      <c r="AC1223" s="27">
        <f t="shared" si="388"/>
        <v>421.09942264585908</v>
      </c>
      <c r="AD1223" s="27">
        <f t="shared" si="388"/>
        <v>425.44191060723506</v>
      </c>
      <c r="AE1223" s="27">
        <f t="shared" si="388"/>
        <v>429.00739584475377</v>
      </c>
      <c r="AF1223" s="27">
        <f t="shared" si="388"/>
        <v>432.77412897631666</v>
      </c>
      <c r="AG1223" s="27">
        <f t="shared" si="388"/>
        <v>437.81397558556199</v>
      </c>
      <c r="AH1223" s="27">
        <f t="shared" si="388"/>
        <v>441.43846379327863</v>
      </c>
      <c r="AI1223" s="27">
        <f t="shared" si="388"/>
        <v>445.30127510523226</v>
      </c>
      <c r="AJ1223" s="27">
        <f t="shared" si="388"/>
        <v>449.5534309991009</v>
      </c>
      <c r="AK1223" s="27">
        <f t="shared" si="388"/>
        <v>452.20309019469192</v>
      </c>
      <c r="AL1223" s="27">
        <f t="shared" si="388"/>
        <v>454.19091289569144</v>
      </c>
      <c r="AM1223" s="27">
        <f t="shared" si="388"/>
        <v>455.5735708938164</v>
      </c>
      <c r="AN1223" s="27">
        <f t="shared" si="388"/>
        <v>459.87188917365768</v>
      </c>
      <c r="AO1223" s="27">
        <f t="shared" si="388"/>
        <v>463.13915520973467</v>
      </c>
      <c r="AP1223" s="27">
        <f t="shared" si="388"/>
        <v>466.44766361257473</v>
      </c>
      <c r="AQ1223" s="27">
        <f t="shared" si="388"/>
        <v>469.83526222266636</v>
      </c>
      <c r="AR1223" s="27">
        <f t="shared" si="388"/>
        <v>473.37026305322627</v>
      </c>
      <c r="AS1223" s="27">
        <f t="shared" si="388"/>
        <v>476.99976993126808</v>
      </c>
      <c r="AT1223" s="27">
        <f t="shared" si="388"/>
        <v>469.84014483659178</v>
      </c>
      <c r="AU1223" s="27">
        <f t="shared" si="388"/>
        <v>461.72949370511395</v>
      </c>
      <c r="AV1223" s="27">
        <f t="shared" si="388"/>
        <v>452.32664742475527</v>
      </c>
      <c r="AW1223" s="27">
        <f t="shared" si="388"/>
        <v>442.62912277964222</v>
      </c>
      <c r="AY1223" s="79"/>
      <c r="AZ1223" s="79"/>
    </row>
    <row r="1224" spans="1:52" x14ac:dyDescent="0.3">
      <c r="A1224" s="95" t="str">
        <f t="shared" si="384"/>
        <v>FSFAGSPQNIBDDSCM Cattle</v>
      </c>
      <c r="B1224" s="95" t="s">
        <v>1375</v>
      </c>
      <c r="C1224" s="95" t="s">
        <v>1108</v>
      </c>
      <c r="D1224" t="s">
        <v>15</v>
      </c>
      <c r="E1224" t="s">
        <v>16</v>
      </c>
      <c r="F1224" t="s">
        <v>67</v>
      </c>
      <c r="G1224" t="s">
        <v>123</v>
      </c>
      <c r="H1224" t="s">
        <v>1020</v>
      </c>
      <c r="I1224" t="s">
        <v>121</v>
      </c>
      <c r="J1224" t="s">
        <v>286</v>
      </c>
      <c r="K1224" s="27">
        <f t="shared" ref="K1224:AW1224" si="389">IFERROR(K1383-((K1383-K8)+(K1383-K161)+(K1383-K314)+(K1383-K466)+(K1383-K618)+(K1383-K769)+(K1383-K920)+(K1383-K1071)),0)</f>
        <v>326.20040935577742</v>
      </c>
      <c r="L1224" s="27">
        <f t="shared" si="389"/>
        <v>323.37137738012308</v>
      </c>
      <c r="M1224" s="27">
        <f t="shared" si="389"/>
        <v>322.29445054900748</v>
      </c>
      <c r="N1224" s="27">
        <f t="shared" si="389"/>
        <v>317.99063003627219</v>
      </c>
      <c r="O1224" s="27">
        <f t="shared" si="389"/>
        <v>311.74352945546792</v>
      </c>
      <c r="P1224" s="27">
        <f t="shared" si="389"/>
        <v>303.68232906672063</v>
      </c>
      <c r="Q1224" s="27">
        <f t="shared" si="389"/>
        <v>297.32422455466599</v>
      </c>
      <c r="R1224" s="27">
        <f t="shared" si="389"/>
        <v>291.30873487096773</v>
      </c>
      <c r="S1224" s="27">
        <f t="shared" si="389"/>
        <v>256.26676405768438</v>
      </c>
      <c r="T1224" s="27">
        <f t="shared" si="389"/>
        <v>260.42930855779127</v>
      </c>
      <c r="U1224" s="27">
        <f t="shared" si="389"/>
        <v>268.19466663772192</v>
      </c>
      <c r="V1224" s="27">
        <f t="shared" si="389"/>
        <v>269.7454983394245</v>
      </c>
      <c r="W1224" s="27">
        <f t="shared" si="389"/>
        <v>271.98224367594827</v>
      </c>
      <c r="X1224" s="27">
        <f t="shared" si="389"/>
        <v>275.10255275857435</v>
      </c>
      <c r="Y1224" s="27">
        <f t="shared" si="389"/>
        <v>278.68168964622578</v>
      </c>
      <c r="Z1224" s="27">
        <f t="shared" si="389"/>
        <v>282.87803971792886</v>
      </c>
      <c r="AA1224" s="27">
        <f t="shared" si="389"/>
        <v>287.09374429498189</v>
      </c>
      <c r="AB1224" s="27">
        <f t="shared" si="389"/>
        <v>291.83511111621357</v>
      </c>
      <c r="AC1224" s="27">
        <f t="shared" si="389"/>
        <v>296.52942506137316</v>
      </c>
      <c r="AD1224" s="27">
        <f t="shared" si="389"/>
        <v>299.58731445583493</v>
      </c>
      <c r="AE1224" s="27">
        <f t="shared" si="389"/>
        <v>302.09805474824185</v>
      </c>
      <c r="AF1224" s="27">
        <f t="shared" si="389"/>
        <v>304.75050960758114</v>
      </c>
      <c r="AG1224" s="27">
        <f t="shared" si="389"/>
        <v>308.29946440796289</v>
      </c>
      <c r="AH1224" s="27">
        <f t="shared" si="389"/>
        <v>310.85175336058825</v>
      </c>
      <c r="AI1224" s="27">
        <f t="shared" si="389"/>
        <v>313.57186446940221</v>
      </c>
      <c r="AJ1224" s="27">
        <f t="shared" si="389"/>
        <v>316.5661439071601</v>
      </c>
      <c r="AK1224" s="27">
        <f t="shared" si="389"/>
        <v>318.43197861417656</v>
      </c>
      <c r="AL1224" s="27">
        <f t="shared" si="389"/>
        <v>319.83176187426193</v>
      </c>
      <c r="AM1224" s="27">
        <f t="shared" si="389"/>
        <v>320.80540078040053</v>
      </c>
      <c r="AN1224" s="27">
        <f t="shared" si="389"/>
        <v>323.83218680694904</v>
      </c>
      <c r="AO1224" s="27">
        <f t="shared" si="389"/>
        <v>326.13292736155017</v>
      </c>
      <c r="AP1224" s="27">
        <f t="shared" si="389"/>
        <v>328.46270993009568</v>
      </c>
      <c r="AQ1224" s="27">
        <f t="shared" si="389"/>
        <v>330.84818617197112</v>
      </c>
      <c r="AR1224" s="27">
        <f t="shared" si="389"/>
        <v>333.33745998120867</v>
      </c>
      <c r="AS1224" s="27">
        <f t="shared" si="389"/>
        <v>335.89328297673717</v>
      </c>
      <c r="AT1224" s="27">
        <f t="shared" si="389"/>
        <v>330.85162440679704</v>
      </c>
      <c r="AU1224" s="27">
        <f t="shared" si="389"/>
        <v>325.14027314970184</v>
      </c>
      <c r="AV1224" s="27">
        <f t="shared" si="389"/>
        <v>318.5189850369415</v>
      </c>
      <c r="AW1224" s="27">
        <f t="shared" si="389"/>
        <v>311.6901905696734</v>
      </c>
      <c r="AY1224" s="79"/>
      <c r="AZ1224" s="79"/>
    </row>
    <row r="1225" spans="1:52" x14ac:dyDescent="0.3">
      <c r="A1225" s="95" t="str">
        <f t="shared" si="384"/>
        <v>FSFAGSPQNIBDDSCM Cattle</v>
      </c>
      <c r="B1225" s="95" t="s">
        <v>1375</v>
      </c>
      <c r="C1225" s="95" t="s">
        <v>1108</v>
      </c>
      <c r="D1225" t="s">
        <v>15</v>
      </c>
      <c r="E1225" t="s">
        <v>16</v>
      </c>
      <c r="F1225" t="s">
        <v>67</v>
      </c>
      <c r="G1225" t="s">
        <v>135</v>
      </c>
      <c r="H1225" t="s">
        <v>1020</v>
      </c>
      <c r="I1225" t="s">
        <v>121</v>
      </c>
      <c r="J1225" t="s">
        <v>286</v>
      </c>
      <c r="K1225" s="27">
        <f t="shared" ref="K1225:AW1225" si="390">IFERROR(K1384-((K1384-K9)+(K1384-K162)+(K1384-K315)+(K1384-K467)+(K1384-K619)+(K1384-K770)+(K1384-K921)+(K1384-K1072)),0)</f>
        <v>31.891995988947272</v>
      </c>
      <c r="L1225" s="27">
        <f t="shared" si="390"/>
        <v>32.967337371253535</v>
      </c>
      <c r="M1225" s="27">
        <f t="shared" si="390"/>
        <v>34.243655078433662</v>
      </c>
      <c r="N1225" s="27">
        <f t="shared" si="390"/>
        <v>35.19550479761466</v>
      </c>
      <c r="O1225" s="27">
        <f t="shared" si="390"/>
        <v>35.929559405213332</v>
      </c>
      <c r="P1225" s="27">
        <f t="shared" si="390"/>
        <v>36.435327957872907</v>
      </c>
      <c r="Q1225" s="27">
        <f t="shared" si="390"/>
        <v>37.125912791560339</v>
      </c>
      <c r="R1225" s="27">
        <f t="shared" si="390"/>
        <v>37.849847328761314</v>
      </c>
      <c r="S1225" s="27">
        <f t="shared" si="390"/>
        <v>34.642542509776739</v>
      </c>
      <c r="T1225" s="27">
        <f t="shared" si="390"/>
        <v>36.053430902114805</v>
      </c>
      <c r="U1225" s="27">
        <f t="shared" si="390"/>
        <v>38.010696022356719</v>
      </c>
      <c r="V1225" s="27">
        <f t="shared" si="390"/>
        <v>39.127373882680487</v>
      </c>
      <c r="W1225" s="27">
        <f t="shared" si="390"/>
        <v>40.366459949035139</v>
      </c>
      <c r="X1225" s="27">
        <f t="shared" si="390"/>
        <v>41.765821576969046</v>
      </c>
      <c r="Y1225" s="27">
        <f t="shared" si="390"/>
        <v>43.269588309323517</v>
      </c>
      <c r="Z1225" s="27">
        <f t="shared" si="390"/>
        <v>44.908778901884347</v>
      </c>
      <c r="AA1225" s="27">
        <f t="shared" si="390"/>
        <v>46.594068388350003</v>
      </c>
      <c r="AB1225" s="27">
        <f t="shared" si="390"/>
        <v>48.410923677012072</v>
      </c>
      <c r="AC1225" s="27">
        <f t="shared" si="390"/>
        <v>50.269303700477998</v>
      </c>
      <c r="AD1225" s="27">
        <f t="shared" si="390"/>
        <v>52.471951507677524</v>
      </c>
      <c r="AE1225" s="27">
        <f t="shared" si="390"/>
        <v>54.669760459111487</v>
      </c>
      <c r="AF1225" s="27">
        <f t="shared" si="390"/>
        <v>56.986868883720433</v>
      </c>
      <c r="AG1225" s="27">
        <f t="shared" si="390"/>
        <v>59.577013910557568</v>
      </c>
      <c r="AH1225" s="27">
        <f t="shared" si="390"/>
        <v>62.085208612074666</v>
      </c>
      <c r="AI1225" s="27">
        <f t="shared" si="390"/>
        <v>64.738520962902328</v>
      </c>
      <c r="AJ1225" s="27">
        <f t="shared" si="390"/>
        <v>67.569668411383148</v>
      </c>
      <c r="AK1225" s="27">
        <f t="shared" si="390"/>
        <v>70.282185941463524</v>
      </c>
      <c r="AL1225" s="27">
        <f t="shared" si="390"/>
        <v>73.009611809365794</v>
      </c>
      <c r="AM1225" s="27">
        <f t="shared" si="390"/>
        <v>75.757864250149765</v>
      </c>
      <c r="AN1225" s="27">
        <f t="shared" si="390"/>
        <v>78.63033008147255</v>
      </c>
      <c r="AO1225" s="27">
        <f t="shared" si="390"/>
        <v>81.431036976471376</v>
      </c>
      <c r="AP1225" s="27">
        <f t="shared" si="390"/>
        <v>84.343805269420216</v>
      </c>
      <c r="AQ1225" s="27">
        <f t="shared" si="390"/>
        <v>87.381529968917789</v>
      </c>
      <c r="AR1225" s="27">
        <f t="shared" si="390"/>
        <v>90.56411958911923</v>
      </c>
      <c r="AS1225" s="27">
        <f t="shared" si="390"/>
        <v>93.889582462340528</v>
      </c>
      <c r="AT1225" s="27">
        <f t="shared" si="390"/>
        <v>95.161623451693828</v>
      </c>
      <c r="AU1225" s="27">
        <f t="shared" si="390"/>
        <v>96.246716097882043</v>
      </c>
      <c r="AV1225" s="27">
        <f t="shared" si="390"/>
        <v>97.054781525387583</v>
      </c>
      <c r="AW1225" s="27">
        <f t="shared" si="390"/>
        <v>97.781567637634097</v>
      </c>
      <c r="AY1225" s="79"/>
      <c r="AZ1225" s="79"/>
    </row>
    <row r="1226" spans="1:52" x14ac:dyDescent="0.3">
      <c r="A1226" s="95" t="str">
        <f t="shared" si="384"/>
        <v>FSFAGSPQNIBDDSCM Sheep</v>
      </c>
      <c r="B1226" s="95" t="s">
        <v>1375</v>
      </c>
      <c r="C1226" s="95" t="s">
        <v>152</v>
      </c>
      <c r="D1226" t="s">
        <v>15</v>
      </c>
      <c r="E1226" t="s">
        <v>16</v>
      </c>
      <c r="F1226" t="s">
        <v>18</v>
      </c>
      <c r="G1226" t="s">
        <v>122</v>
      </c>
      <c r="H1226" t="s">
        <v>1020</v>
      </c>
      <c r="I1226" t="s">
        <v>121</v>
      </c>
      <c r="J1226" t="s">
        <v>286</v>
      </c>
      <c r="K1226" s="27">
        <f t="shared" ref="K1226:AW1226" si="391">IFERROR(K1385-((K1385-K10)+(K1385-K163)+(K1385-K316)+(K1385-K468)+(K1385-K620)+(K1385-K771)+(K1385-K922)+(K1385-K1073)),0)</f>
        <v>132.59034293279757</v>
      </c>
      <c r="L1226" s="27">
        <f t="shared" si="391"/>
        <v>132.66203410931632</v>
      </c>
      <c r="M1226" s="27">
        <f t="shared" si="391"/>
        <v>132.83344502276296</v>
      </c>
      <c r="N1226" s="27">
        <f t="shared" si="391"/>
        <v>133.08619178866664</v>
      </c>
      <c r="O1226" s="27">
        <f t="shared" si="391"/>
        <v>133.41866827856941</v>
      </c>
      <c r="P1226" s="27">
        <f t="shared" si="391"/>
        <v>133.8273636783253</v>
      </c>
      <c r="Q1226" s="27">
        <f t="shared" si="391"/>
        <v>134.2863843975903</v>
      </c>
      <c r="R1226" s="27">
        <f t="shared" si="391"/>
        <v>134.79283247693314</v>
      </c>
      <c r="S1226" s="27">
        <f t="shared" si="391"/>
        <v>135.25595136269689</v>
      </c>
      <c r="T1226" s="27">
        <f t="shared" si="391"/>
        <v>135.45945701303151</v>
      </c>
      <c r="U1226" s="27">
        <f t="shared" si="391"/>
        <v>135.70798113166347</v>
      </c>
      <c r="V1226" s="27">
        <f t="shared" si="391"/>
        <v>135.96919937925796</v>
      </c>
      <c r="W1226" s="27">
        <f t="shared" si="391"/>
        <v>136.26247262957938</v>
      </c>
      <c r="X1226" s="27">
        <f t="shared" si="391"/>
        <v>136.58698029827343</v>
      </c>
      <c r="Y1226" s="27">
        <f t="shared" si="391"/>
        <v>136.78964350738272</v>
      </c>
      <c r="Z1226" s="27">
        <f t="shared" si="391"/>
        <v>137.0186015592445</v>
      </c>
      <c r="AA1226" s="27">
        <f t="shared" si="391"/>
        <v>137.27076072273411</v>
      </c>
      <c r="AB1226" s="27">
        <f t="shared" si="391"/>
        <v>137.54681434679034</v>
      </c>
      <c r="AC1226" s="27">
        <f t="shared" si="391"/>
        <v>137.84391314305282</v>
      </c>
      <c r="AD1226" s="27">
        <f t="shared" si="391"/>
        <v>138.04321155337277</v>
      </c>
      <c r="AE1226" s="27">
        <f t="shared" si="391"/>
        <v>138.25957262105894</v>
      </c>
      <c r="AF1226" s="27">
        <f t="shared" si="391"/>
        <v>138.49473553474263</v>
      </c>
      <c r="AG1226" s="27">
        <f t="shared" si="391"/>
        <v>138.75099586378536</v>
      </c>
      <c r="AH1226" s="27">
        <f t="shared" si="391"/>
        <v>139.02065863419776</v>
      </c>
      <c r="AI1226" s="27">
        <f t="shared" si="391"/>
        <v>139.193026219692</v>
      </c>
      <c r="AJ1226" s="27">
        <f t="shared" si="391"/>
        <v>139.38182622697491</v>
      </c>
      <c r="AK1226" s="27">
        <f t="shared" si="391"/>
        <v>139.58083163749211</v>
      </c>
      <c r="AL1226" s="27">
        <f t="shared" si="391"/>
        <v>139.79216106672223</v>
      </c>
      <c r="AM1226" s="27">
        <f t="shared" si="391"/>
        <v>140.01549409297075</v>
      </c>
      <c r="AN1226" s="27">
        <f t="shared" si="391"/>
        <v>140.14745576644822</v>
      </c>
      <c r="AO1226" s="27">
        <f t="shared" si="391"/>
        <v>140.28832645422361</v>
      </c>
      <c r="AP1226" s="27">
        <f t="shared" si="391"/>
        <v>140.44113174726405</v>
      </c>
      <c r="AQ1226" s="27">
        <f t="shared" si="391"/>
        <v>140.60572391526784</v>
      </c>
      <c r="AR1226" s="27">
        <f t="shared" si="391"/>
        <v>140.78209954735451</v>
      </c>
      <c r="AS1226" s="27">
        <f t="shared" si="391"/>
        <v>140.86211694361444</v>
      </c>
      <c r="AT1226" s="27">
        <f t="shared" si="391"/>
        <v>140.91368286545006</v>
      </c>
      <c r="AU1226" s="27">
        <f t="shared" si="391"/>
        <v>140.97020886145611</v>
      </c>
      <c r="AV1226" s="27">
        <f t="shared" si="391"/>
        <v>141.02991546858686</v>
      </c>
      <c r="AW1226" s="27">
        <f t="shared" si="391"/>
        <v>141.09605506808808</v>
      </c>
      <c r="AY1226" s="79"/>
      <c r="AZ1226" s="79"/>
    </row>
    <row r="1227" spans="1:52" x14ac:dyDescent="0.3">
      <c r="A1227" s="95" t="str">
        <f t="shared" si="384"/>
        <v>FSFAGSPQNIBDDSCM Sheep</v>
      </c>
      <c r="B1227" s="95" t="s">
        <v>1375</v>
      </c>
      <c r="C1227" s="95" t="s">
        <v>152</v>
      </c>
      <c r="D1227" t="s">
        <v>15</v>
      </c>
      <c r="E1227" t="s">
        <v>16</v>
      </c>
      <c r="F1227" t="s">
        <v>18</v>
      </c>
      <c r="G1227" t="s">
        <v>123</v>
      </c>
      <c r="H1227" t="s">
        <v>1020</v>
      </c>
      <c r="I1227" t="s">
        <v>121</v>
      </c>
      <c r="J1227" t="s">
        <v>286</v>
      </c>
      <c r="K1227" s="27">
        <f t="shared" ref="K1227:AW1227" si="392">IFERROR(K1386-((K1386-K11)+(K1386-K164)+(K1386-K317)+(K1386-K469)+(K1386-K621)+(K1386-K772)+(K1386-K923)+(K1386-K1074)),0)</f>
        <v>14.369321450610597</v>
      </c>
      <c r="L1227" s="27">
        <f t="shared" si="392"/>
        <v>14.377090896995487</v>
      </c>
      <c r="M1227" s="27">
        <f t="shared" si="392"/>
        <v>14.395667351818489</v>
      </c>
      <c r="N1227" s="27">
        <f t="shared" si="392"/>
        <v>14.423058483363512</v>
      </c>
      <c r="O1227" s="27">
        <f t="shared" si="392"/>
        <v>14.459090229360317</v>
      </c>
      <c r="P1227" s="27">
        <f t="shared" si="392"/>
        <v>14.503382109482045</v>
      </c>
      <c r="Q1227" s="27">
        <f t="shared" si="392"/>
        <v>14.553127936528831</v>
      </c>
      <c r="R1227" s="27">
        <f t="shared" si="392"/>
        <v>14.608013647578019</v>
      </c>
      <c r="S1227" s="27">
        <f t="shared" si="392"/>
        <v>14.658203608567563</v>
      </c>
      <c r="T1227" s="27">
        <f t="shared" si="392"/>
        <v>14.680258292506014</v>
      </c>
      <c r="U1227" s="27">
        <f t="shared" si="392"/>
        <v>14.707191799651872</v>
      </c>
      <c r="V1227" s="27">
        <f t="shared" si="392"/>
        <v>14.735501017996329</v>
      </c>
      <c r="W1227" s="27">
        <f t="shared" si="392"/>
        <v>14.767284159313563</v>
      </c>
      <c r="X1227" s="27">
        <f t="shared" si="392"/>
        <v>14.802452293745619</v>
      </c>
      <c r="Y1227" s="27">
        <f t="shared" si="392"/>
        <v>14.824415679113581</v>
      </c>
      <c r="Z1227" s="27">
        <f t="shared" si="392"/>
        <v>14.849228736936167</v>
      </c>
      <c r="AA1227" s="27">
        <f t="shared" si="392"/>
        <v>14.876556187765189</v>
      </c>
      <c r="AB1227" s="27">
        <f t="shared" si="392"/>
        <v>14.906473172471083</v>
      </c>
      <c r="AC1227" s="27">
        <f t="shared" si="392"/>
        <v>14.938670902800874</v>
      </c>
      <c r="AD1227" s="27">
        <f t="shared" si="392"/>
        <v>14.960269632083405</v>
      </c>
      <c r="AE1227" s="27">
        <f t="shared" si="392"/>
        <v>14.983717506658669</v>
      </c>
      <c r="AF1227" s="27">
        <f t="shared" si="392"/>
        <v>15.009203009035685</v>
      </c>
      <c r="AG1227" s="27">
        <f t="shared" si="392"/>
        <v>15.036974918826434</v>
      </c>
      <c r="AH1227" s="27">
        <f t="shared" si="392"/>
        <v>15.066199302334384</v>
      </c>
      <c r="AI1227" s="27">
        <f t="shared" si="392"/>
        <v>15.084879435358006</v>
      </c>
      <c r="AJ1227" s="27">
        <f t="shared" si="392"/>
        <v>15.105340412639743</v>
      </c>
      <c r="AK1227" s="27">
        <f t="shared" si="392"/>
        <v>15.126907388415511</v>
      </c>
      <c r="AL1227" s="27">
        <f t="shared" si="392"/>
        <v>15.14980996512972</v>
      </c>
      <c r="AM1227" s="27">
        <f t="shared" si="392"/>
        <v>15.174013417460552</v>
      </c>
      <c r="AN1227" s="27">
        <f t="shared" si="392"/>
        <v>15.188314607603177</v>
      </c>
      <c r="AO1227" s="27">
        <f t="shared" si="392"/>
        <v>15.203581301623565</v>
      </c>
      <c r="AP1227" s="27">
        <f t="shared" si="392"/>
        <v>15.220141394360979</v>
      </c>
      <c r="AQ1227" s="27">
        <f t="shared" si="392"/>
        <v>15.237978875718865</v>
      </c>
      <c r="AR1227" s="27">
        <f t="shared" si="392"/>
        <v>15.25709337604709</v>
      </c>
      <c r="AS1227" s="27">
        <f t="shared" si="392"/>
        <v>15.265765166639579</v>
      </c>
      <c r="AT1227" s="27">
        <f t="shared" si="392"/>
        <v>15.271353562373108</v>
      </c>
      <c r="AU1227" s="27">
        <f t="shared" si="392"/>
        <v>15.277479500272968</v>
      </c>
      <c r="AV1227" s="27">
        <f t="shared" si="392"/>
        <v>15.283950133138154</v>
      </c>
      <c r="AW1227" s="27">
        <f t="shared" si="392"/>
        <v>15.291117933935899</v>
      </c>
      <c r="AY1227" s="79"/>
      <c r="AZ1227" s="79"/>
    </row>
    <row r="1228" spans="1:52" x14ac:dyDescent="0.3">
      <c r="A1228" s="95" t="str">
        <f t="shared" si="384"/>
        <v>FSFAGSPQNIBDDSCM Goats</v>
      </c>
      <c r="B1228" s="95" t="s">
        <v>1375</v>
      </c>
      <c r="C1228" s="95" t="s">
        <v>153</v>
      </c>
      <c r="D1228" t="s">
        <v>15</v>
      </c>
      <c r="E1228" t="s">
        <v>16</v>
      </c>
      <c r="F1228" t="s">
        <v>19</v>
      </c>
      <c r="G1228" t="s">
        <v>122</v>
      </c>
      <c r="H1228" t="s">
        <v>1020</v>
      </c>
      <c r="I1228" t="s">
        <v>121</v>
      </c>
      <c r="J1228" t="s">
        <v>286</v>
      </c>
      <c r="K1228" s="27">
        <f t="shared" ref="K1228:AW1228" si="393">IFERROR(K1387-((K1387-K12)+(K1387-K165)+(K1387-K318)+(K1387-K470)+(K1387-K622)+(K1387-K773)+(K1387-K924)+(K1387-K1075)),0)</f>
        <v>15.123414197798359</v>
      </c>
      <c r="L1228" s="27">
        <f t="shared" si="393"/>
        <v>15.162727774721576</v>
      </c>
      <c r="M1228" s="27">
        <f t="shared" si="393"/>
        <v>15.216959464794312</v>
      </c>
      <c r="N1228" s="27">
        <f t="shared" si="393"/>
        <v>15.283027985940228</v>
      </c>
      <c r="O1228" s="27">
        <f t="shared" si="393"/>
        <v>15.360839106953575</v>
      </c>
      <c r="P1228" s="27">
        <f t="shared" si="393"/>
        <v>15.449919228540612</v>
      </c>
      <c r="Q1228" s="27">
        <f t="shared" si="393"/>
        <v>15.545788610572222</v>
      </c>
      <c r="R1228" s="27">
        <f t="shared" si="393"/>
        <v>15.648067752449878</v>
      </c>
      <c r="S1228" s="27">
        <f t="shared" si="393"/>
        <v>15.740823350999253</v>
      </c>
      <c r="T1228" s="27">
        <f t="shared" si="393"/>
        <v>15.786130826260475</v>
      </c>
      <c r="U1228" s="27">
        <f t="shared" si="393"/>
        <v>15.838063303157622</v>
      </c>
      <c r="V1228" s="27">
        <f t="shared" si="393"/>
        <v>15.891000771686212</v>
      </c>
      <c r="W1228" s="27">
        <f t="shared" si="393"/>
        <v>15.94841543311963</v>
      </c>
      <c r="X1228" s="27">
        <f t="shared" si="393"/>
        <v>16.010212398342233</v>
      </c>
      <c r="Y1228" s="27">
        <f t="shared" si="393"/>
        <v>16.04975975411061</v>
      </c>
      <c r="Z1228" s="27">
        <f t="shared" si="393"/>
        <v>16.093026754767141</v>
      </c>
      <c r="AA1228" s="27">
        <f t="shared" si="393"/>
        <v>16.139507339626743</v>
      </c>
      <c r="AB1228" s="27">
        <f t="shared" si="393"/>
        <v>16.189350761403606</v>
      </c>
      <c r="AC1228" s="27">
        <f t="shared" si="393"/>
        <v>16.242088999774211</v>
      </c>
      <c r="AD1228" s="27">
        <f t="shared" si="393"/>
        <v>16.277259419124743</v>
      </c>
      <c r="AE1228" s="27">
        <f t="shared" si="393"/>
        <v>16.31476657866423</v>
      </c>
      <c r="AF1228" s="27">
        <f t="shared" si="393"/>
        <v>16.354927956284293</v>
      </c>
      <c r="AG1228" s="27">
        <f t="shared" si="393"/>
        <v>16.39815145947275</v>
      </c>
      <c r="AH1228" s="27">
        <f t="shared" si="393"/>
        <v>16.443131260504089</v>
      </c>
      <c r="AI1228" s="27">
        <f t="shared" si="393"/>
        <v>16.470988408557865</v>
      </c>
      <c r="AJ1228" s="27">
        <f t="shared" si="393"/>
        <v>16.501218486314869</v>
      </c>
      <c r="AK1228" s="27">
        <f t="shared" si="393"/>
        <v>16.532770131598127</v>
      </c>
      <c r="AL1228" s="27">
        <f t="shared" si="393"/>
        <v>16.566015013383382</v>
      </c>
      <c r="AM1228" s="27">
        <f t="shared" si="393"/>
        <v>16.600907614824543</v>
      </c>
      <c r="AN1228" s="27">
        <f t="shared" si="393"/>
        <v>16.619970797900123</v>
      </c>
      <c r="AO1228" s="27">
        <f t="shared" si="393"/>
        <v>16.64023491177819</v>
      </c>
      <c r="AP1228" s="27">
        <f t="shared" si="393"/>
        <v>16.662217242949243</v>
      </c>
      <c r="AQ1228" s="27">
        <f t="shared" si="393"/>
        <v>16.685896797291566</v>
      </c>
      <c r="AR1228" s="27">
        <f t="shared" si="393"/>
        <v>16.711276306511749</v>
      </c>
      <c r="AS1228" s="27">
        <f t="shared" si="393"/>
        <v>16.720221808869553</v>
      </c>
      <c r="AT1228" s="27">
        <f t="shared" si="393"/>
        <v>16.72419450850062</v>
      </c>
      <c r="AU1228" s="27">
        <f t="shared" si="393"/>
        <v>16.728812799261537</v>
      </c>
      <c r="AV1228" s="27">
        <f t="shared" si="393"/>
        <v>16.733784752247175</v>
      </c>
      <c r="AW1228" s="27">
        <f t="shared" si="393"/>
        <v>16.739658320998576</v>
      </c>
      <c r="AY1228" s="79"/>
      <c r="AZ1228" s="79"/>
    </row>
    <row r="1229" spans="1:52" x14ac:dyDescent="0.3">
      <c r="A1229" s="95" t="str">
        <f t="shared" si="384"/>
        <v>FSFAGSPQNIBDDSCM Goats</v>
      </c>
      <c r="B1229" s="95" t="s">
        <v>1375</v>
      </c>
      <c r="C1229" s="95" t="s">
        <v>153</v>
      </c>
      <c r="D1229" t="s">
        <v>15</v>
      </c>
      <c r="E1229" t="s">
        <v>16</v>
      </c>
      <c r="F1229" t="s">
        <v>19</v>
      </c>
      <c r="G1229" t="s">
        <v>123</v>
      </c>
      <c r="H1229" t="s">
        <v>1020</v>
      </c>
      <c r="I1229" t="s">
        <v>121</v>
      </c>
      <c r="J1229" t="s">
        <v>286</v>
      </c>
      <c r="K1229" s="27">
        <f t="shared" ref="K1229:AW1229" si="394">IFERROR(K1388-((K1388-K13)+(K1388-K166)+(K1388-K319)+(K1388-K471)+(K1388-K623)+(K1388-K774)+(K1388-K925)+(K1388-K1076)),0)</f>
        <v>22.381101687842744</v>
      </c>
      <c r="L1229" s="27">
        <f t="shared" si="394"/>
        <v>22.439281748993185</v>
      </c>
      <c r="M1229" s="27">
        <f t="shared" si="394"/>
        <v>22.519539087339325</v>
      </c>
      <c r="N1229" s="27">
        <f t="shared" si="394"/>
        <v>22.617313721478975</v>
      </c>
      <c r="O1229" s="27">
        <f t="shared" si="394"/>
        <v>22.73246619889365</v>
      </c>
      <c r="P1229" s="27">
        <f t="shared" si="394"/>
        <v>22.864295641209328</v>
      </c>
      <c r="Q1229" s="27">
        <f t="shared" si="394"/>
        <v>23.006172492556328</v>
      </c>
      <c r="R1229" s="27">
        <f t="shared" si="394"/>
        <v>23.157535130977113</v>
      </c>
      <c r="S1229" s="27">
        <f t="shared" si="394"/>
        <v>23.294803902175122</v>
      </c>
      <c r="T1229" s="27">
        <f t="shared" si="394"/>
        <v>23.361854318025564</v>
      </c>
      <c r="U1229" s="27">
        <f t="shared" si="394"/>
        <v>23.438709056719805</v>
      </c>
      <c r="V1229" s="27">
        <f t="shared" si="394"/>
        <v>23.517051079938867</v>
      </c>
      <c r="W1229" s="27">
        <f t="shared" si="394"/>
        <v>23.602018889396962</v>
      </c>
      <c r="X1229" s="27">
        <f t="shared" si="394"/>
        <v>23.693472058936443</v>
      </c>
      <c r="Y1229" s="27">
        <f t="shared" si="394"/>
        <v>23.75199808879723</v>
      </c>
      <c r="Z1229" s="27">
        <f t="shared" si="394"/>
        <v>23.816028811539901</v>
      </c>
      <c r="AA1229" s="27">
        <f t="shared" si="394"/>
        <v>23.884815309261068</v>
      </c>
      <c r="AB1229" s="27">
        <f t="shared" si="394"/>
        <v>23.958578460667738</v>
      </c>
      <c r="AC1229" s="27">
        <f t="shared" si="394"/>
        <v>24.036625643689554</v>
      </c>
      <c r="AD1229" s="27">
        <f t="shared" si="394"/>
        <v>24.088674256627954</v>
      </c>
      <c r="AE1229" s="27">
        <f t="shared" si="394"/>
        <v>24.144181005348596</v>
      </c>
      <c r="AF1229" s="27">
        <f t="shared" si="394"/>
        <v>24.20361572456493</v>
      </c>
      <c r="AG1229" s="27">
        <f t="shared" si="394"/>
        <v>24.267582075516717</v>
      </c>
      <c r="AH1229" s="27">
        <f t="shared" si="394"/>
        <v>24.334147567119</v>
      </c>
      <c r="AI1229" s="27">
        <f t="shared" si="394"/>
        <v>24.375373288716684</v>
      </c>
      <c r="AJ1229" s="27">
        <f t="shared" si="394"/>
        <v>24.420110702865486</v>
      </c>
      <c r="AK1229" s="27">
        <f t="shared" si="394"/>
        <v>24.466803901389813</v>
      </c>
      <c r="AL1229" s="27">
        <f t="shared" si="394"/>
        <v>24.516002916248802</v>
      </c>
      <c r="AM1229" s="27">
        <f t="shared" si="394"/>
        <v>24.567640387179249</v>
      </c>
      <c r="AN1229" s="27">
        <f t="shared" si="394"/>
        <v>24.595851942673818</v>
      </c>
      <c r="AO1229" s="27">
        <f t="shared" si="394"/>
        <v>24.625840752567356</v>
      </c>
      <c r="AP1229" s="27">
        <f t="shared" si="394"/>
        <v>24.658372347803756</v>
      </c>
      <c r="AQ1229" s="27">
        <f t="shared" si="394"/>
        <v>24.693415659236397</v>
      </c>
      <c r="AR1229" s="27">
        <f t="shared" si="394"/>
        <v>24.730974729510827</v>
      </c>
      <c r="AS1229" s="27">
        <f t="shared" si="394"/>
        <v>24.744213155391417</v>
      </c>
      <c r="AT1229" s="27">
        <f t="shared" si="394"/>
        <v>24.750092343335041</v>
      </c>
      <c r="AU1229" s="27">
        <f t="shared" si="394"/>
        <v>24.756926939927592</v>
      </c>
      <c r="AV1229" s="27">
        <f t="shared" si="394"/>
        <v>24.764284920334894</v>
      </c>
      <c r="AW1229" s="27">
        <f t="shared" si="394"/>
        <v>24.772977199589842</v>
      </c>
      <c r="AY1229" s="79"/>
      <c r="AZ1229" s="79"/>
    </row>
    <row r="1230" spans="1:52" x14ac:dyDescent="0.3">
      <c r="A1230" s="95" t="str">
        <f t="shared" si="384"/>
        <v>FSFAGSPQNIBDDSCM Horses</v>
      </c>
      <c r="B1230" s="95" t="s">
        <v>1375</v>
      </c>
      <c r="C1230" s="95" t="s">
        <v>3</v>
      </c>
      <c r="D1230" t="s">
        <v>15</v>
      </c>
      <c r="E1230" t="s">
        <v>16</v>
      </c>
      <c r="F1230" t="s">
        <v>20</v>
      </c>
      <c r="G1230" t="s">
        <v>3</v>
      </c>
      <c r="H1230" t="s">
        <v>1020</v>
      </c>
      <c r="I1230" t="s">
        <v>121</v>
      </c>
      <c r="J1230" t="s">
        <v>286</v>
      </c>
      <c r="K1230" s="27">
        <f t="shared" ref="K1230:AW1230" si="395">IFERROR(K1389-((K1389-K14)+(K1389-K167)+(K1389-K320)+(K1389-K472)+(K1389-K624)+(K1389-K775)+(K1389-K926)+(K1389-K1077)),0)</f>
        <v>5.5526214800767901</v>
      </c>
      <c r="L1230" s="27">
        <f t="shared" si="395"/>
        <v>5.5795235710196511</v>
      </c>
      <c r="M1230" s="27">
        <f t="shared" si="395"/>
        <v>5.6203482259438022</v>
      </c>
      <c r="N1230" s="27">
        <f t="shared" si="395"/>
        <v>5.629075655008374</v>
      </c>
      <c r="O1230" s="27">
        <f t="shared" si="395"/>
        <v>5.6165815405282276</v>
      </c>
      <c r="P1230" s="27">
        <f t="shared" si="395"/>
        <v>5.5833231296706103</v>
      </c>
      <c r="Q1230" s="27">
        <f t="shared" si="395"/>
        <v>5.5648827699457346</v>
      </c>
      <c r="R1230" s="27">
        <f t="shared" si="395"/>
        <v>5.5483103177944013</v>
      </c>
      <c r="S1230" s="27">
        <f t="shared" si="395"/>
        <v>5.2311192904529218</v>
      </c>
      <c r="T1230" s="27">
        <f t="shared" si="395"/>
        <v>5.2959023096135693</v>
      </c>
      <c r="U1230" s="27">
        <f t="shared" si="395"/>
        <v>5.3988006154965325</v>
      </c>
      <c r="V1230" s="27">
        <f t="shared" si="395"/>
        <v>5.4367829372956962</v>
      </c>
      <c r="W1230" s="27">
        <f t="shared" si="395"/>
        <v>5.4819188324690939</v>
      </c>
      <c r="X1230" s="27">
        <f t="shared" si="395"/>
        <v>5.5365687700280883</v>
      </c>
      <c r="Y1230" s="27">
        <f t="shared" si="395"/>
        <v>5.601958980764981</v>
      </c>
      <c r="Z1230" s="27">
        <f t="shared" si="395"/>
        <v>5.6746319691397513</v>
      </c>
      <c r="AA1230" s="27">
        <f t="shared" si="395"/>
        <v>5.7481685306176677</v>
      </c>
      <c r="AB1230" s="27">
        <f t="shared" si="395"/>
        <v>5.8282774259733703</v>
      </c>
      <c r="AC1230" s="27">
        <f t="shared" si="395"/>
        <v>5.9086647601730373</v>
      </c>
      <c r="AD1230" s="27">
        <f t="shared" si="395"/>
        <v>6.0051030471917946</v>
      </c>
      <c r="AE1230" s="27">
        <f t="shared" si="395"/>
        <v>6.0980124130473197</v>
      </c>
      <c r="AF1230" s="27">
        <f t="shared" si="395"/>
        <v>6.195439489414623</v>
      </c>
      <c r="AG1230" s="27">
        <f t="shared" si="395"/>
        <v>6.3068676222722697</v>
      </c>
      <c r="AH1230" s="27">
        <f t="shared" si="395"/>
        <v>6.4095401663804648</v>
      </c>
      <c r="AI1230" s="27">
        <f t="shared" si="395"/>
        <v>6.5228948238532292</v>
      </c>
      <c r="AJ1230" s="27">
        <f t="shared" si="395"/>
        <v>6.6437484965413081</v>
      </c>
      <c r="AK1230" s="27">
        <f t="shared" si="395"/>
        <v>6.7539654911689828</v>
      </c>
      <c r="AL1230" s="27">
        <f t="shared" si="395"/>
        <v>6.8618111039503944</v>
      </c>
      <c r="AM1230" s="27">
        <f t="shared" si="395"/>
        <v>6.9676727679478478</v>
      </c>
      <c r="AN1230" s="27">
        <f t="shared" si="395"/>
        <v>7.0885986695240639</v>
      </c>
      <c r="AO1230" s="27">
        <f t="shared" si="395"/>
        <v>7.202615789032512</v>
      </c>
      <c r="AP1230" s="27">
        <f t="shared" si="395"/>
        <v>7.3203542233012309</v>
      </c>
      <c r="AQ1230" s="27">
        <f t="shared" si="395"/>
        <v>7.4423988374450394</v>
      </c>
      <c r="AR1230" s="27">
        <f t="shared" si="395"/>
        <v>7.5697005662835739</v>
      </c>
      <c r="AS1230" s="27">
        <f t="shared" si="395"/>
        <v>7.7079925213190776</v>
      </c>
      <c r="AT1230" s="27">
        <f t="shared" si="395"/>
        <v>7.7309775584942866</v>
      </c>
      <c r="AU1230" s="27">
        <f t="shared" si="395"/>
        <v>7.7430605044202654</v>
      </c>
      <c r="AV1230" s="27">
        <f t="shared" si="395"/>
        <v>7.7396666487885506</v>
      </c>
      <c r="AW1230" s="27">
        <f t="shared" si="395"/>
        <v>7.7316472006042485</v>
      </c>
      <c r="AY1230" s="79"/>
      <c r="AZ1230" s="79"/>
    </row>
    <row r="1231" spans="1:52" x14ac:dyDescent="0.3">
      <c r="A1231" s="95" t="str">
        <f t="shared" si="384"/>
        <v>FSFAGSPQNIBDDSCM Mules&amp;Asses</v>
      </c>
      <c r="B1231" s="95" t="s">
        <v>1375</v>
      </c>
      <c r="C1231" s="95" t="s">
        <v>1323</v>
      </c>
      <c r="D1231" t="s">
        <v>15</v>
      </c>
      <c r="E1231" t="s">
        <v>16</v>
      </c>
      <c r="F1231" t="s">
        <v>140</v>
      </c>
      <c r="G1231" t="s">
        <v>124</v>
      </c>
      <c r="H1231" t="s">
        <v>1020</v>
      </c>
      <c r="I1231" t="s">
        <v>121</v>
      </c>
      <c r="J1231" t="s">
        <v>286</v>
      </c>
      <c r="K1231" s="27">
        <f t="shared" ref="K1231:AW1231" si="396">IFERROR(K1390-((K1390-K15)+(K1390-K168)+(K1390-K321)+(K1390-K473)+(K1390-K625)+(K1390-K776)+(K1390-K927)+(K1390-K1078)),0)</f>
        <v>1.67</v>
      </c>
      <c r="L1231" s="27">
        <f t="shared" si="396"/>
        <v>1.67</v>
      </c>
      <c r="M1231" s="27">
        <f t="shared" si="396"/>
        <v>1.67</v>
      </c>
      <c r="N1231" s="27">
        <f t="shared" si="396"/>
        <v>1.67</v>
      </c>
      <c r="O1231" s="27">
        <f t="shared" si="396"/>
        <v>1.67</v>
      </c>
      <c r="P1231" s="27">
        <f t="shared" si="396"/>
        <v>1.67</v>
      </c>
      <c r="Q1231" s="27">
        <f t="shared" si="396"/>
        <v>1.67</v>
      </c>
      <c r="R1231" s="27">
        <f t="shared" si="396"/>
        <v>1.67</v>
      </c>
      <c r="S1231" s="27">
        <f t="shared" si="396"/>
        <v>1.67</v>
      </c>
      <c r="T1231" s="27">
        <f t="shared" si="396"/>
        <v>1.67</v>
      </c>
      <c r="U1231" s="27">
        <f t="shared" si="396"/>
        <v>1.67</v>
      </c>
      <c r="V1231" s="27">
        <f t="shared" si="396"/>
        <v>1.67</v>
      </c>
      <c r="W1231" s="27">
        <f t="shared" si="396"/>
        <v>1.67</v>
      </c>
      <c r="X1231" s="27">
        <f t="shared" si="396"/>
        <v>1.67</v>
      </c>
      <c r="Y1231" s="27">
        <f t="shared" si="396"/>
        <v>1.67</v>
      </c>
      <c r="Z1231" s="27">
        <f t="shared" si="396"/>
        <v>1.67</v>
      </c>
      <c r="AA1231" s="27">
        <f t="shared" si="396"/>
        <v>1.67</v>
      </c>
      <c r="AB1231" s="27">
        <f t="shared" si="396"/>
        <v>1.67</v>
      </c>
      <c r="AC1231" s="27">
        <f t="shared" si="396"/>
        <v>1.67</v>
      </c>
      <c r="AD1231" s="27">
        <f t="shared" si="396"/>
        <v>1.67</v>
      </c>
      <c r="AE1231" s="27">
        <f t="shared" si="396"/>
        <v>1.67</v>
      </c>
      <c r="AF1231" s="27">
        <f t="shared" si="396"/>
        <v>1.67</v>
      </c>
      <c r="AG1231" s="27">
        <f t="shared" si="396"/>
        <v>1.67</v>
      </c>
      <c r="AH1231" s="27">
        <f t="shared" si="396"/>
        <v>1.67</v>
      </c>
      <c r="AI1231" s="27">
        <f t="shared" si="396"/>
        <v>1.67</v>
      </c>
      <c r="AJ1231" s="27">
        <f t="shared" si="396"/>
        <v>1.67</v>
      </c>
      <c r="AK1231" s="27">
        <f t="shared" si="396"/>
        <v>1.67</v>
      </c>
      <c r="AL1231" s="27">
        <f t="shared" si="396"/>
        <v>1.67</v>
      </c>
      <c r="AM1231" s="27">
        <f t="shared" si="396"/>
        <v>1.67</v>
      </c>
      <c r="AN1231" s="27">
        <f t="shared" si="396"/>
        <v>1.67</v>
      </c>
      <c r="AO1231" s="27">
        <f t="shared" si="396"/>
        <v>1.67</v>
      </c>
      <c r="AP1231" s="27">
        <f t="shared" si="396"/>
        <v>1.67</v>
      </c>
      <c r="AQ1231" s="27">
        <f t="shared" si="396"/>
        <v>1.67</v>
      </c>
      <c r="AR1231" s="27">
        <f t="shared" si="396"/>
        <v>1.67</v>
      </c>
      <c r="AS1231" s="27">
        <f t="shared" si="396"/>
        <v>1.67</v>
      </c>
      <c r="AT1231" s="27">
        <f t="shared" si="396"/>
        <v>1.67</v>
      </c>
      <c r="AU1231" s="27">
        <f t="shared" si="396"/>
        <v>1.67</v>
      </c>
      <c r="AV1231" s="27">
        <f t="shared" si="396"/>
        <v>1.67</v>
      </c>
      <c r="AW1231" s="27">
        <f t="shared" si="396"/>
        <v>1.67</v>
      </c>
      <c r="AY1231" s="79"/>
      <c r="AZ1231" s="79"/>
    </row>
    <row r="1232" spans="1:52" x14ac:dyDescent="0.3">
      <c r="A1232" s="95" t="str">
        <f t="shared" si="384"/>
        <v>FSFAGSPQNIBDDSCM Swine</v>
      </c>
      <c r="B1232" s="95" t="s">
        <v>1375</v>
      </c>
      <c r="C1232" s="95" t="s">
        <v>155</v>
      </c>
      <c r="D1232" t="s">
        <v>15</v>
      </c>
      <c r="E1232" t="s">
        <v>16</v>
      </c>
      <c r="F1232" t="s">
        <v>21</v>
      </c>
      <c r="G1232" t="s">
        <v>122</v>
      </c>
      <c r="H1232" t="s">
        <v>1020</v>
      </c>
      <c r="I1232" t="s">
        <v>121</v>
      </c>
      <c r="J1232" t="s">
        <v>286</v>
      </c>
      <c r="K1232" s="27">
        <f t="shared" ref="K1232:AW1232" si="397">IFERROR(K1391-((K1391-K16)+(K1391-K169)+(K1391-K322)+(K1391-K474)+(K1391-K626)+(K1391-K777)+(K1391-K928)+(K1391-K1079)),0)</f>
        <v>1.8400999552016302</v>
      </c>
      <c r="L1232" s="27">
        <f t="shared" si="397"/>
        <v>1.8300977880312246</v>
      </c>
      <c r="M1232" s="27">
        <f t="shared" si="397"/>
        <v>1.8309187348828151</v>
      </c>
      <c r="N1232" s="27">
        <f t="shared" si="397"/>
        <v>1.8141094978660448</v>
      </c>
      <c r="O1232" s="27">
        <f t="shared" si="397"/>
        <v>1.7866561368117295</v>
      </c>
      <c r="P1232" s="27">
        <f t="shared" si="397"/>
        <v>1.7489975228040078</v>
      </c>
      <c r="Q1232" s="27">
        <f t="shared" si="397"/>
        <v>1.721653192801009</v>
      </c>
      <c r="R1232" s="27">
        <f t="shared" si="397"/>
        <v>1.6967284692901872</v>
      </c>
      <c r="S1232" s="27">
        <f t="shared" si="397"/>
        <v>1.4981262376638635</v>
      </c>
      <c r="T1232" s="27">
        <f t="shared" si="397"/>
        <v>1.5170710584409277</v>
      </c>
      <c r="U1232" s="27">
        <f t="shared" si="397"/>
        <v>1.5577229248664515</v>
      </c>
      <c r="V1232" s="27">
        <f t="shared" si="397"/>
        <v>1.561413903145964</v>
      </c>
      <c r="W1232" s="27">
        <f t="shared" si="397"/>
        <v>1.5694069216965754</v>
      </c>
      <c r="X1232" s="27">
        <f t="shared" si="397"/>
        <v>1.5828459974443794</v>
      </c>
      <c r="Y1232" s="27">
        <f t="shared" si="397"/>
        <v>1.5997093513071265</v>
      </c>
      <c r="Z1232" s="27">
        <f t="shared" si="397"/>
        <v>1.6203739618637112</v>
      </c>
      <c r="AA1232" s="27">
        <f t="shared" si="397"/>
        <v>1.6412802243411935</v>
      </c>
      <c r="AB1232" s="27">
        <f t="shared" si="397"/>
        <v>1.6654174874794287</v>
      </c>
      <c r="AC1232" s="27">
        <f t="shared" si="397"/>
        <v>1.6893881557889758</v>
      </c>
      <c r="AD1232" s="27">
        <f t="shared" si="397"/>
        <v>1.7191899551215701</v>
      </c>
      <c r="AE1232" s="27">
        <f t="shared" si="397"/>
        <v>1.7466246880722003</v>
      </c>
      <c r="AF1232" s="27">
        <f t="shared" si="397"/>
        <v>1.7758174373307805</v>
      </c>
      <c r="AG1232" s="27">
        <f t="shared" si="397"/>
        <v>1.8114287830343814</v>
      </c>
      <c r="AH1232" s="27">
        <f t="shared" si="397"/>
        <v>1.8420072235043694</v>
      </c>
      <c r="AI1232" s="27">
        <f t="shared" si="397"/>
        <v>1.8750119445784728</v>
      </c>
      <c r="AJ1232" s="27">
        <f t="shared" si="397"/>
        <v>1.9108329767517882</v>
      </c>
      <c r="AK1232" s="27">
        <f t="shared" si="397"/>
        <v>1.940715836653381</v>
      </c>
      <c r="AL1232" s="27">
        <f t="shared" si="397"/>
        <v>1.9687395447209077</v>
      </c>
      <c r="AM1232" s="27">
        <f t="shared" si="397"/>
        <v>1.9951301179393999</v>
      </c>
      <c r="AN1232" s="27">
        <f t="shared" si="397"/>
        <v>2.0256022791934827</v>
      </c>
      <c r="AO1232" s="27">
        <f t="shared" si="397"/>
        <v>2.0520329509348483</v>
      </c>
      <c r="AP1232" s="27">
        <f t="shared" si="397"/>
        <v>2.0793161183803317</v>
      </c>
      <c r="AQ1232" s="27">
        <f t="shared" si="397"/>
        <v>2.1076575721978217</v>
      </c>
      <c r="AR1232" s="27">
        <f t="shared" si="397"/>
        <v>2.1374119347182106</v>
      </c>
      <c r="AS1232" s="27">
        <f t="shared" si="397"/>
        <v>2.1686559884141765</v>
      </c>
      <c r="AT1232" s="27">
        <f t="shared" si="397"/>
        <v>2.149643552660391</v>
      </c>
      <c r="AU1232" s="27">
        <f t="shared" si="397"/>
        <v>2.1262374260968961</v>
      </c>
      <c r="AV1232" s="27">
        <f t="shared" si="397"/>
        <v>2.0967029621040374</v>
      </c>
      <c r="AW1232" s="27">
        <f t="shared" si="397"/>
        <v>2.0657200323386067</v>
      </c>
      <c r="AY1232" s="79"/>
      <c r="AZ1232" s="79"/>
    </row>
    <row r="1233" spans="1:52" x14ac:dyDescent="0.3">
      <c r="A1233" s="95" t="str">
        <f t="shared" si="384"/>
        <v>FSFAGSPQNIBDDSCM Swine</v>
      </c>
      <c r="B1233" s="95" t="s">
        <v>1375</v>
      </c>
      <c r="C1233" s="95" t="s">
        <v>155</v>
      </c>
      <c r="D1233" t="s">
        <v>15</v>
      </c>
      <c r="E1233" t="s">
        <v>16</v>
      </c>
      <c r="F1233" t="s">
        <v>21</v>
      </c>
      <c r="G1233" t="s">
        <v>123</v>
      </c>
      <c r="H1233" t="s">
        <v>1020</v>
      </c>
      <c r="I1233" t="s">
        <v>121</v>
      </c>
      <c r="J1233" t="s">
        <v>286</v>
      </c>
      <c r="K1233" s="27">
        <f t="shared" ref="K1233:AW1233" si="398">IFERROR(K1392-((K1392-K17)+(K1392-K170)+(K1392-K323)+(K1392-K475)+(K1392-K627)+(K1392-K778)+(K1392-K929)+(K1392-K1080)),0)</f>
        <v>0.25496723934882604</v>
      </c>
      <c r="L1233" s="27">
        <f t="shared" si="398"/>
        <v>0.25358132281546886</v>
      </c>
      <c r="M1233" s="27">
        <f t="shared" si="398"/>
        <v>0.25369507454499335</v>
      </c>
      <c r="N1233" s="27">
        <f t="shared" si="398"/>
        <v>0.25136595935447842</v>
      </c>
      <c r="O1233" s="27">
        <f t="shared" si="398"/>
        <v>0.247561977044127</v>
      </c>
      <c r="P1233" s="27">
        <f t="shared" si="398"/>
        <v>0.24234393830437836</v>
      </c>
      <c r="Q1233" s="27">
        <f t="shared" si="398"/>
        <v>0.23855506351363695</v>
      </c>
      <c r="R1233" s="27">
        <f t="shared" si="398"/>
        <v>0.23510145332951485</v>
      </c>
      <c r="S1233" s="27">
        <f t="shared" si="398"/>
        <v>0.2075828054521873</v>
      </c>
      <c r="T1233" s="27">
        <f t="shared" si="398"/>
        <v>0.21020783059814849</v>
      </c>
      <c r="U1233" s="27">
        <f t="shared" si="398"/>
        <v>0.21584061925595663</v>
      </c>
      <c r="V1233" s="27">
        <f t="shared" si="398"/>
        <v>0.21635204720298934</v>
      </c>
      <c r="W1233" s="27">
        <f t="shared" si="398"/>
        <v>0.21745957283938341</v>
      </c>
      <c r="X1233" s="27">
        <f t="shared" si="398"/>
        <v>0.21932171300906883</v>
      </c>
      <c r="Y1233" s="27">
        <f t="shared" si="398"/>
        <v>0.22165832671768446</v>
      </c>
      <c r="Z1233" s="27">
        <f t="shared" si="398"/>
        <v>0.22452164872958766</v>
      </c>
      <c r="AA1233" s="27">
        <f t="shared" si="398"/>
        <v>0.22741845442425518</v>
      </c>
      <c r="AB1233" s="27">
        <f t="shared" si="398"/>
        <v>0.23076295281978809</v>
      </c>
      <c r="AC1233" s="27">
        <f t="shared" si="398"/>
        <v>0.23408436756519632</v>
      </c>
      <c r="AD1233" s="27">
        <f t="shared" si="398"/>
        <v>0.23821375329882435</v>
      </c>
      <c r="AE1233" s="27">
        <f t="shared" si="398"/>
        <v>0.24201515446886457</v>
      </c>
      <c r="AF1233" s="27">
        <f t="shared" si="398"/>
        <v>0.24606014923473155</v>
      </c>
      <c r="AG1233" s="27">
        <f t="shared" si="398"/>
        <v>0.2509945151521249</v>
      </c>
      <c r="AH1233" s="27">
        <f t="shared" si="398"/>
        <v>0.25523151354353607</v>
      </c>
      <c r="AI1233" s="27">
        <f t="shared" si="398"/>
        <v>0.25980470131736011</v>
      </c>
      <c r="AJ1233" s="27">
        <f t="shared" si="398"/>
        <v>0.26476812173266839</v>
      </c>
      <c r="AK1233" s="27">
        <f t="shared" si="398"/>
        <v>0.26890873935043363</v>
      </c>
      <c r="AL1233" s="27">
        <f t="shared" si="398"/>
        <v>0.27279174986956156</v>
      </c>
      <c r="AM1233" s="27">
        <f t="shared" si="398"/>
        <v>0.27644847057070121</v>
      </c>
      <c r="AN1233" s="27">
        <f t="shared" si="398"/>
        <v>0.28067074274128789</v>
      </c>
      <c r="AO1233" s="27">
        <f t="shared" si="398"/>
        <v>0.28433301955890389</v>
      </c>
      <c r="AP1233" s="27">
        <f t="shared" si="398"/>
        <v>0.28811341956630698</v>
      </c>
      <c r="AQ1233" s="27">
        <f t="shared" si="398"/>
        <v>0.29204045745278195</v>
      </c>
      <c r="AR1233" s="27">
        <f t="shared" si="398"/>
        <v>0.29616327026464162</v>
      </c>
      <c r="AS1233" s="27">
        <f t="shared" si="398"/>
        <v>0.30049249710604664</v>
      </c>
      <c r="AT1233" s="27">
        <f t="shared" si="398"/>
        <v>0.2978581031190588</v>
      </c>
      <c r="AU1233" s="27">
        <f t="shared" si="398"/>
        <v>0.29461491219517799</v>
      </c>
      <c r="AV1233" s="27">
        <f t="shared" si="398"/>
        <v>0.2905225688805555</v>
      </c>
      <c r="AW1233" s="27">
        <f t="shared" si="398"/>
        <v>0.28622952379520583</v>
      </c>
      <c r="AY1233" s="79"/>
      <c r="AZ1233" s="79"/>
    </row>
    <row r="1234" spans="1:52" x14ac:dyDescent="0.3">
      <c r="A1234" s="95" t="str">
        <f t="shared" si="384"/>
        <v>FSFAGSPQNIBDDSCM Cattle MMCH4</v>
      </c>
      <c r="B1234" s="95" t="s">
        <v>1375</v>
      </c>
      <c r="C1234" s="95" t="s">
        <v>1229</v>
      </c>
      <c r="D1234" t="s">
        <v>15</v>
      </c>
      <c r="E1234" t="s">
        <v>22</v>
      </c>
      <c r="F1234" t="s">
        <v>6</v>
      </c>
      <c r="G1234" t="s">
        <v>136</v>
      </c>
      <c r="H1234" t="s">
        <v>1227</v>
      </c>
      <c r="I1234" t="s">
        <v>121</v>
      </c>
      <c r="J1234" t="s">
        <v>286</v>
      </c>
      <c r="K1234" s="27">
        <f t="shared" ref="K1234:AW1234" si="399">IFERROR(K1393-((K1393-K18)+(K1393-K171)+(K1393-K324)+(K1393-K476)+(K1393-K628)+(K1393-K779)+(K1393-K930)+(K1393-K1081)),0)</f>
        <v>7.351330651107908</v>
      </c>
      <c r="L1234" s="27">
        <f t="shared" si="399"/>
        <v>7.392428348789597</v>
      </c>
      <c r="M1234" s="27">
        <f t="shared" si="399"/>
        <v>7.4507389435191715</v>
      </c>
      <c r="N1234" s="27">
        <f t="shared" si="399"/>
        <v>7.4882097119910753</v>
      </c>
      <c r="O1234" s="27">
        <f t="shared" si="399"/>
        <v>7.5131092090175429</v>
      </c>
      <c r="P1234" s="27">
        <f t="shared" si="399"/>
        <v>7.5251923679492405</v>
      </c>
      <c r="Q1234" s="27">
        <f t="shared" si="399"/>
        <v>7.5518885629203734</v>
      </c>
      <c r="R1234" s="27">
        <f t="shared" si="399"/>
        <v>7.5825135825669046</v>
      </c>
      <c r="S1234" s="27">
        <f t="shared" si="399"/>
        <v>7.3545862604907306</v>
      </c>
      <c r="T1234" s="27">
        <f t="shared" si="399"/>
        <v>7.4319206101094348</v>
      </c>
      <c r="U1234" s="27">
        <f t="shared" si="399"/>
        <v>7.5451176350008202</v>
      </c>
      <c r="V1234" s="27">
        <f t="shared" si="399"/>
        <v>7.6037903760515064</v>
      </c>
      <c r="W1234" s="27">
        <f t="shared" si="399"/>
        <v>7.6708455087945229</v>
      </c>
      <c r="X1234" s="27">
        <f t="shared" si="399"/>
        <v>7.748454799455617</v>
      </c>
      <c r="Y1234" s="27">
        <f t="shared" si="399"/>
        <v>7.8277085285324004</v>
      </c>
      <c r="Z1234" s="27">
        <f t="shared" si="399"/>
        <v>7.9154321855609755</v>
      </c>
      <c r="AA1234" s="27">
        <f t="shared" si="399"/>
        <v>8.0058732816474745</v>
      </c>
      <c r="AB1234" s="27">
        <f t="shared" si="399"/>
        <v>8.10422418278708</v>
      </c>
      <c r="AC1234" s="27">
        <f t="shared" si="399"/>
        <v>8.2047936963570631</v>
      </c>
      <c r="AD1234" s="27">
        <f t="shared" si="399"/>
        <v>8.3134419507553705</v>
      </c>
      <c r="AE1234" s="27">
        <f t="shared" si="399"/>
        <v>8.4206197210713736</v>
      </c>
      <c r="AF1234" s="27">
        <f t="shared" si="399"/>
        <v>8.5337450585207524</v>
      </c>
      <c r="AG1234" s="27">
        <f t="shared" si="399"/>
        <v>8.6617085162438627</v>
      </c>
      <c r="AH1234" s="27">
        <f t="shared" si="399"/>
        <v>8.7833723342601697</v>
      </c>
      <c r="AI1234" s="27">
        <f t="shared" si="399"/>
        <v>8.9081379352092647</v>
      </c>
      <c r="AJ1234" s="27">
        <f t="shared" si="399"/>
        <v>9.0415690981618067</v>
      </c>
      <c r="AK1234" s="27">
        <f t="shared" si="399"/>
        <v>9.1665780174046034</v>
      </c>
      <c r="AL1234" s="27">
        <f t="shared" si="399"/>
        <v>9.290908547616274</v>
      </c>
      <c r="AM1234" s="27">
        <f t="shared" si="399"/>
        <v>9.414906513410104</v>
      </c>
      <c r="AN1234" s="27">
        <f t="shared" si="399"/>
        <v>9.5460926435688069</v>
      </c>
      <c r="AO1234" s="27">
        <f t="shared" si="399"/>
        <v>9.6720022033758184</v>
      </c>
      <c r="AP1234" s="27">
        <f t="shared" si="399"/>
        <v>9.8028010066851721</v>
      </c>
      <c r="AQ1234" s="27">
        <f t="shared" si="399"/>
        <v>9.939085602989195</v>
      </c>
      <c r="AR1234" s="27">
        <f t="shared" si="399"/>
        <v>10.081815307121353</v>
      </c>
      <c r="AS1234" s="27">
        <f t="shared" si="399"/>
        <v>10.227069711733948</v>
      </c>
      <c r="AT1234" s="27">
        <f t="shared" si="399"/>
        <v>10.261508370245586</v>
      </c>
      <c r="AU1234" s="27">
        <f t="shared" si="399"/>
        <v>10.28601825816002</v>
      </c>
      <c r="AV1234" s="27">
        <f t="shared" si="399"/>
        <v>10.296060407046117</v>
      </c>
      <c r="AW1234" s="27">
        <f t="shared" si="399"/>
        <v>10.302124127636974</v>
      </c>
      <c r="AY1234" s="79"/>
      <c r="AZ1234" s="79"/>
    </row>
    <row r="1235" spans="1:52" x14ac:dyDescent="0.3">
      <c r="A1235" s="95" t="str">
        <f t="shared" si="384"/>
        <v>FSFAGSPQNIBDDSCM Cattle MMCH4</v>
      </c>
      <c r="B1235" s="95" t="s">
        <v>1375</v>
      </c>
      <c r="C1235" s="95" t="s">
        <v>1229</v>
      </c>
      <c r="D1235" t="s">
        <v>15</v>
      </c>
      <c r="E1235" t="s">
        <v>22</v>
      </c>
      <c r="F1235" t="s">
        <v>6</v>
      </c>
      <c r="G1235" t="s">
        <v>137</v>
      </c>
      <c r="H1235" t="s">
        <v>1227</v>
      </c>
      <c r="I1235" t="s">
        <v>121</v>
      </c>
      <c r="J1235" t="s">
        <v>286</v>
      </c>
      <c r="K1235" s="27">
        <f t="shared" ref="K1235:AW1235" si="400">IFERROR(K1394-((K1394-K19)+(K1394-K172)+(K1394-K325)+(K1394-K477)+(K1394-K629)+(K1394-K780)+(K1394-K931)+(K1394-K1082)),0)</f>
        <v>2.0944490884992821</v>
      </c>
      <c r="L1235" s="27">
        <f t="shared" si="400"/>
        <v>2.1061581299686467</v>
      </c>
      <c r="M1235" s="27">
        <f t="shared" si="400"/>
        <v>2.1227712545548472</v>
      </c>
      <c r="N1235" s="27">
        <f t="shared" si="400"/>
        <v>2.1334469567638776</v>
      </c>
      <c r="O1235" s="27">
        <f t="shared" si="400"/>
        <v>2.1405410097083357</v>
      </c>
      <c r="P1235" s="27">
        <f t="shared" si="400"/>
        <v>2.143983592066792</v>
      </c>
      <c r="Q1235" s="27">
        <f t="shared" si="400"/>
        <v>2.151589537694508</v>
      </c>
      <c r="R1235" s="27">
        <f t="shared" si="400"/>
        <v>2.1603148348588084</v>
      </c>
      <c r="S1235" s="27">
        <f t="shared" si="400"/>
        <v>2.0953766359635408</v>
      </c>
      <c r="T1235" s="27">
        <f t="shared" si="400"/>
        <v>2.117409770610283</v>
      </c>
      <c r="U1235" s="27">
        <f t="shared" si="400"/>
        <v>2.149660449685487</v>
      </c>
      <c r="V1235" s="27">
        <f t="shared" si="400"/>
        <v>2.1663767524673299</v>
      </c>
      <c r="W1235" s="27">
        <f t="shared" si="400"/>
        <v>2.1854812613403793</v>
      </c>
      <c r="X1235" s="27">
        <f t="shared" si="400"/>
        <v>2.207592728746584</v>
      </c>
      <c r="Y1235" s="27">
        <f t="shared" si="400"/>
        <v>2.23017270895738</v>
      </c>
      <c r="Z1235" s="27">
        <f t="shared" si="400"/>
        <v>2.2551658349944512</v>
      </c>
      <c r="AA1235" s="27">
        <f t="shared" si="400"/>
        <v>2.2809331797448467</v>
      </c>
      <c r="AB1235" s="27">
        <f t="shared" si="400"/>
        <v>2.3089540871181105</v>
      </c>
      <c r="AC1235" s="27">
        <f t="shared" si="400"/>
        <v>2.3376070937674198</v>
      </c>
      <c r="AD1235" s="27">
        <f t="shared" si="400"/>
        <v>2.3685617941055517</v>
      </c>
      <c r="AE1235" s="27">
        <f t="shared" si="400"/>
        <v>2.3990975425298058</v>
      </c>
      <c r="AF1235" s="27">
        <f t="shared" si="400"/>
        <v>2.4313277973165794</v>
      </c>
      <c r="AG1235" s="27">
        <f t="shared" si="400"/>
        <v>2.4677855435545331</v>
      </c>
      <c r="AH1235" s="27">
        <f t="shared" si="400"/>
        <v>2.5024484753203891</v>
      </c>
      <c r="AI1235" s="27">
        <f t="shared" si="400"/>
        <v>2.5379951282443072</v>
      </c>
      <c r="AJ1235" s="27">
        <f t="shared" si="400"/>
        <v>2.5760106645991079</v>
      </c>
      <c r="AK1235" s="27">
        <f t="shared" si="400"/>
        <v>2.6116266407248583</v>
      </c>
      <c r="AL1235" s="27">
        <f t="shared" si="400"/>
        <v>2.6470493387414713</v>
      </c>
      <c r="AM1235" s="27">
        <f t="shared" si="400"/>
        <v>2.6823772866679478</v>
      </c>
      <c r="AN1235" s="27">
        <f t="shared" si="400"/>
        <v>2.719753196387535</v>
      </c>
      <c r="AO1235" s="27">
        <f t="shared" si="400"/>
        <v>2.755625771746582</v>
      </c>
      <c r="AP1235" s="27">
        <f t="shared" si="400"/>
        <v>2.792891329149688</v>
      </c>
      <c r="AQ1235" s="27">
        <f t="shared" si="400"/>
        <v>2.8317198300092477</v>
      </c>
      <c r="AR1235" s="27">
        <f t="shared" si="400"/>
        <v>2.8723845902967362</v>
      </c>
      <c r="AS1235" s="27">
        <f t="shared" si="400"/>
        <v>2.9137686566351899</v>
      </c>
      <c r="AT1235" s="27">
        <f t="shared" si="400"/>
        <v>2.9235804880371647</v>
      </c>
      <c r="AU1235" s="27">
        <f t="shared" si="400"/>
        <v>2.9305635384314317</v>
      </c>
      <c r="AV1235" s="27">
        <f t="shared" si="400"/>
        <v>2.9334246217616835</v>
      </c>
      <c r="AW1235" s="27">
        <f t="shared" si="400"/>
        <v>2.9351522211130368</v>
      </c>
      <c r="AY1235" s="79"/>
      <c r="AZ1235" s="79"/>
    </row>
    <row r="1236" spans="1:52" x14ac:dyDescent="0.3">
      <c r="A1236" s="95" t="str">
        <f t="shared" si="384"/>
        <v>FSFAGSPQNIBDDSCM Cattle MMCH4</v>
      </c>
      <c r="B1236" s="95" t="s">
        <v>1375</v>
      </c>
      <c r="C1236" s="95" t="s">
        <v>1229</v>
      </c>
      <c r="D1236" t="s">
        <v>15</v>
      </c>
      <c r="E1236" t="s">
        <v>22</v>
      </c>
      <c r="F1236" t="s">
        <v>67</v>
      </c>
      <c r="G1236" t="s">
        <v>307</v>
      </c>
      <c r="H1236" t="s">
        <v>1227</v>
      </c>
      <c r="I1236" t="s">
        <v>121</v>
      </c>
      <c r="J1236" t="s">
        <v>286</v>
      </c>
      <c r="K1236" s="27">
        <f t="shared" ref="K1236:AW1236" si="401">IFERROR(K1395-((K1395-K20)+(K1395-K173)+(K1395-K326)+(K1395-K478)+(K1395-K630)+(K1395-K781)+(K1395-K932)+(K1395-K1083)),0)</f>
        <v>0.43258377187145641</v>
      </c>
      <c r="L1236" s="27">
        <f t="shared" si="401"/>
        <v>0.43500213637199736</v>
      </c>
      <c r="M1236" s="27">
        <f t="shared" si="401"/>
        <v>0.43843338143569016</v>
      </c>
      <c r="N1236" s="27">
        <f t="shared" si="401"/>
        <v>0.44063832189202168</v>
      </c>
      <c r="O1236" s="27">
        <f t="shared" si="401"/>
        <v>0.44210351490980387</v>
      </c>
      <c r="P1236" s="27">
        <f t="shared" si="401"/>
        <v>0.44281453971808232</v>
      </c>
      <c r="Q1236" s="27">
        <f t="shared" si="401"/>
        <v>0.44438545813589125</v>
      </c>
      <c r="R1236" s="27">
        <f t="shared" si="401"/>
        <v>0.44618756541973886</v>
      </c>
      <c r="S1236" s="27">
        <f t="shared" si="401"/>
        <v>0.43277534586715866</v>
      </c>
      <c r="T1236" s="27">
        <f t="shared" si="401"/>
        <v>0.4373260301229735</v>
      </c>
      <c r="U1236" s="27">
        <f t="shared" si="401"/>
        <v>0.44398702774586812</v>
      </c>
      <c r="V1236" s="27">
        <f t="shared" si="401"/>
        <v>0.44743958304970527</v>
      </c>
      <c r="W1236" s="27">
        <f t="shared" si="401"/>
        <v>0.45138539417179691</v>
      </c>
      <c r="X1236" s="27">
        <f t="shared" si="401"/>
        <v>0.45595225713576731</v>
      </c>
      <c r="Y1236" s="27">
        <f t="shared" si="401"/>
        <v>0.46061588589714619</v>
      </c>
      <c r="Z1236" s="27">
        <f t="shared" si="401"/>
        <v>0.46577792148509239</v>
      </c>
      <c r="AA1236" s="27">
        <f t="shared" si="401"/>
        <v>0.47109986282252775</v>
      </c>
      <c r="AB1236" s="27">
        <f t="shared" si="401"/>
        <v>0.47688725095688084</v>
      </c>
      <c r="AC1236" s="27">
        <f t="shared" si="401"/>
        <v>0.48280519174612069</v>
      </c>
      <c r="AD1236" s="27">
        <f t="shared" si="401"/>
        <v>0.48919852023662819</v>
      </c>
      <c r="AE1236" s="27">
        <f t="shared" si="401"/>
        <v>0.4955053191475276</v>
      </c>
      <c r="AF1236" s="27">
        <f t="shared" si="401"/>
        <v>0.50216209837438885</v>
      </c>
      <c r="AG1236" s="27">
        <f t="shared" si="401"/>
        <v>0.50969201613087478</v>
      </c>
      <c r="AH1236" s="27">
        <f t="shared" si="401"/>
        <v>0.51685123611370132</v>
      </c>
      <c r="AI1236" s="27">
        <f t="shared" si="401"/>
        <v>0.52419297828526779</v>
      </c>
      <c r="AJ1236" s="27">
        <f t="shared" si="401"/>
        <v>0.53204463922865186</v>
      </c>
      <c r="AK1236" s="27">
        <f t="shared" si="401"/>
        <v>0.53940069929044132</v>
      </c>
      <c r="AL1236" s="27">
        <f t="shared" si="401"/>
        <v>0.54671684003696541</v>
      </c>
      <c r="AM1236" s="27">
        <f t="shared" si="401"/>
        <v>0.55401341126919512</v>
      </c>
      <c r="AN1236" s="27">
        <f t="shared" si="401"/>
        <v>0.56173296487038149</v>
      </c>
      <c r="AO1236" s="27">
        <f t="shared" si="401"/>
        <v>0.56914202247926249</v>
      </c>
      <c r="AP1236" s="27">
        <f t="shared" si="401"/>
        <v>0.57683878411020695</v>
      </c>
      <c r="AQ1236" s="27">
        <f t="shared" si="401"/>
        <v>0.58485835328960278</v>
      </c>
      <c r="AR1236" s="27">
        <f t="shared" si="401"/>
        <v>0.59325718020977147</v>
      </c>
      <c r="AS1236" s="27">
        <f t="shared" si="401"/>
        <v>0.60180457131627674</v>
      </c>
      <c r="AT1236" s="27">
        <f t="shared" si="401"/>
        <v>0.60383108943989172</v>
      </c>
      <c r="AU1236" s="27">
        <f t="shared" si="401"/>
        <v>0.60527335618932376</v>
      </c>
      <c r="AV1236" s="27">
        <f t="shared" si="401"/>
        <v>0.60586427922747954</v>
      </c>
      <c r="AW1236" s="27">
        <f t="shared" si="401"/>
        <v>0.60622109451021655</v>
      </c>
      <c r="AY1236" s="79"/>
      <c r="AZ1236" s="79"/>
    </row>
    <row r="1237" spans="1:52" x14ac:dyDescent="0.3">
      <c r="A1237" s="95" t="str">
        <f t="shared" si="384"/>
        <v>FSFAGSPQNIBDDSCM Cattle MMCH4</v>
      </c>
      <c r="B1237" s="95" t="s">
        <v>1375</v>
      </c>
      <c r="C1237" s="95" t="s">
        <v>1229</v>
      </c>
      <c r="D1237" t="s">
        <v>15</v>
      </c>
      <c r="E1237" t="s">
        <v>22</v>
      </c>
      <c r="F1237" t="s">
        <v>67</v>
      </c>
      <c r="G1237" t="s">
        <v>122</v>
      </c>
      <c r="H1237" t="s">
        <v>1227</v>
      </c>
      <c r="I1237" t="s">
        <v>121</v>
      </c>
      <c r="J1237" t="s">
        <v>286</v>
      </c>
      <c r="K1237" s="27">
        <f t="shared" ref="K1237:AW1237" si="402">IFERROR(K1396-((K1396-K21)+(K1396-K174)+(K1396-K327)+(K1396-K479)+(K1396-K631)+(K1396-K782)+(K1396-K933)+(K1396-K1084)),0)</f>
        <v>9.4871637196006553E-2</v>
      </c>
      <c r="L1237" s="27">
        <f t="shared" si="402"/>
        <v>9.404884578461549E-2</v>
      </c>
      <c r="M1237" s="27">
        <f t="shared" si="402"/>
        <v>9.3735634002294246E-2</v>
      </c>
      <c r="N1237" s="27">
        <f t="shared" si="402"/>
        <v>9.2483917307495084E-2</v>
      </c>
      <c r="O1237" s="27">
        <f t="shared" si="402"/>
        <v>9.0667019955957343E-2</v>
      </c>
      <c r="P1237" s="27">
        <f t="shared" si="402"/>
        <v>8.8322512540543865E-2</v>
      </c>
      <c r="Q1237" s="27">
        <f t="shared" si="402"/>
        <v>8.6473330972337892E-2</v>
      </c>
      <c r="R1237" s="27">
        <f t="shared" si="402"/>
        <v>8.4723794986300283E-2</v>
      </c>
      <c r="S1237" s="27">
        <f t="shared" si="402"/>
        <v>7.4532240818123416E-2</v>
      </c>
      <c r="T1237" s="27">
        <f t="shared" si="402"/>
        <v>7.5742869009566477E-2</v>
      </c>
      <c r="U1237" s="27">
        <f t="shared" si="402"/>
        <v>7.8001334092155483E-2</v>
      </c>
      <c r="V1237" s="27">
        <f t="shared" si="402"/>
        <v>7.8452375655366738E-2</v>
      </c>
      <c r="W1237" s="27">
        <f t="shared" si="402"/>
        <v>7.9102907310080586E-2</v>
      </c>
      <c r="X1237" s="27">
        <f t="shared" si="402"/>
        <v>8.0010413317847237E-2</v>
      </c>
      <c r="Y1237" s="27">
        <f t="shared" si="402"/>
        <v>8.1051364115397456E-2</v>
      </c>
      <c r="Z1237" s="27">
        <f t="shared" si="402"/>
        <v>8.2271824268517132E-2</v>
      </c>
      <c r="AA1237" s="27">
        <f t="shared" si="402"/>
        <v>8.3497913456907769E-2</v>
      </c>
      <c r="AB1237" s="27">
        <f t="shared" si="402"/>
        <v>8.4876885462998888E-2</v>
      </c>
      <c r="AC1237" s="27">
        <f t="shared" si="402"/>
        <v>8.6242172681273321E-2</v>
      </c>
      <c r="AD1237" s="27">
        <f t="shared" si="402"/>
        <v>8.7131524640671032E-2</v>
      </c>
      <c r="AE1237" s="27">
        <f t="shared" si="402"/>
        <v>8.7861744576890749E-2</v>
      </c>
      <c r="AF1237" s="27">
        <f t="shared" si="402"/>
        <v>8.863318056494178E-2</v>
      </c>
      <c r="AG1237" s="27">
        <f t="shared" si="402"/>
        <v>8.9665353249555477E-2</v>
      </c>
      <c r="AH1237" s="27">
        <f t="shared" si="402"/>
        <v>9.0407657135718758E-2</v>
      </c>
      <c r="AI1237" s="27">
        <f t="shared" si="402"/>
        <v>9.1198770165766427E-2</v>
      </c>
      <c r="AJ1237" s="27">
        <f t="shared" si="402"/>
        <v>9.2069621900880569E-2</v>
      </c>
      <c r="AK1237" s="27">
        <f t="shared" si="402"/>
        <v>9.2612278465111636E-2</v>
      </c>
      <c r="AL1237" s="27">
        <f t="shared" si="402"/>
        <v>9.3019389326395155E-2</v>
      </c>
      <c r="AM1237" s="27">
        <f t="shared" si="402"/>
        <v>9.3302561003725443E-2</v>
      </c>
      <c r="AN1237" s="27">
        <f t="shared" si="402"/>
        <v>9.4182866906307741E-2</v>
      </c>
      <c r="AO1237" s="27">
        <f t="shared" si="402"/>
        <v>9.4852010834144421E-2</v>
      </c>
      <c r="AP1237" s="27">
        <f t="shared" si="402"/>
        <v>9.5529601297703756E-2</v>
      </c>
      <c r="AQ1237" s="27">
        <f t="shared" si="402"/>
        <v>9.6223389625578193E-2</v>
      </c>
      <c r="AR1237" s="27">
        <f t="shared" si="402"/>
        <v>9.6947366282069555E-2</v>
      </c>
      <c r="AS1237" s="27">
        <f t="shared" si="402"/>
        <v>9.7690698003963641E-2</v>
      </c>
      <c r="AT1237" s="27">
        <f t="shared" si="402"/>
        <v>9.6224389596631696E-2</v>
      </c>
      <c r="AU1237" s="27">
        <f t="shared" si="402"/>
        <v>9.4563308773857144E-2</v>
      </c>
      <c r="AV1237" s="27">
        <f t="shared" si="402"/>
        <v>9.2637583282449518E-2</v>
      </c>
      <c r="AW1237" s="27">
        <f t="shared" si="402"/>
        <v>9.065150695451285E-2</v>
      </c>
      <c r="AY1237" s="79"/>
      <c r="AZ1237" s="79"/>
    </row>
    <row r="1238" spans="1:52" x14ac:dyDescent="0.3">
      <c r="A1238" s="95" t="str">
        <f t="shared" si="384"/>
        <v>FSFAGSPQNIBDDSCM Cattle MMCH4</v>
      </c>
      <c r="B1238" s="95" t="s">
        <v>1375</v>
      </c>
      <c r="C1238" s="95" t="s">
        <v>1229</v>
      </c>
      <c r="D1238" t="s">
        <v>15</v>
      </c>
      <c r="E1238" t="s">
        <v>22</v>
      </c>
      <c r="F1238" t="s">
        <v>67</v>
      </c>
      <c r="G1238" t="s">
        <v>123</v>
      </c>
      <c r="H1238" t="s">
        <v>1227</v>
      </c>
      <c r="I1238" t="s">
        <v>121</v>
      </c>
      <c r="J1238" t="s">
        <v>286</v>
      </c>
      <c r="K1238" s="27">
        <f t="shared" ref="K1238:AW1238" si="403">IFERROR(K1397-((K1397-K22)+(K1397-K175)+(K1397-K328)+(K1397-K480)+(K1397-K632)+(K1397-K783)+(K1397-K934)+(K1397-K1085)),0)</f>
        <v>6.9689449734106304E-2</v>
      </c>
      <c r="L1238" s="27">
        <f t="shared" si="403"/>
        <v>6.9085055392440989E-2</v>
      </c>
      <c r="M1238" s="27">
        <f t="shared" si="403"/>
        <v>6.8854980763127793E-2</v>
      </c>
      <c r="N1238" s="27">
        <f t="shared" si="403"/>
        <v>6.7935512624264269E-2</v>
      </c>
      <c r="O1238" s="27">
        <f t="shared" si="403"/>
        <v>6.660088216573827E-2</v>
      </c>
      <c r="P1238" s="27">
        <f t="shared" si="403"/>
        <v>6.4878687456057696E-2</v>
      </c>
      <c r="Q1238" s="27">
        <f t="shared" si="403"/>
        <v>6.3520342119606069E-2</v>
      </c>
      <c r="R1238" s="27">
        <f t="shared" si="403"/>
        <v>6.2235193009075998E-2</v>
      </c>
      <c r="S1238" s="27">
        <f t="shared" si="403"/>
        <v>5.4748826979066356E-2</v>
      </c>
      <c r="T1238" s="27">
        <f t="shared" si="403"/>
        <v>5.5638112913069561E-2</v>
      </c>
      <c r="U1238" s="27">
        <f t="shared" si="403"/>
        <v>5.7297103877082825E-2</v>
      </c>
      <c r="V1238" s="27">
        <f t="shared" si="403"/>
        <v>5.7628423534637221E-2</v>
      </c>
      <c r="W1238" s="27">
        <f t="shared" si="403"/>
        <v>5.8106281769105768E-2</v>
      </c>
      <c r="X1238" s="27">
        <f t="shared" si="403"/>
        <v>5.8772904546796331E-2</v>
      </c>
      <c r="Y1238" s="27">
        <f t="shared" si="403"/>
        <v>5.9537551288705921E-2</v>
      </c>
      <c r="Z1238" s="27">
        <f t="shared" si="403"/>
        <v>6.0434059444432087E-2</v>
      </c>
      <c r="AA1238" s="27">
        <f t="shared" si="403"/>
        <v>6.1334702496341778E-2</v>
      </c>
      <c r="AB1238" s="27">
        <f t="shared" si="403"/>
        <v>6.2347648020879123E-2</v>
      </c>
      <c r="AC1238" s="27">
        <f t="shared" si="403"/>
        <v>6.3350541169797603E-2</v>
      </c>
      <c r="AD1238" s="27">
        <f t="shared" si="403"/>
        <v>6.4003828606403412E-2</v>
      </c>
      <c r="AE1238" s="27">
        <f t="shared" si="403"/>
        <v>6.4540223118441709E-2</v>
      </c>
      <c r="AF1238" s="27">
        <f t="shared" si="403"/>
        <v>6.5106893528074167E-2</v>
      </c>
      <c r="AG1238" s="27">
        <f t="shared" si="403"/>
        <v>6.5865092169388781E-2</v>
      </c>
      <c r="AH1238" s="27">
        <f t="shared" si="403"/>
        <v>6.641036313646749E-2</v>
      </c>
      <c r="AI1238" s="27">
        <f t="shared" si="403"/>
        <v>6.6991487626051227E-2</v>
      </c>
      <c r="AJ1238" s="27">
        <f t="shared" si="403"/>
        <v>6.7631185432622337E-2</v>
      </c>
      <c r="AK1238" s="27">
        <f t="shared" si="403"/>
        <v>6.8029802326707703E-2</v>
      </c>
      <c r="AL1238" s="27">
        <f t="shared" si="403"/>
        <v>6.832885199784397E-2</v>
      </c>
      <c r="AM1238" s="27">
        <f t="shared" si="403"/>
        <v>6.8536860196676486E-2</v>
      </c>
      <c r="AN1238" s="27">
        <f t="shared" si="403"/>
        <v>6.9183502710306752E-2</v>
      </c>
      <c r="AO1238" s="27">
        <f t="shared" si="403"/>
        <v>6.9675032882043061E-2</v>
      </c>
      <c r="AP1238" s="27">
        <f t="shared" si="403"/>
        <v>7.0172767589129104E-2</v>
      </c>
      <c r="AQ1238" s="27">
        <f t="shared" si="403"/>
        <v>7.0682400691608652E-2</v>
      </c>
      <c r="AR1238" s="27">
        <f t="shared" si="403"/>
        <v>7.1214209104559126E-2</v>
      </c>
      <c r="AS1238" s="27">
        <f t="shared" si="403"/>
        <v>7.1760235084501689E-2</v>
      </c>
      <c r="AT1238" s="27">
        <f t="shared" si="403"/>
        <v>7.0683135236036573E-2</v>
      </c>
      <c r="AU1238" s="27">
        <f t="shared" si="403"/>
        <v>6.9462962253632216E-2</v>
      </c>
      <c r="AV1238" s="27">
        <f t="shared" si="403"/>
        <v>6.8048390377341353E-2</v>
      </c>
      <c r="AW1238" s="27">
        <f t="shared" si="403"/>
        <v>6.658948684711255E-2</v>
      </c>
      <c r="AY1238" s="79"/>
      <c r="AZ1238" s="79"/>
    </row>
    <row r="1239" spans="1:52" x14ac:dyDescent="0.3">
      <c r="A1239" s="95" t="str">
        <f t="shared" si="384"/>
        <v>FSFAGSPQNIBDDSCM Cattle MMCH4</v>
      </c>
      <c r="B1239" s="95" t="s">
        <v>1375</v>
      </c>
      <c r="C1239" s="95" t="s">
        <v>1229</v>
      </c>
      <c r="D1239" t="s">
        <v>15</v>
      </c>
      <c r="E1239" t="s">
        <v>22</v>
      </c>
      <c r="F1239" t="s">
        <v>67</v>
      </c>
      <c r="G1239" t="s">
        <v>135</v>
      </c>
      <c r="H1239" t="s">
        <v>1227</v>
      </c>
      <c r="I1239" t="s">
        <v>121</v>
      </c>
      <c r="J1239" t="s">
        <v>286</v>
      </c>
      <c r="K1239" s="27">
        <f t="shared" ref="K1239:AW1239" si="404">IFERROR(K1398-((K1398-K23)+(K1398-K176)+(K1398-K329)+(K1398-K481)+(K1398-K633)+(K1398-K784)+(K1398-K935)+(K1398-K1086)),0)</f>
        <v>0.47107022937833831</v>
      </c>
      <c r="L1239" s="27">
        <f t="shared" si="404"/>
        <v>0.48695387967725939</v>
      </c>
      <c r="M1239" s="27">
        <f t="shared" si="404"/>
        <v>0.50580611066616787</v>
      </c>
      <c r="N1239" s="27">
        <f t="shared" si="404"/>
        <v>0.51986569055899412</v>
      </c>
      <c r="O1239" s="27">
        <f t="shared" si="404"/>
        <v>0.5307082628613855</v>
      </c>
      <c r="P1239" s="27">
        <f t="shared" si="404"/>
        <v>0.53817886796858128</v>
      </c>
      <c r="Q1239" s="27">
        <f t="shared" si="404"/>
        <v>0.54837935702304741</v>
      </c>
      <c r="R1239" s="27">
        <f t="shared" si="404"/>
        <v>0.55907244781022658</v>
      </c>
      <c r="S1239" s="27">
        <f t="shared" si="404"/>
        <v>0.5116979963243764</v>
      </c>
      <c r="T1239" s="27">
        <f t="shared" si="404"/>
        <v>0.53253794371544794</v>
      </c>
      <c r="U1239" s="27">
        <f t="shared" si="404"/>
        <v>0.56144831136588025</v>
      </c>
      <c r="V1239" s="27">
        <f t="shared" si="404"/>
        <v>0.57794253443008525</v>
      </c>
      <c r="W1239" s="27">
        <f t="shared" si="404"/>
        <v>0.59624482437454274</v>
      </c>
      <c r="X1239" s="27">
        <f t="shared" si="404"/>
        <v>0.61691451225743765</v>
      </c>
      <c r="Y1239" s="27">
        <f t="shared" si="404"/>
        <v>0.63912634684399761</v>
      </c>
      <c r="Z1239" s="27">
        <f t="shared" si="404"/>
        <v>0.66333849990898774</v>
      </c>
      <c r="AA1239" s="27">
        <f t="shared" si="404"/>
        <v>0.68823157042214766</v>
      </c>
      <c r="AB1239" s="27">
        <f t="shared" si="404"/>
        <v>0.71506797281834467</v>
      </c>
      <c r="AC1239" s="27">
        <f t="shared" si="404"/>
        <v>0.74251772868278199</v>
      </c>
      <c r="AD1239" s="27">
        <f t="shared" si="404"/>
        <v>0.7750525944257971</v>
      </c>
      <c r="AE1239" s="27">
        <f t="shared" si="404"/>
        <v>0.80751598640792854</v>
      </c>
      <c r="AF1239" s="27">
        <f t="shared" si="404"/>
        <v>0.84174152680537817</v>
      </c>
      <c r="AG1239" s="27">
        <f t="shared" si="404"/>
        <v>0.88000003569074847</v>
      </c>
      <c r="AH1239" s="27">
        <f t="shared" si="404"/>
        <v>0.91704807287784318</v>
      </c>
      <c r="AI1239" s="27">
        <f t="shared" si="404"/>
        <v>0.95623961354371867</v>
      </c>
      <c r="AJ1239" s="27">
        <f t="shared" si="404"/>
        <v>0.99805792050769693</v>
      </c>
      <c r="AK1239" s="27">
        <f t="shared" si="404"/>
        <v>1.0381239689146564</v>
      </c>
      <c r="AL1239" s="27">
        <f t="shared" si="404"/>
        <v>1.0784102253675423</v>
      </c>
      <c r="AM1239" s="27">
        <f t="shared" si="404"/>
        <v>1.1190041069207182</v>
      </c>
      <c r="AN1239" s="27">
        <f t="shared" si="404"/>
        <v>1.1614327193697984</v>
      </c>
      <c r="AO1239" s="27">
        <f t="shared" si="404"/>
        <v>1.2028013950684227</v>
      </c>
      <c r="AP1239" s="27">
        <f t="shared" si="404"/>
        <v>1.2458253070355789</v>
      </c>
      <c r="AQ1239" s="27">
        <f t="shared" si="404"/>
        <v>1.2906949248380046</v>
      </c>
      <c r="AR1239" s="27">
        <f t="shared" si="404"/>
        <v>1.3377043131160224</v>
      </c>
      <c r="AS1239" s="27">
        <f t="shared" si="404"/>
        <v>1.3868240533486631</v>
      </c>
      <c r="AT1239" s="27">
        <f t="shared" si="404"/>
        <v>1.4056131138026084</v>
      </c>
      <c r="AU1239" s="27">
        <f t="shared" si="404"/>
        <v>1.4216407980502102</v>
      </c>
      <c r="AV1239" s="27">
        <f t="shared" si="404"/>
        <v>1.4335765692204958</v>
      </c>
      <c r="AW1239" s="27">
        <f t="shared" si="404"/>
        <v>1.4443117800465477</v>
      </c>
      <c r="AY1239" s="79"/>
      <c r="AZ1239" s="79"/>
    </row>
    <row r="1240" spans="1:52" x14ac:dyDescent="0.3">
      <c r="A1240" s="95" t="str">
        <f t="shared" si="384"/>
        <v>FSFAGSPQNIBDDSCM Sheep MMCH4</v>
      </c>
      <c r="B1240" s="95" t="s">
        <v>1375</v>
      </c>
      <c r="C1240" s="95" t="s">
        <v>1324</v>
      </c>
      <c r="D1240" t="s">
        <v>15</v>
      </c>
      <c r="E1240" t="s">
        <v>22</v>
      </c>
      <c r="F1240" t="s">
        <v>18</v>
      </c>
      <c r="G1240" t="s">
        <v>122</v>
      </c>
      <c r="H1240" t="s">
        <v>1227</v>
      </c>
      <c r="I1240" t="s">
        <v>121</v>
      </c>
      <c r="J1240" t="s">
        <v>286</v>
      </c>
      <c r="K1240" s="27">
        <f t="shared" ref="K1240:AW1240" si="405">IFERROR(K1399-((K1399-K24)+(K1399-K177)+(K1399-K330)+(K1399-K482)+(K1399-K634)+(K1399-K785)+(K1399-K936)+(K1399-K1087)),0)</f>
        <v>3.6054675351507588E-2</v>
      </c>
      <c r="L1240" s="27">
        <f t="shared" si="405"/>
        <v>3.6074169999743479E-2</v>
      </c>
      <c r="M1240" s="27">
        <f t="shared" si="405"/>
        <v>3.6120780972302438E-2</v>
      </c>
      <c r="N1240" s="27">
        <f t="shared" si="405"/>
        <v>3.6189509224973292E-2</v>
      </c>
      <c r="O1240" s="27">
        <f t="shared" si="405"/>
        <v>3.6279918010713667E-2</v>
      </c>
      <c r="P1240" s="27">
        <f t="shared" si="405"/>
        <v>3.6391052650159628E-2</v>
      </c>
      <c r="Q1240" s="27">
        <f t="shared" si="405"/>
        <v>3.6515872019705298E-2</v>
      </c>
      <c r="R1240" s="27">
        <f t="shared" si="405"/>
        <v>3.6653588090719266E-2</v>
      </c>
      <c r="S1240" s="27">
        <f t="shared" si="405"/>
        <v>3.6779521855622693E-2</v>
      </c>
      <c r="T1240" s="27">
        <f t="shared" si="405"/>
        <v>3.6834860200729257E-2</v>
      </c>
      <c r="U1240" s="27">
        <f t="shared" si="405"/>
        <v>3.6902440208564632E-2</v>
      </c>
      <c r="V1240" s="27">
        <f t="shared" si="405"/>
        <v>3.697347207185564E-2</v>
      </c>
      <c r="W1240" s="27">
        <f t="shared" si="405"/>
        <v>3.7053220502968609E-2</v>
      </c>
      <c r="X1240" s="27">
        <f t="shared" si="405"/>
        <v>3.714146236421613E-2</v>
      </c>
      <c r="Y1240" s="27">
        <f t="shared" si="405"/>
        <v>3.7196571628197998E-2</v>
      </c>
      <c r="Z1240" s="27">
        <f t="shared" si="405"/>
        <v>3.7258831126487216E-2</v>
      </c>
      <c r="AA1240" s="27">
        <f t="shared" si="405"/>
        <v>3.7327399595166219E-2</v>
      </c>
      <c r="AB1240" s="27">
        <f t="shared" si="405"/>
        <v>3.7402465573387562E-2</v>
      </c>
      <c r="AC1240" s="27">
        <f t="shared" si="405"/>
        <v>3.7483254267417832E-2</v>
      </c>
      <c r="AD1240" s="27">
        <f t="shared" si="405"/>
        <v>3.7537448557312683E-2</v>
      </c>
      <c r="AE1240" s="27">
        <f t="shared" si="405"/>
        <v>3.759628261627642E-2</v>
      </c>
      <c r="AF1240" s="27">
        <f t="shared" si="405"/>
        <v>3.7660229373785575E-2</v>
      </c>
      <c r="AG1240" s="27">
        <f t="shared" si="405"/>
        <v>3.7729913053341259E-2</v>
      </c>
      <c r="AH1240" s="27">
        <f t="shared" si="405"/>
        <v>3.7803241196451468E-2</v>
      </c>
      <c r="AI1240" s="27">
        <f t="shared" si="405"/>
        <v>3.7850112312391396E-2</v>
      </c>
      <c r="AJ1240" s="27">
        <f t="shared" si="405"/>
        <v>3.7901451820370476E-2</v>
      </c>
      <c r="AK1240" s="27">
        <f t="shared" si="405"/>
        <v>3.7955566436191537E-2</v>
      </c>
      <c r="AL1240" s="27">
        <f t="shared" si="405"/>
        <v>3.8013032265109208E-2</v>
      </c>
      <c r="AM1240" s="27">
        <f t="shared" si="405"/>
        <v>3.8073762176342195E-2</v>
      </c>
      <c r="AN1240" s="27">
        <f t="shared" si="405"/>
        <v>3.8109645900532299E-2</v>
      </c>
      <c r="AO1240" s="27">
        <f t="shared" si="405"/>
        <v>3.8147952211549679E-2</v>
      </c>
      <c r="AP1240" s="27">
        <f t="shared" si="405"/>
        <v>3.8189503844275732E-2</v>
      </c>
      <c r="AQ1240" s="27">
        <f t="shared" si="405"/>
        <v>3.8234260627096527E-2</v>
      </c>
      <c r="AR1240" s="27">
        <f t="shared" si="405"/>
        <v>3.8282221632507191E-2</v>
      </c>
      <c r="AS1240" s="27">
        <f t="shared" si="405"/>
        <v>3.8303980390956796E-2</v>
      </c>
      <c r="AT1240" s="27">
        <f t="shared" si="405"/>
        <v>3.8318002472277804E-2</v>
      </c>
      <c r="AU1240" s="27">
        <f t="shared" si="405"/>
        <v>3.8333373323501507E-2</v>
      </c>
      <c r="AV1240" s="27">
        <f t="shared" si="405"/>
        <v>3.8349609063517129E-2</v>
      </c>
      <c r="AW1240" s="27">
        <f t="shared" si="405"/>
        <v>3.8367594097231859E-2</v>
      </c>
      <c r="AY1240" s="79"/>
      <c r="AZ1240" s="79"/>
    </row>
    <row r="1241" spans="1:52" x14ac:dyDescent="0.3">
      <c r="A1241" s="95" t="str">
        <f t="shared" si="384"/>
        <v>FSFAGSPQNIBDDSCM Sheep MMCH4</v>
      </c>
      <c r="B1241" s="95" t="s">
        <v>1375</v>
      </c>
      <c r="C1241" s="95" t="s">
        <v>1324</v>
      </c>
      <c r="D1241" t="s">
        <v>15</v>
      </c>
      <c r="E1241" t="s">
        <v>22</v>
      </c>
      <c r="F1241" t="s">
        <v>18</v>
      </c>
      <c r="G1241" t="s">
        <v>123</v>
      </c>
      <c r="H1241" t="s">
        <v>1227</v>
      </c>
      <c r="I1241" t="s">
        <v>121</v>
      </c>
      <c r="J1241" t="s">
        <v>286</v>
      </c>
      <c r="K1241" s="27">
        <f t="shared" ref="K1241:AW1241" si="406">IFERROR(K1400-((K1400-K25)+(K1400-K178)+(K1400-K331)+(K1400-K483)+(K1400-K635)+(K1400-K786)+(K1400-K937)+(K1400-K1088)),0)</f>
        <v>4.1176157807460215E-3</v>
      </c>
      <c r="L1241" s="27">
        <f t="shared" si="406"/>
        <v>4.1198421624963379E-3</v>
      </c>
      <c r="M1241" s="27">
        <f t="shared" si="406"/>
        <v>4.1251653577350569E-3</v>
      </c>
      <c r="N1241" s="27">
        <f t="shared" si="406"/>
        <v>4.1330144517851795E-3</v>
      </c>
      <c r="O1241" s="27">
        <f t="shared" si="406"/>
        <v>4.1433395660526989E-3</v>
      </c>
      <c r="P1241" s="27">
        <f t="shared" si="406"/>
        <v>4.1560316716037502E-3</v>
      </c>
      <c r="Q1241" s="27">
        <f t="shared" si="406"/>
        <v>4.1702866385608306E-3</v>
      </c>
      <c r="R1241" s="27">
        <f t="shared" si="406"/>
        <v>4.1860144702980757E-3</v>
      </c>
      <c r="S1241" s="27">
        <f t="shared" si="406"/>
        <v>4.2003967065168081E-3</v>
      </c>
      <c r="T1241" s="27">
        <f t="shared" si="406"/>
        <v>4.2067166092997236E-3</v>
      </c>
      <c r="U1241" s="27">
        <f t="shared" si="406"/>
        <v>4.2144345683164958E-3</v>
      </c>
      <c r="V1241" s="27">
        <f t="shared" si="406"/>
        <v>4.2225467456796619E-3</v>
      </c>
      <c r="W1241" s="27">
        <f t="shared" si="406"/>
        <v>4.2316543966358575E-3</v>
      </c>
      <c r="X1241" s="27">
        <f t="shared" si="406"/>
        <v>4.2417320377975895E-3</v>
      </c>
      <c r="Y1241" s="27">
        <f t="shared" si="406"/>
        <v>4.2480257784241436E-3</v>
      </c>
      <c r="Z1241" s="27">
        <f t="shared" si="406"/>
        <v>4.2551361098903872E-3</v>
      </c>
      <c r="AA1241" s="27">
        <f t="shared" si="406"/>
        <v>4.2629669558470248E-3</v>
      </c>
      <c r="AB1241" s="27">
        <f t="shared" si="406"/>
        <v>4.2715398483639559E-3</v>
      </c>
      <c r="AC1241" s="27">
        <f t="shared" si="406"/>
        <v>4.2807663023037507E-3</v>
      </c>
      <c r="AD1241" s="27">
        <f t="shared" si="406"/>
        <v>4.2869555485283185E-3</v>
      </c>
      <c r="AE1241" s="27">
        <f t="shared" si="406"/>
        <v>4.2936746784961411E-3</v>
      </c>
      <c r="AF1241" s="27">
        <f t="shared" si="406"/>
        <v>4.3009777030076704E-3</v>
      </c>
      <c r="AG1241" s="27">
        <f t="shared" si="406"/>
        <v>4.3089359113621063E-3</v>
      </c>
      <c r="AH1241" s="27">
        <f t="shared" si="406"/>
        <v>4.3173103348259087E-3</v>
      </c>
      <c r="AI1241" s="27">
        <f t="shared" si="406"/>
        <v>4.3226632396787153E-3</v>
      </c>
      <c r="AJ1241" s="27">
        <f t="shared" si="406"/>
        <v>4.3285264562011056E-3</v>
      </c>
      <c r="AK1241" s="27">
        <f t="shared" si="406"/>
        <v>4.3347066032666795E-3</v>
      </c>
      <c r="AL1241" s="27">
        <f t="shared" si="406"/>
        <v>4.3412694748415342E-3</v>
      </c>
      <c r="AM1241" s="27">
        <f t="shared" si="406"/>
        <v>4.3482051201751372E-3</v>
      </c>
      <c r="AN1241" s="27">
        <f t="shared" si="406"/>
        <v>4.3523032125184075E-3</v>
      </c>
      <c r="AO1241" s="27">
        <f t="shared" si="406"/>
        <v>4.3566779758246795E-3</v>
      </c>
      <c r="AP1241" s="27">
        <f t="shared" si="406"/>
        <v>4.361423370338997E-3</v>
      </c>
      <c r="AQ1241" s="27">
        <f t="shared" si="406"/>
        <v>4.3665348082715704E-3</v>
      </c>
      <c r="AR1241" s="27">
        <f t="shared" si="406"/>
        <v>4.3720121836969238E-3</v>
      </c>
      <c r="AS1241" s="27">
        <f t="shared" si="406"/>
        <v>4.3744971376255895E-3</v>
      </c>
      <c r="AT1241" s="27">
        <f t="shared" si="406"/>
        <v>4.3760985261490854E-3</v>
      </c>
      <c r="AU1241" s="27">
        <f t="shared" si="406"/>
        <v>4.3778539506244196E-3</v>
      </c>
      <c r="AV1241" s="27">
        <f t="shared" si="406"/>
        <v>4.3797081495223055E-3</v>
      </c>
      <c r="AW1241" s="27">
        <f t="shared" si="406"/>
        <v>4.381762126098687E-3</v>
      </c>
      <c r="AY1241" s="79"/>
      <c r="AZ1241" s="79"/>
    </row>
    <row r="1242" spans="1:52" x14ac:dyDescent="0.3">
      <c r="A1242" s="95" t="str">
        <f t="shared" si="384"/>
        <v>FSFAGSPQNIBDDSCM Goats MMCH4</v>
      </c>
      <c r="B1242" s="95" t="s">
        <v>1375</v>
      </c>
      <c r="C1242" s="95" t="s">
        <v>1325</v>
      </c>
      <c r="D1242" t="s">
        <v>15</v>
      </c>
      <c r="E1242" t="s">
        <v>22</v>
      </c>
      <c r="F1242" t="s">
        <v>19</v>
      </c>
      <c r="G1242" t="s">
        <v>122</v>
      </c>
      <c r="H1242" t="s">
        <v>1227</v>
      </c>
      <c r="I1242" t="s">
        <v>121</v>
      </c>
      <c r="J1242" t="s">
        <v>286</v>
      </c>
      <c r="K1242" s="27">
        <f t="shared" ref="K1242:AW1242" si="407">IFERROR(K1401-((K1401-K26)+(K1401-K179)+(K1401-K332)+(K1401-K484)+(K1401-K636)+(K1401-K787)+(K1401-K938)+(K1401-K1089)),0)</f>
        <v>1.5789672763163301E-2</v>
      </c>
      <c r="L1242" s="27">
        <f t="shared" si="407"/>
        <v>1.5830718290757027E-2</v>
      </c>
      <c r="M1242" s="27">
        <f t="shared" si="407"/>
        <v>1.588733914557475E-2</v>
      </c>
      <c r="N1242" s="27">
        <f t="shared" si="407"/>
        <v>1.5956318300360577E-2</v>
      </c>
      <c r="O1242" s="27">
        <f t="shared" si="407"/>
        <v>1.6037557372574476E-2</v>
      </c>
      <c r="P1242" s="27">
        <f t="shared" si="407"/>
        <v>1.6130561898613765E-2</v>
      </c>
      <c r="Q1242" s="27">
        <f t="shared" si="407"/>
        <v>1.6230654784419023E-2</v>
      </c>
      <c r="R1242" s="27">
        <f t="shared" si="407"/>
        <v>1.6337439810579345E-2</v>
      </c>
      <c r="S1242" s="27">
        <f t="shared" si="407"/>
        <v>1.6434281735880792E-2</v>
      </c>
      <c r="T1242" s="27">
        <f t="shared" si="407"/>
        <v>1.6481585221637597E-2</v>
      </c>
      <c r="U1242" s="27">
        <f t="shared" si="407"/>
        <v>1.6535805571967339E-2</v>
      </c>
      <c r="V1242" s="27">
        <f t="shared" si="407"/>
        <v>1.6591075188605784E-2</v>
      </c>
      <c r="W1242" s="27">
        <f t="shared" si="407"/>
        <v>1.6651019239861981E-2</v>
      </c>
      <c r="X1242" s="27">
        <f t="shared" si="407"/>
        <v>1.6715538656301921E-2</v>
      </c>
      <c r="Y1242" s="27">
        <f t="shared" si="407"/>
        <v>1.675682826181454E-2</v>
      </c>
      <c r="Z1242" s="27">
        <f t="shared" si="407"/>
        <v>1.6802001380323034E-2</v>
      </c>
      <c r="AA1242" s="27">
        <f t="shared" si="407"/>
        <v>1.6850529656754189E-2</v>
      </c>
      <c r="AB1242" s="27">
        <f t="shared" si="407"/>
        <v>1.6902568919116488E-2</v>
      </c>
      <c r="AC1242" s="27">
        <f t="shared" si="407"/>
        <v>1.6957630528557751E-2</v>
      </c>
      <c r="AD1242" s="27">
        <f t="shared" si="407"/>
        <v>1.6994350372716287E-2</v>
      </c>
      <c r="AE1242" s="27">
        <f t="shared" si="407"/>
        <v>1.7033509901620177E-2</v>
      </c>
      <c r="AF1242" s="27">
        <f t="shared" si="407"/>
        <v>1.7075440579577206E-2</v>
      </c>
      <c r="AG1242" s="27">
        <f t="shared" si="407"/>
        <v>1.7120568284346587E-2</v>
      </c>
      <c r="AH1242" s="27">
        <f t="shared" si="407"/>
        <v>1.7167529660259997E-2</v>
      </c>
      <c r="AI1242" s="27">
        <f t="shared" si="407"/>
        <v>1.7196614048621731E-2</v>
      </c>
      <c r="AJ1242" s="27">
        <f t="shared" si="407"/>
        <v>1.7228175905563897E-2</v>
      </c>
      <c r="AK1242" s="27">
        <f t="shared" si="407"/>
        <v>1.7261117551388462E-2</v>
      </c>
      <c r="AL1242" s="27">
        <f t="shared" si="407"/>
        <v>1.7295827028863175E-2</v>
      </c>
      <c r="AM1242" s="27">
        <f t="shared" si="407"/>
        <v>1.7332256815907665E-2</v>
      </c>
      <c r="AN1242" s="27">
        <f t="shared" si="407"/>
        <v>1.7352159823168515E-2</v>
      </c>
      <c r="AO1242" s="27">
        <f t="shared" si="407"/>
        <v>1.7373316667964631E-2</v>
      </c>
      <c r="AP1242" s="27">
        <f t="shared" si="407"/>
        <v>1.7396267425724934E-2</v>
      </c>
      <c r="AQ1242" s="27">
        <f t="shared" si="407"/>
        <v>1.7420990177436466E-2</v>
      </c>
      <c r="AR1242" s="27">
        <f t="shared" si="407"/>
        <v>1.7447487775150525E-2</v>
      </c>
      <c r="AS1242" s="27">
        <f t="shared" si="407"/>
        <v>1.7456827369575736E-2</v>
      </c>
      <c r="AT1242" s="27">
        <f t="shared" si="407"/>
        <v>1.746097508558354E-2</v>
      </c>
      <c r="AU1242" s="27">
        <f t="shared" si="407"/>
        <v>1.746579683409127E-2</v>
      </c>
      <c r="AV1242" s="27">
        <f t="shared" si="407"/>
        <v>1.7470987825332424E-2</v>
      </c>
      <c r="AW1242" s="27">
        <f t="shared" si="407"/>
        <v>1.7477120152816387E-2</v>
      </c>
      <c r="AY1242" s="79"/>
      <c r="AZ1242" s="79"/>
    </row>
    <row r="1243" spans="1:52" x14ac:dyDescent="0.3">
      <c r="A1243" s="95" t="str">
        <f t="shared" si="384"/>
        <v>FSFAGSPQNIBDDSCM Goats MMCH4</v>
      </c>
      <c r="B1243" s="95" t="s">
        <v>1375</v>
      </c>
      <c r="C1243" s="95" t="s">
        <v>1325</v>
      </c>
      <c r="D1243" t="s">
        <v>15</v>
      </c>
      <c r="E1243" t="s">
        <v>22</v>
      </c>
      <c r="F1243" t="s">
        <v>19</v>
      </c>
      <c r="G1243" t="s">
        <v>123</v>
      </c>
      <c r="H1243" t="s">
        <v>1227</v>
      </c>
      <c r="I1243" t="s">
        <v>121</v>
      </c>
      <c r="J1243" t="s">
        <v>286</v>
      </c>
      <c r="K1243" s="27">
        <f t="shared" ref="K1243:AW1243" si="408">IFERROR(K1402-((K1402-K27)+(K1402-K180)+(K1402-K333)+(K1402-K485)+(K1402-K637)+(K1402-K788)+(K1402-K939)+(K1402-K1090)),0)</f>
        <v>2.6592218800664803E-2</v>
      </c>
      <c r="L1243" s="27">
        <f t="shared" si="408"/>
        <v>2.6661345733624896E-2</v>
      </c>
      <c r="M1243" s="27">
        <f t="shared" si="408"/>
        <v>2.6756703894783639E-2</v>
      </c>
      <c r="N1243" s="27">
        <f t="shared" si="408"/>
        <v>2.6872875319249704E-2</v>
      </c>
      <c r="O1243" s="27">
        <f t="shared" si="408"/>
        <v>2.7009694315810229E-2</v>
      </c>
      <c r="P1243" s="27">
        <f t="shared" si="408"/>
        <v>2.7166328132291764E-2</v>
      </c>
      <c r="Q1243" s="27">
        <f t="shared" si="408"/>
        <v>2.7334899828466052E-2</v>
      </c>
      <c r="R1243" s="27">
        <f t="shared" si="408"/>
        <v>2.7514742110372921E-2</v>
      </c>
      <c r="S1243" s="27">
        <f t="shared" si="408"/>
        <v>2.7677838692887386E-2</v>
      </c>
      <c r="T1243" s="27">
        <f t="shared" si="408"/>
        <v>2.7757504982502564E-2</v>
      </c>
      <c r="U1243" s="27">
        <f t="shared" si="408"/>
        <v>2.7848820327731318E-2</v>
      </c>
      <c r="V1243" s="27">
        <f t="shared" si="408"/>
        <v>2.7941902797566111E-2</v>
      </c>
      <c r="W1243" s="27">
        <f t="shared" si="408"/>
        <v>2.804285772872351E-2</v>
      </c>
      <c r="X1243" s="27">
        <f t="shared" si="408"/>
        <v>2.8151518273156369E-2</v>
      </c>
      <c r="Y1243" s="27">
        <f t="shared" si="408"/>
        <v>2.82210562705838E-2</v>
      </c>
      <c r="Z1243" s="27">
        <f t="shared" si="408"/>
        <v>2.8297134696609751E-2</v>
      </c>
      <c r="AA1243" s="27">
        <f t="shared" si="408"/>
        <v>2.8378863720651775E-2</v>
      </c>
      <c r="AB1243" s="27">
        <f t="shared" si="408"/>
        <v>2.8466505780859123E-2</v>
      </c>
      <c r="AC1243" s="27">
        <f t="shared" si="408"/>
        <v>2.8559237934827175E-2</v>
      </c>
      <c r="AD1243" s="27">
        <f t="shared" si="408"/>
        <v>2.8621079756683557E-2</v>
      </c>
      <c r="AE1243" s="27">
        <f t="shared" si="408"/>
        <v>2.8687030380003167E-2</v>
      </c>
      <c r="AF1243" s="27">
        <f t="shared" si="408"/>
        <v>2.8757648041269384E-2</v>
      </c>
      <c r="AG1243" s="27">
        <f t="shared" si="408"/>
        <v>2.8833649983627477E-2</v>
      </c>
      <c r="AH1243" s="27">
        <f t="shared" si="408"/>
        <v>2.8912740108052549E-2</v>
      </c>
      <c r="AI1243" s="27">
        <f t="shared" si="408"/>
        <v>2.8961722657000817E-2</v>
      </c>
      <c r="AJ1243" s="27">
        <f t="shared" si="408"/>
        <v>2.9014877641157257E-2</v>
      </c>
      <c r="AK1243" s="27">
        <f t="shared" si="408"/>
        <v>2.9070356400379201E-2</v>
      </c>
      <c r="AL1243" s="27">
        <f t="shared" si="408"/>
        <v>2.9128812457911796E-2</v>
      </c>
      <c r="AM1243" s="27">
        <f t="shared" si="408"/>
        <v>2.9190165779318728E-2</v>
      </c>
      <c r="AN1243" s="27">
        <f t="shared" si="408"/>
        <v>2.9223685481203028E-2</v>
      </c>
      <c r="AO1243" s="27">
        <f t="shared" si="408"/>
        <v>2.9259316836861168E-2</v>
      </c>
      <c r="AP1243" s="27">
        <f t="shared" si="408"/>
        <v>2.9297969415743415E-2</v>
      </c>
      <c r="AQ1243" s="27">
        <f t="shared" si="408"/>
        <v>2.9339606302886588E-2</v>
      </c>
      <c r="AR1243" s="27">
        <f t="shared" si="408"/>
        <v>2.9384232301580378E-2</v>
      </c>
      <c r="AS1243" s="27">
        <f t="shared" si="408"/>
        <v>2.939996160402952E-2</v>
      </c>
      <c r="AT1243" s="27">
        <f t="shared" si="408"/>
        <v>2.9406946990823593E-2</v>
      </c>
      <c r="AU1243" s="27">
        <f t="shared" si="408"/>
        <v>2.9415067551220409E-2</v>
      </c>
      <c r="AV1243" s="27">
        <f t="shared" si="408"/>
        <v>2.9423809972735263E-2</v>
      </c>
      <c r="AW1243" s="27">
        <f t="shared" si="408"/>
        <v>2.9434137748152581E-2</v>
      </c>
      <c r="AY1243" s="79"/>
      <c r="AZ1243" s="79"/>
    </row>
    <row r="1244" spans="1:52" x14ac:dyDescent="0.3">
      <c r="A1244" s="95" t="str">
        <f t="shared" si="384"/>
        <v>FSFAGSPQNIBDDSCM Horses MMCH4</v>
      </c>
      <c r="B1244" s="95" t="s">
        <v>1375</v>
      </c>
      <c r="C1244" s="95" t="s">
        <v>1326</v>
      </c>
      <c r="D1244" t="s">
        <v>15</v>
      </c>
      <c r="E1244" t="s">
        <v>22</v>
      </c>
      <c r="F1244" t="s">
        <v>20</v>
      </c>
      <c r="G1244" t="s">
        <v>3</v>
      </c>
      <c r="H1244" t="s">
        <v>1227</v>
      </c>
      <c r="I1244" t="s">
        <v>121</v>
      </c>
      <c r="J1244" t="s">
        <v>286</v>
      </c>
      <c r="K1244" s="27">
        <f t="shared" ref="K1244:AW1244" si="409">IFERROR(K1403-((K1403-K28)+(K1403-K181)+(K1403-K334)+(K1403-K486)+(K1403-K638)+(K1403-K789)+(K1403-K940)+(K1403-K1091)),0)</f>
        <v>4.1336182129460552E-3</v>
      </c>
      <c r="L1244" s="27">
        <f t="shared" si="409"/>
        <v>4.1536453250924071E-3</v>
      </c>
      <c r="M1244" s="27">
        <f t="shared" si="409"/>
        <v>4.1840370126470534E-3</v>
      </c>
      <c r="N1244" s="27">
        <f t="shared" si="409"/>
        <v>4.1905340987284569E-3</v>
      </c>
      <c r="O1244" s="27">
        <f t="shared" si="409"/>
        <v>4.1812329246154589E-3</v>
      </c>
      <c r="P1244" s="27">
        <f t="shared" si="409"/>
        <v>4.1564738854214548E-3</v>
      </c>
      <c r="Q1244" s="27">
        <f t="shared" si="409"/>
        <v>4.1427460620707141E-3</v>
      </c>
      <c r="R1244" s="27">
        <f t="shared" si="409"/>
        <v>4.1304087921358321E-3</v>
      </c>
      <c r="S1244" s="27">
        <f t="shared" si="409"/>
        <v>3.8942776940038416E-3</v>
      </c>
      <c r="T1244" s="27">
        <f t="shared" si="409"/>
        <v>3.9425050527123239E-3</v>
      </c>
      <c r="U1244" s="27">
        <f t="shared" si="409"/>
        <v>4.0191071248696416E-3</v>
      </c>
      <c r="V1244" s="27">
        <f t="shared" si="409"/>
        <v>4.0473828533201294E-3</v>
      </c>
      <c r="W1244" s="27">
        <f t="shared" si="409"/>
        <v>4.0809840197269919E-3</v>
      </c>
      <c r="X1244" s="27">
        <f t="shared" si="409"/>
        <v>4.1216678621320202E-3</v>
      </c>
      <c r="Y1244" s="27">
        <f t="shared" si="409"/>
        <v>4.1703472412361522E-3</v>
      </c>
      <c r="Z1244" s="27">
        <f t="shared" si="409"/>
        <v>4.2244482436929265E-3</v>
      </c>
      <c r="AA1244" s="27">
        <f t="shared" si="409"/>
        <v>4.2791921283487086E-3</v>
      </c>
      <c r="AB1244" s="27">
        <f t="shared" si="409"/>
        <v>4.3388287504468421E-3</v>
      </c>
      <c r="AC1244" s="27">
        <f t="shared" si="409"/>
        <v>4.3986726547954836E-3</v>
      </c>
      <c r="AD1244" s="27">
        <f t="shared" si="409"/>
        <v>4.4704656017983358E-3</v>
      </c>
      <c r="AE1244" s="27">
        <f t="shared" si="409"/>
        <v>4.539631463046338E-3</v>
      </c>
      <c r="AF1244" s="27">
        <f t="shared" si="409"/>
        <v>4.6121605087864415E-3</v>
      </c>
      <c r="AG1244" s="27">
        <f t="shared" si="409"/>
        <v>4.6951125632471334E-3</v>
      </c>
      <c r="AH1244" s="27">
        <f t="shared" si="409"/>
        <v>4.7715465683054572E-3</v>
      </c>
      <c r="AI1244" s="27">
        <f t="shared" si="409"/>
        <v>4.855932813312959E-3</v>
      </c>
      <c r="AJ1244" s="27">
        <f t="shared" si="409"/>
        <v>4.945901658536307E-3</v>
      </c>
      <c r="AK1244" s="27">
        <f t="shared" si="409"/>
        <v>5.0279520878702428E-3</v>
      </c>
      <c r="AL1244" s="27">
        <f t="shared" si="409"/>
        <v>5.1082371551630715E-3</v>
      </c>
      <c r="AM1244" s="27">
        <f t="shared" si="409"/>
        <v>5.1870452828056204E-3</v>
      </c>
      <c r="AN1244" s="27">
        <f t="shared" si="409"/>
        <v>5.27706789842347E-3</v>
      </c>
      <c r="AO1244" s="27">
        <f t="shared" si="409"/>
        <v>5.3619473096130918E-3</v>
      </c>
      <c r="AP1244" s="27">
        <f t="shared" si="409"/>
        <v>5.4495970329020271E-3</v>
      </c>
      <c r="AQ1244" s="27">
        <f t="shared" si="409"/>
        <v>5.5404524678757516E-3</v>
      </c>
      <c r="AR1244" s="27">
        <f t="shared" si="409"/>
        <v>5.6352215326777718E-3</v>
      </c>
      <c r="AS1244" s="27">
        <f t="shared" si="409"/>
        <v>5.7381722103153144E-3</v>
      </c>
      <c r="AT1244" s="27">
        <f t="shared" si="409"/>
        <v>5.7552832935457467E-3</v>
      </c>
      <c r="AU1244" s="27">
        <f t="shared" si="409"/>
        <v>5.7642783755128633E-3</v>
      </c>
      <c r="AV1244" s="27">
        <f t="shared" si="409"/>
        <v>5.7617518385425876E-3</v>
      </c>
      <c r="AW1244" s="27">
        <f t="shared" si="409"/>
        <v>5.7557818048942742E-3</v>
      </c>
      <c r="AY1244" s="79"/>
      <c r="AZ1244" s="79"/>
    </row>
    <row r="1245" spans="1:52" x14ac:dyDescent="0.3">
      <c r="A1245" s="95" t="str">
        <f t="shared" si="384"/>
        <v>FSFAGSPQNIBDDSCM Mules MMCH4</v>
      </c>
      <c r="B1245" s="95" t="s">
        <v>1375</v>
      </c>
      <c r="C1245" s="95" t="s">
        <v>1327</v>
      </c>
      <c r="D1245" t="s">
        <v>15</v>
      </c>
      <c r="E1245" t="s">
        <v>22</v>
      </c>
      <c r="F1245" t="s">
        <v>140</v>
      </c>
      <c r="G1245" t="s">
        <v>124</v>
      </c>
      <c r="H1245" t="s">
        <v>1227</v>
      </c>
      <c r="I1245" t="s">
        <v>121</v>
      </c>
      <c r="J1245" t="s">
        <v>286</v>
      </c>
      <c r="K1245" s="27">
        <f t="shared" ref="K1245:AW1245" si="410">IFERROR(K1404-((K1404-K29)+(K1404-K182)+(K1404-K335)+(K1404-K487)+(K1404-K639)+(K1404-K790)+(K1404-K941)+(K1404-K1092)),0)</f>
        <v>7.515E-4</v>
      </c>
      <c r="L1245" s="27">
        <f t="shared" si="410"/>
        <v>7.515E-4</v>
      </c>
      <c r="M1245" s="27">
        <f t="shared" si="410"/>
        <v>7.515E-4</v>
      </c>
      <c r="N1245" s="27">
        <f t="shared" si="410"/>
        <v>7.515E-4</v>
      </c>
      <c r="O1245" s="27">
        <f t="shared" si="410"/>
        <v>7.515E-4</v>
      </c>
      <c r="P1245" s="27">
        <f t="shared" si="410"/>
        <v>7.515E-4</v>
      </c>
      <c r="Q1245" s="27">
        <f t="shared" si="410"/>
        <v>7.515E-4</v>
      </c>
      <c r="R1245" s="27">
        <f t="shared" si="410"/>
        <v>7.515E-4</v>
      </c>
      <c r="S1245" s="27">
        <f t="shared" si="410"/>
        <v>7.515E-4</v>
      </c>
      <c r="T1245" s="27">
        <f t="shared" si="410"/>
        <v>7.515E-4</v>
      </c>
      <c r="U1245" s="27">
        <f t="shared" si="410"/>
        <v>7.515E-4</v>
      </c>
      <c r="V1245" s="27">
        <f t="shared" si="410"/>
        <v>7.515E-4</v>
      </c>
      <c r="W1245" s="27">
        <f t="shared" si="410"/>
        <v>7.515E-4</v>
      </c>
      <c r="X1245" s="27">
        <f t="shared" si="410"/>
        <v>7.515E-4</v>
      </c>
      <c r="Y1245" s="27">
        <f t="shared" si="410"/>
        <v>7.515E-4</v>
      </c>
      <c r="Z1245" s="27">
        <f t="shared" si="410"/>
        <v>7.515E-4</v>
      </c>
      <c r="AA1245" s="27">
        <f t="shared" si="410"/>
        <v>7.515E-4</v>
      </c>
      <c r="AB1245" s="27">
        <f t="shared" si="410"/>
        <v>7.515E-4</v>
      </c>
      <c r="AC1245" s="27">
        <f t="shared" si="410"/>
        <v>7.515E-4</v>
      </c>
      <c r="AD1245" s="27">
        <f t="shared" si="410"/>
        <v>7.515E-4</v>
      </c>
      <c r="AE1245" s="27">
        <f t="shared" si="410"/>
        <v>7.515E-4</v>
      </c>
      <c r="AF1245" s="27">
        <f t="shared" si="410"/>
        <v>7.515E-4</v>
      </c>
      <c r="AG1245" s="27">
        <f t="shared" si="410"/>
        <v>7.515E-4</v>
      </c>
      <c r="AH1245" s="27">
        <f t="shared" si="410"/>
        <v>7.515E-4</v>
      </c>
      <c r="AI1245" s="27">
        <f t="shared" si="410"/>
        <v>7.515E-4</v>
      </c>
      <c r="AJ1245" s="27">
        <f t="shared" si="410"/>
        <v>7.515E-4</v>
      </c>
      <c r="AK1245" s="27">
        <f t="shared" si="410"/>
        <v>7.515E-4</v>
      </c>
      <c r="AL1245" s="27">
        <f t="shared" si="410"/>
        <v>7.515E-4</v>
      </c>
      <c r="AM1245" s="27">
        <f t="shared" si="410"/>
        <v>7.515E-4</v>
      </c>
      <c r="AN1245" s="27">
        <f t="shared" si="410"/>
        <v>7.515E-4</v>
      </c>
      <c r="AO1245" s="27">
        <f t="shared" si="410"/>
        <v>7.515E-4</v>
      </c>
      <c r="AP1245" s="27">
        <f t="shared" si="410"/>
        <v>7.515E-4</v>
      </c>
      <c r="AQ1245" s="27">
        <f t="shared" si="410"/>
        <v>7.515E-4</v>
      </c>
      <c r="AR1245" s="27">
        <f t="shared" si="410"/>
        <v>7.515E-4</v>
      </c>
      <c r="AS1245" s="27">
        <f t="shared" si="410"/>
        <v>7.515E-4</v>
      </c>
      <c r="AT1245" s="27">
        <f t="shared" si="410"/>
        <v>7.515E-4</v>
      </c>
      <c r="AU1245" s="27">
        <f t="shared" si="410"/>
        <v>7.515E-4</v>
      </c>
      <c r="AV1245" s="27">
        <f t="shared" si="410"/>
        <v>7.515E-4</v>
      </c>
      <c r="AW1245" s="27">
        <f t="shared" si="410"/>
        <v>7.515E-4</v>
      </c>
      <c r="AY1245" s="79"/>
      <c r="AZ1245" s="79"/>
    </row>
    <row r="1246" spans="1:52" x14ac:dyDescent="0.3">
      <c r="A1246" s="95" t="str">
        <f t="shared" si="384"/>
        <v>FSFAGSPQNIBDDSCM Swine MMCH4</v>
      </c>
      <c r="B1246" s="95" t="s">
        <v>1375</v>
      </c>
      <c r="C1246" s="95" t="s">
        <v>1230</v>
      </c>
      <c r="D1246" t="s">
        <v>15</v>
      </c>
      <c r="E1246" t="s">
        <v>22</v>
      </c>
      <c r="F1246" t="s">
        <v>21</v>
      </c>
      <c r="G1246" t="s">
        <v>122</v>
      </c>
      <c r="H1246" t="s">
        <v>1227</v>
      </c>
      <c r="I1246" t="s">
        <v>121</v>
      </c>
      <c r="J1246" t="s">
        <v>286</v>
      </c>
      <c r="K1246" s="27">
        <f t="shared" ref="K1246:AW1246" si="411">IFERROR(K1405-((K1405-K30)+(K1405-K183)+(K1405-K336)+(K1405-K488)+(K1405-K640)+(K1405-K791)+(K1405-K942)+(K1405-K1093)),0)</f>
        <v>23.279067868377393</v>
      </c>
      <c r="L1246" s="27">
        <f t="shared" si="411"/>
        <v>23.152530650802596</v>
      </c>
      <c r="M1246" s="27">
        <f t="shared" si="411"/>
        <v>23.162916433064304</v>
      </c>
      <c r="N1246" s="27">
        <f t="shared" si="411"/>
        <v>22.950263110497293</v>
      </c>
      <c r="O1246" s="27">
        <f t="shared" si="411"/>
        <v>22.602951186820601</v>
      </c>
      <c r="P1246" s="27">
        <f t="shared" si="411"/>
        <v>22.126532811374943</v>
      </c>
      <c r="Q1246" s="27">
        <f t="shared" si="411"/>
        <v>21.780600237355962</v>
      </c>
      <c r="R1246" s="27">
        <f t="shared" si="411"/>
        <v>21.465278056857681</v>
      </c>
      <c r="S1246" s="27">
        <f t="shared" si="411"/>
        <v>18.952765181798245</v>
      </c>
      <c r="T1246" s="27">
        <f t="shared" si="411"/>
        <v>19.192435731964196</v>
      </c>
      <c r="U1246" s="27">
        <f t="shared" si="411"/>
        <v>19.706721684105471</v>
      </c>
      <c r="V1246" s="27">
        <f t="shared" si="411"/>
        <v>19.753416176775058</v>
      </c>
      <c r="W1246" s="27">
        <f t="shared" si="411"/>
        <v>19.854535695194098</v>
      </c>
      <c r="X1246" s="27">
        <f t="shared" si="411"/>
        <v>20.024553174699502</v>
      </c>
      <c r="Y1246" s="27">
        <f t="shared" si="411"/>
        <v>20.23789112840667</v>
      </c>
      <c r="Z1246" s="27">
        <f t="shared" si="411"/>
        <v>20.499318704805695</v>
      </c>
      <c r="AA1246" s="27">
        <f t="shared" si="411"/>
        <v>20.763803414840964</v>
      </c>
      <c r="AB1246" s="27">
        <f t="shared" si="411"/>
        <v>21.06916344985618</v>
      </c>
      <c r="AC1246" s="27">
        <f t="shared" si="411"/>
        <v>21.372415897013145</v>
      </c>
      <c r="AD1246" s="27">
        <f t="shared" si="411"/>
        <v>21.74943786655458</v>
      </c>
      <c r="AE1246" s="27">
        <f t="shared" si="411"/>
        <v>22.096514126462726</v>
      </c>
      <c r="AF1246" s="27">
        <f t="shared" si="411"/>
        <v>22.465831015653421</v>
      </c>
      <c r="AG1246" s="27">
        <f t="shared" si="411"/>
        <v>22.916349440576454</v>
      </c>
      <c r="AH1246" s="27">
        <f t="shared" si="411"/>
        <v>23.303196681672105</v>
      </c>
      <c r="AI1246" s="27">
        <f t="shared" si="411"/>
        <v>23.720738750345618</v>
      </c>
      <c r="AJ1246" s="27">
        <f t="shared" si="411"/>
        <v>24.1739099146189</v>
      </c>
      <c r="AK1246" s="27">
        <f t="shared" si="411"/>
        <v>24.551957379803568</v>
      </c>
      <c r="AL1246" s="27">
        <f t="shared" si="411"/>
        <v>24.90648475217996</v>
      </c>
      <c r="AM1246" s="27">
        <f t="shared" si="411"/>
        <v>25.240351368122212</v>
      </c>
      <c r="AN1246" s="27">
        <f t="shared" si="411"/>
        <v>25.625854072975109</v>
      </c>
      <c r="AO1246" s="27">
        <f t="shared" si="411"/>
        <v>25.960227974531257</v>
      </c>
      <c r="AP1246" s="27">
        <f t="shared" si="411"/>
        <v>26.305386782253809</v>
      </c>
      <c r="AQ1246" s="27">
        <f t="shared" si="411"/>
        <v>26.663933949781747</v>
      </c>
      <c r="AR1246" s="27">
        <f t="shared" si="411"/>
        <v>27.040355797157176</v>
      </c>
      <c r="AS1246" s="27">
        <f t="shared" si="411"/>
        <v>27.435623697912018</v>
      </c>
      <c r="AT1246" s="27">
        <f t="shared" si="411"/>
        <v>27.195097752022821</v>
      </c>
      <c r="AU1246" s="27">
        <f t="shared" si="411"/>
        <v>26.898987311246398</v>
      </c>
      <c r="AV1246" s="27">
        <f t="shared" si="411"/>
        <v>26.52534739576117</v>
      </c>
      <c r="AW1246" s="27">
        <f t="shared" si="411"/>
        <v>26.133382968648512</v>
      </c>
      <c r="AY1246" s="79"/>
      <c r="AZ1246" s="79"/>
    </row>
    <row r="1247" spans="1:52" x14ac:dyDescent="0.3">
      <c r="A1247" s="95" t="str">
        <f t="shared" si="384"/>
        <v>FSFAGSPQNIBDDSCM Swine MMCH4</v>
      </c>
      <c r="B1247" s="95" t="s">
        <v>1375</v>
      </c>
      <c r="C1247" s="95" t="s">
        <v>1230</v>
      </c>
      <c r="D1247" t="s">
        <v>15</v>
      </c>
      <c r="E1247" t="s">
        <v>22</v>
      </c>
      <c r="F1247" t="s">
        <v>21</v>
      </c>
      <c r="G1247" t="s">
        <v>123</v>
      </c>
      <c r="H1247" t="s">
        <v>1227</v>
      </c>
      <c r="I1247" t="s">
        <v>121</v>
      </c>
      <c r="J1247" t="s">
        <v>286</v>
      </c>
      <c r="K1247" s="27">
        <f t="shared" ref="K1247:AW1247" si="412">IFERROR(K1406-((K1406-K31)+(K1406-K184)+(K1406-K337)+(K1406-K489)+(K1406-K641)+(K1406-K792)+(K1406-K943)+(K1406-K1094)),0)</f>
        <v>7.7932061732677776E-2</v>
      </c>
      <c r="L1247" s="27">
        <f t="shared" si="412"/>
        <v>7.7508449141861113E-2</v>
      </c>
      <c r="M1247" s="27">
        <f t="shared" si="412"/>
        <v>7.7543217949140597E-2</v>
      </c>
      <c r="N1247" s="27">
        <f t="shared" si="412"/>
        <v>7.6831311787104617E-2</v>
      </c>
      <c r="O1247" s="27">
        <f t="shared" si="412"/>
        <v>7.5668604825232008E-2</v>
      </c>
      <c r="P1247" s="27">
        <f t="shared" si="412"/>
        <v>7.4073684167079379E-2</v>
      </c>
      <c r="Q1247" s="27">
        <f t="shared" si="412"/>
        <v>7.2915594897087016E-2</v>
      </c>
      <c r="R1247" s="27">
        <f t="shared" si="412"/>
        <v>7.1859980996426681E-2</v>
      </c>
      <c r="S1247" s="27">
        <f t="shared" si="412"/>
        <v>6.344876326252144E-2</v>
      </c>
      <c r="T1247" s="27">
        <f t="shared" si="412"/>
        <v>6.4251115840238279E-2</v>
      </c>
      <c r="U1247" s="27">
        <f t="shared" si="412"/>
        <v>6.5972806966237654E-2</v>
      </c>
      <c r="V1247" s="27">
        <f t="shared" si="412"/>
        <v>6.6129127576060945E-2</v>
      </c>
      <c r="W1247" s="27">
        <f t="shared" si="412"/>
        <v>6.6467648542465979E-2</v>
      </c>
      <c r="X1247" s="27">
        <f t="shared" si="412"/>
        <v>6.7036821362587692E-2</v>
      </c>
      <c r="Y1247" s="27">
        <f t="shared" si="412"/>
        <v>6.775101948564978E-2</v>
      </c>
      <c r="Z1247" s="27">
        <f t="shared" si="412"/>
        <v>6.8626208738834141E-2</v>
      </c>
      <c r="AA1247" s="27">
        <f t="shared" si="412"/>
        <v>6.951163245366497E-2</v>
      </c>
      <c r="AB1247" s="27">
        <f t="shared" si="412"/>
        <v>7.0533895769105751E-2</v>
      </c>
      <c r="AC1247" s="27">
        <f t="shared" si="412"/>
        <v>7.1549103446923737E-2</v>
      </c>
      <c r="AD1247" s="27">
        <f t="shared" si="412"/>
        <v>7.2811271656192611E-2</v>
      </c>
      <c r="AE1247" s="27">
        <f t="shared" si="412"/>
        <v>7.3973189679115328E-2</v>
      </c>
      <c r="AF1247" s="27">
        <f t="shared" si="412"/>
        <v>7.5209563350521091E-2</v>
      </c>
      <c r="AG1247" s="27">
        <f t="shared" si="412"/>
        <v>7.6717777936316622E-2</v>
      </c>
      <c r="AH1247" s="27">
        <f t="shared" si="412"/>
        <v>7.801283851368343E-2</v>
      </c>
      <c r="AI1247" s="27">
        <f t="shared" si="412"/>
        <v>7.9410657122909484E-2</v>
      </c>
      <c r="AJ1247" s="27">
        <f t="shared" si="412"/>
        <v>8.0927752366984504E-2</v>
      </c>
      <c r="AK1247" s="27">
        <f t="shared" si="412"/>
        <v>8.2193353660010307E-2</v>
      </c>
      <c r="AL1247" s="27">
        <f t="shared" si="412"/>
        <v>8.3380216004592958E-2</v>
      </c>
      <c r="AM1247" s="27">
        <f t="shared" si="412"/>
        <v>8.4497911690313968E-2</v>
      </c>
      <c r="AN1247" s="27">
        <f t="shared" si="412"/>
        <v>8.5788471121755847E-2</v>
      </c>
      <c r="AO1247" s="27">
        <f t="shared" si="412"/>
        <v>8.6907865063352116E-2</v>
      </c>
      <c r="AP1247" s="27">
        <f t="shared" si="412"/>
        <v>8.8063363971774958E-2</v>
      </c>
      <c r="AQ1247" s="27">
        <f t="shared" si="412"/>
        <v>8.9263683509990727E-2</v>
      </c>
      <c r="AR1247" s="27">
        <f t="shared" si="412"/>
        <v>9.0523842671562632E-2</v>
      </c>
      <c r="AS1247" s="27">
        <f t="shared" si="412"/>
        <v>9.1847093353967207E-2</v>
      </c>
      <c r="AT1247" s="27">
        <f t="shared" si="412"/>
        <v>9.1041877141302144E-2</v>
      </c>
      <c r="AU1247" s="27">
        <f t="shared" si="412"/>
        <v>9.0050578981051232E-2</v>
      </c>
      <c r="AV1247" s="27">
        <f t="shared" si="412"/>
        <v>8.8799732979655169E-2</v>
      </c>
      <c r="AW1247" s="27">
        <f t="shared" si="412"/>
        <v>8.7487541439019989E-2</v>
      </c>
      <c r="AY1247" s="79"/>
      <c r="AZ1247" s="79"/>
    </row>
    <row r="1248" spans="1:52" x14ac:dyDescent="0.3">
      <c r="A1248" s="95" t="str">
        <f t="shared" si="384"/>
        <v>FSFAGSPQNIBDDSCM Poultry MMCH4</v>
      </c>
      <c r="B1248" s="95" t="s">
        <v>1375</v>
      </c>
      <c r="C1248" s="95" t="s">
        <v>1231</v>
      </c>
      <c r="D1248" t="s">
        <v>15</v>
      </c>
      <c r="E1248" t="s">
        <v>22</v>
      </c>
      <c r="F1248" t="s">
        <v>28</v>
      </c>
      <c r="G1248" t="s">
        <v>131</v>
      </c>
      <c r="H1248" t="s">
        <v>1227</v>
      </c>
      <c r="I1248" t="s">
        <v>121</v>
      </c>
      <c r="J1248" t="s">
        <v>286</v>
      </c>
      <c r="K1248" s="27">
        <f t="shared" ref="K1248:AW1248" si="413">IFERROR(K1407-((K1407-K32)+(K1407-K185)+(K1407-K338)+(K1407-K490)+(K1407-K642)+(K1407-K793)+(K1407-K944)+(K1407-K1095)),0)</f>
        <v>0.55586528215230246</v>
      </c>
      <c r="L1248" s="27">
        <f t="shared" si="413"/>
        <v>0.56716712532642333</v>
      </c>
      <c r="M1248" s="27">
        <f t="shared" si="413"/>
        <v>0.58037790885594753</v>
      </c>
      <c r="N1248" s="27">
        <f t="shared" si="413"/>
        <v>0.5905201523722613</v>
      </c>
      <c r="O1248" s="27">
        <f t="shared" si="413"/>
        <v>0.5986618277459016</v>
      </c>
      <c r="P1248" s="27">
        <f t="shared" si="413"/>
        <v>0.60475451589519691</v>
      </c>
      <c r="Q1248" s="27">
        <f t="shared" si="413"/>
        <v>0.61256702388185857</v>
      </c>
      <c r="R1248" s="27">
        <f t="shared" si="413"/>
        <v>0.6206898695388976</v>
      </c>
      <c r="S1248" s="27">
        <f t="shared" si="413"/>
        <v>0.59306384026239212</v>
      </c>
      <c r="T1248" s="27">
        <f t="shared" si="413"/>
        <v>0.60782510553672808</v>
      </c>
      <c r="U1248" s="27">
        <f t="shared" si="413"/>
        <v>0.62749693593989653</v>
      </c>
      <c r="V1248" s="27">
        <f t="shared" si="413"/>
        <v>0.63952779473480192</v>
      </c>
      <c r="W1248" s="27">
        <f t="shared" si="413"/>
        <v>0.65264407206550135</v>
      </c>
      <c r="X1248" s="27">
        <f t="shared" si="413"/>
        <v>0.66717765079794833</v>
      </c>
      <c r="Y1248" s="27">
        <f t="shared" si="413"/>
        <v>0.68218893777565714</v>
      </c>
      <c r="Z1248" s="27">
        <f t="shared" si="413"/>
        <v>0.6983681341066772</v>
      </c>
      <c r="AA1248" s="27">
        <f t="shared" si="413"/>
        <v>0.71491117725499365</v>
      </c>
      <c r="AB1248" s="27">
        <f t="shared" si="413"/>
        <v>0.73257463286693114</v>
      </c>
      <c r="AC1248" s="27">
        <f t="shared" si="413"/>
        <v>0.7505526685248175</v>
      </c>
      <c r="AD1248" s="27">
        <f t="shared" si="413"/>
        <v>0.76994977468450398</v>
      </c>
      <c r="AE1248" s="27">
        <f t="shared" si="413"/>
        <v>0.78914658446111008</v>
      </c>
      <c r="AF1248" s="27">
        <f t="shared" si="413"/>
        <v>0.80922915626502845</v>
      </c>
      <c r="AG1248" s="27">
        <f t="shared" si="413"/>
        <v>0.83151801683952153</v>
      </c>
      <c r="AH1248" s="27">
        <f t="shared" si="413"/>
        <v>0.85291597213422199</v>
      </c>
      <c r="AI1248" s="27">
        <f t="shared" si="413"/>
        <v>0.87504492147223956</v>
      </c>
      <c r="AJ1248" s="27">
        <f t="shared" si="413"/>
        <v>0.89850514567918238</v>
      </c>
      <c r="AK1248" s="27">
        <f t="shared" si="413"/>
        <v>0.92075676441275556</v>
      </c>
      <c r="AL1248" s="27">
        <f t="shared" si="413"/>
        <v>0.94294773672658772</v>
      </c>
      <c r="AM1248" s="27">
        <f t="shared" si="413"/>
        <v>0.96512911525862388</v>
      </c>
      <c r="AN1248" s="27">
        <f t="shared" si="413"/>
        <v>0.98866250207381989</v>
      </c>
      <c r="AO1248" s="27">
        <f t="shared" si="413"/>
        <v>1.0114465581050009</v>
      </c>
      <c r="AP1248" s="27">
        <f t="shared" si="413"/>
        <v>1.0350196328361636</v>
      </c>
      <c r="AQ1248" s="27">
        <f t="shared" si="413"/>
        <v>1.0594801323783987</v>
      </c>
      <c r="AR1248" s="27">
        <f t="shared" si="413"/>
        <v>1.0849829625275211</v>
      </c>
      <c r="AS1248" s="27">
        <f t="shared" si="413"/>
        <v>1.1111668702046387</v>
      </c>
      <c r="AT1248" s="27">
        <f t="shared" si="413"/>
        <v>1.1203381651267506</v>
      </c>
      <c r="AU1248" s="27">
        <f t="shared" si="413"/>
        <v>1.1279342308342708</v>
      </c>
      <c r="AV1248" s="27">
        <f t="shared" si="413"/>
        <v>1.13323884791937</v>
      </c>
      <c r="AW1248" s="27">
        <f t="shared" si="413"/>
        <v>1.137864963271239</v>
      </c>
      <c r="AY1248" s="79"/>
      <c r="AZ1248" s="79"/>
    </row>
    <row r="1249" spans="1:52" x14ac:dyDescent="0.3">
      <c r="A1249" s="95" t="str">
        <f t="shared" si="384"/>
        <v>FSFAGSPQNIBDDSCM Poultry MMCH4</v>
      </c>
      <c r="B1249" s="95" t="s">
        <v>1375</v>
      </c>
      <c r="C1249" s="95" t="s">
        <v>1231</v>
      </c>
      <c r="D1249" t="s">
        <v>15</v>
      </c>
      <c r="E1249" t="s">
        <v>22</v>
      </c>
      <c r="F1249" t="s">
        <v>28</v>
      </c>
      <c r="G1249" t="s">
        <v>132</v>
      </c>
      <c r="H1249" t="s">
        <v>1227</v>
      </c>
      <c r="I1249" t="s">
        <v>121</v>
      </c>
      <c r="J1249" t="s">
        <v>286</v>
      </c>
      <c r="K1249" s="27">
        <f t="shared" ref="K1249:AW1249" si="414">IFERROR(K1408-((K1408-K33)+(K1408-K186)+(K1408-K339)+(K1408-K491)+(K1408-K643)+(K1408-K794)+(K1408-K945)+(K1408-K1096)),0)</f>
        <v>2.2100196981344111</v>
      </c>
      <c r="L1249" s="27">
        <f t="shared" si="414"/>
        <v>2.2391217074451477</v>
      </c>
      <c r="M1249" s="27">
        <f t="shared" si="414"/>
        <v>2.2858678822724823</v>
      </c>
      <c r="N1249" s="27">
        <f t="shared" si="414"/>
        <v>2.2992900748078591</v>
      </c>
      <c r="O1249" s="27">
        <f t="shared" si="414"/>
        <v>2.2910596881616572</v>
      </c>
      <c r="P1249" s="27">
        <f t="shared" si="414"/>
        <v>2.2612642885898917</v>
      </c>
      <c r="Q1249" s="27">
        <f t="shared" si="414"/>
        <v>2.2487211059946204</v>
      </c>
      <c r="R1249" s="27">
        <f t="shared" si="414"/>
        <v>2.2390235702415184</v>
      </c>
      <c r="S1249" s="27">
        <f t="shared" si="414"/>
        <v>1.8873806466050964</v>
      </c>
      <c r="T1249" s="27">
        <f t="shared" si="414"/>
        <v>1.9621300984115682</v>
      </c>
      <c r="U1249" s="27">
        <f t="shared" si="414"/>
        <v>2.0814254172868796</v>
      </c>
      <c r="V1249" s="27">
        <f t="shared" si="414"/>
        <v>2.1274151344864149</v>
      </c>
      <c r="W1249" s="27">
        <f t="shared" si="414"/>
        <v>2.1824506881567056</v>
      </c>
      <c r="X1249" s="27">
        <f t="shared" si="414"/>
        <v>2.2493281606911828</v>
      </c>
      <c r="Y1249" s="27">
        <f t="shared" si="414"/>
        <v>2.3261233859270511</v>
      </c>
      <c r="Z1249" s="27">
        <f t="shared" si="414"/>
        <v>2.4121225146398793</v>
      </c>
      <c r="AA1249" s="27">
        <f t="shared" si="414"/>
        <v>2.4999478814416944</v>
      </c>
      <c r="AB1249" s="27">
        <f t="shared" si="414"/>
        <v>2.5962654285530302</v>
      </c>
      <c r="AC1249" s="27">
        <f t="shared" si="414"/>
        <v>2.6938179504840183</v>
      </c>
      <c r="AD1249" s="27">
        <f t="shared" si="414"/>
        <v>2.8076989520027458</v>
      </c>
      <c r="AE1249" s="27">
        <f t="shared" si="414"/>
        <v>2.9182147779075716</v>
      </c>
      <c r="AF1249" s="27">
        <f t="shared" si="414"/>
        <v>3.0347920342807941</v>
      </c>
      <c r="AG1249" s="27">
        <f t="shared" si="414"/>
        <v>3.1685994721864104</v>
      </c>
      <c r="AH1249" s="27">
        <f t="shared" si="414"/>
        <v>3.2930349508119656</v>
      </c>
      <c r="AI1249" s="27">
        <f t="shared" si="414"/>
        <v>3.427074485424797</v>
      </c>
      <c r="AJ1249" s="27">
        <f t="shared" si="414"/>
        <v>3.5705841120118782</v>
      </c>
      <c r="AK1249" s="27">
        <f t="shared" si="414"/>
        <v>3.702270113838861</v>
      </c>
      <c r="AL1249" s="27">
        <f t="shared" si="414"/>
        <v>3.8318633402397859</v>
      </c>
      <c r="AM1249" s="27">
        <f t="shared" si="414"/>
        <v>3.9598368656050509</v>
      </c>
      <c r="AN1249" s="27">
        <f t="shared" si="414"/>
        <v>4.1020537482739581</v>
      </c>
      <c r="AO1249" s="27">
        <f t="shared" si="414"/>
        <v>4.2366042379514601</v>
      </c>
      <c r="AP1249" s="27">
        <f t="shared" si="414"/>
        <v>4.376057584996432</v>
      </c>
      <c r="AQ1249" s="27">
        <f t="shared" si="414"/>
        <v>4.5211331273416295</v>
      </c>
      <c r="AR1249" s="27">
        <f t="shared" si="414"/>
        <v>4.67298612402322</v>
      </c>
      <c r="AS1249" s="27">
        <f t="shared" si="414"/>
        <v>4.8333405314076359</v>
      </c>
      <c r="AT1249" s="27">
        <f t="shared" si="414"/>
        <v>4.8577536687430269</v>
      </c>
      <c r="AU1249" s="27">
        <f t="shared" si="414"/>
        <v>4.8696640260341857</v>
      </c>
      <c r="AV1249" s="27">
        <f t="shared" si="414"/>
        <v>4.8636695672494161</v>
      </c>
      <c r="AW1249" s="27">
        <f t="shared" si="414"/>
        <v>4.8525780818062749</v>
      </c>
      <c r="AY1249" s="79"/>
      <c r="AZ1249" s="79"/>
    </row>
    <row r="1250" spans="1:52" x14ac:dyDescent="0.3">
      <c r="A1250" s="95" t="str">
        <f t="shared" si="384"/>
        <v>FSFAGSPQNIBDDSCM Poultry MMCH4</v>
      </c>
      <c r="B1250" s="95" t="s">
        <v>1375</v>
      </c>
      <c r="C1250" s="95" t="s">
        <v>1231</v>
      </c>
      <c r="D1250" t="s">
        <v>15</v>
      </c>
      <c r="E1250" t="s">
        <v>22</v>
      </c>
      <c r="F1250" t="s">
        <v>28</v>
      </c>
      <c r="G1250" t="s">
        <v>134</v>
      </c>
      <c r="H1250" t="s">
        <v>1227</v>
      </c>
      <c r="I1250" t="s">
        <v>121</v>
      </c>
      <c r="J1250" t="s">
        <v>286</v>
      </c>
      <c r="K1250" s="27">
        <f t="shared" ref="K1250:AW1250" si="415">IFERROR(K1409-((K1409-K34)+(K1409-K187)+(K1409-K340)+(K1409-K492)+(K1409-K644)+(K1409-K795)+(K1409-K946)+(K1409-K1097)),0)</f>
        <v>2.3161053423012622E-2</v>
      </c>
      <c r="L1250" s="27">
        <f t="shared" si="415"/>
        <v>2.3631963555267657E-2</v>
      </c>
      <c r="M1250" s="27">
        <f t="shared" si="415"/>
        <v>2.4182412868997839E-2</v>
      </c>
      <c r="N1250" s="27">
        <f t="shared" si="415"/>
        <v>2.460500634884424E-2</v>
      </c>
      <c r="O1250" s="27">
        <f t="shared" si="415"/>
        <v>2.4944242822745925E-2</v>
      </c>
      <c r="P1250" s="27">
        <f t="shared" si="415"/>
        <v>2.5198104828966561E-2</v>
      </c>
      <c r="Q1250" s="27">
        <f t="shared" si="415"/>
        <v>2.5523625995077459E-2</v>
      </c>
      <c r="R1250" s="27">
        <f t="shared" si="415"/>
        <v>2.5862077897454098E-2</v>
      </c>
      <c r="S1250" s="27">
        <f t="shared" si="415"/>
        <v>2.4710993344266366E-2</v>
      </c>
      <c r="T1250" s="27">
        <f t="shared" si="415"/>
        <v>2.5326046064030362E-2</v>
      </c>
      <c r="U1250" s="27">
        <f t="shared" si="415"/>
        <v>2.6145705664162376E-2</v>
      </c>
      <c r="V1250" s="27">
        <f t="shared" si="415"/>
        <v>2.6646991447283438E-2</v>
      </c>
      <c r="W1250" s="27">
        <f t="shared" si="415"/>
        <v>2.7193503002729248E-2</v>
      </c>
      <c r="X1250" s="27">
        <f t="shared" si="415"/>
        <v>2.7799068783247873E-2</v>
      </c>
      <c r="Y1250" s="27">
        <f t="shared" si="415"/>
        <v>2.842453907398574E-2</v>
      </c>
      <c r="Z1250" s="27">
        <f t="shared" si="415"/>
        <v>2.9098672254444909E-2</v>
      </c>
      <c r="AA1250" s="27">
        <f t="shared" si="415"/>
        <v>2.9787965718958094E-2</v>
      </c>
      <c r="AB1250" s="27">
        <f t="shared" si="415"/>
        <v>3.0523943036122159E-2</v>
      </c>
      <c r="AC1250" s="27">
        <f t="shared" si="415"/>
        <v>3.1273027855200759E-2</v>
      </c>
      <c r="AD1250" s="27">
        <f t="shared" si="415"/>
        <v>3.2081240611854363E-2</v>
      </c>
      <c r="AE1250" s="27">
        <f t="shared" si="415"/>
        <v>3.2881107685879617E-2</v>
      </c>
      <c r="AF1250" s="27">
        <f t="shared" si="415"/>
        <v>3.3717881511042887E-2</v>
      </c>
      <c r="AG1250" s="27">
        <f t="shared" si="415"/>
        <v>3.4646584034980096E-2</v>
      </c>
      <c r="AH1250" s="27">
        <f t="shared" si="415"/>
        <v>3.5538165505592613E-2</v>
      </c>
      <c r="AI1250" s="27">
        <f t="shared" si="415"/>
        <v>3.6460205061343343E-2</v>
      </c>
      <c r="AJ1250" s="27">
        <f t="shared" si="415"/>
        <v>3.7437714403299294E-2</v>
      </c>
      <c r="AK1250" s="27">
        <f t="shared" si="415"/>
        <v>3.8364865183864859E-2</v>
      </c>
      <c r="AL1250" s="27">
        <f t="shared" si="415"/>
        <v>3.9289489030274523E-2</v>
      </c>
      <c r="AM1250" s="27">
        <f t="shared" si="415"/>
        <v>4.0213713135776041E-2</v>
      </c>
      <c r="AN1250" s="27">
        <f t="shared" si="415"/>
        <v>4.1194270919742537E-2</v>
      </c>
      <c r="AO1250" s="27">
        <f t="shared" si="415"/>
        <v>4.2143606587708417E-2</v>
      </c>
      <c r="AP1250" s="27">
        <f t="shared" si="415"/>
        <v>4.312581803484019E-2</v>
      </c>
      <c r="AQ1250" s="27">
        <f t="shared" si="415"/>
        <v>4.4145005515766646E-2</v>
      </c>
      <c r="AR1250" s="27">
        <f t="shared" si="415"/>
        <v>4.5207623438646753E-2</v>
      </c>
      <c r="AS1250" s="27">
        <f t="shared" si="415"/>
        <v>4.6298619591859998E-2</v>
      </c>
      <c r="AT1250" s="27">
        <f t="shared" si="415"/>
        <v>4.6680756880281324E-2</v>
      </c>
      <c r="AU1250" s="27">
        <f t="shared" si="415"/>
        <v>4.6997259618094658E-2</v>
      </c>
      <c r="AV1250" s="27">
        <f t="shared" si="415"/>
        <v>4.721828532997379E-2</v>
      </c>
      <c r="AW1250" s="27">
        <f t="shared" si="415"/>
        <v>4.7411040136301673E-2</v>
      </c>
      <c r="AY1250" s="79"/>
      <c r="AZ1250" s="79"/>
    </row>
    <row r="1251" spans="1:52" x14ac:dyDescent="0.3">
      <c r="A1251" s="95" t="str">
        <f t="shared" si="384"/>
        <v>FSFAGSPQNIBDDSCM Poultry MMCH4</v>
      </c>
      <c r="B1251" s="95" t="s">
        <v>1375</v>
      </c>
      <c r="C1251" s="95" t="s">
        <v>1231</v>
      </c>
      <c r="D1251" t="s">
        <v>15</v>
      </c>
      <c r="E1251" t="s">
        <v>22</v>
      </c>
      <c r="F1251" t="s">
        <v>28</v>
      </c>
      <c r="G1251" t="s">
        <v>133</v>
      </c>
      <c r="H1251" t="s">
        <v>1227</v>
      </c>
      <c r="I1251" t="s">
        <v>121</v>
      </c>
      <c r="J1251" t="s">
        <v>286</v>
      </c>
      <c r="K1251" s="27">
        <f t="shared" ref="K1251:AW1251" si="416">IFERROR(K1410-((K1410-K35)+(K1410-K188)+(K1410-K341)+(K1410-K493)+(K1410-K645)+(K1410-K796)+(K1410-K947)+(K1410-K1098)),0)</f>
        <v>9.2084154088933862E-2</v>
      </c>
      <c r="L1251" s="27">
        <f t="shared" si="416"/>
        <v>9.3296737810214581E-2</v>
      </c>
      <c r="M1251" s="27">
        <f t="shared" si="416"/>
        <v>9.5244495094686854E-2</v>
      </c>
      <c r="N1251" s="27">
        <f t="shared" si="416"/>
        <v>9.5803753116994225E-2</v>
      </c>
      <c r="O1251" s="27">
        <f t="shared" si="416"/>
        <v>9.5460820340069155E-2</v>
      </c>
      <c r="P1251" s="27">
        <f t="shared" si="416"/>
        <v>9.4219345357912251E-2</v>
      </c>
      <c r="Q1251" s="27">
        <f t="shared" si="416"/>
        <v>9.3696712749775937E-2</v>
      </c>
      <c r="R1251" s="27">
        <f t="shared" si="416"/>
        <v>9.3292648760063338E-2</v>
      </c>
      <c r="S1251" s="27">
        <f t="shared" si="416"/>
        <v>7.8640860275212429E-2</v>
      </c>
      <c r="T1251" s="27">
        <f t="shared" si="416"/>
        <v>8.1755420767148743E-2</v>
      </c>
      <c r="U1251" s="27">
        <f t="shared" si="416"/>
        <v>8.6726059053620061E-2</v>
      </c>
      <c r="V1251" s="27">
        <f t="shared" si="416"/>
        <v>8.8642297270267373E-2</v>
      </c>
      <c r="W1251" s="27">
        <f t="shared" si="416"/>
        <v>9.0935445339862836E-2</v>
      </c>
      <c r="X1251" s="27">
        <f t="shared" si="416"/>
        <v>9.3722006695466042E-2</v>
      </c>
      <c r="Y1251" s="27">
        <f t="shared" si="416"/>
        <v>9.6921807746960562E-2</v>
      </c>
      <c r="Z1251" s="27">
        <f t="shared" si="416"/>
        <v>0.10050510477666173</v>
      </c>
      <c r="AA1251" s="27">
        <f t="shared" si="416"/>
        <v>0.10416449506007071</v>
      </c>
      <c r="AB1251" s="27">
        <f t="shared" si="416"/>
        <v>0.10817772618970968</v>
      </c>
      <c r="AC1251" s="27">
        <f t="shared" si="416"/>
        <v>0.11224241460350089</v>
      </c>
      <c r="AD1251" s="27">
        <f t="shared" si="416"/>
        <v>0.11698745633344786</v>
      </c>
      <c r="AE1251" s="27">
        <f t="shared" si="416"/>
        <v>0.12159228241281558</v>
      </c>
      <c r="AF1251" s="27">
        <f t="shared" si="416"/>
        <v>0.12644966809503322</v>
      </c>
      <c r="AG1251" s="27">
        <f t="shared" si="416"/>
        <v>0.13202497800776722</v>
      </c>
      <c r="AH1251" s="27">
        <f t="shared" si="416"/>
        <v>0.13720978961716535</v>
      </c>
      <c r="AI1251" s="27">
        <f t="shared" si="416"/>
        <v>0.14279477022603335</v>
      </c>
      <c r="AJ1251" s="27">
        <f t="shared" si="416"/>
        <v>0.14877433800049503</v>
      </c>
      <c r="AK1251" s="27">
        <f t="shared" si="416"/>
        <v>0.15426125474328603</v>
      </c>
      <c r="AL1251" s="27">
        <f t="shared" si="416"/>
        <v>0.15966097250999123</v>
      </c>
      <c r="AM1251" s="27">
        <f t="shared" si="416"/>
        <v>0.16499320273354395</v>
      </c>
      <c r="AN1251" s="27">
        <f t="shared" si="416"/>
        <v>0.17091890617808173</v>
      </c>
      <c r="AO1251" s="27">
        <f t="shared" si="416"/>
        <v>0.17652517658131101</v>
      </c>
      <c r="AP1251" s="27">
        <f t="shared" si="416"/>
        <v>0.18233573270818484</v>
      </c>
      <c r="AQ1251" s="27">
        <f t="shared" si="416"/>
        <v>0.18838054697256806</v>
      </c>
      <c r="AR1251" s="27">
        <f t="shared" si="416"/>
        <v>0.19470775516763436</v>
      </c>
      <c r="AS1251" s="27">
        <f t="shared" si="416"/>
        <v>0.2013891888086517</v>
      </c>
      <c r="AT1251" s="27">
        <f t="shared" si="416"/>
        <v>0.20240640286429301</v>
      </c>
      <c r="AU1251" s="27">
        <f t="shared" si="416"/>
        <v>0.20290266775142457</v>
      </c>
      <c r="AV1251" s="27">
        <f t="shared" si="416"/>
        <v>0.20265289863539254</v>
      </c>
      <c r="AW1251" s="27">
        <f t="shared" si="416"/>
        <v>0.20219075340859499</v>
      </c>
      <c r="AY1251" s="79"/>
      <c r="AZ1251" s="79"/>
    </row>
    <row r="1252" spans="1:52" x14ac:dyDescent="0.3">
      <c r="A1252" s="95" t="str">
        <f t="shared" si="384"/>
        <v>FSFAGSPQNIBDDSCM Cattle MMN2O</v>
      </c>
      <c r="B1252" s="95" t="s">
        <v>1375</v>
      </c>
      <c r="C1252" s="95" t="s">
        <v>1232</v>
      </c>
      <c r="D1252" t="s">
        <v>15</v>
      </c>
      <c r="E1252" t="s">
        <v>657</v>
      </c>
      <c r="F1252" t="s">
        <v>6</v>
      </c>
      <c r="G1252" t="s">
        <v>136</v>
      </c>
      <c r="H1252" t="s">
        <v>1227</v>
      </c>
      <c r="I1252" t="s">
        <v>139</v>
      </c>
      <c r="J1252" t="s">
        <v>287</v>
      </c>
      <c r="K1252" s="27">
        <f t="shared" ref="K1252:AW1252" si="417">IFERROR(K1411-((K1411-K36)+(K1411-K189)+(K1411-K342)+(K1411-K494)+(K1411-K646)+(K1411-K797)+(K1411-K948)+(K1411-K1099)),0)</f>
        <v>5.9474079071945893E-2</v>
      </c>
      <c r="L1252" s="27">
        <f t="shared" si="417"/>
        <v>5.9806569587962516E-2</v>
      </c>
      <c r="M1252" s="27">
        <f t="shared" si="417"/>
        <v>6.0278316688762053E-2</v>
      </c>
      <c r="N1252" s="27">
        <f t="shared" si="417"/>
        <v>6.0581464452445992E-2</v>
      </c>
      <c r="O1252" s="27">
        <f t="shared" si="417"/>
        <v>6.078290752789528E-2</v>
      </c>
      <c r="P1252" s="27">
        <f t="shared" si="417"/>
        <v>6.0880663265441157E-2</v>
      </c>
      <c r="Q1252" s="27">
        <f t="shared" si="417"/>
        <v>6.1096642070638009E-2</v>
      </c>
      <c r="R1252" s="27">
        <f t="shared" si="417"/>
        <v>6.1344406036983767E-2</v>
      </c>
      <c r="S1252" s="27">
        <f t="shared" si="417"/>
        <v>5.9500417755247011E-2</v>
      </c>
      <c r="T1252" s="27">
        <f t="shared" si="417"/>
        <v>6.0126071727634615E-2</v>
      </c>
      <c r="U1252" s="27">
        <f t="shared" si="417"/>
        <v>6.104186359289164E-2</v>
      </c>
      <c r="V1252" s="27">
        <f t="shared" si="417"/>
        <v>6.1516540546796637E-2</v>
      </c>
      <c r="W1252" s="27">
        <f t="shared" si="417"/>
        <v>6.2059033118034318E-2</v>
      </c>
      <c r="X1252" s="27">
        <f t="shared" si="417"/>
        <v>6.2686911431302672E-2</v>
      </c>
      <c r="Y1252" s="27">
        <f t="shared" si="417"/>
        <v>6.3328093657155735E-2</v>
      </c>
      <c r="Z1252" s="27">
        <f t="shared" si="417"/>
        <v>6.403779969028206E-2</v>
      </c>
      <c r="AA1252" s="27">
        <f t="shared" si="417"/>
        <v>6.476949047597555E-2</v>
      </c>
      <c r="AB1252" s="27">
        <f t="shared" si="417"/>
        <v>6.5565173536469165E-2</v>
      </c>
      <c r="AC1252" s="27">
        <f t="shared" si="417"/>
        <v>6.637880571901654E-2</v>
      </c>
      <c r="AD1252" s="27">
        <f t="shared" si="417"/>
        <v>6.7257796908474193E-2</v>
      </c>
      <c r="AE1252" s="27">
        <f t="shared" si="417"/>
        <v>6.8124891518831304E-2</v>
      </c>
      <c r="AF1252" s="27">
        <f t="shared" si="417"/>
        <v>6.9040103414992046E-2</v>
      </c>
      <c r="AG1252" s="27">
        <f t="shared" si="417"/>
        <v>7.0075359365803738E-2</v>
      </c>
      <c r="AH1252" s="27">
        <f t="shared" si="417"/>
        <v>7.1059649676811054E-2</v>
      </c>
      <c r="AI1252" s="27">
        <f t="shared" si="417"/>
        <v>7.2069034177178609E-2</v>
      </c>
      <c r="AJ1252" s="27">
        <f t="shared" si="417"/>
        <v>7.3148525212574408E-2</v>
      </c>
      <c r="AK1252" s="27">
        <f t="shared" si="417"/>
        <v>7.4159878217982214E-2</v>
      </c>
      <c r="AL1252" s="27">
        <f t="shared" si="417"/>
        <v>7.5165742888720646E-2</v>
      </c>
      <c r="AM1252" s="27">
        <f t="shared" si="417"/>
        <v>7.6168917031251032E-2</v>
      </c>
      <c r="AN1252" s="27">
        <f t="shared" si="417"/>
        <v>7.7230245197332834E-2</v>
      </c>
      <c r="AO1252" s="27">
        <f t="shared" si="417"/>
        <v>7.8248884607158259E-2</v>
      </c>
      <c r="AP1252" s="27">
        <f t="shared" si="417"/>
        <v>7.9307079203447303E-2</v>
      </c>
      <c r="AQ1252" s="27">
        <f t="shared" si="417"/>
        <v>8.0409655218804749E-2</v>
      </c>
      <c r="AR1252" s="27">
        <f t="shared" si="417"/>
        <v>8.1564373746965665E-2</v>
      </c>
      <c r="AS1252" s="27">
        <f t="shared" si="417"/>
        <v>8.2739517725039347E-2</v>
      </c>
      <c r="AT1252" s="27">
        <f t="shared" si="417"/>
        <v>8.3018134970904087E-2</v>
      </c>
      <c r="AU1252" s="27">
        <f t="shared" si="417"/>
        <v>8.3216426012492323E-2</v>
      </c>
      <c r="AV1252" s="27">
        <f t="shared" si="417"/>
        <v>8.3297669475104599E-2</v>
      </c>
      <c r="AW1252" s="27">
        <f t="shared" si="417"/>
        <v>8.3346726471042673E-2</v>
      </c>
      <c r="AY1252" s="79"/>
      <c r="AZ1252" s="79"/>
    </row>
    <row r="1253" spans="1:52" x14ac:dyDescent="0.3">
      <c r="A1253" s="95" t="str">
        <f t="shared" si="384"/>
        <v>FSFAGSPQNIBDDSCM Cattle MMN2O</v>
      </c>
      <c r="B1253" s="95" t="s">
        <v>1375</v>
      </c>
      <c r="C1253" s="95" t="s">
        <v>1232</v>
      </c>
      <c r="D1253" t="s">
        <v>15</v>
      </c>
      <c r="E1253" t="s">
        <v>657</v>
      </c>
      <c r="F1253" t="s">
        <v>6</v>
      </c>
      <c r="G1253" t="s">
        <v>137</v>
      </c>
      <c r="H1253" t="s">
        <v>1227</v>
      </c>
      <c r="I1253" t="s">
        <v>139</v>
      </c>
      <c r="J1253" t="s">
        <v>287</v>
      </c>
      <c r="K1253" s="27">
        <f t="shared" ref="K1253:AW1253" si="418">IFERROR(K1412-((K1412-K37)+(K1412-K190)+(K1412-K343)+(K1412-K495)+(K1412-K647)+(K1412-K798)+(K1412-K949)+(K1412-K1100)),0)</f>
        <v>0.26041511380118898</v>
      </c>
      <c r="L1253" s="27">
        <f t="shared" si="418"/>
        <v>0.26187096745907484</v>
      </c>
      <c r="M1253" s="27">
        <f t="shared" si="418"/>
        <v>0.26393657447404822</v>
      </c>
      <c r="N1253" s="27">
        <f t="shared" si="418"/>
        <v>0.26526394701365208</v>
      </c>
      <c r="O1253" s="27">
        <f t="shared" si="418"/>
        <v>0.26614599213711043</v>
      </c>
      <c r="P1253" s="27">
        <f t="shared" si="418"/>
        <v>0.26657402855087203</v>
      </c>
      <c r="Q1253" s="27">
        <f t="shared" si="418"/>
        <v>0.26751972028770321</v>
      </c>
      <c r="R1253" s="27">
        <f t="shared" si="418"/>
        <v>0.26860458755254496</v>
      </c>
      <c r="S1253" s="27">
        <f t="shared" si="418"/>
        <v>0.26053044120627478</v>
      </c>
      <c r="T1253" s="27">
        <f t="shared" si="418"/>
        <v>0.26326994979492208</v>
      </c>
      <c r="U1253" s="27">
        <f t="shared" si="418"/>
        <v>0.26727986548475752</v>
      </c>
      <c r="V1253" s="27">
        <f t="shared" si="418"/>
        <v>0.2693583012486882</v>
      </c>
      <c r="W1253" s="27">
        <f t="shared" si="418"/>
        <v>0.27173367665390064</v>
      </c>
      <c r="X1253" s="27">
        <f t="shared" si="418"/>
        <v>0.27448292481300673</v>
      </c>
      <c r="Y1253" s="27">
        <f t="shared" si="418"/>
        <v>0.27729042591127234</v>
      </c>
      <c r="Z1253" s="27">
        <f t="shared" si="418"/>
        <v>0.28039796755405094</v>
      </c>
      <c r="AA1253" s="27">
        <f t="shared" si="418"/>
        <v>0.28360177234089196</v>
      </c>
      <c r="AB1253" s="27">
        <f t="shared" si="418"/>
        <v>0.28708577575853983</v>
      </c>
      <c r="AC1253" s="27">
        <f t="shared" si="418"/>
        <v>0.29064837177880054</v>
      </c>
      <c r="AD1253" s="27">
        <f t="shared" si="418"/>
        <v>0.29449715084700523</v>
      </c>
      <c r="AE1253" s="27">
        <f t="shared" si="418"/>
        <v>0.29829383917166835</v>
      </c>
      <c r="AF1253" s="27">
        <f t="shared" si="418"/>
        <v>0.30230121539018168</v>
      </c>
      <c r="AG1253" s="27">
        <f t="shared" si="418"/>
        <v>0.30683422036395941</v>
      </c>
      <c r="AH1253" s="27">
        <f t="shared" si="418"/>
        <v>0.31114406554952856</v>
      </c>
      <c r="AI1253" s="27">
        <f t="shared" si="418"/>
        <v>0.31556378895902254</v>
      </c>
      <c r="AJ1253" s="27">
        <f t="shared" si="418"/>
        <v>0.32029048309563773</v>
      </c>
      <c r="AK1253" s="27">
        <f t="shared" si="418"/>
        <v>0.32471882586455802</v>
      </c>
      <c r="AL1253" s="27">
        <f t="shared" si="418"/>
        <v>0.32912313723492953</v>
      </c>
      <c r="AM1253" s="27">
        <f t="shared" si="418"/>
        <v>0.33351566777203023</v>
      </c>
      <c r="AN1253" s="27">
        <f t="shared" si="418"/>
        <v>0.33816283338541037</v>
      </c>
      <c r="AO1253" s="27">
        <f t="shared" si="418"/>
        <v>0.34262308063885955</v>
      </c>
      <c r="AP1253" s="27">
        <f t="shared" si="418"/>
        <v>0.34725652550284908</v>
      </c>
      <c r="AQ1253" s="27">
        <f t="shared" si="418"/>
        <v>0.35208430027455134</v>
      </c>
      <c r="AR1253" s="27">
        <f t="shared" si="418"/>
        <v>0.3571403879283947</v>
      </c>
      <c r="AS1253" s="27">
        <f t="shared" si="418"/>
        <v>0.36228591111358999</v>
      </c>
      <c r="AT1253" s="27">
        <f t="shared" si="418"/>
        <v>0.36350587353959202</v>
      </c>
      <c r="AU1253" s="27">
        <f t="shared" si="418"/>
        <v>0.36437411706629697</v>
      </c>
      <c r="AV1253" s="27">
        <f t="shared" si="418"/>
        <v>0.36472985230241872</v>
      </c>
      <c r="AW1253" s="27">
        <f t="shared" si="418"/>
        <v>0.36494465484126087</v>
      </c>
      <c r="AY1253" s="79"/>
      <c r="AZ1253" s="79"/>
    </row>
    <row r="1254" spans="1:52" x14ac:dyDescent="0.3">
      <c r="A1254" s="95" t="str">
        <f t="shared" si="384"/>
        <v>FSFAGSPQNIBDDSCM Cattle MMN2O</v>
      </c>
      <c r="B1254" s="95" t="s">
        <v>1375</v>
      </c>
      <c r="C1254" s="95" t="s">
        <v>1232</v>
      </c>
      <c r="D1254" t="s">
        <v>15</v>
      </c>
      <c r="E1254" t="s">
        <v>657</v>
      </c>
      <c r="F1254" t="s">
        <v>67</v>
      </c>
      <c r="G1254" t="s">
        <v>307</v>
      </c>
      <c r="H1254" t="s">
        <v>1227</v>
      </c>
      <c r="I1254" t="s">
        <v>139</v>
      </c>
      <c r="J1254" t="s">
        <v>287</v>
      </c>
      <c r="K1254" s="27">
        <f t="shared" ref="K1254:AW1254" si="419">IFERROR(K1413-((K1413-K38)+(K1413-K191)+(K1413-K344)+(K1413-K496)+(K1413-K648)+(K1413-K799)+(K1413-K950)+(K1413-K1101)),0)</f>
        <v>1.1586934798802538E-2</v>
      </c>
      <c r="L1254" s="27">
        <f t="shared" si="419"/>
        <v>1.1651711689683764E-2</v>
      </c>
      <c r="M1254" s="27">
        <f t="shared" si="419"/>
        <v>1.1743619004328788E-2</v>
      </c>
      <c r="N1254" s="27">
        <f t="shared" si="419"/>
        <v>1.1802679244134426E-2</v>
      </c>
      <c r="O1254" s="27">
        <f t="shared" si="419"/>
        <v>1.1841925043604099E-2</v>
      </c>
      <c r="P1254" s="27">
        <f t="shared" si="419"/>
        <v>1.1860970136438286E-2</v>
      </c>
      <c r="Q1254" s="27">
        <f t="shared" si="419"/>
        <v>1.1903047834366352E-2</v>
      </c>
      <c r="R1254" s="27">
        <f t="shared" si="419"/>
        <v>1.1951318021451857E-2</v>
      </c>
      <c r="S1254" s="27">
        <f t="shared" si="419"/>
        <v>1.1592066187314282E-2</v>
      </c>
      <c r="T1254" s="27">
        <f t="shared" si="419"/>
        <v>1.1713958142562505E-2</v>
      </c>
      <c r="U1254" s="27">
        <f t="shared" si="419"/>
        <v>1.1892375711990867E-2</v>
      </c>
      <c r="V1254" s="27">
        <f t="shared" si="419"/>
        <v>1.1984853830210035E-2</v>
      </c>
      <c r="W1254" s="27">
        <f t="shared" si="419"/>
        <v>1.2090544009021577E-2</v>
      </c>
      <c r="X1254" s="27">
        <f t="shared" si="419"/>
        <v>1.221286931764253E-2</v>
      </c>
      <c r="Y1254" s="27">
        <f t="shared" si="419"/>
        <v>1.2337786538069315E-2</v>
      </c>
      <c r="Z1254" s="27">
        <f t="shared" si="419"/>
        <v>1.2476053790971267E-2</v>
      </c>
      <c r="AA1254" s="27">
        <f t="shared" si="419"/>
        <v>1.2618604185344915E-2</v>
      </c>
      <c r="AB1254" s="27">
        <f t="shared" si="419"/>
        <v>1.2773621764201382E-2</v>
      </c>
      <c r="AC1254" s="27">
        <f t="shared" si="419"/>
        <v>1.293213624978054E-2</v>
      </c>
      <c r="AD1254" s="27">
        <f t="shared" si="419"/>
        <v>1.3103384191066813E-2</v>
      </c>
      <c r="AE1254" s="27">
        <f t="shared" si="419"/>
        <v>1.3272314401864145E-2</v>
      </c>
      <c r="AF1254" s="27">
        <f t="shared" si="419"/>
        <v>1.345061897981439E-2</v>
      </c>
      <c r="AG1254" s="27">
        <f t="shared" si="419"/>
        <v>1.3652310933507637E-2</v>
      </c>
      <c r="AH1254" s="27">
        <f t="shared" si="419"/>
        <v>1.3844073594396234E-2</v>
      </c>
      <c r="AI1254" s="27">
        <f t="shared" si="419"/>
        <v>1.4040725187412617E-2</v>
      </c>
      <c r="AJ1254" s="27">
        <f t="shared" si="419"/>
        <v>1.4251035165107133E-2</v>
      </c>
      <c r="AK1254" s="27">
        <f t="shared" si="419"/>
        <v>1.4448070268720213E-2</v>
      </c>
      <c r="AL1254" s="27">
        <f t="shared" si="419"/>
        <v>1.4644036117004574E-2</v>
      </c>
      <c r="AM1254" s="27">
        <f t="shared" si="419"/>
        <v>1.4839477787774847E-2</v>
      </c>
      <c r="AN1254" s="27">
        <f t="shared" si="419"/>
        <v>1.5046249215805637E-2</v>
      </c>
      <c r="AO1254" s="27">
        <f t="shared" si="419"/>
        <v>1.5244703880582538E-2</v>
      </c>
      <c r="AP1254" s="27">
        <f t="shared" si="419"/>
        <v>1.5450864816287217E-2</v>
      </c>
      <c r="AQ1254" s="27">
        <f t="shared" si="419"/>
        <v>1.5665672285356487E-2</v>
      </c>
      <c r="AR1254" s="27">
        <f t="shared" si="419"/>
        <v>1.589063832948109E-2</v>
      </c>
      <c r="AS1254" s="27">
        <f t="shared" si="419"/>
        <v>1.6119583726629205E-2</v>
      </c>
      <c r="AT1254" s="27">
        <f t="shared" si="419"/>
        <v>1.6173864850642101E-2</v>
      </c>
      <c r="AU1254" s="27">
        <f t="shared" si="419"/>
        <v>1.6212496560555425E-2</v>
      </c>
      <c r="AV1254" s="27">
        <f t="shared" si="419"/>
        <v>1.6228324677927005E-2</v>
      </c>
      <c r="AW1254" s="27">
        <f t="shared" si="419"/>
        <v>1.6237882122484858E-2</v>
      </c>
      <c r="AY1254" s="79"/>
      <c r="AZ1254" s="79"/>
    </row>
    <row r="1255" spans="1:52" x14ac:dyDescent="0.3">
      <c r="A1255" s="95" t="str">
        <f t="shared" si="384"/>
        <v>FSFAGSPQNIBDDSCM Cattle MMN2O</v>
      </c>
      <c r="B1255" s="95" t="s">
        <v>1375</v>
      </c>
      <c r="C1255" s="95" t="s">
        <v>1232</v>
      </c>
      <c r="D1255" t="s">
        <v>15</v>
      </c>
      <c r="E1255" t="s">
        <v>657</v>
      </c>
      <c r="F1255" t="s">
        <v>67</v>
      </c>
      <c r="G1255" t="s">
        <v>122</v>
      </c>
      <c r="H1255" t="s">
        <v>1227</v>
      </c>
      <c r="I1255" t="s">
        <v>139</v>
      </c>
      <c r="J1255" t="s">
        <v>287</v>
      </c>
      <c r="K1255" s="27">
        <f t="shared" ref="K1255:AW1255" si="420">IFERROR(K1414-((K1414-K39)+(K1414-K192)+(K1414-K345)+(K1414-K497)+(K1414-K649)+(K1414-K800)+(K1414-K951)+(K1414-K1102)),0)</f>
        <v>0.52525224947331306</v>
      </c>
      <c r="L1255" s="27">
        <f t="shared" si="420"/>
        <v>0.52069690445710348</v>
      </c>
      <c r="M1255" s="27">
        <f t="shared" si="420"/>
        <v>0.51896282251134873</v>
      </c>
      <c r="N1255" s="27">
        <f t="shared" si="420"/>
        <v>0.51203275332440912</v>
      </c>
      <c r="O1255" s="27">
        <f t="shared" si="420"/>
        <v>0.50197358865556674</v>
      </c>
      <c r="P1255" s="27">
        <f t="shared" si="420"/>
        <v>0.48899333628247271</v>
      </c>
      <c r="Q1255" s="27">
        <f t="shared" si="420"/>
        <v>0.47875543160314177</v>
      </c>
      <c r="R1255" s="27">
        <f t="shared" si="420"/>
        <v>0.46906920988966794</v>
      </c>
      <c r="S1255" s="27">
        <f t="shared" si="420"/>
        <v>0.41264416115350733</v>
      </c>
      <c r="T1255" s="27">
        <f t="shared" si="420"/>
        <v>0.41934674582080395</v>
      </c>
      <c r="U1255" s="27">
        <f t="shared" si="420"/>
        <v>0.43185062896277993</v>
      </c>
      <c r="V1255" s="27">
        <f t="shared" si="420"/>
        <v>0.43434779885132324</v>
      </c>
      <c r="W1255" s="27">
        <f t="shared" si="420"/>
        <v>0.43794943602225234</v>
      </c>
      <c r="X1255" s="27">
        <f t="shared" si="420"/>
        <v>0.44297379932068648</v>
      </c>
      <c r="Y1255" s="27">
        <f t="shared" si="420"/>
        <v>0.44873697326986872</v>
      </c>
      <c r="Z1255" s="27">
        <f t="shared" si="420"/>
        <v>0.45549399211939318</v>
      </c>
      <c r="AA1255" s="27">
        <f t="shared" si="420"/>
        <v>0.46228217585155068</v>
      </c>
      <c r="AB1255" s="27">
        <f t="shared" si="420"/>
        <v>0.46991678793970998</v>
      </c>
      <c r="AC1255" s="27">
        <f t="shared" si="420"/>
        <v>0.47747563485930333</v>
      </c>
      <c r="AD1255" s="27">
        <f t="shared" si="420"/>
        <v>0.48239948914340336</v>
      </c>
      <c r="AE1255" s="27">
        <f t="shared" si="420"/>
        <v>0.48644231664639292</v>
      </c>
      <c r="AF1255" s="27">
        <f t="shared" si="420"/>
        <v>0.49071333483501467</v>
      </c>
      <c r="AG1255" s="27">
        <f t="shared" si="420"/>
        <v>0.49642790918475599</v>
      </c>
      <c r="AH1255" s="27">
        <f t="shared" si="420"/>
        <v>0.50053763889453751</v>
      </c>
      <c r="AI1255" s="27">
        <f t="shared" si="420"/>
        <v>0.50491759807835224</v>
      </c>
      <c r="AJ1255" s="27">
        <f t="shared" si="420"/>
        <v>0.50973902676184191</v>
      </c>
      <c r="AK1255" s="27">
        <f t="shared" si="420"/>
        <v>0.51274341869053752</v>
      </c>
      <c r="AL1255" s="27">
        <f t="shared" si="420"/>
        <v>0.51499736836395149</v>
      </c>
      <c r="AM1255" s="27">
        <f t="shared" si="420"/>
        <v>0.51656513471542254</v>
      </c>
      <c r="AN1255" s="27">
        <f t="shared" si="420"/>
        <v>0.52143890594170261</v>
      </c>
      <c r="AO1255" s="27">
        <f t="shared" si="420"/>
        <v>0.52514358906624359</v>
      </c>
      <c r="AP1255" s="27">
        <f t="shared" si="420"/>
        <v>0.52889503602895283</v>
      </c>
      <c r="AQ1255" s="27">
        <f t="shared" si="420"/>
        <v>0.53273616168720928</v>
      </c>
      <c r="AR1255" s="27">
        <f t="shared" si="420"/>
        <v>0.53674442357271479</v>
      </c>
      <c r="AS1255" s="27">
        <f t="shared" si="420"/>
        <v>0.54085984384551011</v>
      </c>
      <c r="AT1255" s="27">
        <f t="shared" si="420"/>
        <v>0.53274169797877946</v>
      </c>
      <c r="AU1255" s="27">
        <f t="shared" si="420"/>
        <v>0.52354520401592364</v>
      </c>
      <c r="AV1255" s="27">
        <f t="shared" si="420"/>
        <v>0.51288351759282347</v>
      </c>
      <c r="AW1255" s="27">
        <f t="shared" si="420"/>
        <v>0.50188770167031349</v>
      </c>
      <c r="AY1255" s="79"/>
      <c r="AZ1255" s="79"/>
    </row>
    <row r="1256" spans="1:52" x14ac:dyDescent="0.3">
      <c r="A1256" s="95" t="str">
        <f t="shared" si="384"/>
        <v>FSFAGSPQNIBDDSCM Cattle MMN2O</v>
      </c>
      <c r="B1256" s="95" t="s">
        <v>1375</v>
      </c>
      <c r="C1256" s="95" t="s">
        <v>1232</v>
      </c>
      <c r="D1256" t="s">
        <v>15</v>
      </c>
      <c r="E1256" t="s">
        <v>657</v>
      </c>
      <c r="F1256" t="s">
        <v>67</v>
      </c>
      <c r="G1256" t="s">
        <v>123</v>
      </c>
      <c r="H1256" t="s">
        <v>1227</v>
      </c>
      <c r="I1256" t="s">
        <v>139</v>
      </c>
      <c r="J1256" t="s">
        <v>287</v>
      </c>
      <c r="K1256" s="27">
        <f t="shared" ref="K1256:AW1256" si="421">IFERROR(K1415-((K1415-K40)+(K1415-K193)+(K1415-K346)+(K1415-K498)+(K1415-K650)+(K1415-K801)+(K1415-K952)+(K1415-K1103)),0)</f>
        <v>0.80452586370517887</v>
      </c>
      <c r="L1256" s="27">
        <f t="shared" si="421"/>
        <v>0.79754846782098032</v>
      </c>
      <c r="M1256" s="27">
        <f t="shared" si="421"/>
        <v>0.79489238443144172</v>
      </c>
      <c r="N1256" s="27">
        <f t="shared" si="421"/>
        <v>0.78427763712907439</v>
      </c>
      <c r="O1256" s="27">
        <f t="shared" si="421"/>
        <v>0.76887007218962322</v>
      </c>
      <c r="P1256" s="27">
        <f t="shared" si="421"/>
        <v>0.74898829393537225</v>
      </c>
      <c r="Q1256" s="27">
        <f t="shared" si="421"/>
        <v>0.73330695394505496</v>
      </c>
      <c r="R1256" s="27">
        <f t="shared" si="421"/>
        <v>0.71847062359542491</v>
      </c>
      <c r="S1256" s="27">
        <f t="shared" si="421"/>
        <v>0.63204469945214758</v>
      </c>
      <c r="T1256" s="27">
        <f t="shared" si="421"/>
        <v>0.6423110100180156</v>
      </c>
      <c r="U1256" s="27">
        <f t="shared" si="421"/>
        <v>0.66146313624794417</v>
      </c>
      <c r="V1256" s="27">
        <f t="shared" si="421"/>
        <v>0.6652880370711457</v>
      </c>
      <c r="W1256" s="27">
        <f t="shared" si="421"/>
        <v>0.6708046441082407</v>
      </c>
      <c r="X1256" s="27">
        <f t="shared" si="421"/>
        <v>0.67850043261042148</v>
      </c>
      <c r="Y1256" s="27">
        <f t="shared" si="421"/>
        <v>0.68732785315702249</v>
      </c>
      <c r="Z1256" s="27">
        <f t="shared" si="421"/>
        <v>0.69767754024819972</v>
      </c>
      <c r="AA1256" s="27">
        <f t="shared" si="421"/>
        <v>0.70807496241170254</v>
      </c>
      <c r="AB1256" s="27">
        <f t="shared" si="421"/>
        <v>0.71976885404270319</v>
      </c>
      <c r="AC1256" s="27">
        <f t="shared" si="421"/>
        <v>0.73134669659873019</v>
      </c>
      <c r="AD1256" s="27">
        <f t="shared" si="421"/>
        <v>0.73888853601902071</v>
      </c>
      <c r="AE1256" s="27">
        <f t="shared" si="421"/>
        <v>0.74508091176213287</v>
      </c>
      <c r="AF1256" s="27">
        <f t="shared" si="421"/>
        <v>0.7516228058721478</v>
      </c>
      <c r="AG1256" s="27">
        <f t="shared" si="421"/>
        <v>0.76037578669049388</v>
      </c>
      <c r="AH1256" s="27">
        <f t="shared" si="421"/>
        <v>0.76667063616076714</v>
      </c>
      <c r="AI1256" s="27">
        <f t="shared" si="421"/>
        <v>0.77337939456948435</v>
      </c>
      <c r="AJ1256" s="27">
        <f t="shared" si="421"/>
        <v>0.78076434928365657</v>
      </c>
      <c r="AK1256" s="27">
        <f t="shared" si="421"/>
        <v>0.78536615920216046</v>
      </c>
      <c r="AL1256" s="27">
        <f t="shared" si="421"/>
        <v>0.78881852101416539</v>
      </c>
      <c r="AM1256" s="27">
        <f t="shared" si="421"/>
        <v>0.79121985976001552</v>
      </c>
      <c r="AN1256" s="27">
        <f t="shared" si="421"/>
        <v>0.79868498724734416</v>
      </c>
      <c r="AO1256" s="27">
        <f t="shared" si="421"/>
        <v>0.80435942918169867</v>
      </c>
      <c r="AP1256" s="27">
        <f t="shared" si="421"/>
        <v>0.81010549901927509</v>
      </c>
      <c r="AQ1256" s="27">
        <f t="shared" si="421"/>
        <v>0.81598892920145427</v>
      </c>
      <c r="AR1256" s="27">
        <f t="shared" si="421"/>
        <v>0.82212836098613751</v>
      </c>
      <c r="AS1256" s="27">
        <f t="shared" si="421"/>
        <v>0.82843192665920329</v>
      </c>
      <c r="AT1256" s="27">
        <f t="shared" si="421"/>
        <v>0.81599740910755991</v>
      </c>
      <c r="AU1256" s="27">
        <f t="shared" si="421"/>
        <v>0.80191119195009897</v>
      </c>
      <c r="AV1256" s="27">
        <f t="shared" si="421"/>
        <v>0.78558074788879373</v>
      </c>
      <c r="AW1256" s="27">
        <f t="shared" si="421"/>
        <v>0.76873851958597172</v>
      </c>
      <c r="AY1256" s="79"/>
      <c r="AZ1256" s="79"/>
    </row>
    <row r="1257" spans="1:52" x14ac:dyDescent="0.3">
      <c r="A1257" s="95" t="str">
        <f t="shared" si="384"/>
        <v>FSFAGSPQNIBDDSCM Cattle MMN2O</v>
      </c>
      <c r="B1257" s="95" t="s">
        <v>1375</v>
      </c>
      <c r="C1257" s="95" t="s">
        <v>1232</v>
      </c>
      <c r="D1257" t="s">
        <v>15</v>
      </c>
      <c r="E1257" t="s">
        <v>657</v>
      </c>
      <c r="F1257" t="s">
        <v>67</v>
      </c>
      <c r="G1257" t="s">
        <v>135</v>
      </c>
      <c r="H1257" t="s">
        <v>1227</v>
      </c>
      <c r="I1257" t="s">
        <v>139</v>
      </c>
      <c r="J1257" t="s">
        <v>287</v>
      </c>
      <c r="K1257" s="27">
        <f t="shared" ref="K1257:AW1257" si="422">IFERROR(K1416-((K1416-K41)+(K1416-K194)+(K1416-K347)+(K1416-K499)+(K1416-K651)+(K1416-K802)+(K1416-K953)+(K1416-K1104)),0)</f>
        <v>0.97926119892671493</v>
      </c>
      <c r="L1257" s="27">
        <f t="shared" si="422"/>
        <v>1.0122801448609142</v>
      </c>
      <c r="M1257" s="27">
        <f t="shared" si="422"/>
        <v>1.0514701788925804</v>
      </c>
      <c r="N1257" s="27">
        <f t="shared" si="422"/>
        <v>1.0806972456941153</v>
      </c>
      <c r="O1257" s="27">
        <f t="shared" si="422"/>
        <v>1.1032367943433714</v>
      </c>
      <c r="P1257" s="27">
        <f t="shared" si="422"/>
        <v>1.1187666946803865</v>
      </c>
      <c r="Q1257" s="27">
        <f t="shared" si="422"/>
        <v>1.1399714801203362</v>
      </c>
      <c r="R1257" s="27">
        <f t="shared" si="422"/>
        <v>1.1622002864669057</v>
      </c>
      <c r="S1257" s="27">
        <f t="shared" si="422"/>
        <v>1.0637182358780759</v>
      </c>
      <c r="T1257" s="27">
        <f t="shared" si="422"/>
        <v>1.1070403364801074</v>
      </c>
      <c r="U1257" s="27">
        <f t="shared" si="422"/>
        <v>1.167139233674557</v>
      </c>
      <c r="V1257" s="27">
        <f t="shared" si="422"/>
        <v>1.2014274387995842</v>
      </c>
      <c r="W1257" s="27">
        <f t="shared" si="422"/>
        <v>1.2394742549139584</v>
      </c>
      <c r="X1257" s="27">
        <f t="shared" si="422"/>
        <v>1.2824424199036168</v>
      </c>
      <c r="Y1257" s="27">
        <f t="shared" si="422"/>
        <v>1.3286164007902908</v>
      </c>
      <c r="Z1257" s="27">
        <f t="shared" si="422"/>
        <v>1.3789486454543383</v>
      </c>
      <c r="AA1257" s="27">
        <f t="shared" si="422"/>
        <v>1.4306963818966387</v>
      </c>
      <c r="AB1257" s="27">
        <f t="shared" si="422"/>
        <v>1.4864839183326823</v>
      </c>
      <c r="AC1257" s="27">
        <f t="shared" si="422"/>
        <v>1.5435464944872577</v>
      </c>
      <c r="AD1257" s="27">
        <f t="shared" si="422"/>
        <v>1.6111800014411353</v>
      </c>
      <c r="AE1257" s="27">
        <f t="shared" si="422"/>
        <v>1.6786649286792732</v>
      </c>
      <c r="AF1257" s="27">
        <f t="shared" si="422"/>
        <v>1.7498130115622672</v>
      </c>
      <c r="AG1257" s="27">
        <f t="shared" si="422"/>
        <v>1.8293448328146484</v>
      </c>
      <c r="AH1257" s="27">
        <f t="shared" si="422"/>
        <v>1.9063603244571439</v>
      </c>
      <c r="AI1257" s="27">
        <f t="shared" si="422"/>
        <v>1.9878317329791768</v>
      </c>
      <c r="AJ1257" s="27">
        <f t="shared" si="422"/>
        <v>2.0747636655461594</v>
      </c>
      <c r="AK1257" s="27">
        <f t="shared" si="422"/>
        <v>2.1580530015142441</v>
      </c>
      <c r="AL1257" s="27">
        <f t="shared" si="422"/>
        <v>2.2418001061580344</v>
      </c>
      <c r="AM1257" s="27">
        <f t="shared" si="422"/>
        <v>2.326186702125502</v>
      </c>
      <c r="AN1257" s="27">
        <f t="shared" si="422"/>
        <v>2.4143873382610392</v>
      </c>
      <c r="AO1257" s="27">
        <f t="shared" si="422"/>
        <v>2.5003845769659914</v>
      </c>
      <c r="AP1257" s="27">
        <f t="shared" si="422"/>
        <v>2.5898227222528956</v>
      </c>
      <c r="AQ1257" s="27">
        <f t="shared" si="422"/>
        <v>2.6830977224212833</v>
      </c>
      <c r="AR1257" s="27">
        <f t="shared" si="422"/>
        <v>2.7808208792989615</v>
      </c>
      <c r="AS1257" s="27">
        <f t="shared" si="422"/>
        <v>2.8829310376391781</v>
      </c>
      <c r="AT1257" s="27">
        <f t="shared" si="422"/>
        <v>2.9219897527083054</v>
      </c>
      <c r="AU1257" s="27">
        <f t="shared" si="422"/>
        <v>2.955308116539189</v>
      </c>
      <c r="AV1257" s="27">
        <f t="shared" si="422"/>
        <v>2.9801202079374365</v>
      </c>
      <c r="AW1257" s="27">
        <f t="shared" si="422"/>
        <v>3.0024365734571252</v>
      </c>
      <c r="AY1257" s="79"/>
      <c r="AZ1257" s="79"/>
    </row>
    <row r="1258" spans="1:52" x14ac:dyDescent="0.3">
      <c r="A1258" s="95" t="str">
        <f t="shared" si="384"/>
        <v>FSFAGSPQNIBDDSCM Sheep MMN2O</v>
      </c>
      <c r="B1258" s="95" t="s">
        <v>1375</v>
      </c>
      <c r="C1258" s="95" t="s">
        <v>1328</v>
      </c>
      <c r="D1258" t="s">
        <v>15</v>
      </c>
      <c r="E1258" t="s">
        <v>657</v>
      </c>
      <c r="F1258" t="s">
        <v>18</v>
      </c>
      <c r="G1258" t="s">
        <v>122</v>
      </c>
      <c r="H1258" t="s">
        <v>1227</v>
      </c>
      <c r="I1258" t="s">
        <v>139</v>
      </c>
      <c r="J1258" t="s">
        <v>287</v>
      </c>
      <c r="K1258" s="27">
        <f t="shared" ref="K1258:AW1258" si="423">IFERROR(K1417-((K1417-K42)+(K1417-K195)+(K1417-K348)+(K1417-K500)+(K1417-K652)+(K1417-K803)+(K1417-K954)+(K1417-K1105)),0)</f>
        <v>0.1171883187565219</v>
      </c>
      <c r="L1258" s="27">
        <f t="shared" si="423"/>
        <v>0.11725168210757804</v>
      </c>
      <c r="M1258" s="27">
        <f t="shared" si="423"/>
        <v>0.11740318150277541</v>
      </c>
      <c r="N1258" s="27">
        <f t="shared" si="423"/>
        <v>0.11762656857541021</v>
      </c>
      <c r="O1258" s="27">
        <f t="shared" si="423"/>
        <v>0.1179204237689029</v>
      </c>
      <c r="P1258" s="27">
        <f t="shared" si="423"/>
        <v>0.11828164409401502</v>
      </c>
      <c r="Q1258" s="27">
        <f t="shared" si="423"/>
        <v>0.1186873438242913</v>
      </c>
      <c r="R1258" s="27">
        <f t="shared" si="423"/>
        <v>0.11913496163447934</v>
      </c>
      <c r="S1258" s="27">
        <f t="shared" si="423"/>
        <v>0.11954428347803586</v>
      </c>
      <c r="T1258" s="27">
        <f t="shared" si="423"/>
        <v>0.11972414940561894</v>
      </c>
      <c r="U1258" s="27">
        <f t="shared" si="423"/>
        <v>0.11994380434419684</v>
      </c>
      <c r="V1258" s="27">
        <f t="shared" si="423"/>
        <v>0.12017467883012861</v>
      </c>
      <c r="W1258" s="27">
        <f t="shared" si="423"/>
        <v>0.12043388472990403</v>
      </c>
      <c r="X1258" s="27">
        <f t="shared" si="423"/>
        <v>0.12072069678028939</v>
      </c>
      <c r="Y1258" s="27">
        <f t="shared" si="423"/>
        <v>0.12089981812671623</v>
      </c>
      <c r="Z1258" s="27">
        <f t="shared" si="423"/>
        <v>0.12110217984152867</v>
      </c>
      <c r="AA1258" s="27">
        <f t="shared" si="423"/>
        <v>0.12132504756910802</v>
      </c>
      <c r="AB1258" s="27">
        <f t="shared" si="423"/>
        <v>0.12156903411725499</v>
      </c>
      <c r="AC1258" s="27">
        <f t="shared" si="423"/>
        <v>0.12183162117803532</v>
      </c>
      <c r="AD1258" s="27">
        <f t="shared" si="423"/>
        <v>0.12200776858907328</v>
      </c>
      <c r="AE1258" s="27">
        <f t="shared" si="423"/>
        <v>0.12219899661673859</v>
      </c>
      <c r="AF1258" s="27">
        <f t="shared" si="423"/>
        <v>0.12240684242118335</v>
      </c>
      <c r="AG1258" s="27">
        <f t="shared" si="423"/>
        <v>0.12263333491271973</v>
      </c>
      <c r="AH1258" s="27">
        <f t="shared" si="423"/>
        <v>0.12287167298468532</v>
      </c>
      <c r="AI1258" s="27">
        <f t="shared" si="423"/>
        <v>0.12302401792252464</v>
      </c>
      <c r="AJ1258" s="27">
        <f t="shared" si="423"/>
        <v>0.12319088645114676</v>
      </c>
      <c r="AK1258" s="27">
        <f t="shared" si="423"/>
        <v>0.12336677489796816</v>
      </c>
      <c r="AL1258" s="27">
        <f t="shared" si="423"/>
        <v>0.12355355577482134</v>
      </c>
      <c r="AM1258" s="27">
        <f t="shared" si="423"/>
        <v>0.12375094588099321</v>
      </c>
      <c r="AN1258" s="27">
        <f t="shared" si="423"/>
        <v>0.12386757855810271</v>
      </c>
      <c r="AO1258" s="27">
        <f t="shared" si="423"/>
        <v>0.12399208535623993</v>
      </c>
      <c r="AP1258" s="27">
        <f t="shared" si="423"/>
        <v>0.12412714040619617</v>
      </c>
      <c r="AQ1258" s="27">
        <f t="shared" si="423"/>
        <v>0.1242726131383893</v>
      </c>
      <c r="AR1258" s="27">
        <f t="shared" si="423"/>
        <v>0.12442850053815514</v>
      </c>
      <c r="AS1258" s="27">
        <f t="shared" si="423"/>
        <v>0.12449922291454818</v>
      </c>
      <c r="AT1258" s="27">
        <f t="shared" si="423"/>
        <v>0.12454479881058539</v>
      </c>
      <c r="AU1258" s="27">
        <f t="shared" si="423"/>
        <v>0.12459475860623467</v>
      </c>
      <c r="AV1258" s="27">
        <f t="shared" si="423"/>
        <v>0.12464752954530567</v>
      </c>
      <c r="AW1258" s="27">
        <f t="shared" si="423"/>
        <v>0.12470598620434532</v>
      </c>
      <c r="AY1258" s="79"/>
      <c r="AZ1258" s="79"/>
    </row>
    <row r="1259" spans="1:52" x14ac:dyDescent="0.3">
      <c r="A1259" s="95" t="str">
        <f t="shared" si="384"/>
        <v>FSFAGSPQNIBDDSCM Sheep MMN2O</v>
      </c>
      <c r="B1259" s="95" t="s">
        <v>1375</v>
      </c>
      <c r="C1259" s="95" t="s">
        <v>1328</v>
      </c>
      <c r="D1259" t="s">
        <v>15</v>
      </c>
      <c r="E1259" t="s">
        <v>657</v>
      </c>
      <c r="F1259" t="s">
        <v>18</v>
      </c>
      <c r="G1259" t="s">
        <v>123</v>
      </c>
      <c r="H1259" t="s">
        <v>1227</v>
      </c>
      <c r="I1259" t="s">
        <v>139</v>
      </c>
      <c r="J1259" t="s">
        <v>287</v>
      </c>
      <c r="K1259" s="27">
        <f t="shared" ref="K1259:AW1259" si="424">IFERROR(K1418-((K1418-K43)+(K1418-K196)+(K1418-K349)+(K1418-K501)+(K1418-K653)+(K1418-K804)+(K1418-K955)+(K1418-K1106)),0)</f>
        <v>6.266545072674834E-2</v>
      </c>
      <c r="L1259" s="27">
        <f t="shared" si="424"/>
        <v>6.269933373655362E-2</v>
      </c>
      <c r="M1259" s="27">
        <f t="shared" si="424"/>
        <v>6.2780346741822493E-2</v>
      </c>
      <c r="N1259" s="27">
        <f t="shared" si="424"/>
        <v>6.2899801067490158E-2</v>
      </c>
      <c r="O1259" s="27">
        <f t="shared" si="424"/>
        <v>6.3056937617822231E-2</v>
      </c>
      <c r="P1259" s="27">
        <f t="shared" si="424"/>
        <v>6.3250097095874355E-2</v>
      </c>
      <c r="Q1259" s="27">
        <f t="shared" si="424"/>
        <v>6.3467041555247503E-2</v>
      </c>
      <c r="R1259" s="27">
        <f t="shared" si="424"/>
        <v>6.3706401349179126E-2</v>
      </c>
      <c r="S1259" s="27">
        <f t="shared" si="424"/>
        <v>6.3925282702636074E-2</v>
      </c>
      <c r="T1259" s="27">
        <f t="shared" si="424"/>
        <v>6.402146446837842E-2</v>
      </c>
      <c r="U1259" s="27">
        <f t="shared" si="424"/>
        <v>6.4138923067293366E-2</v>
      </c>
      <c r="V1259" s="27">
        <f t="shared" si="424"/>
        <v>6.4262381223155141E-2</v>
      </c>
      <c r="W1259" s="27">
        <f t="shared" si="424"/>
        <v>6.4400989360150498E-2</v>
      </c>
      <c r="X1259" s="27">
        <f t="shared" si="424"/>
        <v>6.4554359649970958E-2</v>
      </c>
      <c r="Y1259" s="27">
        <f t="shared" si="424"/>
        <v>6.4650143257311041E-2</v>
      </c>
      <c r="Z1259" s="27">
        <f t="shared" si="424"/>
        <v>6.4758354452787853E-2</v>
      </c>
      <c r="AA1259" s="27">
        <f t="shared" si="424"/>
        <v>6.4877531063130933E-2</v>
      </c>
      <c r="AB1259" s="27">
        <f t="shared" si="424"/>
        <v>6.500800078206817E-2</v>
      </c>
      <c r="AC1259" s="27">
        <f t="shared" si="424"/>
        <v>6.5148416965979825E-2</v>
      </c>
      <c r="AD1259" s="27">
        <f t="shared" si="424"/>
        <v>6.5242610286817326E-2</v>
      </c>
      <c r="AE1259" s="27">
        <f t="shared" si="424"/>
        <v>6.5344867838358231E-2</v>
      </c>
      <c r="AF1259" s="27">
        <f t="shared" si="424"/>
        <v>6.5456011603840999E-2</v>
      </c>
      <c r="AG1259" s="27">
        <f t="shared" si="424"/>
        <v>6.5577126525694585E-2</v>
      </c>
      <c r="AH1259" s="27">
        <f t="shared" si="424"/>
        <v>6.570457577032536E-2</v>
      </c>
      <c r="AI1259" s="27">
        <f t="shared" si="424"/>
        <v>6.5786040922287098E-2</v>
      </c>
      <c r="AJ1259" s="27">
        <f t="shared" si="424"/>
        <v>6.5875272440148028E-2</v>
      </c>
      <c r="AK1259" s="27">
        <f t="shared" si="424"/>
        <v>6.5969327282086584E-2</v>
      </c>
      <c r="AL1259" s="27">
        <f t="shared" si="424"/>
        <v>6.6069206757782967E-2</v>
      </c>
      <c r="AM1259" s="27">
        <f t="shared" si="424"/>
        <v>6.6174759428079058E-2</v>
      </c>
      <c r="AN1259" s="27">
        <f t="shared" si="424"/>
        <v>6.623712775418944E-2</v>
      </c>
      <c r="AO1259" s="27">
        <f t="shared" si="424"/>
        <v>6.6303706699144024E-2</v>
      </c>
      <c r="AP1259" s="27">
        <f t="shared" si="424"/>
        <v>6.6375926231502153E-2</v>
      </c>
      <c r="AQ1259" s="27">
        <f t="shared" si="424"/>
        <v>6.6453716530296997E-2</v>
      </c>
      <c r="AR1259" s="27">
        <f t="shared" si="424"/>
        <v>6.653707598346266E-2</v>
      </c>
      <c r="AS1259" s="27">
        <f t="shared" si="424"/>
        <v>6.6574894169098925E-2</v>
      </c>
      <c r="AT1259" s="27">
        <f t="shared" si="424"/>
        <v>6.659926548953217E-2</v>
      </c>
      <c r="AU1259" s="27">
        <f t="shared" si="424"/>
        <v>6.66259810627719E-2</v>
      </c>
      <c r="AV1259" s="27">
        <f t="shared" si="424"/>
        <v>6.6654199870902653E-2</v>
      </c>
      <c r="AW1259" s="27">
        <f t="shared" si="424"/>
        <v>6.6685459069136477E-2</v>
      </c>
      <c r="AY1259" s="79"/>
      <c r="AZ1259" s="79"/>
    </row>
    <row r="1260" spans="1:52" x14ac:dyDescent="0.3">
      <c r="A1260" s="95" t="str">
        <f t="shared" si="384"/>
        <v>FSFAGSPQNIBDDSCM Goats MMN2O</v>
      </c>
      <c r="B1260" s="95" t="s">
        <v>1375</v>
      </c>
      <c r="C1260" s="95" t="s">
        <v>1329</v>
      </c>
      <c r="D1260" t="s">
        <v>15</v>
      </c>
      <c r="E1260" t="s">
        <v>657</v>
      </c>
      <c r="F1260" t="s">
        <v>19</v>
      </c>
      <c r="G1260" t="s">
        <v>122</v>
      </c>
      <c r="H1260" t="s">
        <v>1227</v>
      </c>
      <c r="I1260" t="s">
        <v>139</v>
      </c>
      <c r="J1260" t="s">
        <v>287</v>
      </c>
      <c r="K1260" s="27">
        <f t="shared" ref="K1260:AW1260" si="425">IFERROR(K1419-((K1419-K44)+(K1419-K197)+(K1419-K350)+(K1419-K502)+(K1419-K654)+(K1419-K805)+(K1419-K956)+(K1419-K1107)),0)</f>
        <v>1.4486129996083084E-2</v>
      </c>
      <c r="L1260" s="27">
        <f t="shared" si="425"/>
        <v>1.4523786941695514E-2</v>
      </c>
      <c r="M1260" s="27">
        <f t="shared" si="425"/>
        <v>1.457573336741831E-2</v>
      </c>
      <c r="N1260" s="27">
        <f t="shared" si="425"/>
        <v>1.4639017833045654E-2</v>
      </c>
      <c r="O1260" s="27">
        <f t="shared" si="425"/>
        <v>1.4713550078172181E-2</v>
      </c>
      <c r="P1260" s="27">
        <f t="shared" si="425"/>
        <v>1.4798876460462532E-2</v>
      </c>
      <c r="Q1260" s="27">
        <f t="shared" si="425"/>
        <v>1.4890706011157261E-2</v>
      </c>
      <c r="R1260" s="27">
        <f t="shared" si="425"/>
        <v>1.4988675221399694E-2</v>
      </c>
      <c r="S1260" s="27">
        <f t="shared" si="425"/>
        <v>1.5077522200056563E-2</v>
      </c>
      <c r="T1260" s="27">
        <f t="shared" si="425"/>
        <v>1.5120920467659648E-2</v>
      </c>
      <c r="U1260" s="27">
        <f t="shared" si="425"/>
        <v>1.5170664566545743E-2</v>
      </c>
      <c r="V1260" s="27">
        <f t="shared" si="425"/>
        <v>1.522137130781058E-2</v>
      </c>
      <c r="W1260" s="27">
        <f t="shared" si="425"/>
        <v>1.527636657794784E-2</v>
      </c>
      <c r="X1260" s="27">
        <f t="shared" si="425"/>
        <v>1.5335559486365858E-2</v>
      </c>
      <c r="Y1260" s="27">
        <f t="shared" si="425"/>
        <v>1.5373440359637548E-2</v>
      </c>
      <c r="Z1260" s="27">
        <f t="shared" si="425"/>
        <v>1.5414884136013281E-2</v>
      </c>
      <c r="AA1260" s="27">
        <f t="shared" si="425"/>
        <v>1.5459406079654034E-2</v>
      </c>
      <c r="AB1260" s="27">
        <f t="shared" si="425"/>
        <v>1.5507149153927192E-2</v>
      </c>
      <c r="AC1260" s="27">
        <f t="shared" si="425"/>
        <v>1.55576650603759E-2</v>
      </c>
      <c r="AD1260" s="27">
        <f t="shared" si="425"/>
        <v>1.5591353436562988E-2</v>
      </c>
      <c r="AE1260" s="27">
        <f t="shared" si="425"/>
        <v>1.5627280085252663E-2</v>
      </c>
      <c r="AF1260" s="27">
        <f t="shared" si="425"/>
        <v>1.5665749106164011E-2</v>
      </c>
      <c r="AG1260" s="27">
        <f t="shared" si="425"/>
        <v>1.5707151218007597E-2</v>
      </c>
      <c r="AH1260" s="27">
        <f t="shared" si="425"/>
        <v>1.575023561921594E-2</v>
      </c>
      <c r="AI1260" s="27">
        <f t="shared" si="425"/>
        <v>1.5776918897393025E-2</v>
      </c>
      <c r="AJ1260" s="27">
        <f t="shared" si="425"/>
        <v>1.5805875112600263E-2</v>
      </c>
      <c r="AK1260" s="27">
        <f t="shared" si="425"/>
        <v>1.5836097205917665E-2</v>
      </c>
      <c r="AL1260" s="27">
        <f t="shared" si="425"/>
        <v>1.5867941184595159E-2</v>
      </c>
      <c r="AM1260" s="27">
        <f t="shared" si="425"/>
        <v>1.5901363449816974E-2</v>
      </c>
      <c r="AN1260" s="27">
        <f t="shared" si="425"/>
        <v>1.5919623331121565E-2</v>
      </c>
      <c r="AO1260" s="27">
        <f t="shared" si="425"/>
        <v>1.5939033537312693E-2</v>
      </c>
      <c r="AP1260" s="27">
        <f t="shared" si="425"/>
        <v>1.5960089556991585E-2</v>
      </c>
      <c r="AQ1260" s="27">
        <f t="shared" si="425"/>
        <v>1.5982771280705937E-2</v>
      </c>
      <c r="AR1260" s="27">
        <f t="shared" si="425"/>
        <v>1.6007081325051208E-2</v>
      </c>
      <c r="AS1260" s="27">
        <f t="shared" si="425"/>
        <v>1.6015649873683192E-2</v>
      </c>
      <c r="AT1260" s="27">
        <f t="shared" si="425"/>
        <v>1.601945516807891E-2</v>
      </c>
      <c r="AU1260" s="27">
        <f t="shared" si="425"/>
        <v>1.602387884909745E-2</v>
      </c>
      <c r="AV1260" s="27">
        <f t="shared" si="425"/>
        <v>1.6028641289399778E-2</v>
      </c>
      <c r="AW1260" s="27">
        <f t="shared" si="425"/>
        <v>1.6034267352361548E-2</v>
      </c>
      <c r="AY1260" s="79"/>
      <c r="AZ1260" s="79"/>
    </row>
    <row r="1261" spans="1:52" x14ac:dyDescent="0.3">
      <c r="A1261" s="95" t="str">
        <f t="shared" si="384"/>
        <v>FSFAGSPQNIBDDSCM Goats MMN2O</v>
      </c>
      <c r="B1261" s="95" t="s">
        <v>1375</v>
      </c>
      <c r="C1261" s="95" t="s">
        <v>1329</v>
      </c>
      <c r="D1261" t="s">
        <v>15</v>
      </c>
      <c r="E1261" t="s">
        <v>657</v>
      </c>
      <c r="F1261" t="s">
        <v>19</v>
      </c>
      <c r="G1261" t="s">
        <v>123</v>
      </c>
      <c r="H1261" t="s">
        <v>1227</v>
      </c>
      <c r="I1261" t="s">
        <v>139</v>
      </c>
      <c r="J1261" t="s">
        <v>287</v>
      </c>
      <c r="K1261" s="27">
        <f t="shared" ref="K1261:AW1261" si="426">IFERROR(K1420-((K1420-K45)+(K1420-K198)+(K1420-K351)+(K1420-K503)+(K1420-K655)+(K1420-K806)+(K1420-K957)+(K1420-K1108)),0)</f>
        <v>0.11484439540301131</v>
      </c>
      <c r="L1261" s="27">
        <f t="shared" si="426"/>
        <v>0.11514293539628438</v>
      </c>
      <c r="M1261" s="27">
        <f t="shared" si="426"/>
        <v>0.1155547607669731</v>
      </c>
      <c r="N1261" s="27">
        <f t="shared" si="426"/>
        <v>0.11605647283191664</v>
      </c>
      <c r="O1261" s="27">
        <f t="shared" si="426"/>
        <v>0.11664735601685972</v>
      </c>
      <c r="P1261" s="27">
        <f t="shared" si="426"/>
        <v>0.11732381389682567</v>
      </c>
      <c r="Q1261" s="27">
        <f t="shared" si="426"/>
        <v>0.11805182815822728</v>
      </c>
      <c r="R1261" s="27">
        <f t="shared" si="426"/>
        <v>0.11882851694408277</v>
      </c>
      <c r="S1261" s="27">
        <f t="shared" si="426"/>
        <v>0.11953288571269048</v>
      </c>
      <c r="T1261" s="27">
        <f t="shared" si="426"/>
        <v>0.11987694225544984</v>
      </c>
      <c r="U1261" s="27">
        <f t="shared" si="426"/>
        <v>0.12027130782879383</v>
      </c>
      <c r="V1261" s="27">
        <f t="shared" si="426"/>
        <v>0.12067330512172106</v>
      </c>
      <c r="W1261" s="27">
        <f t="shared" si="426"/>
        <v>0.12110930138508789</v>
      </c>
      <c r="X1261" s="27">
        <f t="shared" si="426"/>
        <v>0.12157857604859369</v>
      </c>
      <c r="Y1261" s="27">
        <f t="shared" si="426"/>
        <v>0.12187889131494858</v>
      </c>
      <c r="Z1261" s="27">
        <f t="shared" si="426"/>
        <v>0.12220745287296136</v>
      </c>
      <c r="AA1261" s="27">
        <f t="shared" si="426"/>
        <v>0.1225604177918853</v>
      </c>
      <c r="AB1261" s="27">
        <f t="shared" si="426"/>
        <v>0.12293891946908028</v>
      </c>
      <c r="AC1261" s="27">
        <f t="shared" si="426"/>
        <v>0.1233394038452322</v>
      </c>
      <c r="AD1261" s="27">
        <f t="shared" si="426"/>
        <v>0.12360648147026812</v>
      </c>
      <c r="AE1261" s="27">
        <f t="shared" si="426"/>
        <v>0.12389130386581051</v>
      </c>
      <c r="AF1261" s="27">
        <f t="shared" si="426"/>
        <v>0.12419628189993717</v>
      </c>
      <c r="AG1261" s="27">
        <f t="shared" si="426"/>
        <v>0.12452451314626521</v>
      </c>
      <c r="AH1261" s="27">
        <f t="shared" si="426"/>
        <v>0.12486608139184988</v>
      </c>
      <c r="AI1261" s="27">
        <f t="shared" si="426"/>
        <v>0.12507762339447212</v>
      </c>
      <c r="AJ1261" s="27">
        <f t="shared" si="426"/>
        <v>0.12530718498404322</v>
      </c>
      <c r="AK1261" s="27">
        <f t="shared" si="426"/>
        <v>0.12554678231167932</v>
      </c>
      <c r="AL1261" s="27">
        <f t="shared" si="426"/>
        <v>0.12579923776247484</v>
      </c>
      <c r="AM1261" s="27">
        <f t="shared" si="426"/>
        <v>0.12606420568996382</v>
      </c>
      <c r="AN1261" s="27">
        <f t="shared" si="426"/>
        <v>0.12620896795767253</v>
      </c>
      <c r="AO1261" s="27">
        <f t="shared" si="426"/>
        <v>0.1263628498705969</v>
      </c>
      <c r="AP1261" s="27">
        <f t="shared" si="426"/>
        <v>0.12652977960616255</v>
      </c>
      <c r="AQ1261" s="27">
        <f t="shared" si="426"/>
        <v>0.1267095977389128</v>
      </c>
      <c r="AR1261" s="27">
        <f t="shared" si="426"/>
        <v>0.12690232501291954</v>
      </c>
      <c r="AS1261" s="27">
        <f t="shared" si="426"/>
        <v>0.12697025549451732</v>
      </c>
      <c r="AT1261" s="27">
        <f t="shared" si="426"/>
        <v>0.1270004234368404</v>
      </c>
      <c r="AU1261" s="27">
        <f t="shared" si="426"/>
        <v>0.12703549387816376</v>
      </c>
      <c r="AV1261" s="27">
        <f t="shared" si="426"/>
        <v>0.12707324996466249</v>
      </c>
      <c r="AW1261" s="27">
        <f t="shared" si="426"/>
        <v>0.1271178527536419</v>
      </c>
      <c r="AY1261" s="79"/>
      <c r="AZ1261" s="79"/>
    </row>
    <row r="1262" spans="1:52" x14ac:dyDescent="0.3">
      <c r="A1262" s="95" t="str">
        <f t="shared" si="384"/>
        <v>FSFAGSPQNIBDDSCM Horses MMN2O</v>
      </c>
      <c r="B1262" s="95" t="s">
        <v>1375</v>
      </c>
      <c r="C1262" s="95" t="s">
        <v>1330</v>
      </c>
      <c r="D1262" t="s">
        <v>15</v>
      </c>
      <c r="E1262" t="s">
        <v>657</v>
      </c>
      <c r="F1262" t="s">
        <v>20</v>
      </c>
      <c r="G1262" t="s">
        <v>3</v>
      </c>
      <c r="H1262" t="s">
        <v>1227</v>
      </c>
      <c r="I1262" t="s">
        <v>139</v>
      </c>
      <c r="J1262" t="s">
        <v>287</v>
      </c>
      <c r="K1262" s="27">
        <f t="shared" ref="K1262:AW1262" si="427">IFERROR(K1421-((K1421-K46)+(K1421-K199)+(K1421-K352)+(K1421-K504)+(K1421-K656)+(K1421-K807)+(K1421-K958)+(K1421-K1109)),0)</f>
        <v>0</v>
      </c>
      <c r="L1262" s="27">
        <f t="shared" si="427"/>
        <v>0</v>
      </c>
      <c r="M1262" s="27">
        <f t="shared" si="427"/>
        <v>0</v>
      </c>
      <c r="N1262" s="27">
        <f t="shared" si="427"/>
        <v>0</v>
      </c>
      <c r="O1262" s="27">
        <f t="shared" si="427"/>
        <v>0</v>
      </c>
      <c r="P1262" s="27">
        <f t="shared" si="427"/>
        <v>0</v>
      </c>
      <c r="Q1262" s="27">
        <f t="shared" si="427"/>
        <v>0</v>
      </c>
      <c r="R1262" s="27">
        <f t="shared" si="427"/>
        <v>0</v>
      </c>
      <c r="S1262" s="27">
        <f t="shared" si="427"/>
        <v>0</v>
      </c>
      <c r="T1262" s="27">
        <f t="shared" si="427"/>
        <v>0</v>
      </c>
      <c r="U1262" s="27">
        <f t="shared" si="427"/>
        <v>0</v>
      </c>
      <c r="V1262" s="27">
        <f t="shared" si="427"/>
        <v>0</v>
      </c>
      <c r="W1262" s="27">
        <f t="shared" si="427"/>
        <v>0</v>
      </c>
      <c r="X1262" s="27">
        <f t="shared" si="427"/>
        <v>0</v>
      </c>
      <c r="Y1262" s="27">
        <f t="shared" si="427"/>
        <v>0</v>
      </c>
      <c r="Z1262" s="27">
        <f t="shared" si="427"/>
        <v>0</v>
      </c>
      <c r="AA1262" s="27">
        <f t="shared" si="427"/>
        <v>0</v>
      </c>
      <c r="AB1262" s="27">
        <f t="shared" si="427"/>
        <v>0</v>
      </c>
      <c r="AC1262" s="27">
        <f t="shared" si="427"/>
        <v>0</v>
      </c>
      <c r="AD1262" s="27">
        <f t="shared" si="427"/>
        <v>0</v>
      </c>
      <c r="AE1262" s="27">
        <f t="shared" si="427"/>
        <v>0</v>
      </c>
      <c r="AF1262" s="27">
        <f t="shared" si="427"/>
        <v>0</v>
      </c>
      <c r="AG1262" s="27">
        <f t="shared" si="427"/>
        <v>0</v>
      </c>
      <c r="AH1262" s="27">
        <f t="shared" si="427"/>
        <v>0</v>
      </c>
      <c r="AI1262" s="27">
        <f t="shared" si="427"/>
        <v>0</v>
      </c>
      <c r="AJ1262" s="27">
        <f t="shared" si="427"/>
        <v>0</v>
      </c>
      <c r="AK1262" s="27">
        <f t="shared" si="427"/>
        <v>0</v>
      </c>
      <c r="AL1262" s="27">
        <f t="shared" si="427"/>
        <v>0</v>
      </c>
      <c r="AM1262" s="27">
        <f t="shared" si="427"/>
        <v>0</v>
      </c>
      <c r="AN1262" s="27">
        <f t="shared" si="427"/>
        <v>0</v>
      </c>
      <c r="AO1262" s="27">
        <f t="shared" si="427"/>
        <v>0</v>
      </c>
      <c r="AP1262" s="27">
        <f t="shared" si="427"/>
        <v>0</v>
      </c>
      <c r="AQ1262" s="27">
        <f t="shared" si="427"/>
        <v>0</v>
      </c>
      <c r="AR1262" s="27">
        <f t="shared" si="427"/>
        <v>0</v>
      </c>
      <c r="AS1262" s="27">
        <f t="shared" si="427"/>
        <v>0</v>
      </c>
      <c r="AT1262" s="27">
        <f t="shared" si="427"/>
        <v>0</v>
      </c>
      <c r="AU1262" s="27">
        <f t="shared" si="427"/>
        <v>0</v>
      </c>
      <c r="AV1262" s="27">
        <f t="shared" si="427"/>
        <v>0</v>
      </c>
      <c r="AW1262" s="27">
        <f t="shared" si="427"/>
        <v>0</v>
      </c>
      <c r="AY1262" s="79"/>
      <c r="AZ1262" s="79"/>
    </row>
    <row r="1263" spans="1:52" x14ac:dyDescent="0.3">
      <c r="A1263" s="95" t="str">
        <f t="shared" si="384"/>
        <v>FSFAGSPQNIBDDSCM Mules MMN2O</v>
      </c>
      <c r="B1263" s="95" t="s">
        <v>1375</v>
      </c>
      <c r="C1263" s="95" t="s">
        <v>1331</v>
      </c>
      <c r="D1263" t="s">
        <v>15</v>
      </c>
      <c r="E1263" t="s">
        <v>657</v>
      </c>
      <c r="F1263" t="s">
        <v>140</v>
      </c>
      <c r="G1263" t="s">
        <v>124</v>
      </c>
      <c r="H1263" t="s">
        <v>1227</v>
      </c>
      <c r="I1263" t="s">
        <v>139</v>
      </c>
      <c r="J1263" t="s">
        <v>287</v>
      </c>
      <c r="K1263" s="27">
        <f t="shared" ref="K1263:AW1263" si="428">IFERROR(K1422-((K1422-K47)+(K1422-K200)+(K1422-K353)+(K1422-K505)+(K1422-K657)+(K1422-K808)+(K1422-K959)+(K1422-K1110)),0)</f>
        <v>0</v>
      </c>
      <c r="L1263" s="27">
        <f t="shared" si="428"/>
        <v>0</v>
      </c>
      <c r="M1263" s="27">
        <f t="shared" si="428"/>
        <v>0</v>
      </c>
      <c r="N1263" s="27">
        <f t="shared" si="428"/>
        <v>0</v>
      </c>
      <c r="O1263" s="27">
        <f t="shared" si="428"/>
        <v>0</v>
      </c>
      <c r="P1263" s="27">
        <f t="shared" si="428"/>
        <v>0</v>
      </c>
      <c r="Q1263" s="27">
        <f t="shared" si="428"/>
        <v>0</v>
      </c>
      <c r="R1263" s="27">
        <f t="shared" si="428"/>
        <v>0</v>
      </c>
      <c r="S1263" s="27">
        <f t="shared" si="428"/>
        <v>0</v>
      </c>
      <c r="T1263" s="27">
        <f t="shared" si="428"/>
        <v>0</v>
      </c>
      <c r="U1263" s="27">
        <f t="shared" si="428"/>
        <v>0</v>
      </c>
      <c r="V1263" s="27">
        <f t="shared" si="428"/>
        <v>0</v>
      </c>
      <c r="W1263" s="27">
        <f t="shared" si="428"/>
        <v>0</v>
      </c>
      <c r="X1263" s="27">
        <f t="shared" si="428"/>
        <v>0</v>
      </c>
      <c r="Y1263" s="27">
        <f t="shared" si="428"/>
        <v>0</v>
      </c>
      <c r="Z1263" s="27">
        <f t="shared" si="428"/>
        <v>0</v>
      </c>
      <c r="AA1263" s="27">
        <f t="shared" si="428"/>
        <v>0</v>
      </c>
      <c r="AB1263" s="27">
        <f t="shared" si="428"/>
        <v>0</v>
      </c>
      <c r="AC1263" s="27">
        <f t="shared" si="428"/>
        <v>0</v>
      </c>
      <c r="AD1263" s="27">
        <f t="shared" si="428"/>
        <v>0</v>
      </c>
      <c r="AE1263" s="27">
        <f t="shared" si="428"/>
        <v>0</v>
      </c>
      <c r="AF1263" s="27">
        <f t="shared" si="428"/>
        <v>0</v>
      </c>
      <c r="AG1263" s="27">
        <f t="shared" si="428"/>
        <v>0</v>
      </c>
      <c r="AH1263" s="27">
        <f t="shared" si="428"/>
        <v>0</v>
      </c>
      <c r="AI1263" s="27">
        <f t="shared" si="428"/>
        <v>0</v>
      </c>
      <c r="AJ1263" s="27">
        <f t="shared" si="428"/>
        <v>0</v>
      </c>
      <c r="AK1263" s="27">
        <f t="shared" si="428"/>
        <v>0</v>
      </c>
      <c r="AL1263" s="27">
        <f t="shared" si="428"/>
        <v>0</v>
      </c>
      <c r="AM1263" s="27">
        <f t="shared" si="428"/>
        <v>0</v>
      </c>
      <c r="AN1263" s="27">
        <f t="shared" si="428"/>
        <v>0</v>
      </c>
      <c r="AO1263" s="27">
        <f t="shared" si="428"/>
        <v>0</v>
      </c>
      <c r="AP1263" s="27">
        <f t="shared" si="428"/>
        <v>0</v>
      </c>
      <c r="AQ1263" s="27">
        <f t="shared" si="428"/>
        <v>0</v>
      </c>
      <c r="AR1263" s="27">
        <f t="shared" si="428"/>
        <v>0</v>
      </c>
      <c r="AS1263" s="27">
        <f t="shared" si="428"/>
        <v>0</v>
      </c>
      <c r="AT1263" s="27">
        <f t="shared" si="428"/>
        <v>0</v>
      </c>
      <c r="AU1263" s="27">
        <f t="shared" si="428"/>
        <v>0</v>
      </c>
      <c r="AV1263" s="27">
        <f t="shared" si="428"/>
        <v>0</v>
      </c>
      <c r="AW1263" s="27">
        <f t="shared" si="428"/>
        <v>0</v>
      </c>
      <c r="AY1263" s="79"/>
      <c r="AZ1263" s="79"/>
    </row>
    <row r="1264" spans="1:52" x14ac:dyDescent="0.3">
      <c r="A1264" s="95" t="str">
        <f t="shared" si="384"/>
        <v>FSFAGSPQNIBDDSCM Swine MMN2O</v>
      </c>
      <c r="B1264" s="95" t="s">
        <v>1375</v>
      </c>
      <c r="C1264" s="95" t="s">
        <v>1233</v>
      </c>
      <c r="D1264" t="s">
        <v>15</v>
      </c>
      <c r="E1264" t="s">
        <v>657</v>
      </c>
      <c r="F1264" t="s">
        <v>21</v>
      </c>
      <c r="G1264" t="s">
        <v>122</v>
      </c>
      <c r="H1264" t="s">
        <v>1227</v>
      </c>
      <c r="I1264" t="s">
        <v>139</v>
      </c>
      <c r="J1264" t="s">
        <v>287</v>
      </c>
      <c r="K1264" s="27">
        <f t="shared" ref="K1264:AW1264" si="429">IFERROR(K1423-((K1423-K48)+(K1423-K201)+(K1423-K354)+(K1423-K506)+(K1423-K658)+(K1423-K809)+(K1423-K960)+(K1423-K1111)),0)</f>
        <v>9.7466979224281824E-2</v>
      </c>
      <c r="L1264" s="27">
        <f t="shared" si="429"/>
        <v>9.6937181363551506E-2</v>
      </c>
      <c r="M1264" s="27">
        <f t="shared" si="429"/>
        <v>9.6980665528366608E-2</v>
      </c>
      <c r="N1264" s="27">
        <f t="shared" si="429"/>
        <v>9.6090308702663593E-2</v>
      </c>
      <c r="O1264" s="27">
        <f t="shared" si="429"/>
        <v>9.4636150647850484E-2</v>
      </c>
      <c r="P1264" s="27">
        <f t="shared" si="429"/>
        <v>9.2641437622218326E-2</v>
      </c>
      <c r="Q1264" s="27">
        <f t="shared" si="429"/>
        <v>9.1193054757597189E-2</v>
      </c>
      <c r="R1264" s="27">
        <f t="shared" si="429"/>
        <v>8.9872834352323558E-2</v>
      </c>
      <c r="S1264" s="27">
        <f t="shared" si="429"/>
        <v>7.9353210388908066E-2</v>
      </c>
      <c r="T1264" s="27">
        <f t="shared" si="429"/>
        <v>8.0356685470718767E-2</v>
      </c>
      <c r="U1264" s="27">
        <f t="shared" si="429"/>
        <v>8.2509946009160923E-2</v>
      </c>
      <c r="V1264" s="27">
        <f t="shared" si="429"/>
        <v>8.2705450879572748E-2</v>
      </c>
      <c r="W1264" s="27">
        <f t="shared" si="429"/>
        <v>8.3128827539525094E-2</v>
      </c>
      <c r="X1264" s="27">
        <f t="shared" si="429"/>
        <v>8.3840672628701915E-2</v>
      </c>
      <c r="Y1264" s="27">
        <f t="shared" si="429"/>
        <v>8.4733895932113168E-2</v>
      </c>
      <c r="Z1264" s="27">
        <f t="shared" si="429"/>
        <v>8.5828465366834875E-2</v>
      </c>
      <c r="AA1264" s="27">
        <f t="shared" si="429"/>
        <v>8.6935834694674932E-2</v>
      </c>
      <c r="AB1264" s="27">
        <f t="shared" si="429"/>
        <v>8.8214344657231616E-2</v>
      </c>
      <c r="AC1264" s="27">
        <f t="shared" si="429"/>
        <v>8.9484030373768036E-2</v>
      </c>
      <c r="AD1264" s="27">
        <f t="shared" si="429"/>
        <v>9.1062581228130657E-2</v>
      </c>
      <c r="AE1264" s="27">
        <f t="shared" si="429"/>
        <v>9.2515752583830088E-2</v>
      </c>
      <c r="AF1264" s="27">
        <f t="shared" si="429"/>
        <v>9.4062043086931529E-2</v>
      </c>
      <c r="AG1264" s="27">
        <f t="shared" si="429"/>
        <v>9.5948315776645976E-2</v>
      </c>
      <c r="AH1264" s="27">
        <f t="shared" si="429"/>
        <v>9.7568003997154984E-2</v>
      </c>
      <c r="AI1264" s="27">
        <f t="shared" si="429"/>
        <v>9.931620819342124E-2</v>
      </c>
      <c r="AJ1264" s="27">
        <f t="shared" si="429"/>
        <v>0.10121358762042433</v>
      </c>
      <c r="AK1264" s="27">
        <f t="shared" si="429"/>
        <v>0.10279643211588628</v>
      </c>
      <c r="AL1264" s="27">
        <f t="shared" si="429"/>
        <v>0.10428080048635653</v>
      </c>
      <c r="AM1264" s="27">
        <f t="shared" si="429"/>
        <v>0.10567866446887142</v>
      </c>
      <c r="AN1264" s="27">
        <f t="shared" si="429"/>
        <v>0.10729272325925118</v>
      </c>
      <c r="AO1264" s="27">
        <f t="shared" si="429"/>
        <v>0.10869271119263345</v>
      </c>
      <c r="AP1264" s="27">
        <f t="shared" si="429"/>
        <v>0.110137854380135</v>
      </c>
      <c r="AQ1264" s="27">
        <f t="shared" si="429"/>
        <v>0.1116390532050176</v>
      </c>
      <c r="AR1264" s="27">
        <f t="shared" si="429"/>
        <v>0.11321509141175116</v>
      </c>
      <c r="AS1264" s="27">
        <f t="shared" si="429"/>
        <v>0.114870036037916</v>
      </c>
      <c r="AT1264" s="27">
        <f t="shared" si="429"/>
        <v>0.11386297950526468</v>
      </c>
      <c r="AU1264" s="27">
        <f t="shared" si="429"/>
        <v>0.11262319660921266</v>
      </c>
      <c r="AV1264" s="27">
        <f t="shared" si="429"/>
        <v>0.11105880605518059</v>
      </c>
      <c r="AW1264" s="27">
        <f t="shared" si="429"/>
        <v>0.1094176927215173</v>
      </c>
      <c r="AY1264" s="79"/>
      <c r="AZ1264" s="79"/>
    </row>
    <row r="1265" spans="1:52" x14ac:dyDescent="0.3">
      <c r="A1265" s="95" t="str">
        <f t="shared" si="384"/>
        <v>FSFAGSPQNIBDDSCM Swine MMN2O</v>
      </c>
      <c r="B1265" s="95" t="s">
        <v>1375</v>
      </c>
      <c r="C1265" s="95" t="s">
        <v>1233</v>
      </c>
      <c r="D1265" t="s">
        <v>15</v>
      </c>
      <c r="E1265" t="s">
        <v>657</v>
      </c>
      <c r="F1265" t="s">
        <v>21</v>
      </c>
      <c r="G1265" t="s">
        <v>123</v>
      </c>
      <c r="H1265" t="s">
        <v>1227</v>
      </c>
      <c r="I1265" t="s">
        <v>139</v>
      </c>
      <c r="J1265" t="s">
        <v>287</v>
      </c>
      <c r="K1265" s="27">
        <f t="shared" ref="K1265:AW1265" si="430">IFERROR(K1424-((K1424-K49)+(K1424-K202)+(K1424-K355)+(K1424-K507)+(K1424-K659)+(K1424-K810)+(K1424-K961)+(K1424-K1112)),0)</f>
        <v>3.8131055665722169E-2</v>
      </c>
      <c r="L1265" s="27">
        <f t="shared" si="430"/>
        <v>3.7923788015899962E-2</v>
      </c>
      <c r="M1265" s="27">
        <f t="shared" si="430"/>
        <v>3.7940799901590251E-2</v>
      </c>
      <c r="N1265" s="27">
        <f t="shared" si="430"/>
        <v>3.759247428451009E-2</v>
      </c>
      <c r="O1265" s="27">
        <f t="shared" si="430"/>
        <v>3.7023578211438569E-2</v>
      </c>
      <c r="P1265" s="27">
        <f t="shared" si="430"/>
        <v>3.6243206089281201E-2</v>
      </c>
      <c r="Q1265" s="27">
        <f t="shared" si="430"/>
        <v>3.567656938754183E-2</v>
      </c>
      <c r="R1265" s="27">
        <f t="shared" si="430"/>
        <v>3.5160072434777256E-2</v>
      </c>
      <c r="S1265" s="27">
        <f t="shared" si="430"/>
        <v>3.1044582551701744E-2</v>
      </c>
      <c r="T1265" s="27">
        <f t="shared" si="430"/>
        <v>3.1437162320852502E-2</v>
      </c>
      <c r="U1265" s="27">
        <f t="shared" si="430"/>
        <v>3.2279561440098872E-2</v>
      </c>
      <c r="V1265" s="27">
        <f t="shared" si="430"/>
        <v>3.2356046903749484E-2</v>
      </c>
      <c r="W1265" s="27">
        <f t="shared" si="430"/>
        <v>3.2521680425139969E-2</v>
      </c>
      <c r="X1265" s="27">
        <f t="shared" si="430"/>
        <v>3.2800168636601942E-2</v>
      </c>
      <c r="Y1265" s="27">
        <f t="shared" si="430"/>
        <v>3.314961567779854E-2</v>
      </c>
      <c r="Z1265" s="27">
        <f t="shared" si="430"/>
        <v>3.3577833402176044E-2</v>
      </c>
      <c r="AA1265" s="27">
        <f t="shared" si="430"/>
        <v>3.4011058703898145E-2</v>
      </c>
      <c r="AB1265" s="27">
        <f t="shared" si="430"/>
        <v>3.4511237686969419E-2</v>
      </c>
      <c r="AC1265" s="27">
        <f t="shared" si="430"/>
        <v>3.5007964446334923E-2</v>
      </c>
      <c r="AD1265" s="27">
        <f t="shared" si="430"/>
        <v>3.5625525501144749E-2</v>
      </c>
      <c r="AE1265" s="27">
        <f t="shared" si="430"/>
        <v>3.6194035557545495E-2</v>
      </c>
      <c r="AF1265" s="27">
        <f t="shared" si="430"/>
        <v>3.6798975709773488E-2</v>
      </c>
      <c r="AG1265" s="27">
        <f t="shared" si="430"/>
        <v>3.7536923776951441E-2</v>
      </c>
      <c r="AH1265" s="27">
        <f t="shared" si="430"/>
        <v>3.817057860229723E-2</v>
      </c>
      <c r="AI1265" s="27">
        <f t="shared" si="430"/>
        <v>3.8854511479394858E-2</v>
      </c>
      <c r="AJ1265" s="27">
        <f t="shared" si="430"/>
        <v>3.9596804727075885E-2</v>
      </c>
      <c r="AK1265" s="27">
        <f t="shared" si="430"/>
        <v>4.0216045541216196E-2</v>
      </c>
      <c r="AL1265" s="27">
        <f t="shared" si="430"/>
        <v>4.0796760501434604E-2</v>
      </c>
      <c r="AM1265" s="27">
        <f t="shared" si="430"/>
        <v>4.1343633193648956E-2</v>
      </c>
      <c r="AN1265" s="27">
        <f t="shared" si="430"/>
        <v>4.1975085671950317E-2</v>
      </c>
      <c r="AO1265" s="27">
        <f t="shared" si="430"/>
        <v>4.252278929674716E-2</v>
      </c>
      <c r="AP1265" s="27">
        <f t="shared" si="430"/>
        <v>4.3088158571204301E-2</v>
      </c>
      <c r="AQ1265" s="27">
        <f t="shared" si="430"/>
        <v>4.3675457945951471E-2</v>
      </c>
      <c r="AR1265" s="27">
        <f t="shared" si="430"/>
        <v>4.4292036002135757E-2</v>
      </c>
      <c r="AS1265" s="27">
        <f t="shared" si="430"/>
        <v>4.4939483847203046E-2</v>
      </c>
      <c r="AT1265" s="27">
        <f t="shared" si="430"/>
        <v>4.4545502941970565E-2</v>
      </c>
      <c r="AU1265" s="27">
        <f t="shared" si="430"/>
        <v>4.4060474771414608E-2</v>
      </c>
      <c r="AV1265" s="27">
        <f t="shared" si="430"/>
        <v>4.3448453512794687E-2</v>
      </c>
      <c r="AW1265" s="27">
        <f t="shared" si="430"/>
        <v>4.2806416749393235E-2</v>
      </c>
      <c r="AY1265" s="79"/>
      <c r="AZ1265" s="79"/>
    </row>
    <row r="1266" spans="1:52" x14ac:dyDescent="0.3">
      <c r="A1266" s="95" t="str">
        <f t="shared" si="384"/>
        <v>FSFAGSPQNIBDDSCM Poultry MMN2O</v>
      </c>
      <c r="B1266" s="95" t="s">
        <v>1375</v>
      </c>
      <c r="C1266" s="95" t="s">
        <v>1234</v>
      </c>
      <c r="D1266" t="s">
        <v>15</v>
      </c>
      <c r="E1266" t="s">
        <v>657</v>
      </c>
      <c r="F1266" t="s">
        <v>28</v>
      </c>
      <c r="G1266" t="s">
        <v>131</v>
      </c>
      <c r="H1266" t="s">
        <v>1227</v>
      </c>
      <c r="I1266" t="s">
        <v>139</v>
      </c>
      <c r="J1266" t="s">
        <v>287</v>
      </c>
      <c r="K1266" s="27">
        <f t="shared" ref="K1266:AW1266" si="431">IFERROR(K1425-((K1425-K50)+(K1425-K203)+(K1425-K356)+(K1425-K508)+(K1425-K660)+(K1425-K811)+(K1425-K962)+(K1425-K1113)),0)</f>
        <v>0.32784224726088984</v>
      </c>
      <c r="L1266" s="27">
        <f t="shared" si="431"/>
        <v>0.33450793008613733</v>
      </c>
      <c r="M1266" s="27">
        <f t="shared" si="431"/>
        <v>0.34229948156355033</v>
      </c>
      <c r="N1266" s="27">
        <f t="shared" si="431"/>
        <v>0.34828124731402299</v>
      </c>
      <c r="O1266" s="27">
        <f t="shared" si="431"/>
        <v>0.35308310351311478</v>
      </c>
      <c r="P1266" s="27">
        <f t="shared" si="431"/>
        <v>0.3566764932045714</v>
      </c>
      <c r="Q1266" s="27">
        <f t="shared" si="431"/>
        <v>0.36128421068096001</v>
      </c>
      <c r="R1266" s="27">
        <f t="shared" si="431"/>
        <v>0.36607496135357964</v>
      </c>
      <c r="S1266" s="27">
        <f t="shared" si="431"/>
        <v>0.34978148195901088</v>
      </c>
      <c r="T1266" s="27">
        <f t="shared" si="431"/>
        <v>0.35848748777612982</v>
      </c>
      <c r="U1266" s="27">
        <f t="shared" si="431"/>
        <v>0.37008968221816879</v>
      </c>
      <c r="V1266" s="27">
        <f t="shared" si="431"/>
        <v>0.37718532914997255</v>
      </c>
      <c r="W1266" s="27">
        <f t="shared" si="431"/>
        <v>0.38492114207778078</v>
      </c>
      <c r="X1266" s="27">
        <f t="shared" si="431"/>
        <v>0.39349286127913036</v>
      </c>
      <c r="Y1266" s="27">
        <f t="shared" si="431"/>
        <v>0.40234632670513226</v>
      </c>
      <c r="Z1266" s="27">
        <f t="shared" si="431"/>
        <v>0.41188861015823597</v>
      </c>
      <c r="AA1266" s="27">
        <f t="shared" si="431"/>
        <v>0.42164548581932815</v>
      </c>
      <c r="AB1266" s="27">
        <f t="shared" si="431"/>
        <v>0.43206316644832626</v>
      </c>
      <c r="AC1266" s="27">
        <f t="shared" si="431"/>
        <v>0.44266638237250944</v>
      </c>
      <c r="AD1266" s="27">
        <f t="shared" si="431"/>
        <v>0.45410654796286065</v>
      </c>
      <c r="AE1266" s="27">
        <f t="shared" si="431"/>
        <v>0.46542858130344616</v>
      </c>
      <c r="AF1266" s="27">
        <f t="shared" si="431"/>
        <v>0.4772730257801403</v>
      </c>
      <c r="AG1266" s="27">
        <f t="shared" si="431"/>
        <v>0.49041871120833058</v>
      </c>
      <c r="AH1266" s="27">
        <f t="shared" si="431"/>
        <v>0.50303895207575822</v>
      </c>
      <c r="AI1266" s="27">
        <f t="shared" si="431"/>
        <v>0.51609032389809528</v>
      </c>
      <c r="AJ1266" s="27">
        <f t="shared" si="431"/>
        <v>0.52992686464312622</v>
      </c>
      <c r="AK1266" s="27">
        <f t="shared" si="431"/>
        <v>0.54305058530896999</v>
      </c>
      <c r="AL1266" s="27">
        <f t="shared" si="431"/>
        <v>0.55613853749065978</v>
      </c>
      <c r="AM1266" s="27">
        <f t="shared" si="431"/>
        <v>0.56922083138232038</v>
      </c>
      <c r="AN1266" s="27">
        <f t="shared" si="431"/>
        <v>0.58310052249970834</v>
      </c>
      <c r="AO1266" s="27">
        <f t="shared" si="431"/>
        <v>0.59653826788660902</v>
      </c>
      <c r="AP1266" s="27">
        <f t="shared" si="431"/>
        <v>0.61044136643017999</v>
      </c>
      <c r="AQ1266" s="27">
        <f t="shared" si="431"/>
        <v>0.62486785679849377</v>
      </c>
      <c r="AR1266" s="27">
        <f t="shared" si="431"/>
        <v>0.6399091004524019</v>
      </c>
      <c r="AS1266" s="27">
        <f t="shared" si="431"/>
        <v>0.65535203493771454</v>
      </c>
      <c r="AT1266" s="27">
        <f t="shared" si="431"/>
        <v>0.66076114760241544</v>
      </c>
      <c r="AU1266" s="27">
        <f t="shared" si="431"/>
        <v>0.6652412101856594</v>
      </c>
      <c r="AV1266" s="27">
        <f t="shared" si="431"/>
        <v>0.66836980562393489</v>
      </c>
      <c r="AW1266" s="27">
        <f t="shared" si="431"/>
        <v>0.67109822940167552</v>
      </c>
      <c r="AY1266" s="79"/>
      <c r="AZ1266" s="79"/>
    </row>
    <row r="1267" spans="1:52" x14ac:dyDescent="0.3">
      <c r="A1267" s="95" t="str">
        <f t="shared" si="384"/>
        <v>FSFAGSPQNIBDDSCM Poultry MMN2O</v>
      </c>
      <c r="B1267" s="95" t="s">
        <v>1375</v>
      </c>
      <c r="C1267" s="95" t="s">
        <v>1234</v>
      </c>
      <c r="D1267" t="s">
        <v>15</v>
      </c>
      <c r="E1267" t="s">
        <v>657</v>
      </c>
      <c r="F1267" t="s">
        <v>28</v>
      </c>
      <c r="G1267" t="s">
        <v>132</v>
      </c>
      <c r="H1267" t="s">
        <v>1227</v>
      </c>
      <c r="I1267" t="s">
        <v>139</v>
      </c>
      <c r="J1267" t="s">
        <v>287</v>
      </c>
      <c r="K1267" s="27">
        <f t="shared" ref="K1267:AW1267" si="432">IFERROR(K1426-((K1426-K51)+(K1426-K204)+(K1426-K357)+(K1426-K509)+(K1426-K661)+(K1426-K812)+(K1426-K963)+(K1426-K1114)),0)</f>
        <v>1.7017151675634961</v>
      </c>
      <c r="L1267" s="27">
        <f t="shared" si="432"/>
        <v>1.7241237147327637</v>
      </c>
      <c r="M1267" s="27">
        <f t="shared" si="432"/>
        <v>1.7601182693498112</v>
      </c>
      <c r="N1267" s="27">
        <f t="shared" si="432"/>
        <v>1.7704533576020511</v>
      </c>
      <c r="O1267" s="27">
        <f t="shared" si="432"/>
        <v>1.7641159598844758</v>
      </c>
      <c r="P1267" s="27">
        <f t="shared" si="432"/>
        <v>1.7411735022142167</v>
      </c>
      <c r="Q1267" s="27">
        <f t="shared" si="432"/>
        <v>1.7315152516158574</v>
      </c>
      <c r="R1267" s="27">
        <f t="shared" si="432"/>
        <v>1.7240481490859689</v>
      </c>
      <c r="S1267" s="27">
        <f t="shared" si="432"/>
        <v>1.4532830978859241</v>
      </c>
      <c r="T1267" s="27">
        <f t="shared" si="432"/>
        <v>1.5108401757769072</v>
      </c>
      <c r="U1267" s="27">
        <f t="shared" si="432"/>
        <v>1.6026975713108973</v>
      </c>
      <c r="V1267" s="27">
        <f t="shared" si="432"/>
        <v>1.6381096535545392</v>
      </c>
      <c r="W1267" s="27">
        <f t="shared" si="432"/>
        <v>1.6804870298806631</v>
      </c>
      <c r="X1267" s="27">
        <f t="shared" si="432"/>
        <v>1.7319826837322108</v>
      </c>
      <c r="Y1267" s="27">
        <f t="shared" si="432"/>
        <v>1.7911150071638293</v>
      </c>
      <c r="Z1267" s="27">
        <f t="shared" si="432"/>
        <v>1.8573343362727066</v>
      </c>
      <c r="AA1267" s="27">
        <f t="shared" si="432"/>
        <v>1.9249598687101048</v>
      </c>
      <c r="AB1267" s="27">
        <f t="shared" si="432"/>
        <v>1.9991243799858327</v>
      </c>
      <c r="AC1267" s="27">
        <f t="shared" si="432"/>
        <v>2.0742398218726938</v>
      </c>
      <c r="AD1267" s="27">
        <f t="shared" si="432"/>
        <v>2.1619281930421144</v>
      </c>
      <c r="AE1267" s="27">
        <f t="shared" si="432"/>
        <v>2.2470253789888299</v>
      </c>
      <c r="AF1267" s="27">
        <f t="shared" si="432"/>
        <v>2.3367898663962117</v>
      </c>
      <c r="AG1267" s="27">
        <f t="shared" si="432"/>
        <v>2.4398215935835355</v>
      </c>
      <c r="AH1267" s="27">
        <f t="shared" si="432"/>
        <v>2.5356369121252129</v>
      </c>
      <c r="AI1267" s="27">
        <f t="shared" si="432"/>
        <v>2.6388473537770931</v>
      </c>
      <c r="AJ1267" s="27">
        <f t="shared" si="432"/>
        <v>2.7493497662491455</v>
      </c>
      <c r="AK1267" s="27">
        <f t="shared" si="432"/>
        <v>2.8507479876559225</v>
      </c>
      <c r="AL1267" s="27">
        <f t="shared" si="432"/>
        <v>2.9505347719846347</v>
      </c>
      <c r="AM1267" s="27">
        <f t="shared" si="432"/>
        <v>3.0490743865158891</v>
      </c>
      <c r="AN1267" s="27">
        <f t="shared" si="432"/>
        <v>3.1585813861709466</v>
      </c>
      <c r="AO1267" s="27">
        <f t="shared" si="432"/>
        <v>3.2621852632226234</v>
      </c>
      <c r="AP1267" s="27">
        <f t="shared" si="432"/>
        <v>3.3695643404472522</v>
      </c>
      <c r="AQ1267" s="27">
        <f t="shared" si="432"/>
        <v>3.4812725080530544</v>
      </c>
      <c r="AR1267" s="27">
        <f t="shared" si="432"/>
        <v>3.5981993154978791</v>
      </c>
      <c r="AS1267" s="27">
        <f t="shared" si="432"/>
        <v>3.7216722091838785</v>
      </c>
      <c r="AT1267" s="27">
        <f t="shared" si="432"/>
        <v>3.7404703249321303</v>
      </c>
      <c r="AU1267" s="27">
        <f t="shared" si="432"/>
        <v>3.749641300046322</v>
      </c>
      <c r="AV1267" s="27">
        <f t="shared" si="432"/>
        <v>3.7450255667820502</v>
      </c>
      <c r="AW1267" s="27">
        <f t="shared" si="432"/>
        <v>3.7364851229908305</v>
      </c>
      <c r="AY1267" s="79"/>
      <c r="AZ1267" s="79"/>
    </row>
    <row r="1268" spans="1:52" x14ac:dyDescent="0.3">
      <c r="A1268" s="95" t="str">
        <f t="shared" si="384"/>
        <v>FSFAGSPQNIBDDSCM Poultry MMN2O</v>
      </c>
      <c r="B1268" s="95" t="s">
        <v>1375</v>
      </c>
      <c r="C1268" s="95" t="s">
        <v>1234</v>
      </c>
      <c r="D1268" t="s">
        <v>15</v>
      </c>
      <c r="E1268" t="s">
        <v>657</v>
      </c>
      <c r="F1268" t="s">
        <v>28</v>
      </c>
      <c r="G1268" t="s">
        <v>134</v>
      </c>
      <c r="H1268" t="s">
        <v>1227</v>
      </c>
      <c r="I1268" t="s">
        <v>139</v>
      </c>
      <c r="J1268" t="s">
        <v>287</v>
      </c>
      <c r="K1268" s="27">
        <f t="shared" ref="K1268:AW1268" si="433">IFERROR(K1427-((K1427-K52)+(K1427-K205)+(K1427-K358)+(K1427-K510)+(K1427-K662)+(K1427-K813)+(K1427-K964)+(K1427-K1115)),0)</f>
        <v>1.3660093635870424E-2</v>
      </c>
      <c r="L1268" s="27">
        <f t="shared" si="433"/>
        <v>1.3937830420255735E-2</v>
      </c>
      <c r="M1268" s="27">
        <f t="shared" si="433"/>
        <v>1.4262478398481276E-2</v>
      </c>
      <c r="N1268" s="27">
        <f t="shared" si="433"/>
        <v>1.4511718638084306E-2</v>
      </c>
      <c r="O1268" s="27">
        <f t="shared" si="433"/>
        <v>1.4711795979713132E-2</v>
      </c>
      <c r="P1268" s="27">
        <f t="shared" si="433"/>
        <v>1.4861520550190493E-2</v>
      </c>
      <c r="Q1268" s="27">
        <f t="shared" si="433"/>
        <v>1.5053508778373347E-2</v>
      </c>
      <c r="R1268" s="27">
        <f t="shared" si="433"/>
        <v>1.5253123389732504E-2</v>
      </c>
      <c r="S1268" s="27">
        <f t="shared" si="433"/>
        <v>1.45742284149588E-2</v>
      </c>
      <c r="T1268" s="27">
        <f t="shared" si="433"/>
        <v>1.4936978657338758E-2</v>
      </c>
      <c r="U1268" s="27">
        <f t="shared" si="433"/>
        <v>1.5420403425757045E-2</v>
      </c>
      <c r="V1268" s="27">
        <f t="shared" si="433"/>
        <v>1.5716055381248869E-2</v>
      </c>
      <c r="W1268" s="27">
        <f t="shared" si="433"/>
        <v>1.6038380919907547E-2</v>
      </c>
      <c r="X1268" s="27">
        <f t="shared" si="433"/>
        <v>1.6395535886630449E-2</v>
      </c>
      <c r="Y1268" s="27">
        <f t="shared" si="433"/>
        <v>1.6764430279380526E-2</v>
      </c>
      <c r="Z1268" s="27">
        <f t="shared" si="433"/>
        <v>1.7162025423259852E-2</v>
      </c>
      <c r="AA1268" s="27">
        <f t="shared" si="433"/>
        <v>1.7568561909138691E-2</v>
      </c>
      <c r="AB1268" s="27">
        <f t="shared" si="433"/>
        <v>1.8002631935346944E-2</v>
      </c>
      <c r="AC1268" s="27">
        <f t="shared" si="433"/>
        <v>1.8444432598854574E-2</v>
      </c>
      <c r="AD1268" s="27">
        <f t="shared" si="433"/>
        <v>1.8921106165119213E-2</v>
      </c>
      <c r="AE1268" s="27">
        <f t="shared" si="433"/>
        <v>1.9392857554310274E-2</v>
      </c>
      <c r="AF1268" s="27">
        <f t="shared" si="433"/>
        <v>1.988637607417253E-2</v>
      </c>
      <c r="AG1268" s="27">
        <f t="shared" si="433"/>
        <v>2.0434112967013793E-2</v>
      </c>
      <c r="AH1268" s="27">
        <f t="shared" si="433"/>
        <v>2.0959956336489938E-2</v>
      </c>
      <c r="AI1268" s="27">
        <f t="shared" si="433"/>
        <v>2.1503763495753996E-2</v>
      </c>
      <c r="AJ1268" s="27">
        <f t="shared" si="433"/>
        <v>2.2080286026796948E-2</v>
      </c>
      <c r="AK1268" s="27">
        <f t="shared" si="433"/>
        <v>2.2627107721207101E-2</v>
      </c>
      <c r="AL1268" s="27">
        <f t="shared" si="433"/>
        <v>2.3172439062110847E-2</v>
      </c>
      <c r="AM1268" s="27">
        <f t="shared" si="433"/>
        <v>2.371753464093004E-2</v>
      </c>
      <c r="AN1268" s="27">
        <f t="shared" si="433"/>
        <v>2.4295855104154534E-2</v>
      </c>
      <c r="AO1268" s="27">
        <f t="shared" si="433"/>
        <v>2.4855761161942075E-2</v>
      </c>
      <c r="AP1268" s="27">
        <f t="shared" si="433"/>
        <v>2.5435056934590854E-2</v>
      </c>
      <c r="AQ1268" s="27">
        <f t="shared" si="433"/>
        <v>2.6036160699937267E-2</v>
      </c>
      <c r="AR1268" s="27">
        <f t="shared" si="433"/>
        <v>2.6662879185516769E-2</v>
      </c>
      <c r="AS1268" s="27">
        <f t="shared" si="433"/>
        <v>2.7306334789071466E-2</v>
      </c>
      <c r="AT1268" s="27">
        <f t="shared" si="433"/>
        <v>2.7531714483434007E-2</v>
      </c>
      <c r="AU1268" s="27">
        <f t="shared" si="433"/>
        <v>2.7718383757735835E-2</v>
      </c>
      <c r="AV1268" s="27">
        <f t="shared" si="433"/>
        <v>2.7848741900997311E-2</v>
      </c>
      <c r="AW1268" s="27">
        <f t="shared" si="433"/>
        <v>2.7962426225069836E-2</v>
      </c>
      <c r="AY1268" s="79"/>
      <c r="AZ1268" s="79"/>
    </row>
    <row r="1269" spans="1:52" x14ac:dyDescent="0.3">
      <c r="A1269" s="95" t="str">
        <f t="shared" si="384"/>
        <v>FSFAGSPQNIBDDSCM Poultry MMN2O</v>
      </c>
      <c r="B1269" s="95" t="s">
        <v>1375</v>
      </c>
      <c r="C1269" s="95" t="s">
        <v>1234</v>
      </c>
      <c r="D1269" t="s">
        <v>15</v>
      </c>
      <c r="E1269" t="s">
        <v>657</v>
      </c>
      <c r="F1269" t="s">
        <v>28</v>
      </c>
      <c r="G1269" t="s">
        <v>133</v>
      </c>
      <c r="H1269" t="s">
        <v>1227</v>
      </c>
      <c r="I1269" t="s">
        <v>139</v>
      </c>
      <c r="J1269" t="s">
        <v>287</v>
      </c>
      <c r="K1269" s="27">
        <f t="shared" ref="K1269:AW1269" si="434">IFERROR(K1428-((K1428-K53)+(K1428-K206)+(K1428-K359)+(K1428-K511)+(K1428-K663)+(K1428-K814)+(K1428-K965)+(K1428-K1116)),0)</f>
        <v>7.0904798648479067E-2</v>
      </c>
      <c r="L1269" s="27">
        <f t="shared" si="434"/>
        <v>7.1838488113865229E-2</v>
      </c>
      <c r="M1269" s="27">
        <f t="shared" si="434"/>
        <v>7.333826122290886E-2</v>
      </c>
      <c r="N1269" s="27">
        <f t="shared" si="434"/>
        <v>7.3768889900085552E-2</v>
      </c>
      <c r="O1269" s="27">
        <f t="shared" si="434"/>
        <v>7.3504831661853232E-2</v>
      </c>
      <c r="P1269" s="27">
        <f t="shared" si="434"/>
        <v>7.2548895925592424E-2</v>
      </c>
      <c r="Q1269" s="27">
        <f t="shared" si="434"/>
        <v>7.2146468817327461E-2</v>
      </c>
      <c r="R1269" s="27">
        <f t="shared" si="434"/>
        <v>7.1835339545248775E-2</v>
      </c>
      <c r="S1269" s="27">
        <f t="shared" si="434"/>
        <v>6.0553462411913554E-2</v>
      </c>
      <c r="T1269" s="27">
        <f t="shared" si="434"/>
        <v>6.2951673990704532E-2</v>
      </c>
      <c r="U1269" s="27">
        <f t="shared" si="434"/>
        <v>6.6779065471287438E-2</v>
      </c>
      <c r="V1269" s="27">
        <f t="shared" si="434"/>
        <v>6.8254568898105869E-2</v>
      </c>
      <c r="W1269" s="27">
        <f t="shared" si="434"/>
        <v>7.0020292911694371E-2</v>
      </c>
      <c r="X1269" s="27">
        <f t="shared" si="434"/>
        <v>7.2165945155508851E-2</v>
      </c>
      <c r="Y1269" s="27">
        <f t="shared" si="434"/>
        <v>7.4629791965159634E-2</v>
      </c>
      <c r="Z1269" s="27">
        <f t="shared" si="434"/>
        <v>7.738893067802953E-2</v>
      </c>
      <c r="AA1269" s="27">
        <f t="shared" si="434"/>
        <v>8.0206661196254428E-2</v>
      </c>
      <c r="AB1269" s="27">
        <f t="shared" si="434"/>
        <v>8.3296849166076437E-2</v>
      </c>
      <c r="AC1269" s="27">
        <f t="shared" si="434"/>
        <v>8.6426659244695656E-2</v>
      </c>
      <c r="AD1269" s="27">
        <f t="shared" si="434"/>
        <v>9.0080341376754844E-2</v>
      </c>
      <c r="AE1269" s="27">
        <f t="shared" si="434"/>
        <v>9.3626057457867992E-2</v>
      </c>
      <c r="AF1269" s="27">
        <f t="shared" si="434"/>
        <v>9.7366244433175556E-2</v>
      </c>
      <c r="AG1269" s="27">
        <f t="shared" si="434"/>
        <v>0.10165923306598072</v>
      </c>
      <c r="AH1269" s="27">
        <f t="shared" si="434"/>
        <v>0.10565153800521729</v>
      </c>
      <c r="AI1269" s="27">
        <f t="shared" si="434"/>
        <v>0.10995197307404567</v>
      </c>
      <c r="AJ1269" s="27">
        <f t="shared" si="434"/>
        <v>0.11455624026038116</v>
      </c>
      <c r="AK1269" s="27">
        <f t="shared" si="434"/>
        <v>0.11878116615233021</v>
      </c>
      <c r="AL1269" s="27">
        <f t="shared" si="434"/>
        <v>0.12293894883269324</v>
      </c>
      <c r="AM1269" s="27">
        <f t="shared" si="434"/>
        <v>0.12704476610482884</v>
      </c>
      <c r="AN1269" s="27">
        <f t="shared" si="434"/>
        <v>0.13160755775712291</v>
      </c>
      <c r="AO1269" s="27">
        <f t="shared" si="434"/>
        <v>0.13592438596760945</v>
      </c>
      <c r="AP1269" s="27">
        <f t="shared" si="434"/>
        <v>0.14039851418530233</v>
      </c>
      <c r="AQ1269" s="27">
        <f t="shared" si="434"/>
        <v>0.14505302116887739</v>
      </c>
      <c r="AR1269" s="27">
        <f t="shared" si="434"/>
        <v>0.14992497147907843</v>
      </c>
      <c r="AS1269" s="27">
        <f t="shared" si="434"/>
        <v>0.15506967538266181</v>
      </c>
      <c r="AT1269" s="27">
        <f t="shared" si="434"/>
        <v>0.15585293020550561</v>
      </c>
      <c r="AU1269" s="27">
        <f t="shared" si="434"/>
        <v>0.1562350541685969</v>
      </c>
      <c r="AV1269" s="27">
        <f t="shared" si="434"/>
        <v>0.15604273194925225</v>
      </c>
      <c r="AW1269" s="27">
        <f t="shared" si="434"/>
        <v>0.15568688012461812</v>
      </c>
      <c r="AY1269" s="79"/>
      <c r="AZ1269" s="79"/>
    </row>
    <row r="1270" spans="1:52" x14ac:dyDescent="0.3">
      <c r="A1270" s="95" t="str">
        <f t="shared" si="384"/>
        <v>FSFAGSPQNIBDDSCM Synthetic</v>
      </c>
      <c r="B1270" s="95" t="s">
        <v>1375</v>
      </c>
      <c r="C1270" s="95" t="s">
        <v>1126</v>
      </c>
      <c r="D1270" t="s">
        <v>369</v>
      </c>
      <c r="E1270" t="s">
        <v>55</v>
      </c>
      <c r="H1270" t="s">
        <v>419</v>
      </c>
      <c r="I1270" t="s">
        <v>139</v>
      </c>
      <c r="J1270" t="s">
        <v>287</v>
      </c>
      <c r="K1270" s="27">
        <f t="shared" ref="K1270:AW1270" si="435">IFERROR(K1463-((K1463-K54)+(K1463-K207)+(K1463-K360)+(K1463-K512)+(K1463-K664)+(K1463-K815)+(K1463-K966)+(K1463-K1117)),0)</f>
        <v>6.6064812063358538</v>
      </c>
      <c r="L1270" s="27">
        <f t="shared" si="435"/>
        <v>6.6058242184852958</v>
      </c>
      <c r="M1270" s="27">
        <f t="shared" si="435"/>
        <v>6.6046196765835479</v>
      </c>
      <c r="N1270" s="27">
        <f t="shared" si="435"/>
        <v>6.6031799495417181</v>
      </c>
      <c r="O1270" s="27">
        <f t="shared" si="435"/>
        <v>6.6022073532502725</v>
      </c>
      <c r="P1270" s="27">
        <f t="shared" si="435"/>
        <v>6.6015380384919204</v>
      </c>
      <c r="Q1270" s="27">
        <f t="shared" si="435"/>
        <v>6.6011715236312982</v>
      </c>
      <c r="R1270" s="27">
        <f t="shared" si="435"/>
        <v>6.6005785698707236</v>
      </c>
      <c r="S1270" s="27">
        <f t="shared" si="435"/>
        <v>6.599955716072432</v>
      </c>
      <c r="T1270" s="27">
        <f t="shared" si="435"/>
        <v>6.6042852126323481</v>
      </c>
      <c r="U1270" s="27">
        <f t="shared" si="435"/>
        <v>6.6025684208058211</v>
      </c>
      <c r="V1270" s="27">
        <f t="shared" si="435"/>
        <v>6.6002252909433183</v>
      </c>
      <c r="W1270" s="27">
        <f t="shared" si="435"/>
        <v>6.598966168189885</v>
      </c>
      <c r="X1270" s="27">
        <f t="shared" si="435"/>
        <v>6.597589047711292</v>
      </c>
      <c r="Y1270" s="27">
        <f t="shared" si="435"/>
        <v>6.5960579609281904</v>
      </c>
      <c r="Z1270" s="27">
        <f t="shared" si="435"/>
        <v>6.5944507555305236</v>
      </c>
      <c r="AA1270" s="27">
        <f t="shared" si="435"/>
        <v>6.5927354812209922</v>
      </c>
      <c r="AB1270" s="27">
        <f t="shared" si="435"/>
        <v>6.5910165055066825</v>
      </c>
      <c r="AC1270" s="27">
        <f t="shared" si="435"/>
        <v>6.589206056061478</v>
      </c>
      <c r="AD1270" s="27">
        <f t="shared" si="435"/>
        <v>6.5874036822299606</v>
      </c>
      <c r="AE1270" s="27">
        <f t="shared" si="435"/>
        <v>6.5854496085579246</v>
      </c>
      <c r="AF1270" s="27">
        <f t="shared" si="435"/>
        <v>6.5835675614397218</v>
      </c>
      <c r="AG1270" s="27">
        <f t="shared" si="435"/>
        <v>6.5816378763594336</v>
      </c>
      <c r="AH1270" s="27">
        <f t="shared" si="435"/>
        <v>6.5795282781002431</v>
      </c>
      <c r="AI1270" s="27">
        <f t="shared" si="435"/>
        <v>6.5775665224366495</v>
      </c>
      <c r="AJ1270" s="27">
        <f t="shared" si="435"/>
        <v>6.5755521924304867</v>
      </c>
      <c r="AK1270" s="27">
        <f t="shared" si="435"/>
        <v>6.573462792654313</v>
      </c>
      <c r="AL1270" s="27">
        <f t="shared" si="435"/>
        <v>6.5715425101563261</v>
      </c>
      <c r="AM1270" s="27">
        <f t="shared" si="435"/>
        <v>6.5696756052718408</v>
      </c>
      <c r="AN1270" s="27">
        <f t="shared" si="435"/>
        <v>6.5678548596880235</v>
      </c>
      <c r="AO1270" s="27">
        <f t="shared" si="435"/>
        <v>6.5659337062591927</v>
      </c>
      <c r="AP1270" s="27">
        <f t="shared" si="435"/>
        <v>6.564123592040632</v>
      </c>
      <c r="AQ1270" s="27">
        <f t="shared" si="435"/>
        <v>6.5622903638449301</v>
      </c>
      <c r="AR1270" s="27">
        <f t="shared" si="435"/>
        <v>6.5604286486377719</v>
      </c>
      <c r="AS1270" s="27">
        <f t="shared" si="435"/>
        <v>6.5585292511260116</v>
      </c>
      <c r="AT1270" s="27">
        <f t="shared" si="435"/>
        <v>6.5566000956326942</v>
      </c>
      <c r="AU1270" s="27">
        <f t="shared" si="435"/>
        <v>6.5560073347552805</v>
      </c>
      <c r="AV1270" s="27">
        <f t="shared" si="435"/>
        <v>6.5555391486602428</v>
      </c>
      <c r="AW1270" s="27">
        <f t="shared" si="435"/>
        <v>6.5552474687649953</v>
      </c>
      <c r="AY1270" s="79"/>
      <c r="AZ1270" s="79"/>
    </row>
    <row r="1271" spans="1:52" x14ac:dyDescent="0.3">
      <c r="A1271" s="95" t="str">
        <f t="shared" si="384"/>
        <v>FSFAGSPQNIBDDSCM Organic</v>
      </c>
      <c r="B1271" s="95" t="s">
        <v>1375</v>
      </c>
      <c r="C1271" s="95" t="s">
        <v>1127</v>
      </c>
      <c r="D1271" t="s">
        <v>369</v>
      </c>
      <c r="E1271" t="s">
        <v>55</v>
      </c>
      <c r="H1271" t="s">
        <v>420</v>
      </c>
      <c r="I1271" t="s">
        <v>139</v>
      </c>
      <c r="J1271" t="s">
        <v>287</v>
      </c>
      <c r="K1271" s="27">
        <f t="shared" ref="K1271:AW1271" si="436">IFERROR(K1464-((K1464-K55)+(K1464-K208)+(K1464-K361)+(K1464-K513)+(K1464-K665)+(K1464-K816)+(K1464-K967)+(K1464-K1118)),0)</f>
        <v>4.3602775961816637E-2</v>
      </c>
      <c r="L1271" s="27">
        <f t="shared" si="436"/>
        <v>4.3598439842002956E-2</v>
      </c>
      <c r="M1271" s="27">
        <f t="shared" si="436"/>
        <v>4.3590489865451415E-2</v>
      </c>
      <c r="N1271" s="27">
        <f t="shared" si="436"/>
        <v>4.3580987666975365E-2</v>
      </c>
      <c r="O1271" s="27">
        <f t="shared" si="436"/>
        <v>4.3574568531451807E-2</v>
      </c>
      <c r="P1271" s="27">
        <f t="shared" si="436"/>
        <v>4.3570151054046678E-2</v>
      </c>
      <c r="Q1271" s="27">
        <f t="shared" si="436"/>
        <v>4.356773205596657E-2</v>
      </c>
      <c r="R1271" s="27">
        <f t="shared" si="436"/>
        <v>4.3563818561146786E-2</v>
      </c>
      <c r="S1271" s="27">
        <f t="shared" si="436"/>
        <v>4.3559707726078062E-2</v>
      </c>
      <c r="T1271" s="27">
        <f t="shared" si="436"/>
        <v>4.3588282403373507E-2</v>
      </c>
      <c r="U1271" s="27">
        <f t="shared" si="436"/>
        <v>4.3576951577318432E-2</v>
      </c>
      <c r="V1271" s="27">
        <f t="shared" si="436"/>
        <v>4.356148692022592E-2</v>
      </c>
      <c r="W1271" s="27">
        <f t="shared" si="436"/>
        <v>4.3553176710053244E-2</v>
      </c>
      <c r="X1271" s="27">
        <f t="shared" si="436"/>
        <v>4.3544087714894535E-2</v>
      </c>
      <c r="Y1271" s="27">
        <f t="shared" si="436"/>
        <v>4.3533982542126072E-2</v>
      </c>
      <c r="Z1271" s="27">
        <f t="shared" si="436"/>
        <v>4.3523374986501467E-2</v>
      </c>
      <c r="AA1271" s="27">
        <f t="shared" si="436"/>
        <v>4.3512054176058558E-2</v>
      </c>
      <c r="AB1271" s="27">
        <f t="shared" si="436"/>
        <v>4.3500708936344119E-2</v>
      </c>
      <c r="AC1271" s="27">
        <f t="shared" si="436"/>
        <v>4.3488759970005758E-2</v>
      </c>
      <c r="AD1271" s="27">
        <f t="shared" si="436"/>
        <v>4.3476864302717751E-2</v>
      </c>
      <c r="AE1271" s="27">
        <f t="shared" si="436"/>
        <v>4.3463967416482306E-2</v>
      </c>
      <c r="AF1271" s="27">
        <f t="shared" si="436"/>
        <v>4.3451545905502167E-2</v>
      </c>
      <c r="AG1271" s="27">
        <f t="shared" si="436"/>
        <v>4.3438809983972274E-2</v>
      </c>
      <c r="AH1271" s="27">
        <f t="shared" si="436"/>
        <v>4.342488663546161E-2</v>
      </c>
      <c r="AI1271" s="27">
        <f t="shared" si="436"/>
        <v>4.3411939048081889E-2</v>
      </c>
      <c r="AJ1271" s="27">
        <f t="shared" si="436"/>
        <v>4.3398644470041221E-2</v>
      </c>
      <c r="AK1271" s="27">
        <f t="shared" si="436"/>
        <v>4.3384854431518481E-2</v>
      </c>
      <c r="AL1271" s="27">
        <f t="shared" si="436"/>
        <v>4.3372180567031765E-2</v>
      </c>
      <c r="AM1271" s="27">
        <f t="shared" si="436"/>
        <v>4.3359858994794151E-2</v>
      </c>
      <c r="AN1271" s="27">
        <f t="shared" si="436"/>
        <v>4.3347842073940955E-2</v>
      </c>
      <c r="AO1271" s="27">
        <f t="shared" si="436"/>
        <v>4.3335162461310681E-2</v>
      </c>
      <c r="AP1271" s="27">
        <f t="shared" si="436"/>
        <v>4.3323215707468173E-2</v>
      </c>
      <c r="AQ1271" s="27">
        <f t="shared" si="436"/>
        <v>4.3311116401376547E-2</v>
      </c>
      <c r="AR1271" s="27">
        <f t="shared" si="436"/>
        <v>4.32988290810093E-2</v>
      </c>
      <c r="AS1271" s="27">
        <f t="shared" si="436"/>
        <v>4.3286293057431681E-2</v>
      </c>
      <c r="AT1271" s="27">
        <f t="shared" si="436"/>
        <v>4.3273560631175802E-2</v>
      </c>
      <c r="AU1271" s="27">
        <f t="shared" si="436"/>
        <v>4.326964840938486E-2</v>
      </c>
      <c r="AV1271" s="27">
        <f t="shared" si="436"/>
        <v>4.3266558381157602E-2</v>
      </c>
      <c r="AW1271" s="27">
        <f t="shared" si="436"/>
        <v>4.326463329384897E-2</v>
      </c>
      <c r="AY1271" s="79"/>
      <c r="AZ1271" s="79"/>
    </row>
    <row r="1272" spans="1:52" x14ac:dyDescent="0.3">
      <c r="A1272" s="95" t="str">
        <f t="shared" si="384"/>
        <v>FSFAGSPQNIBDDSCM Crop residues</v>
      </c>
      <c r="B1272" s="95" t="s">
        <v>1375</v>
      </c>
      <c r="C1272" s="95" t="s">
        <v>58</v>
      </c>
      <c r="D1272" t="str">
        <f t="shared" ref="D1272" si="437">D1271</f>
        <v>3C Aggregated and non-CO2 emissions on land</v>
      </c>
      <c r="E1272" t="str">
        <f>E1271</f>
        <v>3C4 Direct N2O from managed soils (N2O)</v>
      </c>
      <c r="H1272" t="s">
        <v>58</v>
      </c>
      <c r="I1272" t="str">
        <f>I1271</f>
        <v>N2O</v>
      </c>
      <c r="J1272" t="str">
        <f>J1271</f>
        <v>Gg N2O</v>
      </c>
      <c r="K1272" s="27">
        <f t="shared" ref="K1272:AW1272" si="438">IFERROR(K1465-((K1465-K56)+(K1465-K209)+(K1465-K362)+(K1465-K514)+(K1465-K666)+(K1465-K817)+(K1465-K968)+(K1465-K1119)),0)</f>
        <v>2.94930909510781</v>
      </c>
      <c r="L1272" s="27">
        <f t="shared" si="438"/>
        <v>2.9542138952234782</v>
      </c>
      <c r="M1272" s="27">
        <f t="shared" si="438"/>
        <v>2.9632065078783478</v>
      </c>
      <c r="N1272" s="27">
        <f t="shared" si="438"/>
        <v>2.9739549157146588</v>
      </c>
      <c r="O1272" s="27">
        <f t="shared" si="438"/>
        <v>2.9812159181802835</v>
      </c>
      <c r="P1272" s="27">
        <f t="shared" si="438"/>
        <v>2.9862127459015309</v>
      </c>
      <c r="Q1272" s="27">
        <f t="shared" si="438"/>
        <v>2.9889489945692191</v>
      </c>
      <c r="R1272" s="27">
        <f t="shared" si="438"/>
        <v>2.993375742599615</v>
      </c>
      <c r="S1272" s="27">
        <f t="shared" si="438"/>
        <v>2.9980257119701434</v>
      </c>
      <c r="T1272" s="27">
        <f t="shared" si="438"/>
        <v>2.9657034776855355</v>
      </c>
      <c r="U1272" s="27">
        <f t="shared" si="438"/>
        <v>2.9785203368438653</v>
      </c>
      <c r="V1272" s="27">
        <f t="shared" si="438"/>
        <v>2.9960131772531153</v>
      </c>
      <c r="W1272" s="27">
        <f t="shared" si="438"/>
        <v>3.0054132680180357</v>
      </c>
      <c r="X1272" s="27">
        <f t="shared" si="438"/>
        <v>3.0156942810945373</v>
      </c>
      <c r="Y1272" s="27">
        <f t="shared" si="438"/>
        <v>3.0271247430497872</v>
      </c>
      <c r="Z1272" s="27">
        <f t="shared" si="438"/>
        <v>3.0391234751628531</v>
      </c>
      <c r="AA1272" s="27">
        <f t="shared" si="438"/>
        <v>3.0519290051656554</v>
      </c>
      <c r="AB1272" s="27">
        <f t="shared" si="438"/>
        <v>3.0647621683287483</v>
      </c>
      <c r="AC1272" s="27">
        <f t="shared" si="438"/>
        <v>3.078278236610247</v>
      </c>
      <c r="AD1272" s="27">
        <f t="shared" si="438"/>
        <v>3.0917340156932256</v>
      </c>
      <c r="AE1272" s="27">
        <f t="shared" si="438"/>
        <v>3.1063223231702981</v>
      </c>
      <c r="AF1272" s="27">
        <f t="shared" si="438"/>
        <v>3.1203729101259317</v>
      </c>
      <c r="AG1272" s="27">
        <f t="shared" si="438"/>
        <v>3.1347791424435716</v>
      </c>
      <c r="AH1272" s="27">
        <f t="shared" si="438"/>
        <v>3.1505285322943979</v>
      </c>
      <c r="AI1272" s="27">
        <f t="shared" si="438"/>
        <v>3.165174190349632</v>
      </c>
      <c r="AJ1272" s="27">
        <f t="shared" si="438"/>
        <v>3.1802123467460328</v>
      </c>
      <c r="AK1272" s="27">
        <f t="shared" si="438"/>
        <v>3.1958109430597368</v>
      </c>
      <c r="AL1272" s="27">
        <f t="shared" si="438"/>
        <v>3.2101469795788988</v>
      </c>
      <c r="AM1272" s="27">
        <f t="shared" si="438"/>
        <v>3.2240845208676738</v>
      </c>
      <c r="AN1272" s="27">
        <f t="shared" si="438"/>
        <v>3.2376774558702412</v>
      </c>
      <c r="AO1272" s="27">
        <f t="shared" si="438"/>
        <v>3.2520199943996095</v>
      </c>
      <c r="AP1272" s="27">
        <f t="shared" si="438"/>
        <v>3.2655335600173556</v>
      </c>
      <c r="AQ1272" s="27">
        <f t="shared" si="438"/>
        <v>3.2792196850479614</v>
      </c>
      <c r="AR1272" s="27">
        <f t="shared" si="438"/>
        <v>3.2931184823478818</v>
      </c>
      <c r="AS1272" s="27">
        <f t="shared" si="438"/>
        <v>3.3072986001803124</v>
      </c>
      <c r="AT1272" s="27">
        <f t="shared" si="438"/>
        <v>3.3217008788202178</v>
      </c>
      <c r="AU1272" s="27">
        <f t="shared" si="438"/>
        <v>3.3261261868645517</v>
      </c>
      <c r="AV1272" s="27">
        <f t="shared" si="438"/>
        <v>3.3296214710028345</v>
      </c>
      <c r="AW1272" s="27">
        <f t="shared" si="438"/>
        <v>3.3317990327077256</v>
      </c>
      <c r="AY1272" s="79"/>
      <c r="AZ1272" s="79"/>
    </row>
    <row r="1273" spans="1:52" x14ac:dyDescent="0.3">
      <c r="A1273" s="95" t="str">
        <f t="shared" si="384"/>
        <v>FSFAGSPQNIBDDSCM Organic</v>
      </c>
      <c r="B1273" s="95" t="s">
        <v>1375</v>
      </c>
      <c r="C1273" s="95" t="s">
        <v>1127</v>
      </c>
      <c r="D1273" t="s">
        <v>369</v>
      </c>
      <c r="E1273" t="s">
        <v>55</v>
      </c>
      <c r="F1273" t="s">
        <v>421</v>
      </c>
      <c r="G1273" t="s">
        <v>1152</v>
      </c>
      <c r="H1273" t="s">
        <v>1153</v>
      </c>
      <c r="I1273" t="s">
        <v>139</v>
      </c>
      <c r="J1273" t="s">
        <v>287</v>
      </c>
      <c r="K1273" s="27">
        <f t="shared" ref="K1273:AW1273" si="439">IFERROR(K1466-((K1466-K57)+(K1466-K210)+(K1466-K363)+(K1466-K515)+(K1466-K667)+(K1466-K818)+(K1466-K969)+(K1466-K1120)),0)</f>
        <v>0.31878106382562998</v>
      </c>
      <c r="L1273" s="27">
        <f t="shared" si="439"/>
        <v>0.32056321299147905</v>
      </c>
      <c r="M1273" s="27">
        <f t="shared" si="439"/>
        <v>0.32309177745176459</v>
      </c>
      <c r="N1273" s="27">
        <f t="shared" si="439"/>
        <v>0.32471664946511047</v>
      </c>
      <c r="O1273" s="27">
        <f t="shared" si="439"/>
        <v>0.32579638434951874</v>
      </c>
      <c r="P1273" s="27">
        <f t="shared" si="439"/>
        <v>0.32632035510276458</v>
      </c>
      <c r="Q1273" s="27">
        <f t="shared" si="439"/>
        <v>0.32747800149861978</v>
      </c>
      <c r="R1273" s="27">
        <f t="shared" si="439"/>
        <v>0.32880601635823298</v>
      </c>
      <c r="S1273" s="27">
        <f t="shared" si="439"/>
        <v>0.31892223916812396</v>
      </c>
      <c r="T1273" s="27">
        <f t="shared" si="439"/>
        <v>0.32227574446012153</v>
      </c>
      <c r="U1273" s="27">
        <f t="shared" si="439"/>
        <v>0.32718438885789924</v>
      </c>
      <c r="V1273" s="27">
        <f t="shared" si="439"/>
        <v>0.3297286573308299</v>
      </c>
      <c r="W1273" s="27">
        <f t="shared" si="439"/>
        <v>0.33263641751266398</v>
      </c>
      <c r="X1273" s="27">
        <f t="shared" si="439"/>
        <v>0.3360018452717824</v>
      </c>
      <c r="Y1273" s="27">
        <f t="shared" si="439"/>
        <v>0.33943858200235472</v>
      </c>
      <c r="Z1273" s="27">
        <f t="shared" si="439"/>
        <v>0.34324260633991188</v>
      </c>
      <c r="AA1273" s="27">
        <f t="shared" si="439"/>
        <v>0.34716446895122904</v>
      </c>
      <c r="AB1273" s="27">
        <f t="shared" si="439"/>
        <v>0.35142933015547478</v>
      </c>
      <c r="AC1273" s="27">
        <f t="shared" si="439"/>
        <v>0.3557903986539287</v>
      </c>
      <c r="AD1273" s="27">
        <f t="shared" si="439"/>
        <v>0.36050179142942168</v>
      </c>
      <c r="AE1273" s="27">
        <f t="shared" si="439"/>
        <v>0.36514941854093586</v>
      </c>
      <c r="AF1273" s="27">
        <f t="shared" si="439"/>
        <v>0.37005495430435736</v>
      </c>
      <c r="AG1273" s="27">
        <f t="shared" si="439"/>
        <v>0.37560392620070809</v>
      </c>
      <c r="AH1273" s="27">
        <f t="shared" si="439"/>
        <v>0.38087972226770728</v>
      </c>
      <c r="AI1273" s="27">
        <f t="shared" si="439"/>
        <v>0.38629002318967742</v>
      </c>
      <c r="AJ1273" s="27">
        <f t="shared" si="439"/>
        <v>0.39207609513939878</v>
      </c>
      <c r="AK1273" s="27">
        <f t="shared" si="439"/>
        <v>0.39749694724838469</v>
      </c>
      <c r="AL1273" s="27">
        <f t="shared" si="439"/>
        <v>0.4028883818835427</v>
      </c>
      <c r="AM1273" s="27">
        <f t="shared" si="439"/>
        <v>0.40826539528750555</v>
      </c>
      <c r="AN1273" s="27">
        <f t="shared" si="439"/>
        <v>0.41395411425770406</v>
      </c>
      <c r="AO1273" s="27">
        <f t="shared" si="439"/>
        <v>0.41941402149436835</v>
      </c>
      <c r="AP1273" s="27">
        <f t="shared" si="439"/>
        <v>0.4250859445304776</v>
      </c>
      <c r="AQ1273" s="27">
        <f t="shared" si="439"/>
        <v>0.43099575197279355</v>
      </c>
      <c r="AR1273" s="27">
        <f t="shared" si="439"/>
        <v>0.43718504328373597</v>
      </c>
      <c r="AS1273" s="27">
        <f t="shared" si="439"/>
        <v>0.44348381500621098</v>
      </c>
      <c r="AT1273" s="27">
        <f t="shared" si="439"/>
        <v>0.44497720344404595</v>
      </c>
      <c r="AU1273" s="27">
        <f t="shared" si="439"/>
        <v>0.44604004342695891</v>
      </c>
      <c r="AV1273" s="27">
        <f t="shared" si="439"/>
        <v>0.44647550838656064</v>
      </c>
      <c r="AW1273" s="27">
        <f t="shared" si="439"/>
        <v>0.44673845388478889</v>
      </c>
      <c r="AY1273" s="79"/>
      <c r="AZ1273" s="79"/>
    </row>
    <row r="1274" spans="1:52" x14ac:dyDescent="0.3">
      <c r="A1274" s="95" t="str">
        <f t="shared" si="384"/>
        <v>FSFAGSPQNIBDDSCM Organic</v>
      </c>
      <c r="B1274" s="95" t="s">
        <v>1375</v>
      </c>
      <c r="C1274" s="95" t="s">
        <v>1127</v>
      </c>
      <c r="D1274" t="s">
        <v>369</v>
      </c>
      <c r="E1274" t="s">
        <v>55</v>
      </c>
      <c r="F1274" t="s">
        <v>421</v>
      </c>
      <c r="G1274" t="s">
        <v>1154</v>
      </c>
      <c r="H1274" t="s">
        <v>1155</v>
      </c>
      <c r="I1274" t="s">
        <v>139</v>
      </c>
      <c r="J1274" t="s">
        <v>287</v>
      </c>
      <c r="K1274" s="27">
        <f t="shared" ref="K1274:AW1274" si="440">IFERROR(K1467-((K1467-K58)+(K1467-K211)+(K1467-K364)+(K1467-K516)+(K1467-K668)+(K1467-K819)+(K1467-K970)+(K1467-K1121)),0)</f>
        <v>0.93210651077804862</v>
      </c>
      <c r="L1274" s="27">
        <f t="shared" si="440"/>
        <v>0.93731746283627471</v>
      </c>
      <c r="M1274" s="27">
        <f t="shared" si="440"/>
        <v>0.94471091139331731</v>
      </c>
      <c r="N1274" s="27">
        <f t="shared" si="440"/>
        <v>0.94946198965576145</v>
      </c>
      <c r="O1274" s="27">
        <f t="shared" si="440"/>
        <v>0.95261910289076079</v>
      </c>
      <c r="P1274" s="27">
        <f t="shared" si="440"/>
        <v>0.95415117805450056</v>
      </c>
      <c r="Q1274" s="27">
        <f t="shared" si="440"/>
        <v>0.95753610227115837</v>
      </c>
      <c r="R1274" s="27">
        <f t="shared" si="440"/>
        <v>0.96141917889497119</v>
      </c>
      <c r="S1274" s="27">
        <f t="shared" si="440"/>
        <v>0.93251930335211441</v>
      </c>
      <c r="T1274" s="27">
        <f t="shared" si="440"/>
        <v>0.94232485478320349</v>
      </c>
      <c r="U1274" s="27">
        <f t="shared" si="440"/>
        <v>0.95667758749371812</v>
      </c>
      <c r="V1274" s="27">
        <f t="shared" si="440"/>
        <v>0.96411695412461496</v>
      </c>
      <c r="W1274" s="27">
        <f t="shared" si="440"/>
        <v>0.97261915988534076</v>
      </c>
      <c r="X1274" s="27">
        <f t="shared" si="440"/>
        <v>0.98245957226172753</v>
      </c>
      <c r="Y1274" s="27">
        <f t="shared" si="440"/>
        <v>0.99250848998586416</v>
      </c>
      <c r="Z1274" s="27">
        <f t="shared" si="440"/>
        <v>1.0036313459348443</v>
      </c>
      <c r="AA1274" s="27">
        <f t="shared" si="440"/>
        <v>1.0150987575511923</v>
      </c>
      <c r="AB1274" s="27">
        <f t="shared" si="440"/>
        <v>1.0275690870253942</v>
      </c>
      <c r="AC1274" s="27">
        <f t="shared" si="440"/>
        <v>1.0403207238151548</v>
      </c>
      <c r="AD1274" s="27">
        <f t="shared" si="440"/>
        <v>1.054096698548936</v>
      </c>
      <c r="AE1274" s="27">
        <f t="shared" si="440"/>
        <v>1.0676862243454883</v>
      </c>
      <c r="AF1274" s="27">
        <f t="shared" si="440"/>
        <v>1.0820298675000297</v>
      </c>
      <c r="AG1274" s="27">
        <f t="shared" si="440"/>
        <v>1.0982548990958272</v>
      </c>
      <c r="AH1274" s="27">
        <f t="shared" si="440"/>
        <v>1.1136811725531401</v>
      </c>
      <c r="AI1274" s="27">
        <f t="shared" si="440"/>
        <v>1.1295007342740186</v>
      </c>
      <c r="AJ1274" s="27">
        <f t="shared" si="440"/>
        <v>1.146419039494041</v>
      </c>
      <c r="AK1274" s="27">
        <f t="shared" si="440"/>
        <v>1.1622694525772803</v>
      </c>
      <c r="AL1274" s="27">
        <f t="shared" si="440"/>
        <v>1.1780338498270926</v>
      </c>
      <c r="AM1274" s="27">
        <f t="shared" si="440"/>
        <v>1.1937560798185081</v>
      </c>
      <c r="AN1274" s="27">
        <f t="shared" si="440"/>
        <v>1.2103897277726068</v>
      </c>
      <c r="AO1274" s="27">
        <f t="shared" si="440"/>
        <v>1.2263543369073659</v>
      </c>
      <c r="AP1274" s="27">
        <f t="shared" si="440"/>
        <v>1.2429388740412319</v>
      </c>
      <c r="AQ1274" s="27">
        <f t="shared" si="440"/>
        <v>1.260218978224084</v>
      </c>
      <c r="AR1274" s="27">
        <f t="shared" si="440"/>
        <v>1.2783162850678402</v>
      </c>
      <c r="AS1274" s="27">
        <f t="shared" si="440"/>
        <v>1.2967337094341598</v>
      </c>
      <c r="AT1274" s="27">
        <f t="shared" si="440"/>
        <v>1.3011003335658498</v>
      </c>
      <c r="AU1274" s="27">
        <f t="shared" si="440"/>
        <v>1.3042080466028143</v>
      </c>
      <c r="AV1274" s="27">
        <f t="shared" si="440"/>
        <v>1.3054813334134847</v>
      </c>
      <c r="AW1274" s="27">
        <f t="shared" si="440"/>
        <v>1.3062501783628579</v>
      </c>
      <c r="AY1274" s="79"/>
      <c r="AZ1274" s="79"/>
    </row>
    <row r="1275" spans="1:52" x14ac:dyDescent="0.3">
      <c r="A1275" s="95" t="str">
        <f t="shared" si="384"/>
        <v>FSFAGSPQNIBDDSCM Organic</v>
      </c>
      <c r="B1275" s="95" t="s">
        <v>1375</v>
      </c>
      <c r="C1275" s="95" t="s">
        <v>1127</v>
      </c>
      <c r="D1275" t="s">
        <v>369</v>
      </c>
      <c r="E1275" t="s">
        <v>55</v>
      </c>
      <c r="F1275" t="s">
        <v>421</v>
      </c>
      <c r="G1275" t="s">
        <v>1156</v>
      </c>
      <c r="H1275" t="s">
        <v>1157</v>
      </c>
      <c r="I1275" t="s">
        <v>139</v>
      </c>
      <c r="J1275" t="s">
        <v>287</v>
      </c>
      <c r="K1275" s="27">
        <f t="shared" ref="K1275:AW1275" si="441">IFERROR(K1468-((K1468-K59)+(K1468-K212)+(K1468-K365)+(K1468-K517)+(K1468-K669)+(K1468-K820)+(K1468-K971)+(K1468-K1122)),0)</f>
        <v>4.9862442750846919E-2</v>
      </c>
      <c r="L1275" s="27">
        <f t="shared" si="441"/>
        <v>5.0141199304605803E-2</v>
      </c>
      <c r="M1275" s="27">
        <f t="shared" si="441"/>
        <v>5.0536707115294892E-2</v>
      </c>
      <c r="N1275" s="27">
        <f t="shared" si="441"/>
        <v>5.0790863013925151E-2</v>
      </c>
      <c r="O1275" s="27">
        <f t="shared" si="441"/>
        <v>5.0959750770976316E-2</v>
      </c>
      <c r="P1275" s="27">
        <f t="shared" si="441"/>
        <v>5.1041708153806091E-2</v>
      </c>
      <c r="Q1275" s="27">
        <f t="shared" si="441"/>
        <v>5.122278251388987E-2</v>
      </c>
      <c r="R1275" s="27">
        <f t="shared" si="441"/>
        <v>5.1430505218981168E-2</v>
      </c>
      <c r="S1275" s="27">
        <f t="shared" si="441"/>
        <v>4.9884524826075798E-2</v>
      </c>
      <c r="T1275" s="27">
        <f t="shared" si="441"/>
        <v>5.0409066540160655E-2</v>
      </c>
      <c r="U1275" s="27">
        <f t="shared" si="441"/>
        <v>5.1176856813934052E-2</v>
      </c>
      <c r="V1275" s="27">
        <f t="shared" si="441"/>
        <v>5.1574820982670536E-2</v>
      </c>
      <c r="W1275" s="27">
        <f t="shared" si="441"/>
        <v>5.2029641052156198E-2</v>
      </c>
      <c r="X1275" s="27">
        <f t="shared" si="441"/>
        <v>5.255604763025503E-2</v>
      </c>
      <c r="Y1275" s="27">
        <f t="shared" si="441"/>
        <v>5.3093608068824946E-2</v>
      </c>
      <c r="Z1275" s="27">
        <f t="shared" si="441"/>
        <v>5.3688618147146365E-2</v>
      </c>
      <c r="AA1275" s="27">
        <f t="shared" si="441"/>
        <v>5.4302060010934287E-2</v>
      </c>
      <c r="AB1275" s="27">
        <f t="shared" si="441"/>
        <v>5.4969152325279956E-2</v>
      </c>
      <c r="AC1275" s="27">
        <f t="shared" si="441"/>
        <v>5.5651292994888926E-2</v>
      </c>
      <c r="AD1275" s="27">
        <f t="shared" si="441"/>
        <v>5.6388229968890861E-2</v>
      </c>
      <c r="AE1275" s="27">
        <f t="shared" si="441"/>
        <v>5.711519297602205E-2</v>
      </c>
      <c r="AF1275" s="27">
        <f t="shared" si="441"/>
        <v>5.7882497009801276E-2</v>
      </c>
      <c r="AG1275" s="27">
        <f t="shared" si="441"/>
        <v>5.8750444717194539E-2</v>
      </c>
      <c r="AH1275" s="27">
        <f t="shared" si="441"/>
        <v>5.9575663367885126E-2</v>
      </c>
      <c r="AI1275" s="27">
        <f t="shared" si="441"/>
        <v>6.0421920723165649E-2</v>
      </c>
      <c r="AJ1275" s="27">
        <f t="shared" si="441"/>
        <v>6.1326954660511038E-2</v>
      </c>
      <c r="AK1275" s="27">
        <f t="shared" si="441"/>
        <v>6.2174862389725999E-2</v>
      </c>
      <c r="AL1275" s="27">
        <f t="shared" si="441"/>
        <v>6.3018168756843018E-2</v>
      </c>
      <c r="AM1275" s="27">
        <f t="shared" si="441"/>
        <v>6.3859219413391094E-2</v>
      </c>
      <c r="AN1275" s="27">
        <f t="shared" si="441"/>
        <v>6.4749025792016954E-2</v>
      </c>
      <c r="AO1275" s="27">
        <f t="shared" si="441"/>
        <v>6.5603042366106867E-2</v>
      </c>
      <c r="AP1275" s="27">
        <f t="shared" si="441"/>
        <v>6.6490221592755999E-2</v>
      </c>
      <c r="AQ1275" s="27">
        <f t="shared" si="441"/>
        <v>6.7414609734650743E-2</v>
      </c>
      <c r="AR1275" s="27">
        <f t="shared" si="441"/>
        <v>6.8382713611200324E-2</v>
      </c>
      <c r="AS1275" s="27">
        <f t="shared" si="441"/>
        <v>6.9367941970261027E-2</v>
      </c>
      <c r="AT1275" s="27">
        <f t="shared" si="441"/>
        <v>6.9601531740596523E-2</v>
      </c>
      <c r="AU1275" s="27">
        <f t="shared" si="441"/>
        <v>6.9767776865590186E-2</v>
      </c>
      <c r="AV1275" s="27">
        <f t="shared" si="441"/>
        <v>6.983589053067922E-2</v>
      </c>
      <c r="AW1275" s="27">
        <f t="shared" si="441"/>
        <v>6.9877019400426524E-2</v>
      </c>
      <c r="AY1275" s="79"/>
      <c r="AZ1275" s="79"/>
    </row>
    <row r="1276" spans="1:52" x14ac:dyDescent="0.3">
      <c r="A1276" s="95" t="str">
        <f t="shared" si="384"/>
        <v>FSFAGSPQNIBDDSCM Organic</v>
      </c>
      <c r="B1276" s="95" t="s">
        <v>1375</v>
      </c>
      <c r="C1276" s="95" t="s">
        <v>1127</v>
      </c>
      <c r="D1276" t="s">
        <v>369</v>
      </c>
      <c r="E1276" t="s">
        <v>55</v>
      </c>
      <c r="F1276" t="s">
        <v>421</v>
      </c>
      <c r="G1276" t="s">
        <v>1158</v>
      </c>
      <c r="H1276" t="s">
        <v>1159</v>
      </c>
      <c r="I1276" t="s">
        <v>139</v>
      </c>
      <c r="J1276" t="s">
        <v>287</v>
      </c>
      <c r="K1276" s="27">
        <f t="shared" ref="K1276:AW1276" si="442">IFERROR(K1469-((K1469-K60)+(K1469-K213)+(K1469-K366)+(K1469-K518)+(K1469-K670)+(K1469-K821)+(K1469-K972)+(K1469-K1123)),0)</f>
        <v>0.3999997899835232</v>
      </c>
      <c r="L1276" s="27">
        <f t="shared" si="442"/>
        <v>0.39653071954810187</v>
      </c>
      <c r="M1276" s="27">
        <f t="shared" si="442"/>
        <v>0.39521014945095023</v>
      </c>
      <c r="N1276" s="27">
        <f t="shared" si="442"/>
        <v>0.38993263522397309</v>
      </c>
      <c r="O1276" s="27">
        <f t="shared" si="442"/>
        <v>0.382272194437701</v>
      </c>
      <c r="P1276" s="27">
        <f t="shared" si="442"/>
        <v>0.37238723301511378</v>
      </c>
      <c r="Q1276" s="27">
        <f t="shared" si="442"/>
        <v>0.36459067483623875</v>
      </c>
      <c r="R1276" s="27">
        <f t="shared" si="442"/>
        <v>0.3572142444544395</v>
      </c>
      <c r="S1276" s="27">
        <f t="shared" si="442"/>
        <v>0.31424439964767104</v>
      </c>
      <c r="T1276" s="27">
        <f t="shared" si="442"/>
        <v>0.31934867566353531</v>
      </c>
      <c r="U1276" s="27">
        <f t="shared" si="442"/>
        <v>0.32887086359473244</v>
      </c>
      <c r="V1276" s="27">
        <f t="shared" si="442"/>
        <v>0.33077255450985388</v>
      </c>
      <c r="W1276" s="27">
        <f t="shared" si="442"/>
        <v>0.33351533974002295</v>
      </c>
      <c r="X1276" s="27">
        <f t="shared" si="442"/>
        <v>0.33734158563652278</v>
      </c>
      <c r="Y1276" s="27">
        <f t="shared" si="442"/>
        <v>0.34173046425936165</v>
      </c>
      <c r="Z1276" s="27">
        <f t="shared" si="442"/>
        <v>0.34687619399861491</v>
      </c>
      <c r="AA1276" s="27">
        <f t="shared" si="442"/>
        <v>0.35204565699464252</v>
      </c>
      <c r="AB1276" s="27">
        <f t="shared" si="442"/>
        <v>0.35785970773870229</v>
      </c>
      <c r="AC1276" s="27">
        <f t="shared" si="442"/>
        <v>0.36361606039285416</v>
      </c>
      <c r="AD1276" s="27">
        <f t="shared" si="442"/>
        <v>0.36736576480920718</v>
      </c>
      <c r="AE1276" s="27">
        <f t="shared" si="442"/>
        <v>0.37044453344609923</v>
      </c>
      <c r="AF1276" s="27">
        <f t="shared" si="442"/>
        <v>0.37369707806666508</v>
      </c>
      <c r="AG1276" s="27">
        <f t="shared" si="442"/>
        <v>0.37804894622531426</v>
      </c>
      <c r="AH1276" s="27">
        <f t="shared" si="442"/>
        <v>0.38117866346584023</v>
      </c>
      <c r="AI1276" s="27">
        <f t="shared" si="442"/>
        <v>0.38451417084428363</v>
      </c>
      <c r="AJ1276" s="27">
        <f t="shared" si="442"/>
        <v>0.38818587422632583</v>
      </c>
      <c r="AK1276" s="27">
        <f t="shared" si="442"/>
        <v>0.39047383423356319</v>
      </c>
      <c r="AL1276" s="27">
        <f t="shared" si="442"/>
        <v>0.39219030360024004</v>
      </c>
      <c r="AM1276" s="27">
        <f t="shared" si="442"/>
        <v>0.39338421797559098</v>
      </c>
      <c r="AN1276" s="27">
        <f t="shared" si="442"/>
        <v>0.39709578221714281</v>
      </c>
      <c r="AO1276" s="27">
        <f t="shared" si="442"/>
        <v>0.39991704090429331</v>
      </c>
      <c r="AP1276" s="27">
        <f t="shared" si="442"/>
        <v>0.40277391205281804</v>
      </c>
      <c r="AQ1276" s="27">
        <f t="shared" si="442"/>
        <v>0.40569907697718249</v>
      </c>
      <c r="AR1276" s="27">
        <f t="shared" si="442"/>
        <v>0.40875152256691355</v>
      </c>
      <c r="AS1276" s="27">
        <f t="shared" si="442"/>
        <v>0.41188557339004239</v>
      </c>
      <c r="AT1276" s="27">
        <f t="shared" si="442"/>
        <v>0.4057032930761475</v>
      </c>
      <c r="AU1276" s="27">
        <f t="shared" si="442"/>
        <v>0.3986998092121265</v>
      </c>
      <c r="AV1276" s="27">
        <f t="shared" si="442"/>
        <v>0.39058052493607326</v>
      </c>
      <c r="AW1276" s="27">
        <f t="shared" si="442"/>
        <v>0.38220678819508502</v>
      </c>
      <c r="AY1276" s="79"/>
      <c r="AZ1276" s="79"/>
    </row>
    <row r="1277" spans="1:52" x14ac:dyDescent="0.3">
      <c r="A1277" s="95" t="str">
        <f t="shared" si="384"/>
        <v>FSFAGSPQNIBDDSCM Organic</v>
      </c>
      <c r="B1277" s="95" t="s">
        <v>1375</v>
      </c>
      <c r="C1277" s="95" t="s">
        <v>1127</v>
      </c>
      <c r="D1277" t="s">
        <v>369</v>
      </c>
      <c r="E1277" t="s">
        <v>55</v>
      </c>
      <c r="F1277" t="s">
        <v>421</v>
      </c>
      <c r="G1277" t="s">
        <v>1160</v>
      </c>
      <c r="H1277" t="s">
        <v>1161</v>
      </c>
      <c r="I1277" t="s">
        <v>139</v>
      </c>
      <c r="J1277" t="s">
        <v>287</v>
      </c>
      <c r="K1277" s="27">
        <f t="shared" ref="K1277:AW1277" si="443">IFERROR(K1470-((K1470-K61)+(K1470-K214)+(K1470-K367)+(K1470-K519)+(K1470-K671)+(K1470-K822)+(K1470-K973)+(K1470-K1124)),0)</f>
        <v>2.6602988559851246</v>
      </c>
      <c r="L1277" s="27">
        <f t="shared" si="443"/>
        <v>2.6372269335947083</v>
      </c>
      <c r="M1277" s="27">
        <f t="shared" si="443"/>
        <v>2.6284441511866339</v>
      </c>
      <c r="N1277" s="27">
        <f t="shared" si="443"/>
        <v>2.5933447201068058</v>
      </c>
      <c r="O1277" s="27">
        <f t="shared" si="443"/>
        <v>2.5423970387070201</v>
      </c>
      <c r="P1277" s="27">
        <f t="shared" si="443"/>
        <v>2.4766546252796311</v>
      </c>
      <c r="Q1277" s="27">
        <f t="shared" si="443"/>
        <v>2.4248016610449818</v>
      </c>
      <c r="R1277" s="27">
        <f t="shared" si="443"/>
        <v>2.3757428620222045</v>
      </c>
      <c r="S1277" s="27">
        <f t="shared" si="443"/>
        <v>2.0899611395217677</v>
      </c>
      <c r="T1277" s="27">
        <f t="shared" si="443"/>
        <v>2.123908406459571</v>
      </c>
      <c r="U1277" s="27">
        <f t="shared" si="443"/>
        <v>2.1872381038598681</v>
      </c>
      <c r="V1277" s="27">
        <f t="shared" si="443"/>
        <v>2.1998857759152552</v>
      </c>
      <c r="W1277" s="27">
        <f t="shared" si="443"/>
        <v>2.2181273565179156</v>
      </c>
      <c r="X1277" s="27">
        <f t="shared" si="443"/>
        <v>2.2435747638317936</v>
      </c>
      <c r="Y1277" s="27">
        <f t="shared" si="443"/>
        <v>2.2727641011058872</v>
      </c>
      <c r="Z1277" s="27">
        <f t="shared" si="443"/>
        <v>2.3069870664207133</v>
      </c>
      <c r="AA1277" s="27">
        <f t="shared" si="443"/>
        <v>2.3413678757080296</v>
      </c>
      <c r="AB1277" s="27">
        <f t="shared" si="443"/>
        <v>2.380035677367871</v>
      </c>
      <c r="AC1277" s="27">
        <f t="shared" si="443"/>
        <v>2.4183197434198012</v>
      </c>
      <c r="AD1277" s="27">
        <f t="shared" si="443"/>
        <v>2.4432580924362282</v>
      </c>
      <c r="AE1277" s="27">
        <f t="shared" si="443"/>
        <v>2.4637342148934525</v>
      </c>
      <c r="AF1277" s="27">
        <f t="shared" si="443"/>
        <v>2.4853660780839015</v>
      </c>
      <c r="AG1277" s="27">
        <f t="shared" si="443"/>
        <v>2.5143092679899</v>
      </c>
      <c r="AH1277" s="27">
        <f t="shared" si="443"/>
        <v>2.5351242369049363</v>
      </c>
      <c r="AI1277" s="27">
        <f t="shared" si="443"/>
        <v>2.5573078647097613</v>
      </c>
      <c r="AJ1277" s="27">
        <f t="shared" si="443"/>
        <v>2.5817274482979573</v>
      </c>
      <c r="AK1277" s="27">
        <f t="shared" si="443"/>
        <v>2.5969440997618101</v>
      </c>
      <c r="AL1277" s="27">
        <f t="shared" si="443"/>
        <v>2.6083599094868397</v>
      </c>
      <c r="AM1277" s="27">
        <f t="shared" si="443"/>
        <v>2.6163003362731181</v>
      </c>
      <c r="AN1277" s="27">
        <f t="shared" si="443"/>
        <v>2.6409850244978843</v>
      </c>
      <c r="AO1277" s="27">
        <f t="shared" si="443"/>
        <v>2.6597485124941493</v>
      </c>
      <c r="AP1277" s="27">
        <f t="shared" si="443"/>
        <v>2.6787488500904026</v>
      </c>
      <c r="AQ1277" s="27">
        <f t="shared" si="443"/>
        <v>2.6982033925594746</v>
      </c>
      <c r="AR1277" s="27">
        <f t="shared" si="443"/>
        <v>2.7185044469941606</v>
      </c>
      <c r="AS1277" s="27">
        <f t="shared" si="443"/>
        <v>2.739348237486432</v>
      </c>
      <c r="AT1277" s="27">
        <f t="shared" si="443"/>
        <v>2.6982314327823316</v>
      </c>
      <c r="AU1277" s="27">
        <f t="shared" si="443"/>
        <v>2.6516530080483269</v>
      </c>
      <c r="AV1277" s="27">
        <f t="shared" si="443"/>
        <v>2.5976536730189443</v>
      </c>
      <c r="AW1277" s="27">
        <f t="shared" si="443"/>
        <v>2.5419620380976129</v>
      </c>
      <c r="AY1277" s="79"/>
      <c r="AZ1277" s="79"/>
    </row>
    <row r="1278" spans="1:52" x14ac:dyDescent="0.3">
      <c r="A1278" s="95" t="str">
        <f t="shared" si="384"/>
        <v>FSFAGSPQNIBDDSCM Organic</v>
      </c>
      <c r="B1278" s="95" t="s">
        <v>1375</v>
      </c>
      <c r="C1278" s="95" t="s">
        <v>1127</v>
      </c>
      <c r="D1278" t="s">
        <v>369</v>
      </c>
      <c r="E1278" t="s">
        <v>55</v>
      </c>
      <c r="F1278" t="s">
        <v>421</v>
      </c>
      <c r="G1278" t="s">
        <v>1162</v>
      </c>
      <c r="H1278" t="s">
        <v>1163</v>
      </c>
      <c r="I1278" t="s">
        <v>139</v>
      </c>
      <c r="J1278" t="s">
        <v>287</v>
      </c>
      <c r="K1278" s="27">
        <f t="shared" ref="K1278:AW1278" si="444">IFERROR(K1471-((K1471-K62)+(K1471-K215)+(K1471-K368)+(K1471-K520)+(K1471-K672)+(K1471-K823)+(K1471-K974)+(K1471-K1125)),0)</f>
        <v>0.34358078636628736</v>
      </c>
      <c r="L1278" s="27">
        <f t="shared" si="444"/>
        <v>0.35516571939691499</v>
      </c>
      <c r="M1278" s="27">
        <f t="shared" si="444"/>
        <v>0.36891582276573964</v>
      </c>
      <c r="N1278" s="27">
        <f t="shared" si="444"/>
        <v>0.37917034791782095</v>
      </c>
      <c r="O1278" s="27">
        <f t="shared" si="444"/>
        <v>0.38707850955818851</v>
      </c>
      <c r="P1278" s="27">
        <f t="shared" si="444"/>
        <v>0.39252728601928993</v>
      </c>
      <c r="Q1278" s="27">
        <f t="shared" si="444"/>
        <v>0.39996713645364929</v>
      </c>
      <c r="R1278" s="27">
        <f t="shared" si="444"/>
        <v>0.40776627193753145</v>
      </c>
      <c r="S1278" s="27">
        <f t="shared" si="444"/>
        <v>0.37321314104522196</v>
      </c>
      <c r="T1278" s="27">
        <f t="shared" si="444"/>
        <v>0.3884130094850205</v>
      </c>
      <c r="U1278" s="27">
        <f t="shared" si="444"/>
        <v>0.40949913684353023</v>
      </c>
      <c r="V1278" s="27">
        <f t="shared" si="444"/>
        <v>0.4215293985273969</v>
      </c>
      <c r="W1278" s="27">
        <f t="shared" si="444"/>
        <v>0.43487839572409737</v>
      </c>
      <c r="X1278" s="27">
        <f t="shared" si="444"/>
        <v>0.4499540833261832</v>
      </c>
      <c r="Y1278" s="27">
        <f t="shared" si="444"/>
        <v>0.46615455433442204</v>
      </c>
      <c r="Z1278" s="27">
        <f t="shared" si="444"/>
        <v>0.48381398189083635</v>
      </c>
      <c r="AA1278" s="27">
        <f t="shared" si="444"/>
        <v>0.50197004484830632</v>
      </c>
      <c r="AB1278" s="27">
        <f t="shared" si="444"/>
        <v>0.52154350048929543</v>
      </c>
      <c r="AC1278" s="27">
        <f t="shared" si="444"/>
        <v>0.5415643129229577</v>
      </c>
      <c r="AD1278" s="27">
        <f t="shared" si="444"/>
        <v>0.56529401193420392</v>
      </c>
      <c r="AE1278" s="27">
        <f t="shared" si="444"/>
        <v>0.58897158069089917</v>
      </c>
      <c r="AF1278" s="27">
        <f t="shared" si="444"/>
        <v>0.61393439377098979</v>
      </c>
      <c r="AG1278" s="27">
        <f t="shared" si="444"/>
        <v>0.64183870134182519</v>
      </c>
      <c r="AH1278" s="27">
        <f t="shared" si="444"/>
        <v>0.66886013669524935</v>
      </c>
      <c r="AI1278" s="27">
        <f t="shared" si="444"/>
        <v>0.6974449623138369</v>
      </c>
      <c r="AJ1278" s="27">
        <f t="shared" si="444"/>
        <v>0.72794565179733817</v>
      </c>
      <c r="AK1278" s="27">
        <f t="shared" si="444"/>
        <v>0.75716831024556897</v>
      </c>
      <c r="AL1278" s="27">
        <f t="shared" si="444"/>
        <v>0.78655158010344739</v>
      </c>
      <c r="AM1278" s="27">
        <f t="shared" si="444"/>
        <v>0.81615922006003327</v>
      </c>
      <c r="AN1278" s="27">
        <f t="shared" si="444"/>
        <v>0.84710504325273028</v>
      </c>
      <c r="AO1278" s="27">
        <f t="shared" si="444"/>
        <v>0.8772777887183536</v>
      </c>
      <c r="AP1278" s="27">
        <f t="shared" si="444"/>
        <v>0.90865780083615855</v>
      </c>
      <c r="AQ1278" s="27">
        <f t="shared" si="444"/>
        <v>0.94138400089523855</v>
      </c>
      <c r="AR1278" s="27">
        <f t="shared" si="444"/>
        <v>0.9756708685083213</v>
      </c>
      <c r="AS1278" s="27">
        <f t="shared" si="444"/>
        <v>1.0114969469202602</v>
      </c>
      <c r="AT1278" s="27">
        <f t="shared" si="444"/>
        <v>1.0252009760930854</v>
      </c>
      <c r="AU1278" s="27">
        <f t="shared" si="444"/>
        <v>1.0368909620314641</v>
      </c>
      <c r="AV1278" s="27">
        <f t="shared" si="444"/>
        <v>1.0455964615277633</v>
      </c>
      <c r="AW1278" s="27">
        <f t="shared" si="444"/>
        <v>1.0534263177729573</v>
      </c>
      <c r="AY1278" s="79"/>
      <c r="AZ1278" s="79"/>
    </row>
    <row r="1279" spans="1:52" x14ac:dyDescent="0.3">
      <c r="A1279" s="95" t="str">
        <f t="shared" si="384"/>
        <v>FSFAGSPQNIBDDSCM Organic</v>
      </c>
      <c r="B1279" s="95" t="s">
        <v>1375</v>
      </c>
      <c r="C1279" s="95" t="s">
        <v>1127</v>
      </c>
      <c r="D1279" t="s">
        <v>369</v>
      </c>
      <c r="E1279" t="s">
        <v>55</v>
      </c>
      <c r="F1279" t="s">
        <v>421</v>
      </c>
      <c r="G1279" t="s">
        <v>1164</v>
      </c>
      <c r="H1279" t="s">
        <v>1165</v>
      </c>
      <c r="I1279" t="s">
        <v>139</v>
      </c>
      <c r="J1279" t="s">
        <v>287</v>
      </c>
      <c r="K1279" s="27">
        <f t="shared" ref="K1279:AW1279" si="445">IFERROR(K1472-((K1472-K63)+(K1472-K216)+(K1472-K369)+(K1472-K521)+(K1472-K673)+(K1472-K824)+(K1472-K975)+(K1472-K1126)),0)</f>
        <v>5.8359782740747899E-2</v>
      </c>
      <c r="L1279" s="27">
        <f t="shared" si="445"/>
        <v>5.8391337689573865E-2</v>
      </c>
      <c r="M1279" s="27">
        <f t="shared" si="445"/>
        <v>5.8466784388382168E-2</v>
      </c>
      <c r="N1279" s="27">
        <f t="shared" si="445"/>
        <v>5.857803115055428E-2</v>
      </c>
      <c r="O1279" s="27">
        <f t="shared" si="445"/>
        <v>5.872437103691365E-2</v>
      </c>
      <c r="P1279" s="27">
        <f t="shared" si="445"/>
        <v>5.890425875881948E-2</v>
      </c>
      <c r="Q1279" s="27">
        <f t="shared" si="445"/>
        <v>5.9106297224497076E-2</v>
      </c>
      <c r="R1279" s="27">
        <f t="shared" si="445"/>
        <v>5.932921089397071E-2</v>
      </c>
      <c r="S1279" s="27">
        <f t="shared" si="445"/>
        <v>5.9533053172061867E-2</v>
      </c>
      <c r="T1279" s="27">
        <f t="shared" si="445"/>
        <v>5.9622626403998236E-2</v>
      </c>
      <c r="U1279" s="27">
        <f t="shared" si="445"/>
        <v>5.9732014563410027E-2</v>
      </c>
      <c r="V1279" s="27">
        <f t="shared" si="445"/>
        <v>5.9846990057404043E-2</v>
      </c>
      <c r="W1279" s="27">
        <f t="shared" si="445"/>
        <v>5.9976074595492208E-2</v>
      </c>
      <c r="X1279" s="27">
        <f t="shared" si="445"/>
        <v>6.0118906996584121E-2</v>
      </c>
      <c r="Y1279" s="27">
        <f t="shared" si="445"/>
        <v>6.0208109427104674E-2</v>
      </c>
      <c r="Z1279" s="27">
        <f t="shared" si="445"/>
        <v>6.0308885561081285E-2</v>
      </c>
      <c r="AA1279" s="27">
        <f t="shared" si="445"/>
        <v>6.0419873689415794E-2</v>
      </c>
      <c r="AB1279" s="27">
        <f t="shared" si="445"/>
        <v>6.0541378990392976E-2</v>
      </c>
      <c r="AC1279" s="27">
        <f t="shared" si="445"/>
        <v>6.0672147346661598E-2</v>
      </c>
      <c r="AD1279" s="27">
        <f t="shared" si="445"/>
        <v>6.075986875735849E-2</v>
      </c>
      <c r="AE1279" s="27">
        <f t="shared" si="445"/>
        <v>6.0855100315135816E-2</v>
      </c>
      <c r="AF1279" s="27">
        <f t="shared" si="445"/>
        <v>6.095860752574931E-2</v>
      </c>
      <c r="AG1279" s="27">
        <f t="shared" si="445"/>
        <v>6.1071400786534412E-2</v>
      </c>
      <c r="AH1279" s="27">
        <f t="shared" si="445"/>
        <v>6.1190093146373289E-2</v>
      </c>
      <c r="AI1279" s="27">
        <f t="shared" si="445"/>
        <v>6.1265960925417272E-2</v>
      </c>
      <c r="AJ1279" s="27">
        <f t="shared" si="445"/>
        <v>6.1349061452671098E-2</v>
      </c>
      <c r="AK1279" s="27">
        <f t="shared" si="445"/>
        <v>6.1436653899188148E-2</v>
      </c>
      <c r="AL1279" s="27">
        <f t="shared" si="445"/>
        <v>6.152967077586103E-2</v>
      </c>
      <c r="AM1279" s="27">
        <f t="shared" si="445"/>
        <v>6.1627971048734624E-2</v>
      </c>
      <c r="AN1279" s="27">
        <f t="shared" si="445"/>
        <v>6.1686054121935154E-2</v>
      </c>
      <c r="AO1279" s="27">
        <f t="shared" si="445"/>
        <v>6.1748058507407479E-2</v>
      </c>
      <c r="AP1279" s="27">
        <f t="shared" si="445"/>
        <v>6.1815315922285695E-2</v>
      </c>
      <c r="AQ1279" s="27">
        <f t="shared" si="445"/>
        <v>6.1887761342917867E-2</v>
      </c>
      <c r="AR1279" s="27">
        <f t="shared" si="445"/>
        <v>6.1965393268001254E-2</v>
      </c>
      <c r="AS1279" s="27">
        <f t="shared" si="445"/>
        <v>6.2000613011444994E-2</v>
      </c>
      <c r="AT1279" s="27">
        <f t="shared" si="445"/>
        <v>6.2023309807671526E-2</v>
      </c>
      <c r="AU1279" s="27">
        <f t="shared" si="445"/>
        <v>6.2048189785904866E-2</v>
      </c>
      <c r="AV1279" s="27">
        <f t="shared" si="445"/>
        <v>6.2074469713562223E-2</v>
      </c>
      <c r="AW1279" s="27">
        <f t="shared" si="445"/>
        <v>6.2103581129763968E-2</v>
      </c>
      <c r="AY1279" s="79"/>
      <c r="AZ1279" s="79"/>
    </row>
    <row r="1280" spans="1:52" x14ac:dyDescent="0.3">
      <c r="A1280" s="95" t="str">
        <f t="shared" si="384"/>
        <v>FSFAGSPQNIBDDSCM Organic</v>
      </c>
      <c r="B1280" s="95" t="s">
        <v>1375</v>
      </c>
      <c r="C1280" s="95" t="s">
        <v>1127</v>
      </c>
      <c r="D1280" t="s">
        <v>369</v>
      </c>
      <c r="E1280" t="s">
        <v>55</v>
      </c>
      <c r="F1280" t="s">
        <v>421</v>
      </c>
      <c r="G1280" t="s">
        <v>1166</v>
      </c>
      <c r="H1280" t="s">
        <v>1167</v>
      </c>
      <c r="I1280" t="s">
        <v>139</v>
      </c>
      <c r="J1280" t="s">
        <v>287</v>
      </c>
      <c r="K1280" s="27">
        <f t="shared" ref="K1280:AW1280" si="446">IFERROR(K1473-((K1473-K64)+(K1473-K217)+(K1473-K370)+(K1473-K522)+(K1473-K674)+(K1473-K825)+(K1473-K976)+(K1473-K1127)),0)</f>
        <v>4.7496930236945983E-2</v>
      </c>
      <c r="L1280" s="27">
        <f t="shared" si="446"/>
        <v>4.7522611675988952E-2</v>
      </c>
      <c r="M1280" s="27">
        <f t="shared" si="446"/>
        <v>4.7584015033260249E-2</v>
      </c>
      <c r="N1280" s="27">
        <f t="shared" si="446"/>
        <v>4.7674554775764919E-2</v>
      </c>
      <c r="O1280" s="27">
        <f t="shared" si="446"/>
        <v>4.7793655551108268E-2</v>
      </c>
      <c r="P1280" s="27">
        <f t="shared" si="446"/>
        <v>4.7940059704389672E-2</v>
      </c>
      <c r="Q1280" s="27">
        <f t="shared" si="446"/>
        <v>4.8104491552124547E-2</v>
      </c>
      <c r="R1280" s="27">
        <f t="shared" si="446"/>
        <v>4.8285912978158388E-2</v>
      </c>
      <c r="S1280" s="27">
        <f t="shared" si="446"/>
        <v>4.8451812884003569E-2</v>
      </c>
      <c r="T1280" s="27">
        <f t="shared" si="446"/>
        <v>4.8524713319004827E-2</v>
      </c>
      <c r="U1280" s="27">
        <f t="shared" si="446"/>
        <v>4.8613740411504645E-2</v>
      </c>
      <c r="V1280" s="27">
        <f t="shared" si="446"/>
        <v>4.8707314834861425E-2</v>
      </c>
      <c r="W1280" s="27">
        <f t="shared" si="446"/>
        <v>4.8812372102251839E-2</v>
      </c>
      <c r="X1280" s="27">
        <f t="shared" si="446"/>
        <v>4.8928618261364118E-2</v>
      </c>
      <c r="Y1280" s="27">
        <f t="shared" si="446"/>
        <v>4.9001216914416376E-2</v>
      </c>
      <c r="Z1280" s="27">
        <f t="shared" si="446"/>
        <v>4.908323498885471E-2</v>
      </c>
      <c r="AA1280" s="27">
        <f t="shared" si="446"/>
        <v>4.9173564238571964E-2</v>
      </c>
      <c r="AB1280" s="27">
        <f t="shared" si="446"/>
        <v>4.9272453037208674E-2</v>
      </c>
      <c r="AC1280" s="27">
        <f t="shared" si="446"/>
        <v>4.9378880703714607E-2</v>
      </c>
      <c r="AD1280" s="27">
        <f t="shared" si="446"/>
        <v>4.9450274007947166E-2</v>
      </c>
      <c r="AE1280" s="27">
        <f t="shared" si="446"/>
        <v>4.9527779551040076E-2</v>
      </c>
      <c r="AF1280" s="27">
        <f t="shared" si="446"/>
        <v>4.9612020350622385E-2</v>
      </c>
      <c r="AG1280" s="27">
        <f t="shared" si="446"/>
        <v>4.9703818732780645E-2</v>
      </c>
      <c r="AH1280" s="27">
        <f t="shared" si="446"/>
        <v>4.9800418179697173E-2</v>
      </c>
      <c r="AI1280" s="27">
        <f t="shared" si="446"/>
        <v>4.9862164239042377E-2</v>
      </c>
      <c r="AJ1280" s="27">
        <f t="shared" si="446"/>
        <v>4.992979677227443E-2</v>
      </c>
      <c r="AK1280" s="27">
        <f t="shared" si="446"/>
        <v>5.0001085117194859E-2</v>
      </c>
      <c r="AL1280" s="27">
        <f t="shared" si="446"/>
        <v>5.0076788210912958E-2</v>
      </c>
      <c r="AM1280" s="27">
        <f t="shared" si="446"/>
        <v>5.0156791270960163E-2</v>
      </c>
      <c r="AN1280" s="27">
        <f t="shared" si="446"/>
        <v>5.0204062997244822E-2</v>
      </c>
      <c r="AO1280" s="27">
        <f t="shared" si="446"/>
        <v>5.0254526138690123E-2</v>
      </c>
      <c r="AP1280" s="27">
        <f t="shared" si="446"/>
        <v>5.0309264532021343E-2</v>
      </c>
      <c r="AQ1280" s="27">
        <f t="shared" si="446"/>
        <v>5.036822525682455E-2</v>
      </c>
      <c r="AR1280" s="27">
        <f t="shared" si="446"/>
        <v>5.0431407091243406E-2</v>
      </c>
      <c r="AS1280" s="27">
        <f t="shared" si="446"/>
        <v>5.0460071174945387E-2</v>
      </c>
      <c r="AT1280" s="27">
        <f t="shared" si="446"/>
        <v>5.0478543281871534E-2</v>
      </c>
      <c r="AU1280" s="27">
        <f t="shared" si="446"/>
        <v>5.0498792202188725E-2</v>
      </c>
      <c r="AV1280" s="27">
        <f t="shared" si="446"/>
        <v>5.0520180491040283E-2</v>
      </c>
      <c r="AW1280" s="27">
        <f t="shared" si="446"/>
        <v>5.0543873226679401E-2</v>
      </c>
      <c r="AY1280" s="79"/>
      <c r="AZ1280" s="79"/>
    </row>
    <row r="1281" spans="1:52" x14ac:dyDescent="0.3">
      <c r="A1281" s="95" t="str">
        <f t="shared" si="384"/>
        <v>FSFAGSPQNIBDDSCM Organic</v>
      </c>
      <c r="B1281" s="95" t="s">
        <v>1375</v>
      </c>
      <c r="C1281" s="95" t="s">
        <v>1127</v>
      </c>
      <c r="D1281" t="s">
        <v>369</v>
      </c>
      <c r="E1281" t="s">
        <v>55</v>
      </c>
      <c r="F1281" t="s">
        <v>421</v>
      </c>
      <c r="G1281" t="s">
        <v>1168</v>
      </c>
      <c r="H1281" t="s">
        <v>1169</v>
      </c>
      <c r="I1281" t="s">
        <v>139</v>
      </c>
      <c r="J1281" t="s">
        <v>287</v>
      </c>
      <c r="K1281" s="27">
        <f t="shared" ref="K1281:AW1281" si="447">IFERROR(K1474-((K1474-K65)+(K1474-K218)+(K1474-K371)+(K1474-K523)+(K1474-K675)+(K1474-K826)+(K1474-K977)+(K1474-K1128)),0)</f>
        <v>7.214092738049376E-3</v>
      </c>
      <c r="L1281" s="27">
        <f t="shared" si="447"/>
        <v>7.2328458969643655E-3</v>
      </c>
      <c r="M1281" s="27">
        <f t="shared" si="447"/>
        <v>7.2587152169743185E-3</v>
      </c>
      <c r="N1281" s="27">
        <f t="shared" si="447"/>
        <v>7.2902308808567374E-3</v>
      </c>
      <c r="O1281" s="27">
        <f t="shared" si="447"/>
        <v>7.3273479389297461E-3</v>
      </c>
      <c r="P1281" s="27">
        <f t="shared" si="447"/>
        <v>7.3698404773103405E-3</v>
      </c>
      <c r="Q1281" s="27">
        <f t="shared" si="447"/>
        <v>7.4155715935563154E-3</v>
      </c>
      <c r="R1281" s="27">
        <f t="shared" si="447"/>
        <v>7.4643602602570466E-3</v>
      </c>
      <c r="S1281" s="27">
        <f t="shared" si="447"/>
        <v>7.508606055628168E-3</v>
      </c>
      <c r="T1281" s="27">
        <f t="shared" si="447"/>
        <v>7.530218392894506E-3</v>
      </c>
      <c r="U1281" s="27">
        <f t="shared" si="447"/>
        <v>7.5549909541397786E-3</v>
      </c>
      <c r="V1281" s="27">
        <f t="shared" si="447"/>
        <v>7.5802429112896688E-3</v>
      </c>
      <c r="W1281" s="27">
        <f t="shared" si="447"/>
        <v>7.6076305558180233E-3</v>
      </c>
      <c r="X1281" s="27">
        <f t="shared" si="447"/>
        <v>7.6371086242101958E-3</v>
      </c>
      <c r="Y1281" s="27">
        <f t="shared" si="447"/>
        <v>7.6559732990994986E-3</v>
      </c>
      <c r="Z1281" s="27">
        <f t="shared" si="447"/>
        <v>7.6766122997346123E-3</v>
      </c>
      <c r="AA1281" s="27">
        <f t="shared" si="447"/>
        <v>7.6987842276677087E-3</v>
      </c>
      <c r="AB1281" s="27">
        <f t="shared" si="447"/>
        <v>7.7225602786557407E-3</v>
      </c>
      <c r="AC1281" s="27">
        <f t="shared" si="447"/>
        <v>7.7477172000671966E-3</v>
      </c>
      <c r="AD1281" s="27">
        <f t="shared" si="447"/>
        <v>7.7644940114083667E-3</v>
      </c>
      <c r="AE1281" s="27">
        <f t="shared" si="447"/>
        <v>7.7823854824558272E-3</v>
      </c>
      <c r="AF1281" s="27">
        <f t="shared" si="447"/>
        <v>7.8015430548696758E-3</v>
      </c>
      <c r="AG1281" s="27">
        <f t="shared" si="447"/>
        <v>7.8221613065677827E-3</v>
      </c>
      <c r="AH1281" s="27">
        <f t="shared" si="447"/>
        <v>7.8436173383695379E-3</v>
      </c>
      <c r="AI1281" s="27">
        <f t="shared" si="447"/>
        <v>7.8569056109017259E-3</v>
      </c>
      <c r="AJ1281" s="27">
        <f t="shared" si="447"/>
        <v>7.8713258060749292E-3</v>
      </c>
      <c r="AK1281" s="27">
        <f t="shared" si="447"/>
        <v>7.8863764085469988E-3</v>
      </c>
      <c r="AL1281" s="27">
        <f t="shared" si="447"/>
        <v>7.9022347099283879E-3</v>
      </c>
      <c r="AM1281" s="27">
        <f t="shared" si="447"/>
        <v>7.9188789980088534E-3</v>
      </c>
      <c r="AN1281" s="27">
        <f t="shared" si="447"/>
        <v>7.927972418898541E-3</v>
      </c>
      <c r="AO1281" s="27">
        <f t="shared" si="447"/>
        <v>7.9376387015817219E-3</v>
      </c>
      <c r="AP1281" s="27">
        <f t="shared" si="447"/>
        <v>7.9481245993818089E-3</v>
      </c>
      <c r="AQ1281" s="27">
        <f t="shared" si="447"/>
        <v>7.9594200977915561E-3</v>
      </c>
      <c r="AR1281" s="27">
        <f t="shared" si="447"/>
        <v>7.9715264998755E-3</v>
      </c>
      <c r="AS1281" s="27">
        <f t="shared" si="447"/>
        <v>7.9757936370942299E-3</v>
      </c>
      <c r="AT1281" s="27">
        <f t="shared" si="447"/>
        <v>7.9776886737032964E-3</v>
      </c>
      <c r="AU1281" s="27">
        <f t="shared" si="447"/>
        <v>7.979891666850529E-3</v>
      </c>
      <c r="AV1281" s="27">
        <f t="shared" si="447"/>
        <v>7.9822633621210899E-3</v>
      </c>
      <c r="AW1281" s="27">
        <f t="shared" si="447"/>
        <v>7.9850651414760491E-3</v>
      </c>
      <c r="AY1281" s="79"/>
      <c r="AZ1281" s="79"/>
    </row>
    <row r="1282" spans="1:52" x14ac:dyDescent="0.3">
      <c r="A1282" s="95" t="str">
        <f t="shared" si="384"/>
        <v>FSFAGSPQNIBDDSCM Organic</v>
      </c>
      <c r="B1282" s="95" t="s">
        <v>1375</v>
      </c>
      <c r="C1282" s="95" t="s">
        <v>1127</v>
      </c>
      <c r="D1282" t="s">
        <v>369</v>
      </c>
      <c r="E1282" t="s">
        <v>55</v>
      </c>
      <c r="F1282" t="s">
        <v>421</v>
      </c>
      <c r="G1282" t="s">
        <v>1170</v>
      </c>
      <c r="H1282" t="s">
        <v>1171</v>
      </c>
      <c r="I1282" t="s">
        <v>139</v>
      </c>
      <c r="J1282" t="s">
        <v>287</v>
      </c>
      <c r="K1282" s="27">
        <f t="shared" ref="K1282:AW1282" si="448">IFERROR(K1475-((K1475-K66)+(K1475-K219)+(K1475-K372)+(K1475-K524)+(K1475-K676)+(K1475-K827)+(K1475-K978)+(K1475-K1129)),0)</f>
        <v>8.7045671471293537E-2</v>
      </c>
      <c r="L1282" s="27">
        <f t="shared" si="448"/>
        <v>8.7271948200639354E-2</v>
      </c>
      <c r="M1282" s="27">
        <f t="shared" si="448"/>
        <v>8.7584088952434122E-2</v>
      </c>
      <c r="N1282" s="27">
        <f t="shared" si="448"/>
        <v>8.7964358824768829E-2</v>
      </c>
      <c r="O1282" s="27">
        <f t="shared" si="448"/>
        <v>8.8412215452112072E-2</v>
      </c>
      <c r="P1282" s="27">
        <f t="shared" si="448"/>
        <v>8.8924932944132923E-2</v>
      </c>
      <c r="Q1282" s="27">
        <f t="shared" si="448"/>
        <v>8.9476727309038592E-2</v>
      </c>
      <c r="R1282" s="27">
        <f t="shared" si="448"/>
        <v>9.0065414259340087E-2</v>
      </c>
      <c r="S1282" s="27">
        <f t="shared" si="448"/>
        <v>9.0599286654346481E-2</v>
      </c>
      <c r="T1282" s="27">
        <f t="shared" si="448"/>
        <v>9.0860062399505684E-2</v>
      </c>
      <c r="U1282" s="27">
        <f t="shared" si="448"/>
        <v>9.1158969594901898E-2</v>
      </c>
      <c r="V1282" s="27">
        <f t="shared" si="448"/>
        <v>9.146366120975781E-2</v>
      </c>
      <c r="W1282" s="27">
        <f t="shared" si="448"/>
        <v>9.1794122155375246E-2</v>
      </c>
      <c r="X1282" s="27">
        <f t="shared" si="448"/>
        <v>9.2149806279498009E-2</v>
      </c>
      <c r="Y1282" s="27">
        <f t="shared" si="448"/>
        <v>9.2377428567213551E-2</v>
      </c>
      <c r="Z1282" s="27">
        <f t="shared" si="448"/>
        <v>9.2626459974767344E-2</v>
      </c>
      <c r="AA1282" s="27">
        <f t="shared" si="448"/>
        <v>9.289398777414952E-2</v>
      </c>
      <c r="AB1282" s="27">
        <f t="shared" si="448"/>
        <v>9.3180871017592357E-2</v>
      </c>
      <c r="AC1282" s="27">
        <f t="shared" si="448"/>
        <v>9.34844159255835E-2</v>
      </c>
      <c r="AD1282" s="27">
        <f t="shared" si="448"/>
        <v>9.368684592771491E-2</v>
      </c>
      <c r="AE1282" s="27">
        <f t="shared" si="448"/>
        <v>9.3902725480069615E-2</v>
      </c>
      <c r="AF1282" s="27">
        <f t="shared" si="448"/>
        <v>9.4133881886713511E-2</v>
      </c>
      <c r="AG1282" s="27">
        <f t="shared" si="448"/>
        <v>9.4382662936360925E-2</v>
      </c>
      <c r="AH1282" s="27">
        <f t="shared" si="448"/>
        <v>9.4641552690500438E-2</v>
      </c>
      <c r="AI1282" s="27">
        <f t="shared" si="448"/>
        <v>9.4801889776154655E-2</v>
      </c>
      <c r="AJ1282" s="27">
        <f t="shared" si="448"/>
        <v>9.4975884707627883E-2</v>
      </c>
      <c r="AK1282" s="27">
        <f t="shared" si="448"/>
        <v>9.5157486171013425E-2</v>
      </c>
      <c r="AL1282" s="27">
        <f t="shared" si="448"/>
        <v>9.534883337741358E-2</v>
      </c>
      <c r="AM1282" s="27">
        <f t="shared" si="448"/>
        <v>9.5549664346009811E-2</v>
      </c>
      <c r="AN1282" s="27">
        <f t="shared" si="448"/>
        <v>9.5659386102584815E-2</v>
      </c>
      <c r="AO1282" s="27">
        <f t="shared" si="448"/>
        <v>9.5776020043586318E-2</v>
      </c>
      <c r="AP1282" s="27">
        <f t="shared" si="448"/>
        <v>9.5902543509270868E-2</v>
      </c>
      <c r="AQ1282" s="27">
        <f t="shared" si="448"/>
        <v>9.6038835663999289E-2</v>
      </c>
      <c r="AR1282" s="27">
        <f t="shared" si="448"/>
        <v>9.6184912230625655E-2</v>
      </c>
      <c r="AS1282" s="27">
        <f t="shared" si="448"/>
        <v>9.6236399761761113E-2</v>
      </c>
      <c r="AT1282" s="27">
        <f t="shared" si="448"/>
        <v>9.625926538604522E-2</v>
      </c>
      <c r="AU1282" s="27">
        <f t="shared" si="448"/>
        <v>9.6285846832210489E-2</v>
      </c>
      <c r="AV1282" s="27">
        <f t="shared" si="448"/>
        <v>9.6314463848216167E-2</v>
      </c>
      <c r="AW1282" s="27">
        <f t="shared" si="448"/>
        <v>9.6348270284329823E-2</v>
      </c>
      <c r="AY1282" s="79"/>
      <c r="AZ1282" s="79"/>
    </row>
    <row r="1283" spans="1:52" x14ac:dyDescent="0.3">
      <c r="A1283" s="95" t="str">
        <f t="shared" si="384"/>
        <v>FSFAGSPQNIBDDSCM Organic</v>
      </c>
      <c r="B1283" s="95" t="s">
        <v>1375</v>
      </c>
      <c r="C1283" s="95" t="s">
        <v>1127</v>
      </c>
      <c r="D1283" t="s">
        <v>369</v>
      </c>
      <c r="E1283" t="s">
        <v>55</v>
      </c>
      <c r="F1283" t="s">
        <v>421</v>
      </c>
      <c r="G1283" t="s">
        <v>1172</v>
      </c>
      <c r="H1283" t="s">
        <v>1173</v>
      </c>
      <c r="I1283" t="s">
        <v>139</v>
      </c>
      <c r="J1283" t="s">
        <v>287</v>
      </c>
      <c r="K1283" s="27">
        <f t="shared" ref="K1283:AW1283" si="449">IFERROR(K1476-((K1476-K67)+(K1476-K220)+(K1476-K373)+(K1476-K525)+(K1476-K677)+(K1476-K828)+(K1476-K979)+(K1476-K1130)),0)</f>
        <v>0</v>
      </c>
      <c r="L1283" s="27">
        <f t="shared" si="449"/>
        <v>0</v>
      </c>
      <c r="M1283" s="27">
        <f t="shared" si="449"/>
        <v>0</v>
      </c>
      <c r="N1283" s="27">
        <f t="shared" si="449"/>
        <v>0</v>
      </c>
      <c r="O1283" s="27">
        <f t="shared" si="449"/>
        <v>0</v>
      </c>
      <c r="P1283" s="27">
        <f t="shared" si="449"/>
        <v>0</v>
      </c>
      <c r="Q1283" s="27">
        <f t="shared" si="449"/>
        <v>0</v>
      </c>
      <c r="R1283" s="27">
        <f t="shared" si="449"/>
        <v>0</v>
      </c>
      <c r="S1283" s="27">
        <f t="shared" si="449"/>
        <v>0</v>
      </c>
      <c r="T1283" s="27">
        <f t="shared" si="449"/>
        <v>0</v>
      </c>
      <c r="U1283" s="27">
        <f t="shared" si="449"/>
        <v>0</v>
      </c>
      <c r="V1283" s="27">
        <f t="shared" si="449"/>
        <v>0</v>
      </c>
      <c r="W1283" s="27">
        <f t="shared" si="449"/>
        <v>0</v>
      </c>
      <c r="X1283" s="27">
        <f t="shared" si="449"/>
        <v>0</v>
      </c>
      <c r="Y1283" s="27">
        <f t="shared" si="449"/>
        <v>0</v>
      </c>
      <c r="Z1283" s="27">
        <f t="shared" si="449"/>
        <v>0</v>
      </c>
      <c r="AA1283" s="27">
        <f t="shared" si="449"/>
        <v>0</v>
      </c>
      <c r="AB1283" s="27">
        <f t="shared" si="449"/>
        <v>0</v>
      </c>
      <c r="AC1283" s="27">
        <f t="shared" si="449"/>
        <v>0</v>
      </c>
      <c r="AD1283" s="27">
        <f t="shared" si="449"/>
        <v>0</v>
      </c>
      <c r="AE1283" s="27">
        <f t="shared" si="449"/>
        <v>0</v>
      </c>
      <c r="AF1283" s="27">
        <f t="shared" si="449"/>
        <v>0</v>
      </c>
      <c r="AG1283" s="27">
        <f t="shared" si="449"/>
        <v>0</v>
      </c>
      <c r="AH1283" s="27">
        <f t="shared" si="449"/>
        <v>0</v>
      </c>
      <c r="AI1283" s="27">
        <f t="shared" si="449"/>
        <v>0</v>
      </c>
      <c r="AJ1283" s="27">
        <f t="shared" si="449"/>
        <v>0</v>
      </c>
      <c r="AK1283" s="27">
        <f t="shared" si="449"/>
        <v>0</v>
      </c>
      <c r="AL1283" s="27">
        <f t="shared" si="449"/>
        <v>0</v>
      </c>
      <c r="AM1283" s="27">
        <f t="shared" si="449"/>
        <v>0</v>
      </c>
      <c r="AN1283" s="27">
        <f t="shared" si="449"/>
        <v>0</v>
      </c>
      <c r="AO1283" s="27">
        <f t="shared" si="449"/>
        <v>0</v>
      </c>
      <c r="AP1283" s="27">
        <f t="shared" si="449"/>
        <v>0</v>
      </c>
      <c r="AQ1283" s="27">
        <f t="shared" si="449"/>
        <v>0</v>
      </c>
      <c r="AR1283" s="27">
        <f t="shared" si="449"/>
        <v>0</v>
      </c>
      <c r="AS1283" s="27">
        <f t="shared" si="449"/>
        <v>0</v>
      </c>
      <c r="AT1283" s="27">
        <f t="shared" si="449"/>
        <v>0</v>
      </c>
      <c r="AU1283" s="27">
        <f t="shared" si="449"/>
        <v>0</v>
      </c>
      <c r="AV1283" s="27">
        <f t="shared" si="449"/>
        <v>0</v>
      </c>
      <c r="AW1283" s="27">
        <f t="shared" si="449"/>
        <v>0</v>
      </c>
      <c r="AY1283" s="79"/>
      <c r="AZ1283" s="79"/>
    </row>
    <row r="1284" spans="1:52" x14ac:dyDescent="0.3">
      <c r="A1284" s="95" t="str">
        <f t="shared" si="384"/>
        <v>FSFAGSPQNIBDDSCM Organic</v>
      </c>
      <c r="B1284" s="95" t="s">
        <v>1375</v>
      </c>
      <c r="C1284" s="95" t="s">
        <v>1127</v>
      </c>
      <c r="D1284" t="s">
        <v>369</v>
      </c>
      <c r="E1284" t="s">
        <v>55</v>
      </c>
      <c r="F1284" t="s">
        <v>421</v>
      </c>
      <c r="G1284" t="s">
        <v>1174</v>
      </c>
      <c r="H1284" t="s">
        <v>1175</v>
      </c>
      <c r="I1284" t="s">
        <v>139</v>
      </c>
      <c r="J1284" t="s">
        <v>287</v>
      </c>
      <c r="K1284" s="27">
        <f t="shared" ref="K1284:AW1284" si="450">IFERROR(K1477-((K1477-K68)+(K1477-K221)+(K1477-K374)+(K1477-K526)+(K1477-K678)+(K1477-K829)+(K1477-K980)+(K1477-K1131)),0)</f>
        <v>0</v>
      </c>
      <c r="L1284" s="27">
        <f t="shared" si="450"/>
        <v>0</v>
      </c>
      <c r="M1284" s="27">
        <f t="shared" si="450"/>
        <v>0</v>
      </c>
      <c r="N1284" s="27">
        <f t="shared" si="450"/>
        <v>0</v>
      </c>
      <c r="O1284" s="27">
        <f t="shared" si="450"/>
        <v>0</v>
      </c>
      <c r="P1284" s="27">
        <f t="shared" si="450"/>
        <v>0</v>
      </c>
      <c r="Q1284" s="27">
        <f t="shared" si="450"/>
        <v>0</v>
      </c>
      <c r="R1284" s="27">
        <f t="shared" si="450"/>
        <v>0</v>
      </c>
      <c r="S1284" s="27">
        <f t="shared" si="450"/>
        <v>0</v>
      </c>
      <c r="T1284" s="27">
        <f t="shared" si="450"/>
        <v>0</v>
      </c>
      <c r="U1284" s="27">
        <f t="shared" si="450"/>
        <v>0</v>
      </c>
      <c r="V1284" s="27">
        <f t="shared" si="450"/>
        <v>0</v>
      </c>
      <c r="W1284" s="27">
        <f t="shared" si="450"/>
        <v>0</v>
      </c>
      <c r="X1284" s="27">
        <f t="shared" si="450"/>
        <v>0</v>
      </c>
      <c r="Y1284" s="27">
        <f t="shared" si="450"/>
        <v>0</v>
      </c>
      <c r="Z1284" s="27">
        <f t="shared" si="450"/>
        <v>0</v>
      </c>
      <c r="AA1284" s="27">
        <f t="shared" si="450"/>
        <v>0</v>
      </c>
      <c r="AB1284" s="27">
        <f t="shared" si="450"/>
        <v>0</v>
      </c>
      <c r="AC1284" s="27">
        <f t="shared" si="450"/>
        <v>0</v>
      </c>
      <c r="AD1284" s="27">
        <f t="shared" si="450"/>
        <v>0</v>
      </c>
      <c r="AE1284" s="27">
        <f t="shared" si="450"/>
        <v>0</v>
      </c>
      <c r="AF1284" s="27">
        <f t="shared" si="450"/>
        <v>0</v>
      </c>
      <c r="AG1284" s="27">
        <f t="shared" si="450"/>
        <v>0</v>
      </c>
      <c r="AH1284" s="27">
        <f t="shared" si="450"/>
        <v>0</v>
      </c>
      <c r="AI1284" s="27">
        <f t="shared" si="450"/>
        <v>0</v>
      </c>
      <c r="AJ1284" s="27">
        <f t="shared" si="450"/>
        <v>0</v>
      </c>
      <c r="AK1284" s="27">
        <f t="shared" si="450"/>
        <v>0</v>
      </c>
      <c r="AL1284" s="27">
        <f t="shared" si="450"/>
        <v>0</v>
      </c>
      <c r="AM1284" s="27">
        <f t="shared" si="450"/>
        <v>0</v>
      </c>
      <c r="AN1284" s="27">
        <f t="shared" si="450"/>
        <v>0</v>
      </c>
      <c r="AO1284" s="27">
        <f t="shared" si="450"/>
        <v>0</v>
      </c>
      <c r="AP1284" s="27">
        <f t="shared" si="450"/>
        <v>0</v>
      </c>
      <c r="AQ1284" s="27">
        <f t="shared" si="450"/>
        <v>0</v>
      </c>
      <c r="AR1284" s="27">
        <f t="shared" si="450"/>
        <v>0</v>
      </c>
      <c r="AS1284" s="27">
        <f t="shared" si="450"/>
        <v>0</v>
      </c>
      <c r="AT1284" s="27">
        <f t="shared" si="450"/>
        <v>0</v>
      </c>
      <c r="AU1284" s="27">
        <f t="shared" si="450"/>
        <v>0</v>
      </c>
      <c r="AV1284" s="27">
        <f t="shared" si="450"/>
        <v>0</v>
      </c>
      <c r="AW1284" s="27">
        <f t="shared" si="450"/>
        <v>0</v>
      </c>
      <c r="AY1284" s="79"/>
      <c r="AZ1284" s="79"/>
    </row>
    <row r="1285" spans="1:52" x14ac:dyDescent="0.3">
      <c r="A1285" s="95" t="str">
        <f t="shared" si="384"/>
        <v>FSFAGSPQNIBDDSCM Organic</v>
      </c>
      <c r="B1285" s="95" t="s">
        <v>1375</v>
      </c>
      <c r="C1285" s="95" t="s">
        <v>1127</v>
      </c>
      <c r="D1285" t="s">
        <v>369</v>
      </c>
      <c r="E1285" t="s">
        <v>55</v>
      </c>
      <c r="F1285" t="s">
        <v>421</v>
      </c>
      <c r="G1285" t="s">
        <v>1176</v>
      </c>
      <c r="H1285" t="s">
        <v>1177</v>
      </c>
      <c r="I1285" t="s">
        <v>139</v>
      </c>
      <c r="J1285" t="s">
        <v>287</v>
      </c>
      <c r="K1285" s="27">
        <f t="shared" ref="K1285:AW1285" si="451">IFERROR(K1478-((K1478-K69)+(K1478-K222)+(K1478-K375)+(K1478-K527)+(K1478-K679)+(K1478-K830)+(K1478-K981)+(K1478-K1132)),0)</f>
        <v>0.12462873299340151</v>
      </c>
      <c r="L1285" s="27">
        <f t="shared" si="451"/>
        <v>0.1239512929347177</v>
      </c>
      <c r="M1285" s="27">
        <f t="shared" si="451"/>
        <v>0.12400689511310994</v>
      </c>
      <c r="N1285" s="27">
        <f t="shared" si="451"/>
        <v>0.12286841678965586</v>
      </c>
      <c r="O1285" s="27">
        <f t="shared" si="451"/>
        <v>0.12100901910044999</v>
      </c>
      <c r="P1285" s="27">
        <f t="shared" si="451"/>
        <v>0.11845842648899828</v>
      </c>
      <c r="Q1285" s="27">
        <f t="shared" si="451"/>
        <v>0.11660641339960404</v>
      </c>
      <c r="R1285" s="27">
        <f t="shared" si="451"/>
        <v>0.1149182786313902</v>
      </c>
      <c r="S1285" s="27">
        <f t="shared" si="451"/>
        <v>0.10146708298993465</v>
      </c>
      <c r="T1285" s="27">
        <f t="shared" si="451"/>
        <v>0.10275020296586759</v>
      </c>
      <c r="U1285" s="27">
        <f t="shared" si="451"/>
        <v>0.10550352655141972</v>
      </c>
      <c r="V1285" s="27">
        <f t="shared" si="451"/>
        <v>0.10575351402910073</v>
      </c>
      <c r="W1285" s="27">
        <f t="shared" si="451"/>
        <v>0.10629487580237802</v>
      </c>
      <c r="X1285" s="27">
        <f t="shared" si="451"/>
        <v>0.10720509536861222</v>
      </c>
      <c r="Y1285" s="27">
        <f t="shared" si="451"/>
        <v>0.10834723898966528</v>
      </c>
      <c r="Z1285" s="27">
        <f t="shared" si="451"/>
        <v>0.10974683917126901</v>
      </c>
      <c r="AA1285" s="27">
        <f t="shared" si="451"/>
        <v>0.1111628062750292</v>
      </c>
      <c r="AB1285" s="27">
        <f t="shared" si="451"/>
        <v>0.11279760688156307</v>
      </c>
      <c r="AC1285" s="27">
        <f t="shared" si="451"/>
        <v>0.11442112413234014</v>
      </c>
      <c r="AD1285" s="27">
        <f t="shared" si="451"/>
        <v>0.11643957996744059</v>
      </c>
      <c r="AE1285" s="27">
        <f t="shared" si="451"/>
        <v>0.11829771598770626</v>
      </c>
      <c r="AF1285" s="27">
        <f t="shared" si="451"/>
        <v>0.12027492127071612</v>
      </c>
      <c r="AG1285" s="27">
        <f t="shared" si="451"/>
        <v>0.12268685377616716</v>
      </c>
      <c r="AH1285" s="27">
        <f t="shared" si="451"/>
        <v>0.12475791099342097</v>
      </c>
      <c r="AI1285" s="27">
        <f t="shared" si="451"/>
        <v>0.12699329856497024</v>
      </c>
      <c r="AJ1285" s="27">
        <f t="shared" si="451"/>
        <v>0.12941943299405728</v>
      </c>
      <c r="AK1285" s="27">
        <f t="shared" si="451"/>
        <v>0.13144337900700456</v>
      </c>
      <c r="AL1285" s="27">
        <f t="shared" si="451"/>
        <v>0.13334140591601026</v>
      </c>
      <c r="AM1285" s="27">
        <f t="shared" si="451"/>
        <v>0.13512882169953486</v>
      </c>
      <c r="AN1285" s="27">
        <f t="shared" si="451"/>
        <v>0.13719268069693955</v>
      </c>
      <c r="AO1285" s="27">
        <f t="shared" si="451"/>
        <v>0.13898281232646292</v>
      </c>
      <c r="AP1285" s="27">
        <f t="shared" si="451"/>
        <v>0.140830682916952</v>
      </c>
      <c r="AQ1285" s="27">
        <f t="shared" si="451"/>
        <v>0.14275023053200411</v>
      </c>
      <c r="AR1285" s="27">
        <f t="shared" si="451"/>
        <v>0.14476547350370239</v>
      </c>
      <c r="AS1285" s="27">
        <f t="shared" si="451"/>
        <v>0.14688161225730581</v>
      </c>
      <c r="AT1285" s="27">
        <f t="shared" si="451"/>
        <v>0.14559391276445241</v>
      </c>
      <c r="AU1285" s="27">
        <f t="shared" si="451"/>
        <v>0.14400863154663293</v>
      </c>
      <c r="AV1285" s="27">
        <f t="shared" si="451"/>
        <v>0.1420082821543816</v>
      </c>
      <c r="AW1285" s="27">
        <f t="shared" si="451"/>
        <v>0.13990982914905775</v>
      </c>
      <c r="AY1285" s="79"/>
      <c r="AZ1285" s="79"/>
    </row>
    <row r="1286" spans="1:52" x14ac:dyDescent="0.3">
      <c r="A1286" s="95" t="str">
        <f t="shared" si="384"/>
        <v>FSFAGSPQNIBDDSCM Organic</v>
      </c>
      <c r="B1286" s="95" t="s">
        <v>1375</v>
      </c>
      <c r="C1286" s="95" t="s">
        <v>1127</v>
      </c>
      <c r="D1286" t="s">
        <v>369</v>
      </c>
      <c r="E1286" t="s">
        <v>55</v>
      </c>
      <c r="F1286" t="s">
        <v>421</v>
      </c>
      <c r="G1286" t="s">
        <v>1178</v>
      </c>
      <c r="H1286" t="s">
        <v>1179</v>
      </c>
      <c r="I1286" t="s">
        <v>139</v>
      </c>
      <c r="J1286" t="s">
        <v>287</v>
      </c>
      <c r="K1286" s="27">
        <f t="shared" ref="K1286:AW1286" si="452">IFERROR(K1479-((K1479-K70)+(K1479-K223)+(K1479-K376)+(K1479-K528)+(K1479-K680)+(K1479-K831)+(K1479-K982)+(K1479-K1133)),0)</f>
        <v>3.1618785484610064E-2</v>
      </c>
      <c r="L1286" s="27">
        <f t="shared" si="452"/>
        <v>3.1446916354757486E-2</v>
      </c>
      <c r="M1286" s="27">
        <f t="shared" si="452"/>
        <v>3.1461022839745618E-2</v>
      </c>
      <c r="N1286" s="27">
        <f t="shared" si="452"/>
        <v>3.1172186541537576E-2</v>
      </c>
      <c r="O1286" s="27">
        <f t="shared" si="452"/>
        <v>3.0700450247237825E-2</v>
      </c>
      <c r="P1286" s="27">
        <f t="shared" si="452"/>
        <v>3.0053355161673623E-2</v>
      </c>
      <c r="Q1286" s="27">
        <f t="shared" si="452"/>
        <v>2.9583492368545915E-2</v>
      </c>
      <c r="R1286" s="27">
        <f t="shared" si="452"/>
        <v>2.9155206131309674E-2</v>
      </c>
      <c r="S1286" s="27">
        <f t="shared" si="452"/>
        <v>2.5742586430512242E-2</v>
      </c>
      <c r="T1286" s="27">
        <f t="shared" si="452"/>
        <v>2.6068118868302407E-2</v>
      </c>
      <c r="U1286" s="27">
        <f t="shared" si="452"/>
        <v>2.6766647576171875E-2</v>
      </c>
      <c r="V1286" s="27">
        <f t="shared" si="452"/>
        <v>2.6830070353895639E-2</v>
      </c>
      <c r="W1286" s="27">
        <f t="shared" si="452"/>
        <v>2.6967415903093594E-2</v>
      </c>
      <c r="X1286" s="27">
        <f t="shared" si="452"/>
        <v>2.7198342082935097E-2</v>
      </c>
      <c r="Y1286" s="27">
        <f t="shared" si="452"/>
        <v>2.7488108281140813E-2</v>
      </c>
      <c r="Z1286" s="27">
        <f t="shared" si="452"/>
        <v>2.7843192191916763E-2</v>
      </c>
      <c r="AA1286" s="27">
        <f t="shared" si="452"/>
        <v>2.8202428453344759E-2</v>
      </c>
      <c r="AB1286" s="27">
        <f t="shared" si="452"/>
        <v>2.8617183610093744E-2</v>
      </c>
      <c r="AC1286" s="27">
        <f t="shared" si="452"/>
        <v>2.902907613639907E-2</v>
      </c>
      <c r="AD1286" s="27">
        <f t="shared" si="452"/>
        <v>2.9541166089713286E-2</v>
      </c>
      <c r="AE1286" s="27">
        <f t="shared" si="452"/>
        <v>3.0012582293784919E-2</v>
      </c>
      <c r="AF1286" s="27">
        <f t="shared" si="452"/>
        <v>3.05142068245088E-2</v>
      </c>
      <c r="AG1286" s="27">
        <f t="shared" si="452"/>
        <v>3.1126123311674345E-2</v>
      </c>
      <c r="AH1286" s="27">
        <f t="shared" si="452"/>
        <v>3.1651558436511636E-2</v>
      </c>
      <c r="AI1286" s="27">
        <f t="shared" si="452"/>
        <v>3.2218684799767874E-2</v>
      </c>
      <c r="AJ1286" s="27">
        <f t="shared" si="452"/>
        <v>3.2834204369193265E-2</v>
      </c>
      <c r="AK1286" s="27">
        <f t="shared" si="452"/>
        <v>3.334768720159275E-2</v>
      </c>
      <c r="AL1286" s="27">
        <f t="shared" si="452"/>
        <v>3.3829223876470492E-2</v>
      </c>
      <c r="AM1286" s="27">
        <f t="shared" si="452"/>
        <v>3.4282698086419032E-2</v>
      </c>
      <c r="AN1286" s="27">
        <f t="shared" si="452"/>
        <v>3.4806306995392507E-2</v>
      </c>
      <c r="AO1286" s="27">
        <f t="shared" si="452"/>
        <v>3.5260470225842028E-2</v>
      </c>
      <c r="AP1286" s="27">
        <f t="shared" si="452"/>
        <v>3.5729282051178403E-2</v>
      </c>
      <c r="AQ1286" s="27">
        <f t="shared" si="452"/>
        <v>3.6216278611362E-2</v>
      </c>
      <c r="AR1286" s="27">
        <f t="shared" si="452"/>
        <v>3.672755344896201E-2</v>
      </c>
      <c r="AS1286" s="27">
        <f t="shared" si="452"/>
        <v>3.7264425931725673E-2</v>
      </c>
      <c r="AT1286" s="27">
        <f t="shared" si="452"/>
        <v>3.6937731653004804E-2</v>
      </c>
      <c r="AU1286" s="27">
        <f t="shared" si="452"/>
        <v>3.6535539754274135E-2</v>
      </c>
      <c r="AV1286" s="27">
        <f t="shared" si="452"/>
        <v>3.6028043474654464E-2</v>
      </c>
      <c r="AW1286" s="27">
        <f t="shared" si="452"/>
        <v>3.5495657933766529E-2</v>
      </c>
      <c r="AY1286" s="79"/>
      <c r="AZ1286" s="79"/>
    </row>
    <row r="1287" spans="1:52" x14ac:dyDescent="0.3">
      <c r="A1287" s="95" t="str">
        <f t="shared" si="384"/>
        <v>FSFAGSPQNIBDDSCM Organic</v>
      </c>
      <c r="B1287" s="95" t="s">
        <v>1375</v>
      </c>
      <c r="C1287" s="95" t="s">
        <v>1127</v>
      </c>
      <c r="D1287" t="s">
        <v>369</v>
      </c>
      <c r="E1287" t="s">
        <v>55</v>
      </c>
      <c r="F1287" t="s">
        <v>421</v>
      </c>
      <c r="G1287" t="s">
        <v>1180</v>
      </c>
      <c r="H1287" t="s">
        <v>1181</v>
      </c>
      <c r="I1287" t="s">
        <v>139</v>
      </c>
      <c r="J1287" t="s">
        <v>287</v>
      </c>
      <c r="K1287" s="27">
        <f t="shared" ref="K1287:AW1287" si="453">IFERROR(K1480-((K1480-K71)+(K1480-K224)+(K1480-K377)+(K1480-K529)+(K1480-K681)+(K1480-K832)+(K1480-K983)+(K1480-K1134)),0)</f>
        <v>0.15700744358616764</v>
      </c>
      <c r="L1287" s="27">
        <f t="shared" si="453"/>
        <v>0.16019971617730658</v>
      </c>
      <c r="M1287" s="27">
        <f t="shared" si="453"/>
        <v>0.16393118028621728</v>
      </c>
      <c r="N1287" s="27">
        <f t="shared" si="453"/>
        <v>0.1667959170810015</v>
      </c>
      <c r="O1287" s="27">
        <f t="shared" si="453"/>
        <v>0.16909558154641685</v>
      </c>
      <c r="P1287" s="27">
        <f t="shared" si="453"/>
        <v>0.17081649742586277</v>
      </c>
      <c r="Q1287" s="27">
        <f t="shared" si="453"/>
        <v>0.17302318661183388</v>
      </c>
      <c r="R1287" s="27">
        <f t="shared" si="453"/>
        <v>0.17531753251219051</v>
      </c>
      <c r="S1287" s="27">
        <f t="shared" si="453"/>
        <v>0.16751439680213853</v>
      </c>
      <c r="T1287" s="27">
        <f t="shared" si="453"/>
        <v>0.17168380366965671</v>
      </c>
      <c r="U1287" s="27">
        <f t="shared" si="453"/>
        <v>0.17724022876298692</v>
      </c>
      <c r="V1287" s="27">
        <f t="shared" si="453"/>
        <v>0.18063841613712966</v>
      </c>
      <c r="W1287" s="27">
        <f t="shared" si="453"/>
        <v>0.18434318641003919</v>
      </c>
      <c r="X1287" s="27">
        <f t="shared" si="453"/>
        <v>0.188448281864291</v>
      </c>
      <c r="Y1287" s="27">
        <f t="shared" si="453"/>
        <v>0.19268830884381843</v>
      </c>
      <c r="Z1287" s="27">
        <f t="shared" si="453"/>
        <v>0.19725821874244767</v>
      </c>
      <c r="AA1287" s="27">
        <f t="shared" si="453"/>
        <v>0.20193089933116126</v>
      </c>
      <c r="AB1287" s="27">
        <f t="shared" si="453"/>
        <v>0.20692004706096712</v>
      </c>
      <c r="AC1287" s="27">
        <f t="shared" si="453"/>
        <v>0.21199804978928341</v>
      </c>
      <c r="AD1287" s="27">
        <f t="shared" si="453"/>
        <v>0.21747687739173732</v>
      </c>
      <c r="AE1287" s="27">
        <f t="shared" si="453"/>
        <v>0.22289913009362322</v>
      </c>
      <c r="AF1287" s="27">
        <f t="shared" si="453"/>
        <v>0.22857157153008073</v>
      </c>
      <c r="AG1287" s="27">
        <f t="shared" si="453"/>
        <v>0.23486719230657463</v>
      </c>
      <c r="AH1287" s="27">
        <f t="shared" si="453"/>
        <v>0.24091117160634945</v>
      </c>
      <c r="AI1287" s="27">
        <f t="shared" si="453"/>
        <v>0.24716162450629867</v>
      </c>
      <c r="AJ1287" s="27">
        <f t="shared" si="453"/>
        <v>0.25378810388351081</v>
      </c>
      <c r="AK1287" s="27">
        <f t="shared" si="453"/>
        <v>0.26007320548130258</v>
      </c>
      <c r="AL1287" s="27">
        <f t="shared" si="453"/>
        <v>0.26634117713838401</v>
      </c>
      <c r="AM1287" s="27">
        <f t="shared" si="453"/>
        <v>0.27260643897493425</v>
      </c>
      <c r="AN1287" s="27">
        <f t="shared" si="453"/>
        <v>0.2792535835644861</v>
      </c>
      <c r="AO1287" s="27">
        <f t="shared" si="453"/>
        <v>0.2856890752327706</v>
      </c>
      <c r="AP1287" s="27">
        <f t="shared" si="453"/>
        <v>0.29234742990941948</v>
      </c>
      <c r="AQ1287" s="27">
        <f t="shared" si="453"/>
        <v>0.29925644298376841</v>
      </c>
      <c r="AR1287" s="27">
        <f t="shared" si="453"/>
        <v>0.30645986851598017</v>
      </c>
      <c r="AS1287" s="27">
        <f t="shared" si="453"/>
        <v>0.31385566843275581</v>
      </c>
      <c r="AT1287" s="27">
        <f t="shared" si="453"/>
        <v>0.31644615504224521</v>
      </c>
      <c r="AU1287" s="27">
        <f t="shared" si="453"/>
        <v>0.31859170882360827</v>
      </c>
      <c r="AV1287" s="27">
        <f t="shared" si="453"/>
        <v>0.32009002936003406</v>
      </c>
      <c r="AW1287" s="27">
        <f t="shared" si="453"/>
        <v>0.3213967030603942</v>
      </c>
      <c r="AY1287" s="79"/>
      <c r="AZ1287" s="79"/>
    </row>
    <row r="1288" spans="1:52" x14ac:dyDescent="0.3">
      <c r="A1288" s="95" t="str">
        <f t="shared" si="384"/>
        <v>FSFAGSPQNIBDDSCM Organic</v>
      </c>
      <c r="B1288" s="95" t="s">
        <v>1375</v>
      </c>
      <c r="C1288" s="95" t="s">
        <v>1127</v>
      </c>
      <c r="D1288" t="s">
        <v>369</v>
      </c>
      <c r="E1288" t="s">
        <v>55</v>
      </c>
      <c r="F1288" t="s">
        <v>421</v>
      </c>
      <c r="G1288" t="s">
        <v>1182</v>
      </c>
      <c r="H1288" t="s">
        <v>1183</v>
      </c>
      <c r="I1288" t="s">
        <v>139</v>
      </c>
      <c r="J1288" t="s">
        <v>287</v>
      </c>
      <c r="K1288" s="27">
        <f t="shared" ref="K1288:AW1288" si="454">IFERROR(K1481-((K1481-K72)+(K1481-K225)+(K1481-K378)+(K1481-K530)+(K1481-K682)+(K1481-K833)+(K1481-K984)+(K1481-K1135)),0)</f>
        <v>0.78620275218739033</v>
      </c>
      <c r="L1288" s="27">
        <f t="shared" si="454"/>
        <v>0.79655563720176326</v>
      </c>
      <c r="M1288" s="27">
        <f t="shared" si="454"/>
        <v>0.8131853402467214</v>
      </c>
      <c r="N1288" s="27">
        <f t="shared" si="454"/>
        <v>0.81796021384654038</v>
      </c>
      <c r="O1288" s="27">
        <f t="shared" si="454"/>
        <v>0.81503229757580642</v>
      </c>
      <c r="P1288" s="27">
        <f t="shared" si="454"/>
        <v>0.80443274266431908</v>
      </c>
      <c r="Q1288" s="27">
        <f t="shared" si="454"/>
        <v>0.79997057217510736</v>
      </c>
      <c r="R1288" s="27">
        <f t="shared" si="454"/>
        <v>0.79652072541357855</v>
      </c>
      <c r="S1288" s="27">
        <f t="shared" si="454"/>
        <v>0.6714256257710044</v>
      </c>
      <c r="T1288" s="27">
        <f t="shared" si="454"/>
        <v>0.69801734564768969</v>
      </c>
      <c r="U1288" s="27">
        <f t="shared" si="454"/>
        <v>0.74045602078801331</v>
      </c>
      <c r="V1288" s="27">
        <f t="shared" si="454"/>
        <v>0.75681661805559275</v>
      </c>
      <c r="W1288" s="27">
        <f t="shared" si="454"/>
        <v>0.77639522353149193</v>
      </c>
      <c r="X1288" s="27">
        <f t="shared" si="454"/>
        <v>0.8001865286543951</v>
      </c>
      <c r="Y1288" s="27">
        <f t="shared" si="454"/>
        <v>0.82750602154681474</v>
      </c>
      <c r="Z1288" s="27">
        <f t="shared" si="454"/>
        <v>0.85809975414422934</v>
      </c>
      <c r="AA1288" s="27">
        <f t="shared" si="454"/>
        <v>0.88934316122776869</v>
      </c>
      <c r="AB1288" s="27">
        <f t="shared" si="454"/>
        <v>0.92360761628524812</v>
      </c>
      <c r="AC1288" s="27">
        <f t="shared" si="454"/>
        <v>0.95831140706580387</v>
      </c>
      <c r="AD1288" s="27">
        <f t="shared" si="454"/>
        <v>0.99882396760608316</v>
      </c>
      <c r="AE1288" s="27">
        <f t="shared" si="454"/>
        <v>1.0381393848215872</v>
      </c>
      <c r="AF1288" s="27">
        <f t="shared" si="454"/>
        <v>1.079611123684572</v>
      </c>
      <c r="AG1288" s="27">
        <f t="shared" si="454"/>
        <v>1.1272124079778039</v>
      </c>
      <c r="AH1288" s="27">
        <f t="shared" si="454"/>
        <v>1.1714796676080013</v>
      </c>
      <c r="AI1288" s="27">
        <f t="shared" si="454"/>
        <v>1.2191635190702683</v>
      </c>
      <c r="AJ1288" s="27">
        <f t="shared" si="454"/>
        <v>1.2702163053795446</v>
      </c>
      <c r="AK1288" s="27">
        <f t="shared" si="454"/>
        <v>1.3170629000720371</v>
      </c>
      <c r="AL1288" s="27">
        <f t="shared" si="454"/>
        <v>1.3631650010384939</v>
      </c>
      <c r="AM1288" s="27">
        <f t="shared" si="454"/>
        <v>1.4086909019769458</v>
      </c>
      <c r="AN1288" s="27">
        <f t="shared" si="454"/>
        <v>1.4592838015136291</v>
      </c>
      <c r="AO1288" s="27">
        <f t="shared" si="454"/>
        <v>1.5071494225223063</v>
      </c>
      <c r="AP1288" s="27">
        <f t="shared" si="454"/>
        <v>1.5567592089604327</v>
      </c>
      <c r="AQ1288" s="27">
        <f t="shared" si="454"/>
        <v>1.6083690614713202</v>
      </c>
      <c r="AR1288" s="27">
        <f t="shared" si="454"/>
        <v>1.6623899573120902</v>
      </c>
      <c r="AS1288" s="27">
        <f t="shared" si="454"/>
        <v>1.7194351847901206</v>
      </c>
      <c r="AT1288" s="27">
        <f t="shared" si="454"/>
        <v>1.7281200285400726</v>
      </c>
      <c r="AU1288" s="27">
        <f t="shared" si="454"/>
        <v>1.7323570747934378</v>
      </c>
      <c r="AV1288" s="27">
        <f t="shared" si="454"/>
        <v>1.7302245779661751</v>
      </c>
      <c r="AW1288" s="27">
        <f t="shared" si="454"/>
        <v>1.7262788410170404</v>
      </c>
      <c r="AY1288" s="79"/>
      <c r="AZ1288" s="79"/>
    </row>
    <row r="1289" spans="1:52" x14ac:dyDescent="0.3">
      <c r="A1289" s="95" t="str">
        <f t="shared" si="384"/>
        <v>FSFAGSPQNIBDDSCM U&amp;D</v>
      </c>
      <c r="B1289" s="95" t="s">
        <v>1375</v>
      </c>
      <c r="C1289" s="95" t="s">
        <v>1336</v>
      </c>
      <c r="D1289" t="s">
        <v>369</v>
      </c>
      <c r="E1289" t="s">
        <v>55</v>
      </c>
      <c r="F1289" t="s">
        <v>422</v>
      </c>
      <c r="G1289" t="s">
        <v>1152</v>
      </c>
      <c r="H1289" t="s">
        <v>1240</v>
      </c>
      <c r="I1289" t="s">
        <v>139</v>
      </c>
      <c r="J1289" t="s">
        <v>287</v>
      </c>
      <c r="K1289" s="27">
        <f t="shared" ref="K1289:AW1289" si="455">IFERROR(K1482-((K1482-K73)+(K1482-K226)+(K1482-K379)+(K1482-K531)+(K1482-K683)+(K1482-K834)+(K1482-K985)+(K1482-K1136)),0)</f>
        <v>0</v>
      </c>
      <c r="L1289" s="27">
        <f t="shared" si="455"/>
        <v>0</v>
      </c>
      <c r="M1289" s="27">
        <f t="shared" si="455"/>
        <v>0</v>
      </c>
      <c r="N1289" s="27">
        <f t="shared" si="455"/>
        <v>0</v>
      </c>
      <c r="O1289" s="27">
        <f t="shared" si="455"/>
        <v>0</v>
      </c>
      <c r="P1289" s="27">
        <f t="shared" si="455"/>
        <v>0</v>
      </c>
      <c r="Q1289" s="27">
        <f t="shared" si="455"/>
        <v>0</v>
      </c>
      <c r="R1289" s="27">
        <f t="shared" si="455"/>
        <v>0</v>
      </c>
      <c r="S1289" s="27">
        <f t="shared" si="455"/>
        <v>0</v>
      </c>
      <c r="T1289" s="27">
        <f t="shared" si="455"/>
        <v>0</v>
      </c>
      <c r="U1289" s="27">
        <f t="shared" si="455"/>
        <v>0</v>
      </c>
      <c r="V1289" s="27">
        <f t="shared" si="455"/>
        <v>0</v>
      </c>
      <c r="W1289" s="27">
        <f t="shared" si="455"/>
        <v>0</v>
      </c>
      <c r="X1289" s="27">
        <f t="shared" si="455"/>
        <v>0</v>
      </c>
      <c r="Y1289" s="27">
        <f t="shared" si="455"/>
        <v>0</v>
      </c>
      <c r="Z1289" s="27">
        <f t="shared" si="455"/>
        <v>0</v>
      </c>
      <c r="AA1289" s="27">
        <f t="shared" si="455"/>
        <v>0</v>
      </c>
      <c r="AB1289" s="27">
        <f t="shared" si="455"/>
        <v>0</v>
      </c>
      <c r="AC1289" s="27">
        <f t="shared" si="455"/>
        <v>0</v>
      </c>
      <c r="AD1289" s="27">
        <f t="shared" si="455"/>
        <v>0</v>
      </c>
      <c r="AE1289" s="27">
        <f t="shared" si="455"/>
        <v>0</v>
      </c>
      <c r="AF1289" s="27">
        <f t="shared" si="455"/>
        <v>0</v>
      </c>
      <c r="AG1289" s="27">
        <f t="shared" si="455"/>
        <v>0</v>
      </c>
      <c r="AH1289" s="27">
        <f t="shared" si="455"/>
        <v>0</v>
      </c>
      <c r="AI1289" s="27">
        <f t="shared" si="455"/>
        <v>0</v>
      </c>
      <c r="AJ1289" s="27">
        <f t="shared" si="455"/>
        <v>0</v>
      </c>
      <c r="AK1289" s="27">
        <f t="shared" si="455"/>
        <v>0</v>
      </c>
      <c r="AL1289" s="27">
        <f t="shared" si="455"/>
        <v>0</v>
      </c>
      <c r="AM1289" s="27">
        <f t="shared" si="455"/>
        <v>0</v>
      </c>
      <c r="AN1289" s="27">
        <f t="shared" si="455"/>
        <v>0</v>
      </c>
      <c r="AO1289" s="27">
        <f t="shared" si="455"/>
        <v>0</v>
      </c>
      <c r="AP1289" s="27">
        <f t="shared" si="455"/>
        <v>0</v>
      </c>
      <c r="AQ1289" s="27">
        <f t="shared" si="455"/>
        <v>0</v>
      </c>
      <c r="AR1289" s="27">
        <f t="shared" si="455"/>
        <v>0</v>
      </c>
      <c r="AS1289" s="27">
        <f t="shared" si="455"/>
        <v>0</v>
      </c>
      <c r="AT1289" s="27">
        <f t="shared" si="455"/>
        <v>0</v>
      </c>
      <c r="AU1289" s="27">
        <f t="shared" si="455"/>
        <v>0</v>
      </c>
      <c r="AV1289" s="27">
        <f t="shared" si="455"/>
        <v>0</v>
      </c>
      <c r="AW1289" s="27">
        <f t="shared" si="455"/>
        <v>0</v>
      </c>
      <c r="AY1289" s="79"/>
      <c r="AZ1289" s="79"/>
    </row>
    <row r="1290" spans="1:52" x14ac:dyDescent="0.3">
      <c r="A1290" s="95" t="str">
        <f t="shared" si="384"/>
        <v>FSFAGSPQNIBDDSCM U&amp;D</v>
      </c>
      <c r="B1290" s="95" t="s">
        <v>1375</v>
      </c>
      <c r="C1290" s="95" t="s">
        <v>1336</v>
      </c>
      <c r="D1290" t="s">
        <v>369</v>
      </c>
      <c r="E1290" t="s">
        <v>55</v>
      </c>
      <c r="F1290" t="s">
        <v>422</v>
      </c>
      <c r="G1290" t="s">
        <v>1154</v>
      </c>
      <c r="H1290" t="s">
        <v>1241</v>
      </c>
      <c r="I1290" t="s">
        <v>139</v>
      </c>
      <c r="J1290" t="s">
        <v>287</v>
      </c>
      <c r="K1290" s="27">
        <f t="shared" ref="K1290:AW1290" si="456">IFERROR(K1483-((K1483-K74)+(K1483-K227)+(K1483-K380)+(K1483-K532)+(K1483-K684)+(K1483-K835)+(K1483-K986)+(K1483-K1137)),0)</f>
        <v>1.0775797812462991</v>
      </c>
      <c r="L1290" s="27">
        <f t="shared" si="456"/>
        <v>1.0836040032789305</v>
      </c>
      <c r="M1290" s="27">
        <f t="shared" si="456"/>
        <v>1.0921513426512339</v>
      </c>
      <c r="N1290" s="27">
        <f t="shared" si="456"/>
        <v>1.0976439186771809</v>
      </c>
      <c r="O1290" s="27">
        <f t="shared" si="456"/>
        <v>1.1012937605673538</v>
      </c>
      <c r="P1290" s="27">
        <f t="shared" si="456"/>
        <v>1.1030649457277464</v>
      </c>
      <c r="Q1290" s="27">
        <f t="shared" si="456"/>
        <v>1.1069781529146336</v>
      </c>
      <c r="R1290" s="27">
        <f t="shared" si="456"/>
        <v>1.1114672588381171</v>
      </c>
      <c r="S1290" s="27">
        <f t="shared" si="456"/>
        <v>1.0780569980949297</v>
      </c>
      <c r="T1290" s="27">
        <f t="shared" si="456"/>
        <v>1.0893928957031254</v>
      </c>
      <c r="U1290" s="27">
        <f t="shared" si="456"/>
        <v>1.1059856502817549</v>
      </c>
      <c r="V1290" s="27">
        <f t="shared" si="456"/>
        <v>1.1145860741325027</v>
      </c>
      <c r="W1290" s="27">
        <f t="shared" si="456"/>
        <v>1.1244152137402783</v>
      </c>
      <c r="X1290" s="27">
        <f t="shared" si="456"/>
        <v>1.1357914130193381</v>
      </c>
      <c r="Y1290" s="27">
        <f t="shared" si="456"/>
        <v>1.1474086589431955</v>
      </c>
      <c r="Z1290" s="27">
        <f t="shared" si="456"/>
        <v>1.1602674519477969</v>
      </c>
      <c r="AA1290" s="27">
        <f t="shared" si="456"/>
        <v>1.1735245752036907</v>
      </c>
      <c r="AB1290" s="27">
        <f t="shared" si="456"/>
        <v>1.18794114106982</v>
      </c>
      <c r="AC1290" s="27">
        <f t="shared" si="456"/>
        <v>1.2026829177053815</v>
      </c>
      <c r="AD1290" s="27">
        <f t="shared" si="456"/>
        <v>1.218608900056573</v>
      </c>
      <c r="AE1290" s="27">
        <f t="shared" si="456"/>
        <v>1.2343193345034551</v>
      </c>
      <c r="AF1290" s="27">
        <f t="shared" si="456"/>
        <v>1.2509015809248898</v>
      </c>
      <c r="AG1290" s="27">
        <f t="shared" si="456"/>
        <v>1.2696588428853492</v>
      </c>
      <c r="AH1290" s="27">
        <f t="shared" si="456"/>
        <v>1.2874926850325319</v>
      </c>
      <c r="AI1290" s="27">
        <f t="shared" si="456"/>
        <v>1.3057811956925069</v>
      </c>
      <c r="AJ1290" s="27">
        <f t="shared" si="456"/>
        <v>1.3253399300509145</v>
      </c>
      <c r="AK1290" s="27">
        <f t="shared" si="456"/>
        <v>1.3436641070257576</v>
      </c>
      <c r="AL1290" s="27">
        <f t="shared" si="456"/>
        <v>1.361888843730743</v>
      </c>
      <c r="AM1290" s="27">
        <f t="shared" si="456"/>
        <v>1.380064832160125</v>
      </c>
      <c r="AN1290" s="27">
        <f t="shared" si="456"/>
        <v>1.3992944829741121</v>
      </c>
      <c r="AO1290" s="27">
        <f t="shared" si="456"/>
        <v>1.4177506785056255</v>
      </c>
      <c r="AP1290" s="27">
        <f t="shared" si="456"/>
        <v>1.4369235538048923</v>
      </c>
      <c r="AQ1290" s="27">
        <f t="shared" si="456"/>
        <v>1.4569005528602124</v>
      </c>
      <c r="AR1290" s="27">
        <f t="shared" si="456"/>
        <v>1.4778222948761157</v>
      </c>
      <c r="AS1290" s="27">
        <f t="shared" si="456"/>
        <v>1.499114114952786</v>
      </c>
      <c r="AT1290" s="27">
        <f t="shared" si="456"/>
        <v>1.5041622353362427</v>
      </c>
      <c r="AU1290" s="27">
        <f t="shared" si="456"/>
        <v>1.5077549671708836</v>
      </c>
      <c r="AV1290" s="27">
        <f t="shared" si="456"/>
        <v>1.5092269750444909</v>
      </c>
      <c r="AW1290" s="27">
        <f t="shared" si="456"/>
        <v>1.5101158131362518</v>
      </c>
      <c r="AY1290" s="79"/>
      <c r="AZ1290" s="79"/>
    </row>
    <row r="1291" spans="1:52" x14ac:dyDescent="0.3">
      <c r="A1291" s="95" t="str">
        <f t="shared" si="384"/>
        <v>FSFAGSPQNIBDDSCM U&amp;D</v>
      </c>
      <c r="B1291" s="95" t="s">
        <v>1375</v>
      </c>
      <c r="C1291" s="95" t="s">
        <v>1336</v>
      </c>
      <c r="D1291" t="s">
        <v>369</v>
      </c>
      <c r="E1291" t="s">
        <v>55</v>
      </c>
      <c r="F1291" t="s">
        <v>422</v>
      </c>
      <c r="G1291" t="s">
        <v>1156</v>
      </c>
      <c r="H1291" t="s">
        <v>1242</v>
      </c>
      <c r="I1291" t="s">
        <v>139</v>
      </c>
      <c r="J1291" t="s">
        <v>287</v>
      </c>
      <c r="K1291" s="27">
        <f t="shared" ref="K1291:AW1291" si="457">IFERROR(K1484-((K1484-K75)+(K1484-K228)+(K1484-K381)+(K1484-K533)+(K1484-K685)+(K1484-K836)+(K1484-K987)+(K1484-K1138)),0)</f>
        <v>0.73383920392416069</v>
      </c>
      <c r="L1291" s="27">
        <f t="shared" si="457"/>
        <v>0.7379417403466384</v>
      </c>
      <c r="M1291" s="27">
        <f t="shared" si="457"/>
        <v>0.74376253694082328</v>
      </c>
      <c r="N1291" s="27">
        <f t="shared" si="457"/>
        <v>0.74750301879518044</v>
      </c>
      <c r="O1291" s="27">
        <f t="shared" si="457"/>
        <v>0.74998858609492636</v>
      </c>
      <c r="P1291" s="27">
        <f t="shared" si="457"/>
        <v>0.75119477530775824</v>
      </c>
      <c r="Q1291" s="27">
        <f t="shared" si="457"/>
        <v>0.7538596961765357</v>
      </c>
      <c r="R1291" s="27">
        <f t="shared" si="457"/>
        <v>0.75691680802528427</v>
      </c>
      <c r="S1291" s="27">
        <f t="shared" si="457"/>
        <v>0.73416419186323789</v>
      </c>
      <c r="T1291" s="27">
        <f t="shared" si="457"/>
        <v>0.74188401569562545</v>
      </c>
      <c r="U1291" s="27">
        <f t="shared" si="457"/>
        <v>0.75318379509275502</v>
      </c>
      <c r="V1291" s="27">
        <f t="shared" si="457"/>
        <v>0.75904074257996901</v>
      </c>
      <c r="W1291" s="27">
        <f t="shared" si="457"/>
        <v>0.76573445390469996</v>
      </c>
      <c r="X1291" s="27">
        <f t="shared" si="457"/>
        <v>0.77348172345069344</v>
      </c>
      <c r="Y1291" s="27">
        <f t="shared" si="457"/>
        <v>0.78139314741105659</v>
      </c>
      <c r="Z1291" s="27">
        <f t="shared" si="457"/>
        <v>0.79015007342818022</v>
      </c>
      <c r="AA1291" s="27">
        <f t="shared" si="457"/>
        <v>0.79917826507184453</v>
      </c>
      <c r="AB1291" s="27">
        <f t="shared" si="457"/>
        <v>0.80899604506608758</v>
      </c>
      <c r="AC1291" s="27">
        <f t="shared" si="457"/>
        <v>0.81903529581943424</v>
      </c>
      <c r="AD1291" s="27">
        <f t="shared" si="457"/>
        <v>0.82988099876756494</v>
      </c>
      <c r="AE1291" s="27">
        <f t="shared" si="457"/>
        <v>0.84057991211806271</v>
      </c>
      <c r="AF1291" s="27">
        <f t="shared" si="457"/>
        <v>0.8518725353882447</v>
      </c>
      <c r="AG1291" s="27">
        <f t="shared" si="457"/>
        <v>0.86464635912215038</v>
      </c>
      <c r="AH1291" s="27">
        <f t="shared" si="457"/>
        <v>0.87679132764509471</v>
      </c>
      <c r="AI1291" s="27">
        <f t="shared" si="457"/>
        <v>0.88924592853613249</v>
      </c>
      <c r="AJ1291" s="27">
        <f t="shared" si="457"/>
        <v>0.90256556045678527</v>
      </c>
      <c r="AK1291" s="27">
        <f t="shared" si="457"/>
        <v>0.91504445035228033</v>
      </c>
      <c r="AL1291" s="27">
        <f t="shared" si="457"/>
        <v>0.92745562074362309</v>
      </c>
      <c r="AM1291" s="27">
        <f t="shared" si="457"/>
        <v>0.93983359322574034</v>
      </c>
      <c r="AN1291" s="27">
        <f t="shared" si="457"/>
        <v>0.95292911700102378</v>
      </c>
      <c r="AO1291" s="27">
        <f t="shared" si="457"/>
        <v>0.9654979124368942</v>
      </c>
      <c r="AP1291" s="27">
        <f t="shared" si="457"/>
        <v>0.97855477169819061</v>
      </c>
      <c r="AQ1291" s="27">
        <f t="shared" si="457"/>
        <v>0.99215924473924411</v>
      </c>
      <c r="AR1291" s="27">
        <f t="shared" si="457"/>
        <v>1.0064070942004693</v>
      </c>
      <c r="AS1291" s="27">
        <f t="shared" si="457"/>
        <v>1.0209069693531829</v>
      </c>
      <c r="AT1291" s="27">
        <f t="shared" si="457"/>
        <v>1.0243447738739997</v>
      </c>
      <c r="AU1291" s="27">
        <f t="shared" si="457"/>
        <v>1.0267914488351768</v>
      </c>
      <c r="AV1291" s="27">
        <f t="shared" si="457"/>
        <v>1.0277938962687103</v>
      </c>
      <c r="AW1291" s="27">
        <f t="shared" si="457"/>
        <v>1.0283992010907079</v>
      </c>
      <c r="AY1291" s="79"/>
      <c r="AZ1291" s="79"/>
    </row>
    <row r="1292" spans="1:52" x14ac:dyDescent="0.3">
      <c r="A1292" s="95" t="str">
        <f t="shared" si="384"/>
        <v>FSFAGSPQNIBDDSCM U&amp;D</v>
      </c>
      <c r="B1292" s="95" t="s">
        <v>1375</v>
      </c>
      <c r="C1292" s="95" t="s">
        <v>1336</v>
      </c>
      <c r="D1292" t="s">
        <v>369</v>
      </c>
      <c r="E1292" t="s">
        <v>55</v>
      </c>
      <c r="F1292" t="s">
        <v>422</v>
      </c>
      <c r="G1292" t="s">
        <v>1158</v>
      </c>
      <c r="H1292" t="s">
        <v>1243</v>
      </c>
      <c r="I1292" t="s">
        <v>139</v>
      </c>
      <c r="J1292" t="s">
        <v>287</v>
      </c>
      <c r="K1292" s="27">
        <f t="shared" ref="K1292:AW1292" si="458">IFERROR(K1485-((K1485-K76)+(K1485-K229)+(K1485-K382)+(K1485-K534)+(K1485-K686)+(K1485-K837)+(K1485-K988)+(K1485-K1139)),0)</f>
        <v>15.353527292296844</v>
      </c>
      <c r="L1292" s="27">
        <f t="shared" si="458"/>
        <v>15.220371053361486</v>
      </c>
      <c r="M1292" s="27">
        <f t="shared" si="458"/>
        <v>15.169682504177887</v>
      </c>
      <c r="N1292" s="27">
        <f t="shared" si="458"/>
        <v>14.967111251021189</v>
      </c>
      <c r="O1292" s="27">
        <f t="shared" si="458"/>
        <v>14.673074129931953</v>
      </c>
      <c r="P1292" s="27">
        <f t="shared" si="458"/>
        <v>14.293651368256896</v>
      </c>
      <c r="Q1292" s="27">
        <f t="shared" si="458"/>
        <v>13.994389539168758</v>
      </c>
      <c r="R1292" s="27">
        <f t="shared" si="458"/>
        <v>13.711253827544139</v>
      </c>
      <c r="S1292" s="27">
        <f t="shared" si="458"/>
        <v>12.061906249102522</v>
      </c>
      <c r="T1292" s="27">
        <f t="shared" si="458"/>
        <v>12.257827954761961</v>
      </c>
      <c r="U1292" s="27">
        <f t="shared" si="458"/>
        <v>12.623326077373568</v>
      </c>
      <c r="V1292" s="27">
        <f t="shared" si="458"/>
        <v>12.696320274115601</v>
      </c>
      <c r="W1292" s="27">
        <f t="shared" si="458"/>
        <v>12.80159889911199</v>
      </c>
      <c r="X1292" s="27">
        <f t="shared" si="458"/>
        <v>12.948464903220069</v>
      </c>
      <c r="Y1292" s="27">
        <f t="shared" si="458"/>
        <v>13.116926910965395</v>
      </c>
      <c r="Z1292" s="27">
        <f t="shared" si="458"/>
        <v>13.314439769643803</v>
      </c>
      <c r="AA1292" s="27">
        <f t="shared" si="458"/>
        <v>13.51286360181456</v>
      </c>
      <c r="AB1292" s="27">
        <f t="shared" si="458"/>
        <v>13.736029185929986</v>
      </c>
      <c r="AC1292" s="27">
        <f t="shared" si="458"/>
        <v>13.956980095887328</v>
      </c>
      <c r="AD1292" s="27">
        <f t="shared" si="458"/>
        <v>14.10090814419179</v>
      </c>
      <c r="AE1292" s="27">
        <f t="shared" si="458"/>
        <v>14.219083101971489</v>
      </c>
      <c r="AF1292" s="27">
        <f t="shared" si="458"/>
        <v>14.343928249023508</v>
      </c>
      <c r="AG1292" s="27">
        <f t="shared" si="458"/>
        <v>14.51096965309287</v>
      </c>
      <c r="AH1292" s="27">
        <f t="shared" si="458"/>
        <v>14.631100213840327</v>
      </c>
      <c r="AI1292" s="27">
        <f t="shared" si="458"/>
        <v>14.759129789982603</v>
      </c>
      <c r="AJ1292" s="27">
        <f t="shared" si="458"/>
        <v>14.900063859192302</v>
      </c>
      <c r="AK1292" s="27">
        <f t="shared" si="458"/>
        <v>14.987884546338787</v>
      </c>
      <c r="AL1292" s="27">
        <f t="shared" si="458"/>
        <v>15.053769229100121</v>
      </c>
      <c r="AM1292" s="27">
        <f t="shared" si="458"/>
        <v>15.099596245527735</v>
      </c>
      <c r="AN1292" s="27">
        <f t="shared" si="458"/>
        <v>15.242060327526691</v>
      </c>
      <c r="AO1292" s="27">
        <f t="shared" si="458"/>
        <v>15.350351065013276</v>
      </c>
      <c r="AP1292" s="27">
        <f t="shared" si="458"/>
        <v>15.4600087454617</v>
      </c>
      <c r="AQ1292" s="27">
        <f t="shared" si="458"/>
        <v>15.572287803164578</v>
      </c>
      <c r="AR1292" s="27">
        <f t="shared" si="458"/>
        <v>15.689452381356277</v>
      </c>
      <c r="AS1292" s="27">
        <f t="shared" si="458"/>
        <v>15.809749281637989</v>
      </c>
      <c r="AT1292" s="27">
        <f t="shared" si="458"/>
        <v>15.572449633225865</v>
      </c>
      <c r="AU1292" s="27">
        <f t="shared" si="458"/>
        <v>15.303629040465463</v>
      </c>
      <c r="AV1292" s="27">
        <f t="shared" si="458"/>
        <v>14.991979745020995</v>
      </c>
      <c r="AW1292" s="27">
        <f t="shared" si="458"/>
        <v>14.670563587286086</v>
      </c>
      <c r="AY1292" s="79"/>
      <c r="AZ1292" s="79"/>
    </row>
    <row r="1293" spans="1:52" x14ac:dyDescent="0.3">
      <c r="A1293" s="95" t="str">
        <f t="shared" si="384"/>
        <v>FSFAGSPQNIBDDSCM U&amp;D</v>
      </c>
      <c r="B1293" s="95" t="s">
        <v>1375</v>
      </c>
      <c r="C1293" s="95" t="s">
        <v>1336</v>
      </c>
      <c r="D1293" t="s">
        <v>369</v>
      </c>
      <c r="E1293" t="s">
        <v>55</v>
      </c>
      <c r="F1293" t="s">
        <v>422</v>
      </c>
      <c r="G1293" t="s">
        <v>1160</v>
      </c>
      <c r="H1293" t="s">
        <v>1244</v>
      </c>
      <c r="I1293" t="s">
        <v>139</v>
      </c>
      <c r="J1293" t="s">
        <v>287</v>
      </c>
      <c r="K1293" s="27">
        <f t="shared" ref="K1293:AW1293" si="459">IFERROR(K1486-((K1486-K77)+(K1486-K230)+(K1486-K383)+(K1486-K535)+(K1486-K687)+(K1486-K838)+(K1486-K989)+(K1486-K1140)),0)</f>
        <v>9.6543103644621464</v>
      </c>
      <c r="L1293" s="27">
        <f t="shared" si="459"/>
        <v>9.570581613851763</v>
      </c>
      <c r="M1293" s="27">
        <f t="shared" si="459"/>
        <v>9.5387086131773007</v>
      </c>
      <c r="N1293" s="27">
        <f t="shared" si="459"/>
        <v>9.4113316455488931</v>
      </c>
      <c r="O1293" s="27">
        <f t="shared" si="459"/>
        <v>9.2264408662754782</v>
      </c>
      <c r="P1293" s="27">
        <f t="shared" si="459"/>
        <v>8.9878595272244652</v>
      </c>
      <c r="Q1293" s="27">
        <f t="shared" si="459"/>
        <v>8.7996834473406587</v>
      </c>
      <c r="R1293" s="27">
        <f t="shared" si="459"/>
        <v>8.6216474831450967</v>
      </c>
      <c r="S1293" s="27">
        <f t="shared" si="459"/>
        <v>7.5845363934257692</v>
      </c>
      <c r="T1293" s="27">
        <f t="shared" si="459"/>
        <v>7.7077321202161873</v>
      </c>
      <c r="U1293" s="27">
        <f t="shared" si="459"/>
        <v>7.9375576349753283</v>
      </c>
      <c r="V1293" s="27">
        <f t="shared" si="459"/>
        <v>7.9834564448537479</v>
      </c>
      <c r="W1293" s="27">
        <f t="shared" si="459"/>
        <v>8.0496557292988875</v>
      </c>
      <c r="X1293" s="27">
        <f t="shared" si="459"/>
        <v>8.1420051913250582</v>
      </c>
      <c r="Y1293" s="27">
        <f t="shared" si="459"/>
        <v>8.2479342378842677</v>
      </c>
      <c r="Z1293" s="27">
        <f t="shared" si="459"/>
        <v>8.3721304829783953</v>
      </c>
      <c r="AA1293" s="27">
        <f t="shared" si="459"/>
        <v>8.4968995489404282</v>
      </c>
      <c r="AB1293" s="27">
        <f t="shared" si="459"/>
        <v>8.6372262485124356</v>
      </c>
      <c r="AC1293" s="27">
        <f t="shared" si="459"/>
        <v>8.7761603591847646</v>
      </c>
      <c r="AD1293" s="27">
        <f t="shared" si="459"/>
        <v>8.8666624322282459</v>
      </c>
      <c r="AE1293" s="27">
        <f t="shared" si="459"/>
        <v>8.9409709411455953</v>
      </c>
      <c r="AF1293" s="27">
        <f t="shared" si="459"/>
        <v>9.0194736704657732</v>
      </c>
      <c r="AG1293" s="27">
        <f t="shared" si="459"/>
        <v>9.1245094402859266</v>
      </c>
      <c r="AH1293" s="27">
        <f t="shared" si="459"/>
        <v>9.2000476339292057</v>
      </c>
      <c r="AI1293" s="27">
        <f t="shared" si="459"/>
        <v>9.2805527348338117</v>
      </c>
      <c r="AJ1293" s="27">
        <f t="shared" si="459"/>
        <v>9.3691721914038766</v>
      </c>
      <c r="AK1293" s="27">
        <f t="shared" si="459"/>
        <v>9.4243939104259251</v>
      </c>
      <c r="AL1293" s="27">
        <f t="shared" si="459"/>
        <v>9.4658222521699837</v>
      </c>
      <c r="AM1293" s="27">
        <f t="shared" si="459"/>
        <v>9.4946383171201845</v>
      </c>
      <c r="AN1293" s="27">
        <f t="shared" si="459"/>
        <v>9.5842198469681268</v>
      </c>
      <c r="AO1293" s="27">
        <f t="shared" si="459"/>
        <v>9.6523131501803814</v>
      </c>
      <c r="AP1293" s="27">
        <f t="shared" si="459"/>
        <v>9.7212659882312984</v>
      </c>
      <c r="AQ1293" s="27">
        <f t="shared" si="459"/>
        <v>9.7918671504174508</v>
      </c>
      <c r="AR1293" s="27">
        <f t="shared" si="459"/>
        <v>9.8655403318336496</v>
      </c>
      <c r="AS1293" s="27">
        <f t="shared" si="459"/>
        <v>9.9411831199104377</v>
      </c>
      <c r="AT1293" s="27">
        <f t="shared" si="459"/>
        <v>9.7919689092907181</v>
      </c>
      <c r="AU1293" s="27">
        <f t="shared" si="459"/>
        <v>9.6229343034011841</v>
      </c>
      <c r="AV1293" s="27">
        <f t="shared" si="459"/>
        <v>9.4269689746655256</v>
      </c>
      <c r="AW1293" s="27">
        <f t="shared" si="459"/>
        <v>9.2248622350316598</v>
      </c>
      <c r="AY1293" s="79"/>
      <c r="AZ1293" s="79"/>
    </row>
    <row r="1294" spans="1:52" x14ac:dyDescent="0.3">
      <c r="A1294" s="95" t="str">
        <f t="shared" si="384"/>
        <v>FSFAGSPQNIBDDSCM U&amp;D</v>
      </c>
      <c r="B1294" s="95" t="s">
        <v>1375</v>
      </c>
      <c r="C1294" s="95" t="s">
        <v>1336</v>
      </c>
      <c r="D1294" t="s">
        <v>369</v>
      </c>
      <c r="E1294" t="s">
        <v>55</v>
      </c>
      <c r="F1294" t="s">
        <v>422</v>
      </c>
      <c r="G1294" t="s">
        <v>1162</v>
      </c>
      <c r="H1294" t="s">
        <v>1245</v>
      </c>
      <c r="I1294" t="s">
        <v>139</v>
      </c>
      <c r="J1294" t="s">
        <v>287</v>
      </c>
      <c r="K1294" s="27">
        <f t="shared" ref="K1294:AW1294" si="460">IFERROR(K1487-((K1487-K78)+(K1487-K231)+(K1487-K384)+(K1487-K536)+(K1487-K688)+(K1487-K839)+(K1487-K990)+(K1487-K1141)),0)</f>
        <v>0</v>
      </c>
      <c r="L1294" s="27">
        <f t="shared" si="460"/>
        <v>0</v>
      </c>
      <c r="M1294" s="27">
        <f t="shared" si="460"/>
        <v>0</v>
      </c>
      <c r="N1294" s="27">
        <f t="shared" si="460"/>
        <v>0</v>
      </c>
      <c r="O1294" s="27">
        <f t="shared" si="460"/>
        <v>0</v>
      </c>
      <c r="P1294" s="27">
        <f t="shared" si="460"/>
        <v>0</v>
      </c>
      <c r="Q1294" s="27">
        <f t="shared" si="460"/>
        <v>0</v>
      </c>
      <c r="R1294" s="27">
        <f t="shared" si="460"/>
        <v>0</v>
      </c>
      <c r="S1294" s="27">
        <f t="shared" si="460"/>
        <v>0</v>
      </c>
      <c r="T1294" s="27">
        <f t="shared" si="460"/>
        <v>0</v>
      </c>
      <c r="U1294" s="27">
        <f t="shared" si="460"/>
        <v>0</v>
      </c>
      <c r="V1294" s="27">
        <f t="shared" si="460"/>
        <v>0</v>
      </c>
      <c r="W1294" s="27">
        <f t="shared" si="460"/>
        <v>0</v>
      </c>
      <c r="X1294" s="27">
        <f t="shared" si="460"/>
        <v>0</v>
      </c>
      <c r="Y1294" s="27">
        <f t="shared" si="460"/>
        <v>0</v>
      </c>
      <c r="Z1294" s="27">
        <f t="shared" si="460"/>
        <v>0</v>
      </c>
      <c r="AA1294" s="27">
        <f t="shared" si="460"/>
        <v>0</v>
      </c>
      <c r="AB1294" s="27">
        <f t="shared" si="460"/>
        <v>0</v>
      </c>
      <c r="AC1294" s="27">
        <f t="shared" si="460"/>
        <v>0</v>
      </c>
      <c r="AD1294" s="27">
        <f t="shared" si="460"/>
        <v>0</v>
      </c>
      <c r="AE1294" s="27">
        <f t="shared" si="460"/>
        <v>0</v>
      </c>
      <c r="AF1294" s="27">
        <f t="shared" si="460"/>
        <v>0</v>
      </c>
      <c r="AG1294" s="27">
        <f t="shared" si="460"/>
        <v>0</v>
      </c>
      <c r="AH1294" s="27">
        <f t="shared" si="460"/>
        <v>0</v>
      </c>
      <c r="AI1294" s="27">
        <f t="shared" si="460"/>
        <v>0</v>
      </c>
      <c r="AJ1294" s="27">
        <f t="shared" si="460"/>
        <v>0</v>
      </c>
      <c r="AK1294" s="27">
        <f t="shared" si="460"/>
        <v>0</v>
      </c>
      <c r="AL1294" s="27">
        <f t="shared" si="460"/>
        <v>0</v>
      </c>
      <c r="AM1294" s="27">
        <f t="shared" si="460"/>
        <v>0</v>
      </c>
      <c r="AN1294" s="27">
        <f t="shared" si="460"/>
        <v>0</v>
      </c>
      <c r="AO1294" s="27">
        <f t="shared" si="460"/>
        <v>0</v>
      </c>
      <c r="AP1294" s="27">
        <f t="shared" si="460"/>
        <v>0</v>
      </c>
      <c r="AQ1294" s="27">
        <f t="shared" si="460"/>
        <v>0</v>
      </c>
      <c r="AR1294" s="27">
        <f t="shared" si="460"/>
        <v>0</v>
      </c>
      <c r="AS1294" s="27">
        <f t="shared" si="460"/>
        <v>0</v>
      </c>
      <c r="AT1294" s="27">
        <f t="shared" si="460"/>
        <v>0</v>
      </c>
      <c r="AU1294" s="27">
        <f t="shared" si="460"/>
        <v>0</v>
      </c>
      <c r="AV1294" s="27">
        <f t="shared" si="460"/>
        <v>0</v>
      </c>
      <c r="AW1294" s="27">
        <f t="shared" si="460"/>
        <v>0</v>
      </c>
      <c r="AY1294" s="79"/>
      <c r="AZ1294" s="79"/>
    </row>
    <row r="1295" spans="1:52" x14ac:dyDescent="0.3">
      <c r="A1295" s="95" t="str">
        <f t="shared" si="384"/>
        <v>FSFAGSPQNIBDDSCM U&amp;D</v>
      </c>
      <c r="B1295" s="95" t="s">
        <v>1375</v>
      </c>
      <c r="C1295" s="95" t="s">
        <v>1336</v>
      </c>
      <c r="D1295" t="s">
        <v>369</v>
      </c>
      <c r="E1295" t="s">
        <v>55</v>
      </c>
      <c r="F1295" t="s">
        <v>422</v>
      </c>
      <c r="G1295" t="s">
        <v>1164</v>
      </c>
      <c r="H1295" t="s">
        <v>1246</v>
      </c>
      <c r="I1295" t="s">
        <v>139</v>
      </c>
      <c r="J1295" t="s">
        <v>287</v>
      </c>
      <c r="K1295" s="27">
        <f t="shared" ref="K1295:AW1295" si="461">IFERROR(K1488-((K1488-K79)+(K1488-K232)+(K1488-K385)+(K1488-K537)+(K1488-K689)+(K1488-K840)+(K1488-K991)+(K1488-K1142)),0)</f>
        <v>5.8008217784478333</v>
      </c>
      <c r="L1295" s="27">
        <f t="shared" si="461"/>
        <v>5.8039582643251126</v>
      </c>
      <c r="M1295" s="27">
        <f t="shared" si="461"/>
        <v>5.8114574843873825</v>
      </c>
      <c r="N1295" s="27">
        <f t="shared" si="461"/>
        <v>5.8225151444828054</v>
      </c>
      <c r="O1295" s="27">
        <f t="shared" si="461"/>
        <v>5.8370609765606929</v>
      </c>
      <c r="P1295" s="27">
        <f t="shared" si="461"/>
        <v>5.8549413826537444</v>
      </c>
      <c r="Q1295" s="27">
        <f t="shared" si="461"/>
        <v>5.8750235193024203</v>
      </c>
      <c r="R1295" s="27">
        <f t="shared" si="461"/>
        <v>5.8971806009067276</v>
      </c>
      <c r="S1295" s="27">
        <f t="shared" si="461"/>
        <v>5.917442032162775</v>
      </c>
      <c r="T1295" s="27">
        <f t="shared" si="461"/>
        <v>5.9263453955781369</v>
      </c>
      <c r="U1295" s="27">
        <f t="shared" si="461"/>
        <v>5.9372183150377431</v>
      </c>
      <c r="V1295" s="27">
        <f t="shared" si="461"/>
        <v>5.9486466020913653</v>
      </c>
      <c r="W1295" s="27">
        <f t="shared" si="461"/>
        <v>5.9614772941302494</v>
      </c>
      <c r="X1295" s="27">
        <f t="shared" si="461"/>
        <v>5.975674490624324</v>
      </c>
      <c r="Y1295" s="27">
        <f t="shared" si="461"/>
        <v>5.984540997272453</v>
      </c>
      <c r="Z1295" s="27">
        <f t="shared" si="461"/>
        <v>5.9945579021556687</v>
      </c>
      <c r="AA1295" s="27">
        <f t="shared" si="461"/>
        <v>6.0055898546708475</v>
      </c>
      <c r="AB1295" s="27">
        <f t="shared" si="461"/>
        <v>6.0176671888041211</v>
      </c>
      <c r="AC1295" s="27">
        <f t="shared" si="461"/>
        <v>6.030665248312749</v>
      </c>
      <c r="AD1295" s="27">
        <f t="shared" si="461"/>
        <v>6.0393845451591259</v>
      </c>
      <c r="AE1295" s="27">
        <f t="shared" si="461"/>
        <v>6.0488503325285592</v>
      </c>
      <c r="AF1295" s="27">
        <f t="shared" si="461"/>
        <v>6.0591386998485763</v>
      </c>
      <c r="AG1295" s="27">
        <f t="shared" si="461"/>
        <v>6.0703500781796258</v>
      </c>
      <c r="AH1295" s="27">
        <f t="shared" si="461"/>
        <v>6.0821478127419235</v>
      </c>
      <c r="AI1295" s="27">
        <f t="shared" si="461"/>
        <v>6.0896888871649706</v>
      </c>
      <c r="AJ1295" s="27">
        <f t="shared" si="461"/>
        <v>6.0979488793317644</v>
      </c>
      <c r="AK1295" s="27">
        <f t="shared" si="461"/>
        <v>6.1066553574494229</v>
      </c>
      <c r="AL1295" s="27">
        <f t="shared" si="461"/>
        <v>6.1159010108536567</v>
      </c>
      <c r="AM1295" s="27">
        <f t="shared" si="461"/>
        <v>6.1256718211091643</v>
      </c>
      <c r="AN1295" s="27">
        <f t="shared" si="461"/>
        <v>6.1314451386260842</v>
      </c>
      <c r="AO1295" s="27">
        <f t="shared" si="461"/>
        <v>6.1376082251338753</v>
      </c>
      <c r="AP1295" s="27">
        <f t="shared" si="461"/>
        <v>6.1442934501067121</v>
      </c>
      <c r="AQ1295" s="27">
        <f t="shared" si="461"/>
        <v>6.1514943503502693</v>
      </c>
      <c r="AR1295" s="27">
        <f t="shared" si="461"/>
        <v>6.1592107766386786</v>
      </c>
      <c r="AS1295" s="27">
        <f t="shared" si="461"/>
        <v>6.1627115342701337</v>
      </c>
      <c r="AT1295" s="27">
        <f t="shared" si="461"/>
        <v>6.1649675411239766</v>
      </c>
      <c r="AU1295" s="27">
        <f t="shared" si="461"/>
        <v>6.1674405510086165</v>
      </c>
      <c r="AV1295" s="27">
        <f t="shared" si="461"/>
        <v>6.1700527124926303</v>
      </c>
      <c r="AW1295" s="27">
        <f t="shared" si="461"/>
        <v>6.1729463171150929</v>
      </c>
      <c r="AY1295" s="79"/>
      <c r="AZ1295" s="79"/>
    </row>
    <row r="1296" spans="1:52" x14ac:dyDescent="0.3">
      <c r="A1296" s="95" t="str">
        <f t="shared" si="384"/>
        <v>FSFAGSPQNIBDDSCM U&amp;D</v>
      </c>
      <c r="B1296" s="95" t="s">
        <v>1375</v>
      </c>
      <c r="C1296" s="95" t="s">
        <v>1336</v>
      </c>
      <c r="D1296" t="s">
        <v>369</v>
      </c>
      <c r="E1296" t="s">
        <v>55</v>
      </c>
      <c r="F1296" t="s">
        <v>422</v>
      </c>
      <c r="G1296" t="s">
        <v>1166</v>
      </c>
      <c r="H1296" t="s">
        <v>1247</v>
      </c>
      <c r="I1296" t="s">
        <v>139</v>
      </c>
      <c r="J1296" t="s">
        <v>287</v>
      </c>
      <c r="K1296" s="27">
        <f t="shared" ref="K1296:AW1296" si="462">IFERROR(K1489-((K1489-K80)+(K1489-K233)+(K1489-K386)+(K1489-K538)+(K1489-K690)+(K1489-K841)+(K1489-K992)+(K1489-K1143)),0)</f>
        <v>0.6475429908430661</v>
      </c>
      <c r="L1296" s="27">
        <f t="shared" si="462"/>
        <v>0.64789311527772075</v>
      </c>
      <c r="M1296" s="27">
        <f t="shared" si="462"/>
        <v>0.64873024966549919</v>
      </c>
      <c r="N1296" s="27">
        <f t="shared" si="462"/>
        <v>0.64996461103073178</v>
      </c>
      <c r="O1296" s="27">
        <f t="shared" si="462"/>
        <v>0.65158835538416293</v>
      </c>
      <c r="P1296" s="27">
        <f t="shared" si="462"/>
        <v>0.65358433665736837</v>
      </c>
      <c r="Q1296" s="27">
        <f t="shared" si="462"/>
        <v>0.65582609607089082</v>
      </c>
      <c r="R1296" s="27">
        <f t="shared" si="462"/>
        <v>0.65829948060818433</v>
      </c>
      <c r="S1296" s="27">
        <f t="shared" si="462"/>
        <v>0.66056125459390613</v>
      </c>
      <c r="T1296" s="27">
        <f t="shared" si="462"/>
        <v>0.6615551328399103</v>
      </c>
      <c r="U1296" s="27">
        <f t="shared" si="462"/>
        <v>0.6627688716953648</v>
      </c>
      <c r="V1296" s="27">
        <f t="shared" si="462"/>
        <v>0.66404460597260306</v>
      </c>
      <c r="W1296" s="27">
        <f t="shared" si="462"/>
        <v>0.6654768900548883</v>
      </c>
      <c r="X1296" s="27">
        <f t="shared" si="462"/>
        <v>0.66706171638303324</v>
      </c>
      <c r="Y1296" s="27">
        <f t="shared" si="462"/>
        <v>0.66805148032554751</v>
      </c>
      <c r="Z1296" s="27">
        <f t="shared" si="462"/>
        <v>0.66916966267880784</v>
      </c>
      <c r="AA1296" s="27">
        <f t="shared" si="462"/>
        <v>0.67040115431901948</v>
      </c>
      <c r="AB1296" s="27">
        <f t="shared" si="462"/>
        <v>0.67174934141470444</v>
      </c>
      <c r="AC1296" s="27">
        <f t="shared" si="462"/>
        <v>0.67320030864845803</v>
      </c>
      <c r="AD1296" s="27">
        <f t="shared" si="462"/>
        <v>0.67417363963044585</v>
      </c>
      <c r="AE1296" s="27">
        <f t="shared" si="462"/>
        <v>0.67523030099636827</v>
      </c>
      <c r="AF1296" s="27">
        <f t="shared" si="462"/>
        <v>0.67637878657302375</v>
      </c>
      <c r="AG1296" s="27">
        <f t="shared" si="462"/>
        <v>0.67763030743217745</v>
      </c>
      <c r="AH1296" s="27">
        <f t="shared" si="462"/>
        <v>0.67894728296002871</v>
      </c>
      <c r="AI1296" s="27">
        <f t="shared" si="462"/>
        <v>0.67978908953029982</v>
      </c>
      <c r="AJ1296" s="27">
        <f t="shared" si="462"/>
        <v>0.68071114854819625</v>
      </c>
      <c r="AK1296" s="27">
        <f t="shared" si="462"/>
        <v>0.68168304858156126</v>
      </c>
      <c r="AL1296" s="27">
        <f t="shared" si="462"/>
        <v>0.68271513649709059</v>
      </c>
      <c r="AM1296" s="27">
        <f t="shared" si="462"/>
        <v>0.68380584742348371</v>
      </c>
      <c r="AN1296" s="27">
        <f t="shared" si="462"/>
        <v>0.68445032012662432</v>
      </c>
      <c r="AO1296" s="27">
        <f t="shared" si="462"/>
        <v>0.68513830255782171</v>
      </c>
      <c r="AP1296" s="27">
        <f t="shared" si="462"/>
        <v>0.6858845710588557</v>
      </c>
      <c r="AQ1296" s="27">
        <f t="shared" si="462"/>
        <v>0.6866884041464022</v>
      </c>
      <c r="AR1296" s="27">
        <f t="shared" si="462"/>
        <v>0.68754978516244758</v>
      </c>
      <c r="AS1296" s="27">
        <f t="shared" si="462"/>
        <v>0.6879405730806889</v>
      </c>
      <c r="AT1296" s="27">
        <f t="shared" si="462"/>
        <v>0.68819241005849918</v>
      </c>
      <c r="AU1296" s="27">
        <f t="shared" si="462"/>
        <v>0.68846847098197617</v>
      </c>
      <c r="AV1296" s="27">
        <f t="shared" si="462"/>
        <v>0.68876006533266065</v>
      </c>
      <c r="AW1296" s="27">
        <f t="shared" si="462"/>
        <v>0.68908307704774374</v>
      </c>
      <c r="AY1296" s="79"/>
      <c r="AZ1296" s="79"/>
    </row>
    <row r="1297" spans="1:52" x14ac:dyDescent="0.3">
      <c r="A1297" s="95" t="str">
        <f t="shared" si="384"/>
        <v>FSFAGSPQNIBDDSCM U&amp;D</v>
      </c>
      <c r="B1297" s="95" t="s">
        <v>1375</v>
      </c>
      <c r="C1297" s="95" t="s">
        <v>1336</v>
      </c>
      <c r="D1297" t="s">
        <v>369</v>
      </c>
      <c r="E1297" t="s">
        <v>55</v>
      </c>
      <c r="F1297" t="s">
        <v>422</v>
      </c>
      <c r="G1297" t="s">
        <v>1168</v>
      </c>
      <c r="H1297" t="s">
        <v>1248</v>
      </c>
      <c r="I1297" t="s">
        <v>139</v>
      </c>
      <c r="J1297" t="s">
        <v>287</v>
      </c>
      <c r="K1297" s="27">
        <f t="shared" ref="K1297:AW1297" si="463">IFERROR(K1490-((K1490-K81)+(K1490-K234)+(K1490-K387)+(K1490-K539)+(K1490-K691)+(K1490-K842)+(K1490-K993)+(K1490-K1144)),0)</f>
        <v>0.71706343480611268</v>
      </c>
      <c r="L1297" s="27">
        <f t="shared" si="463"/>
        <v>0.71892745361392807</v>
      </c>
      <c r="M1297" s="27">
        <f t="shared" si="463"/>
        <v>0.72149880168720626</v>
      </c>
      <c r="N1297" s="27">
        <f t="shared" si="463"/>
        <v>0.72463138273575978</v>
      </c>
      <c r="O1297" s="27">
        <f t="shared" si="463"/>
        <v>0.72832072886952293</v>
      </c>
      <c r="P1297" s="27">
        <f t="shared" si="463"/>
        <v>0.7325443847928953</v>
      </c>
      <c r="Q1297" s="27">
        <f t="shared" si="463"/>
        <v>0.73708994755228441</v>
      </c>
      <c r="R1297" s="27">
        <f t="shared" si="463"/>
        <v>0.74193942345928476</v>
      </c>
      <c r="S1297" s="27">
        <f t="shared" si="463"/>
        <v>0.74633734890279979</v>
      </c>
      <c r="T1297" s="27">
        <f t="shared" si="463"/>
        <v>0.7484855631491526</v>
      </c>
      <c r="U1297" s="27">
        <f t="shared" si="463"/>
        <v>0.75094789604401424</v>
      </c>
      <c r="V1297" s="27">
        <f t="shared" si="463"/>
        <v>0.7534578797366237</v>
      </c>
      <c r="W1297" s="27">
        <f t="shared" si="463"/>
        <v>0.75618014560841795</v>
      </c>
      <c r="X1297" s="27">
        <f t="shared" si="463"/>
        <v>0.75911019457510998</v>
      </c>
      <c r="Y1297" s="27">
        <f t="shared" si="463"/>
        <v>0.76098529780205848</v>
      </c>
      <c r="Z1297" s="27">
        <f t="shared" si="463"/>
        <v>0.76303676473265736</v>
      </c>
      <c r="AA1297" s="27">
        <f t="shared" si="463"/>
        <v>0.7652406009428746</v>
      </c>
      <c r="AB1297" s="27">
        <f t="shared" si="463"/>
        <v>0.76760388311939587</v>
      </c>
      <c r="AC1297" s="27">
        <f t="shared" si="463"/>
        <v>0.77010442048860683</v>
      </c>
      <c r="AD1297" s="27">
        <f t="shared" si="463"/>
        <v>0.77177199510986771</v>
      </c>
      <c r="AE1297" s="27">
        <f t="shared" si="463"/>
        <v>0.773550364220007</v>
      </c>
      <c r="AF1297" s="27">
        <f t="shared" si="463"/>
        <v>0.77545458075511842</v>
      </c>
      <c r="AG1297" s="27">
        <f t="shared" si="463"/>
        <v>0.77750398529137599</v>
      </c>
      <c r="AH1297" s="27">
        <f t="shared" si="463"/>
        <v>0.77963666315118907</v>
      </c>
      <c r="AI1297" s="27">
        <f t="shared" si="463"/>
        <v>0.78095748542095478</v>
      </c>
      <c r="AJ1297" s="27">
        <f t="shared" si="463"/>
        <v>0.78239081807371291</v>
      </c>
      <c r="AK1297" s="27">
        <f t="shared" si="463"/>
        <v>0.78388681169292429</v>
      </c>
      <c r="AL1297" s="27">
        <f t="shared" si="463"/>
        <v>0.78546308863746028</v>
      </c>
      <c r="AM1297" s="27">
        <f t="shared" si="463"/>
        <v>0.78711749076594029</v>
      </c>
      <c r="AN1297" s="27">
        <f t="shared" si="463"/>
        <v>0.7880213548905175</v>
      </c>
      <c r="AO1297" s="27">
        <f t="shared" si="463"/>
        <v>0.7889821600969783</v>
      </c>
      <c r="AP1297" s="27">
        <f t="shared" si="463"/>
        <v>0.7900244330710835</v>
      </c>
      <c r="AQ1297" s="27">
        <f t="shared" si="463"/>
        <v>0.79114717839494386</v>
      </c>
      <c r="AR1297" s="27">
        <f t="shared" si="463"/>
        <v>0.79235052559003472</v>
      </c>
      <c r="AS1297" s="27">
        <f t="shared" si="463"/>
        <v>0.79277466874731783</v>
      </c>
      <c r="AT1297" s="27">
        <f t="shared" si="463"/>
        <v>0.79296303081990593</v>
      </c>
      <c r="AU1297" s="27">
        <f t="shared" si="463"/>
        <v>0.79318200303032371</v>
      </c>
      <c r="AV1297" s="27">
        <f t="shared" si="463"/>
        <v>0.79341774382528896</v>
      </c>
      <c r="AW1297" s="27">
        <f t="shared" si="463"/>
        <v>0.79369623394189648</v>
      </c>
      <c r="AY1297" s="79"/>
      <c r="AZ1297" s="79"/>
    </row>
    <row r="1298" spans="1:52" x14ac:dyDescent="0.3">
      <c r="A1298" s="95" t="str">
        <f t="shared" si="384"/>
        <v>FSFAGSPQNIBDDSCM U&amp;D</v>
      </c>
      <c r="B1298" s="95" t="s">
        <v>1375</v>
      </c>
      <c r="C1298" s="95" t="s">
        <v>1336</v>
      </c>
      <c r="D1298" t="s">
        <v>369</v>
      </c>
      <c r="E1298" t="s">
        <v>55</v>
      </c>
      <c r="F1298" t="s">
        <v>422</v>
      </c>
      <c r="G1298" t="s">
        <v>1170</v>
      </c>
      <c r="H1298" t="s">
        <v>1249</v>
      </c>
      <c r="I1298" t="s">
        <v>139</v>
      </c>
      <c r="J1298" t="s">
        <v>287</v>
      </c>
      <c r="K1298" s="27">
        <f t="shared" ref="K1298:AW1298" si="464">IFERROR(K1491-((K1491-K82)+(K1491-K235)+(K1491-K388)+(K1491-K540)+(K1491-K692)+(K1491-K843)+(K1491-K994)+(K1491-K1145)),0)</f>
        <v>1.1867254191644503</v>
      </c>
      <c r="L1298" s="27">
        <f t="shared" si="464"/>
        <v>1.1898103324282718</v>
      </c>
      <c r="M1298" s="27">
        <f t="shared" si="464"/>
        <v>1.194065861258722</v>
      </c>
      <c r="N1298" s="27">
        <f t="shared" si="464"/>
        <v>1.1992502192631385</v>
      </c>
      <c r="O1298" s="27">
        <f t="shared" si="464"/>
        <v>1.2053560121742171</v>
      </c>
      <c r="P1298" s="27">
        <f t="shared" si="464"/>
        <v>1.212346076933865</v>
      </c>
      <c r="Q1298" s="27">
        <f t="shared" si="464"/>
        <v>1.2198688909683484</v>
      </c>
      <c r="R1298" s="27">
        <f t="shared" si="464"/>
        <v>1.2278946750888551</v>
      </c>
      <c r="S1298" s="27">
        <f t="shared" si="464"/>
        <v>1.2351731523644685</v>
      </c>
      <c r="T1298" s="27">
        <f t="shared" si="464"/>
        <v>1.2387284033063148</v>
      </c>
      <c r="U1298" s="27">
        <f t="shared" si="464"/>
        <v>1.2428035142308693</v>
      </c>
      <c r="V1298" s="27">
        <f t="shared" si="464"/>
        <v>1.2469574862577844</v>
      </c>
      <c r="W1298" s="27">
        <f t="shared" si="464"/>
        <v>1.2514627809792418</v>
      </c>
      <c r="X1298" s="27">
        <f t="shared" si="464"/>
        <v>1.2563119525021347</v>
      </c>
      <c r="Y1298" s="27">
        <f t="shared" si="464"/>
        <v>1.2594152102544689</v>
      </c>
      <c r="Z1298" s="27">
        <f t="shared" si="464"/>
        <v>1.2628103463539342</v>
      </c>
      <c r="AA1298" s="27">
        <f t="shared" si="464"/>
        <v>1.2664576505161484</v>
      </c>
      <c r="AB1298" s="27">
        <f t="shared" si="464"/>
        <v>1.2703688345138295</v>
      </c>
      <c r="AC1298" s="27">
        <f t="shared" si="464"/>
        <v>1.2745071730673998</v>
      </c>
      <c r="AD1298" s="27">
        <f t="shared" si="464"/>
        <v>1.2772669751927705</v>
      </c>
      <c r="AE1298" s="27">
        <f t="shared" si="464"/>
        <v>1.2802101399467087</v>
      </c>
      <c r="AF1298" s="27">
        <f t="shared" si="464"/>
        <v>1.2833615796326843</v>
      </c>
      <c r="AG1298" s="27">
        <f t="shared" si="464"/>
        <v>1.2867533025114073</v>
      </c>
      <c r="AH1298" s="27">
        <f t="shared" si="464"/>
        <v>1.2902828410491152</v>
      </c>
      <c r="AI1298" s="27">
        <f t="shared" si="464"/>
        <v>1.2924687750762118</v>
      </c>
      <c r="AJ1298" s="27">
        <f t="shared" si="464"/>
        <v>1.2948409115017798</v>
      </c>
      <c r="AK1298" s="27">
        <f t="shared" si="464"/>
        <v>1.2973167505540197</v>
      </c>
      <c r="AL1298" s="27">
        <f t="shared" si="464"/>
        <v>1.2999254568789065</v>
      </c>
      <c r="AM1298" s="27">
        <f t="shared" si="464"/>
        <v>1.3026634587962926</v>
      </c>
      <c r="AN1298" s="27">
        <f t="shared" si="464"/>
        <v>1.3041593355626162</v>
      </c>
      <c r="AO1298" s="27">
        <f t="shared" si="464"/>
        <v>1.3057494486628347</v>
      </c>
      <c r="AP1298" s="27">
        <f t="shared" si="464"/>
        <v>1.3074743892636795</v>
      </c>
      <c r="AQ1298" s="27">
        <f t="shared" si="464"/>
        <v>1.3093325099687654</v>
      </c>
      <c r="AR1298" s="27">
        <f t="shared" si="464"/>
        <v>1.3113240251335019</v>
      </c>
      <c r="AS1298" s="27">
        <f t="shared" si="464"/>
        <v>1.3120259734433455</v>
      </c>
      <c r="AT1298" s="27">
        <f t="shared" si="464"/>
        <v>1.3123377088473509</v>
      </c>
      <c r="AU1298" s="27">
        <f t="shared" si="464"/>
        <v>1.3127001034076922</v>
      </c>
      <c r="AV1298" s="27">
        <f t="shared" si="464"/>
        <v>1.313090249634846</v>
      </c>
      <c r="AW1298" s="27">
        <f t="shared" si="464"/>
        <v>1.3135511451209665</v>
      </c>
      <c r="AY1298" s="79"/>
      <c r="AZ1298" s="79"/>
    </row>
    <row r="1299" spans="1:52" x14ac:dyDescent="0.3">
      <c r="A1299" s="95" t="str">
        <f t="shared" si="384"/>
        <v>FSFAGSPQNIBDDSCM U&amp;D</v>
      </c>
      <c r="B1299" s="95" t="s">
        <v>1375</v>
      </c>
      <c r="C1299" s="95" t="s">
        <v>1336</v>
      </c>
      <c r="D1299" t="s">
        <v>369</v>
      </c>
      <c r="E1299" t="s">
        <v>55</v>
      </c>
      <c r="F1299" t="s">
        <v>422</v>
      </c>
      <c r="G1299" t="s">
        <v>1172</v>
      </c>
      <c r="H1299" t="s">
        <v>1250</v>
      </c>
      <c r="I1299" t="s">
        <v>139</v>
      </c>
      <c r="J1299" t="s">
        <v>287</v>
      </c>
      <c r="K1299" s="27">
        <f t="shared" ref="K1299:AW1299" si="465">IFERROR(K1492-((K1492-K83)+(K1492-K236)+(K1492-K389)+(K1492-K541)+(K1492-K693)+(K1492-K844)+(K1492-K995)+(K1492-K1146)),0)</f>
        <v>0.19147730421375916</v>
      </c>
      <c r="L1299" s="27">
        <f t="shared" si="465"/>
        <v>0.19240499933397132</v>
      </c>
      <c r="M1299" s="27">
        <f t="shared" si="465"/>
        <v>0.19381280191845887</v>
      </c>
      <c r="N1299" s="27">
        <f t="shared" si="465"/>
        <v>0.19411375969056655</v>
      </c>
      <c r="O1299" s="27">
        <f t="shared" si="465"/>
        <v>0.19368291106027893</v>
      </c>
      <c r="P1299" s="27">
        <f t="shared" si="465"/>
        <v>0.19253602379697463</v>
      </c>
      <c r="Q1299" s="27">
        <f t="shared" si="465"/>
        <v>0.19190012409058904</v>
      </c>
      <c r="R1299" s="27">
        <f t="shared" si="465"/>
        <v>0.19132863754616405</v>
      </c>
      <c r="S1299" s="27">
        <f t="shared" si="465"/>
        <v>0.1803905818810948</v>
      </c>
      <c r="T1299" s="27">
        <f t="shared" si="465"/>
        <v>0.18262456774024571</v>
      </c>
      <c r="U1299" s="27">
        <f t="shared" si="465"/>
        <v>0.18617292598676535</v>
      </c>
      <c r="V1299" s="27">
        <f t="shared" si="465"/>
        <v>0.1874827131948397</v>
      </c>
      <c r="W1299" s="27">
        <f t="shared" si="465"/>
        <v>0.18903918513554135</v>
      </c>
      <c r="X1299" s="27">
        <f t="shared" si="465"/>
        <v>0.19092374052200031</v>
      </c>
      <c r="Y1299" s="27">
        <f t="shared" si="465"/>
        <v>0.19317866485257018</v>
      </c>
      <c r="Z1299" s="27">
        <f t="shared" si="465"/>
        <v>0.19568472941200174</v>
      </c>
      <c r="AA1299" s="27">
        <f t="shared" si="465"/>
        <v>0.19822057353598227</v>
      </c>
      <c r="AB1299" s="27">
        <f t="shared" si="465"/>
        <v>0.20098305885598644</v>
      </c>
      <c r="AC1299" s="27">
        <f t="shared" si="465"/>
        <v>0.20375514589644325</v>
      </c>
      <c r="AD1299" s="27">
        <f t="shared" si="465"/>
        <v>0.20708073603212976</v>
      </c>
      <c r="AE1299" s="27">
        <f t="shared" si="465"/>
        <v>0.21028463440230635</v>
      </c>
      <c r="AF1299" s="27">
        <f t="shared" si="465"/>
        <v>0.2136443220754487</v>
      </c>
      <c r="AG1299" s="27">
        <f t="shared" si="465"/>
        <v>0.21748682395851593</v>
      </c>
      <c r="AH1299" s="27">
        <f t="shared" si="465"/>
        <v>0.22102739700732632</v>
      </c>
      <c r="AI1299" s="27">
        <f t="shared" si="465"/>
        <v>0.22493633340985938</v>
      </c>
      <c r="AJ1299" s="27">
        <f t="shared" si="465"/>
        <v>0.22910386680533321</v>
      </c>
      <c r="AK1299" s="27">
        <f t="shared" si="465"/>
        <v>0.2329046036438828</v>
      </c>
      <c r="AL1299" s="27">
        <f t="shared" si="465"/>
        <v>0.23662356544971794</v>
      </c>
      <c r="AM1299" s="27">
        <f t="shared" si="465"/>
        <v>0.24027411251375713</v>
      </c>
      <c r="AN1299" s="27">
        <f t="shared" si="465"/>
        <v>0.24444413665938144</v>
      </c>
      <c r="AO1299" s="27">
        <f t="shared" si="465"/>
        <v>0.2483759174868751</v>
      </c>
      <c r="AP1299" s="27">
        <f t="shared" si="465"/>
        <v>0.25243602460510989</v>
      </c>
      <c r="AQ1299" s="27">
        <f t="shared" si="465"/>
        <v>0.25664462657697379</v>
      </c>
      <c r="AR1299" s="27">
        <f t="shared" si="465"/>
        <v>0.26103451555954071</v>
      </c>
      <c r="AS1299" s="27">
        <f t="shared" si="465"/>
        <v>0.26580339289786814</v>
      </c>
      <c r="AT1299" s="27">
        <f t="shared" si="465"/>
        <v>0.26659601183855292</v>
      </c>
      <c r="AU1299" s="27">
        <f t="shared" si="465"/>
        <v>0.26701268168020675</v>
      </c>
      <c r="AV1299" s="27">
        <f t="shared" si="465"/>
        <v>0.26689564753163691</v>
      </c>
      <c r="AW1299" s="27">
        <f t="shared" si="465"/>
        <v>0.2666191038621068</v>
      </c>
      <c r="AY1299" s="79"/>
      <c r="AZ1299" s="79"/>
    </row>
    <row r="1300" spans="1:52" x14ac:dyDescent="0.3">
      <c r="A1300" s="95" t="str">
        <f t="shared" si="384"/>
        <v>FSFAGSPQNIBDDSCM U&amp;D</v>
      </c>
      <c r="B1300" s="95" t="s">
        <v>1375</v>
      </c>
      <c r="C1300" s="95" t="s">
        <v>1336</v>
      </c>
      <c r="D1300" t="s">
        <v>369</v>
      </c>
      <c r="E1300" t="s">
        <v>55</v>
      </c>
      <c r="F1300" t="s">
        <v>422</v>
      </c>
      <c r="G1300" t="s">
        <v>1174</v>
      </c>
      <c r="H1300" t="s">
        <v>1251</v>
      </c>
      <c r="I1300" t="s">
        <v>139</v>
      </c>
      <c r="J1300" t="s">
        <v>287</v>
      </c>
      <c r="K1300" s="27">
        <f t="shared" ref="K1300:AW1300" si="466">IFERROR(K1493-((K1493-K84)+(K1493-K237)+(K1493-K390)+(K1493-K542)+(K1493-K694)+(K1493-K845)+(K1493-K996)+(K1493-K1147)),0)</f>
        <v>3.4640571428571423E-2</v>
      </c>
      <c r="L1300" s="27">
        <f t="shared" si="466"/>
        <v>3.4640571428571423E-2</v>
      </c>
      <c r="M1300" s="27">
        <f t="shared" si="466"/>
        <v>3.4640571428571423E-2</v>
      </c>
      <c r="N1300" s="27">
        <f t="shared" si="466"/>
        <v>3.4640571428571423E-2</v>
      </c>
      <c r="O1300" s="27">
        <f t="shared" si="466"/>
        <v>3.4640571428571423E-2</v>
      </c>
      <c r="P1300" s="27">
        <f t="shared" si="466"/>
        <v>3.4640571428571423E-2</v>
      </c>
      <c r="Q1300" s="27">
        <f t="shared" si="466"/>
        <v>3.4640571428571423E-2</v>
      </c>
      <c r="R1300" s="27">
        <f t="shared" si="466"/>
        <v>3.4640571428571423E-2</v>
      </c>
      <c r="S1300" s="27">
        <f t="shared" si="466"/>
        <v>3.4640571428571423E-2</v>
      </c>
      <c r="T1300" s="27">
        <f t="shared" si="466"/>
        <v>3.4640571428571423E-2</v>
      </c>
      <c r="U1300" s="27">
        <f t="shared" si="466"/>
        <v>3.4640571428571423E-2</v>
      </c>
      <c r="V1300" s="27">
        <f t="shared" si="466"/>
        <v>3.4640571428571423E-2</v>
      </c>
      <c r="W1300" s="27">
        <f t="shared" si="466"/>
        <v>3.4640571428571423E-2</v>
      </c>
      <c r="X1300" s="27">
        <f t="shared" si="466"/>
        <v>3.4640571428571423E-2</v>
      </c>
      <c r="Y1300" s="27">
        <f t="shared" si="466"/>
        <v>3.4640571428571423E-2</v>
      </c>
      <c r="Z1300" s="27">
        <f t="shared" si="466"/>
        <v>3.4640571428571423E-2</v>
      </c>
      <c r="AA1300" s="27">
        <f t="shared" si="466"/>
        <v>3.4640571428571423E-2</v>
      </c>
      <c r="AB1300" s="27">
        <f t="shared" si="466"/>
        <v>3.4640571428571423E-2</v>
      </c>
      <c r="AC1300" s="27">
        <f t="shared" si="466"/>
        <v>3.4640571428571423E-2</v>
      </c>
      <c r="AD1300" s="27">
        <f t="shared" si="466"/>
        <v>3.4640571428571423E-2</v>
      </c>
      <c r="AE1300" s="27">
        <f t="shared" si="466"/>
        <v>3.4640571428571423E-2</v>
      </c>
      <c r="AF1300" s="27">
        <f t="shared" si="466"/>
        <v>3.4640571428571423E-2</v>
      </c>
      <c r="AG1300" s="27">
        <f t="shared" si="466"/>
        <v>3.4640571428571423E-2</v>
      </c>
      <c r="AH1300" s="27">
        <f t="shared" si="466"/>
        <v>3.4640571428571423E-2</v>
      </c>
      <c r="AI1300" s="27">
        <f t="shared" si="466"/>
        <v>3.4640571428571423E-2</v>
      </c>
      <c r="AJ1300" s="27">
        <f t="shared" si="466"/>
        <v>3.4640571428571423E-2</v>
      </c>
      <c r="AK1300" s="27">
        <f t="shared" si="466"/>
        <v>3.4640571428571423E-2</v>
      </c>
      <c r="AL1300" s="27">
        <f t="shared" si="466"/>
        <v>3.4640571428571423E-2</v>
      </c>
      <c r="AM1300" s="27">
        <f t="shared" si="466"/>
        <v>3.4640571428571423E-2</v>
      </c>
      <c r="AN1300" s="27">
        <f t="shared" si="466"/>
        <v>3.4640571428571423E-2</v>
      </c>
      <c r="AO1300" s="27">
        <f t="shared" si="466"/>
        <v>3.4640571428571423E-2</v>
      </c>
      <c r="AP1300" s="27">
        <f t="shared" si="466"/>
        <v>3.4640571428571423E-2</v>
      </c>
      <c r="AQ1300" s="27">
        <f t="shared" si="466"/>
        <v>3.4640571428571423E-2</v>
      </c>
      <c r="AR1300" s="27">
        <f t="shared" si="466"/>
        <v>3.4640571428571423E-2</v>
      </c>
      <c r="AS1300" s="27">
        <f t="shared" si="466"/>
        <v>3.4640571428571423E-2</v>
      </c>
      <c r="AT1300" s="27">
        <f t="shared" si="466"/>
        <v>3.4640571428571423E-2</v>
      </c>
      <c r="AU1300" s="27">
        <f t="shared" si="466"/>
        <v>3.4640571428571423E-2</v>
      </c>
      <c r="AV1300" s="27">
        <f t="shared" si="466"/>
        <v>3.4640571428571423E-2</v>
      </c>
      <c r="AW1300" s="27">
        <f t="shared" si="466"/>
        <v>3.4640571428571423E-2</v>
      </c>
      <c r="AY1300" s="79"/>
      <c r="AZ1300" s="79"/>
    </row>
    <row r="1301" spans="1:52" x14ac:dyDescent="0.3">
      <c r="A1301" s="95" t="str">
        <f t="shared" si="384"/>
        <v>FSFAGSPQNIBDDSCM U&amp;D</v>
      </c>
      <c r="B1301" s="95" t="s">
        <v>1375</v>
      </c>
      <c r="C1301" s="95" t="s">
        <v>1336</v>
      </c>
      <c r="D1301" t="s">
        <v>369</v>
      </c>
      <c r="E1301" t="s">
        <v>55</v>
      </c>
      <c r="F1301" t="s">
        <v>422</v>
      </c>
      <c r="G1301" t="s">
        <v>1176</v>
      </c>
      <c r="H1301" t="s">
        <v>1252</v>
      </c>
      <c r="I1301" t="s">
        <v>139</v>
      </c>
      <c r="J1301" t="s">
        <v>287</v>
      </c>
      <c r="K1301" s="27">
        <f t="shared" ref="K1301:AW1301" si="467">IFERROR(K1494-((K1494-K85)+(K1494-K238)+(K1494-K391)+(K1494-K543)+(K1494-K695)+(K1494-K846)+(K1494-K997)+(K1494-K1148)),0)</f>
        <v>0</v>
      </c>
      <c r="L1301" s="27">
        <f t="shared" si="467"/>
        <v>0</v>
      </c>
      <c r="M1301" s="27">
        <f t="shared" si="467"/>
        <v>0</v>
      </c>
      <c r="N1301" s="27">
        <f t="shared" si="467"/>
        <v>0</v>
      </c>
      <c r="O1301" s="27">
        <f t="shared" si="467"/>
        <v>0</v>
      </c>
      <c r="P1301" s="27">
        <f t="shared" si="467"/>
        <v>0</v>
      </c>
      <c r="Q1301" s="27">
        <f t="shared" si="467"/>
        <v>0</v>
      </c>
      <c r="R1301" s="27">
        <f t="shared" si="467"/>
        <v>0</v>
      </c>
      <c r="S1301" s="27">
        <f t="shared" si="467"/>
        <v>0</v>
      </c>
      <c r="T1301" s="27">
        <f t="shared" si="467"/>
        <v>0</v>
      </c>
      <c r="U1301" s="27">
        <f t="shared" si="467"/>
        <v>0</v>
      </c>
      <c r="V1301" s="27">
        <f t="shared" si="467"/>
        <v>0</v>
      </c>
      <c r="W1301" s="27">
        <f t="shared" si="467"/>
        <v>0</v>
      </c>
      <c r="X1301" s="27">
        <f t="shared" si="467"/>
        <v>0</v>
      </c>
      <c r="Y1301" s="27">
        <f t="shared" si="467"/>
        <v>0</v>
      </c>
      <c r="Z1301" s="27">
        <f t="shared" si="467"/>
        <v>0</v>
      </c>
      <c r="AA1301" s="27">
        <f t="shared" si="467"/>
        <v>0</v>
      </c>
      <c r="AB1301" s="27">
        <f t="shared" si="467"/>
        <v>0</v>
      </c>
      <c r="AC1301" s="27">
        <f t="shared" si="467"/>
        <v>0</v>
      </c>
      <c r="AD1301" s="27">
        <f t="shared" si="467"/>
        <v>0</v>
      </c>
      <c r="AE1301" s="27">
        <f t="shared" si="467"/>
        <v>0</v>
      </c>
      <c r="AF1301" s="27">
        <f t="shared" si="467"/>
        <v>0</v>
      </c>
      <c r="AG1301" s="27">
        <f t="shared" si="467"/>
        <v>0</v>
      </c>
      <c r="AH1301" s="27">
        <f t="shared" si="467"/>
        <v>0</v>
      </c>
      <c r="AI1301" s="27">
        <f t="shared" si="467"/>
        <v>0</v>
      </c>
      <c r="AJ1301" s="27">
        <f t="shared" si="467"/>
        <v>0</v>
      </c>
      <c r="AK1301" s="27">
        <f t="shared" si="467"/>
        <v>0</v>
      </c>
      <c r="AL1301" s="27">
        <f t="shared" si="467"/>
        <v>0</v>
      </c>
      <c r="AM1301" s="27">
        <f t="shared" si="467"/>
        <v>0</v>
      </c>
      <c r="AN1301" s="27">
        <f t="shared" si="467"/>
        <v>0</v>
      </c>
      <c r="AO1301" s="27">
        <f t="shared" si="467"/>
        <v>0</v>
      </c>
      <c r="AP1301" s="27">
        <f t="shared" si="467"/>
        <v>0</v>
      </c>
      <c r="AQ1301" s="27">
        <f t="shared" si="467"/>
        <v>0</v>
      </c>
      <c r="AR1301" s="27">
        <f t="shared" si="467"/>
        <v>0</v>
      </c>
      <c r="AS1301" s="27">
        <f t="shared" si="467"/>
        <v>0</v>
      </c>
      <c r="AT1301" s="27">
        <f t="shared" si="467"/>
        <v>0</v>
      </c>
      <c r="AU1301" s="27">
        <f t="shared" si="467"/>
        <v>0</v>
      </c>
      <c r="AV1301" s="27">
        <f t="shared" si="467"/>
        <v>0</v>
      </c>
      <c r="AW1301" s="27">
        <f t="shared" si="467"/>
        <v>0</v>
      </c>
      <c r="AY1301" s="79"/>
      <c r="AZ1301" s="79"/>
    </row>
    <row r="1302" spans="1:52" x14ac:dyDescent="0.3">
      <c r="A1302" s="95" t="str">
        <f t="shared" si="384"/>
        <v>FSFAGSPQNIBDDSCM U&amp;D</v>
      </c>
      <c r="B1302" s="95" t="s">
        <v>1375</v>
      </c>
      <c r="C1302" s="95" t="s">
        <v>1336</v>
      </c>
      <c r="D1302" t="s">
        <v>369</v>
      </c>
      <c r="E1302" t="s">
        <v>55</v>
      </c>
      <c r="F1302" t="s">
        <v>422</v>
      </c>
      <c r="G1302" t="s">
        <v>1178</v>
      </c>
      <c r="H1302" t="s">
        <v>1253</v>
      </c>
      <c r="I1302" t="s">
        <v>139</v>
      </c>
      <c r="J1302" t="s">
        <v>287</v>
      </c>
      <c r="K1302" s="27">
        <f t="shared" ref="K1302:AW1302" si="468">IFERROR(K1495-((K1495-K86)+(K1495-K239)+(K1495-K392)+(K1495-K544)+(K1495-K696)+(K1495-K847)+(K1495-K998)+(K1495-K1149)),0)</f>
        <v>0</v>
      </c>
      <c r="L1302" s="27">
        <f t="shared" si="468"/>
        <v>0</v>
      </c>
      <c r="M1302" s="27">
        <f t="shared" si="468"/>
        <v>0</v>
      </c>
      <c r="N1302" s="27">
        <f t="shared" si="468"/>
        <v>0</v>
      </c>
      <c r="O1302" s="27">
        <f t="shared" si="468"/>
        <v>0</v>
      </c>
      <c r="P1302" s="27">
        <f t="shared" si="468"/>
        <v>0</v>
      </c>
      <c r="Q1302" s="27">
        <f t="shared" si="468"/>
        <v>0</v>
      </c>
      <c r="R1302" s="27">
        <f t="shared" si="468"/>
        <v>0</v>
      </c>
      <c r="S1302" s="27">
        <f t="shared" si="468"/>
        <v>0</v>
      </c>
      <c r="T1302" s="27">
        <f t="shared" si="468"/>
        <v>0</v>
      </c>
      <c r="U1302" s="27">
        <f t="shared" si="468"/>
        <v>0</v>
      </c>
      <c r="V1302" s="27">
        <f t="shared" si="468"/>
        <v>0</v>
      </c>
      <c r="W1302" s="27">
        <f t="shared" si="468"/>
        <v>0</v>
      </c>
      <c r="X1302" s="27">
        <f t="shared" si="468"/>
        <v>0</v>
      </c>
      <c r="Y1302" s="27">
        <f t="shared" si="468"/>
        <v>0</v>
      </c>
      <c r="Z1302" s="27">
        <f t="shared" si="468"/>
        <v>0</v>
      </c>
      <c r="AA1302" s="27">
        <f t="shared" si="468"/>
        <v>0</v>
      </c>
      <c r="AB1302" s="27">
        <f t="shared" si="468"/>
        <v>0</v>
      </c>
      <c r="AC1302" s="27">
        <f t="shared" si="468"/>
        <v>0</v>
      </c>
      <c r="AD1302" s="27">
        <f t="shared" si="468"/>
        <v>0</v>
      </c>
      <c r="AE1302" s="27">
        <f t="shared" si="468"/>
        <v>0</v>
      </c>
      <c r="AF1302" s="27">
        <f t="shared" si="468"/>
        <v>0</v>
      </c>
      <c r="AG1302" s="27">
        <f t="shared" si="468"/>
        <v>0</v>
      </c>
      <c r="AH1302" s="27">
        <f t="shared" si="468"/>
        <v>0</v>
      </c>
      <c r="AI1302" s="27">
        <f t="shared" si="468"/>
        <v>0</v>
      </c>
      <c r="AJ1302" s="27">
        <f t="shared" si="468"/>
        <v>0</v>
      </c>
      <c r="AK1302" s="27">
        <f t="shared" si="468"/>
        <v>0</v>
      </c>
      <c r="AL1302" s="27">
        <f t="shared" si="468"/>
        <v>0</v>
      </c>
      <c r="AM1302" s="27">
        <f t="shared" si="468"/>
        <v>0</v>
      </c>
      <c r="AN1302" s="27">
        <f t="shared" si="468"/>
        <v>0</v>
      </c>
      <c r="AO1302" s="27">
        <f t="shared" si="468"/>
        <v>0</v>
      </c>
      <c r="AP1302" s="27">
        <f t="shared" si="468"/>
        <v>0</v>
      </c>
      <c r="AQ1302" s="27">
        <f t="shared" si="468"/>
        <v>0</v>
      </c>
      <c r="AR1302" s="27">
        <f t="shared" si="468"/>
        <v>0</v>
      </c>
      <c r="AS1302" s="27">
        <f t="shared" si="468"/>
        <v>0</v>
      </c>
      <c r="AT1302" s="27">
        <f t="shared" si="468"/>
        <v>0</v>
      </c>
      <c r="AU1302" s="27">
        <f t="shared" si="468"/>
        <v>0</v>
      </c>
      <c r="AV1302" s="27">
        <f t="shared" si="468"/>
        <v>0</v>
      </c>
      <c r="AW1302" s="27">
        <f t="shared" si="468"/>
        <v>0</v>
      </c>
      <c r="AY1302" s="79"/>
      <c r="AZ1302" s="79"/>
    </row>
    <row r="1303" spans="1:52" x14ac:dyDescent="0.3">
      <c r="A1303" s="95" t="str">
        <f t="shared" si="384"/>
        <v>FSFAGSPQNIBDDSCM U&amp;D</v>
      </c>
      <c r="B1303" s="95" t="s">
        <v>1375</v>
      </c>
      <c r="C1303" s="95" t="s">
        <v>1336</v>
      </c>
      <c r="D1303" t="s">
        <v>369</v>
      </c>
      <c r="E1303" t="s">
        <v>55</v>
      </c>
      <c r="F1303" t="s">
        <v>422</v>
      </c>
      <c r="G1303" t="s">
        <v>1180</v>
      </c>
      <c r="H1303" t="s">
        <v>1254</v>
      </c>
      <c r="I1303" t="s">
        <v>139</v>
      </c>
      <c r="J1303" t="s">
        <v>287</v>
      </c>
      <c r="K1303" s="27">
        <f t="shared" ref="K1303:AW1303" si="469">IFERROR(K1496-((K1496-K87)+(K1496-K240)+(K1496-K393)+(K1496-K545)+(K1496-K697)+(K1496-K848)+(K1496-K999)+(K1496-K1150)),0)</f>
        <v>0</v>
      </c>
      <c r="L1303" s="27">
        <f t="shared" si="469"/>
        <v>0</v>
      </c>
      <c r="M1303" s="27">
        <f t="shared" si="469"/>
        <v>0</v>
      </c>
      <c r="N1303" s="27">
        <f t="shared" si="469"/>
        <v>0</v>
      </c>
      <c r="O1303" s="27">
        <f t="shared" si="469"/>
        <v>0</v>
      </c>
      <c r="P1303" s="27">
        <f t="shared" si="469"/>
        <v>0</v>
      </c>
      <c r="Q1303" s="27">
        <f t="shared" si="469"/>
        <v>0</v>
      </c>
      <c r="R1303" s="27">
        <f t="shared" si="469"/>
        <v>0</v>
      </c>
      <c r="S1303" s="27">
        <f t="shared" si="469"/>
        <v>0</v>
      </c>
      <c r="T1303" s="27">
        <f t="shared" si="469"/>
        <v>0</v>
      </c>
      <c r="U1303" s="27">
        <f t="shared" si="469"/>
        <v>0</v>
      </c>
      <c r="V1303" s="27">
        <f t="shared" si="469"/>
        <v>0</v>
      </c>
      <c r="W1303" s="27">
        <f t="shared" si="469"/>
        <v>0</v>
      </c>
      <c r="X1303" s="27">
        <f t="shared" si="469"/>
        <v>0</v>
      </c>
      <c r="Y1303" s="27">
        <f t="shared" si="469"/>
        <v>0</v>
      </c>
      <c r="Z1303" s="27">
        <f t="shared" si="469"/>
        <v>0</v>
      </c>
      <c r="AA1303" s="27">
        <f t="shared" si="469"/>
        <v>0</v>
      </c>
      <c r="AB1303" s="27">
        <f t="shared" si="469"/>
        <v>0</v>
      </c>
      <c r="AC1303" s="27">
        <f t="shared" si="469"/>
        <v>0</v>
      </c>
      <c r="AD1303" s="27">
        <f t="shared" si="469"/>
        <v>0</v>
      </c>
      <c r="AE1303" s="27">
        <f t="shared" si="469"/>
        <v>0</v>
      </c>
      <c r="AF1303" s="27">
        <f t="shared" si="469"/>
        <v>0</v>
      </c>
      <c r="AG1303" s="27">
        <f t="shared" si="469"/>
        <v>0</v>
      </c>
      <c r="AH1303" s="27">
        <f t="shared" si="469"/>
        <v>0</v>
      </c>
      <c r="AI1303" s="27">
        <f t="shared" si="469"/>
        <v>0</v>
      </c>
      <c r="AJ1303" s="27">
        <f t="shared" si="469"/>
        <v>0</v>
      </c>
      <c r="AK1303" s="27">
        <f t="shared" si="469"/>
        <v>0</v>
      </c>
      <c r="AL1303" s="27">
        <f t="shared" si="469"/>
        <v>0</v>
      </c>
      <c r="AM1303" s="27">
        <f t="shared" si="469"/>
        <v>0</v>
      </c>
      <c r="AN1303" s="27">
        <f t="shared" si="469"/>
        <v>0</v>
      </c>
      <c r="AO1303" s="27">
        <f t="shared" si="469"/>
        <v>0</v>
      </c>
      <c r="AP1303" s="27">
        <f t="shared" si="469"/>
        <v>0</v>
      </c>
      <c r="AQ1303" s="27">
        <f t="shared" si="469"/>
        <v>0</v>
      </c>
      <c r="AR1303" s="27">
        <f t="shared" si="469"/>
        <v>0</v>
      </c>
      <c r="AS1303" s="27">
        <f t="shared" si="469"/>
        <v>0</v>
      </c>
      <c r="AT1303" s="27">
        <f t="shared" si="469"/>
        <v>0</v>
      </c>
      <c r="AU1303" s="27">
        <f t="shared" si="469"/>
        <v>0</v>
      </c>
      <c r="AV1303" s="27">
        <f t="shared" si="469"/>
        <v>0</v>
      </c>
      <c r="AW1303" s="27">
        <f t="shared" si="469"/>
        <v>0</v>
      </c>
      <c r="AY1303" s="79"/>
      <c r="AZ1303" s="79"/>
    </row>
    <row r="1304" spans="1:52" x14ac:dyDescent="0.3">
      <c r="A1304" s="95" t="str">
        <f t="shared" si="384"/>
        <v>FSFAGSPQNIBDDSCM U&amp;D</v>
      </c>
      <c r="B1304" s="95" t="s">
        <v>1375</v>
      </c>
      <c r="C1304" s="95" t="s">
        <v>1336</v>
      </c>
      <c r="D1304" t="s">
        <v>369</v>
      </c>
      <c r="E1304" t="s">
        <v>55</v>
      </c>
      <c r="F1304" t="s">
        <v>422</v>
      </c>
      <c r="G1304" t="s">
        <v>1182</v>
      </c>
      <c r="H1304" t="s">
        <v>1255</v>
      </c>
      <c r="I1304" t="s">
        <v>139</v>
      </c>
      <c r="J1304" t="s">
        <v>287</v>
      </c>
      <c r="K1304" s="27">
        <f t="shared" ref="K1304:AW1304" si="470">IFERROR(K1497-((K1497-K88)+(K1497-K241)+(K1497-K394)+(K1497-K546)+(K1497-K698)+(K1497-K849)+(K1497-K1000)+(K1497-K1151)),0)</f>
        <v>0</v>
      </c>
      <c r="L1304" s="27">
        <f t="shared" si="470"/>
        <v>0</v>
      </c>
      <c r="M1304" s="27">
        <f t="shared" si="470"/>
        <v>0</v>
      </c>
      <c r="N1304" s="27">
        <f t="shared" si="470"/>
        <v>0</v>
      </c>
      <c r="O1304" s="27">
        <f t="shared" si="470"/>
        <v>0</v>
      </c>
      <c r="P1304" s="27">
        <f t="shared" si="470"/>
        <v>0</v>
      </c>
      <c r="Q1304" s="27">
        <f t="shared" si="470"/>
        <v>0</v>
      </c>
      <c r="R1304" s="27">
        <f t="shared" si="470"/>
        <v>0</v>
      </c>
      <c r="S1304" s="27">
        <f t="shared" si="470"/>
        <v>0</v>
      </c>
      <c r="T1304" s="27">
        <f t="shared" si="470"/>
        <v>0</v>
      </c>
      <c r="U1304" s="27">
        <f t="shared" si="470"/>
        <v>0</v>
      </c>
      <c r="V1304" s="27">
        <f t="shared" si="470"/>
        <v>0</v>
      </c>
      <c r="W1304" s="27">
        <f t="shared" si="470"/>
        <v>0</v>
      </c>
      <c r="X1304" s="27">
        <f t="shared" si="470"/>
        <v>0</v>
      </c>
      <c r="Y1304" s="27">
        <f t="shared" si="470"/>
        <v>0</v>
      </c>
      <c r="Z1304" s="27">
        <f t="shared" si="470"/>
        <v>0</v>
      </c>
      <c r="AA1304" s="27">
        <f t="shared" si="470"/>
        <v>0</v>
      </c>
      <c r="AB1304" s="27">
        <f t="shared" si="470"/>
        <v>0</v>
      </c>
      <c r="AC1304" s="27">
        <f t="shared" si="470"/>
        <v>0</v>
      </c>
      <c r="AD1304" s="27">
        <f t="shared" si="470"/>
        <v>0</v>
      </c>
      <c r="AE1304" s="27">
        <f t="shared" si="470"/>
        <v>0</v>
      </c>
      <c r="AF1304" s="27">
        <f t="shared" si="470"/>
        <v>0</v>
      </c>
      <c r="AG1304" s="27">
        <f t="shared" si="470"/>
        <v>0</v>
      </c>
      <c r="AH1304" s="27">
        <f t="shared" si="470"/>
        <v>0</v>
      </c>
      <c r="AI1304" s="27">
        <f t="shared" si="470"/>
        <v>0</v>
      </c>
      <c r="AJ1304" s="27">
        <f t="shared" si="470"/>
        <v>0</v>
      </c>
      <c r="AK1304" s="27">
        <f t="shared" si="470"/>
        <v>0</v>
      </c>
      <c r="AL1304" s="27">
        <f t="shared" si="470"/>
        <v>0</v>
      </c>
      <c r="AM1304" s="27">
        <f t="shared" si="470"/>
        <v>0</v>
      </c>
      <c r="AN1304" s="27">
        <f t="shared" si="470"/>
        <v>0</v>
      </c>
      <c r="AO1304" s="27">
        <f t="shared" si="470"/>
        <v>0</v>
      </c>
      <c r="AP1304" s="27">
        <f t="shared" si="470"/>
        <v>0</v>
      </c>
      <c r="AQ1304" s="27">
        <f t="shared" si="470"/>
        <v>0</v>
      </c>
      <c r="AR1304" s="27">
        <f t="shared" si="470"/>
        <v>0</v>
      </c>
      <c r="AS1304" s="27">
        <f t="shared" si="470"/>
        <v>0</v>
      </c>
      <c r="AT1304" s="27">
        <f t="shared" si="470"/>
        <v>0</v>
      </c>
      <c r="AU1304" s="27">
        <f t="shared" si="470"/>
        <v>0</v>
      </c>
      <c r="AV1304" s="27">
        <f t="shared" si="470"/>
        <v>0</v>
      </c>
      <c r="AW1304" s="27">
        <f t="shared" si="470"/>
        <v>0</v>
      </c>
      <c r="AY1304" s="79"/>
      <c r="AZ1304" s="79"/>
    </row>
    <row r="1305" spans="1:52" x14ac:dyDescent="0.3">
      <c r="A1305" s="95" t="str">
        <f t="shared" si="384"/>
        <v>FSFAGSPQNIBDDSCM FSOM</v>
      </c>
      <c r="B1305" s="95" t="s">
        <v>1375</v>
      </c>
      <c r="C1305" s="95" t="s">
        <v>60</v>
      </c>
      <c r="D1305" t="s">
        <v>369</v>
      </c>
      <c r="E1305" t="s">
        <v>55</v>
      </c>
      <c r="F1305" t="s">
        <v>60</v>
      </c>
      <c r="G1305" t="s">
        <v>1266</v>
      </c>
      <c r="H1305" t="s">
        <v>1267</v>
      </c>
      <c r="J1305" t="s">
        <v>287</v>
      </c>
      <c r="K1305" s="27">
        <f t="shared" ref="K1305:AW1305" si="471">IFERROR(K1498-((K1498-K89)+(K1498-K242)+(K1498-K395)+(K1498-K547)+(K1498-K699)+(K1498-K850)+(K1498-K1001)+(K1498-K1152)),0)</f>
        <v>0</v>
      </c>
      <c r="L1305" s="27">
        <f t="shared" si="471"/>
        <v>0</v>
      </c>
      <c r="M1305" s="27">
        <f t="shared" si="471"/>
        <v>0</v>
      </c>
      <c r="N1305" s="27">
        <f t="shared" si="471"/>
        <v>0</v>
      </c>
      <c r="O1305" s="27">
        <f t="shared" si="471"/>
        <v>0</v>
      </c>
      <c r="P1305" s="27">
        <f t="shared" si="471"/>
        <v>0</v>
      </c>
      <c r="Q1305" s="27">
        <f t="shared" si="471"/>
        <v>0</v>
      </c>
      <c r="R1305" s="27">
        <f t="shared" si="471"/>
        <v>0</v>
      </c>
      <c r="S1305" s="27">
        <f t="shared" si="471"/>
        <v>0</v>
      </c>
      <c r="T1305" s="27">
        <f t="shared" si="471"/>
        <v>0</v>
      </c>
      <c r="U1305" s="27">
        <f t="shared" si="471"/>
        <v>0</v>
      </c>
      <c r="V1305" s="27">
        <f t="shared" si="471"/>
        <v>0</v>
      </c>
      <c r="W1305" s="27">
        <f t="shared" si="471"/>
        <v>0</v>
      </c>
      <c r="X1305" s="27">
        <f t="shared" si="471"/>
        <v>0</v>
      </c>
      <c r="Y1305" s="27">
        <f t="shared" si="471"/>
        <v>0</v>
      </c>
      <c r="Z1305" s="27">
        <f t="shared" si="471"/>
        <v>0</v>
      </c>
      <c r="AA1305" s="27">
        <f t="shared" si="471"/>
        <v>0</v>
      </c>
      <c r="AB1305" s="27">
        <f t="shared" si="471"/>
        <v>0</v>
      </c>
      <c r="AC1305" s="27">
        <f t="shared" si="471"/>
        <v>0</v>
      </c>
      <c r="AD1305" s="27">
        <f t="shared" si="471"/>
        <v>0</v>
      </c>
      <c r="AE1305" s="27">
        <f t="shared" si="471"/>
        <v>0</v>
      </c>
      <c r="AF1305" s="27">
        <f t="shared" si="471"/>
        <v>0</v>
      </c>
      <c r="AG1305" s="27">
        <f t="shared" si="471"/>
        <v>0</v>
      </c>
      <c r="AH1305" s="27">
        <f t="shared" si="471"/>
        <v>0</v>
      </c>
      <c r="AI1305" s="27">
        <f t="shared" si="471"/>
        <v>0</v>
      </c>
      <c r="AJ1305" s="27">
        <f t="shared" si="471"/>
        <v>0</v>
      </c>
      <c r="AK1305" s="27">
        <f t="shared" si="471"/>
        <v>0</v>
      </c>
      <c r="AL1305" s="27">
        <f t="shared" si="471"/>
        <v>0</v>
      </c>
      <c r="AM1305" s="27">
        <f t="shared" si="471"/>
        <v>0</v>
      </c>
      <c r="AN1305" s="27">
        <f t="shared" si="471"/>
        <v>0</v>
      </c>
      <c r="AO1305" s="27">
        <f t="shared" si="471"/>
        <v>0</v>
      </c>
      <c r="AP1305" s="27">
        <f t="shared" si="471"/>
        <v>0</v>
      </c>
      <c r="AQ1305" s="27">
        <f t="shared" si="471"/>
        <v>0</v>
      </c>
      <c r="AR1305" s="27">
        <f t="shared" si="471"/>
        <v>0</v>
      </c>
      <c r="AS1305" s="27">
        <f t="shared" si="471"/>
        <v>0</v>
      </c>
      <c r="AT1305" s="27">
        <f t="shared" si="471"/>
        <v>0</v>
      </c>
      <c r="AU1305" s="27">
        <f t="shared" si="471"/>
        <v>0</v>
      </c>
      <c r="AV1305" s="27">
        <f t="shared" si="471"/>
        <v>0</v>
      </c>
      <c r="AW1305" s="27">
        <f t="shared" si="471"/>
        <v>0</v>
      </c>
      <c r="AY1305" s="79"/>
      <c r="AZ1305" s="79"/>
    </row>
    <row r="1306" spans="1:52" x14ac:dyDescent="0.3">
      <c r="A1306" s="95" t="str">
        <f t="shared" si="384"/>
        <v>FSFAGSPQNIBDDSCM FSOM</v>
      </c>
      <c r="B1306" s="95" t="s">
        <v>1375</v>
      </c>
      <c r="C1306" s="95" t="s">
        <v>60</v>
      </c>
      <c r="D1306" t="s">
        <v>369</v>
      </c>
      <c r="E1306" t="s">
        <v>55</v>
      </c>
      <c r="F1306" t="s">
        <v>60</v>
      </c>
      <c r="G1306" t="s">
        <v>1268</v>
      </c>
      <c r="H1306" t="s">
        <v>1269</v>
      </c>
      <c r="J1306" t="s">
        <v>287</v>
      </c>
      <c r="K1306" s="27">
        <f t="shared" ref="K1306:AW1306" si="472">IFERROR(K1499-((K1499-K90)+(K1499-K243)+(K1499-K396)+(K1499-K548)+(K1499-K700)+(K1499-K851)+(K1499-K1002)+(K1499-K1153)),0)</f>
        <v>0</v>
      </c>
      <c r="L1306" s="27">
        <f t="shared" si="472"/>
        <v>0</v>
      </c>
      <c r="M1306" s="27">
        <f t="shared" si="472"/>
        <v>0</v>
      </c>
      <c r="N1306" s="27">
        <f t="shared" si="472"/>
        <v>0</v>
      </c>
      <c r="O1306" s="27">
        <f t="shared" si="472"/>
        <v>0</v>
      </c>
      <c r="P1306" s="27">
        <f t="shared" si="472"/>
        <v>0</v>
      </c>
      <c r="Q1306" s="27">
        <f t="shared" si="472"/>
        <v>0</v>
      </c>
      <c r="R1306" s="27">
        <f t="shared" si="472"/>
        <v>0</v>
      </c>
      <c r="S1306" s="27">
        <f t="shared" si="472"/>
        <v>0</v>
      </c>
      <c r="T1306" s="27">
        <f t="shared" si="472"/>
        <v>0</v>
      </c>
      <c r="U1306" s="27">
        <f t="shared" si="472"/>
        <v>0</v>
      </c>
      <c r="V1306" s="27">
        <f t="shared" si="472"/>
        <v>0</v>
      </c>
      <c r="W1306" s="27">
        <f t="shared" si="472"/>
        <v>0</v>
      </c>
      <c r="X1306" s="27">
        <f t="shared" si="472"/>
        <v>0</v>
      </c>
      <c r="Y1306" s="27">
        <f t="shared" si="472"/>
        <v>0</v>
      </c>
      <c r="Z1306" s="27">
        <f t="shared" si="472"/>
        <v>0</v>
      </c>
      <c r="AA1306" s="27">
        <f t="shared" si="472"/>
        <v>0</v>
      </c>
      <c r="AB1306" s="27">
        <f t="shared" si="472"/>
        <v>0</v>
      </c>
      <c r="AC1306" s="27">
        <f t="shared" si="472"/>
        <v>0</v>
      </c>
      <c r="AD1306" s="27">
        <f t="shared" si="472"/>
        <v>0</v>
      </c>
      <c r="AE1306" s="27">
        <f t="shared" si="472"/>
        <v>0</v>
      </c>
      <c r="AF1306" s="27">
        <f t="shared" si="472"/>
        <v>0</v>
      </c>
      <c r="AG1306" s="27">
        <f t="shared" si="472"/>
        <v>0</v>
      </c>
      <c r="AH1306" s="27">
        <f t="shared" si="472"/>
        <v>0</v>
      </c>
      <c r="AI1306" s="27">
        <f t="shared" si="472"/>
        <v>0</v>
      </c>
      <c r="AJ1306" s="27">
        <f t="shared" si="472"/>
        <v>0</v>
      </c>
      <c r="AK1306" s="27">
        <f t="shared" si="472"/>
        <v>0</v>
      </c>
      <c r="AL1306" s="27">
        <f t="shared" si="472"/>
        <v>0</v>
      </c>
      <c r="AM1306" s="27">
        <f t="shared" si="472"/>
        <v>0</v>
      </c>
      <c r="AN1306" s="27">
        <f t="shared" si="472"/>
        <v>0</v>
      </c>
      <c r="AO1306" s="27">
        <f t="shared" si="472"/>
        <v>0</v>
      </c>
      <c r="AP1306" s="27">
        <f t="shared" si="472"/>
        <v>0</v>
      </c>
      <c r="AQ1306" s="27">
        <f t="shared" si="472"/>
        <v>0</v>
      </c>
      <c r="AR1306" s="27">
        <f t="shared" si="472"/>
        <v>0</v>
      </c>
      <c r="AS1306" s="27">
        <f t="shared" si="472"/>
        <v>0</v>
      </c>
      <c r="AT1306" s="27">
        <f t="shared" si="472"/>
        <v>0</v>
      </c>
      <c r="AU1306" s="27">
        <f t="shared" si="472"/>
        <v>0</v>
      </c>
      <c r="AV1306" s="27">
        <f t="shared" si="472"/>
        <v>0</v>
      </c>
      <c r="AW1306" s="27">
        <f t="shared" si="472"/>
        <v>0</v>
      </c>
      <c r="AY1306" s="79"/>
      <c r="AZ1306" s="79"/>
    </row>
    <row r="1307" spans="1:52" x14ac:dyDescent="0.3">
      <c r="A1307" s="95" t="str">
        <f t="shared" si="384"/>
        <v>FSFAGSPQNIBDDSCM FSOM</v>
      </c>
      <c r="B1307" s="95" t="s">
        <v>1375</v>
      </c>
      <c r="C1307" s="95" t="s">
        <v>60</v>
      </c>
      <c r="D1307" t="s">
        <v>369</v>
      </c>
      <c r="E1307" t="s">
        <v>55</v>
      </c>
      <c r="F1307" t="s">
        <v>60</v>
      </c>
      <c r="G1307" t="s">
        <v>1270</v>
      </c>
      <c r="H1307" t="s">
        <v>1271</v>
      </c>
      <c r="J1307" t="s">
        <v>287</v>
      </c>
      <c r="K1307" s="27">
        <f t="shared" ref="K1307:AW1307" si="473">IFERROR(K1500-((K1500-K91)+(K1500-K244)+(K1500-K397)+(K1500-K549)+(K1500-K701)+(K1500-K852)+(K1500-K1003)+(K1500-K1154)),0)</f>
        <v>3.4398813895090996E-3</v>
      </c>
      <c r="L1307" s="27">
        <f t="shared" si="473"/>
        <v>3.4358310252377683E-3</v>
      </c>
      <c r="M1307" s="27">
        <f t="shared" si="473"/>
        <v>3.4317806609664363E-3</v>
      </c>
      <c r="N1307" s="27">
        <f t="shared" si="473"/>
        <v>3.4277302966951037E-3</v>
      </c>
      <c r="O1307" s="27">
        <f t="shared" si="473"/>
        <v>3.4236799324237725E-3</v>
      </c>
      <c r="P1307" s="27">
        <f t="shared" si="473"/>
        <v>3.4196295681524396E-3</v>
      </c>
      <c r="Q1307" s="27">
        <f t="shared" si="473"/>
        <v>3.4155792038811079E-3</v>
      </c>
      <c r="R1307" s="27">
        <f t="shared" si="473"/>
        <v>3.4115288396097763E-3</v>
      </c>
      <c r="S1307" s="27">
        <f t="shared" si="473"/>
        <v>3.4074784753384451E-3</v>
      </c>
      <c r="T1307" s="27">
        <f t="shared" si="473"/>
        <v>3.4034281110671134E-3</v>
      </c>
      <c r="U1307" s="27">
        <f t="shared" si="473"/>
        <v>3.39937774679578E-3</v>
      </c>
      <c r="V1307" s="27">
        <f t="shared" si="473"/>
        <v>3.3953273825244488E-3</v>
      </c>
      <c r="W1307" s="27">
        <f t="shared" si="473"/>
        <v>3.3912770182531172E-3</v>
      </c>
      <c r="X1307" s="27">
        <f t="shared" si="473"/>
        <v>3.387226653981786E-3</v>
      </c>
      <c r="Y1307" s="27">
        <f t="shared" si="473"/>
        <v>3.3831762897104547E-3</v>
      </c>
      <c r="Z1307" s="27">
        <f t="shared" si="473"/>
        <v>3.3791259254391218E-3</v>
      </c>
      <c r="AA1307" s="27">
        <f t="shared" si="473"/>
        <v>3.375075561167791E-3</v>
      </c>
      <c r="AB1307" s="27">
        <f t="shared" si="473"/>
        <v>3.3710251968964585E-3</v>
      </c>
      <c r="AC1307" s="27">
        <f t="shared" si="473"/>
        <v>3.3669748326251273E-3</v>
      </c>
      <c r="AD1307" s="27">
        <f t="shared" si="473"/>
        <v>3.3629244683537943E-3</v>
      </c>
      <c r="AE1307" s="27">
        <f t="shared" si="473"/>
        <v>3.358874104082464E-3</v>
      </c>
      <c r="AF1307" s="27">
        <f t="shared" si="473"/>
        <v>3.3548237398111319E-3</v>
      </c>
      <c r="AG1307" s="27">
        <f t="shared" si="473"/>
        <v>3.3507733755397998E-3</v>
      </c>
      <c r="AH1307" s="27">
        <f t="shared" si="473"/>
        <v>3.3467230112684673E-3</v>
      </c>
      <c r="AI1307" s="27">
        <f t="shared" si="473"/>
        <v>3.3426726469971361E-3</v>
      </c>
      <c r="AJ1307" s="27">
        <f t="shared" si="473"/>
        <v>3.3386222827258044E-3</v>
      </c>
      <c r="AK1307" s="27">
        <f t="shared" si="473"/>
        <v>3.3345719184544728E-3</v>
      </c>
      <c r="AL1307" s="27">
        <f t="shared" si="473"/>
        <v>3.3305215541831416E-3</v>
      </c>
      <c r="AM1307" s="27">
        <f t="shared" si="473"/>
        <v>3.3264711899118095E-3</v>
      </c>
      <c r="AN1307" s="27">
        <f t="shared" si="473"/>
        <v>3.3224208256404765E-3</v>
      </c>
      <c r="AO1307" s="27">
        <f t="shared" si="473"/>
        <v>3.3183704613691458E-3</v>
      </c>
      <c r="AP1307" s="27">
        <f t="shared" si="473"/>
        <v>3.3143200970978137E-3</v>
      </c>
      <c r="AQ1307" s="27">
        <f t="shared" si="473"/>
        <v>3.3102697328264833E-3</v>
      </c>
      <c r="AR1307" s="27">
        <f t="shared" si="473"/>
        <v>3.3062193685551499E-3</v>
      </c>
      <c r="AS1307" s="27">
        <f t="shared" si="473"/>
        <v>3.3021690042838187E-3</v>
      </c>
      <c r="AT1307" s="27">
        <f t="shared" si="473"/>
        <v>3.2981186400124866E-3</v>
      </c>
      <c r="AU1307" s="27">
        <f t="shared" si="473"/>
        <v>3.2940682757411541E-3</v>
      </c>
      <c r="AV1307" s="27">
        <f t="shared" si="473"/>
        <v>3.2900179114698229E-3</v>
      </c>
      <c r="AW1307" s="27">
        <f t="shared" si="473"/>
        <v>3.2859675471984908E-3</v>
      </c>
      <c r="AY1307" s="79"/>
      <c r="AZ1307" s="79"/>
    </row>
    <row r="1308" spans="1:52" x14ac:dyDescent="0.3">
      <c r="A1308" s="95" t="str">
        <f t="shared" si="384"/>
        <v>FSFAGSPQNIBDDSCM FSOM</v>
      </c>
      <c r="B1308" s="95" t="s">
        <v>1375</v>
      </c>
      <c r="C1308" s="95" t="s">
        <v>60</v>
      </c>
      <c r="D1308" t="s">
        <v>369</v>
      </c>
      <c r="E1308" t="s">
        <v>55</v>
      </c>
      <c r="F1308" t="s">
        <v>60</v>
      </c>
      <c r="G1308" t="s">
        <v>1272</v>
      </c>
      <c r="H1308" t="s">
        <v>1273</v>
      </c>
      <c r="J1308" t="s">
        <v>287</v>
      </c>
      <c r="K1308" s="27">
        <f t="shared" ref="K1308:AW1308" si="474">IFERROR(K1501-((K1501-K92)+(K1501-K245)+(K1501-K398)+(K1501-K550)+(K1501-K702)+(K1501-K853)+(K1501-K1004)+(K1501-K1155)),0)</f>
        <v>0.49020960547040615</v>
      </c>
      <c r="L1308" s="27">
        <f t="shared" si="474"/>
        <v>0.49134551154341793</v>
      </c>
      <c r="M1308" s="27">
        <f t="shared" si="474"/>
        <v>0.49248141761642988</v>
      </c>
      <c r="N1308" s="27">
        <f t="shared" si="474"/>
        <v>0.49361732368944172</v>
      </c>
      <c r="O1308" s="27">
        <f t="shared" si="474"/>
        <v>0.49475322976245356</v>
      </c>
      <c r="P1308" s="27">
        <f t="shared" si="474"/>
        <v>0.49588913583546534</v>
      </c>
      <c r="Q1308" s="27">
        <f t="shared" si="474"/>
        <v>0.49702504190847724</v>
      </c>
      <c r="R1308" s="27">
        <f t="shared" si="474"/>
        <v>0.49816094798148913</v>
      </c>
      <c r="S1308" s="27">
        <f t="shared" si="474"/>
        <v>0.49929685405450086</v>
      </c>
      <c r="T1308" s="27">
        <f t="shared" si="474"/>
        <v>0.50043276012751292</v>
      </c>
      <c r="U1308" s="27">
        <f t="shared" si="474"/>
        <v>0.50156866620052454</v>
      </c>
      <c r="V1308" s="27">
        <f t="shared" si="474"/>
        <v>0.50270457227353649</v>
      </c>
      <c r="W1308" s="27">
        <f t="shared" si="474"/>
        <v>0.50384047834654833</v>
      </c>
      <c r="X1308" s="27">
        <f t="shared" si="474"/>
        <v>0.50497638441956039</v>
      </c>
      <c r="Y1308" s="27">
        <f t="shared" si="474"/>
        <v>0.506112290492572</v>
      </c>
      <c r="Z1308" s="27">
        <f t="shared" si="474"/>
        <v>0.50724819656558406</v>
      </c>
      <c r="AA1308" s="27">
        <f t="shared" si="474"/>
        <v>0.50838410263859568</v>
      </c>
      <c r="AB1308" s="27">
        <f t="shared" si="474"/>
        <v>0.50952000871160763</v>
      </c>
      <c r="AC1308" s="27">
        <f t="shared" si="474"/>
        <v>0.51065591478461958</v>
      </c>
      <c r="AD1308" s="27">
        <f t="shared" si="474"/>
        <v>0.51179182085763142</v>
      </c>
      <c r="AE1308" s="27">
        <f t="shared" si="474"/>
        <v>0.51292772693064326</v>
      </c>
      <c r="AF1308" s="27">
        <f t="shared" si="474"/>
        <v>0.5140636330036551</v>
      </c>
      <c r="AG1308" s="27">
        <f t="shared" si="474"/>
        <v>0.51519953907666705</v>
      </c>
      <c r="AH1308" s="27">
        <f t="shared" si="474"/>
        <v>0.51633544514967877</v>
      </c>
      <c r="AI1308" s="27">
        <f t="shared" si="474"/>
        <v>0.51747135122269072</v>
      </c>
      <c r="AJ1308" s="27">
        <f t="shared" si="474"/>
        <v>0.51860725729570256</v>
      </c>
      <c r="AK1308" s="27">
        <f t="shared" si="474"/>
        <v>0.5197431633687144</v>
      </c>
      <c r="AL1308" s="27">
        <f t="shared" si="474"/>
        <v>0.52087906944172624</v>
      </c>
      <c r="AM1308" s="27">
        <f t="shared" si="474"/>
        <v>0.52201497551473808</v>
      </c>
      <c r="AN1308" s="27">
        <f t="shared" si="474"/>
        <v>0.52315088158774992</v>
      </c>
      <c r="AO1308" s="27">
        <f t="shared" si="474"/>
        <v>0.52428678766076187</v>
      </c>
      <c r="AP1308" s="27">
        <f t="shared" si="474"/>
        <v>0.52542269373377359</v>
      </c>
      <c r="AQ1308" s="27">
        <f t="shared" si="474"/>
        <v>0.52655859980678543</v>
      </c>
      <c r="AR1308" s="27">
        <f t="shared" si="474"/>
        <v>0.52769450587979749</v>
      </c>
      <c r="AS1308" s="27">
        <f t="shared" si="474"/>
        <v>0.52883041195280922</v>
      </c>
      <c r="AT1308" s="27">
        <f t="shared" si="474"/>
        <v>0.52996631802582106</v>
      </c>
      <c r="AU1308" s="27">
        <f t="shared" si="474"/>
        <v>0.53110222409883301</v>
      </c>
      <c r="AV1308" s="27">
        <f t="shared" si="474"/>
        <v>0.53223813017184474</v>
      </c>
      <c r="AW1308" s="27">
        <f t="shared" si="474"/>
        <v>0.5333740362448568</v>
      </c>
      <c r="AY1308" s="79"/>
      <c r="AZ1308" s="79"/>
    </row>
    <row r="1309" spans="1:52" x14ac:dyDescent="0.3">
      <c r="A1309" s="95" t="str">
        <f t="shared" si="384"/>
        <v>FSFAGSPQNIBDDSCM FSOM</v>
      </c>
      <c r="B1309" s="95" t="s">
        <v>1375</v>
      </c>
      <c r="C1309" s="95" t="s">
        <v>60</v>
      </c>
      <c r="D1309" t="s">
        <v>369</v>
      </c>
      <c r="E1309" t="s">
        <v>55</v>
      </c>
      <c r="F1309" t="s">
        <v>60</v>
      </c>
      <c r="G1309" t="s">
        <v>1274</v>
      </c>
      <c r="H1309" t="s">
        <v>1275</v>
      </c>
      <c r="J1309" t="s">
        <v>287</v>
      </c>
      <c r="K1309" s="27">
        <f t="shared" ref="K1309:AW1309" si="475">IFERROR(K1502-((K1502-K93)+(K1502-K246)+(K1502-K399)+(K1502-K551)+(K1502-K703)+(K1502-K854)+(K1502-K1005)+(K1502-K1156)),0)</f>
        <v>0.57597220909378744</v>
      </c>
      <c r="L1309" s="27">
        <f t="shared" si="475"/>
        <v>0.57597220909378744</v>
      </c>
      <c r="M1309" s="27">
        <f t="shared" si="475"/>
        <v>0.57597220909378744</v>
      </c>
      <c r="N1309" s="27">
        <f t="shared" si="475"/>
        <v>0.57597220909378744</v>
      </c>
      <c r="O1309" s="27">
        <f t="shared" si="475"/>
        <v>0.57597220909378744</v>
      </c>
      <c r="P1309" s="27">
        <f t="shared" si="475"/>
        <v>0.57597220909378744</v>
      </c>
      <c r="Q1309" s="27">
        <f t="shared" si="475"/>
        <v>0.57597220909378744</v>
      </c>
      <c r="R1309" s="27">
        <f t="shared" si="475"/>
        <v>0.57597220909378744</v>
      </c>
      <c r="S1309" s="27">
        <f t="shared" si="475"/>
        <v>0.57597220909378744</v>
      </c>
      <c r="T1309" s="27">
        <f t="shared" si="475"/>
        <v>0.57597220909378744</v>
      </c>
      <c r="U1309" s="27">
        <f t="shared" si="475"/>
        <v>0.57597220909378744</v>
      </c>
      <c r="V1309" s="27">
        <f t="shared" si="475"/>
        <v>0.57597220909378744</v>
      </c>
      <c r="W1309" s="27">
        <f t="shared" si="475"/>
        <v>0.57597220909378744</v>
      </c>
      <c r="X1309" s="27">
        <f t="shared" si="475"/>
        <v>0.57597220909378744</v>
      </c>
      <c r="Y1309" s="27">
        <f t="shared" si="475"/>
        <v>0.57597220909378744</v>
      </c>
      <c r="Z1309" s="27">
        <f t="shared" si="475"/>
        <v>0.57597220909378744</v>
      </c>
      <c r="AA1309" s="27">
        <f t="shared" si="475"/>
        <v>0.57597220909378744</v>
      </c>
      <c r="AB1309" s="27">
        <f t="shared" si="475"/>
        <v>0.57597220909378744</v>
      </c>
      <c r="AC1309" s="27">
        <f t="shared" si="475"/>
        <v>0.57597220909378744</v>
      </c>
      <c r="AD1309" s="27">
        <f t="shared" si="475"/>
        <v>0.57597220909378744</v>
      </c>
      <c r="AE1309" s="27">
        <f t="shared" si="475"/>
        <v>0.57597220909378744</v>
      </c>
      <c r="AF1309" s="27">
        <f t="shared" si="475"/>
        <v>0.57597220909378744</v>
      </c>
      <c r="AG1309" s="27">
        <f t="shared" si="475"/>
        <v>0.57597220909378744</v>
      </c>
      <c r="AH1309" s="27">
        <f t="shared" si="475"/>
        <v>0.57597220909378744</v>
      </c>
      <c r="AI1309" s="27">
        <f t="shared" si="475"/>
        <v>0.57597220909378744</v>
      </c>
      <c r="AJ1309" s="27">
        <f t="shared" si="475"/>
        <v>0.57597220909378744</v>
      </c>
      <c r="AK1309" s="27">
        <f t="shared" si="475"/>
        <v>0.57597220909378744</v>
      </c>
      <c r="AL1309" s="27">
        <f t="shared" si="475"/>
        <v>0.57597220909378744</v>
      </c>
      <c r="AM1309" s="27">
        <f t="shared" si="475"/>
        <v>0.57597220909378744</v>
      </c>
      <c r="AN1309" s="27">
        <f t="shared" si="475"/>
        <v>0.57597220909378744</v>
      </c>
      <c r="AO1309" s="27">
        <f t="shared" si="475"/>
        <v>0.57597220909378744</v>
      </c>
      <c r="AP1309" s="27">
        <f t="shared" si="475"/>
        <v>0.57597220909378744</v>
      </c>
      <c r="AQ1309" s="27">
        <f t="shared" si="475"/>
        <v>0.57597220909378744</v>
      </c>
      <c r="AR1309" s="27">
        <f t="shared" si="475"/>
        <v>0.57597220909378744</v>
      </c>
      <c r="AS1309" s="27">
        <f t="shared" si="475"/>
        <v>0.57597220909378744</v>
      </c>
      <c r="AT1309" s="27">
        <f t="shared" si="475"/>
        <v>0.57597220909378744</v>
      </c>
      <c r="AU1309" s="27">
        <f t="shared" si="475"/>
        <v>0.57597220909378744</v>
      </c>
      <c r="AV1309" s="27">
        <f t="shared" si="475"/>
        <v>0.57597220909378744</v>
      </c>
      <c r="AW1309" s="27">
        <f t="shared" si="475"/>
        <v>0.57597220909378744</v>
      </c>
      <c r="AY1309" s="79"/>
      <c r="AZ1309" s="79"/>
    </row>
    <row r="1310" spans="1:52" x14ac:dyDescent="0.3">
      <c r="A1310" s="95" t="str">
        <f t="shared" si="384"/>
        <v>FSFAGSPQNIBDDSCM FSOM</v>
      </c>
      <c r="B1310" s="95" t="s">
        <v>1375</v>
      </c>
      <c r="C1310" s="95" t="s">
        <v>60</v>
      </c>
      <c r="D1310" t="s">
        <v>369</v>
      </c>
      <c r="E1310" t="s">
        <v>55</v>
      </c>
      <c r="F1310" t="s">
        <v>60</v>
      </c>
      <c r="G1310" t="s">
        <v>1276</v>
      </c>
      <c r="H1310" t="s">
        <v>1277</v>
      </c>
      <c r="J1310" t="s">
        <v>287</v>
      </c>
      <c r="K1310" s="27">
        <f t="shared" ref="K1310:AW1310" si="476">IFERROR(K1503-((K1503-K94)+(K1503-K247)+(K1503-K400)+(K1503-K552)+(K1503-K704)+(K1503-K855)+(K1503-K1006)+(K1503-K1157)),0)</f>
        <v>0</v>
      </c>
      <c r="L1310" s="27">
        <f t="shared" si="476"/>
        <v>0</v>
      </c>
      <c r="M1310" s="27">
        <f t="shared" si="476"/>
        <v>0</v>
      </c>
      <c r="N1310" s="27">
        <f t="shared" si="476"/>
        <v>0</v>
      </c>
      <c r="O1310" s="27">
        <f t="shared" si="476"/>
        <v>0</v>
      </c>
      <c r="P1310" s="27">
        <f t="shared" si="476"/>
        <v>0</v>
      </c>
      <c r="Q1310" s="27">
        <f t="shared" si="476"/>
        <v>0</v>
      </c>
      <c r="R1310" s="27">
        <f t="shared" si="476"/>
        <v>0</v>
      </c>
      <c r="S1310" s="27">
        <f t="shared" si="476"/>
        <v>0</v>
      </c>
      <c r="T1310" s="27">
        <f t="shared" si="476"/>
        <v>0</v>
      </c>
      <c r="U1310" s="27">
        <f t="shared" si="476"/>
        <v>0</v>
      </c>
      <c r="V1310" s="27">
        <f t="shared" si="476"/>
        <v>0</v>
      </c>
      <c r="W1310" s="27">
        <f t="shared" si="476"/>
        <v>0</v>
      </c>
      <c r="X1310" s="27">
        <f t="shared" si="476"/>
        <v>0</v>
      </c>
      <c r="Y1310" s="27">
        <f t="shared" si="476"/>
        <v>0</v>
      </c>
      <c r="Z1310" s="27">
        <f t="shared" si="476"/>
        <v>0</v>
      </c>
      <c r="AA1310" s="27">
        <f t="shared" si="476"/>
        <v>0</v>
      </c>
      <c r="AB1310" s="27">
        <f t="shared" si="476"/>
        <v>0</v>
      </c>
      <c r="AC1310" s="27">
        <f t="shared" si="476"/>
        <v>0</v>
      </c>
      <c r="AD1310" s="27">
        <f t="shared" si="476"/>
        <v>0</v>
      </c>
      <c r="AE1310" s="27">
        <f t="shared" si="476"/>
        <v>0</v>
      </c>
      <c r="AF1310" s="27">
        <f t="shared" si="476"/>
        <v>0</v>
      </c>
      <c r="AG1310" s="27">
        <f t="shared" si="476"/>
        <v>0</v>
      </c>
      <c r="AH1310" s="27">
        <f t="shared" si="476"/>
        <v>0</v>
      </c>
      <c r="AI1310" s="27">
        <f t="shared" si="476"/>
        <v>0</v>
      </c>
      <c r="AJ1310" s="27">
        <f t="shared" si="476"/>
        <v>0</v>
      </c>
      <c r="AK1310" s="27">
        <f t="shared" si="476"/>
        <v>0</v>
      </c>
      <c r="AL1310" s="27">
        <f t="shared" si="476"/>
        <v>0</v>
      </c>
      <c r="AM1310" s="27">
        <f t="shared" si="476"/>
        <v>0</v>
      </c>
      <c r="AN1310" s="27">
        <f t="shared" si="476"/>
        <v>0</v>
      </c>
      <c r="AO1310" s="27">
        <f t="shared" si="476"/>
        <v>0</v>
      </c>
      <c r="AP1310" s="27">
        <f t="shared" si="476"/>
        <v>0</v>
      </c>
      <c r="AQ1310" s="27">
        <f t="shared" si="476"/>
        <v>0</v>
      </c>
      <c r="AR1310" s="27">
        <f t="shared" si="476"/>
        <v>0</v>
      </c>
      <c r="AS1310" s="27">
        <f t="shared" si="476"/>
        <v>0</v>
      </c>
      <c r="AT1310" s="27">
        <f t="shared" si="476"/>
        <v>0</v>
      </c>
      <c r="AU1310" s="27">
        <f t="shared" si="476"/>
        <v>0</v>
      </c>
      <c r="AV1310" s="27">
        <f t="shared" si="476"/>
        <v>0</v>
      </c>
      <c r="AW1310" s="27">
        <f t="shared" si="476"/>
        <v>0</v>
      </c>
      <c r="AY1310" s="79"/>
      <c r="AZ1310" s="79"/>
    </row>
    <row r="1311" spans="1:52" x14ac:dyDescent="0.3">
      <c r="A1311" s="95" t="str">
        <f t="shared" si="384"/>
        <v>FSFAGSPQNIBDDSCM FSOM</v>
      </c>
      <c r="B1311" s="95" t="s">
        <v>1375</v>
      </c>
      <c r="C1311" s="95" t="s">
        <v>60</v>
      </c>
      <c r="D1311" t="s">
        <v>369</v>
      </c>
      <c r="E1311" t="s">
        <v>55</v>
      </c>
      <c r="F1311" t="s">
        <v>60</v>
      </c>
      <c r="G1311" t="s">
        <v>1278</v>
      </c>
      <c r="H1311" t="s">
        <v>1279</v>
      </c>
      <c r="J1311" t="s">
        <v>287</v>
      </c>
      <c r="K1311" s="27">
        <f t="shared" ref="K1311:AW1311" si="477">IFERROR(K1504-((K1504-K95)+(K1504-K248)+(K1504-K401)+(K1504-K553)+(K1504-K705)+(K1504-K856)+(K1504-K1007)+(K1504-K1158)),0)</f>
        <v>0</v>
      </c>
      <c r="L1311" s="27">
        <f t="shared" si="477"/>
        <v>0</v>
      </c>
      <c r="M1311" s="27">
        <f t="shared" si="477"/>
        <v>0</v>
      </c>
      <c r="N1311" s="27">
        <f t="shared" si="477"/>
        <v>0</v>
      </c>
      <c r="O1311" s="27">
        <f t="shared" si="477"/>
        <v>0</v>
      </c>
      <c r="P1311" s="27">
        <f t="shared" si="477"/>
        <v>0</v>
      </c>
      <c r="Q1311" s="27">
        <f t="shared" si="477"/>
        <v>0</v>
      </c>
      <c r="R1311" s="27">
        <f t="shared" si="477"/>
        <v>0</v>
      </c>
      <c r="S1311" s="27">
        <f t="shared" si="477"/>
        <v>0</v>
      </c>
      <c r="T1311" s="27">
        <f t="shared" si="477"/>
        <v>0</v>
      </c>
      <c r="U1311" s="27">
        <f t="shared" si="477"/>
        <v>0</v>
      </c>
      <c r="V1311" s="27">
        <f t="shared" si="477"/>
        <v>0</v>
      </c>
      <c r="W1311" s="27">
        <f t="shared" si="477"/>
        <v>0</v>
      </c>
      <c r="X1311" s="27">
        <f t="shared" si="477"/>
        <v>0</v>
      </c>
      <c r="Y1311" s="27">
        <f t="shared" si="477"/>
        <v>0</v>
      </c>
      <c r="Z1311" s="27">
        <f t="shared" si="477"/>
        <v>0</v>
      </c>
      <c r="AA1311" s="27">
        <f t="shared" si="477"/>
        <v>0</v>
      </c>
      <c r="AB1311" s="27">
        <f t="shared" si="477"/>
        <v>0</v>
      </c>
      <c r="AC1311" s="27">
        <f t="shared" si="477"/>
        <v>0</v>
      </c>
      <c r="AD1311" s="27">
        <f t="shared" si="477"/>
        <v>0</v>
      </c>
      <c r="AE1311" s="27">
        <f t="shared" si="477"/>
        <v>0</v>
      </c>
      <c r="AF1311" s="27">
        <f t="shared" si="477"/>
        <v>0</v>
      </c>
      <c r="AG1311" s="27">
        <f t="shared" si="477"/>
        <v>0</v>
      </c>
      <c r="AH1311" s="27">
        <f t="shared" si="477"/>
        <v>0</v>
      </c>
      <c r="AI1311" s="27">
        <f t="shared" si="477"/>
        <v>0</v>
      </c>
      <c r="AJ1311" s="27">
        <f t="shared" si="477"/>
        <v>0</v>
      </c>
      <c r="AK1311" s="27">
        <f t="shared" si="477"/>
        <v>0</v>
      </c>
      <c r="AL1311" s="27">
        <f t="shared" si="477"/>
        <v>0</v>
      </c>
      <c r="AM1311" s="27">
        <f t="shared" si="477"/>
        <v>0</v>
      </c>
      <c r="AN1311" s="27">
        <f t="shared" si="477"/>
        <v>0</v>
      </c>
      <c r="AO1311" s="27">
        <f t="shared" si="477"/>
        <v>0</v>
      </c>
      <c r="AP1311" s="27">
        <f t="shared" si="477"/>
        <v>0</v>
      </c>
      <c r="AQ1311" s="27">
        <f t="shared" si="477"/>
        <v>0</v>
      </c>
      <c r="AR1311" s="27">
        <f t="shared" si="477"/>
        <v>0</v>
      </c>
      <c r="AS1311" s="27">
        <f t="shared" si="477"/>
        <v>0</v>
      </c>
      <c r="AT1311" s="27">
        <f t="shared" si="477"/>
        <v>0</v>
      </c>
      <c r="AU1311" s="27">
        <f t="shared" si="477"/>
        <v>0</v>
      </c>
      <c r="AV1311" s="27">
        <f t="shared" si="477"/>
        <v>0</v>
      </c>
      <c r="AW1311" s="27">
        <f t="shared" si="477"/>
        <v>0</v>
      </c>
      <c r="AY1311" s="79"/>
      <c r="AZ1311" s="79"/>
    </row>
    <row r="1312" spans="1:52" x14ac:dyDescent="0.3">
      <c r="A1312" s="95" t="str">
        <f t="shared" si="384"/>
        <v>FSFAGSPQNIBDDSCM FSOM</v>
      </c>
      <c r="B1312" s="95" t="s">
        <v>1375</v>
      </c>
      <c r="C1312" s="95" t="s">
        <v>60</v>
      </c>
      <c r="D1312" t="s">
        <v>369</v>
      </c>
      <c r="E1312" t="s">
        <v>55</v>
      </c>
      <c r="F1312" t="s">
        <v>60</v>
      </c>
      <c r="G1312" t="s">
        <v>1280</v>
      </c>
      <c r="H1312" t="s">
        <v>1281</v>
      </c>
      <c r="J1312" t="s">
        <v>287</v>
      </c>
      <c r="K1312" s="27">
        <f t="shared" ref="K1312:AW1312" si="478">IFERROR(K1505-((K1505-K96)+(K1505-K249)+(K1505-K402)+(K1505-K554)+(K1505-K706)+(K1505-K857)+(K1505-K1008)+(K1505-K1159)),0)</f>
        <v>0</v>
      </c>
      <c r="L1312" s="27">
        <f t="shared" si="478"/>
        <v>0</v>
      </c>
      <c r="M1312" s="27">
        <f t="shared" si="478"/>
        <v>0</v>
      </c>
      <c r="N1312" s="27">
        <f t="shared" si="478"/>
        <v>0</v>
      </c>
      <c r="O1312" s="27">
        <f t="shared" si="478"/>
        <v>0</v>
      </c>
      <c r="P1312" s="27">
        <f t="shared" si="478"/>
        <v>0</v>
      </c>
      <c r="Q1312" s="27">
        <f t="shared" si="478"/>
        <v>0</v>
      </c>
      <c r="R1312" s="27">
        <f t="shared" si="478"/>
        <v>0</v>
      </c>
      <c r="S1312" s="27">
        <f t="shared" si="478"/>
        <v>0</v>
      </c>
      <c r="T1312" s="27">
        <f t="shared" si="478"/>
        <v>0</v>
      </c>
      <c r="U1312" s="27">
        <f t="shared" si="478"/>
        <v>0</v>
      </c>
      <c r="V1312" s="27">
        <f t="shared" si="478"/>
        <v>0</v>
      </c>
      <c r="W1312" s="27">
        <f t="shared" si="478"/>
        <v>0</v>
      </c>
      <c r="X1312" s="27">
        <f t="shared" si="478"/>
        <v>0</v>
      </c>
      <c r="Y1312" s="27">
        <f t="shared" si="478"/>
        <v>0</v>
      </c>
      <c r="Z1312" s="27">
        <f t="shared" si="478"/>
        <v>0</v>
      </c>
      <c r="AA1312" s="27">
        <f t="shared" si="478"/>
        <v>0</v>
      </c>
      <c r="AB1312" s="27">
        <f t="shared" si="478"/>
        <v>0</v>
      </c>
      <c r="AC1312" s="27">
        <f t="shared" si="478"/>
        <v>0</v>
      </c>
      <c r="AD1312" s="27">
        <f t="shared" si="478"/>
        <v>0</v>
      </c>
      <c r="AE1312" s="27">
        <f t="shared" si="478"/>
        <v>0</v>
      </c>
      <c r="AF1312" s="27">
        <f t="shared" si="478"/>
        <v>0</v>
      </c>
      <c r="AG1312" s="27">
        <f t="shared" si="478"/>
        <v>0</v>
      </c>
      <c r="AH1312" s="27">
        <f t="shared" si="478"/>
        <v>0</v>
      </c>
      <c r="AI1312" s="27">
        <f t="shared" si="478"/>
        <v>0</v>
      </c>
      <c r="AJ1312" s="27">
        <f t="shared" si="478"/>
        <v>0</v>
      </c>
      <c r="AK1312" s="27">
        <f t="shared" si="478"/>
        <v>0</v>
      </c>
      <c r="AL1312" s="27">
        <f t="shared" si="478"/>
        <v>0</v>
      </c>
      <c r="AM1312" s="27">
        <f t="shared" si="478"/>
        <v>0</v>
      </c>
      <c r="AN1312" s="27">
        <f t="shared" si="478"/>
        <v>0</v>
      </c>
      <c r="AO1312" s="27">
        <f t="shared" si="478"/>
        <v>0</v>
      </c>
      <c r="AP1312" s="27">
        <f t="shared" si="478"/>
        <v>0</v>
      </c>
      <c r="AQ1312" s="27">
        <f t="shared" si="478"/>
        <v>0</v>
      </c>
      <c r="AR1312" s="27">
        <f t="shared" si="478"/>
        <v>0</v>
      </c>
      <c r="AS1312" s="27">
        <f t="shared" si="478"/>
        <v>0</v>
      </c>
      <c r="AT1312" s="27">
        <f t="shared" si="478"/>
        <v>0</v>
      </c>
      <c r="AU1312" s="27">
        <f t="shared" si="478"/>
        <v>0</v>
      </c>
      <c r="AV1312" s="27">
        <f t="shared" si="478"/>
        <v>0</v>
      </c>
      <c r="AW1312" s="27">
        <f t="shared" si="478"/>
        <v>0</v>
      </c>
      <c r="AY1312" s="79"/>
      <c r="AZ1312" s="79"/>
    </row>
    <row r="1313" spans="1:52" x14ac:dyDescent="0.3">
      <c r="A1313" s="95" t="str">
        <f t="shared" si="384"/>
        <v>FSFAGSPQNIBDDSCM FSOM</v>
      </c>
      <c r="B1313" s="95" t="s">
        <v>1375</v>
      </c>
      <c r="C1313" s="95" t="s">
        <v>60</v>
      </c>
      <c r="D1313" t="s">
        <v>369</v>
      </c>
      <c r="E1313" t="s">
        <v>55</v>
      </c>
      <c r="F1313" t="s">
        <v>60</v>
      </c>
      <c r="G1313" t="s">
        <v>1282</v>
      </c>
      <c r="H1313" t="s">
        <v>1283</v>
      </c>
      <c r="J1313" t="s">
        <v>287</v>
      </c>
      <c r="K1313" s="27">
        <f t="shared" ref="K1313:AW1313" si="479">IFERROR(K1506-((K1506-K97)+(K1506-K250)+(K1506-K403)+(K1506-K555)+(K1506-K707)+(K1506-K858)+(K1506-K1009)+(K1506-K1160)),0)</f>
        <v>5.604018730639919E-5</v>
      </c>
      <c r="L1313" s="27">
        <f t="shared" si="479"/>
        <v>5.604018730639919E-5</v>
      </c>
      <c r="M1313" s="27">
        <f t="shared" si="479"/>
        <v>5.604018730639919E-5</v>
      </c>
      <c r="N1313" s="27">
        <f t="shared" si="479"/>
        <v>5.604018730639919E-5</v>
      </c>
      <c r="O1313" s="27">
        <f t="shared" si="479"/>
        <v>5.604018730639919E-5</v>
      </c>
      <c r="P1313" s="27">
        <f t="shared" si="479"/>
        <v>5.604018730639919E-5</v>
      </c>
      <c r="Q1313" s="27">
        <f t="shared" si="479"/>
        <v>5.604018730639919E-5</v>
      </c>
      <c r="R1313" s="27">
        <f t="shared" si="479"/>
        <v>5.604018730639919E-5</v>
      </c>
      <c r="S1313" s="27">
        <f t="shared" si="479"/>
        <v>5.604018730639919E-5</v>
      </c>
      <c r="T1313" s="27">
        <f t="shared" si="479"/>
        <v>5.604018730639919E-5</v>
      </c>
      <c r="U1313" s="27">
        <f t="shared" si="479"/>
        <v>5.604018730639919E-5</v>
      </c>
      <c r="V1313" s="27">
        <f t="shared" si="479"/>
        <v>5.604018730639919E-5</v>
      </c>
      <c r="W1313" s="27">
        <f t="shared" si="479"/>
        <v>5.604018730639919E-5</v>
      </c>
      <c r="X1313" s="27">
        <f t="shared" si="479"/>
        <v>5.604018730639919E-5</v>
      </c>
      <c r="Y1313" s="27">
        <f t="shared" si="479"/>
        <v>5.604018730639919E-5</v>
      </c>
      <c r="Z1313" s="27">
        <f t="shared" si="479"/>
        <v>5.604018730639919E-5</v>
      </c>
      <c r="AA1313" s="27">
        <f t="shared" si="479"/>
        <v>5.604018730639919E-5</v>
      </c>
      <c r="AB1313" s="27">
        <f t="shared" si="479"/>
        <v>5.604018730639919E-5</v>
      </c>
      <c r="AC1313" s="27">
        <f t="shared" si="479"/>
        <v>5.604018730639919E-5</v>
      </c>
      <c r="AD1313" s="27">
        <f t="shared" si="479"/>
        <v>5.604018730639919E-5</v>
      </c>
      <c r="AE1313" s="27">
        <f t="shared" si="479"/>
        <v>5.604018730639919E-5</v>
      </c>
      <c r="AF1313" s="27">
        <f t="shared" si="479"/>
        <v>5.604018730639919E-5</v>
      </c>
      <c r="AG1313" s="27">
        <f t="shared" si="479"/>
        <v>5.604018730639919E-5</v>
      </c>
      <c r="AH1313" s="27">
        <f t="shared" si="479"/>
        <v>5.604018730639919E-5</v>
      </c>
      <c r="AI1313" s="27">
        <f t="shared" si="479"/>
        <v>5.604018730639919E-5</v>
      </c>
      <c r="AJ1313" s="27">
        <f t="shared" si="479"/>
        <v>5.604018730639919E-5</v>
      </c>
      <c r="AK1313" s="27">
        <f t="shared" si="479"/>
        <v>5.604018730639919E-5</v>
      </c>
      <c r="AL1313" s="27">
        <f t="shared" si="479"/>
        <v>5.604018730639919E-5</v>
      </c>
      <c r="AM1313" s="27">
        <f t="shared" si="479"/>
        <v>5.604018730639919E-5</v>
      </c>
      <c r="AN1313" s="27">
        <f t="shared" si="479"/>
        <v>5.604018730639919E-5</v>
      </c>
      <c r="AO1313" s="27">
        <f t="shared" si="479"/>
        <v>5.604018730639919E-5</v>
      </c>
      <c r="AP1313" s="27">
        <f t="shared" si="479"/>
        <v>5.604018730639919E-5</v>
      </c>
      <c r="AQ1313" s="27">
        <f t="shared" si="479"/>
        <v>5.604018730639919E-5</v>
      </c>
      <c r="AR1313" s="27">
        <f t="shared" si="479"/>
        <v>5.604018730639919E-5</v>
      </c>
      <c r="AS1313" s="27">
        <f t="shared" si="479"/>
        <v>5.604018730639919E-5</v>
      </c>
      <c r="AT1313" s="27">
        <f t="shared" si="479"/>
        <v>5.604018730639919E-5</v>
      </c>
      <c r="AU1313" s="27">
        <f t="shared" si="479"/>
        <v>5.604018730639919E-5</v>
      </c>
      <c r="AV1313" s="27">
        <f t="shared" si="479"/>
        <v>5.604018730639919E-5</v>
      </c>
      <c r="AW1313" s="27">
        <f t="shared" si="479"/>
        <v>5.604018730639919E-5</v>
      </c>
      <c r="AY1313" s="79"/>
      <c r="AZ1313" s="79"/>
    </row>
    <row r="1314" spans="1:52" x14ac:dyDescent="0.3">
      <c r="A1314" s="95" t="str">
        <f t="shared" si="384"/>
        <v>FSFAGSPQNIBDDSCM FSOM</v>
      </c>
      <c r="B1314" s="95" t="s">
        <v>1375</v>
      </c>
      <c r="C1314" s="95" t="s">
        <v>60</v>
      </c>
      <c r="D1314" t="s">
        <v>369</v>
      </c>
      <c r="E1314" t="s">
        <v>55</v>
      </c>
      <c r="F1314" t="s">
        <v>60</v>
      </c>
      <c r="G1314" t="s">
        <v>1284</v>
      </c>
      <c r="H1314" t="s">
        <v>1285</v>
      </c>
      <c r="J1314" t="s">
        <v>287</v>
      </c>
      <c r="K1314" s="27">
        <f t="shared" ref="K1314:AW1314" si="480">IFERROR(K1507-((K1507-K98)+(K1507-K251)+(K1507-K404)+(K1507-K556)+(K1507-K708)+(K1507-K859)+(K1507-K1010)+(K1507-K1161)),0)</f>
        <v>6.110857899094551E-2</v>
      </c>
      <c r="L1314" s="27">
        <f t="shared" si="480"/>
        <v>6.110857899094551E-2</v>
      </c>
      <c r="M1314" s="27">
        <f t="shared" si="480"/>
        <v>6.110857899094551E-2</v>
      </c>
      <c r="N1314" s="27">
        <f t="shared" si="480"/>
        <v>6.110857899094551E-2</v>
      </c>
      <c r="O1314" s="27">
        <f t="shared" si="480"/>
        <v>6.110857899094551E-2</v>
      </c>
      <c r="P1314" s="27">
        <f t="shared" si="480"/>
        <v>6.110857899094551E-2</v>
      </c>
      <c r="Q1314" s="27">
        <f t="shared" si="480"/>
        <v>6.110857899094551E-2</v>
      </c>
      <c r="R1314" s="27">
        <f t="shared" si="480"/>
        <v>6.110857899094551E-2</v>
      </c>
      <c r="S1314" s="27">
        <f t="shared" si="480"/>
        <v>6.110857899094551E-2</v>
      </c>
      <c r="T1314" s="27">
        <f t="shared" si="480"/>
        <v>6.110857899094551E-2</v>
      </c>
      <c r="U1314" s="27">
        <f t="shared" si="480"/>
        <v>6.110857899094551E-2</v>
      </c>
      <c r="V1314" s="27">
        <f t="shared" si="480"/>
        <v>6.110857899094551E-2</v>
      </c>
      <c r="W1314" s="27">
        <f t="shared" si="480"/>
        <v>6.110857899094551E-2</v>
      </c>
      <c r="X1314" s="27">
        <f t="shared" si="480"/>
        <v>6.110857899094551E-2</v>
      </c>
      <c r="Y1314" s="27">
        <f t="shared" si="480"/>
        <v>6.110857899094551E-2</v>
      </c>
      <c r="Z1314" s="27">
        <f t="shared" si="480"/>
        <v>6.110857899094551E-2</v>
      </c>
      <c r="AA1314" s="27">
        <f t="shared" si="480"/>
        <v>6.110857899094551E-2</v>
      </c>
      <c r="AB1314" s="27">
        <f t="shared" si="480"/>
        <v>6.110857899094551E-2</v>
      </c>
      <c r="AC1314" s="27">
        <f t="shared" si="480"/>
        <v>6.110857899094551E-2</v>
      </c>
      <c r="AD1314" s="27">
        <f t="shared" si="480"/>
        <v>6.110857899094551E-2</v>
      </c>
      <c r="AE1314" s="27">
        <f t="shared" si="480"/>
        <v>6.110857899094551E-2</v>
      </c>
      <c r="AF1314" s="27">
        <f t="shared" si="480"/>
        <v>6.110857899094551E-2</v>
      </c>
      <c r="AG1314" s="27">
        <f t="shared" si="480"/>
        <v>6.110857899094551E-2</v>
      </c>
      <c r="AH1314" s="27">
        <f t="shared" si="480"/>
        <v>6.110857899094551E-2</v>
      </c>
      <c r="AI1314" s="27">
        <f t="shared" si="480"/>
        <v>6.110857899094551E-2</v>
      </c>
      <c r="AJ1314" s="27">
        <f t="shared" si="480"/>
        <v>6.110857899094551E-2</v>
      </c>
      <c r="AK1314" s="27">
        <f t="shared" si="480"/>
        <v>6.110857899094551E-2</v>
      </c>
      <c r="AL1314" s="27">
        <f t="shared" si="480"/>
        <v>6.110857899094551E-2</v>
      </c>
      <c r="AM1314" s="27">
        <f t="shared" si="480"/>
        <v>6.110857899094551E-2</v>
      </c>
      <c r="AN1314" s="27">
        <f t="shared" si="480"/>
        <v>6.110857899094551E-2</v>
      </c>
      <c r="AO1314" s="27">
        <f t="shared" si="480"/>
        <v>6.110857899094551E-2</v>
      </c>
      <c r="AP1314" s="27">
        <f t="shared" si="480"/>
        <v>6.110857899094551E-2</v>
      </c>
      <c r="AQ1314" s="27">
        <f t="shared" si="480"/>
        <v>6.110857899094551E-2</v>
      </c>
      <c r="AR1314" s="27">
        <f t="shared" si="480"/>
        <v>6.110857899094551E-2</v>
      </c>
      <c r="AS1314" s="27">
        <f t="shared" si="480"/>
        <v>6.110857899094551E-2</v>
      </c>
      <c r="AT1314" s="27">
        <f t="shared" si="480"/>
        <v>6.110857899094551E-2</v>
      </c>
      <c r="AU1314" s="27">
        <f t="shared" si="480"/>
        <v>6.110857899094551E-2</v>
      </c>
      <c r="AV1314" s="27">
        <f t="shared" si="480"/>
        <v>6.110857899094551E-2</v>
      </c>
      <c r="AW1314" s="27">
        <f t="shared" si="480"/>
        <v>6.110857899094551E-2</v>
      </c>
      <c r="AY1314" s="79"/>
      <c r="AZ1314" s="79"/>
    </row>
    <row r="1315" spans="1:52" x14ac:dyDescent="0.3">
      <c r="A1315" s="95" t="str">
        <f t="shared" si="384"/>
        <v>FSFAGSPQNIBDDSCM FSOM</v>
      </c>
      <c r="B1315" s="95" t="s">
        <v>1375</v>
      </c>
      <c r="C1315" s="95" t="s">
        <v>60</v>
      </c>
      <c r="D1315" t="s">
        <v>369</v>
      </c>
      <c r="E1315" t="s">
        <v>55</v>
      </c>
      <c r="F1315" t="s">
        <v>60</v>
      </c>
      <c r="G1315" t="s">
        <v>1286</v>
      </c>
      <c r="H1315" t="s">
        <v>1287</v>
      </c>
      <c r="J1315" t="s">
        <v>287</v>
      </c>
      <c r="K1315" s="27">
        <f t="shared" ref="K1315:AW1315" si="481">IFERROR(K1508-((K1508-K99)+(K1508-K252)+(K1508-K405)+(K1508-K557)+(K1508-K709)+(K1508-K860)+(K1508-K1011)+(K1508-K1162)),0)</f>
        <v>0</v>
      </c>
      <c r="L1315" s="27">
        <f t="shared" si="481"/>
        <v>0</v>
      </c>
      <c r="M1315" s="27">
        <f t="shared" si="481"/>
        <v>0</v>
      </c>
      <c r="N1315" s="27">
        <f t="shared" si="481"/>
        <v>0</v>
      </c>
      <c r="O1315" s="27">
        <f t="shared" si="481"/>
        <v>0</v>
      </c>
      <c r="P1315" s="27">
        <f t="shared" si="481"/>
        <v>0</v>
      </c>
      <c r="Q1315" s="27">
        <f t="shared" si="481"/>
        <v>0</v>
      </c>
      <c r="R1315" s="27">
        <f t="shared" si="481"/>
        <v>0</v>
      </c>
      <c r="S1315" s="27">
        <f t="shared" si="481"/>
        <v>0</v>
      </c>
      <c r="T1315" s="27">
        <f t="shared" si="481"/>
        <v>0</v>
      </c>
      <c r="U1315" s="27">
        <f t="shared" si="481"/>
        <v>0</v>
      </c>
      <c r="V1315" s="27">
        <f t="shared" si="481"/>
        <v>0</v>
      </c>
      <c r="W1315" s="27">
        <f t="shared" si="481"/>
        <v>0</v>
      </c>
      <c r="X1315" s="27">
        <f t="shared" si="481"/>
        <v>0</v>
      </c>
      <c r="Y1315" s="27">
        <f t="shared" si="481"/>
        <v>0</v>
      </c>
      <c r="Z1315" s="27">
        <f t="shared" si="481"/>
        <v>0</v>
      </c>
      <c r="AA1315" s="27">
        <f t="shared" si="481"/>
        <v>0</v>
      </c>
      <c r="AB1315" s="27">
        <f t="shared" si="481"/>
        <v>0</v>
      </c>
      <c r="AC1315" s="27">
        <f t="shared" si="481"/>
        <v>0</v>
      </c>
      <c r="AD1315" s="27">
        <f t="shared" si="481"/>
        <v>0</v>
      </c>
      <c r="AE1315" s="27">
        <f t="shared" si="481"/>
        <v>0</v>
      </c>
      <c r="AF1315" s="27">
        <f t="shared" si="481"/>
        <v>0</v>
      </c>
      <c r="AG1315" s="27">
        <f t="shared" si="481"/>
        <v>0</v>
      </c>
      <c r="AH1315" s="27">
        <f t="shared" si="481"/>
        <v>0</v>
      </c>
      <c r="AI1315" s="27">
        <f t="shared" si="481"/>
        <v>0</v>
      </c>
      <c r="AJ1315" s="27">
        <f t="shared" si="481"/>
        <v>0</v>
      </c>
      <c r="AK1315" s="27">
        <f t="shared" si="481"/>
        <v>0</v>
      </c>
      <c r="AL1315" s="27">
        <f t="shared" si="481"/>
        <v>0</v>
      </c>
      <c r="AM1315" s="27">
        <f t="shared" si="481"/>
        <v>0</v>
      </c>
      <c r="AN1315" s="27">
        <f t="shared" si="481"/>
        <v>0</v>
      </c>
      <c r="AO1315" s="27">
        <f t="shared" si="481"/>
        <v>0</v>
      </c>
      <c r="AP1315" s="27">
        <f t="shared" si="481"/>
        <v>0</v>
      </c>
      <c r="AQ1315" s="27">
        <f t="shared" si="481"/>
        <v>0</v>
      </c>
      <c r="AR1315" s="27">
        <f t="shared" si="481"/>
        <v>0</v>
      </c>
      <c r="AS1315" s="27">
        <f t="shared" si="481"/>
        <v>0</v>
      </c>
      <c r="AT1315" s="27">
        <f t="shared" si="481"/>
        <v>0</v>
      </c>
      <c r="AU1315" s="27">
        <f t="shared" si="481"/>
        <v>0</v>
      </c>
      <c r="AV1315" s="27">
        <f t="shared" si="481"/>
        <v>0</v>
      </c>
      <c r="AW1315" s="27">
        <f t="shared" si="481"/>
        <v>0</v>
      </c>
      <c r="AY1315" s="79"/>
      <c r="AZ1315" s="79"/>
    </row>
    <row r="1316" spans="1:52" x14ac:dyDescent="0.3">
      <c r="A1316" s="95" t="str">
        <f t="shared" si="384"/>
        <v>FSFAGSPQNIBDDSCM FSOM</v>
      </c>
      <c r="B1316" s="95" t="s">
        <v>1375</v>
      </c>
      <c r="C1316" s="95" t="s">
        <v>60</v>
      </c>
      <c r="D1316" t="s">
        <v>369</v>
      </c>
      <c r="E1316" t="s">
        <v>55</v>
      </c>
      <c r="F1316" t="s">
        <v>60</v>
      </c>
      <c r="G1316" t="s">
        <v>1288</v>
      </c>
      <c r="H1316" t="s">
        <v>1289</v>
      </c>
      <c r="J1316" t="s">
        <v>287</v>
      </c>
      <c r="K1316" s="27">
        <f t="shared" ref="K1316:AW1316" si="482">IFERROR(K1509-((K1509-K100)+(K1509-K253)+(K1509-K406)+(K1509-K558)+(K1509-K710)+(K1509-K861)+(K1509-K1012)+(K1509-K1163)),0)</f>
        <v>3.1961717215001131</v>
      </c>
      <c r="L1316" s="27">
        <f t="shared" si="482"/>
        <v>3.1961717215001131</v>
      </c>
      <c r="M1316" s="27">
        <f t="shared" si="482"/>
        <v>3.1961717215001131</v>
      </c>
      <c r="N1316" s="27">
        <f t="shared" si="482"/>
        <v>3.1961717215001131</v>
      </c>
      <c r="O1316" s="27">
        <f t="shared" si="482"/>
        <v>3.1961717215001131</v>
      </c>
      <c r="P1316" s="27">
        <f t="shared" si="482"/>
        <v>3.1961717215001131</v>
      </c>
      <c r="Q1316" s="27">
        <f t="shared" si="482"/>
        <v>3.1961717215001131</v>
      </c>
      <c r="R1316" s="27">
        <f t="shared" si="482"/>
        <v>3.1961717215001131</v>
      </c>
      <c r="S1316" s="27">
        <f t="shared" si="482"/>
        <v>3.1961717215001131</v>
      </c>
      <c r="T1316" s="27">
        <f t="shared" si="482"/>
        <v>3.1961717215001131</v>
      </c>
      <c r="U1316" s="27">
        <f t="shared" si="482"/>
        <v>3.1961717215001131</v>
      </c>
      <c r="V1316" s="27">
        <f t="shared" si="482"/>
        <v>3.1961717215001131</v>
      </c>
      <c r="W1316" s="27">
        <f t="shared" si="482"/>
        <v>3.1961717215001131</v>
      </c>
      <c r="X1316" s="27">
        <f t="shared" si="482"/>
        <v>3.1961717215001131</v>
      </c>
      <c r="Y1316" s="27">
        <f t="shared" si="482"/>
        <v>3.1961717215001131</v>
      </c>
      <c r="Z1316" s="27">
        <f t="shared" si="482"/>
        <v>3.1961717215001131</v>
      </c>
      <c r="AA1316" s="27">
        <f t="shared" si="482"/>
        <v>3.1961717215001131</v>
      </c>
      <c r="AB1316" s="27">
        <f t="shared" si="482"/>
        <v>3.1961717215001131</v>
      </c>
      <c r="AC1316" s="27">
        <f t="shared" si="482"/>
        <v>3.1961717215001131</v>
      </c>
      <c r="AD1316" s="27">
        <f t="shared" si="482"/>
        <v>3.1961717215001131</v>
      </c>
      <c r="AE1316" s="27">
        <f t="shared" si="482"/>
        <v>3.1961717215001131</v>
      </c>
      <c r="AF1316" s="27">
        <f t="shared" si="482"/>
        <v>3.1961717215001131</v>
      </c>
      <c r="AG1316" s="27">
        <f t="shared" si="482"/>
        <v>3.1961717215001131</v>
      </c>
      <c r="AH1316" s="27">
        <f t="shared" si="482"/>
        <v>3.1961717215001131</v>
      </c>
      <c r="AI1316" s="27">
        <f t="shared" si="482"/>
        <v>3.1961717215001131</v>
      </c>
      <c r="AJ1316" s="27">
        <f t="shared" si="482"/>
        <v>3.1961717215001131</v>
      </c>
      <c r="AK1316" s="27">
        <f t="shared" si="482"/>
        <v>3.1961717215001131</v>
      </c>
      <c r="AL1316" s="27">
        <f t="shared" si="482"/>
        <v>3.1961717215001131</v>
      </c>
      <c r="AM1316" s="27">
        <f t="shared" si="482"/>
        <v>3.1961717215001131</v>
      </c>
      <c r="AN1316" s="27">
        <f t="shared" si="482"/>
        <v>3.1961717215001131</v>
      </c>
      <c r="AO1316" s="27">
        <f t="shared" si="482"/>
        <v>3.1961717215001131</v>
      </c>
      <c r="AP1316" s="27">
        <f t="shared" si="482"/>
        <v>3.1961717215001131</v>
      </c>
      <c r="AQ1316" s="27">
        <f t="shared" si="482"/>
        <v>3.1961717215001131</v>
      </c>
      <c r="AR1316" s="27">
        <f t="shared" si="482"/>
        <v>3.1961717215001131</v>
      </c>
      <c r="AS1316" s="27">
        <f t="shared" si="482"/>
        <v>3.1961717215001131</v>
      </c>
      <c r="AT1316" s="27">
        <f t="shared" si="482"/>
        <v>3.1961717215001131</v>
      </c>
      <c r="AU1316" s="27">
        <f t="shared" si="482"/>
        <v>3.1961717215001131</v>
      </c>
      <c r="AV1316" s="27">
        <f t="shared" si="482"/>
        <v>3.1961717215001131</v>
      </c>
      <c r="AW1316" s="27">
        <f t="shared" si="482"/>
        <v>3.1961717215001131</v>
      </c>
      <c r="AY1316" s="79"/>
      <c r="AZ1316" s="79"/>
    </row>
    <row r="1317" spans="1:52" x14ac:dyDescent="0.3">
      <c r="A1317" s="95" t="str">
        <f t="shared" si="384"/>
        <v>FSFAGSPQNIBDDSCM Volatilisation</v>
      </c>
      <c r="B1317" s="95" t="s">
        <v>1375</v>
      </c>
      <c r="C1317" s="95" t="s">
        <v>62</v>
      </c>
      <c r="D1317" t="s">
        <v>369</v>
      </c>
      <c r="E1317" t="s">
        <v>61</v>
      </c>
      <c r="F1317" t="s">
        <v>62</v>
      </c>
      <c r="G1317" t="s">
        <v>435</v>
      </c>
      <c r="H1317" t="s">
        <v>1184</v>
      </c>
      <c r="I1317" t="s">
        <v>139</v>
      </c>
      <c r="J1317" t="s">
        <v>287</v>
      </c>
      <c r="K1317" s="27">
        <f t="shared" ref="K1317:AW1317" si="483">IFERROR(K1510-((K1510-K101)+(K1510-K254)+(K1510-K407)+(K1510-K559)+(K1510-K711)+(K1510-K862)+(K1510-K1013)+(K1510-K1164)),0)</f>
        <v>0.66064812063358536</v>
      </c>
      <c r="L1317" s="27">
        <f t="shared" si="483"/>
        <v>0.66058242184852956</v>
      </c>
      <c r="M1317" s="27">
        <f t="shared" si="483"/>
        <v>0.66046196765835474</v>
      </c>
      <c r="N1317" s="27">
        <f t="shared" si="483"/>
        <v>0.66031799495417198</v>
      </c>
      <c r="O1317" s="27">
        <f t="shared" si="483"/>
        <v>0.66022073532502734</v>
      </c>
      <c r="P1317" s="27">
        <f t="shared" si="483"/>
        <v>0.66015380384919209</v>
      </c>
      <c r="Q1317" s="27">
        <f t="shared" si="483"/>
        <v>0.66011715236312984</v>
      </c>
      <c r="R1317" s="27">
        <f t="shared" si="483"/>
        <v>0.66005785698707231</v>
      </c>
      <c r="S1317" s="27">
        <f t="shared" si="483"/>
        <v>0.65999557160724309</v>
      </c>
      <c r="T1317" s="27">
        <f t="shared" si="483"/>
        <v>0.66042852126323504</v>
      </c>
      <c r="U1317" s="27">
        <f t="shared" si="483"/>
        <v>0.660256842080582</v>
      </c>
      <c r="V1317" s="27">
        <f t="shared" si="483"/>
        <v>0.66002252909433212</v>
      </c>
      <c r="W1317" s="27">
        <f t="shared" si="483"/>
        <v>0.65989661681898848</v>
      </c>
      <c r="X1317" s="27">
        <f t="shared" si="483"/>
        <v>0.6597589047711292</v>
      </c>
      <c r="Y1317" s="27">
        <f t="shared" si="483"/>
        <v>0.659605796092819</v>
      </c>
      <c r="Z1317" s="27">
        <f t="shared" si="483"/>
        <v>0.65944507555305243</v>
      </c>
      <c r="AA1317" s="27">
        <f t="shared" si="483"/>
        <v>0.65927354812209926</v>
      </c>
      <c r="AB1317" s="27">
        <f t="shared" si="483"/>
        <v>0.65910165055066838</v>
      </c>
      <c r="AC1317" s="27">
        <f t="shared" si="483"/>
        <v>0.65892060560614785</v>
      </c>
      <c r="AD1317" s="27">
        <f t="shared" si="483"/>
        <v>0.6587403682229962</v>
      </c>
      <c r="AE1317" s="27">
        <f t="shared" si="483"/>
        <v>0.6585449608557925</v>
      </c>
      <c r="AF1317" s="27">
        <f t="shared" si="483"/>
        <v>0.65835675614397215</v>
      </c>
      <c r="AG1317" s="27">
        <f t="shared" si="483"/>
        <v>0.65816378763594341</v>
      </c>
      <c r="AH1317" s="27">
        <f t="shared" si="483"/>
        <v>0.6579528278100244</v>
      </c>
      <c r="AI1317" s="27">
        <f t="shared" si="483"/>
        <v>0.65775665224366497</v>
      </c>
      <c r="AJ1317" s="27">
        <f t="shared" si="483"/>
        <v>0.65755521924304883</v>
      </c>
      <c r="AK1317" s="27">
        <f t="shared" si="483"/>
        <v>0.65734627926543143</v>
      </c>
      <c r="AL1317" s="27">
        <f t="shared" si="483"/>
        <v>0.65715425101563263</v>
      </c>
      <c r="AM1317" s="27">
        <f t="shared" si="483"/>
        <v>0.65696756052718408</v>
      </c>
      <c r="AN1317" s="27">
        <f t="shared" si="483"/>
        <v>0.65678548596880248</v>
      </c>
      <c r="AO1317" s="27">
        <f t="shared" si="483"/>
        <v>0.65659337062591927</v>
      </c>
      <c r="AP1317" s="27">
        <f t="shared" si="483"/>
        <v>0.65641235920406316</v>
      </c>
      <c r="AQ1317" s="27">
        <f t="shared" si="483"/>
        <v>0.65622903638449304</v>
      </c>
      <c r="AR1317" s="27">
        <f t="shared" si="483"/>
        <v>0.65604286486377728</v>
      </c>
      <c r="AS1317" s="27">
        <f t="shared" si="483"/>
        <v>0.65585292511260118</v>
      </c>
      <c r="AT1317" s="27">
        <f t="shared" si="483"/>
        <v>0.65566000956326953</v>
      </c>
      <c r="AU1317" s="27">
        <f t="shared" si="483"/>
        <v>0.65560073347552816</v>
      </c>
      <c r="AV1317" s="27">
        <f t="shared" si="483"/>
        <v>0.65555391486602432</v>
      </c>
      <c r="AW1317" s="27">
        <f t="shared" si="483"/>
        <v>0.65552474687649953</v>
      </c>
      <c r="AY1317" s="79"/>
      <c r="AZ1317" s="79"/>
    </row>
    <row r="1318" spans="1:52" x14ac:dyDescent="0.3">
      <c r="A1318" s="95" t="str">
        <f t="shared" si="384"/>
        <v>FSFAGSPQNIBDDSCM Volatilisation</v>
      </c>
      <c r="B1318" s="95" t="s">
        <v>1375</v>
      </c>
      <c r="C1318" s="95" t="s">
        <v>62</v>
      </c>
      <c r="D1318" t="s">
        <v>369</v>
      </c>
      <c r="E1318" t="s">
        <v>61</v>
      </c>
      <c r="F1318" t="s">
        <v>62</v>
      </c>
      <c r="G1318" t="s">
        <v>436</v>
      </c>
      <c r="H1318" t="s">
        <v>1185</v>
      </c>
      <c r="I1318" t="s">
        <v>139</v>
      </c>
      <c r="J1318" t="s">
        <v>287</v>
      </c>
      <c r="K1318" s="27">
        <f t="shared" ref="K1318:AW1318" si="484">IFERROR(K1511-((K1511-K102)+(K1511-K255)+(K1511-K408)+(K1511-K560)+(K1511-K712)+(K1511-K863)+(K1511-K1014)+(K1511-K1165)),0)</f>
        <v>8.720555192363328E-3</v>
      </c>
      <c r="L1318" s="27">
        <f t="shared" si="484"/>
        <v>8.7196879684005926E-3</v>
      </c>
      <c r="M1318" s="27">
        <f t="shared" si="484"/>
        <v>8.7180979730902847E-3</v>
      </c>
      <c r="N1318" s="27">
        <f t="shared" si="484"/>
        <v>8.7161975333950713E-3</v>
      </c>
      <c r="O1318" s="27">
        <f t="shared" si="484"/>
        <v>8.7149137062903607E-3</v>
      </c>
      <c r="P1318" s="27">
        <f t="shared" si="484"/>
        <v>8.7140302108093363E-3</v>
      </c>
      <c r="Q1318" s="27">
        <f t="shared" si="484"/>
        <v>8.7135464111933163E-3</v>
      </c>
      <c r="R1318" s="27">
        <f t="shared" si="484"/>
        <v>8.7127637122293555E-3</v>
      </c>
      <c r="S1318" s="27">
        <f t="shared" si="484"/>
        <v>8.7119415452156113E-3</v>
      </c>
      <c r="T1318" s="27">
        <f t="shared" si="484"/>
        <v>8.7176564806747021E-3</v>
      </c>
      <c r="U1318" s="27">
        <f t="shared" si="484"/>
        <v>8.7153903154636864E-3</v>
      </c>
      <c r="V1318" s="27">
        <f t="shared" si="484"/>
        <v>8.7122973840451836E-3</v>
      </c>
      <c r="W1318" s="27">
        <f t="shared" si="484"/>
        <v>8.7106353420106468E-3</v>
      </c>
      <c r="X1318" s="27">
        <f t="shared" si="484"/>
        <v>8.7088175429789073E-3</v>
      </c>
      <c r="Y1318" s="27">
        <f t="shared" si="484"/>
        <v>8.7067965084252144E-3</v>
      </c>
      <c r="Z1318" s="27">
        <f t="shared" si="484"/>
        <v>8.7046749973002935E-3</v>
      </c>
      <c r="AA1318" s="27">
        <f t="shared" si="484"/>
        <v>8.702410835211713E-3</v>
      </c>
      <c r="AB1318" s="27">
        <f t="shared" si="484"/>
        <v>8.7001417872688246E-3</v>
      </c>
      <c r="AC1318" s="27">
        <f t="shared" si="484"/>
        <v>8.6977519940011523E-3</v>
      </c>
      <c r="AD1318" s="27">
        <f t="shared" si="484"/>
        <v>8.6953728605435512E-3</v>
      </c>
      <c r="AE1318" s="27">
        <f t="shared" si="484"/>
        <v>8.6927934832964609E-3</v>
      </c>
      <c r="AF1318" s="27">
        <f t="shared" si="484"/>
        <v>8.6903091811004352E-3</v>
      </c>
      <c r="AG1318" s="27">
        <f t="shared" si="484"/>
        <v>8.6877619967944547E-3</v>
      </c>
      <c r="AH1318" s="27">
        <f t="shared" si="484"/>
        <v>8.6849773270923237E-3</v>
      </c>
      <c r="AI1318" s="27">
        <f t="shared" si="484"/>
        <v>8.6823878096163789E-3</v>
      </c>
      <c r="AJ1318" s="27">
        <f t="shared" si="484"/>
        <v>8.6797288940082453E-3</v>
      </c>
      <c r="AK1318" s="27">
        <f t="shared" si="484"/>
        <v>8.6769708863036962E-3</v>
      </c>
      <c r="AL1318" s="27">
        <f t="shared" si="484"/>
        <v>8.6744361134063527E-3</v>
      </c>
      <c r="AM1318" s="27">
        <f t="shared" si="484"/>
        <v>8.6719717989588319E-3</v>
      </c>
      <c r="AN1318" s="27">
        <f t="shared" si="484"/>
        <v>8.6695684147881907E-3</v>
      </c>
      <c r="AO1318" s="27">
        <f t="shared" si="484"/>
        <v>8.6670324922621354E-3</v>
      </c>
      <c r="AP1318" s="27">
        <f t="shared" si="484"/>
        <v>8.6646431414936359E-3</v>
      </c>
      <c r="AQ1318" s="27">
        <f t="shared" si="484"/>
        <v>8.6622232802753101E-3</v>
      </c>
      <c r="AR1318" s="27">
        <f t="shared" si="484"/>
        <v>8.6597658162018594E-3</v>
      </c>
      <c r="AS1318" s="27">
        <f t="shared" si="484"/>
        <v>8.6572586114863365E-3</v>
      </c>
      <c r="AT1318" s="27">
        <f t="shared" si="484"/>
        <v>8.6547121262351596E-3</v>
      </c>
      <c r="AU1318" s="27">
        <f t="shared" si="484"/>
        <v>8.6539296818769745E-3</v>
      </c>
      <c r="AV1318" s="27">
        <f t="shared" si="484"/>
        <v>8.6533116762315225E-3</v>
      </c>
      <c r="AW1318" s="27">
        <f t="shared" si="484"/>
        <v>8.6529266587697939E-3</v>
      </c>
      <c r="AY1318" s="79"/>
      <c r="AZ1318" s="79"/>
    </row>
    <row r="1319" spans="1:52" x14ac:dyDescent="0.3">
      <c r="A1319" s="95" t="str">
        <f t="shared" si="384"/>
        <v>FSFAGSPQNIBDDSCM Volatilisation</v>
      </c>
      <c r="B1319" s="95" t="s">
        <v>1375</v>
      </c>
      <c r="C1319" s="95" t="s">
        <v>62</v>
      </c>
      <c r="D1319" t="s">
        <v>369</v>
      </c>
      <c r="E1319" t="s">
        <v>61</v>
      </c>
      <c r="F1319" t="s">
        <v>62</v>
      </c>
      <c r="G1319" t="s">
        <v>437</v>
      </c>
      <c r="H1319" t="s">
        <v>1186</v>
      </c>
      <c r="I1319" t="s">
        <v>139</v>
      </c>
      <c r="J1319" t="s">
        <v>287</v>
      </c>
      <c r="K1319" s="27">
        <f t="shared" ref="K1319:AW1319" si="485">IFERROR(K1512-((K1512-K103)+(K1512-K256)+(K1512-K409)+(K1512-K561)+(K1512-K713)+(K1512-K864)+(K1512-K1015)+(K1512-K1166)),0)</f>
        <v>1.2008407282256135</v>
      </c>
      <c r="L1319" s="27">
        <f t="shared" si="485"/>
        <v>1.201903510760759</v>
      </c>
      <c r="M1319" s="27">
        <f t="shared" si="485"/>
        <v>1.2088775122881088</v>
      </c>
      <c r="N1319" s="27">
        <f t="shared" si="485"/>
        <v>1.2055442230548155</v>
      </c>
      <c r="O1319" s="27">
        <f t="shared" si="485"/>
        <v>1.195843583832628</v>
      </c>
      <c r="P1319" s="27">
        <f t="shared" si="485"/>
        <v>1.1799964998501222</v>
      </c>
      <c r="Q1319" s="27">
        <f t="shared" si="485"/>
        <v>1.169776622170569</v>
      </c>
      <c r="R1319" s="27">
        <f t="shared" si="485"/>
        <v>1.1606871439933113</v>
      </c>
      <c r="S1319" s="27">
        <f t="shared" si="485"/>
        <v>1.0501974396641209</v>
      </c>
      <c r="T1319" s="27">
        <f t="shared" si="485"/>
        <v>1.0703473698117068</v>
      </c>
      <c r="U1319" s="27">
        <f t="shared" si="485"/>
        <v>1.1035346153332457</v>
      </c>
      <c r="V1319" s="27">
        <f t="shared" si="485"/>
        <v>1.1150489977959306</v>
      </c>
      <c r="W1319" s="27">
        <f t="shared" si="485"/>
        <v>1.1291994422976275</v>
      </c>
      <c r="X1319" s="27">
        <f t="shared" si="485"/>
        <v>1.1467521172180308</v>
      </c>
      <c r="Y1319" s="27">
        <f t="shared" si="485"/>
        <v>1.1661924411251976</v>
      </c>
      <c r="Z1319" s="27">
        <f t="shared" si="485"/>
        <v>1.1881766019612736</v>
      </c>
      <c r="AA1319" s="27">
        <f t="shared" si="485"/>
        <v>1.2105548738562886</v>
      </c>
      <c r="AB1319" s="27">
        <f t="shared" si="485"/>
        <v>1.2352132344527478</v>
      </c>
      <c r="AC1319" s="27">
        <f t="shared" si="485"/>
        <v>1.2600610700998878</v>
      </c>
      <c r="AD1319" s="27">
        <f t="shared" si="485"/>
        <v>1.2841695325772586</v>
      </c>
      <c r="AE1319" s="27">
        <f t="shared" si="485"/>
        <v>1.3069035937836597</v>
      </c>
      <c r="AF1319" s="27">
        <f t="shared" si="485"/>
        <v>1.3308885489727156</v>
      </c>
      <c r="AG1319" s="27">
        <f t="shared" si="485"/>
        <v>1.3591357613410466</v>
      </c>
      <c r="AH1319" s="27">
        <f t="shared" si="485"/>
        <v>1.3843151170507964</v>
      </c>
      <c r="AI1319" s="27">
        <f t="shared" si="485"/>
        <v>1.4109607447095132</v>
      </c>
      <c r="AJ1319" s="27">
        <f t="shared" si="485"/>
        <v>1.439613035796105</v>
      </c>
      <c r="AK1319" s="27">
        <f t="shared" si="485"/>
        <v>1.4645872559628428</v>
      </c>
      <c r="AL1319" s="27">
        <f t="shared" si="485"/>
        <v>1.4885153057402958</v>
      </c>
      <c r="AM1319" s="27">
        <f t="shared" si="485"/>
        <v>1.5115373270459393</v>
      </c>
      <c r="AN1319" s="27">
        <f t="shared" si="485"/>
        <v>1.5400585132402391</v>
      </c>
      <c r="AO1319" s="27">
        <f t="shared" si="485"/>
        <v>1.5662225533166572</v>
      </c>
      <c r="AP1319" s="27">
        <f t="shared" si="485"/>
        <v>1.593267491108957</v>
      </c>
      <c r="AQ1319" s="27">
        <f t="shared" si="485"/>
        <v>1.6213524132646824</v>
      </c>
      <c r="AR1319" s="27">
        <f t="shared" si="485"/>
        <v>1.6507413943805305</v>
      </c>
      <c r="AS1319" s="27">
        <f t="shared" si="485"/>
        <v>1.6812851986409043</v>
      </c>
      <c r="AT1319" s="27">
        <f t="shared" si="485"/>
        <v>1.6777302811702246</v>
      </c>
      <c r="AU1319" s="27">
        <f t="shared" si="485"/>
        <v>1.6711130643184777</v>
      </c>
      <c r="AV1319" s="27">
        <f t="shared" si="485"/>
        <v>1.6601731404367381</v>
      </c>
      <c r="AW1319" s="27">
        <f t="shared" si="485"/>
        <v>1.6481045233312475</v>
      </c>
      <c r="AY1319" s="79"/>
      <c r="AZ1319" s="79"/>
    </row>
    <row r="1320" spans="1:52" x14ac:dyDescent="0.3">
      <c r="A1320" s="95" t="str">
        <f t="shared" si="384"/>
        <v>FSFAGSPQNIBDDSCM Volatilisation</v>
      </c>
      <c r="B1320" s="95" t="s">
        <v>1375</v>
      </c>
      <c r="C1320" s="95" t="s">
        <v>62</v>
      </c>
      <c r="D1320" t="str">
        <f t="shared" ref="D1320:F1320" si="486">D1319</f>
        <v>3C Aggregated and non-CO2 emissions on land</v>
      </c>
      <c r="E1320" t="str">
        <f t="shared" si="486"/>
        <v>3C5 Indirect N2O from managed soils (N2O)</v>
      </c>
      <c r="F1320" t="str">
        <f t="shared" si="486"/>
        <v>Volatilisation</v>
      </c>
      <c r="G1320" t="s">
        <v>438</v>
      </c>
      <c r="H1320" t="str">
        <f t="shared" ref="H1320" si="487">F1320&amp;G1320</f>
        <v>Volatilisation - Urine &amp; dung</v>
      </c>
      <c r="I1320" t="str">
        <f t="shared" ref="I1320:J1320" si="488">I1319</f>
        <v>N2O</v>
      </c>
      <c r="J1320" t="str">
        <f t="shared" si="488"/>
        <v>Gg N2O</v>
      </c>
      <c r="K1320" s="27">
        <f t="shared" ref="K1320:AW1320" si="489">IFERROR(K1513-((K1513-K104)+(K1513-K257)+(K1513-K410)+(K1513-K562)+(K1513-K714)+(K1513-K865)+(K1513-K1016)+(K1513-K1167)),0)</f>
        <v>4.3975799639737048</v>
      </c>
      <c r="L1320" s="27">
        <f t="shared" si="489"/>
        <v>4.3787767883653972</v>
      </c>
      <c r="M1320" s="27">
        <f t="shared" si="489"/>
        <v>4.3752716537638934</v>
      </c>
      <c r="N1320" s="27">
        <f t="shared" si="489"/>
        <v>4.3473821211305594</v>
      </c>
      <c r="O1320" s="27">
        <f t="shared" si="489"/>
        <v>4.3052096453824609</v>
      </c>
      <c r="P1320" s="27">
        <f t="shared" si="489"/>
        <v>4.2496956169043703</v>
      </c>
      <c r="Q1320" s="27">
        <f t="shared" si="489"/>
        <v>4.2083609134426787</v>
      </c>
      <c r="R1320" s="27">
        <f t="shared" si="489"/>
        <v>4.1703852155628214</v>
      </c>
      <c r="S1320" s="27">
        <f t="shared" si="489"/>
        <v>3.900775371515369</v>
      </c>
      <c r="T1320" s="27">
        <f t="shared" si="489"/>
        <v>3.9381596254461564</v>
      </c>
      <c r="U1320" s="27">
        <f t="shared" si="489"/>
        <v>4.0049157346570068</v>
      </c>
      <c r="V1320" s="27">
        <f t="shared" si="489"/>
        <v>4.0223863253045398</v>
      </c>
      <c r="W1320" s="27">
        <f t="shared" si="489"/>
        <v>4.045795803072969</v>
      </c>
      <c r="X1320" s="27">
        <f t="shared" si="489"/>
        <v>4.0767188563085508</v>
      </c>
      <c r="Y1320" s="27">
        <f t="shared" si="489"/>
        <v>4.1095287399075264</v>
      </c>
      <c r="Z1320" s="27">
        <f t="shared" si="489"/>
        <v>4.1476787731521458</v>
      </c>
      <c r="AA1320" s="27">
        <f t="shared" si="489"/>
        <v>4.1863566801857406</v>
      </c>
      <c r="AB1320" s="27">
        <f t="shared" si="489"/>
        <v>4.2296218376851549</v>
      </c>
      <c r="AC1320" s="27">
        <f t="shared" si="489"/>
        <v>4.2728604404281354</v>
      </c>
      <c r="AD1320" s="27">
        <f t="shared" si="489"/>
        <v>4.3024697400350007</v>
      </c>
      <c r="AE1320" s="27">
        <f t="shared" si="489"/>
        <v>4.3280485976783627</v>
      </c>
      <c r="AF1320" s="27">
        <f t="shared" si="489"/>
        <v>4.3551413116429245</v>
      </c>
      <c r="AG1320" s="27">
        <f t="shared" si="489"/>
        <v>4.3898514432989648</v>
      </c>
      <c r="AH1320" s="27">
        <f t="shared" si="489"/>
        <v>4.4168796997123483</v>
      </c>
      <c r="AI1320" s="27">
        <f t="shared" si="489"/>
        <v>4.4439671933106792</v>
      </c>
      <c r="AJ1320" s="27">
        <f t="shared" si="489"/>
        <v>4.4736413932482595</v>
      </c>
      <c r="AK1320" s="27">
        <f t="shared" si="489"/>
        <v>4.4945161300843504</v>
      </c>
      <c r="AL1320" s="27">
        <f t="shared" si="489"/>
        <v>4.5119473605235276</v>
      </c>
      <c r="AM1320" s="27">
        <f t="shared" si="489"/>
        <v>4.5262479592108207</v>
      </c>
      <c r="AN1320" s="27">
        <f t="shared" si="489"/>
        <v>4.5552825489057529</v>
      </c>
      <c r="AO1320" s="27">
        <f t="shared" si="489"/>
        <v>4.5786902056870105</v>
      </c>
      <c r="AP1320" s="27">
        <f t="shared" si="489"/>
        <v>4.6026259938264094</v>
      </c>
      <c r="AQ1320" s="27">
        <f t="shared" si="489"/>
        <v>4.6273110032913349</v>
      </c>
      <c r="AR1320" s="27">
        <f t="shared" si="489"/>
        <v>4.6531442501292055</v>
      </c>
      <c r="AS1320" s="27">
        <f t="shared" si="489"/>
        <v>4.6782746913590252</v>
      </c>
      <c r="AT1320" s="27">
        <f t="shared" si="489"/>
        <v>4.6412320099960542</v>
      </c>
      <c r="AU1320" s="27">
        <f t="shared" si="489"/>
        <v>4.5987998522947482</v>
      </c>
      <c r="AV1320" s="27">
        <f t="shared" si="489"/>
        <v>4.5489683571490982</v>
      </c>
      <c r="AW1320" s="27">
        <f t="shared" si="489"/>
        <v>4.4975013733577454</v>
      </c>
      <c r="AY1320" s="79"/>
      <c r="AZ1320" s="79"/>
    </row>
    <row r="1321" spans="1:52" x14ac:dyDescent="0.3">
      <c r="A1321" s="95" t="str">
        <f t="shared" si="384"/>
        <v>FSFAGSPQNIBDDSCM Leaching</v>
      </c>
      <c r="B1321" s="95" t="s">
        <v>1375</v>
      </c>
      <c r="C1321" s="95" t="s">
        <v>1190</v>
      </c>
      <c r="D1321" t="s">
        <v>369</v>
      </c>
      <c r="E1321" t="s">
        <v>61</v>
      </c>
      <c r="F1321" t="s">
        <v>63</v>
      </c>
      <c r="G1321" t="s">
        <v>435</v>
      </c>
      <c r="H1321" t="s">
        <v>1187</v>
      </c>
      <c r="I1321" t="s">
        <v>139</v>
      </c>
      <c r="J1321" t="s">
        <v>287</v>
      </c>
      <c r="K1321" s="27">
        <f t="shared" ref="K1321:AW1321" si="490">IFERROR(K1514-((K1514-K105)+(K1514-K258)+(K1514-K411)+(K1514-K563)+(K1514-K715)+(K1514-K866)+(K1514-K1017)+(K1514-K1168)),0)</f>
        <v>2.2792360161858692E-4</v>
      </c>
      <c r="L1321" s="27">
        <f t="shared" si="490"/>
        <v>2.2790093553774266E-4</v>
      </c>
      <c r="M1321" s="27">
        <f t="shared" si="490"/>
        <v>2.278593788421324E-4</v>
      </c>
      <c r="N1321" s="27">
        <f t="shared" si="490"/>
        <v>2.2780970825918929E-4</v>
      </c>
      <c r="O1321" s="27">
        <f t="shared" si="490"/>
        <v>2.277761536871344E-4</v>
      </c>
      <c r="P1321" s="27">
        <f t="shared" si="490"/>
        <v>2.2775306232797126E-4</v>
      </c>
      <c r="Q1321" s="27">
        <f t="shared" si="490"/>
        <v>2.2774041756527976E-4</v>
      </c>
      <c r="R1321" s="27">
        <f t="shared" si="490"/>
        <v>2.2771996066053992E-4</v>
      </c>
      <c r="S1321" s="27">
        <f t="shared" si="490"/>
        <v>2.2769847220449889E-4</v>
      </c>
      <c r="T1321" s="27">
        <f t="shared" si="490"/>
        <v>2.2784783983581601E-4</v>
      </c>
      <c r="U1321" s="27">
        <f t="shared" si="490"/>
        <v>2.2778861051780079E-4</v>
      </c>
      <c r="V1321" s="27">
        <f t="shared" si="490"/>
        <v>2.2770777253754449E-4</v>
      </c>
      <c r="W1321" s="27">
        <f t="shared" si="490"/>
        <v>2.2766433280255099E-4</v>
      </c>
      <c r="X1321" s="27">
        <f t="shared" si="490"/>
        <v>2.2761682214603963E-4</v>
      </c>
      <c r="Y1321" s="27">
        <f t="shared" si="490"/>
        <v>2.2756399965202255E-4</v>
      </c>
      <c r="Z1321" s="27">
        <f t="shared" si="490"/>
        <v>2.2750855106580306E-4</v>
      </c>
      <c r="AA1321" s="27">
        <f t="shared" si="490"/>
        <v>2.2744937410212421E-4</v>
      </c>
      <c r="AB1321" s="27">
        <f t="shared" si="490"/>
        <v>2.273900694399806E-4</v>
      </c>
      <c r="AC1321" s="27">
        <f t="shared" si="490"/>
        <v>2.27327608934121E-4</v>
      </c>
      <c r="AD1321" s="27">
        <f t="shared" si="490"/>
        <v>2.2726542703693366E-4</v>
      </c>
      <c r="AE1321" s="27">
        <f t="shared" si="490"/>
        <v>2.2719801149524835E-4</v>
      </c>
      <c r="AF1321" s="27">
        <f t="shared" si="490"/>
        <v>2.2713308086967036E-4</v>
      </c>
      <c r="AG1321" s="27">
        <f t="shared" si="490"/>
        <v>2.2706650673440042E-4</v>
      </c>
      <c r="AH1321" s="27">
        <f t="shared" si="490"/>
        <v>2.2699372559445836E-4</v>
      </c>
      <c r="AI1321" s="27">
        <f t="shared" si="490"/>
        <v>2.2692604502406438E-4</v>
      </c>
      <c r="AJ1321" s="27">
        <f t="shared" si="490"/>
        <v>2.2685655063885179E-4</v>
      </c>
      <c r="AK1321" s="27">
        <f t="shared" si="490"/>
        <v>2.2678446634657377E-4</v>
      </c>
      <c r="AL1321" s="27">
        <f t="shared" si="490"/>
        <v>2.2671821660039324E-4</v>
      </c>
      <c r="AM1321" s="27">
        <f t="shared" si="490"/>
        <v>2.2665380838187847E-4</v>
      </c>
      <c r="AN1321" s="27">
        <f t="shared" si="490"/>
        <v>2.2659099265923683E-4</v>
      </c>
      <c r="AO1321" s="27">
        <f t="shared" si="490"/>
        <v>2.2652471286594214E-4</v>
      </c>
      <c r="AP1321" s="27">
        <f t="shared" si="490"/>
        <v>2.2646226392540174E-4</v>
      </c>
      <c r="AQ1321" s="27">
        <f t="shared" si="490"/>
        <v>2.2639901755265007E-4</v>
      </c>
      <c r="AR1321" s="27">
        <f t="shared" si="490"/>
        <v>2.2633478837800309E-4</v>
      </c>
      <c r="AS1321" s="27">
        <f t="shared" si="490"/>
        <v>2.2626925916384739E-4</v>
      </c>
      <c r="AT1321" s="27">
        <f t="shared" si="490"/>
        <v>2.2620270329932796E-4</v>
      </c>
      <c r="AU1321" s="27">
        <f t="shared" si="490"/>
        <v>2.261822530490572E-4</v>
      </c>
      <c r="AV1321" s="27">
        <f t="shared" si="490"/>
        <v>2.2616610062877842E-4</v>
      </c>
      <c r="AW1321" s="27">
        <f t="shared" si="490"/>
        <v>2.2615603767239231E-4</v>
      </c>
      <c r="AY1321" s="79"/>
      <c r="AZ1321" s="79"/>
    </row>
    <row r="1322" spans="1:52" x14ac:dyDescent="0.3">
      <c r="A1322" s="95" t="str">
        <f t="shared" si="384"/>
        <v>FSFAGSPQNIBDDSCM Leaching</v>
      </c>
      <c r="B1322" s="95" t="s">
        <v>1375</v>
      </c>
      <c r="C1322" s="95" t="s">
        <v>1190</v>
      </c>
      <c r="D1322" t="s">
        <v>369</v>
      </c>
      <c r="E1322" t="s">
        <v>61</v>
      </c>
      <c r="F1322" t="s">
        <v>63</v>
      </c>
      <c r="G1322" t="s">
        <v>436</v>
      </c>
      <c r="H1322" t="s">
        <v>1188</v>
      </c>
      <c r="I1322" t="s">
        <v>139</v>
      </c>
      <c r="J1322" t="s">
        <v>287</v>
      </c>
      <c r="K1322" s="27">
        <f t="shared" ref="K1322:AW1322" si="491">IFERROR(K1515-((K1515-K106)+(K1515-K259)+(K1515-K412)+(K1515-K564)+(K1515-K716)+(K1515-K867)+(K1515-K1018)+(K1515-K1169)),0)</f>
        <v>1.5042957706826741E-6</v>
      </c>
      <c r="L1322" s="27">
        <f t="shared" si="491"/>
        <v>1.5041461745491019E-6</v>
      </c>
      <c r="M1322" s="27">
        <f t="shared" si="491"/>
        <v>1.5038719003580737E-6</v>
      </c>
      <c r="N1322" s="27">
        <f t="shared" si="491"/>
        <v>1.5035440745106496E-6</v>
      </c>
      <c r="O1322" s="27">
        <f t="shared" si="491"/>
        <v>1.5033226143350872E-6</v>
      </c>
      <c r="P1322" s="27">
        <f t="shared" si="491"/>
        <v>1.5031702113646103E-6</v>
      </c>
      <c r="Q1322" s="27">
        <f t="shared" si="491"/>
        <v>1.5030867559308466E-6</v>
      </c>
      <c r="R1322" s="27">
        <f t="shared" si="491"/>
        <v>1.5029517403595637E-6</v>
      </c>
      <c r="S1322" s="27">
        <f t="shared" si="491"/>
        <v>1.5028099165496928E-6</v>
      </c>
      <c r="T1322" s="27">
        <f t="shared" si="491"/>
        <v>1.503795742916386E-6</v>
      </c>
      <c r="U1322" s="27">
        <f t="shared" si="491"/>
        <v>1.5034048294174857E-6</v>
      </c>
      <c r="V1322" s="27">
        <f t="shared" si="491"/>
        <v>1.502871298747794E-6</v>
      </c>
      <c r="W1322" s="27">
        <f t="shared" si="491"/>
        <v>1.5025845964968368E-6</v>
      </c>
      <c r="X1322" s="27">
        <f t="shared" si="491"/>
        <v>1.5022710261638614E-6</v>
      </c>
      <c r="Y1322" s="27">
        <f t="shared" si="491"/>
        <v>1.5019223977033493E-6</v>
      </c>
      <c r="Z1322" s="27">
        <f t="shared" si="491"/>
        <v>1.5015564370343004E-6</v>
      </c>
      <c r="AA1322" s="27">
        <f t="shared" si="491"/>
        <v>1.5011658690740202E-6</v>
      </c>
      <c r="AB1322" s="27">
        <f t="shared" si="491"/>
        <v>1.500774458303872E-6</v>
      </c>
      <c r="AC1322" s="27">
        <f t="shared" si="491"/>
        <v>1.5003622189651987E-6</v>
      </c>
      <c r="AD1322" s="27">
        <f t="shared" si="491"/>
        <v>1.4999518184437622E-6</v>
      </c>
      <c r="AE1322" s="27">
        <f t="shared" si="491"/>
        <v>1.4995068758686393E-6</v>
      </c>
      <c r="AF1322" s="27">
        <f t="shared" si="491"/>
        <v>1.4990783337398247E-6</v>
      </c>
      <c r="AG1322" s="27">
        <f t="shared" si="491"/>
        <v>1.498638944447043E-6</v>
      </c>
      <c r="AH1322" s="27">
        <f t="shared" si="491"/>
        <v>1.4981585889234254E-6</v>
      </c>
      <c r="AI1322" s="27">
        <f t="shared" si="491"/>
        <v>1.497711897158825E-6</v>
      </c>
      <c r="AJ1322" s="27">
        <f t="shared" si="491"/>
        <v>1.4972532342164218E-6</v>
      </c>
      <c r="AK1322" s="27">
        <f t="shared" si="491"/>
        <v>1.4967774778873874E-6</v>
      </c>
      <c r="AL1322" s="27">
        <f t="shared" si="491"/>
        <v>1.4963402295625958E-6</v>
      </c>
      <c r="AM1322" s="27">
        <f t="shared" si="491"/>
        <v>1.4959151353203979E-6</v>
      </c>
      <c r="AN1322" s="27">
        <f t="shared" si="491"/>
        <v>1.4955005515509629E-6</v>
      </c>
      <c r="AO1322" s="27">
        <f t="shared" si="491"/>
        <v>1.4950631049152183E-6</v>
      </c>
      <c r="AP1322" s="27">
        <f t="shared" si="491"/>
        <v>1.4946509419076516E-6</v>
      </c>
      <c r="AQ1322" s="27">
        <f t="shared" si="491"/>
        <v>1.4942335158474905E-6</v>
      </c>
      <c r="AR1322" s="27">
        <f t="shared" si="491"/>
        <v>1.4938096032948206E-6</v>
      </c>
      <c r="AS1322" s="27">
        <f t="shared" si="491"/>
        <v>1.4933771104813929E-6</v>
      </c>
      <c r="AT1322" s="27">
        <f t="shared" si="491"/>
        <v>1.4929378417755646E-6</v>
      </c>
      <c r="AU1322" s="27">
        <f t="shared" si="491"/>
        <v>1.4928028701237777E-6</v>
      </c>
      <c r="AV1322" s="27">
        <f t="shared" si="491"/>
        <v>1.4926962641499375E-6</v>
      </c>
      <c r="AW1322" s="27">
        <f t="shared" si="491"/>
        <v>1.4926298486377895E-6</v>
      </c>
      <c r="AY1322" s="79"/>
      <c r="AZ1322" s="79"/>
    </row>
    <row r="1323" spans="1:52" x14ac:dyDescent="0.3">
      <c r="A1323" s="95" t="str">
        <f t="shared" si="384"/>
        <v>FSFAGSPQNIBDDSCM Leaching</v>
      </c>
      <c r="B1323" s="95" t="s">
        <v>1375</v>
      </c>
      <c r="C1323" s="95" t="s">
        <v>1190</v>
      </c>
      <c r="D1323" t="s">
        <v>369</v>
      </c>
      <c r="E1323" t="s">
        <v>61</v>
      </c>
      <c r="F1323" t="s">
        <v>63</v>
      </c>
      <c r="G1323" t="s">
        <v>437</v>
      </c>
      <c r="H1323" t="s">
        <v>1189</v>
      </c>
      <c r="I1323" t="s">
        <v>139</v>
      </c>
      <c r="J1323" t="s">
        <v>287</v>
      </c>
      <c r="K1323" s="27">
        <f t="shared" ref="K1323:AW1323" si="492">IFERROR(K1516-((K1516-K107)+(K1516-K260)+(K1516-K413)+(K1516-K565)+(K1516-K717)+(K1516-K868)+(K1516-K1019)+(K1516-K1170)),0)</f>
        <v>0.20714502561891829</v>
      </c>
      <c r="L1323" s="27">
        <f t="shared" si="492"/>
        <v>0.20732835560623092</v>
      </c>
      <c r="M1323" s="27">
        <f t="shared" si="492"/>
        <v>0.20853137086969875</v>
      </c>
      <c r="N1323" s="27">
        <f t="shared" si="492"/>
        <v>0.20795637847695567</v>
      </c>
      <c r="O1323" s="27">
        <f t="shared" si="492"/>
        <v>0.20628301821112832</v>
      </c>
      <c r="P1323" s="27">
        <f t="shared" si="492"/>
        <v>0.20354939622414608</v>
      </c>
      <c r="Q1323" s="27">
        <f t="shared" si="492"/>
        <v>0.20178646732442315</v>
      </c>
      <c r="R1323" s="27">
        <f t="shared" si="492"/>
        <v>0.20021853233884618</v>
      </c>
      <c r="S1323" s="27">
        <f t="shared" si="492"/>
        <v>0.18115905834206086</v>
      </c>
      <c r="T1323" s="27">
        <f t="shared" si="492"/>
        <v>0.1846349212925194</v>
      </c>
      <c r="U1323" s="27">
        <f t="shared" si="492"/>
        <v>0.19035972114498487</v>
      </c>
      <c r="V1323" s="27">
        <f t="shared" si="492"/>
        <v>0.19234595211979802</v>
      </c>
      <c r="W1323" s="27">
        <f t="shared" si="492"/>
        <v>0.1947869037963407</v>
      </c>
      <c r="X1323" s="27">
        <f t="shared" si="492"/>
        <v>0.19781474022011031</v>
      </c>
      <c r="Y1323" s="27">
        <f t="shared" si="492"/>
        <v>0.20116819609409653</v>
      </c>
      <c r="Z1323" s="27">
        <f t="shared" si="492"/>
        <v>0.20496046383831973</v>
      </c>
      <c r="AA1323" s="27">
        <f t="shared" si="492"/>
        <v>0.20882071574020974</v>
      </c>
      <c r="AB1323" s="27">
        <f t="shared" si="492"/>
        <v>0.21307428294309891</v>
      </c>
      <c r="AC1323" s="27">
        <f t="shared" si="492"/>
        <v>0.21736053459223065</v>
      </c>
      <c r="AD1323" s="27">
        <f t="shared" si="492"/>
        <v>0.2215192443695771</v>
      </c>
      <c r="AE1323" s="27">
        <f t="shared" si="492"/>
        <v>0.22544086992768131</v>
      </c>
      <c r="AF1323" s="27">
        <f t="shared" si="492"/>
        <v>0.22957827469779338</v>
      </c>
      <c r="AG1323" s="27">
        <f t="shared" si="492"/>
        <v>0.23445091883133051</v>
      </c>
      <c r="AH1323" s="27">
        <f t="shared" si="492"/>
        <v>0.23879435769126237</v>
      </c>
      <c r="AI1323" s="27">
        <f t="shared" si="492"/>
        <v>0.24339072846239099</v>
      </c>
      <c r="AJ1323" s="27">
        <f t="shared" si="492"/>
        <v>0.24833324867482812</v>
      </c>
      <c r="AK1323" s="27">
        <f t="shared" si="492"/>
        <v>0.25264130165359039</v>
      </c>
      <c r="AL1323" s="27">
        <f t="shared" si="492"/>
        <v>0.256768890240201</v>
      </c>
      <c r="AM1323" s="27">
        <f t="shared" si="492"/>
        <v>0.26074018891542444</v>
      </c>
      <c r="AN1323" s="27">
        <f t="shared" si="492"/>
        <v>0.26566009353394121</v>
      </c>
      <c r="AO1323" s="27">
        <f t="shared" si="492"/>
        <v>0.2701733904471233</v>
      </c>
      <c r="AP1323" s="27">
        <f t="shared" si="492"/>
        <v>0.27483864221629506</v>
      </c>
      <c r="AQ1323" s="27">
        <f t="shared" si="492"/>
        <v>0.27968329128815766</v>
      </c>
      <c r="AR1323" s="27">
        <f t="shared" si="492"/>
        <v>0.28475289053064146</v>
      </c>
      <c r="AS1323" s="27">
        <f t="shared" si="492"/>
        <v>0.29002169676555595</v>
      </c>
      <c r="AT1323" s="27">
        <f t="shared" si="492"/>
        <v>0.28940847350186372</v>
      </c>
      <c r="AU1323" s="27">
        <f t="shared" si="492"/>
        <v>0.2882670035949374</v>
      </c>
      <c r="AV1323" s="27">
        <f t="shared" si="492"/>
        <v>0.28637986672533733</v>
      </c>
      <c r="AW1323" s="27">
        <f t="shared" si="492"/>
        <v>0.28429803027464012</v>
      </c>
      <c r="AY1323" s="79"/>
      <c r="AZ1323" s="79"/>
    </row>
    <row r="1324" spans="1:52" x14ac:dyDescent="0.3">
      <c r="A1324" s="95" t="str">
        <f t="shared" si="384"/>
        <v>FSFAGSPQNIBDDSCM Leaching</v>
      </c>
      <c r="B1324" s="95" t="s">
        <v>1375</v>
      </c>
      <c r="C1324" s="95" t="s">
        <v>1190</v>
      </c>
      <c r="D1324" t="str">
        <f t="shared" ref="D1324:F1324" si="493">D1323</f>
        <v>3C Aggregated and non-CO2 emissions on land</v>
      </c>
      <c r="E1324" t="str">
        <f t="shared" si="493"/>
        <v>3C5 Indirect N2O from managed soils (N2O)</v>
      </c>
      <c r="F1324" t="str">
        <f t="shared" si="493"/>
        <v>Leaching/runoff</v>
      </c>
      <c r="G1324" t="str">
        <f t="shared" ref="G1324" si="494">G1320</f>
        <v xml:space="preserve"> - Urine &amp; dung</v>
      </c>
      <c r="H1324" t="str">
        <f t="shared" ref="H1324:H1325" si="495">F1324&amp;G1324</f>
        <v>Leaching/runoff - Urine &amp; dung</v>
      </c>
      <c r="I1324" t="str">
        <f t="shared" ref="I1324:J1324" si="496">I1323</f>
        <v>N2O</v>
      </c>
      <c r="J1324" t="str">
        <f t="shared" si="496"/>
        <v>Gg N2O</v>
      </c>
      <c r="K1324" s="27">
        <f t="shared" ref="K1324:AW1324" si="497">IFERROR(K1517-((K1517-K108)+(K1517-K261)+(K1517-K414)+(K1517-K566)+(K1517-K718)+(K1517-K869)+(K1517-K1020)+(K1517-K1171)),0)</f>
        <v>0</v>
      </c>
      <c r="L1324" s="27">
        <f t="shared" si="497"/>
        <v>0</v>
      </c>
      <c r="M1324" s="27">
        <f t="shared" si="497"/>
        <v>0</v>
      </c>
      <c r="N1324" s="27">
        <f t="shared" si="497"/>
        <v>0</v>
      </c>
      <c r="O1324" s="27">
        <f t="shared" si="497"/>
        <v>0</v>
      </c>
      <c r="P1324" s="27">
        <f t="shared" si="497"/>
        <v>0</v>
      </c>
      <c r="Q1324" s="27">
        <f t="shared" si="497"/>
        <v>0</v>
      </c>
      <c r="R1324" s="27">
        <f t="shared" si="497"/>
        <v>0</v>
      </c>
      <c r="S1324" s="27">
        <f t="shared" si="497"/>
        <v>0</v>
      </c>
      <c r="T1324" s="27">
        <f t="shared" si="497"/>
        <v>0</v>
      </c>
      <c r="U1324" s="27">
        <f t="shared" si="497"/>
        <v>0</v>
      </c>
      <c r="V1324" s="27">
        <f t="shared" si="497"/>
        <v>0</v>
      </c>
      <c r="W1324" s="27">
        <f t="shared" si="497"/>
        <v>0</v>
      </c>
      <c r="X1324" s="27">
        <f t="shared" si="497"/>
        <v>0</v>
      </c>
      <c r="Y1324" s="27">
        <f t="shared" si="497"/>
        <v>0</v>
      </c>
      <c r="Z1324" s="27">
        <f t="shared" si="497"/>
        <v>0</v>
      </c>
      <c r="AA1324" s="27">
        <f t="shared" si="497"/>
        <v>0</v>
      </c>
      <c r="AB1324" s="27">
        <f t="shared" si="497"/>
        <v>0</v>
      </c>
      <c r="AC1324" s="27">
        <f t="shared" si="497"/>
        <v>0</v>
      </c>
      <c r="AD1324" s="27">
        <f t="shared" si="497"/>
        <v>0</v>
      </c>
      <c r="AE1324" s="27">
        <f t="shared" si="497"/>
        <v>0</v>
      </c>
      <c r="AF1324" s="27">
        <f t="shared" si="497"/>
        <v>0</v>
      </c>
      <c r="AG1324" s="27">
        <f t="shared" si="497"/>
        <v>0</v>
      </c>
      <c r="AH1324" s="27">
        <f t="shared" si="497"/>
        <v>0</v>
      </c>
      <c r="AI1324" s="27">
        <f t="shared" si="497"/>
        <v>0</v>
      </c>
      <c r="AJ1324" s="27">
        <f t="shared" si="497"/>
        <v>0</v>
      </c>
      <c r="AK1324" s="27">
        <f t="shared" si="497"/>
        <v>0</v>
      </c>
      <c r="AL1324" s="27">
        <f t="shared" si="497"/>
        <v>0</v>
      </c>
      <c r="AM1324" s="27">
        <f t="shared" si="497"/>
        <v>0</v>
      </c>
      <c r="AN1324" s="27">
        <f t="shared" si="497"/>
        <v>0</v>
      </c>
      <c r="AO1324" s="27">
        <f t="shared" si="497"/>
        <v>0</v>
      </c>
      <c r="AP1324" s="27">
        <f t="shared" si="497"/>
        <v>0</v>
      </c>
      <c r="AQ1324" s="27">
        <f t="shared" si="497"/>
        <v>0</v>
      </c>
      <c r="AR1324" s="27">
        <f t="shared" si="497"/>
        <v>0</v>
      </c>
      <c r="AS1324" s="27">
        <f t="shared" si="497"/>
        <v>0</v>
      </c>
      <c r="AT1324" s="27">
        <f t="shared" si="497"/>
        <v>0</v>
      </c>
      <c r="AU1324" s="27">
        <f t="shared" si="497"/>
        <v>0</v>
      </c>
      <c r="AV1324" s="27">
        <f t="shared" si="497"/>
        <v>0</v>
      </c>
      <c r="AW1324" s="27">
        <f t="shared" si="497"/>
        <v>0</v>
      </c>
      <c r="AY1324" s="79"/>
      <c r="AZ1324" s="79"/>
    </row>
    <row r="1325" spans="1:52" x14ac:dyDescent="0.3">
      <c r="A1325" s="95" t="str">
        <f t="shared" si="384"/>
        <v>FSFAGSPQNIBDDSCM Leaching</v>
      </c>
      <c r="B1325" s="95" t="s">
        <v>1375</v>
      </c>
      <c r="C1325" s="95" t="s">
        <v>1190</v>
      </c>
      <c r="D1325" t="str">
        <f t="shared" ref="D1325:F1325" si="498">D1324</f>
        <v>3C Aggregated and non-CO2 emissions on land</v>
      </c>
      <c r="E1325" t="str">
        <f t="shared" si="498"/>
        <v>3C5 Indirect N2O from managed soils (N2O)</v>
      </c>
      <c r="F1325" t="str">
        <f t="shared" si="498"/>
        <v>Leaching/runoff</v>
      </c>
      <c r="G1325" t="s">
        <v>439</v>
      </c>
      <c r="H1325" t="str">
        <f t="shared" si="495"/>
        <v>Leaching/runoff - crop residues</v>
      </c>
      <c r="I1325" t="str">
        <f t="shared" ref="I1325:J1325" si="499">I1324</f>
        <v>N2O</v>
      </c>
      <c r="J1325" t="str">
        <f t="shared" si="499"/>
        <v>Gg N2O</v>
      </c>
      <c r="K1325" s="27">
        <f t="shared" ref="K1325:AW1325" si="500">IFERROR(K1518-((K1518-K109)+(K1518-K262)+(K1518-K415)+(K1518-K567)+(K1518-K719)+(K1518-K870)+(K1518-K1021)+(K1518-K1172)),0)</f>
        <v>0.10175116378121943</v>
      </c>
      <c r="L1325" s="27">
        <f t="shared" si="500"/>
        <v>0.10192037938520998</v>
      </c>
      <c r="M1325" s="27">
        <f t="shared" si="500"/>
        <v>0.102230624521803</v>
      </c>
      <c r="N1325" s="27">
        <f t="shared" si="500"/>
        <v>0.10260144459215571</v>
      </c>
      <c r="O1325" s="27">
        <f t="shared" si="500"/>
        <v>0.10285194917721978</v>
      </c>
      <c r="P1325" s="27">
        <f t="shared" si="500"/>
        <v>0.10302433973360284</v>
      </c>
      <c r="Q1325" s="27">
        <f t="shared" si="500"/>
        <v>0.10311874031263807</v>
      </c>
      <c r="R1325" s="27">
        <f t="shared" si="500"/>
        <v>0.10327146311968674</v>
      </c>
      <c r="S1325" s="27">
        <f t="shared" si="500"/>
        <v>0.10343188706296993</v>
      </c>
      <c r="T1325" s="27">
        <f t="shared" si="500"/>
        <v>0.10231676998015095</v>
      </c>
      <c r="U1325" s="27">
        <f t="shared" si="500"/>
        <v>0.10275895162111336</v>
      </c>
      <c r="V1325" s="27">
        <f t="shared" si="500"/>
        <v>0.10336245461523248</v>
      </c>
      <c r="W1325" s="27">
        <f t="shared" si="500"/>
        <v>0.10368675774662221</v>
      </c>
      <c r="X1325" s="27">
        <f t="shared" si="500"/>
        <v>0.10404145269776151</v>
      </c>
      <c r="Y1325" s="27">
        <f t="shared" si="500"/>
        <v>0.10443580363521765</v>
      </c>
      <c r="Z1325" s="27">
        <f t="shared" si="500"/>
        <v>0.1048497598931184</v>
      </c>
      <c r="AA1325" s="27">
        <f t="shared" si="500"/>
        <v>0.10529155067821512</v>
      </c>
      <c r="AB1325" s="27">
        <f t="shared" si="500"/>
        <v>0.10573429480734184</v>
      </c>
      <c r="AC1325" s="27">
        <f t="shared" si="500"/>
        <v>0.10620059916305352</v>
      </c>
      <c r="AD1325" s="27">
        <f t="shared" si="500"/>
        <v>0.10666482354141628</v>
      </c>
      <c r="AE1325" s="27">
        <f t="shared" si="500"/>
        <v>0.10716812014937527</v>
      </c>
      <c r="AF1325" s="27">
        <f t="shared" si="500"/>
        <v>0.10765286539934465</v>
      </c>
      <c r="AG1325" s="27">
        <f t="shared" si="500"/>
        <v>0.10814988041430322</v>
      </c>
      <c r="AH1325" s="27">
        <f t="shared" si="500"/>
        <v>0.1086932343641567</v>
      </c>
      <c r="AI1325" s="27">
        <f t="shared" si="500"/>
        <v>0.1091985095670623</v>
      </c>
      <c r="AJ1325" s="27">
        <f t="shared" si="500"/>
        <v>0.10971732596273812</v>
      </c>
      <c r="AK1325" s="27">
        <f t="shared" si="500"/>
        <v>0.11025547753556091</v>
      </c>
      <c r="AL1325" s="27">
        <f t="shared" si="500"/>
        <v>0.11075007079547201</v>
      </c>
      <c r="AM1325" s="27">
        <f t="shared" si="500"/>
        <v>0.11123091596993474</v>
      </c>
      <c r="AN1325" s="27">
        <f t="shared" si="500"/>
        <v>0.11169987222752331</v>
      </c>
      <c r="AO1325" s="27">
        <f t="shared" si="500"/>
        <v>0.11219468980678651</v>
      </c>
      <c r="AP1325" s="27">
        <f t="shared" si="500"/>
        <v>0.11266090782059876</v>
      </c>
      <c r="AQ1325" s="27">
        <f t="shared" si="500"/>
        <v>0.11313307913415467</v>
      </c>
      <c r="AR1325" s="27">
        <f t="shared" si="500"/>
        <v>0.11361258764100189</v>
      </c>
      <c r="AS1325" s="27">
        <f t="shared" si="500"/>
        <v>0.11410180170622075</v>
      </c>
      <c r="AT1325" s="27">
        <f t="shared" si="500"/>
        <v>0.1145986803192975</v>
      </c>
      <c r="AU1325" s="27">
        <f t="shared" si="500"/>
        <v>0.11475135344682705</v>
      </c>
      <c r="AV1325" s="27">
        <f t="shared" si="500"/>
        <v>0.11487194074959778</v>
      </c>
      <c r="AW1325" s="27">
        <f t="shared" si="500"/>
        <v>0.11494706662841653</v>
      </c>
      <c r="AY1325" s="79"/>
      <c r="AZ1325" s="79"/>
    </row>
    <row r="1326" spans="1:52" x14ac:dyDescent="0.3">
      <c r="A1326" s="95" t="str">
        <f t="shared" si="384"/>
        <v>FSFAGSPQNIBDDSCM Leaching</v>
      </c>
      <c r="B1326" s="95" t="s">
        <v>1375</v>
      </c>
      <c r="C1326" s="95" t="s">
        <v>1190</v>
      </c>
      <c r="D1326" t="s">
        <v>369</v>
      </c>
      <c r="E1326" t="s">
        <v>61</v>
      </c>
      <c r="F1326" t="s">
        <v>63</v>
      </c>
      <c r="G1326" t="s">
        <v>1193</v>
      </c>
      <c r="H1326" t="s">
        <v>1194</v>
      </c>
      <c r="I1326" t="s">
        <v>139</v>
      </c>
      <c r="J1326" t="s">
        <v>287</v>
      </c>
      <c r="K1326" s="27">
        <f t="shared" ref="K1326:AW1326" si="501">IFERROR(K1519-((K1519-K110)+(K1519-K263)+(K1519-K416)+(K1519-K568)+(K1519-K720)+(K1519-K871)+(K1519-K1022)+(K1519-K1173)),0)</f>
        <v>0</v>
      </c>
      <c r="L1326" s="27">
        <f t="shared" si="501"/>
        <v>0</v>
      </c>
      <c r="M1326" s="27">
        <f t="shared" si="501"/>
        <v>0</v>
      </c>
      <c r="N1326" s="27">
        <f t="shared" si="501"/>
        <v>0</v>
      </c>
      <c r="O1326" s="27">
        <f t="shared" si="501"/>
        <v>0</v>
      </c>
      <c r="P1326" s="27">
        <f t="shared" si="501"/>
        <v>0</v>
      </c>
      <c r="Q1326" s="27">
        <f t="shared" si="501"/>
        <v>0</v>
      </c>
      <c r="R1326" s="27">
        <f t="shared" si="501"/>
        <v>0</v>
      </c>
      <c r="S1326" s="27">
        <f t="shared" si="501"/>
        <v>0</v>
      </c>
      <c r="T1326" s="27">
        <f t="shared" si="501"/>
        <v>0</v>
      </c>
      <c r="U1326" s="27">
        <f t="shared" si="501"/>
        <v>0</v>
      </c>
      <c r="V1326" s="27">
        <f t="shared" si="501"/>
        <v>0</v>
      </c>
      <c r="W1326" s="27">
        <f t="shared" si="501"/>
        <v>0</v>
      </c>
      <c r="X1326" s="27">
        <f t="shared" si="501"/>
        <v>0</v>
      </c>
      <c r="Y1326" s="27">
        <f t="shared" si="501"/>
        <v>0</v>
      </c>
      <c r="Z1326" s="27">
        <f t="shared" si="501"/>
        <v>0</v>
      </c>
      <c r="AA1326" s="27">
        <f t="shared" si="501"/>
        <v>0</v>
      </c>
      <c r="AB1326" s="27">
        <f t="shared" si="501"/>
        <v>0</v>
      </c>
      <c r="AC1326" s="27">
        <f t="shared" si="501"/>
        <v>0</v>
      </c>
      <c r="AD1326" s="27">
        <f t="shared" si="501"/>
        <v>0</v>
      </c>
      <c r="AE1326" s="27">
        <f t="shared" si="501"/>
        <v>0</v>
      </c>
      <c r="AF1326" s="27">
        <f t="shared" si="501"/>
        <v>0</v>
      </c>
      <c r="AG1326" s="27">
        <f t="shared" si="501"/>
        <v>0</v>
      </c>
      <c r="AH1326" s="27">
        <f t="shared" si="501"/>
        <v>0</v>
      </c>
      <c r="AI1326" s="27">
        <f t="shared" si="501"/>
        <v>0</v>
      </c>
      <c r="AJ1326" s="27">
        <f t="shared" si="501"/>
        <v>0</v>
      </c>
      <c r="AK1326" s="27">
        <f t="shared" si="501"/>
        <v>0</v>
      </c>
      <c r="AL1326" s="27">
        <f t="shared" si="501"/>
        <v>0</v>
      </c>
      <c r="AM1326" s="27">
        <f t="shared" si="501"/>
        <v>0</v>
      </c>
      <c r="AN1326" s="27">
        <f t="shared" si="501"/>
        <v>0</v>
      </c>
      <c r="AO1326" s="27">
        <f t="shared" si="501"/>
        <v>0</v>
      </c>
      <c r="AP1326" s="27">
        <f t="shared" si="501"/>
        <v>0</v>
      </c>
      <c r="AQ1326" s="27">
        <f t="shared" si="501"/>
        <v>0</v>
      </c>
      <c r="AR1326" s="27">
        <f t="shared" si="501"/>
        <v>0</v>
      </c>
      <c r="AS1326" s="27">
        <f t="shared" si="501"/>
        <v>0</v>
      </c>
      <c r="AT1326" s="27">
        <f t="shared" si="501"/>
        <v>0</v>
      </c>
      <c r="AU1326" s="27">
        <f t="shared" si="501"/>
        <v>0</v>
      </c>
      <c r="AV1326" s="27">
        <f t="shared" si="501"/>
        <v>0</v>
      </c>
      <c r="AW1326" s="27">
        <f t="shared" si="501"/>
        <v>0</v>
      </c>
      <c r="AY1326" s="79"/>
      <c r="AZ1326" s="79"/>
    </row>
    <row r="1327" spans="1:52" x14ac:dyDescent="0.3">
      <c r="A1327" s="95" t="str">
        <f t="shared" si="384"/>
        <v>FSFAGSPQNIBDDSCM Leaching</v>
      </c>
      <c r="B1327" s="95" t="s">
        <v>1375</v>
      </c>
      <c r="C1327" s="95" t="s">
        <v>1190</v>
      </c>
      <c r="D1327" t="s">
        <v>369</v>
      </c>
      <c r="E1327" t="s">
        <v>61</v>
      </c>
      <c r="F1327" t="s">
        <v>63</v>
      </c>
      <c r="G1327" t="s">
        <v>1195</v>
      </c>
      <c r="H1327" t="s">
        <v>1196</v>
      </c>
      <c r="I1327" t="s">
        <v>139</v>
      </c>
      <c r="J1327" t="s">
        <v>287</v>
      </c>
      <c r="K1327" s="27">
        <f t="shared" ref="K1327:AW1327" si="502">IFERROR(K1520-((K1520-K111)+(K1520-K264)+(K1520-K417)+(K1520-K569)+(K1520-K721)+(K1520-K872)+(K1520-K1023)+(K1520-K1174)),0)</f>
        <v>0</v>
      </c>
      <c r="L1327" s="27">
        <f t="shared" si="502"/>
        <v>0</v>
      </c>
      <c r="M1327" s="27">
        <f t="shared" si="502"/>
        <v>0</v>
      </c>
      <c r="N1327" s="27">
        <f t="shared" si="502"/>
        <v>0</v>
      </c>
      <c r="O1327" s="27">
        <f t="shared" si="502"/>
        <v>0</v>
      </c>
      <c r="P1327" s="27">
        <f t="shared" si="502"/>
        <v>0</v>
      </c>
      <c r="Q1327" s="27">
        <f t="shared" si="502"/>
        <v>0</v>
      </c>
      <c r="R1327" s="27">
        <f t="shared" si="502"/>
        <v>0</v>
      </c>
      <c r="S1327" s="27">
        <f t="shared" si="502"/>
        <v>0</v>
      </c>
      <c r="T1327" s="27">
        <f t="shared" si="502"/>
        <v>0</v>
      </c>
      <c r="U1327" s="27">
        <f t="shared" si="502"/>
        <v>0</v>
      </c>
      <c r="V1327" s="27">
        <f t="shared" si="502"/>
        <v>0</v>
      </c>
      <c r="W1327" s="27">
        <f t="shared" si="502"/>
        <v>0</v>
      </c>
      <c r="X1327" s="27">
        <f t="shared" si="502"/>
        <v>0</v>
      </c>
      <c r="Y1327" s="27">
        <f t="shared" si="502"/>
        <v>0</v>
      </c>
      <c r="Z1327" s="27">
        <f t="shared" si="502"/>
        <v>0</v>
      </c>
      <c r="AA1327" s="27">
        <f t="shared" si="502"/>
        <v>0</v>
      </c>
      <c r="AB1327" s="27">
        <f t="shared" si="502"/>
        <v>0</v>
      </c>
      <c r="AC1327" s="27">
        <f t="shared" si="502"/>
        <v>0</v>
      </c>
      <c r="AD1327" s="27">
        <f t="shared" si="502"/>
        <v>0</v>
      </c>
      <c r="AE1327" s="27">
        <f t="shared" si="502"/>
        <v>0</v>
      </c>
      <c r="AF1327" s="27">
        <f t="shared" si="502"/>
        <v>0</v>
      </c>
      <c r="AG1327" s="27">
        <f t="shared" si="502"/>
        <v>0</v>
      </c>
      <c r="AH1327" s="27">
        <f t="shared" si="502"/>
        <v>0</v>
      </c>
      <c r="AI1327" s="27">
        <f t="shared" si="502"/>
        <v>0</v>
      </c>
      <c r="AJ1327" s="27">
        <f t="shared" si="502"/>
        <v>0</v>
      </c>
      <c r="AK1327" s="27">
        <f t="shared" si="502"/>
        <v>0</v>
      </c>
      <c r="AL1327" s="27">
        <f t="shared" si="502"/>
        <v>0</v>
      </c>
      <c r="AM1327" s="27">
        <f t="shared" si="502"/>
        <v>0</v>
      </c>
      <c r="AN1327" s="27">
        <f t="shared" si="502"/>
        <v>0</v>
      </c>
      <c r="AO1327" s="27">
        <f t="shared" si="502"/>
        <v>0</v>
      </c>
      <c r="AP1327" s="27">
        <f t="shared" si="502"/>
        <v>0</v>
      </c>
      <c r="AQ1327" s="27">
        <f t="shared" si="502"/>
        <v>0</v>
      </c>
      <c r="AR1327" s="27">
        <f t="shared" si="502"/>
        <v>0</v>
      </c>
      <c r="AS1327" s="27">
        <f t="shared" si="502"/>
        <v>0</v>
      </c>
      <c r="AT1327" s="27">
        <f t="shared" si="502"/>
        <v>0</v>
      </c>
      <c r="AU1327" s="27">
        <f t="shared" si="502"/>
        <v>0</v>
      </c>
      <c r="AV1327" s="27">
        <f t="shared" si="502"/>
        <v>0</v>
      </c>
      <c r="AW1327" s="27">
        <f t="shared" si="502"/>
        <v>0</v>
      </c>
      <c r="AY1327" s="79"/>
      <c r="AZ1327" s="79"/>
    </row>
    <row r="1328" spans="1:52" x14ac:dyDescent="0.3">
      <c r="A1328" s="95" t="str">
        <f t="shared" si="384"/>
        <v>FSFAGSPQNIBDDSCM Leaching</v>
      </c>
      <c r="B1328" s="95" t="s">
        <v>1375</v>
      </c>
      <c r="C1328" s="95" t="s">
        <v>1190</v>
      </c>
      <c r="D1328" t="s">
        <v>369</v>
      </c>
      <c r="E1328" t="s">
        <v>61</v>
      </c>
      <c r="F1328" t="s">
        <v>63</v>
      </c>
      <c r="G1328" t="s">
        <v>1197</v>
      </c>
      <c r="H1328" t="s">
        <v>1198</v>
      </c>
      <c r="I1328" t="s">
        <v>139</v>
      </c>
      <c r="J1328" t="s">
        <v>287</v>
      </c>
      <c r="K1328" s="27">
        <f t="shared" ref="K1328:AW1328" si="503">IFERROR(K1521-((K1521-K112)+(K1521-K265)+(K1521-K418)+(K1521-K570)+(K1521-K722)+(K1521-K873)+(K1521-K1024)+(K1521-K1175)),0)</f>
        <v>1.1867590793806392E-4</v>
      </c>
      <c r="L1328" s="27">
        <f t="shared" si="503"/>
        <v>1.1853617037070301E-4</v>
      </c>
      <c r="M1328" s="27">
        <f t="shared" si="503"/>
        <v>1.1839643280334203E-4</v>
      </c>
      <c r="N1328" s="27">
        <f t="shared" si="503"/>
        <v>1.1825669523598106E-4</v>
      </c>
      <c r="O1328" s="27">
        <f t="shared" si="503"/>
        <v>1.1811695766862012E-4</v>
      </c>
      <c r="P1328" s="27">
        <f t="shared" si="503"/>
        <v>1.1797722010125916E-4</v>
      </c>
      <c r="Q1328" s="27">
        <f t="shared" si="503"/>
        <v>1.178374825338982E-4</v>
      </c>
      <c r="R1328" s="27">
        <f t="shared" si="503"/>
        <v>1.1769774496653728E-4</v>
      </c>
      <c r="S1328" s="27">
        <f t="shared" si="503"/>
        <v>1.1755800739917633E-4</v>
      </c>
      <c r="T1328" s="27">
        <f t="shared" si="503"/>
        <v>1.174182698318154E-4</v>
      </c>
      <c r="U1328" s="27">
        <f t="shared" si="503"/>
        <v>1.1727853226445441E-4</v>
      </c>
      <c r="V1328" s="27">
        <f t="shared" si="503"/>
        <v>1.1713879469709348E-4</v>
      </c>
      <c r="W1328" s="27">
        <f t="shared" si="503"/>
        <v>1.1699905712973254E-4</v>
      </c>
      <c r="X1328" s="27">
        <f t="shared" si="503"/>
        <v>1.168593195623716E-4</v>
      </c>
      <c r="Y1328" s="27">
        <f t="shared" si="503"/>
        <v>1.1671958199501069E-4</v>
      </c>
      <c r="Z1328" s="27">
        <f t="shared" si="503"/>
        <v>1.1657984442764968E-4</v>
      </c>
      <c r="AA1328" s="27">
        <f t="shared" si="503"/>
        <v>1.1644010686028878E-4</v>
      </c>
      <c r="AB1328" s="27">
        <f t="shared" si="503"/>
        <v>1.1630036929292779E-4</v>
      </c>
      <c r="AC1328" s="27">
        <f t="shared" si="503"/>
        <v>1.1616063172556689E-4</v>
      </c>
      <c r="AD1328" s="27">
        <f t="shared" si="503"/>
        <v>1.1602089415820588E-4</v>
      </c>
      <c r="AE1328" s="27">
        <f t="shared" si="503"/>
        <v>1.1588115659084502E-4</v>
      </c>
      <c r="AF1328" s="27">
        <f t="shared" si="503"/>
        <v>1.1574141902348403E-4</v>
      </c>
      <c r="AG1328" s="27">
        <f t="shared" si="503"/>
        <v>1.1560168145612309E-4</v>
      </c>
      <c r="AH1328" s="27">
        <f t="shared" si="503"/>
        <v>1.154619438887621E-4</v>
      </c>
      <c r="AI1328" s="27">
        <f t="shared" si="503"/>
        <v>1.1532220632140118E-4</v>
      </c>
      <c r="AJ1328" s="27">
        <f t="shared" si="503"/>
        <v>1.1518246875404022E-4</v>
      </c>
      <c r="AK1328" s="27">
        <f t="shared" si="503"/>
        <v>1.1504273118667928E-4</v>
      </c>
      <c r="AL1328" s="27">
        <f t="shared" si="503"/>
        <v>1.1490299361931835E-4</v>
      </c>
      <c r="AM1328" s="27">
        <f t="shared" si="503"/>
        <v>1.1476325605195744E-4</v>
      </c>
      <c r="AN1328" s="27">
        <f t="shared" si="503"/>
        <v>1.1462351848459642E-4</v>
      </c>
      <c r="AO1328" s="27">
        <f t="shared" si="503"/>
        <v>1.1448378091723552E-4</v>
      </c>
      <c r="AP1328" s="27">
        <f t="shared" si="503"/>
        <v>1.1434404334987458E-4</v>
      </c>
      <c r="AQ1328" s="27">
        <f t="shared" si="503"/>
        <v>1.1420430578251366E-4</v>
      </c>
      <c r="AR1328" s="27">
        <f t="shared" si="503"/>
        <v>1.1406456821515268E-4</v>
      </c>
      <c r="AS1328" s="27">
        <f t="shared" si="503"/>
        <v>1.1392483064779174E-4</v>
      </c>
      <c r="AT1328" s="27">
        <f t="shared" si="503"/>
        <v>1.1378509308043078E-4</v>
      </c>
      <c r="AU1328" s="27">
        <f t="shared" si="503"/>
        <v>1.136453555130698E-4</v>
      </c>
      <c r="AV1328" s="27">
        <f t="shared" si="503"/>
        <v>1.1350561794570888E-4</v>
      </c>
      <c r="AW1328" s="27">
        <f t="shared" si="503"/>
        <v>1.1336588037834792E-4</v>
      </c>
      <c r="AY1328" s="79"/>
      <c r="AZ1328" s="79"/>
    </row>
    <row r="1329" spans="1:52" x14ac:dyDescent="0.3">
      <c r="A1329" s="95" t="str">
        <f t="shared" si="384"/>
        <v>FSFAGSPQNIBDDSCM Leaching</v>
      </c>
      <c r="B1329" s="95" t="s">
        <v>1375</v>
      </c>
      <c r="C1329" s="95" t="s">
        <v>1190</v>
      </c>
      <c r="D1329" t="s">
        <v>369</v>
      </c>
      <c r="E1329" t="s">
        <v>61</v>
      </c>
      <c r="F1329" t="s">
        <v>63</v>
      </c>
      <c r="G1329" t="s">
        <v>1199</v>
      </c>
      <c r="H1329" t="s">
        <v>1200</v>
      </c>
      <c r="I1329" t="s">
        <v>139</v>
      </c>
      <c r="J1329" t="s">
        <v>287</v>
      </c>
      <c r="K1329" s="27">
        <f t="shared" ref="K1329:AW1329" si="504">IFERROR(K1522-((K1522-K113)+(K1522-K266)+(K1522-K419)+(K1522-K571)+(K1522-K723)+(K1522-K874)+(K1522-K1025)+(K1522-K1176)),0)</f>
        <v>1.6912231388729011E-2</v>
      </c>
      <c r="L1329" s="27">
        <f t="shared" si="504"/>
        <v>1.6951420148247919E-2</v>
      </c>
      <c r="M1329" s="27">
        <f t="shared" si="504"/>
        <v>1.6990608907766828E-2</v>
      </c>
      <c r="N1329" s="27">
        <f t="shared" si="504"/>
        <v>1.702979766728574E-2</v>
      </c>
      <c r="O1329" s="27">
        <f t="shared" si="504"/>
        <v>1.7068986426804648E-2</v>
      </c>
      <c r="P1329" s="27">
        <f t="shared" si="504"/>
        <v>1.7108175186323554E-2</v>
      </c>
      <c r="Q1329" s="27">
        <f t="shared" si="504"/>
        <v>1.7147363945842466E-2</v>
      </c>
      <c r="R1329" s="27">
        <f t="shared" si="504"/>
        <v>1.7186552705361371E-2</v>
      </c>
      <c r="S1329" s="27">
        <f t="shared" si="504"/>
        <v>1.7225741464880276E-2</v>
      </c>
      <c r="T1329" s="27">
        <f t="shared" si="504"/>
        <v>1.7264930224399191E-2</v>
      </c>
      <c r="U1329" s="27">
        <f t="shared" si="504"/>
        <v>1.7304118983918097E-2</v>
      </c>
      <c r="V1329" s="27">
        <f t="shared" si="504"/>
        <v>1.7343307743437009E-2</v>
      </c>
      <c r="W1329" s="27">
        <f t="shared" si="504"/>
        <v>1.7382496502955917E-2</v>
      </c>
      <c r="X1329" s="27">
        <f t="shared" si="504"/>
        <v>1.7421685262474829E-2</v>
      </c>
      <c r="Y1329" s="27">
        <f t="shared" si="504"/>
        <v>1.7460874021993734E-2</v>
      </c>
      <c r="Z1329" s="27">
        <f t="shared" si="504"/>
        <v>1.750006278151265E-2</v>
      </c>
      <c r="AA1329" s="27">
        <f t="shared" si="504"/>
        <v>1.7539251541031548E-2</v>
      </c>
      <c r="AB1329" s="27">
        <f t="shared" si="504"/>
        <v>1.7578440300550464E-2</v>
      </c>
      <c r="AC1329" s="27">
        <f t="shared" si="504"/>
        <v>1.7617629060069376E-2</v>
      </c>
      <c r="AD1329" s="27">
        <f t="shared" si="504"/>
        <v>1.7656817819588281E-2</v>
      </c>
      <c r="AE1329" s="27">
        <f t="shared" si="504"/>
        <v>1.769600657910719E-2</v>
      </c>
      <c r="AF1329" s="27">
        <f t="shared" si="504"/>
        <v>1.7735195338626102E-2</v>
      </c>
      <c r="AG1329" s="27">
        <f t="shared" si="504"/>
        <v>1.777438409814501E-2</v>
      </c>
      <c r="AH1329" s="27">
        <f t="shared" si="504"/>
        <v>1.7813572857663919E-2</v>
      </c>
      <c r="AI1329" s="27">
        <f t="shared" si="504"/>
        <v>1.7852761617182831E-2</v>
      </c>
      <c r="AJ1329" s="27">
        <f t="shared" si="504"/>
        <v>1.7891950376701736E-2</v>
      </c>
      <c r="AK1329" s="27">
        <f t="shared" si="504"/>
        <v>1.7931139136220645E-2</v>
      </c>
      <c r="AL1329" s="27">
        <f t="shared" si="504"/>
        <v>1.7970327895739557E-2</v>
      </c>
      <c r="AM1329" s="27">
        <f t="shared" si="504"/>
        <v>1.8009516655258465E-2</v>
      </c>
      <c r="AN1329" s="27">
        <f t="shared" si="504"/>
        <v>1.8048705414777374E-2</v>
      </c>
      <c r="AO1329" s="27">
        <f t="shared" si="504"/>
        <v>1.8087894174296286E-2</v>
      </c>
      <c r="AP1329" s="27">
        <f t="shared" si="504"/>
        <v>1.8127082933815188E-2</v>
      </c>
      <c r="AQ1329" s="27">
        <f t="shared" si="504"/>
        <v>1.8166271693334096E-2</v>
      </c>
      <c r="AR1329" s="27">
        <f t="shared" si="504"/>
        <v>1.8205460452853015E-2</v>
      </c>
      <c r="AS1329" s="27">
        <f t="shared" si="504"/>
        <v>1.8244649212371917E-2</v>
      </c>
      <c r="AT1329" s="27">
        <f t="shared" si="504"/>
        <v>1.8283837971890825E-2</v>
      </c>
      <c r="AU1329" s="27">
        <f t="shared" si="504"/>
        <v>1.8323026731409734E-2</v>
      </c>
      <c r="AV1329" s="27">
        <f t="shared" si="504"/>
        <v>1.8362215490928643E-2</v>
      </c>
      <c r="AW1329" s="27">
        <f t="shared" si="504"/>
        <v>1.8401404250447555E-2</v>
      </c>
      <c r="AY1329" s="79"/>
      <c r="AZ1329" s="79"/>
    </row>
    <row r="1330" spans="1:52" x14ac:dyDescent="0.3">
      <c r="A1330" s="95" t="str">
        <f t="shared" si="384"/>
        <v>FSFAGSPQNIBDDSCM Leaching</v>
      </c>
      <c r="B1330" s="95" t="s">
        <v>1375</v>
      </c>
      <c r="C1330" s="95" t="s">
        <v>1190</v>
      </c>
      <c r="D1330" t="s">
        <v>369</v>
      </c>
      <c r="E1330" t="s">
        <v>61</v>
      </c>
      <c r="F1330" t="s">
        <v>63</v>
      </c>
      <c r="G1330" t="s">
        <v>1201</v>
      </c>
      <c r="H1330" t="s">
        <v>1202</v>
      </c>
      <c r="I1330" t="s">
        <v>139</v>
      </c>
      <c r="J1330" t="s">
        <v>287</v>
      </c>
      <c r="K1330" s="27">
        <f t="shared" ref="K1330:AW1330" si="505">IFERROR(K1523-((K1523-K114)+(K1523-K267)+(K1523-K420)+(K1523-K572)+(K1523-K724)+(K1523-K875)+(K1523-K1026)+(K1523-K1177)),0)</f>
        <v>1.9871041213735664E-2</v>
      </c>
      <c r="L1330" s="27">
        <f t="shared" si="505"/>
        <v>1.9871041213735664E-2</v>
      </c>
      <c r="M1330" s="27">
        <f t="shared" si="505"/>
        <v>1.9871041213735664E-2</v>
      </c>
      <c r="N1330" s="27">
        <f t="shared" si="505"/>
        <v>1.9871041213735664E-2</v>
      </c>
      <c r="O1330" s="27">
        <f t="shared" si="505"/>
        <v>1.9871041213735664E-2</v>
      </c>
      <c r="P1330" s="27">
        <f t="shared" si="505"/>
        <v>1.9871041213735664E-2</v>
      </c>
      <c r="Q1330" s="27">
        <f t="shared" si="505"/>
        <v>1.9871041213735664E-2</v>
      </c>
      <c r="R1330" s="27">
        <f t="shared" si="505"/>
        <v>1.9871041213735664E-2</v>
      </c>
      <c r="S1330" s="27">
        <f t="shared" si="505"/>
        <v>1.9871041213735664E-2</v>
      </c>
      <c r="T1330" s="27">
        <f t="shared" si="505"/>
        <v>1.9871041213735664E-2</v>
      </c>
      <c r="U1330" s="27">
        <f t="shared" si="505"/>
        <v>1.9871041213735664E-2</v>
      </c>
      <c r="V1330" s="27">
        <f t="shared" si="505"/>
        <v>1.9871041213735664E-2</v>
      </c>
      <c r="W1330" s="27">
        <f t="shared" si="505"/>
        <v>1.9871041213735664E-2</v>
      </c>
      <c r="X1330" s="27">
        <f t="shared" si="505"/>
        <v>1.9871041213735664E-2</v>
      </c>
      <c r="Y1330" s="27">
        <f t="shared" si="505"/>
        <v>1.9871041213735664E-2</v>
      </c>
      <c r="Z1330" s="27">
        <f t="shared" si="505"/>
        <v>1.9871041213735664E-2</v>
      </c>
      <c r="AA1330" s="27">
        <f t="shared" si="505"/>
        <v>1.9871041213735664E-2</v>
      </c>
      <c r="AB1330" s="27">
        <f t="shared" si="505"/>
        <v>1.9871041213735664E-2</v>
      </c>
      <c r="AC1330" s="27">
        <f t="shared" si="505"/>
        <v>1.9871041213735664E-2</v>
      </c>
      <c r="AD1330" s="27">
        <f t="shared" si="505"/>
        <v>1.9871041213735664E-2</v>
      </c>
      <c r="AE1330" s="27">
        <f t="shared" si="505"/>
        <v>1.9871041213735664E-2</v>
      </c>
      <c r="AF1330" s="27">
        <f t="shared" si="505"/>
        <v>1.9871041213735664E-2</v>
      </c>
      <c r="AG1330" s="27">
        <f t="shared" si="505"/>
        <v>1.9871041213735664E-2</v>
      </c>
      <c r="AH1330" s="27">
        <f t="shared" si="505"/>
        <v>1.9871041213735664E-2</v>
      </c>
      <c r="AI1330" s="27">
        <f t="shared" si="505"/>
        <v>1.9871041213735664E-2</v>
      </c>
      <c r="AJ1330" s="27">
        <f t="shared" si="505"/>
        <v>1.9871041213735664E-2</v>
      </c>
      <c r="AK1330" s="27">
        <f t="shared" si="505"/>
        <v>1.9871041213735664E-2</v>
      </c>
      <c r="AL1330" s="27">
        <f t="shared" si="505"/>
        <v>1.9871041213735664E-2</v>
      </c>
      <c r="AM1330" s="27">
        <f t="shared" si="505"/>
        <v>1.9871041213735664E-2</v>
      </c>
      <c r="AN1330" s="27">
        <f t="shared" si="505"/>
        <v>1.9871041213735664E-2</v>
      </c>
      <c r="AO1330" s="27">
        <f t="shared" si="505"/>
        <v>1.9871041213735664E-2</v>
      </c>
      <c r="AP1330" s="27">
        <f t="shared" si="505"/>
        <v>1.9871041213735664E-2</v>
      </c>
      <c r="AQ1330" s="27">
        <f t="shared" si="505"/>
        <v>1.9871041213735664E-2</v>
      </c>
      <c r="AR1330" s="27">
        <f t="shared" si="505"/>
        <v>1.9871041213735664E-2</v>
      </c>
      <c r="AS1330" s="27">
        <f t="shared" si="505"/>
        <v>1.9871041213735664E-2</v>
      </c>
      <c r="AT1330" s="27">
        <f t="shared" si="505"/>
        <v>1.9871041213735664E-2</v>
      </c>
      <c r="AU1330" s="27">
        <f t="shared" si="505"/>
        <v>1.9871041213735664E-2</v>
      </c>
      <c r="AV1330" s="27">
        <f t="shared" si="505"/>
        <v>1.9871041213735664E-2</v>
      </c>
      <c r="AW1330" s="27">
        <f t="shared" si="505"/>
        <v>1.9871041213735664E-2</v>
      </c>
      <c r="AY1330" s="79"/>
      <c r="AZ1330" s="79"/>
    </row>
    <row r="1331" spans="1:52" x14ac:dyDescent="0.3">
      <c r="A1331" s="95" t="str">
        <f t="shared" si="384"/>
        <v>FSFAGSPQNIBDDSCM Leaching</v>
      </c>
      <c r="B1331" s="95" t="s">
        <v>1375</v>
      </c>
      <c r="C1331" s="95" t="s">
        <v>1190</v>
      </c>
      <c r="D1331" t="s">
        <v>369</v>
      </c>
      <c r="E1331" t="s">
        <v>61</v>
      </c>
      <c r="F1331" t="s">
        <v>63</v>
      </c>
      <c r="G1331" t="s">
        <v>1203</v>
      </c>
      <c r="H1331" t="s">
        <v>1204</v>
      </c>
      <c r="I1331" t="s">
        <v>139</v>
      </c>
      <c r="J1331" t="s">
        <v>287</v>
      </c>
      <c r="K1331" s="27">
        <f t="shared" ref="K1331:AW1331" si="506">IFERROR(K1524-((K1524-K115)+(K1524-K268)+(K1524-K421)+(K1524-K573)+(K1524-K725)+(K1524-K876)+(K1524-K1027)+(K1524-K1178)),0)</f>
        <v>0</v>
      </c>
      <c r="L1331" s="27">
        <f t="shared" si="506"/>
        <v>0</v>
      </c>
      <c r="M1331" s="27">
        <f t="shared" si="506"/>
        <v>0</v>
      </c>
      <c r="N1331" s="27">
        <f t="shared" si="506"/>
        <v>0</v>
      </c>
      <c r="O1331" s="27">
        <f t="shared" si="506"/>
        <v>0</v>
      </c>
      <c r="P1331" s="27">
        <f t="shared" si="506"/>
        <v>0</v>
      </c>
      <c r="Q1331" s="27">
        <f t="shared" si="506"/>
        <v>0</v>
      </c>
      <c r="R1331" s="27">
        <f t="shared" si="506"/>
        <v>0</v>
      </c>
      <c r="S1331" s="27">
        <f t="shared" si="506"/>
        <v>0</v>
      </c>
      <c r="T1331" s="27">
        <f t="shared" si="506"/>
        <v>0</v>
      </c>
      <c r="U1331" s="27">
        <f t="shared" si="506"/>
        <v>0</v>
      </c>
      <c r="V1331" s="27">
        <f t="shared" si="506"/>
        <v>0</v>
      </c>
      <c r="W1331" s="27">
        <f t="shared" si="506"/>
        <v>0</v>
      </c>
      <c r="X1331" s="27">
        <f t="shared" si="506"/>
        <v>0</v>
      </c>
      <c r="Y1331" s="27">
        <f t="shared" si="506"/>
        <v>0</v>
      </c>
      <c r="Z1331" s="27">
        <f t="shared" si="506"/>
        <v>0</v>
      </c>
      <c r="AA1331" s="27">
        <f t="shared" si="506"/>
        <v>0</v>
      </c>
      <c r="AB1331" s="27">
        <f t="shared" si="506"/>
        <v>0</v>
      </c>
      <c r="AC1331" s="27">
        <f t="shared" si="506"/>
        <v>0</v>
      </c>
      <c r="AD1331" s="27">
        <f t="shared" si="506"/>
        <v>0</v>
      </c>
      <c r="AE1331" s="27">
        <f t="shared" si="506"/>
        <v>0</v>
      </c>
      <c r="AF1331" s="27">
        <f t="shared" si="506"/>
        <v>0</v>
      </c>
      <c r="AG1331" s="27">
        <f t="shared" si="506"/>
        <v>0</v>
      </c>
      <c r="AH1331" s="27">
        <f t="shared" si="506"/>
        <v>0</v>
      </c>
      <c r="AI1331" s="27">
        <f t="shared" si="506"/>
        <v>0</v>
      </c>
      <c r="AJ1331" s="27">
        <f t="shared" si="506"/>
        <v>0</v>
      </c>
      <c r="AK1331" s="27">
        <f t="shared" si="506"/>
        <v>0</v>
      </c>
      <c r="AL1331" s="27">
        <f t="shared" si="506"/>
        <v>0</v>
      </c>
      <c r="AM1331" s="27">
        <f t="shared" si="506"/>
        <v>0</v>
      </c>
      <c r="AN1331" s="27">
        <f t="shared" si="506"/>
        <v>0</v>
      </c>
      <c r="AO1331" s="27">
        <f t="shared" si="506"/>
        <v>0</v>
      </c>
      <c r="AP1331" s="27">
        <f t="shared" si="506"/>
        <v>0</v>
      </c>
      <c r="AQ1331" s="27">
        <f t="shared" si="506"/>
        <v>0</v>
      </c>
      <c r="AR1331" s="27">
        <f t="shared" si="506"/>
        <v>0</v>
      </c>
      <c r="AS1331" s="27">
        <f t="shared" si="506"/>
        <v>0</v>
      </c>
      <c r="AT1331" s="27">
        <f t="shared" si="506"/>
        <v>0</v>
      </c>
      <c r="AU1331" s="27">
        <f t="shared" si="506"/>
        <v>0</v>
      </c>
      <c r="AV1331" s="27">
        <f t="shared" si="506"/>
        <v>0</v>
      </c>
      <c r="AW1331" s="27">
        <f t="shared" si="506"/>
        <v>0</v>
      </c>
      <c r="AY1331" s="79"/>
      <c r="AZ1331" s="79"/>
    </row>
    <row r="1332" spans="1:52" x14ac:dyDescent="0.3">
      <c r="A1332" s="95" t="str">
        <f t="shared" si="384"/>
        <v>FSFAGSPQNIBDDSCM Leaching</v>
      </c>
      <c r="B1332" s="95" t="s">
        <v>1375</v>
      </c>
      <c r="C1332" s="95" t="s">
        <v>1190</v>
      </c>
      <c r="D1332" t="s">
        <v>369</v>
      </c>
      <c r="E1332" t="s">
        <v>61</v>
      </c>
      <c r="F1332" t="s">
        <v>63</v>
      </c>
      <c r="G1332" t="s">
        <v>1205</v>
      </c>
      <c r="H1332" t="s">
        <v>1206</v>
      </c>
      <c r="I1332" t="s">
        <v>139</v>
      </c>
      <c r="J1332" t="s">
        <v>287</v>
      </c>
      <c r="K1332" s="27">
        <f t="shared" ref="K1332:AW1332" si="507">IFERROR(K1525-((K1525-K116)+(K1525-K269)+(K1525-K422)+(K1525-K574)+(K1525-K726)+(K1525-K877)+(K1525-K1028)+(K1525-K1179)),0)</f>
        <v>0</v>
      </c>
      <c r="L1332" s="27">
        <f t="shared" si="507"/>
        <v>0</v>
      </c>
      <c r="M1332" s="27">
        <f t="shared" si="507"/>
        <v>0</v>
      </c>
      <c r="N1332" s="27">
        <f t="shared" si="507"/>
        <v>0</v>
      </c>
      <c r="O1332" s="27">
        <f t="shared" si="507"/>
        <v>0</v>
      </c>
      <c r="P1332" s="27">
        <f t="shared" si="507"/>
        <v>0</v>
      </c>
      <c r="Q1332" s="27">
        <f t="shared" si="507"/>
        <v>0</v>
      </c>
      <c r="R1332" s="27">
        <f t="shared" si="507"/>
        <v>0</v>
      </c>
      <c r="S1332" s="27">
        <f t="shared" si="507"/>
        <v>0</v>
      </c>
      <c r="T1332" s="27">
        <f t="shared" si="507"/>
        <v>0</v>
      </c>
      <c r="U1332" s="27">
        <f t="shared" si="507"/>
        <v>0</v>
      </c>
      <c r="V1332" s="27">
        <f t="shared" si="507"/>
        <v>0</v>
      </c>
      <c r="W1332" s="27">
        <f t="shared" si="507"/>
        <v>0</v>
      </c>
      <c r="X1332" s="27">
        <f t="shared" si="507"/>
        <v>0</v>
      </c>
      <c r="Y1332" s="27">
        <f t="shared" si="507"/>
        <v>0</v>
      </c>
      <c r="Z1332" s="27">
        <f t="shared" si="507"/>
        <v>0</v>
      </c>
      <c r="AA1332" s="27">
        <f t="shared" si="507"/>
        <v>0</v>
      </c>
      <c r="AB1332" s="27">
        <f t="shared" si="507"/>
        <v>0</v>
      </c>
      <c r="AC1332" s="27">
        <f t="shared" si="507"/>
        <v>0</v>
      </c>
      <c r="AD1332" s="27">
        <f t="shared" si="507"/>
        <v>0</v>
      </c>
      <c r="AE1332" s="27">
        <f t="shared" si="507"/>
        <v>0</v>
      </c>
      <c r="AF1332" s="27">
        <f t="shared" si="507"/>
        <v>0</v>
      </c>
      <c r="AG1332" s="27">
        <f t="shared" si="507"/>
        <v>0</v>
      </c>
      <c r="AH1332" s="27">
        <f t="shared" si="507"/>
        <v>0</v>
      </c>
      <c r="AI1332" s="27">
        <f t="shared" si="507"/>
        <v>0</v>
      </c>
      <c r="AJ1332" s="27">
        <f t="shared" si="507"/>
        <v>0</v>
      </c>
      <c r="AK1332" s="27">
        <f t="shared" si="507"/>
        <v>0</v>
      </c>
      <c r="AL1332" s="27">
        <f t="shared" si="507"/>
        <v>0</v>
      </c>
      <c r="AM1332" s="27">
        <f t="shared" si="507"/>
        <v>0</v>
      </c>
      <c r="AN1332" s="27">
        <f t="shared" si="507"/>
        <v>0</v>
      </c>
      <c r="AO1332" s="27">
        <f t="shared" si="507"/>
        <v>0</v>
      </c>
      <c r="AP1332" s="27">
        <f t="shared" si="507"/>
        <v>0</v>
      </c>
      <c r="AQ1332" s="27">
        <f t="shared" si="507"/>
        <v>0</v>
      </c>
      <c r="AR1332" s="27">
        <f t="shared" si="507"/>
        <v>0</v>
      </c>
      <c r="AS1332" s="27">
        <f t="shared" si="507"/>
        <v>0</v>
      </c>
      <c r="AT1332" s="27">
        <f t="shared" si="507"/>
        <v>0</v>
      </c>
      <c r="AU1332" s="27">
        <f t="shared" si="507"/>
        <v>0</v>
      </c>
      <c r="AV1332" s="27">
        <f t="shared" si="507"/>
        <v>0</v>
      </c>
      <c r="AW1332" s="27">
        <f t="shared" si="507"/>
        <v>0</v>
      </c>
      <c r="AY1332" s="79"/>
      <c r="AZ1332" s="79"/>
    </row>
    <row r="1333" spans="1:52" x14ac:dyDescent="0.3">
      <c r="A1333" s="95" t="str">
        <f t="shared" si="384"/>
        <v>FSFAGSPQNIBDDSCM Leaching</v>
      </c>
      <c r="B1333" s="95" t="s">
        <v>1375</v>
      </c>
      <c r="C1333" s="95" t="s">
        <v>1190</v>
      </c>
      <c r="D1333" t="s">
        <v>369</v>
      </c>
      <c r="E1333" t="s">
        <v>61</v>
      </c>
      <c r="F1333" t="s">
        <v>63</v>
      </c>
      <c r="G1333" t="s">
        <v>1207</v>
      </c>
      <c r="H1333" t="s">
        <v>1208</v>
      </c>
      <c r="I1333" t="s">
        <v>139</v>
      </c>
      <c r="J1333" t="s">
        <v>287</v>
      </c>
      <c r="K1333" s="27">
        <f t="shared" ref="K1333:AW1333" si="508">IFERROR(K1526-((K1526-K117)+(K1526-K270)+(K1526-K423)+(K1526-K575)+(K1526-K727)+(K1526-K878)+(K1526-K1029)+(K1526-K1180)),0)</f>
        <v>0</v>
      </c>
      <c r="L1333" s="27">
        <f t="shared" si="508"/>
        <v>0</v>
      </c>
      <c r="M1333" s="27">
        <f t="shared" si="508"/>
        <v>0</v>
      </c>
      <c r="N1333" s="27">
        <f t="shared" si="508"/>
        <v>0</v>
      </c>
      <c r="O1333" s="27">
        <f t="shared" si="508"/>
        <v>0</v>
      </c>
      <c r="P1333" s="27">
        <f t="shared" si="508"/>
        <v>0</v>
      </c>
      <c r="Q1333" s="27">
        <f t="shared" si="508"/>
        <v>0</v>
      </c>
      <c r="R1333" s="27">
        <f t="shared" si="508"/>
        <v>0</v>
      </c>
      <c r="S1333" s="27">
        <f t="shared" si="508"/>
        <v>0</v>
      </c>
      <c r="T1333" s="27">
        <f t="shared" si="508"/>
        <v>0</v>
      </c>
      <c r="U1333" s="27">
        <f t="shared" si="508"/>
        <v>0</v>
      </c>
      <c r="V1333" s="27">
        <f t="shared" si="508"/>
        <v>0</v>
      </c>
      <c r="W1333" s="27">
        <f t="shared" si="508"/>
        <v>0</v>
      </c>
      <c r="X1333" s="27">
        <f t="shared" si="508"/>
        <v>0</v>
      </c>
      <c r="Y1333" s="27">
        <f t="shared" si="508"/>
        <v>0</v>
      </c>
      <c r="Z1333" s="27">
        <f t="shared" si="508"/>
        <v>0</v>
      </c>
      <c r="AA1333" s="27">
        <f t="shared" si="508"/>
        <v>0</v>
      </c>
      <c r="AB1333" s="27">
        <f t="shared" si="508"/>
        <v>0</v>
      </c>
      <c r="AC1333" s="27">
        <f t="shared" si="508"/>
        <v>0</v>
      </c>
      <c r="AD1333" s="27">
        <f t="shared" si="508"/>
        <v>0</v>
      </c>
      <c r="AE1333" s="27">
        <f t="shared" si="508"/>
        <v>0</v>
      </c>
      <c r="AF1333" s="27">
        <f t="shared" si="508"/>
        <v>0</v>
      </c>
      <c r="AG1333" s="27">
        <f t="shared" si="508"/>
        <v>0</v>
      </c>
      <c r="AH1333" s="27">
        <f t="shared" si="508"/>
        <v>0</v>
      </c>
      <c r="AI1333" s="27">
        <f t="shared" si="508"/>
        <v>0</v>
      </c>
      <c r="AJ1333" s="27">
        <f t="shared" si="508"/>
        <v>0</v>
      </c>
      <c r="AK1333" s="27">
        <f t="shared" si="508"/>
        <v>0</v>
      </c>
      <c r="AL1333" s="27">
        <f t="shared" si="508"/>
        <v>0</v>
      </c>
      <c r="AM1333" s="27">
        <f t="shared" si="508"/>
        <v>0</v>
      </c>
      <c r="AN1333" s="27">
        <f t="shared" si="508"/>
        <v>0</v>
      </c>
      <c r="AO1333" s="27">
        <f t="shared" si="508"/>
        <v>0</v>
      </c>
      <c r="AP1333" s="27">
        <f t="shared" si="508"/>
        <v>0</v>
      </c>
      <c r="AQ1333" s="27">
        <f t="shared" si="508"/>
        <v>0</v>
      </c>
      <c r="AR1333" s="27">
        <f t="shared" si="508"/>
        <v>0</v>
      </c>
      <c r="AS1333" s="27">
        <f t="shared" si="508"/>
        <v>0</v>
      </c>
      <c r="AT1333" s="27">
        <f t="shared" si="508"/>
        <v>0</v>
      </c>
      <c r="AU1333" s="27">
        <f t="shared" si="508"/>
        <v>0</v>
      </c>
      <c r="AV1333" s="27">
        <f t="shared" si="508"/>
        <v>0</v>
      </c>
      <c r="AW1333" s="27">
        <f t="shared" si="508"/>
        <v>0</v>
      </c>
      <c r="AY1333" s="79"/>
      <c r="AZ1333" s="79"/>
    </row>
    <row r="1334" spans="1:52" x14ac:dyDescent="0.3">
      <c r="A1334" s="95" t="str">
        <f t="shared" si="384"/>
        <v>FSFAGSPQNIBDDSCM Leaching</v>
      </c>
      <c r="B1334" s="95" t="s">
        <v>1375</v>
      </c>
      <c r="C1334" s="95" t="s">
        <v>1190</v>
      </c>
      <c r="D1334" t="s">
        <v>369</v>
      </c>
      <c r="E1334" t="s">
        <v>61</v>
      </c>
      <c r="F1334" t="s">
        <v>63</v>
      </c>
      <c r="G1334" t="s">
        <v>1209</v>
      </c>
      <c r="H1334" t="s">
        <v>1210</v>
      </c>
      <c r="I1334" t="s">
        <v>139</v>
      </c>
      <c r="J1334" t="s">
        <v>287</v>
      </c>
      <c r="K1334" s="27">
        <f t="shared" ref="K1334:AW1334" si="509">IFERROR(K1527-((K1527-K118)+(K1527-K271)+(K1527-K424)+(K1527-K576)+(K1527-K728)+(K1527-K879)+(K1527-K1030)+(K1527-K1181)),0)</f>
        <v>1.9333864620707719E-6</v>
      </c>
      <c r="L1334" s="27">
        <f t="shared" si="509"/>
        <v>1.9333864620707719E-6</v>
      </c>
      <c r="M1334" s="27">
        <f t="shared" si="509"/>
        <v>1.9333864620707719E-6</v>
      </c>
      <c r="N1334" s="27">
        <f t="shared" si="509"/>
        <v>1.9333864620707719E-6</v>
      </c>
      <c r="O1334" s="27">
        <f t="shared" si="509"/>
        <v>1.9333864620707719E-6</v>
      </c>
      <c r="P1334" s="27">
        <f t="shared" si="509"/>
        <v>1.9333864620707719E-6</v>
      </c>
      <c r="Q1334" s="27">
        <f t="shared" si="509"/>
        <v>1.9333864620707719E-6</v>
      </c>
      <c r="R1334" s="27">
        <f t="shared" si="509"/>
        <v>1.9333864620707719E-6</v>
      </c>
      <c r="S1334" s="27">
        <f t="shared" si="509"/>
        <v>1.9333864620707719E-6</v>
      </c>
      <c r="T1334" s="27">
        <f t="shared" si="509"/>
        <v>1.9333864620707719E-6</v>
      </c>
      <c r="U1334" s="27">
        <f t="shared" si="509"/>
        <v>1.9333864620707719E-6</v>
      </c>
      <c r="V1334" s="27">
        <f t="shared" si="509"/>
        <v>1.9333864620707719E-6</v>
      </c>
      <c r="W1334" s="27">
        <f t="shared" si="509"/>
        <v>1.9333864620707719E-6</v>
      </c>
      <c r="X1334" s="27">
        <f t="shared" si="509"/>
        <v>1.9333864620707719E-6</v>
      </c>
      <c r="Y1334" s="27">
        <f t="shared" si="509"/>
        <v>1.9333864620707719E-6</v>
      </c>
      <c r="Z1334" s="27">
        <f t="shared" si="509"/>
        <v>1.9333864620707719E-6</v>
      </c>
      <c r="AA1334" s="27">
        <f t="shared" si="509"/>
        <v>1.9333864620707719E-6</v>
      </c>
      <c r="AB1334" s="27">
        <f t="shared" si="509"/>
        <v>1.9333864620707719E-6</v>
      </c>
      <c r="AC1334" s="27">
        <f t="shared" si="509"/>
        <v>1.9333864620707719E-6</v>
      </c>
      <c r="AD1334" s="27">
        <f t="shared" si="509"/>
        <v>1.9333864620707719E-6</v>
      </c>
      <c r="AE1334" s="27">
        <f t="shared" si="509"/>
        <v>1.9333864620707719E-6</v>
      </c>
      <c r="AF1334" s="27">
        <f t="shared" si="509"/>
        <v>1.9333864620707719E-6</v>
      </c>
      <c r="AG1334" s="27">
        <f t="shared" si="509"/>
        <v>1.9333864620707719E-6</v>
      </c>
      <c r="AH1334" s="27">
        <f t="shared" si="509"/>
        <v>1.9333864620707719E-6</v>
      </c>
      <c r="AI1334" s="27">
        <f t="shared" si="509"/>
        <v>1.9333864620707719E-6</v>
      </c>
      <c r="AJ1334" s="27">
        <f t="shared" si="509"/>
        <v>1.9333864620707719E-6</v>
      </c>
      <c r="AK1334" s="27">
        <f t="shared" si="509"/>
        <v>1.9333864620707719E-6</v>
      </c>
      <c r="AL1334" s="27">
        <f t="shared" si="509"/>
        <v>1.9333864620707719E-6</v>
      </c>
      <c r="AM1334" s="27">
        <f t="shared" si="509"/>
        <v>1.9333864620707719E-6</v>
      </c>
      <c r="AN1334" s="27">
        <f t="shared" si="509"/>
        <v>1.9333864620707719E-6</v>
      </c>
      <c r="AO1334" s="27">
        <f t="shared" si="509"/>
        <v>1.9333864620707719E-6</v>
      </c>
      <c r="AP1334" s="27">
        <f t="shared" si="509"/>
        <v>1.9333864620707719E-6</v>
      </c>
      <c r="AQ1334" s="27">
        <f t="shared" si="509"/>
        <v>1.9333864620707719E-6</v>
      </c>
      <c r="AR1334" s="27">
        <f t="shared" si="509"/>
        <v>1.9333864620707719E-6</v>
      </c>
      <c r="AS1334" s="27">
        <f t="shared" si="509"/>
        <v>1.9333864620707719E-6</v>
      </c>
      <c r="AT1334" s="27">
        <f t="shared" si="509"/>
        <v>1.9333864620707719E-6</v>
      </c>
      <c r="AU1334" s="27">
        <f t="shared" si="509"/>
        <v>1.9333864620707719E-6</v>
      </c>
      <c r="AV1334" s="27">
        <f t="shared" si="509"/>
        <v>1.9333864620707719E-6</v>
      </c>
      <c r="AW1334" s="27">
        <f t="shared" si="509"/>
        <v>1.9333864620707719E-6</v>
      </c>
      <c r="AY1334" s="79"/>
      <c r="AZ1334" s="79"/>
    </row>
    <row r="1335" spans="1:52" x14ac:dyDescent="0.3">
      <c r="A1335" s="95" t="str">
        <f t="shared" si="384"/>
        <v>FSFAGSPQNIBDDSCM Leaching</v>
      </c>
      <c r="B1335" s="95" t="s">
        <v>1375</v>
      </c>
      <c r="C1335" s="95" t="s">
        <v>1190</v>
      </c>
      <c r="D1335" t="s">
        <v>369</v>
      </c>
      <c r="E1335" t="s">
        <v>61</v>
      </c>
      <c r="F1335" t="s">
        <v>63</v>
      </c>
      <c r="G1335" t="s">
        <v>1211</v>
      </c>
      <c r="H1335" t="s">
        <v>1212</v>
      </c>
      <c r="I1335" t="s">
        <v>139</v>
      </c>
      <c r="J1335" t="s">
        <v>287</v>
      </c>
      <c r="K1335" s="27">
        <f t="shared" ref="K1335:AW1335" si="510">IFERROR(K1528-((K1528-K119)+(K1528-K272)+(K1528-K425)+(K1528-K577)+(K1528-K729)+(K1528-K880)+(K1528-K1031)+(K1528-K1182)),0)</f>
        <v>2.1082459751876198E-3</v>
      </c>
      <c r="L1335" s="27">
        <f t="shared" si="510"/>
        <v>2.1082459751876198E-3</v>
      </c>
      <c r="M1335" s="27">
        <f t="shared" si="510"/>
        <v>2.1082459751876198E-3</v>
      </c>
      <c r="N1335" s="27">
        <f t="shared" si="510"/>
        <v>2.1082459751876198E-3</v>
      </c>
      <c r="O1335" s="27">
        <f t="shared" si="510"/>
        <v>2.1082459751876198E-3</v>
      </c>
      <c r="P1335" s="27">
        <f t="shared" si="510"/>
        <v>2.1082459751876198E-3</v>
      </c>
      <c r="Q1335" s="27">
        <f t="shared" si="510"/>
        <v>2.1082459751876198E-3</v>
      </c>
      <c r="R1335" s="27">
        <f t="shared" si="510"/>
        <v>2.1082459751876198E-3</v>
      </c>
      <c r="S1335" s="27">
        <f t="shared" si="510"/>
        <v>2.1082459751876198E-3</v>
      </c>
      <c r="T1335" s="27">
        <f t="shared" si="510"/>
        <v>2.1082459751876198E-3</v>
      </c>
      <c r="U1335" s="27">
        <f t="shared" si="510"/>
        <v>2.1082459751876198E-3</v>
      </c>
      <c r="V1335" s="27">
        <f t="shared" si="510"/>
        <v>2.1082459751876198E-3</v>
      </c>
      <c r="W1335" s="27">
        <f t="shared" si="510"/>
        <v>2.1082459751876198E-3</v>
      </c>
      <c r="X1335" s="27">
        <f t="shared" si="510"/>
        <v>2.1082459751876198E-3</v>
      </c>
      <c r="Y1335" s="27">
        <f t="shared" si="510"/>
        <v>2.1082459751876198E-3</v>
      </c>
      <c r="Z1335" s="27">
        <f t="shared" si="510"/>
        <v>2.1082459751876198E-3</v>
      </c>
      <c r="AA1335" s="27">
        <f t="shared" si="510"/>
        <v>2.1082459751876198E-3</v>
      </c>
      <c r="AB1335" s="27">
        <f t="shared" si="510"/>
        <v>2.1082459751876198E-3</v>
      </c>
      <c r="AC1335" s="27">
        <f t="shared" si="510"/>
        <v>2.1082459751876198E-3</v>
      </c>
      <c r="AD1335" s="27">
        <f t="shared" si="510"/>
        <v>2.1082459751876198E-3</v>
      </c>
      <c r="AE1335" s="27">
        <f t="shared" si="510"/>
        <v>2.1082459751876198E-3</v>
      </c>
      <c r="AF1335" s="27">
        <f t="shared" si="510"/>
        <v>2.1082459751876198E-3</v>
      </c>
      <c r="AG1335" s="27">
        <f t="shared" si="510"/>
        <v>2.1082459751876198E-3</v>
      </c>
      <c r="AH1335" s="27">
        <f t="shared" si="510"/>
        <v>2.1082459751876198E-3</v>
      </c>
      <c r="AI1335" s="27">
        <f t="shared" si="510"/>
        <v>2.1082459751876198E-3</v>
      </c>
      <c r="AJ1335" s="27">
        <f t="shared" si="510"/>
        <v>2.1082459751876198E-3</v>
      </c>
      <c r="AK1335" s="27">
        <f t="shared" si="510"/>
        <v>2.1082459751876198E-3</v>
      </c>
      <c r="AL1335" s="27">
        <f t="shared" si="510"/>
        <v>2.1082459751876198E-3</v>
      </c>
      <c r="AM1335" s="27">
        <f t="shared" si="510"/>
        <v>2.1082459751876198E-3</v>
      </c>
      <c r="AN1335" s="27">
        <f t="shared" si="510"/>
        <v>2.1082459751876198E-3</v>
      </c>
      <c r="AO1335" s="27">
        <f t="shared" si="510"/>
        <v>2.1082459751876198E-3</v>
      </c>
      <c r="AP1335" s="27">
        <f t="shared" si="510"/>
        <v>2.1082459751876198E-3</v>
      </c>
      <c r="AQ1335" s="27">
        <f t="shared" si="510"/>
        <v>2.1082459751876198E-3</v>
      </c>
      <c r="AR1335" s="27">
        <f t="shared" si="510"/>
        <v>2.1082459751876198E-3</v>
      </c>
      <c r="AS1335" s="27">
        <f t="shared" si="510"/>
        <v>2.1082459751876198E-3</v>
      </c>
      <c r="AT1335" s="27">
        <f t="shared" si="510"/>
        <v>2.1082459751876198E-3</v>
      </c>
      <c r="AU1335" s="27">
        <f t="shared" si="510"/>
        <v>2.1082459751876198E-3</v>
      </c>
      <c r="AV1335" s="27">
        <f t="shared" si="510"/>
        <v>2.1082459751876198E-3</v>
      </c>
      <c r="AW1335" s="27">
        <f t="shared" si="510"/>
        <v>2.1082459751876198E-3</v>
      </c>
      <c r="AY1335" s="79"/>
      <c r="AZ1335" s="79"/>
    </row>
    <row r="1336" spans="1:52" x14ac:dyDescent="0.3">
      <c r="A1336" s="95" t="str">
        <f t="shared" si="384"/>
        <v>FSFAGSPQNIBDDSCM Leaching</v>
      </c>
      <c r="B1336" s="95" t="s">
        <v>1375</v>
      </c>
      <c r="C1336" s="95" t="s">
        <v>1190</v>
      </c>
      <c r="D1336" t="s">
        <v>369</v>
      </c>
      <c r="E1336" t="s">
        <v>61</v>
      </c>
      <c r="F1336" t="s">
        <v>63</v>
      </c>
      <c r="G1336" t="s">
        <v>1213</v>
      </c>
      <c r="H1336" t="s">
        <v>1214</v>
      </c>
      <c r="I1336" t="s">
        <v>139</v>
      </c>
      <c r="J1336" t="s">
        <v>287</v>
      </c>
      <c r="K1336" s="27">
        <f t="shared" ref="K1336:AW1336" si="511">IFERROR(K1529-((K1529-K120)+(K1529-K273)+(K1529-K426)+(K1529-K578)+(K1529-K730)+(K1529-K881)+(K1529-K1032)+(K1529-K1183)),0)</f>
        <v>0</v>
      </c>
      <c r="L1336" s="27">
        <f t="shared" si="511"/>
        <v>0</v>
      </c>
      <c r="M1336" s="27">
        <f t="shared" si="511"/>
        <v>0</v>
      </c>
      <c r="N1336" s="27">
        <f t="shared" si="511"/>
        <v>0</v>
      </c>
      <c r="O1336" s="27">
        <f t="shared" si="511"/>
        <v>0</v>
      </c>
      <c r="P1336" s="27">
        <f t="shared" si="511"/>
        <v>0</v>
      </c>
      <c r="Q1336" s="27">
        <f t="shared" si="511"/>
        <v>0</v>
      </c>
      <c r="R1336" s="27">
        <f t="shared" si="511"/>
        <v>0</v>
      </c>
      <c r="S1336" s="27">
        <f t="shared" si="511"/>
        <v>0</v>
      </c>
      <c r="T1336" s="27">
        <f t="shared" si="511"/>
        <v>0</v>
      </c>
      <c r="U1336" s="27">
        <f t="shared" si="511"/>
        <v>0</v>
      </c>
      <c r="V1336" s="27">
        <f t="shared" si="511"/>
        <v>0</v>
      </c>
      <c r="W1336" s="27">
        <f t="shared" si="511"/>
        <v>0</v>
      </c>
      <c r="X1336" s="27">
        <f t="shared" si="511"/>
        <v>0</v>
      </c>
      <c r="Y1336" s="27">
        <f t="shared" si="511"/>
        <v>0</v>
      </c>
      <c r="Z1336" s="27">
        <f t="shared" si="511"/>
        <v>0</v>
      </c>
      <c r="AA1336" s="27">
        <f t="shared" si="511"/>
        <v>0</v>
      </c>
      <c r="AB1336" s="27">
        <f t="shared" si="511"/>
        <v>0</v>
      </c>
      <c r="AC1336" s="27">
        <f t="shared" si="511"/>
        <v>0</v>
      </c>
      <c r="AD1336" s="27">
        <f t="shared" si="511"/>
        <v>0</v>
      </c>
      <c r="AE1336" s="27">
        <f t="shared" si="511"/>
        <v>0</v>
      </c>
      <c r="AF1336" s="27">
        <f t="shared" si="511"/>
        <v>0</v>
      </c>
      <c r="AG1336" s="27">
        <f t="shared" si="511"/>
        <v>0</v>
      </c>
      <c r="AH1336" s="27">
        <f t="shared" si="511"/>
        <v>0</v>
      </c>
      <c r="AI1336" s="27">
        <f t="shared" si="511"/>
        <v>0</v>
      </c>
      <c r="AJ1336" s="27">
        <f t="shared" si="511"/>
        <v>0</v>
      </c>
      <c r="AK1336" s="27">
        <f t="shared" si="511"/>
        <v>0</v>
      </c>
      <c r="AL1336" s="27">
        <f t="shared" si="511"/>
        <v>0</v>
      </c>
      <c r="AM1336" s="27">
        <f t="shared" si="511"/>
        <v>0</v>
      </c>
      <c r="AN1336" s="27">
        <f t="shared" si="511"/>
        <v>0</v>
      </c>
      <c r="AO1336" s="27">
        <f t="shared" si="511"/>
        <v>0</v>
      </c>
      <c r="AP1336" s="27">
        <f t="shared" si="511"/>
        <v>0</v>
      </c>
      <c r="AQ1336" s="27">
        <f t="shared" si="511"/>
        <v>0</v>
      </c>
      <c r="AR1336" s="27">
        <f t="shared" si="511"/>
        <v>0</v>
      </c>
      <c r="AS1336" s="27">
        <f t="shared" si="511"/>
        <v>0</v>
      </c>
      <c r="AT1336" s="27">
        <f t="shared" si="511"/>
        <v>0</v>
      </c>
      <c r="AU1336" s="27">
        <f t="shared" si="511"/>
        <v>0</v>
      </c>
      <c r="AV1336" s="27">
        <f t="shared" si="511"/>
        <v>0</v>
      </c>
      <c r="AW1336" s="27">
        <f t="shared" si="511"/>
        <v>0</v>
      </c>
      <c r="AY1336" s="79"/>
      <c r="AZ1336" s="79"/>
    </row>
    <row r="1337" spans="1:52" x14ac:dyDescent="0.3">
      <c r="A1337" s="95"/>
      <c r="B1337" s="95" t="s">
        <v>1375</v>
      </c>
      <c r="C1337" s="95"/>
      <c r="D1337" t="s">
        <v>369</v>
      </c>
      <c r="E1337" t="s">
        <v>61</v>
      </c>
      <c r="F1337" t="s">
        <v>63</v>
      </c>
      <c r="G1337" t="s">
        <v>1215</v>
      </c>
      <c r="H1337" t="s">
        <v>1216</v>
      </c>
      <c r="I1337" t="s">
        <v>139</v>
      </c>
      <c r="J1337" t="s">
        <v>287</v>
      </c>
      <c r="K1337" s="27">
        <f t="shared" ref="K1337:AW1337" si="512">IFERROR(K1530-((K1530-K121)+(K1530-K274)+(K1530-K427)+(K1530-K579)+(K1530-K731)+(K1530-K882)+(K1530-K1033)+(K1530-K1184)),0)</f>
        <v>0.11026792439175388</v>
      </c>
      <c r="L1337" s="27">
        <f t="shared" si="512"/>
        <v>0.11026792439175388</v>
      </c>
      <c r="M1337" s="27">
        <f t="shared" si="512"/>
        <v>0.11026792439175388</v>
      </c>
      <c r="N1337" s="27">
        <f t="shared" si="512"/>
        <v>0.11026792439175388</v>
      </c>
      <c r="O1337" s="27">
        <f t="shared" si="512"/>
        <v>0.11026792439175388</v>
      </c>
      <c r="P1337" s="27">
        <f t="shared" si="512"/>
        <v>0.11026792439175388</v>
      </c>
      <c r="Q1337" s="27">
        <f t="shared" si="512"/>
        <v>0.11026792439175388</v>
      </c>
      <c r="R1337" s="27">
        <f t="shared" si="512"/>
        <v>0.11026792439175388</v>
      </c>
      <c r="S1337" s="27">
        <f t="shared" si="512"/>
        <v>0.11026792439175388</v>
      </c>
      <c r="T1337" s="27">
        <f t="shared" si="512"/>
        <v>0.11026792439175388</v>
      </c>
      <c r="U1337" s="27">
        <f t="shared" si="512"/>
        <v>0.11026792439175388</v>
      </c>
      <c r="V1337" s="27">
        <f t="shared" si="512"/>
        <v>0.11026792439175388</v>
      </c>
      <c r="W1337" s="27">
        <f t="shared" si="512"/>
        <v>0.11026792439175388</v>
      </c>
      <c r="X1337" s="27">
        <f t="shared" si="512"/>
        <v>0.11026792439175388</v>
      </c>
      <c r="Y1337" s="27">
        <f t="shared" si="512"/>
        <v>0.11026792439175388</v>
      </c>
      <c r="Z1337" s="27">
        <f t="shared" si="512"/>
        <v>0.11026792439175388</v>
      </c>
      <c r="AA1337" s="27">
        <f t="shared" si="512"/>
        <v>0.11026792439175388</v>
      </c>
      <c r="AB1337" s="27">
        <f t="shared" si="512"/>
        <v>0.11026792439175388</v>
      </c>
      <c r="AC1337" s="27">
        <f t="shared" si="512"/>
        <v>0.11026792439175388</v>
      </c>
      <c r="AD1337" s="27">
        <f t="shared" si="512"/>
        <v>0.11026792439175388</v>
      </c>
      <c r="AE1337" s="27">
        <f t="shared" si="512"/>
        <v>0.11026792439175388</v>
      </c>
      <c r="AF1337" s="27">
        <f t="shared" si="512"/>
        <v>0.11026792439175388</v>
      </c>
      <c r="AG1337" s="27">
        <f t="shared" si="512"/>
        <v>0.11026792439175388</v>
      </c>
      <c r="AH1337" s="27">
        <f t="shared" si="512"/>
        <v>0.11026792439175388</v>
      </c>
      <c r="AI1337" s="27">
        <f t="shared" si="512"/>
        <v>0.11026792439175388</v>
      </c>
      <c r="AJ1337" s="27">
        <f t="shared" si="512"/>
        <v>0.11026792439175388</v>
      </c>
      <c r="AK1337" s="27">
        <f t="shared" si="512"/>
        <v>0.11026792439175388</v>
      </c>
      <c r="AL1337" s="27">
        <f t="shared" si="512"/>
        <v>0.11026792439175388</v>
      </c>
      <c r="AM1337" s="27">
        <f t="shared" si="512"/>
        <v>0.11026792439175388</v>
      </c>
      <c r="AN1337" s="27">
        <f t="shared" si="512"/>
        <v>0.11026792439175388</v>
      </c>
      <c r="AO1337" s="27">
        <f t="shared" si="512"/>
        <v>0.11026792439175388</v>
      </c>
      <c r="AP1337" s="27">
        <f t="shared" si="512"/>
        <v>0.11026792439175388</v>
      </c>
      <c r="AQ1337" s="27">
        <f t="shared" si="512"/>
        <v>0.11026792439175388</v>
      </c>
      <c r="AR1337" s="27">
        <f t="shared" si="512"/>
        <v>0.11026792439175388</v>
      </c>
      <c r="AS1337" s="27">
        <f t="shared" si="512"/>
        <v>0.11026792439175388</v>
      </c>
      <c r="AT1337" s="27">
        <f t="shared" si="512"/>
        <v>0.11026792439175388</v>
      </c>
      <c r="AU1337" s="27">
        <f t="shared" si="512"/>
        <v>0.11026792439175388</v>
      </c>
      <c r="AV1337" s="27">
        <f t="shared" si="512"/>
        <v>0.11026792439175388</v>
      </c>
      <c r="AW1337" s="27">
        <f t="shared" si="512"/>
        <v>0.11026792439175388</v>
      </c>
      <c r="AY1337" s="79"/>
      <c r="AZ1337" s="79"/>
    </row>
    <row r="1338" spans="1:52" x14ac:dyDescent="0.3">
      <c r="A1338" s="95" t="str">
        <f t="shared" si="384"/>
        <v>FSFAGSPQNIBDDSCM MM Volatilisation</v>
      </c>
      <c r="B1338" s="95" t="s">
        <v>1375</v>
      </c>
      <c r="C1338" s="95" t="s">
        <v>1332</v>
      </c>
      <c r="D1338" t="s">
        <v>369</v>
      </c>
      <c r="E1338" t="s">
        <v>64</v>
      </c>
      <c r="F1338" t="s">
        <v>62</v>
      </c>
      <c r="G1338" t="s">
        <v>1152</v>
      </c>
      <c r="H1338" t="s">
        <v>1290</v>
      </c>
      <c r="I1338" t="s">
        <v>139</v>
      </c>
      <c r="J1338" t="s">
        <v>287</v>
      </c>
      <c r="K1338" s="27">
        <f t="shared" ref="K1338:AW1338" si="513">IFERROR(K1531-((K1531-K122)+(K1531-K275)+(K1531-K428)+(K1531-K580)+(K1531-K732)+(K1531-K883)+(K1531-K1034)+(K1531-K1185)),0)</f>
        <v>0.39609736661915962</v>
      </c>
      <c r="L1338" s="27">
        <f t="shared" si="513"/>
        <v>0.39831175345583031</v>
      </c>
      <c r="M1338" s="27">
        <f t="shared" si="513"/>
        <v>0.40145358914715529</v>
      </c>
      <c r="N1338" s="27">
        <f t="shared" si="513"/>
        <v>0.40347255325329029</v>
      </c>
      <c r="O1338" s="27">
        <f t="shared" si="513"/>
        <v>0.40481416413578264</v>
      </c>
      <c r="P1338" s="27">
        <f t="shared" si="513"/>
        <v>0.40546521734783814</v>
      </c>
      <c r="Q1338" s="27">
        <f t="shared" si="513"/>
        <v>0.40690363619044922</v>
      </c>
      <c r="R1338" s="27">
        <f t="shared" si="513"/>
        <v>0.40855374420631185</v>
      </c>
      <c r="S1338" s="27">
        <f t="shared" si="513"/>
        <v>0.39627278224994505</v>
      </c>
      <c r="T1338" s="27">
        <f t="shared" si="513"/>
        <v>0.40043963770604657</v>
      </c>
      <c r="U1338" s="27">
        <f t="shared" si="513"/>
        <v>0.40653881152865828</v>
      </c>
      <c r="V1338" s="27">
        <f t="shared" si="513"/>
        <v>0.4097001600416656</v>
      </c>
      <c r="W1338" s="27">
        <f t="shared" si="513"/>
        <v>0.41331316056610856</v>
      </c>
      <c r="X1338" s="27">
        <f t="shared" si="513"/>
        <v>0.41749483013247579</v>
      </c>
      <c r="Y1338" s="27">
        <f t="shared" si="513"/>
        <v>0.42176510375665716</v>
      </c>
      <c r="Z1338" s="27">
        <f t="shared" si="513"/>
        <v>0.42649174593727851</v>
      </c>
      <c r="AA1338" s="27">
        <f t="shared" si="513"/>
        <v>0.43136480656999721</v>
      </c>
      <c r="AB1338" s="27">
        <f t="shared" si="513"/>
        <v>0.43666405575288475</v>
      </c>
      <c r="AC1338" s="27">
        <f t="shared" si="513"/>
        <v>0.44208284608865023</v>
      </c>
      <c r="AD1338" s="27">
        <f t="shared" si="513"/>
        <v>0.44793692741043817</v>
      </c>
      <c r="AE1338" s="27">
        <f t="shared" si="513"/>
        <v>0.45371177751541658</v>
      </c>
      <c r="AF1338" s="27">
        <f t="shared" si="513"/>
        <v>0.45980708874384696</v>
      </c>
      <c r="AG1338" s="27">
        <f t="shared" si="513"/>
        <v>0.4667018933762529</v>
      </c>
      <c r="AH1338" s="27">
        <f t="shared" si="513"/>
        <v>0.47325726684756153</v>
      </c>
      <c r="AI1338" s="27">
        <f t="shared" si="513"/>
        <v>0.47997976762000966</v>
      </c>
      <c r="AJ1338" s="27">
        <f t="shared" si="513"/>
        <v>0.48716917791574549</v>
      </c>
      <c r="AK1338" s="27">
        <f t="shared" si="513"/>
        <v>0.49390478893176154</v>
      </c>
      <c r="AL1338" s="27">
        <f t="shared" si="513"/>
        <v>0.50060384763887944</v>
      </c>
      <c r="AM1338" s="27">
        <f t="shared" si="513"/>
        <v>0.50728498742813199</v>
      </c>
      <c r="AN1338" s="27">
        <f t="shared" si="513"/>
        <v>0.51435343301423675</v>
      </c>
      <c r="AO1338" s="27">
        <f t="shared" si="513"/>
        <v>0.52113757148367401</v>
      </c>
      <c r="AP1338" s="27">
        <f t="shared" si="513"/>
        <v>0.52818514749495915</v>
      </c>
      <c r="AQ1338" s="27">
        <f t="shared" si="513"/>
        <v>0.5355283037572397</v>
      </c>
      <c r="AR1338" s="27">
        <f t="shared" si="513"/>
        <v>0.5432187291547913</v>
      </c>
      <c r="AS1338" s="27">
        <f t="shared" si="513"/>
        <v>0.55104518804876201</v>
      </c>
      <c r="AT1338" s="27">
        <f t="shared" si="513"/>
        <v>0.55290077890622136</v>
      </c>
      <c r="AU1338" s="27">
        <f t="shared" si="513"/>
        <v>0.55422139724319897</v>
      </c>
      <c r="AV1338" s="27">
        <f t="shared" si="513"/>
        <v>0.55476247870419659</v>
      </c>
      <c r="AW1338" s="27">
        <f t="shared" si="513"/>
        <v>0.55508919829714432</v>
      </c>
      <c r="AY1338" s="79"/>
      <c r="AZ1338" s="79"/>
    </row>
    <row r="1339" spans="1:52" x14ac:dyDescent="0.3">
      <c r="A1339" s="95" t="str">
        <f t="shared" ref="A1339:A1369" si="514">B1339&amp;" "&amp;C1339</f>
        <v>FSFAGSPQNIBDDSCM MM Volatilisation</v>
      </c>
      <c r="B1339" s="95" t="s">
        <v>1375</v>
      </c>
      <c r="C1339" s="95" t="s">
        <v>1332</v>
      </c>
      <c r="D1339" t="s">
        <v>369</v>
      </c>
      <c r="E1339" t="s">
        <v>64</v>
      </c>
      <c r="F1339" t="s">
        <v>62</v>
      </c>
      <c r="G1339" t="s">
        <v>1154</v>
      </c>
      <c r="H1339" t="s">
        <v>1291</v>
      </c>
      <c r="I1339" t="s">
        <v>139</v>
      </c>
      <c r="J1339" t="s">
        <v>287</v>
      </c>
      <c r="K1339" s="27">
        <f t="shared" ref="K1339:AW1339" si="515">IFERROR(K1532-((K1532-K123)+(K1532-K276)+(K1532-K429)+(K1532-K581)+(K1532-K733)+(K1532-K884)+(K1532-K1035)+(K1532-K1186)),0)</f>
        <v>3.1249813656142676E-2</v>
      </c>
      <c r="L1339" s="27">
        <f t="shared" si="515"/>
        <v>3.1424516095088978E-2</v>
      </c>
      <c r="M1339" s="27">
        <f t="shared" si="515"/>
        <v>3.1672388936885787E-2</v>
      </c>
      <c r="N1339" s="27">
        <f t="shared" si="515"/>
        <v>3.1831673641638247E-2</v>
      </c>
      <c r="O1339" s="27">
        <f t="shared" si="515"/>
        <v>3.1937519056453256E-2</v>
      </c>
      <c r="P1339" s="27">
        <f t="shared" si="515"/>
        <v>3.198888342610464E-2</v>
      </c>
      <c r="Q1339" s="27">
        <f t="shared" si="515"/>
        <v>3.2102366434524382E-2</v>
      </c>
      <c r="R1339" s="27">
        <f t="shared" si="515"/>
        <v>3.2232550506305392E-2</v>
      </c>
      <c r="S1339" s="27">
        <f t="shared" si="515"/>
        <v>3.1263652944752973E-2</v>
      </c>
      <c r="T1339" s="27">
        <f t="shared" si="515"/>
        <v>3.1592393975390647E-2</v>
      </c>
      <c r="U1339" s="27">
        <f t="shared" si="515"/>
        <v>3.2073583858170898E-2</v>
      </c>
      <c r="V1339" s="27">
        <f t="shared" si="515"/>
        <v>3.2322996149842582E-2</v>
      </c>
      <c r="W1339" s="27">
        <f t="shared" si="515"/>
        <v>3.2608041198468073E-2</v>
      </c>
      <c r="X1339" s="27">
        <f t="shared" si="515"/>
        <v>3.2937950977560811E-2</v>
      </c>
      <c r="Y1339" s="27">
        <f t="shared" si="515"/>
        <v>3.3274851109352674E-2</v>
      </c>
      <c r="Z1339" s="27">
        <f t="shared" si="515"/>
        <v>3.3647756106486112E-2</v>
      </c>
      <c r="AA1339" s="27">
        <f t="shared" si="515"/>
        <v>3.4032212680907031E-2</v>
      </c>
      <c r="AB1339" s="27">
        <f t="shared" si="515"/>
        <v>3.4450293091024778E-2</v>
      </c>
      <c r="AC1339" s="27">
        <f t="shared" si="515"/>
        <v>3.4877804613456062E-2</v>
      </c>
      <c r="AD1339" s="27">
        <f t="shared" si="515"/>
        <v>3.5339658101640622E-2</v>
      </c>
      <c r="AE1339" s="27">
        <f t="shared" si="515"/>
        <v>3.5795260700600191E-2</v>
      </c>
      <c r="AF1339" s="27">
        <f t="shared" si="515"/>
        <v>3.6276145846821803E-2</v>
      </c>
      <c r="AG1339" s="27">
        <f t="shared" si="515"/>
        <v>3.682010644367513E-2</v>
      </c>
      <c r="AH1339" s="27">
        <f t="shared" si="515"/>
        <v>3.7337287865943425E-2</v>
      </c>
      <c r="AI1339" s="27">
        <f t="shared" si="515"/>
        <v>3.7867654675082699E-2</v>
      </c>
      <c r="AJ1339" s="27">
        <f t="shared" si="515"/>
        <v>3.843485797147652E-2</v>
      </c>
      <c r="AK1339" s="27">
        <f t="shared" si="515"/>
        <v>3.8966259103746965E-2</v>
      </c>
      <c r="AL1339" s="27">
        <f t="shared" si="515"/>
        <v>3.9494776468191543E-2</v>
      </c>
      <c r="AM1339" s="27">
        <f t="shared" si="515"/>
        <v>4.0021880132643621E-2</v>
      </c>
      <c r="AN1339" s="27">
        <f t="shared" si="515"/>
        <v>4.0579540006249255E-2</v>
      </c>
      <c r="AO1339" s="27">
        <f t="shared" si="515"/>
        <v>4.1114769676663131E-2</v>
      </c>
      <c r="AP1339" s="27">
        <f t="shared" si="515"/>
        <v>4.167078306034188E-2</v>
      </c>
      <c r="AQ1339" s="27">
        <f t="shared" si="515"/>
        <v>4.2250116032946157E-2</v>
      </c>
      <c r="AR1339" s="27">
        <f t="shared" si="515"/>
        <v>4.2856846551407354E-2</v>
      </c>
      <c r="AS1339" s="27">
        <f t="shared" si="515"/>
        <v>4.3474309333630792E-2</v>
      </c>
      <c r="AT1339" s="27">
        <f t="shared" si="515"/>
        <v>4.3620704824751035E-2</v>
      </c>
      <c r="AU1339" s="27">
        <f t="shared" si="515"/>
        <v>4.3724894047955633E-2</v>
      </c>
      <c r="AV1339" s="27">
        <f t="shared" si="515"/>
        <v>4.376758227629024E-2</v>
      </c>
      <c r="AW1339" s="27">
        <f t="shared" si="515"/>
        <v>4.3793358580951298E-2</v>
      </c>
      <c r="AY1339" s="79"/>
      <c r="AZ1339" s="79"/>
    </row>
    <row r="1340" spans="1:52" x14ac:dyDescent="0.3">
      <c r="A1340" s="95" t="str">
        <f t="shared" si="514"/>
        <v>FSFAGSPQNIBDDSCM MM Volatilisation</v>
      </c>
      <c r="B1340" s="95" t="s">
        <v>1375</v>
      </c>
      <c r="C1340" s="95" t="s">
        <v>1332</v>
      </c>
      <c r="D1340" t="s">
        <v>369</v>
      </c>
      <c r="E1340" t="s">
        <v>64</v>
      </c>
      <c r="F1340" t="s">
        <v>62</v>
      </c>
      <c r="G1340" t="s">
        <v>1156</v>
      </c>
      <c r="H1340" t="s">
        <v>1292</v>
      </c>
      <c r="I1340" t="s">
        <v>139</v>
      </c>
      <c r="J1340" t="s">
        <v>287</v>
      </c>
      <c r="K1340" s="27">
        <f t="shared" ref="K1340:AW1340" si="516">IFERROR(K1533-((K1533-K124)+(K1533-K277)+(K1533-K430)+(K1533-K582)+(K1533-K734)+(K1533-K885)+(K1533-K1036)+(K1533-K1187)),0)</f>
        <v>2.8967336997006343E-4</v>
      </c>
      <c r="L1340" s="27">
        <f t="shared" si="516"/>
        <v>2.9129279224209415E-4</v>
      </c>
      <c r="M1340" s="27">
        <f t="shared" si="516"/>
        <v>2.9359047510821973E-4</v>
      </c>
      <c r="N1340" s="27">
        <f t="shared" si="516"/>
        <v>2.9506698110336069E-4</v>
      </c>
      <c r="O1340" s="27">
        <f t="shared" si="516"/>
        <v>2.9604812609010248E-4</v>
      </c>
      <c r="P1340" s="27">
        <f t="shared" si="516"/>
        <v>2.9652425341095714E-4</v>
      </c>
      <c r="Q1340" s="27">
        <f t="shared" si="516"/>
        <v>2.9757619585915883E-4</v>
      </c>
      <c r="R1340" s="27">
        <f t="shared" si="516"/>
        <v>2.9878295053629647E-4</v>
      </c>
      <c r="S1340" s="27">
        <f t="shared" si="516"/>
        <v>2.8980165468285715E-4</v>
      </c>
      <c r="T1340" s="27">
        <f t="shared" si="516"/>
        <v>2.9284895356406268E-4</v>
      </c>
      <c r="U1340" s="27">
        <f t="shared" si="516"/>
        <v>2.9730939279977176E-4</v>
      </c>
      <c r="V1340" s="27">
        <f t="shared" si="516"/>
        <v>2.996213457552509E-4</v>
      </c>
      <c r="W1340" s="27">
        <f t="shared" si="516"/>
        <v>3.0226360022553945E-4</v>
      </c>
      <c r="X1340" s="27">
        <f t="shared" si="516"/>
        <v>3.0532173294106326E-4</v>
      </c>
      <c r="Y1340" s="27">
        <f t="shared" si="516"/>
        <v>3.084446634517329E-4</v>
      </c>
      <c r="Z1340" s="27">
        <f t="shared" si="516"/>
        <v>3.1190134477428172E-4</v>
      </c>
      <c r="AA1340" s="27">
        <f t="shared" si="516"/>
        <v>3.1546510463362291E-4</v>
      </c>
      <c r="AB1340" s="27">
        <f t="shared" si="516"/>
        <v>3.1934054410503462E-4</v>
      </c>
      <c r="AC1340" s="27">
        <f t="shared" si="516"/>
        <v>3.2330340624451355E-4</v>
      </c>
      <c r="AD1340" s="27">
        <f t="shared" si="516"/>
        <v>3.2758460477667038E-4</v>
      </c>
      <c r="AE1340" s="27">
        <f t="shared" si="516"/>
        <v>3.3180786004660364E-4</v>
      </c>
      <c r="AF1340" s="27">
        <f t="shared" si="516"/>
        <v>3.3626547449535976E-4</v>
      </c>
      <c r="AG1340" s="27">
        <f t="shared" si="516"/>
        <v>3.4130777333769093E-4</v>
      </c>
      <c r="AH1340" s="27">
        <f t="shared" si="516"/>
        <v>3.4610183985990577E-4</v>
      </c>
      <c r="AI1340" s="27">
        <f t="shared" si="516"/>
        <v>3.5101812968531553E-4</v>
      </c>
      <c r="AJ1340" s="27">
        <f t="shared" si="516"/>
        <v>3.5627587912767834E-4</v>
      </c>
      <c r="AK1340" s="27">
        <f t="shared" si="516"/>
        <v>3.6120175671800533E-4</v>
      </c>
      <c r="AL1340" s="27">
        <f t="shared" si="516"/>
        <v>3.661009029251144E-4</v>
      </c>
      <c r="AM1340" s="27">
        <f t="shared" si="516"/>
        <v>3.7098694469437114E-4</v>
      </c>
      <c r="AN1340" s="27">
        <f t="shared" si="516"/>
        <v>3.7615623039514106E-4</v>
      </c>
      <c r="AO1340" s="27">
        <f t="shared" si="516"/>
        <v>3.8111759701456354E-4</v>
      </c>
      <c r="AP1340" s="27">
        <f t="shared" si="516"/>
        <v>3.8627162040718048E-4</v>
      </c>
      <c r="AQ1340" s="27">
        <f t="shared" si="516"/>
        <v>3.916418071339122E-4</v>
      </c>
      <c r="AR1340" s="27">
        <f t="shared" si="516"/>
        <v>3.9726595823702738E-4</v>
      </c>
      <c r="AS1340" s="27">
        <f t="shared" si="516"/>
        <v>4.0298959316573016E-4</v>
      </c>
      <c r="AT1340" s="27">
        <f t="shared" si="516"/>
        <v>4.0434662126605264E-4</v>
      </c>
      <c r="AU1340" s="27">
        <f t="shared" si="516"/>
        <v>4.0531241401388569E-4</v>
      </c>
      <c r="AV1340" s="27">
        <f t="shared" si="516"/>
        <v>4.0570811694817522E-4</v>
      </c>
      <c r="AW1340" s="27">
        <f t="shared" si="516"/>
        <v>4.0594705306212152E-4</v>
      </c>
      <c r="AY1340" s="79"/>
      <c r="AZ1340" s="79"/>
    </row>
    <row r="1341" spans="1:52" x14ac:dyDescent="0.3">
      <c r="A1341" s="95" t="str">
        <f t="shared" si="514"/>
        <v>FSFAGSPQNIBDDSCM MM Volatilisation</v>
      </c>
      <c r="B1341" s="95" t="s">
        <v>1375</v>
      </c>
      <c r="C1341" s="95" t="s">
        <v>1332</v>
      </c>
      <c r="D1341" t="s">
        <v>369</v>
      </c>
      <c r="E1341" t="s">
        <v>64</v>
      </c>
      <c r="F1341" t="s">
        <v>62</v>
      </c>
      <c r="G1341" t="s">
        <v>1158</v>
      </c>
      <c r="H1341" t="s">
        <v>1293</v>
      </c>
      <c r="I1341" t="s">
        <v>139</v>
      </c>
      <c r="J1341" t="s">
        <v>287</v>
      </c>
      <c r="K1341" s="27">
        <f t="shared" ref="K1341:AW1341" si="517">IFERROR(K1534-((K1534-K125)+(K1534-K278)+(K1534-K431)+(K1534-K583)+(K1534-K735)+(K1534-K886)+(K1534-K1037)+(K1534-K1188)),0)</f>
        <v>3.2323215352203891E-3</v>
      </c>
      <c r="L1341" s="27">
        <f t="shared" si="517"/>
        <v>3.2042886428129448E-3</v>
      </c>
      <c r="M1341" s="27">
        <f t="shared" si="517"/>
        <v>3.193617369300608E-3</v>
      </c>
      <c r="N1341" s="27">
        <f t="shared" si="517"/>
        <v>3.150970789688672E-3</v>
      </c>
      <c r="O1341" s="27">
        <f t="shared" si="517"/>
        <v>3.0890682378804119E-3</v>
      </c>
      <c r="P1341" s="27">
        <f t="shared" si="517"/>
        <v>3.0091897617382942E-3</v>
      </c>
      <c r="Q1341" s="27">
        <f t="shared" si="517"/>
        <v>2.9461872714039495E-3</v>
      </c>
      <c r="R1341" s="27">
        <f t="shared" si="517"/>
        <v>2.8865797531671877E-3</v>
      </c>
      <c r="S1341" s="27">
        <f t="shared" si="517"/>
        <v>2.5393486840215836E-3</v>
      </c>
      <c r="T1341" s="27">
        <f t="shared" si="517"/>
        <v>2.580595358897255E-3</v>
      </c>
      <c r="U1341" s="27">
        <f t="shared" si="517"/>
        <v>2.657542332078646E-3</v>
      </c>
      <c r="V1341" s="27">
        <f t="shared" si="517"/>
        <v>2.672909531392759E-3</v>
      </c>
      <c r="W1341" s="27">
        <f t="shared" si="517"/>
        <v>2.69507345244463E-3</v>
      </c>
      <c r="X1341" s="27">
        <f t="shared" si="517"/>
        <v>2.7259926112042248E-3</v>
      </c>
      <c r="Y1341" s="27">
        <f t="shared" si="517"/>
        <v>2.7614582970453471E-3</v>
      </c>
      <c r="Z1341" s="27">
        <f t="shared" si="517"/>
        <v>2.8030399515039583E-3</v>
      </c>
      <c r="AA1341" s="27">
        <f t="shared" si="517"/>
        <v>2.8448133898556971E-3</v>
      </c>
      <c r="AB1341" s="27">
        <f t="shared" si="517"/>
        <v>2.8917956180905236E-3</v>
      </c>
      <c r="AC1341" s="27">
        <f t="shared" si="517"/>
        <v>2.9383115991341744E-3</v>
      </c>
      <c r="AD1341" s="27">
        <f t="shared" si="517"/>
        <v>2.9686122408824826E-3</v>
      </c>
      <c r="AE1341" s="27">
        <f t="shared" si="517"/>
        <v>2.9934911793624186E-3</v>
      </c>
      <c r="AF1341" s="27">
        <f t="shared" si="517"/>
        <v>3.0197743682154753E-3</v>
      </c>
      <c r="AG1341" s="27">
        <f t="shared" si="517"/>
        <v>3.0549409795984986E-3</v>
      </c>
      <c r="AH1341" s="27">
        <f t="shared" si="517"/>
        <v>3.0802316239663852E-3</v>
      </c>
      <c r="AI1341" s="27">
        <f t="shared" si="517"/>
        <v>3.1071852189437066E-3</v>
      </c>
      <c r="AJ1341" s="27">
        <f t="shared" si="517"/>
        <v>3.1368555493036434E-3</v>
      </c>
      <c r="AK1341" s="27">
        <f t="shared" si="517"/>
        <v>3.1553441150186925E-3</v>
      </c>
      <c r="AL1341" s="27">
        <f t="shared" si="517"/>
        <v>3.1692145745473945E-3</v>
      </c>
      <c r="AM1341" s="27">
        <f t="shared" si="517"/>
        <v>3.1788623674795236E-3</v>
      </c>
      <c r="AN1341" s="27">
        <f t="shared" si="517"/>
        <v>3.2088548057950931E-3</v>
      </c>
      <c r="AO1341" s="27">
        <f t="shared" si="517"/>
        <v>3.2316528557922693E-3</v>
      </c>
      <c r="AP1341" s="27">
        <f t="shared" si="517"/>
        <v>3.2547386832550949E-3</v>
      </c>
      <c r="AQ1341" s="27">
        <f t="shared" si="517"/>
        <v>3.2783763796135966E-3</v>
      </c>
      <c r="AR1341" s="27">
        <f t="shared" si="517"/>
        <v>3.3030426066013221E-3</v>
      </c>
      <c r="AS1341" s="27">
        <f t="shared" si="517"/>
        <v>3.3283682698185247E-3</v>
      </c>
      <c r="AT1341" s="27">
        <f t="shared" si="517"/>
        <v>3.2784104491001818E-3</v>
      </c>
      <c r="AU1341" s="27">
        <f t="shared" si="517"/>
        <v>3.2218166400979921E-3</v>
      </c>
      <c r="AV1341" s="27">
        <f t="shared" si="517"/>
        <v>3.1562062621096833E-3</v>
      </c>
      <c r="AW1341" s="27">
        <f t="shared" si="517"/>
        <v>3.0885397025865453E-3</v>
      </c>
      <c r="AY1341" s="79"/>
      <c r="AZ1341" s="79"/>
    </row>
    <row r="1342" spans="1:52" x14ac:dyDescent="0.3">
      <c r="A1342" s="95" t="str">
        <f t="shared" si="514"/>
        <v>FSFAGSPQNIBDDSCM MM Volatilisation</v>
      </c>
      <c r="B1342" s="95" t="s">
        <v>1375</v>
      </c>
      <c r="C1342" s="95" t="s">
        <v>1332</v>
      </c>
      <c r="D1342" t="s">
        <v>369</v>
      </c>
      <c r="E1342" t="s">
        <v>64</v>
      </c>
      <c r="F1342" t="s">
        <v>62</v>
      </c>
      <c r="G1342" t="s">
        <v>1160</v>
      </c>
      <c r="H1342" t="s">
        <v>1294</v>
      </c>
      <c r="I1342" t="s">
        <v>139</v>
      </c>
      <c r="J1342" t="s">
        <v>287</v>
      </c>
      <c r="K1342" s="27">
        <f t="shared" ref="K1342:AW1342" si="518">IFERROR(K1535-((K1535-K126)+(K1535-K279)+(K1535-K432)+(K1535-K584)+(K1535-K736)+(K1535-K887)+(K1535-K1038)+(K1535-K1189)),0)</f>
        <v>1.6090517274103575E-2</v>
      </c>
      <c r="L1342" s="27">
        <f t="shared" si="518"/>
        <v>1.5950969356419605E-2</v>
      </c>
      <c r="M1342" s="27">
        <f t="shared" si="518"/>
        <v>1.5897847688628834E-2</v>
      </c>
      <c r="N1342" s="27">
        <f t="shared" si="518"/>
        <v>1.5685552742581484E-2</v>
      </c>
      <c r="O1342" s="27">
        <f t="shared" si="518"/>
        <v>1.5377401443792458E-2</v>
      </c>
      <c r="P1342" s="27">
        <f t="shared" si="518"/>
        <v>1.4979765878707444E-2</v>
      </c>
      <c r="Q1342" s="27">
        <f t="shared" si="518"/>
        <v>1.4666139078901097E-2</v>
      </c>
      <c r="R1342" s="27">
        <f t="shared" si="518"/>
        <v>1.4369412471908495E-2</v>
      </c>
      <c r="S1342" s="27">
        <f t="shared" si="518"/>
        <v>1.2640893989042949E-2</v>
      </c>
      <c r="T1342" s="27">
        <f t="shared" si="518"/>
        <v>1.284622020036031E-2</v>
      </c>
      <c r="U1342" s="27">
        <f t="shared" si="518"/>
        <v>1.322926272495888E-2</v>
      </c>
      <c r="V1342" s="27">
        <f t="shared" si="518"/>
        <v>1.3305760741422912E-2</v>
      </c>
      <c r="W1342" s="27">
        <f t="shared" si="518"/>
        <v>1.3416092882164809E-2</v>
      </c>
      <c r="X1342" s="27">
        <f t="shared" si="518"/>
        <v>1.3570008652208428E-2</v>
      </c>
      <c r="Y1342" s="27">
        <f t="shared" si="518"/>
        <v>1.3746557063140447E-2</v>
      </c>
      <c r="Z1342" s="27">
        <f t="shared" si="518"/>
        <v>1.3953550804963992E-2</v>
      </c>
      <c r="AA1342" s="27">
        <f t="shared" si="518"/>
        <v>1.4161499248234047E-2</v>
      </c>
      <c r="AB1342" s="27">
        <f t="shared" si="518"/>
        <v>1.439537708085406E-2</v>
      </c>
      <c r="AC1342" s="27">
        <f t="shared" si="518"/>
        <v>1.4626933931974607E-2</v>
      </c>
      <c r="AD1342" s="27">
        <f t="shared" si="518"/>
        <v>1.4777770720380409E-2</v>
      </c>
      <c r="AE1342" s="27">
        <f t="shared" si="518"/>
        <v>1.4901618235242655E-2</v>
      </c>
      <c r="AF1342" s="27">
        <f t="shared" si="518"/>
        <v>1.5032456117442953E-2</v>
      </c>
      <c r="AG1342" s="27">
        <f t="shared" si="518"/>
        <v>1.5207515733809875E-2</v>
      </c>
      <c r="AH1342" s="27">
        <f t="shared" si="518"/>
        <v>1.5333412723215338E-2</v>
      </c>
      <c r="AI1342" s="27">
        <f t="shared" si="518"/>
        <v>1.5467587891389686E-2</v>
      </c>
      <c r="AJ1342" s="27">
        <f t="shared" si="518"/>
        <v>1.5615286985673127E-2</v>
      </c>
      <c r="AK1342" s="27">
        <f t="shared" si="518"/>
        <v>1.5707323184043206E-2</v>
      </c>
      <c r="AL1342" s="27">
        <f t="shared" si="518"/>
        <v>1.5776370420283306E-2</v>
      </c>
      <c r="AM1342" s="27">
        <f t="shared" si="518"/>
        <v>1.5824397195200308E-2</v>
      </c>
      <c r="AN1342" s="27">
        <f t="shared" si="518"/>
        <v>1.5973699744946876E-2</v>
      </c>
      <c r="AO1342" s="27">
        <f t="shared" si="518"/>
        <v>1.608718858363397E-2</v>
      </c>
      <c r="AP1342" s="27">
        <f t="shared" si="518"/>
        <v>1.6202109980385494E-2</v>
      </c>
      <c r="AQ1342" s="27">
        <f t="shared" si="518"/>
        <v>1.6319778584029082E-2</v>
      </c>
      <c r="AR1342" s="27">
        <f t="shared" si="518"/>
        <v>1.6442567219722745E-2</v>
      </c>
      <c r="AS1342" s="27">
        <f t="shared" si="518"/>
        <v>1.6568638533184063E-2</v>
      </c>
      <c r="AT1342" s="27">
        <f t="shared" si="518"/>
        <v>1.6319948182151194E-2</v>
      </c>
      <c r="AU1342" s="27">
        <f t="shared" si="518"/>
        <v>1.603822383900198E-2</v>
      </c>
      <c r="AV1342" s="27">
        <f t="shared" si="518"/>
        <v>1.5711614957775871E-2</v>
      </c>
      <c r="AW1342" s="27">
        <f t="shared" si="518"/>
        <v>1.5374770391719434E-2</v>
      </c>
      <c r="AY1342" s="79"/>
      <c r="AZ1342" s="79"/>
    </row>
    <row r="1343" spans="1:52" x14ac:dyDescent="0.3">
      <c r="A1343" s="95" t="str">
        <f t="shared" si="514"/>
        <v>FSFAGSPQNIBDDSCM MM Volatilisation</v>
      </c>
      <c r="B1343" s="95" t="s">
        <v>1375</v>
      </c>
      <c r="C1343" s="95" t="s">
        <v>1332</v>
      </c>
      <c r="D1343" t="s">
        <v>369</v>
      </c>
      <c r="E1343" t="s">
        <v>64</v>
      </c>
      <c r="F1343" t="s">
        <v>62</v>
      </c>
      <c r="G1343" t="s">
        <v>1162</v>
      </c>
      <c r="H1343" t="s">
        <v>1295</v>
      </c>
      <c r="I1343" t="s">
        <v>139</v>
      </c>
      <c r="J1343" t="s">
        <v>287</v>
      </c>
      <c r="K1343" s="27">
        <f t="shared" ref="K1343:AW1343" si="519">IFERROR(K1536-((K1536-K127)+(K1536-K280)+(K1536-K433)+(K1536-K585)+(K1536-K737)+(K1536-K888)+(K1536-K1039)+(K1536-K1190)),0)</f>
        <v>0.15836052531214873</v>
      </c>
      <c r="L1343" s="27">
        <f t="shared" si="519"/>
        <v>0.16370016056893641</v>
      </c>
      <c r="M1343" s="27">
        <f t="shared" si="519"/>
        <v>0.17003774892948584</v>
      </c>
      <c r="N1343" s="27">
        <f t="shared" si="519"/>
        <v>0.17476418316081974</v>
      </c>
      <c r="O1343" s="27">
        <f t="shared" si="519"/>
        <v>0.1784091501709566</v>
      </c>
      <c r="P1343" s="27">
        <f t="shared" si="519"/>
        <v>0.18092055691117107</v>
      </c>
      <c r="Q1343" s="27">
        <f t="shared" si="519"/>
        <v>0.18434967364231716</v>
      </c>
      <c r="R1343" s="27">
        <f t="shared" si="519"/>
        <v>0.18794438918293385</v>
      </c>
      <c r="S1343" s="27">
        <f t="shared" si="519"/>
        <v>0.17201843471628311</v>
      </c>
      <c r="T1343" s="27">
        <f t="shared" si="519"/>
        <v>0.17902423727078304</v>
      </c>
      <c r="U1343" s="27">
        <f t="shared" si="519"/>
        <v>0.18874308750279975</v>
      </c>
      <c r="V1343" s="27">
        <f t="shared" si="519"/>
        <v>0.19428798010301845</v>
      </c>
      <c r="W1343" s="27">
        <f t="shared" si="519"/>
        <v>0.20044069379465723</v>
      </c>
      <c r="X1343" s="27">
        <f t="shared" si="519"/>
        <v>0.20738925990441343</v>
      </c>
      <c r="Y1343" s="27">
        <f t="shared" si="519"/>
        <v>0.21485625224208699</v>
      </c>
      <c r="Z1343" s="27">
        <f t="shared" si="519"/>
        <v>0.22299569523633012</v>
      </c>
      <c r="AA1343" s="27">
        <f t="shared" si="519"/>
        <v>0.23136404347242787</v>
      </c>
      <c r="AB1343" s="27">
        <f t="shared" si="519"/>
        <v>0.24038568507894228</v>
      </c>
      <c r="AC1343" s="27">
        <f t="shared" si="519"/>
        <v>0.24961351882279642</v>
      </c>
      <c r="AD1343" s="27">
        <f t="shared" si="519"/>
        <v>0.26055082309019489</v>
      </c>
      <c r="AE1343" s="27">
        <f t="shared" si="519"/>
        <v>0.27146409989499087</v>
      </c>
      <c r="AF1343" s="27">
        <f t="shared" si="519"/>
        <v>0.28296976129835516</v>
      </c>
      <c r="AG1343" s="27">
        <f t="shared" si="519"/>
        <v>0.29583119296374027</v>
      </c>
      <c r="AH1343" s="27">
        <f t="shared" si="519"/>
        <v>0.30828569818364093</v>
      </c>
      <c r="AI1343" s="27">
        <f t="shared" si="519"/>
        <v>0.32146078881891821</v>
      </c>
      <c r="AJ1343" s="27">
        <f t="shared" si="519"/>
        <v>0.33551892419975027</v>
      </c>
      <c r="AK1343" s="27">
        <f t="shared" si="519"/>
        <v>0.34898799967344624</v>
      </c>
      <c r="AL1343" s="27">
        <f t="shared" si="519"/>
        <v>0.36253110288155638</v>
      </c>
      <c r="AM1343" s="27">
        <f t="shared" si="519"/>
        <v>0.3761776209722954</v>
      </c>
      <c r="AN1343" s="27">
        <f t="shared" si="519"/>
        <v>0.39044092384449941</v>
      </c>
      <c r="AO1343" s="27">
        <f t="shared" si="519"/>
        <v>0.40434790587507169</v>
      </c>
      <c r="AP1343" s="27">
        <f t="shared" si="519"/>
        <v>0.41881133165575385</v>
      </c>
      <c r="AQ1343" s="27">
        <f t="shared" si="519"/>
        <v>0.43389523168298461</v>
      </c>
      <c r="AR1343" s="27">
        <f t="shared" si="519"/>
        <v>0.44969846219520337</v>
      </c>
      <c r="AS1343" s="27">
        <f t="shared" si="519"/>
        <v>0.46621113351536414</v>
      </c>
      <c r="AT1343" s="27">
        <f t="shared" si="519"/>
        <v>0.47252748572368597</v>
      </c>
      <c r="AU1343" s="27">
        <f t="shared" si="519"/>
        <v>0.47791554113176593</v>
      </c>
      <c r="AV1343" s="27">
        <f t="shared" si="519"/>
        <v>0.48192801076931108</v>
      </c>
      <c r="AW1343" s="27">
        <f t="shared" si="519"/>
        <v>0.48553688587906652</v>
      </c>
      <c r="AY1343" s="79"/>
      <c r="AZ1343" s="79"/>
    </row>
    <row r="1344" spans="1:52" x14ac:dyDescent="0.3">
      <c r="A1344" s="95" t="str">
        <f t="shared" si="514"/>
        <v>FSFAGSPQNIBDDSCM MM Volatilisation</v>
      </c>
      <c r="B1344" s="95" t="s">
        <v>1375</v>
      </c>
      <c r="C1344" s="95" t="s">
        <v>1332</v>
      </c>
      <c r="D1344" t="s">
        <v>369</v>
      </c>
      <c r="E1344" t="s">
        <v>64</v>
      </c>
      <c r="F1344" t="s">
        <v>62</v>
      </c>
      <c r="G1344" t="s">
        <v>1164</v>
      </c>
      <c r="H1344" t="s">
        <v>1296</v>
      </c>
      <c r="I1344" t="s">
        <v>139</v>
      </c>
      <c r="J1344" t="s">
        <v>287</v>
      </c>
      <c r="K1344" s="27">
        <f t="shared" ref="K1344:AW1344" si="520">IFERROR(K1537-((K1537-K128)+(K1537-K281)+(K1537-K434)+(K1537-K586)+(K1537-K738)+(K1537-K889)+(K1537-K1040)+(K1537-K1191)),0)</f>
        <v>1.1718831875652189E-4</v>
      </c>
      <c r="L1344" s="27">
        <f t="shared" si="520"/>
        <v>1.1725168210757805E-4</v>
      </c>
      <c r="M1344" s="27">
        <f t="shared" si="520"/>
        <v>1.1740318150277543E-4</v>
      </c>
      <c r="N1344" s="27">
        <f t="shared" si="520"/>
        <v>1.1762656857541023E-4</v>
      </c>
      <c r="O1344" s="27">
        <f t="shared" si="520"/>
        <v>1.179204237689029E-4</v>
      </c>
      <c r="P1344" s="27">
        <f t="shared" si="520"/>
        <v>1.1828164409401504E-4</v>
      </c>
      <c r="Q1344" s="27">
        <f t="shared" si="520"/>
        <v>1.1868734382429133E-4</v>
      </c>
      <c r="R1344" s="27">
        <f t="shared" si="520"/>
        <v>1.1913496163447935E-4</v>
      </c>
      <c r="S1344" s="27">
        <f t="shared" si="520"/>
        <v>1.1954428347803586E-4</v>
      </c>
      <c r="T1344" s="27">
        <f t="shared" si="520"/>
        <v>1.1972414940561896E-4</v>
      </c>
      <c r="U1344" s="27">
        <f t="shared" si="520"/>
        <v>1.1994380434419684E-4</v>
      </c>
      <c r="V1344" s="27">
        <f t="shared" si="520"/>
        <v>1.201746788301286E-4</v>
      </c>
      <c r="W1344" s="27">
        <f t="shared" si="520"/>
        <v>1.2043388472990403E-4</v>
      </c>
      <c r="X1344" s="27">
        <f t="shared" si="520"/>
        <v>1.207206967802894E-4</v>
      </c>
      <c r="Y1344" s="27">
        <f t="shared" si="520"/>
        <v>1.2089981812671622E-4</v>
      </c>
      <c r="Z1344" s="27">
        <f t="shared" si="520"/>
        <v>1.2110217984152869E-4</v>
      </c>
      <c r="AA1344" s="27">
        <f t="shared" si="520"/>
        <v>1.2132504756910802E-4</v>
      </c>
      <c r="AB1344" s="27">
        <f t="shared" si="520"/>
        <v>1.2156903411725496E-4</v>
      </c>
      <c r="AC1344" s="27">
        <f t="shared" si="520"/>
        <v>1.2183162117803533E-4</v>
      </c>
      <c r="AD1344" s="27">
        <f t="shared" si="520"/>
        <v>1.2200776858907327E-4</v>
      </c>
      <c r="AE1344" s="27">
        <f t="shared" si="520"/>
        <v>1.2219899661673858E-4</v>
      </c>
      <c r="AF1344" s="27">
        <f t="shared" si="520"/>
        <v>1.2240684242118336E-4</v>
      </c>
      <c r="AG1344" s="27">
        <f t="shared" si="520"/>
        <v>1.2263333491271974E-4</v>
      </c>
      <c r="AH1344" s="27">
        <f t="shared" si="520"/>
        <v>1.2287167298468532E-4</v>
      </c>
      <c r="AI1344" s="27">
        <f t="shared" si="520"/>
        <v>1.2302401792252464E-4</v>
      </c>
      <c r="AJ1344" s="27">
        <f t="shared" si="520"/>
        <v>1.2319088645114677E-4</v>
      </c>
      <c r="AK1344" s="27">
        <f t="shared" si="520"/>
        <v>1.2336677489796816E-4</v>
      </c>
      <c r="AL1344" s="27">
        <f t="shared" si="520"/>
        <v>1.2355355577482136E-4</v>
      </c>
      <c r="AM1344" s="27">
        <f t="shared" si="520"/>
        <v>1.2375094588099321E-4</v>
      </c>
      <c r="AN1344" s="27">
        <f t="shared" si="520"/>
        <v>1.2386757855810271E-4</v>
      </c>
      <c r="AO1344" s="27">
        <f t="shared" si="520"/>
        <v>1.2399208535623994E-4</v>
      </c>
      <c r="AP1344" s="27">
        <f t="shared" si="520"/>
        <v>1.2412714040619619E-4</v>
      </c>
      <c r="AQ1344" s="27">
        <f t="shared" si="520"/>
        <v>1.242726131383893E-4</v>
      </c>
      <c r="AR1344" s="27">
        <f t="shared" si="520"/>
        <v>1.2442850053815514E-4</v>
      </c>
      <c r="AS1344" s="27">
        <f t="shared" si="520"/>
        <v>1.2449922291454818E-4</v>
      </c>
      <c r="AT1344" s="27">
        <f t="shared" si="520"/>
        <v>1.2454479881058539E-4</v>
      </c>
      <c r="AU1344" s="27">
        <f t="shared" si="520"/>
        <v>1.2459475860623469E-4</v>
      </c>
      <c r="AV1344" s="27">
        <f t="shared" si="520"/>
        <v>1.2464752954530566E-4</v>
      </c>
      <c r="AW1344" s="27">
        <f t="shared" si="520"/>
        <v>1.2470598620434531E-4</v>
      </c>
      <c r="AY1344" s="79"/>
      <c r="AZ1344" s="79"/>
    </row>
    <row r="1345" spans="1:52" x14ac:dyDescent="0.3">
      <c r="A1345" s="95" t="str">
        <f t="shared" si="514"/>
        <v>FSFAGSPQNIBDDSCM MM Volatilisation</v>
      </c>
      <c r="B1345" s="95" t="s">
        <v>1375</v>
      </c>
      <c r="C1345" s="95" t="s">
        <v>1332</v>
      </c>
      <c r="D1345" t="s">
        <v>369</v>
      </c>
      <c r="E1345" t="s">
        <v>64</v>
      </c>
      <c r="F1345" t="s">
        <v>62</v>
      </c>
      <c r="G1345" t="s">
        <v>1166</v>
      </c>
      <c r="H1345" t="s">
        <v>1297</v>
      </c>
      <c r="I1345" t="s">
        <v>139</v>
      </c>
      <c r="J1345" t="s">
        <v>287</v>
      </c>
      <c r="K1345" s="27">
        <f t="shared" ref="K1345:AW1345" si="521">IFERROR(K1538-((K1538-K129)+(K1538-K282)+(K1538-K435)+(K1538-K587)+(K1538-K739)+(K1538-K890)+(K1538-K1041)+(K1538-K1192)),0)</f>
        <v>8.042066176599371E-4</v>
      </c>
      <c r="L1345" s="27">
        <f t="shared" si="521"/>
        <v>8.046414496191049E-4</v>
      </c>
      <c r="M1345" s="27">
        <f t="shared" si="521"/>
        <v>8.0568111652005547E-4</v>
      </c>
      <c r="N1345" s="27">
        <f t="shared" si="521"/>
        <v>8.0721411369945729E-4</v>
      </c>
      <c r="O1345" s="27">
        <f t="shared" si="521"/>
        <v>8.0923069942871869E-4</v>
      </c>
      <c r="P1345" s="27">
        <f t="shared" si="521"/>
        <v>8.117095793970544E-4</v>
      </c>
      <c r="Q1345" s="27">
        <f t="shared" si="521"/>
        <v>8.1449369995900982E-4</v>
      </c>
      <c r="R1345" s="27">
        <f t="shared" si="521"/>
        <v>8.1756548398113221E-4</v>
      </c>
      <c r="S1345" s="27">
        <f t="shared" si="521"/>
        <v>8.2037446135049667E-4</v>
      </c>
      <c r="T1345" s="27">
        <f t="shared" si="521"/>
        <v>8.2160879401085645E-4</v>
      </c>
      <c r="U1345" s="27">
        <f t="shared" si="521"/>
        <v>8.2311617936359845E-4</v>
      </c>
      <c r="V1345" s="27">
        <f t="shared" si="521"/>
        <v>8.2470055903049121E-4</v>
      </c>
      <c r="W1345" s="27">
        <f t="shared" si="521"/>
        <v>8.2647936345526477E-4</v>
      </c>
      <c r="X1345" s="27">
        <f t="shared" si="521"/>
        <v>8.2844761550796096E-4</v>
      </c>
      <c r="Y1345" s="27">
        <f t="shared" si="521"/>
        <v>8.2967683846882541E-4</v>
      </c>
      <c r="Z1345" s="27">
        <f t="shared" si="521"/>
        <v>8.3106554881077761E-4</v>
      </c>
      <c r="AA1345" s="27">
        <f t="shared" si="521"/>
        <v>8.3259498197684714E-4</v>
      </c>
      <c r="AB1345" s="27">
        <f t="shared" si="521"/>
        <v>8.3426934336987486E-4</v>
      </c>
      <c r="AC1345" s="27">
        <f t="shared" si="521"/>
        <v>8.3607135106340792E-4</v>
      </c>
      <c r="AD1345" s="27">
        <f t="shared" si="521"/>
        <v>8.3728016534748921E-4</v>
      </c>
      <c r="AE1345" s="27">
        <f t="shared" si="521"/>
        <v>8.3859247059226414E-4</v>
      </c>
      <c r="AF1345" s="27">
        <f t="shared" si="521"/>
        <v>8.4001881558262628E-4</v>
      </c>
      <c r="AG1345" s="27">
        <f t="shared" si="521"/>
        <v>8.4157312374641413E-4</v>
      </c>
      <c r="AH1345" s="27">
        <f t="shared" si="521"/>
        <v>8.4320872238584225E-4</v>
      </c>
      <c r="AI1345" s="27">
        <f t="shared" si="521"/>
        <v>8.4425419183601768E-4</v>
      </c>
      <c r="AJ1345" s="27">
        <f t="shared" si="521"/>
        <v>8.4539932964856662E-4</v>
      </c>
      <c r="AK1345" s="27">
        <f t="shared" si="521"/>
        <v>8.4660636678677789E-4</v>
      </c>
      <c r="AL1345" s="27">
        <f t="shared" si="521"/>
        <v>8.4788815339154825E-4</v>
      </c>
      <c r="AM1345" s="27">
        <f t="shared" si="521"/>
        <v>8.4924274599368159E-4</v>
      </c>
      <c r="AN1345" s="27">
        <f t="shared" si="521"/>
        <v>8.5004313951209814E-4</v>
      </c>
      <c r="AO1345" s="27">
        <f t="shared" si="521"/>
        <v>8.5089756930568201E-4</v>
      </c>
      <c r="AP1345" s="27">
        <f t="shared" si="521"/>
        <v>8.5182438663761119E-4</v>
      </c>
      <c r="AQ1345" s="27">
        <f t="shared" si="521"/>
        <v>8.5282269547214476E-4</v>
      </c>
      <c r="AR1345" s="27">
        <f t="shared" si="521"/>
        <v>8.5389247512110444E-4</v>
      </c>
      <c r="AS1345" s="27">
        <f t="shared" si="521"/>
        <v>8.5437780850343642E-4</v>
      </c>
      <c r="AT1345" s="27">
        <f t="shared" si="521"/>
        <v>8.5469057378232966E-4</v>
      </c>
      <c r="AU1345" s="27">
        <f t="shared" si="521"/>
        <v>8.5503342363890623E-4</v>
      </c>
      <c r="AV1345" s="27">
        <f t="shared" si="521"/>
        <v>8.5539556500991744E-4</v>
      </c>
      <c r="AW1345" s="27">
        <f t="shared" si="521"/>
        <v>8.5579672472058501E-4</v>
      </c>
      <c r="AY1345" s="79"/>
      <c r="AZ1345" s="79"/>
    </row>
    <row r="1346" spans="1:52" x14ac:dyDescent="0.3">
      <c r="A1346" s="95" t="str">
        <f t="shared" si="514"/>
        <v>FSFAGSPQNIBDDSCM MM Volatilisation</v>
      </c>
      <c r="B1346" s="95" t="s">
        <v>1375</v>
      </c>
      <c r="C1346" s="95" t="s">
        <v>1332</v>
      </c>
      <c r="D1346" t="s">
        <v>369</v>
      </c>
      <c r="E1346" t="s">
        <v>64</v>
      </c>
      <c r="F1346" t="s">
        <v>62</v>
      </c>
      <c r="G1346" t="s">
        <v>1168</v>
      </c>
      <c r="H1346" t="s">
        <v>1298</v>
      </c>
      <c r="I1346" t="s">
        <v>139</v>
      </c>
      <c r="J1346" t="s">
        <v>287</v>
      </c>
      <c r="K1346" s="27">
        <f t="shared" ref="K1346:AW1346" si="522">IFERROR(K1539-((K1539-K130)+(K1539-K283)+(K1539-K436)+(K1539-K588)+(K1539-K740)+(K1539-K891)+(K1539-K1042)+(K1539-K1193)),0)</f>
        <v>1.4486129996083085E-5</v>
      </c>
      <c r="L1346" s="27">
        <f t="shared" si="522"/>
        <v>1.4523786941695515E-5</v>
      </c>
      <c r="M1346" s="27">
        <f t="shared" si="522"/>
        <v>1.4575733367418309E-5</v>
      </c>
      <c r="N1346" s="27">
        <f t="shared" si="522"/>
        <v>1.4639017833045655E-5</v>
      </c>
      <c r="O1346" s="27">
        <f t="shared" si="522"/>
        <v>1.471355007817218E-5</v>
      </c>
      <c r="P1346" s="27">
        <f t="shared" si="522"/>
        <v>1.4798876460462532E-5</v>
      </c>
      <c r="Q1346" s="27">
        <f t="shared" si="522"/>
        <v>1.489070601115726E-5</v>
      </c>
      <c r="R1346" s="27">
        <f t="shared" si="522"/>
        <v>1.4988675221399694E-5</v>
      </c>
      <c r="S1346" s="27">
        <f t="shared" si="522"/>
        <v>1.5077522200056562E-5</v>
      </c>
      <c r="T1346" s="27">
        <f t="shared" si="522"/>
        <v>1.5120920467659651E-5</v>
      </c>
      <c r="U1346" s="27">
        <f t="shared" si="522"/>
        <v>1.5170664566545744E-5</v>
      </c>
      <c r="V1346" s="27">
        <f t="shared" si="522"/>
        <v>1.5221371307810579E-5</v>
      </c>
      <c r="W1346" s="27">
        <f t="shared" si="522"/>
        <v>1.5276366577947841E-5</v>
      </c>
      <c r="X1346" s="27">
        <f t="shared" si="522"/>
        <v>1.5335559486365855E-5</v>
      </c>
      <c r="Y1346" s="27">
        <f t="shared" si="522"/>
        <v>1.5373440359637545E-5</v>
      </c>
      <c r="Z1346" s="27">
        <f t="shared" si="522"/>
        <v>1.5414884136013281E-5</v>
      </c>
      <c r="AA1346" s="27">
        <f t="shared" si="522"/>
        <v>1.5459406079654033E-5</v>
      </c>
      <c r="AB1346" s="27">
        <f t="shared" si="522"/>
        <v>1.5507149153927191E-5</v>
      </c>
      <c r="AC1346" s="27">
        <f t="shared" si="522"/>
        <v>1.5557665060375898E-5</v>
      </c>
      <c r="AD1346" s="27">
        <f t="shared" si="522"/>
        <v>1.5591353436562986E-5</v>
      </c>
      <c r="AE1346" s="27">
        <f t="shared" si="522"/>
        <v>1.5627280085252664E-5</v>
      </c>
      <c r="AF1346" s="27">
        <f t="shared" si="522"/>
        <v>1.5665749106164008E-5</v>
      </c>
      <c r="AG1346" s="27">
        <f t="shared" si="522"/>
        <v>1.5707151218007595E-5</v>
      </c>
      <c r="AH1346" s="27">
        <f t="shared" si="522"/>
        <v>1.5750235619215941E-5</v>
      </c>
      <c r="AI1346" s="27">
        <f t="shared" si="522"/>
        <v>1.5776918897393027E-5</v>
      </c>
      <c r="AJ1346" s="27">
        <f t="shared" si="522"/>
        <v>1.5805875112600263E-5</v>
      </c>
      <c r="AK1346" s="27">
        <f t="shared" si="522"/>
        <v>1.5836097205917668E-5</v>
      </c>
      <c r="AL1346" s="27">
        <f t="shared" si="522"/>
        <v>1.5867941184595161E-5</v>
      </c>
      <c r="AM1346" s="27">
        <f t="shared" si="522"/>
        <v>1.5901363449816974E-5</v>
      </c>
      <c r="AN1346" s="27">
        <f t="shared" si="522"/>
        <v>1.5919623331121566E-5</v>
      </c>
      <c r="AO1346" s="27">
        <f t="shared" si="522"/>
        <v>1.5939033537312695E-5</v>
      </c>
      <c r="AP1346" s="27">
        <f t="shared" si="522"/>
        <v>1.5960089556991586E-5</v>
      </c>
      <c r="AQ1346" s="27">
        <f t="shared" si="522"/>
        <v>1.5982771280705936E-5</v>
      </c>
      <c r="AR1346" s="27">
        <f t="shared" si="522"/>
        <v>1.6007081325051207E-5</v>
      </c>
      <c r="AS1346" s="27">
        <f t="shared" si="522"/>
        <v>1.6015649873683189E-5</v>
      </c>
      <c r="AT1346" s="27">
        <f t="shared" si="522"/>
        <v>1.6019455168078908E-5</v>
      </c>
      <c r="AU1346" s="27">
        <f t="shared" si="522"/>
        <v>1.6023878849097448E-5</v>
      </c>
      <c r="AV1346" s="27">
        <f t="shared" si="522"/>
        <v>1.6028641289399774E-5</v>
      </c>
      <c r="AW1346" s="27">
        <f t="shared" si="522"/>
        <v>1.6034267352361545E-5</v>
      </c>
      <c r="AY1346" s="79"/>
      <c r="AZ1346" s="79"/>
    </row>
    <row r="1347" spans="1:52" x14ac:dyDescent="0.3">
      <c r="A1347" s="95" t="str">
        <f t="shared" si="514"/>
        <v>FSFAGSPQNIBDDSCM MM Volatilisation</v>
      </c>
      <c r="B1347" s="95" t="s">
        <v>1375</v>
      </c>
      <c r="C1347" s="95" t="s">
        <v>1332</v>
      </c>
      <c r="D1347" t="s">
        <v>369</v>
      </c>
      <c r="E1347" t="s">
        <v>64</v>
      </c>
      <c r="F1347" t="s">
        <v>62</v>
      </c>
      <c r="G1347" t="s">
        <v>1170</v>
      </c>
      <c r="H1347" t="s">
        <v>1299</v>
      </c>
      <c r="I1347" t="s">
        <v>139</v>
      </c>
      <c r="J1347" t="s">
        <v>287</v>
      </c>
      <c r="K1347" s="27">
        <f t="shared" ref="K1347:AW1347" si="523">IFERROR(K1540-((K1540-K131)+(K1540-K284)+(K1540-K437)+(K1540-K589)+(K1540-K741)+(K1540-K892)+(K1540-K1043)+(K1540-K1194)),0)</f>
        <v>1.4738364076719787E-3</v>
      </c>
      <c r="L1347" s="27">
        <f t="shared" si="523"/>
        <v>1.4776676709189833E-3</v>
      </c>
      <c r="M1347" s="27">
        <f t="shared" si="523"/>
        <v>1.4829527631761549E-3</v>
      </c>
      <c r="N1347" s="27">
        <f t="shared" si="523"/>
        <v>1.4893914013429305E-3</v>
      </c>
      <c r="O1347" s="27">
        <f t="shared" si="523"/>
        <v>1.4969744022163664E-3</v>
      </c>
      <c r="P1347" s="27">
        <f t="shared" si="523"/>
        <v>1.5056556116759296E-3</v>
      </c>
      <c r="Q1347" s="27">
        <f t="shared" si="523"/>
        <v>1.5149984613639169E-3</v>
      </c>
      <c r="R1347" s="27">
        <f t="shared" si="523"/>
        <v>1.5249659674490626E-3</v>
      </c>
      <c r="S1347" s="27">
        <f t="shared" si="523"/>
        <v>1.5340053666461951E-3</v>
      </c>
      <c r="T1347" s="27">
        <f t="shared" si="523"/>
        <v>1.5384207589449399E-3</v>
      </c>
      <c r="U1347" s="27">
        <f t="shared" si="523"/>
        <v>1.5434817838028542E-3</v>
      </c>
      <c r="V1347" s="27">
        <f t="shared" si="523"/>
        <v>1.5486407490620871E-3</v>
      </c>
      <c r="W1347" s="27">
        <f t="shared" si="523"/>
        <v>1.5542360344419619E-3</v>
      </c>
      <c r="X1347" s="27">
        <f t="shared" si="523"/>
        <v>1.5602583926236193E-3</v>
      </c>
      <c r="Y1347" s="27">
        <f t="shared" si="523"/>
        <v>1.5641124385418405E-3</v>
      </c>
      <c r="Z1347" s="27">
        <f t="shared" si="523"/>
        <v>1.5683289785363378E-3</v>
      </c>
      <c r="AA1347" s="27">
        <f t="shared" si="523"/>
        <v>1.5728586949958615E-3</v>
      </c>
      <c r="AB1347" s="27">
        <f t="shared" si="523"/>
        <v>1.5777161331865307E-3</v>
      </c>
      <c r="AC1347" s="27">
        <f t="shared" si="523"/>
        <v>1.5828556826804803E-3</v>
      </c>
      <c r="AD1347" s="27">
        <f t="shared" si="523"/>
        <v>1.5862831788684411E-3</v>
      </c>
      <c r="AE1347" s="27">
        <f t="shared" si="523"/>
        <v>1.5899383996112353E-3</v>
      </c>
      <c r="AF1347" s="27">
        <f t="shared" si="523"/>
        <v>1.5938522843825273E-3</v>
      </c>
      <c r="AG1347" s="27">
        <f t="shared" si="523"/>
        <v>1.5980645853770706E-3</v>
      </c>
      <c r="AH1347" s="27">
        <f t="shared" si="523"/>
        <v>1.6024480445287401E-3</v>
      </c>
      <c r="AI1347" s="27">
        <f t="shared" si="523"/>
        <v>1.6051628335623928E-3</v>
      </c>
      <c r="AJ1347" s="27">
        <f t="shared" si="523"/>
        <v>1.6081088739618883E-3</v>
      </c>
      <c r="AK1347" s="27">
        <f t="shared" si="523"/>
        <v>1.611183706333218E-3</v>
      </c>
      <c r="AL1347" s="27">
        <f t="shared" si="523"/>
        <v>1.6144235512850938E-3</v>
      </c>
      <c r="AM1347" s="27">
        <f t="shared" si="523"/>
        <v>1.6178239730212022E-3</v>
      </c>
      <c r="AN1347" s="27">
        <f t="shared" si="523"/>
        <v>1.6196817554567978E-3</v>
      </c>
      <c r="AO1347" s="27">
        <f t="shared" si="523"/>
        <v>1.6216565733393274E-3</v>
      </c>
      <c r="AP1347" s="27">
        <f t="shared" si="523"/>
        <v>1.623798838279086E-3</v>
      </c>
      <c r="AQ1347" s="27">
        <f t="shared" si="523"/>
        <v>1.6261065043160481E-3</v>
      </c>
      <c r="AR1347" s="27">
        <f t="shared" si="523"/>
        <v>1.6285798376658015E-3</v>
      </c>
      <c r="AS1347" s="27">
        <f t="shared" si="523"/>
        <v>1.6294516121796393E-3</v>
      </c>
      <c r="AT1347" s="27">
        <f t="shared" si="523"/>
        <v>1.6298387674394525E-3</v>
      </c>
      <c r="AU1347" s="27">
        <f t="shared" si="523"/>
        <v>1.630288838103102E-3</v>
      </c>
      <c r="AV1347" s="27">
        <f t="shared" si="523"/>
        <v>1.6307733745465026E-3</v>
      </c>
      <c r="AW1347" s="27">
        <f t="shared" si="523"/>
        <v>1.6313457770050716E-3</v>
      </c>
      <c r="AY1347" s="79"/>
      <c r="AZ1347" s="79"/>
    </row>
    <row r="1348" spans="1:52" x14ac:dyDescent="0.3">
      <c r="A1348" s="95" t="str">
        <f t="shared" si="514"/>
        <v>FSFAGSPQNIBDDSCM MM Volatilisation</v>
      </c>
      <c r="B1348" s="95" t="s">
        <v>1375</v>
      </c>
      <c r="C1348" s="95" t="s">
        <v>1332</v>
      </c>
      <c r="D1348" t="s">
        <v>369</v>
      </c>
      <c r="E1348" t="s">
        <v>64</v>
      </c>
      <c r="F1348" t="s">
        <v>62</v>
      </c>
      <c r="G1348" t="s">
        <v>1172</v>
      </c>
      <c r="H1348" t="s">
        <v>1300</v>
      </c>
      <c r="I1348" t="s">
        <v>139</v>
      </c>
      <c r="J1348" t="s">
        <v>287</v>
      </c>
      <c r="K1348" s="27">
        <f t="shared" ref="K1348:AW1348" si="524">IFERROR(K1541-((K1541-K132)+(K1541-K285)+(K1541-K438)+(K1541-K590)+(K1541-K742)+(K1541-K893)+(K1541-K1044)+(K1541-K1195)),0)</f>
        <v>0</v>
      </c>
      <c r="L1348" s="27">
        <f t="shared" si="524"/>
        <v>0</v>
      </c>
      <c r="M1348" s="27">
        <f t="shared" si="524"/>
        <v>0</v>
      </c>
      <c r="N1348" s="27">
        <f t="shared" si="524"/>
        <v>0</v>
      </c>
      <c r="O1348" s="27">
        <f t="shared" si="524"/>
        <v>0</v>
      </c>
      <c r="P1348" s="27">
        <f t="shared" si="524"/>
        <v>0</v>
      </c>
      <c r="Q1348" s="27">
        <f t="shared" si="524"/>
        <v>0</v>
      </c>
      <c r="R1348" s="27">
        <f t="shared" si="524"/>
        <v>0</v>
      </c>
      <c r="S1348" s="27">
        <f t="shared" si="524"/>
        <v>0</v>
      </c>
      <c r="T1348" s="27">
        <f t="shared" si="524"/>
        <v>0</v>
      </c>
      <c r="U1348" s="27">
        <f t="shared" si="524"/>
        <v>0</v>
      </c>
      <c r="V1348" s="27">
        <f t="shared" si="524"/>
        <v>0</v>
      </c>
      <c r="W1348" s="27">
        <f t="shared" si="524"/>
        <v>0</v>
      </c>
      <c r="X1348" s="27">
        <f t="shared" si="524"/>
        <v>0</v>
      </c>
      <c r="Y1348" s="27">
        <f t="shared" si="524"/>
        <v>0</v>
      </c>
      <c r="Z1348" s="27">
        <f t="shared" si="524"/>
        <v>0</v>
      </c>
      <c r="AA1348" s="27">
        <f t="shared" si="524"/>
        <v>0</v>
      </c>
      <c r="AB1348" s="27">
        <f t="shared" si="524"/>
        <v>0</v>
      </c>
      <c r="AC1348" s="27">
        <f t="shared" si="524"/>
        <v>0</v>
      </c>
      <c r="AD1348" s="27">
        <f t="shared" si="524"/>
        <v>0</v>
      </c>
      <c r="AE1348" s="27">
        <f t="shared" si="524"/>
        <v>0</v>
      </c>
      <c r="AF1348" s="27">
        <f t="shared" si="524"/>
        <v>0</v>
      </c>
      <c r="AG1348" s="27">
        <f t="shared" si="524"/>
        <v>0</v>
      </c>
      <c r="AH1348" s="27">
        <f t="shared" si="524"/>
        <v>0</v>
      </c>
      <c r="AI1348" s="27">
        <f t="shared" si="524"/>
        <v>0</v>
      </c>
      <c r="AJ1348" s="27">
        <f t="shared" si="524"/>
        <v>0</v>
      </c>
      <c r="AK1348" s="27">
        <f t="shared" si="524"/>
        <v>0</v>
      </c>
      <c r="AL1348" s="27">
        <f t="shared" si="524"/>
        <v>0</v>
      </c>
      <c r="AM1348" s="27">
        <f t="shared" si="524"/>
        <v>0</v>
      </c>
      <c r="AN1348" s="27">
        <f t="shared" si="524"/>
        <v>0</v>
      </c>
      <c r="AO1348" s="27">
        <f t="shared" si="524"/>
        <v>0</v>
      </c>
      <c r="AP1348" s="27">
        <f t="shared" si="524"/>
        <v>0</v>
      </c>
      <c r="AQ1348" s="27">
        <f t="shared" si="524"/>
        <v>0</v>
      </c>
      <c r="AR1348" s="27">
        <f t="shared" si="524"/>
        <v>0</v>
      </c>
      <c r="AS1348" s="27">
        <f t="shared" si="524"/>
        <v>0</v>
      </c>
      <c r="AT1348" s="27">
        <f t="shared" si="524"/>
        <v>0</v>
      </c>
      <c r="AU1348" s="27">
        <f t="shared" si="524"/>
        <v>0</v>
      </c>
      <c r="AV1348" s="27">
        <f t="shared" si="524"/>
        <v>0</v>
      </c>
      <c r="AW1348" s="27">
        <f t="shared" si="524"/>
        <v>0</v>
      </c>
      <c r="AY1348" s="79"/>
      <c r="AZ1348" s="79"/>
    </row>
    <row r="1349" spans="1:52" x14ac:dyDescent="0.3">
      <c r="A1349" s="95" t="str">
        <f t="shared" si="514"/>
        <v>FSFAGSPQNIBDDSCM MM Volatilisation</v>
      </c>
      <c r="B1349" s="95" t="s">
        <v>1375</v>
      </c>
      <c r="C1349" s="95" t="s">
        <v>1332</v>
      </c>
      <c r="D1349" t="s">
        <v>369</v>
      </c>
      <c r="E1349" t="s">
        <v>64</v>
      </c>
      <c r="F1349" t="s">
        <v>62</v>
      </c>
      <c r="G1349" t="s">
        <v>1174</v>
      </c>
      <c r="H1349" t="s">
        <v>1301</v>
      </c>
      <c r="I1349" t="s">
        <v>139</v>
      </c>
      <c r="J1349" t="s">
        <v>287</v>
      </c>
      <c r="K1349" s="27">
        <f t="shared" ref="K1349:AW1349" si="525">IFERROR(K1542-((K1542-K133)+(K1542-K286)+(K1542-K439)+(K1542-K591)+(K1542-K743)+(K1542-K894)+(K1542-K1045)+(K1542-K1196)),0)</f>
        <v>0</v>
      </c>
      <c r="L1349" s="27">
        <f t="shared" si="525"/>
        <v>0</v>
      </c>
      <c r="M1349" s="27">
        <f t="shared" si="525"/>
        <v>0</v>
      </c>
      <c r="N1349" s="27">
        <f t="shared" si="525"/>
        <v>0</v>
      </c>
      <c r="O1349" s="27">
        <f t="shared" si="525"/>
        <v>0</v>
      </c>
      <c r="P1349" s="27">
        <f t="shared" si="525"/>
        <v>0</v>
      </c>
      <c r="Q1349" s="27">
        <f t="shared" si="525"/>
        <v>0</v>
      </c>
      <c r="R1349" s="27">
        <f t="shared" si="525"/>
        <v>0</v>
      </c>
      <c r="S1349" s="27">
        <f t="shared" si="525"/>
        <v>0</v>
      </c>
      <c r="T1349" s="27">
        <f t="shared" si="525"/>
        <v>0</v>
      </c>
      <c r="U1349" s="27">
        <f t="shared" si="525"/>
        <v>0</v>
      </c>
      <c r="V1349" s="27">
        <f t="shared" si="525"/>
        <v>0</v>
      </c>
      <c r="W1349" s="27">
        <f t="shared" si="525"/>
        <v>0</v>
      </c>
      <c r="X1349" s="27">
        <f t="shared" si="525"/>
        <v>0</v>
      </c>
      <c r="Y1349" s="27">
        <f t="shared" si="525"/>
        <v>0</v>
      </c>
      <c r="Z1349" s="27">
        <f t="shared" si="525"/>
        <v>0</v>
      </c>
      <c r="AA1349" s="27">
        <f t="shared" si="525"/>
        <v>0</v>
      </c>
      <c r="AB1349" s="27">
        <f t="shared" si="525"/>
        <v>0</v>
      </c>
      <c r="AC1349" s="27">
        <f t="shared" si="525"/>
        <v>0</v>
      </c>
      <c r="AD1349" s="27">
        <f t="shared" si="525"/>
        <v>0</v>
      </c>
      <c r="AE1349" s="27">
        <f t="shared" si="525"/>
        <v>0</v>
      </c>
      <c r="AF1349" s="27">
        <f t="shared" si="525"/>
        <v>0</v>
      </c>
      <c r="AG1349" s="27">
        <f t="shared" si="525"/>
        <v>0</v>
      </c>
      <c r="AH1349" s="27">
        <f t="shared" si="525"/>
        <v>0</v>
      </c>
      <c r="AI1349" s="27">
        <f t="shared" si="525"/>
        <v>0</v>
      </c>
      <c r="AJ1349" s="27">
        <f t="shared" si="525"/>
        <v>0</v>
      </c>
      <c r="AK1349" s="27">
        <f t="shared" si="525"/>
        <v>0</v>
      </c>
      <c r="AL1349" s="27">
        <f t="shared" si="525"/>
        <v>0</v>
      </c>
      <c r="AM1349" s="27">
        <f t="shared" si="525"/>
        <v>0</v>
      </c>
      <c r="AN1349" s="27">
        <f t="shared" si="525"/>
        <v>0</v>
      </c>
      <c r="AO1349" s="27">
        <f t="shared" si="525"/>
        <v>0</v>
      </c>
      <c r="AP1349" s="27">
        <f t="shared" si="525"/>
        <v>0</v>
      </c>
      <c r="AQ1349" s="27">
        <f t="shared" si="525"/>
        <v>0</v>
      </c>
      <c r="AR1349" s="27">
        <f t="shared" si="525"/>
        <v>0</v>
      </c>
      <c r="AS1349" s="27">
        <f t="shared" si="525"/>
        <v>0</v>
      </c>
      <c r="AT1349" s="27">
        <f t="shared" si="525"/>
        <v>0</v>
      </c>
      <c r="AU1349" s="27">
        <f t="shared" si="525"/>
        <v>0</v>
      </c>
      <c r="AV1349" s="27">
        <f t="shared" si="525"/>
        <v>0</v>
      </c>
      <c r="AW1349" s="27">
        <f t="shared" si="525"/>
        <v>0</v>
      </c>
      <c r="AY1349" s="79"/>
      <c r="AZ1349" s="79"/>
    </row>
    <row r="1350" spans="1:52" x14ac:dyDescent="0.3">
      <c r="A1350" s="95" t="str">
        <f t="shared" si="514"/>
        <v>FSFAGSPQNIBDDSCM MM Volatilisation</v>
      </c>
      <c r="B1350" s="95" t="s">
        <v>1375</v>
      </c>
      <c r="C1350" s="95" t="s">
        <v>1332</v>
      </c>
      <c r="D1350" t="s">
        <v>369</v>
      </c>
      <c r="E1350" t="s">
        <v>64</v>
      </c>
      <c r="F1350" t="s">
        <v>62</v>
      </c>
      <c r="G1350" t="s">
        <v>1176</v>
      </c>
      <c r="H1350" t="s">
        <v>1302</v>
      </c>
      <c r="I1350" t="s">
        <v>139</v>
      </c>
      <c r="J1350" t="s">
        <v>287</v>
      </c>
      <c r="K1350" s="27">
        <f t="shared" ref="K1350:AW1350" si="526">IFERROR(K1543-((K1543-K134)+(K1543-K287)+(K1543-K440)+(K1543-K592)+(K1543-K744)+(K1543-K895)+(K1543-K1046)+(K1543-K1197)),0)</f>
        <v>0.13075625264316332</v>
      </c>
      <c r="L1350" s="27">
        <f t="shared" si="526"/>
        <v>0.13004550543955862</v>
      </c>
      <c r="M1350" s="27">
        <f t="shared" si="526"/>
        <v>0.13010384136507711</v>
      </c>
      <c r="N1350" s="27">
        <f t="shared" si="526"/>
        <v>0.1289093884029483</v>
      </c>
      <c r="O1350" s="27">
        <f t="shared" si="526"/>
        <v>0.12695857121838472</v>
      </c>
      <c r="P1350" s="27">
        <f t="shared" si="526"/>
        <v>0.12428257569245393</v>
      </c>
      <c r="Q1350" s="27">
        <f t="shared" si="526"/>
        <v>0.12233950618032063</v>
      </c>
      <c r="R1350" s="27">
        <f t="shared" si="526"/>
        <v>0.1205683722616282</v>
      </c>
      <c r="S1350" s="27">
        <f t="shared" si="526"/>
        <v>0.1064558326136491</v>
      </c>
      <c r="T1350" s="27">
        <f t="shared" si="526"/>
        <v>0.10780203870685764</v>
      </c>
      <c r="U1350" s="27">
        <f t="shared" si="526"/>
        <v>0.11069073271596624</v>
      </c>
      <c r="V1350" s="27">
        <f t="shared" si="526"/>
        <v>0.11095301112483856</v>
      </c>
      <c r="W1350" s="27">
        <f t="shared" si="526"/>
        <v>0.11152098959254672</v>
      </c>
      <c r="X1350" s="27">
        <f t="shared" si="526"/>
        <v>0.11247596118460781</v>
      </c>
      <c r="Y1350" s="27">
        <f t="shared" si="526"/>
        <v>0.11367425965304444</v>
      </c>
      <c r="Z1350" s="27">
        <f t="shared" si="526"/>
        <v>0.11514267283955164</v>
      </c>
      <c r="AA1350" s="27">
        <f t="shared" si="526"/>
        <v>0.11662825764737823</v>
      </c>
      <c r="AB1350" s="27">
        <f t="shared" si="526"/>
        <v>0.11834343516699931</v>
      </c>
      <c r="AC1350" s="27">
        <f t="shared" si="526"/>
        <v>0.12004677457127924</v>
      </c>
      <c r="AD1350" s="27">
        <f t="shared" si="526"/>
        <v>0.12216447018435615</v>
      </c>
      <c r="AE1350" s="27">
        <f t="shared" si="526"/>
        <v>0.12411396366852792</v>
      </c>
      <c r="AF1350" s="27">
        <f t="shared" si="526"/>
        <v>0.12618838059713719</v>
      </c>
      <c r="AG1350" s="27">
        <f t="shared" si="526"/>
        <v>0.12871889862830188</v>
      </c>
      <c r="AH1350" s="27">
        <f t="shared" si="526"/>
        <v>0.13089178183294797</v>
      </c>
      <c r="AI1350" s="27">
        <f t="shared" si="526"/>
        <v>0.13323707488889489</v>
      </c>
      <c r="AJ1350" s="27">
        <f t="shared" si="526"/>
        <v>0.13578249309813545</v>
      </c>
      <c r="AK1350" s="27">
        <f t="shared" si="526"/>
        <v>0.13790594882017243</v>
      </c>
      <c r="AL1350" s="27">
        <f t="shared" si="526"/>
        <v>0.13989729447599811</v>
      </c>
      <c r="AM1350" s="27">
        <f t="shared" si="526"/>
        <v>0.14177259067901168</v>
      </c>
      <c r="AN1350" s="27">
        <f t="shared" si="526"/>
        <v>0.14393792175478221</v>
      </c>
      <c r="AO1350" s="27">
        <f t="shared" si="526"/>
        <v>0.14581606733158803</v>
      </c>
      <c r="AP1350" s="27">
        <f t="shared" si="526"/>
        <v>0.14775479067393846</v>
      </c>
      <c r="AQ1350" s="27">
        <f t="shared" si="526"/>
        <v>0.14976871512687839</v>
      </c>
      <c r="AR1350" s="27">
        <f t="shared" si="526"/>
        <v>0.15188303991230881</v>
      </c>
      <c r="AS1350" s="27">
        <f t="shared" si="526"/>
        <v>0.15410322114057187</v>
      </c>
      <c r="AT1350" s="27">
        <f t="shared" si="526"/>
        <v>0.15275221037305547</v>
      </c>
      <c r="AU1350" s="27">
        <f t="shared" si="526"/>
        <v>0.15108898692169739</v>
      </c>
      <c r="AV1350" s="27">
        <f t="shared" si="526"/>
        <v>0.14899028797623304</v>
      </c>
      <c r="AW1350" s="27">
        <f t="shared" si="526"/>
        <v>0.14678866203706492</v>
      </c>
      <c r="AY1350" s="79"/>
      <c r="AZ1350" s="79"/>
    </row>
    <row r="1351" spans="1:52" x14ac:dyDescent="0.3">
      <c r="A1351" s="95" t="str">
        <f t="shared" si="514"/>
        <v>FSFAGSPQNIBDDSCM MM Volatilisation</v>
      </c>
      <c r="B1351" s="95" t="s">
        <v>1375</v>
      </c>
      <c r="C1351" s="95" t="s">
        <v>1332</v>
      </c>
      <c r="D1351" t="s">
        <v>369</v>
      </c>
      <c r="E1351" t="s">
        <v>64</v>
      </c>
      <c r="F1351" t="s">
        <v>62</v>
      </c>
      <c r="G1351" t="s">
        <v>1178</v>
      </c>
      <c r="H1351" t="s">
        <v>1303</v>
      </c>
      <c r="I1351" t="s">
        <v>139</v>
      </c>
      <c r="J1351" t="s">
        <v>287</v>
      </c>
      <c r="K1351" s="27">
        <f t="shared" ref="K1351:AW1351" si="527">IFERROR(K1544-((K1544-K135)+(K1544-K288)+(K1544-K441)+(K1544-K593)+(K1544-K745)+(K1544-K896)+(K1544-K1047)+(K1544-K1198)),0)</f>
        <v>1.2724633182830876E-2</v>
      </c>
      <c r="L1351" s="27">
        <f t="shared" si="527"/>
        <v>1.2655466337890209E-2</v>
      </c>
      <c r="M1351" s="27">
        <f t="shared" si="527"/>
        <v>1.2661143337946407E-2</v>
      </c>
      <c r="N1351" s="27">
        <f t="shared" si="527"/>
        <v>1.2544904339887072E-2</v>
      </c>
      <c r="O1351" s="27">
        <f t="shared" si="527"/>
        <v>1.2355059245839611E-2</v>
      </c>
      <c r="P1351" s="27">
        <f t="shared" si="527"/>
        <v>1.2094642930917434E-2</v>
      </c>
      <c r="Q1351" s="27">
        <f t="shared" si="527"/>
        <v>1.1905551806853844E-2</v>
      </c>
      <c r="R1351" s="27">
        <f t="shared" si="527"/>
        <v>1.1733192711380723E-2</v>
      </c>
      <c r="S1351" s="27">
        <f t="shared" si="527"/>
        <v>1.0359821368376874E-2</v>
      </c>
      <c r="T1351" s="27">
        <f t="shared" si="527"/>
        <v>1.049082832504853E-2</v>
      </c>
      <c r="U1351" s="27">
        <f t="shared" si="527"/>
        <v>1.0771943536752097E-2</v>
      </c>
      <c r="V1351" s="27">
        <f t="shared" si="527"/>
        <v>1.0797467337543365E-2</v>
      </c>
      <c r="W1351" s="27">
        <f t="shared" si="527"/>
        <v>1.0852740546366932E-2</v>
      </c>
      <c r="X1351" s="27">
        <f t="shared" si="527"/>
        <v>1.0945674252888513E-2</v>
      </c>
      <c r="Y1351" s="27">
        <f t="shared" si="527"/>
        <v>1.1062287478995693E-2</v>
      </c>
      <c r="Z1351" s="27">
        <f t="shared" si="527"/>
        <v>1.1205187101625038E-2</v>
      </c>
      <c r="AA1351" s="27">
        <f t="shared" si="527"/>
        <v>1.1349757792199721E-2</v>
      </c>
      <c r="AB1351" s="27">
        <f t="shared" si="527"/>
        <v>1.1516671452842603E-2</v>
      </c>
      <c r="AC1351" s="27">
        <f t="shared" si="527"/>
        <v>1.1682433079282552E-2</v>
      </c>
      <c r="AD1351" s="27">
        <f t="shared" si="527"/>
        <v>1.1888518060494371E-2</v>
      </c>
      <c r="AE1351" s="27">
        <f t="shared" si="527"/>
        <v>1.2078234337742711E-2</v>
      </c>
      <c r="AF1351" s="27">
        <f t="shared" si="527"/>
        <v>1.2280107624497444E-2</v>
      </c>
      <c r="AG1351" s="27">
        <f t="shared" si="527"/>
        <v>1.2526366698600652E-2</v>
      </c>
      <c r="AH1351" s="27">
        <f t="shared" si="527"/>
        <v>1.2737822297620535E-2</v>
      </c>
      <c r="AI1351" s="27">
        <f t="shared" si="527"/>
        <v>1.2966056077955363E-2</v>
      </c>
      <c r="AJ1351" s="27">
        <f t="shared" si="527"/>
        <v>1.3213765172968019E-2</v>
      </c>
      <c r="AK1351" s="27">
        <f t="shared" si="527"/>
        <v>1.3420410703080012E-2</v>
      </c>
      <c r="AL1351" s="27">
        <f t="shared" si="527"/>
        <v>1.3614199852725929E-2</v>
      </c>
      <c r="AM1351" s="27">
        <f t="shared" si="527"/>
        <v>1.3796695571363754E-2</v>
      </c>
      <c r="AN1351" s="27">
        <f t="shared" si="527"/>
        <v>1.4007416229853083E-2</v>
      </c>
      <c r="AO1351" s="27">
        <f t="shared" si="527"/>
        <v>1.419018923722911E-2</v>
      </c>
      <c r="AP1351" s="27">
        <f t="shared" si="527"/>
        <v>1.4378857410840086E-2</v>
      </c>
      <c r="AQ1351" s="27">
        <f t="shared" si="527"/>
        <v>1.4574843831401781E-2</v>
      </c>
      <c r="AR1351" s="27">
        <f t="shared" si="527"/>
        <v>1.4780600778240808E-2</v>
      </c>
      <c r="AS1351" s="27">
        <f t="shared" si="527"/>
        <v>1.4996659216426185E-2</v>
      </c>
      <c r="AT1351" s="27">
        <f t="shared" si="527"/>
        <v>1.4865184689623886E-2</v>
      </c>
      <c r="AU1351" s="27">
        <f t="shared" si="527"/>
        <v>1.4703326974281053E-2</v>
      </c>
      <c r="AV1351" s="27">
        <f t="shared" si="527"/>
        <v>1.4499090666629237E-2</v>
      </c>
      <c r="AW1351" s="27">
        <f t="shared" si="527"/>
        <v>1.4284837948954819E-2</v>
      </c>
      <c r="AY1351" s="79"/>
      <c r="AZ1351" s="79"/>
    </row>
    <row r="1352" spans="1:52" x14ac:dyDescent="0.3">
      <c r="A1352" s="95" t="str">
        <f t="shared" si="514"/>
        <v>FSFAGSPQNIBDDSCM MM Volatilisation</v>
      </c>
      <c r="B1352" s="95" t="s">
        <v>1375</v>
      </c>
      <c r="C1352" s="95" t="s">
        <v>1332</v>
      </c>
      <c r="D1352" t="s">
        <v>369</v>
      </c>
      <c r="E1352" t="s">
        <v>64</v>
      </c>
      <c r="F1352" t="s">
        <v>62</v>
      </c>
      <c r="G1352" t="s">
        <v>1180</v>
      </c>
      <c r="H1352" t="s">
        <v>1304</v>
      </c>
      <c r="I1352" t="s">
        <v>139</v>
      </c>
      <c r="J1352" t="s">
        <v>287</v>
      </c>
      <c r="K1352" s="27">
        <f t="shared" ref="K1352:AW1352" si="528">IFERROR(K1545-((K1545-K136)+(K1545-K289)+(K1545-K442)+(K1545-K594)+(K1545-K746)+(K1545-K897)+(K1545-K1048)+(K1545-K1199)),0)</f>
        <v>6.4453339767617107E-2</v>
      </c>
      <c r="L1352" s="27">
        <f t="shared" si="528"/>
        <v>6.5763803942104543E-2</v>
      </c>
      <c r="M1352" s="27">
        <f t="shared" si="528"/>
        <v>6.7295612361813625E-2</v>
      </c>
      <c r="N1352" s="27">
        <f t="shared" si="528"/>
        <v>6.8471619369899747E-2</v>
      </c>
      <c r="O1352" s="27">
        <f t="shared" si="528"/>
        <v>6.94156577655035E-2</v>
      </c>
      <c r="P1352" s="27">
        <f t="shared" si="528"/>
        <v>7.0122113289878316E-2</v>
      </c>
      <c r="Q1352" s="27">
        <f t="shared" si="528"/>
        <v>7.1027984276732931E-2</v>
      </c>
      <c r="R1352" s="27">
        <f t="shared" si="528"/>
        <v>7.1969839340941838E-2</v>
      </c>
      <c r="S1352" s="27">
        <f t="shared" si="528"/>
        <v>6.8766563459968802E-2</v>
      </c>
      <c r="T1352" s="27">
        <f t="shared" si="528"/>
        <v>7.0478152358708523E-2</v>
      </c>
      <c r="U1352" s="27">
        <f t="shared" si="528"/>
        <v>7.2759128000714796E-2</v>
      </c>
      <c r="V1352" s="27">
        <f t="shared" si="528"/>
        <v>7.4154122533566028E-2</v>
      </c>
      <c r="W1352" s="27">
        <f t="shared" si="528"/>
        <v>7.5674972830257564E-2</v>
      </c>
      <c r="X1352" s="27">
        <f t="shared" si="528"/>
        <v>7.7360161163039912E-2</v>
      </c>
      <c r="Y1352" s="27">
        <f t="shared" si="528"/>
        <v>7.9100740420260676E-2</v>
      </c>
      <c r="Z1352" s="27">
        <f t="shared" si="528"/>
        <v>8.0976740364442315E-2</v>
      </c>
      <c r="AA1352" s="27">
        <f t="shared" si="528"/>
        <v>8.2894928844752261E-2</v>
      </c>
      <c r="AB1352" s="27">
        <f t="shared" si="528"/>
        <v>8.4943030682698137E-2</v>
      </c>
      <c r="AC1352" s="27">
        <f t="shared" si="528"/>
        <v>8.7027608507248444E-2</v>
      </c>
      <c r="AD1352" s="27">
        <f t="shared" si="528"/>
        <v>8.9276729497460336E-2</v>
      </c>
      <c r="AE1352" s="27">
        <f t="shared" si="528"/>
        <v>9.1502625848092475E-2</v>
      </c>
      <c r="AF1352" s="27">
        <f t="shared" si="528"/>
        <v>9.3831227517320093E-2</v>
      </c>
      <c r="AG1352" s="27">
        <f t="shared" si="528"/>
        <v>9.6415651387216014E-2</v>
      </c>
      <c r="AH1352" s="27">
        <f t="shared" si="528"/>
        <v>9.8896773571356525E-2</v>
      </c>
      <c r="AI1352" s="27">
        <f t="shared" si="528"/>
        <v>0.10146265551465955</v>
      </c>
      <c r="AJ1352" s="27">
        <f t="shared" si="528"/>
        <v>0.10418290059990712</v>
      </c>
      <c r="AK1352" s="27">
        <f t="shared" si="528"/>
        <v>0.10676300622740972</v>
      </c>
      <c r="AL1352" s="27">
        <f t="shared" si="528"/>
        <v>0.1093360798195923</v>
      </c>
      <c r="AM1352" s="27">
        <f t="shared" si="528"/>
        <v>0.11190804099965344</v>
      </c>
      <c r="AN1352" s="27">
        <f t="shared" si="528"/>
        <v>0.11463676938939842</v>
      </c>
      <c r="AO1352" s="27">
        <f t="shared" si="528"/>
        <v>0.11727861184981632</v>
      </c>
      <c r="AP1352" s="27">
        <f t="shared" si="528"/>
        <v>0.12001194210770205</v>
      </c>
      <c r="AQ1352" s="27">
        <f t="shared" si="528"/>
        <v>0.12284817048623448</v>
      </c>
      <c r="AR1352" s="27">
        <f t="shared" si="528"/>
        <v>0.12580525852431573</v>
      </c>
      <c r="AS1352" s="27">
        <f t="shared" si="528"/>
        <v>0.12884131843333302</v>
      </c>
      <c r="AT1352" s="27">
        <f t="shared" si="528"/>
        <v>0.12990474262387622</v>
      </c>
      <c r="AU1352" s="27">
        <f t="shared" si="528"/>
        <v>0.13078551683241871</v>
      </c>
      <c r="AV1352" s="27">
        <f t="shared" si="528"/>
        <v>0.13140059443899127</v>
      </c>
      <c r="AW1352" s="27">
        <f t="shared" si="528"/>
        <v>0.13193699884155385</v>
      </c>
      <c r="AY1352" s="79"/>
      <c r="AZ1352" s="79"/>
    </row>
    <row r="1353" spans="1:52" x14ac:dyDescent="0.3">
      <c r="A1353" s="95" t="str">
        <f t="shared" si="514"/>
        <v>FSFAGSPQNIBDDSCM MM Volatilisation</v>
      </c>
      <c r="B1353" s="95" t="s">
        <v>1375</v>
      </c>
      <c r="C1353" s="95" t="s">
        <v>1332</v>
      </c>
      <c r="D1353" t="s">
        <v>369</v>
      </c>
      <c r="E1353" t="s">
        <v>64</v>
      </c>
      <c r="F1353" t="s">
        <v>62</v>
      </c>
      <c r="G1353" t="s">
        <v>1182</v>
      </c>
      <c r="H1353" t="s">
        <v>1305</v>
      </c>
      <c r="I1353" t="s">
        <v>139</v>
      </c>
      <c r="J1353" t="s">
        <v>287</v>
      </c>
      <c r="K1353" s="27">
        <f t="shared" ref="K1353:AW1353" si="529">IFERROR(K1546-((K1546-K137)+(K1546-K290)+(K1546-K443)+(K1546-K595)+(K1546-K747)+(K1546-K898)+(K1546-K1049)+(K1546-K1200)),0)</f>
        <v>0.31034319165291718</v>
      </c>
      <c r="L1353" s="27">
        <f t="shared" si="529"/>
        <v>0.31442985679016972</v>
      </c>
      <c r="M1353" s="27">
        <f t="shared" si="529"/>
        <v>0.32099421325528477</v>
      </c>
      <c r="N1353" s="27">
        <f t="shared" si="529"/>
        <v>0.3228790317815291</v>
      </c>
      <c r="O1353" s="27">
        <f t="shared" si="529"/>
        <v>0.32172327535887091</v>
      </c>
      <c r="P1353" s="27">
        <f t="shared" si="529"/>
        <v>0.31753924052538912</v>
      </c>
      <c r="Q1353" s="27">
        <f t="shared" si="529"/>
        <v>0.31577785743754239</v>
      </c>
      <c r="R1353" s="27">
        <f t="shared" si="529"/>
        <v>0.31441607582114939</v>
      </c>
      <c r="S1353" s="27">
        <f t="shared" si="529"/>
        <v>0.2650364312253965</v>
      </c>
      <c r="T1353" s="27">
        <f t="shared" si="529"/>
        <v>0.27553316275566697</v>
      </c>
      <c r="U1353" s="27">
        <f t="shared" si="529"/>
        <v>0.29228527136368948</v>
      </c>
      <c r="V1353" s="27">
        <f t="shared" si="529"/>
        <v>0.29874340186404968</v>
      </c>
      <c r="W1353" s="27">
        <f t="shared" si="529"/>
        <v>0.30647179876243097</v>
      </c>
      <c r="X1353" s="27">
        <f t="shared" si="529"/>
        <v>0.3158631034162086</v>
      </c>
      <c r="Y1353" s="27">
        <f t="shared" si="529"/>
        <v>0.32664711376847955</v>
      </c>
      <c r="Z1353" s="27">
        <f t="shared" si="529"/>
        <v>0.3387235871621958</v>
      </c>
      <c r="AA1353" s="27">
        <f t="shared" si="529"/>
        <v>0.35105651101096136</v>
      </c>
      <c r="AB1353" s="27">
        <f t="shared" si="529"/>
        <v>0.36458195379680847</v>
      </c>
      <c r="AC1353" s="27">
        <f t="shared" si="529"/>
        <v>0.37828081857860674</v>
      </c>
      <c r="AD1353" s="27">
        <f t="shared" si="529"/>
        <v>0.39427261879187497</v>
      </c>
      <c r="AE1353" s="27">
        <f t="shared" si="529"/>
        <v>0.40979186242957388</v>
      </c>
      <c r="AF1353" s="27">
        <f t="shared" si="529"/>
        <v>0.42616228566496256</v>
      </c>
      <c r="AG1353" s="27">
        <f t="shared" si="529"/>
        <v>0.44495226630702778</v>
      </c>
      <c r="AH1353" s="27">
        <f t="shared" si="529"/>
        <v>0.46242618458210583</v>
      </c>
      <c r="AI1353" s="27">
        <f t="shared" si="529"/>
        <v>0.48124875752773738</v>
      </c>
      <c r="AJ1353" s="27">
        <f t="shared" si="529"/>
        <v>0.50140117317613597</v>
      </c>
      <c r="AK1353" s="27">
        <f t="shared" si="529"/>
        <v>0.51989325002843578</v>
      </c>
      <c r="AL1353" s="27">
        <f t="shared" si="529"/>
        <v>0.53809144777835283</v>
      </c>
      <c r="AM1353" s="27">
        <f t="shared" si="529"/>
        <v>0.55606219814879432</v>
      </c>
      <c r="AN1353" s="27">
        <f t="shared" si="529"/>
        <v>0.57603307954485361</v>
      </c>
      <c r="AO1353" s="27">
        <f t="shared" si="529"/>
        <v>0.59492740362722618</v>
      </c>
      <c r="AP1353" s="27">
        <f t="shared" si="529"/>
        <v>0.61451021406332851</v>
      </c>
      <c r="AQ1353" s="27">
        <f t="shared" si="529"/>
        <v>0.6348825242649947</v>
      </c>
      <c r="AR1353" s="27">
        <f t="shared" si="529"/>
        <v>0.65620656209687755</v>
      </c>
      <c r="AS1353" s="27">
        <f t="shared" si="529"/>
        <v>0.67872441504873171</v>
      </c>
      <c r="AT1353" s="27">
        <f t="shared" si="529"/>
        <v>0.6821526428447654</v>
      </c>
      <c r="AU1353" s="27">
        <f t="shared" si="529"/>
        <v>0.68382516110267277</v>
      </c>
      <c r="AV1353" s="27">
        <f t="shared" si="529"/>
        <v>0.68298338603927977</v>
      </c>
      <c r="AW1353" s="27">
        <f t="shared" si="529"/>
        <v>0.68142585829620028</v>
      </c>
      <c r="AY1353" s="79"/>
      <c r="AZ1353" s="79"/>
    </row>
    <row r="1354" spans="1:52" x14ac:dyDescent="0.3">
      <c r="A1354" s="95" t="str">
        <f t="shared" si="514"/>
        <v>FSFAGSPQNIBDDSCM MM Leaching</v>
      </c>
      <c r="B1354" s="95" t="s">
        <v>1375</v>
      </c>
      <c r="C1354" s="95" t="s">
        <v>1333</v>
      </c>
      <c r="D1354" t="s">
        <v>369</v>
      </c>
      <c r="E1354" t="s">
        <v>64</v>
      </c>
      <c r="F1354" t="s">
        <v>63</v>
      </c>
      <c r="G1354" t="s">
        <v>1152</v>
      </c>
      <c r="H1354" t="s">
        <v>1306</v>
      </c>
      <c r="I1354" t="s">
        <v>139</v>
      </c>
      <c r="J1354" t="s">
        <v>287</v>
      </c>
      <c r="K1354" s="27">
        <f t="shared" ref="K1354:AW1354" si="530">IFERROR(K1547-((K1547-K138)+(K1547-K291)+(K1547-K444)+(K1547-K596)+(K1547-K748)+(K1547-K899)+(K1547-K1050)+(K1547-K1201)),0)</f>
        <v>8.9211118607918846E-2</v>
      </c>
      <c r="L1354" s="27">
        <f t="shared" si="530"/>
        <v>8.9709854381943774E-2</v>
      </c>
      <c r="M1354" s="27">
        <f t="shared" si="530"/>
        <v>9.0417475033143083E-2</v>
      </c>
      <c r="N1354" s="27">
        <f t="shared" si="530"/>
        <v>9.0872196678668984E-2</v>
      </c>
      <c r="O1354" s="27">
        <f t="shared" si="530"/>
        <v>9.1174361291842934E-2</v>
      </c>
      <c r="P1354" s="27">
        <f t="shared" si="530"/>
        <v>9.1320994898161728E-2</v>
      </c>
      <c r="Q1354" s="27">
        <f t="shared" si="530"/>
        <v>9.1644963105957017E-2</v>
      </c>
      <c r="R1354" s="27">
        <f t="shared" si="530"/>
        <v>9.2016609055475651E-2</v>
      </c>
      <c r="S1354" s="27">
        <f t="shared" si="530"/>
        <v>8.9250626632870506E-2</v>
      </c>
      <c r="T1354" s="27">
        <f t="shared" si="530"/>
        <v>9.018910759145192E-2</v>
      </c>
      <c r="U1354" s="27">
        <f t="shared" si="530"/>
        <v>9.1562795389337467E-2</v>
      </c>
      <c r="V1354" s="27">
        <f t="shared" si="530"/>
        <v>9.2274810820194952E-2</v>
      </c>
      <c r="W1354" s="27">
        <f t="shared" si="530"/>
        <v>9.3088549677051477E-2</v>
      </c>
      <c r="X1354" s="27">
        <f t="shared" si="530"/>
        <v>9.4030367146954022E-2</v>
      </c>
      <c r="Y1354" s="27">
        <f t="shared" si="530"/>
        <v>9.4992140485733595E-2</v>
      </c>
      <c r="Z1354" s="27">
        <f t="shared" si="530"/>
        <v>9.605669953542309E-2</v>
      </c>
      <c r="AA1354" s="27">
        <f t="shared" si="530"/>
        <v>9.7154235713963338E-2</v>
      </c>
      <c r="AB1354" s="27">
        <f t="shared" si="530"/>
        <v>9.8347760304703769E-2</v>
      </c>
      <c r="AC1354" s="27">
        <f t="shared" si="530"/>
        <v>9.9568208578524817E-2</v>
      </c>
      <c r="AD1354" s="27">
        <f t="shared" si="530"/>
        <v>0.10088669536271129</v>
      </c>
      <c r="AE1354" s="27">
        <f t="shared" si="530"/>
        <v>0.10218733727824697</v>
      </c>
      <c r="AF1354" s="27">
        <f t="shared" si="530"/>
        <v>0.10356015512248805</v>
      </c>
      <c r="AG1354" s="27">
        <f t="shared" si="530"/>
        <v>0.1051130390487056</v>
      </c>
      <c r="AH1354" s="27">
        <f t="shared" si="530"/>
        <v>0.10658947451521658</v>
      </c>
      <c r="AI1354" s="27">
        <f t="shared" si="530"/>
        <v>0.10810355126576793</v>
      </c>
      <c r="AJ1354" s="27">
        <f t="shared" si="530"/>
        <v>0.10972278781886159</v>
      </c>
      <c r="AK1354" s="27">
        <f t="shared" si="530"/>
        <v>0.1112398173269733</v>
      </c>
      <c r="AL1354" s="27">
        <f t="shared" si="530"/>
        <v>0.11274861433308095</v>
      </c>
      <c r="AM1354" s="27">
        <f t="shared" si="530"/>
        <v>0.11425337554687653</v>
      </c>
      <c r="AN1354" s="27">
        <f t="shared" si="530"/>
        <v>0.11584536779599926</v>
      </c>
      <c r="AO1354" s="27">
        <f t="shared" si="530"/>
        <v>0.11737332691073739</v>
      </c>
      <c r="AP1354" s="27">
        <f t="shared" si="530"/>
        <v>0.11896061880517098</v>
      </c>
      <c r="AQ1354" s="27">
        <f t="shared" si="530"/>
        <v>0.12061448282820714</v>
      </c>
      <c r="AR1354" s="27">
        <f t="shared" si="530"/>
        <v>0.12234656062044848</v>
      </c>
      <c r="AS1354" s="27">
        <f t="shared" si="530"/>
        <v>0.12410927658755902</v>
      </c>
      <c r="AT1354" s="27">
        <f t="shared" si="530"/>
        <v>0.12452720245635615</v>
      </c>
      <c r="AU1354" s="27">
        <f t="shared" si="530"/>
        <v>0.12482463901873847</v>
      </c>
      <c r="AV1354" s="27">
        <f t="shared" si="530"/>
        <v>0.12494650421265691</v>
      </c>
      <c r="AW1354" s="27">
        <f t="shared" si="530"/>
        <v>0.12502008970656403</v>
      </c>
      <c r="AY1354" s="79"/>
      <c r="AZ1354" s="79"/>
    </row>
    <row r="1355" spans="1:52" x14ac:dyDescent="0.3">
      <c r="A1355" s="95" t="str">
        <f t="shared" si="514"/>
        <v>FSFAGSPQNIBDDSCM MM Leaching</v>
      </c>
      <c r="B1355" s="95" t="s">
        <v>1375</v>
      </c>
      <c r="C1355" s="95" t="s">
        <v>1333</v>
      </c>
      <c r="D1355" t="s">
        <v>369</v>
      </c>
      <c r="E1355" t="s">
        <v>64</v>
      </c>
      <c r="F1355" t="s">
        <v>63</v>
      </c>
      <c r="G1355" t="s">
        <v>1154</v>
      </c>
      <c r="H1355" t="s">
        <v>1307</v>
      </c>
      <c r="I1355" t="s">
        <v>139</v>
      </c>
      <c r="J1355" t="s">
        <v>287</v>
      </c>
      <c r="K1355" s="27">
        <f t="shared" ref="K1355:AW1355" si="531">IFERROR(K1548-((K1548-K139)+(K1548-K292)+(K1548-K445)+(K1548-K597)+(K1548-K749)+(K1548-K900)+(K1548-K1051)+(K1548-K1202)),0)</f>
        <v>2.6939494531157477E-2</v>
      </c>
      <c r="L1355" s="27">
        <f t="shared" si="531"/>
        <v>2.709010008197326E-2</v>
      </c>
      <c r="M1355" s="27">
        <f t="shared" si="531"/>
        <v>2.730378356628085E-2</v>
      </c>
      <c r="N1355" s="27">
        <f t="shared" si="531"/>
        <v>2.7441097966929517E-2</v>
      </c>
      <c r="O1355" s="27">
        <f t="shared" si="531"/>
        <v>2.7532344014183842E-2</v>
      </c>
      <c r="P1355" s="27">
        <f t="shared" si="531"/>
        <v>2.757662364319366E-2</v>
      </c>
      <c r="Q1355" s="27">
        <f t="shared" si="531"/>
        <v>2.7674453822865853E-2</v>
      </c>
      <c r="R1355" s="27">
        <f t="shared" si="531"/>
        <v>2.7786681470952927E-2</v>
      </c>
      <c r="S1355" s="27">
        <f t="shared" si="531"/>
        <v>2.6951424952373251E-2</v>
      </c>
      <c r="T1355" s="27">
        <f t="shared" si="531"/>
        <v>2.7234822392578142E-2</v>
      </c>
      <c r="U1355" s="27">
        <f t="shared" si="531"/>
        <v>2.7649641257043878E-2</v>
      </c>
      <c r="V1355" s="27">
        <f t="shared" si="531"/>
        <v>2.7864651853312578E-2</v>
      </c>
      <c r="W1355" s="27">
        <f t="shared" si="531"/>
        <v>2.8110380343506967E-2</v>
      </c>
      <c r="X1355" s="27">
        <f t="shared" si="531"/>
        <v>2.8394785325483455E-2</v>
      </c>
      <c r="Y1355" s="27">
        <f t="shared" si="531"/>
        <v>2.8685216473579894E-2</v>
      </c>
      <c r="Z1355" s="27">
        <f t="shared" si="531"/>
        <v>2.9006686298694923E-2</v>
      </c>
      <c r="AA1355" s="27">
        <f t="shared" si="531"/>
        <v>2.9338114380092265E-2</v>
      </c>
      <c r="AB1355" s="27">
        <f t="shared" si="531"/>
        <v>2.9698528526745503E-2</v>
      </c>
      <c r="AC1355" s="27">
        <f t="shared" si="531"/>
        <v>3.006707294263454E-2</v>
      </c>
      <c r="AD1355" s="27">
        <f t="shared" si="531"/>
        <v>3.046522250141433E-2</v>
      </c>
      <c r="AE1355" s="27">
        <f t="shared" si="531"/>
        <v>3.0857983362586373E-2</v>
      </c>
      <c r="AF1355" s="27">
        <f t="shared" si="531"/>
        <v>3.1272539523122242E-2</v>
      </c>
      <c r="AG1355" s="27">
        <f t="shared" si="531"/>
        <v>3.1741471072133737E-2</v>
      </c>
      <c r="AH1355" s="27">
        <f t="shared" si="531"/>
        <v>3.2187317125813304E-2</v>
      </c>
      <c r="AI1355" s="27">
        <f t="shared" si="531"/>
        <v>3.2644529892312681E-2</v>
      </c>
      <c r="AJ1355" s="27">
        <f t="shared" si="531"/>
        <v>3.3133498251272868E-2</v>
      </c>
      <c r="AK1355" s="27">
        <f t="shared" si="531"/>
        <v>3.3591602675643942E-2</v>
      </c>
      <c r="AL1355" s="27">
        <f t="shared" si="531"/>
        <v>3.4047221093268576E-2</v>
      </c>
      <c r="AM1355" s="27">
        <f t="shared" si="531"/>
        <v>3.4501620804003125E-2</v>
      </c>
      <c r="AN1355" s="27">
        <f t="shared" si="531"/>
        <v>3.4982362074352798E-2</v>
      </c>
      <c r="AO1355" s="27">
        <f t="shared" si="531"/>
        <v>3.5443766962640642E-2</v>
      </c>
      <c r="AP1355" s="27">
        <f t="shared" si="531"/>
        <v>3.5923088845122318E-2</v>
      </c>
      <c r="AQ1355" s="27">
        <f t="shared" si="531"/>
        <v>3.6422513821505312E-2</v>
      </c>
      <c r="AR1355" s="27">
        <f t="shared" si="531"/>
        <v>3.6945557371902887E-2</v>
      </c>
      <c r="AS1355" s="27">
        <f t="shared" si="531"/>
        <v>3.7477852873819655E-2</v>
      </c>
      <c r="AT1355" s="27">
        <f t="shared" si="531"/>
        <v>3.7604055883406068E-2</v>
      </c>
      <c r="AU1355" s="27">
        <f t="shared" si="531"/>
        <v>3.7693874179272106E-2</v>
      </c>
      <c r="AV1355" s="27">
        <f t="shared" si="531"/>
        <v>3.7730674376112279E-2</v>
      </c>
      <c r="AW1355" s="27">
        <f t="shared" si="531"/>
        <v>3.7752895328406304E-2</v>
      </c>
      <c r="AY1355" s="79"/>
      <c r="AZ1355" s="79"/>
    </row>
    <row r="1356" spans="1:52" x14ac:dyDescent="0.3">
      <c r="A1356" s="95" t="str">
        <f t="shared" si="514"/>
        <v>FSFAGSPQNIBDDSCM MM Leaching</v>
      </c>
      <c r="B1356" s="95" t="s">
        <v>1375</v>
      </c>
      <c r="C1356" s="95" t="s">
        <v>1333</v>
      </c>
      <c r="D1356" t="s">
        <v>369</v>
      </c>
      <c r="E1356" t="s">
        <v>64</v>
      </c>
      <c r="F1356" t="s">
        <v>63</v>
      </c>
      <c r="G1356" t="s">
        <v>1156</v>
      </c>
      <c r="H1356" t="s">
        <v>1308</v>
      </c>
      <c r="I1356" t="s">
        <v>139</v>
      </c>
      <c r="J1356" t="s">
        <v>287</v>
      </c>
      <c r="K1356" s="27">
        <f t="shared" ref="K1356:AW1356" si="532">IFERROR(K1549-((K1549-K140)+(K1549-K293)+(K1549-K446)+(K1549-K598)+(K1549-K750)+(K1549-K901)+(K1549-K1052)+(K1549-K1203)),0)</f>
        <v>1.4483668498503175E-3</v>
      </c>
      <c r="L1356" s="27">
        <f t="shared" si="532"/>
        <v>1.4564639612104709E-3</v>
      </c>
      <c r="M1356" s="27">
        <f t="shared" si="532"/>
        <v>1.4679523755410987E-3</v>
      </c>
      <c r="N1356" s="27">
        <f t="shared" si="532"/>
        <v>1.4753349055168039E-3</v>
      </c>
      <c r="O1356" s="27">
        <f t="shared" si="532"/>
        <v>1.4802406304505124E-3</v>
      </c>
      <c r="P1356" s="27">
        <f t="shared" si="532"/>
        <v>1.4826212670547858E-3</v>
      </c>
      <c r="Q1356" s="27">
        <f t="shared" si="532"/>
        <v>1.4878809792957942E-3</v>
      </c>
      <c r="R1356" s="27">
        <f t="shared" si="532"/>
        <v>1.4939147526814823E-3</v>
      </c>
      <c r="S1356" s="27">
        <f t="shared" si="532"/>
        <v>1.4490082734142855E-3</v>
      </c>
      <c r="T1356" s="27">
        <f t="shared" si="532"/>
        <v>1.4642447678203134E-3</v>
      </c>
      <c r="U1356" s="27">
        <f t="shared" si="532"/>
        <v>1.4865469639988589E-3</v>
      </c>
      <c r="V1356" s="27">
        <f t="shared" si="532"/>
        <v>1.4981067287762548E-3</v>
      </c>
      <c r="W1356" s="27">
        <f t="shared" si="532"/>
        <v>1.5113180011276973E-3</v>
      </c>
      <c r="X1356" s="27">
        <f t="shared" si="532"/>
        <v>1.5266086647053162E-3</v>
      </c>
      <c r="Y1356" s="27">
        <f t="shared" si="532"/>
        <v>1.5422233172586648E-3</v>
      </c>
      <c r="Z1356" s="27">
        <f t="shared" si="532"/>
        <v>1.5595067238714088E-3</v>
      </c>
      <c r="AA1356" s="27">
        <f t="shared" si="532"/>
        <v>1.5773255231681144E-3</v>
      </c>
      <c r="AB1356" s="27">
        <f t="shared" si="532"/>
        <v>1.5967027205251731E-3</v>
      </c>
      <c r="AC1356" s="27">
        <f t="shared" si="532"/>
        <v>1.6165170312225675E-3</v>
      </c>
      <c r="AD1356" s="27">
        <f t="shared" si="532"/>
        <v>1.6379230238833516E-3</v>
      </c>
      <c r="AE1356" s="27">
        <f t="shared" si="532"/>
        <v>1.6590393002330185E-3</v>
      </c>
      <c r="AF1356" s="27">
        <f t="shared" si="532"/>
        <v>1.6813273724767988E-3</v>
      </c>
      <c r="AG1356" s="27">
        <f t="shared" si="532"/>
        <v>1.7065388666884546E-3</v>
      </c>
      <c r="AH1356" s="27">
        <f t="shared" si="532"/>
        <v>1.7305091992995292E-3</v>
      </c>
      <c r="AI1356" s="27">
        <f t="shared" si="532"/>
        <v>1.7550906484265776E-3</v>
      </c>
      <c r="AJ1356" s="27">
        <f t="shared" si="532"/>
        <v>1.7813793956383919E-3</v>
      </c>
      <c r="AK1356" s="27">
        <f t="shared" si="532"/>
        <v>1.8060087835900271E-3</v>
      </c>
      <c r="AL1356" s="27">
        <f t="shared" si="532"/>
        <v>1.8305045146255719E-3</v>
      </c>
      <c r="AM1356" s="27">
        <f t="shared" si="532"/>
        <v>1.8549347234718561E-3</v>
      </c>
      <c r="AN1356" s="27">
        <f t="shared" si="532"/>
        <v>1.8807811519757052E-3</v>
      </c>
      <c r="AO1356" s="27">
        <f t="shared" si="532"/>
        <v>1.9055879850728176E-3</v>
      </c>
      <c r="AP1356" s="27">
        <f t="shared" si="532"/>
        <v>1.9313581020359023E-3</v>
      </c>
      <c r="AQ1356" s="27">
        <f t="shared" si="532"/>
        <v>1.9582090356695609E-3</v>
      </c>
      <c r="AR1356" s="27">
        <f t="shared" si="532"/>
        <v>1.9863297911851367E-3</v>
      </c>
      <c r="AS1356" s="27">
        <f t="shared" si="532"/>
        <v>2.014947965828651E-3</v>
      </c>
      <c r="AT1356" s="27">
        <f t="shared" si="532"/>
        <v>2.0217331063302627E-3</v>
      </c>
      <c r="AU1356" s="27">
        <f t="shared" si="532"/>
        <v>2.0265620700694281E-3</v>
      </c>
      <c r="AV1356" s="27">
        <f t="shared" si="532"/>
        <v>2.0285405847408761E-3</v>
      </c>
      <c r="AW1356" s="27">
        <f t="shared" si="532"/>
        <v>2.0297352653106076E-3</v>
      </c>
      <c r="AY1356" s="79"/>
      <c r="AZ1356" s="79"/>
    </row>
    <row r="1357" spans="1:52" x14ac:dyDescent="0.3">
      <c r="A1357" s="95" t="str">
        <f t="shared" si="514"/>
        <v>FSFAGSPQNIBDDSCM MM Leaching</v>
      </c>
      <c r="B1357" s="95" t="s">
        <v>1375</v>
      </c>
      <c r="C1357" s="95" t="s">
        <v>1333</v>
      </c>
      <c r="D1357" t="s">
        <v>369</v>
      </c>
      <c r="E1357" t="s">
        <v>64</v>
      </c>
      <c r="F1357" t="s">
        <v>63</v>
      </c>
      <c r="G1357" t="s">
        <v>1158</v>
      </c>
      <c r="H1357" t="s">
        <v>1309</v>
      </c>
      <c r="I1357" t="s">
        <v>139</v>
      </c>
      <c r="J1357" t="s">
        <v>287</v>
      </c>
      <c r="K1357" s="27">
        <f t="shared" ref="K1357:AW1357" si="533">IFERROR(K1550-((K1550-K141)+(K1550-K294)+(K1550-K447)+(K1550-K599)+(K1550-K751)+(K1550-K902)+(K1550-K1053)+(K1550-K1204)),0)</f>
        <v>3.030301439269115E-2</v>
      </c>
      <c r="L1357" s="27">
        <f t="shared" si="533"/>
        <v>3.0040206026371356E-2</v>
      </c>
      <c r="M1357" s="27">
        <f t="shared" si="533"/>
        <v>2.99401628371932E-2</v>
      </c>
      <c r="N1357" s="27">
        <f t="shared" si="533"/>
        <v>2.9540351153331298E-2</v>
      </c>
      <c r="O1357" s="27">
        <f t="shared" si="533"/>
        <v>2.8960014730128859E-2</v>
      </c>
      <c r="P1357" s="27">
        <f t="shared" si="533"/>
        <v>2.8211154016296501E-2</v>
      </c>
      <c r="Q1357" s="27">
        <f t="shared" si="533"/>
        <v>2.7620505669412022E-2</v>
      </c>
      <c r="R1357" s="27">
        <f t="shared" si="533"/>
        <v>2.7061685185942385E-2</v>
      </c>
      <c r="S1357" s="27">
        <f t="shared" si="533"/>
        <v>2.3806393912702346E-2</v>
      </c>
      <c r="T1357" s="27">
        <f t="shared" si="533"/>
        <v>2.4193081489661764E-2</v>
      </c>
      <c r="U1357" s="27">
        <f t="shared" si="533"/>
        <v>2.4914459363237305E-2</v>
      </c>
      <c r="V1357" s="27">
        <f t="shared" si="533"/>
        <v>2.5058526856807112E-2</v>
      </c>
      <c r="W1357" s="27">
        <f t="shared" si="533"/>
        <v>2.5266313616668409E-2</v>
      </c>
      <c r="X1357" s="27">
        <f t="shared" si="533"/>
        <v>2.5556180730039606E-2</v>
      </c>
      <c r="Y1357" s="27">
        <f t="shared" si="533"/>
        <v>2.588867153480013E-2</v>
      </c>
      <c r="Z1357" s="27">
        <f t="shared" si="533"/>
        <v>2.627849954534961E-2</v>
      </c>
      <c r="AA1357" s="27">
        <f t="shared" si="533"/>
        <v>2.6670125529897157E-2</v>
      </c>
      <c r="AB1357" s="27">
        <f t="shared" si="533"/>
        <v>2.7110583919598655E-2</v>
      </c>
      <c r="AC1357" s="27">
        <f t="shared" si="533"/>
        <v>2.7546671241882887E-2</v>
      </c>
      <c r="AD1357" s="27">
        <f t="shared" si="533"/>
        <v>2.7830739758273274E-2</v>
      </c>
      <c r="AE1357" s="27">
        <f t="shared" si="533"/>
        <v>2.8063979806522674E-2</v>
      </c>
      <c r="AF1357" s="27">
        <f t="shared" si="533"/>
        <v>2.8310384702020075E-2</v>
      </c>
      <c r="AG1357" s="27">
        <f t="shared" si="533"/>
        <v>2.8640071683735925E-2</v>
      </c>
      <c r="AH1357" s="27">
        <f t="shared" si="533"/>
        <v>2.8877171474684857E-2</v>
      </c>
      <c r="AI1357" s="27">
        <f t="shared" si="533"/>
        <v>2.9129861427597242E-2</v>
      </c>
      <c r="AJ1357" s="27">
        <f t="shared" si="533"/>
        <v>2.9408020774721655E-2</v>
      </c>
      <c r="AK1357" s="27">
        <f t="shared" si="533"/>
        <v>2.958135107830024E-2</v>
      </c>
      <c r="AL1357" s="27">
        <f t="shared" si="533"/>
        <v>2.9711386636381822E-2</v>
      </c>
      <c r="AM1357" s="27">
        <f t="shared" si="533"/>
        <v>2.9801834695120533E-2</v>
      </c>
      <c r="AN1357" s="27">
        <f t="shared" si="533"/>
        <v>3.0083013804328998E-2</v>
      </c>
      <c r="AO1357" s="27">
        <f t="shared" si="533"/>
        <v>3.0296745523052525E-2</v>
      </c>
      <c r="AP1357" s="27">
        <f t="shared" si="533"/>
        <v>3.0513175155516516E-2</v>
      </c>
      <c r="AQ1357" s="27">
        <f t="shared" si="533"/>
        <v>3.0734778558877459E-2</v>
      </c>
      <c r="AR1357" s="27">
        <f t="shared" si="533"/>
        <v>3.0966024436887393E-2</v>
      </c>
      <c r="AS1357" s="27">
        <f t="shared" si="533"/>
        <v>3.1203452529548665E-2</v>
      </c>
      <c r="AT1357" s="27">
        <f t="shared" si="533"/>
        <v>3.0735097960314203E-2</v>
      </c>
      <c r="AU1357" s="27">
        <f t="shared" si="533"/>
        <v>3.0204531000918678E-2</v>
      </c>
      <c r="AV1357" s="27">
        <f t="shared" si="533"/>
        <v>2.9589433707278279E-2</v>
      </c>
      <c r="AW1357" s="27">
        <f t="shared" si="533"/>
        <v>2.8955059711748863E-2</v>
      </c>
      <c r="AY1357" s="79"/>
      <c r="AZ1357" s="79"/>
    </row>
    <row r="1358" spans="1:52" x14ac:dyDescent="0.3">
      <c r="A1358" s="95" t="str">
        <f t="shared" si="514"/>
        <v>FSFAGSPQNIBDDSCM MM Leaching</v>
      </c>
      <c r="B1358" s="95" t="s">
        <v>1375</v>
      </c>
      <c r="C1358" s="95" t="s">
        <v>1333</v>
      </c>
      <c r="D1358" t="s">
        <v>369</v>
      </c>
      <c r="E1358" t="s">
        <v>64</v>
      </c>
      <c r="F1358" t="s">
        <v>63</v>
      </c>
      <c r="G1358" t="s">
        <v>1160</v>
      </c>
      <c r="H1358" t="s">
        <v>1310</v>
      </c>
      <c r="I1358" t="s">
        <v>139</v>
      </c>
      <c r="J1358" t="s">
        <v>287</v>
      </c>
      <c r="K1358" s="27">
        <f t="shared" ref="K1358:AW1358" si="534">IFERROR(K1551-((K1551-K142)+(K1551-K295)+(K1551-K448)+(K1551-K600)+(K1551-K752)+(K1551-K903)+(K1551-K1054)+(K1551-K1205)),0)</f>
        <v>4.0226293185258936E-2</v>
      </c>
      <c r="L1358" s="27">
        <f t="shared" si="534"/>
        <v>3.9877423391049015E-2</v>
      </c>
      <c r="M1358" s="27">
        <f t="shared" si="534"/>
        <v>3.9744619221572089E-2</v>
      </c>
      <c r="N1358" s="27">
        <f t="shared" si="534"/>
        <v>3.9213881856453713E-2</v>
      </c>
      <c r="O1358" s="27">
        <f t="shared" si="534"/>
        <v>3.8443503609481157E-2</v>
      </c>
      <c r="P1358" s="27">
        <f t="shared" si="534"/>
        <v>3.7449414696768608E-2</v>
      </c>
      <c r="Q1358" s="27">
        <f t="shared" si="534"/>
        <v>3.666534769725275E-2</v>
      </c>
      <c r="R1358" s="27">
        <f t="shared" si="534"/>
        <v>3.5923531179771241E-2</v>
      </c>
      <c r="S1358" s="27">
        <f t="shared" si="534"/>
        <v>3.160223497260737E-2</v>
      </c>
      <c r="T1358" s="27">
        <f t="shared" si="534"/>
        <v>3.2115550500900779E-2</v>
      </c>
      <c r="U1358" s="27">
        <f t="shared" si="534"/>
        <v>3.3073156812397204E-2</v>
      </c>
      <c r="V1358" s="27">
        <f t="shared" si="534"/>
        <v>3.3264401853557279E-2</v>
      </c>
      <c r="W1358" s="27">
        <f t="shared" si="534"/>
        <v>3.3540232205412031E-2</v>
      </c>
      <c r="X1358" s="27">
        <f t="shared" si="534"/>
        <v>3.3925021630521073E-2</v>
      </c>
      <c r="Y1358" s="27">
        <f t="shared" si="534"/>
        <v>3.4366392657851123E-2</v>
      </c>
      <c r="Z1358" s="27">
        <f t="shared" si="534"/>
        <v>3.4883877012409983E-2</v>
      </c>
      <c r="AA1358" s="27">
        <f t="shared" si="534"/>
        <v>3.5403748120585117E-2</v>
      </c>
      <c r="AB1358" s="27">
        <f t="shared" si="534"/>
        <v>3.5988442702135158E-2</v>
      </c>
      <c r="AC1358" s="27">
        <f t="shared" si="534"/>
        <v>3.6567334829936515E-2</v>
      </c>
      <c r="AD1358" s="27">
        <f t="shared" si="534"/>
        <v>3.6944426800951023E-2</v>
      </c>
      <c r="AE1358" s="27">
        <f t="shared" si="534"/>
        <v>3.7254045588106646E-2</v>
      </c>
      <c r="AF1358" s="27">
        <f t="shared" si="534"/>
        <v>3.7581140293607394E-2</v>
      </c>
      <c r="AG1358" s="27">
        <f t="shared" si="534"/>
        <v>3.801878933452469E-2</v>
      </c>
      <c r="AH1358" s="27">
        <f t="shared" si="534"/>
        <v>3.8333531808038356E-2</v>
      </c>
      <c r="AI1358" s="27">
        <f t="shared" si="534"/>
        <v>3.8668969728474223E-2</v>
      </c>
      <c r="AJ1358" s="27">
        <f t="shared" si="534"/>
        <v>3.9038217464182824E-2</v>
      </c>
      <c r="AK1358" s="27">
        <f t="shared" si="534"/>
        <v>3.9268307960108023E-2</v>
      </c>
      <c r="AL1358" s="27">
        <f t="shared" si="534"/>
        <v>3.9440926050708265E-2</v>
      </c>
      <c r="AM1358" s="27">
        <f t="shared" si="534"/>
        <v>3.9560992988000768E-2</v>
      </c>
      <c r="AN1358" s="27">
        <f t="shared" si="534"/>
        <v>3.9934249362367197E-2</v>
      </c>
      <c r="AO1358" s="27">
        <f t="shared" si="534"/>
        <v>4.0217971459084928E-2</v>
      </c>
      <c r="AP1358" s="27">
        <f t="shared" si="534"/>
        <v>4.0505274950963739E-2</v>
      </c>
      <c r="AQ1358" s="27">
        <f t="shared" si="534"/>
        <v>4.0799446460072705E-2</v>
      </c>
      <c r="AR1358" s="27">
        <f t="shared" si="534"/>
        <v>4.1106418049306863E-2</v>
      </c>
      <c r="AS1358" s="27">
        <f t="shared" si="534"/>
        <v>4.1421596332960157E-2</v>
      </c>
      <c r="AT1358" s="27">
        <f t="shared" si="534"/>
        <v>4.0799870455377994E-2</v>
      </c>
      <c r="AU1358" s="27">
        <f t="shared" si="534"/>
        <v>4.0095559597504944E-2</v>
      </c>
      <c r="AV1358" s="27">
        <f t="shared" si="534"/>
        <v>3.9279037394439685E-2</v>
      </c>
      <c r="AW1358" s="27">
        <f t="shared" si="534"/>
        <v>3.843692597929859E-2</v>
      </c>
      <c r="AY1358" s="79"/>
      <c r="AZ1358" s="79"/>
    </row>
    <row r="1359" spans="1:52" x14ac:dyDescent="0.3">
      <c r="A1359" s="95" t="str">
        <f t="shared" si="514"/>
        <v>FSFAGSPQNIBDDSCM MM Leaching</v>
      </c>
      <c r="B1359" s="95" t="s">
        <v>1375</v>
      </c>
      <c r="C1359" s="95" t="s">
        <v>1333</v>
      </c>
      <c r="D1359" t="s">
        <v>369</v>
      </c>
      <c r="E1359" t="s">
        <v>64</v>
      </c>
      <c r="F1359" t="s">
        <v>63</v>
      </c>
      <c r="G1359" t="s">
        <v>1162</v>
      </c>
      <c r="H1359" t="s">
        <v>1311</v>
      </c>
      <c r="I1359" t="s">
        <v>139</v>
      </c>
      <c r="J1359" t="s">
        <v>287</v>
      </c>
      <c r="K1359" s="27">
        <f t="shared" ref="K1359:AW1359" si="535">IFERROR(K1552-((K1552-K143)+(K1552-K296)+(K1552-K449)+(K1552-K601)+(K1552-K753)+(K1552-K904)+(K1552-K1055)+(K1552-K1206)),0)</f>
        <v>4.1968337096859203E-2</v>
      </c>
      <c r="L1359" s="27">
        <f t="shared" si="535"/>
        <v>4.3383434779753462E-2</v>
      </c>
      <c r="M1359" s="27">
        <f t="shared" si="535"/>
        <v>4.5063007666824861E-2</v>
      </c>
      <c r="N1359" s="27">
        <f t="shared" si="535"/>
        <v>4.6315596244033502E-2</v>
      </c>
      <c r="O1359" s="27">
        <f t="shared" si="535"/>
        <v>4.7281576900430194E-2</v>
      </c>
      <c r="P1359" s="27">
        <f t="shared" si="535"/>
        <v>4.7947144057730852E-2</v>
      </c>
      <c r="Q1359" s="27">
        <f t="shared" si="535"/>
        <v>4.8855920576585825E-2</v>
      </c>
      <c r="R1359" s="27">
        <f t="shared" si="535"/>
        <v>4.9808583705724517E-2</v>
      </c>
      <c r="S1359" s="27">
        <f t="shared" si="535"/>
        <v>4.558792439477468E-2</v>
      </c>
      <c r="T1359" s="27">
        <f t="shared" si="535"/>
        <v>4.7444585849147458E-2</v>
      </c>
      <c r="U1359" s="27">
        <f t="shared" si="535"/>
        <v>5.0020252871766716E-2</v>
      </c>
      <c r="V1359" s="27">
        <f t="shared" si="535"/>
        <v>5.1489747377125035E-2</v>
      </c>
      <c r="W1359" s="27">
        <f t="shared" si="535"/>
        <v>5.3120325210598208E-2</v>
      </c>
      <c r="X1359" s="27">
        <f t="shared" si="535"/>
        <v>5.4961817995869279E-2</v>
      </c>
      <c r="Y1359" s="27">
        <f t="shared" si="535"/>
        <v>5.6940702891012454E-2</v>
      </c>
      <c r="Z1359" s="27">
        <f t="shared" si="535"/>
        <v>5.909779909090021E-2</v>
      </c>
      <c r="AA1359" s="27">
        <f t="shared" si="535"/>
        <v>6.1315559224141662E-2</v>
      </c>
      <c r="AB1359" s="27">
        <f t="shared" si="535"/>
        <v>6.3706453642829244E-2</v>
      </c>
      <c r="AC1359" s="27">
        <f t="shared" si="535"/>
        <v>6.6151992620882463E-2</v>
      </c>
      <c r="AD1359" s="27">
        <f t="shared" si="535"/>
        <v>6.9050571490334375E-2</v>
      </c>
      <c r="AE1359" s="27">
        <f t="shared" si="535"/>
        <v>7.1942782657683113E-2</v>
      </c>
      <c r="AF1359" s="27">
        <f t="shared" si="535"/>
        <v>7.499198620981147E-2</v>
      </c>
      <c r="AG1359" s="27">
        <f t="shared" si="535"/>
        <v>7.8400492834913502E-2</v>
      </c>
      <c r="AH1359" s="27">
        <f t="shared" si="535"/>
        <v>8.1701156762449018E-2</v>
      </c>
      <c r="AI1359" s="27">
        <f t="shared" si="535"/>
        <v>8.5192788556250426E-2</v>
      </c>
      <c r="AJ1359" s="27">
        <f t="shared" si="535"/>
        <v>8.8918442809121118E-2</v>
      </c>
      <c r="AK1359" s="27">
        <f t="shared" si="535"/>
        <v>9.248798577918188E-2</v>
      </c>
      <c r="AL1359" s="27">
        <f t="shared" si="535"/>
        <v>9.6077147406772881E-2</v>
      </c>
      <c r="AM1359" s="27">
        <f t="shared" si="535"/>
        <v>9.9693715805378641E-2</v>
      </c>
      <c r="AN1359" s="27">
        <f t="shared" si="535"/>
        <v>0.10347374306833025</v>
      </c>
      <c r="AO1359" s="27">
        <f t="shared" si="535"/>
        <v>0.1071593390128282</v>
      </c>
      <c r="AP1359" s="27">
        <f t="shared" si="535"/>
        <v>0.11099240238226693</v>
      </c>
      <c r="AQ1359" s="27">
        <f t="shared" si="535"/>
        <v>0.11498990238948355</v>
      </c>
      <c r="AR1359" s="27">
        <f t="shared" si="535"/>
        <v>0.11917803768424121</v>
      </c>
      <c r="AS1359" s="27">
        <f t="shared" si="535"/>
        <v>0.12355418732739334</v>
      </c>
      <c r="AT1359" s="27">
        <f t="shared" si="535"/>
        <v>0.1252281322589274</v>
      </c>
      <c r="AU1359" s="27">
        <f t="shared" si="535"/>
        <v>0.1266560621373938</v>
      </c>
      <c r="AV1359" s="27">
        <f t="shared" si="535"/>
        <v>0.12771943748303299</v>
      </c>
      <c r="AW1359" s="27">
        <f t="shared" si="535"/>
        <v>0.12867585314816252</v>
      </c>
      <c r="AY1359" s="79"/>
      <c r="AZ1359" s="79"/>
    </row>
    <row r="1360" spans="1:52" x14ac:dyDescent="0.3">
      <c r="A1360" s="95" t="str">
        <f t="shared" si="514"/>
        <v>FSFAGSPQNIBDDSCM MM Leaching</v>
      </c>
      <c r="B1360" s="95" t="s">
        <v>1375</v>
      </c>
      <c r="C1360" s="95" t="s">
        <v>1333</v>
      </c>
      <c r="D1360" t="s">
        <v>369</v>
      </c>
      <c r="E1360" t="s">
        <v>64</v>
      </c>
      <c r="F1360" t="s">
        <v>63</v>
      </c>
      <c r="G1360" t="s">
        <v>1164</v>
      </c>
      <c r="H1360" t="s">
        <v>1312</v>
      </c>
      <c r="I1360" t="s">
        <v>139</v>
      </c>
      <c r="J1360" t="s">
        <v>287</v>
      </c>
      <c r="K1360" s="27">
        <f t="shared" ref="K1360:AW1360" si="536">IFERROR(K1553-((K1553-K144)+(K1553-K297)+(K1553-K450)+(K1553-K602)+(K1553-K754)+(K1553-K905)+(K1553-K1056)+(K1553-K1207)),0)</f>
        <v>4.3945619533695716E-3</v>
      </c>
      <c r="L1360" s="27">
        <f t="shared" si="536"/>
        <v>4.3969380790341763E-3</v>
      </c>
      <c r="M1360" s="27">
        <f t="shared" si="536"/>
        <v>4.4026193063540784E-3</v>
      </c>
      <c r="N1360" s="27">
        <f t="shared" si="536"/>
        <v>4.4109963215778836E-3</v>
      </c>
      <c r="O1360" s="27">
        <f t="shared" si="536"/>
        <v>4.4220158913338588E-3</v>
      </c>
      <c r="P1360" s="27">
        <f t="shared" si="536"/>
        <v>4.4355616535255637E-3</v>
      </c>
      <c r="Q1360" s="27">
        <f t="shared" si="536"/>
        <v>4.4507753934109251E-3</v>
      </c>
      <c r="R1360" s="27">
        <f t="shared" si="536"/>
        <v>4.467561061292976E-3</v>
      </c>
      <c r="S1360" s="27">
        <f t="shared" si="536"/>
        <v>4.4829106304263445E-3</v>
      </c>
      <c r="T1360" s="27">
        <f t="shared" si="536"/>
        <v>4.4896556027107107E-3</v>
      </c>
      <c r="U1360" s="27">
        <f t="shared" si="536"/>
        <v>4.4978926629073816E-3</v>
      </c>
      <c r="V1360" s="27">
        <f t="shared" si="536"/>
        <v>4.5065504561298229E-3</v>
      </c>
      <c r="W1360" s="27">
        <f t="shared" si="536"/>
        <v>4.5162706773714013E-3</v>
      </c>
      <c r="X1360" s="27">
        <f t="shared" si="536"/>
        <v>4.527026129260852E-3</v>
      </c>
      <c r="Y1360" s="27">
        <f t="shared" si="536"/>
        <v>4.5337431797518573E-3</v>
      </c>
      <c r="Z1360" s="27">
        <f t="shared" si="536"/>
        <v>4.5413317440573253E-3</v>
      </c>
      <c r="AA1360" s="27">
        <f t="shared" si="536"/>
        <v>4.5496892838415501E-3</v>
      </c>
      <c r="AB1360" s="27">
        <f t="shared" si="536"/>
        <v>4.5588387793970616E-3</v>
      </c>
      <c r="AC1360" s="27">
        <f t="shared" si="536"/>
        <v>4.5686857941763257E-3</v>
      </c>
      <c r="AD1360" s="27">
        <f t="shared" si="536"/>
        <v>4.5752913220902473E-3</v>
      </c>
      <c r="AE1360" s="27">
        <f t="shared" si="536"/>
        <v>4.582462373127697E-3</v>
      </c>
      <c r="AF1360" s="27">
        <f t="shared" si="536"/>
        <v>4.5902565907943761E-3</v>
      </c>
      <c r="AG1360" s="27">
        <f t="shared" si="536"/>
        <v>4.59875005922699E-3</v>
      </c>
      <c r="AH1360" s="27">
        <f t="shared" si="536"/>
        <v>4.6076877369256993E-3</v>
      </c>
      <c r="AI1360" s="27">
        <f t="shared" si="536"/>
        <v>4.6134006720946743E-3</v>
      </c>
      <c r="AJ1360" s="27">
        <f t="shared" si="536"/>
        <v>4.6196582419180043E-3</v>
      </c>
      <c r="AK1360" s="27">
        <f t="shared" si="536"/>
        <v>4.626254058673806E-3</v>
      </c>
      <c r="AL1360" s="27">
        <f t="shared" si="536"/>
        <v>4.6332583415557996E-3</v>
      </c>
      <c r="AM1360" s="27">
        <f t="shared" si="536"/>
        <v>4.6406604705372459E-3</v>
      </c>
      <c r="AN1360" s="27">
        <f t="shared" si="536"/>
        <v>4.6450341959288514E-3</v>
      </c>
      <c r="AO1360" s="27">
        <f t="shared" si="536"/>
        <v>4.6497032008589968E-3</v>
      </c>
      <c r="AP1360" s="27">
        <f t="shared" si="536"/>
        <v>4.6547677652323564E-3</v>
      </c>
      <c r="AQ1360" s="27">
        <f t="shared" si="536"/>
        <v>4.6602229926895984E-3</v>
      </c>
      <c r="AR1360" s="27">
        <f t="shared" si="536"/>
        <v>4.6660687701808173E-3</v>
      </c>
      <c r="AS1360" s="27">
        <f t="shared" si="536"/>
        <v>4.6687208592955552E-3</v>
      </c>
      <c r="AT1360" s="27">
        <f t="shared" si="536"/>
        <v>4.6704299553969519E-3</v>
      </c>
      <c r="AU1360" s="27">
        <f t="shared" si="536"/>
        <v>4.6723034477338006E-3</v>
      </c>
      <c r="AV1360" s="27">
        <f t="shared" si="536"/>
        <v>4.6742823579489622E-3</v>
      </c>
      <c r="AW1360" s="27">
        <f t="shared" si="536"/>
        <v>4.6764744826629494E-3</v>
      </c>
      <c r="AY1360" s="79"/>
      <c r="AZ1360" s="79"/>
    </row>
    <row r="1361" spans="1:52" x14ac:dyDescent="0.3">
      <c r="A1361" s="95" t="str">
        <f t="shared" si="514"/>
        <v>FSFAGSPQNIBDDSCM MM Leaching</v>
      </c>
      <c r="B1361" s="95" t="s">
        <v>1375</v>
      </c>
      <c r="C1361" s="95" t="s">
        <v>1333</v>
      </c>
      <c r="D1361" t="s">
        <v>369</v>
      </c>
      <c r="E1361" t="s">
        <v>64</v>
      </c>
      <c r="F1361" t="s">
        <v>63</v>
      </c>
      <c r="G1361" t="s">
        <v>1166</v>
      </c>
      <c r="H1361" t="s">
        <v>1313</v>
      </c>
      <c r="I1361" t="s">
        <v>139</v>
      </c>
      <c r="J1361" t="s">
        <v>287</v>
      </c>
      <c r="K1361" s="27">
        <f t="shared" ref="K1361:AW1361" si="537">IFERROR(K1554-((K1554-K145)+(K1554-K298)+(K1554-K451)+(K1554-K603)+(K1554-K755)+(K1554-K906)+(K1554-K1057)+(K1554-K1208)),0)</f>
        <v>3.6554846257269864E-3</v>
      </c>
      <c r="L1361" s="27">
        <f t="shared" si="537"/>
        <v>3.6574611346322943E-3</v>
      </c>
      <c r="M1361" s="27">
        <f t="shared" si="537"/>
        <v>3.662186893272979E-3</v>
      </c>
      <c r="N1361" s="27">
        <f t="shared" si="537"/>
        <v>3.6691550622702605E-3</v>
      </c>
      <c r="O1361" s="27">
        <f t="shared" si="537"/>
        <v>3.6783213610396305E-3</v>
      </c>
      <c r="P1361" s="27">
        <f t="shared" si="537"/>
        <v>3.6895889972593382E-3</v>
      </c>
      <c r="Q1361" s="27">
        <f t="shared" si="537"/>
        <v>3.7022440907227717E-3</v>
      </c>
      <c r="R1361" s="27">
        <f t="shared" si="537"/>
        <v>3.7162067453687837E-3</v>
      </c>
      <c r="S1361" s="27">
        <f t="shared" si="537"/>
        <v>3.7289748243204386E-3</v>
      </c>
      <c r="T1361" s="27">
        <f t="shared" si="537"/>
        <v>3.7345854273220752E-3</v>
      </c>
      <c r="U1361" s="27">
        <f t="shared" si="537"/>
        <v>3.7414371789254476E-3</v>
      </c>
      <c r="V1361" s="27">
        <f t="shared" si="537"/>
        <v>3.7486389046840498E-3</v>
      </c>
      <c r="W1361" s="27">
        <f t="shared" si="537"/>
        <v>3.7567243793421119E-3</v>
      </c>
      <c r="X1361" s="27">
        <f t="shared" si="537"/>
        <v>3.7656709795816407E-3</v>
      </c>
      <c r="Y1361" s="27">
        <f t="shared" si="537"/>
        <v>3.7712583566764787E-3</v>
      </c>
      <c r="Z1361" s="27">
        <f t="shared" si="537"/>
        <v>3.7775706764126256E-3</v>
      </c>
      <c r="AA1361" s="27">
        <f t="shared" si="537"/>
        <v>3.784522645349305E-3</v>
      </c>
      <c r="AB1361" s="27">
        <f t="shared" si="537"/>
        <v>3.7921333789539768E-3</v>
      </c>
      <c r="AC1361" s="27">
        <f t="shared" si="537"/>
        <v>3.8003243230154901E-3</v>
      </c>
      <c r="AD1361" s="27">
        <f t="shared" si="537"/>
        <v>3.805818933397678E-3</v>
      </c>
      <c r="AE1361" s="27">
        <f t="shared" si="537"/>
        <v>3.8117839572375635E-3</v>
      </c>
      <c r="AF1361" s="27">
        <f t="shared" si="537"/>
        <v>3.8182673435573919E-3</v>
      </c>
      <c r="AG1361" s="27">
        <f t="shared" si="537"/>
        <v>3.8253323806655189E-3</v>
      </c>
      <c r="AH1361" s="27">
        <f t="shared" si="537"/>
        <v>3.8327669199356464E-3</v>
      </c>
      <c r="AI1361" s="27">
        <f t="shared" si="537"/>
        <v>3.8375190538000809E-3</v>
      </c>
      <c r="AJ1361" s="27">
        <f t="shared" si="537"/>
        <v>3.8427242256753023E-3</v>
      </c>
      <c r="AK1361" s="27">
        <f t="shared" si="537"/>
        <v>3.8482107581217181E-3</v>
      </c>
      <c r="AL1361" s="27">
        <f t="shared" si="537"/>
        <v>3.8540370608706733E-3</v>
      </c>
      <c r="AM1361" s="27">
        <f t="shared" si="537"/>
        <v>3.8601942999712795E-3</v>
      </c>
      <c r="AN1361" s="27">
        <f t="shared" si="537"/>
        <v>3.8638324523277176E-3</v>
      </c>
      <c r="AO1361" s="27">
        <f t="shared" si="537"/>
        <v>3.8677162241167358E-3</v>
      </c>
      <c r="AP1361" s="27">
        <f t="shared" si="537"/>
        <v>3.87192903017096E-3</v>
      </c>
      <c r="AQ1361" s="27">
        <f t="shared" si="537"/>
        <v>3.8764667976006581E-3</v>
      </c>
      <c r="AR1361" s="27">
        <f t="shared" si="537"/>
        <v>3.8813294323686563E-3</v>
      </c>
      <c r="AS1361" s="27">
        <f t="shared" si="537"/>
        <v>3.8835354931974382E-3</v>
      </c>
      <c r="AT1361" s="27">
        <f t="shared" si="537"/>
        <v>3.8849571535560438E-3</v>
      </c>
      <c r="AU1361" s="27">
        <f t="shared" si="537"/>
        <v>3.8865155619950283E-3</v>
      </c>
      <c r="AV1361" s="27">
        <f t="shared" si="537"/>
        <v>3.8881616591359886E-3</v>
      </c>
      <c r="AW1361" s="27">
        <f t="shared" si="537"/>
        <v>3.8899851123662963E-3</v>
      </c>
      <c r="AY1361" s="79"/>
      <c r="AZ1361" s="79"/>
    </row>
    <row r="1362" spans="1:52" x14ac:dyDescent="0.3">
      <c r="A1362" s="95" t="str">
        <f t="shared" si="514"/>
        <v>FSFAGSPQNIBDDSCM MM Leaching</v>
      </c>
      <c r="B1362" s="95" t="s">
        <v>1375</v>
      </c>
      <c r="C1362" s="95" t="s">
        <v>1333</v>
      </c>
      <c r="D1362" t="s">
        <v>369</v>
      </c>
      <c r="E1362" t="s">
        <v>64</v>
      </c>
      <c r="F1362" t="s">
        <v>63</v>
      </c>
      <c r="G1362" t="s">
        <v>1168</v>
      </c>
      <c r="H1362" t="s">
        <v>1314</v>
      </c>
      <c r="I1362" t="s">
        <v>139</v>
      </c>
      <c r="J1362" t="s">
        <v>287</v>
      </c>
      <c r="K1362" s="27">
        <f t="shared" ref="K1362:AW1362" si="538">IFERROR(K1555-((K1555-K146)+(K1555-K299)+(K1555-K452)+(K1555-K604)+(K1555-K756)+(K1555-K907)+(K1555-K1058)+(K1555-K1209)),0)</f>
        <v>5.4322987485311562E-4</v>
      </c>
      <c r="L1362" s="27">
        <f t="shared" si="538"/>
        <v>5.4464201031358182E-4</v>
      </c>
      <c r="M1362" s="27">
        <f t="shared" si="538"/>
        <v>5.4659000127818655E-4</v>
      </c>
      <c r="N1362" s="27">
        <f t="shared" si="538"/>
        <v>5.4896316873921213E-4</v>
      </c>
      <c r="O1362" s="27">
        <f t="shared" si="538"/>
        <v>5.5175812793145673E-4</v>
      </c>
      <c r="P1362" s="27">
        <f t="shared" si="538"/>
        <v>5.5495786726734487E-4</v>
      </c>
      <c r="Q1362" s="27">
        <f t="shared" si="538"/>
        <v>5.5840147541839718E-4</v>
      </c>
      <c r="R1362" s="27">
        <f t="shared" si="538"/>
        <v>5.620753208024884E-4</v>
      </c>
      <c r="S1362" s="27">
        <f t="shared" si="538"/>
        <v>5.65407082502121E-4</v>
      </c>
      <c r="T1362" s="27">
        <f t="shared" si="538"/>
        <v>5.6703451753723681E-4</v>
      </c>
      <c r="U1362" s="27">
        <f t="shared" si="538"/>
        <v>5.6889992124546543E-4</v>
      </c>
      <c r="V1362" s="27">
        <f t="shared" si="538"/>
        <v>5.7080142404289684E-4</v>
      </c>
      <c r="W1362" s="27">
        <f t="shared" si="538"/>
        <v>5.7286374667304399E-4</v>
      </c>
      <c r="X1362" s="27">
        <f t="shared" si="538"/>
        <v>5.7508348073871955E-4</v>
      </c>
      <c r="Y1362" s="27">
        <f t="shared" si="538"/>
        <v>5.765040134864081E-4</v>
      </c>
      <c r="Z1362" s="27">
        <f t="shared" si="538"/>
        <v>5.7805815510049798E-4</v>
      </c>
      <c r="AA1362" s="27">
        <f t="shared" si="538"/>
        <v>5.7972772798702628E-4</v>
      </c>
      <c r="AB1362" s="27">
        <f t="shared" si="538"/>
        <v>5.8151809327226973E-4</v>
      </c>
      <c r="AC1362" s="27">
        <f t="shared" si="538"/>
        <v>5.8341243976409618E-4</v>
      </c>
      <c r="AD1362" s="27">
        <f t="shared" si="538"/>
        <v>5.8467575387111191E-4</v>
      </c>
      <c r="AE1362" s="27">
        <f t="shared" si="538"/>
        <v>5.8602300319697499E-4</v>
      </c>
      <c r="AF1362" s="27">
        <f t="shared" si="538"/>
        <v>5.8746559148115021E-4</v>
      </c>
      <c r="AG1362" s="27">
        <f t="shared" si="538"/>
        <v>5.8901817067528485E-4</v>
      </c>
      <c r="AH1362" s="27">
        <f t="shared" si="538"/>
        <v>5.9063383572059778E-4</v>
      </c>
      <c r="AI1362" s="27">
        <f t="shared" si="538"/>
        <v>5.9163445865223843E-4</v>
      </c>
      <c r="AJ1362" s="27">
        <f t="shared" si="538"/>
        <v>5.927203167225099E-4</v>
      </c>
      <c r="AK1362" s="27">
        <f t="shared" si="538"/>
        <v>5.9385364522191255E-4</v>
      </c>
      <c r="AL1362" s="27">
        <f t="shared" si="538"/>
        <v>5.9504779442231843E-4</v>
      </c>
      <c r="AM1362" s="27">
        <f t="shared" si="538"/>
        <v>5.9630112936813668E-4</v>
      </c>
      <c r="AN1362" s="27">
        <f t="shared" si="538"/>
        <v>5.9698587491705869E-4</v>
      </c>
      <c r="AO1362" s="27">
        <f t="shared" si="538"/>
        <v>5.9771375764922606E-4</v>
      </c>
      <c r="AP1362" s="27">
        <f t="shared" si="538"/>
        <v>5.9850335838718442E-4</v>
      </c>
      <c r="AQ1362" s="27">
        <f t="shared" si="538"/>
        <v>5.993539230264727E-4</v>
      </c>
      <c r="AR1362" s="27">
        <f t="shared" si="538"/>
        <v>6.0026554968942018E-4</v>
      </c>
      <c r="AS1362" s="27">
        <f t="shared" si="538"/>
        <v>6.0058687026311956E-4</v>
      </c>
      <c r="AT1362" s="27">
        <f t="shared" si="538"/>
        <v>6.0072956880295909E-4</v>
      </c>
      <c r="AU1362" s="27">
        <f t="shared" si="538"/>
        <v>6.0089545684115426E-4</v>
      </c>
      <c r="AV1362" s="27">
        <f t="shared" si="538"/>
        <v>6.0107404835249166E-4</v>
      </c>
      <c r="AW1362" s="27">
        <f t="shared" si="538"/>
        <v>6.0128502571355803E-4</v>
      </c>
      <c r="AY1362" s="79"/>
      <c r="AZ1362" s="79"/>
    </row>
    <row r="1363" spans="1:52" x14ac:dyDescent="0.3">
      <c r="A1363" s="95" t="str">
        <f t="shared" si="514"/>
        <v>FSFAGSPQNIBDDSCM MM Leaching</v>
      </c>
      <c r="B1363" s="95" t="s">
        <v>1375</v>
      </c>
      <c r="C1363" s="95" t="s">
        <v>1333</v>
      </c>
      <c r="D1363" t="s">
        <v>369</v>
      </c>
      <c r="E1363" t="s">
        <v>64</v>
      </c>
      <c r="F1363" t="s">
        <v>63</v>
      </c>
      <c r="G1363" t="s">
        <v>1170</v>
      </c>
      <c r="H1363" t="s">
        <v>1315</v>
      </c>
      <c r="I1363" t="s">
        <v>139</v>
      </c>
      <c r="J1363" t="s">
        <v>287</v>
      </c>
      <c r="K1363" s="27">
        <f t="shared" ref="K1363:AW1363" si="539">IFERROR(K1556-((K1556-K147)+(K1556-K300)+(K1556-K453)+(K1556-K605)+(K1556-K757)+(K1556-K908)+(K1556-K1059)+(K1556-K1210)),0)</f>
        <v>6.6992563985089947E-3</v>
      </c>
      <c r="L1363" s="27">
        <f t="shared" si="539"/>
        <v>6.716671231449923E-3</v>
      </c>
      <c r="M1363" s="27">
        <f t="shared" si="539"/>
        <v>6.7406943780734313E-3</v>
      </c>
      <c r="N1363" s="27">
        <f t="shared" si="539"/>
        <v>6.7699609151951386E-3</v>
      </c>
      <c r="O1363" s="27">
        <f t="shared" si="539"/>
        <v>6.8044291009834836E-3</v>
      </c>
      <c r="P1363" s="27">
        <f t="shared" si="539"/>
        <v>6.8438891439814974E-3</v>
      </c>
      <c r="Q1363" s="27">
        <f t="shared" si="539"/>
        <v>6.8863566425632575E-3</v>
      </c>
      <c r="R1363" s="27">
        <f t="shared" si="539"/>
        <v>6.9316634884048298E-3</v>
      </c>
      <c r="S1363" s="27">
        <f t="shared" si="539"/>
        <v>6.9727516665736141E-3</v>
      </c>
      <c r="T1363" s="27">
        <f t="shared" si="539"/>
        <v>6.9928216315679071E-3</v>
      </c>
      <c r="U1363" s="27">
        <f t="shared" si="539"/>
        <v>7.0158262900129739E-3</v>
      </c>
      <c r="V1363" s="27">
        <f t="shared" si="539"/>
        <v>7.0392761321003963E-3</v>
      </c>
      <c r="W1363" s="27">
        <f t="shared" si="539"/>
        <v>7.0647092474634627E-3</v>
      </c>
      <c r="X1363" s="27">
        <f t="shared" si="539"/>
        <v>7.0920836028346328E-3</v>
      </c>
      <c r="Y1363" s="27">
        <f t="shared" si="539"/>
        <v>7.1096019933720011E-3</v>
      </c>
      <c r="Z1363" s="27">
        <f t="shared" si="539"/>
        <v>7.1287680842560801E-3</v>
      </c>
      <c r="AA1363" s="27">
        <f t="shared" si="539"/>
        <v>7.1493577045266439E-3</v>
      </c>
      <c r="AB1363" s="27">
        <f t="shared" si="539"/>
        <v>7.1714369690296844E-3</v>
      </c>
      <c r="AC1363" s="27">
        <f t="shared" si="539"/>
        <v>7.1947985576385452E-3</v>
      </c>
      <c r="AD1363" s="27">
        <f t="shared" si="539"/>
        <v>7.2103780857656428E-3</v>
      </c>
      <c r="AE1363" s="27">
        <f t="shared" si="539"/>
        <v>7.2269927255056137E-3</v>
      </c>
      <c r="AF1363" s="27">
        <f t="shared" si="539"/>
        <v>7.2447831108296695E-3</v>
      </c>
      <c r="AG1363" s="27">
        <f t="shared" si="539"/>
        <v>7.2639299335321393E-3</v>
      </c>
      <c r="AH1363" s="27">
        <f t="shared" si="539"/>
        <v>7.2838547478579095E-3</v>
      </c>
      <c r="AI1363" s="27">
        <f t="shared" si="539"/>
        <v>7.2961946980108746E-3</v>
      </c>
      <c r="AJ1363" s="27">
        <f t="shared" si="539"/>
        <v>7.3095857907358557E-3</v>
      </c>
      <c r="AK1363" s="27">
        <f t="shared" si="539"/>
        <v>7.3235623015146271E-3</v>
      </c>
      <c r="AL1363" s="27">
        <f t="shared" si="539"/>
        <v>7.3382888694777E-3</v>
      </c>
      <c r="AM1363" s="27">
        <f t="shared" si="539"/>
        <v>7.3537453319145558E-3</v>
      </c>
      <c r="AN1363" s="27">
        <f t="shared" si="539"/>
        <v>7.3621897975308988E-3</v>
      </c>
      <c r="AO1363" s="27">
        <f t="shared" si="539"/>
        <v>7.3711662424514879E-3</v>
      </c>
      <c r="AP1363" s="27">
        <f t="shared" si="539"/>
        <v>7.3809038103594829E-3</v>
      </c>
      <c r="AQ1363" s="27">
        <f t="shared" si="539"/>
        <v>7.3913932014365797E-3</v>
      </c>
      <c r="AR1363" s="27">
        <f t="shared" si="539"/>
        <v>7.4026356257536402E-3</v>
      </c>
      <c r="AS1363" s="27">
        <f t="shared" si="539"/>
        <v>7.4065982371801786E-3</v>
      </c>
      <c r="AT1363" s="27">
        <f t="shared" si="539"/>
        <v>7.408358033815691E-3</v>
      </c>
      <c r="AU1363" s="27">
        <f t="shared" si="539"/>
        <v>7.4104038095595542E-3</v>
      </c>
      <c r="AV1363" s="27">
        <f t="shared" si="539"/>
        <v>7.4126062479386483E-3</v>
      </c>
      <c r="AW1363" s="27">
        <f t="shared" si="539"/>
        <v>7.4152080772957795E-3</v>
      </c>
      <c r="AY1363" s="79"/>
      <c r="AZ1363" s="79"/>
    </row>
    <row r="1364" spans="1:52" x14ac:dyDescent="0.3">
      <c r="A1364" s="95" t="str">
        <f t="shared" si="514"/>
        <v>FSFAGSPQNIBDDSCM MM Leaching</v>
      </c>
      <c r="B1364" s="95" t="s">
        <v>1375</v>
      </c>
      <c r="C1364" s="95" t="s">
        <v>1333</v>
      </c>
      <c r="D1364" t="s">
        <v>369</v>
      </c>
      <c r="E1364" t="s">
        <v>64</v>
      </c>
      <c r="F1364" t="s">
        <v>63</v>
      </c>
      <c r="G1364" t="s">
        <v>1172</v>
      </c>
      <c r="H1364" t="s">
        <v>1316</v>
      </c>
      <c r="I1364" t="s">
        <v>139</v>
      </c>
      <c r="J1364" t="s">
        <v>287</v>
      </c>
      <c r="K1364" s="27">
        <f t="shared" ref="K1364:AW1364" si="540">IFERROR(K1557-((K1557-K148)+(K1557-K301)+(K1557-K454)+(K1557-K606)+(K1557-K758)+(K1557-K909)+(K1557-K1060)+(K1557-K1211)),0)</f>
        <v>0</v>
      </c>
      <c r="L1364" s="27">
        <f t="shared" si="540"/>
        <v>0</v>
      </c>
      <c r="M1364" s="27">
        <f t="shared" si="540"/>
        <v>0</v>
      </c>
      <c r="N1364" s="27">
        <f t="shared" si="540"/>
        <v>0</v>
      </c>
      <c r="O1364" s="27">
        <f t="shared" si="540"/>
        <v>0</v>
      </c>
      <c r="P1364" s="27">
        <f t="shared" si="540"/>
        <v>0</v>
      </c>
      <c r="Q1364" s="27">
        <f t="shared" si="540"/>
        <v>0</v>
      </c>
      <c r="R1364" s="27">
        <f t="shared" si="540"/>
        <v>0</v>
      </c>
      <c r="S1364" s="27">
        <f t="shared" si="540"/>
        <v>0</v>
      </c>
      <c r="T1364" s="27">
        <f t="shared" si="540"/>
        <v>0</v>
      </c>
      <c r="U1364" s="27">
        <f t="shared" si="540"/>
        <v>0</v>
      </c>
      <c r="V1364" s="27">
        <f t="shared" si="540"/>
        <v>0</v>
      </c>
      <c r="W1364" s="27">
        <f t="shared" si="540"/>
        <v>0</v>
      </c>
      <c r="X1364" s="27">
        <f t="shared" si="540"/>
        <v>0</v>
      </c>
      <c r="Y1364" s="27">
        <f t="shared" si="540"/>
        <v>0</v>
      </c>
      <c r="Z1364" s="27">
        <f t="shared" si="540"/>
        <v>0</v>
      </c>
      <c r="AA1364" s="27">
        <f t="shared" si="540"/>
        <v>0</v>
      </c>
      <c r="AB1364" s="27">
        <f t="shared" si="540"/>
        <v>0</v>
      </c>
      <c r="AC1364" s="27">
        <f t="shared" si="540"/>
        <v>0</v>
      </c>
      <c r="AD1364" s="27">
        <f t="shared" si="540"/>
        <v>0</v>
      </c>
      <c r="AE1364" s="27">
        <f t="shared" si="540"/>
        <v>0</v>
      </c>
      <c r="AF1364" s="27">
        <f t="shared" si="540"/>
        <v>0</v>
      </c>
      <c r="AG1364" s="27">
        <f t="shared" si="540"/>
        <v>0</v>
      </c>
      <c r="AH1364" s="27">
        <f t="shared" si="540"/>
        <v>0</v>
      </c>
      <c r="AI1364" s="27">
        <f t="shared" si="540"/>
        <v>0</v>
      </c>
      <c r="AJ1364" s="27">
        <f t="shared" si="540"/>
        <v>0</v>
      </c>
      <c r="AK1364" s="27">
        <f t="shared" si="540"/>
        <v>0</v>
      </c>
      <c r="AL1364" s="27">
        <f t="shared" si="540"/>
        <v>0</v>
      </c>
      <c r="AM1364" s="27">
        <f t="shared" si="540"/>
        <v>0</v>
      </c>
      <c r="AN1364" s="27">
        <f t="shared" si="540"/>
        <v>0</v>
      </c>
      <c r="AO1364" s="27">
        <f t="shared" si="540"/>
        <v>0</v>
      </c>
      <c r="AP1364" s="27">
        <f t="shared" si="540"/>
        <v>0</v>
      </c>
      <c r="AQ1364" s="27">
        <f t="shared" si="540"/>
        <v>0</v>
      </c>
      <c r="AR1364" s="27">
        <f t="shared" si="540"/>
        <v>0</v>
      </c>
      <c r="AS1364" s="27">
        <f t="shared" si="540"/>
        <v>0</v>
      </c>
      <c r="AT1364" s="27">
        <f t="shared" si="540"/>
        <v>0</v>
      </c>
      <c r="AU1364" s="27">
        <f t="shared" si="540"/>
        <v>0</v>
      </c>
      <c r="AV1364" s="27">
        <f t="shared" si="540"/>
        <v>0</v>
      </c>
      <c r="AW1364" s="27">
        <f t="shared" si="540"/>
        <v>0</v>
      </c>
      <c r="AY1364" s="79"/>
      <c r="AZ1364" s="79"/>
    </row>
    <row r="1365" spans="1:52" x14ac:dyDescent="0.3">
      <c r="A1365" s="95" t="str">
        <f t="shared" si="514"/>
        <v>FSFAGSPQNIBDDSCM MM Leaching</v>
      </c>
      <c r="B1365" s="95" t="s">
        <v>1375</v>
      </c>
      <c r="C1365" s="95" t="s">
        <v>1333</v>
      </c>
      <c r="D1365" t="s">
        <v>369</v>
      </c>
      <c r="E1365" t="s">
        <v>64</v>
      </c>
      <c r="F1365" t="s">
        <v>63</v>
      </c>
      <c r="G1365" t="s">
        <v>1174</v>
      </c>
      <c r="H1365" t="s">
        <v>1317</v>
      </c>
      <c r="I1365" t="s">
        <v>139</v>
      </c>
      <c r="J1365" t="s">
        <v>287</v>
      </c>
      <c r="K1365" s="27">
        <f t="shared" ref="K1365:AW1365" si="541">IFERROR(K1558-((K1558-K149)+(K1558-K302)+(K1558-K455)+(K1558-K607)+(K1558-K759)+(K1558-K910)+(K1558-K1061)+(K1558-K1212)),0)</f>
        <v>0</v>
      </c>
      <c r="L1365" s="27">
        <f t="shared" si="541"/>
        <v>0</v>
      </c>
      <c r="M1365" s="27">
        <f t="shared" si="541"/>
        <v>0</v>
      </c>
      <c r="N1365" s="27">
        <f t="shared" si="541"/>
        <v>0</v>
      </c>
      <c r="O1365" s="27">
        <f t="shared" si="541"/>
        <v>0</v>
      </c>
      <c r="P1365" s="27">
        <f t="shared" si="541"/>
        <v>0</v>
      </c>
      <c r="Q1365" s="27">
        <f t="shared" si="541"/>
        <v>0</v>
      </c>
      <c r="R1365" s="27">
        <f t="shared" si="541"/>
        <v>0</v>
      </c>
      <c r="S1365" s="27">
        <f t="shared" si="541"/>
        <v>0</v>
      </c>
      <c r="T1365" s="27">
        <f t="shared" si="541"/>
        <v>0</v>
      </c>
      <c r="U1365" s="27">
        <f t="shared" si="541"/>
        <v>0</v>
      </c>
      <c r="V1365" s="27">
        <f t="shared" si="541"/>
        <v>0</v>
      </c>
      <c r="W1365" s="27">
        <f t="shared" si="541"/>
        <v>0</v>
      </c>
      <c r="X1365" s="27">
        <f t="shared" si="541"/>
        <v>0</v>
      </c>
      <c r="Y1365" s="27">
        <f t="shared" si="541"/>
        <v>0</v>
      </c>
      <c r="Z1365" s="27">
        <f t="shared" si="541"/>
        <v>0</v>
      </c>
      <c r="AA1365" s="27">
        <f t="shared" si="541"/>
        <v>0</v>
      </c>
      <c r="AB1365" s="27">
        <f t="shared" si="541"/>
        <v>0</v>
      </c>
      <c r="AC1365" s="27">
        <f t="shared" si="541"/>
        <v>0</v>
      </c>
      <c r="AD1365" s="27">
        <f t="shared" si="541"/>
        <v>0</v>
      </c>
      <c r="AE1365" s="27">
        <f t="shared" si="541"/>
        <v>0</v>
      </c>
      <c r="AF1365" s="27">
        <f t="shared" si="541"/>
        <v>0</v>
      </c>
      <c r="AG1365" s="27">
        <f t="shared" si="541"/>
        <v>0</v>
      </c>
      <c r="AH1365" s="27">
        <f t="shared" si="541"/>
        <v>0</v>
      </c>
      <c r="AI1365" s="27">
        <f t="shared" si="541"/>
        <v>0</v>
      </c>
      <c r="AJ1365" s="27">
        <f t="shared" si="541"/>
        <v>0</v>
      </c>
      <c r="AK1365" s="27">
        <f t="shared" si="541"/>
        <v>0</v>
      </c>
      <c r="AL1365" s="27">
        <f t="shared" si="541"/>
        <v>0</v>
      </c>
      <c r="AM1365" s="27">
        <f t="shared" si="541"/>
        <v>0</v>
      </c>
      <c r="AN1365" s="27">
        <f t="shared" si="541"/>
        <v>0</v>
      </c>
      <c r="AO1365" s="27">
        <f t="shared" si="541"/>
        <v>0</v>
      </c>
      <c r="AP1365" s="27">
        <f t="shared" si="541"/>
        <v>0</v>
      </c>
      <c r="AQ1365" s="27">
        <f t="shared" si="541"/>
        <v>0</v>
      </c>
      <c r="AR1365" s="27">
        <f t="shared" si="541"/>
        <v>0</v>
      </c>
      <c r="AS1365" s="27">
        <f t="shared" si="541"/>
        <v>0</v>
      </c>
      <c r="AT1365" s="27">
        <f t="shared" si="541"/>
        <v>0</v>
      </c>
      <c r="AU1365" s="27">
        <f t="shared" si="541"/>
        <v>0</v>
      </c>
      <c r="AV1365" s="27">
        <f t="shared" si="541"/>
        <v>0</v>
      </c>
      <c r="AW1365" s="27">
        <f t="shared" si="541"/>
        <v>0</v>
      </c>
      <c r="AY1365" s="79"/>
      <c r="AZ1365" s="79"/>
    </row>
    <row r="1366" spans="1:52" x14ac:dyDescent="0.3">
      <c r="A1366" s="95" t="str">
        <f t="shared" si="514"/>
        <v>FSFAGSPQNIBDDSCM MM Leaching</v>
      </c>
      <c r="B1366" s="95" t="s">
        <v>1375</v>
      </c>
      <c r="C1366" s="95" t="s">
        <v>1333</v>
      </c>
      <c r="D1366" t="s">
        <v>369</v>
      </c>
      <c r="E1366" t="s">
        <v>64</v>
      </c>
      <c r="F1366" t="s">
        <v>63</v>
      </c>
      <c r="G1366" t="s">
        <v>1176</v>
      </c>
      <c r="H1366" t="s">
        <v>1318</v>
      </c>
      <c r="I1366" t="s">
        <v>139</v>
      </c>
      <c r="J1366" t="s">
        <v>287</v>
      </c>
      <c r="K1366" s="27">
        <f t="shared" ref="K1366:AW1366" si="542">IFERROR(K1559-((K1559-K150)+(K1559-K303)+(K1559-K456)+(K1559-K608)+(K1559-K760)+(K1559-K911)+(K1559-K1062)+(K1559-K1213)),0)</f>
        <v>2.6875086183165937E-2</v>
      </c>
      <c r="L1366" s="27">
        <f t="shared" si="542"/>
        <v>2.6729002214214568E-2</v>
      </c>
      <c r="M1366" s="27">
        <f t="shared" si="542"/>
        <v>2.6740992333189318E-2</v>
      </c>
      <c r="N1366" s="27">
        <f t="shared" si="542"/>
        <v>2.6495489531984443E-2</v>
      </c>
      <c r="O1366" s="27">
        <f t="shared" si="542"/>
        <v>2.609452683304701E-2</v>
      </c>
      <c r="P1366" s="27">
        <f t="shared" si="542"/>
        <v>2.5544514050244025E-2</v>
      </c>
      <c r="Q1366" s="27">
        <f t="shared" si="542"/>
        <v>2.5145143775072754E-2</v>
      </c>
      <c r="R1366" s="27">
        <f t="shared" si="542"/>
        <v>2.4781112413324514E-2</v>
      </c>
      <c r="S1366" s="27">
        <f t="shared" si="542"/>
        <v>2.1880480805765091E-2</v>
      </c>
      <c r="T1366" s="27">
        <f t="shared" si="542"/>
        <v>2.2157174302587897E-2</v>
      </c>
      <c r="U1366" s="27">
        <f t="shared" si="542"/>
        <v>2.2750904230467162E-2</v>
      </c>
      <c r="V1366" s="27">
        <f t="shared" si="542"/>
        <v>2.2804811823411601E-2</v>
      </c>
      <c r="W1366" s="27">
        <f t="shared" si="542"/>
        <v>2.292155171126611E-2</v>
      </c>
      <c r="X1366" s="27">
        <f t="shared" si="542"/>
        <v>2.3117832526296487E-2</v>
      </c>
      <c r="Y1366" s="27">
        <f t="shared" si="542"/>
        <v>2.3364125716575319E-2</v>
      </c>
      <c r="Z1366" s="27">
        <f t="shared" si="542"/>
        <v>2.3665937141590494E-2</v>
      </c>
      <c r="AA1366" s="27">
        <f t="shared" si="542"/>
        <v>2.3971277948899337E-2</v>
      </c>
      <c r="AB1366" s="27">
        <f t="shared" si="542"/>
        <v>2.4323808269457244E-2</v>
      </c>
      <c r="AC1366" s="27">
        <f t="shared" si="542"/>
        <v>2.4673905433943388E-2</v>
      </c>
      <c r="AD1366" s="27">
        <f t="shared" si="542"/>
        <v>2.5109167618050737E-2</v>
      </c>
      <c r="AE1366" s="27">
        <f t="shared" si="542"/>
        <v>2.5509858249217851E-2</v>
      </c>
      <c r="AF1366" s="27">
        <f t="shared" si="542"/>
        <v>2.5936225115881856E-2</v>
      </c>
      <c r="AG1366" s="27">
        <f t="shared" si="542"/>
        <v>2.6456337070766354E-2</v>
      </c>
      <c r="AH1366" s="27">
        <f t="shared" si="542"/>
        <v>2.6902942278627297E-2</v>
      </c>
      <c r="AI1366" s="27">
        <f t="shared" si="542"/>
        <v>2.7384983876862477E-2</v>
      </c>
      <c r="AJ1366" s="27">
        <f t="shared" si="542"/>
        <v>2.7908158351219941E-2</v>
      </c>
      <c r="AK1366" s="27">
        <f t="shared" si="542"/>
        <v>2.8344604443718637E-2</v>
      </c>
      <c r="AL1366" s="27">
        <f t="shared" si="542"/>
        <v>2.8753897192929187E-2</v>
      </c>
      <c r="AM1366" s="27">
        <f t="shared" si="542"/>
        <v>2.9139337629284397E-2</v>
      </c>
      <c r="AN1366" s="27">
        <f t="shared" si="542"/>
        <v>2.9584390604572932E-2</v>
      </c>
      <c r="AO1366" s="27">
        <f t="shared" si="542"/>
        <v>2.9970416689145254E-2</v>
      </c>
      <c r="AP1366" s="27">
        <f t="shared" si="542"/>
        <v>3.0368893670993099E-2</v>
      </c>
      <c r="AQ1366" s="27">
        <f t="shared" si="542"/>
        <v>3.0782827170501174E-2</v>
      </c>
      <c r="AR1366" s="27">
        <f t="shared" si="542"/>
        <v>3.1217396528975507E-2</v>
      </c>
      <c r="AS1366" s="27">
        <f t="shared" si="542"/>
        <v>3.1673723172219483E-2</v>
      </c>
      <c r="AT1366" s="27">
        <f t="shared" si="542"/>
        <v>3.1396042142995774E-2</v>
      </c>
      <c r="AU1366" s="27">
        <f t="shared" si="542"/>
        <v>3.1054190241510845E-2</v>
      </c>
      <c r="AV1366" s="27">
        <f t="shared" si="542"/>
        <v>3.0622832551979947E-2</v>
      </c>
      <c r="AW1366" s="27">
        <f t="shared" si="542"/>
        <v>3.01703196842419E-2</v>
      </c>
      <c r="AY1366" s="79"/>
      <c r="AZ1366" s="79"/>
    </row>
    <row r="1367" spans="1:52" x14ac:dyDescent="0.3">
      <c r="A1367" s="95" t="str">
        <f t="shared" si="514"/>
        <v>FSFAGSPQNIBDDSCM MM Leaching</v>
      </c>
      <c r="B1367" s="95" t="s">
        <v>1375</v>
      </c>
      <c r="C1367" s="95" t="s">
        <v>1333</v>
      </c>
      <c r="D1367" t="s">
        <v>369</v>
      </c>
      <c r="E1367" t="s">
        <v>64</v>
      </c>
      <c r="F1367" t="s">
        <v>63</v>
      </c>
      <c r="G1367" t="s">
        <v>1178</v>
      </c>
      <c r="H1367" t="s">
        <v>1319</v>
      </c>
      <c r="I1367" t="s">
        <v>139</v>
      </c>
      <c r="J1367" t="s">
        <v>287</v>
      </c>
      <c r="K1367" s="27">
        <f t="shared" ref="K1367:AW1367" si="543">IFERROR(K1560-((K1560-K151)+(K1560-K304)+(K1560-K457)+(K1560-K609)+(K1560-K761)+(K1560-K912)+(K1560-K1063)+(K1560-K1214)),0)</f>
        <v>4.0166140097319695E-3</v>
      </c>
      <c r="L1367" s="27">
        <f t="shared" si="543"/>
        <v>3.994781041000697E-3</v>
      </c>
      <c r="M1367" s="27">
        <f t="shared" si="543"/>
        <v>3.9965730233416695E-3</v>
      </c>
      <c r="N1367" s="27">
        <f t="shared" si="543"/>
        <v>3.9598814204188995E-3</v>
      </c>
      <c r="O1367" s="27">
        <f t="shared" si="543"/>
        <v>3.8999555700251301E-3</v>
      </c>
      <c r="P1367" s="27">
        <f t="shared" si="543"/>
        <v>3.8177534504158571E-3</v>
      </c>
      <c r="Q1367" s="27">
        <f t="shared" si="543"/>
        <v>3.7580655955978047E-3</v>
      </c>
      <c r="R1367" s="27">
        <f t="shared" si="543"/>
        <v>3.7036593154610871E-3</v>
      </c>
      <c r="S1367" s="27">
        <f t="shared" si="543"/>
        <v>3.2701456339573466E-3</v>
      </c>
      <c r="T1367" s="27">
        <f t="shared" si="543"/>
        <v>3.31149883997744E-3</v>
      </c>
      <c r="U1367" s="27">
        <f t="shared" si="543"/>
        <v>3.4002347022576052E-3</v>
      </c>
      <c r="V1367" s="27">
        <f t="shared" si="543"/>
        <v>3.40829145755788E-3</v>
      </c>
      <c r="W1367" s="27">
        <f t="shared" si="543"/>
        <v>3.4257388088279458E-3</v>
      </c>
      <c r="X1367" s="27">
        <f t="shared" si="543"/>
        <v>3.4550739434622826E-3</v>
      </c>
      <c r="Y1367" s="27">
        <f t="shared" si="543"/>
        <v>3.491883673925408E-3</v>
      </c>
      <c r="Z1367" s="27">
        <f t="shared" si="543"/>
        <v>3.5369908780382062E-3</v>
      </c>
      <c r="AA1367" s="27">
        <f t="shared" si="543"/>
        <v>3.5826255657196082E-3</v>
      </c>
      <c r="AB1367" s="27">
        <f t="shared" si="543"/>
        <v>3.6353129585993062E-3</v>
      </c>
      <c r="AC1367" s="27">
        <f t="shared" si="543"/>
        <v>3.6876367043189875E-3</v>
      </c>
      <c r="AD1367" s="27">
        <f t="shared" si="543"/>
        <v>3.7526887817217083E-3</v>
      </c>
      <c r="AE1367" s="27">
        <f t="shared" si="543"/>
        <v>3.8125739702470681E-3</v>
      </c>
      <c r="AF1367" s="27">
        <f t="shared" si="543"/>
        <v>3.87629659864187E-3</v>
      </c>
      <c r="AG1367" s="27">
        <f t="shared" si="543"/>
        <v>3.9540298922350536E-3</v>
      </c>
      <c r="AH1367" s="27">
        <f t="shared" si="543"/>
        <v>4.0207772404105219E-3</v>
      </c>
      <c r="AI1367" s="27">
        <f t="shared" si="543"/>
        <v>4.0928207316778291E-3</v>
      </c>
      <c r="AJ1367" s="27">
        <f t="shared" si="543"/>
        <v>4.1710117338914204E-3</v>
      </c>
      <c r="AK1367" s="27">
        <f t="shared" si="543"/>
        <v>4.2362407522348522E-3</v>
      </c>
      <c r="AL1367" s="27">
        <f t="shared" si="543"/>
        <v>4.2974115696735888E-3</v>
      </c>
      <c r="AM1367" s="27">
        <f t="shared" si="543"/>
        <v>4.3550175414658315E-3</v>
      </c>
      <c r="AN1367" s="27">
        <f t="shared" si="543"/>
        <v>4.4215329008374625E-3</v>
      </c>
      <c r="AO1367" s="27">
        <f t="shared" si="543"/>
        <v>4.479226400640501E-3</v>
      </c>
      <c r="AP1367" s="27">
        <f t="shared" si="543"/>
        <v>4.5387807483712392E-3</v>
      </c>
      <c r="AQ1367" s="27">
        <f t="shared" si="543"/>
        <v>4.6006451488010665E-3</v>
      </c>
      <c r="AR1367" s="27">
        <f t="shared" si="543"/>
        <v>4.665593680000254E-3</v>
      </c>
      <c r="AS1367" s="27">
        <f t="shared" si="543"/>
        <v>4.7337939445789724E-3</v>
      </c>
      <c r="AT1367" s="27">
        <f t="shared" si="543"/>
        <v>4.6922931469772361E-3</v>
      </c>
      <c r="AU1367" s="27">
        <f t="shared" si="543"/>
        <v>4.6412016964271002E-3</v>
      </c>
      <c r="AV1367" s="27">
        <f t="shared" si="543"/>
        <v>4.5767331649713494E-3</v>
      </c>
      <c r="AW1367" s="27">
        <f t="shared" si="543"/>
        <v>4.5091028879276577E-3</v>
      </c>
      <c r="AY1367" s="79"/>
      <c r="AZ1367" s="79"/>
    </row>
    <row r="1368" spans="1:52" x14ac:dyDescent="0.3">
      <c r="A1368" s="95" t="str">
        <f t="shared" si="514"/>
        <v>FSFAGSPQNIBDDSCM MM Leaching</v>
      </c>
      <c r="B1368" s="95" t="s">
        <v>1375</v>
      </c>
      <c r="C1368" s="95" t="s">
        <v>1333</v>
      </c>
      <c r="D1368" t="s">
        <v>369</v>
      </c>
      <c r="E1368" t="s">
        <v>64</v>
      </c>
      <c r="F1368" t="s">
        <v>63</v>
      </c>
      <c r="G1368" t="s">
        <v>1180</v>
      </c>
      <c r="H1368" t="s">
        <v>1320</v>
      </c>
      <c r="I1368" t="s">
        <v>139</v>
      </c>
      <c r="J1368" t="s">
        <v>287</v>
      </c>
      <c r="K1368" s="27">
        <f t="shared" ref="K1368:AW1368" si="544">IFERROR(K1561-((K1561-K152)+(K1561-K305)+(K1561-K458)+(K1561-K610)+(K1561-K762)+(K1561-K913)+(K1561-K1064)+(K1561-K1215)),0)</f>
        <v>1.6726645268412742E-2</v>
      </c>
      <c r="L1368" s="27">
        <f t="shared" si="544"/>
        <v>1.7066731126843739E-2</v>
      </c>
      <c r="M1368" s="27">
        <f t="shared" si="544"/>
        <v>1.7464259263446445E-2</v>
      </c>
      <c r="N1368" s="27">
        <f t="shared" si="544"/>
        <v>1.77694513935726E-2</v>
      </c>
      <c r="O1368" s="27">
        <f t="shared" si="544"/>
        <v>1.8014444056791569E-2</v>
      </c>
      <c r="P1368" s="27">
        <f t="shared" si="544"/>
        <v>1.8197780265539362E-2</v>
      </c>
      <c r="Q1368" s="27">
        <f t="shared" si="544"/>
        <v>1.8432867891885713E-2</v>
      </c>
      <c r="R1368" s="27">
        <f t="shared" si="544"/>
        <v>1.8677293946611207E-2</v>
      </c>
      <c r="S1368" s="27">
        <f t="shared" si="544"/>
        <v>1.7845993977500554E-2</v>
      </c>
      <c r="T1368" s="27">
        <f t="shared" si="544"/>
        <v>1.8290177947761724E-2</v>
      </c>
      <c r="U1368" s="27">
        <f t="shared" si="544"/>
        <v>1.8882126643784119E-2</v>
      </c>
      <c r="V1368" s="27">
        <f t="shared" si="544"/>
        <v>1.9244149446427172E-2</v>
      </c>
      <c r="W1368" s="27">
        <f t="shared" si="544"/>
        <v>1.9638833779478608E-2</v>
      </c>
      <c r="X1368" s="27">
        <f t="shared" si="544"/>
        <v>2.0076166391792365E-2</v>
      </c>
      <c r="Y1368" s="27">
        <f t="shared" si="544"/>
        <v>2.0527873811486335E-2</v>
      </c>
      <c r="Z1368" s="27">
        <f t="shared" si="544"/>
        <v>2.1014725008073262E-2</v>
      </c>
      <c r="AA1368" s="27">
        <f t="shared" si="544"/>
        <v>2.1512524786700418E-2</v>
      </c>
      <c r="AB1368" s="27">
        <f t="shared" si="544"/>
        <v>2.204403910450644E-2</v>
      </c>
      <c r="AC1368" s="27">
        <f t="shared" si="544"/>
        <v>2.2585019508801499E-2</v>
      </c>
      <c r="AD1368" s="27">
        <f t="shared" si="544"/>
        <v>2.3168701426676565E-2</v>
      </c>
      <c r="AE1368" s="27">
        <f t="shared" si="544"/>
        <v>2.3746356188951337E-2</v>
      </c>
      <c r="AF1368" s="27">
        <f t="shared" si="544"/>
        <v>2.4350664580619397E-2</v>
      </c>
      <c r="AG1368" s="27">
        <f t="shared" si="544"/>
        <v>2.5021362816751564E-2</v>
      </c>
      <c r="AH1368" s="27">
        <f t="shared" si="544"/>
        <v>2.5665252656926436E-2</v>
      </c>
      <c r="AI1368" s="27">
        <f t="shared" si="544"/>
        <v>2.6331138974392616E-2</v>
      </c>
      <c r="AJ1368" s="27">
        <f t="shared" si="544"/>
        <v>2.7037084930771747E-2</v>
      </c>
      <c r="AK1368" s="27">
        <f t="shared" si="544"/>
        <v>2.7706662515763772E-2</v>
      </c>
      <c r="AL1368" s="27">
        <f t="shared" si="544"/>
        <v>2.8374415178094886E-2</v>
      </c>
      <c r="AM1368" s="27">
        <f t="shared" si="544"/>
        <v>2.9041879152159198E-2</v>
      </c>
      <c r="AN1368" s="27">
        <f t="shared" si="544"/>
        <v>2.9750026658148378E-2</v>
      </c>
      <c r="AO1368" s="27">
        <f t="shared" si="544"/>
        <v>3.0435625912582094E-2</v>
      </c>
      <c r="AP1368" s="27">
        <f t="shared" si="544"/>
        <v>3.1144967675009176E-2</v>
      </c>
      <c r="AQ1368" s="27">
        <f t="shared" si="544"/>
        <v>3.1881013101963972E-2</v>
      </c>
      <c r="AR1368" s="27">
        <f t="shared" si="544"/>
        <v>3.2648423492469485E-2</v>
      </c>
      <c r="AS1368" s="27">
        <f t="shared" si="544"/>
        <v>3.3436328313148703E-2</v>
      </c>
      <c r="AT1368" s="27">
        <f t="shared" si="544"/>
        <v>3.371230344910283E-2</v>
      </c>
      <c r="AU1368" s="27">
        <f t="shared" si="544"/>
        <v>3.39408780706969E-2</v>
      </c>
      <c r="AV1368" s="27">
        <f t="shared" si="544"/>
        <v>3.4100500286935446E-2</v>
      </c>
      <c r="AW1368" s="27">
        <f t="shared" si="544"/>
        <v>3.4239705581718134E-2</v>
      </c>
      <c r="AY1368" s="79"/>
      <c r="AZ1368" s="79"/>
    </row>
    <row r="1369" spans="1:52" x14ac:dyDescent="0.3">
      <c r="A1369" s="95" t="str">
        <f t="shared" si="514"/>
        <v>FSFAGSPQNIBDDSCM MM Leaching</v>
      </c>
      <c r="B1369" s="95" t="s">
        <v>1375</v>
      </c>
      <c r="C1369" s="95" t="s">
        <v>1333</v>
      </c>
      <c r="D1369" t="s">
        <v>369</v>
      </c>
      <c r="E1369" t="s">
        <v>64</v>
      </c>
      <c r="F1369" t="s">
        <v>63</v>
      </c>
      <c r="G1369" t="s">
        <v>1182</v>
      </c>
      <c r="H1369" t="s">
        <v>1321</v>
      </c>
      <c r="I1369" t="s">
        <v>139</v>
      </c>
      <c r="J1369" t="s">
        <v>287</v>
      </c>
      <c r="K1369" s="27">
        <f t="shared" ref="K1369:AW1369" si="545">IFERROR(K1562-((K1562-K153)+(K1562-K306)+(K1562-K459)+(K1562-K611)+(K1562-K763)+(K1562-K914)+(K1562-K1065)+(K1562-K1216)),0)</f>
        <v>7.758579791322931E-2</v>
      </c>
      <c r="L1369" s="27">
        <f t="shared" si="545"/>
        <v>7.8607464197542429E-2</v>
      </c>
      <c r="M1369" s="27">
        <f t="shared" si="545"/>
        <v>8.0248553313821205E-2</v>
      </c>
      <c r="N1369" s="27">
        <f t="shared" si="545"/>
        <v>8.0719757945382262E-2</v>
      </c>
      <c r="O1369" s="27">
        <f t="shared" si="545"/>
        <v>8.0430818839717741E-2</v>
      </c>
      <c r="P1369" s="27">
        <f t="shared" si="545"/>
        <v>7.938481013134728E-2</v>
      </c>
      <c r="Q1369" s="27">
        <f t="shared" si="545"/>
        <v>7.8944464359385597E-2</v>
      </c>
      <c r="R1369" s="27">
        <f t="shared" si="545"/>
        <v>7.8604018955287347E-2</v>
      </c>
      <c r="S1369" s="27">
        <f t="shared" si="545"/>
        <v>6.6259107806349124E-2</v>
      </c>
      <c r="T1369" s="27">
        <f t="shared" si="545"/>
        <v>6.8883290688916743E-2</v>
      </c>
      <c r="U1369" s="27">
        <f t="shared" si="545"/>
        <v>7.307131784092237E-2</v>
      </c>
      <c r="V1369" s="27">
        <f t="shared" si="545"/>
        <v>7.4685850466012449E-2</v>
      </c>
      <c r="W1369" s="27">
        <f t="shared" si="545"/>
        <v>7.6617949690607756E-2</v>
      </c>
      <c r="X1369" s="27">
        <f t="shared" si="545"/>
        <v>7.8965775854052137E-2</v>
      </c>
      <c r="Y1369" s="27">
        <f t="shared" si="545"/>
        <v>8.1661778442119887E-2</v>
      </c>
      <c r="Z1369" s="27">
        <f t="shared" si="545"/>
        <v>8.4680896790548951E-2</v>
      </c>
      <c r="AA1369" s="27">
        <f t="shared" si="545"/>
        <v>8.776412775274034E-2</v>
      </c>
      <c r="AB1369" s="27">
        <f t="shared" si="545"/>
        <v>9.1145488449202117E-2</v>
      </c>
      <c r="AC1369" s="27">
        <f t="shared" si="545"/>
        <v>9.4570204644651698E-2</v>
      </c>
      <c r="AD1369" s="27">
        <f t="shared" si="545"/>
        <v>9.8568154697968743E-2</v>
      </c>
      <c r="AE1369" s="27">
        <f t="shared" si="545"/>
        <v>0.10244796560739347</v>
      </c>
      <c r="AF1369" s="27">
        <f t="shared" si="545"/>
        <v>0.10654057141624064</v>
      </c>
      <c r="AG1369" s="27">
        <f t="shared" si="545"/>
        <v>0.11123806657675694</v>
      </c>
      <c r="AH1369" s="27">
        <f t="shared" si="545"/>
        <v>0.11560654614552646</v>
      </c>
      <c r="AI1369" s="27">
        <f t="shared" si="545"/>
        <v>0.12031218938193437</v>
      </c>
      <c r="AJ1369" s="27">
        <f t="shared" si="545"/>
        <v>0.12535029329403399</v>
      </c>
      <c r="AK1369" s="27">
        <f t="shared" si="545"/>
        <v>0.12997331250710895</v>
      </c>
      <c r="AL1369" s="27">
        <f t="shared" si="545"/>
        <v>0.13452286194458821</v>
      </c>
      <c r="AM1369" s="27">
        <f t="shared" si="545"/>
        <v>0.13901554953719861</v>
      </c>
      <c r="AN1369" s="27">
        <f t="shared" si="545"/>
        <v>0.1440082698862134</v>
      </c>
      <c r="AO1369" s="27">
        <f t="shared" si="545"/>
        <v>0.14873185090680655</v>
      </c>
      <c r="AP1369" s="27">
        <f t="shared" si="545"/>
        <v>0.15362755351583215</v>
      </c>
      <c r="AQ1369" s="27">
        <f t="shared" si="545"/>
        <v>0.15872063106624867</v>
      </c>
      <c r="AR1369" s="27">
        <f t="shared" si="545"/>
        <v>0.16405164052421939</v>
      </c>
      <c r="AS1369" s="27">
        <f t="shared" si="545"/>
        <v>0.16968110376218293</v>
      </c>
      <c r="AT1369" s="27">
        <f t="shared" si="545"/>
        <v>0.17053816071119138</v>
      </c>
      <c r="AU1369" s="27">
        <f t="shared" si="545"/>
        <v>0.17095629027566819</v>
      </c>
      <c r="AV1369" s="27">
        <f t="shared" si="545"/>
        <v>0.17074584650981994</v>
      </c>
      <c r="AW1369" s="27">
        <f t="shared" si="545"/>
        <v>0.17035646457405007</v>
      </c>
      <c r="AY1369" s="79"/>
      <c r="AZ1369" s="79"/>
    </row>
    <row r="1379" spans="1:49" x14ac:dyDescent="0.3">
      <c r="A1379" s="95" t="s">
        <v>960</v>
      </c>
      <c r="B1379" s="95"/>
      <c r="C1379" s="95"/>
      <c r="D1379" t="str">
        <f>'IPCC Categories'!A5</f>
        <v>3A Livestock</v>
      </c>
      <c r="E1379" t="str">
        <f>'IPCC Categories'!B5</f>
        <v>3A1 Enteric fermentation (CH4)</v>
      </c>
      <c r="F1379" t="str">
        <f>EF!C4</f>
        <v>3A1ai Dairy cattle</v>
      </c>
      <c r="G1379" t="str">
        <f>EF!D4</f>
        <v>TMR</v>
      </c>
      <c r="H1379" t="str">
        <f>'IPCC Categories'!F5&amp;" Emissions"</f>
        <v>Enteric fermentation Emissions</v>
      </c>
      <c r="I1379" t="s">
        <v>121</v>
      </c>
      <c r="J1379" t="s">
        <v>286</v>
      </c>
      <c r="K1379" s="27">
        <f>IF(('Activity data'!AD5*EF!$H4)*kgtoGg=0,"NO",('Activity data'!AD5*EF!$H4)*kgtoGg)</f>
        <v>72.246065125367707</v>
      </c>
      <c r="L1379" s="27">
        <f>IF(('Activity data'!AE5*EF!$H4)*kgtoGg=0,"NO",('Activity data'!AE5*EF!$H4)*kgtoGg)</f>
        <v>72.649957574793376</v>
      </c>
      <c r="M1379" s="27">
        <f>IF(('Activity data'!AF5*EF!$H4)*kgtoGg=0,"NO",('Activity data'!AF5*EF!$H4)*kgtoGg)</f>
        <v>73.223011790998029</v>
      </c>
      <c r="N1379" s="27">
        <f>IF(('Activity data'!AG5*EF!$H4)*kgtoGg=0,"NO",('Activity data'!AG5*EF!$H4)*kgtoGg)</f>
        <v>73.591260167761035</v>
      </c>
      <c r="O1379" s="27">
        <f>IF(('Activity data'!AH5*EF!$H4)*kgtoGg=0,"NO",('Activity data'!AH5*EF!$H4)*kgtoGg)</f>
        <v>73.835962898346551</v>
      </c>
      <c r="P1379" s="27">
        <f>IF(('Activity data'!AI5*EF!$H4)*kgtoGg=0,"NO",('Activity data'!AI5*EF!$H4)*kgtoGg)</f>
        <v>73.954711561483904</v>
      </c>
      <c r="Q1379" s="27">
        <f>IF(('Activity data'!AJ5*EF!$H4)*kgtoGg=0,"NO",('Activity data'!AJ5*EF!$H4)*kgtoGg)</f>
        <v>74.217071552078707</v>
      </c>
      <c r="R1379" s="27">
        <f>IF(('Activity data'!AK5*EF!$H4)*kgtoGg=0,"NO",('Activity data'!AK5*EF!$H4)*kgtoGg)</f>
        <v>74.518042528471312</v>
      </c>
      <c r="S1379" s="27">
        <f>IF(('Activity data'!AL5*EF!$H4)*kgtoGg=0,"NO",('Activity data'!AL5*EF!$H4)*kgtoGg)</f>
        <v>72.278060008832611</v>
      </c>
      <c r="T1379" s="27">
        <f>IF(('Activity data'!AM5*EF!$H4)*kgtoGg=0,"NO",('Activity data'!AM5*EF!$H4)*kgtoGg)</f>
        <v>73.038072409871731</v>
      </c>
      <c r="U1379" s="27">
        <f>IF(('Activity data'!AN5*EF!$H4)*kgtoGg=0,"NO",('Activity data'!AN5*EF!$H4)*kgtoGg)</f>
        <v>74.1505294629453</v>
      </c>
      <c r="V1379" s="27">
        <f>IF(('Activity data'!AO5*EF!$H4)*kgtoGg=0,"NO",('Activity data'!AO5*EF!$H4)*kgtoGg)</f>
        <v>74.727142714641815</v>
      </c>
      <c r="W1379" s="27">
        <f>IF(('Activity data'!AP5*EF!$H4)*kgtoGg=0,"NO",('Activity data'!AP5*EF!$H4)*kgtoGg)</f>
        <v>75.386134904907664</v>
      </c>
      <c r="X1379" s="27">
        <f>IF(('Activity data'!AQ5*EF!$H4)*kgtoGg=0,"NO",('Activity data'!AQ5*EF!$H4)*kgtoGg)</f>
        <v>76.148849321322899</v>
      </c>
      <c r="Y1379" s="27">
        <f>IF(('Activity data'!AR5*EF!$H4)*kgtoGg=0,"NO",('Activity data'!AR5*EF!$H4)*kgtoGg)</f>
        <v>76.927724649348932</v>
      </c>
      <c r="Z1379" s="27">
        <f>IF(('Activity data'!AS5*EF!$H4)*kgtoGg=0,"NO",('Activity data'!AS5*EF!$H4)*kgtoGg)</f>
        <v>77.789839188812167</v>
      </c>
      <c r="AA1379" s="27">
        <f>IF(('Activity data'!AT5*EF!$H4)*kgtoGg=0,"NO",('Activity data'!AT5*EF!$H4)*kgtoGg)</f>
        <v>78.678659679683463</v>
      </c>
      <c r="AB1379" s="27">
        <f>IF(('Activity data'!AU5*EF!$H4)*kgtoGg=0,"NO",('Activity data'!AU5*EF!$H4)*kgtoGg)</f>
        <v>79.645214708438644</v>
      </c>
      <c r="AC1379" s="27">
        <f>IF(('Activity data'!AV5*EF!$H4)*kgtoGg=0,"NO",('Activity data'!AV5*EF!$H4)*kgtoGg)</f>
        <v>80.63357341135027</v>
      </c>
      <c r="AD1379" s="27">
        <f>IF(('Activity data'!AW5*EF!$H4)*kgtoGg=0,"NO",('Activity data'!AW5*EF!$H4)*kgtoGg)</f>
        <v>81.701326888312266</v>
      </c>
      <c r="AE1379" s="27">
        <f>IF(('Activity data'!AX5*EF!$H4)*kgtoGg=0,"NO",('Activity data'!AX5*EF!$H4)*kgtoGg)</f>
        <v>82.754629010299467</v>
      </c>
      <c r="AF1379" s="27">
        <f>IF(('Activity data'!AY5*EF!$H4)*kgtoGg=0,"NO",('Activity data'!AY5*EF!$H4)*kgtoGg)</f>
        <v>83.866381546619579</v>
      </c>
      <c r="AG1379" s="27">
        <f>IF(('Activity data'!AZ5*EF!$H4)*kgtoGg=0,"NO",('Activity data'!AZ5*EF!$H4)*kgtoGg)</f>
        <v>85.123957452137844</v>
      </c>
      <c r="AH1379" s="27">
        <f>IF(('Activity data'!BA5*EF!$H4)*kgtoGg=0,"NO",('Activity data'!BA5*EF!$H4)*kgtoGg)</f>
        <v>86.31962290876946</v>
      </c>
      <c r="AI1379" s="27">
        <f>IF(('Activity data'!BB5*EF!$H4)*kgtoGg=0,"NO",('Activity data'!BB5*EF!$H4)*kgtoGg)</f>
        <v>87.545771501366829</v>
      </c>
      <c r="AJ1379" s="27">
        <f>IF(('Activity data'!BC5*EF!$H4)*kgtoGg=0,"NO",('Activity data'!BC5*EF!$H4)*kgtoGg)</f>
        <v>88.857081922014302</v>
      </c>
      <c r="AK1379" s="27">
        <f>IF(('Activity data'!BD5*EF!$H4)*kgtoGg=0,"NO",('Activity data'!BD5*EF!$H4)*kgtoGg)</f>
        <v>90.085621753712104</v>
      </c>
      <c r="AL1379" s="27">
        <f>IF(('Activity data'!BE5*EF!$H4)*kgtoGg=0,"NO",('Activity data'!BE5*EF!$H4)*kgtoGg)</f>
        <v>91.307494637553916</v>
      </c>
      <c r="AM1379" s="27">
        <f>IF(('Activity data'!BF5*EF!$H4)*kgtoGg=0,"NO",('Activity data'!BF5*EF!$H4)*kgtoGg)</f>
        <v>92.526099205531537</v>
      </c>
      <c r="AN1379" s="27">
        <f>IF(('Activity data'!BG5*EF!$H4)*kgtoGg=0,"NO",('Activity data'!BG5*EF!$H4)*kgtoGg)</f>
        <v>93.815346302798517</v>
      </c>
      <c r="AO1379" s="27">
        <f>IF(('Activity data'!BH5*EF!$H4)*kgtoGg=0,"NO",('Activity data'!BH5*EF!$H4)*kgtoGg)</f>
        <v>95.052737285389242</v>
      </c>
      <c r="AP1379" s="27">
        <f>IF(('Activity data'!BI5*EF!$H4)*kgtoGg=0,"NO",('Activity data'!BI5*EF!$H4)*kgtoGg)</f>
        <v>96.338177882566526</v>
      </c>
      <c r="AQ1379" s="27">
        <f>IF(('Activity data'!BJ5*EF!$H4)*kgtoGg=0,"NO",('Activity data'!BJ5*EF!$H4)*kgtoGg)</f>
        <v>97.677530754509618</v>
      </c>
      <c r="AR1379" s="27">
        <f>IF(('Activity data'!BK5*EF!$H4)*kgtoGg=0,"NO",('Activity data'!BK5*EF!$H4)*kgtoGg)</f>
        <v>99.08022368038182</v>
      </c>
      <c r="AS1379" s="27">
        <f>IF(('Activity data'!BL5*EF!$H4)*kgtoGg=0,"NO",('Activity data'!BL5*EF!$H4)*kgtoGg)</f>
        <v>100.50772839666152</v>
      </c>
      <c r="AT1379" s="27">
        <f>IF(('Activity data'!BM5*EF!$H4)*kgtoGg=0,"NO",('Activity data'!BM5*EF!$H4)*kgtoGg)</f>
        <v>100.84617835677685</v>
      </c>
      <c r="AU1379" s="27">
        <f>IF(('Activity data'!BN5*EF!$H4)*kgtoGg=0,"NO",('Activity data'!BN5*EF!$H4)*kgtoGg)</f>
        <v>101.08705215806816</v>
      </c>
      <c r="AV1379" s="27">
        <f>IF(('Activity data'!BO5*EF!$H4)*kgtoGg=0,"NO",('Activity data'!BO5*EF!$H4)*kgtoGg)</f>
        <v>101.18574255533849</v>
      </c>
      <c r="AW1379" s="27">
        <f>IF(('Activity data'!BP5*EF!$H4)*kgtoGg=0,"NO",('Activity data'!BP5*EF!$H4)*kgtoGg)</f>
        <v>101.24533448141288</v>
      </c>
    </row>
    <row r="1380" spans="1:49" x14ac:dyDescent="0.3">
      <c r="A1380" s="95" t="s">
        <v>960</v>
      </c>
      <c r="B1380" s="95"/>
      <c r="C1380" s="95"/>
      <c r="D1380" t="str">
        <f>D1379</f>
        <v>3A Livestock</v>
      </c>
      <c r="E1380" t="str">
        <f>E1379</f>
        <v>3A1 Enteric fermentation (CH4)</v>
      </c>
      <c r="F1380" t="str">
        <f>EF!C5</f>
        <v>3A1ai Dairy cattle</v>
      </c>
      <c r="G1380" t="str">
        <f>EF!D5</f>
        <v>Pasture</v>
      </c>
      <c r="H1380" t="str">
        <f t="shared" ref="H1380:J1381" si="546">H1379</f>
        <v>Enteric fermentation Emissions</v>
      </c>
      <c r="I1380" t="str">
        <f t="shared" si="546"/>
        <v>CH4</v>
      </c>
      <c r="J1380" t="str">
        <f t="shared" si="546"/>
        <v>Gg CH4</v>
      </c>
      <c r="K1380" s="27">
        <f>IF(('Activity data'!AD6*EF!$H5)*kgtoGg=0,"NO",('Activity data'!AD6*EF!$H5)*kgtoGg)</f>
        <v>57.783598896292567</v>
      </c>
      <c r="L1380" s="27">
        <f>IF(('Activity data'!AE6*EF!$H5)*kgtoGg=0,"NO",('Activity data'!AE6*EF!$H5)*kgtoGg)</f>
        <v>58.106638763645272</v>
      </c>
      <c r="M1380" s="27">
        <f>IF(('Activity data'!AF6*EF!$H5)*kgtoGg=0,"NO",('Activity data'!AF6*EF!$H5)*kgtoGg)</f>
        <v>58.564977012483297</v>
      </c>
      <c r="N1380" s="27">
        <f>IF(('Activity data'!AG6*EF!$H5)*kgtoGg=0,"NO",('Activity data'!AG6*EF!$H5)*kgtoGg)</f>
        <v>58.859508160444918</v>
      </c>
      <c r="O1380" s="27">
        <f>IF(('Activity data'!AH6*EF!$H5)*kgtoGg=0,"NO",('Activity data'!AH6*EF!$H5)*kgtoGg)</f>
        <v>59.055225455337649</v>
      </c>
      <c r="P1380" s="27">
        <f>IF(('Activity data'!AI6*EF!$H5)*kgtoGg=0,"NO",('Activity data'!AI6*EF!$H5)*kgtoGg)</f>
        <v>59.150202601958597</v>
      </c>
      <c r="Q1380" s="27">
        <f>IF(('Activity data'!AJ6*EF!$H5)*kgtoGg=0,"NO",('Activity data'!AJ6*EF!$H5)*kgtoGg)</f>
        <v>59.360042465716688</v>
      </c>
      <c r="R1380" s="27">
        <f>IF(('Activity data'!AK6*EF!$H5)*kgtoGg=0,"NO",('Activity data'!AK6*EF!$H5)*kgtoGg)</f>
        <v>59.600764035107602</v>
      </c>
      <c r="S1380" s="27">
        <f>IF(('Activity data'!AL6*EF!$H5)*kgtoGg=0,"NO",('Activity data'!AL6*EF!$H5)*kgtoGg)</f>
        <v>57.809188933752196</v>
      </c>
      <c r="T1380" s="27">
        <f>IF(('Activity data'!AM6*EF!$H5)*kgtoGg=0,"NO",('Activity data'!AM6*EF!$H5)*kgtoGg)</f>
        <v>58.417059433849957</v>
      </c>
      <c r="U1380" s="27">
        <f>IF(('Activity data'!AN6*EF!$H5)*kgtoGg=0,"NO",('Activity data'!AN6*EF!$H5)*kgtoGg)</f>
        <v>59.306821001246142</v>
      </c>
      <c r="V1380" s="27">
        <f>IF(('Activity data'!AO6*EF!$H5)*kgtoGg=0,"NO",('Activity data'!AO6*EF!$H5)*kgtoGg)</f>
        <v>59.768005825589199</v>
      </c>
      <c r="W1380" s="27">
        <f>IF(('Activity data'!AP6*EF!$H5)*kgtoGg=0,"NO",('Activity data'!AP6*EF!$H5)*kgtoGg)</f>
        <v>60.295078688755297</v>
      </c>
      <c r="X1380" s="27">
        <f>IF(('Activity data'!AQ6*EF!$H5)*kgtoGg=0,"NO",('Activity data'!AQ6*EF!$H5)*kgtoGg)</f>
        <v>60.905110305481806</v>
      </c>
      <c r="Y1380" s="27">
        <f>IF(('Activity data'!AR6*EF!$H5)*kgtoGg=0,"NO",('Activity data'!AR6*EF!$H5)*kgtoGg)</f>
        <v>61.528067686853028</v>
      </c>
      <c r="Z1380" s="27">
        <f>IF(('Activity data'!AS6*EF!$H5)*kgtoGg=0,"NO",('Activity data'!AS6*EF!$H5)*kgtoGg)</f>
        <v>62.217601167528549</v>
      </c>
      <c r="AA1380" s="27">
        <f>IF(('Activity data'!AT6*EF!$H5)*kgtoGg=0,"NO",('Activity data'!AT6*EF!$H5)*kgtoGg)</f>
        <v>62.928494510248186</v>
      </c>
      <c r="AB1380" s="27">
        <f>IF(('Activity data'!AU6*EF!$H5)*kgtoGg=0,"NO",('Activity data'!AU6*EF!$H5)*kgtoGg)</f>
        <v>63.701561223236183</v>
      </c>
      <c r="AC1380" s="27">
        <f>IF(('Activity data'!AV6*EF!$H5)*kgtoGg=0,"NO",('Activity data'!AV6*EF!$H5)*kgtoGg)</f>
        <v>64.492066875766909</v>
      </c>
      <c r="AD1380" s="27">
        <f>IF(('Activity data'!AW6*EF!$H5)*kgtoGg=0,"NO",('Activity data'!AW6*EF!$H5)*kgtoGg)</f>
        <v>65.346073782936557</v>
      </c>
      <c r="AE1380" s="27">
        <f>IF(('Activity data'!AX6*EF!$H5)*kgtoGg=0,"NO",('Activity data'!AX6*EF!$H5)*kgtoGg)</f>
        <v>66.18852225716013</v>
      </c>
      <c r="AF1380" s="27">
        <f>IF(('Activity data'!AY6*EF!$H5)*kgtoGg=0,"NO",('Activity data'!AY6*EF!$H5)*kgtoGg)</f>
        <v>67.077720340393881</v>
      </c>
      <c r="AG1380" s="27">
        <f>IF(('Activity data'!AZ6*EF!$H5)*kgtoGg=0,"NO",('Activity data'!AZ6*EF!$H5)*kgtoGg)</f>
        <v>68.083550368368549</v>
      </c>
      <c r="AH1380" s="27">
        <f>IF(('Activity data'!BA6*EF!$H5)*kgtoGg=0,"NO",('Activity data'!BA6*EF!$H5)*kgtoGg)</f>
        <v>69.039863394417281</v>
      </c>
      <c r="AI1380" s="27">
        <f>IF(('Activity data'!BB6*EF!$H5)*kgtoGg=0,"NO",('Activity data'!BB6*EF!$H5)*kgtoGg)</f>
        <v>70.020557337249372</v>
      </c>
      <c r="AJ1380" s="27">
        <f>IF(('Activity data'!BC6*EF!$H5)*kgtoGg=0,"NO",('Activity data'!BC6*EF!$H5)*kgtoGg)</f>
        <v>71.069365119981001</v>
      </c>
      <c r="AK1380" s="27">
        <f>IF(('Activity data'!BD6*EF!$H5)*kgtoGg=0,"NO",('Activity data'!BD6*EF!$H5)*kgtoGg)</f>
        <v>72.051971615431754</v>
      </c>
      <c r="AL1380" s="27">
        <f>IF(('Activity data'!BE6*EF!$H5)*kgtoGg=0,"NO",('Activity data'!BE6*EF!$H5)*kgtoGg)</f>
        <v>73.029245775618222</v>
      </c>
      <c r="AM1380" s="27">
        <f>IF(('Activity data'!BF6*EF!$H5)*kgtoGg=0,"NO",('Activity data'!BF6*EF!$H5)*kgtoGg)</f>
        <v>74.003905882670679</v>
      </c>
      <c r="AN1380" s="27">
        <f>IF(('Activity data'!BG6*EF!$H5)*kgtoGg=0,"NO",('Activity data'!BG6*EF!$H5)*kgtoGg)</f>
        <v>75.035067054111778</v>
      </c>
      <c r="AO1380" s="27">
        <f>IF(('Activity data'!BH6*EF!$H5)*kgtoGg=0,"NO",('Activity data'!BH6*EF!$H5)*kgtoGg)</f>
        <v>76.024752846574486</v>
      </c>
      <c r="AP1380" s="27">
        <f>IF(('Activity data'!BI6*EF!$H5)*kgtoGg=0,"NO",('Activity data'!BI6*EF!$H5)*kgtoGg)</f>
        <v>77.05286951622854</v>
      </c>
      <c r="AQ1380" s="27">
        <f>IF(('Activity data'!BJ6*EF!$H5)*kgtoGg=0,"NO",('Activity data'!BJ6*EF!$H5)*kgtoGg)</f>
        <v>78.12410611573965</v>
      </c>
      <c r="AR1380" s="27">
        <f>IF(('Activity data'!BK6*EF!$H5)*kgtoGg=0,"NO",('Activity data'!BK6*EF!$H5)*kgtoGg)</f>
        <v>79.246003138956311</v>
      </c>
      <c r="AS1380" s="27">
        <f>IF(('Activity data'!BL6*EF!$H5)*kgtoGg=0,"NO",('Activity data'!BL6*EF!$H5)*kgtoGg)</f>
        <v>80.387745042891623</v>
      </c>
      <c r="AT1380" s="27">
        <f>IF(('Activity data'!BM6*EF!$H5)*kgtoGg=0,"NO",('Activity data'!BM6*EF!$H5)*kgtoGg)</f>
        <v>80.658442923915771</v>
      </c>
      <c r="AU1380" s="27">
        <f>IF(('Activity data'!BN6*EF!$H5)*kgtoGg=0,"NO",('Activity data'!BN6*EF!$H5)*kgtoGg)</f>
        <v>80.851097777772381</v>
      </c>
      <c r="AV1380" s="27">
        <f>IF(('Activity data'!BO6*EF!$H5)*kgtoGg=0,"NO",('Activity data'!BO6*EF!$H5)*kgtoGg)</f>
        <v>80.930031991295138</v>
      </c>
      <c r="AW1380" s="27">
        <f>IF(('Activity data'!BP6*EF!$H5)*kgtoGg=0,"NO",('Activity data'!BP6*EF!$H5)*kgtoGg)</f>
        <v>80.977694600293489</v>
      </c>
    </row>
    <row r="1381" spans="1:49" x14ac:dyDescent="0.3">
      <c r="A1381" s="95" t="s">
        <v>960</v>
      </c>
      <c r="B1381" s="95"/>
      <c r="C1381" s="95"/>
      <c r="D1381" t="str">
        <f t="shared" ref="D1381:E1396" si="547">D1380</f>
        <v>3A Livestock</v>
      </c>
      <c r="E1381" t="str">
        <f t="shared" si="547"/>
        <v>3A1 Enteric fermentation (CH4)</v>
      </c>
      <c r="F1381" t="str">
        <f>EF!C6</f>
        <v>3A1aii Other cattle</v>
      </c>
      <c r="G1381" t="str">
        <f>EF!D6</f>
        <v>Non-lactating</v>
      </c>
      <c r="H1381" t="str">
        <f t="shared" si="546"/>
        <v>Enteric fermentation Emissions</v>
      </c>
      <c r="I1381" t="str">
        <f t="shared" si="546"/>
        <v>CH4</v>
      </c>
      <c r="J1381" t="str">
        <f t="shared" si="546"/>
        <v>Gg CH4</v>
      </c>
      <c r="K1381" s="27">
        <f>IF(('Activity data'!AD7*EF!$H6)*kgtoGg=0,"NO",('Activity data'!AD7*EF!$H6)*kgtoGg)</f>
        <v>26.126191807126649</v>
      </c>
      <c r="L1381" s="27">
        <f>IF(('Activity data'!AE7*EF!$H6)*kgtoGg=0,"NO",('Activity data'!AE7*EF!$H6)*kgtoGg)</f>
        <v>26.272250579806297</v>
      </c>
      <c r="M1381" s="27">
        <f>IF(('Activity data'!AF7*EF!$H6)*kgtoGg=0,"NO",('Activity data'!AF7*EF!$H6)*kgtoGg)</f>
        <v>26.479482964607669</v>
      </c>
      <c r="N1381" s="27">
        <f>IF(('Activity data'!AG7*EF!$H6)*kgtoGg=0,"NO",('Activity data'!AG7*EF!$H6)*kgtoGg)</f>
        <v>26.61265184663991</v>
      </c>
      <c r="O1381" s="27">
        <f>IF(('Activity data'!AH7*EF!$H6)*kgtoGg=0,"NO",('Activity data'!AH7*EF!$H6)*kgtoGg)</f>
        <v>26.701143177813595</v>
      </c>
      <c r="P1381" s="27">
        <f>IF(('Activity data'!AI7*EF!$H6)*kgtoGg=0,"NO",('Activity data'!AI7*EF!$H6)*kgtoGg)</f>
        <v>26.744086005835889</v>
      </c>
      <c r="Q1381" s="27">
        <f>IF(('Activity data'!AJ7*EF!$H6)*kgtoGg=0,"NO",('Activity data'!AJ7*EF!$H6)*kgtoGg)</f>
        <v>26.838962694620271</v>
      </c>
      <c r="R1381" s="27">
        <f>IF(('Activity data'!AK7*EF!$H6)*kgtoGg=0,"NO",('Activity data'!AK7*EF!$H6)*kgtoGg)</f>
        <v>26.947802192577246</v>
      </c>
      <c r="S1381" s="27">
        <f>IF(('Activity data'!AL7*EF!$H6)*kgtoGg=0,"NO",('Activity data'!AL7*EF!$H6)*kgtoGg)</f>
        <v>26.137762049198656</v>
      </c>
      <c r="T1381" s="27">
        <f>IF(('Activity data'!AM7*EF!$H6)*kgtoGg=0,"NO",('Activity data'!AM7*EF!$H6)*kgtoGg)</f>
        <v>26.412603727162519</v>
      </c>
      <c r="U1381" s="27">
        <f>IF(('Activity data'!AN7*EF!$H6)*kgtoGg=0,"NO",('Activity data'!AN7*EF!$H6)*kgtoGg)</f>
        <v>26.814899219593229</v>
      </c>
      <c r="V1381" s="27">
        <f>IF(('Activity data'!AO7*EF!$H6)*kgtoGg=0,"NO",('Activity data'!AO7*EF!$H6)*kgtoGg)</f>
        <v>27.023418650875932</v>
      </c>
      <c r="W1381" s="27">
        <f>IF(('Activity data'!AP7*EF!$H6)*kgtoGg=0,"NO",('Activity data'!AP7*EF!$H6)*kgtoGg)</f>
        <v>27.261728603568962</v>
      </c>
      <c r="X1381" s="27">
        <f>IF(('Activity data'!AQ7*EF!$H6)*kgtoGg=0,"NO",('Activity data'!AQ7*EF!$H6)*kgtoGg)</f>
        <v>27.53754740564138</v>
      </c>
      <c r="Y1381" s="27">
        <f>IF(('Activity data'!AR7*EF!$H6)*kgtoGg=0,"NO",('Activity data'!AR7*EF!$H6)*kgtoGg)</f>
        <v>27.819210444016349</v>
      </c>
      <c r="Z1381" s="27">
        <f>IF(('Activity data'!AS7*EF!$H6)*kgtoGg=0,"NO",('Activity data'!AS7*EF!$H6)*kgtoGg)</f>
        <v>28.13097510246029</v>
      </c>
      <c r="AA1381" s="27">
        <f>IF(('Activity data'!AT7*EF!$H6)*kgtoGg=0,"NO",('Activity data'!AT7*EF!$H6)*kgtoGg)</f>
        <v>28.452397377657032</v>
      </c>
      <c r="AB1381" s="27">
        <f>IF(('Activity data'!AU7*EF!$H6)*kgtoGg=0,"NO",('Activity data'!AU7*EF!$H6)*kgtoGg)</f>
        <v>28.801930629462248</v>
      </c>
      <c r="AC1381" s="27">
        <f>IF(('Activity data'!AV7*EF!$H6)*kgtoGg=0,"NO",('Activity data'!AV7*EF!$H6)*kgtoGg)</f>
        <v>29.159348697860899</v>
      </c>
      <c r="AD1381" s="27">
        <f>IF(('Activity data'!AW7*EF!$H6)*kgtoGg=0,"NO",('Activity data'!AW7*EF!$H6)*kgtoGg)</f>
        <v>29.545478130563247</v>
      </c>
      <c r="AE1381" s="27">
        <f>IF(('Activity data'!AX7*EF!$H6)*kgtoGg=0,"NO",('Activity data'!AX7*EF!$H6)*kgtoGg)</f>
        <v>29.92638155031543</v>
      </c>
      <c r="AF1381" s="27">
        <f>IF(('Activity data'!AY7*EF!$H6)*kgtoGg=0,"NO",('Activity data'!AY7*EF!$H6)*kgtoGg)</f>
        <v>30.328422269841898</v>
      </c>
      <c r="AG1381" s="27">
        <f>IF(('Activity data'!AZ7*EF!$H6)*kgtoGg=0,"NO",('Activity data'!AZ7*EF!$H6)*kgtoGg)</f>
        <v>30.783196786108999</v>
      </c>
      <c r="AH1381" s="27">
        <f>IF(('Activity data'!BA7*EF!$H6)*kgtoGg=0,"NO",('Activity data'!BA7*EF!$H6)*kgtoGg)</f>
        <v>31.215582757620478</v>
      </c>
      <c r="AI1381" s="27">
        <f>IF(('Activity data'!BB7*EF!$H6)*kgtoGg=0,"NO",('Activity data'!BB7*EF!$H6)*kgtoGg)</f>
        <v>31.658992281151598</v>
      </c>
      <c r="AJ1381" s="27">
        <f>IF(('Activity data'!BC7*EF!$H6)*kgtoGg=0,"NO",('Activity data'!BC7*EF!$H6)*kgtoGg)</f>
        <v>32.133198696533107</v>
      </c>
      <c r="AK1381" s="27">
        <f>IF(('Activity data'!BD7*EF!$H6)*kgtoGg=0,"NO",('Activity data'!BD7*EF!$H6)*kgtoGg)</f>
        <v>32.57747295880516</v>
      </c>
      <c r="AL1381" s="27">
        <f>IF(('Activity data'!BE7*EF!$H6)*kgtoGg=0,"NO",('Activity data'!BE7*EF!$H6)*kgtoGg)</f>
        <v>33.019336266817611</v>
      </c>
      <c r="AM1381" s="27">
        <f>IF(('Activity data'!BF7*EF!$H6)*kgtoGg=0,"NO",('Activity data'!BF7*EF!$H6)*kgtoGg)</f>
        <v>33.460017660673138</v>
      </c>
      <c r="AN1381" s="27">
        <f>IF(('Activity data'!BG7*EF!$H6)*kgtoGg=0,"NO",('Activity data'!BG7*EF!$H6)*kgtoGg)</f>
        <v>33.926245363061206</v>
      </c>
      <c r="AO1381" s="27">
        <f>IF(('Activity data'!BH7*EF!$H6)*kgtoGg=0,"NO",('Activity data'!BH7*EF!$H6)*kgtoGg)</f>
        <v>34.37372044831983</v>
      </c>
      <c r="AP1381" s="27">
        <f>IF(('Activity data'!BI7*EF!$H6)*kgtoGg=0,"NO",('Activity data'!BI7*EF!$H6)*kgtoGg)</f>
        <v>34.838571614127183</v>
      </c>
      <c r="AQ1381" s="27">
        <f>IF(('Activity data'!BJ7*EF!$H6)*kgtoGg=0,"NO",('Activity data'!BJ7*EF!$H6)*kgtoGg)</f>
        <v>35.322918961890544</v>
      </c>
      <c r="AR1381" s="27">
        <f>IF(('Activity data'!BK7*EF!$H6)*kgtoGg=0,"NO",('Activity data'!BK7*EF!$H6)*kgtoGg)</f>
        <v>35.830171839458941</v>
      </c>
      <c r="AS1381" s="27">
        <f>IF(('Activity data'!BL7*EF!$H6)*kgtoGg=0,"NO",('Activity data'!BL7*EF!$H6)*kgtoGg)</f>
        <v>36.346397352341668</v>
      </c>
      <c r="AT1381" s="27">
        <f>IF(('Activity data'!BM7*EF!$H6)*kgtoGg=0,"NO",('Activity data'!BM7*EF!$H6)*kgtoGg)</f>
        <v>36.468790295953795</v>
      </c>
      <c r="AU1381" s="27">
        <f>IF(('Activity data'!BN7*EF!$H6)*kgtoGg=0,"NO",('Activity data'!BN7*EF!$H6)*kgtoGg)</f>
        <v>36.555896979520966</v>
      </c>
      <c r="AV1381" s="27">
        <f>IF(('Activity data'!BO7*EF!$H6)*kgtoGg=0,"NO",('Activity data'!BO7*EF!$H6)*kgtoGg)</f>
        <v>36.591586179259828</v>
      </c>
      <c r="AW1381" s="27">
        <f>IF(('Activity data'!BP7*EF!$H6)*kgtoGg=0,"NO",('Activity data'!BP7*EF!$H6)*kgtoGg)</f>
        <v>36.613136281512098</v>
      </c>
    </row>
    <row r="1382" spans="1:49" x14ac:dyDescent="0.3">
      <c r="A1382" s="95" t="s">
        <v>960</v>
      </c>
      <c r="B1382" s="95"/>
      <c r="C1382" s="95"/>
      <c r="D1382" t="str">
        <f t="shared" si="547"/>
        <v>3A Livestock</v>
      </c>
      <c r="E1382" t="str">
        <f t="shared" si="547"/>
        <v>3A1 Enteric fermentation (CH4)</v>
      </c>
      <c r="F1382" t="str">
        <f>EF!C7</f>
        <v>3A1aii Other cattle</v>
      </c>
      <c r="G1382" t="str">
        <f>EF!D7</f>
        <v>Commercial</v>
      </c>
      <c r="H1382" t="str">
        <f>H1380</f>
        <v>Enteric fermentation Emissions</v>
      </c>
      <c r="I1382" t="str">
        <f>I1380</f>
        <v>CH4</v>
      </c>
      <c r="J1382" t="str">
        <f>J1380</f>
        <v>Gg CH4</v>
      </c>
      <c r="K1382" s="27">
        <f>IF(('Activity data'!AD8*EF!$H7)*kgtoGg=0,"NO",('Activity data'!AD8*EF!$H7)*kgtoGg)</f>
        <v>463.23498593143194</v>
      </c>
      <c r="L1382" s="27">
        <f>IF(('Activity data'!AE8*EF!$H7)*kgtoGg=0,"NO",('Activity data'!AE8*EF!$H7)*kgtoGg)</f>
        <v>459.2174968362159</v>
      </c>
      <c r="M1382" s="27">
        <f>IF(('Activity data'!AF8*EF!$H7)*kgtoGg=0,"NO",('Activity data'!AF8*EF!$H7)*kgtoGg)</f>
        <v>457.68816035731248</v>
      </c>
      <c r="N1382" s="27">
        <f>IF(('Activity data'!AG8*EF!$H7)*kgtoGg=0,"NO",('Activity data'!AG8*EF!$H7)*kgtoGg)</f>
        <v>451.57633407663525</v>
      </c>
      <c r="O1382" s="27">
        <f>IF(('Activity data'!AH8*EF!$H7)*kgtoGg=0,"NO",('Activity data'!AH8*EF!$H7)*kgtoGg)</f>
        <v>442.70486896910717</v>
      </c>
      <c r="P1382" s="27">
        <f>IF(('Activity data'!AI8*EF!$H7)*kgtoGg=0,"NO",('Activity data'!AI8*EF!$H7)*kgtoGg)</f>
        <v>431.25721304480408</v>
      </c>
      <c r="Q1382" s="27">
        <f>IF(('Activity data'!AJ8*EF!$H7)*kgtoGg=0,"NO",('Activity data'!AJ8*EF!$H7)*kgtoGg)</f>
        <v>422.22811200839215</v>
      </c>
      <c r="R1382" s="27">
        <f>IF(('Activity data'!AK8*EF!$H7)*kgtoGg=0,"NO",('Activity data'!AK8*EF!$H7)*kgtoGg)</f>
        <v>413.68555596285586</v>
      </c>
      <c r="S1382" s="27">
        <f>IF(('Activity data'!AL8*EF!$H7)*kgtoGg=0,"NO",('Activity data'!AL8*EF!$H7)*kgtoGg)</f>
        <v>363.92269119895411</v>
      </c>
      <c r="T1382" s="27">
        <f>IF(('Activity data'!AM8*EF!$H7)*kgtoGg=0,"NO",('Activity data'!AM8*EF!$H7)*kgtoGg)</f>
        <v>369.83389237357579</v>
      </c>
      <c r="U1382" s="27">
        <f>IF(('Activity data'!AN8*EF!$H7)*kgtoGg=0,"NO",('Activity data'!AN8*EF!$H7)*kgtoGg)</f>
        <v>380.86142464434585</v>
      </c>
      <c r="V1382" s="27">
        <f>IF(('Activity data'!AO8*EF!$H7)*kgtoGg=0,"NO",('Activity data'!AO8*EF!$H7)*kgtoGg)</f>
        <v>383.06375021143805</v>
      </c>
      <c r="W1382" s="27">
        <f>IF(('Activity data'!AP8*EF!$H7)*kgtoGg=0,"NO",('Activity data'!AP8*EF!$H7)*kgtoGg)</f>
        <v>386.24013707294779</v>
      </c>
      <c r="X1382" s="27">
        <f>IF(('Activity data'!AQ8*EF!$H7)*kgtoGg=0,"NO",('Activity data'!AQ8*EF!$H7)*kgtoGg)</f>
        <v>390.6712668095617</v>
      </c>
      <c r="Y1382" s="27">
        <f>IF(('Activity data'!AR8*EF!$H7)*kgtoGg=0,"NO",('Activity data'!AR8*EF!$H7)*kgtoGg)</f>
        <v>395.75397479595648</v>
      </c>
      <c r="Z1382" s="27">
        <f>IF(('Activity data'!AS8*EF!$H7)*kgtoGg=0,"NO",('Activity data'!AS8*EF!$H7)*kgtoGg)</f>
        <v>401.71318303321101</v>
      </c>
      <c r="AA1382" s="27">
        <f>IF(('Activity data'!AT8*EF!$H7)*kgtoGg=0,"NO",('Activity data'!AT8*EF!$H7)*kgtoGg)</f>
        <v>407.69987647206653</v>
      </c>
      <c r="AB1382" s="27">
        <f>IF(('Activity data'!AU8*EF!$H7)*kgtoGg=0,"NO",('Activity data'!AU8*EF!$H7)*kgtoGg)</f>
        <v>414.43305929383774</v>
      </c>
      <c r="AC1382" s="27">
        <f>IF(('Activity data'!AV8*EF!$H7)*kgtoGg=0,"NO",('Activity data'!AV8*EF!$H7)*kgtoGg)</f>
        <v>421.09942264585908</v>
      </c>
      <c r="AD1382" s="27">
        <f>IF(('Activity data'!AW8*EF!$H7)*kgtoGg=0,"NO",('Activity data'!AW8*EF!$H7)*kgtoGg)</f>
        <v>425.44191060723506</v>
      </c>
      <c r="AE1382" s="27">
        <f>IF(('Activity data'!AX8*EF!$H7)*kgtoGg=0,"NO",('Activity data'!AX8*EF!$H7)*kgtoGg)</f>
        <v>429.00739584475377</v>
      </c>
      <c r="AF1382" s="27">
        <f>IF(('Activity data'!AY8*EF!$H7)*kgtoGg=0,"NO",('Activity data'!AY8*EF!$H7)*kgtoGg)</f>
        <v>432.77412897631666</v>
      </c>
      <c r="AG1382" s="27">
        <f>IF(('Activity data'!AZ8*EF!$H7)*kgtoGg=0,"NO",('Activity data'!AZ8*EF!$H7)*kgtoGg)</f>
        <v>437.81397558556199</v>
      </c>
      <c r="AH1382" s="27">
        <f>IF(('Activity data'!BA8*EF!$H7)*kgtoGg=0,"NO",('Activity data'!BA8*EF!$H7)*kgtoGg)</f>
        <v>441.43846379327863</v>
      </c>
      <c r="AI1382" s="27">
        <f>IF(('Activity data'!BB8*EF!$H7)*kgtoGg=0,"NO",('Activity data'!BB8*EF!$H7)*kgtoGg)</f>
        <v>445.30127510523226</v>
      </c>
      <c r="AJ1382" s="27">
        <f>IF(('Activity data'!BC8*EF!$H7)*kgtoGg=0,"NO",('Activity data'!BC8*EF!$H7)*kgtoGg)</f>
        <v>449.5534309991009</v>
      </c>
      <c r="AK1382" s="27">
        <f>IF(('Activity data'!BD8*EF!$H7)*kgtoGg=0,"NO",('Activity data'!BD8*EF!$H7)*kgtoGg)</f>
        <v>452.20309019469192</v>
      </c>
      <c r="AL1382" s="27">
        <f>IF(('Activity data'!BE8*EF!$H7)*kgtoGg=0,"NO",('Activity data'!BE8*EF!$H7)*kgtoGg)</f>
        <v>454.19091289569144</v>
      </c>
      <c r="AM1382" s="27">
        <f>IF(('Activity data'!BF8*EF!$H7)*kgtoGg=0,"NO",('Activity data'!BF8*EF!$H7)*kgtoGg)</f>
        <v>455.5735708938164</v>
      </c>
      <c r="AN1382" s="27">
        <f>IF(('Activity data'!BG8*EF!$H7)*kgtoGg=0,"NO",('Activity data'!BG8*EF!$H7)*kgtoGg)</f>
        <v>459.87188917365768</v>
      </c>
      <c r="AO1382" s="27">
        <f>IF(('Activity data'!BH8*EF!$H7)*kgtoGg=0,"NO",('Activity data'!BH8*EF!$H7)*kgtoGg)</f>
        <v>463.13915520973467</v>
      </c>
      <c r="AP1382" s="27">
        <f>IF(('Activity data'!BI8*EF!$H7)*kgtoGg=0,"NO",('Activity data'!BI8*EF!$H7)*kgtoGg)</f>
        <v>466.44766361257473</v>
      </c>
      <c r="AQ1382" s="27">
        <f>IF(('Activity data'!BJ8*EF!$H7)*kgtoGg=0,"NO",('Activity data'!BJ8*EF!$H7)*kgtoGg)</f>
        <v>469.83526222266636</v>
      </c>
      <c r="AR1382" s="27">
        <f>IF(('Activity data'!BK8*EF!$H7)*kgtoGg=0,"NO",('Activity data'!BK8*EF!$H7)*kgtoGg)</f>
        <v>473.37026305322627</v>
      </c>
      <c r="AS1382" s="27">
        <f>IF(('Activity data'!BL8*EF!$H7)*kgtoGg=0,"NO",('Activity data'!BL8*EF!$H7)*kgtoGg)</f>
        <v>476.99976993126808</v>
      </c>
      <c r="AT1382" s="27">
        <f>IF(('Activity data'!BM8*EF!$H7)*kgtoGg=0,"NO",('Activity data'!BM8*EF!$H7)*kgtoGg)</f>
        <v>469.84014483659178</v>
      </c>
      <c r="AU1382" s="27">
        <f>IF(('Activity data'!BN8*EF!$H7)*kgtoGg=0,"NO",('Activity data'!BN8*EF!$H7)*kgtoGg)</f>
        <v>461.72949370511395</v>
      </c>
      <c r="AV1382" s="27">
        <f>IF(('Activity data'!BO8*EF!$H7)*kgtoGg=0,"NO",('Activity data'!BO8*EF!$H7)*kgtoGg)</f>
        <v>452.32664742475527</v>
      </c>
      <c r="AW1382" s="27">
        <f>IF(('Activity data'!BP8*EF!$H7)*kgtoGg=0,"NO",('Activity data'!BP8*EF!$H7)*kgtoGg)</f>
        <v>442.62912277964222</v>
      </c>
    </row>
    <row r="1383" spans="1:49" x14ac:dyDescent="0.3">
      <c r="A1383" s="95" t="s">
        <v>960</v>
      </c>
      <c r="B1383" s="95"/>
      <c r="C1383" s="95"/>
      <c r="D1383" t="str">
        <f t="shared" si="547"/>
        <v>3A Livestock</v>
      </c>
      <c r="E1383" t="str">
        <f t="shared" si="547"/>
        <v>3A1 Enteric fermentation (CH4)</v>
      </c>
      <c r="F1383" t="str">
        <f>EF!C8</f>
        <v>3A1aii Other cattle</v>
      </c>
      <c r="G1383" t="str">
        <f>EF!D8</f>
        <v>Subsistence</v>
      </c>
      <c r="H1383" t="str">
        <f t="shared" ref="H1383:J1398" si="548">H1382</f>
        <v>Enteric fermentation Emissions</v>
      </c>
      <c r="I1383" t="str">
        <f t="shared" si="548"/>
        <v>CH4</v>
      </c>
      <c r="J1383" t="str">
        <f t="shared" si="548"/>
        <v>Gg CH4</v>
      </c>
      <c r="K1383" s="27">
        <f>IF(('Activity data'!AD9*EF!$H8)*kgtoGg=0,"NO",('Activity data'!AD9*EF!$H8)*kgtoGg)</f>
        <v>326.20040935577742</v>
      </c>
      <c r="L1383" s="27">
        <f>IF(('Activity data'!AE9*EF!$H8)*kgtoGg=0,"NO",('Activity data'!AE9*EF!$H8)*kgtoGg)</f>
        <v>323.37137738012308</v>
      </c>
      <c r="M1383" s="27">
        <f>IF(('Activity data'!AF9*EF!$H8)*kgtoGg=0,"NO",('Activity data'!AF9*EF!$H8)*kgtoGg)</f>
        <v>322.29445054900748</v>
      </c>
      <c r="N1383" s="27">
        <f>IF(('Activity data'!AG9*EF!$H8)*kgtoGg=0,"NO",('Activity data'!AG9*EF!$H8)*kgtoGg)</f>
        <v>317.99063003627219</v>
      </c>
      <c r="O1383" s="27">
        <f>IF(('Activity data'!AH9*EF!$H8)*kgtoGg=0,"NO",('Activity data'!AH9*EF!$H8)*kgtoGg)</f>
        <v>311.74352945546792</v>
      </c>
      <c r="P1383" s="27">
        <f>IF(('Activity data'!AI9*EF!$H8)*kgtoGg=0,"NO",('Activity data'!AI9*EF!$H8)*kgtoGg)</f>
        <v>303.68232906672063</v>
      </c>
      <c r="Q1383" s="27">
        <f>IF(('Activity data'!AJ9*EF!$H8)*kgtoGg=0,"NO",('Activity data'!AJ9*EF!$H8)*kgtoGg)</f>
        <v>297.32422455466599</v>
      </c>
      <c r="R1383" s="27">
        <f>IF(('Activity data'!AK9*EF!$H8)*kgtoGg=0,"NO",('Activity data'!AK9*EF!$H8)*kgtoGg)</f>
        <v>291.30873487096773</v>
      </c>
      <c r="S1383" s="27">
        <f>IF(('Activity data'!AL9*EF!$H8)*kgtoGg=0,"NO",('Activity data'!AL9*EF!$H8)*kgtoGg)</f>
        <v>256.26676405768438</v>
      </c>
      <c r="T1383" s="27">
        <f>IF(('Activity data'!AM9*EF!$H8)*kgtoGg=0,"NO",('Activity data'!AM9*EF!$H8)*kgtoGg)</f>
        <v>260.42930855779127</v>
      </c>
      <c r="U1383" s="27">
        <f>IF(('Activity data'!AN9*EF!$H8)*kgtoGg=0,"NO",('Activity data'!AN9*EF!$H8)*kgtoGg)</f>
        <v>268.19466663772192</v>
      </c>
      <c r="V1383" s="27">
        <f>IF(('Activity data'!AO9*EF!$H8)*kgtoGg=0,"NO",('Activity data'!AO9*EF!$H8)*kgtoGg)</f>
        <v>269.7454983394245</v>
      </c>
      <c r="W1383" s="27">
        <f>IF(('Activity data'!AP9*EF!$H8)*kgtoGg=0,"NO",('Activity data'!AP9*EF!$H8)*kgtoGg)</f>
        <v>271.98224367594827</v>
      </c>
      <c r="X1383" s="27">
        <f>IF(('Activity data'!AQ9*EF!$H8)*kgtoGg=0,"NO",('Activity data'!AQ9*EF!$H8)*kgtoGg)</f>
        <v>275.10255275857435</v>
      </c>
      <c r="Y1383" s="27">
        <f>IF(('Activity data'!AR9*EF!$H8)*kgtoGg=0,"NO",('Activity data'!AR9*EF!$H8)*kgtoGg)</f>
        <v>278.68168964622578</v>
      </c>
      <c r="Z1383" s="27">
        <f>IF(('Activity data'!AS9*EF!$H8)*kgtoGg=0,"NO",('Activity data'!AS9*EF!$H8)*kgtoGg)</f>
        <v>282.87803971792886</v>
      </c>
      <c r="AA1383" s="27">
        <f>IF(('Activity data'!AT9*EF!$H8)*kgtoGg=0,"NO",('Activity data'!AT9*EF!$H8)*kgtoGg)</f>
        <v>287.09374429498189</v>
      </c>
      <c r="AB1383" s="27">
        <f>IF(('Activity data'!AU9*EF!$H8)*kgtoGg=0,"NO",('Activity data'!AU9*EF!$H8)*kgtoGg)</f>
        <v>291.83511111621357</v>
      </c>
      <c r="AC1383" s="27">
        <f>IF(('Activity data'!AV9*EF!$H8)*kgtoGg=0,"NO",('Activity data'!AV9*EF!$H8)*kgtoGg)</f>
        <v>296.52942506137316</v>
      </c>
      <c r="AD1383" s="27">
        <f>IF(('Activity data'!AW9*EF!$H8)*kgtoGg=0,"NO",('Activity data'!AW9*EF!$H8)*kgtoGg)</f>
        <v>299.58731445583493</v>
      </c>
      <c r="AE1383" s="27">
        <f>IF(('Activity data'!AX9*EF!$H8)*kgtoGg=0,"NO",('Activity data'!AX9*EF!$H8)*kgtoGg)</f>
        <v>302.09805474824185</v>
      </c>
      <c r="AF1383" s="27">
        <f>IF(('Activity data'!AY9*EF!$H8)*kgtoGg=0,"NO",('Activity data'!AY9*EF!$H8)*kgtoGg)</f>
        <v>304.75050960758114</v>
      </c>
      <c r="AG1383" s="27">
        <f>IF(('Activity data'!AZ9*EF!$H8)*kgtoGg=0,"NO",('Activity data'!AZ9*EF!$H8)*kgtoGg)</f>
        <v>308.29946440796289</v>
      </c>
      <c r="AH1383" s="27">
        <f>IF(('Activity data'!BA9*EF!$H8)*kgtoGg=0,"NO",('Activity data'!BA9*EF!$H8)*kgtoGg)</f>
        <v>310.85175336058825</v>
      </c>
      <c r="AI1383" s="27">
        <f>IF(('Activity data'!BB9*EF!$H8)*kgtoGg=0,"NO",('Activity data'!BB9*EF!$H8)*kgtoGg)</f>
        <v>313.57186446940221</v>
      </c>
      <c r="AJ1383" s="27">
        <f>IF(('Activity data'!BC9*EF!$H8)*kgtoGg=0,"NO",('Activity data'!BC9*EF!$H8)*kgtoGg)</f>
        <v>316.5661439071601</v>
      </c>
      <c r="AK1383" s="27">
        <f>IF(('Activity data'!BD9*EF!$H8)*kgtoGg=0,"NO",('Activity data'!BD9*EF!$H8)*kgtoGg)</f>
        <v>318.43197861417656</v>
      </c>
      <c r="AL1383" s="27">
        <f>IF(('Activity data'!BE9*EF!$H8)*kgtoGg=0,"NO",('Activity data'!BE9*EF!$H8)*kgtoGg)</f>
        <v>319.83176187426193</v>
      </c>
      <c r="AM1383" s="27">
        <f>IF(('Activity data'!BF9*EF!$H8)*kgtoGg=0,"NO",('Activity data'!BF9*EF!$H8)*kgtoGg)</f>
        <v>320.80540078040053</v>
      </c>
      <c r="AN1383" s="27">
        <f>IF(('Activity data'!BG9*EF!$H8)*kgtoGg=0,"NO",('Activity data'!BG9*EF!$H8)*kgtoGg)</f>
        <v>323.83218680694904</v>
      </c>
      <c r="AO1383" s="27">
        <f>IF(('Activity data'!BH9*EF!$H8)*kgtoGg=0,"NO",('Activity data'!BH9*EF!$H8)*kgtoGg)</f>
        <v>326.13292736155017</v>
      </c>
      <c r="AP1383" s="27">
        <f>IF(('Activity data'!BI9*EF!$H8)*kgtoGg=0,"NO",('Activity data'!BI9*EF!$H8)*kgtoGg)</f>
        <v>328.46270993009568</v>
      </c>
      <c r="AQ1383" s="27">
        <f>IF(('Activity data'!BJ9*EF!$H8)*kgtoGg=0,"NO",('Activity data'!BJ9*EF!$H8)*kgtoGg)</f>
        <v>330.84818617197112</v>
      </c>
      <c r="AR1383" s="27">
        <f>IF(('Activity data'!BK9*EF!$H8)*kgtoGg=0,"NO",('Activity data'!BK9*EF!$H8)*kgtoGg)</f>
        <v>333.33745998120867</v>
      </c>
      <c r="AS1383" s="27">
        <f>IF(('Activity data'!BL9*EF!$H8)*kgtoGg=0,"NO",('Activity data'!BL9*EF!$H8)*kgtoGg)</f>
        <v>335.89328297673717</v>
      </c>
      <c r="AT1383" s="27">
        <f>IF(('Activity data'!BM9*EF!$H8)*kgtoGg=0,"NO",('Activity data'!BM9*EF!$H8)*kgtoGg)</f>
        <v>330.85162440679704</v>
      </c>
      <c r="AU1383" s="27">
        <f>IF(('Activity data'!BN9*EF!$H8)*kgtoGg=0,"NO",('Activity data'!BN9*EF!$H8)*kgtoGg)</f>
        <v>325.14027314970184</v>
      </c>
      <c r="AV1383" s="27">
        <f>IF(('Activity data'!BO9*EF!$H8)*kgtoGg=0,"NO",('Activity data'!BO9*EF!$H8)*kgtoGg)</f>
        <v>318.5189850369415</v>
      </c>
      <c r="AW1383" s="27">
        <f>IF(('Activity data'!BP9*EF!$H8)*kgtoGg=0,"NO",('Activity data'!BP9*EF!$H8)*kgtoGg)</f>
        <v>311.6901905696734</v>
      </c>
    </row>
    <row r="1384" spans="1:49" x14ac:dyDescent="0.3">
      <c r="A1384" s="95" t="s">
        <v>960</v>
      </c>
      <c r="B1384" s="95"/>
      <c r="C1384" s="95"/>
      <c r="D1384" t="str">
        <f t="shared" si="547"/>
        <v>3A Livestock</v>
      </c>
      <c r="E1384" t="str">
        <f t="shared" si="547"/>
        <v>3A1 Enteric fermentation (CH4)</v>
      </c>
      <c r="F1384" t="str">
        <f>EF!C9</f>
        <v>3A1aii Other cattle</v>
      </c>
      <c r="G1384" t="str">
        <f>EF!D9</f>
        <v>Feedlot</v>
      </c>
      <c r="H1384" t="str">
        <f t="shared" si="548"/>
        <v>Enteric fermentation Emissions</v>
      </c>
      <c r="I1384" t="str">
        <f t="shared" si="548"/>
        <v>CH4</v>
      </c>
      <c r="J1384" t="str">
        <f t="shared" si="548"/>
        <v>Gg CH4</v>
      </c>
      <c r="K1384" s="27">
        <f>IF(('Activity data'!AD10*EF!$H9)*kgtoGg=0,"NO",('Activity data'!AD10*EF!$H9)*kgtoGg)</f>
        <v>31.891995988947272</v>
      </c>
      <c r="L1384" s="27">
        <f>IF(('Activity data'!AE10*EF!$H9)*kgtoGg=0,"NO",('Activity data'!AE10*EF!$H9)*kgtoGg)</f>
        <v>32.967337371253535</v>
      </c>
      <c r="M1384" s="27">
        <f>IF(('Activity data'!AF10*EF!$H9)*kgtoGg=0,"NO",('Activity data'!AF10*EF!$H9)*kgtoGg)</f>
        <v>34.243655078433662</v>
      </c>
      <c r="N1384" s="27">
        <f>IF(('Activity data'!AG10*EF!$H9)*kgtoGg=0,"NO",('Activity data'!AG10*EF!$H9)*kgtoGg)</f>
        <v>35.19550479761466</v>
      </c>
      <c r="O1384" s="27">
        <f>IF(('Activity data'!AH10*EF!$H9)*kgtoGg=0,"NO",('Activity data'!AH10*EF!$H9)*kgtoGg)</f>
        <v>35.929559405213332</v>
      </c>
      <c r="P1384" s="27">
        <f>IF(('Activity data'!AI10*EF!$H9)*kgtoGg=0,"NO",('Activity data'!AI10*EF!$H9)*kgtoGg)</f>
        <v>36.435327957872907</v>
      </c>
      <c r="Q1384" s="27">
        <f>IF(('Activity data'!AJ10*EF!$H9)*kgtoGg=0,"NO",('Activity data'!AJ10*EF!$H9)*kgtoGg)</f>
        <v>37.125912791560339</v>
      </c>
      <c r="R1384" s="27">
        <f>IF(('Activity data'!AK10*EF!$H9)*kgtoGg=0,"NO",('Activity data'!AK10*EF!$H9)*kgtoGg)</f>
        <v>37.849847328761314</v>
      </c>
      <c r="S1384" s="27">
        <f>IF(('Activity data'!AL10*EF!$H9)*kgtoGg=0,"NO",('Activity data'!AL10*EF!$H9)*kgtoGg)</f>
        <v>34.642542509776739</v>
      </c>
      <c r="T1384" s="27">
        <f>IF(('Activity data'!AM10*EF!$H9)*kgtoGg=0,"NO",('Activity data'!AM10*EF!$H9)*kgtoGg)</f>
        <v>36.053430902114805</v>
      </c>
      <c r="U1384" s="27">
        <f>IF(('Activity data'!AN10*EF!$H9)*kgtoGg=0,"NO",('Activity data'!AN10*EF!$H9)*kgtoGg)</f>
        <v>38.010696022356719</v>
      </c>
      <c r="V1384" s="27">
        <f>IF(('Activity data'!AO10*EF!$H9)*kgtoGg=0,"NO",('Activity data'!AO10*EF!$H9)*kgtoGg)</f>
        <v>39.127373882680487</v>
      </c>
      <c r="W1384" s="27">
        <f>IF(('Activity data'!AP10*EF!$H9)*kgtoGg=0,"NO",('Activity data'!AP10*EF!$H9)*kgtoGg)</f>
        <v>40.366459949035139</v>
      </c>
      <c r="X1384" s="27">
        <f>IF(('Activity data'!AQ10*EF!$H9)*kgtoGg=0,"NO",('Activity data'!AQ10*EF!$H9)*kgtoGg)</f>
        <v>41.765821576969046</v>
      </c>
      <c r="Y1384" s="27">
        <f>IF(('Activity data'!AR10*EF!$H9)*kgtoGg=0,"NO",('Activity data'!AR10*EF!$H9)*kgtoGg)</f>
        <v>43.269588309323517</v>
      </c>
      <c r="Z1384" s="27">
        <f>IF(('Activity data'!AS10*EF!$H9)*kgtoGg=0,"NO",('Activity data'!AS10*EF!$H9)*kgtoGg)</f>
        <v>44.908778901884347</v>
      </c>
      <c r="AA1384" s="27">
        <f>IF(('Activity data'!AT10*EF!$H9)*kgtoGg=0,"NO",('Activity data'!AT10*EF!$H9)*kgtoGg)</f>
        <v>46.594068388350003</v>
      </c>
      <c r="AB1384" s="27">
        <f>IF(('Activity data'!AU10*EF!$H9)*kgtoGg=0,"NO",('Activity data'!AU10*EF!$H9)*kgtoGg)</f>
        <v>48.410923677012072</v>
      </c>
      <c r="AC1384" s="27">
        <f>IF(('Activity data'!AV10*EF!$H9)*kgtoGg=0,"NO",('Activity data'!AV10*EF!$H9)*kgtoGg)</f>
        <v>50.269303700477998</v>
      </c>
      <c r="AD1384" s="27">
        <f>IF(('Activity data'!AW10*EF!$H9)*kgtoGg=0,"NO",('Activity data'!AW10*EF!$H9)*kgtoGg)</f>
        <v>52.471951507677524</v>
      </c>
      <c r="AE1384" s="27">
        <f>IF(('Activity data'!AX10*EF!$H9)*kgtoGg=0,"NO",('Activity data'!AX10*EF!$H9)*kgtoGg)</f>
        <v>54.669760459111487</v>
      </c>
      <c r="AF1384" s="27">
        <f>IF(('Activity data'!AY10*EF!$H9)*kgtoGg=0,"NO",('Activity data'!AY10*EF!$H9)*kgtoGg)</f>
        <v>56.986868883720433</v>
      </c>
      <c r="AG1384" s="27">
        <f>IF(('Activity data'!AZ10*EF!$H9)*kgtoGg=0,"NO",('Activity data'!AZ10*EF!$H9)*kgtoGg)</f>
        <v>59.577013910557568</v>
      </c>
      <c r="AH1384" s="27">
        <f>IF(('Activity data'!BA10*EF!$H9)*kgtoGg=0,"NO",('Activity data'!BA10*EF!$H9)*kgtoGg)</f>
        <v>62.085208612074666</v>
      </c>
      <c r="AI1384" s="27">
        <f>IF(('Activity data'!BB10*EF!$H9)*kgtoGg=0,"NO",('Activity data'!BB10*EF!$H9)*kgtoGg)</f>
        <v>64.738520962902328</v>
      </c>
      <c r="AJ1384" s="27">
        <f>IF(('Activity data'!BC10*EF!$H9)*kgtoGg=0,"NO",('Activity data'!BC10*EF!$H9)*kgtoGg)</f>
        <v>67.569668411383148</v>
      </c>
      <c r="AK1384" s="27">
        <f>IF(('Activity data'!BD10*EF!$H9)*kgtoGg=0,"NO",('Activity data'!BD10*EF!$H9)*kgtoGg)</f>
        <v>70.282185941463524</v>
      </c>
      <c r="AL1384" s="27">
        <f>IF(('Activity data'!BE10*EF!$H9)*kgtoGg=0,"NO",('Activity data'!BE10*EF!$H9)*kgtoGg)</f>
        <v>73.009611809365794</v>
      </c>
      <c r="AM1384" s="27">
        <f>IF(('Activity data'!BF10*EF!$H9)*kgtoGg=0,"NO",('Activity data'!BF10*EF!$H9)*kgtoGg)</f>
        <v>75.757864250149765</v>
      </c>
      <c r="AN1384" s="27">
        <f>IF(('Activity data'!BG10*EF!$H9)*kgtoGg=0,"NO",('Activity data'!BG10*EF!$H9)*kgtoGg)</f>
        <v>78.63033008147255</v>
      </c>
      <c r="AO1384" s="27">
        <f>IF(('Activity data'!BH10*EF!$H9)*kgtoGg=0,"NO",('Activity data'!BH10*EF!$H9)*kgtoGg)</f>
        <v>81.431036976471376</v>
      </c>
      <c r="AP1384" s="27">
        <f>IF(('Activity data'!BI10*EF!$H9)*kgtoGg=0,"NO",('Activity data'!BI10*EF!$H9)*kgtoGg)</f>
        <v>84.343805269420216</v>
      </c>
      <c r="AQ1384" s="27">
        <f>IF(('Activity data'!BJ10*EF!$H9)*kgtoGg=0,"NO",('Activity data'!BJ10*EF!$H9)*kgtoGg)</f>
        <v>87.381529968917789</v>
      </c>
      <c r="AR1384" s="27">
        <f>IF(('Activity data'!BK10*EF!$H9)*kgtoGg=0,"NO",('Activity data'!BK10*EF!$H9)*kgtoGg)</f>
        <v>90.56411958911923</v>
      </c>
      <c r="AS1384" s="27">
        <f>IF(('Activity data'!BL10*EF!$H9)*kgtoGg=0,"NO",('Activity data'!BL10*EF!$H9)*kgtoGg)</f>
        <v>93.889582462340528</v>
      </c>
      <c r="AT1384" s="27">
        <f>IF(('Activity data'!BM10*EF!$H9)*kgtoGg=0,"NO",('Activity data'!BM10*EF!$H9)*kgtoGg)</f>
        <v>95.161623451693828</v>
      </c>
      <c r="AU1384" s="27">
        <f>IF(('Activity data'!BN10*EF!$H9)*kgtoGg=0,"NO",('Activity data'!BN10*EF!$H9)*kgtoGg)</f>
        <v>96.246716097882043</v>
      </c>
      <c r="AV1384" s="27">
        <f>IF(('Activity data'!BO10*EF!$H9)*kgtoGg=0,"NO",('Activity data'!BO10*EF!$H9)*kgtoGg)</f>
        <v>97.054781525387583</v>
      </c>
      <c r="AW1384" s="27">
        <f>IF(('Activity data'!BP10*EF!$H9)*kgtoGg=0,"NO",('Activity data'!BP10*EF!$H9)*kgtoGg)</f>
        <v>97.781567637634097</v>
      </c>
    </row>
    <row r="1385" spans="1:49" x14ac:dyDescent="0.3">
      <c r="A1385" s="95" t="s">
        <v>960</v>
      </c>
      <c r="B1385" s="95"/>
      <c r="C1385" s="95"/>
      <c r="D1385" t="str">
        <f t="shared" si="547"/>
        <v>3A Livestock</v>
      </c>
      <c r="E1385" t="str">
        <f t="shared" si="547"/>
        <v>3A1 Enteric fermentation (CH4)</v>
      </c>
      <c r="F1385" t="str">
        <f>EF!C10</f>
        <v>3A1c Sheep</v>
      </c>
      <c r="G1385" t="str">
        <f>EF!D10</f>
        <v>Commercial</v>
      </c>
      <c r="H1385" t="str">
        <f t="shared" si="548"/>
        <v>Enteric fermentation Emissions</v>
      </c>
      <c r="I1385" t="str">
        <f t="shared" si="548"/>
        <v>CH4</v>
      </c>
      <c r="J1385" t="str">
        <f t="shared" si="548"/>
        <v>Gg CH4</v>
      </c>
      <c r="K1385" s="27">
        <f>IF(('Activity data'!AD11*EF!$H10)*kgtoGg=0,"NO",('Activity data'!AD11*EF!$H10)*kgtoGg)</f>
        <v>132.59034293279757</v>
      </c>
      <c r="L1385" s="27">
        <f>IF(('Activity data'!AE11*EF!$H10)*kgtoGg=0,"NO",('Activity data'!AE11*EF!$H10)*kgtoGg)</f>
        <v>132.66203410931632</v>
      </c>
      <c r="M1385" s="27">
        <f>IF(('Activity data'!AF11*EF!$H10)*kgtoGg=0,"NO",('Activity data'!AF11*EF!$H10)*kgtoGg)</f>
        <v>132.83344502276296</v>
      </c>
      <c r="N1385" s="27">
        <f>IF(('Activity data'!AG11*EF!$H10)*kgtoGg=0,"NO",('Activity data'!AG11*EF!$H10)*kgtoGg)</f>
        <v>133.08619178866664</v>
      </c>
      <c r="O1385" s="27">
        <f>IF(('Activity data'!AH11*EF!$H10)*kgtoGg=0,"NO",('Activity data'!AH11*EF!$H10)*kgtoGg)</f>
        <v>133.41866827856941</v>
      </c>
      <c r="P1385" s="27">
        <f>IF(('Activity data'!AI11*EF!$H10)*kgtoGg=0,"NO",('Activity data'!AI11*EF!$H10)*kgtoGg)</f>
        <v>133.8273636783253</v>
      </c>
      <c r="Q1385" s="27">
        <f>IF(('Activity data'!AJ11*EF!$H10)*kgtoGg=0,"NO",('Activity data'!AJ11*EF!$H10)*kgtoGg)</f>
        <v>134.2863843975903</v>
      </c>
      <c r="R1385" s="27">
        <f>IF(('Activity data'!AK11*EF!$H10)*kgtoGg=0,"NO",('Activity data'!AK11*EF!$H10)*kgtoGg)</f>
        <v>134.79283247693314</v>
      </c>
      <c r="S1385" s="27">
        <f>IF(('Activity data'!AL11*EF!$H10)*kgtoGg=0,"NO",('Activity data'!AL11*EF!$H10)*kgtoGg)</f>
        <v>135.25595136269689</v>
      </c>
      <c r="T1385" s="27">
        <f>IF(('Activity data'!AM11*EF!$H10)*kgtoGg=0,"NO",('Activity data'!AM11*EF!$H10)*kgtoGg)</f>
        <v>135.45945701303151</v>
      </c>
      <c r="U1385" s="27">
        <f>IF(('Activity data'!AN11*EF!$H10)*kgtoGg=0,"NO",('Activity data'!AN11*EF!$H10)*kgtoGg)</f>
        <v>135.70798113166347</v>
      </c>
      <c r="V1385" s="27">
        <f>IF(('Activity data'!AO11*EF!$H10)*kgtoGg=0,"NO",('Activity data'!AO11*EF!$H10)*kgtoGg)</f>
        <v>135.96919937925796</v>
      </c>
      <c r="W1385" s="27">
        <f>IF(('Activity data'!AP11*EF!$H10)*kgtoGg=0,"NO",('Activity data'!AP11*EF!$H10)*kgtoGg)</f>
        <v>136.26247262957938</v>
      </c>
      <c r="X1385" s="27">
        <f>IF(('Activity data'!AQ11*EF!$H10)*kgtoGg=0,"NO",('Activity data'!AQ11*EF!$H10)*kgtoGg)</f>
        <v>136.58698029827343</v>
      </c>
      <c r="Y1385" s="27">
        <f>IF(('Activity data'!AR11*EF!$H10)*kgtoGg=0,"NO",('Activity data'!AR11*EF!$H10)*kgtoGg)</f>
        <v>136.78964350738272</v>
      </c>
      <c r="Z1385" s="27">
        <f>IF(('Activity data'!AS11*EF!$H10)*kgtoGg=0,"NO",('Activity data'!AS11*EF!$H10)*kgtoGg)</f>
        <v>137.0186015592445</v>
      </c>
      <c r="AA1385" s="27">
        <f>IF(('Activity data'!AT11*EF!$H10)*kgtoGg=0,"NO",('Activity data'!AT11*EF!$H10)*kgtoGg)</f>
        <v>137.27076072273411</v>
      </c>
      <c r="AB1385" s="27">
        <f>IF(('Activity data'!AU11*EF!$H10)*kgtoGg=0,"NO",('Activity data'!AU11*EF!$H10)*kgtoGg)</f>
        <v>137.54681434679034</v>
      </c>
      <c r="AC1385" s="27">
        <f>IF(('Activity data'!AV11*EF!$H10)*kgtoGg=0,"NO",('Activity data'!AV11*EF!$H10)*kgtoGg)</f>
        <v>137.84391314305282</v>
      </c>
      <c r="AD1385" s="27">
        <f>IF(('Activity data'!AW11*EF!$H10)*kgtoGg=0,"NO",('Activity data'!AW11*EF!$H10)*kgtoGg)</f>
        <v>138.04321155337277</v>
      </c>
      <c r="AE1385" s="27">
        <f>IF(('Activity data'!AX11*EF!$H10)*kgtoGg=0,"NO",('Activity data'!AX11*EF!$H10)*kgtoGg)</f>
        <v>138.25957262105894</v>
      </c>
      <c r="AF1385" s="27">
        <f>IF(('Activity data'!AY11*EF!$H10)*kgtoGg=0,"NO",('Activity data'!AY11*EF!$H10)*kgtoGg)</f>
        <v>138.49473553474263</v>
      </c>
      <c r="AG1385" s="27">
        <f>IF(('Activity data'!AZ11*EF!$H10)*kgtoGg=0,"NO",('Activity data'!AZ11*EF!$H10)*kgtoGg)</f>
        <v>138.75099586378536</v>
      </c>
      <c r="AH1385" s="27">
        <f>IF(('Activity data'!BA11*EF!$H10)*kgtoGg=0,"NO",('Activity data'!BA11*EF!$H10)*kgtoGg)</f>
        <v>139.02065863419776</v>
      </c>
      <c r="AI1385" s="27">
        <f>IF(('Activity data'!BB11*EF!$H10)*kgtoGg=0,"NO",('Activity data'!BB11*EF!$H10)*kgtoGg)</f>
        <v>139.193026219692</v>
      </c>
      <c r="AJ1385" s="27">
        <f>IF(('Activity data'!BC11*EF!$H10)*kgtoGg=0,"NO",('Activity data'!BC11*EF!$H10)*kgtoGg)</f>
        <v>139.38182622697491</v>
      </c>
      <c r="AK1385" s="27">
        <f>IF(('Activity data'!BD11*EF!$H10)*kgtoGg=0,"NO",('Activity data'!BD11*EF!$H10)*kgtoGg)</f>
        <v>139.58083163749211</v>
      </c>
      <c r="AL1385" s="27">
        <f>IF(('Activity data'!BE11*EF!$H10)*kgtoGg=0,"NO",('Activity data'!BE11*EF!$H10)*kgtoGg)</f>
        <v>139.79216106672223</v>
      </c>
      <c r="AM1385" s="27">
        <f>IF(('Activity data'!BF11*EF!$H10)*kgtoGg=0,"NO",('Activity data'!BF11*EF!$H10)*kgtoGg)</f>
        <v>140.01549409297075</v>
      </c>
      <c r="AN1385" s="27">
        <f>IF(('Activity data'!BG11*EF!$H10)*kgtoGg=0,"NO",('Activity data'!BG11*EF!$H10)*kgtoGg)</f>
        <v>140.14745576644822</v>
      </c>
      <c r="AO1385" s="27">
        <f>IF(('Activity data'!BH11*EF!$H10)*kgtoGg=0,"NO",('Activity data'!BH11*EF!$H10)*kgtoGg)</f>
        <v>140.28832645422361</v>
      </c>
      <c r="AP1385" s="27">
        <f>IF(('Activity data'!BI11*EF!$H10)*kgtoGg=0,"NO",('Activity data'!BI11*EF!$H10)*kgtoGg)</f>
        <v>140.44113174726405</v>
      </c>
      <c r="AQ1385" s="27">
        <f>IF(('Activity data'!BJ11*EF!$H10)*kgtoGg=0,"NO",('Activity data'!BJ11*EF!$H10)*kgtoGg)</f>
        <v>140.60572391526784</v>
      </c>
      <c r="AR1385" s="27">
        <f>IF(('Activity data'!BK11*EF!$H10)*kgtoGg=0,"NO",('Activity data'!BK11*EF!$H10)*kgtoGg)</f>
        <v>140.78209954735451</v>
      </c>
      <c r="AS1385" s="27">
        <f>IF(('Activity data'!BL11*EF!$H10)*kgtoGg=0,"NO",('Activity data'!BL11*EF!$H10)*kgtoGg)</f>
        <v>140.86211694361444</v>
      </c>
      <c r="AT1385" s="27">
        <f>IF(('Activity data'!BM11*EF!$H10)*kgtoGg=0,"NO",('Activity data'!BM11*EF!$H10)*kgtoGg)</f>
        <v>140.91368286545006</v>
      </c>
      <c r="AU1385" s="27">
        <f>IF(('Activity data'!BN11*EF!$H10)*kgtoGg=0,"NO",('Activity data'!BN11*EF!$H10)*kgtoGg)</f>
        <v>140.97020886145611</v>
      </c>
      <c r="AV1385" s="27">
        <f>IF(('Activity data'!BO11*EF!$H10)*kgtoGg=0,"NO",('Activity data'!BO11*EF!$H10)*kgtoGg)</f>
        <v>141.02991546858686</v>
      </c>
      <c r="AW1385" s="27">
        <f>IF(('Activity data'!BP11*EF!$H10)*kgtoGg=0,"NO",('Activity data'!BP11*EF!$H10)*kgtoGg)</f>
        <v>141.09605506808808</v>
      </c>
    </row>
    <row r="1386" spans="1:49" x14ac:dyDescent="0.3">
      <c r="A1386" s="95" t="s">
        <v>960</v>
      </c>
      <c r="B1386" s="95"/>
      <c r="C1386" s="95"/>
      <c r="D1386" t="str">
        <f t="shared" si="547"/>
        <v>3A Livestock</v>
      </c>
      <c r="E1386" t="str">
        <f t="shared" si="547"/>
        <v>3A1 Enteric fermentation (CH4)</v>
      </c>
      <c r="F1386" t="str">
        <f>EF!C11</f>
        <v>3A1c Sheep</v>
      </c>
      <c r="G1386" t="str">
        <f>EF!D11</f>
        <v>Subsistence</v>
      </c>
      <c r="H1386" t="str">
        <f t="shared" si="548"/>
        <v>Enteric fermentation Emissions</v>
      </c>
      <c r="I1386" t="str">
        <f t="shared" si="548"/>
        <v>CH4</v>
      </c>
      <c r="J1386" t="str">
        <f t="shared" si="548"/>
        <v>Gg CH4</v>
      </c>
      <c r="K1386" s="27">
        <f>IF(('Activity data'!AD12*EF!$H11)*kgtoGg=0,"NO",('Activity data'!AD12*EF!$H11)*kgtoGg)</f>
        <v>14.369321450610597</v>
      </c>
      <c r="L1386" s="27">
        <f>IF(('Activity data'!AE12*EF!$H11)*kgtoGg=0,"NO",('Activity data'!AE12*EF!$H11)*kgtoGg)</f>
        <v>14.377090896995487</v>
      </c>
      <c r="M1386" s="27">
        <f>IF(('Activity data'!AF12*EF!$H11)*kgtoGg=0,"NO",('Activity data'!AF12*EF!$H11)*kgtoGg)</f>
        <v>14.395667351818489</v>
      </c>
      <c r="N1386" s="27">
        <f>IF(('Activity data'!AG12*EF!$H11)*kgtoGg=0,"NO",('Activity data'!AG12*EF!$H11)*kgtoGg)</f>
        <v>14.423058483363512</v>
      </c>
      <c r="O1386" s="27">
        <f>IF(('Activity data'!AH12*EF!$H11)*kgtoGg=0,"NO",('Activity data'!AH12*EF!$H11)*kgtoGg)</f>
        <v>14.459090229360317</v>
      </c>
      <c r="P1386" s="27">
        <f>IF(('Activity data'!AI12*EF!$H11)*kgtoGg=0,"NO",('Activity data'!AI12*EF!$H11)*kgtoGg)</f>
        <v>14.503382109482045</v>
      </c>
      <c r="Q1386" s="27">
        <f>IF(('Activity data'!AJ12*EF!$H11)*kgtoGg=0,"NO",('Activity data'!AJ12*EF!$H11)*kgtoGg)</f>
        <v>14.553127936528831</v>
      </c>
      <c r="R1386" s="27">
        <f>IF(('Activity data'!AK12*EF!$H11)*kgtoGg=0,"NO",('Activity data'!AK12*EF!$H11)*kgtoGg)</f>
        <v>14.608013647578019</v>
      </c>
      <c r="S1386" s="27">
        <f>IF(('Activity data'!AL12*EF!$H11)*kgtoGg=0,"NO",('Activity data'!AL12*EF!$H11)*kgtoGg)</f>
        <v>14.658203608567563</v>
      </c>
      <c r="T1386" s="27">
        <f>IF(('Activity data'!AM12*EF!$H11)*kgtoGg=0,"NO",('Activity data'!AM12*EF!$H11)*kgtoGg)</f>
        <v>14.680258292506014</v>
      </c>
      <c r="U1386" s="27">
        <f>IF(('Activity data'!AN12*EF!$H11)*kgtoGg=0,"NO",('Activity data'!AN12*EF!$H11)*kgtoGg)</f>
        <v>14.707191799651872</v>
      </c>
      <c r="V1386" s="27">
        <f>IF(('Activity data'!AO12*EF!$H11)*kgtoGg=0,"NO",('Activity data'!AO12*EF!$H11)*kgtoGg)</f>
        <v>14.735501017996329</v>
      </c>
      <c r="W1386" s="27">
        <f>IF(('Activity data'!AP12*EF!$H11)*kgtoGg=0,"NO",('Activity data'!AP12*EF!$H11)*kgtoGg)</f>
        <v>14.767284159313563</v>
      </c>
      <c r="X1386" s="27">
        <f>IF(('Activity data'!AQ12*EF!$H11)*kgtoGg=0,"NO",('Activity data'!AQ12*EF!$H11)*kgtoGg)</f>
        <v>14.802452293745619</v>
      </c>
      <c r="Y1386" s="27">
        <f>IF(('Activity data'!AR12*EF!$H11)*kgtoGg=0,"NO",('Activity data'!AR12*EF!$H11)*kgtoGg)</f>
        <v>14.824415679113581</v>
      </c>
      <c r="Z1386" s="27">
        <f>IF(('Activity data'!AS12*EF!$H11)*kgtoGg=0,"NO",('Activity data'!AS12*EF!$H11)*kgtoGg)</f>
        <v>14.849228736936167</v>
      </c>
      <c r="AA1386" s="27">
        <f>IF(('Activity data'!AT12*EF!$H11)*kgtoGg=0,"NO",('Activity data'!AT12*EF!$H11)*kgtoGg)</f>
        <v>14.876556187765189</v>
      </c>
      <c r="AB1386" s="27">
        <f>IF(('Activity data'!AU12*EF!$H11)*kgtoGg=0,"NO",('Activity data'!AU12*EF!$H11)*kgtoGg)</f>
        <v>14.906473172471083</v>
      </c>
      <c r="AC1386" s="27">
        <f>IF(('Activity data'!AV12*EF!$H11)*kgtoGg=0,"NO",('Activity data'!AV12*EF!$H11)*kgtoGg)</f>
        <v>14.938670902800874</v>
      </c>
      <c r="AD1386" s="27">
        <f>IF(('Activity data'!AW12*EF!$H11)*kgtoGg=0,"NO",('Activity data'!AW12*EF!$H11)*kgtoGg)</f>
        <v>14.960269632083405</v>
      </c>
      <c r="AE1386" s="27">
        <f>IF(('Activity data'!AX12*EF!$H11)*kgtoGg=0,"NO",('Activity data'!AX12*EF!$H11)*kgtoGg)</f>
        <v>14.983717506658669</v>
      </c>
      <c r="AF1386" s="27">
        <f>IF(('Activity data'!AY12*EF!$H11)*kgtoGg=0,"NO",('Activity data'!AY12*EF!$H11)*kgtoGg)</f>
        <v>15.009203009035685</v>
      </c>
      <c r="AG1386" s="27">
        <f>IF(('Activity data'!AZ12*EF!$H11)*kgtoGg=0,"NO",('Activity data'!AZ12*EF!$H11)*kgtoGg)</f>
        <v>15.036974918826434</v>
      </c>
      <c r="AH1386" s="27">
        <f>IF(('Activity data'!BA12*EF!$H11)*kgtoGg=0,"NO",('Activity data'!BA12*EF!$H11)*kgtoGg)</f>
        <v>15.066199302334384</v>
      </c>
      <c r="AI1386" s="27">
        <f>IF(('Activity data'!BB12*EF!$H11)*kgtoGg=0,"NO",('Activity data'!BB12*EF!$H11)*kgtoGg)</f>
        <v>15.084879435358006</v>
      </c>
      <c r="AJ1386" s="27">
        <f>IF(('Activity data'!BC12*EF!$H11)*kgtoGg=0,"NO",('Activity data'!BC12*EF!$H11)*kgtoGg)</f>
        <v>15.105340412639743</v>
      </c>
      <c r="AK1386" s="27">
        <f>IF(('Activity data'!BD12*EF!$H11)*kgtoGg=0,"NO",('Activity data'!BD12*EF!$H11)*kgtoGg)</f>
        <v>15.126907388415511</v>
      </c>
      <c r="AL1386" s="27">
        <f>IF(('Activity data'!BE12*EF!$H11)*kgtoGg=0,"NO",('Activity data'!BE12*EF!$H11)*kgtoGg)</f>
        <v>15.14980996512972</v>
      </c>
      <c r="AM1386" s="27">
        <f>IF(('Activity data'!BF12*EF!$H11)*kgtoGg=0,"NO",('Activity data'!BF12*EF!$H11)*kgtoGg)</f>
        <v>15.174013417460552</v>
      </c>
      <c r="AN1386" s="27">
        <f>IF(('Activity data'!BG12*EF!$H11)*kgtoGg=0,"NO",('Activity data'!BG12*EF!$H11)*kgtoGg)</f>
        <v>15.188314607603177</v>
      </c>
      <c r="AO1386" s="27">
        <f>IF(('Activity data'!BH12*EF!$H11)*kgtoGg=0,"NO",('Activity data'!BH12*EF!$H11)*kgtoGg)</f>
        <v>15.203581301623565</v>
      </c>
      <c r="AP1386" s="27">
        <f>IF(('Activity data'!BI12*EF!$H11)*kgtoGg=0,"NO",('Activity data'!BI12*EF!$H11)*kgtoGg)</f>
        <v>15.220141394360979</v>
      </c>
      <c r="AQ1386" s="27">
        <f>IF(('Activity data'!BJ12*EF!$H11)*kgtoGg=0,"NO",('Activity data'!BJ12*EF!$H11)*kgtoGg)</f>
        <v>15.237978875718865</v>
      </c>
      <c r="AR1386" s="27">
        <f>IF(('Activity data'!BK12*EF!$H11)*kgtoGg=0,"NO",('Activity data'!BK12*EF!$H11)*kgtoGg)</f>
        <v>15.25709337604709</v>
      </c>
      <c r="AS1386" s="27">
        <f>IF(('Activity data'!BL12*EF!$H11)*kgtoGg=0,"NO",('Activity data'!BL12*EF!$H11)*kgtoGg)</f>
        <v>15.265765166639579</v>
      </c>
      <c r="AT1386" s="27">
        <f>IF(('Activity data'!BM12*EF!$H11)*kgtoGg=0,"NO",('Activity data'!BM12*EF!$H11)*kgtoGg)</f>
        <v>15.271353562373108</v>
      </c>
      <c r="AU1386" s="27">
        <f>IF(('Activity data'!BN12*EF!$H11)*kgtoGg=0,"NO",('Activity data'!BN12*EF!$H11)*kgtoGg)</f>
        <v>15.277479500272968</v>
      </c>
      <c r="AV1386" s="27">
        <f>IF(('Activity data'!BO12*EF!$H11)*kgtoGg=0,"NO",('Activity data'!BO12*EF!$H11)*kgtoGg)</f>
        <v>15.283950133138154</v>
      </c>
      <c r="AW1386" s="27">
        <f>IF(('Activity data'!BP12*EF!$H11)*kgtoGg=0,"NO",('Activity data'!BP12*EF!$H11)*kgtoGg)</f>
        <v>15.291117933935899</v>
      </c>
    </row>
    <row r="1387" spans="1:49" x14ac:dyDescent="0.3">
      <c r="A1387" s="95" t="s">
        <v>960</v>
      </c>
      <c r="B1387" s="95"/>
      <c r="C1387" s="95"/>
      <c r="D1387" t="str">
        <f t="shared" si="547"/>
        <v>3A Livestock</v>
      </c>
      <c r="E1387" t="str">
        <f t="shared" si="547"/>
        <v>3A1 Enteric fermentation (CH4)</v>
      </c>
      <c r="F1387" t="str">
        <f>EF!C12</f>
        <v>3A1d Goats</v>
      </c>
      <c r="G1387" t="str">
        <f>EF!D12</f>
        <v>Commercial</v>
      </c>
      <c r="H1387" t="str">
        <f t="shared" si="548"/>
        <v>Enteric fermentation Emissions</v>
      </c>
      <c r="I1387" t="str">
        <f t="shared" si="548"/>
        <v>CH4</v>
      </c>
      <c r="J1387" t="str">
        <f t="shared" si="548"/>
        <v>Gg CH4</v>
      </c>
      <c r="K1387" s="27">
        <f>IF(('Activity data'!AD13*EF!$H12)*kgtoGg=0,"NO",('Activity data'!AD13*EF!$H12)*kgtoGg)</f>
        <v>15.123414197798359</v>
      </c>
      <c r="L1387" s="27">
        <f>IF(('Activity data'!AE13*EF!$H12)*kgtoGg=0,"NO",('Activity data'!AE13*EF!$H12)*kgtoGg)</f>
        <v>15.162727774721576</v>
      </c>
      <c r="M1387" s="27">
        <f>IF(('Activity data'!AF13*EF!$H12)*kgtoGg=0,"NO",('Activity data'!AF13*EF!$H12)*kgtoGg)</f>
        <v>15.216959464794312</v>
      </c>
      <c r="N1387" s="27">
        <f>IF(('Activity data'!AG13*EF!$H12)*kgtoGg=0,"NO",('Activity data'!AG13*EF!$H12)*kgtoGg)</f>
        <v>15.283027985940228</v>
      </c>
      <c r="O1387" s="27">
        <f>IF(('Activity data'!AH13*EF!$H12)*kgtoGg=0,"NO",('Activity data'!AH13*EF!$H12)*kgtoGg)</f>
        <v>15.360839106953575</v>
      </c>
      <c r="P1387" s="27">
        <f>IF(('Activity data'!AI13*EF!$H12)*kgtoGg=0,"NO",('Activity data'!AI13*EF!$H12)*kgtoGg)</f>
        <v>15.449919228540612</v>
      </c>
      <c r="Q1387" s="27">
        <f>IF(('Activity data'!AJ13*EF!$H12)*kgtoGg=0,"NO",('Activity data'!AJ13*EF!$H12)*kgtoGg)</f>
        <v>15.545788610572222</v>
      </c>
      <c r="R1387" s="27">
        <f>IF(('Activity data'!AK13*EF!$H12)*kgtoGg=0,"NO",('Activity data'!AK13*EF!$H12)*kgtoGg)</f>
        <v>15.648067752449878</v>
      </c>
      <c r="S1387" s="27">
        <f>IF(('Activity data'!AL13*EF!$H12)*kgtoGg=0,"NO",('Activity data'!AL13*EF!$H12)*kgtoGg)</f>
        <v>15.740823350999253</v>
      </c>
      <c r="T1387" s="27">
        <f>IF(('Activity data'!AM13*EF!$H12)*kgtoGg=0,"NO",('Activity data'!AM13*EF!$H12)*kgtoGg)</f>
        <v>15.786130826260475</v>
      </c>
      <c r="U1387" s="27">
        <f>IF(('Activity data'!AN13*EF!$H12)*kgtoGg=0,"NO",('Activity data'!AN13*EF!$H12)*kgtoGg)</f>
        <v>15.838063303157622</v>
      </c>
      <c r="V1387" s="27">
        <f>IF(('Activity data'!AO13*EF!$H12)*kgtoGg=0,"NO",('Activity data'!AO13*EF!$H12)*kgtoGg)</f>
        <v>15.891000771686212</v>
      </c>
      <c r="W1387" s="27">
        <f>IF(('Activity data'!AP13*EF!$H12)*kgtoGg=0,"NO",('Activity data'!AP13*EF!$H12)*kgtoGg)</f>
        <v>15.94841543311963</v>
      </c>
      <c r="X1387" s="27">
        <f>IF(('Activity data'!AQ13*EF!$H12)*kgtoGg=0,"NO",('Activity data'!AQ13*EF!$H12)*kgtoGg)</f>
        <v>16.010212398342233</v>
      </c>
      <c r="Y1387" s="27">
        <f>IF(('Activity data'!AR13*EF!$H12)*kgtoGg=0,"NO",('Activity data'!AR13*EF!$H12)*kgtoGg)</f>
        <v>16.04975975411061</v>
      </c>
      <c r="Z1387" s="27">
        <f>IF(('Activity data'!AS13*EF!$H12)*kgtoGg=0,"NO",('Activity data'!AS13*EF!$H12)*kgtoGg)</f>
        <v>16.093026754767141</v>
      </c>
      <c r="AA1387" s="27">
        <f>IF(('Activity data'!AT13*EF!$H12)*kgtoGg=0,"NO",('Activity data'!AT13*EF!$H12)*kgtoGg)</f>
        <v>16.139507339626743</v>
      </c>
      <c r="AB1387" s="27">
        <f>IF(('Activity data'!AU13*EF!$H12)*kgtoGg=0,"NO",('Activity data'!AU13*EF!$H12)*kgtoGg)</f>
        <v>16.189350761403606</v>
      </c>
      <c r="AC1387" s="27">
        <f>IF(('Activity data'!AV13*EF!$H12)*kgtoGg=0,"NO",('Activity data'!AV13*EF!$H12)*kgtoGg)</f>
        <v>16.242088999774211</v>
      </c>
      <c r="AD1387" s="27">
        <f>IF(('Activity data'!AW13*EF!$H12)*kgtoGg=0,"NO",('Activity data'!AW13*EF!$H12)*kgtoGg)</f>
        <v>16.277259419124743</v>
      </c>
      <c r="AE1387" s="27">
        <f>IF(('Activity data'!AX13*EF!$H12)*kgtoGg=0,"NO",('Activity data'!AX13*EF!$H12)*kgtoGg)</f>
        <v>16.31476657866423</v>
      </c>
      <c r="AF1387" s="27">
        <f>IF(('Activity data'!AY13*EF!$H12)*kgtoGg=0,"NO",('Activity data'!AY13*EF!$H12)*kgtoGg)</f>
        <v>16.354927956284293</v>
      </c>
      <c r="AG1387" s="27">
        <f>IF(('Activity data'!AZ13*EF!$H12)*kgtoGg=0,"NO",('Activity data'!AZ13*EF!$H12)*kgtoGg)</f>
        <v>16.39815145947275</v>
      </c>
      <c r="AH1387" s="27">
        <f>IF(('Activity data'!BA13*EF!$H12)*kgtoGg=0,"NO",('Activity data'!BA13*EF!$H12)*kgtoGg)</f>
        <v>16.443131260504089</v>
      </c>
      <c r="AI1387" s="27">
        <f>IF(('Activity data'!BB13*EF!$H12)*kgtoGg=0,"NO",('Activity data'!BB13*EF!$H12)*kgtoGg)</f>
        <v>16.470988408557865</v>
      </c>
      <c r="AJ1387" s="27">
        <f>IF(('Activity data'!BC13*EF!$H12)*kgtoGg=0,"NO",('Activity data'!BC13*EF!$H12)*kgtoGg)</f>
        <v>16.501218486314869</v>
      </c>
      <c r="AK1387" s="27">
        <f>IF(('Activity data'!BD13*EF!$H12)*kgtoGg=0,"NO",('Activity data'!BD13*EF!$H12)*kgtoGg)</f>
        <v>16.532770131598127</v>
      </c>
      <c r="AL1387" s="27">
        <f>IF(('Activity data'!BE13*EF!$H12)*kgtoGg=0,"NO",('Activity data'!BE13*EF!$H12)*kgtoGg)</f>
        <v>16.566015013383382</v>
      </c>
      <c r="AM1387" s="27">
        <f>IF(('Activity data'!BF13*EF!$H12)*kgtoGg=0,"NO",('Activity data'!BF13*EF!$H12)*kgtoGg)</f>
        <v>16.600907614824543</v>
      </c>
      <c r="AN1387" s="27">
        <f>IF(('Activity data'!BG13*EF!$H12)*kgtoGg=0,"NO",('Activity data'!BG13*EF!$H12)*kgtoGg)</f>
        <v>16.619970797900123</v>
      </c>
      <c r="AO1387" s="27">
        <f>IF(('Activity data'!BH13*EF!$H12)*kgtoGg=0,"NO",('Activity data'!BH13*EF!$H12)*kgtoGg)</f>
        <v>16.64023491177819</v>
      </c>
      <c r="AP1387" s="27">
        <f>IF(('Activity data'!BI13*EF!$H12)*kgtoGg=0,"NO",('Activity data'!BI13*EF!$H12)*kgtoGg)</f>
        <v>16.662217242949243</v>
      </c>
      <c r="AQ1387" s="27">
        <f>IF(('Activity data'!BJ13*EF!$H12)*kgtoGg=0,"NO",('Activity data'!BJ13*EF!$H12)*kgtoGg)</f>
        <v>16.685896797291566</v>
      </c>
      <c r="AR1387" s="27">
        <f>IF(('Activity data'!BK13*EF!$H12)*kgtoGg=0,"NO",('Activity data'!BK13*EF!$H12)*kgtoGg)</f>
        <v>16.711276306511749</v>
      </c>
      <c r="AS1387" s="27">
        <f>IF(('Activity data'!BL13*EF!$H12)*kgtoGg=0,"NO",('Activity data'!BL13*EF!$H12)*kgtoGg)</f>
        <v>16.720221808869553</v>
      </c>
      <c r="AT1387" s="27">
        <f>IF(('Activity data'!BM13*EF!$H12)*kgtoGg=0,"NO",('Activity data'!BM13*EF!$H12)*kgtoGg)</f>
        <v>16.72419450850062</v>
      </c>
      <c r="AU1387" s="27">
        <f>IF(('Activity data'!BN13*EF!$H12)*kgtoGg=0,"NO",('Activity data'!BN13*EF!$H12)*kgtoGg)</f>
        <v>16.728812799261537</v>
      </c>
      <c r="AV1387" s="27">
        <f>IF(('Activity data'!BO13*EF!$H12)*kgtoGg=0,"NO",('Activity data'!BO13*EF!$H12)*kgtoGg)</f>
        <v>16.733784752247175</v>
      </c>
      <c r="AW1387" s="27">
        <f>IF(('Activity data'!BP13*EF!$H12)*kgtoGg=0,"NO",('Activity data'!BP13*EF!$H12)*kgtoGg)</f>
        <v>16.739658320998576</v>
      </c>
    </row>
    <row r="1388" spans="1:49" x14ac:dyDescent="0.3">
      <c r="A1388" s="95" t="s">
        <v>960</v>
      </c>
      <c r="B1388" s="95"/>
      <c r="C1388" s="95"/>
      <c r="D1388" t="str">
        <f t="shared" si="547"/>
        <v>3A Livestock</v>
      </c>
      <c r="E1388" t="str">
        <f t="shared" si="547"/>
        <v>3A1 Enteric fermentation (CH4)</v>
      </c>
      <c r="F1388" t="str">
        <f>EF!C13</f>
        <v>3A1d Goats</v>
      </c>
      <c r="G1388" t="str">
        <f>EF!D13</f>
        <v>Subsistence</v>
      </c>
      <c r="H1388" t="str">
        <f t="shared" si="548"/>
        <v>Enteric fermentation Emissions</v>
      </c>
      <c r="I1388" t="str">
        <f t="shared" si="548"/>
        <v>CH4</v>
      </c>
      <c r="J1388" t="str">
        <f t="shared" si="548"/>
        <v>Gg CH4</v>
      </c>
      <c r="K1388" s="27">
        <f>IF(('Activity data'!AD14*EF!$H13)*kgtoGg=0,"NO",('Activity data'!AD14*EF!$H13)*kgtoGg)</f>
        <v>22.381101687842744</v>
      </c>
      <c r="L1388" s="27">
        <f>IF(('Activity data'!AE14*EF!$H13)*kgtoGg=0,"NO",('Activity data'!AE14*EF!$H13)*kgtoGg)</f>
        <v>22.439281748993185</v>
      </c>
      <c r="M1388" s="27">
        <f>IF(('Activity data'!AF14*EF!$H13)*kgtoGg=0,"NO",('Activity data'!AF14*EF!$H13)*kgtoGg)</f>
        <v>22.519539087339325</v>
      </c>
      <c r="N1388" s="27">
        <f>IF(('Activity data'!AG14*EF!$H13)*kgtoGg=0,"NO",('Activity data'!AG14*EF!$H13)*kgtoGg)</f>
        <v>22.617313721478975</v>
      </c>
      <c r="O1388" s="27">
        <f>IF(('Activity data'!AH14*EF!$H13)*kgtoGg=0,"NO",('Activity data'!AH14*EF!$H13)*kgtoGg)</f>
        <v>22.73246619889365</v>
      </c>
      <c r="P1388" s="27">
        <f>IF(('Activity data'!AI14*EF!$H13)*kgtoGg=0,"NO",('Activity data'!AI14*EF!$H13)*kgtoGg)</f>
        <v>22.864295641209328</v>
      </c>
      <c r="Q1388" s="27">
        <f>IF(('Activity data'!AJ14*EF!$H13)*kgtoGg=0,"NO",('Activity data'!AJ14*EF!$H13)*kgtoGg)</f>
        <v>23.006172492556328</v>
      </c>
      <c r="R1388" s="27">
        <f>IF(('Activity data'!AK14*EF!$H13)*kgtoGg=0,"NO",('Activity data'!AK14*EF!$H13)*kgtoGg)</f>
        <v>23.157535130977113</v>
      </c>
      <c r="S1388" s="27">
        <f>IF(('Activity data'!AL14*EF!$H13)*kgtoGg=0,"NO",('Activity data'!AL14*EF!$H13)*kgtoGg)</f>
        <v>23.294803902175122</v>
      </c>
      <c r="T1388" s="27">
        <f>IF(('Activity data'!AM14*EF!$H13)*kgtoGg=0,"NO",('Activity data'!AM14*EF!$H13)*kgtoGg)</f>
        <v>23.361854318025564</v>
      </c>
      <c r="U1388" s="27">
        <f>IF(('Activity data'!AN14*EF!$H13)*kgtoGg=0,"NO",('Activity data'!AN14*EF!$H13)*kgtoGg)</f>
        <v>23.438709056719805</v>
      </c>
      <c r="V1388" s="27">
        <f>IF(('Activity data'!AO14*EF!$H13)*kgtoGg=0,"NO",('Activity data'!AO14*EF!$H13)*kgtoGg)</f>
        <v>23.517051079938867</v>
      </c>
      <c r="W1388" s="27">
        <f>IF(('Activity data'!AP14*EF!$H13)*kgtoGg=0,"NO",('Activity data'!AP14*EF!$H13)*kgtoGg)</f>
        <v>23.602018889396962</v>
      </c>
      <c r="X1388" s="27">
        <f>IF(('Activity data'!AQ14*EF!$H13)*kgtoGg=0,"NO",('Activity data'!AQ14*EF!$H13)*kgtoGg)</f>
        <v>23.693472058936443</v>
      </c>
      <c r="Y1388" s="27">
        <f>IF(('Activity data'!AR14*EF!$H13)*kgtoGg=0,"NO",('Activity data'!AR14*EF!$H13)*kgtoGg)</f>
        <v>23.75199808879723</v>
      </c>
      <c r="Z1388" s="27">
        <f>IF(('Activity data'!AS14*EF!$H13)*kgtoGg=0,"NO",('Activity data'!AS14*EF!$H13)*kgtoGg)</f>
        <v>23.816028811539901</v>
      </c>
      <c r="AA1388" s="27">
        <f>IF(('Activity data'!AT14*EF!$H13)*kgtoGg=0,"NO",('Activity data'!AT14*EF!$H13)*kgtoGg)</f>
        <v>23.884815309261068</v>
      </c>
      <c r="AB1388" s="27">
        <f>IF(('Activity data'!AU14*EF!$H13)*kgtoGg=0,"NO",('Activity data'!AU14*EF!$H13)*kgtoGg)</f>
        <v>23.958578460667738</v>
      </c>
      <c r="AC1388" s="27">
        <f>IF(('Activity data'!AV14*EF!$H13)*kgtoGg=0,"NO",('Activity data'!AV14*EF!$H13)*kgtoGg)</f>
        <v>24.036625643689554</v>
      </c>
      <c r="AD1388" s="27">
        <f>IF(('Activity data'!AW14*EF!$H13)*kgtoGg=0,"NO",('Activity data'!AW14*EF!$H13)*kgtoGg)</f>
        <v>24.088674256627954</v>
      </c>
      <c r="AE1388" s="27">
        <f>IF(('Activity data'!AX14*EF!$H13)*kgtoGg=0,"NO",('Activity data'!AX14*EF!$H13)*kgtoGg)</f>
        <v>24.144181005348596</v>
      </c>
      <c r="AF1388" s="27">
        <f>IF(('Activity data'!AY14*EF!$H13)*kgtoGg=0,"NO",('Activity data'!AY14*EF!$H13)*kgtoGg)</f>
        <v>24.20361572456493</v>
      </c>
      <c r="AG1388" s="27">
        <f>IF(('Activity data'!AZ14*EF!$H13)*kgtoGg=0,"NO",('Activity data'!AZ14*EF!$H13)*kgtoGg)</f>
        <v>24.267582075516717</v>
      </c>
      <c r="AH1388" s="27">
        <f>IF(('Activity data'!BA14*EF!$H13)*kgtoGg=0,"NO",('Activity data'!BA14*EF!$H13)*kgtoGg)</f>
        <v>24.334147567119</v>
      </c>
      <c r="AI1388" s="27">
        <f>IF(('Activity data'!BB14*EF!$H13)*kgtoGg=0,"NO",('Activity data'!BB14*EF!$H13)*kgtoGg)</f>
        <v>24.375373288716684</v>
      </c>
      <c r="AJ1388" s="27">
        <f>IF(('Activity data'!BC14*EF!$H13)*kgtoGg=0,"NO",('Activity data'!BC14*EF!$H13)*kgtoGg)</f>
        <v>24.420110702865486</v>
      </c>
      <c r="AK1388" s="27">
        <f>IF(('Activity data'!BD14*EF!$H13)*kgtoGg=0,"NO",('Activity data'!BD14*EF!$H13)*kgtoGg)</f>
        <v>24.466803901389813</v>
      </c>
      <c r="AL1388" s="27">
        <f>IF(('Activity data'!BE14*EF!$H13)*kgtoGg=0,"NO",('Activity data'!BE14*EF!$H13)*kgtoGg)</f>
        <v>24.516002916248802</v>
      </c>
      <c r="AM1388" s="27">
        <f>IF(('Activity data'!BF14*EF!$H13)*kgtoGg=0,"NO",('Activity data'!BF14*EF!$H13)*kgtoGg)</f>
        <v>24.567640387179249</v>
      </c>
      <c r="AN1388" s="27">
        <f>IF(('Activity data'!BG14*EF!$H13)*kgtoGg=0,"NO",('Activity data'!BG14*EF!$H13)*kgtoGg)</f>
        <v>24.595851942673818</v>
      </c>
      <c r="AO1388" s="27">
        <f>IF(('Activity data'!BH14*EF!$H13)*kgtoGg=0,"NO",('Activity data'!BH14*EF!$H13)*kgtoGg)</f>
        <v>24.625840752567356</v>
      </c>
      <c r="AP1388" s="27">
        <f>IF(('Activity data'!BI14*EF!$H13)*kgtoGg=0,"NO",('Activity data'!BI14*EF!$H13)*kgtoGg)</f>
        <v>24.658372347803756</v>
      </c>
      <c r="AQ1388" s="27">
        <f>IF(('Activity data'!BJ14*EF!$H13)*kgtoGg=0,"NO",('Activity data'!BJ14*EF!$H13)*kgtoGg)</f>
        <v>24.693415659236397</v>
      </c>
      <c r="AR1388" s="27">
        <f>IF(('Activity data'!BK14*EF!$H13)*kgtoGg=0,"NO",('Activity data'!BK14*EF!$H13)*kgtoGg)</f>
        <v>24.730974729510827</v>
      </c>
      <c r="AS1388" s="27">
        <f>IF(('Activity data'!BL14*EF!$H13)*kgtoGg=0,"NO",('Activity data'!BL14*EF!$H13)*kgtoGg)</f>
        <v>24.744213155391417</v>
      </c>
      <c r="AT1388" s="27">
        <f>IF(('Activity data'!BM14*EF!$H13)*kgtoGg=0,"NO",('Activity data'!BM14*EF!$H13)*kgtoGg)</f>
        <v>24.750092343335041</v>
      </c>
      <c r="AU1388" s="27">
        <f>IF(('Activity data'!BN14*EF!$H13)*kgtoGg=0,"NO",('Activity data'!BN14*EF!$H13)*kgtoGg)</f>
        <v>24.756926939927592</v>
      </c>
      <c r="AV1388" s="27">
        <f>IF(('Activity data'!BO14*EF!$H13)*kgtoGg=0,"NO",('Activity data'!BO14*EF!$H13)*kgtoGg)</f>
        <v>24.764284920334894</v>
      </c>
      <c r="AW1388" s="27">
        <f>IF(('Activity data'!BP14*EF!$H13)*kgtoGg=0,"NO",('Activity data'!BP14*EF!$H13)*kgtoGg)</f>
        <v>24.772977199589842</v>
      </c>
    </row>
    <row r="1389" spans="1:49" x14ac:dyDescent="0.3">
      <c r="A1389" s="95" t="s">
        <v>960</v>
      </c>
      <c r="B1389" s="95"/>
      <c r="C1389" s="95"/>
      <c r="D1389" t="str">
        <f t="shared" si="547"/>
        <v>3A Livestock</v>
      </c>
      <c r="E1389" t="str">
        <f t="shared" si="547"/>
        <v>3A1 Enteric fermentation (CH4)</v>
      </c>
      <c r="F1389" t="str">
        <f>EF!C14</f>
        <v>3A1f Horses</v>
      </c>
      <c r="G1389" t="str">
        <f>EF!D14</f>
        <v>Horses</v>
      </c>
      <c r="H1389" t="str">
        <f t="shared" si="548"/>
        <v>Enteric fermentation Emissions</v>
      </c>
      <c r="I1389" t="str">
        <f t="shared" si="548"/>
        <v>CH4</v>
      </c>
      <c r="J1389" t="str">
        <f t="shared" si="548"/>
        <v>Gg CH4</v>
      </c>
      <c r="K1389" s="27">
        <f>IF(('Activity data'!AD15*EF!$H14)*kgtoGg=0,"NO",('Activity data'!AD15*EF!$H14)*kgtoGg)</f>
        <v>5.5526214800767901</v>
      </c>
      <c r="L1389" s="27">
        <f>IF(('Activity data'!AE15*EF!$H14)*kgtoGg=0,"NO",('Activity data'!AE15*EF!$H14)*kgtoGg)</f>
        <v>5.5795235710196511</v>
      </c>
      <c r="M1389" s="27">
        <f>IF(('Activity data'!AF15*EF!$H14)*kgtoGg=0,"NO",('Activity data'!AF15*EF!$H14)*kgtoGg)</f>
        <v>5.6203482259438022</v>
      </c>
      <c r="N1389" s="27">
        <f>IF(('Activity data'!AG15*EF!$H14)*kgtoGg=0,"NO",('Activity data'!AG15*EF!$H14)*kgtoGg)</f>
        <v>5.629075655008374</v>
      </c>
      <c r="O1389" s="27">
        <f>IF(('Activity data'!AH15*EF!$H14)*kgtoGg=0,"NO",('Activity data'!AH15*EF!$H14)*kgtoGg)</f>
        <v>5.6165815405282276</v>
      </c>
      <c r="P1389" s="27">
        <f>IF(('Activity data'!AI15*EF!$H14)*kgtoGg=0,"NO",('Activity data'!AI15*EF!$H14)*kgtoGg)</f>
        <v>5.5833231296706103</v>
      </c>
      <c r="Q1389" s="27">
        <f>IF(('Activity data'!AJ15*EF!$H14)*kgtoGg=0,"NO",('Activity data'!AJ15*EF!$H14)*kgtoGg)</f>
        <v>5.5648827699457346</v>
      </c>
      <c r="R1389" s="27">
        <f>IF(('Activity data'!AK15*EF!$H14)*kgtoGg=0,"NO",('Activity data'!AK15*EF!$H14)*kgtoGg)</f>
        <v>5.5483103177944013</v>
      </c>
      <c r="S1389" s="27">
        <f>IF(('Activity data'!AL15*EF!$H14)*kgtoGg=0,"NO",('Activity data'!AL15*EF!$H14)*kgtoGg)</f>
        <v>5.2311192904529218</v>
      </c>
      <c r="T1389" s="27">
        <f>IF(('Activity data'!AM15*EF!$H14)*kgtoGg=0,"NO",('Activity data'!AM15*EF!$H14)*kgtoGg)</f>
        <v>5.2959023096135693</v>
      </c>
      <c r="U1389" s="27">
        <f>IF(('Activity data'!AN15*EF!$H14)*kgtoGg=0,"NO",('Activity data'!AN15*EF!$H14)*kgtoGg)</f>
        <v>5.3988006154965325</v>
      </c>
      <c r="V1389" s="27">
        <f>IF(('Activity data'!AO15*EF!$H14)*kgtoGg=0,"NO",('Activity data'!AO15*EF!$H14)*kgtoGg)</f>
        <v>5.4367829372956962</v>
      </c>
      <c r="W1389" s="27">
        <f>IF(('Activity data'!AP15*EF!$H14)*kgtoGg=0,"NO",('Activity data'!AP15*EF!$H14)*kgtoGg)</f>
        <v>5.4819188324690939</v>
      </c>
      <c r="X1389" s="27">
        <f>IF(('Activity data'!AQ15*EF!$H14)*kgtoGg=0,"NO",('Activity data'!AQ15*EF!$H14)*kgtoGg)</f>
        <v>5.5365687700280883</v>
      </c>
      <c r="Y1389" s="27">
        <f>IF(('Activity data'!AR15*EF!$H14)*kgtoGg=0,"NO",('Activity data'!AR15*EF!$H14)*kgtoGg)</f>
        <v>5.601958980764981</v>
      </c>
      <c r="Z1389" s="27">
        <f>IF(('Activity data'!AS15*EF!$H14)*kgtoGg=0,"NO",('Activity data'!AS15*EF!$H14)*kgtoGg)</f>
        <v>5.6746319691397513</v>
      </c>
      <c r="AA1389" s="27">
        <f>IF(('Activity data'!AT15*EF!$H14)*kgtoGg=0,"NO",('Activity data'!AT15*EF!$H14)*kgtoGg)</f>
        <v>5.7481685306176677</v>
      </c>
      <c r="AB1389" s="27">
        <f>IF(('Activity data'!AU15*EF!$H14)*kgtoGg=0,"NO",('Activity data'!AU15*EF!$H14)*kgtoGg)</f>
        <v>5.8282774259733703</v>
      </c>
      <c r="AC1389" s="27">
        <f>IF(('Activity data'!AV15*EF!$H14)*kgtoGg=0,"NO",('Activity data'!AV15*EF!$H14)*kgtoGg)</f>
        <v>5.9086647601730373</v>
      </c>
      <c r="AD1389" s="27">
        <f>IF(('Activity data'!AW15*EF!$H14)*kgtoGg=0,"NO",('Activity data'!AW15*EF!$H14)*kgtoGg)</f>
        <v>6.0051030471917946</v>
      </c>
      <c r="AE1389" s="27">
        <f>IF(('Activity data'!AX15*EF!$H14)*kgtoGg=0,"NO",('Activity data'!AX15*EF!$H14)*kgtoGg)</f>
        <v>6.0980124130473197</v>
      </c>
      <c r="AF1389" s="27">
        <f>IF(('Activity data'!AY15*EF!$H14)*kgtoGg=0,"NO",('Activity data'!AY15*EF!$H14)*kgtoGg)</f>
        <v>6.195439489414623</v>
      </c>
      <c r="AG1389" s="27">
        <f>IF(('Activity data'!AZ15*EF!$H14)*kgtoGg=0,"NO",('Activity data'!AZ15*EF!$H14)*kgtoGg)</f>
        <v>6.3068676222722697</v>
      </c>
      <c r="AH1389" s="27">
        <f>IF(('Activity data'!BA15*EF!$H14)*kgtoGg=0,"NO",('Activity data'!BA15*EF!$H14)*kgtoGg)</f>
        <v>6.4095401663804648</v>
      </c>
      <c r="AI1389" s="27">
        <f>IF(('Activity data'!BB15*EF!$H14)*kgtoGg=0,"NO",('Activity data'!BB15*EF!$H14)*kgtoGg)</f>
        <v>6.5228948238532292</v>
      </c>
      <c r="AJ1389" s="27">
        <f>IF(('Activity data'!BC15*EF!$H14)*kgtoGg=0,"NO",('Activity data'!BC15*EF!$H14)*kgtoGg)</f>
        <v>6.6437484965413081</v>
      </c>
      <c r="AK1389" s="27">
        <f>IF(('Activity data'!BD15*EF!$H14)*kgtoGg=0,"NO",('Activity data'!BD15*EF!$H14)*kgtoGg)</f>
        <v>6.7539654911689828</v>
      </c>
      <c r="AL1389" s="27">
        <f>IF(('Activity data'!BE15*EF!$H14)*kgtoGg=0,"NO",('Activity data'!BE15*EF!$H14)*kgtoGg)</f>
        <v>6.8618111039503944</v>
      </c>
      <c r="AM1389" s="27">
        <f>IF(('Activity data'!BF15*EF!$H14)*kgtoGg=0,"NO",('Activity data'!BF15*EF!$H14)*kgtoGg)</f>
        <v>6.9676727679478478</v>
      </c>
      <c r="AN1389" s="27">
        <f>IF(('Activity data'!BG15*EF!$H14)*kgtoGg=0,"NO",('Activity data'!BG15*EF!$H14)*kgtoGg)</f>
        <v>7.0885986695240639</v>
      </c>
      <c r="AO1389" s="27">
        <f>IF(('Activity data'!BH15*EF!$H14)*kgtoGg=0,"NO",('Activity data'!BH15*EF!$H14)*kgtoGg)</f>
        <v>7.202615789032512</v>
      </c>
      <c r="AP1389" s="27">
        <f>IF(('Activity data'!BI15*EF!$H14)*kgtoGg=0,"NO",('Activity data'!BI15*EF!$H14)*kgtoGg)</f>
        <v>7.3203542233012309</v>
      </c>
      <c r="AQ1389" s="27">
        <f>IF(('Activity data'!BJ15*EF!$H14)*kgtoGg=0,"NO",('Activity data'!BJ15*EF!$H14)*kgtoGg)</f>
        <v>7.4423988374450394</v>
      </c>
      <c r="AR1389" s="27">
        <f>IF(('Activity data'!BK15*EF!$H14)*kgtoGg=0,"NO",('Activity data'!BK15*EF!$H14)*kgtoGg)</f>
        <v>7.5697005662835739</v>
      </c>
      <c r="AS1389" s="27">
        <f>IF(('Activity data'!BL15*EF!$H14)*kgtoGg=0,"NO",('Activity data'!BL15*EF!$H14)*kgtoGg)</f>
        <v>7.7079925213190776</v>
      </c>
      <c r="AT1389" s="27">
        <f>IF(('Activity data'!BM15*EF!$H14)*kgtoGg=0,"NO",('Activity data'!BM15*EF!$H14)*kgtoGg)</f>
        <v>7.7309775584942866</v>
      </c>
      <c r="AU1389" s="27">
        <f>IF(('Activity data'!BN15*EF!$H14)*kgtoGg=0,"NO",('Activity data'!BN15*EF!$H14)*kgtoGg)</f>
        <v>7.7430605044202654</v>
      </c>
      <c r="AV1389" s="27">
        <f>IF(('Activity data'!BO15*EF!$H14)*kgtoGg=0,"NO",('Activity data'!BO15*EF!$H14)*kgtoGg)</f>
        <v>7.7396666487885506</v>
      </c>
      <c r="AW1389" s="27">
        <f>IF(('Activity data'!BP15*EF!$H14)*kgtoGg=0,"NO",('Activity data'!BP15*EF!$H14)*kgtoGg)</f>
        <v>7.7316472006042485</v>
      </c>
    </row>
    <row r="1390" spans="1:49" x14ac:dyDescent="0.3">
      <c r="A1390" s="95" t="s">
        <v>960</v>
      </c>
      <c r="B1390" s="95"/>
      <c r="C1390" s="95"/>
      <c r="D1390" t="str">
        <f t="shared" si="547"/>
        <v>3A Livestock</v>
      </c>
      <c r="E1390" t="str">
        <f t="shared" si="547"/>
        <v>3A1 Enteric fermentation (CH4)</v>
      </c>
      <c r="F1390" t="str">
        <f>EF!C15</f>
        <v>3A1g Mules &amp; asses</v>
      </c>
      <c r="G1390" t="str">
        <f>EF!D15</f>
        <v>Mules &amp; Asses</v>
      </c>
      <c r="H1390" t="str">
        <f t="shared" si="548"/>
        <v>Enteric fermentation Emissions</v>
      </c>
      <c r="I1390" t="str">
        <f t="shared" si="548"/>
        <v>CH4</v>
      </c>
      <c r="J1390" t="str">
        <f t="shared" si="548"/>
        <v>Gg CH4</v>
      </c>
      <c r="K1390" s="27">
        <f>IF(('Activity data'!AD16*EF!$H15)*kgtoGg=0,"NO",('Activity data'!AD16*EF!$H15)*kgtoGg)</f>
        <v>1.67</v>
      </c>
      <c r="L1390" s="27">
        <f>IF(('Activity data'!AE16*EF!$H15)*kgtoGg=0,"NO",('Activity data'!AE16*EF!$H15)*kgtoGg)</f>
        <v>1.67</v>
      </c>
      <c r="M1390" s="27">
        <f>IF(('Activity data'!AF16*EF!$H15)*kgtoGg=0,"NO",('Activity data'!AF16*EF!$H15)*kgtoGg)</f>
        <v>1.67</v>
      </c>
      <c r="N1390" s="27">
        <f>IF(('Activity data'!AG16*EF!$H15)*kgtoGg=0,"NO",('Activity data'!AG16*EF!$H15)*kgtoGg)</f>
        <v>1.67</v>
      </c>
      <c r="O1390" s="27">
        <f>IF(('Activity data'!AH16*EF!$H15)*kgtoGg=0,"NO",('Activity data'!AH16*EF!$H15)*kgtoGg)</f>
        <v>1.67</v>
      </c>
      <c r="P1390" s="27">
        <f>IF(('Activity data'!AI16*EF!$H15)*kgtoGg=0,"NO",('Activity data'!AI16*EF!$H15)*kgtoGg)</f>
        <v>1.67</v>
      </c>
      <c r="Q1390" s="27">
        <f>IF(('Activity data'!AJ16*EF!$H15)*kgtoGg=0,"NO",('Activity data'!AJ16*EF!$H15)*kgtoGg)</f>
        <v>1.67</v>
      </c>
      <c r="R1390" s="27">
        <f>IF(('Activity data'!AK16*EF!$H15)*kgtoGg=0,"NO",('Activity data'!AK16*EF!$H15)*kgtoGg)</f>
        <v>1.67</v>
      </c>
      <c r="S1390" s="27">
        <f>IF(('Activity data'!AL16*EF!$H15)*kgtoGg=0,"NO",('Activity data'!AL16*EF!$H15)*kgtoGg)</f>
        <v>1.67</v>
      </c>
      <c r="T1390" s="27">
        <f>IF(('Activity data'!AM16*EF!$H15)*kgtoGg=0,"NO",('Activity data'!AM16*EF!$H15)*kgtoGg)</f>
        <v>1.67</v>
      </c>
      <c r="U1390" s="27">
        <f>IF(('Activity data'!AN16*EF!$H15)*kgtoGg=0,"NO",('Activity data'!AN16*EF!$H15)*kgtoGg)</f>
        <v>1.67</v>
      </c>
      <c r="V1390" s="27">
        <f>IF(('Activity data'!AO16*EF!$H15)*kgtoGg=0,"NO",('Activity data'!AO16*EF!$H15)*kgtoGg)</f>
        <v>1.67</v>
      </c>
      <c r="W1390" s="27">
        <f>IF(('Activity data'!AP16*EF!$H15)*kgtoGg=0,"NO",('Activity data'!AP16*EF!$H15)*kgtoGg)</f>
        <v>1.67</v>
      </c>
      <c r="X1390" s="27">
        <f>IF(('Activity data'!AQ16*EF!$H15)*kgtoGg=0,"NO",('Activity data'!AQ16*EF!$H15)*kgtoGg)</f>
        <v>1.67</v>
      </c>
      <c r="Y1390" s="27">
        <f>IF(('Activity data'!AR16*EF!$H15)*kgtoGg=0,"NO",('Activity data'!AR16*EF!$H15)*kgtoGg)</f>
        <v>1.67</v>
      </c>
      <c r="Z1390" s="27">
        <f>IF(('Activity data'!AS16*EF!$H15)*kgtoGg=0,"NO",('Activity data'!AS16*EF!$H15)*kgtoGg)</f>
        <v>1.67</v>
      </c>
      <c r="AA1390" s="27">
        <f>IF(('Activity data'!AT16*EF!$H15)*kgtoGg=0,"NO",('Activity data'!AT16*EF!$H15)*kgtoGg)</f>
        <v>1.67</v>
      </c>
      <c r="AB1390" s="27">
        <f>IF(('Activity data'!AU16*EF!$H15)*kgtoGg=0,"NO",('Activity data'!AU16*EF!$H15)*kgtoGg)</f>
        <v>1.67</v>
      </c>
      <c r="AC1390" s="27">
        <f>IF(('Activity data'!AV16*EF!$H15)*kgtoGg=0,"NO",('Activity data'!AV16*EF!$H15)*kgtoGg)</f>
        <v>1.67</v>
      </c>
      <c r="AD1390" s="27">
        <f>IF(('Activity data'!AW16*EF!$H15)*kgtoGg=0,"NO",('Activity data'!AW16*EF!$H15)*kgtoGg)</f>
        <v>1.67</v>
      </c>
      <c r="AE1390" s="27">
        <f>IF(('Activity data'!AX16*EF!$H15)*kgtoGg=0,"NO",('Activity data'!AX16*EF!$H15)*kgtoGg)</f>
        <v>1.67</v>
      </c>
      <c r="AF1390" s="27">
        <f>IF(('Activity data'!AY16*EF!$H15)*kgtoGg=0,"NO",('Activity data'!AY16*EF!$H15)*kgtoGg)</f>
        <v>1.67</v>
      </c>
      <c r="AG1390" s="27">
        <f>IF(('Activity data'!AZ16*EF!$H15)*kgtoGg=0,"NO",('Activity data'!AZ16*EF!$H15)*kgtoGg)</f>
        <v>1.67</v>
      </c>
      <c r="AH1390" s="27">
        <f>IF(('Activity data'!BA16*EF!$H15)*kgtoGg=0,"NO",('Activity data'!BA16*EF!$H15)*kgtoGg)</f>
        <v>1.67</v>
      </c>
      <c r="AI1390" s="27">
        <f>IF(('Activity data'!BB16*EF!$H15)*kgtoGg=0,"NO",('Activity data'!BB16*EF!$H15)*kgtoGg)</f>
        <v>1.67</v>
      </c>
      <c r="AJ1390" s="27">
        <f>IF(('Activity data'!BC16*EF!$H15)*kgtoGg=0,"NO",('Activity data'!BC16*EF!$H15)*kgtoGg)</f>
        <v>1.67</v>
      </c>
      <c r="AK1390" s="27">
        <f>IF(('Activity data'!BD16*EF!$H15)*kgtoGg=0,"NO",('Activity data'!BD16*EF!$H15)*kgtoGg)</f>
        <v>1.67</v>
      </c>
      <c r="AL1390" s="27">
        <f>IF(('Activity data'!BE16*EF!$H15)*kgtoGg=0,"NO",('Activity data'!BE16*EF!$H15)*kgtoGg)</f>
        <v>1.67</v>
      </c>
      <c r="AM1390" s="27">
        <f>IF(('Activity data'!BF16*EF!$H15)*kgtoGg=0,"NO",('Activity data'!BF16*EF!$H15)*kgtoGg)</f>
        <v>1.67</v>
      </c>
      <c r="AN1390" s="27">
        <f>IF(('Activity data'!BG16*EF!$H15)*kgtoGg=0,"NO",('Activity data'!BG16*EF!$H15)*kgtoGg)</f>
        <v>1.67</v>
      </c>
      <c r="AO1390" s="27">
        <f>IF(('Activity data'!BH16*EF!$H15)*kgtoGg=0,"NO",('Activity data'!BH16*EF!$H15)*kgtoGg)</f>
        <v>1.67</v>
      </c>
      <c r="AP1390" s="27">
        <f>IF(('Activity data'!BI16*EF!$H15)*kgtoGg=0,"NO",('Activity data'!BI16*EF!$H15)*kgtoGg)</f>
        <v>1.67</v>
      </c>
      <c r="AQ1390" s="27">
        <f>IF(('Activity data'!BJ16*EF!$H15)*kgtoGg=0,"NO",('Activity data'!BJ16*EF!$H15)*kgtoGg)</f>
        <v>1.67</v>
      </c>
      <c r="AR1390" s="27">
        <f>IF(('Activity data'!BK16*EF!$H15)*kgtoGg=0,"NO",('Activity data'!BK16*EF!$H15)*kgtoGg)</f>
        <v>1.67</v>
      </c>
      <c r="AS1390" s="27">
        <f>IF(('Activity data'!BL16*EF!$H15)*kgtoGg=0,"NO",('Activity data'!BL16*EF!$H15)*kgtoGg)</f>
        <v>1.67</v>
      </c>
      <c r="AT1390" s="27">
        <f>IF(('Activity data'!BM16*EF!$H15)*kgtoGg=0,"NO",('Activity data'!BM16*EF!$H15)*kgtoGg)</f>
        <v>1.67</v>
      </c>
      <c r="AU1390" s="27">
        <f>IF(('Activity data'!BN16*EF!$H15)*kgtoGg=0,"NO",('Activity data'!BN16*EF!$H15)*kgtoGg)</f>
        <v>1.67</v>
      </c>
      <c r="AV1390" s="27">
        <f>IF(('Activity data'!BO16*EF!$H15)*kgtoGg=0,"NO",('Activity data'!BO16*EF!$H15)*kgtoGg)</f>
        <v>1.67</v>
      </c>
      <c r="AW1390" s="27">
        <f>IF(('Activity data'!BP16*EF!$H15)*kgtoGg=0,"NO",('Activity data'!BP16*EF!$H15)*kgtoGg)</f>
        <v>1.67</v>
      </c>
    </row>
    <row r="1391" spans="1:49" x14ac:dyDescent="0.3">
      <c r="A1391" s="95" t="s">
        <v>960</v>
      </c>
      <c r="B1391" s="95"/>
      <c r="C1391" s="95"/>
      <c r="D1391" t="str">
        <f t="shared" si="547"/>
        <v>3A Livestock</v>
      </c>
      <c r="E1391" t="str">
        <f t="shared" si="547"/>
        <v>3A1 Enteric fermentation (CH4)</v>
      </c>
      <c r="F1391" t="str">
        <f>EF!C16</f>
        <v>3A1h Swine</v>
      </c>
      <c r="G1391" t="str">
        <f>EF!D16</f>
        <v>Commercial</v>
      </c>
      <c r="H1391" t="str">
        <f t="shared" si="548"/>
        <v>Enteric fermentation Emissions</v>
      </c>
      <c r="I1391" t="str">
        <f t="shared" si="548"/>
        <v>CH4</v>
      </c>
      <c r="J1391" t="str">
        <f t="shared" si="548"/>
        <v>Gg CH4</v>
      </c>
      <c r="K1391" s="27">
        <f>IF(('Activity data'!AD17*EF!$H16)*kgtoGg=0,"NO",('Activity data'!AD17*EF!$H16)*kgtoGg)</f>
        <v>1.8400999552016302</v>
      </c>
      <c r="L1391" s="27">
        <f>IF(('Activity data'!AE17*EF!$H16)*kgtoGg=0,"NO",('Activity data'!AE17*EF!$H16)*kgtoGg)</f>
        <v>1.8300977880312246</v>
      </c>
      <c r="M1391" s="27">
        <f>IF(('Activity data'!AF17*EF!$H16)*kgtoGg=0,"NO",('Activity data'!AF17*EF!$H16)*kgtoGg)</f>
        <v>1.8309187348828151</v>
      </c>
      <c r="N1391" s="27">
        <f>IF(('Activity data'!AG17*EF!$H16)*kgtoGg=0,"NO",('Activity data'!AG17*EF!$H16)*kgtoGg)</f>
        <v>1.8141094978660448</v>
      </c>
      <c r="O1391" s="27">
        <f>IF(('Activity data'!AH17*EF!$H16)*kgtoGg=0,"NO",('Activity data'!AH17*EF!$H16)*kgtoGg)</f>
        <v>1.7866561368117295</v>
      </c>
      <c r="P1391" s="27">
        <f>IF(('Activity data'!AI17*EF!$H16)*kgtoGg=0,"NO",('Activity data'!AI17*EF!$H16)*kgtoGg)</f>
        <v>1.7489975228040078</v>
      </c>
      <c r="Q1391" s="27">
        <f>IF(('Activity data'!AJ17*EF!$H16)*kgtoGg=0,"NO",('Activity data'!AJ17*EF!$H16)*kgtoGg)</f>
        <v>1.721653192801009</v>
      </c>
      <c r="R1391" s="27">
        <f>IF(('Activity data'!AK17*EF!$H16)*kgtoGg=0,"NO",('Activity data'!AK17*EF!$H16)*kgtoGg)</f>
        <v>1.6967284692901872</v>
      </c>
      <c r="S1391" s="27">
        <f>IF(('Activity data'!AL17*EF!$H16)*kgtoGg=0,"NO",('Activity data'!AL17*EF!$H16)*kgtoGg)</f>
        <v>1.4981262376638635</v>
      </c>
      <c r="T1391" s="27">
        <f>IF(('Activity data'!AM17*EF!$H16)*kgtoGg=0,"NO",('Activity data'!AM17*EF!$H16)*kgtoGg)</f>
        <v>1.5170710584409277</v>
      </c>
      <c r="U1391" s="27">
        <f>IF(('Activity data'!AN17*EF!$H16)*kgtoGg=0,"NO",('Activity data'!AN17*EF!$H16)*kgtoGg)</f>
        <v>1.5577229248664515</v>
      </c>
      <c r="V1391" s="27">
        <f>IF(('Activity data'!AO17*EF!$H16)*kgtoGg=0,"NO",('Activity data'!AO17*EF!$H16)*kgtoGg)</f>
        <v>1.561413903145964</v>
      </c>
      <c r="W1391" s="27">
        <f>IF(('Activity data'!AP17*EF!$H16)*kgtoGg=0,"NO",('Activity data'!AP17*EF!$H16)*kgtoGg)</f>
        <v>1.5694069216965754</v>
      </c>
      <c r="X1391" s="27">
        <f>IF(('Activity data'!AQ17*EF!$H16)*kgtoGg=0,"NO",('Activity data'!AQ17*EF!$H16)*kgtoGg)</f>
        <v>1.5828459974443794</v>
      </c>
      <c r="Y1391" s="27">
        <f>IF(('Activity data'!AR17*EF!$H16)*kgtoGg=0,"NO",('Activity data'!AR17*EF!$H16)*kgtoGg)</f>
        <v>1.5997093513071265</v>
      </c>
      <c r="Z1391" s="27">
        <f>IF(('Activity data'!AS17*EF!$H16)*kgtoGg=0,"NO",('Activity data'!AS17*EF!$H16)*kgtoGg)</f>
        <v>1.6203739618637112</v>
      </c>
      <c r="AA1391" s="27">
        <f>IF(('Activity data'!AT17*EF!$H16)*kgtoGg=0,"NO",('Activity data'!AT17*EF!$H16)*kgtoGg)</f>
        <v>1.6412802243411935</v>
      </c>
      <c r="AB1391" s="27">
        <f>IF(('Activity data'!AU17*EF!$H16)*kgtoGg=0,"NO",('Activity data'!AU17*EF!$H16)*kgtoGg)</f>
        <v>1.6654174874794287</v>
      </c>
      <c r="AC1391" s="27">
        <f>IF(('Activity data'!AV17*EF!$H16)*kgtoGg=0,"NO",('Activity data'!AV17*EF!$H16)*kgtoGg)</f>
        <v>1.6893881557889758</v>
      </c>
      <c r="AD1391" s="27">
        <f>IF(('Activity data'!AW17*EF!$H16)*kgtoGg=0,"NO",('Activity data'!AW17*EF!$H16)*kgtoGg)</f>
        <v>1.7191899551215701</v>
      </c>
      <c r="AE1391" s="27">
        <f>IF(('Activity data'!AX17*EF!$H16)*kgtoGg=0,"NO",('Activity data'!AX17*EF!$H16)*kgtoGg)</f>
        <v>1.7466246880722003</v>
      </c>
      <c r="AF1391" s="27">
        <f>IF(('Activity data'!AY17*EF!$H16)*kgtoGg=0,"NO",('Activity data'!AY17*EF!$H16)*kgtoGg)</f>
        <v>1.7758174373307805</v>
      </c>
      <c r="AG1391" s="27">
        <f>IF(('Activity data'!AZ17*EF!$H16)*kgtoGg=0,"NO",('Activity data'!AZ17*EF!$H16)*kgtoGg)</f>
        <v>1.8114287830343814</v>
      </c>
      <c r="AH1391" s="27">
        <f>IF(('Activity data'!BA17*EF!$H16)*kgtoGg=0,"NO",('Activity data'!BA17*EF!$H16)*kgtoGg)</f>
        <v>1.8420072235043694</v>
      </c>
      <c r="AI1391" s="27">
        <f>IF(('Activity data'!BB17*EF!$H16)*kgtoGg=0,"NO",('Activity data'!BB17*EF!$H16)*kgtoGg)</f>
        <v>1.8750119445784728</v>
      </c>
      <c r="AJ1391" s="27">
        <f>IF(('Activity data'!BC17*EF!$H16)*kgtoGg=0,"NO",('Activity data'!BC17*EF!$H16)*kgtoGg)</f>
        <v>1.9108329767517882</v>
      </c>
      <c r="AK1391" s="27">
        <f>IF(('Activity data'!BD17*EF!$H16)*kgtoGg=0,"NO",('Activity data'!BD17*EF!$H16)*kgtoGg)</f>
        <v>1.940715836653381</v>
      </c>
      <c r="AL1391" s="27">
        <f>IF(('Activity data'!BE17*EF!$H16)*kgtoGg=0,"NO",('Activity data'!BE17*EF!$H16)*kgtoGg)</f>
        <v>1.9687395447209077</v>
      </c>
      <c r="AM1391" s="27">
        <f>IF(('Activity data'!BF17*EF!$H16)*kgtoGg=0,"NO",('Activity data'!BF17*EF!$H16)*kgtoGg)</f>
        <v>1.9951301179393999</v>
      </c>
      <c r="AN1391" s="27">
        <f>IF(('Activity data'!BG17*EF!$H16)*kgtoGg=0,"NO",('Activity data'!BG17*EF!$H16)*kgtoGg)</f>
        <v>2.0256022791934827</v>
      </c>
      <c r="AO1391" s="27">
        <f>IF(('Activity data'!BH17*EF!$H16)*kgtoGg=0,"NO",('Activity data'!BH17*EF!$H16)*kgtoGg)</f>
        <v>2.0520329509348483</v>
      </c>
      <c r="AP1391" s="27">
        <f>IF(('Activity data'!BI17*EF!$H16)*kgtoGg=0,"NO",('Activity data'!BI17*EF!$H16)*kgtoGg)</f>
        <v>2.0793161183803317</v>
      </c>
      <c r="AQ1391" s="27">
        <f>IF(('Activity data'!BJ17*EF!$H16)*kgtoGg=0,"NO",('Activity data'!BJ17*EF!$H16)*kgtoGg)</f>
        <v>2.1076575721978217</v>
      </c>
      <c r="AR1391" s="27">
        <f>IF(('Activity data'!BK17*EF!$H16)*kgtoGg=0,"NO",('Activity data'!BK17*EF!$H16)*kgtoGg)</f>
        <v>2.1374119347182106</v>
      </c>
      <c r="AS1391" s="27">
        <f>IF(('Activity data'!BL17*EF!$H16)*kgtoGg=0,"NO",('Activity data'!BL17*EF!$H16)*kgtoGg)</f>
        <v>2.1686559884141765</v>
      </c>
      <c r="AT1391" s="27">
        <f>IF(('Activity data'!BM17*EF!$H16)*kgtoGg=0,"NO",('Activity data'!BM17*EF!$H16)*kgtoGg)</f>
        <v>2.149643552660391</v>
      </c>
      <c r="AU1391" s="27">
        <f>IF(('Activity data'!BN17*EF!$H16)*kgtoGg=0,"NO",('Activity data'!BN17*EF!$H16)*kgtoGg)</f>
        <v>2.1262374260968961</v>
      </c>
      <c r="AV1391" s="27">
        <f>IF(('Activity data'!BO17*EF!$H16)*kgtoGg=0,"NO",('Activity data'!BO17*EF!$H16)*kgtoGg)</f>
        <v>2.0967029621040374</v>
      </c>
      <c r="AW1391" s="27">
        <f>IF(('Activity data'!BP17*EF!$H16)*kgtoGg=0,"NO",('Activity data'!BP17*EF!$H16)*kgtoGg)</f>
        <v>2.0657200323386067</v>
      </c>
    </row>
    <row r="1392" spans="1:49" x14ac:dyDescent="0.3">
      <c r="A1392" s="95" t="s">
        <v>960</v>
      </c>
      <c r="B1392" s="95"/>
      <c r="C1392" s="95"/>
      <c r="D1392" t="str">
        <f t="shared" si="547"/>
        <v>3A Livestock</v>
      </c>
      <c r="E1392" t="str">
        <f t="shared" si="547"/>
        <v>3A1 Enteric fermentation (CH4)</v>
      </c>
      <c r="F1392" t="str">
        <f>EF!C17</f>
        <v>3A1h Swine</v>
      </c>
      <c r="G1392" t="str">
        <f>EF!D17</f>
        <v>Subsistence</v>
      </c>
      <c r="H1392" t="str">
        <f t="shared" si="548"/>
        <v>Enteric fermentation Emissions</v>
      </c>
      <c r="I1392" t="str">
        <f t="shared" si="548"/>
        <v>CH4</v>
      </c>
      <c r="J1392" t="str">
        <f t="shared" si="548"/>
        <v>Gg CH4</v>
      </c>
      <c r="K1392" s="27">
        <f>IF(('Activity data'!AD18*EF!$H17)*kgtoGg=0,"NO",('Activity data'!AD18*EF!$H17)*kgtoGg)</f>
        <v>0.25496723934882604</v>
      </c>
      <c r="L1392" s="27">
        <f>IF(('Activity data'!AE18*EF!$H17)*kgtoGg=0,"NO",('Activity data'!AE18*EF!$H17)*kgtoGg)</f>
        <v>0.25358132281546886</v>
      </c>
      <c r="M1392" s="27">
        <f>IF(('Activity data'!AF18*EF!$H17)*kgtoGg=0,"NO",('Activity data'!AF18*EF!$H17)*kgtoGg)</f>
        <v>0.25369507454499335</v>
      </c>
      <c r="N1392" s="27">
        <f>IF(('Activity data'!AG18*EF!$H17)*kgtoGg=0,"NO",('Activity data'!AG18*EF!$H17)*kgtoGg)</f>
        <v>0.25136595935447842</v>
      </c>
      <c r="O1392" s="27">
        <f>IF(('Activity data'!AH18*EF!$H17)*kgtoGg=0,"NO",('Activity data'!AH18*EF!$H17)*kgtoGg)</f>
        <v>0.247561977044127</v>
      </c>
      <c r="P1392" s="27">
        <f>IF(('Activity data'!AI18*EF!$H17)*kgtoGg=0,"NO",('Activity data'!AI18*EF!$H17)*kgtoGg)</f>
        <v>0.24234393830437836</v>
      </c>
      <c r="Q1392" s="27">
        <f>IF(('Activity data'!AJ18*EF!$H17)*kgtoGg=0,"NO",('Activity data'!AJ18*EF!$H17)*kgtoGg)</f>
        <v>0.23855506351363695</v>
      </c>
      <c r="R1392" s="27">
        <f>IF(('Activity data'!AK18*EF!$H17)*kgtoGg=0,"NO",('Activity data'!AK18*EF!$H17)*kgtoGg)</f>
        <v>0.23510145332951485</v>
      </c>
      <c r="S1392" s="27">
        <f>IF(('Activity data'!AL18*EF!$H17)*kgtoGg=0,"NO",('Activity data'!AL18*EF!$H17)*kgtoGg)</f>
        <v>0.2075828054521873</v>
      </c>
      <c r="T1392" s="27">
        <f>IF(('Activity data'!AM18*EF!$H17)*kgtoGg=0,"NO",('Activity data'!AM18*EF!$H17)*kgtoGg)</f>
        <v>0.21020783059814849</v>
      </c>
      <c r="U1392" s="27">
        <f>IF(('Activity data'!AN18*EF!$H17)*kgtoGg=0,"NO",('Activity data'!AN18*EF!$H17)*kgtoGg)</f>
        <v>0.21584061925595663</v>
      </c>
      <c r="V1392" s="27">
        <f>IF(('Activity data'!AO18*EF!$H17)*kgtoGg=0,"NO",('Activity data'!AO18*EF!$H17)*kgtoGg)</f>
        <v>0.21635204720298934</v>
      </c>
      <c r="W1392" s="27">
        <f>IF(('Activity data'!AP18*EF!$H17)*kgtoGg=0,"NO",('Activity data'!AP18*EF!$H17)*kgtoGg)</f>
        <v>0.21745957283938341</v>
      </c>
      <c r="X1392" s="27">
        <f>IF(('Activity data'!AQ18*EF!$H17)*kgtoGg=0,"NO",('Activity data'!AQ18*EF!$H17)*kgtoGg)</f>
        <v>0.21932171300906883</v>
      </c>
      <c r="Y1392" s="27">
        <f>IF(('Activity data'!AR18*EF!$H17)*kgtoGg=0,"NO",('Activity data'!AR18*EF!$H17)*kgtoGg)</f>
        <v>0.22165832671768446</v>
      </c>
      <c r="Z1392" s="27">
        <f>IF(('Activity data'!AS18*EF!$H17)*kgtoGg=0,"NO",('Activity data'!AS18*EF!$H17)*kgtoGg)</f>
        <v>0.22452164872958766</v>
      </c>
      <c r="AA1392" s="27">
        <f>IF(('Activity data'!AT18*EF!$H17)*kgtoGg=0,"NO",('Activity data'!AT18*EF!$H17)*kgtoGg)</f>
        <v>0.22741845442425518</v>
      </c>
      <c r="AB1392" s="27">
        <f>IF(('Activity data'!AU18*EF!$H17)*kgtoGg=0,"NO",('Activity data'!AU18*EF!$H17)*kgtoGg)</f>
        <v>0.23076295281978809</v>
      </c>
      <c r="AC1392" s="27">
        <f>IF(('Activity data'!AV18*EF!$H17)*kgtoGg=0,"NO",('Activity data'!AV18*EF!$H17)*kgtoGg)</f>
        <v>0.23408436756519632</v>
      </c>
      <c r="AD1392" s="27">
        <f>IF(('Activity data'!AW18*EF!$H17)*kgtoGg=0,"NO",('Activity data'!AW18*EF!$H17)*kgtoGg)</f>
        <v>0.23821375329882435</v>
      </c>
      <c r="AE1392" s="27">
        <f>IF(('Activity data'!AX18*EF!$H17)*kgtoGg=0,"NO",('Activity data'!AX18*EF!$H17)*kgtoGg)</f>
        <v>0.24201515446886457</v>
      </c>
      <c r="AF1392" s="27">
        <f>IF(('Activity data'!AY18*EF!$H17)*kgtoGg=0,"NO",('Activity data'!AY18*EF!$H17)*kgtoGg)</f>
        <v>0.24606014923473155</v>
      </c>
      <c r="AG1392" s="27">
        <f>IF(('Activity data'!AZ18*EF!$H17)*kgtoGg=0,"NO",('Activity data'!AZ18*EF!$H17)*kgtoGg)</f>
        <v>0.2509945151521249</v>
      </c>
      <c r="AH1392" s="27">
        <f>IF(('Activity data'!BA18*EF!$H17)*kgtoGg=0,"NO",('Activity data'!BA18*EF!$H17)*kgtoGg)</f>
        <v>0.25523151354353607</v>
      </c>
      <c r="AI1392" s="27">
        <f>IF(('Activity data'!BB18*EF!$H17)*kgtoGg=0,"NO",('Activity data'!BB18*EF!$H17)*kgtoGg)</f>
        <v>0.25980470131736011</v>
      </c>
      <c r="AJ1392" s="27">
        <f>IF(('Activity data'!BC18*EF!$H17)*kgtoGg=0,"NO",('Activity data'!BC18*EF!$H17)*kgtoGg)</f>
        <v>0.26476812173266839</v>
      </c>
      <c r="AK1392" s="27">
        <f>IF(('Activity data'!BD18*EF!$H17)*kgtoGg=0,"NO",('Activity data'!BD18*EF!$H17)*kgtoGg)</f>
        <v>0.26890873935043363</v>
      </c>
      <c r="AL1392" s="27">
        <f>IF(('Activity data'!BE18*EF!$H17)*kgtoGg=0,"NO",('Activity data'!BE18*EF!$H17)*kgtoGg)</f>
        <v>0.27279174986956156</v>
      </c>
      <c r="AM1392" s="27">
        <f>IF(('Activity data'!BF18*EF!$H17)*kgtoGg=0,"NO",('Activity data'!BF18*EF!$H17)*kgtoGg)</f>
        <v>0.27644847057070121</v>
      </c>
      <c r="AN1392" s="27">
        <f>IF(('Activity data'!BG18*EF!$H17)*kgtoGg=0,"NO",('Activity data'!BG18*EF!$H17)*kgtoGg)</f>
        <v>0.28067074274128789</v>
      </c>
      <c r="AO1392" s="27">
        <f>IF(('Activity data'!BH18*EF!$H17)*kgtoGg=0,"NO",('Activity data'!BH18*EF!$H17)*kgtoGg)</f>
        <v>0.28433301955890389</v>
      </c>
      <c r="AP1392" s="27">
        <f>IF(('Activity data'!BI18*EF!$H17)*kgtoGg=0,"NO",('Activity data'!BI18*EF!$H17)*kgtoGg)</f>
        <v>0.28811341956630698</v>
      </c>
      <c r="AQ1392" s="27">
        <f>IF(('Activity data'!BJ18*EF!$H17)*kgtoGg=0,"NO",('Activity data'!BJ18*EF!$H17)*kgtoGg)</f>
        <v>0.29204045745278195</v>
      </c>
      <c r="AR1392" s="27">
        <f>IF(('Activity data'!BK18*EF!$H17)*kgtoGg=0,"NO",('Activity data'!BK18*EF!$H17)*kgtoGg)</f>
        <v>0.29616327026464162</v>
      </c>
      <c r="AS1392" s="27">
        <f>IF(('Activity data'!BL18*EF!$H17)*kgtoGg=0,"NO",('Activity data'!BL18*EF!$H17)*kgtoGg)</f>
        <v>0.30049249710604664</v>
      </c>
      <c r="AT1392" s="27">
        <f>IF(('Activity data'!BM18*EF!$H17)*kgtoGg=0,"NO",('Activity data'!BM18*EF!$H17)*kgtoGg)</f>
        <v>0.2978581031190588</v>
      </c>
      <c r="AU1392" s="27">
        <f>IF(('Activity data'!BN18*EF!$H17)*kgtoGg=0,"NO",('Activity data'!BN18*EF!$H17)*kgtoGg)</f>
        <v>0.29461491219517799</v>
      </c>
      <c r="AV1392" s="27">
        <f>IF(('Activity data'!BO18*EF!$H17)*kgtoGg=0,"NO",('Activity data'!BO18*EF!$H17)*kgtoGg)</f>
        <v>0.2905225688805555</v>
      </c>
      <c r="AW1392" s="27">
        <f>IF(('Activity data'!BP18*EF!$H17)*kgtoGg=0,"NO",('Activity data'!BP18*EF!$H17)*kgtoGg)</f>
        <v>0.28622952379520583</v>
      </c>
    </row>
    <row r="1393" spans="1:49" x14ac:dyDescent="0.3">
      <c r="A1393" s="95" t="s">
        <v>960</v>
      </c>
      <c r="B1393" s="95"/>
      <c r="C1393" s="95"/>
      <c r="D1393" t="str">
        <f t="shared" si="547"/>
        <v>3A Livestock</v>
      </c>
      <c r="E1393" t="str">
        <f>'IPCC Categories'!B12</f>
        <v>3A2 Manure management (CH4)</v>
      </c>
      <c r="F1393" t="str">
        <f>EF!C18</f>
        <v>3A1ai Dairy cattle</v>
      </c>
      <c r="G1393" t="str">
        <f>EF!D18</f>
        <v>TMR</v>
      </c>
      <c r="H1393" t="str">
        <f>'IPCC Categories'!F6&amp;" Emissions"</f>
        <v>Manure management Emissions</v>
      </c>
      <c r="I1393" t="str">
        <f t="shared" si="548"/>
        <v>CH4</v>
      </c>
      <c r="J1393" t="str">
        <f t="shared" si="548"/>
        <v>Gg CH4</v>
      </c>
      <c r="K1393" s="27">
        <f>IF(('Activity data'!AD5*EF!$H18)*kgtoGg=0,"NO",('Activity data'!AD5*EF!$H18)*kgtoGg)</f>
        <v>7.351330651107908</v>
      </c>
      <c r="L1393" s="27">
        <f>IF(('Activity data'!AE5*EF!$H18)*kgtoGg=0,"NO",('Activity data'!AE5*EF!$H18)*kgtoGg)</f>
        <v>7.392428348789597</v>
      </c>
      <c r="M1393" s="27">
        <f>IF(('Activity data'!AF5*EF!$H18)*kgtoGg=0,"NO",('Activity data'!AF5*EF!$H18)*kgtoGg)</f>
        <v>7.4507389435191715</v>
      </c>
      <c r="N1393" s="27">
        <f>IF(('Activity data'!AG5*EF!$H18)*kgtoGg=0,"NO",('Activity data'!AG5*EF!$H18)*kgtoGg)</f>
        <v>7.4882097119910753</v>
      </c>
      <c r="O1393" s="27">
        <f>IF(('Activity data'!AH5*EF!$H18)*kgtoGg=0,"NO",('Activity data'!AH5*EF!$H18)*kgtoGg)</f>
        <v>7.5131092090175429</v>
      </c>
      <c r="P1393" s="27">
        <f>IF(('Activity data'!AI5*EF!$H18)*kgtoGg=0,"NO",('Activity data'!AI5*EF!$H18)*kgtoGg)</f>
        <v>7.5251923679492405</v>
      </c>
      <c r="Q1393" s="27">
        <f>IF(('Activity data'!AJ5*EF!$H18)*kgtoGg=0,"NO",('Activity data'!AJ5*EF!$H18)*kgtoGg)</f>
        <v>7.5518885629203734</v>
      </c>
      <c r="R1393" s="27">
        <f>IF(('Activity data'!AK5*EF!$H18)*kgtoGg=0,"NO",('Activity data'!AK5*EF!$H18)*kgtoGg)</f>
        <v>7.5825135825669046</v>
      </c>
      <c r="S1393" s="27">
        <f>IF(('Activity data'!AL5*EF!$H18)*kgtoGg=0,"NO",('Activity data'!AL5*EF!$H18)*kgtoGg)</f>
        <v>7.3545862604907306</v>
      </c>
      <c r="T1393" s="27">
        <f>IF(('Activity data'!AM5*EF!$H18)*kgtoGg=0,"NO",('Activity data'!AM5*EF!$H18)*kgtoGg)</f>
        <v>7.4319206101094348</v>
      </c>
      <c r="U1393" s="27">
        <f>IF(('Activity data'!AN5*EF!$H18)*kgtoGg=0,"NO",('Activity data'!AN5*EF!$H18)*kgtoGg)</f>
        <v>7.5451176350008202</v>
      </c>
      <c r="V1393" s="27">
        <f>IF(('Activity data'!AO5*EF!$H18)*kgtoGg=0,"NO",('Activity data'!AO5*EF!$H18)*kgtoGg)</f>
        <v>7.6037903760515064</v>
      </c>
      <c r="W1393" s="27">
        <f>IF(('Activity data'!AP5*EF!$H18)*kgtoGg=0,"NO",('Activity data'!AP5*EF!$H18)*kgtoGg)</f>
        <v>7.6708455087945229</v>
      </c>
      <c r="X1393" s="27">
        <f>IF(('Activity data'!AQ5*EF!$H18)*kgtoGg=0,"NO",('Activity data'!AQ5*EF!$H18)*kgtoGg)</f>
        <v>7.748454799455617</v>
      </c>
      <c r="Y1393" s="27">
        <f>IF(('Activity data'!AR5*EF!$H18)*kgtoGg=0,"NO",('Activity data'!AR5*EF!$H18)*kgtoGg)</f>
        <v>7.8277085285324004</v>
      </c>
      <c r="Z1393" s="27">
        <f>IF(('Activity data'!AS5*EF!$H18)*kgtoGg=0,"NO",('Activity data'!AS5*EF!$H18)*kgtoGg)</f>
        <v>7.9154321855609755</v>
      </c>
      <c r="AA1393" s="27">
        <f>IF(('Activity data'!AT5*EF!$H18)*kgtoGg=0,"NO",('Activity data'!AT5*EF!$H18)*kgtoGg)</f>
        <v>8.0058732816474745</v>
      </c>
      <c r="AB1393" s="27">
        <f>IF(('Activity data'!AU5*EF!$H18)*kgtoGg=0,"NO",('Activity data'!AU5*EF!$H18)*kgtoGg)</f>
        <v>8.10422418278708</v>
      </c>
      <c r="AC1393" s="27">
        <f>IF(('Activity data'!AV5*EF!$H18)*kgtoGg=0,"NO",('Activity data'!AV5*EF!$H18)*kgtoGg)</f>
        <v>8.2047936963570631</v>
      </c>
      <c r="AD1393" s="27">
        <f>IF(('Activity data'!AW5*EF!$H18)*kgtoGg=0,"NO",('Activity data'!AW5*EF!$H18)*kgtoGg)</f>
        <v>8.3134419507553705</v>
      </c>
      <c r="AE1393" s="27">
        <f>IF(('Activity data'!AX5*EF!$H18)*kgtoGg=0,"NO",('Activity data'!AX5*EF!$H18)*kgtoGg)</f>
        <v>8.4206197210713736</v>
      </c>
      <c r="AF1393" s="27">
        <f>IF(('Activity data'!AY5*EF!$H18)*kgtoGg=0,"NO",('Activity data'!AY5*EF!$H18)*kgtoGg)</f>
        <v>8.5337450585207524</v>
      </c>
      <c r="AG1393" s="27">
        <f>IF(('Activity data'!AZ5*EF!$H18)*kgtoGg=0,"NO",('Activity data'!AZ5*EF!$H18)*kgtoGg)</f>
        <v>8.6617085162438627</v>
      </c>
      <c r="AH1393" s="27">
        <f>IF(('Activity data'!BA5*EF!$H18)*kgtoGg=0,"NO",('Activity data'!BA5*EF!$H18)*kgtoGg)</f>
        <v>8.7833723342601697</v>
      </c>
      <c r="AI1393" s="27">
        <f>IF(('Activity data'!BB5*EF!$H18)*kgtoGg=0,"NO",('Activity data'!BB5*EF!$H18)*kgtoGg)</f>
        <v>8.9081379352092647</v>
      </c>
      <c r="AJ1393" s="27">
        <f>IF(('Activity data'!BC5*EF!$H18)*kgtoGg=0,"NO",('Activity data'!BC5*EF!$H18)*kgtoGg)</f>
        <v>9.0415690981618067</v>
      </c>
      <c r="AK1393" s="27">
        <f>IF(('Activity data'!BD5*EF!$H18)*kgtoGg=0,"NO",('Activity data'!BD5*EF!$H18)*kgtoGg)</f>
        <v>9.1665780174046034</v>
      </c>
      <c r="AL1393" s="27">
        <f>IF(('Activity data'!BE5*EF!$H18)*kgtoGg=0,"NO",('Activity data'!BE5*EF!$H18)*kgtoGg)</f>
        <v>9.290908547616274</v>
      </c>
      <c r="AM1393" s="27">
        <f>IF(('Activity data'!BF5*EF!$H18)*kgtoGg=0,"NO",('Activity data'!BF5*EF!$H18)*kgtoGg)</f>
        <v>9.414906513410104</v>
      </c>
      <c r="AN1393" s="27">
        <f>IF(('Activity data'!BG5*EF!$H18)*kgtoGg=0,"NO",('Activity data'!BG5*EF!$H18)*kgtoGg)</f>
        <v>9.5460926435688069</v>
      </c>
      <c r="AO1393" s="27">
        <f>IF(('Activity data'!BH5*EF!$H18)*kgtoGg=0,"NO",('Activity data'!BH5*EF!$H18)*kgtoGg)</f>
        <v>9.6720022033758184</v>
      </c>
      <c r="AP1393" s="27">
        <f>IF(('Activity data'!BI5*EF!$H18)*kgtoGg=0,"NO",('Activity data'!BI5*EF!$H18)*kgtoGg)</f>
        <v>9.8028010066851721</v>
      </c>
      <c r="AQ1393" s="27">
        <f>IF(('Activity data'!BJ5*EF!$H18)*kgtoGg=0,"NO",('Activity data'!BJ5*EF!$H18)*kgtoGg)</f>
        <v>9.939085602989195</v>
      </c>
      <c r="AR1393" s="27">
        <f>IF(('Activity data'!BK5*EF!$H18)*kgtoGg=0,"NO",('Activity data'!BK5*EF!$H18)*kgtoGg)</f>
        <v>10.081815307121353</v>
      </c>
      <c r="AS1393" s="27">
        <f>IF(('Activity data'!BL5*EF!$H18)*kgtoGg=0,"NO",('Activity data'!BL5*EF!$H18)*kgtoGg)</f>
        <v>10.227069711733948</v>
      </c>
      <c r="AT1393" s="27">
        <f>IF(('Activity data'!BM5*EF!$H18)*kgtoGg=0,"NO",('Activity data'!BM5*EF!$H18)*kgtoGg)</f>
        <v>10.261508370245586</v>
      </c>
      <c r="AU1393" s="27">
        <f>IF(('Activity data'!BN5*EF!$H18)*kgtoGg=0,"NO",('Activity data'!BN5*EF!$H18)*kgtoGg)</f>
        <v>10.28601825816002</v>
      </c>
      <c r="AV1393" s="27">
        <f>IF(('Activity data'!BO5*EF!$H18)*kgtoGg=0,"NO",('Activity data'!BO5*EF!$H18)*kgtoGg)</f>
        <v>10.296060407046117</v>
      </c>
      <c r="AW1393" s="27">
        <f>IF(('Activity data'!BP5*EF!$H18)*kgtoGg=0,"NO",('Activity data'!BP5*EF!$H18)*kgtoGg)</f>
        <v>10.302124127636974</v>
      </c>
    </row>
    <row r="1394" spans="1:49" x14ac:dyDescent="0.3">
      <c r="A1394" s="95" t="s">
        <v>960</v>
      </c>
      <c r="B1394" s="95"/>
      <c r="C1394" s="95"/>
      <c r="D1394" t="str">
        <f t="shared" si="547"/>
        <v>3A Livestock</v>
      </c>
      <c r="E1394" t="str">
        <f>E1393</f>
        <v>3A2 Manure management (CH4)</v>
      </c>
      <c r="F1394" t="str">
        <f>EF!C19</f>
        <v>3A1ai Dairy cattle</v>
      </c>
      <c r="G1394" t="str">
        <f>EF!D19</f>
        <v>Pasture</v>
      </c>
      <c r="H1394" t="str">
        <f>H1393</f>
        <v>Manure management Emissions</v>
      </c>
      <c r="I1394" t="str">
        <f t="shared" si="548"/>
        <v>CH4</v>
      </c>
      <c r="J1394" t="str">
        <f t="shared" si="548"/>
        <v>Gg CH4</v>
      </c>
      <c r="K1394" s="27">
        <f>IF(('Activity data'!AD6*EF!$H19)*kgtoGg=0,"NO",('Activity data'!AD6*EF!$H19)*kgtoGg)</f>
        <v>2.0944490884992821</v>
      </c>
      <c r="L1394" s="27">
        <f>IF(('Activity data'!AE6*EF!$H19)*kgtoGg=0,"NO",('Activity data'!AE6*EF!$H19)*kgtoGg)</f>
        <v>2.1061581299686467</v>
      </c>
      <c r="M1394" s="27">
        <f>IF(('Activity data'!AF6*EF!$H19)*kgtoGg=0,"NO",('Activity data'!AF6*EF!$H19)*kgtoGg)</f>
        <v>2.1227712545548472</v>
      </c>
      <c r="N1394" s="27">
        <f>IF(('Activity data'!AG6*EF!$H19)*kgtoGg=0,"NO",('Activity data'!AG6*EF!$H19)*kgtoGg)</f>
        <v>2.1334469567638776</v>
      </c>
      <c r="O1394" s="27">
        <f>IF(('Activity data'!AH6*EF!$H19)*kgtoGg=0,"NO",('Activity data'!AH6*EF!$H19)*kgtoGg)</f>
        <v>2.1405410097083357</v>
      </c>
      <c r="P1394" s="27">
        <f>IF(('Activity data'!AI6*EF!$H19)*kgtoGg=0,"NO",('Activity data'!AI6*EF!$H19)*kgtoGg)</f>
        <v>2.143983592066792</v>
      </c>
      <c r="Q1394" s="27">
        <f>IF(('Activity data'!AJ6*EF!$H19)*kgtoGg=0,"NO",('Activity data'!AJ6*EF!$H19)*kgtoGg)</f>
        <v>2.151589537694508</v>
      </c>
      <c r="R1394" s="27">
        <f>IF(('Activity data'!AK6*EF!$H19)*kgtoGg=0,"NO",('Activity data'!AK6*EF!$H19)*kgtoGg)</f>
        <v>2.1603148348588084</v>
      </c>
      <c r="S1394" s="27">
        <f>IF(('Activity data'!AL6*EF!$H19)*kgtoGg=0,"NO",('Activity data'!AL6*EF!$H19)*kgtoGg)</f>
        <v>2.0953766359635408</v>
      </c>
      <c r="T1394" s="27">
        <f>IF(('Activity data'!AM6*EF!$H19)*kgtoGg=0,"NO",('Activity data'!AM6*EF!$H19)*kgtoGg)</f>
        <v>2.117409770610283</v>
      </c>
      <c r="U1394" s="27">
        <f>IF(('Activity data'!AN6*EF!$H19)*kgtoGg=0,"NO",('Activity data'!AN6*EF!$H19)*kgtoGg)</f>
        <v>2.149660449685487</v>
      </c>
      <c r="V1394" s="27">
        <f>IF(('Activity data'!AO6*EF!$H19)*kgtoGg=0,"NO",('Activity data'!AO6*EF!$H19)*kgtoGg)</f>
        <v>2.1663767524673299</v>
      </c>
      <c r="W1394" s="27">
        <f>IF(('Activity data'!AP6*EF!$H19)*kgtoGg=0,"NO",('Activity data'!AP6*EF!$H19)*kgtoGg)</f>
        <v>2.1854812613403793</v>
      </c>
      <c r="X1394" s="27">
        <f>IF(('Activity data'!AQ6*EF!$H19)*kgtoGg=0,"NO",('Activity data'!AQ6*EF!$H19)*kgtoGg)</f>
        <v>2.207592728746584</v>
      </c>
      <c r="Y1394" s="27">
        <f>IF(('Activity data'!AR6*EF!$H19)*kgtoGg=0,"NO",('Activity data'!AR6*EF!$H19)*kgtoGg)</f>
        <v>2.23017270895738</v>
      </c>
      <c r="Z1394" s="27">
        <f>IF(('Activity data'!AS6*EF!$H19)*kgtoGg=0,"NO",('Activity data'!AS6*EF!$H19)*kgtoGg)</f>
        <v>2.2551658349944512</v>
      </c>
      <c r="AA1394" s="27">
        <f>IF(('Activity data'!AT6*EF!$H19)*kgtoGg=0,"NO",('Activity data'!AT6*EF!$H19)*kgtoGg)</f>
        <v>2.2809331797448467</v>
      </c>
      <c r="AB1394" s="27">
        <f>IF(('Activity data'!AU6*EF!$H19)*kgtoGg=0,"NO",('Activity data'!AU6*EF!$H19)*kgtoGg)</f>
        <v>2.3089540871181105</v>
      </c>
      <c r="AC1394" s="27">
        <f>IF(('Activity data'!AV6*EF!$H19)*kgtoGg=0,"NO",('Activity data'!AV6*EF!$H19)*kgtoGg)</f>
        <v>2.3376070937674198</v>
      </c>
      <c r="AD1394" s="27">
        <f>IF(('Activity data'!AW6*EF!$H19)*kgtoGg=0,"NO",('Activity data'!AW6*EF!$H19)*kgtoGg)</f>
        <v>2.3685617941055517</v>
      </c>
      <c r="AE1394" s="27">
        <f>IF(('Activity data'!AX6*EF!$H19)*kgtoGg=0,"NO",('Activity data'!AX6*EF!$H19)*kgtoGg)</f>
        <v>2.3990975425298058</v>
      </c>
      <c r="AF1394" s="27">
        <f>IF(('Activity data'!AY6*EF!$H19)*kgtoGg=0,"NO",('Activity data'!AY6*EF!$H19)*kgtoGg)</f>
        <v>2.4313277973165794</v>
      </c>
      <c r="AG1394" s="27">
        <f>IF(('Activity data'!AZ6*EF!$H19)*kgtoGg=0,"NO",('Activity data'!AZ6*EF!$H19)*kgtoGg)</f>
        <v>2.4677855435545331</v>
      </c>
      <c r="AH1394" s="27">
        <f>IF(('Activity data'!BA6*EF!$H19)*kgtoGg=0,"NO",('Activity data'!BA6*EF!$H19)*kgtoGg)</f>
        <v>2.5024484753203891</v>
      </c>
      <c r="AI1394" s="27">
        <f>IF(('Activity data'!BB6*EF!$H19)*kgtoGg=0,"NO",('Activity data'!BB6*EF!$H19)*kgtoGg)</f>
        <v>2.5379951282443072</v>
      </c>
      <c r="AJ1394" s="27">
        <f>IF(('Activity data'!BC6*EF!$H19)*kgtoGg=0,"NO",('Activity data'!BC6*EF!$H19)*kgtoGg)</f>
        <v>2.5760106645991079</v>
      </c>
      <c r="AK1394" s="27">
        <f>IF(('Activity data'!BD6*EF!$H19)*kgtoGg=0,"NO",('Activity data'!BD6*EF!$H19)*kgtoGg)</f>
        <v>2.6116266407248583</v>
      </c>
      <c r="AL1394" s="27">
        <f>IF(('Activity data'!BE6*EF!$H19)*kgtoGg=0,"NO",('Activity data'!BE6*EF!$H19)*kgtoGg)</f>
        <v>2.6470493387414713</v>
      </c>
      <c r="AM1394" s="27">
        <f>IF(('Activity data'!BF6*EF!$H19)*kgtoGg=0,"NO",('Activity data'!BF6*EF!$H19)*kgtoGg)</f>
        <v>2.6823772866679478</v>
      </c>
      <c r="AN1394" s="27">
        <f>IF(('Activity data'!BG6*EF!$H19)*kgtoGg=0,"NO",('Activity data'!BG6*EF!$H19)*kgtoGg)</f>
        <v>2.719753196387535</v>
      </c>
      <c r="AO1394" s="27">
        <f>IF(('Activity data'!BH6*EF!$H19)*kgtoGg=0,"NO",('Activity data'!BH6*EF!$H19)*kgtoGg)</f>
        <v>2.755625771746582</v>
      </c>
      <c r="AP1394" s="27">
        <f>IF(('Activity data'!BI6*EF!$H19)*kgtoGg=0,"NO",('Activity data'!BI6*EF!$H19)*kgtoGg)</f>
        <v>2.792891329149688</v>
      </c>
      <c r="AQ1394" s="27">
        <f>IF(('Activity data'!BJ6*EF!$H19)*kgtoGg=0,"NO",('Activity data'!BJ6*EF!$H19)*kgtoGg)</f>
        <v>2.8317198300092477</v>
      </c>
      <c r="AR1394" s="27">
        <f>IF(('Activity data'!BK6*EF!$H19)*kgtoGg=0,"NO",('Activity data'!BK6*EF!$H19)*kgtoGg)</f>
        <v>2.8723845902967362</v>
      </c>
      <c r="AS1394" s="27">
        <f>IF(('Activity data'!BL6*EF!$H19)*kgtoGg=0,"NO",('Activity data'!BL6*EF!$H19)*kgtoGg)</f>
        <v>2.9137686566351899</v>
      </c>
      <c r="AT1394" s="27">
        <f>IF(('Activity data'!BM6*EF!$H19)*kgtoGg=0,"NO",('Activity data'!BM6*EF!$H19)*kgtoGg)</f>
        <v>2.9235804880371647</v>
      </c>
      <c r="AU1394" s="27">
        <f>IF(('Activity data'!BN6*EF!$H19)*kgtoGg=0,"NO",('Activity data'!BN6*EF!$H19)*kgtoGg)</f>
        <v>2.9305635384314317</v>
      </c>
      <c r="AV1394" s="27">
        <f>IF(('Activity data'!BO6*EF!$H19)*kgtoGg=0,"NO",('Activity data'!BO6*EF!$H19)*kgtoGg)</f>
        <v>2.9334246217616835</v>
      </c>
      <c r="AW1394" s="27">
        <f>IF(('Activity data'!BP6*EF!$H19)*kgtoGg=0,"NO",('Activity data'!BP6*EF!$H19)*kgtoGg)</f>
        <v>2.9351522211130368</v>
      </c>
    </row>
    <row r="1395" spans="1:49" x14ac:dyDescent="0.3">
      <c r="A1395" s="95" t="s">
        <v>960</v>
      </c>
      <c r="B1395" s="95"/>
      <c r="C1395" s="95"/>
      <c r="D1395" t="str">
        <f t="shared" si="547"/>
        <v>3A Livestock</v>
      </c>
      <c r="E1395" t="str">
        <f t="shared" si="547"/>
        <v>3A2 Manure management (CH4)</v>
      </c>
      <c r="F1395" t="str">
        <f>EF!C20</f>
        <v>3A1aii Other cattle</v>
      </c>
      <c r="G1395" t="str">
        <f>EF!D20</f>
        <v>Non-lactating</v>
      </c>
      <c r="H1395" t="str">
        <f>H1394</f>
        <v>Manure management Emissions</v>
      </c>
      <c r="I1395" t="str">
        <f t="shared" si="548"/>
        <v>CH4</v>
      </c>
      <c r="J1395" t="str">
        <f t="shared" si="548"/>
        <v>Gg CH4</v>
      </c>
      <c r="K1395" s="27">
        <f>IF(('Activity data'!AD7*EF!$H20)*kgtoGg=0,"NO",('Activity data'!AD7*EF!$H20)*kgtoGg)</f>
        <v>0.43258377187145641</v>
      </c>
      <c r="L1395" s="27">
        <f>IF(('Activity data'!AE7*EF!$H20)*kgtoGg=0,"NO",('Activity data'!AE7*EF!$H20)*kgtoGg)</f>
        <v>0.43500213637199736</v>
      </c>
      <c r="M1395" s="27">
        <f>IF(('Activity data'!AF7*EF!$H20)*kgtoGg=0,"NO",('Activity data'!AF7*EF!$H20)*kgtoGg)</f>
        <v>0.43843338143569016</v>
      </c>
      <c r="N1395" s="27">
        <f>IF(('Activity data'!AG7*EF!$H20)*kgtoGg=0,"NO",('Activity data'!AG7*EF!$H20)*kgtoGg)</f>
        <v>0.44063832189202168</v>
      </c>
      <c r="O1395" s="27">
        <f>IF(('Activity data'!AH7*EF!$H20)*kgtoGg=0,"NO",('Activity data'!AH7*EF!$H20)*kgtoGg)</f>
        <v>0.44210351490980387</v>
      </c>
      <c r="P1395" s="27">
        <f>IF(('Activity data'!AI7*EF!$H20)*kgtoGg=0,"NO",('Activity data'!AI7*EF!$H20)*kgtoGg)</f>
        <v>0.44281453971808232</v>
      </c>
      <c r="Q1395" s="27">
        <f>IF(('Activity data'!AJ7*EF!$H20)*kgtoGg=0,"NO",('Activity data'!AJ7*EF!$H20)*kgtoGg)</f>
        <v>0.44438545813589125</v>
      </c>
      <c r="R1395" s="27">
        <f>IF(('Activity data'!AK7*EF!$H20)*kgtoGg=0,"NO",('Activity data'!AK7*EF!$H20)*kgtoGg)</f>
        <v>0.44618756541973886</v>
      </c>
      <c r="S1395" s="27">
        <f>IF(('Activity data'!AL7*EF!$H20)*kgtoGg=0,"NO",('Activity data'!AL7*EF!$H20)*kgtoGg)</f>
        <v>0.43277534586715866</v>
      </c>
      <c r="T1395" s="27">
        <f>IF(('Activity data'!AM7*EF!$H20)*kgtoGg=0,"NO",('Activity data'!AM7*EF!$H20)*kgtoGg)</f>
        <v>0.4373260301229735</v>
      </c>
      <c r="U1395" s="27">
        <f>IF(('Activity data'!AN7*EF!$H20)*kgtoGg=0,"NO",('Activity data'!AN7*EF!$H20)*kgtoGg)</f>
        <v>0.44398702774586812</v>
      </c>
      <c r="V1395" s="27">
        <f>IF(('Activity data'!AO7*EF!$H20)*kgtoGg=0,"NO",('Activity data'!AO7*EF!$H20)*kgtoGg)</f>
        <v>0.44743958304970527</v>
      </c>
      <c r="W1395" s="27">
        <f>IF(('Activity data'!AP7*EF!$H20)*kgtoGg=0,"NO",('Activity data'!AP7*EF!$H20)*kgtoGg)</f>
        <v>0.45138539417179691</v>
      </c>
      <c r="X1395" s="27">
        <f>IF(('Activity data'!AQ7*EF!$H20)*kgtoGg=0,"NO",('Activity data'!AQ7*EF!$H20)*kgtoGg)</f>
        <v>0.45595225713576731</v>
      </c>
      <c r="Y1395" s="27">
        <f>IF(('Activity data'!AR7*EF!$H20)*kgtoGg=0,"NO",('Activity data'!AR7*EF!$H20)*kgtoGg)</f>
        <v>0.46061588589714619</v>
      </c>
      <c r="Z1395" s="27">
        <f>IF(('Activity data'!AS7*EF!$H20)*kgtoGg=0,"NO",('Activity data'!AS7*EF!$H20)*kgtoGg)</f>
        <v>0.46577792148509239</v>
      </c>
      <c r="AA1395" s="27">
        <f>IF(('Activity data'!AT7*EF!$H20)*kgtoGg=0,"NO",('Activity data'!AT7*EF!$H20)*kgtoGg)</f>
        <v>0.47109986282252775</v>
      </c>
      <c r="AB1395" s="27">
        <f>IF(('Activity data'!AU7*EF!$H20)*kgtoGg=0,"NO",('Activity data'!AU7*EF!$H20)*kgtoGg)</f>
        <v>0.47688725095688084</v>
      </c>
      <c r="AC1395" s="27">
        <f>IF(('Activity data'!AV7*EF!$H20)*kgtoGg=0,"NO",('Activity data'!AV7*EF!$H20)*kgtoGg)</f>
        <v>0.48280519174612069</v>
      </c>
      <c r="AD1395" s="27">
        <f>IF(('Activity data'!AW7*EF!$H20)*kgtoGg=0,"NO",('Activity data'!AW7*EF!$H20)*kgtoGg)</f>
        <v>0.48919852023662819</v>
      </c>
      <c r="AE1395" s="27">
        <f>IF(('Activity data'!AX7*EF!$H20)*kgtoGg=0,"NO",('Activity data'!AX7*EF!$H20)*kgtoGg)</f>
        <v>0.4955053191475276</v>
      </c>
      <c r="AF1395" s="27">
        <f>IF(('Activity data'!AY7*EF!$H20)*kgtoGg=0,"NO",('Activity data'!AY7*EF!$H20)*kgtoGg)</f>
        <v>0.50216209837438885</v>
      </c>
      <c r="AG1395" s="27">
        <f>IF(('Activity data'!AZ7*EF!$H20)*kgtoGg=0,"NO",('Activity data'!AZ7*EF!$H20)*kgtoGg)</f>
        <v>0.50969201613087478</v>
      </c>
      <c r="AH1395" s="27">
        <f>IF(('Activity data'!BA7*EF!$H20)*kgtoGg=0,"NO",('Activity data'!BA7*EF!$H20)*kgtoGg)</f>
        <v>0.51685123611370132</v>
      </c>
      <c r="AI1395" s="27">
        <f>IF(('Activity data'!BB7*EF!$H20)*kgtoGg=0,"NO",('Activity data'!BB7*EF!$H20)*kgtoGg)</f>
        <v>0.52419297828526779</v>
      </c>
      <c r="AJ1395" s="27">
        <f>IF(('Activity data'!BC7*EF!$H20)*kgtoGg=0,"NO",('Activity data'!BC7*EF!$H20)*kgtoGg)</f>
        <v>0.53204463922865186</v>
      </c>
      <c r="AK1395" s="27">
        <f>IF(('Activity data'!BD7*EF!$H20)*kgtoGg=0,"NO",('Activity data'!BD7*EF!$H20)*kgtoGg)</f>
        <v>0.53940069929044132</v>
      </c>
      <c r="AL1395" s="27">
        <f>IF(('Activity data'!BE7*EF!$H20)*kgtoGg=0,"NO",('Activity data'!BE7*EF!$H20)*kgtoGg)</f>
        <v>0.54671684003696541</v>
      </c>
      <c r="AM1395" s="27">
        <f>IF(('Activity data'!BF7*EF!$H20)*kgtoGg=0,"NO",('Activity data'!BF7*EF!$H20)*kgtoGg)</f>
        <v>0.55401341126919512</v>
      </c>
      <c r="AN1395" s="27">
        <f>IF(('Activity data'!BG7*EF!$H20)*kgtoGg=0,"NO",('Activity data'!BG7*EF!$H20)*kgtoGg)</f>
        <v>0.56173296487038149</v>
      </c>
      <c r="AO1395" s="27">
        <f>IF(('Activity data'!BH7*EF!$H20)*kgtoGg=0,"NO",('Activity data'!BH7*EF!$H20)*kgtoGg)</f>
        <v>0.56914202247926249</v>
      </c>
      <c r="AP1395" s="27">
        <f>IF(('Activity data'!BI7*EF!$H20)*kgtoGg=0,"NO",('Activity data'!BI7*EF!$H20)*kgtoGg)</f>
        <v>0.57683878411020695</v>
      </c>
      <c r="AQ1395" s="27">
        <f>IF(('Activity data'!BJ7*EF!$H20)*kgtoGg=0,"NO",('Activity data'!BJ7*EF!$H20)*kgtoGg)</f>
        <v>0.58485835328960278</v>
      </c>
      <c r="AR1395" s="27">
        <f>IF(('Activity data'!BK7*EF!$H20)*kgtoGg=0,"NO",('Activity data'!BK7*EF!$H20)*kgtoGg)</f>
        <v>0.59325718020977147</v>
      </c>
      <c r="AS1395" s="27">
        <f>IF(('Activity data'!BL7*EF!$H20)*kgtoGg=0,"NO",('Activity data'!BL7*EF!$H20)*kgtoGg)</f>
        <v>0.60180457131627674</v>
      </c>
      <c r="AT1395" s="27">
        <f>IF(('Activity data'!BM7*EF!$H20)*kgtoGg=0,"NO",('Activity data'!BM7*EF!$H20)*kgtoGg)</f>
        <v>0.60383108943989172</v>
      </c>
      <c r="AU1395" s="27">
        <f>IF(('Activity data'!BN7*EF!$H20)*kgtoGg=0,"NO",('Activity data'!BN7*EF!$H20)*kgtoGg)</f>
        <v>0.60527335618932376</v>
      </c>
      <c r="AV1395" s="27">
        <f>IF(('Activity data'!BO7*EF!$H20)*kgtoGg=0,"NO",('Activity data'!BO7*EF!$H20)*kgtoGg)</f>
        <v>0.60586427922747954</v>
      </c>
      <c r="AW1395" s="27">
        <f>IF(('Activity data'!BP7*EF!$H20)*kgtoGg=0,"NO",('Activity data'!BP7*EF!$H20)*kgtoGg)</f>
        <v>0.60622109451021655</v>
      </c>
    </row>
    <row r="1396" spans="1:49" x14ac:dyDescent="0.3">
      <c r="A1396" s="95" t="s">
        <v>960</v>
      </c>
      <c r="B1396" s="95"/>
      <c r="C1396" s="95"/>
      <c r="D1396" t="str">
        <f t="shared" si="547"/>
        <v>3A Livestock</v>
      </c>
      <c r="E1396" t="str">
        <f t="shared" si="547"/>
        <v>3A2 Manure management (CH4)</v>
      </c>
      <c r="F1396" t="str">
        <f>EF!C21</f>
        <v>3A1aii Other cattle</v>
      </c>
      <c r="G1396" t="str">
        <f>EF!D21</f>
        <v>Commercial</v>
      </c>
      <c r="H1396" t="str">
        <f>H1394</f>
        <v>Manure management Emissions</v>
      </c>
      <c r="I1396" t="str">
        <f>I1394</f>
        <v>CH4</v>
      </c>
      <c r="J1396" t="str">
        <f>J1394</f>
        <v>Gg CH4</v>
      </c>
      <c r="K1396" s="27">
        <f>IF(('Activity data'!AD8*EF!$H21)*kgtoGg=0,"NO",('Activity data'!AD8*EF!$H21)*kgtoGg)</f>
        <v>9.4871637196006553E-2</v>
      </c>
      <c r="L1396" s="27">
        <f>IF(('Activity data'!AE8*EF!$H21)*kgtoGg=0,"NO",('Activity data'!AE8*EF!$H21)*kgtoGg)</f>
        <v>9.404884578461549E-2</v>
      </c>
      <c r="M1396" s="27">
        <f>IF(('Activity data'!AF8*EF!$H21)*kgtoGg=0,"NO",('Activity data'!AF8*EF!$H21)*kgtoGg)</f>
        <v>9.3735634002294246E-2</v>
      </c>
      <c r="N1396" s="27">
        <f>IF(('Activity data'!AG8*EF!$H21)*kgtoGg=0,"NO",('Activity data'!AG8*EF!$H21)*kgtoGg)</f>
        <v>9.2483917307495084E-2</v>
      </c>
      <c r="O1396" s="27">
        <f>IF(('Activity data'!AH8*EF!$H21)*kgtoGg=0,"NO",('Activity data'!AH8*EF!$H21)*kgtoGg)</f>
        <v>9.0667019955957343E-2</v>
      </c>
      <c r="P1396" s="27">
        <f>IF(('Activity data'!AI8*EF!$H21)*kgtoGg=0,"NO",('Activity data'!AI8*EF!$H21)*kgtoGg)</f>
        <v>8.8322512540543865E-2</v>
      </c>
      <c r="Q1396" s="27">
        <f>IF(('Activity data'!AJ8*EF!$H21)*kgtoGg=0,"NO",('Activity data'!AJ8*EF!$H21)*kgtoGg)</f>
        <v>8.6473330972337892E-2</v>
      </c>
      <c r="R1396" s="27">
        <f>IF(('Activity data'!AK8*EF!$H21)*kgtoGg=0,"NO",('Activity data'!AK8*EF!$H21)*kgtoGg)</f>
        <v>8.4723794986300283E-2</v>
      </c>
      <c r="S1396" s="27">
        <f>IF(('Activity data'!AL8*EF!$H21)*kgtoGg=0,"NO",('Activity data'!AL8*EF!$H21)*kgtoGg)</f>
        <v>7.4532240818123416E-2</v>
      </c>
      <c r="T1396" s="27">
        <f>IF(('Activity data'!AM8*EF!$H21)*kgtoGg=0,"NO",('Activity data'!AM8*EF!$H21)*kgtoGg)</f>
        <v>7.5742869009566477E-2</v>
      </c>
      <c r="U1396" s="27">
        <f>IF(('Activity data'!AN8*EF!$H21)*kgtoGg=0,"NO",('Activity data'!AN8*EF!$H21)*kgtoGg)</f>
        <v>7.8001334092155483E-2</v>
      </c>
      <c r="V1396" s="27">
        <f>IF(('Activity data'!AO8*EF!$H21)*kgtoGg=0,"NO",('Activity data'!AO8*EF!$H21)*kgtoGg)</f>
        <v>7.8452375655366738E-2</v>
      </c>
      <c r="W1396" s="27">
        <f>IF(('Activity data'!AP8*EF!$H21)*kgtoGg=0,"NO",('Activity data'!AP8*EF!$H21)*kgtoGg)</f>
        <v>7.9102907310080586E-2</v>
      </c>
      <c r="X1396" s="27">
        <f>IF(('Activity data'!AQ8*EF!$H21)*kgtoGg=0,"NO",('Activity data'!AQ8*EF!$H21)*kgtoGg)</f>
        <v>8.0010413317847237E-2</v>
      </c>
      <c r="Y1396" s="27">
        <f>IF(('Activity data'!AR8*EF!$H21)*kgtoGg=0,"NO",('Activity data'!AR8*EF!$H21)*kgtoGg)</f>
        <v>8.1051364115397456E-2</v>
      </c>
      <c r="Z1396" s="27">
        <f>IF(('Activity data'!AS8*EF!$H21)*kgtoGg=0,"NO",('Activity data'!AS8*EF!$H21)*kgtoGg)</f>
        <v>8.2271824268517132E-2</v>
      </c>
      <c r="AA1396" s="27">
        <f>IF(('Activity data'!AT8*EF!$H21)*kgtoGg=0,"NO",('Activity data'!AT8*EF!$H21)*kgtoGg)</f>
        <v>8.3497913456907769E-2</v>
      </c>
      <c r="AB1396" s="27">
        <f>IF(('Activity data'!AU8*EF!$H21)*kgtoGg=0,"NO",('Activity data'!AU8*EF!$H21)*kgtoGg)</f>
        <v>8.4876885462998888E-2</v>
      </c>
      <c r="AC1396" s="27">
        <f>IF(('Activity data'!AV8*EF!$H21)*kgtoGg=0,"NO",('Activity data'!AV8*EF!$H21)*kgtoGg)</f>
        <v>8.6242172681273321E-2</v>
      </c>
      <c r="AD1396" s="27">
        <f>IF(('Activity data'!AW8*EF!$H21)*kgtoGg=0,"NO",('Activity data'!AW8*EF!$H21)*kgtoGg)</f>
        <v>8.7131524640671032E-2</v>
      </c>
      <c r="AE1396" s="27">
        <f>IF(('Activity data'!AX8*EF!$H21)*kgtoGg=0,"NO",('Activity data'!AX8*EF!$H21)*kgtoGg)</f>
        <v>8.7861744576890749E-2</v>
      </c>
      <c r="AF1396" s="27">
        <f>IF(('Activity data'!AY8*EF!$H21)*kgtoGg=0,"NO",('Activity data'!AY8*EF!$H21)*kgtoGg)</f>
        <v>8.863318056494178E-2</v>
      </c>
      <c r="AG1396" s="27">
        <f>IF(('Activity data'!AZ8*EF!$H21)*kgtoGg=0,"NO",('Activity data'!AZ8*EF!$H21)*kgtoGg)</f>
        <v>8.9665353249555477E-2</v>
      </c>
      <c r="AH1396" s="27">
        <f>IF(('Activity data'!BA8*EF!$H21)*kgtoGg=0,"NO",('Activity data'!BA8*EF!$H21)*kgtoGg)</f>
        <v>9.0407657135718758E-2</v>
      </c>
      <c r="AI1396" s="27">
        <f>IF(('Activity data'!BB8*EF!$H21)*kgtoGg=0,"NO",('Activity data'!BB8*EF!$H21)*kgtoGg)</f>
        <v>9.1198770165766427E-2</v>
      </c>
      <c r="AJ1396" s="27">
        <f>IF(('Activity data'!BC8*EF!$H21)*kgtoGg=0,"NO",('Activity data'!BC8*EF!$H21)*kgtoGg)</f>
        <v>9.2069621900880569E-2</v>
      </c>
      <c r="AK1396" s="27">
        <f>IF(('Activity data'!BD8*EF!$H21)*kgtoGg=0,"NO",('Activity data'!BD8*EF!$H21)*kgtoGg)</f>
        <v>9.2612278465111636E-2</v>
      </c>
      <c r="AL1396" s="27">
        <f>IF(('Activity data'!BE8*EF!$H21)*kgtoGg=0,"NO",('Activity data'!BE8*EF!$H21)*kgtoGg)</f>
        <v>9.3019389326395155E-2</v>
      </c>
      <c r="AM1396" s="27">
        <f>IF(('Activity data'!BF8*EF!$H21)*kgtoGg=0,"NO",('Activity data'!BF8*EF!$H21)*kgtoGg)</f>
        <v>9.3302561003725443E-2</v>
      </c>
      <c r="AN1396" s="27">
        <f>IF(('Activity data'!BG8*EF!$H21)*kgtoGg=0,"NO",('Activity data'!BG8*EF!$H21)*kgtoGg)</f>
        <v>9.4182866906307741E-2</v>
      </c>
      <c r="AO1396" s="27">
        <f>IF(('Activity data'!BH8*EF!$H21)*kgtoGg=0,"NO",('Activity data'!BH8*EF!$H21)*kgtoGg)</f>
        <v>9.4852010834144421E-2</v>
      </c>
      <c r="AP1396" s="27">
        <f>IF(('Activity data'!BI8*EF!$H21)*kgtoGg=0,"NO",('Activity data'!BI8*EF!$H21)*kgtoGg)</f>
        <v>9.5529601297703756E-2</v>
      </c>
      <c r="AQ1396" s="27">
        <f>IF(('Activity data'!BJ8*EF!$H21)*kgtoGg=0,"NO",('Activity data'!BJ8*EF!$H21)*kgtoGg)</f>
        <v>9.6223389625578193E-2</v>
      </c>
      <c r="AR1396" s="27">
        <f>IF(('Activity data'!BK8*EF!$H21)*kgtoGg=0,"NO",('Activity data'!BK8*EF!$H21)*kgtoGg)</f>
        <v>9.6947366282069555E-2</v>
      </c>
      <c r="AS1396" s="27">
        <f>IF(('Activity data'!BL8*EF!$H21)*kgtoGg=0,"NO",('Activity data'!BL8*EF!$H21)*kgtoGg)</f>
        <v>9.7690698003963641E-2</v>
      </c>
      <c r="AT1396" s="27">
        <f>IF(('Activity data'!BM8*EF!$H21)*kgtoGg=0,"NO",('Activity data'!BM8*EF!$H21)*kgtoGg)</f>
        <v>9.6224389596631696E-2</v>
      </c>
      <c r="AU1396" s="27">
        <f>IF(('Activity data'!BN8*EF!$H21)*kgtoGg=0,"NO",('Activity data'!BN8*EF!$H21)*kgtoGg)</f>
        <v>9.4563308773857144E-2</v>
      </c>
      <c r="AV1396" s="27">
        <f>IF(('Activity data'!BO8*EF!$H21)*kgtoGg=0,"NO",('Activity data'!BO8*EF!$H21)*kgtoGg)</f>
        <v>9.2637583282449518E-2</v>
      </c>
      <c r="AW1396" s="27">
        <f>IF(('Activity data'!BP8*EF!$H21)*kgtoGg=0,"NO",('Activity data'!BP8*EF!$H21)*kgtoGg)</f>
        <v>9.065150695451285E-2</v>
      </c>
    </row>
    <row r="1397" spans="1:49" x14ac:dyDescent="0.3">
      <c r="A1397" s="95" t="s">
        <v>960</v>
      </c>
      <c r="B1397" s="95"/>
      <c r="C1397" s="95"/>
      <c r="D1397" t="str">
        <f t="shared" ref="D1397:E1412" si="549">D1396</f>
        <v>3A Livestock</v>
      </c>
      <c r="E1397" t="str">
        <f t="shared" si="549"/>
        <v>3A2 Manure management (CH4)</v>
      </c>
      <c r="F1397" t="str">
        <f>EF!C22</f>
        <v>3A1aii Other cattle</v>
      </c>
      <c r="G1397" t="str">
        <f>EF!D22</f>
        <v>Subsistence</v>
      </c>
      <c r="H1397" t="str">
        <f t="shared" ref="H1397:J1412" si="550">H1396</f>
        <v>Manure management Emissions</v>
      </c>
      <c r="I1397" t="str">
        <f t="shared" si="548"/>
        <v>CH4</v>
      </c>
      <c r="J1397" t="str">
        <f t="shared" si="548"/>
        <v>Gg CH4</v>
      </c>
      <c r="K1397" s="27">
        <f>IF(('Activity data'!AD9*EF!$H22)*kgtoGg=0,"NO",('Activity data'!AD9*EF!$H22)*kgtoGg)</f>
        <v>6.9689449734106304E-2</v>
      </c>
      <c r="L1397" s="27">
        <f>IF(('Activity data'!AE9*EF!$H22)*kgtoGg=0,"NO",('Activity data'!AE9*EF!$H22)*kgtoGg)</f>
        <v>6.9085055392440989E-2</v>
      </c>
      <c r="M1397" s="27">
        <f>IF(('Activity data'!AF9*EF!$H22)*kgtoGg=0,"NO",('Activity data'!AF9*EF!$H22)*kgtoGg)</f>
        <v>6.8854980763127793E-2</v>
      </c>
      <c r="N1397" s="27">
        <f>IF(('Activity data'!AG9*EF!$H22)*kgtoGg=0,"NO",('Activity data'!AG9*EF!$H22)*kgtoGg)</f>
        <v>6.7935512624264269E-2</v>
      </c>
      <c r="O1397" s="27">
        <f>IF(('Activity data'!AH9*EF!$H22)*kgtoGg=0,"NO",('Activity data'!AH9*EF!$H22)*kgtoGg)</f>
        <v>6.660088216573827E-2</v>
      </c>
      <c r="P1397" s="27">
        <f>IF(('Activity data'!AI9*EF!$H22)*kgtoGg=0,"NO",('Activity data'!AI9*EF!$H22)*kgtoGg)</f>
        <v>6.4878687456057696E-2</v>
      </c>
      <c r="Q1397" s="27">
        <f>IF(('Activity data'!AJ9*EF!$H22)*kgtoGg=0,"NO",('Activity data'!AJ9*EF!$H22)*kgtoGg)</f>
        <v>6.3520342119606069E-2</v>
      </c>
      <c r="R1397" s="27">
        <f>IF(('Activity data'!AK9*EF!$H22)*kgtoGg=0,"NO",('Activity data'!AK9*EF!$H22)*kgtoGg)</f>
        <v>6.2235193009075998E-2</v>
      </c>
      <c r="S1397" s="27">
        <f>IF(('Activity data'!AL9*EF!$H22)*kgtoGg=0,"NO",('Activity data'!AL9*EF!$H22)*kgtoGg)</f>
        <v>5.4748826979066356E-2</v>
      </c>
      <c r="T1397" s="27">
        <f>IF(('Activity data'!AM9*EF!$H22)*kgtoGg=0,"NO",('Activity data'!AM9*EF!$H22)*kgtoGg)</f>
        <v>5.5638112913069561E-2</v>
      </c>
      <c r="U1397" s="27">
        <f>IF(('Activity data'!AN9*EF!$H22)*kgtoGg=0,"NO",('Activity data'!AN9*EF!$H22)*kgtoGg)</f>
        <v>5.7297103877082825E-2</v>
      </c>
      <c r="V1397" s="27">
        <f>IF(('Activity data'!AO9*EF!$H22)*kgtoGg=0,"NO",('Activity data'!AO9*EF!$H22)*kgtoGg)</f>
        <v>5.7628423534637221E-2</v>
      </c>
      <c r="W1397" s="27">
        <f>IF(('Activity data'!AP9*EF!$H22)*kgtoGg=0,"NO",('Activity data'!AP9*EF!$H22)*kgtoGg)</f>
        <v>5.8106281769105768E-2</v>
      </c>
      <c r="X1397" s="27">
        <f>IF(('Activity data'!AQ9*EF!$H22)*kgtoGg=0,"NO",('Activity data'!AQ9*EF!$H22)*kgtoGg)</f>
        <v>5.8772904546796331E-2</v>
      </c>
      <c r="Y1397" s="27">
        <f>IF(('Activity data'!AR9*EF!$H22)*kgtoGg=0,"NO",('Activity data'!AR9*EF!$H22)*kgtoGg)</f>
        <v>5.9537551288705921E-2</v>
      </c>
      <c r="Z1397" s="27">
        <f>IF(('Activity data'!AS9*EF!$H22)*kgtoGg=0,"NO",('Activity data'!AS9*EF!$H22)*kgtoGg)</f>
        <v>6.0434059444432087E-2</v>
      </c>
      <c r="AA1397" s="27">
        <f>IF(('Activity data'!AT9*EF!$H22)*kgtoGg=0,"NO",('Activity data'!AT9*EF!$H22)*kgtoGg)</f>
        <v>6.1334702496341778E-2</v>
      </c>
      <c r="AB1397" s="27">
        <f>IF(('Activity data'!AU9*EF!$H22)*kgtoGg=0,"NO",('Activity data'!AU9*EF!$H22)*kgtoGg)</f>
        <v>6.2347648020879123E-2</v>
      </c>
      <c r="AC1397" s="27">
        <f>IF(('Activity data'!AV9*EF!$H22)*kgtoGg=0,"NO",('Activity data'!AV9*EF!$H22)*kgtoGg)</f>
        <v>6.3350541169797603E-2</v>
      </c>
      <c r="AD1397" s="27">
        <f>IF(('Activity data'!AW9*EF!$H22)*kgtoGg=0,"NO",('Activity data'!AW9*EF!$H22)*kgtoGg)</f>
        <v>6.4003828606403412E-2</v>
      </c>
      <c r="AE1397" s="27">
        <f>IF(('Activity data'!AX9*EF!$H22)*kgtoGg=0,"NO",('Activity data'!AX9*EF!$H22)*kgtoGg)</f>
        <v>6.4540223118441709E-2</v>
      </c>
      <c r="AF1397" s="27">
        <f>IF(('Activity data'!AY9*EF!$H22)*kgtoGg=0,"NO",('Activity data'!AY9*EF!$H22)*kgtoGg)</f>
        <v>6.5106893528074167E-2</v>
      </c>
      <c r="AG1397" s="27">
        <f>IF(('Activity data'!AZ9*EF!$H22)*kgtoGg=0,"NO",('Activity data'!AZ9*EF!$H22)*kgtoGg)</f>
        <v>6.5865092169388781E-2</v>
      </c>
      <c r="AH1397" s="27">
        <f>IF(('Activity data'!BA9*EF!$H22)*kgtoGg=0,"NO",('Activity data'!BA9*EF!$H22)*kgtoGg)</f>
        <v>6.641036313646749E-2</v>
      </c>
      <c r="AI1397" s="27">
        <f>IF(('Activity data'!BB9*EF!$H22)*kgtoGg=0,"NO",('Activity data'!BB9*EF!$H22)*kgtoGg)</f>
        <v>6.6991487626051227E-2</v>
      </c>
      <c r="AJ1397" s="27">
        <f>IF(('Activity data'!BC9*EF!$H22)*kgtoGg=0,"NO",('Activity data'!BC9*EF!$H22)*kgtoGg)</f>
        <v>6.7631185432622337E-2</v>
      </c>
      <c r="AK1397" s="27">
        <f>IF(('Activity data'!BD9*EF!$H22)*kgtoGg=0,"NO",('Activity data'!BD9*EF!$H22)*kgtoGg)</f>
        <v>6.8029802326707703E-2</v>
      </c>
      <c r="AL1397" s="27">
        <f>IF(('Activity data'!BE9*EF!$H22)*kgtoGg=0,"NO",('Activity data'!BE9*EF!$H22)*kgtoGg)</f>
        <v>6.832885199784397E-2</v>
      </c>
      <c r="AM1397" s="27">
        <f>IF(('Activity data'!BF9*EF!$H22)*kgtoGg=0,"NO",('Activity data'!BF9*EF!$H22)*kgtoGg)</f>
        <v>6.8536860196676486E-2</v>
      </c>
      <c r="AN1397" s="27">
        <f>IF(('Activity data'!BG9*EF!$H22)*kgtoGg=0,"NO",('Activity data'!BG9*EF!$H22)*kgtoGg)</f>
        <v>6.9183502710306752E-2</v>
      </c>
      <c r="AO1397" s="27">
        <f>IF(('Activity data'!BH9*EF!$H22)*kgtoGg=0,"NO",('Activity data'!BH9*EF!$H22)*kgtoGg)</f>
        <v>6.9675032882043061E-2</v>
      </c>
      <c r="AP1397" s="27">
        <f>IF(('Activity data'!BI9*EF!$H22)*kgtoGg=0,"NO",('Activity data'!BI9*EF!$H22)*kgtoGg)</f>
        <v>7.0172767589129104E-2</v>
      </c>
      <c r="AQ1397" s="27">
        <f>IF(('Activity data'!BJ9*EF!$H22)*kgtoGg=0,"NO",('Activity data'!BJ9*EF!$H22)*kgtoGg)</f>
        <v>7.0682400691608652E-2</v>
      </c>
      <c r="AR1397" s="27">
        <f>IF(('Activity data'!BK9*EF!$H22)*kgtoGg=0,"NO",('Activity data'!BK9*EF!$H22)*kgtoGg)</f>
        <v>7.1214209104559126E-2</v>
      </c>
      <c r="AS1397" s="27">
        <f>IF(('Activity data'!BL9*EF!$H22)*kgtoGg=0,"NO",('Activity data'!BL9*EF!$H22)*kgtoGg)</f>
        <v>7.1760235084501689E-2</v>
      </c>
      <c r="AT1397" s="27">
        <f>IF(('Activity data'!BM9*EF!$H22)*kgtoGg=0,"NO",('Activity data'!BM9*EF!$H22)*kgtoGg)</f>
        <v>7.0683135236036573E-2</v>
      </c>
      <c r="AU1397" s="27">
        <f>IF(('Activity data'!BN9*EF!$H22)*kgtoGg=0,"NO",('Activity data'!BN9*EF!$H22)*kgtoGg)</f>
        <v>6.9462962253632216E-2</v>
      </c>
      <c r="AV1397" s="27">
        <f>IF(('Activity data'!BO9*EF!$H22)*kgtoGg=0,"NO",('Activity data'!BO9*EF!$H22)*kgtoGg)</f>
        <v>6.8048390377341353E-2</v>
      </c>
      <c r="AW1397" s="27">
        <f>IF(('Activity data'!BP9*EF!$H22)*kgtoGg=0,"NO",('Activity data'!BP9*EF!$H22)*kgtoGg)</f>
        <v>6.658948684711255E-2</v>
      </c>
    </row>
    <row r="1398" spans="1:49" x14ac:dyDescent="0.3">
      <c r="A1398" s="95" t="s">
        <v>960</v>
      </c>
      <c r="B1398" s="95"/>
      <c r="C1398" s="95"/>
      <c r="D1398" t="str">
        <f t="shared" si="549"/>
        <v>3A Livestock</v>
      </c>
      <c r="E1398" t="str">
        <f t="shared" si="549"/>
        <v>3A2 Manure management (CH4)</v>
      </c>
      <c r="F1398" t="str">
        <f>EF!C23</f>
        <v>3A1aii Other cattle</v>
      </c>
      <c r="G1398" t="str">
        <f>EF!D23</f>
        <v>Feedlot</v>
      </c>
      <c r="H1398" t="str">
        <f t="shared" si="550"/>
        <v>Manure management Emissions</v>
      </c>
      <c r="I1398" t="str">
        <f t="shared" si="548"/>
        <v>CH4</v>
      </c>
      <c r="J1398" t="str">
        <f t="shared" si="548"/>
        <v>Gg CH4</v>
      </c>
      <c r="K1398" s="27">
        <f>IF(('Activity data'!AD10*EF!$H23)*kgtoGg=0,"NO",('Activity data'!AD10*EF!$H23)*kgtoGg)</f>
        <v>0.47107022937833831</v>
      </c>
      <c r="L1398" s="27">
        <f>IF(('Activity data'!AE10*EF!$H23)*kgtoGg=0,"NO",('Activity data'!AE10*EF!$H23)*kgtoGg)</f>
        <v>0.48695387967725939</v>
      </c>
      <c r="M1398" s="27">
        <f>IF(('Activity data'!AF10*EF!$H23)*kgtoGg=0,"NO",('Activity data'!AF10*EF!$H23)*kgtoGg)</f>
        <v>0.50580611066616787</v>
      </c>
      <c r="N1398" s="27">
        <f>IF(('Activity data'!AG10*EF!$H23)*kgtoGg=0,"NO",('Activity data'!AG10*EF!$H23)*kgtoGg)</f>
        <v>0.51986569055899412</v>
      </c>
      <c r="O1398" s="27">
        <f>IF(('Activity data'!AH10*EF!$H23)*kgtoGg=0,"NO",('Activity data'!AH10*EF!$H23)*kgtoGg)</f>
        <v>0.5307082628613855</v>
      </c>
      <c r="P1398" s="27">
        <f>IF(('Activity data'!AI10*EF!$H23)*kgtoGg=0,"NO",('Activity data'!AI10*EF!$H23)*kgtoGg)</f>
        <v>0.53817886796858128</v>
      </c>
      <c r="Q1398" s="27">
        <f>IF(('Activity data'!AJ10*EF!$H23)*kgtoGg=0,"NO",('Activity data'!AJ10*EF!$H23)*kgtoGg)</f>
        <v>0.54837935702304741</v>
      </c>
      <c r="R1398" s="27">
        <f>IF(('Activity data'!AK10*EF!$H23)*kgtoGg=0,"NO",('Activity data'!AK10*EF!$H23)*kgtoGg)</f>
        <v>0.55907244781022658</v>
      </c>
      <c r="S1398" s="27">
        <f>IF(('Activity data'!AL10*EF!$H23)*kgtoGg=0,"NO",('Activity data'!AL10*EF!$H23)*kgtoGg)</f>
        <v>0.5116979963243764</v>
      </c>
      <c r="T1398" s="27">
        <f>IF(('Activity data'!AM10*EF!$H23)*kgtoGg=0,"NO",('Activity data'!AM10*EF!$H23)*kgtoGg)</f>
        <v>0.53253794371544794</v>
      </c>
      <c r="U1398" s="27">
        <f>IF(('Activity data'!AN10*EF!$H23)*kgtoGg=0,"NO",('Activity data'!AN10*EF!$H23)*kgtoGg)</f>
        <v>0.56144831136588025</v>
      </c>
      <c r="V1398" s="27">
        <f>IF(('Activity data'!AO10*EF!$H23)*kgtoGg=0,"NO",('Activity data'!AO10*EF!$H23)*kgtoGg)</f>
        <v>0.57794253443008525</v>
      </c>
      <c r="W1398" s="27">
        <f>IF(('Activity data'!AP10*EF!$H23)*kgtoGg=0,"NO",('Activity data'!AP10*EF!$H23)*kgtoGg)</f>
        <v>0.59624482437454274</v>
      </c>
      <c r="X1398" s="27">
        <f>IF(('Activity data'!AQ10*EF!$H23)*kgtoGg=0,"NO",('Activity data'!AQ10*EF!$H23)*kgtoGg)</f>
        <v>0.61691451225743765</v>
      </c>
      <c r="Y1398" s="27">
        <f>IF(('Activity data'!AR10*EF!$H23)*kgtoGg=0,"NO",('Activity data'!AR10*EF!$H23)*kgtoGg)</f>
        <v>0.63912634684399761</v>
      </c>
      <c r="Z1398" s="27">
        <f>IF(('Activity data'!AS10*EF!$H23)*kgtoGg=0,"NO",('Activity data'!AS10*EF!$H23)*kgtoGg)</f>
        <v>0.66333849990898774</v>
      </c>
      <c r="AA1398" s="27">
        <f>IF(('Activity data'!AT10*EF!$H23)*kgtoGg=0,"NO",('Activity data'!AT10*EF!$H23)*kgtoGg)</f>
        <v>0.68823157042214766</v>
      </c>
      <c r="AB1398" s="27">
        <f>IF(('Activity data'!AU10*EF!$H23)*kgtoGg=0,"NO",('Activity data'!AU10*EF!$H23)*kgtoGg)</f>
        <v>0.71506797281834467</v>
      </c>
      <c r="AC1398" s="27">
        <f>IF(('Activity data'!AV10*EF!$H23)*kgtoGg=0,"NO",('Activity data'!AV10*EF!$H23)*kgtoGg)</f>
        <v>0.74251772868278199</v>
      </c>
      <c r="AD1398" s="27">
        <f>IF(('Activity data'!AW10*EF!$H23)*kgtoGg=0,"NO",('Activity data'!AW10*EF!$H23)*kgtoGg)</f>
        <v>0.7750525944257971</v>
      </c>
      <c r="AE1398" s="27">
        <f>IF(('Activity data'!AX10*EF!$H23)*kgtoGg=0,"NO",('Activity data'!AX10*EF!$H23)*kgtoGg)</f>
        <v>0.80751598640792854</v>
      </c>
      <c r="AF1398" s="27">
        <f>IF(('Activity data'!AY10*EF!$H23)*kgtoGg=0,"NO",('Activity data'!AY10*EF!$H23)*kgtoGg)</f>
        <v>0.84174152680537817</v>
      </c>
      <c r="AG1398" s="27">
        <f>IF(('Activity data'!AZ10*EF!$H23)*kgtoGg=0,"NO",('Activity data'!AZ10*EF!$H23)*kgtoGg)</f>
        <v>0.88000003569074847</v>
      </c>
      <c r="AH1398" s="27">
        <f>IF(('Activity data'!BA10*EF!$H23)*kgtoGg=0,"NO",('Activity data'!BA10*EF!$H23)*kgtoGg)</f>
        <v>0.91704807287784318</v>
      </c>
      <c r="AI1398" s="27">
        <f>IF(('Activity data'!BB10*EF!$H23)*kgtoGg=0,"NO",('Activity data'!BB10*EF!$H23)*kgtoGg)</f>
        <v>0.95623961354371867</v>
      </c>
      <c r="AJ1398" s="27">
        <f>IF(('Activity data'!BC10*EF!$H23)*kgtoGg=0,"NO",('Activity data'!BC10*EF!$H23)*kgtoGg)</f>
        <v>0.99805792050769693</v>
      </c>
      <c r="AK1398" s="27">
        <f>IF(('Activity data'!BD10*EF!$H23)*kgtoGg=0,"NO",('Activity data'!BD10*EF!$H23)*kgtoGg)</f>
        <v>1.0381239689146564</v>
      </c>
      <c r="AL1398" s="27">
        <f>IF(('Activity data'!BE10*EF!$H23)*kgtoGg=0,"NO",('Activity data'!BE10*EF!$H23)*kgtoGg)</f>
        <v>1.0784102253675423</v>
      </c>
      <c r="AM1398" s="27">
        <f>IF(('Activity data'!BF10*EF!$H23)*kgtoGg=0,"NO",('Activity data'!BF10*EF!$H23)*kgtoGg)</f>
        <v>1.1190041069207182</v>
      </c>
      <c r="AN1398" s="27">
        <f>IF(('Activity data'!BG10*EF!$H23)*kgtoGg=0,"NO",('Activity data'!BG10*EF!$H23)*kgtoGg)</f>
        <v>1.1614327193697984</v>
      </c>
      <c r="AO1398" s="27">
        <f>IF(('Activity data'!BH10*EF!$H23)*kgtoGg=0,"NO",('Activity data'!BH10*EF!$H23)*kgtoGg)</f>
        <v>1.2028013950684227</v>
      </c>
      <c r="AP1398" s="27">
        <f>IF(('Activity data'!BI10*EF!$H23)*kgtoGg=0,"NO",('Activity data'!BI10*EF!$H23)*kgtoGg)</f>
        <v>1.2458253070355789</v>
      </c>
      <c r="AQ1398" s="27">
        <f>IF(('Activity data'!BJ10*EF!$H23)*kgtoGg=0,"NO",('Activity data'!BJ10*EF!$H23)*kgtoGg)</f>
        <v>1.2906949248380046</v>
      </c>
      <c r="AR1398" s="27">
        <f>IF(('Activity data'!BK10*EF!$H23)*kgtoGg=0,"NO",('Activity data'!BK10*EF!$H23)*kgtoGg)</f>
        <v>1.3377043131160224</v>
      </c>
      <c r="AS1398" s="27">
        <f>IF(('Activity data'!BL10*EF!$H23)*kgtoGg=0,"NO",('Activity data'!BL10*EF!$H23)*kgtoGg)</f>
        <v>1.3868240533486631</v>
      </c>
      <c r="AT1398" s="27">
        <f>IF(('Activity data'!BM10*EF!$H23)*kgtoGg=0,"NO",('Activity data'!BM10*EF!$H23)*kgtoGg)</f>
        <v>1.4056131138026084</v>
      </c>
      <c r="AU1398" s="27">
        <f>IF(('Activity data'!BN10*EF!$H23)*kgtoGg=0,"NO",('Activity data'!BN10*EF!$H23)*kgtoGg)</f>
        <v>1.4216407980502102</v>
      </c>
      <c r="AV1398" s="27">
        <f>IF(('Activity data'!BO10*EF!$H23)*kgtoGg=0,"NO",('Activity data'!BO10*EF!$H23)*kgtoGg)</f>
        <v>1.4335765692204958</v>
      </c>
      <c r="AW1398" s="27">
        <f>IF(('Activity data'!BP10*EF!$H23)*kgtoGg=0,"NO",('Activity data'!BP10*EF!$H23)*kgtoGg)</f>
        <v>1.4443117800465477</v>
      </c>
    </row>
    <row r="1399" spans="1:49" x14ac:dyDescent="0.3">
      <c r="A1399" s="95" t="s">
        <v>960</v>
      </c>
      <c r="B1399" s="95"/>
      <c r="C1399" s="95"/>
      <c r="D1399" t="str">
        <f t="shared" si="549"/>
        <v>3A Livestock</v>
      </c>
      <c r="E1399" t="str">
        <f t="shared" si="549"/>
        <v>3A2 Manure management (CH4)</v>
      </c>
      <c r="F1399" t="str">
        <f>EF!C24</f>
        <v>3A1c Sheep</v>
      </c>
      <c r="G1399" t="str">
        <f>EF!D24</f>
        <v>Commercial</v>
      </c>
      <c r="H1399" t="str">
        <f t="shared" si="550"/>
        <v>Manure management Emissions</v>
      </c>
      <c r="I1399" t="str">
        <f t="shared" si="550"/>
        <v>CH4</v>
      </c>
      <c r="J1399" t="str">
        <f t="shared" si="550"/>
        <v>Gg CH4</v>
      </c>
      <c r="K1399" s="27">
        <f>IF(('Activity data'!AD11*EF!$H24)*kgtoGg=0,"NO",('Activity data'!AD11*EF!$H24)*kgtoGg)</f>
        <v>3.6054675351507588E-2</v>
      </c>
      <c r="L1399" s="27">
        <f>IF(('Activity data'!AE11*EF!$H24)*kgtoGg=0,"NO",('Activity data'!AE11*EF!$H24)*kgtoGg)</f>
        <v>3.6074169999743479E-2</v>
      </c>
      <c r="M1399" s="27">
        <f>IF(('Activity data'!AF11*EF!$H24)*kgtoGg=0,"NO",('Activity data'!AF11*EF!$H24)*kgtoGg)</f>
        <v>3.6120780972302438E-2</v>
      </c>
      <c r="N1399" s="27">
        <f>IF(('Activity data'!AG11*EF!$H24)*kgtoGg=0,"NO",('Activity data'!AG11*EF!$H24)*kgtoGg)</f>
        <v>3.6189509224973292E-2</v>
      </c>
      <c r="O1399" s="27">
        <f>IF(('Activity data'!AH11*EF!$H24)*kgtoGg=0,"NO",('Activity data'!AH11*EF!$H24)*kgtoGg)</f>
        <v>3.6279918010713667E-2</v>
      </c>
      <c r="P1399" s="27">
        <f>IF(('Activity data'!AI11*EF!$H24)*kgtoGg=0,"NO",('Activity data'!AI11*EF!$H24)*kgtoGg)</f>
        <v>3.6391052650159628E-2</v>
      </c>
      <c r="Q1399" s="27">
        <f>IF(('Activity data'!AJ11*EF!$H24)*kgtoGg=0,"NO",('Activity data'!AJ11*EF!$H24)*kgtoGg)</f>
        <v>3.6515872019705298E-2</v>
      </c>
      <c r="R1399" s="27">
        <f>IF(('Activity data'!AK11*EF!$H24)*kgtoGg=0,"NO",('Activity data'!AK11*EF!$H24)*kgtoGg)</f>
        <v>3.6653588090719266E-2</v>
      </c>
      <c r="S1399" s="27">
        <f>IF(('Activity data'!AL11*EF!$H24)*kgtoGg=0,"NO",('Activity data'!AL11*EF!$H24)*kgtoGg)</f>
        <v>3.6779521855622693E-2</v>
      </c>
      <c r="T1399" s="27">
        <f>IF(('Activity data'!AM11*EF!$H24)*kgtoGg=0,"NO",('Activity data'!AM11*EF!$H24)*kgtoGg)</f>
        <v>3.6834860200729257E-2</v>
      </c>
      <c r="U1399" s="27">
        <f>IF(('Activity data'!AN11*EF!$H24)*kgtoGg=0,"NO",('Activity data'!AN11*EF!$H24)*kgtoGg)</f>
        <v>3.6902440208564632E-2</v>
      </c>
      <c r="V1399" s="27">
        <f>IF(('Activity data'!AO11*EF!$H24)*kgtoGg=0,"NO",('Activity data'!AO11*EF!$H24)*kgtoGg)</f>
        <v>3.697347207185564E-2</v>
      </c>
      <c r="W1399" s="27">
        <f>IF(('Activity data'!AP11*EF!$H24)*kgtoGg=0,"NO",('Activity data'!AP11*EF!$H24)*kgtoGg)</f>
        <v>3.7053220502968609E-2</v>
      </c>
      <c r="X1399" s="27">
        <f>IF(('Activity data'!AQ11*EF!$H24)*kgtoGg=0,"NO",('Activity data'!AQ11*EF!$H24)*kgtoGg)</f>
        <v>3.714146236421613E-2</v>
      </c>
      <c r="Y1399" s="27">
        <f>IF(('Activity data'!AR11*EF!$H24)*kgtoGg=0,"NO",('Activity data'!AR11*EF!$H24)*kgtoGg)</f>
        <v>3.7196571628197998E-2</v>
      </c>
      <c r="Z1399" s="27">
        <f>IF(('Activity data'!AS11*EF!$H24)*kgtoGg=0,"NO",('Activity data'!AS11*EF!$H24)*kgtoGg)</f>
        <v>3.7258831126487216E-2</v>
      </c>
      <c r="AA1399" s="27">
        <f>IF(('Activity data'!AT11*EF!$H24)*kgtoGg=0,"NO",('Activity data'!AT11*EF!$H24)*kgtoGg)</f>
        <v>3.7327399595166219E-2</v>
      </c>
      <c r="AB1399" s="27">
        <f>IF(('Activity data'!AU11*EF!$H24)*kgtoGg=0,"NO",('Activity data'!AU11*EF!$H24)*kgtoGg)</f>
        <v>3.7402465573387562E-2</v>
      </c>
      <c r="AC1399" s="27">
        <f>IF(('Activity data'!AV11*EF!$H24)*kgtoGg=0,"NO",('Activity data'!AV11*EF!$H24)*kgtoGg)</f>
        <v>3.7483254267417832E-2</v>
      </c>
      <c r="AD1399" s="27">
        <f>IF(('Activity data'!AW11*EF!$H24)*kgtoGg=0,"NO",('Activity data'!AW11*EF!$H24)*kgtoGg)</f>
        <v>3.7537448557312683E-2</v>
      </c>
      <c r="AE1399" s="27">
        <f>IF(('Activity data'!AX11*EF!$H24)*kgtoGg=0,"NO",('Activity data'!AX11*EF!$H24)*kgtoGg)</f>
        <v>3.759628261627642E-2</v>
      </c>
      <c r="AF1399" s="27">
        <f>IF(('Activity data'!AY11*EF!$H24)*kgtoGg=0,"NO",('Activity data'!AY11*EF!$H24)*kgtoGg)</f>
        <v>3.7660229373785575E-2</v>
      </c>
      <c r="AG1399" s="27">
        <f>IF(('Activity data'!AZ11*EF!$H24)*kgtoGg=0,"NO",('Activity data'!AZ11*EF!$H24)*kgtoGg)</f>
        <v>3.7729913053341259E-2</v>
      </c>
      <c r="AH1399" s="27">
        <f>IF(('Activity data'!BA11*EF!$H24)*kgtoGg=0,"NO",('Activity data'!BA11*EF!$H24)*kgtoGg)</f>
        <v>3.7803241196451468E-2</v>
      </c>
      <c r="AI1399" s="27">
        <f>IF(('Activity data'!BB11*EF!$H24)*kgtoGg=0,"NO",('Activity data'!BB11*EF!$H24)*kgtoGg)</f>
        <v>3.7850112312391396E-2</v>
      </c>
      <c r="AJ1399" s="27">
        <f>IF(('Activity data'!BC11*EF!$H24)*kgtoGg=0,"NO",('Activity data'!BC11*EF!$H24)*kgtoGg)</f>
        <v>3.7901451820370476E-2</v>
      </c>
      <c r="AK1399" s="27">
        <f>IF(('Activity data'!BD11*EF!$H24)*kgtoGg=0,"NO",('Activity data'!BD11*EF!$H24)*kgtoGg)</f>
        <v>3.7955566436191537E-2</v>
      </c>
      <c r="AL1399" s="27">
        <f>IF(('Activity data'!BE11*EF!$H24)*kgtoGg=0,"NO",('Activity data'!BE11*EF!$H24)*kgtoGg)</f>
        <v>3.8013032265109208E-2</v>
      </c>
      <c r="AM1399" s="27">
        <f>IF(('Activity data'!BF11*EF!$H24)*kgtoGg=0,"NO",('Activity data'!BF11*EF!$H24)*kgtoGg)</f>
        <v>3.8073762176342195E-2</v>
      </c>
      <c r="AN1399" s="27">
        <f>IF(('Activity data'!BG11*EF!$H24)*kgtoGg=0,"NO",('Activity data'!BG11*EF!$H24)*kgtoGg)</f>
        <v>3.8109645900532299E-2</v>
      </c>
      <c r="AO1399" s="27">
        <f>IF(('Activity data'!BH11*EF!$H24)*kgtoGg=0,"NO",('Activity data'!BH11*EF!$H24)*kgtoGg)</f>
        <v>3.8147952211549679E-2</v>
      </c>
      <c r="AP1399" s="27">
        <f>IF(('Activity data'!BI11*EF!$H24)*kgtoGg=0,"NO",('Activity data'!BI11*EF!$H24)*kgtoGg)</f>
        <v>3.8189503844275732E-2</v>
      </c>
      <c r="AQ1399" s="27">
        <f>IF(('Activity data'!BJ11*EF!$H24)*kgtoGg=0,"NO",('Activity data'!BJ11*EF!$H24)*kgtoGg)</f>
        <v>3.8234260627096527E-2</v>
      </c>
      <c r="AR1399" s="27">
        <f>IF(('Activity data'!BK11*EF!$H24)*kgtoGg=0,"NO",('Activity data'!BK11*EF!$H24)*kgtoGg)</f>
        <v>3.8282221632507191E-2</v>
      </c>
      <c r="AS1399" s="27">
        <f>IF(('Activity data'!BL11*EF!$H24)*kgtoGg=0,"NO",('Activity data'!BL11*EF!$H24)*kgtoGg)</f>
        <v>3.8303980390956796E-2</v>
      </c>
      <c r="AT1399" s="27">
        <f>IF(('Activity data'!BM11*EF!$H24)*kgtoGg=0,"NO",('Activity data'!BM11*EF!$H24)*kgtoGg)</f>
        <v>3.8318002472277804E-2</v>
      </c>
      <c r="AU1399" s="27">
        <f>IF(('Activity data'!BN11*EF!$H24)*kgtoGg=0,"NO",('Activity data'!BN11*EF!$H24)*kgtoGg)</f>
        <v>3.8333373323501507E-2</v>
      </c>
      <c r="AV1399" s="27">
        <f>IF(('Activity data'!BO11*EF!$H24)*kgtoGg=0,"NO",('Activity data'!BO11*EF!$H24)*kgtoGg)</f>
        <v>3.8349609063517129E-2</v>
      </c>
      <c r="AW1399" s="27">
        <f>IF(('Activity data'!BP11*EF!$H24)*kgtoGg=0,"NO",('Activity data'!BP11*EF!$H24)*kgtoGg)</f>
        <v>3.8367594097231859E-2</v>
      </c>
    </row>
    <row r="1400" spans="1:49" x14ac:dyDescent="0.3">
      <c r="A1400" s="95" t="s">
        <v>960</v>
      </c>
      <c r="B1400" s="95"/>
      <c r="C1400" s="95"/>
      <c r="D1400" t="str">
        <f t="shared" si="549"/>
        <v>3A Livestock</v>
      </c>
      <c r="E1400" t="str">
        <f t="shared" si="549"/>
        <v>3A2 Manure management (CH4)</v>
      </c>
      <c r="F1400" t="str">
        <f>EF!C25</f>
        <v>3A1c Sheep</v>
      </c>
      <c r="G1400" t="str">
        <f>EF!D25</f>
        <v>Subsistence</v>
      </c>
      <c r="H1400" t="str">
        <f t="shared" si="550"/>
        <v>Manure management Emissions</v>
      </c>
      <c r="I1400" t="str">
        <f t="shared" si="550"/>
        <v>CH4</v>
      </c>
      <c r="J1400" t="str">
        <f t="shared" si="550"/>
        <v>Gg CH4</v>
      </c>
      <c r="K1400" s="27">
        <f>IF(('Activity data'!AD12*EF!$H25)*kgtoGg=0,"NO",('Activity data'!AD12*EF!$H25)*kgtoGg)</f>
        <v>4.1176157807460215E-3</v>
      </c>
      <c r="L1400" s="27">
        <f>IF(('Activity data'!AE12*EF!$H25)*kgtoGg=0,"NO",('Activity data'!AE12*EF!$H25)*kgtoGg)</f>
        <v>4.1198421624963379E-3</v>
      </c>
      <c r="M1400" s="27">
        <f>IF(('Activity data'!AF12*EF!$H25)*kgtoGg=0,"NO",('Activity data'!AF12*EF!$H25)*kgtoGg)</f>
        <v>4.1251653577350569E-3</v>
      </c>
      <c r="N1400" s="27">
        <f>IF(('Activity data'!AG12*EF!$H25)*kgtoGg=0,"NO",('Activity data'!AG12*EF!$H25)*kgtoGg)</f>
        <v>4.1330144517851795E-3</v>
      </c>
      <c r="O1400" s="27">
        <f>IF(('Activity data'!AH12*EF!$H25)*kgtoGg=0,"NO",('Activity data'!AH12*EF!$H25)*kgtoGg)</f>
        <v>4.1433395660526989E-3</v>
      </c>
      <c r="P1400" s="27">
        <f>IF(('Activity data'!AI12*EF!$H25)*kgtoGg=0,"NO",('Activity data'!AI12*EF!$H25)*kgtoGg)</f>
        <v>4.1560316716037502E-3</v>
      </c>
      <c r="Q1400" s="27">
        <f>IF(('Activity data'!AJ12*EF!$H25)*kgtoGg=0,"NO",('Activity data'!AJ12*EF!$H25)*kgtoGg)</f>
        <v>4.1702866385608306E-3</v>
      </c>
      <c r="R1400" s="27">
        <f>IF(('Activity data'!AK12*EF!$H25)*kgtoGg=0,"NO",('Activity data'!AK12*EF!$H25)*kgtoGg)</f>
        <v>4.1860144702980757E-3</v>
      </c>
      <c r="S1400" s="27">
        <f>IF(('Activity data'!AL12*EF!$H25)*kgtoGg=0,"NO",('Activity data'!AL12*EF!$H25)*kgtoGg)</f>
        <v>4.2003967065168081E-3</v>
      </c>
      <c r="T1400" s="27">
        <f>IF(('Activity data'!AM12*EF!$H25)*kgtoGg=0,"NO",('Activity data'!AM12*EF!$H25)*kgtoGg)</f>
        <v>4.2067166092997236E-3</v>
      </c>
      <c r="U1400" s="27">
        <f>IF(('Activity data'!AN12*EF!$H25)*kgtoGg=0,"NO",('Activity data'!AN12*EF!$H25)*kgtoGg)</f>
        <v>4.2144345683164958E-3</v>
      </c>
      <c r="V1400" s="27">
        <f>IF(('Activity data'!AO12*EF!$H25)*kgtoGg=0,"NO",('Activity data'!AO12*EF!$H25)*kgtoGg)</f>
        <v>4.2225467456796619E-3</v>
      </c>
      <c r="W1400" s="27">
        <f>IF(('Activity data'!AP12*EF!$H25)*kgtoGg=0,"NO",('Activity data'!AP12*EF!$H25)*kgtoGg)</f>
        <v>4.2316543966358575E-3</v>
      </c>
      <c r="X1400" s="27">
        <f>IF(('Activity data'!AQ12*EF!$H25)*kgtoGg=0,"NO",('Activity data'!AQ12*EF!$H25)*kgtoGg)</f>
        <v>4.2417320377975895E-3</v>
      </c>
      <c r="Y1400" s="27">
        <f>IF(('Activity data'!AR12*EF!$H25)*kgtoGg=0,"NO",('Activity data'!AR12*EF!$H25)*kgtoGg)</f>
        <v>4.2480257784241436E-3</v>
      </c>
      <c r="Z1400" s="27">
        <f>IF(('Activity data'!AS12*EF!$H25)*kgtoGg=0,"NO",('Activity data'!AS12*EF!$H25)*kgtoGg)</f>
        <v>4.2551361098903872E-3</v>
      </c>
      <c r="AA1400" s="27">
        <f>IF(('Activity data'!AT12*EF!$H25)*kgtoGg=0,"NO",('Activity data'!AT12*EF!$H25)*kgtoGg)</f>
        <v>4.2629669558470248E-3</v>
      </c>
      <c r="AB1400" s="27">
        <f>IF(('Activity data'!AU12*EF!$H25)*kgtoGg=0,"NO",('Activity data'!AU12*EF!$H25)*kgtoGg)</f>
        <v>4.2715398483639559E-3</v>
      </c>
      <c r="AC1400" s="27">
        <f>IF(('Activity data'!AV12*EF!$H25)*kgtoGg=0,"NO",('Activity data'!AV12*EF!$H25)*kgtoGg)</f>
        <v>4.2807663023037507E-3</v>
      </c>
      <c r="AD1400" s="27">
        <f>IF(('Activity data'!AW12*EF!$H25)*kgtoGg=0,"NO",('Activity data'!AW12*EF!$H25)*kgtoGg)</f>
        <v>4.2869555485283185E-3</v>
      </c>
      <c r="AE1400" s="27">
        <f>IF(('Activity data'!AX12*EF!$H25)*kgtoGg=0,"NO",('Activity data'!AX12*EF!$H25)*kgtoGg)</f>
        <v>4.2936746784961411E-3</v>
      </c>
      <c r="AF1400" s="27">
        <f>IF(('Activity data'!AY12*EF!$H25)*kgtoGg=0,"NO",('Activity data'!AY12*EF!$H25)*kgtoGg)</f>
        <v>4.3009777030076704E-3</v>
      </c>
      <c r="AG1400" s="27">
        <f>IF(('Activity data'!AZ12*EF!$H25)*kgtoGg=0,"NO",('Activity data'!AZ12*EF!$H25)*kgtoGg)</f>
        <v>4.3089359113621063E-3</v>
      </c>
      <c r="AH1400" s="27">
        <f>IF(('Activity data'!BA12*EF!$H25)*kgtoGg=0,"NO",('Activity data'!BA12*EF!$H25)*kgtoGg)</f>
        <v>4.3173103348259087E-3</v>
      </c>
      <c r="AI1400" s="27">
        <f>IF(('Activity data'!BB12*EF!$H25)*kgtoGg=0,"NO",('Activity data'!BB12*EF!$H25)*kgtoGg)</f>
        <v>4.3226632396787153E-3</v>
      </c>
      <c r="AJ1400" s="27">
        <f>IF(('Activity data'!BC12*EF!$H25)*kgtoGg=0,"NO",('Activity data'!BC12*EF!$H25)*kgtoGg)</f>
        <v>4.3285264562011056E-3</v>
      </c>
      <c r="AK1400" s="27">
        <f>IF(('Activity data'!BD12*EF!$H25)*kgtoGg=0,"NO",('Activity data'!BD12*EF!$H25)*kgtoGg)</f>
        <v>4.3347066032666795E-3</v>
      </c>
      <c r="AL1400" s="27">
        <f>IF(('Activity data'!BE12*EF!$H25)*kgtoGg=0,"NO",('Activity data'!BE12*EF!$H25)*kgtoGg)</f>
        <v>4.3412694748415342E-3</v>
      </c>
      <c r="AM1400" s="27">
        <f>IF(('Activity data'!BF12*EF!$H25)*kgtoGg=0,"NO",('Activity data'!BF12*EF!$H25)*kgtoGg)</f>
        <v>4.3482051201751372E-3</v>
      </c>
      <c r="AN1400" s="27">
        <f>IF(('Activity data'!BG12*EF!$H25)*kgtoGg=0,"NO",('Activity data'!BG12*EF!$H25)*kgtoGg)</f>
        <v>4.3523032125184075E-3</v>
      </c>
      <c r="AO1400" s="27">
        <f>IF(('Activity data'!BH12*EF!$H25)*kgtoGg=0,"NO",('Activity data'!BH12*EF!$H25)*kgtoGg)</f>
        <v>4.3566779758246795E-3</v>
      </c>
      <c r="AP1400" s="27">
        <f>IF(('Activity data'!BI12*EF!$H25)*kgtoGg=0,"NO",('Activity data'!BI12*EF!$H25)*kgtoGg)</f>
        <v>4.361423370338997E-3</v>
      </c>
      <c r="AQ1400" s="27">
        <f>IF(('Activity data'!BJ12*EF!$H25)*kgtoGg=0,"NO",('Activity data'!BJ12*EF!$H25)*kgtoGg)</f>
        <v>4.3665348082715704E-3</v>
      </c>
      <c r="AR1400" s="27">
        <f>IF(('Activity data'!BK12*EF!$H25)*kgtoGg=0,"NO",('Activity data'!BK12*EF!$H25)*kgtoGg)</f>
        <v>4.3720121836969238E-3</v>
      </c>
      <c r="AS1400" s="27">
        <f>IF(('Activity data'!BL12*EF!$H25)*kgtoGg=0,"NO",('Activity data'!BL12*EF!$H25)*kgtoGg)</f>
        <v>4.3744971376255895E-3</v>
      </c>
      <c r="AT1400" s="27">
        <f>IF(('Activity data'!BM12*EF!$H25)*kgtoGg=0,"NO",('Activity data'!BM12*EF!$H25)*kgtoGg)</f>
        <v>4.3760985261490854E-3</v>
      </c>
      <c r="AU1400" s="27">
        <f>IF(('Activity data'!BN12*EF!$H25)*kgtoGg=0,"NO",('Activity data'!BN12*EF!$H25)*kgtoGg)</f>
        <v>4.3778539506244196E-3</v>
      </c>
      <c r="AV1400" s="27">
        <f>IF(('Activity data'!BO12*EF!$H25)*kgtoGg=0,"NO",('Activity data'!BO12*EF!$H25)*kgtoGg)</f>
        <v>4.3797081495223055E-3</v>
      </c>
      <c r="AW1400" s="27">
        <f>IF(('Activity data'!BP12*EF!$H25)*kgtoGg=0,"NO",('Activity data'!BP12*EF!$H25)*kgtoGg)</f>
        <v>4.381762126098687E-3</v>
      </c>
    </row>
    <row r="1401" spans="1:49" x14ac:dyDescent="0.3">
      <c r="A1401" s="95" t="s">
        <v>960</v>
      </c>
      <c r="B1401" s="95"/>
      <c r="C1401" s="95"/>
      <c r="D1401" t="str">
        <f t="shared" si="549"/>
        <v>3A Livestock</v>
      </c>
      <c r="E1401" t="str">
        <f t="shared" si="549"/>
        <v>3A2 Manure management (CH4)</v>
      </c>
      <c r="F1401" t="str">
        <f>EF!C26</f>
        <v>3A1d Goats</v>
      </c>
      <c r="G1401" t="str">
        <f>EF!D26</f>
        <v>Commercial</v>
      </c>
      <c r="H1401" t="str">
        <f t="shared" si="550"/>
        <v>Manure management Emissions</v>
      </c>
      <c r="I1401" t="str">
        <f t="shared" si="550"/>
        <v>CH4</v>
      </c>
      <c r="J1401" t="str">
        <f t="shared" si="550"/>
        <v>Gg CH4</v>
      </c>
      <c r="K1401" s="27">
        <f>IF(('Activity data'!AD13*EF!$H26)*kgtoGg=0,"NO",('Activity data'!AD13*EF!$H26)*kgtoGg)</f>
        <v>1.5789672763163301E-2</v>
      </c>
      <c r="L1401" s="27">
        <f>IF(('Activity data'!AE13*EF!$H26)*kgtoGg=0,"NO",('Activity data'!AE13*EF!$H26)*kgtoGg)</f>
        <v>1.5830718290757027E-2</v>
      </c>
      <c r="M1401" s="27">
        <f>IF(('Activity data'!AF13*EF!$H26)*kgtoGg=0,"NO",('Activity data'!AF13*EF!$H26)*kgtoGg)</f>
        <v>1.588733914557475E-2</v>
      </c>
      <c r="N1401" s="27">
        <f>IF(('Activity data'!AG13*EF!$H26)*kgtoGg=0,"NO",('Activity data'!AG13*EF!$H26)*kgtoGg)</f>
        <v>1.5956318300360577E-2</v>
      </c>
      <c r="O1401" s="27">
        <f>IF(('Activity data'!AH13*EF!$H26)*kgtoGg=0,"NO",('Activity data'!AH13*EF!$H26)*kgtoGg)</f>
        <v>1.6037557372574476E-2</v>
      </c>
      <c r="P1401" s="27">
        <f>IF(('Activity data'!AI13*EF!$H26)*kgtoGg=0,"NO",('Activity data'!AI13*EF!$H26)*kgtoGg)</f>
        <v>1.6130561898613765E-2</v>
      </c>
      <c r="Q1401" s="27">
        <f>IF(('Activity data'!AJ13*EF!$H26)*kgtoGg=0,"NO",('Activity data'!AJ13*EF!$H26)*kgtoGg)</f>
        <v>1.6230654784419023E-2</v>
      </c>
      <c r="R1401" s="27">
        <f>IF(('Activity data'!AK13*EF!$H26)*kgtoGg=0,"NO",('Activity data'!AK13*EF!$H26)*kgtoGg)</f>
        <v>1.6337439810579345E-2</v>
      </c>
      <c r="S1401" s="27">
        <f>IF(('Activity data'!AL13*EF!$H26)*kgtoGg=0,"NO",('Activity data'!AL13*EF!$H26)*kgtoGg)</f>
        <v>1.6434281735880792E-2</v>
      </c>
      <c r="T1401" s="27">
        <f>IF(('Activity data'!AM13*EF!$H26)*kgtoGg=0,"NO",('Activity data'!AM13*EF!$H26)*kgtoGg)</f>
        <v>1.6481585221637597E-2</v>
      </c>
      <c r="U1401" s="27">
        <f>IF(('Activity data'!AN13*EF!$H26)*kgtoGg=0,"NO",('Activity data'!AN13*EF!$H26)*kgtoGg)</f>
        <v>1.6535805571967339E-2</v>
      </c>
      <c r="V1401" s="27">
        <f>IF(('Activity data'!AO13*EF!$H26)*kgtoGg=0,"NO",('Activity data'!AO13*EF!$H26)*kgtoGg)</f>
        <v>1.6591075188605784E-2</v>
      </c>
      <c r="W1401" s="27">
        <f>IF(('Activity data'!AP13*EF!$H26)*kgtoGg=0,"NO",('Activity data'!AP13*EF!$H26)*kgtoGg)</f>
        <v>1.6651019239861981E-2</v>
      </c>
      <c r="X1401" s="27">
        <f>IF(('Activity data'!AQ13*EF!$H26)*kgtoGg=0,"NO",('Activity data'!AQ13*EF!$H26)*kgtoGg)</f>
        <v>1.6715538656301921E-2</v>
      </c>
      <c r="Y1401" s="27">
        <f>IF(('Activity data'!AR13*EF!$H26)*kgtoGg=0,"NO",('Activity data'!AR13*EF!$H26)*kgtoGg)</f>
        <v>1.675682826181454E-2</v>
      </c>
      <c r="Z1401" s="27">
        <f>IF(('Activity data'!AS13*EF!$H26)*kgtoGg=0,"NO",('Activity data'!AS13*EF!$H26)*kgtoGg)</f>
        <v>1.6802001380323034E-2</v>
      </c>
      <c r="AA1401" s="27">
        <f>IF(('Activity data'!AT13*EF!$H26)*kgtoGg=0,"NO",('Activity data'!AT13*EF!$H26)*kgtoGg)</f>
        <v>1.6850529656754189E-2</v>
      </c>
      <c r="AB1401" s="27">
        <f>IF(('Activity data'!AU13*EF!$H26)*kgtoGg=0,"NO",('Activity data'!AU13*EF!$H26)*kgtoGg)</f>
        <v>1.6902568919116488E-2</v>
      </c>
      <c r="AC1401" s="27">
        <f>IF(('Activity data'!AV13*EF!$H26)*kgtoGg=0,"NO",('Activity data'!AV13*EF!$H26)*kgtoGg)</f>
        <v>1.6957630528557751E-2</v>
      </c>
      <c r="AD1401" s="27">
        <f>IF(('Activity data'!AW13*EF!$H26)*kgtoGg=0,"NO",('Activity data'!AW13*EF!$H26)*kgtoGg)</f>
        <v>1.6994350372716287E-2</v>
      </c>
      <c r="AE1401" s="27">
        <f>IF(('Activity data'!AX13*EF!$H26)*kgtoGg=0,"NO",('Activity data'!AX13*EF!$H26)*kgtoGg)</f>
        <v>1.7033509901620177E-2</v>
      </c>
      <c r="AF1401" s="27">
        <f>IF(('Activity data'!AY13*EF!$H26)*kgtoGg=0,"NO",('Activity data'!AY13*EF!$H26)*kgtoGg)</f>
        <v>1.7075440579577206E-2</v>
      </c>
      <c r="AG1401" s="27">
        <f>IF(('Activity data'!AZ13*EF!$H26)*kgtoGg=0,"NO",('Activity data'!AZ13*EF!$H26)*kgtoGg)</f>
        <v>1.7120568284346587E-2</v>
      </c>
      <c r="AH1401" s="27">
        <f>IF(('Activity data'!BA13*EF!$H26)*kgtoGg=0,"NO",('Activity data'!BA13*EF!$H26)*kgtoGg)</f>
        <v>1.7167529660259997E-2</v>
      </c>
      <c r="AI1401" s="27">
        <f>IF(('Activity data'!BB13*EF!$H26)*kgtoGg=0,"NO",('Activity data'!BB13*EF!$H26)*kgtoGg)</f>
        <v>1.7196614048621731E-2</v>
      </c>
      <c r="AJ1401" s="27">
        <f>IF(('Activity data'!BC13*EF!$H26)*kgtoGg=0,"NO",('Activity data'!BC13*EF!$H26)*kgtoGg)</f>
        <v>1.7228175905563897E-2</v>
      </c>
      <c r="AK1401" s="27">
        <f>IF(('Activity data'!BD13*EF!$H26)*kgtoGg=0,"NO",('Activity data'!BD13*EF!$H26)*kgtoGg)</f>
        <v>1.7261117551388462E-2</v>
      </c>
      <c r="AL1401" s="27">
        <f>IF(('Activity data'!BE13*EF!$H26)*kgtoGg=0,"NO",('Activity data'!BE13*EF!$H26)*kgtoGg)</f>
        <v>1.7295827028863175E-2</v>
      </c>
      <c r="AM1401" s="27">
        <f>IF(('Activity data'!BF13*EF!$H26)*kgtoGg=0,"NO",('Activity data'!BF13*EF!$H26)*kgtoGg)</f>
        <v>1.7332256815907665E-2</v>
      </c>
      <c r="AN1401" s="27">
        <f>IF(('Activity data'!BG13*EF!$H26)*kgtoGg=0,"NO",('Activity data'!BG13*EF!$H26)*kgtoGg)</f>
        <v>1.7352159823168515E-2</v>
      </c>
      <c r="AO1401" s="27">
        <f>IF(('Activity data'!BH13*EF!$H26)*kgtoGg=0,"NO",('Activity data'!BH13*EF!$H26)*kgtoGg)</f>
        <v>1.7373316667964631E-2</v>
      </c>
      <c r="AP1401" s="27">
        <f>IF(('Activity data'!BI13*EF!$H26)*kgtoGg=0,"NO",('Activity data'!BI13*EF!$H26)*kgtoGg)</f>
        <v>1.7396267425724934E-2</v>
      </c>
      <c r="AQ1401" s="27">
        <f>IF(('Activity data'!BJ13*EF!$H26)*kgtoGg=0,"NO",('Activity data'!BJ13*EF!$H26)*kgtoGg)</f>
        <v>1.7420990177436466E-2</v>
      </c>
      <c r="AR1401" s="27">
        <f>IF(('Activity data'!BK13*EF!$H26)*kgtoGg=0,"NO",('Activity data'!BK13*EF!$H26)*kgtoGg)</f>
        <v>1.7447487775150525E-2</v>
      </c>
      <c r="AS1401" s="27">
        <f>IF(('Activity data'!BL13*EF!$H26)*kgtoGg=0,"NO",('Activity data'!BL13*EF!$H26)*kgtoGg)</f>
        <v>1.7456827369575736E-2</v>
      </c>
      <c r="AT1401" s="27">
        <f>IF(('Activity data'!BM13*EF!$H26)*kgtoGg=0,"NO",('Activity data'!BM13*EF!$H26)*kgtoGg)</f>
        <v>1.746097508558354E-2</v>
      </c>
      <c r="AU1401" s="27">
        <f>IF(('Activity data'!BN13*EF!$H26)*kgtoGg=0,"NO",('Activity data'!BN13*EF!$H26)*kgtoGg)</f>
        <v>1.746579683409127E-2</v>
      </c>
      <c r="AV1401" s="27">
        <f>IF(('Activity data'!BO13*EF!$H26)*kgtoGg=0,"NO",('Activity data'!BO13*EF!$H26)*kgtoGg)</f>
        <v>1.7470987825332424E-2</v>
      </c>
      <c r="AW1401" s="27">
        <f>IF(('Activity data'!BP13*EF!$H26)*kgtoGg=0,"NO",('Activity data'!BP13*EF!$H26)*kgtoGg)</f>
        <v>1.7477120152816387E-2</v>
      </c>
    </row>
    <row r="1402" spans="1:49" x14ac:dyDescent="0.3">
      <c r="A1402" s="95" t="s">
        <v>960</v>
      </c>
      <c r="B1402" s="95"/>
      <c r="C1402" s="95"/>
      <c r="D1402" t="str">
        <f t="shared" si="549"/>
        <v>3A Livestock</v>
      </c>
      <c r="E1402" t="str">
        <f t="shared" si="549"/>
        <v>3A2 Manure management (CH4)</v>
      </c>
      <c r="F1402" t="str">
        <f>EF!C27</f>
        <v>3A1d Goats</v>
      </c>
      <c r="G1402" t="str">
        <f>EF!D27</f>
        <v>Subsistence</v>
      </c>
      <c r="H1402" t="str">
        <f t="shared" si="550"/>
        <v>Manure management Emissions</v>
      </c>
      <c r="I1402" t="str">
        <f t="shared" si="550"/>
        <v>CH4</v>
      </c>
      <c r="J1402" t="str">
        <f t="shared" si="550"/>
        <v>Gg CH4</v>
      </c>
      <c r="K1402" s="27">
        <f>IF(('Activity data'!AD14*EF!$H27)*kgtoGg=0,"NO",('Activity data'!AD14*EF!$H27)*kgtoGg)</f>
        <v>2.6592218800664803E-2</v>
      </c>
      <c r="L1402" s="27">
        <f>IF(('Activity data'!AE14*EF!$H27)*kgtoGg=0,"NO",('Activity data'!AE14*EF!$H27)*kgtoGg)</f>
        <v>2.6661345733624896E-2</v>
      </c>
      <c r="M1402" s="27">
        <f>IF(('Activity data'!AF14*EF!$H27)*kgtoGg=0,"NO",('Activity data'!AF14*EF!$H27)*kgtoGg)</f>
        <v>2.6756703894783639E-2</v>
      </c>
      <c r="N1402" s="27">
        <f>IF(('Activity data'!AG14*EF!$H27)*kgtoGg=0,"NO",('Activity data'!AG14*EF!$H27)*kgtoGg)</f>
        <v>2.6872875319249704E-2</v>
      </c>
      <c r="O1402" s="27">
        <f>IF(('Activity data'!AH14*EF!$H27)*kgtoGg=0,"NO",('Activity data'!AH14*EF!$H27)*kgtoGg)</f>
        <v>2.7009694315810229E-2</v>
      </c>
      <c r="P1402" s="27">
        <f>IF(('Activity data'!AI14*EF!$H27)*kgtoGg=0,"NO",('Activity data'!AI14*EF!$H27)*kgtoGg)</f>
        <v>2.7166328132291764E-2</v>
      </c>
      <c r="Q1402" s="27">
        <f>IF(('Activity data'!AJ14*EF!$H27)*kgtoGg=0,"NO",('Activity data'!AJ14*EF!$H27)*kgtoGg)</f>
        <v>2.7334899828466052E-2</v>
      </c>
      <c r="R1402" s="27">
        <f>IF(('Activity data'!AK14*EF!$H27)*kgtoGg=0,"NO",('Activity data'!AK14*EF!$H27)*kgtoGg)</f>
        <v>2.7514742110372921E-2</v>
      </c>
      <c r="S1402" s="27">
        <f>IF(('Activity data'!AL14*EF!$H27)*kgtoGg=0,"NO",('Activity data'!AL14*EF!$H27)*kgtoGg)</f>
        <v>2.7677838692887386E-2</v>
      </c>
      <c r="T1402" s="27">
        <f>IF(('Activity data'!AM14*EF!$H27)*kgtoGg=0,"NO",('Activity data'!AM14*EF!$H27)*kgtoGg)</f>
        <v>2.7757504982502564E-2</v>
      </c>
      <c r="U1402" s="27">
        <f>IF(('Activity data'!AN14*EF!$H27)*kgtoGg=0,"NO",('Activity data'!AN14*EF!$H27)*kgtoGg)</f>
        <v>2.7848820327731318E-2</v>
      </c>
      <c r="V1402" s="27">
        <f>IF(('Activity data'!AO14*EF!$H27)*kgtoGg=0,"NO",('Activity data'!AO14*EF!$H27)*kgtoGg)</f>
        <v>2.7941902797566111E-2</v>
      </c>
      <c r="W1402" s="27">
        <f>IF(('Activity data'!AP14*EF!$H27)*kgtoGg=0,"NO",('Activity data'!AP14*EF!$H27)*kgtoGg)</f>
        <v>2.804285772872351E-2</v>
      </c>
      <c r="X1402" s="27">
        <f>IF(('Activity data'!AQ14*EF!$H27)*kgtoGg=0,"NO",('Activity data'!AQ14*EF!$H27)*kgtoGg)</f>
        <v>2.8151518273156369E-2</v>
      </c>
      <c r="Y1402" s="27">
        <f>IF(('Activity data'!AR14*EF!$H27)*kgtoGg=0,"NO",('Activity data'!AR14*EF!$H27)*kgtoGg)</f>
        <v>2.82210562705838E-2</v>
      </c>
      <c r="Z1402" s="27">
        <f>IF(('Activity data'!AS14*EF!$H27)*kgtoGg=0,"NO",('Activity data'!AS14*EF!$H27)*kgtoGg)</f>
        <v>2.8297134696609751E-2</v>
      </c>
      <c r="AA1402" s="27">
        <f>IF(('Activity data'!AT14*EF!$H27)*kgtoGg=0,"NO",('Activity data'!AT14*EF!$H27)*kgtoGg)</f>
        <v>2.8378863720651775E-2</v>
      </c>
      <c r="AB1402" s="27">
        <f>IF(('Activity data'!AU14*EF!$H27)*kgtoGg=0,"NO",('Activity data'!AU14*EF!$H27)*kgtoGg)</f>
        <v>2.8466505780859123E-2</v>
      </c>
      <c r="AC1402" s="27">
        <f>IF(('Activity data'!AV14*EF!$H27)*kgtoGg=0,"NO",('Activity data'!AV14*EF!$H27)*kgtoGg)</f>
        <v>2.8559237934827175E-2</v>
      </c>
      <c r="AD1402" s="27">
        <f>IF(('Activity data'!AW14*EF!$H27)*kgtoGg=0,"NO",('Activity data'!AW14*EF!$H27)*kgtoGg)</f>
        <v>2.8621079756683557E-2</v>
      </c>
      <c r="AE1402" s="27">
        <f>IF(('Activity data'!AX14*EF!$H27)*kgtoGg=0,"NO",('Activity data'!AX14*EF!$H27)*kgtoGg)</f>
        <v>2.8687030380003167E-2</v>
      </c>
      <c r="AF1402" s="27">
        <f>IF(('Activity data'!AY14*EF!$H27)*kgtoGg=0,"NO",('Activity data'!AY14*EF!$H27)*kgtoGg)</f>
        <v>2.8757648041269384E-2</v>
      </c>
      <c r="AG1402" s="27">
        <f>IF(('Activity data'!AZ14*EF!$H27)*kgtoGg=0,"NO",('Activity data'!AZ14*EF!$H27)*kgtoGg)</f>
        <v>2.8833649983627477E-2</v>
      </c>
      <c r="AH1402" s="27">
        <f>IF(('Activity data'!BA14*EF!$H27)*kgtoGg=0,"NO",('Activity data'!BA14*EF!$H27)*kgtoGg)</f>
        <v>2.8912740108052549E-2</v>
      </c>
      <c r="AI1402" s="27">
        <f>IF(('Activity data'!BB14*EF!$H27)*kgtoGg=0,"NO",('Activity data'!BB14*EF!$H27)*kgtoGg)</f>
        <v>2.8961722657000817E-2</v>
      </c>
      <c r="AJ1402" s="27">
        <f>IF(('Activity data'!BC14*EF!$H27)*kgtoGg=0,"NO",('Activity data'!BC14*EF!$H27)*kgtoGg)</f>
        <v>2.9014877641157257E-2</v>
      </c>
      <c r="AK1402" s="27">
        <f>IF(('Activity data'!BD14*EF!$H27)*kgtoGg=0,"NO",('Activity data'!BD14*EF!$H27)*kgtoGg)</f>
        <v>2.9070356400379201E-2</v>
      </c>
      <c r="AL1402" s="27">
        <f>IF(('Activity data'!BE14*EF!$H27)*kgtoGg=0,"NO",('Activity data'!BE14*EF!$H27)*kgtoGg)</f>
        <v>2.9128812457911796E-2</v>
      </c>
      <c r="AM1402" s="27">
        <f>IF(('Activity data'!BF14*EF!$H27)*kgtoGg=0,"NO",('Activity data'!BF14*EF!$H27)*kgtoGg)</f>
        <v>2.9190165779318728E-2</v>
      </c>
      <c r="AN1402" s="27">
        <f>IF(('Activity data'!BG14*EF!$H27)*kgtoGg=0,"NO",('Activity data'!BG14*EF!$H27)*kgtoGg)</f>
        <v>2.9223685481203028E-2</v>
      </c>
      <c r="AO1402" s="27">
        <f>IF(('Activity data'!BH14*EF!$H27)*kgtoGg=0,"NO",('Activity data'!BH14*EF!$H27)*kgtoGg)</f>
        <v>2.9259316836861168E-2</v>
      </c>
      <c r="AP1402" s="27">
        <f>IF(('Activity data'!BI14*EF!$H27)*kgtoGg=0,"NO",('Activity data'!BI14*EF!$H27)*kgtoGg)</f>
        <v>2.9297969415743415E-2</v>
      </c>
      <c r="AQ1402" s="27">
        <f>IF(('Activity data'!BJ14*EF!$H27)*kgtoGg=0,"NO",('Activity data'!BJ14*EF!$H27)*kgtoGg)</f>
        <v>2.9339606302886588E-2</v>
      </c>
      <c r="AR1402" s="27">
        <f>IF(('Activity data'!BK14*EF!$H27)*kgtoGg=0,"NO",('Activity data'!BK14*EF!$H27)*kgtoGg)</f>
        <v>2.9384232301580378E-2</v>
      </c>
      <c r="AS1402" s="27">
        <f>IF(('Activity data'!BL14*EF!$H27)*kgtoGg=0,"NO",('Activity data'!BL14*EF!$H27)*kgtoGg)</f>
        <v>2.939996160402952E-2</v>
      </c>
      <c r="AT1402" s="27">
        <f>IF(('Activity data'!BM14*EF!$H27)*kgtoGg=0,"NO",('Activity data'!BM14*EF!$H27)*kgtoGg)</f>
        <v>2.9406946990823593E-2</v>
      </c>
      <c r="AU1402" s="27">
        <f>IF(('Activity data'!BN14*EF!$H27)*kgtoGg=0,"NO",('Activity data'!BN14*EF!$H27)*kgtoGg)</f>
        <v>2.9415067551220409E-2</v>
      </c>
      <c r="AV1402" s="27">
        <f>IF(('Activity data'!BO14*EF!$H27)*kgtoGg=0,"NO",('Activity data'!BO14*EF!$H27)*kgtoGg)</f>
        <v>2.9423809972735263E-2</v>
      </c>
      <c r="AW1402" s="27">
        <f>IF(('Activity data'!BP14*EF!$H27)*kgtoGg=0,"NO",('Activity data'!BP14*EF!$H27)*kgtoGg)</f>
        <v>2.9434137748152581E-2</v>
      </c>
    </row>
    <row r="1403" spans="1:49" x14ac:dyDescent="0.3">
      <c r="A1403" s="95" t="s">
        <v>960</v>
      </c>
      <c r="B1403" s="95"/>
      <c r="C1403" s="95"/>
      <c r="D1403" t="str">
        <f t="shared" si="549"/>
        <v>3A Livestock</v>
      </c>
      <c r="E1403" t="str">
        <f t="shared" si="549"/>
        <v>3A2 Manure management (CH4)</v>
      </c>
      <c r="F1403" t="str">
        <f>EF!C28</f>
        <v>3A1f Horses</v>
      </c>
      <c r="G1403" t="str">
        <f>EF!D28</f>
        <v>Horses</v>
      </c>
      <c r="H1403" t="str">
        <f t="shared" si="550"/>
        <v>Manure management Emissions</v>
      </c>
      <c r="I1403" t="str">
        <f t="shared" si="550"/>
        <v>CH4</v>
      </c>
      <c r="J1403" t="str">
        <f t="shared" si="550"/>
        <v>Gg CH4</v>
      </c>
      <c r="K1403" s="27">
        <f>IF(('Activity data'!AD15*EF!$H28)*kgtoGg=0,"NO",('Activity data'!AD15*EF!$H28)*kgtoGg)</f>
        <v>4.1336182129460552E-3</v>
      </c>
      <c r="L1403" s="27">
        <f>IF(('Activity data'!AE15*EF!$H28)*kgtoGg=0,"NO",('Activity data'!AE15*EF!$H28)*kgtoGg)</f>
        <v>4.1536453250924071E-3</v>
      </c>
      <c r="M1403" s="27">
        <f>IF(('Activity data'!AF15*EF!$H28)*kgtoGg=0,"NO",('Activity data'!AF15*EF!$H28)*kgtoGg)</f>
        <v>4.1840370126470534E-3</v>
      </c>
      <c r="N1403" s="27">
        <f>IF(('Activity data'!AG15*EF!$H28)*kgtoGg=0,"NO",('Activity data'!AG15*EF!$H28)*kgtoGg)</f>
        <v>4.1905340987284569E-3</v>
      </c>
      <c r="O1403" s="27">
        <f>IF(('Activity data'!AH15*EF!$H28)*kgtoGg=0,"NO",('Activity data'!AH15*EF!$H28)*kgtoGg)</f>
        <v>4.1812329246154589E-3</v>
      </c>
      <c r="P1403" s="27">
        <f>IF(('Activity data'!AI15*EF!$H28)*kgtoGg=0,"NO",('Activity data'!AI15*EF!$H28)*kgtoGg)</f>
        <v>4.1564738854214548E-3</v>
      </c>
      <c r="Q1403" s="27">
        <f>IF(('Activity data'!AJ15*EF!$H28)*kgtoGg=0,"NO",('Activity data'!AJ15*EF!$H28)*kgtoGg)</f>
        <v>4.1427460620707141E-3</v>
      </c>
      <c r="R1403" s="27">
        <f>IF(('Activity data'!AK15*EF!$H28)*kgtoGg=0,"NO",('Activity data'!AK15*EF!$H28)*kgtoGg)</f>
        <v>4.1304087921358321E-3</v>
      </c>
      <c r="S1403" s="27">
        <f>IF(('Activity data'!AL15*EF!$H28)*kgtoGg=0,"NO",('Activity data'!AL15*EF!$H28)*kgtoGg)</f>
        <v>3.8942776940038416E-3</v>
      </c>
      <c r="T1403" s="27">
        <f>IF(('Activity data'!AM15*EF!$H28)*kgtoGg=0,"NO",('Activity data'!AM15*EF!$H28)*kgtoGg)</f>
        <v>3.9425050527123239E-3</v>
      </c>
      <c r="U1403" s="27">
        <f>IF(('Activity data'!AN15*EF!$H28)*kgtoGg=0,"NO",('Activity data'!AN15*EF!$H28)*kgtoGg)</f>
        <v>4.0191071248696416E-3</v>
      </c>
      <c r="V1403" s="27">
        <f>IF(('Activity data'!AO15*EF!$H28)*kgtoGg=0,"NO",('Activity data'!AO15*EF!$H28)*kgtoGg)</f>
        <v>4.0473828533201294E-3</v>
      </c>
      <c r="W1403" s="27">
        <f>IF(('Activity data'!AP15*EF!$H28)*kgtoGg=0,"NO",('Activity data'!AP15*EF!$H28)*kgtoGg)</f>
        <v>4.0809840197269919E-3</v>
      </c>
      <c r="X1403" s="27">
        <f>IF(('Activity data'!AQ15*EF!$H28)*kgtoGg=0,"NO",('Activity data'!AQ15*EF!$H28)*kgtoGg)</f>
        <v>4.1216678621320202E-3</v>
      </c>
      <c r="Y1403" s="27">
        <f>IF(('Activity data'!AR15*EF!$H28)*kgtoGg=0,"NO",('Activity data'!AR15*EF!$H28)*kgtoGg)</f>
        <v>4.1703472412361522E-3</v>
      </c>
      <c r="Z1403" s="27">
        <f>IF(('Activity data'!AS15*EF!$H28)*kgtoGg=0,"NO",('Activity data'!AS15*EF!$H28)*kgtoGg)</f>
        <v>4.2244482436929265E-3</v>
      </c>
      <c r="AA1403" s="27">
        <f>IF(('Activity data'!AT15*EF!$H28)*kgtoGg=0,"NO",('Activity data'!AT15*EF!$H28)*kgtoGg)</f>
        <v>4.2791921283487086E-3</v>
      </c>
      <c r="AB1403" s="27">
        <f>IF(('Activity data'!AU15*EF!$H28)*kgtoGg=0,"NO",('Activity data'!AU15*EF!$H28)*kgtoGg)</f>
        <v>4.3388287504468421E-3</v>
      </c>
      <c r="AC1403" s="27">
        <f>IF(('Activity data'!AV15*EF!$H28)*kgtoGg=0,"NO",('Activity data'!AV15*EF!$H28)*kgtoGg)</f>
        <v>4.3986726547954836E-3</v>
      </c>
      <c r="AD1403" s="27">
        <f>IF(('Activity data'!AW15*EF!$H28)*kgtoGg=0,"NO",('Activity data'!AW15*EF!$H28)*kgtoGg)</f>
        <v>4.4704656017983358E-3</v>
      </c>
      <c r="AE1403" s="27">
        <f>IF(('Activity data'!AX15*EF!$H28)*kgtoGg=0,"NO",('Activity data'!AX15*EF!$H28)*kgtoGg)</f>
        <v>4.539631463046338E-3</v>
      </c>
      <c r="AF1403" s="27">
        <f>IF(('Activity data'!AY15*EF!$H28)*kgtoGg=0,"NO",('Activity data'!AY15*EF!$H28)*kgtoGg)</f>
        <v>4.6121605087864415E-3</v>
      </c>
      <c r="AG1403" s="27">
        <f>IF(('Activity data'!AZ15*EF!$H28)*kgtoGg=0,"NO",('Activity data'!AZ15*EF!$H28)*kgtoGg)</f>
        <v>4.6951125632471334E-3</v>
      </c>
      <c r="AH1403" s="27">
        <f>IF(('Activity data'!BA15*EF!$H28)*kgtoGg=0,"NO",('Activity data'!BA15*EF!$H28)*kgtoGg)</f>
        <v>4.7715465683054572E-3</v>
      </c>
      <c r="AI1403" s="27">
        <f>IF(('Activity data'!BB15*EF!$H28)*kgtoGg=0,"NO",('Activity data'!BB15*EF!$H28)*kgtoGg)</f>
        <v>4.855932813312959E-3</v>
      </c>
      <c r="AJ1403" s="27">
        <f>IF(('Activity data'!BC15*EF!$H28)*kgtoGg=0,"NO",('Activity data'!BC15*EF!$H28)*kgtoGg)</f>
        <v>4.945901658536307E-3</v>
      </c>
      <c r="AK1403" s="27">
        <f>IF(('Activity data'!BD15*EF!$H28)*kgtoGg=0,"NO",('Activity data'!BD15*EF!$H28)*kgtoGg)</f>
        <v>5.0279520878702428E-3</v>
      </c>
      <c r="AL1403" s="27">
        <f>IF(('Activity data'!BE15*EF!$H28)*kgtoGg=0,"NO",('Activity data'!BE15*EF!$H28)*kgtoGg)</f>
        <v>5.1082371551630715E-3</v>
      </c>
      <c r="AM1403" s="27">
        <f>IF(('Activity data'!BF15*EF!$H28)*kgtoGg=0,"NO",('Activity data'!BF15*EF!$H28)*kgtoGg)</f>
        <v>5.1870452828056204E-3</v>
      </c>
      <c r="AN1403" s="27">
        <f>IF(('Activity data'!BG15*EF!$H28)*kgtoGg=0,"NO",('Activity data'!BG15*EF!$H28)*kgtoGg)</f>
        <v>5.27706789842347E-3</v>
      </c>
      <c r="AO1403" s="27">
        <f>IF(('Activity data'!BH15*EF!$H28)*kgtoGg=0,"NO",('Activity data'!BH15*EF!$H28)*kgtoGg)</f>
        <v>5.3619473096130918E-3</v>
      </c>
      <c r="AP1403" s="27">
        <f>IF(('Activity data'!BI15*EF!$H28)*kgtoGg=0,"NO",('Activity data'!BI15*EF!$H28)*kgtoGg)</f>
        <v>5.4495970329020271E-3</v>
      </c>
      <c r="AQ1403" s="27">
        <f>IF(('Activity data'!BJ15*EF!$H28)*kgtoGg=0,"NO",('Activity data'!BJ15*EF!$H28)*kgtoGg)</f>
        <v>5.5404524678757516E-3</v>
      </c>
      <c r="AR1403" s="27">
        <f>IF(('Activity data'!BK15*EF!$H28)*kgtoGg=0,"NO",('Activity data'!BK15*EF!$H28)*kgtoGg)</f>
        <v>5.6352215326777718E-3</v>
      </c>
      <c r="AS1403" s="27">
        <f>IF(('Activity data'!BL15*EF!$H28)*kgtoGg=0,"NO",('Activity data'!BL15*EF!$H28)*kgtoGg)</f>
        <v>5.7381722103153144E-3</v>
      </c>
      <c r="AT1403" s="27">
        <f>IF(('Activity data'!BM15*EF!$H28)*kgtoGg=0,"NO",('Activity data'!BM15*EF!$H28)*kgtoGg)</f>
        <v>5.7552832935457467E-3</v>
      </c>
      <c r="AU1403" s="27">
        <f>IF(('Activity data'!BN15*EF!$H28)*kgtoGg=0,"NO",('Activity data'!BN15*EF!$H28)*kgtoGg)</f>
        <v>5.7642783755128633E-3</v>
      </c>
      <c r="AV1403" s="27">
        <f>IF(('Activity data'!BO15*EF!$H28)*kgtoGg=0,"NO",('Activity data'!BO15*EF!$H28)*kgtoGg)</f>
        <v>5.7617518385425876E-3</v>
      </c>
      <c r="AW1403" s="27">
        <f>IF(('Activity data'!BP15*EF!$H28)*kgtoGg=0,"NO",('Activity data'!BP15*EF!$H28)*kgtoGg)</f>
        <v>5.7557818048942742E-3</v>
      </c>
    </row>
    <row r="1404" spans="1:49" x14ac:dyDescent="0.3">
      <c r="A1404" s="95" t="s">
        <v>960</v>
      </c>
      <c r="B1404" s="95"/>
      <c r="C1404" s="95"/>
      <c r="D1404" t="str">
        <f t="shared" si="549"/>
        <v>3A Livestock</v>
      </c>
      <c r="E1404" t="str">
        <f t="shared" si="549"/>
        <v>3A2 Manure management (CH4)</v>
      </c>
      <c r="F1404" t="str">
        <f>EF!C29</f>
        <v>3A1g Mules &amp; asses</v>
      </c>
      <c r="G1404" t="str">
        <f>EF!D29</f>
        <v>Mules &amp; Asses</v>
      </c>
      <c r="H1404" t="str">
        <f t="shared" si="550"/>
        <v>Manure management Emissions</v>
      </c>
      <c r="I1404" t="str">
        <f t="shared" si="550"/>
        <v>CH4</v>
      </c>
      <c r="J1404" t="str">
        <f t="shared" si="550"/>
        <v>Gg CH4</v>
      </c>
      <c r="K1404" s="27">
        <f>IF(('Activity data'!AD16*EF!$H29)*kgtoGg=0,"NO",('Activity data'!AD16*EF!$H29)*kgtoGg)</f>
        <v>7.515E-4</v>
      </c>
      <c r="L1404" s="27">
        <f>IF(('Activity data'!AE16*EF!$H29)*kgtoGg=0,"NO",('Activity data'!AE16*EF!$H29)*kgtoGg)</f>
        <v>7.515E-4</v>
      </c>
      <c r="M1404" s="27">
        <f>IF(('Activity data'!AF16*EF!$H29)*kgtoGg=0,"NO",('Activity data'!AF16*EF!$H29)*kgtoGg)</f>
        <v>7.515E-4</v>
      </c>
      <c r="N1404" s="27">
        <f>IF(('Activity data'!AG16*EF!$H29)*kgtoGg=0,"NO",('Activity data'!AG16*EF!$H29)*kgtoGg)</f>
        <v>7.515E-4</v>
      </c>
      <c r="O1404" s="27">
        <f>IF(('Activity data'!AH16*EF!$H29)*kgtoGg=0,"NO",('Activity data'!AH16*EF!$H29)*kgtoGg)</f>
        <v>7.515E-4</v>
      </c>
      <c r="P1404" s="27">
        <f>IF(('Activity data'!AI16*EF!$H29)*kgtoGg=0,"NO",('Activity data'!AI16*EF!$H29)*kgtoGg)</f>
        <v>7.515E-4</v>
      </c>
      <c r="Q1404" s="27">
        <f>IF(('Activity data'!AJ16*EF!$H29)*kgtoGg=0,"NO",('Activity data'!AJ16*EF!$H29)*kgtoGg)</f>
        <v>7.515E-4</v>
      </c>
      <c r="R1404" s="27">
        <f>IF(('Activity data'!AK16*EF!$H29)*kgtoGg=0,"NO",('Activity data'!AK16*EF!$H29)*kgtoGg)</f>
        <v>7.515E-4</v>
      </c>
      <c r="S1404" s="27">
        <f>IF(('Activity data'!AL16*EF!$H29)*kgtoGg=0,"NO",('Activity data'!AL16*EF!$H29)*kgtoGg)</f>
        <v>7.515E-4</v>
      </c>
      <c r="T1404" s="27">
        <f>IF(('Activity data'!AM16*EF!$H29)*kgtoGg=0,"NO",('Activity data'!AM16*EF!$H29)*kgtoGg)</f>
        <v>7.515E-4</v>
      </c>
      <c r="U1404" s="27">
        <f>IF(('Activity data'!AN16*EF!$H29)*kgtoGg=0,"NO",('Activity data'!AN16*EF!$H29)*kgtoGg)</f>
        <v>7.515E-4</v>
      </c>
      <c r="V1404" s="27">
        <f>IF(('Activity data'!AO16*EF!$H29)*kgtoGg=0,"NO",('Activity data'!AO16*EF!$H29)*kgtoGg)</f>
        <v>7.515E-4</v>
      </c>
      <c r="W1404" s="27">
        <f>IF(('Activity data'!AP16*EF!$H29)*kgtoGg=0,"NO",('Activity data'!AP16*EF!$H29)*kgtoGg)</f>
        <v>7.515E-4</v>
      </c>
      <c r="X1404" s="27">
        <f>IF(('Activity data'!AQ16*EF!$H29)*kgtoGg=0,"NO",('Activity data'!AQ16*EF!$H29)*kgtoGg)</f>
        <v>7.515E-4</v>
      </c>
      <c r="Y1404" s="27">
        <f>IF(('Activity data'!AR16*EF!$H29)*kgtoGg=0,"NO",('Activity data'!AR16*EF!$H29)*kgtoGg)</f>
        <v>7.515E-4</v>
      </c>
      <c r="Z1404" s="27">
        <f>IF(('Activity data'!AS16*EF!$H29)*kgtoGg=0,"NO",('Activity data'!AS16*EF!$H29)*kgtoGg)</f>
        <v>7.515E-4</v>
      </c>
      <c r="AA1404" s="27">
        <f>IF(('Activity data'!AT16*EF!$H29)*kgtoGg=0,"NO",('Activity data'!AT16*EF!$H29)*kgtoGg)</f>
        <v>7.515E-4</v>
      </c>
      <c r="AB1404" s="27">
        <f>IF(('Activity data'!AU16*EF!$H29)*kgtoGg=0,"NO",('Activity data'!AU16*EF!$H29)*kgtoGg)</f>
        <v>7.515E-4</v>
      </c>
      <c r="AC1404" s="27">
        <f>IF(('Activity data'!AV16*EF!$H29)*kgtoGg=0,"NO",('Activity data'!AV16*EF!$H29)*kgtoGg)</f>
        <v>7.515E-4</v>
      </c>
      <c r="AD1404" s="27">
        <f>IF(('Activity data'!AW16*EF!$H29)*kgtoGg=0,"NO",('Activity data'!AW16*EF!$H29)*kgtoGg)</f>
        <v>7.515E-4</v>
      </c>
      <c r="AE1404" s="27">
        <f>IF(('Activity data'!AX16*EF!$H29)*kgtoGg=0,"NO",('Activity data'!AX16*EF!$H29)*kgtoGg)</f>
        <v>7.515E-4</v>
      </c>
      <c r="AF1404" s="27">
        <f>IF(('Activity data'!AY16*EF!$H29)*kgtoGg=0,"NO",('Activity data'!AY16*EF!$H29)*kgtoGg)</f>
        <v>7.515E-4</v>
      </c>
      <c r="AG1404" s="27">
        <f>IF(('Activity data'!AZ16*EF!$H29)*kgtoGg=0,"NO",('Activity data'!AZ16*EF!$H29)*kgtoGg)</f>
        <v>7.515E-4</v>
      </c>
      <c r="AH1404" s="27">
        <f>IF(('Activity data'!BA16*EF!$H29)*kgtoGg=0,"NO",('Activity data'!BA16*EF!$H29)*kgtoGg)</f>
        <v>7.515E-4</v>
      </c>
      <c r="AI1404" s="27">
        <f>IF(('Activity data'!BB16*EF!$H29)*kgtoGg=0,"NO",('Activity data'!BB16*EF!$H29)*kgtoGg)</f>
        <v>7.515E-4</v>
      </c>
      <c r="AJ1404" s="27">
        <f>IF(('Activity data'!BC16*EF!$H29)*kgtoGg=0,"NO",('Activity data'!BC16*EF!$H29)*kgtoGg)</f>
        <v>7.515E-4</v>
      </c>
      <c r="AK1404" s="27">
        <f>IF(('Activity data'!BD16*EF!$H29)*kgtoGg=0,"NO",('Activity data'!BD16*EF!$H29)*kgtoGg)</f>
        <v>7.515E-4</v>
      </c>
      <c r="AL1404" s="27">
        <f>IF(('Activity data'!BE16*EF!$H29)*kgtoGg=0,"NO",('Activity data'!BE16*EF!$H29)*kgtoGg)</f>
        <v>7.515E-4</v>
      </c>
      <c r="AM1404" s="27">
        <f>IF(('Activity data'!BF16*EF!$H29)*kgtoGg=0,"NO",('Activity data'!BF16*EF!$H29)*kgtoGg)</f>
        <v>7.515E-4</v>
      </c>
      <c r="AN1404" s="27">
        <f>IF(('Activity data'!BG16*EF!$H29)*kgtoGg=0,"NO",('Activity data'!BG16*EF!$H29)*kgtoGg)</f>
        <v>7.515E-4</v>
      </c>
      <c r="AO1404" s="27">
        <f>IF(('Activity data'!BH16*EF!$H29)*kgtoGg=0,"NO",('Activity data'!BH16*EF!$H29)*kgtoGg)</f>
        <v>7.515E-4</v>
      </c>
      <c r="AP1404" s="27">
        <f>IF(('Activity data'!BI16*EF!$H29)*kgtoGg=0,"NO",('Activity data'!BI16*EF!$H29)*kgtoGg)</f>
        <v>7.515E-4</v>
      </c>
      <c r="AQ1404" s="27">
        <f>IF(('Activity data'!BJ16*EF!$H29)*kgtoGg=0,"NO",('Activity data'!BJ16*EF!$H29)*kgtoGg)</f>
        <v>7.515E-4</v>
      </c>
      <c r="AR1404" s="27">
        <f>IF(('Activity data'!BK16*EF!$H29)*kgtoGg=0,"NO",('Activity data'!BK16*EF!$H29)*kgtoGg)</f>
        <v>7.515E-4</v>
      </c>
      <c r="AS1404" s="27">
        <f>IF(('Activity data'!BL16*EF!$H29)*kgtoGg=0,"NO",('Activity data'!BL16*EF!$H29)*kgtoGg)</f>
        <v>7.515E-4</v>
      </c>
      <c r="AT1404" s="27">
        <f>IF(('Activity data'!BM16*EF!$H29)*kgtoGg=0,"NO",('Activity data'!BM16*EF!$H29)*kgtoGg)</f>
        <v>7.515E-4</v>
      </c>
      <c r="AU1404" s="27">
        <f>IF(('Activity data'!BN16*EF!$H29)*kgtoGg=0,"NO",('Activity data'!BN16*EF!$H29)*kgtoGg)</f>
        <v>7.515E-4</v>
      </c>
      <c r="AV1404" s="27">
        <f>IF(('Activity data'!BO16*EF!$H29)*kgtoGg=0,"NO",('Activity data'!BO16*EF!$H29)*kgtoGg)</f>
        <v>7.515E-4</v>
      </c>
      <c r="AW1404" s="27">
        <f>IF(('Activity data'!BP16*EF!$H29)*kgtoGg=0,"NO",('Activity data'!BP16*EF!$H29)*kgtoGg)</f>
        <v>7.515E-4</v>
      </c>
    </row>
    <row r="1405" spans="1:49" x14ac:dyDescent="0.3">
      <c r="A1405" s="95" t="s">
        <v>960</v>
      </c>
      <c r="B1405" s="95"/>
      <c r="C1405" s="95"/>
      <c r="D1405" t="str">
        <f t="shared" si="549"/>
        <v>3A Livestock</v>
      </c>
      <c r="E1405" t="str">
        <f t="shared" si="549"/>
        <v>3A2 Manure management (CH4)</v>
      </c>
      <c r="F1405" t="str">
        <f>EF!C30</f>
        <v>3A1h Swine</v>
      </c>
      <c r="G1405" t="str">
        <f>EF!D30</f>
        <v>Commercial</v>
      </c>
      <c r="H1405" t="str">
        <f t="shared" si="550"/>
        <v>Manure management Emissions</v>
      </c>
      <c r="I1405" t="str">
        <f t="shared" si="550"/>
        <v>CH4</v>
      </c>
      <c r="J1405" t="str">
        <f t="shared" si="550"/>
        <v>Gg CH4</v>
      </c>
      <c r="K1405" s="27">
        <f>IF(('Activity data'!AD17*EF!$H30)*kgtoGg=0,"NO",('Activity data'!AD17*EF!$H30)*kgtoGg)</f>
        <v>23.279067868377393</v>
      </c>
      <c r="L1405" s="27">
        <f>IF(('Activity data'!AE17*EF!$H30)*kgtoGg=0,"NO",('Activity data'!AE17*EF!$H30)*kgtoGg)</f>
        <v>23.152530650802596</v>
      </c>
      <c r="M1405" s="27">
        <f>IF(('Activity data'!AF17*EF!$H30)*kgtoGg=0,"NO",('Activity data'!AF17*EF!$H30)*kgtoGg)</f>
        <v>23.162916433064304</v>
      </c>
      <c r="N1405" s="27">
        <f>IF(('Activity data'!AG17*EF!$H30)*kgtoGg=0,"NO",('Activity data'!AG17*EF!$H30)*kgtoGg)</f>
        <v>22.950263110497293</v>
      </c>
      <c r="O1405" s="27">
        <f>IF(('Activity data'!AH17*EF!$H30)*kgtoGg=0,"NO",('Activity data'!AH17*EF!$H30)*kgtoGg)</f>
        <v>22.602951186820601</v>
      </c>
      <c r="P1405" s="27">
        <f>IF(('Activity data'!AI17*EF!$H30)*kgtoGg=0,"NO",('Activity data'!AI17*EF!$H30)*kgtoGg)</f>
        <v>22.126532811374943</v>
      </c>
      <c r="Q1405" s="27">
        <f>IF(('Activity data'!AJ17*EF!$H30)*kgtoGg=0,"NO",('Activity data'!AJ17*EF!$H30)*kgtoGg)</f>
        <v>21.780600237355962</v>
      </c>
      <c r="R1405" s="27">
        <f>IF(('Activity data'!AK17*EF!$H30)*kgtoGg=0,"NO",('Activity data'!AK17*EF!$H30)*kgtoGg)</f>
        <v>21.465278056857681</v>
      </c>
      <c r="S1405" s="27">
        <f>IF(('Activity data'!AL17*EF!$H30)*kgtoGg=0,"NO",('Activity data'!AL17*EF!$H30)*kgtoGg)</f>
        <v>18.952765181798245</v>
      </c>
      <c r="T1405" s="27">
        <f>IF(('Activity data'!AM17*EF!$H30)*kgtoGg=0,"NO",('Activity data'!AM17*EF!$H30)*kgtoGg)</f>
        <v>19.192435731964196</v>
      </c>
      <c r="U1405" s="27">
        <f>IF(('Activity data'!AN17*EF!$H30)*kgtoGg=0,"NO",('Activity data'!AN17*EF!$H30)*kgtoGg)</f>
        <v>19.706721684105471</v>
      </c>
      <c r="V1405" s="27">
        <f>IF(('Activity data'!AO17*EF!$H30)*kgtoGg=0,"NO",('Activity data'!AO17*EF!$H30)*kgtoGg)</f>
        <v>19.753416176775058</v>
      </c>
      <c r="W1405" s="27">
        <f>IF(('Activity data'!AP17*EF!$H30)*kgtoGg=0,"NO",('Activity data'!AP17*EF!$H30)*kgtoGg)</f>
        <v>19.854535695194098</v>
      </c>
      <c r="X1405" s="27">
        <f>IF(('Activity data'!AQ17*EF!$H30)*kgtoGg=0,"NO",('Activity data'!AQ17*EF!$H30)*kgtoGg)</f>
        <v>20.024553174699502</v>
      </c>
      <c r="Y1405" s="27">
        <f>IF(('Activity data'!AR17*EF!$H30)*kgtoGg=0,"NO",('Activity data'!AR17*EF!$H30)*kgtoGg)</f>
        <v>20.23789112840667</v>
      </c>
      <c r="Z1405" s="27">
        <f>IF(('Activity data'!AS17*EF!$H30)*kgtoGg=0,"NO",('Activity data'!AS17*EF!$H30)*kgtoGg)</f>
        <v>20.499318704805695</v>
      </c>
      <c r="AA1405" s="27">
        <f>IF(('Activity data'!AT17*EF!$H30)*kgtoGg=0,"NO",('Activity data'!AT17*EF!$H30)*kgtoGg)</f>
        <v>20.763803414840964</v>
      </c>
      <c r="AB1405" s="27">
        <f>IF(('Activity data'!AU17*EF!$H30)*kgtoGg=0,"NO",('Activity data'!AU17*EF!$H30)*kgtoGg)</f>
        <v>21.06916344985618</v>
      </c>
      <c r="AC1405" s="27">
        <f>IF(('Activity data'!AV17*EF!$H30)*kgtoGg=0,"NO",('Activity data'!AV17*EF!$H30)*kgtoGg)</f>
        <v>21.372415897013145</v>
      </c>
      <c r="AD1405" s="27">
        <f>IF(('Activity data'!AW17*EF!$H30)*kgtoGg=0,"NO",('Activity data'!AW17*EF!$H30)*kgtoGg)</f>
        <v>21.74943786655458</v>
      </c>
      <c r="AE1405" s="27">
        <f>IF(('Activity data'!AX17*EF!$H30)*kgtoGg=0,"NO",('Activity data'!AX17*EF!$H30)*kgtoGg)</f>
        <v>22.096514126462726</v>
      </c>
      <c r="AF1405" s="27">
        <f>IF(('Activity data'!AY17*EF!$H30)*kgtoGg=0,"NO",('Activity data'!AY17*EF!$H30)*kgtoGg)</f>
        <v>22.465831015653421</v>
      </c>
      <c r="AG1405" s="27">
        <f>IF(('Activity data'!AZ17*EF!$H30)*kgtoGg=0,"NO",('Activity data'!AZ17*EF!$H30)*kgtoGg)</f>
        <v>22.916349440576454</v>
      </c>
      <c r="AH1405" s="27">
        <f>IF(('Activity data'!BA17*EF!$H30)*kgtoGg=0,"NO",('Activity data'!BA17*EF!$H30)*kgtoGg)</f>
        <v>23.303196681672105</v>
      </c>
      <c r="AI1405" s="27">
        <f>IF(('Activity data'!BB17*EF!$H30)*kgtoGg=0,"NO",('Activity data'!BB17*EF!$H30)*kgtoGg)</f>
        <v>23.720738750345618</v>
      </c>
      <c r="AJ1405" s="27">
        <f>IF(('Activity data'!BC17*EF!$H30)*kgtoGg=0,"NO",('Activity data'!BC17*EF!$H30)*kgtoGg)</f>
        <v>24.1739099146189</v>
      </c>
      <c r="AK1405" s="27">
        <f>IF(('Activity data'!BD17*EF!$H30)*kgtoGg=0,"NO",('Activity data'!BD17*EF!$H30)*kgtoGg)</f>
        <v>24.551957379803568</v>
      </c>
      <c r="AL1405" s="27">
        <f>IF(('Activity data'!BE17*EF!$H30)*kgtoGg=0,"NO",('Activity data'!BE17*EF!$H30)*kgtoGg)</f>
        <v>24.90648475217996</v>
      </c>
      <c r="AM1405" s="27">
        <f>IF(('Activity data'!BF17*EF!$H30)*kgtoGg=0,"NO",('Activity data'!BF17*EF!$H30)*kgtoGg)</f>
        <v>25.240351368122212</v>
      </c>
      <c r="AN1405" s="27">
        <f>IF(('Activity data'!BG17*EF!$H30)*kgtoGg=0,"NO",('Activity data'!BG17*EF!$H30)*kgtoGg)</f>
        <v>25.625854072975109</v>
      </c>
      <c r="AO1405" s="27">
        <f>IF(('Activity data'!BH17*EF!$H30)*kgtoGg=0,"NO",('Activity data'!BH17*EF!$H30)*kgtoGg)</f>
        <v>25.960227974531257</v>
      </c>
      <c r="AP1405" s="27">
        <f>IF(('Activity data'!BI17*EF!$H30)*kgtoGg=0,"NO",('Activity data'!BI17*EF!$H30)*kgtoGg)</f>
        <v>26.305386782253809</v>
      </c>
      <c r="AQ1405" s="27">
        <f>IF(('Activity data'!BJ17*EF!$H30)*kgtoGg=0,"NO",('Activity data'!BJ17*EF!$H30)*kgtoGg)</f>
        <v>26.663933949781747</v>
      </c>
      <c r="AR1405" s="27">
        <f>IF(('Activity data'!BK17*EF!$H30)*kgtoGg=0,"NO",('Activity data'!BK17*EF!$H30)*kgtoGg)</f>
        <v>27.040355797157176</v>
      </c>
      <c r="AS1405" s="27">
        <f>IF(('Activity data'!BL17*EF!$H30)*kgtoGg=0,"NO",('Activity data'!BL17*EF!$H30)*kgtoGg)</f>
        <v>27.435623697912018</v>
      </c>
      <c r="AT1405" s="27">
        <f>IF(('Activity data'!BM17*EF!$H30)*kgtoGg=0,"NO",('Activity data'!BM17*EF!$H30)*kgtoGg)</f>
        <v>27.195097752022821</v>
      </c>
      <c r="AU1405" s="27">
        <f>IF(('Activity data'!BN17*EF!$H30)*kgtoGg=0,"NO",('Activity data'!BN17*EF!$H30)*kgtoGg)</f>
        <v>26.898987311246398</v>
      </c>
      <c r="AV1405" s="27">
        <f>IF(('Activity data'!BO17*EF!$H30)*kgtoGg=0,"NO",('Activity data'!BO17*EF!$H30)*kgtoGg)</f>
        <v>26.52534739576117</v>
      </c>
      <c r="AW1405" s="27">
        <f>IF(('Activity data'!BP17*EF!$H30)*kgtoGg=0,"NO",('Activity data'!BP17*EF!$H30)*kgtoGg)</f>
        <v>26.133382968648512</v>
      </c>
    </row>
    <row r="1406" spans="1:49" x14ac:dyDescent="0.3">
      <c r="A1406" s="95" t="s">
        <v>960</v>
      </c>
      <c r="B1406" s="95"/>
      <c r="C1406" s="95"/>
      <c r="D1406" t="str">
        <f t="shared" si="549"/>
        <v>3A Livestock</v>
      </c>
      <c r="E1406" t="str">
        <f t="shared" si="549"/>
        <v>3A2 Manure management (CH4)</v>
      </c>
      <c r="F1406" t="str">
        <f>EF!C31</f>
        <v>3A1h Swine</v>
      </c>
      <c r="G1406" t="str">
        <f>EF!D31</f>
        <v>Subsistence</v>
      </c>
      <c r="H1406" t="str">
        <f t="shared" si="550"/>
        <v>Manure management Emissions</v>
      </c>
      <c r="I1406" t="str">
        <f t="shared" si="550"/>
        <v>CH4</v>
      </c>
      <c r="J1406" t="str">
        <f t="shared" si="550"/>
        <v>Gg CH4</v>
      </c>
      <c r="K1406" s="27">
        <f>IF(('Activity data'!AD18*EF!$H31)*kgtoGg=0,"NO",('Activity data'!AD18*EF!$H31)*kgtoGg)</f>
        <v>7.7932061732677776E-2</v>
      </c>
      <c r="L1406" s="27">
        <f>IF(('Activity data'!AE18*EF!$H31)*kgtoGg=0,"NO",('Activity data'!AE18*EF!$H31)*kgtoGg)</f>
        <v>7.7508449141861113E-2</v>
      </c>
      <c r="M1406" s="27">
        <f>IF(('Activity data'!AF18*EF!$H31)*kgtoGg=0,"NO",('Activity data'!AF18*EF!$H31)*kgtoGg)</f>
        <v>7.7543217949140597E-2</v>
      </c>
      <c r="N1406" s="27">
        <f>IF(('Activity data'!AG18*EF!$H31)*kgtoGg=0,"NO",('Activity data'!AG18*EF!$H31)*kgtoGg)</f>
        <v>7.6831311787104617E-2</v>
      </c>
      <c r="O1406" s="27">
        <f>IF(('Activity data'!AH18*EF!$H31)*kgtoGg=0,"NO",('Activity data'!AH18*EF!$H31)*kgtoGg)</f>
        <v>7.5668604825232008E-2</v>
      </c>
      <c r="P1406" s="27">
        <f>IF(('Activity data'!AI18*EF!$H31)*kgtoGg=0,"NO",('Activity data'!AI18*EF!$H31)*kgtoGg)</f>
        <v>7.4073684167079379E-2</v>
      </c>
      <c r="Q1406" s="27">
        <f>IF(('Activity data'!AJ18*EF!$H31)*kgtoGg=0,"NO",('Activity data'!AJ18*EF!$H31)*kgtoGg)</f>
        <v>7.2915594897087016E-2</v>
      </c>
      <c r="R1406" s="27">
        <f>IF(('Activity data'!AK18*EF!$H31)*kgtoGg=0,"NO",('Activity data'!AK18*EF!$H31)*kgtoGg)</f>
        <v>7.1859980996426681E-2</v>
      </c>
      <c r="S1406" s="27">
        <f>IF(('Activity data'!AL18*EF!$H31)*kgtoGg=0,"NO",('Activity data'!AL18*EF!$H31)*kgtoGg)</f>
        <v>6.344876326252144E-2</v>
      </c>
      <c r="T1406" s="27">
        <f>IF(('Activity data'!AM18*EF!$H31)*kgtoGg=0,"NO",('Activity data'!AM18*EF!$H31)*kgtoGg)</f>
        <v>6.4251115840238279E-2</v>
      </c>
      <c r="U1406" s="27">
        <f>IF(('Activity data'!AN18*EF!$H31)*kgtoGg=0,"NO",('Activity data'!AN18*EF!$H31)*kgtoGg)</f>
        <v>6.5972806966237654E-2</v>
      </c>
      <c r="V1406" s="27">
        <f>IF(('Activity data'!AO18*EF!$H31)*kgtoGg=0,"NO",('Activity data'!AO18*EF!$H31)*kgtoGg)</f>
        <v>6.6129127576060945E-2</v>
      </c>
      <c r="W1406" s="27">
        <f>IF(('Activity data'!AP18*EF!$H31)*kgtoGg=0,"NO",('Activity data'!AP18*EF!$H31)*kgtoGg)</f>
        <v>6.6467648542465979E-2</v>
      </c>
      <c r="X1406" s="27">
        <f>IF(('Activity data'!AQ18*EF!$H31)*kgtoGg=0,"NO",('Activity data'!AQ18*EF!$H31)*kgtoGg)</f>
        <v>6.7036821362587692E-2</v>
      </c>
      <c r="Y1406" s="27">
        <f>IF(('Activity data'!AR18*EF!$H31)*kgtoGg=0,"NO",('Activity data'!AR18*EF!$H31)*kgtoGg)</f>
        <v>6.775101948564978E-2</v>
      </c>
      <c r="Z1406" s="27">
        <f>IF(('Activity data'!AS18*EF!$H31)*kgtoGg=0,"NO",('Activity data'!AS18*EF!$H31)*kgtoGg)</f>
        <v>6.8626208738834141E-2</v>
      </c>
      <c r="AA1406" s="27">
        <f>IF(('Activity data'!AT18*EF!$H31)*kgtoGg=0,"NO",('Activity data'!AT18*EF!$H31)*kgtoGg)</f>
        <v>6.951163245366497E-2</v>
      </c>
      <c r="AB1406" s="27">
        <f>IF(('Activity data'!AU18*EF!$H31)*kgtoGg=0,"NO",('Activity data'!AU18*EF!$H31)*kgtoGg)</f>
        <v>7.0533895769105751E-2</v>
      </c>
      <c r="AC1406" s="27">
        <f>IF(('Activity data'!AV18*EF!$H31)*kgtoGg=0,"NO",('Activity data'!AV18*EF!$H31)*kgtoGg)</f>
        <v>7.1549103446923737E-2</v>
      </c>
      <c r="AD1406" s="27">
        <f>IF(('Activity data'!AW18*EF!$H31)*kgtoGg=0,"NO",('Activity data'!AW18*EF!$H31)*kgtoGg)</f>
        <v>7.2811271656192611E-2</v>
      </c>
      <c r="AE1406" s="27">
        <f>IF(('Activity data'!AX18*EF!$H31)*kgtoGg=0,"NO",('Activity data'!AX18*EF!$H31)*kgtoGg)</f>
        <v>7.3973189679115328E-2</v>
      </c>
      <c r="AF1406" s="27">
        <f>IF(('Activity data'!AY18*EF!$H31)*kgtoGg=0,"NO",('Activity data'!AY18*EF!$H31)*kgtoGg)</f>
        <v>7.5209563350521091E-2</v>
      </c>
      <c r="AG1406" s="27">
        <f>IF(('Activity data'!AZ18*EF!$H31)*kgtoGg=0,"NO",('Activity data'!AZ18*EF!$H31)*kgtoGg)</f>
        <v>7.6717777936316622E-2</v>
      </c>
      <c r="AH1406" s="27">
        <f>IF(('Activity data'!BA18*EF!$H31)*kgtoGg=0,"NO",('Activity data'!BA18*EF!$H31)*kgtoGg)</f>
        <v>7.801283851368343E-2</v>
      </c>
      <c r="AI1406" s="27">
        <f>IF(('Activity data'!BB18*EF!$H31)*kgtoGg=0,"NO",('Activity data'!BB18*EF!$H31)*kgtoGg)</f>
        <v>7.9410657122909484E-2</v>
      </c>
      <c r="AJ1406" s="27">
        <f>IF(('Activity data'!BC18*EF!$H31)*kgtoGg=0,"NO",('Activity data'!BC18*EF!$H31)*kgtoGg)</f>
        <v>8.0927752366984504E-2</v>
      </c>
      <c r="AK1406" s="27">
        <f>IF(('Activity data'!BD18*EF!$H31)*kgtoGg=0,"NO",('Activity data'!BD18*EF!$H31)*kgtoGg)</f>
        <v>8.2193353660010307E-2</v>
      </c>
      <c r="AL1406" s="27">
        <f>IF(('Activity data'!BE18*EF!$H31)*kgtoGg=0,"NO",('Activity data'!BE18*EF!$H31)*kgtoGg)</f>
        <v>8.3380216004592958E-2</v>
      </c>
      <c r="AM1406" s="27">
        <f>IF(('Activity data'!BF18*EF!$H31)*kgtoGg=0,"NO",('Activity data'!BF18*EF!$H31)*kgtoGg)</f>
        <v>8.4497911690313968E-2</v>
      </c>
      <c r="AN1406" s="27">
        <f>IF(('Activity data'!BG18*EF!$H31)*kgtoGg=0,"NO",('Activity data'!BG18*EF!$H31)*kgtoGg)</f>
        <v>8.5788471121755847E-2</v>
      </c>
      <c r="AO1406" s="27">
        <f>IF(('Activity data'!BH18*EF!$H31)*kgtoGg=0,"NO",('Activity data'!BH18*EF!$H31)*kgtoGg)</f>
        <v>8.6907865063352116E-2</v>
      </c>
      <c r="AP1406" s="27">
        <f>IF(('Activity data'!BI18*EF!$H31)*kgtoGg=0,"NO",('Activity data'!BI18*EF!$H31)*kgtoGg)</f>
        <v>8.8063363971774958E-2</v>
      </c>
      <c r="AQ1406" s="27">
        <f>IF(('Activity data'!BJ18*EF!$H31)*kgtoGg=0,"NO",('Activity data'!BJ18*EF!$H31)*kgtoGg)</f>
        <v>8.9263683509990727E-2</v>
      </c>
      <c r="AR1406" s="27">
        <f>IF(('Activity data'!BK18*EF!$H31)*kgtoGg=0,"NO",('Activity data'!BK18*EF!$H31)*kgtoGg)</f>
        <v>9.0523842671562632E-2</v>
      </c>
      <c r="AS1406" s="27">
        <f>IF(('Activity data'!BL18*EF!$H31)*kgtoGg=0,"NO",('Activity data'!BL18*EF!$H31)*kgtoGg)</f>
        <v>9.1847093353967207E-2</v>
      </c>
      <c r="AT1406" s="27">
        <f>IF(('Activity data'!BM18*EF!$H31)*kgtoGg=0,"NO",('Activity data'!BM18*EF!$H31)*kgtoGg)</f>
        <v>9.1041877141302144E-2</v>
      </c>
      <c r="AU1406" s="27">
        <f>IF(('Activity data'!BN18*EF!$H31)*kgtoGg=0,"NO",('Activity data'!BN18*EF!$H31)*kgtoGg)</f>
        <v>9.0050578981051232E-2</v>
      </c>
      <c r="AV1406" s="27">
        <f>IF(('Activity data'!BO18*EF!$H31)*kgtoGg=0,"NO",('Activity data'!BO18*EF!$H31)*kgtoGg)</f>
        <v>8.8799732979655169E-2</v>
      </c>
      <c r="AW1406" s="27">
        <f>IF(('Activity data'!BP18*EF!$H31)*kgtoGg=0,"NO",('Activity data'!BP18*EF!$H31)*kgtoGg)</f>
        <v>8.7487541439019989E-2</v>
      </c>
    </row>
    <row r="1407" spans="1:49" x14ac:dyDescent="0.3">
      <c r="A1407" s="95" t="s">
        <v>960</v>
      </c>
      <c r="B1407" s="95"/>
      <c r="C1407" s="95"/>
      <c r="D1407" t="str">
        <f t="shared" si="549"/>
        <v>3A Livestock</v>
      </c>
      <c r="E1407" t="str">
        <f t="shared" si="549"/>
        <v>3A2 Manure management (CH4)</v>
      </c>
      <c r="F1407" t="str">
        <f>EF!C32</f>
        <v>3A2i Poultry</v>
      </c>
      <c r="G1407" t="str">
        <f>EF!D32</f>
        <v>Commercial layers</v>
      </c>
      <c r="H1407" t="str">
        <f t="shared" si="550"/>
        <v>Manure management Emissions</v>
      </c>
      <c r="I1407" t="str">
        <f t="shared" si="550"/>
        <v>CH4</v>
      </c>
      <c r="J1407" t="str">
        <f t="shared" si="550"/>
        <v>Gg CH4</v>
      </c>
      <c r="K1407" s="27">
        <f>IF(('Activity data'!AD19*EF!$H32)*kgtoGg=0,"NO",('Activity data'!AD19*EF!$H32)*kgtoGg)</f>
        <v>0.55586528215230246</v>
      </c>
      <c r="L1407" s="27">
        <f>IF(('Activity data'!AE19*EF!$H32)*kgtoGg=0,"NO",('Activity data'!AE19*EF!$H32)*kgtoGg)</f>
        <v>0.56716712532642333</v>
      </c>
      <c r="M1407" s="27">
        <f>IF(('Activity data'!AF19*EF!$H32)*kgtoGg=0,"NO",('Activity data'!AF19*EF!$H32)*kgtoGg)</f>
        <v>0.58037790885594753</v>
      </c>
      <c r="N1407" s="27">
        <f>IF(('Activity data'!AG19*EF!$H32)*kgtoGg=0,"NO",('Activity data'!AG19*EF!$H32)*kgtoGg)</f>
        <v>0.5905201523722613</v>
      </c>
      <c r="O1407" s="27">
        <f>IF(('Activity data'!AH19*EF!$H32)*kgtoGg=0,"NO",('Activity data'!AH19*EF!$H32)*kgtoGg)</f>
        <v>0.5986618277459016</v>
      </c>
      <c r="P1407" s="27">
        <f>IF(('Activity data'!AI19*EF!$H32)*kgtoGg=0,"NO",('Activity data'!AI19*EF!$H32)*kgtoGg)</f>
        <v>0.60475451589519691</v>
      </c>
      <c r="Q1407" s="27">
        <f>IF(('Activity data'!AJ19*EF!$H32)*kgtoGg=0,"NO",('Activity data'!AJ19*EF!$H32)*kgtoGg)</f>
        <v>0.61256702388185857</v>
      </c>
      <c r="R1407" s="27">
        <f>IF(('Activity data'!AK19*EF!$H32)*kgtoGg=0,"NO",('Activity data'!AK19*EF!$H32)*kgtoGg)</f>
        <v>0.6206898695388976</v>
      </c>
      <c r="S1407" s="27">
        <f>IF(('Activity data'!AL19*EF!$H32)*kgtoGg=0,"NO",('Activity data'!AL19*EF!$H32)*kgtoGg)</f>
        <v>0.59306384026239212</v>
      </c>
      <c r="T1407" s="27">
        <f>IF(('Activity data'!AM19*EF!$H32)*kgtoGg=0,"NO",('Activity data'!AM19*EF!$H32)*kgtoGg)</f>
        <v>0.60782510553672808</v>
      </c>
      <c r="U1407" s="27">
        <f>IF(('Activity data'!AN19*EF!$H32)*kgtoGg=0,"NO",('Activity data'!AN19*EF!$H32)*kgtoGg)</f>
        <v>0.62749693593989653</v>
      </c>
      <c r="V1407" s="27">
        <f>IF(('Activity data'!AO19*EF!$H32)*kgtoGg=0,"NO",('Activity data'!AO19*EF!$H32)*kgtoGg)</f>
        <v>0.63952779473480192</v>
      </c>
      <c r="W1407" s="27">
        <f>IF(('Activity data'!AP19*EF!$H32)*kgtoGg=0,"NO",('Activity data'!AP19*EF!$H32)*kgtoGg)</f>
        <v>0.65264407206550135</v>
      </c>
      <c r="X1407" s="27">
        <f>IF(('Activity data'!AQ19*EF!$H32)*kgtoGg=0,"NO",('Activity data'!AQ19*EF!$H32)*kgtoGg)</f>
        <v>0.66717765079794833</v>
      </c>
      <c r="Y1407" s="27">
        <f>IF(('Activity data'!AR19*EF!$H32)*kgtoGg=0,"NO",('Activity data'!AR19*EF!$H32)*kgtoGg)</f>
        <v>0.68218893777565714</v>
      </c>
      <c r="Z1407" s="27">
        <f>IF(('Activity data'!AS19*EF!$H32)*kgtoGg=0,"NO",('Activity data'!AS19*EF!$H32)*kgtoGg)</f>
        <v>0.6983681341066772</v>
      </c>
      <c r="AA1407" s="27">
        <f>IF(('Activity data'!AT19*EF!$H32)*kgtoGg=0,"NO",('Activity data'!AT19*EF!$H32)*kgtoGg)</f>
        <v>0.71491117725499365</v>
      </c>
      <c r="AB1407" s="27">
        <f>IF(('Activity data'!AU19*EF!$H32)*kgtoGg=0,"NO",('Activity data'!AU19*EF!$H32)*kgtoGg)</f>
        <v>0.73257463286693114</v>
      </c>
      <c r="AC1407" s="27">
        <f>IF(('Activity data'!AV19*EF!$H32)*kgtoGg=0,"NO",('Activity data'!AV19*EF!$H32)*kgtoGg)</f>
        <v>0.7505526685248175</v>
      </c>
      <c r="AD1407" s="27">
        <f>IF(('Activity data'!AW19*EF!$H32)*kgtoGg=0,"NO",('Activity data'!AW19*EF!$H32)*kgtoGg)</f>
        <v>0.76994977468450398</v>
      </c>
      <c r="AE1407" s="27">
        <f>IF(('Activity data'!AX19*EF!$H32)*kgtoGg=0,"NO",('Activity data'!AX19*EF!$H32)*kgtoGg)</f>
        <v>0.78914658446111008</v>
      </c>
      <c r="AF1407" s="27">
        <f>IF(('Activity data'!AY19*EF!$H32)*kgtoGg=0,"NO",('Activity data'!AY19*EF!$H32)*kgtoGg)</f>
        <v>0.80922915626502845</v>
      </c>
      <c r="AG1407" s="27">
        <f>IF(('Activity data'!AZ19*EF!$H32)*kgtoGg=0,"NO",('Activity data'!AZ19*EF!$H32)*kgtoGg)</f>
        <v>0.83151801683952153</v>
      </c>
      <c r="AH1407" s="27">
        <f>IF(('Activity data'!BA19*EF!$H32)*kgtoGg=0,"NO",('Activity data'!BA19*EF!$H32)*kgtoGg)</f>
        <v>0.85291597213422199</v>
      </c>
      <c r="AI1407" s="27">
        <f>IF(('Activity data'!BB19*EF!$H32)*kgtoGg=0,"NO",('Activity data'!BB19*EF!$H32)*kgtoGg)</f>
        <v>0.87504492147223956</v>
      </c>
      <c r="AJ1407" s="27">
        <f>IF(('Activity data'!BC19*EF!$H32)*kgtoGg=0,"NO",('Activity data'!BC19*EF!$H32)*kgtoGg)</f>
        <v>0.89850514567918238</v>
      </c>
      <c r="AK1407" s="27">
        <f>IF(('Activity data'!BD19*EF!$H32)*kgtoGg=0,"NO",('Activity data'!BD19*EF!$H32)*kgtoGg)</f>
        <v>0.92075676441275556</v>
      </c>
      <c r="AL1407" s="27">
        <f>IF(('Activity data'!BE19*EF!$H32)*kgtoGg=0,"NO",('Activity data'!BE19*EF!$H32)*kgtoGg)</f>
        <v>0.94294773672658772</v>
      </c>
      <c r="AM1407" s="27">
        <f>IF(('Activity data'!BF19*EF!$H32)*kgtoGg=0,"NO",('Activity data'!BF19*EF!$H32)*kgtoGg)</f>
        <v>0.96512911525862388</v>
      </c>
      <c r="AN1407" s="27">
        <f>IF(('Activity data'!BG19*EF!$H32)*kgtoGg=0,"NO",('Activity data'!BG19*EF!$H32)*kgtoGg)</f>
        <v>0.98866250207381989</v>
      </c>
      <c r="AO1407" s="27">
        <f>IF(('Activity data'!BH19*EF!$H32)*kgtoGg=0,"NO",('Activity data'!BH19*EF!$H32)*kgtoGg)</f>
        <v>1.0114465581050009</v>
      </c>
      <c r="AP1407" s="27">
        <f>IF(('Activity data'!BI19*EF!$H32)*kgtoGg=0,"NO",('Activity data'!BI19*EF!$H32)*kgtoGg)</f>
        <v>1.0350196328361636</v>
      </c>
      <c r="AQ1407" s="27">
        <f>IF(('Activity data'!BJ19*EF!$H32)*kgtoGg=0,"NO",('Activity data'!BJ19*EF!$H32)*kgtoGg)</f>
        <v>1.0594801323783987</v>
      </c>
      <c r="AR1407" s="27">
        <f>IF(('Activity data'!BK19*EF!$H32)*kgtoGg=0,"NO",('Activity data'!BK19*EF!$H32)*kgtoGg)</f>
        <v>1.0849829625275211</v>
      </c>
      <c r="AS1407" s="27">
        <f>IF(('Activity data'!BL19*EF!$H32)*kgtoGg=0,"NO",('Activity data'!BL19*EF!$H32)*kgtoGg)</f>
        <v>1.1111668702046387</v>
      </c>
      <c r="AT1407" s="27">
        <f>IF(('Activity data'!BM19*EF!$H32)*kgtoGg=0,"NO",('Activity data'!BM19*EF!$H32)*kgtoGg)</f>
        <v>1.1203381651267506</v>
      </c>
      <c r="AU1407" s="27">
        <f>IF(('Activity data'!BN19*EF!$H32)*kgtoGg=0,"NO",('Activity data'!BN19*EF!$H32)*kgtoGg)</f>
        <v>1.1279342308342708</v>
      </c>
      <c r="AV1407" s="27">
        <f>IF(('Activity data'!BO19*EF!$H32)*kgtoGg=0,"NO",('Activity data'!BO19*EF!$H32)*kgtoGg)</f>
        <v>1.13323884791937</v>
      </c>
      <c r="AW1407" s="27">
        <f>IF(('Activity data'!BP19*EF!$H32)*kgtoGg=0,"NO",('Activity data'!BP19*EF!$H32)*kgtoGg)</f>
        <v>1.137864963271239</v>
      </c>
    </row>
    <row r="1408" spans="1:49" x14ac:dyDescent="0.3">
      <c r="A1408" s="95" t="s">
        <v>960</v>
      </c>
      <c r="B1408" s="95"/>
      <c r="C1408" s="95"/>
      <c r="D1408" t="str">
        <f t="shared" si="549"/>
        <v>3A Livestock</v>
      </c>
      <c r="E1408" t="str">
        <f t="shared" si="549"/>
        <v>3A2 Manure management (CH4)</v>
      </c>
      <c r="F1408" t="str">
        <f>EF!C33</f>
        <v>3A2i Poultry</v>
      </c>
      <c r="G1408" t="str">
        <f>EF!D33</f>
        <v>Commercial broilers</v>
      </c>
      <c r="H1408" t="str">
        <f t="shared" si="550"/>
        <v>Manure management Emissions</v>
      </c>
      <c r="I1408" t="str">
        <f t="shared" si="550"/>
        <v>CH4</v>
      </c>
      <c r="J1408" t="str">
        <f t="shared" si="550"/>
        <v>Gg CH4</v>
      </c>
      <c r="K1408" s="27">
        <f>IF(('Activity data'!AD20*EF!$H33)*kgtoGg=0,"NO",('Activity data'!AD20*EF!$H33)*kgtoGg)</f>
        <v>2.2100196981344111</v>
      </c>
      <c r="L1408" s="27">
        <f>IF(('Activity data'!AE20*EF!$H33)*kgtoGg=0,"NO",('Activity data'!AE20*EF!$H33)*kgtoGg)</f>
        <v>2.2391217074451477</v>
      </c>
      <c r="M1408" s="27">
        <f>IF(('Activity data'!AF20*EF!$H33)*kgtoGg=0,"NO",('Activity data'!AF20*EF!$H33)*kgtoGg)</f>
        <v>2.2858678822724823</v>
      </c>
      <c r="N1408" s="27">
        <f>IF(('Activity data'!AG20*EF!$H33)*kgtoGg=0,"NO",('Activity data'!AG20*EF!$H33)*kgtoGg)</f>
        <v>2.2992900748078591</v>
      </c>
      <c r="O1408" s="27">
        <f>IF(('Activity data'!AH20*EF!$H33)*kgtoGg=0,"NO",('Activity data'!AH20*EF!$H33)*kgtoGg)</f>
        <v>2.2910596881616572</v>
      </c>
      <c r="P1408" s="27">
        <f>IF(('Activity data'!AI20*EF!$H33)*kgtoGg=0,"NO",('Activity data'!AI20*EF!$H33)*kgtoGg)</f>
        <v>2.2612642885898917</v>
      </c>
      <c r="Q1408" s="27">
        <f>IF(('Activity data'!AJ20*EF!$H33)*kgtoGg=0,"NO",('Activity data'!AJ20*EF!$H33)*kgtoGg)</f>
        <v>2.2487211059946204</v>
      </c>
      <c r="R1408" s="27">
        <f>IF(('Activity data'!AK20*EF!$H33)*kgtoGg=0,"NO",('Activity data'!AK20*EF!$H33)*kgtoGg)</f>
        <v>2.2390235702415184</v>
      </c>
      <c r="S1408" s="27">
        <f>IF(('Activity data'!AL20*EF!$H33)*kgtoGg=0,"NO",('Activity data'!AL20*EF!$H33)*kgtoGg)</f>
        <v>1.8873806466050964</v>
      </c>
      <c r="T1408" s="27">
        <f>IF(('Activity data'!AM20*EF!$H33)*kgtoGg=0,"NO",('Activity data'!AM20*EF!$H33)*kgtoGg)</f>
        <v>1.9621300984115682</v>
      </c>
      <c r="U1408" s="27">
        <f>IF(('Activity data'!AN20*EF!$H33)*kgtoGg=0,"NO",('Activity data'!AN20*EF!$H33)*kgtoGg)</f>
        <v>2.0814254172868796</v>
      </c>
      <c r="V1408" s="27">
        <f>IF(('Activity data'!AO20*EF!$H33)*kgtoGg=0,"NO",('Activity data'!AO20*EF!$H33)*kgtoGg)</f>
        <v>2.1274151344864149</v>
      </c>
      <c r="W1408" s="27">
        <f>IF(('Activity data'!AP20*EF!$H33)*kgtoGg=0,"NO",('Activity data'!AP20*EF!$H33)*kgtoGg)</f>
        <v>2.1824506881567056</v>
      </c>
      <c r="X1408" s="27">
        <f>IF(('Activity data'!AQ20*EF!$H33)*kgtoGg=0,"NO",('Activity data'!AQ20*EF!$H33)*kgtoGg)</f>
        <v>2.2493281606911828</v>
      </c>
      <c r="Y1408" s="27">
        <f>IF(('Activity data'!AR20*EF!$H33)*kgtoGg=0,"NO",('Activity data'!AR20*EF!$H33)*kgtoGg)</f>
        <v>2.3261233859270511</v>
      </c>
      <c r="Z1408" s="27">
        <f>IF(('Activity data'!AS20*EF!$H33)*kgtoGg=0,"NO",('Activity data'!AS20*EF!$H33)*kgtoGg)</f>
        <v>2.4121225146398793</v>
      </c>
      <c r="AA1408" s="27">
        <f>IF(('Activity data'!AT20*EF!$H33)*kgtoGg=0,"NO",('Activity data'!AT20*EF!$H33)*kgtoGg)</f>
        <v>2.4999478814416944</v>
      </c>
      <c r="AB1408" s="27">
        <f>IF(('Activity data'!AU20*EF!$H33)*kgtoGg=0,"NO",('Activity data'!AU20*EF!$H33)*kgtoGg)</f>
        <v>2.5962654285530302</v>
      </c>
      <c r="AC1408" s="27">
        <f>IF(('Activity data'!AV20*EF!$H33)*kgtoGg=0,"NO",('Activity data'!AV20*EF!$H33)*kgtoGg)</f>
        <v>2.6938179504840183</v>
      </c>
      <c r="AD1408" s="27">
        <f>IF(('Activity data'!AW20*EF!$H33)*kgtoGg=0,"NO",('Activity data'!AW20*EF!$H33)*kgtoGg)</f>
        <v>2.8076989520027458</v>
      </c>
      <c r="AE1408" s="27">
        <f>IF(('Activity data'!AX20*EF!$H33)*kgtoGg=0,"NO",('Activity data'!AX20*EF!$H33)*kgtoGg)</f>
        <v>2.9182147779075716</v>
      </c>
      <c r="AF1408" s="27">
        <f>IF(('Activity data'!AY20*EF!$H33)*kgtoGg=0,"NO",('Activity data'!AY20*EF!$H33)*kgtoGg)</f>
        <v>3.0347920342807941</v>
      </c>
      <c r="AG1408" s="27">
        <f>IF(('Activity data'!AZ20*EF!$H33)*kgtoGg=0,"NO",('Activity data'!AZ20*EF!$H33)*kgtoGg)</f>
        <v>3.1685994721864104</v>
      </c>
      <c r="AH1408" s="27">
        <f>IF(('Activity data'!BA20*EF!$H33)*kgtoGg=0,"NO",('Activity data'!BA20*EF!$H33)*kgtoGg)</f>
        <v>3.2930349508119656</v>
      </c>
      <c r="AI1408" s="27">
        <f>IF(('Activity data'!BB20*EF!$H33)*kgtoGg=0,"NO",('Activity data'!BB20*EF!$H33)*kgtoGg)</f>
        <v>3.427074485424797</v>
      </c>
      <c r="AJ1408" s="27">
        <f>IF(('Activity data'!BC20*EF!$H33)*kgtoGg=0,"NO",('Activity data'!BC20*EF!$H33)*kgtoGg)</f>
        <v>3.5705841120118782</v>
      </c>
      <c r="AK1408" s="27">
        <f>IF(('Activity data'!BD20*EF!$H33)*kgtoGg=0,"NO",('Activity data'!BD20*EF!$H33)*kgtoGg)</f>
        <v>3.702270113838861</v>
      </c>
      <c r="AL1408" s="27">
        <f>IF(('Activity data'!BE20*EF!$H33)*kgtoGg=0,"NO",('Activity data'!BE20*EF!$H33)*kgtoGg)</f>
        <v>3.8318633402397859</v>
      </c>
      <c r="AM1408" s="27">
        <f>IF(('Activity data'!BF20*EF!$H33)*kgtoGg=0,"NO",('Activity data'!BF20*EF!$H33)*kgtoGg)</f>
        <v>3.9598368656050509</v>
      </c>
      <c r="AN1408" s="27">
        <f>IF(('Activity data'!BG20*EF!$H33)*kgtoGg=0,"NO",('Activity data'!BG20*EF!$H33)*kgtoGg)</f>
        <v>4.1020537482739581</v>
      </c>
      <c r="AO1408" s="27">
        <f>IF(('Activity data'!BH20*EF!$H33)*kgtoGg=0,"NO",('Activity data'!BH20*EF!$H33)*kgtoGg)</f>
        <v>4.2366042379514601</v>
      </c>
      <c r="AP1408" s="27">
        <f>IF(('Activity data'!BI20*EF!$H33)*kgtoGg=0,"NO",('Activity data'!BI20*EF!$H33)*kgtoGg)</f>
        <v>4.376057584996432</v>
      </c>
      <c r="AQ1408" s="27">
        <f>IF(('Activity data'!BJ20*EF!$H33)*kgtoGg=0,"NO",('Activity data'!BJ20*EF!$H33)*kgtoGg)</f>
        <v>4.5211331273416295</v>
      </c>
      <c r="AR1408" s="27">
        <f>IF(('Activity data'!BK20*EF!$H33)*kgtoGg=0,"NO",('Activity data'!BK20*EF!$H33)*kgtoGg)</f>
        <v>4.67298612402322</v>
      </c>
      <c r="AS1408" s="27">
        <f>IF(('Activity data'!BL20*EF!$H33)*kgtoGg=0,"NO",('Activity data'!BL20*EF!$H33)*kgtoGg)</f>
        <v>4.8333405314076359</v>
      </c>
      <c r="AT1408" s="27">
        <f>IF(('Activity data'!BM20*EF!$H33)*kgtoGg=0,"NO",('Activity data'!BM20*EF!$H33)*kgtoGg)</f>
        <v>4.8577536687430269</v>
      </c>
      <c r="AU1408" s="27">
        <f>IF(('Activity data'!BN20*EF!$H33)*kgtoGg=0,"NO",('Activity data'!BN20*EF!$H33)*kgtoGg)</f>
        <v>4.8696640260341857</v>
      </c>
      <c r="AV1408" s="27">
        <f>IF(('Activity data'!BO20*EF!$H33)*kgtoGg=0,"NO",('Activity data'!BO20*EF!$H33)*kgtoGg)</f>
        <v>4.8636695672494161</v>
      </c>
      <c r="AW1408" s="27">
        <f>IF(('Activity data'!BP20*EF!$H33)*kgtoGg=0,"NO",('Activity data'!BP20*EF!$H33)*kgtoGg)</f>
        <v>4.8525780818062749</v>
      </c>
    </row>
    <row r="1409" spans="1:49" x14ac:dyDescent="0.3">
      <c r="A1409" s="95" t="s">
        <v>960</v>
      </c>
      <c r="B1409" s="95"/>
      <c r="C1409" s="95"/>
      <c r="D1409" t="str">
        <f t="shared" si="549"/>
        <v>3A Livestock</v>
      </c>
      <c r="E1409" t="str">
        <f t="shared" si="549"/>
        <v>3A2 Manure management (CH4)</v>
      </c>
      <c r="F1409" t="str">
        <f>EF!C34</f>
        <v>3A2i Poultry</v>
      </c>
      <c r="G1409" t="str">
        <f>EF!D34</f>
        <v>Subsistence layers</v>
      </c>
      <c r="H1409" t="str">
        <f t="shared" si="550"/>
        <v>Manure management Emissions</v>
      </c>
      <c r="I1409" t="str">
        <f t="shared" si="550"/>
        <v>CH4</v>
      </c>
      <c r="J1409" t="str">
        <f t="shared" si="550"/>
        <v>Gg CH4</v>
      </c>
      <c r="K1409" s="27">
        <f>IF(('Activity data'!AD21*EF!$H34)*kgtoGg=0,"NO",('Activity data'!AD21*EF!$H34)*kgtoGg)</f>
        <v>2.3161053423012622E-2</v>
      </c>
      <c r="L1409" s="27">
        <f>IF(('Activity data'!AE21*EF!$H34)*kgtoGg=0,"NO",('Activity data'!AE21*EF!$H34)*kgtoGg)</f>
        <v>2.3631963555267657E-2</v>
      </c>
      <c r="M1409" s="27">
        <f>IF(('Activity data'!AF21*EF!$H34)*kgtoGg=0,"NO",('Activity data'!AF21*EF!$H34)*kgtoGg)</f>
        <v>2.4182412868997839E-2</v>
      </c>
      <c r="N1409" s="27">
        <f>IF(('Activity data'!AG21*EF!$H34)*kgtoGg=0,"NO",('Activity data'!AG21*EF!$H34)*kgtoGg)</f>
        <v>2.460500634884424E-2</v>
      </c>
      <c r="O1409" s="27">
        <f>IF(('Activity data'!AH21*EF!$H34)*kgtoGg=0,"NO",('Activity data'!AH21*EF!$H34)*kgtoGg)</f>
        <v>2.4944242822745925E-2</v>
      </c>
      <c r="P1409" s="27">
        <f>IF(('Activity data'!AI21*EF!$H34)*kgtoGg=0,"NO",('Activity data'!AI21*EF!$H34)*kgtoGg)</f>
        <v>2.5198104828966561E-2</v>
      </c>
      <c r="Q1409" s="27">
        <f>IF(('Activity data'!AJ21*EF!$H34)*kgtoGg=0,"NO",('Activity data'!AJ21*EF!$H34)*kgtoGg)</f>
        <v>2.5523625995077459E-2</v>
      </c>
      <c r="R1409" s="27">
        <f>IF(('Activity data'!AK21*EF!$H34)*kgtoGg=0,"NO",('Activity data'!AK21*EF!$H34)*kgtoGg)</f>
        <v>2.5862077897454098E-2</v>
      </c>
      <c r="S1409" s="27">
        <f>IF(('Activity data'!AL21*EF!$H34)*kgtoGg=0,"NO",('Activity data'!AL21*EF!$H34)*kgtoGg)</f>
        <v>2.4710993344266366E-2</v>
      </c>
      <c r="T1409" s="27">
        <f>IF(('Activity data'!AM21*EF!$H34)*kgtoGg=0,"NO",('Activity data'!AM21*EF!$H34)*kgtoGg)</f>
        <v>2.5326046064030362E-2</v>
      </c>
      <c r="U1409" s="27">
        <f>IF(('Activity data'!AN21*EF!$H34)*kgtoGg=0,"NO",('Activity data'!AN21*EF!$H34)*kgtoGg)</f>
        <v>2.6145705664162376E-2</v>
      </c>
      <c r="V1409" s="27">
        <f>IF(('Activity data'!AO21*EF!$H34)*kgtoGg=0,"NO",('Activity data'!AO21*EF!$H34)*kgtoGg)</f>
        <v>2.6646991447283438E-2</v>
      </c>
      <c r="W1409" s="27">
        <f>IF(('Activity data'!AP21*EF!$H34)*kgtoGg=0,"NO",('Activity data'!AP21*EF!$H34)*kgtoGg)</f>
        <v>2.7193503002729248E-2</v>
      </c>
      <c r="X1409" s="27">
        <f>IF(('Activity data'!AQ21*EF!$H34)*kgtoGg=0,"NO",('Activity data'!AQ21*EF!$H34)*kgtoGg)</f>
        <v>2.7799068783247873E-2</v>
      </c>
      <c r="Y1409" s="27">
        <f>IF(('Activity data'!AR21*EF!$H34)*kgtoGg=0,"NO",('Activity data'!AR21*EF!$H34)*kgtoGg)</f>
        <v>2.842453907398574E-2</v>
      </c>
      <c r="Z1409" s="27">
        <f>IF(('Activity data'!AS21*EF!$H34)*kgtoGg=0,"NO",('Activity data'!AS21*EF!$H34)*kgtoGg)</f>
        <v>2.9098672254444909E-2</v>
      </c>
      <c r="AA1409" s="27">
        <f>IF(('Activity data'!AT21*EF!$H34)*kgtoGg=0,"NO",('Activity data'!AT21*EF!$H34)*kgtoGg)</f>
        <v>2.9787965718958094E-2</v>
      </c>
      <c r="AB1409" s="27">
        <f>IF(('Activity data'!AU21*EF!$H34)*kgtoGg=0,"NO",('Activity data'!AU21*EF!$H34)*kgtoGg)</f>
        <v>3.0523943036122159E-2</v>
      </c>
      <c r="AC1409" s="27">
        <f>IF(('Activity data'!AV21*EF!$H34)*kgtoGg=0,"NO",('Activity data'!AV21*EF!$H34)*kgtoGg)</f>
        <v>3.1273027855200759E-2</v>
      </c>
      <c r="AD1409" s="27">
        <f>IF(('Activity data'!AW21*EF!$H34)*kgtoGg=0,"NO",('Activity data'!AW21*EF!$H34)*kgtoGg)</f>
        <v>3.2081240611854363E-2</v>
      </c>
      <c r="AE1409" s="27">
        <f>IF(('Activity data'!AX21*EF!$H34)*kgtoGg=0,"NO",('Activity data'!AX21*EF!$H34)*kgtoGg)</f>
        <v>3.2881107685879617E-2</v>
      </c>
      <c r="AF1409" s="27">
        <f>IF(('Activity data'!AY21*EF!$H34)*kgtoGg=0,"NO",('Activity data'!AY21*EF!$H34)*kgtoGg)</f>
        <v>3.3717881511042887E-2</v>
      </c>
      <c r="AG1409" s="27">
        <f>IF(('Activity data'!AZ21*EF!$H34)*kgtoGg=0,"NO",('Activity data'!AZ21*EF!$H34)*kgtoGg)</f>
        <v>3.4646584034980096E-2</v>
      </c>
      <c r="AH1409" s="27">
        <f>IF(('Activity data'!BA21*EF!$H34)*kgtoGg=0,"NO",('Activity data'!BA21*EF!$H34)*kgtoGg)</f>
        <v>3.5538165505592613E-2</v>
      </c>
      <c r="AI1409" s="27">
        <f>IF(('Activity data'!BB21*EF!$H34)*kgtoGg=0,"NO",('Activity data'!BB21*EF!$H34)*kgtoGg)</f>
        <v>3.6460205061343343E-2</v>
      </c>
      <c r="AJ1409" s="27">
        <f>IF(('Activity data'!BC21*EF!$H34)*kgtoGg=0,"NO",('Activity data'!BC21*EF!$H34)*kgtoGg)</f>
        <v>3.7437714403299294E-2</v>
      </c>
      <c r="AK1409" s="27">
        <f>IF(('Activity data'!BD21*EF!$H34)*kgtoGg=0,"NO",('Activity data'!BD21*EF!$H34)*kgtoGg)</f>
        <v>3.8364865183864859E-2</v>
      </c>
      <c r="AL1409" s="27">
        <f>IF(('Activity data'!BE21*EF!$H34)*kgtoGg=0,"NO",('Activity data'!BE21*EF!$H34)*kgtoGg)</f>
        <v>3.9289489030274523E-2</v>
      </c>
      <c r="AM1409" s="27">
        <f>IF(('Activity data'!BF21*EF!$H34)*kgtoGg=0,"NO",('Activity data'!BF21*EF!$H34)*kgtoGg)</f>
        <v>4.0213713135776041E-2</v>
      </c>
      <c r="AN1409" s="27">
        <f>IF(('Activity data'!BG21*EF!$H34)*kgtoGg=0,"NO",('Activity data'!BG21*EF!$H34)*kgtoGg)</f>
        <v>4.1194270919742537E-2</v>
      </c>
      <c r="AO1409" s="27">
        <f>IF(('Activity data'!BH21*EF!$H34)*kgtoGg=0,"NO",('Activity data'!BH21*EF!$H34)*kgtoGg)</f>
        <v>4.2143606587708417E-2</v>
      </c>
      <c r="AP1409" s="27">
        <f>IF(('Activity data'!BI21*EF!$H34)*kgtoGg=0,"NO",('Activity data'!BI21*EF!$H34)*kgtoGg)</f>
        <v>4.312581803484019E-2</v>
      </c>
      <c r="AQ1409" s="27">
        <f>IF(('Activity data'!BJ21*EF!$H34)*kgtoGg=0,"NO",('Activity data'!BJ21*EF!$H34)*kgtoGg)</f>
        <v>4.4145005515766646E-2</v>
      </c>
      <c r="AR1409" s="27">
        <f>IF(('Activity data'!BK21*EF!$H34)*kgtoGg=0,"NO",('Activity data'!BK21*EF!$H34)*kgtoGg)</f>
        <v>4.5207623438646753E-2</v>
      </c>
      <c r="AS1409" s="27">
        <f>IF(('Activity data'!BL21*EF!$H34)*kgtoGg=0,"NO",('Activity data'!BL21*EF!$H34)*kgtoGg)</f>
        <v>4.6298619591859998E-2</v>
      </c>
      <c r="AT1409" s="27">
        <f>IF(('Activity data'!BM21*EF!$H34)*kgtoGg=0,"NO",('Activity data'!BM21*EF!$H34)*kgtoGg)</f>
        <v>4.6680756880281324E-2</v>
      </c>
      <c r="AU1409" s="27">
        <f>IF(('Activity data'!BN21*EF!$H34)*kgtoGg=0,"NO",('Activity data'!BN21*EF!$H34)*kgtoGg)</f>
        <v>4.6997259618094658E-2</v>
      </c>
      <c r="AV1409" s="27">
        <f>IF(('Activity data'!BO21*EF!$H34)*kgtoGg=0,"NO",('Activity data'!BO21*EF!$H34)*kgtoGg)</f>
        <v>4.721828532997379E-2</v>
      </c>
      <c r="AW1409" s="27">
        <f>IF(('Activity data'!BP21*EF!$H34)*kgtoGg=0,"NO",('Activity data'!BP21*EF!$H34)*kgtoGg)</f>
        <v>4.7411040136301673E-2</v>
      </c>
    </row>
    <row r="1410" spans="1:49" x14ac:dyDescent="0.3">
      <c r="A1410" s="95" t="s">
        <v>960</v>
      </c>
      <c r="B1410" s="95"/>
      <c r="C1410" s="95"/>
      <c r="D1410" t="str">
        <f t="shared" si="549"/>
        <v>3A Livestock</v>
      </c>
      <c r="E1410" t="str">
        <f t="shared" si="549"/>
        <v>3A2 Manure management (CH4)</v>
      </c>
      <c r="F1410" t="str">
        <f>EF!C35</f>
        <v>3A2i Poultry</v>
      </c>
      <c r="G1410" t="str">
        <f>EF!D35</f>
        <v>Subsistence broilers</v>
      </c>
      <c r="H1410" t="str">
        <f t="shared" si="550"/>
        <v>Manure management Emissions</v>
      </c>
      <c r="I1410" t="str">
        <f t="shared" si="550"/>
        <v>CH4</v>
      </c>
      <c r="J1410" t="str">
        <f t="shared" si="550"/>
        <v>Gg CH4</v>
      </c>
      <c r="K1410" s="27">
        <f>IF(('Activity data'!AD22*EF!$H35)*kgtoGg=0,"NO",('Activity data'!AD22*EF!$H35)*kgtoGg)</f>
        <v>9.2084154088933862E-2</v>
      </c>
      <c r="L1410" s="27">
        <f>IF(('Activity data'!AE22*EF!$H35)*kgtoGg=0,"NO",('Activity data'!AE22*EF!$H35)*kgtoGg)</f>
        <v>9.3296737810214581E-2</v>
      </c>
      <c r="M1410" s="27">
        <f>IF(('Activity data'!AF22*EF!$H35)*kgtoGg=0,"NO",('Activity data'!AF22*EF!$H35)*kgtoGg)</f>
        <v>9.5244495094686854E-2</v>
      </c>
      <c r="N1410" s="27">
        <f>IF(('Activity data'!AG22*EF!$H35)*kgtoGg=0,"NO",('Activity data'!AG22*EF!$H35)*kgtoGg)</f>
        <v>9.5803753116994225E-2</v>
      </c>
      <c r="O1410" s="27">
        <f>IF(('Activity data'!AH22*EF!$H35)*kgtoGg=0,"NO",('Activity data'!AH22*EF!$H35)*kgtoGg)</f>
        <v>9.5460820340069155E-2</v>
      </c>
      <c r="P1410" s="27">
        <f>IF(('Activity data'!AI22*EF!$H35)*kgtoGg=0,"NO",('Activity data'!AI22*EF!$H35)*kgtoGg)</f>
        <v>9.4219345357912251E-2</v>
      </c>
      <c r="Q1410" s="27">
        <f>IF(('Activity data'!AJ22*EF!$H35)*kgtoGg=0,"NO",('Activity data'!AJ22*EF!$H35)*kgtoGg)</f>
        <v>9.3696712749775937E-2</v>
      </c>
      <c r="R1410" s="27">
        <f>IF(('Activity data'!AK22*EF!$H35)*kgtoGg=0,"NO",('Activity data'!AK22*EF!$H35)*kgtoGg)</f>
        <v>9.3292648760063338E-2</v>
      </c>
      <c r="S1410" s="27">
        <f>IF(('Activity data'!AL22*EF!$H35)*kgtoGg=0,"NO",('Activity data'!AL22*EF!$H35)*kgtoGg)</f>
        <v>7.8640860275212429E-2</v>
      </c>
      <c r="T1410" s="27">
        <f>IF(('Activity data'!AM22*EF!$H35)*kgtoGg=0,"NO",('Activity data'!AM22*EF!$H35)*kgtoGg)</f>
        <v>8.1755420767148743E-2</v>
      </c>
      <c r="U1410" s="27">
        <f>IF(('Activity data'!AN22*EF!$H35)*kgtoGg=0,"NO",('Activity data'!AN22*EF!$H35)*kgtoGg)</f>
        <v>8.6726059053620061E-2</v>
      </c>
      <c r="V1410" s="27">
        <f>IF(('Activity data'!AO22*EF!$H35)*kgtoGg=0,"NO",('Activity data'!AO22*EF!$H35)*kgtoGg)</f>
        <v>8.8642297270267373E-2</v>
      </c>
      <c r="W1410" s="27">
        <f>IF(('Activity data'!AP22*EF!$H35)*kgtoGg=0,"NO",('Activity data'!AP22*EF!$H35)*kgtoGg)</f>
        <v>9.0935445339862836E-2</v>
      </c>
      <c r="X1410" s="27">
        <f>IF(('Activity data'!AQ22*EF!$H35)*kgtoGg=0,"NO",('Activity data'!AQ22*EF!$H35)*kgtoGg)</f>
        <v>9.3722006695466042E-2</v>
      </c>
      <c r="Y1410" s="27">
        <f>IF(('Activity data'!AR22*EF!$H35)*kgtoGg=0,"NO",('Activity data'!AR22*EF!$H35)*kgtoGg)</f>
        <v>9.6921807746960562E-2</v>
      </c>
      <c r="Z1410" s="27">
        <f>IF(('Activity data'!AS22*EF!$H35)*kgtoGg=0,"NO",('Activity data'!AS22*EF!$H35)*kgtoGg)</f>
        <v>0.10050510477666173</v>
      </c>
      <c r="AA1410" s="27">
        <f>IF(('Activity data'!AT22*EF!$H35)*kgtoGg=0,"NO",('Activity data'!AT22*EF!$H35)*kgtoGg)</f>
        <v>0.10416449506007071</v>
      </c>
      <c r="AB1410" s="27">
        <f>IF(('Activity data'!AU22*EF!$H35)*kgtoGg=0,"NO",('Activity data'!AU22*EF!$H35)*kgtoGg)</f>
        <v>0.10817772618970968</v>
      </c>
      <c r="AC1410" s="27">
        <f>IF(('Activity data'!AV22*EF!$H35)*kgtoGg=0,"NO",('Activity data'!AV22*EF!$H35)*kgtoGg)</f>
        <v>0.11224241460350089</v>
      </c>
      <c r="AD1410" s="27">
        <f>IF(('Activity data'!AW22*EF!$H35)*kgtoGg=0,"NO",('Activity data'!AW22*EF!$H35)*kgtoGg)</f>
        <v>0.11698745633344786</v>
      </c>
      <c r="AE1410" s="27">
        <f>IF(('Activity data'!AX22*EF!$H35)*kgtoGg=0,"NO",('Activity data'!AX22*EF!$H35)*kgtoGg)</f>
        <v>0.12159228241281558</v>
      </c>
      <c r="AF1410" s="27">
        <f>IF(('Activity data'!AY22*EF!$H35)*kgtoGg=0,"NO",('Activity data'!AY22*EF!$H35)*kgtoGg)</f>
        <v>0.12644966809503322</v>
      </c>
      <c r="AG1410" s="27">
        <f>IF(('Activity data'!AZ22*EF!$H35)*kgtoGg=0,"NO",('Activity data'!AZ22*EF!$H35)*kgtoGg)</f>
        <v>0.13202497800776722</v>
      </c>
      <c r="AH1410" s="27">
        <f>IF(('Activity data'!BA22*EF!$H35)*kgtoGg=0,"NO",('Activity data'!BA22*EF!$H35)*kgtoGg)</f>
        <v>0.13720978961716535</v>
      </c>
      <c r="AI1410" s="27">
        <f>IF(('Activity data'!BB22*EF!$H35)*kgtoGg=0,"NO",('Activity data'!BB22*EF!$H35)*kgtoGg)</f>
        <v>0.14279477022603335</v>
      </c>
      <c r="AJ1410" s="27">
        <f>IF(('Activity data'!BC22*EF!$H35)*kgtoGg=0,"NO",('Activity data'!BC22*EF!$H35)*kgtoGg)</f>
        <v>0.14877433800049503</v>
      </c>
      <c r="AK1410" s="27">
        <f>IF(('Activity data'!BD22*EF!$H35)*kgtoGg=0,"NO",('Activity data'!BD22*EF!$H35)*kgtoGg)</f>
        <v>0.15426125474328603</v>
      </c>
      <c r="AL1410" s="27">
        <f>IF(('Activity data'!BE22*EF!$H35)*kgtoGg=0,"NO",('Activity data'!BE22*EF!$H35)*kgtoGg)</f>
        <v>0.15966097250999123</v>
      </c>
      <c r="AM1410" s="27">
        <f>IF(('Activity data'!BF22*EF!$H35)*kgtoGg=0,"NO",('Activity data'!BF22*EF!$H35)*kgtoGg)</f>
        <v>0.16499320273354395</v>
      </c>
      <c r="AN1410" s="27">
        <f>IF(('Activity data'!BG22*EF!$H35)*kgtoGg=0,"NO",('Activity data'!BG22*EF!$H35)*kgtoGg)</f>
        <v>0.17091890617808173</v>
      </c>
      <c r="AO1410" s="27">
        <f>IF(('Activity data'!BH22*EF!$H35)*kgtoGg=0,"NO",('Activity data'!BH22*EF!$H35)*kgtoGg)</f>
        <v>0.17652517658131101</v>
      </c>
      <c r="AP1410" s="27">
        <f>IF(('Activity data'!BI22*EF!$H35)*kgtoGg=0,"NO",('Activity data'!BI22*EF!$H35)*kgtoGg)</f>
        <v>0.18233573270818484</v>
      </c>
      <c r="AQ1410" s="27">
        <f>IF(('Activity data'!BJ22*EF!$H35)*kgtoGg=0,"NO",('Activity data'!BJ22*EF!$H35)*kgtoGg)</f>
        <v>0.18838054697256806</v>
      </c>
      <c r="AR1410" s="27">
        <f>IF(('Activity data'!BK22*EF!$H35)*kgtoGg=0,"NO",('Activity data'!BK22*EF!$H35)*kgtoGg)</f>
        <v>0.19470775516763436</v>
      </c>
      <c r="AS1410" s="27">
        <f>IF(('Activity data'!BL22*EF!$H35)*kgtoGg=0,"NO",('Activity data'!BL22*EF!$H35)*kgtoGg)</f>
        <v>0.2013891888086517</v>
      </c>
      <c r="AT1410" s="27">
        <f>IF(('Activity data'!BM22*EF!$H35)*kgtoGg=0,"NO",('Activity data'!BM22*EF!$H35)*kgtoGg)</f>
        <v>0.20240640286429301</v>
      </c>
      <c r="AU1410" s="27">
        <f>IF(('Activity data'!BN22*EF!$H35)*kgtoGg=0,"NO",('Activity data'!BN22*EF!$H35)*kgtoGg)</f>
        <v>0.20290266775142457</v>
      </c>
      <c r="AV1410" s="27">
        <f>IF(('Activity data'!BO22*EF!$H35)*kgtoGg=0,"NO",('Activity data'!BO22*EF!$H35)*kgtoGg)</f>
        <v>0.20265289863539254</v>
      </c>
      <c r="AW1410" s="27">
        <f>IF(('Activity data'!BP22*EF!$H35)*kgtoGg=0,"NO",('Activity data'!BP22*EF!$H35)*kgtoGg)</f>
        <v>0.20219075340859499</v>
      </c>
    </row>
    <row r="1411" spans="1:49" x14ac:dyDescent="0.3">
      <c r="A1411" s="95" t="s">
        <v>960</v>
      </c>
      <c r="B1411" s="95"/>
      <c r="C1411" s="95"/>
      <c r="D1411" t="str">
        <f t="shared" si="549"/>
        <v>3A Livestock</v>
      </c>
      <c r="E1411" t="str">
        <f>'IPCC Categories'!B20</f>
        <v>3A2 Manure management (N2O)</v>
      </c>
      <c r="F1411" t="str">
        <f>EF!C54</f>
        <v>3A1ai Dairy cattle</v>
      </c>
      <c r="G1411" t="str">
        <f>EF!D54</f>
        <v>TMR</v>
      </c>
      <c r="H1411" t="str">
        <f t="shared" si="550"/>
        <v>Manure management Emissions</v>
      </c>
      <c r="I1411" t="s">
        <v>139</v>
      </c>
      <c r="J1411" t="s">
        <v>287</v>
      </c>
      <c r="K1411" s="27">
        <f>IF(('Activity data'!AD5*EF!$H36*EF!$H54)*NtoN2O*kgtoGg=0,"NO",('Activity data'!AD5*EF!$H36*EF!$H54)*NtoN2O*kgtoGg)</f>
        <v>5.9474079071945893E-2</v>
      </c>
      <c r="L1411" s="27">
        <f>IF(('Activity data'!AE5*EF!$H36*EF!$H54)*NtoN2O*kgtoGg=0,"NO",('Activity data'!AE5*EF!$H36*EF!$H54)*NtoN2O*kgtoGg)</f>
        <v>5.9806569587962516E-2</v>
      </c>
      <c r="M1411" s="27">
        <f>IF(('Activity data'!AF5*EF!$H36*EF!$H54)*NtoN2O*kgtoGg=0,"NO",('Activity data'!AF5*EF!$H36*EF!$H54)*NtoN2O*kgtoGg)</f>
        <v>6.0278316688762053E-2</v>
      </c>
      <c r="N1411" s="27">
        <f>IF(('Activity data'!AG5*EF!$H36*EF!$H54)*NtoN2O*kgtoGg=0,"NO",('Activity data'!AG5*EF!$H36*EF!$H54)*NtoN2O*kgtoGg)</f>
        <v>6.0581464452445992E-2</v>
      </c>
      <c r="O1411" s="27">
        <f>IF(('Activity data'!AH5*EF!$H36*EF!$H54)*NtoN2O*kgtoGg=0,"NO",('Activity data'!AH5*EF!$H36*EF!$H54)*NtoN2O*kgtoGg)</f>
        <v>6.078290752789528E-2</v>
      </c>
      <c r="P1411" s="27">
        <f>IF(('Activity data'!AI5*EF!$H36*EF!$H54)*NtoN2O*kgtoGg=0,"NO",('Activity data'!AI5*EF!$H36*EF!$H54)*NtoN2O*kgtoGg)</f>
        <v>6.0880663265441157E-2</v>
      </c>
      <c r="Q1411" s="27">
        <f>IF(('Activity data'!AJ5*EF!$H36*EF!$H54)*NtoN2O*kgtoGg=0,"NO",('Activity data'!AJ5*EF!$H36*EF!$H54)*NtoN2O*kgtoGg)</f>
        <v>6.1096642070638009E-2</v>
      </c>
      <c r="R1411" s="27">
        <f>IF(('Activity data'!AK5*EF!$H36*EF!$H54)*NtoN2O*kgtoGg=0,"NO",('Activity data'!AK5*EF!$H36*EF!$H54)*NtoN2O*kgtoGg)</f>
        <v>6.1344406036983767E-2</v>
      </c>
      <c r="S1411" s="27">
        <f>IF(('Activity data'!AL5*EF!$H36*EF!$H54)*NtoN2O*kgtoGg=0,"NO",('Activity data'!AL5*EF!$H36*EF!$H54)*NtoN2O*kgtoGg)</f>
        <v>5.9500417755247011E-2</v>
      </c>
      <c r="T1411" s="27">
        <f>IF(('Activity data'!AM5*EF!$H36*EF!$H54)*NtoN2O*kgtoGg=0,"NO",('Activity data'!AM5*EF!$H36*EF!$H54)*NtoN2O*kgtoGg)</f>
        <v>6.0126071727634615E-2</v>
      </c>
      <c r="U1411" s="27">
        <f>IF(('Activity data'!AN5*EF!$H36*EF!$H54)*NtoN2O*kgtoGg=0,"NO",('Activity data'!AN5*EF!$H36*EF!$H54)*NtoN2O*kgtoGg)</f>
        <v>6.104186359289164E-2</v>
      </c>
      <c r="V1411" s="27">
        <f>IF(('Activity data'!AO5*EF!$H36*EF!$H54)*NtoN2O*kgtoGg=0,"NO",('Activity data'!AO5*EF!$H36*EF!$H54)*NtoN2O*kgtoGg)</f>
        <v>6.1516540546796637E-2</v>
      </c>
      <c r="W1411" s="27">
        <f>IF(('Activity data'!AP5*EF!$H36*EF!$H54)*NtoN2O*kgtoGg=0,"NO",('Activity data'!AP5*EF!$H36*EF!$H54)*NtoN2O*kgtoGg)</f>
        <v>6.2059033118034318E-2</v>
      </c>
      <c r="X1411" s="27">
        <f>IF(('Activity data'!AQ5*EF!$H36*EF!$H54)*NtoN2O*kgtoGg=0,"NO",('Activity data'!AQ5*EF!$H36*EF!$H54)*NtoN2O*kgtoGg)</f>
        <v>6.2686911431302672E-2</v>
      </c>
      <c r="Y1411" s="27">
        <f>IF(('Activity data'!AR5*EF!$H36*EF!$H54)*NtoN2O*kgtoGg=0,"NO",('Activity data'!AR5*EF!$H36*EF!$H54)*NtoN2O*kgtoGg)</f>
        <v>6.3328093657155735E-2</v>
      </c>
      <c r="Z1411" s="27">
        <f>IF(('Activity data'!AS5*EF!$H36*EF!$H54)*NtoN2O*kgtoGg=0,"NO",('Activity data'!AS5*EF!$H36*EF!$H54)*NtoN2O*kgtoGg)</f>
        <v>6.403779969028206E-2</v>
      </c>
      <c r="AA1411" s="27">
        <f>IF(('Activity data'!AT5*EF!$H36*EF!$H54)*NtoN2O*kgtoGg=0,"NO",('Activity data'!AT5*EF!$H36*EF!$H54)*NtoN2O*kgtoGg)</f>
        <v>6.476949047597555E-2</v>
      </c>
      <c r="AB1411" s="27">
        <f>IF(('Activity data'!AU5*EF!$H36*EF!$H54)*NtoN2O*kgtoGg=0,"NO",('Activity data'!AU5*EF!$H36*EF!$H54)*NtoN2O*kgtoGg)</f>
        <v>6.5565173536469165E-2</v>
      </c>
      <c r="AC1411" s="27">
        <f>IF(('Activity data'!AV5*EF!$H36*EF!$H54)*NtoN2O*kgtoGg=0,"NO",('Activity data'!AV5*EF!$H36*EF!$H54)*NtoN2O*kgtoGg)</f>
        <v>6.637880571901654E-2</v>
      </c>
      <c r="AD1411" s="27">
        <f>IF(('Activity data'!AW5*EF!$H36*EF!$H54)*NtoN2O*kgtoGg=0,"NO",('Activity data'!AW5*EF!$H36*EF!$H54)*NtoN2O*kgtoGg)</f>
        <v>6.7257796908474193E-2</v>
      </c>
      <c r="AE1411" s="27">
        <f>IF(('Activity data'!AX5*EF!$H36*EF!$H54)*NtoN2O*kgtoGg=0,"NO",('Activity data'!AX5*EF!$H36*EF!$H54)*NtoN2O*kgtoGg)</f>
        <v>6.8124891518831304E-2</v>
      </c>
      <c r="AF1411" s="27">
        <f>IF(('Activity data'!AY5*EF!$H36*EF!$H54)*NtoN2O*kgtoGg=0,"NO",('Activity data'!AY5*EF!$H36*EF!$H54)*NtoN2O*kgtoGg)</f>
        <v>6.9040103414992046E-2</v>
      </c>
      <c r="AG1411" s="27">
        <f>IF(('Activity data'!AZ5*EF!$H36*EF!$H54)*NtoN2O*kgtoGg=0,"NO",('Activity data'!AZ5*EF!$H36*EF!$H54)*NtoN2O*kgtoGg)</f>
        <v>7.0075359365803738E-2</v>
      </c>
      <c r="AH1411" s="27">
        <f>IF(('Activity data'!BA5*EF!$H36*EF!$H54)*NtoN2O*kgtoGg=0,"NO",('Activity data'!BA5*EF!$H36*EF!$H54)*NtoN2O*kgtoGg)</f>
        <v>7.1059649676811054E-2</v>
      </c>
      <c r="AI1411" s="27">
        <f>IF(('Activity data'!BB5*EF!$H36*EF!$H54)*NtoN2O*kgtoGg=0,"NO",('Activity data'!BB5*EF!$H36*EF!$H54)*NtoN2O*kgtoGg)</f>
        <v>7.2069034177178609E-2</v>
      </c>
      <c r="AJ1411" s="27">
        <f>IF(('Activity data'!BC5*EF!$H36*EF!$H54)*NtoN2O*kgtoGg=0,"NO",('Activity data'!BC5*EF!$H36*EF!$H54)*NtoN2O*kgtoGg)</f>
        <v>7.3148525212574408E-2</v>
      </c>
      <c r="AK1411" s="27">
        <f>IF(('Activity data'!BD5*EF!$H36*EF!$H54)*NtoN2O*kgtoGg=0,"NO",('Activity data'!BD5*EF!$H36*EF!$H54)*NtoN2O*kgtoGg)</f>
        <v>7.4159878217982214E-2</v>
      </c>
      <c r="AL1411" s="27">
        <f>IF(('Activity data'!BE5*EF!$H36*EF!$H54)*NtoN2O*kgtoGg=0,"NO",('Activity data'!BE5*EF!$H36*EF!$H54)*NtoN2O*kgtoGg)</f>
        <v>7.5165742888720646E-2</v>
      </c>
      <c r="AM1411" s="27">
        <f>IF(('Activity data'!BF5*EF!$H36*EF!$H54)*NtoN2O*kgtoGg=0,"NO",('Activity data'!BF5*EF!$H36*EF!$H54)*NtoN2O*kgtoGg)</f>
        <v>7.6168917031251032E-2</v>
      </c>
      <c r="AN1411" s="27">
        <f>IF(('Activity data'!BG5*EF!$H36*EF!$H54)*NtoN2O*kgtoGg=0,"NO",('Activity data'!BG5*EF!$H36*EF!$H54)*NtoN2O*kgtoGg)</f>
        <v>7.7230245197332834E-2</v>
      </c>
      <c r="AO1411" s="27">
        <f>IF(('Activity data'!BH5*EF!$H36*EF!$H54)*NtoN2O*kgtoGg=0,"NO",('Activity data'!BH5*EF!$H36*EF!$H54)*NtoN2O*kgtoGg)</f>
        <v>7.8248884607158259E-2</v>
      </c>
      <c r="AP1411" s="27">
        <f>IF(('Activity data'!BI5*EF!$H36*EF!$H54)*NtoN2O*kgtoGg=0,"NO",('Activity data'!BI5*EF!$H36*EF!$H54)*NtoN2O*kgtoGg)</f>
        <v>7.9307079203447303E-2</v>
      </c>
      <c r="AQ1411" s="27">
        <f>IF(('Activity data'!BJ5*EF!$H36*EF!$H54)*NtoN2O*kgtoGg=0,"NO",('Activity data'!BJ5*EF!$H36*EF!$H54)*NtoN2O*kgtoGg)</f>
        <v>8.0409655218804749E-2</v>
      </c>
      <c r="AR1411" s="27">
        <f>IF(('Activity data'!BK5*EF!$H36*EF!$H54)*NtoN2O*kgtoGg=0,"NO",('Activity data'!BK5*EF!$H36*EF!$H54)*NtoN2O*kgtoGg)</f>
        <v>8.1564373746965665E-2</v>
      </c>
      <c r="AS1411" s="27">
        <f>IF(('Activity data'!BL5*EF!$H36*EF!$H54)*NtoN2O*kgtoGg=0,"NO",('Activity data'!BL5*EF!$H36*EF!$H54)*NtoN2O*kgtoGg)</f>
        <v>8.2739517725039347E-2</v>
      </c>
      <c r="AT1411" s="27">
        <f>IF(('Activity data'!BM5*EF!$H36*EF!$H54)*NtoN2O*kgtoGg=0,"NO",('Activity data'!BM5*EF!$H36*EF!$H54)*NtoN2O*kgtoGg)</f>
        <v>8.3018134970904087E-2</v>
      </c>
      <c r="AU1411" s="27">
        <f>IF(('Activity data'!BN5*EF!$H36*EF!$H54)*NtoN2O*kgtoGg=0,"NO",('Activity data'!BN5*EF!$H36*EF!$H54)*NtoN2O*kgtoGg)</f>
        <v>8.3216426012492323E-2</v>
      </c>
      <c r="AV1411" s="27">
        <f>IF(('Activity data'!BO5*EF!$H36*EF!$H54)*NtoN2O*kgtoGg=0,"NO",('Activity data'!BO5*EF!$H36*EF!$H54)*NtoN2O*kgtoGg)</f>
        <v>8.3297669475104599E-2</v>
      </c>
      <c r="AW1411" s="27">
        <f>IF(('Activity data'!BP5*EF!$H36*EF!$H54)*NtoN2O*kgtoGg=0,"NO",('Activity data'!BP5*EF!$H36*EF!$H54)*NtoN2O*kgtoGg)</f>
        <v>8.3346726471042673E-2</v>
      </c>
    </row>
    <row r="1412" spans="1:49" x14ac:dyDescent="0.3">
      <c r="A1412" s="95" t="s">
        <v>960</v>
      </c>
      <c r="B1412" s="95"/>
      <c r="C1412" s="95"/>
      <c r="D1412" t="str">
        <f t="shared" si="549"/>
        <v>3A Livestock</v>
      </c>
      <c r="E1412" t="str">
        <f>E1411</f>
        <v>3A2 Manure management (N2O)</v>
      </c>
      <c r="F1412" t="str">
        <f>EF!C55</f>
        <v>3A1ai Dairy cattle</v>
      </c>
      <c r="G1412" t="str">
        <f>EF!D55</f>
        <v>Pasture</v>
      </c>
      <c r="H1412" t="str">
        <f t="shared" si="550"/>
        <v>Manure management Emissions</v>
      </c>
      <c r="I1412" t="s">
        <v>139</v>
      </c>
      <c r="J1412" t="str">
        <f t="shared" ref="J1412:J1428" si="551">J1411</f>
        <v>Gg N2O</v>
      </c>
      <c r="K1412" s="27">
        <f>IF(('Activity data'!AD6*EF!$H37*EF!$H55)*NtoN2O*kgtoGg=0,"NO",('Activity data'!AD6*EF!$H37*EF!$H55)*NtoN2O*kgtoGg)</f>
        <v>0.26041511380118898</v>
      </c>
      <c r="L1412" s="27">
        <f>IF(('Activity data'!AE6*EF!$H37*EF!$H55)*NtoN2O*kgtoGg=0,"NO",('Activity data'!AE6*EF!$H37*EF!$H55)*NtoN2O*kgtoGg)</f>
        <v>0.26187096745907484</v>
      </c>
      <c r="M1412" s="27">
        <f>IF(('Activity data'!AF6*EF!$H37*EF!$H55)*NtoN2O*kgtoGg=0,"NO",('Activity data'!AF6*EF!$H37*EF!$H55)*NtoN2O*kgtoGg)</f>
        <v>0.26393657447404822</v>
      </c>
      <c r="N1412" s="27">
        <f>IF(('Activity data'!AG6*EF!$H37*EF!$H55)*NtoN2O*kgtoGg=0,"NO",('Activity data'!AG6*EF!$H37*EF!$H55)*NtoN2O*kgtoGg)</f>
        <v>0.26526394701365208</v>
      </c>
      <c r="O1412" s="27">
        <f>IF(('Activity data'!AH6*EF!$H37*EF!$H55)*NtoN2O*kgtoGg=0,"NO",('Activity data'!AH6*EF!$H37*EF!$H55)*NtoN2O*kgtoGg)</f>
        <v>0.26614599213711043</v>
      </c>
      <c r="P1412" s="27">
        <f>IF(('Activity data'!AI6*EF!$H37*EF!$H55)*NtoN2O*kgtoGg=0,"NO",('Activity data'!AI6*EF!$H37*EF!$H55)*NtoN2O*kgtoGg)</f>
        <v>0.26657402855087203</v>
      </c>
      <c r="Q1412" s="27">
        <f>IF(('Activity data'!AJ6*EF!$H37*EF!$H55)*NtoN2O*kgtoGg=0,"NO",('Activity data'!AJ6*EF!$H37*EF!$H55)*NtoN2O*kgtoGg)</f>
        <v>0.26751972028770321</v>
      </c>
      <c r="R1412" s="27">
        <f>IF(('Activity data'!AK6*EF!$H37*EF!$H55)*NtoN2O*kgtoGg=0,"NO",('Activity data'!AK6*EF!$H37*EF!$H55)*NtoN2O*kgtoGg)</f>
        <v>0.26860458755254496</v>
      </c>
      <c r="S1412" s="27">
        <f>IF(('Activity data'!AL6*EF!$H37*EF!$H55)*NtoN2O*kgtoGg=0,"NO",('Activity data'!AL6*EF!$H37*EF!$H55)*NtoN2O*kgtoGg)</f>
        <v>0.26053044120627478</v>
      </c>
      <c r="T1412" s="27">
        <f>IF(('Activity data'!AM6*EF!$H37*EF!$H55)*NtoN2O*kgtoGg=0,"NO",('Activity data'!AM6*EF!$H37*EF!$H55)*NtoN2O*kgtoGg)</f>
        <v>0.26326994979492208</v>
      </c>
      <c r="U1412" s="27">
        <f>IF(('Activity data'!AN6*EF!$H37*EF!$H55)*NtoN2O*kgtoGg=0,"NO",('Activity data'!AN6*EF!$H37*EF!$H55)*NtoN2O*kgtoGg)</f>
        <v>0.26727986548475752</v>
      </c>
      <c r="V1412" s="27">
        <f>IF(('Activity data'!AO6*EF!$H37*EF!$H55)*NtoN2O*kgtoGg=0,"NO",('Activity data'!AO6*EF!$H37*EF!$H55)*NtoN2O*kgtoGg)</f>
        <v>0.2693583012486882</v>
      </c>
      <c r="W1412" s="27">
        <f>IF(('Activity data'!AP6*EF!$H37*EF!$H55)*NtoN2O*kgtoGg=0,"NO",('Activity data'!AP6*EF!$H37*EF!$H55)*NtoN2O*kgtoGg)</f>
        <v>0.27173367665390064</v>
      </c>
      <c r="X1412" s="27">
        <f>IF(('Activity data'!AQ6*EF!$H37*EF!$H55)*NtoN2O*kgtoGg=0,"NO",('Activity data'!AQ6*EF!$H37*EF!$H55)*NtoN2O*kgtoGg)</f>
        <v>0.27448292481300673</v>
      </c>
      <c r="Y1412" s="27">
        <f>IF(('Activity data'!AR6*EF!$H37*EF!$H55)*NtoN2O*kgtoGg=0,"NO",('Activity data'!AR6*EF!$H37*EF!$H55)*NtoN2O*kgtoGg)</f>
        <v>0.27729042591127234</v>
      </c>
      <c r="Z1412" s="27">
        <f>IF(('Activity data'!AS6*EF!$H37*EF!$H55)*NtoN2O*kgtoGg=0,"NO",('Activity data'!AS6*EF!$H37*EF!$H55)*NtoN2O*kgtoGg)</f>
        <v>0.28039796755405094</v>
      </c>
      <c r="AA1412" s="27">
        <f>IF(('Activity data'!AT6*EF!$H37*EF!$H55)*NtoN2O*kgtoGg=0,"NO",('Activity data'!AT6*EF!$H37*EF!$H55)*NtoN2O*kgtoGg)</f>
        <v>0.28360177234089196</v>
      </c>
      <c r="AB1412" s="27">
        <f>IF(('Activity data'!AU6*EF!$H37*EF!$H55)*NtoN2O*kgtoGg=0,"NO",('Activity data'!AU6*EF!$H37*EF!$H55)*NtoN2O*kgtoGg)</f>
        <v>0.28708577575853983</v>
      </c>
      <c r="AC1412" s="27">
        <f>IF(('Activity data'!AV6*EF!$H37*EF!$H55)*NtoN2O*kgtoGg=0,"NO",('Activity data'!AV6*EF!$H37*EF!$H55)*NtoN2O*kgtoGg)</f>
        <v>0.29064837177880054</v>
      </c>
      <c r="AD1412" s="27">
        <f>IF(('Activity data'!AW6*EF!$H37*EF!$H55)*NtoN2O*kgtoGg=0,"NO",('Activity data'!AW6*EF!$H37*EF!$H55)*NtoN2O*kgtoGg)</f>
        <v>0.29449715084700523</v>
      </c>
      <c r="AE1412" s="27">
        <f>IF(('Activity data'!AX6*EF!$H37*EF!$H55)*NtoN2O*kgtoGg=0,"NO",('Activity data'!AX6*EF!$H37*EF!$H55)*NtoN2O*kgtoGg)</f>
        <v>0.29829383917166835</v>
      </c>
      <c r="AF1412" s="27">
        <f>IF(('Activity data'!AY6*EF!$H37*EF!$H55)*NtoN2O*kgtoGg=0,"NO",('Activity data'!AY6*EF!$H37*EF!$H55)*NtoN2O*kgtoGg)</f>
        <v>0.30230121539018168</v>
      </c>
      <c r="AG1412" s="27">
        <f>IF(('Activity data'!AZ6*EF!$H37*EF!$H55)*NtoN2O*kgtoGg=0,"NO",('Activity data'!AZ6*EF!$H37*EF!$H55)*NtoN2O*kgtoGg)</f>
        <v>0.30683422036395941</v>
      </c>
      <c r="AH1412" s="27">
        <f>IF(('Activity data'!BA6*EF!$H37*EF!$H55)*NtoN2O*kgtoGg=0,"NO",('Activity data'!BA6*EF!$H37*EF!$H55)*NtoN2O*kgtoGg)</f>
        <v>0.31114406554952856</v>
      </c>
      <c r="AI1412" s="27">
        <f>IF(('Activity data'!BB6*EF!$H37*EF!$H55)*NtoN2O*kgtoGg=0,"NO",('Activity data'!BB6*EF!$H37*EF!$H55)*NtoN2O*kgtoGg)</f>
        <v>0.31556378895902254</v>
      </c>
      <c r="AJ1412" s="27">
        <f>IF(('Activity data'!BC6*EF!$H37*EF!$H55)*NtoN2O*kgtoGg=0,"NO",('Activity data'!BC6*EF!$H37*EF!$H55)*NtoN2O*kgtoGg)</f>
        <v>0.32029048309563773</v>
      </c>
      <c r="AK1412" s="27">
        <f>IF(('Activity data'!BD6*EF!$H37*EF!$H55)*NtoN2O*kgtoGg=0,"NO",('Activity data'!BD6*EF!$H37*EF!$H55)*NtoN2O*kgtoGg)</f>
        <v>0.32471882586455802</v>
      </c>
      <c r="AL1412" s="27">
        <f>IF(('Activity data'!BE6*EF!$H37*EF!$H55)*NtoN2O*kgtoGg=0,"NO",('Activity data'!BE6*EF!$H37*EF!$H55)*NtoN2O*kgtoGg)</f>
        <v>0.32912313723492953</v>
      </c>
      <c r="AM1412" s="27">
        <f>IF(('Activity data'!BF6*EF!$H37*EF!$H55)*NtoN2O*kgtoGg=0,"NO",('Activity data'!BF6*EF!$H37*EF!$H55)*NtoN2O*kgtoGg)</f>
        <v>0.33351566777203023</v>
      </c>
      <c r="AN1412" s="27">
        <f>IF(('Activity data'!BG6*EF!$H37*EF!$H55)*NtoN2O*kgtoGg=0,"NO",('Activity data'!BG6*EF!$H37*EF!$H55)*NtoN2O*kgtoGg)</f>
        <v>0.33816283338541037</v>
      </c>
      <c r="AO1412" s="27">
        <f>IF(('Activity data'!BH6*EF!$H37*EF!$H55)*NtoN2O*kgtoGg=0,"NO",('Activity data'!BH6*EF!$H37*EF!$H55)*NtoN2O*kgtoGg)</f>
        <v>0.34262308063885955</v>
      </c>
      <c r="AP1412" s="27">
        <f>IF(('Activity data'!BI6*EF!$H37*EF!$H55)*NtoN2O*kgtoGg=0,"NO",('Activity data'!BI6*EF!$H37*EF!$H55)*NtoN2O*kgtoGg)</f>
        <v>0.34725652550284908</v>
      </c>
      <c r="AQ1412" s="27">
        <f>IF(('Activity data'!BJ6*EF!$H37*EF!$H55)*NtoN2O*kgtoGg=0,"NO",('Activity data'!BJ6*EF!$H37*EF!$H55)*NtoN2O*kgtoGg)</f>
        <v>0.35208430027455134</v>
      </c>
      <c r="AR1412" s="27">
        <f>IF(('Activity data'!BK6*EF!$H37*EF!$H55)*NtoN2O*kgtoGg=0,"NO",('Activity data'!BK6*EF!$H37*EF!$H55)*NtoN2O*kgtoGg)</f>
        <v>0.3571403879283947</v>
      </c>
      <c r="AS1412" s="27">
        <f>IF(('Activity data'!BL6*EF!$H37*EF!$H55)*NtoN2O*kgtoGg=0,"NO",('Activity data'!BL6*EF!$H37*EF!$H55)*NtoN2O*kgtoGg)</f>
        <v>0.36228591111358999</v>
      </c>
      <c r="AT1412" s="27">
        <f>IF(('Activity data'!BM6*EF!$H37*EF!$H55)*NtoN2O*kgtoGg=0,"NO",('Activity data'!BM6*EF!$H37*EF!$H55)*NtoN2O*kgtoGg)</f>
        <v>0.36350587353959202</v>
      </c>
      <c r="AU1412" s="27">
        <f>IF(('Activity data'!BN6*EF!$H37*EF!$H55)*NtoN2O*kgtoGg=0,"NO",('Activity data'!BN6*EF!$H37*EF!$H55)*NtoN2O*kgtoGg)</f>
        <v>0.36437411706629697</v>
      </c>
      <c r="AV1412" s="27">
        <f>IF(('Activity data'!BO6*EF!$H37*EF!$H55)*NtoN2O*kgtoGg=0,"NO",('Activity data'!BO6*EF!$H37*EF!$H55)*NtoN2O*kgtoGg)</f>
        <v>0.36472985230241872</v>
      </c>
      <c r="AW1412" s="27">
        <f>IF(('Activity data'!BP6*EF!$H37*EF!$H55)*NtoN2O*kgtoGg=0,"NO",('Activity data'!BP6*EF!$H37*EF!$H55)*NtoN2O*kgtoGg)</f>
        <v>0.36494465484126087</v>
      </c>
    </row>
    <row r="1413" spans="1:49" x14ac:dyDescent="0.3">
      <c r="A1413" s="95" t="s">
        <v>960</v>
      </c>
      <c r="B1413" s="95"/>
      <c r="C1413" s="95"/>
      <c r="D1413" t="str">
        <f t="shared" ref="D1413:E1428" si="552">D1412</f>
        <v>3A Livestock</v>
      </c>
      <c r="E1413" t="str">
        <f t="shared" si="552"/>
        <v>3A2 Manure management (N2O)</v>
      </c>
      <c r="F1413" t="str">
        <f>EF!C56</f>
        <v>3A1aii Other cattle</v>
      </c>
      <c r="G1413" t="str">
        <f>EF!D56</f>
        <v>Non-lactating</v>
      </c>
      <c r="H1413" t="str">
        <f t="shared" ref="H1413:H1428" si="553">H1412</f>
        <v>Manure management Emissions</v>
      </c>
      <c r="I1413" t="s">
        <v>139</v>
      </c>
      <c r="J1413" t="str">
        <f t="shared" si="551"/>
        <v>Gg N2O</v>
      </c>
      <c r="K1413" s="27">
        <f>IF(('Activity data'!AD7*EF!$H38*EF!$H56)*NtoN2O*kgtoGg=0,"NO",('Activity data'!AD7*EF!$H38*EF!$H56)*NtoN2O*kgtoGg)</f>
        <v>1.1586934798802538E-2</v>
      </c>
      <c r="L1413" s="27">
        <f>IF(('Activity data'!AE7*EF!$H38*EF!$H56)*NtoN2O*kgtoGg=0,"NO",('Activity data'!AE7*EF!$H38*EF!$H56)*NtoN2O*kgtoGg)</f>
        <v>1.1651711689683764E-2</v>
      </c>
      <c r="M1413" s="27">
        <f>IF(('Activity data'!AF7*EF!$H38*EF!$H56)*NtoN2O*kgtoGg=0,"NO",('Activity data'!AF7*EF!$H38*EF!$H56)*NtoN2O*kgtoGg)</f>
        <v>1.1743619004328788E-2</v>
      </c>
      <c r="N1413" s="27">
        <f>IF(('Activity data'!AG7*EF!$H38*EF!$H56)*NtoN2O*kgtoGg=0,"NO",('Activity data'!AG7*EF!$H38*EF!$H56)*NtoN2O*kgtoGg)</f>
        <v>1.1802679244134426E-2</v>
      </c>
      <c r="O1413" s="27">
        <f>IF(('Activity data'!AH7*EF!$H38*EF!$H56)*NtoN2O*kgtoGg=0,"NO",('Activity data'!AH7*EF!$H38*EF!$H56)*NtoN2O*kgtoGg)</f>
        <v>1.1841925043604099E-2</v>
      </c>
      <c r="P1413" s="27">
        <f>IF(('Activity data'!AI7*EF!$H38*EF!$H56)*NtoN2O*kgtoGg=0,"NO",('Activity data'!AI7*EF!$H38*EF!$H56)*NtoN2O*kgtoGg)</f>
        <v>1.1860970136438286E-2</v>
      </c>
      <c r="Q1413" s="27">
        <f>IF(('Activity data'!AJ7*EF!$H38*EF!$H56)*NtoN2O*kgtoGg=0,"NO",('Activity data'!AJ7*EF!$H38*EF!$H56)*NtoN2O*kgtoGg)</f>
        <v>1.1903047834366352E-2</v>
      </c>
      <c r="R1413" s="27">
        <f>IF(('Activity data'!AK7*EF!$H38*EF!$H56)*NtoN2O*kgtoGg=0,"NO",('Activity data'!AK7*EF!$H38*EF!$H56)*NtoN2O*kgtoGg)</f>
        <v>1.1951318021451857E-2</v>
      </c>
      <c r="S1413" s="27">
        <f>IF(('Activity data'!AL7*EF!$H38*EF!$H56)*NtoN2O*kgtoGg=0,"NO",('Activity data'!AL7*EF!$H38*EF!$H56)*NtoN2O*kgtoGg)</f>
        <v>1.1592066187314282E-2</v>
      </c>
      <c r="T1413" s="27">
        <f>IF(('Activity data'!AM7*EF!$H38*EF!$H56)*NtoN2O*kgtoGg=0,"NO",('Activity data'!AM7*EF!$H38*EF!$H56)*NtoN2O*kgtoGg)</f>
        <v>1.1713958142562505E-2</v>
      </c>
      <c r="U1413" s="27">
        <f>IF(('Activity data'!AN7*EF!$H38*EF!$H56)*NtoN2O*kgtoGg=0,"NO",('Activity data'!AN7*EF!$H38*EF!$H56)*NtoN2O*kgtoGg)</f>
        <v>1.1892375711990867E-2</v>
      </c>
      <c r="V1413" s="27">
        <f>IF(('Activity data'!AO7*EF!$H38*EF!$H56)*NtoN2O*kgtoGg=0,"NO",('Activity data'!AO7*EF!$H38*EF!$H56)*NtoN2O*kgtoGg)</f>
        <v>1.1984853830210035E-2</v>
      </c>
      <c r="W1413" s="27">
        <f>IF(('Activity data'!AP7*EF!$H38*EF!$H56)*NtoN2O*kgtoGg=0,"NO",('Activity data'!AP7*EF!$H38*EF!$H56)*NtoN2O*kgtoGg)</f>
        <v>1.2090544009021577E-2</v>
      </c>
      <c r="X1413" s="27">
        <f>IF(('Activity data'!AQ7*EF!$H38*EF!$H56)*NtoN2O*kgtoGg=0,"NO",('Activity data'!AQ7*EF!$H38*EF!$H56)*NtoN2O*kgtoGg)</f>
        <v>1.221286931764253E-2</v>
      </c>
      <c r="Y1413" s="27">
        <f>IF(('Activity data'!AR7*EF!$H38*EF!$H56)*NtoN2O*kgtoGg=0,"NO",('Activity data'!AR7*EF!$H38*EF!$H56)*NtoN2O*kgtoGg)</f>
        <v>1.2337786538069315E-2</v>
      </c>
      <c r="Z1413" s="27">
        <f>IF(('Activity data'!AS7*EF!$H38*EF!$H56)*NtoN2O*kgtoGg=0,"NO",('Activity data'!AS7*EF!$H38*EF!$H56)*NtoN2O*kgtoGg)</f>
        <v>1.2476053790971267E-2</v>
      </c>
      <c r="AA1413" s="27">
        <f>IF(('Activity data'!AT7*EF!$H38*EF!$H56)*NtoN2O*kgtoGg=0,"NO",('Activity data'!AT7*EF!$H38*EF!$H56)*NtoN2O*kgtoGg)</f>
        <v>1.2618604185344915E-2</v>
      </c>
      <c r="AB1413" s="27">
        <f>IF(('Activity data'!AU7*EF!$H38*EF!$H56)*NtoN2O*kgtoGg=0,"NO",('Activity data'!AU7*EF!$H38*EF!$H56)*NtoN2O*kgtoGg)</f>
        <v>1.2773621764201382E-2</v>
      </c>
      <c r="AC1413" s="27">
        <f>IF(('Activity data'!AV7*EF!$H38*EF!$H56)*NtoN2O*kgtoGg=0,"NO",('Activity data'!AV7*EF!$H38*EF!$H56)*NtoN2O*kgtoGg)</f>
        <v>1.293213624978054E-2</v>
      </c>
      <c r="AD1413" s="27">
        <f>IF(('Activity data'!AW7*EF!$H38*EF!$H56)*NtoN2O*kgtoGg=0,"NO",('Activity data'!AW7*EF!$H38*EF!$H56)*NtoN2O*kgtoGg)</f>
        <v>1.3103384191066813E-2</v>
      </c>
      <c r="AE1413" s="27">
        <f>IF(('Activity data'!AX7*EF!$H38*EF!$H56)*NtoN2O*kgtoGg=0,"NO",('Activity data'!AX7*EF!$H38*EF!$H56)*NtoN2O*kgtoGg)</f>
        <v>1.3272314401864145E-2</v>
      </c>
      <c r="AF1413" s="27">
        <f>IF(('Activity data'!AY7*EF!$H38*EF!$H56)*NtoN2O*kgtoGg=0,"NO",('Activity data'!AY7*EF!$H38*EF!$H56)*NtoN2O*kgtoGg)</f>
        <v>1.345061897981439E-2</v>
      </c>
      <c r="AG1413" s="27">
        <f>IF(('Activity data'!AZ7*EF!$H38*EF!$H56)*NtoN2O*kgtoGg=0,"NO",('Activity data'!AZ7*EF!$H38*EF!$H56)*NtoN2O*kgtoGg)</f>
        <v>1.3652310933507637E-2</v>
      </c>
      <c r="AH1413" s="27">
        <f>IF(('Activity data'!BA7*EF!$H38*EF!$H56)*NtoN2O*kgtoGg=0,"NO",('Activity data'!BA7*EF!$H38*EF!$H56)*NtoN2O*kgtoGg)</f>
        <v>1.3844073594396234E-2</v>
      </c>
      <c r="AI1413" s="27">
        <f>IF(('Activity data'!BB7*EF!$H38*EF!$H56)*NtoN2O*kgtoGg=0,"NO",('Activity data'!BB7*EF!$H38*EF!$H56)*NtoN2O*kgtoGg)</f>
        <v>1.4040725187412617E-2</v>
      </c>
      <c r="AJ1413" s="27">
        <f>IF(('Activity data'!BC7*EF!$H38*EF!$H56)*NtoN2O*kgtoGg=0,"NO",('Activity data'!BC7*EF!$H38*EF!$H56)*NtoN2O*kgtoGg)</f>
        <v>1.4251035165107133E-2</v>
      </c>
      <c r="AK1413" s="27">
        <f>IF(('Activity data'!BD7*EF!$H38*EF!$H56)*NtoN2O*kgtoGg=0,"NO",('Activity data'!BD7*EF!$H38*EF!$H56)*NtoN2O*kgtoGg)</f>
        <v>1.4448070268720213E-2</v>
      </c>
      <c r="AL1413" s="27">
        <f>IF(('Activity data'!BE7*EF!$H38*EF!$H56)*NtoN2O*kgtoGg=0,"NO",('Activity data'!BE7*EF!$H38*EF!$H56)*NtoN2O*kgtoGg)</f>
        <v>1.4644036117004574E-2</v>
      </c>
      <c r="AM1413" s="27">
        <f>IF(('Activity data'!BF7*EF!$H38*EF!$H56)*NtoN2O*kgtoGg=0,"NO",('Activity data'!BF7*EF!$H38*EF!$H56)*NtoN2O*kgtoGg)</f>
        <v>1.4839477787774847E-2</v>
      </c>
      <c r="AN1413" s="27">
        <f>IF(('Activity data'!BG7*EF!$H38*EF!$H56)*NtoN2O*kgtoGg=0,"NO",('Activity data'!BG7*EF!$H38*EF!$H56)*NtoN2O*kgtoGg)</f>
        <v>1.5046249215805637E-2</v>
      </c>
      <c r="AO1413" s="27">
        <f>IF(('Activity data'!BH7*EF!$H38*EF!$H56)*NtoN2O*kgtoGg=0,"NO",('Activity data'!BH7*EF!$H38*EF!$H56)*NtoN2O*kgtoGg)</f>
        <v>1.5244703880582538E-2</v>
      </c>
      <c r="AP1413" s="27">
        <f>IF(('Activity data'!BI7*EF!$H38*EF!$H56)*NtoN2O*kgtoGg=0,"NO",('Activity data'!BI7*EF!$H38*EF!$H56)*NtoN2O*kgtoGg)</f>
        <v>1.5450864816287217E-2</v>
      </c>
      <c r="AQ1413" s="27">
        <f>IF(('Activity data'!BJ7*EF!$H38*EF!$H56)*NtoN2O*kgtoGg=0,"NO",('Activity data'!BJ7*EF!$H38*EF!$H56)*NtoN2O*kgtoGg)</f>
        <v>1.5665672285356487E-2</v>
      </c>
      <c r="AR1413" s="27">
        <f>IF(('Activity data'!BK7*EF!$H38*EF!$H56)*NtoN2O*kgtoGg=0,"NO",('Activity data'!BK7*EF!$H38*EF!$H56)*NtoN2O*kgtoGg)</f>
        <v>1.589063832948109E-2</v>
      </c>
      <c r="AS1413" s="27">
        <f>IF(('Activity data'!BL7*EF!$H38*EF!$H56)*NtoN2O*kgtoGg=0,"NO",('Activity data'!BL7*EF!$H38*EF!$H56)*NtoN2O*kgtoGg)</f>
        <v>1.6119583726629205E-2</v>
      </c>
      <c r="AT1413" s="27">
        <f>IF(('Activity data'!BM7*EF!$H38*EF!$H56)*NtoN2O*kgtoGg=0,"NO",('Activity data'!BM7*EF!$H38*EF!$H56)*NtoN2O*kgtoGg)</f>
        <v>1.6173864850642101E-2</v>
      </c>
      <c r="AU1413" s="27">
        <f>IF(('Activity data'!BN7*EF!$H38*EF!$H56)*NtoN2O*kgtoGg=0,"NO",('Activity data'!BN7*EF!$H38*EF!$H56)*NtoN2O*kgtoGg)</f>
        <v>1.6212496560555425E-2</v>
      </c>
      <c r="AV1413" s="27">
        <f>IF(('Activity data'!BO7*EF!$H38*EF!$H56)*NtoN2O*kgtoGg=0,"NO",('Activity data'!BO7*EF!$H38*EF!$H56)*NtoN2O*kgtoGg)</f>
        <v>1.6228324677927005E-2</v>
      </c>
      <c r="AW1413" s="27">
        <f>IF(('Activity data'!BP7*EF!$H38*EF!$H56)*NtoN2O*kgtoGg=0,"NO",('Activity data'!BP7*EF!$H38*EF!$H56)*NtoN2O*kgtoGg)</f>
        <v>1.6237882122484858E-2</v>
      </c>
    </row>
    <row r="1414" spans="1:49" x14ac:dyDescent="0.3">
      <c r="A1414" s="95" t="s">
        <v>960</v>
      </c>
      <c r="B1414" s="95"/>
      <c r="C1414" s="95"/>
      <c r="D1414" t="str">
        <f t="shared" si="552"/>
        <v>3A Livestock</v>
      </c>
      <c r="E1414" t="str">
        <f t="shared" si="552"/>
        <v>3A2 Manure management (N2O)</v>
      </c>
      <c r="F1414" t="str">
        <f>EF!C57</f>
        <v>3A1aii Other cattle</v>
      </c>
      <c r="G1414" t="str">
        <f>EF!D57</f>
        <v>Commercial</v>
      </c>
      <c r="H1414" t="str">
        <f>H1412</f>
        <v>Manure management Emissions</v>
      </c>
      <c r="I1414" t="s">
        <v>139</v>
      </c>
      <c r="J1414" t="str">
        <f>J1412</f>
        <v>Gg N2O</v>
      </c>
      <c r="K1414" s="27">
        <f>IF(('Activity data'!AD8*EF!$H39*EF!$H57)*NtoN2O*kgtoGg=0,"NO",('Activity data'!AD8*EF!$H39*EF!$H57)*NtoN2O*kgtoGg)</f>
        <v>0.52525224947331306</v>
      </c>
      <c r="L1414" s="27">
        <f>IF(('Activity data'!AE8*EF!$H39*EF!$H57)*NtoN2O*kgtoGg=0,"NO",('Activity data'!AE8*EF!$H39*EF!$H57)*NtoN2O*kgtoGg)</f>
        <v>0.52069690445710348</v>
      </c>
      <c r="M1414" s="27">
        <f>IF(('Activity data'!AF8*EF!$H39*EF!$H57)*NtoN2O*kgtoGg=0,"NO",('Activity data'!AF8*EF!$H39*EF!$H57)*NtoN2O*kgtoGg)</f>
        <v>0.51896282251134873</v>
      </c>
      <c r="N1414" s="27">
        <f>IF(('Activity data'!AG8*EF!$H39*EF!$H57)*NtoN2O*kgtoGg=0,"NO",('Activity data'!AG8*EF!$H39*EF!$H57)*NtoN2O*kgtoGg)</f>
        <v>0.51203275332440912</v>
      </c>
      <c r="O1414" s="27">
        <f>IF(('Activity data'!AH8*EF!$H39*EF!$H57)*NtoN2O*kgtoGg=0,"NO",('Activity data'!AH8*EF!$H39*EF!$H57)*NtoN2O*kgtoGg)</f>
        <v>0.50197358865556674</v>
      </c>
      <c r="P1414" s="27">
        <f>IF(('Activity data'!AI8*EF!$H39*EF!$H57)*NtoN2O*kgtoGg=0,"NO",('Activity data'!AI8*EF!$H39*EF!$H57)*NtoN2O*kgtoGg)</f>
        <v>0.48899333628247271</v>
      </c>
      <c r="Q1414" s="27">
        <f>IF(('Activity data'!AJ8*EF!$H39*EF!$H57)*NtoN2O*kgtoGg=0,"NO",('Activity data'!AJ8*EF!$H39*EF!$H57)*NtoN2O*kgtoGg)</f>
        <v>0.47875543160314177</v>
      </c>
      <c r="R1414" s="27">
        <f>IF(('Activity data'!AK8*EF!$H39*EF!$H57)*NtoN2O*kgtoGg=0,"NO",('Activity data'!AK8*EF!$H39*EF!$H57)*NtoN2O*kgtoGg)</f>
        <v>0.46906920988966794</v>
      </c>
      <c r="S1414" s="27">
        <f>IF(('Activity data'!AL8*EF!$H39*EF!$H57)*NtoN2O*kgtoGg=0,"NO",('Activity data'!AL8*EF!$H39*EF!$H57)*NtoN2O*kgtoGg)</f>
        <v>0.41264416115350733</v>
      </c>
      <c r="T1414" s="27">
        <f>IF(('Activity data'!AM8*EF!$H39*EF!$H57)*NtoN2O*kgtoGg=0,"NO",('Activity data'!AM8*EF!$H39*EF!$H57)*NtoN2O*kgtoGg)</f>
        <v>0.41934674582080395</v>
      </c>
      <c r="U1414" s="27">
        <f>IF(('Activity data'!AN8*EF!$H39*EF!$H57)*NtoN2O*kgtoGg=0,"NO",('Activity data'!AN8*EF!$H39*EF!$H57)*NtoN2O*kgtoGg)</f>
        <v>0.43185062896277993</v>
      </c>
      <c r="V1414" s="27">
        <f>IF(('Activity data'!AO8*EF!$H39*EF!$H57)*NtoN2O*kgtoGg=0,"NO",('Activity data'!AO8*EF!$H39*EF!$H57)*NtoN2O*kgtoGg)</f>
        <v>0.43434779885132324</v>
      </c>
      <c r="W1414" s="27">
        <f>IF(('Activity data'!AP8*EF!$H39*EF!$H57)*NtoN2O*kgtoGg=0,"NO",('Activity data'!AP8*EF!$H39*EF!$H57)*NtoN2O*kgtoGg)</f>
        <v>0.43794943602225234</v>
      </c>
      <c r="X1414" s="27">
        <f>IF(('Activity data'!AQ8*EF!$H39*EF!$H57)*NtoN2O*kgtoGg=0,"NO",('Activity data'!AQ8*EF!$H39*EF!$H57)*NtoN2O*kgtoGg)</f>
        <v>0.44297379932068648</v>
      </c>
      <c r="Y1414" s="27">
        <f>IF(('Activity data'!AR8*EF!$H39*EF!$H57)*NtoN2O*kgtoGg=0,"NO",('Activity data'!AR8*EF!$H39*EF!$H57)*NtoN2O*kgtoGg)</f>
        <v>0.44873697326986872</v>
      </c>
      <c r="Z1414" s="27">
        <f>IF(('Activity data'!AS8*EF!$H39*EF!$H57)*NtoN2O*kgtoGg=0,"NO",('Activity data'!AS8*EF!$H39*EF!$H57)*NtoN2O*kgtoGg)</f>
        <v>0.45549399211939318</v>
      </c>
      <c r="AA1414" s="27">
        <f>IF(('Activity data'!AT8*EF!$H39*EF!$H57)*NtoN2O*kgtoGg=0,"NO",('Activity data'!AT8*EF!$H39*EF!$H57)*NtoN2O*kgtoGg)</f>
        <v>0.46228217585155068</v>
      </c>
      <c r="AB1414" s="27">
        <f>IF(('Activity data'!AU8*EF!$H39*EF!$H57)*NtoN2O*kgtoGg=0,"NO",('Activity data'!AU8*EF!$H39*EF!$H57)*NtoN2O*kgtoGg)</f>
        <v>0.46991678793970998</v>
      </c>
      <c r="AC1414" s="27">
        <f>IF(('Activity data'!AV8*EF!$H39*EF!$H57)*NtoN2O*kgtoGg=0,"NO",('Activity data'!AV8*EF!$H39*EF!$H57)*NtoN2O*kgtoGg)</f>
        <v>0.47747563485930333</v>
      </c>
      <c r="AD1414" s="27">
        <f>IF(('Activity data'!AW8*EF!$H39*EF!$H57)*NtoN2O*kgtoGg=0,"NO",('Activity data'!AW8*EF!$H39*EF!$H57)*NtoN2O*kgtoGg)</f>
        <v>0.48239948914340336</v>
      </c>
      <c r="AE1414" s="27">
        <f>IF(('Activity data'!AX8*EF!$H39*EF!$H57)*NtoN2O*kgtoGg=0,"NO",('Activity data'!AX8*EF!$H39*EF!$H57)*NtoN2O*kgtoGg)</f>
        <v>0.48644231664639292</v>
      </c>
      <c r="AF1414" s="27">
        <f>IF(('Activity data'!AY8*EF!$H39*EF!$H57)*NtoN2O*kgtoGg=0,"NO",('Activity data'!AY8*EF!$H39*EF!$H57)*NtoN2O*kgtoGg)</f>
        <v>0.49071333483501467</v>
      </c>
      <c r="AG1414" s="27">
        <f>IF(('Activity data'!AZ8*EF!$H39*EF!$H57)*NtoN2O*kgtoGg=0,"NO",('Activity data'!AZ8*EF!$H39*EF!$H57)*NtoN2O*kgtoGg)</f>
        <v>0.49642790918475599</v>
      </c>
      <c r="AH1414" s="27">
        <f>IF(('Activity data'!BA8*EF!$H39*EF!$H57)*NtoN2O*kgtoGg=0,"NO",('Activity data'!BA8*EF!$H39*EF!$H57)*NtoN2O*kgtoGg)</f>
        <v>0.50053763889453751</v>
      </c>
      <c r="AI1414" s="27">
        <f>IF(('Activity data'!BB8*EF!$H39*EF!$H57)*NtoN2O*kgtoGg=0,"NO",('Activity data'!BB8*EF!$H39*EF!$H57)*NtoN2O*kgtoGg)</f>
        <v>0.50491759807835224</v>
      </c>
      <c r="AJ1414" s="27">
        <f>IF(('Activity data'!BC8*EF!$H39*EF!$H57)*NtoN2O*kgtoGg=0,"NO",('Activity data'!BC8*EF!$H39*EF!$H57)*NtoN2O*kgtoGg)</f>
        <v>0.50973902676184191</v>
      </c>
      <c r="AK1414" s="27">
        <f>IF(('Activity data'!BD8*EF!$H39*EF!$H57)*NtoN2O*kgtoGg=0,"NO",('Activity data'!BD8*EF!$H39*EF!$H57)*NtoN2O*kgtoGg)</f>
        <v>0.51274341869053752</v>
      </c>
      <c r="AL1414" s="27">
        <f>IF(('Activity data'!BE8*EF!$H39*EF!$H57)*NtoN2O*kgtoGg=0,"NO",('Activity data'!BE8*EF!$H39*EF!$H57)*NtoN2O*kgtoGg)</f>
        <v>0.51499736836395149</v>
      </c>
      <c r="AM1414" s="27">
        <f>IF(('Activity data'!BF8*EF!$H39*EF!$H57)*NtoN2O*kgtoGg=0,"NO",('Activity data'!BF8*EF!$H39*EF!$H57)*NtoN2O*kgtoGg)</f>
        <v>0.51656513471542254</v>
      </c>
      <c r="AN1414" s="27">
        <f>IF(('Activity data'!BG8*EF!$H39*EF!$H57)*NtoN2O*kgtoGg=0,"NO",('Activity data'!BG8*EF!$H39*EF!$H57)*NtoN2O*kgtoGg)</f>
        <v>0.52143890594170261</v>
      </c>
      <c r="AO1414" s="27">
        <f>IF(('Activity data'!BH8*EF!$H39*EF!$H57)*NtoN2O*kgtoGg=0,"NO",('Activity data'!BH8*EF!$H39*EF!$H57)*NtoN2O*kgtoGg)</f>
        <v>0.52514358906624359</v>
      </c>
      <c r="AP1414" s="27">
        <f>IF(('Activity data'!BI8*EF!$H39*EF!$H57)*NtoN2O*kgtoGg=0,"NO",('Activity data'!BI8*EF!$H39*EF!$H57)*NtoN2O*kgtoGg)</f>
        <v>0.52889503602895283</v>
      </c>
      <c r="AQ1414" s="27">
        <f>IF(('Activity data'!BJ8*EF!$H39*EF!$H57)*NtoN2O*kgtoGg=0,"NO",('Activity data'!BJ8*EF!$H39*EF!$H57)*NtoN2O*kgtoGg)</f>
        <v>0.53273616168720928</v>
      </c>
      <c r="AR1414" s="27">
        <f>IF(('Activity data'!BK8*EF!$H39*EF!$H57)*NtoN2O*kgtoGg=0,"NO",('Activity data'!BK8*EF!$H39*EF!$H57)*NtoN2O*kgtoGg)</f>
        <v>0.53674442357271479</v>
      </c>
      <c r="AS1414" s="27">
        <f>IF(('Activity data'!BL8*EF!$H39*EF!$H57)*NtoN2O*kgtoGg=0,"NO",('Activity data'!BL8*EF!$H39*EF!$H57)*NtoN2O*kgtoGg)</f>
        <v>0.54085984384551011</v>
      </c>
      <c r="AT1414" s="27">
        <f>IF(('Activity data'!BM8*EF!$H39*EF!$H57)*NtoN2O*kgtoGg=0,"NO",('Activity data'!BM8*EF!$H39*EF!$H57)*NtoN2O*kgtoGg)</f>
        <v>0.53274169797877946</v>
      </c>
      <c r="AU1414" s="27">
        <f>IF(('Activity data'!BN8*EF!$H39*EF!$H57)*NtoN2O*kgtoGg=0,"NO",('Activity data'!BN8*EF!$H39*EF!$H57)*NtoN2O*kgtoGg)</f>
        <v>0.52354520401592364</v>
      </c>
      <c r="AV1414" s="27">
        <f>IF(('Activity data'!BO8*EF!$H39*EF!$H57)*NtoN2O*kgtoGg=0,"NO",('Activity data'!BO8*EF!$H39*EF!$H57)*NtoN2O*kgtoGg)</f>
        <v>0.51288351759282347</v>
      </c>
      <c r="AW1414" s="27">
        <f>IF(('Activity data'!BP8*EF!$H39*EF!$H57)*NtoN2O*kgtoGg=0,"NO",('Activity data'!BP8*EF!$H39*EF!$H57)*NtoN2O*kgtoGg)</f>
        <v>0.50188770167031349</v>
      </c>
    </row>
    <row r="1415" spans="1:49" x14ac:dyDescent="0.3">
      <c r="A1415" s="95" t="s">
        <v>960</v>
      </c>
      <c r="B1415" s="95"/>
      <c r="C1415" s="95"/>
      <c r="D1415" t="str">
        <f t="shared" si="552"/>
        <v>3A Livestock</v>
      </c>
      <c r="E1415" t="str">
        <f t="shared" si="552"/>
        <v>3A2 Manure management (N2O)</v>
      </c>
      <c r="F1415" t="str">
        <f>EF!C58</f>
        <v>3A1aii Other cattle</v>
      </c>
      <c r="G1415" t="str">
        <f>EF!D58</f>
        <v>Subsistence</v>
      </c>
      <c r="H1415" t="str">
        <f t="shared" si="553"/>
        <v>Manure management Emissions</v>
      </c>
      <c r="I1415" t="s">
        <v>139</v>
      </c>
      <c r="J1415" t="str">
        <f t="shared" si="551"/>
        <v>Gg N2O</v>
      </c>
      <c r="K1415" s="27">
        <f>IF(('Activity data'!AD9*EF!$H40*EF!$H58)*NtoN2O*kgtoGg=0,"NO",('Activity data'!AD9*EF!$H40*EF!$H58)*NtoN2O*kgtoGg)</f>
        <v>0.80452586370517887</v>
      </c>
      <c r="L1415" s="27">
        <f>IF(('Activity data'!AE9*EF!$H40*EF!$H58)*NtoN2O*kgtoGg=0,"NO",('Activity data'!AE9*EF!$H40*EF!$H58)*NtoN2O*kgtoGg)</f>
        <v>0.79754846782098032</v>
      </c>
      <c r="M1415" s="27">
        <f>IF(('Activity data'!AF9*EF!$H40*EF!$H58)*NtoN2O*kgtoGg=0,"NO",('Activity data'!AF9*EF!$H40*EF!$H58)*NtoN2O*kgtoGg)</f>
        <v>0.79489238443144172</v>
      </c>
      <c r="N1415" s="27">
        <f>IF(('Activity data'!AG9*EF!$H40*EF!$H58)*NtoN2O*kgtoGg=0,"NO",('Activity data'!AG9*EF!$H40*EF!$H58)*NtoN2O*kgtoGg)</f>
        <v>0.78427763712907439</v>
      </c>
      <c r="O1415" s="27">
        <f>IF(('Activity data'!AH9*EF!$H40*EF!$H58)*NtoN2O*kgtoGg=0,"NO",('Activity data'!AH9*EF!$H40*EF!$H58)*NtoN2O*kgtoGg)</f>
        <v>0.76887007218962322</v>
      </c>
      <c r="P1415" s="27">
        <f>IF(('Activity data'!AI9*EF!$H40*EF!$H58)*NtoN2O*kgtoGg=0,"NO",('Activity data'!AI9*EF!$H40*EF!$H58)*NtoN2O*kgtoGg)</f>
        <v>0.74898829393537225</v>
      </c>
      <c r="Q1415" s="27">
        <f>IF(('Activity data'!AJ9*EF!$H40*EF!$H58)*NtoN2O*kgtoGg=0,"NO",('Activity data'!AJ9*EF!$H40*EF!$H58)*NtoN2O*kgtoGg)</f>
        <v>0.73330695394505496</v>
      </c>
      <c r="R1415" s="27">
        <f>IF(('Activity data'!AK9*EF!$H40*EF!$H58)*NtoN2O*kgtoGg=0,"NO",('Activity data'!AK9*EF!$H40*EF!$H58)*NtoN2O*kgtoGg)</f>
        <v>0.71847062359542491</v>
      </c>
      <c r="S1415" s="27">
        <f>IF(('Activity data'!AL9*EF!$H40*EF!$H58)*NtoN2O*kgtoGg=0,"NO",('Activity data'!AL9*EF!$H40*EF!$H58)*NtoN2O*kgtoGg)</f>
        <v>0.63204469945214758</v>
      </c>
      <c r="T1415" s="27">
        <f>IF(('Activity data'!AM9*EF!$H40*EF!$H58)*NtoN2O*kgtoGg=0,"NO",('Activity data'!AM9*EF!$H40*EF!$H58)*NtoN2O*kgtoGg)</f>
        <v>0.6423110100180156</v>
      </c>
      <c r="U1415" s="27">
        <f>IF(('Activity data'!AN9*EF!$H40*EF!$H58)*NtoN2O*kgtoGg=0,"NO",('Activity data'!AN9*EF!$H40*EF!$H58)*NtoN2O*kgtoGg)</f>
        <v>0.66146313624794417</v>
      </c>
      <c r="V1415" s="27">
        <f>IF(('Activity data'!AO9*EF!$H40*EF!$H58)*NtoN2O*kgtoGg=0,"NO",('Activity data'!AO9*EF!$H40*EF!$H58)*NtoN2O*kgtoGg)</f>
        <v>0.6652880370711457</v>
      </c>
      <c r="W1415" s="27">
        <f>IF(('Activity data'!AP9*EF!$H40*EF!$H58)*NtoN2O*kgtoGg=0,"NO",('Activity data'!AP9*EF!$H40*EF!$H58)*NtoN2O*kgtoGg)</f>
        <v>0.6708046441082407</v>
      </c>
      <c r="X1415" s="27">
        <f>IF(('Activity data'!AQ9*EF!$H40*EF!$H58)*NtoN2O*kgtoGg=0,"NO",('Activity data'!AQ9*EF!$H40*EF!$H58)*NtoN2O*kgtoGg)</f>
        <v>0.67850043261042148</v>
      </c>
      <c r="Y1415" s="27">
        <f>IF(('Activity data'!AR9*EF!$H40*EF!$H58)*NtoN2O*kgtoGg=0,"NO",('Activity data'!AR9*EF!$H40*EF!$H58)*NtoN2O*kgtoGg)</f>
        <v>0.68732785315702249</v>
      </c>
      <c r="Z1415" s="27">
        <f>IF(('Activity data'!AS9*EF!$H40*EF!$H58)*NtoN2O*kgtoGg=0,"NO",('Activity data'!AS9*EF!$H40*EF!$H58)*NtoN2O*kgtoGg)</f>
        <v>0.69767754024819972</v>
      </c>
      <c r="AA1415" s="27">
        <f>IF(('Activity data'!AT9*EF!$H40*EF!$H58)*NtoN2O*kgtoGg=0,"NO",('Activity data'!AT9*EF!$H40*EF!$H58)*NtoN2O*kgtoGg)</f>
        <v>0.70807496241170254</v>
      </c>
      <c r="AB1415" s="27">
        <f>IF(('Activity data'!AU9*EF!$H40*EF!$H58)*NtoN2O*kgtoGg=0,"NO",('Activity data'!AU9*EF!$H40*EF!$H58)*NtoN2O*kgtoGg)</f>
        <v>0.71976885404270319</v>
      </c>
      <c r="AC1415" s="27">
        <f>IF(('Activity data'!AV9*EF!$H40*EF!$H58)*NtoN2O*kgtoGg=0,"NO",('Activity data'!AV9*EF!$H40*EF!$H58)*NtoN2O*kgtoGg)</f>
        <v>0.73134669659873019</v>
      </c>
      <c r="AD1415" s="27">
        <f>IF(('Activity data'!AW9*EF!$H40*EF!$H58)*NtoN2O*kgtoGg=0,"NO",('Activity data'!AW9*EF!$H40*EF!$H58)*NtoN2O*kgtoGg)</f>
        <v>0.73888853601902071</v>
      </c>
      <c r="AE1415" s="27">
        <f>IF(('Activity data'!AX9*EF!$H40*EF!$H58)*NtoN2O*kgtoGg=0,"NO",('Activity data'!AX9*EF!$H40*EF!$H58)*NtoN2O*kgtoGg)</f>
        <v>0.74508091176213287</v>
      </c>
      <c r="AF1415" s="27">
        <f>IF(('Activity data'!AY9*EF!$H40*EF!$H58)*NtoN2O*kgtoGg=0,"NO",('Activity data'!AY9*EF!$H40*EF!$H58)*NtoN2O*kgtoGg)</f>
        <v>0.7516228058721478</v>
      </c>
      <c r="AG1415" s="27">
        <f>IF(('Activity data'!AZ9*EF!$H40*EF!$H58)*NtoN2O*kgtoGg=0,"NO",('Activity data'!AZ9*EF!$H40*EF!$H58)*NtoN2O*kgtoGg)</f>
        <v>0.76037578669049388</v>
      </c>
      <c r="AH1415" s="27">
        <f>IF(('Activity data'!BA9*EF!$H40*EF!$H58)*NtoN2O*kgtoGg=0,"NO",('Activity data'!BA9*EF!$H40*EF!$H58)*NtoN2O*kgtoGg)</f>
        <v>0.76667063616076714</v>
      </c>
      <c r="AI1415" s="27">
        <f>IF(('Activity data'!BB9*EF!$H40*EF!$H58)*NtoN2O*kgtoGg=0,"NO",('Activity data'!BB9*EF!$H40*EF!$H58)*NtoN2O*kgtoGg)</f>
        <v>0.77337939456948435</v>
      </c>
      <c r="AJ1415" s="27">
        <f>IF(('Activity data'!BC9*EF!$H40*EF!$H58)*NtoN2O*kgtoGg=0,"NO",('Activity data'!BC9*EF!$H40*EF!$H58)*NtoN2O*kgtoGg)</f>
        <v>0.78076434928365657</v>
      </c>
      <c r="AK1415" s="27">
        <f>IF(('Activity data'!BD9*EF!$H40*EF!$H58)*NtoN2O*kgtoGg=0,"NO",('Activity data'!BD9*EF!$H40*EF!$H58)*NtoN2O*kgtoGg)</f>
        <v>0.78536615920216046</v>
      </c>
      <c r="AL1415" s="27">
        <f>IF(('Activity data'!BE9*EF!$H40*EF!$H58)*NtoN2O*kgtoGg=0,"NO",('Activity data'!BE9*EF!$H40*EF!$H58)*NtoN2O*kgtoGg)</f>
        <v>0.78881852101416539</v>
      </c>
      <c r="AM1415" s="27">
        <f>IF(('Activity data'!BF9*EF!$H40*EF!$H58)*NtoN2O*kgtoGg=0,"NO",('Activity data'!BF9*EF!$H40*EF!$H58)*NtoN2O*kgtoGg)</f>
        <v>0.79121985976001552</v>
      </c>
      <c r="AN1415" s="27">
        <f>IF(('Activity data'!BG9*EF!$H40*EF!$H58)*NtoN2O*kgtoGg=0,"NO",('Activity data'!BG9*EF!$H40*EF!$H58)*NtoN2O*kgtoGg)</f>
        <v>0.79868498724734416</v>
      </c>
      <c r="AO1415" s="27">
        <f>IF(('Activity data'!BH9*EF!$H40*EF!$H58)*NtoN2O*kgtoGg=0,"NO",('Activity data'!BH9*EF!$H40*EF!$H58)*NtoN2O*kgtoGg)</f>
        <v>0.80435942918169867</v>
      </c>
      <c r="AP1415" s="27">
        <f>IF(('Activity data'!BI9*EF!$H40*EF!$H58)*NtoN2O*kgtoGg=0,"NO",('Activity data'!BI9*EF!$H40*EF!$H58)*NtoN2O*kgtoGg)</f>
        <v>0.81010549901927509</v>
      </c>
      <c r="AQ1415" s="27">
        <f>IF(('Activity data'!BJ9*EF!$H40*EF!$H58)*NtoN2O*kgtoGg=0,"NO",('Activity data'!BJ9*EF!$H40*EF!$H58)*NtoN2O*kgtoGg)</f>
        <v>0.81598892920145427</v>
      </c>
      <c r="AR1415" s="27">
        <f>IF(('Activity data'!BK9*EF!$H40*EF!$H58)*NtoN2O*kgtoGg=0,"NO",('Activity data'!BK9*EF!$H40*EF!$H58)*NtoN2O*kgtoGg)</f>
        <v>0.82212836098613751</v>
      </c>
      <c r="AS1415" s="27">
        <f>IF(('Activity data'!BL9*EF!$H40*EF!$H58)*NtoN2O*kgtoGg=0,"NO",('Activity data'!BL9*EF!$H40*EF!$H58)*NtoN2O*kgtoGg)</f>
        <v>0.82843192665920329</v>
      </c>
      <c r="AT1415" s="27">
        <f>IF(('Activity data'!BM9*EF!$H40*EF!$H58)*NtoN2O*kgtoGg=0,"NO",('Activity data'!BM9*EF!$H40*EF!$H58)*NtoN2O*kgtoGg)</f>
        <v>0.81599740910755991</v>
      </c>
      <c r="AU1415" s="27">
        <f>IF(('Activity data'!BN9*EF!$H40*EF!$H58)*NtoN2O*kgtoGg=0,"NO",('Activity data'!BN9*EF!$H40*EF!$H58)*NtoN2O*kgtoGg)</f>
        <v>0.80191119195009897</v>
      </c>
      <c r="AV1415" s="27">
        <f>IF(('Activity data'!BO9*EF!$H40*EF!$H58)*NtoN2O*kgtoGg=0,"NO",('Activity data'!BO9*EF!$H40*EF!$H58)*NtoN2O*kgtoGg)</f>
        <v>0.78558074788879373</v>
      </c>
      <c r="AW1415" s="27">
        <f>IF(('Activity data'!BP9*EF!$H40*EF!$H58)*NtoN2O*kgtoGg=0,"NO",('Activity data'!BP9*EF!$H40*EF!$H58)*NtoN2O*kgtoGg)</f>
        <v>0.76873851958597172</v>
      </c>
    </row>
    <row r="1416" spans="1:49" x14ac:dyDescent="0.3">
      <c r="A1416" s="95" t="s">
        <v>960</v>
      </c>
      <c r="B1416" s="95"/>
      <c r="C1416" s="95"/>
      <c r="D1416" t="str">
        <f t="shared" si="552"/>
        <v>3A Livestock</v>
      </c>
      <c r="E1416" t="str">
        <f t="shared" si="552"/>
        <v>3A2 Manure management (N2O)</v>
      </c>
      <c r="F1416" t="str">
        <f>EF!C59</f>
        <v>3A1aii Other cattle</v>
      </c>
      <c r="G1416" t="str">
        <f>EF!D59</f>
        <v>Feedlot</v>
      </c>
      <c r="H1416" t="str">
        <f t="shared" si="553"/>
        <v>Manure management Emissions</v>
      </c>
      <c r="I1416" t="s">
        <v>139</v>
      </c>
      <c r="J1416" t="str">
        <f t="shared" si="551"/>
        <v>Gg N2O</v>
      </c>
      <c r="K1416" s="27">
        <f>IF(('Activity data'!AD10*EF!$H41*EF!$H59)*NtoN2O*kgtoGg=0,"NO",('Activity data'!AD10*EF!$H41*EF!$H59)*NtoN2O*kgtoGg)</f>
        <v>0.97926119892671493</v>
      </c>
      <c r="L1416" s="27">
        <f>IF(('Activity data'!AE10*EF!$H41*EF!$H59)*NtoN2O*kgtoGg=0,"NO",('Activity data'!AE10*EF!$H41*EF!$H59)*NtoN2O*kgtoGg)</f>
        <v>1.0122801448609142</v>
      </c>
      <c r="M1416" s="27">
        <f>IF(('Activity data'!AF10*EF!$H41*EF!$H59)*NtoN2O*kgtoGg=0,"NO",('Activity data'!AF10*EF!$H41*EF!$H59)*NtoN2O*kgtoGg)</f>
        <v>1.0514701788925804</v>
      </c>
      <c r="N1416" s="27">
        <f>IF(('Activity data'!AG10*EF!$H41*EF!$H59)*NtoN2O*kgtoGg=0,"NO",('Activity data'!AG10*EF!$H41*EF!$H59)*NtoN2O*kgtoGg)</f>
        <v>1.0806972456941153</v>
      </c>
      <c r="O1416" s="27">
        <f>IF(('Activity data'!AH10*EF!$H41*EF!$H59)*NtoN2O*kgtoGg=0,"NO",('Activity data'!AH10*EF!$H41*EF!$H59)*NtoN2O*kgtoGg)</f>
        <v>1.1032367943433714</v>
      </c>
      <c r="P1416" s="27">
        <f>IF(('Activity data'!AI10*EF!$H41*EF!$H59)*NtoN2O*kgtoGg=0,"NO",('Activity data'!AI10*EF!$H41*EF!$H59)*NtoN2O*kgtoGg)</f>
        <v>1.1187666946803865</v>
      </c>
      <c r="Q1416" s="27">
        <f>IF(('Activity data'!AJ10*EF!$H41*EF!$H59)*NtoN2O*kgtoGg=0,"NO",('Activity data'!AJ10*EF!$H41*EF!$H59)*NtoN2O*kgtoGg)</f>
        <v>1.1399714801203362</v>
      </c>
      <c r="R1416" s="27">
        <f>IF(('Activity data'!AK10*EF!$H41*EF!$H59)*NtoN2O*kgtoGg=0,"NO",('Activity data'!AK10*EF!$H41*EF!$H59)*NtoN2O*kgtoGg)</f>
        <v>1.1622002864669057</v>
      </c>
      <c r="S1416" s="27">
        <f>IF(('Activity data'!AL10*EF!$H41*EF!$H59)*NtoN2O*kgtoGg=0,"NO",('Activity data'!AL10*EF!$H41*EF!$H59)*NtoN2O*kgtoGg)</f>
        <v>1.0637182358780759</v>
      </c>
      <c r="T1416" s="27">
        <f>IF(('Activity data'!AM10*EF!$H41*EF!$H59)*NtoN2O*kgtoGg=0,"NO",('Activity data'!AM10*EF!$H41*EF!$H59)*NtoN2O*kgtoGg)</f>
        <v>1.1070403364801074</v>
      </c>
      <c r="U1416" s="27">
        <f>IF(('Activity data'!AN10*EF!$H41*EF!$H59)*NtoN2O*kgtoGg=0,"NO",('Activity data'!AN10*EF!$H41*EF!$H59)*NtoN2O*kgtoGg)</f>
        <v>1.167139233674557</v>
      </c>
      <c r="V1416" s="27">
        <f>IF(('Activity data'!AO10*EF!$H41*EF!$H59)*NtoN2O*kgtoGg=0,"NO",('Activity data'!AO10*EF!$H41*EF!$H59)*NtoN2O*kgtoGg)</f>
        <v>1.2014274387995842</v>
      </c>
      <c r="W1416" s="27">
        <f>IF(('Activity data'!AP10*EF!$H41*EF!$H59)*NtoN2O*kgtoGg=0,"NO",('Activity data'!AP10*EF!$H41*EF!$H59)*NtoN2O*kgtoGg)</f>
        <v>1.2394742549139584</v>
      </c>
      <c r="X1416" s="27">
        <f>IF(('Activity data'!AQ10*EF!$H41*EF!$H59)*NtoN2O*kgtoGg=0,"NO",('Activity data'!AQ10*EF!$H41*EF!$H59)*NtoN2O*kgtoGg)</f>
        <v>1.2824424199036168</v>
      </c>
      <c r="Y1416" s="27">
        <f>IF(('Activity data'!AR10*EF!$H41*EF!$H59)*NtoN2O*kgtoGg=0,"NO",('Activity data'!AR10*EF!$H41*EF!$H59)*NtoN2O*kgtoGg)</f>
        <v>1.3286164007902908</v>
      </c>
      <c r="Z1416" s="27">
        <f>IF(('Activity data'!AS10*EF!$H41*EF!$H59)*NtoN2O*kgtoGg=0,"NO",('Activity data'!AS10*EF!$H41*EF!$H59)*NtoN2O*kgtoGg)</f>
        <v>1.3789486454543383</v>
      </c>
      <c r="AA1416" s="27">
        <f>IF(('Activity data'!AT10*EF!$H41*EF!$H59)*NtoN2O*kgtoGg=0,"NO",('Activity data'!AT10*EF!$H41*EF!$H59)*NtoN2O*kgtoGg)</f>
        <v>1.4306963818966387</v>
      </c>
      <c r="AB1416" s="27">
        <f>IF(('Activity data'!AU10*EF!$H41*EF!$H59)*NtoN2O*kgtoGg=0,"NO",('Activity data'!AU10*EF!$H41*EF!$H59)*NtoN2O*kgtoGg)</f>
        <v>1.4864839183326823</v>
      </c>
      <c r="AC1416" s="27">
        <f>IF(('Activity data'!AV10*EF!$H41*EF!$H59)*NtoN2O*kgtoGg=0,"NO",('Activity data'!AV10*EF!$H41*EF!$H59)*NtoN2O*kgtoGg)</f>
        <v>1.5435464944872577</v>
      </c>
      <c r="AD1416" s="27">
        <f>IF(('Activity data'!AW10*EF!$H41*EF!$H59)*NtoN2O*kgtoGg=0,"NO",('Activity data'!AW10*EF!$H41*EF!$H59)*NtoN2O*kgtoGg)</f>
        <v>1.6111800014411353</v>
      </c>
      <c r="AE1416" s="27">
        <f>IF(('Activity data'!AX10*EF!$H41*EF!$H59)*NtoN2O*kgtoGg=0,"NO",('Activity data'!AX10*EF!$H41*EF!$H59)*NtoN2O*kgtoGg)</f>
        <v>1.6786649286792732</v>
      </c>
      <c r="AF1416" s="27">
        <f>IF(('Activity data'!AY10*EF!$H41*EF!$H59)*NtoN2O*kgtoGg=0,"NO",('Activity data'!AY10*EF!$H41*EF!$H59)*NtoN2O*kgtoGg)</f>
        <v>1.7498130115622672</v>
      </c>
      <c r="AG1416" s="27">
        <f>IF(('Activity data'!AZ10*EF!$H41*EF!$H59)*NtoN2O*kgtoGg=0,"NO",('Activity data'!AZ10*EF!$H41*EF!$H59)*NtoN2O*kgtoGg)</f>
        <v>1.8293448328146484</v>
      </c>
      <c r="AH1416" s="27">
        <f>IF(('Activity data'!BA10*EF!$H41*EF!$H59)*NtoN2O*kgtoGg=0,"NO",('Activity data'!BA10*EF!$H41*EF!$H59)*NtoN2O*kgtoGg)</f>
        <v>1.9063603244571439</v>
      </c>
      <c r="AI1416" s="27">
        <f>IF(('Activity data'!BB10*EF!$H41*EF!$H59)*NtoN2O*kgtoGg=0,"NO",('Activity data'!BB10*EF!$H41*EF!$H59)*NtoN2O*kgtoGg)</f>
        <v>1.9878317329791768</v>
      </c>
      <c r="AJ1416" s="27">
        <f>IF(('Activity data'!BC10*EF!$H41*EF!$H59)*NtoN2O*kgtoGg=0,"NO",('Activity data'!BC10*EF!$H41*EF!$H59)*NtoN2O*kgtoGg)</f>
        <v>2.0747636655461594</v>
      </c>
      <c r="AK1416" s="27">
        <f>IF(('Activity data'!BD10*EF!$H41*EF!$H59)*NtoN2O*kgtoGg=0,"NO",('Activity data'!BD10*EF!$H41*EF!$H59)*NtoN2O*kgtoGg)</f>
        <v>2.1580530015142441</v>
      </c>
      <c r="AL1416" s="27">
        <f>IF(('Activity data'!BE10*EF!$H41*EF!$H59)*NtoN2O*kgtoGg=0,"NO",('Activity data'!BE10*EF!$H41*EF!$H59)*NtoN2O*kgtoGg)</f>
        <v>2.2418001061580344</v>
      </c>
      <c r="AM1416" s="27">
        <f>IF(('Activity data'!BF10*EF!$H41*EF!$H59)*NtoN2O*kgtoGg=0,"NO",('Activity data'!BF10*EF!$H41*EF!$H59)*NtoN2O*kgtoGg)</f>
        <v>2.326186702125502</v>
      </c>
      <c r="AN1416" s="27">
        <f>IF(('Activity data'!BG10*EF!$H41*EF!$H59)*NtoN2O*kgtoGg=0,"NO",('Activity data'!BG10*EF!$H41*EF!$H59)*NtoN2O*kgtoGg)</f>
        <v>2.4143873382610392</v>
      </c>
      <c r="AO1416" s="27">
        <f>IF(('Activity data'!BH10*EF!$H41*EF!$H59)*NtoN2O*kgtoGg=0,"NO",('Activity data'!BH10*EF!$H41*EF!$H59)*NtoN2O*kgtoGg)</f>
        <v>2.5003845769659914</v>
      </c>
      <c r="AP1416" s="27">
        <f>IF(('Activity data'!BI10*EF!$H41*EF!$H59)*NtoN2O*kgtoGg=0,"NO",('Activity data'!BI10*EF!$H41*EF!$H59)*NtoN2O*kgtoGg)</f>
        <v>2.5898227222528956</v>
      </c>
      <c r="AQ1416" s="27">
        <f>IF(('Activity data'!BJ10*EF!$H41*EF!$H59)*NtoN2O*kgtoGg=0,"NO",('Activity data'!BJ10*EF!$H41*EF!$H59)*NtoN2O*kgtoGg)</f>
        <v>2.6830977224212833</v>
      </c>
      <c r="AR1416" s="27">
        <f>IF(('Activity data'!BK10*EF!$H41*EF!$H59)*NtoN2O*kgtoGg=0,"NO",('Activity data'!BK10*EF!$H41*EF!$H59)*NtoN2O*kgtoGg)</f>
        <v>2.7808208792989615</v>
      </c>
      <c r="AS1416" s="27">
        <f>IF(('Activity data'!BL10*EF!$H41*EF!$H59)*NtoN2O*kgtoGg=0,"NO",('Activity data'!BL10*EF!$H41*EF!$H59)*NtoN2O*kgtoGg)</f>
        <v>2.8829310376391781</v>
      </c>
      <c r="AT1416" s="27">
        <f>IF(('Activity data'!BM10*EF!$H41*EF!$H59)*NtoN2O*kgtoGg=0,"NO",('Activity data'!BM10*EF!$H41*EF!$H59)*NtoN2O*kgtoGg)</f>
        <v>2.9219897527083054</v>
      </c>
      <c r="AU1416" s="27">
        <f>IF(('Activity data'!BN10*EF!$H41*EF!$H59)*NtoN2O*kgtoGg=0,"NO",('Activity data'!BN10*EF!$H41*EF!$H59)*NtoN2O*kgtoGg)</f>
        <v>2.955308116539189</v>
      </c>
      <c r="AV1416" s="27">
        <f>IF(('Activity data'!BO10*EF!$H41*EF!$H59)*NtoN2O*kgtoGg=0,"NO",('Activity data'!BO10*EF!$H41*EF!$H59)*NtoN2O*kgtoGg)</f>
        <v>2.9801202079374365</v>
      </c>
      <c r="AW1416" s="27">
        <f>IF(('Activity data'!BP10*EF!$H41*EF!$H59)*NtoN2O*kgtoGg=0,"NO",('Activity data'!BP10*EF!$H41*EF!$H59)*NtoN2O*kgtoGg)</f>
        <v>3.0024365734571252</v>
      </c>
    </row>
    <row r="1417" spans="1:49" x14ac:dyDescent="0.3">
      <c r="A1417" s="95" t="s">
        <v>960</v>
      </c>
      <c r="B1417" s="95"/>
      <c r="C1417" s="95"/>
      <c r="D1417" t="str">
        <f t="shared" si="552"/>
        <v>3A Livestock</v>
      </c>
      <c r="E1417" t="str">
        <f t="shared" si="552"/>
        <v>3A2 Manure management (N2O)</v>
      </c>
      <c r="F1417" t="str">
        <f>EF!C60</f>
        <v>3A1c Sheep</v>
      </c>
      <c r="G1417" t="str">
        <f>EF!D60</f>
        <v>Commercial</v>
      </c>
      <c r="H1417" t="str">
        <f t="shared" si="553"/>
        <v>Manure management Emissions</v>
      </c>
      <c r="I1417" t="s">
        <v>139</v>
      </c>
      <c r="J1417" t="str">
        <f t="shared" si="551"/>
        <v>Gg N2O</v>
      </c>
      <c r="K1417" s="27">
        <f>IF(('Activity data'!AD11*EF!$H42*EF!$H60)*NtoN2O*kgtoGg=0,"NO",('Activity data'!AD11*EF!$H42*EF!$H60)*NtoN2O*kgtoGg)</f>
        <v>0.1171883187565219</v>
      </c>
      <c r="L1417" s="27">
        <f>IF(('Activity data'!AE11*EF!$H42*EF!$H60)*NtoN2O*kgtoGg=0,"NO",('Activity data'!AE11*EF!$H42*EF!$H60)*NtoN2O*kgtoGg)</f>
        <v>0.11725168210757804</v>
      </c>
      <c r="M1417" s="27">
        <f>IF(('Activity data'!AF11*EF!$H42*EF!$H60)*NtoN2O*kgtoGg=0,"NO",('Activity data'!AF11*EF!$H42*EF!$H60)*NtoN2O*kgtoGg)</f>
        <v>0.11740318150277541</v>
      </c>
      <c r="N1417" s="27">
        <f>IF(('Activity data'!AG11*EF!$H42*EF!$H60)*NtoN2O*kgtoGg=0,"NO",('Activity data'!AG11*EF!$H42*EF!$H60)*NtoN2O*kgtoGg)</f>
        <v>0.11762656857541021</v>
      </c>
      <c r="O1417" s="27">
        <f>IF(('Activity data'!AH11*EF!$H42*EF!$H60)*NtoN2O*kgtoGg=0,"NO",('Activity data'!AH11*EF!$H42*EF!$H60)*NtoN2O*kgtoGg)</f>
        <v>0.1179204237689029</v>
      </c>
      <c r="P1417" s="27">
        <f>IF(('Activity data'!AI11*EF!$H42*EF!$H60)*NtoN2O*kgtoGg=0,"NO",('Activity data'!AI11*EF!$H42*EF!$H60)*NtoN2O*kgtoGg)</f>
        <v>0.11828164409401502</v>
      </c>
      <c r="Q1417" s="27">
        <f>IF(('Activity data'!AJ11*EF!$H42*EF!$H60)*NtoN2O*kgtoGg=0,"NO",('Activity data'!AJ11*EF!$H42*EF!$H60)*NtoN2O*kgtoGg)</f>
        <v>0.1186873438242913</v>
      </c>
      <c r="R1417" s="27">
        <f>IF(('Activity data'!AK11*EF!$H42*EF!$H60)*NtoN2O*kgtoGg=0,"NO",('Activity data'!AK11*EF!$H42*EF!$H60)*NtoN2O*kgtoGg)</f>
        <v>0.11913496163447934</v>
      </c>
      <c r="S1417" s="27">
        <f>IF(('Activity data'!AL11*EF!$H42*EF!$H60)*NtoN2O*kgtoGg=0,"NO",('Activity data'!AL11*EF!$H42*EF!$H60)*NtoN2O*kgtoGg)</f>
        <v>0.11954428347803586</v>
      </c>
      <c r="T1417" s="27">
        <f>IF(('Activity data'!AM11*EF!$H42*EF!$H60)*NtoN2O*kgtoGg=0,"NO",('Activity data'!AM11*EF!$H42*EF!$H60)*NtoN2O*kgtoGg)</f>
        <v>0.11972414940561894</v>
      </c>
      <c r="U1417" s="27">
        <f>IF(('Activity data'!AN11*EF!$H42*EF!$H60)*NtoN2O*kgtoGg=0,"NO",('Activity data'!AN11*EF!$H42*EF!$H60)*NtoN2O*kgtoGg)</f>
        <v>0.11994380434419684</v>
      </c>
      <c r="V1417" s="27">
        <f>IF(('Activity data'!AO11*EF!$H42*EF!$H60)*NtoN2O*kgtoGg=0,"NO",('Activity data'!AO11*EF!$H42*EF!$H60)*NtoN2O*kgtoGg)</f>
        <v>0.12017467883012861</v>
      </c>
      <c r="W1417" s="27">
        <f>IF(('Activity data'!AP11*EF!$H42*EF!$H60)*NtoN2O*kgtoGg=0,"NO",('Activity data'!AP11*EF!$H42*EF!$H60)*NtoN2O*kgtoGg)</f>
        <v>0.12043388472990403</v>
      </c>
      <c r="X1417" s="27">
        <f>IF(('Activity data'!AQ11*EF!$H42*EF!$H60)*NtoN2O*kgtoGg=0,"NO",('Activity data'!AQ11*EF!$H42*EF!$H60)*NtoN2O*kgtoGg)</f>
        <v>0.12072069678028939</v>
      </c>
      <c r="Y1417" s="27">
        <f>IF(('Activity data'!AR11*EF!$H42*EF!$H60)*NtoN2O*kgtoGg=0,"NO",('Activity data'!AR11*EF!$H42*EF!$H60)*NtoN2O*kgtoGg)</f>
        <v>0.12089981812671623</v>
      </c>
      <c r="Z1417" s="27">
        <f>IF(('Activity data'!AS11*EF!$H42*EF!$H60)*NtoN2O*kgtoGg=0,"NO",('Activity data'!AS11*EF!$H42*EF!$H60)*NtoN2O*kgtoGg)</f>
        <v>0.12110217984152867</v>
      </c>
      <c r="AA1417" s="27">
        <f>IF(('Activity data'!AT11*EF!$H42*EF!$H60)*NtoN2O*kgtoGg=0,"NO",('Activity data'!AT11*EF!$H42*EF!$H60)*NtoN2O*kgtoGg)</f>
        <v>0.12132504756910802</v>
      </c>
      <c r="AB1417" s="27">
        <f>IF(('Activity data'!AU11*EF!$H42*EF!$H60)*NtoN2O*kgtoGg=0,"NO",('Activity data'!AU11*EF!$H42*EF!$H60)*NtoN2O*kgtoGg)</f>
        <v>0.12156903411725499</v>
      </c>
      <c r="AC1417" s="27">
        <f>IF(('Activity data'!AV11*EF!$H42*EF!$H60)*NtoN2O*kgtoGg=0,"NO",('Activity data'!AV11*EF!$H42*EF!$H60)*NtoN2O*kgtoGg)</f>
        <v>0.12183162117803532</v>
      </c>
      <c r="AD1417" s="27">
        <f>IF(('Activity data'!AW11*EF!$H42*EF!$H60)*NtoN2O*kgtoGg=0,"NO",('Activity data'!AW11*EF!$H42*EF!$H60)*NtoN2O*kgtoGg)</f>
        <v>0.12200776858907328</v>
      </c>
      <c r="AE1417" s="27">
        <f>IF(('Activity data'!AX11*EF!$H42*EF!$H60)*NtoN2O*kgtoGg=0,"NO",('Activity data'!AX11*EF!$H42*EF!$H60)*NtoN2O*kgtoGg)</f>
        <v>0.12219899661673859</v>
      </c>
      <c r="AF1417" s="27">
        <f>IF(('Activity data'!AY11*EF!$H42*EF!$H60)*NtoN2O*kgtoGg=0,"NO",('Activity data'!AY11*EF!$H42*EF!$H60)*NtoN2O*kgtoGg)</f>
        <v>0.12240684242118335</v>
      </c>
      <c r="AG1417" s="27">
        <f>IF(('Activity data'!AZ11*EF!$H42*EF!$H60)*NtoN2O*kgtoGg=0,"NO",('Activity data'!AZ11*EF!$H42*EF!$H60)*NtoN2O*kgtoGg)</f>
        <v>0.12263333491271973</v>
      </c>
      <c r="AH1417" s="27">
        <f>IF(('Activity data'!BA11*EF!$H42*EF!$H60)*NtoN2O*kgtoGg=0,"NO",('Activity data'!BA11*EF!$H42*EF!$H60)*NtoN2O*kgtoGg)</f>
        <v>0.12287167298468532</v>
      </c>
      <c r="AI1417" s="27">
        <f>IF(('Activity data'!BB11*EF!$H42*EF!$H60)*NtoN2O*kgtoGg=0,"NO",('Activity data'!BB11*EF!$H42*EF!$H60)*NtoN2O*kgtoGg)</f>
        <v>0.12302401792252464</v>
      </c>
      <c r="AJ1417" s="27">
        <f>IF(('Activity data'!BC11*EF!$H42*EF!$H60)*NtoN2O*kgtoGg=0,"NO",('Activity data'!BC11*EF!$H42*EF!$H60)*NtoN2O*kgtoGg)</f>
        <v>0.12319088645114676</v>
      </c>
      <c r="AK1417" s="27">
        <f>IF(('Activity data'!BD11*EF!$H42*EF!$H60)*NtoN2O*kgtoGg=0,"NO",('Activity data'!BD11*EF!$H42*EF!$H60)*NtoN2O*kgtoGg)</f>
        <v>0.12336677489796816</v>
      </c>
      <c r="AL1417" s="27">
        <f>IF(('Activity data'!BE11*EF!$H42*EF!$H60)*NtoN2O*kgtoGg=0,"NO",('Activity data'!BE11*EF!$H42*EF!$H60)*NtoN2O*kgtoGg)</f>
        <v>0.12355355577482134</v>
      </c>
      <c r="AM1417" s="27">
        <f>IF(('Activity data'!BF11*EF!$H42*EF!$H60)*NtoN2O*kgtoGg=0,"NO",('Activity data'!BF11*EF!$H42*EF!$H60)*NtoN2O*kgtoGg)</f>
        <v>0.12375094588099321</v>
      </c>
      <c r="AN1417" s="27">
        <f>IF(('Activity data'!BG11*EF!$H42*EF!$H60)*NtoN2O*kgtoGg=0,"NO",('Activity data'!BG11*EF!$H42*EF!$H60)*NtoN2O*kgtoGg)</f>
        <v>0.12386757855810271</v>
      </c>
      <c r="AO1417" s="27">
        <f>IF(('Activity data'!BH11*EF!$H42*EF!$H60)*NtoN2O*kgtoGg=0,"NO",('Activity data'!BH11*EF!$H42*EF!$H60)*NtoN2O*kgtoGg)</f>
        <v>0.12399208535623993</v>
      </c>
      <c r="AP1417" s="27">
        <f>IF(('Activity data'!BI11*EF!$H42*EF!$H60)*NtoN2O*kgtoGg=0,"NO",('Activity data'!BI11*EF!$H42*EF!$H60)*NtoN2O*kgtoGg)</f>
        <v>0.12412714040619617</v>
      </c>
      <c r="AQ1417" s="27">
        <f>IF(('Activity data'!BJ11*EF!$H42*EF!$H60)*NtoN2O*kgtoGg=0,"NO",('Activity data'!BJ11*EF!$H42*EF!$H60)*NtoN2O*kgtoGg)</f>
        <v>0.1242726131383893</v>
      </c>
      <c r="AR1417" s="27">
        <f>IF(('Activity data'!BK11*EF!$H42*EF!$H60)*NtoN2O*kgtoGg=0,"NO",('Activity data'!BK11*EF!$H42*EF!$H60)*NtoN2O*kgtoGg)</f>
        <v>0.12442850053815514</v>
      </c>
      <c r="AS1417" s="27">
        <f>IF(('Activity data'!BL11*EF!$H42*EF!$H60)*NtoN2O*kgtoGg=0,"NO",('Activity data'!BL11*EF!$H42*EF!$H60)*NtoN2O*kgtoGg)</f>
        <v>0.12449922291454818</v>
      </c>
      <c r="AT1417" s="27">
        <f>IF(('Activity data'!BM11*EF!$H42*EF!$H60)*NtoN2O*kgtoGg=0,"NO",('Activity data'!BM11*EF!$H42*EF!$H60)*NtoN2O*kgtoGg)</f>
        <v>0.12454479881058539</v>
      </c>
      <c r="AU1417" s="27">
        <f>IF(('Activity data'!BN11*EF!$H42*EF!$H60)*NtoN2O*kgtoGg=0,"NO",('Activity data'!BN11*EF!$H42*EF!$H60)*NtoN2O*kgtoGg)</f>
        <v>0.12459475860623467</v>
      </c>
      <c r="AV1417" s="27">
        <f>IF(('Activity data'!BO11*EF!$H42*EF!$H60)*NtoN2O*kgtoGg=0,"NO",('Activity data'!BO11*EF!$H42*EF!$H60)*NtoN2O*kgtoGg)</f>
        <v>0.12464752954530567</v>
      </c>
      <c r="AW1417" s="27">
        <f>IF(('Activity data'!BP11*EF!$H42*EF!$H60)*NtoN2O*kgtoGg=0,"NO",('Activity data'!BP11*EF!$H42*EF!$H60)*NtoN2O*kgtoGg)</f>
        <v>0.12470598620434532</v>
      </c>
    </row>
    <row r="1418" spans="1:49" x14ac:dyDescent="0.3">
      <c r="A1418" s="95" t="s">
        <v>960</v>
      </c>
      <c r="B1418" s="95"/>
      <c r="C1418" s="95"/>
      <c r="D1418" t="str">
        <f t="shared" si="552"/>
        <v>3A Livestock</v>
      </c>
      <c r="E1418" t="str">
        <f t="shared" si="552"/>
        <v>3A2 Manure management (N2O)</v>
      </c>
      <c r="F1418" t="str">
        <f>EF!C61</f>
        <v>3A1c Sheep</v>
      </c>
      <c r="G1418" t="str">
        <f>EF!D61</f>
        <v>Subsistence</v>
      </c>
      <c r="H1418" t="str">
        <f t="shared" si="553"/>
        <v>Manure management Emissions</v>
      </c>
      <c r="I1418" t="s">
        <v>139</v>
      </c>
      <c r="J1418" t="str">
        <f t="shared" si="551"/>
        <v>Gg N2O</v>
      </c>
      <c r="K1418" s="27">
        <f>IF(('Activity data'!AD12*EF!$H43*EF!$H61)*NtoN2O*kgtoGg=0,"NO",('Activity data'!AD12*EF!$H43*EF!$H61)*NtoN2O*kgtoGg)</f>
        <v>6.266545072674834E-2</v>
      </c>
      <c r="L1418" s="27">
        <f>IF(('Activity data'!AE12*EF!$H43*EF!$H61)*NtoN2O*kgtoGg=0,"NO",('Activity data'!AE12*EF!$H43*EF!$H61)*NtoN2O*kgtoGg)</f>
        <v>6.269933373655362E-2</v>
      </c>
      <c r="M1418" s="27">
        <f>IF(('Activity data'!AF12*EF!$H43*EF!$H61)*NtoN2O*kgtoGg=0,"NO",('Activity data'!AF12*EF!$H43*EF!$H61)*NtoN2O*kgtoGg)</f>
        <v>6.2780346741822493E-2</v>
      </c>
      <c r="N1418" s="27">
        <f>IF(('Activity data'!AG12*EF!$H43*EF!$H61)*NtoN2O*kgtoGg=0,"NO",('Activity data'!AG12*EF!$H43*EF!$H61)*NtoN2O*kgtoGg)</f>
        <v>6.2899801067490158E-2</v>
      </c>
      <c r="O1418" s="27">
        <f>IF(('Activity data'!AH12*EF!$H43*EF!$H61)*NtoN2O*kgtoGg=0,"NO",('Activity data'!AH12*EF!$H43*EF!$H61)*NtoN2O*kgtoGg)</f>
        <v>6.3056937617822231E-2</v>
      </c>
      <c r="P1418" s="27">
        <f>IF(('Activity data'!AI12*EF!$H43*EF!$H61)*NtoN2O*kgtoGg=0,"NO",('Activity data'!AI12*EF!$H43*EF!$H61)*NtoN2O*kgtoGg)</f>
        <v>6.3250097095874355E-2</v>
      </c>
      <c r="Q1418" s="27">
        <f>IF(('Activity data'!AJ12*EF!$H43*EF!$H61)*NtoN2O*kgtoGg=0,"NO",('Activity data'!AJ12*EF!$H43*EF!$H61)*NtoN2O*kgtoGg)</f>
        <v>6.3467041555247503E-2</v>
      </c>
      <c r="R1418" s="27">
        <f>IF(('Activity data'!AK12*EF!$H43*EF!$H61)*NtoN2O*kgtoGg=0,"NO",('Activity data'!AK12*EF!$H43*EF!$H61)*NtoN2O*kgtoGg)</f>
        <v>6.3706401349179126E-2</v>
      </c>
      <c r="S1418" s="27">
        <f>IF(('Activity data'!AL12*EF!$H43*EF!$H61)*NtoN2O*kgtoGg=0,"NO",('Activity data'!AL12*EF!$H43*EF!$H61)*NtoN2O*kgtoGg)</f>
        <v>6.3925282702636074E-2</v>
      </c>
      <c r="T1418" s="27">
        <f>IF(('Activity data'!AM12*EF!$H43*EF!$H61)*NtoN2O*kgtoGg=0,"NO",('Activity data'!AM12*EF!$H43*EF!$H61)*NtoN2O*kgtoGg)</f>
        <v>6.402146446837842E-2</v>
      </c>
      <c r="U1418" s="27">
        <f>IF(('Activity data'!AN12*EF!$H43*EF!$H61)*NtoN2O*kgtoGg=0,"NO",('Activity data'!AN12*EF!$H43*EF!$H61)*NtoN2O*kgtoGg)</f>
        <v>6.4138923067293366E-2</v>
      </c>
      <c r="V1418" s="27">
        <f>IF(('Activity data'!AO12*EF!$H43*EF!$H61)*NtoN2O*kgtoGg=0,"NO",('Activity data'!AO12*EF!$H43*EF!$H61)*NtoN2O*kgtoGg)</f>
        <v>6.4262381223155141E-2</v>
      </c>
      <c r="W1418" s="27">
        <f>IF(('Activity data'!AP12*EF!$H43*EF!$H61)*NtoN2O*kgtoGg=0,"NO",('Activity data'!AP12*EF!$H43*EF!$H61)*NtoN2O*kgtoGg)</f>
        <v>6.4400989360150498E-2</v>
      </c>
      <c r="X1418" s="27">
        <f>IF(('Activity data'!AQ12*EF!$H43*EF!$H61)*NtoN2O*kgtoGg=0,"NO",('Activity data'!AQ12*EF!$H43*EF!$H61)*NtoN2O*kgtoGg)</f>
        <v>6.4554359649970958E-2</v>
      </c>
      <c r="Y1418" s="27">
        <f>IF(('Activity data'!AR12*EF!$H43*EF!$H61)*NtoN2O*kgtoGg=0,"NO",('Activity data'!AR12*EF!$H43*EF!$H61)*NtoN2O*kgtoGg)</f>
        <v>6.4650143257311041E-2</v>
      </c>
      <c r="Z1418" s="27">
        <f>IF(('Activity data'!AS12*EF!$H43*EF!$H61)*NtoN2O*kgtoGg=0,"NO",('Activity data'!AS12*EF!$H43*EF!$H61)*NtoN2O*kgtoGg)</f>
        <v>6.4758354452787853E-2</v>
      </c>
      <c r="AA1418" s="27">
        <f>IF(('Activity data'!AT12*EF!$H43*EF!$H61)*NtoN2O*kgtoGg=0,"NO",('Activity data'!AT12*EF!$H43*EF!$H61)*NtoN2O*kgtoGg)</f>
        <v>6.4877531063130933E-2</v>
      </c>
      <c r="AB1418" s="27">
        <f>IF(('Activity data'!AU12*EF!$H43*EF!$H61)*NtoN2O*kgtoGg=0,"NO",('Activity data'!AU12*EF!$H43*EF!$H61)*NtoN2O*kgtoGg)</f>
        <v>6.500800078206817E-2</v>
      </c>
      <c r="AC1418" s="27">
        <f>IF(('Activity data'!AV12*EF!$H43*EF!$H61)*NtoN2O*kgtoGg=0,"NO",('Activity data'!AV12*EF!$H43*EF!$H61)*NtoN2O*kgtoGg)</f>
        <v>6.5148416965979825E-2</v>
      </c>
      <c r="AD1418" s="27">
        <f>IF(('Activity data'!AW12*EF!$H43*EF!$H61)*NtoN2O*kgtoGg=0,"NO",('Activity data'!AW12*EF!$H43*EF!$H61)*NtoN2O*kgtoGg)</f>
        <v>6.5242610286817326E-2</v>
      </c>
      <c r="AE1418" s="27">
        <f>IF(('Activity data'!AX12*EF!$H43*EF!$H61)*NtoN2O*kgtoGg=0,"NO",('Activity data'!AX12*EF!$H43*EF!$H61)*NtoN2O*kgtoGg)</f>
        <v>6.5344867838358231E-2</v>
      </c>
      <c r="AF1418" s="27">
        <f>IF(('Activity data'!AY12*EF!$H43*EF!$H61)*NtoN2O*kgtoGg=0,"NO",('Activity data'!AY12*EF!$H43*EF!$H61)*NtoN2O*kgtoGg)</f>
        <v>6.5456011603840999E-2</v>
      </c>
      <c r="AG1418" s="27">
        <f>IF(('Activity data'!AZ12*EF!$H43*EF!$H61)*NtoN2O*kgtoGg=0,"NO",('Activity data'!AZ12*EF!$H43*EF!$H61)*NtoN2O*kgtoGg)</f>
        <v>6.5577126525694585E-2</v>
      </c>
      <c r="AH1418" s="27">
        <f>IF(('Activity data'!BA12*EF!$H43*EF!$H61)*NtoN2O*kgtoGg=0,"NO",('Activity data'!BA12*EF!$H43*EF!$H61)*NtoN2O*kgtoGg)</f>
        <v>6.570457577032536E-2</v>
      </c>
      <c r="AI1418" s="27">
        <f>IF(('Activity data'!BB12*EF!$H43*EF!$H61)*NtoN2O*kgtoGg=0,"NO",('Activity data'!BB12*EF!$H43*EF!$H61)*NtoN2O*kgtoGg)</f>
        <v>6.5786040922287098E-2</v>
      </c>
      <c r="AJ1418" s="27">
        <f>IF(('Activity data'!BC12*EF!$H43*EF!$H61)*NtoN2O*kgtoGg=0,"NO",('Activity data'!BC12*EF!$H43*EF!$H61)*NtoN2O*kgtoGg)</f>
        <v>6.5875272440148028E-2</v>
      </c>
      <c r="AK1418" s="27">
        <f>IF(('Activity data'!BD12*EF!$H43*EF!$H61)*NtoN2O*kgtoGg=0,"NO",('Activity data'!BD12*EF!$H43*EF!$H61)*NtoN2O*kgtoGg)</f>
        <v>6.5969327282086584E-2</v>
      </c>
      <c r="AL1418" s="27">
        <f>IF(('Activity data'!BE12*EF!$H43*EF!$H61)*NtoN2O*kgtoGg=0,"NO",('Activity data'!BE12*EF!$H43*EF!$H61)*NtoN2O*kgtoGg)</f>
        <v>6.6069206757782967E-2</v>
      </c>
      <c r="AM1418" s="27">
        <f>IF(('Activity data'!BF12*EF!$H43*EF!$H61)*NtoN2O*kgtoGg=0,"NO",('Activity data'!BF12*EF!$H43*EF!$H61)*NtoN2O*kgtoGg)</f>
        <v>6.6174759428079058E-2</v>
      </c>
      <c r="AN1418" s="27">
        <f>IF(('Activity data'!BG12*EF!$H43*EF!$H61)*NtoN2O*kgtoGg=0,"NO",('Activity data'!BG12*EF!$H43*EF!$H61)*NtoN2O*kgtoGg)</f>
        <v>6.623712775418944E-2</v>
      </c>
      <c r="AO1418" s="27">
        <f>IF(('Activity data'!BH12*EF!$H43*EF!$H61)*NtoN2O*kgtoGg=0,"NO",('Activity data'!BH12*EF!$H43*EF!$H61)*NtoN2O*kgtoGg)</f>
        <v>6.6303706699144024E-2</v>
      </c>
      <c r="AP1418" s="27">
        <f>IF(('Activity data'!BI12*EF!$H43*EF!$H61)*NtoN2O*kgtoGg=0,"NO",('Activity data'!BI12*EF!$H43*EF!$H61)*NtoN2O*kgtoGg)</f>
        <v>6.6375926231502153E-2</v>
      </c>
      <c r="AQ1418" s="27">
        <f>IF(('Activity data'!BJ12*EF!$H43*EF!$H61)*NtoN2O*kgtoGg=0,"NO",('Activity data'!BJ12*EF!$H43*EF!$H61)*NtoN2O*kgtoGg)</f>
        <v>6.6453716530296997E-2</v>
      </c>
      <c r="AR1418" s="27">
        <f>IF(('Activity data'!BK12*EF!$H43*EF!$H61)*NtoN2O*kgtoGg=0,"NO",('Activity data'!BK12*EF!$H43*EF!$H61)*NtoN2O*kgtoGg)</f>
        <v>6.653707598346266E-2</v>
      </c>
      <c r="AS1418" s="27">
        <f>IF(('Activity data'!BL12*EF!$H43*EF!$H61)*NtoN2O*kgtoGg=0,"NO",('Activity data'!BL12*EF!$H43*EF!$H61)*NtoN2O*kgtoGg)</f>
        <v>6.6574894169098925E-2</v>
      </c>
      <c r="AT1418" s="27">
        <f>IF(('Activity data'!BM12*EF!$H43*EF!$H61)*NtoN2O*kgtoGg=0,"NO",('Activity data'!BM12*EF!$H43*EF!$H61)*NtoN2O*kgtoGg)</f>
        <v>6.659926548953217E-2</v>
      </c>
      <c r="AU1418" s="27">
        <f>IF(('Activity data'!BN12*EF!$H43*EF!$H61)*NtoN2O*kgtoGg=0,"NO",('Activity data'!BN12*EF!$H43*EF!$H61)*NtoN2O*kgtoGg)</f>
        <v>6.66259810627719E-2</v>
      </c>
      <c r="AV1418" s="27">
        <f>IF(('Activity data'!BO12*EF!$H43*EF!$H61)*NtoN2O*kgtoGg=0,"NO",('Activity data'!BO12*EF!$H43*EF!$H61)*NtoN2O*kgtoGg)</f>
        <v>6.6654199870902653E-2</v>
      </c>
      <c r="AW1418" s="27">
        <f>IF(('Activity data'!BP12*EF!$H43*EF!$H61)*NtoN2O*kgtoGg=0,"NO",('Activity data'!BP12*EF!$H43*EF!$H61)*NtoN2O*kgtoGg)</f>
        <v>6.6685459069136477E-2</v>
      </c>
    </row>
    <row r="1419" spans="1:49" x14ac:dyDescent="0.3">
      <c r="A1419" s="95" t="s">
        <v>960</v>
      </c>
      <c r="B1419" s="95"/>
      <c r="C1419" s="95"/>
      <c r="D1419" t="str">
        <f t="shared" si="552"/>
        <v>3A Livestock</v>
      </c>
      <c r="E1419" t="str">
        <f t="shared" si="552"/>
        <v>3A2 Manure management (N2O)</v>
      </c>
      <c r="F1419" t="str">
        <f>EF!C62</f>
        <v>3A1d Goats</v>
      </c>
      <c r="G1419" t="str">
        <f>EF!D62</f>
        <v>Commercial</v>
      </c>
      <c r="H1419" t="str">
        <f t="shared" si="553"/>
        <v>Manure management Emissions</v>
      </c>
      <c r="I1419" t="s">
        <v>139</v>
      </c>
      <c r="J1419" t="str">
        <f t="shared" si="551"/>
        <v>Gg N2O</v>
      </c>
      <c r="K1419" s="27">
        <f>IF(('Activity data'!AD13*EF!$H44*EF!$H62)*NtoN2O*kgtoGg=0,"NO",('Activity data'!AD13*EF!$H44*EF!$H62)*NtoN2O*kgtoGg)</f>
        <v>1.4486129996083084E-2</v>
      </c>
      <c r="L1419" s="27">
        <f>IF(('Activity data'!AE13*EF!$H44*EF!$H62)*NtoN2O*kgtoGg=0,"NO",('Activity data'!AE13*EF!$H44*EF!$H62)*NtoN2O*kgtoGg)</f>
        <v>1.4523786941695514E-2</v>
      </c>
      <c r="M1419" s="27">
        <f>IF(('Activity data'!AF13*EF!$H44*EF!$H62)*NtoN2O*kgtoGg=0,"NO",('Activity data'!AF13*EF!$H44*EF!$H62)*NtoN2O*kgtoGg)</f>
        <v>1.457573336741831E-2</v>
      </c>
      <c r="N1419" s="27">
        <f>IF(('Activity data'!AG13*EF!$H44*EF!$H62)*NtoN2O*kgtoGg=0,"NO",('Activity data'!AG13*EF!$H44*EF!$H62)*NtoN2O*kgtoGg)</f>
        <v>1.4639017833045654E-2</v>
      </c>
      <c r="O1419" s="27">
        <f>IF(('Activity data'!AH13*EF!$H44*EF!$H62)*NtoN2O*kgtoGg=0,"NO",('Activity data'!AH13*EF!$H44*EF!$H62)*NtoN2O*kgtoGg)</f>
        <v>1.4713550078172181E-2</v>
      </c>
      <c r="P1419" s="27">
        <f>IF(('Activity data'!AI13*EF!$H44*EF!$H62)*NtoN2O*kgtoGg=0,"NO",('Activity data'!AI13*EF!$H44*EF!$H62)*NtoN2O*kgtoGg)</f>
        <v>1.4798876460462532E-2</v>
      </c>
      <c r="Q1419" s="27">
        <f>IF(('Activity data'!AJ13*EF!$H44*EF!$H62)*NtoN2O*kgtoGg=0,"NO",('Activity data'!AJ13*EF!$H44*EF!$H62)*NtoN2O*kgtoGg)</f>
        <v>1.4890706011157261E-2</v>
      </c>
      <c r="R1419" s="27">
        <f>IF(('Activity data'!AK13*EF!$H44*EF!$H62)*NtoN2O*kgtoGg=0,"NO",('Activity data'!AK13*EF!$H44*EF!$H62)*NtoN2O*kgtoGg)</f>
        <v>1.4988675221399694E-2</v>
      </c>
      <c r="S1419" s="27">
        <f>IF(('Activity data'!AL13*EF!$H44*EF!$H62)*NtoN2O*kgtoGg=0,"NO",('Activity data'!AL13*EF!$H44*EF!$H62)*NtoN2O*kgtoGg)</f>
        <v>1.5077522200056563E-2</v>
      </c>
      <c r="T1419" s="27">
        <f>IF(('Activity data'!AM13*EF!$H44*EF!$H62)*NtoN2O*kgtoGg=0,"NO",('Activity data'!AM13*EF!$H44*EF!$H62)*NtoN2O*kgtoGg)</f>
        <v>1.5120920467659648E-2</v>
      </c>
      <c r="U1419" s="27">
        <f>IF(('Activity data'!AN13*EF!$H44*EF!$H62)*NtoN2O*kgtoGg=0,"NO",('Activity data'!AN13*EF!$H44*EF!$H62)*NtoN2O*kgtoGg)</f>
        <v>1.5170664566545743E-2</v>
      </c>
      <c r="V1419" s="27">
        <f>IF(('Activity data'!AO13*EF!$H44*EF!$H62)*NtoN2O*kgtoGg=0,"NO",('Activity data'!AO13*EF!$H44*EF!$H62)*NtoN2O*kgtoGg)</f>
        <v>1.522137130781058E-2</v>
      </c>
      <c r="W1419" s="27">
        <f>IF(('Activity data'!AP13*EF!$H44*EF!$H62)*NtoN2O*kgtoGg=0,"NO",('Activity data'!AP13*EF!$H44*EF!$H62)*NtoN2O*kgtoGg)</f>
        <v>1.527636657794784E-2</v>
      </c>
      <c r="X1419" s="27">
        <f>IF(('Activity data'!AQ13*EF!$H44*EF!$H62)*NtoN2O*kgtoGg=0,"NO",('Activity data'!AQ13*EF!$H44*EF!$H62)*NtoN2O*kgtoGg)</f>
        <v>1.5335559486365858E-2</v>
      </c>
      <c r="Y1419" s="27">
        <f>IF(('Activity data'!AR13*EF!$H44*EF!$H62)*NtoN2O*kgtoGg=0,"NO",('Activity data'!AR13*EF!$H44*EF!$H62)*NtoN2O*kgtoGg)</f>
        <v>1.5373440359637548E-2</v>
      </c>
      <c r="Z1419" s="27">
        <f>IF(('Activity data'!AS13*EF!$H44*EF!$H62)*NtoN2O*kgtoGg=0,"NO",('Activity data'!AS13*EF!$H44*EF!$H62)*NtoN2O*kgtoGg)</f>
        <v>1.5414884136013281E-2</v>
      </c>
      <c r="AA1419" s="27">
        <f>IF(('Activity data'!AT13*EF!$H44*EF!$H62)*NtoN2O*kgtoGg=0,"NO",('Activity data'!AT13*EF!$H44*EF!$H62)*NtoN2O*kgtoGg)</f>
        <v>1.5459406079654034E-2</v>
      </c>
      <c r="AB1419" s="27">
        <f>IF(('Activity data'!AU13*EF!$H44*EF!$H62)*NtoN2O*kgtoGg=0,"NO",('Activity data'!AU13*EF!$H44*EF!$H62)*NtoN2O*kgtoGg)</f>
        <v>1.5507149153927192E-2</v>
      </c>
      <c r="AC1419" s="27">
        <f>IF(('Activity data'!AV13*EF!$H44*EF!$H62)*NtoN2O*kgtoGg=0,"NO",('Activity data'!AV13*EF!$H44*EF!$H62)*NtoN2O*kgtoGg)</f>
        <v>1.55576650603759E-2</v>
      </c>
      <c r="AD1419" s="27">
        <f>IF(('Activity data'!AW13*EF!$H44*EF!$H62)*NtoN2O*kgtoGg=0,"NO",('Activity data'!AW13*EF!$H44*EF!$H62)*NtoN2O*kgtoGg)</f>
        <v>1.5591353436562988E-2</v>
      </c>
      <c r="AE1419" s="27">
        <f>IF(('Activity data'!AX13*EF!$H44*EF!$H62)*NtoN2O*kgtoGg=0,"NO",('Activity data'!AX13*EF!$H44*EF!$H62)*NtoN2O*kgtoGg)</f>
        <v>1.5627280085252663E-2</v>
      </c>
      <c r="AF1419" s="27">
        <f>IF(('Activity data'!AY13*EF!$H44*EF!$H62)*NtoN2O*kgtoGg=0,"NO",('Activity data'!AY13*EF!$H44*EF!$H62)*NtoN2O*kgtoGg)</f>
        <v>1.5665749106164011E-2</v>
      </c>
      <c r="AG1419" s="27">
        <f>IF(('Activity data'!AZ13*EF!$H44*EF!$H62)*NtoN2O*kgtoGg=0,"NO",('Activity data'!AZ13*EF!$H44*EF!$H62)*NtoN2O*kgtoGg)</f>
        <v>1.5707151218007597E-2</v>
      </c>
      <c r="AH1419" s="27">
        <f>IF(('Activity data'!BA13*EF!$H44*EF!$H62)*NtoN2O*kgtoGg=0,"NO",('Activity data'!BA13*EF!$H44*EF!$H62)*NtoN2O*kgtoGg)</f>
        <v>1.575023561921594E-2</v>
      </c>
      <c r="AI1419" s="27">
        <f>IF(('Activity data'!BB13*EF!$H44*EF!$H62)*NtoN2O*kgtoGg=0,"NO",('Activity data'!BB13*EF!$H44*EF!$H62)*NtoN2O*kgtoGg)</f>
        <v>1.5776918897393025E-2</v>
      </c>
      <c r="AJ1419" s="27">
        <f>IF(('Activity data'!BC13*EF!$H44*EF!$H62)*NtoN2O*kgtoGg=0,"NO",('Activity data'!BC13*EF!$H44*EF!$H62)*NtoN2O*kgtoGg)</f>
        <v>1.5805875112600263E-2</v>
      </c>
      <c r="AK1419" s="27">
        <f>IF(('Activity data'!BD13*EF!$H44*EF!$H62)*NtoN2O*kgtoGg=0,"NO",('Activity data'!BD13*EF!$H44*EF!$H62)*NtoN2O*kgtoGg)</f>
        <v>1.5836097205917665E-2</v>
      </c>
      <c r="AL1419" s="27">
        <f>IF(('Activity data'!BE13*EF!$H44*EF!$H62)*NtoN2O*kgtoGg=0,"NO",('Activity data'!BE13*EF!$H44*EF!$H62)*NtoN2O*kgtoGg)</f>
        <v>1.5867941184595159E-2</v>
      </c>
      <c r="AM1419" s="27">
        <f>IF(('Activity data'!BF13*EF!$H44*EF!$H62)*NtoN2O*kgtoGg=0,"NO",('Activity data'!BF13*EF!$H44*EF!$H62)*NtoN2O*kgtoGg)</f>
        <v>1.5901363449816974E-2</v>
      </c>
      <c r="AN1419" s="27">
        <f>IF(('Activity data'!BG13*EF!$H44*EF!$H62)*NtoN2O*kgtoGg=0,"NO",('Activity data'!BG13*EF!$H44*EF!$H62)*NtoN2O*kgtoGg)</f>
        <v>1.5919623331121565E-2</v>
      </c>
      <c r="AO1419" s="27">
        <f>IF(('Activity data'!BH13*EF!$H44*EF!$H62)*NtoN2O*kgtoGg=0,"NO",('Activity data'!BH13*EF!$H44*EF!$H62)*NtoN2O*kgtoGg)</f>
        <v>1.5939033537312693E-2</v>
      </c>
      <c r="AP1419" s="27">
        <f>IF(('Activity data'!BI13*EF!$H44*EF!$H62)*NtoN2O*kgtoGg=0,"NO",('Activity data'!BI13*EF!$H44*EF!$H62)*NtoN2O*kgtoGg)</f>
        <v>1.5960089556991585E-2</v>
      </c>
      <c r="AQ1419" s="27">
        <f>IF(('Activity data'!BJ13*EF!$H44*EF!$H62)*NtoN2O*kgtoGg=0,"NO",('Activity data'!BJ13*EF!$H44*EF!$H62)*NtoN2O*kgtoGg)</f>
        <v>1.5982771280705937E-2</v>
      </c>
      <c r="AR1419" s="27">
        <f>IF(('Activity data'!BK13*EF!$H44*EF!$H62)*NtoN2O*kgtoGg=0,"NO",('Activity data'!BK13*EF!$H44*EF!$H62)*NtoN2O*kgtoGg)</f>
        <v>1.6007081325051208E-2</v>
      </c>
      <c r="AS1419" s="27">
        <f>IF(('Activity data'!BL13*EF!$H44*EF!$H62)*NtoN2O*kgtoGg=0,"NO",('Activity data'!BL13*EF!$H44*EF!$H62)*NtoN2O*kgtoGg)</f>
        <v>1.6015649873683192E-2</v>
      </c>
      <c r="AT1419" s="27">
        <f>IF(('Activity data'!BM13*EF!$H44*EF!$H62)*NtoN2O*kgtoGg=0,"NO",('Activity data'!BM13*EF!$H44*EF!$H62)*NtoN2O*kgtoGg)</f>
        <v>1.601945516807891E-2</v>
      </c>
      <c r="AU1419" s="27">
        <f>IF(('Activity data'!BN13*EF!$H44*EF!$H62)*NtoN2O*kgtoGg=0,"NO",('Activity data'!BN13*EF!$H44*EF!$H62)*NtoN2O*kgtoGg)</f>
        <v>1.602387884909745E-2</v>
      </c>
      <c r="AV1419" s="27">
        <f>IF(('Activity data'!BO13*EF!$H44*EF!$H62)*NtoN2O*kgtoGg=0,"NO",('Activity data'!BO13*EF!$H44*EF!$H62)*NtoN2O*kgtoGg)</f>
        <v>1.6028641289399778E-2</v>
      </c>
      <c r="AW1419" s="27">
        <f>IF(('Activity data'!BP13*EF!$H44*EF!$H62)*NtoN2O*kgtoGg=0,"NO",('Activity data'!BP13*EF!$H44*EF!$H62)*NtoN2O*kgtoGg)</f>
        <v>1.6034267352361548E-2</v>
      </c>
    </row>
    <row r="1420" spans="1:49" x14ac:dyDescent="0.3">
      <c r="A1420" s="95" t="s">
        <v>960</v>
      </c>
      <c r="B1420" s="95"/>
      <c r="C1420" s="95"/>
      <c r="D1420" t="str">
        <f t="shared" si="552"/>
        <v>3A Livestock</v>
      </c>
      <c r="E1420" t="str">
        <f t="shared" si="552"/>
        <v>3A2 Manure management (N2O)</v>
      </c>
      <c r="F1420" t="str">
        <f>EF!C63</f>
        <v>3A1d Goats</v>
      </c>
      <c r="G1420" t="str">
        <f>EF!D63</f>
        <v>Subsistence</v>
      </c>
      <c r="H1420" t="str">
        <f t="shared" si="553"/>
        <v>Manure management Emissions</v>
      </c>
      <c r="I1420" t="s">
        <v>139</v>
      </c>
      <c r="J1420" t="str">
        <f t="shared" si="551"/>
        <v>Gg N2O</v>
      </c>
      <c r="K1420" s="27">
        <f>IF(('Activity data'!AD14*EF!$H45*EF!$H63)*NtoN2O*kgtoGg=0,"NO",('Activity data'!AD14*EF!$H45*EF!$H63)*NtoN2O*kgtoGg)</f>
        <v>0.11484439540301131</v>
      </c>
      <c r="L1420" s="27">
        <f>IF(('Activity data'!AE14*EF!$H45*EF!$H63)*NtoN2O*kgtoGg=0,"NO",('Activity data'!AE14*EF!$H45*EF!$H63)*NtoN2O*kgtoGg)</f>
        <v>0.11514293539628438</v>
      </c>
      <c r="M1420" s="27">
        <f>IF(('Activity data'!AF14*EF!$H45*EF!$H63)*NtoN2O*kgtoGg=0,"NO",('Activity data'!AF14*EF!$H45*EF!$H63)*NtoN2O*kgtoGg)</f>
        <v>0.1155547607669731</v>
      </c>
      <c r="N1420" s="27">
        <f>IF(('Activity data'!AG14*EF!$H45*EF!$H63)*NtoN2O*kgtoGg=0,"NO",('Activity data'!AG14*EF!$H45*EF!$H63)*NtoN2O*kgtoGg)</f>
        <v>0.11605647283191664</v>
      </c>
      <c r="O1420" s="27">
        <f>IF(('Activity data'!AH14*EF!$H45*EF!$H63)*NtoN2O*kgtoGg=0,"NO",('Activity data'!AH14*EF!$H45*EF!$H63)*NtoN2O*kgtoGg)</f>
        <v>0.11664735601685972</v>
      </c>
      <c r="P1420" s="27">
        <f>IF(('Activity data'!AI14*EF!$H45*EF!$H63)*NtoN2O*kgtoGg=0,"NO",('Activity data'!AI14*EF!$H45*EF!$H63)*NtoN2O*kgtoGg)</f>
        <v>0.11732381389682567</v>
      </c>
      <c r="Q1420" s="27">
        <f>IF(('Activity data'!AJ14*EF!$H45*EF!$H63)*NtoN2O*kgtoGg=0,"NO",('Activity data'!AJ14*EF!$H45*EF!$H63)*NtoN2O*kgtoGg)</f>
        <v>0.11805182815822728</v>
      </c>
      <c r="R1420" s="27">
        <f>IF(('Activity data'!AK14*EF!$H45*EF!$H63)*NtoN2O*kgtoGg=0,"NO",('Activity data'!AK14*EF!$H45*EF!$H63)*NtoN2O*kgtoGg)</f>
        <v>0.11882851694408277</v>
      </c>
      <c r="S1420" s="27">
        <f>IF(('Activity data'!AL14*EF!$H45*EF!$H63)*NtoN2O*kgtoGg=0,"NO",('Activity data'!AL14*EF!$H45*EF!$H63)*NtoN2O*kgtoGg)</f>
        <v>0.11953288571269048</v>
      </c>
      <c r="T1420" s="27">
        <f>IF(('Activity data'!AM14*EF!$H45*EF!$H63)*NtoN2O*kgtoGg=0,"NO",('Activity data'!AM14*EF!$H45*EF!$H63)*NtoN2O*kgtoGg)</f>
        <v>0.11987694225544984</v>
      </c>
      <c r="U1420" s="27">
        <f>IF(('Activity data'!AN14*EF!$H45*EF!$H63)*NtoN2O*kgtoGg=0,"NO",('Activity data'!AN14*EF!$H45*EF!$H63)*NtoN2O*kgtoGg)</f>
        <v>0.12027130782879383</v>
      </c>
      <c r="V1420" s="27">
        <f>IF(('Activity data'!AO14*EF!$H45*EF!$H63)*NtoN2O*kgtoGg=0,"NO",('Activity data'!AO14*EF!$H45*EF!$H63)*NtoN2O*kgtoGg)</f>
        <v>0.12067330512172106</v>
      </c>
      <c r="W1420" s="27">
        <f>IF(('Activity data'!AP14*EF!$H45*EF!$H63)*NtoN2O*kgtoGg=0,"NO",('Activity data'!AP14*EF!$H45*EF!$H63)*NtoN2O*kgtoGg)</f>
        <v>0.12110930138508789</v>
      </c>
      <c r="X1420" s="27">
        <f>IF(('Activity data'!AQ14*EF!$H45*EF!$H63)*NtoN2O*kgtoGg=0,"NO",('Activity data'!AQ14*EF!$H45*EF!$H63)*NtoN2O*kgtoGg)</f>
        <v>0.12157857604859369</v>
      </c>
      <c r="Y1420" s="27">
        <f>IF(('Activity data'!AR14*EF!$H45*EF!$H63)*NtoN2O*kgtoGg=0,"NO",('Activity data'!AR14*EF!$H45*EF!$H63)*NtoN2O*kgtoGg)</f>
        <v>0.12187889131494858</v>
      </c>
      <c r="Z1420" s="27">
        <f>IF(('Activity data'!AS14*EF!$H45*EF!$H63)*NtoN2O*kgtoGg=0,"NO",('Activity data'!AS14*EF!$H45*EF!$H63)*NtoN2O*kgtoGg)</f>
        <v>0.12220745287296136</v>
      </c>
      <c r="AA1420" s="27">
        <f>IF(('Activity data'!AT14*EF!$H45*EF!$H63)*NtoN2O*kgtoGg=0,"NO",('Activity data'!AT14*EF!$H45*EF!$H63)*NtoN2O*kgtoGg)</f>
        <v>0.1225604177918853</v>
      </c>
      <c r="AB1420" s="27">
        <f>IF(('Activity data'!AU14*EF!$H45*EF!$H63)*NtoN2O*kgtoGg=0,"NO",('Activity data'!AU14*EF!$H45*EF!$H63)*NtoN2O*kgtoGg)</f>
        <v>0.12293891946908028</v>
      </c>
      <c r="AC1420" s="27">
        <f>IF(('Activity data'!AV14*EF!$H45*EF!$H63)*NtoN2O*kgtoGg=0,"NO",('Activity data'!AV14*EF!$H45*EF!$H63)*NtoN2O*kgtoGg)</f>
        <v>0.1233394038452322</v>
      </c>
      <c r="AD1420" s="27">
        <f>IF(('Activity data'!AW14*EF!$H45*EF!$H63)*NtoN2O*kgtoGg=0,"NO",('Activity data'!AW14*EF!$H45*EF!$H63)*NtoN2O*kgtoGg)</f>
        <v>0.12360648147026812</v>
      </c>
      <c r="AE1420" s="27">
        <f>IF(('Activity data'!AX14*EF!$H45*EF!$H63)*NtoN2O*kgtoGg=0,"NO",('Activity data'!AX14*EF!$H45*EF!$H63)*NtoN2O*kgtoGg)</f>
        <v>0.12389130386581051</v>
      </c>
      <c r="AF1420" s="27">
        <f>IF(('Activity data'!AY14*EF!$H45*EF!$H63)*NtoN2O*kgtoGg=0,"NO",('Activity data'!AY14*EF!$H45*EF!$H63)*NtoN2O*kgtoGg)</f>
        <v>0.12419628189993717</v>
      </c>
      <c r="AG1420" s="27">
        <f>IF(('Activity data'!AZ14*EF!$H45*EF!$H63)*NtoN2O*kgtoGg=0,"NO",('Activity data'!AZ14*EF!$H45*EF!$H63)*NtoN2O*kgtoGg)</f>
        <v>0.12452451314626521</v>
      </c>
      <c r="AH1420" s="27">
        <f>IF(('Activity data'!BA14*EF!$H45*EF!$H63)*NtoN2O*kgtoGg=0,"NO",('Activity data'!BA14*EF!$H45*EF!$H63)*NtoN2O*kgtoGg)</f>
        <v>0.12486608139184988</v>
      </c>
      <c r="AI1420" s="27">
        <f>IF(('Activity data'!BB14*EF!$H45*EF!$H63)*NtoN2O*kgtoGg=0,"NO",('Activity data'!BB14*EF!$H45*EF!$H63)*NtoN2O*kgtoGg)</f>
        <v>0.12507762339447212</v>
      </c>
      <c r="AJ1420" s="27">
        <f>IF(('Activity data'!BC14*EF!$H45*EF!$H63)*NtoN2O*kgtoGg=0,"NO",('Activity data'!BC14*EF!$H45*EF!$H63)*NtoN2O*kgtoGg)</f>
        <v>0.12530718498404322</v>
      </c>
      <c r="AK1420" s="27">
        <f>IF(('Activity data'!BD14*EF!$H45*EF!$H63)*NtoN2O*kgtoGg=0,"NO",('Activity data'!BD14*EF!$H45*EF!$H63)*NtoN2O*kgtoGg)</f>
        <v>0.12554678231167932</v>
      </c>
      <c r="AL1420" s="27">
        <f>IF(('Activity data'!BE14*EF!$H45*EF!$H63)*NtoN2O*kgtoGg=0,"NO",('Activity data'!BE14*EF!$H45*EF!$H63)*NtoN2O*kgtoGg)</f>
        <v>0.12579923776247484</v>
      </c>
      <c r="AM1420" s="27">
        <f>IF(('Activity data'!BF14*EF!$H45*EF!$H63)*NtoN2O*kgtoGg=0,"NO",('Activity data'!BF14*EF!$H45*EF!$H63)*NtoN2O*kgtoGg)</f>
        <v>0.12606420568996382</v>
      </c>
      <c r="AN1420" s="27">
        <f>IF(('Activity data'!BG14*EF!$H45*EF!$H63)*NtoN2O*kgtoGg=0,"NO",('Activity data'!BG14*EF!$H45*EF!$H63)*NtoN2O*kgtoGg)</f>
        <v>0.12620896795767253</v>
      </c>
      <c r="AO1420" s="27">
        <f>IF(('Activity data'!BH14*EF!$H45*EF!$H63)*NtoN2O*kgtoGg=0,"NO",('Activity data'!BH14*EF!$H45*EF!$H63)*NtoN2O*kgtoGg)</f>
        <v>0.1263628498705969</v>
      </c>
      <c r="AP1420" s="27">
        <f>IF(('Activity data'!BI14*EF!$H45*EF!$H63)*NtoN2O*kgtoGg=0,"NO",('Activity data'!BI14*EF!$H45*EF!$H63)*NtoN2O*kgtoGg)</f>
        <v>0.12652977960616255</v>
      </c>
      <c r="AQ1420" s="27">
        <f>IF(('Activity data'!BJ14*EF!$H45*EF!$H63)*NtoN2O*kgtoGg=0,"NO",('Activity data'!BJ14*EF!$H45*EF!$H63)*NtoN2O*kgtoGg)</f>
        <v>0.1267095977389128</v>
      </c>
      <c r="AR1420" s="27">
        <f>IF(('Activity data'!BK14*EF!$H45*EF!$H63)*NtoN2O*kgtoGg=0,"NO",('Activity data'!BK14*EF!$H45*EF!$H63)*NtoN2O*kgtoGg)</f>
        <v>0.12690232501291954</v>
      </c>
      <c r="AS1420" s="27">
        <f>IF(('Activity data'!BL14*EF!$H45*EF!$H63)*NtoN2O*kgtoGg=0,"NO",('Activity data'!BL14*EF!$H45*EF!$H63)*NtoN2O*kgtoGg)</f>
        <v>0.12697025549451732</v>
      </c>
      <c r="AT1420" s="27">
        <f>IF(('Activity data'!BM14*EF!$H45*EF!$H63)*NtoN2O*kgtoGg=0,"NO",('Activity data'!BM14*EF!$H45*EF!$H63)*NtoN2O*kgtoGg)</f>
        <v>0.1270004234368404</v>
      </c>
      <c r="AU1420" s="27">
        <f>IF(('Activity data'!BN14*EF!$H45*EF!$H63)*NtoN2O*kgtoGg=0,"NO",('Activity data'!BN14*EF!$H45*EF!$H63)*NtoN2O*kgtoGg)</f>
        <v>0.12703549387816376</v>
      </c>
      <c r="AV1420" s="27">
        <f>IF(('Activity data'!BO14*EF!$H45*EF!$H63)*NtoN2O*kgtoGg=0,"NO",('Activity data'!BO14*EF!$H45*EF!$H63)*NtoN2O*kgtoGg)</f>
        <v>0.12707324996466249</v>
      </c>
      <c r="AW1420" s="27">
        <f>IF(('Activity data'!BP14*EF!$H45*EF!$H63)*NtoN2O*kgtoGg=0,"NO",('Activity data'!BP14*EF!$H45*EF!$H63)*NtoN2O*kgtoGg)</f>
        <v>0.1271178527536419</v>
      </c>
    </row>
    <row r="1421" spans="1:49" x14ac:dyDescent="0.3">
      <c r="A1421" s="95" t="s">
        <v>960</v>
      </c>
      <c r="B1421" s="95"/>
      <c r="C1421" s="95"/>
      <c r="D1421" t="str">
        <f t="shared" si="552"/>
        <v>3A Livestock</v>
      </c>
      <c r="E1421" t="str">
        <f t="shared" si="552"/>
        <v>3A2 Manure management (N2O)</v>
      </c>
      <c r="F1421" t="str">
        <f>EF!C64</f>
        <v>3A1f Horses</v>
      </c>
      <c r="G1421" t="str">
        <f>EF!D64</f>
        <v>Horses</v>
      </c>
      <c r="H1421" t="str">
        <f t="shared" si="553"/>
        <v>Manure management Emissions</v>
      </c>
      <c r="I1421" t="s">
        <v>139</v>
      </c>
      <c r="J1421" t="str">
        <f t="shared" si="551"/>
        <v>Gg N2O</v>
      </c>
      <c r="K1421" s="27" t="str">
        <f>IF(('Activity data'!AD15*EF!$H46*EF!$H64)*NtoN2O*kgtoGg=0,"NO",('Activity data'!AD15*EF!$H46*EF!$H64)*NtoN2O*kgtoGg)</f>
        <v>NO</v>
      </c>
      <c r="L1421" s="27" t="str">
        <f>IF(('Activity data'!AE15*EF!$H46*EF!$H64)*NtoN2O*kgtoGg=0,"NO",('Activity data'!AE15*EF!$H46*EF!$H64)*NtoN2O*kgtoGg)</f>
        <v>NO</v>
      </c>
      <c r="M1421" s="27" t="str">
        <f>IF(('Activity data'!AF15*EF!$H46*EF!$H64)*NtoN2O*kgtoGg=0,"NO",('Activity data'!AF15*EF!$H46*EF!$H64)*NtoN2O*kgtoGg)</f>
        <v>NO</v>
      </c>
      <c r="N1421" s="27" t="str">
        <f>IF(('Activity data'!AG15*EF!$H46*EF!$H64)*NtoN2O*kgtoGg=0,"NO",('Activity data'!AG15*EF!$H46*EF!$H64)*NtoN2O*kgtoGg)</f>
        <v>NO</v>
      </c>
      <c r="O1421" s="27" t="str">
        <f>IF(('Activity data'!AH15*EF!$H46*EF!$H64)*NtoN2O*kgtoGg=0,"NO",('Activity data'!AH15*EF!$H46*EF!$H64)*NtoN2O*kgtoGg)</f>
        <v>NO</v>
      </c>
      <c r="P1421" s="27" t="str">
        <f>IF(('Activity data'!AI15*EF!$H46*EF!$H64)*NtoN2O*kgtoGg=0,"NO",('Activity data'!AI15*EF!$H46*EF!$H64)*NtoN2O*kgtoGg)</f>
        <v>NO</v>
      </c>
      <c r="Q1421" s="27" t="str">
        <f>IF(('Activity data'!AJ15*EF!$H46*EF!$H64)*NtoN2O*kgtoGg=0,"NO",('Activity data'!AJ15*EF!$H46*EF!$H64)*NtoN2O*kgtoGg)</f>
        <v>NO</v>
      </c>
      <c r="R1421" s="27" t="str">
        <f>IF(('Activity data'!AK15*EF!$H46*EF!$H64)*NtoN2O*kgtoGg=0,"NO",('Activity data'!AK15*EF!$H46*EF!$H64)*NtoN2O*kgtoGg)</f>
        <v>NO</v>
      </c>
      <c r="S1421" s="27" t="str">
        <f>IF(('Activity data'!AL15*EF!$H46*EF!$H64)*NtoN2O*kgtoGg=0,"NO",('Activity data'!AL15*EF!$H46*EF!$H64)*NtoN2O*kgtoGg)</f>
        <v>NO</v>
      </c>
      <c r="T1421" s="27" t="str">
        <f>IF(('Activity data'!AM15*EF!$H46*EF!$H64)*NtoN2O*kgtoGg=0,"NO",('Activity data'!AM15*EF!$H46*EF!$H64)*NtoN2O*kgtoGg)</f>
        <v>NO</v>
      </c>
      <c r="U1421" s="27" t="str">
        <f>IF(('Activity data'!AN15*EF!$H46*EF!$H64)*NtoN2O*kgtoGg=0,"NO",('Activity data'!AN15*EF!$H46*EF!$H64)*NtoN2O*kgtoGg)</f>
        <v>NO</v>
      </c>
      <c r="V1421" s="27" t="str">
        <f>IF(('Activity data'!AO15*EF!$H46*EF!$H64)*NtoN2O*kgtoGg=0,"NO",('Activity data'!AO15*EF!$H46*EF!$H64)*NtoN2O*kgtoGg)</f>
        <v>NO</v>
      </c>
      <c r="W1421" s="27" t="str">
        <f>IF(('Activity data'!AP15*EF!$H46*EF!$H64)*NtoN2O*kgtoGg=0,"NO",('Activity data'!AP15*EF!$H46*EF!$H64)*NtoN2O*kgtoGg)</f>
        <v>NO</v>
      </c>
      <c r="X1421" s="27" t="str">
        <f>IF(('Activity data'!AQ15*EF!$H46*EF!$H64)*NtoN2O*kgtoGg=0,"NO",('Activity data'!AQ15*EF!$H46*EF!$H64)*NtoN2O*kgtoGg)</f>
        <v>NO</v>
      </c>
      <c r="Y1421" s="27" t="str">
        <f>IF(('Activity data'!AR15*EF!$H46*EF!$H64)*NtoN2O*kgtoGg=0,"NO",('Activity data'!AR15*EF!$H46*EF!$H64)*NtoN2O*kgtoGg)</f>
        <v>NO</v>
      </c>
      <c r="Z1421" s="27" t="str">
        <f>IF(('Activity data'!AS15*EF!$H46*EF!$H64)*NtoN2O*kgtoGg=0,"NO",('Activity data'!AS15*EF!$H46*EF!$H64)*NtoN2O*kgtoGg)</f>
        <v>NO</v>
      </c>
      <c r="AA1421" s="27" t="str">
        <f>IF(('Activity data'!AT15*EF!$H46*EF!$H64)*NtoN2O*kgtoGg=0,"NO",('Activity data'!AT15*EF!$H46*EF!$H64)*NtoN2O*kgtoGg)</f>
        <v>NO</v>
      </c>
      <c r="AB1421" s="27" t="str">
        <f>IF(('Activity data'!AU15*EF!$H46*EF!$H64)*NtoN2O*kgtoGg=0,"NO",('Activity data'!AU15*EF!$H46*EF!$H64)*NtoN2O*kgtoGg)</f>
        <v>NO</v>
      </c>
      <c r="AC1421" s="27" t="str">
        <f>IF(('Activity data'!AV15*EF!$H46*EF!$H64)*NtoN2O*kgtoGg=0,"NO",('Activity data'!AV15*EF!$H46*EF!$H64)*NtoN2O*kgtoGg)</f>
        <v>NO</v>
      </c>
      <c r="AD1421" s="27" t="str">
        <f>IF(('Activity data'!AW15*EF!$H46*EF!$H64)*NtoN2O*kgtoGg=0,"NO",('Activity data'!AW15*EF!$H46*EF!$H64)*NtoN2O*kgtoGg)</f>
        <v>NO</v>
      </c>
      <c r="AE1421" s="27" t="str">
        <f>IF(('Activity data'!AX15*EF!$H46*EF!$H64)*NtoN2O*kgtoGg=0,"NO",('Activity data'!AX15*EF!$H46*EF!$H64)*NtoN2O*kgtoGg)</f>
        <v>NO</v>
      </c>
      <c r="AF1421" s="27" t="str">
        <f>IF(('Activity data'!AY15*EF!$H46*EF!$H64)*NtoN2O*kgtoGg=0,"NO",('Activity data'!AY15*EF!$H46*EF!$H64)*NtoN2O*kgtoGg)</f>
        <v>NO</v>
      </c>
      <c r="AG1421" s="27" t="str">
        <f>IF(('Activity data'!AZ15*EF!$H46*EF!$H64)*NtoN2O*kgtoGg=0,"NO",('Activity data'!AZ15*EF!$H46*EF!$H64)*NtoN2O*kgtoGg)</f>
        <v>NO</v>
      </c>
      <c r="AH1421" s="27" t="str">
        <f>IF(('Activity data'!BA15*EF!$H46*EF!$H64)*NtoN2O*kgtoGg=0,"NO",('Activity data'!BA15*EF!$H46*EF!$H64)*NtoN2O*kgtoGg)</f>
        <v>NO</v>
      </c>
      <c r="AI1421" s="27" t="str">
        <f>IF(('Activity data'!BB15*EF!$H46*EF!$H64)*NtoN2O*kgtoGg=0,"NO",('Activity data'!BB15*EF!$H46*EF!$H64)*NtoN2O*kgtoGg)</f>
        <v>NO</v>
      </c>
      <c r="AJ1421" s="27" t="str">
        <f>IF(('Activity data'!BC15*EF!$H46*EF!$H64)*NtoN2O*kgtoGg=0,"NO",('Activity data'!BC15*EF!$H46*EF!$H64)*NtoN2O*kgtoGg)</f>
        <v>NO</v>
      </c>
      <c r="AK1421" s="27" t="str">
        <f>IF(('Activity data'!BD15*EF!$H46*EF!$H64)*NtoN2O*kgtoGg=0,"NO",('Activity data'!BD15*EF!$H46*EF!$H64)*NtoN2O*kgtoGg)</f>
        <v>NO</v>
      </c>
      <c r="AL1421" s="27" t="str">
        <f>IF(('Activity data'!BE15*EF!$H46*EF!$H64)*NtoN2O*kgtoGg=0,"NO",('Activity data'!BE15*EF!$H46*EF!$H64)*NtoN2O*kgtoGg)</f>
        <v>NO</v>
      </c>
      <c r="AM1421" s="27" t="str">
        <f>IF(('Activity data'!BF15*EF!$H46*EF!$H64)*NtoN2O*kgtoGg=0,"NO",('Activity data'!BF15*EF!$H46*EF!$H64)*NtoN2O*kgtoGg)</f>
        <v>NO</v>
      </c>
      <c r="AN1421" s="27" t="str">
        <f>IF(('Activity data'!BG15*EF!$H46*EF!$H64)*NtoN2O*kgtoGg=0,"NO",('Activity data'!BG15*EF!$H46*EF!$H64)*NtoN2O*kgtoGg)</f>
        <v>NO</v>
      </c>
      <c r="AO1421" s="27" t="str">
        <f>IF(('Activity data'!BH15*EF!$H46*EF!$H64)*NtoN2O*kgtoGg=0,"NO",('Activity data'!BH15*EF!$H46*EF!$H64)*NtoN2O*kgtoGg)</f>
        <v>NO</v>
      </c>
      <c r="AP1421" s="27" t="str">
        <f>IF(('Activity data'!BI15*EF!$H46*EF!$H64)*NtoN2O*kgtoGg=0,"NO",('Activity data'!BI15*EF!$H46*EF!$H64)*NtoN2O*kgtoGg)</f>
        <v>NO</v>
      </c>
      <c r="AQ1421" s="27" t="str">
        <f>IF(('Activity data'!BJ15*EF!$H46*EF!$H64)*NtoN2O*kgtoGg=0,"NO",('Activity data'!BJ15*EF!$H46*EF!$H64)*NtoN2O*kgtoGg)</f>
        <v>NO</v>
      </c>
      <c r="AR1421" s="27" t="str">
        <f>IF(('Activity data'!BK15*EF!$H46*EF!$H64)*NtoN2O*kgtoGg=0,"NO",('Activity data'!BK15*EF!$H46*EF!$H64)*NtoN2O*kgtoGg)</f>
        <v>NO</v>
      </c>
      <c r="AS1421" s="27" t="str">
        <f>IF(('Activity data'!BL15*EF!$H46*EF!$H64)*NtoN2O*kgtoGg=0,"NO",('Activity data'!BL15*EF!$H46*EF!$H64)*NtoN2O*kgtoGg)</f>
        <v>NO</v>
      </c>
      <c r="AT1421" s="27" t="str">
        <f>IF(('Activity data'!BM15*EF!$H46*EF!$H64)*NtoN2O*kgtoGg=0,"NO",('Activity data'!BM15*EF!$H46*EF!$H64)*NtoN2O*kgtoGg)</f>
        <v>NO</v>
      </c>
      <c r="AU1421" s="27" t="str">
        <f>IF(('Activity data'!BN15*EF!$H46*EF!$H64)*NtoN2O*kgtoGg=0,"NO",('Activity data'!BN15*EF!$H46*EF!$H64)*NtoN2O*kgtoGg)</f>
        <v>NO</v>
      </c>
      <c r="AV1421" s="27" t="str">
        <f>IF(('Activity data'!BO15*EF!$H46*EF!$H64)*NtoN2O*kgtoGg=0,"NO",('Activity data'!BO15*EF!$H46*EF!$H64)*NtoN2O*kgtoGg)</f>
        <v>NO</v>
      </c>
      <c r="AW1421" s="27" t="str">
        <f>IF(('Activity data'!BP15*EF!$H46*EF!$H64)*NtoN2O*kgtoGg=0,"NO",('Activity data'!BP15*EF!$H46*EF!$H64)*NtoN2O*kgtoGg)</f>
        <v>NO</v>
      </c>
    </row>
    <row r="1422" spans="1:49" x14ac:dyDescent="0.3">
      <c r="A1422" s="95" t="s">
        <v>960</v>
      </c>
      <c r="B1422" s="95"/>
      <c r="C1422" s="95"/>
      <c r="D1422" t="str">
        <f t="shared" si="552"/>
        <v>3A Livestock</v>
      </c>
      <c r="E1422" t="str">
        <f t="shared" si="552"/>
        <v>3A2 Manure management (N2O)</v>
      </c>
      <c r="F1422" t="str">
        <f>EF!C65</f>
        <v>3A1g Mules &amp; asses</v>
      </c>
      <c r="G1422" t="str">
        <f>EF!D65</f>
        <v>Mules &amp; Asses</v>
      </c>
      <c r="H1422" t="str">
        <f t="shared" si="553"/>
        <v>Manure management Emissions</v>
      </c>
      <c r="I1422" t="s">
        <v>139</v>
      </c>
      <c r="J1422" t="str">
        <f t="shared" si="551"/>
        <v>Gg N2O</v>
      </c>
      <c r="K1422" s="27" t="str">
        <f>IF(('Activity data'!AD16*EF!$H47*EF!$H65)*NtoN2O*kgtoGg=0,"NO",('Activity data'!AD16*EF!$H47*EF!$H65)*NtoN2O*kgtoGg)</f>
        <v>NO</v>
      </c>
      <c r="L1422" s="27" t="str">
        <f>IF(('Activity data'!AE16*EF!$H47*EF!$H65)*NtoN2O*kgtoGg=0,"NO",('Activity data'!AE16*EF!$H47*EF!$H65)*NtoN2O*kgtoGg)</f>
        <v>NO</v>
      </c>
      <c r="M1422" s="27" t="str">
        <f>IF(('Activity data'!AF16*EF!$H47*EF!$H65)*NtoN2O*kgtoGg=0,"NO",('Activity data'!AF16*EF!$H47*EF!$H65)*NtoN2O*kgtoGg)</f>
        <v>NO</v>
      </c>
      <c r="N1422" s="27" t="str">
        <f>IF(('Activity data'!AG16*EF!$H47*EF!$H65)*NtoN2O*kgtoGg=0,"NO",('Activity data'!AG16*EF!$H47*EF!$H65)*NtoN2O*kgtoGg)</f>
        <v>NO</v>
      </c>
      <c r="O1422" s="27" t="str">
        <f>IF(('Activity data'!AH16*EF!$H47*EF!$H65)*NtoN2O*kgtoGg=0,"NO",('Activity data'!AH16*EF!$H47*EF!$H65)*NtoN2O*kgtoGg)</f>
        <v>NO</v>
      </c>
      <c r="P1422" s="27" t="str">
        <f>IF(('Activity data'!AI16*EF!$H47*EF!$H65)*NtoN2O*kgtoGg=0,"NO",('Activity data'!AI16*EF!$H47*EF!$H65)*NtoN2O*kgtoGg)</f>
        <v>NO</v>
      </c>
      <c r="Q1422" s="27" t="str">
        <f>IF(('Activity data'!AJ16*EF!$H47*EF!$H65)*NtoN2O*kgtoGg=0,"NO",('Activity data'!AJ16*EF!$H47*EF!$H65)*NtoN2O*kgtoGg)</f>
        <v>NO</v>
      </c>
      <c r="R1422" s="27" t="str">
        <f>IF(('Activity data'!AK16*EF!$H47*EF!$H65)*NtoN2O*kgtoGg=0,"NO",('Activity data'!AK16*EF!$H47*EF!$H65)*NtoN2O*kgtoGg)</f>
        <v>NO</v>
      </c>
      <c r="S1422" s="27" t="str">
        <f>IF(('Activity data'!AL16*EF!$H47*EF!$H65)*NtoN2O*kgtoGg=0,"NO",('Activity data'!AL16*EF!$H47*EF!$H65)*NtoN2O*kgtoGg)</f>
        <v>NO</v>
      </c>
      <c r="T1422" s="27" t="str">
        <f>IF(('Activity data'!AM16*EF!$H47*EF!$H65)*NtoN2O*kgtoGg=0,"NO",('Activity data'!AM16*EF!$H47*EF!$H65)*NtoN2O*kgtoGg)</f>
        <v>NO</v>
      </c>
      <c r="U1422" s="27" t="str">
        <f>IF(('Activity data'!AN16*EF!$H47*EF!$H65)*NtoN2O*kgtoGg=0,"NO",('Activity data'!AN16*EF!$H47*EF!$H65)*NtoN2O*kgtoGg)</f>
        <v>NO</v>
      </c>
      <c r="V1422" s="27" t="str">
        <f>IF(('Activity data'!AO16*EF!$H47*EF!$H65)*NtoN2O*kgtoGg=0,"NO",('Activity data'!AO16*EF!$H47*EF!$H65)*NtoN2O*kgtoGg)</f>
        <v>NO</v>
      </c>
      <c r="W1422" s="27" t="str">
        <f>IF(('Activity data'!AP16*EF!$H47*EF!$H65)*NtoN2O*kgtoGg=0,"NO",('Activity data'!AP16*EF!$H47*EF!$H65)*NtoN2O*kgtoGg)</f>
        <v>NO</v>
      </c>
      <c r="X1422" s="27" t="str">
        <f>IF(('Activity data'!AQ16*EF!$H47*EF!$H65)*NtoN2O*kgtoGg=0,"NO",('Activity data'!AQ16*EF!$H47*EF!$H65)*NtoN2O*kgtoGg)</f>
        <v>NO</v>
      </c>
      <c r="Y1422" s="27" t="str">
        <f>IF(('Activity data'!AR16*EF!$H47*EF!$H65)*NtoN2O*kgtoGg=0,"NO",('Activity data'!AR16*EF!$H47*EF!$H65)*NtoN2O*kgtoGg)</f>
        <v>NO</v>
      </c>
      <c r="Z1422" s="27" t="str">
        <f>IF(('Activity data'!AS16*EF!$H47*EF!$H65)*NtoN2O*kgtoGg=0,"NO",('Activity data'!AS16*EF!$H47*EF!$H65)*NtoN2O*kgtoGg)</f>
        <v>NO</v>
      </c>
      <c r="AA1422" s="27" t="str">
        <f>IF(('Activity data'!AT16*EF!$H47*EF!$H65)*NtoN2O*kgtoGg=0,"NO",('Activity data'!AT16*EF!$H47*EF!$H65)*NtoN2O*kgtoGg)</f>
        <v>NO</v>
      </c>
      <c r="AB1422" s="27" t="str">
        <f>IF(('Activity data'!AU16*EF!$H47*EF!$H65)*NtoN2O*kgtoGg=0,"NO",('Activity data'!AU16*EF!$H47*EF!$H65)*NtoN2O*kgtoGg)</f>
        <v>NO</v>
      </c>
      <c r="AC1422" s="27" t="str">
        <f>IF(('Activity data'!AV16*EF!$H47*EF!$H65)*NtoN2O*kgtoGg=0,"NO",('Activity data'!AV16*EF!$H47*EF!$H65)*NtoN2O*kgtoGg)</f>
        <v>NO</v>
      </c>
      <c r="AD1422" s="27" t="str">
        <f>IF(('Activity data'!AW16*EF!$H47*EF!$H65)*NtoN2O*kgtoGg=0,"NO",('Activity data'!AW16*EF!$H47*EF!$H65)*NtoN2O*kgtoGg)</f>
        <v>NO</v>
      </c>
      <c r="AE1422" s="27" t="str">
        <f>IF(('Activity data'!AX16*EF!$H47*EF!$H65)*NtoN2O*kgtoGg=0,"NO",('Activity data'!AX16*EF!$H47*EF!$H65)*NtoN2O*kgtoGg)</f>
        <v>NO</v>
      </c>
      <c r="AF1422" s="27" t="str">
        <f>IF(('Activity data'!AY16*EF!$H47*EF!$H65)*NtoN2O*kgtoGg=0,"NO",('Activity data'!AY16*EF!$H47*EF!$H65)*NtoN2O*kgtoGg)</f>
        <v>NO</v>
      </c>
      <c r="AG1422" s="27" t="str">
        <f>IF(('Activity data'!AZ16*EF!$H47*EF!$H65)*NtoN2O*kgtoGg=0,"NO",('Activity data'!AZ16*EF!$H47*EF!$H65)*NtoN2O*kgtoGg)</f>
        <v>NO</v>
      </c>
      <c r="AH1422" s="27" t="str">
        <f>IF(('Activity data'!BA16*EF!$H47*EF!$H65)*NtoN2O*kgtoGg=0,"NO",('Activity data'!BA16*EF!$H47*EF!$H65)*NtoN2O*kgtoGg)</f>
        <v>NO</v>
      </c>
      <c r="AI1422" s="27" t="str">
        <f>IF(('Activity data'!BB16*EF!$H47*EF!$H65)*NtoN2O*kgtoGg=0,"NO",('Activity data'!BB16*EF!$H47*EF!$H65)*NtoN2O*kgtoGg)</f>
        <v>NO</v>
      </c>
      <c r="AJ1422" s="27" t="str">
        <f>IF(('Activity data'!BC16*EF!$H47*EF!$H65)*NtoN2O*kgtoGg=0,"NO",('Activity data'!BC16*EF!$H47*EF!$H65)*NtoN2O*kgtoGg)</f>
        <v>NO</v>
      </c>
      <c r="AK1422" s="27" t="str">
        <f>IF(('Activity data'!BD16*EF!$H47*EF!$H65)*NtoN2O*kgtoGg=0,"NO",('Activity data'!BD16*EF!$H47*EF!$H65)*NtoN2O*kgtoGg)</f>
        <v>NO</v>
      </c>
      <c r="AL1422" s="27" t="str">
        <f>IF(('Activity data'!BE16*EF!$H47*EF!$H65)*NtoN2O*kgtoGg=0,"NO",('Activity data'!BE16*EF!$H47*EF!$H65)*NtoN2O*kgtoGg)</f>
        <v>NO</v>
      </c>
      <c r="AM1422" s="27" t="str">
        <f>IF(('Activity data'!BF16*EF!$H47*EF!$H65)*NtoN2O*kgtoGg=0,"NO",('Activity data'!BF16*EF!$H47*EF!$H65)*NtoN2O*kgtoGg)</f>
        <v>NO</v>
      </c>
      <c r="AN1422" s="27" t="str">
        <f>IF(('Activity data'!BG16*EF!$H47*EF!$H65)*NtoN2O*kgtoGg=0,"NO",('Activity data'!BG16*EF!$H47*EF!$H65)*NtoN2O*kgtoGg)</f>
        <v>NO</v>
      </c>
      <c r="AO1422" s="27" t="str">
        <f>IF(('Activity data'!BH16*EF!$H47*EF!$H65)*NtoN2O*kgtoGg=0,"NO",('Activity data'!BH16*EF!$H47*EF!$H65)*NtoN2O*kgtoGg)</f>
        <v>NO</v>
      </c>
      <c r="AP1422" s="27" t="str">
        <f>IF(('Activity data'!BI16*EF!$H47*EF!$H65)*NtoN2O*kgtoGg=0,"NO",('Activity data'!BI16*EF!$H47*EF!$H65)*NtoN2O*kgtoGg)</f>
        <v>NO</v>
      </c>
      <c r="AQ1422" s="27" t="str">
        <f>IF(('Activity data'!BJ16*EF!$H47*EF!$H65)*NtoN2O*kgtoGg=0,"NO",('Activity data'!BJ16*EF!$H47*EF!$H65)*NtoN2O*kgtoGg)</f>
        <v>NO</v>
      </c>
      <c r="AR1422" s="27" t="str">
        <f>IF(('Activity data'!BK16*EF!$H47*EF!$H65)*NtoN2O*kgtoGg=0,"NO",('Activity data'!BK16*EF!$H47*EF!$H65)*NtoN2O*kgtoGg)</f>
        <v>NO</v>
      </c>
      <c r="AS1422" s="27" t="str">
        <f>IF(('Activity data'!BL16*EF!$H47*EF!$H65)*NtoN2O*kgtoGg=0,"NO",('Activity data'!BL16*EF!$H47*EF!$H65)*NtoN2O*kgtoGg)</f>
        <v>NO</v>
      </c>
      <c r="AT1422" s="27" t="str">
        <f>IF(('Activity data'!BM16*EF!$H47*EF!$H65)*NtoN2O*kgtoGg=0,"NO",('Activity data'!BM16*EF!$H47*EF!$H65)*NtoN2O*kgtoGg)</f>
        <v>NO</v>
      </c>
      <c r="AU1422" s="27" t="str">
        <f>IF(('Activity data'!BN16*EF!$H47*EF!$H65)*NtoN2O*kgtoGg=0,"NO",('Activity data'!BN16*EF!$H47*EF!$H65)*NtoN2O*kgtoGg)</f>
        <v>NO</v>
      </c>
      <c r="AV1422" s="27" t="str">
        <f>IF(('Activity data'!BO16*EF!$H47*EF!$H65)*NtoN2O*kgtoGg=0,"NO",('Activity data'!BO16*EF!$H47*EF!$H65)*NtoN2O*kgtoGg)</f>
        <v>NO</v>
      </c>
      <c r="AW1422" s="27" t="str">
        <f>IF(('Activity data'!BP16*EF!$H47*EF!$H65)*NtoN2O*kgtoGg=0,"NO",('Activity data'!BP16*EF!$H47*EF!$H65)*NtoN2O*kgtoGg)</f>
        <v>NO</v>
      </c>
    </row>
    <row r="1423" spans="1:49" x14ac:dyDescent="0.3">
      <c r="A1423" s="95" t="s">
        <v>960</v>
      </c>
      <c r="B1423" s="95"/>
      <c r="C1423" s="95"/>
      <c r="D1423" t="str">
        <f t="shared" si="552"/>
        <v>3A Livestock</v>
      </c>
      <c r="E1423" t="str">
        <f t="shared" si="552"/>
        <v>3A2 Manure management (N2O)</v>
      </c>
      <c r="F1423" t="str">
        <f>EF!C66</f>
        <v>3A1h Swine</v>
      </c>
      <c r="G1423" t="str">
        <f>EF!D66</f>
        <v>Commercial</v>
      </c>
      <c r="H1423" t="str">
        <f t="shared" si="553"/>
        <v>Manure management Emissions</v>
      </c>
      <c r="I1423" t="s">
        <v>139</v>
      </c>
      <c r="J1423" t="str">
        <f t="shared" si="551"/>
        <v>Gg N2O</v>
      </c>
      <c r="K1423" s="27">
        <f>IF(('Activity data'!AD17*EF!$H48*EF!$H66)*NtoN2O*kgtoGg=0,"NO",('Activity data'!AD17*EF!$H48*EF!$H66)*NtoN2O*kgtoGg)</f>
        <v>9.7466979224281824E-2</v>
      </c>
      <c r="L1423" s="27">
        <f>IF(('Activity data'!AE17*EF!$H48*EF!$H66)*NtoN2O*kgtoGg=0,"NO",('Activity data'!AE17*EF!$H48*EF!$H66)*NtoN2O*kgtoGg)</f>
        <v>9.6937181363551506E-2</v>
      </c>
      <c r="M1423" s="27">
        <f>IF(('Activity data'!AF17*EF!$H48*EF!$H66)*NtoN2O*kgtoGg=0,"NO",('Activity data'!AF17*EF!$H48*EF!$H66)*NtoN2O*kgtoGg)</f>
        <v>9.6980665528366608E-2</v>
      </c>
      <c r="N1423" s="27">
        <f>IF(('Activity data'!AG17*EF!$H48*EF!$H66)*NtoN2O*kgtoGg=0,"NO",('Activity data'!AG17*EF!$H48*EF!$H66)*NtoN2O*kgtoGg)</f>
        <v>9.6090308702663593E-2</v>
      </c>
      <c r="O1423" s="27">
        <f>IF(('Activity data'!AH17*EF!$H48*EF!$H66)*NtoN2O*kgtoGg=0,"NO",('Activity data'!AH17*EF!$H48*EF!$H66)*NtoN2O*kgtoGg)</f>
        <v>9.4636150647850484E-2</v>
      </c>
      <c r="P1423" s="27">
        <f>IF(('Activity data'!AI17*EF!$H48*EF!$H66)*NtoN2O*kgtoGg=0,"NO",('Activity data'!AI17*EF!$H48*EF!$H66)*NtoN2O*kgtoGg)</f>
        <v>9.2641437622218326E-2</v>
      </c>
      <c r="Q1423" s="27">
        <f>IF(('Activity data'!AJ17*EF!$H48*EF!$H66)*NtoN2O*kgtoGg=0,"NO",('Activity data'!AJ17*EF!$H48*EF!$H66)*NtoN2O*kgtoGg)</f>
        <v>9.1193054757597189E-2</v>
      </c>
      <c r="R1423" s="27">
        <f>IF(('Activity data'!AK17*EF!$H48*EF!$H66)*NtoN2O*kgtoGg=0,"NO",('Activity data'!AK17*EF!$H48*EF!$H66)*NtoN2O*kgtoGg)</f>
        <v>8.9872834352323558E-2</v>
      </c>
      <c r="S1423" s="27">
        <f>IF(('Activity data'!AL17*EF!$H48*EF!$H66)*NtoN2O*kgtoGg=0,"NO",('Activity data'!AL17*EF!$H48*EF!$H66)*NtoN2O*kgtoGg)</f>
        <v>7.9353210388908066E-2</v>
      </c>
      <c r="T1423" s="27">
        <f>IF(('Activity data'!AM17*EF!$H48*EF!$H66)*NtoN2O*kgtoGg=0,"NO",('Activity data'!AM17*EF!$H48*EF!$H66)*NtoN2O*kgtoGg)</f>
        <v>8.0356685470718767E-2</v>
      </c>
      <c r="U1423" s="27">
        <f>IF(('Activity data'!AN17*EF!$H48*EF!$H66)*NtoN2O*kgtoGg=0,"NO",('Activity data'!AN17*EF!$H48*EF!$H66)*NtoN2O*kgtoGg)</f>
        <v>8.2509946009160923E-2</v>
      </c>
      <c r="V1423" s="27">
        <f>IF(('Activity data'!AO17*EF!$H48*EF!$H66)*NtoN2O*kgtoGg=0,"NO",('Activity data'!AO17*EF!$H48*EF!$H66)*NtoN2O*kgtoGg)</f>
        <v>8.2705450879572748E-2</v>
      </c>
      <c r="W1423" s="27">
        <f>IF(('Activity data'!AP17*EF!$H48*EF!$H66)*NtoN2O*kgtoGg=0,"NO",('Activity data'!AP17*EF!$H48*EF!$H66)*NtoN2O*kgtoGg)</f>
        <v>8.3128827539525094E-2</v>
      </c>
      <c r="X1423" s="27">
        <f>IF(('Activity data'!AQ17*EF!$H48*EF!$H66)*NtoN2O*kgtoGg=0,"NO",('Activity data'!AQ17*EF!$H48*EF!$H66)*NtoN2O*kgtoGg)</f>
        <v>8.3840672628701915E-2</v>
      </c>
      <c r="Y1423" s="27">
        <f>IF(('Activity data'!AR17*EF!$H48*EF!$H66)*NtoN2O*kgtoGg=0,"NO",('Activity data'!AR17*EF!$H48*EF!$H66)*NtoN2O*kgtoGg)</f>
        <v>8.4733895932113168E-2</v>
      </c>
      <c r="Z1423" s="27">
        <f>IF(('Activity data'!AS17*EF!$H48*EF!$H66)*NtoN2O*kgtoGg=0,"NO",('Activity data'!AS17*EF!$H48*EF!$H66)*NtoN2O*kgtoGg)</f>
        <v>8.5828465366834875E-2</v>
      </c>
      <c r="AA1423" s="27">
        <f>IF(('Activity data'!AT17*EF!$H48*EF!$H66)*NtoN2O*kgtoGg=0,"NO",('Activity data'!AT17*EF!$H48*EF!$H66)*NtoN2O*kgtoGg)</f>
        <v>8.6935834694674932E-2</v>
      </c>
      <c r="AB1423" s="27">
        <f>IF(('Activity data'!AU17*EF!$H48*EF!$H66)*NtoN2O*kgtoGg=0,"NO",('Activity data'!AU17*EF!$H48*EF!$H66)*NtoN2O*kgtoGg)</f>
        <v>8.8214344657231616E-2</v>
      </c>
      <c r="AC1423" s="27">
        <f>IF(('Activity data'!AV17*EF!$H48*EF!$H66)*NtoN2O*kgtoGg=0,"NO",('Activity data'!AV17*EF!$H48*EF!$H66)*NtoN2O*kgtoGg)</f>
        <v>8.9484030373768036E-2</v>
      </c>
      <c r="AD1423" s="27">
        <f>IF(('Activity data'!AW17*EF!$H48*EF!$H66)*NtoN2O*kgtoGg=0,"NO",('Activity data'!AW17*EF!$H48*EF!$H66)*NtoN2O*kgtoGg)</f>
        <v>9.1062581228130657E-2</v>
      </c>
      <c r="AE1423" s="27">
        <f>IF(('Activity data'!AX17*EF!$H48*EF!$H66)*NtoN2O*kgtoGg=0,"NO",('Activity data'!AX17*EF!$H48*EF!$H66)*NtoN2O*kgtoGg)</f>
        <v>9.2515752583830088E-2</v>
      </c>
      <c r="AF1423" s="27">
        <f>IF(('Activity data'!AY17*EF!$H48*EF!$H66)*NtoN2O*kgtoGg=0,"NO",('Activity data'!AY17*EF!$H48*EF!$H66)*NtoN2O*kgtoGg)</f>
        <v>9.4062043086931529E-2</v>
      </c>
      <c r="AG1423" s="27">
        <f>IF(('Activity data'!AZ17*EF!$H48*EF!$H66)*NtoN2O*kgtoGg=0,"NO",('Activity data'!AZ17*EF!$H48*EF!$H66)*NtoN2O*kgtoGg)</f>
        <v>9.5948315776645976E-2</v>
      </c>
      <c r="AH1423" s="27">
        <f>IF(('Activity data'!BA17*EF!$H48*EF!$H66)*NtoN2O*kgtoGg=0,"NO",('Activity data'!BA17*EF!$H48*EF!$H66)*NtoN2O*kgtoGg)</f>
        <v>9.7568003997154984E-2</v>
      </c>
      <c r="AI1423" s="27">
        <f>IF(('Activity data'!BB17*EF!$H48*EF!$H66)*NtoN2O*kgtoGg=0,"NO",('Activity data'!BB17*EF!$H48*EF!$H66)*NtoN2O*kgtoGg)</f>
        <v>9.931620819342124E-2</v>
      </c>
      <c r="AJ1423" s="27">
        <f>IF(('Activity data'!BC17*EF!$H48*EF!$H66)*NtoN2O*kgtoGg=0,"NO",('Activity data'!BC17*EF!$H48*EF!$H66)*NtoN2O*kgtoGg)</f>
        <v>0.10121358762042433</v>
      </c>
      <c r="AK1423" s="27">
        <f>IF(('Activity data'!BD17*EF!$H48*EF!$H66)*NtoN2O*kgtoGg=0,"NO",('Activity data'!BD17*EF!$H48*EF!$H66)*NtoN2O*kgtoGg)</f>
        <v>0.10279643211588628</v>
      </c>
      <c r="AL1423" s="27">
        <f>IF(('Activity data'!BE17*EF!$H48*EF!$H66)*NtoN2O*kgtoGg=0,"NO",('Activity data'!BE17*EF!$H48*EF!$H66)*NtoN2O*kgtoGg)</f>
        <v>0.10428080048635653</v>
      </c>
      <c r="AM1423" s="27">
        <f>IF(('Activity data'!BF17*EF!$H48*EF!$H66)*NtoN2O*kgtoGg=0,"NO",('Activity data'!BF17*EF!$H48*EF!$H66)*NtoN2O*kgtoGg)</f>
        <v>0.10567866446887142</v>
      </c>
      <c r="AN1423" s="27">
        <f>IF(('Activity data'!BG17*EF!$H48*EF!$H66)*NtoN2O*kgtoGg=0,"NO",('Activity data'!BG17*EF!$H48*EF!$H66)*NtoN2O*kgtoGg)</f>
        <v>0.10729272325925118</v>
      </c>
      <c r="AO1423" s="27">
        <f>IF(('Activity data'!BH17*EF!$H48*EF!$H66)*NtoN2O*kgtoGg=0,"NO",('Activity data'!BH17*EF!$H48*EF!$H66)*NtoN2O*kgtoGg)</f>
        <v>0.10869271119263345</v>
      </c>
      <c r="AP1423" s="27">
        <f>IF(('Activity data'!BI17*EF!$H48*EF!$H66)*NtoN2O*kgtoGg=0,"NO",('Activity data'!BI17*EF!$H48*EF!$H66)*NtoN2O*kgtoGg)</f>
        <v>0.110137854380135</v>
      </c>
      <c r="AQ1423" s="27">
        <f>IF(('Activity data'!BJ17*EF!$H48*EF!$H66)*NtoN2O*kgtoGg=0,"NO",('Activity data'!BJ17*EF!$H48*EF!$H66)*NtoN2O*kgtoGg)</f>
        <v>0.1116390532050176</v>
      </c>
      <c r="AR1423" s="27">
        <f>IF(('Activity data'!BK17*EF!$H48*EF!$H66)*NtoN2O*kgtoGg=0,"NO",('Activity data'!BK17*EF!$H48*EF!$H66)*NtoN2O*kgtoGg)</f>
        <v>0.11321509141175116</v>
      </c>
      <c r="AS1423" s="27">
        <f>IF(('Activity data'!BL17*EF!$H48*EF!$H66)*NtoN2O*kgtoGg=0,"NO",('Activity data'!BL17*EF!$H48*EF!$H66)*NtoN2O*kgtoGg)</f>
        <v>0.114870036037916</v>
      </c>
      <c r="AT1423" s="27">
        <f>IF(('Activity data'!BM17*EF!$H48*EF!$H66)*NtoN2O*kgtoGg=0,"NO",('Activity data'!BM17*EF!$H48*EF!$H66)*NtoN2O*kgtoGg)</f>
        <v>0.11386297950526468</v>
      </c>
      <c r="AU1423" s="27">
        <f>IF(('Activity data'!BN17*EF!$H48*EF!$H66)*NtoN2O*kgtoGg=0,"NO",('Activity data'!BN17*EF!$H48*EF!$H66)*NtoN2O*kgtoGg)</f>
        <v>0.11262319660921266</v>
      </c>
      <c r="AV1423" s="27">
        <f>IF(('Activity data'!BO17*EF!$H48*EF!$H66)*NtoN2O*kgtoGg=0,"NO",('Activity data'!BO17*EF!$H48*EF!$H66)*NtoN2O*kgtoGg)</f>
        <v>0.11105880605518059</v>
      </c>
      <c r="AW1423" s="27">
        <f>IF(('Activity data'!BP17*EF!$H48*EF!$H66)*NtoN2O*kgtoGg=0,"NO",('Activity data'!BP17*EF!$H48*EF!$H66)*NtoN2O*kgtoGg)</f>
        <v>0.1094176927215173</v>
      </c>
    </row>
    <row r="1424" spans="1:49" x14ac:dyDescent="0.3">
      <c r="A1424" s="95" t="s">
        <v>960</v>
      </c>
      <c r="B1424" s="95"/>
      <c r="C1424" s="95"/>
      <c r="D1424" t="str">
        <f t="shared" si="552"/>
        <v>3A Livestock</v>
      </c>
      <c r="E1424" t="str">
        <f t="shared" si="552"/>
        <v>3A2 Manure management (N2O)</v>
      </c>
      <c r="F1424" t="str">
        <f>EF!C67</f>
        <v>3A1h Swine</v>
      </c>
      <c r="G1424" t="str">
        <f>EF!D67</f>
        <v>Subsistence</v>
      </c>
      <c r="H1424" t="str">
        <f t="shared" si="553"/>
        <v>Manure management Emissions</v>
      </c>
      <c r="I1424" t="s">
        <v>139</v>
      </c>
      <c r="J1424" t="str">
        <f t="shared" si="551"/>
        <v>Gg N2O</v>
      </c>
      <c r="K1424" s="27">
        <f>IF(('Activity data'!AD18*EF!$H49*EF!$H67)*NtoN2O*kgtoGg=0,"NO",('Activity data'!AD18*EF!$H49*EF!$H67)*NtoN2O*kgtoGg)</f>
        <v>3.8131055665722169E-2</v>
      </c>
      <c r="L1424" s="27">
        <f>IF(('Activity data'!AE18*EF!$H49*EF!$H67)*NtoN2O*kgtoGg=0,"NO",('Activity data'!AE18*EF!$H49*EF!$H67)*NtoN2O*kgtoGg)</f>
        <v>3.7923788015899962E-2</v>
      </c>
      <c r="M1424" s="27">
        <f>IF(('Activity data'!AF18*EF!$H49*EF!$H67)*NtoN2O*kgtoGg=0,"NO",('Activity data'!AF18*EF!$H49*EF!$H67)*NtoN2O*kgtoGg)</f>
        <v>3.7940799901590251E-2</v>
      </c>
      <c r="N1424" s="27">
        <f>IF(('Activity data'!AG18*EF!$H49*EF!$H67)*NtoN2O*kgtoGg=0,"NO",('Activity data'!AG18*EF!$H49*EF!$H67)*NtoN2O*kgtoGg)</f>
        <v>3.759247428451009E-2</v>
      </c>
      <c r="O1424" s="27">
        <f>IF(('Activity data'!AH18*EF!$H49*EF!$H67)*NtoN2O*kgtoGg=0,"NO",('Activity data'!AH18*EF!$H49*EF!$H67)*NtoN2O*kgtoGg)</f>
        <v>3.7023578211438569E-2</v>
      </c>
      <c r="P1424" s="27">
        <f>IF(('Activity data'!AI18*EF!$H49*EF!$H67)*NtoN2O*kgtoGg=0,"NO",('Activity data'!AI18*EF!$H49*EF!$H67)*NtoN2O*kgtoGg)</f>
        <v>3.6243206089281201E-2</v>
      </c>
      <c r="Q1424" s="27">
        <f>IF(('Activity data'!AJ18*EF!$H49*EF!$H67)*NtoN2O*kgtoGg=0,"NO",('Activity data'!AJ18*EF!$H49*EF!$H67)*NtoN2O*kgtoGg)</f>
        <v>3.567656938754183E-2</v>
      </c>
      <c r="R1424" s="27">
        <f>IF(('Activity data'!AK18*EF!$H49*EF!$H67)*NtoN2O*kgtoGg=0,"NO",('Activity data'!AK18*EF!$H49*EF!$H67)*NtoN2O*kgtoGg)</f>
        <v>3.5160072434777256E-2</v>
      </c>
      <c r="S1424" s="27">
        <f>IF(('Activity data'!AL18*EF!$H49*EF!$H67)*NtoN2O*kgtoGg=0,"NO",('Activity data'!AL18*EF!$H49*EF!$H67)*NtoN2O*kgtoGg)</f>
        <v>3.1044582551701744E-2</v>
      </c>
      <c r="T1424" s="27">
        <f>IF(('Activity data'!AM18*EF!$H49*EF!$H67)*NtoN2O*kgtoGg=0,"NO",('Activity data'!AM18*EF!$H49*EF!$H67)*NtoN2O*kgtoGg)</f>
        <v>3.1437162320852502E-2</v>
      </c>
      <c r="U1424" s="27">
        <f>IF(('Activity data'!AN18*EF!$H49*EF!$H67)*NtoN2O*kgtoGg=0,"NO",('Activity data'!AN18*EF!$H49*EF!$H67)*NtoN2O*kgtoGg)</f>
        <v>3.2279561440098872E-2</v>
      </c>
      <c r="V1424" s="27">
        <f>IF(('Activity data'!AO18*EF!$H49*EF!$H67)*NtoN2O*kgtoGg=0,"NO",('Activity data'!AO18*EF!$H49*EF!$H67)*NtoN2O*kgtoGg)</f>
        <v>3.2356046903749484E-2</v>
      </c>
      <c r="W1424" s="27">
        <f>IF(('Activity data'!AP18*EF!$H49*EF!$H67)*NtoN2O*kgtoGg=0,"NO",('Activity data'!AP18*EF!$H49*EF!$H67)*NtoN2O*kgtoGg)</f>
        <v>3.2521680425139969E-2</v>
      </c>
      <c r="X1424" s="27">
        <f>IF(('Activity data'!AQ18*EF!$H49*EF!$H67)*NtoN2O*kgtoGg=0,"NO",('Activity data'!AQ18*EF!$H49*EF!$H67)*NtoN2O*kgtoGg)</f>
        <v>3.2800168636601942E-2</v>
      </c>
      <c r="Y1424" s="27">
        <f>IF(('Activity data'!AR18*EF!$H49*EF!$H67)*NtoN2O*kgtoGg=0,"NO",('Activity data'!AR18*EF!$H49*EF!$H67)*NtoN2O*kgtoGg)</f>
        <v>3.314961567779854E-2</v>
      </c>
      <c r="Z1424" s="27">
        <f>IF(('Activity data'!AS18*EF!$H49*EF!$H67)*NtoN2O*kgtoGg=0,"NO",('Activity data'!AS18*EF!$H49*EF!$H67)*NtoN2O*kgtoGg)</f>
        <v>3.3577833402176044E-2</v>
      </c>
      <c r="AA1424" s="27">
        <f>IF(('Activity data'!AT18*EF!$H49*EF!$H67)*NtoN2O*kgtoGg=0,"NO",('Activity data'!AT18*EF!$H49*EF!$H67)*NtoN2O*kgtoGg)</f>
        <v>3.4011058703898145E-2</v>
      </c>
      <c r="AB1424" s="27">
        <f>IF(('Activity data'!AU18*EF!$H49*EF!$H67)*NtoN2O*kgtoGg=0,"NO",('Activity data'!AU18*EF!$H49*EF!$H67)*NtoN2O*kgtoGg)</f>
        <v>3.4511237686969419E-2</v>
      </c>
      <c r="AC1424" s="27">
        <f>IF(('Activity data'!AV18*EF!$H49*EF!$H67)*NtoN2O*kgtoGg=0,"NO",('Activity data'!AV18*EF!$H49*EF!$H67)*NtoN2O*kgtoGg)</f>
        <v>3.5007964446334923E-2</v>
      </c>
      <c r="AD1424" s="27">
        <f>IF(('Activity data'!AW18*EF!$H49*EF!$H67)*NtoN2O*kgtoGg=0,"NO",('Activity data'!AW18*EF!$H49*EF!$H67)*NtoN2O*kgtoGg)</f>
        <v>3.5625525501144749E-2</v>
      </c>
      <c r="AE1424" s="27">
        <f>IF(('Activity data'!AX18*EF!$H49*EF!$H67)*NtoN2O*kgtoGg=0,"NO",('Activity data'!AX18*EF!$H49*EF!$H67)*NtoN2O*kgtoGg)</f>
        <v>3.6194035557545495E-2</v>
      </c>
      <c r="AF1424" s="27">
        <f>IF(('Activity data'!AY18*EF!$H49*EF!$H67)*NtoN2O*kgtoGg=0,"NO",('Activity data'!AY18*EF!$H49*EF!$H67)*NtoN2O*kgtoGg)</f>
        <v>3.6798975709773488E-2</v>
      </c>
      <c r="AG1424" s="27">
        <f>IF(('Activity data'!AZ18*EF!$H49*EF!$H67)*NtoN2O*kgtoGg=0,"NO",('Activity data'!AZ18*EF!$H49*EF!$H67)*NtoN2O*kgtoGg)</f>
        <v>3.7536923776951441E-2</v>
      </c>
      <c r="AH1424" s="27">
        <f>IF(('Activity data'!BA18*EF!$H49*EF!$H67)*NtoN2O*kgtoGg=0,"NO",('Activity data'!BA18*EF!$H49*EF!$H67)*NtoN2O*kgtoGg)</f>
        <v>3.817057860229723E-2</v>
      </c>
      <c r="AI1424" s="27">
        <f>IF(('Activity data'!BB18*EF!$H49*EF!$H67)*NtoN2O*kgtoGg=0,"NO",('Activity data'!BB18*EF!$H49*EF!$H67)*NtoN2O*kgtoGg)</f>
        <v>3.8854511479394858E-2</v>
      </c>
      <c r="AJ1424" s="27">
        <f>IF(('Activity data'!BC18*EF!$H49*EF!$H67)*NtoN2O*kgtoGg=0,"NO",('Activity data'!BC18*EF!$H49*EF!$H67)*NtoN2O*kgtoGg)</f>
        <v>3.9596804727075885E-2</v>
      </c>
      <c r="AK1424" s="27">
        <f>IF(('Activity data'!BD18*EF!$H49*EF!$H67)*NtoN2O*kgtoGg=0,"NO",('Activity data'!BD18*EF!$H49*EF!$H67)*NtoN2O*kgtoGg)</f>
        <v>4.0216045541216196E-2</v>
      </c>
      <c r="AL1424" s="27">
        <f>IF(('Activity data'!BE18*EF!$H49*EF!$H67)*NtoN2O*kgtoGg=0,"NO",('Activity data'!BE18*EF!$H49*EF!$H67)*NtoN2O*kgtoGg)</f>
        <v>4.0796760501434604E-2</v>
      </c>
      <c r="AM1424" s="27">
        <f>IF(('Activity data'!BF18*EF!$H49*EF!$H67)*NtoN2O*kgtoGg=0,"NO",('Activity data'!BF18*EF!$H49*EF!$H67)*NtoN2O*kgtoGg)</f>
        <v>4.1343633193648956E-2</v>
      </c>
      <c r="AN1424" s="27">
        <f>IF(('Activity data'!BG18*EF!$H49*EF!$H67)*NtoN2O*kgtoGg=0,"NO",('Activity data'!BG18*EF!$H49*EF!$H67)*NtoN2O*kgtoGg)</f>
        <v>4.1975085671950317E-2</v>
      </c>
      <c r="AO1424" s="27">
        <f>IF(('Activity data'!BH18*EF!$H49*EF!$H67)*NtoN2O*kgtoGg=0,"NO",('Activity data'!BH18*EF!$H49*EF!$H67)*NtoN2O*kgtoGg)</f>
        <v>4.252278929674716E-2</v>
      </c>
      <c r="AP1424" s="27">
        <f>IF(('Activity data'!BI18*EF!$H49*EF!$H67)*NtoN2O*kgtoGg=0,"NO",('Activity data'!BI18*EF!$H49*EF!$H67)*NtoN2O*kgtoGg)</f>
        <v>4.3088158571204301E-2</v>
      </c>
      <c r="AQ1424" s="27">
        <f>IF(('Activity data'!BJ18*EF!$H49*EF!$H67)*NtoN2O*kgtoGg=0,"NO",('Activity data'!BJ18*EF!$H49*EF!$H67)*NtoN2O*kgtoGg)</f>
        <v>4.3675457945951471E-2</v>
      </c>
      <c r="AR1424" s="27">
        <f>IF(('Activity data'!BK18*EF!$H49*EF!$H67)*NtoN2O*kgtoGg=0,"NO",('Activity data'!BK18*EF!$H49*EF!$H67)*NtoN2O*kgtoGg)</f>
        <v>4.4292036002135757E-2</v>
      </c>
      <c r="AS1424" s="27">
        <f>IF(('Activity data'!BL18*EF!$H49*EF!$H67)*NtoN2O*kgtoGg=0,"NO",('Activity data'!BL18*EF!$H49*EF!$H67)*NtoN2O*kgtoGg)</f>
        <v>4.4939483847203046E-2</v>
      </c>
      <c r="AT1424" s="27">
        <f>IF(('Activity data'!BM18*EF!$H49*EF!$H67)*NtoN2O*kgtoGg=0,"NO",('Activity data'!BM18*EF!$H49*EF!$H67)*NtoN2O*kgtoGg)</f>
        <v>4.4545502941970565E-2</v>
      </c>
      <c r="AU1424" s="27">
        <f>IF(('Activity data'!BN18*EF!$H49*EF!$H67)*NtoN2O*kgtoGg=0,"NO",('Activity data'!BN18*EF!$H49*EF!$H67)*NtoN2O*kgtoGg)</f>
        <v>4.4060474771414608E-2</v>
      </c>
      <c r="AV1424" s="27">
        <f>IF(('Activity data'!BO18*EF!$H49*EF!$H67)*NtoN2O*kgtoGg=0,"NO",('Activity data'!BO18*EF!$H49*EF!$H67)*NtoN2O*kgtoGg)</f>
        <v>4.3448453512794687E-2</v>
      </c>
      <c r="AW1424" s="27">
        <f>IF(('Activity data'!BP18*EF!$H49*EF!$H67)*NtoN2O*kgtoGg=0,"NO",('Activity data'!BP18*EF!$H49*EF!$H67)*NtoN2O*kgtoGg)</f>
        <v>4.2806416749393235E-2</v>
      </c>
    </row>
    <row r="1425" spans="1:49" x14ac:dyDescent="0.3">
      <c r="A1425" s="95" t="s">
        <v>960</v>
      </c>
      <c r="B1425" s="95"/>
      <c r="C1425" s="95"/>
      <c r="D1425" t="str">
        <f t="shared" si="552"/>
        <v>3A Livestock</v>
      </c>
      <c r="E1425" t="str">
        <f t="shared" si="552"/>
        <v>3A2 Manure management (N2O)</v>
      </c>
      <c r="F1425" t="str">
        <f>EF!C68</f>
        <v>3A2i Poultry</v>
      </c>
      <c r="G1425" t="str">
        <f>EF!D68</f>
        <v>Commercial layers</v>
      </c>
      <c r="H1425" t="str">
        <f t="shared" si="553"/>
        <v>Manure management Emissions</v>
      </c>
      <c r="I1425" t="s">
        <v>139</v>
      </c>
      <c r="J1425" t="str">
        <f t="shared" si="551"/>
        <v>Gg N2O</v>
      </c>
      <c r="K1425" s="27">
        <f>IF(('Activity data'!AD19*EF!$H50*EF!$H68)*NtoN2O*kgtoGg=0,"NO",('Activity data'!AD19*EF!$H50*EF!$H68)*NtoN2O*kgtoGg)</f>
        <v>0.32784224726088984</v>
      </c>
      <c r="L1425" s="27">
        <f>IF(('Activity data'!AE19*EF!$H50*EF!$H68)*NtoN2O*kgtoGg=0,"NO",('Activity data'!AE19*EF!$H50*EF!$H68)*NtoN2O*kgtoGg)</f>
        <v>0.33450793008613733</v>
      </c>
      <c r="M1425" s="27">
        <f>IF(('Activity data'!AF19*EF!$H50*EF!$H68)*NtoN2O*kgtoGg=0,"NO",('Activity data'!AF19*EF!$H50*EF!$H68)*NtoN2O*kgtoGg)</f>
        <v>0.34229948156355033</v>
      </c>
      <c r="N1425" s="27">
        <f>IF(('Activity data'!AG19*EF!$H50*EF!$H68)*NtoN2O*kgtoGg=0,"NO",('Activity data'!AG19*EF!$H50*EF!$H68)*NtoN2O*kgtoGg)</f>
        <v>0.34828124731402299</v>
      </c>
      <c r="O1425" s="27">
        <f>IF(('Activity data'!AH19*EF!$H50*EF!$H68)*NtoN2O*kgtoGg=0,"NO",('Activity data'!AH19*EF!$H50*EF!$H68)*NtoN2O*kgtoGg)</f>
        <v>0.35308310351311478</v>
      </c>
      <c r="P1425" s="27">
        <f>IF(('Activity data'!AI19*EF!$H50*EF!$H68)*NtoN2O*kgtoGg=0,"NO",('Activity data'!AI19*EF!$H50*EF!$H68)*NtoN2O*kgtoGg)</f>
        <v>0.3566764932045714</v>
      </c>
      <c r="Q1425" s="27">
        <f>IF(('Activity data'!AJ19*EF!$H50*EF!$H68)*NtoN2O*kgtoGg=0,"NO",('Activity data'!AJ19*EF!$H50*EF!$H68)*NtoN2O*kgtoGg)</f>
        <v>0.36128421068096001</v>
      </c>
      <c r="R1425" s="27">
        <f>IF(('Activity data'!AK19*EF!$H50*EF!$H68)*NtoN2O*kgtoGg=0,"NO",('Activity data'!AK19*EF!$H50*EF!$H68)*NtoN2O*kgtoGg)</f>
        <v>0.36607496135357964</v>
      </c>
      <c r="S1425" s="27">
        <f>IF(('Activity data'!AL19*EF!$H50*EF!$H68)*NtoN2O*kgtoGg=0,"NO",('Activity data'!AL19*EF!$H50*EF!$H68)*NtoN2O*kgtoGg)</f>
        <v>0.34978148195901088</v>
      </c>
      <c r="T1425" s="27">
        <f>IF(('Activity data'!AM19*EF!$H50*EF!$H68)*NtoN2O*kgtoGg=0,"NO",('Activity data'!AM19*EF!$H50*EF!$H68)*NtoN2O*kgtoGg)</f>
        <v>0.35848748777612982</v>
      </c>
      <c r="U1425" s="27">
        <f>IF(('Activity data'!AN19*EF!$H50*EF!$H68)*NtoN2O*kgtoGg=0,"NO",('Activity data'!AN19*EF!$H50*EF!$H68)*NtoN2O*kgtoGg)</f>
        <v>0.37008968221816879</v>
      </c>
      <c r="V1425" s="27">
        <f>IF(('Activity data'!AO19*EF!$H50*EF!$H68)*NtoN2O*kgtoGg=0,"NO",('Activity data'!AO19*EF!$H50*EF!$H68)*NtoN2O*kgtoGg)</f>
        <v>0.37718532914997255</v>
      </c>
      <c r="W1425" s="27">
        <f>IF(('Activity data'!AP19*EF!$H50*EF!$H68)*NtoN2O*kgtoGg=0,"NO",('Activity data'!AP19*EF!$H50*EF!$H68)*NtoN2O*kgtoGg)</f>
        <v>0.38492114207778078</v>
      </c>
      <c r="X1425" s="27">
        <f>IF(('Activity data'!AQ19*EF!$H50*EF!$H68)*NtoN2O*kgtoGg=0,"NO",('Activity data'!AQ19*EF!$H50*EF!$H68)*NtoN2O*kgtoGg)</f>
        <v>0.39349286127913036</v>
      </c>
      <c r="Y1425" s="27">
        <f>IF(('Activity data'!AR19*EF!$H50*EF!$H68)*NtoN2O*kgtoGg=0,"NO",('Activity data'!AR19*EF!$H50*EF!$H68)*NtoN2O*kgtoGg)</f>
        <v>0.40234632670513226</v>
      </c>
      <c r="Z1425" s="27">
        <f>IF(('Activity data'!AS19*EF!$H50*EF!$H68)*NtoN2O*kgtoGg=0,"NO",('Activity data'!AS19*EF!$H50*EF!$H68)*NtoN2O*kgtoGg)</f>
        <v>0.41188861015823597</v>
      </c>
      <c r="AA1425" s="27">
        <f>IF(('Activity data'!AT19*EF!$H50*EF!$H68)*NtoN2O*kgtoGg=0,"NO",('Activity data'!AT19*EF!$H50*EF!$H68)*NtoN2O*kgtoGg)</f>
        <v>0.42164548581932815</v>
      </c>
      <c r="AB1425" s="27">
        <f>IF(('Activity data'!AU19*EF!$H50*EF!$H68)*NtoN2O*kgtoGg=0,"NO",('Activity data'!AU19*EF!$H50*EF!$H68)*NtoN2O*kgtoGg)</f>
        <v>0.43206316644832626</v>
      </c>
      <c r="AC1425" s="27">
        <f>IF(('Activity data'!AV19*EF!$H50*EF!$H68)*NtoN2O*kgtoGg=0,"NO",('Activity data'!AV19*EF!$H50*EF!$H68)*NtoN2O*kgtoGg)</f>
        <v>0.44266638237250944</v>
      </c>
      <c r="AD1425" s="27">
        <f>IF(('Activity data'!AW19*EF!$H50*EF!$H68)*NtoN2O*kgtoGg=0,"NO",('Activity data'!AW19*EF!$H50*EF!$H68)*NtoN2O*kgtoGg)</f>
        <v>0.45410654796286065</v>
      </c>
      <c r="AE1425" s="27">
        <f>IF(('Activity data'!AX19*EF!$H50*EF!$H68)*NtoN2O*kgtoGg=0,"NO",('Activity data'!AX19*EF!$H50*EF!$H68)*NtoN2O*kgtoGg)</f>
        <v>0.46542858130344616</v>
      </c>
      <c r="AF1425" s="27">
        <f>IF(('Activity data'!AY19*EF!$H50*EF!$H68)*NtoN2O*kgtoGg=0,"NO",('Activity data'!AY19*EF!$H50*EF!$H68)*NtoN2O*kgtoGg)</f>
        <v>0.4772730257801403</v>
      </c>
      <c r="AG1425" s="27">
        <f>IF(('Activity data'!AZ19*EF!$H50*EF!$H68)*NtoN2O*kgtoGg=0,"NO",('Activity data'!AZ19*EF!$H50*EF!$H68)*NtoN2O*kgtoGg)</f>
        <v>0.49041871120833058</v>
      </c>
      <c r="AH1425" s="27">
        <f>IF(('Activity data'!BA19*EF!$H50*EF!$H68)*NtoN2O*kgtoGg=0,"NO",('Activity data'!BA19*EF!$H50*EF!$H68)*NtoN2O*kgtoGg)</f>
        <v>0.50303895207575822</v>
      </c>
      <c r="AI1425" s="27">
        <f>IF(('Activity data'!BB19*EF!$H50*EF!$H68)*NtoN2O*kgtoGg=0,"NO",('Activity data'!BB19*EF!$H50*EF!$H68)*NtoN2O*kgtoGg)</f>
        <v>0.51609032389809528</v>
      </c>
      <c r="AJ1425" s="27">
        <f>IF(('Activity data'!BC19*EF!$H50*EF!$H68)*NtoN2O*kgtoGg=0,"NO",('Activity data'!BC19*EF!$H50*EF!$H68)*NtoN2O*kgtoGg)</f>
        <v>0.52992686464312622</v>
      </c>
      <c r="AK1425" s="27">
        <f>IF(('Activity data'!BD19*EF!$H50*EF!$H68)*NtoN2O*kgtoGg=0,"NO",('Activity data'!BD19*EF!$H50*EF!$H68)*NtoN2O*kgtoGg)</f>
        <v>0.54305058530896999</v>
      </c>
      <c r="AL1425" s="27">
        <f>IF(('Activity data'!BE19*EF!$H50*EF!$H68)*NtoN2O*kgtoGg=0,"NO",('Activity data'!BE19*EF!$H50*EF!$H68)*NtoN2O*kgtoGg)</f>
        <v>0.55613853749065978</v>
      </c>
      <c r="AM1425" s="27">
        <f>IF(('Activity data'!BF19*EF!$H50*EF!$H68)*NtoN2O*kgtoGg=0,"NO",('Activity data'!BF19*EF!$H50*EF!$H68)*NtoN2O*kgtoGg)</f>
        <v>0.56922083138232038</v>
      </c>
      <c r="AN1425" s="27">
        <f>IF(('Activity data'!BG19*EF!$H50*EF!$H68)*NtoN2O*kgtoGg=0,"NO",('Activity data'!BG19*EF!$H50*EF!$H68)*NtoN2O*kgtoGg)</f>
        <v>0.58310052249970834</v>
      </c>
      <c r="AO1425" s="27">
        <f>IF(('Activity data'!BH19*EF!$H50*EF!$H68)*NtoN2O*kgtoGg=0,"NO",('Activity data'!BH19*EF!$H50*EF!$H68)*NtoN2O*kgtoGg)</f>
        <v>0.59653826788660902</v>
      </c>
      <c r="AP1425" s="27">
        <f>IF(('Activity data'!BI19*EF!$H50*EF!$H68)*NtoN2O*kgtoGg=0,"NO",('Activity data'!BI19*EF!$H50*EF!$H68)*NtoN2O*kgtoGg)</f>
        <v>0.61044136643017999</v>
      </c>
      <c r="AQ1425" s="27">
        <f>IF(('Activity data'!BJ19*EF!$H50*EF!$H68)*NtoN2O*kgtoGg=0,"NO",('Activity data'!BJ19*EF!$H50*EF!$H68)*NtoN2O*kgtoGg)</f>
        <v>0.62486785679849377</v>
      </c>
      <c r="AR1425" s="27">
        <f>IF(('Activity data'!BK19*EF!$H50*EF!$H68)*NtoN2O*kgtoGg=0,"NO",('Activity data'!BK19*EF!$H50*EF!$H68)*NtoN2O*kgtoGg)</f>
        <v>0.6399091004524019</v>
      </c>
      <c r="AS1425" s="27">
        <f>IF(('Activity data'!BL19*EF!$H50*EF!$H68)*NtoN2O*kgtoGg=0,"NO",('Activity data'!BL19*EF!$H50*EF!$H68)*NtoN2O*kgtoGg)</f>
        <v>0.65535203493771454</v>
      </c>
      <c r="AT1425" s="27">
        <f>IF(('Activity data'!BM19*EF!$H50*EF!$H68)*NtoN2O*kgtoGg=0,"NO",('Activity data'!BM19*EF!$H50*EF!$H68)*NtoN2O*kgtoGg)</f>
        <v>0.66076114760241544</v>
      </c>
      <c r="AU1425" s="27">
        <f>IF(('Activity data'!BN19*EF!$H50*EF!$H68)*NtoN2O*kgtoGg=0,"NO",('Activity data'!BN19*EF!$H50*EF!$H68)*NtoN2O*kgtoGg)</f>
        <v>0.6652412101856594</v>
      </c>
      <c r="AV1425" s="27">
        <f>IF(('Activity data'!BO19*EF!$H50*EF!$H68)*NtoN2O*kgtoGg=0,"NO",('Activity data'!BO19*EF!$H50*EF!$H68)*NtoN2O*kgtoGg)</f>
        <v>0.66836980562393489</v>
      </c>
      <c r="AW1425" s="27">
        <f>IF(('Activity data'!BP19*EF!$H50*EF!$H68)*NtoN2O*kgtoGg=0,"NO",('Activity data'!BP19*EF!$H50*EF!$H68)*NtoN2O*kgtoGg)</f>
        <v>0.67109822940167552</v>
      </c>
    </row>
    <row r="1426" spans="1:49" x14ac:dyDescent="0.3">
      <c r="A1426" s="95" t="s">
        <v>960</v>
      </c>
      <c r="B1426" s="95"/>
      <c r="C1426" s="95"/>
      <c r="D1426" t="str">
        <f t="shared" si="552"/>
        <v>3A Livestock</v>
      </c>
      <c r="E1426" t="str">
        <f t="shared" si="552"/>
        <v>3A2 Manure management (N2O)</v>
      </c>
      <c r="F1426" t="str">
        <f>EF!C69</f>
        <v>3A2i Poultry</v>
      </c>
      <c r="G1426" t="str">
        <f>EF!D69</f>
        <v>Commercial broilers</v>
      </c>
      <c r="H1426" t="str">
        <f t="shared" si="553"/>
        <v>Manure management Emissions</v>
      </c>
      <c r="I1426" t="s">
        <v>139</v>
      </c>
      <c r="J1426" t="str">
        <f t="shared" si="551"/>
        <v>Gg N2O</v>
      </c>
      <c r="K1426" s="27">
        <f>IF(('Activity data'!AD20*EF!$H51*EF!$H69)*NtoN2O*kgtoGg=0,"NO",('Activity data'!AD20*EF!$H51*EF!$H69)*NtoN2O*kgtoGg)</f>
        <v>1.7017151675634961</v>
      </c>
      <c r="L1426" s="27">
        <f>IF(('Activity data'!AE20*EF!$H51*EF!$H69)*NtoN2O*kgtoGg=0,"NO",('Activity data'!AE20*EF!$H51*EF!$H69)*NtoN2O*kgtoGg)</f>
        <v>1.7241237147327637</v>
      </c>
      <c r="M1426" s="27">
        <f>IF(('Activity data'!AF20*EF!$H51*EF!$H69)*NtoN2O*kgtoGg=0,"NO",('Activity data'!AF20*EF!$H51*EF!$H69)*NtoN2O*kgtoGg)</f>
        <v>1.7601182693498112</v>
      </c>
      <c r="N1426" s="27">
        <f>IF(('Activity data'!AG20*EF!$H51*EF!$H69)*NtoN2O*kgtoGg=0,"NO",('Activity data'!AG20*EF!$H51*EF!$H69)*NtoN2O*kgtoGg)</f>
        <v>1.7704533576020511</v>
      </c>
      <c r="O1426" s="27">
        <f>IF(('Activity data'!AH20*EF!$H51*EF!$H69)*NtoN2O*kgtoGg=0,"NO",('Activity data'!AH20*EF!$H51*EF!$H69)*NtoN2O*kgtoGg)</f>
        <v>1.7641159598844758</v>
      </c>
      <c r="P1426" s="27">
        <f>IF(('Activity data'!AI20*EF!$H51*EF!$H69)*NtoN2O*kgtoGg=0,"NO",('Activity data'!AI20*EF!$H51*EF!$H69)*NtoN2O*kgtoGg)</f>
        <v>1.7411735022142167</v>
      </c>
      <c r="Q1426" s="27">
        <f>IF(('Activity data'!AJ20*EF!$H51*EF!$H69)*NtoN2O*kgtoGg=0,"NO",('Activity data'!AJ20*EF!$H51*EF!$H69)*NtoN2O*kgtoGg)</f>
        <v>1.7315152516158574</v>
      </c>
      <c r="R1426" s="27">
        <f>IF(('Activity data'!AK20*EF!$H51*EF!$H69)*NtoN2O*kgtoGg=0,"NO",('Activity data'!AK20*EF!$H51*EF!$H69)*NtoN2O*kgtoGg)</f>
        <v>1.7240481490859689</v>
      </c>
      <c r="S1426" s="27">
        <f>IF(('Activity data'!AL20*EF!$H51*EF!$H69)*NtoN2O*kgtoGg=0,"NO",('Activity data'!AL20*EF!$H51*EF!$H69)*NtoN2O*kgtoGg)</f>
        <v>1.4532830978859241</v>
      </c>
      <c r="T1426" s="27">
        <f>IF(('Activity data'!AM20*EF!$H51*EF!$H69)*NtoN2O*kgtoGg=0,"NO",('Activity data'!AM20*EF!$H51*EF!$H69)*NtoN2O*kgtoGg)</f>
        <v>1.5108401757769072</v>
      </c>
      <c r="U1426" s="27">
        <f>IF(('Activity data'!AN20*EF!$H51*EF!$H69)*NtoN2O*kgtoGg=0,"NO",('Activity data'!AN20*EF!$H51*EF!$H69)*NtoN2O*kgtoGg)</f>
        <v>1.6026975713108973</v>
      </c>
      <c r="V1426" s="27">
        <f>IF(('Activity data'!AO20*EF!$H51*EF!$H69)*NtoN2O*kgtoGg=0,"NO",('Activity data'!AO20*EF!$H51*EF!$H69)*NtoN2O*kgtoGg)</f>
        <v>1.6381096535545392</v>
      </c>
      <c r="W1426" s="27">
        <f>IF(('Activity data'!AP20*EF!$H51*EF!$H69)*NtoN2O*kgtoGg=0,"NO",('Activity data'!AP20*EF!$H51*EF!$H69)*NtoN2O*kgtoGg)</f>
        <v>1.6804870298806631</v>
      </c>
      <c r="X1426" s="27">
        <f>IF(('Activity data'!AQ20*EF!$H51*EF!$H69)*NtoN2O*kgtoGg=0,"NO",('Activity data'!AQ20*EF!$H51*EF!$H69)*NtoN2O*kgtoGg)</f>
        <v>1.7319826837322108</v>
      </c>
      <c r="Y1426" s="27">
        <f>IF(('Activity data'!AR20*EF!$H51*EF!$H69)*NtoN2O*kgtoGg=0,"NO",('Activity data'!AR20*EF!$H51*EF!$H69)*NtoN2O*kgtoGg)</f>
        <v>1.7911150071638293</v>
      </c>
      <c r="Z1426" s="27">
        <f>IF(('Activity data'!AS20*EF!$H51*EF!$H69)*NtoN2O*kgtoGg=0,"NO",('Activity data'!AS20*EF!$H51*EF!$H69)*NtoN2O*kgtoGg)</f>
        <v>1.8573343362727066</v>
      </c>
      <c r="AA1426" s="27">
        <f>IF(('Activity data'!AT20*EF!$H51*EF!$H69)*NtoN2O*kgtoGg=0,"NO",('Activity data'!AT20*EF!$H51*EF!$H69)*NtoN2O*kgtoGg)</f>
        <v>1.9249598687101048</v>
      </c>
      <c r="AB1426" s="27">
        <f>IF(('Activity data'!AU20*EF!$H51*EF!$H69)*NtoN2O*kgtoGg=0,"NO",('Activity data'!AU20*EF!$H51*EF!$H69)*NtoN2O*kgtoGg)</f>
        <v>1.9991243799858327</v>
      </c>
      <c r="AC1426" s="27">
        <f>IF(('Activity data'!AV20*EF!$H51*EF!$H69)*NtoN2O*kgtoGg=0,"NO",('Activity data'!AV20*EF!$H51*EF!$H69)*NtoN2O*kgtoGg)</f>
        <v>2.0742398218726938</v>
      </c>
      <c r="AD1426" s="27">
        <f>IF(('Activity data'!AW20*EF!$H51*EF!$H69)*NtoN2O*kgtoGg=0,"NO",('Activity data'!AW20*EF!$H51*EF!$H69)*NtoN2O*kgtoGg)</f>
        <v>2.1619281930421144</v>
      </c>
      <c r="AE1426" s="27">
        <f>IF(('Activity data'!AX20*EF!$H51*EF!$H69)*NtoN2O*kgtoGg=0,"NO",('Activity data'!AX20*EF!$H51*EF!$H69)*NtoN2O*kgtoGg)</f>
        <v>2.2470253789888299</v>
      </c>
      <c r="AF1426" s="27">
        <f>IF(('Activity data'!AY20*EF!$H51*EF!$H69)*NtoN2O*kgtoGg=0,"NO",('Activity data'!AY20*EF!$H51*EF!$H69)*NtoN2O*kgtoGg)</f>
        <v>2.3367898663962117</v>
      </c>
      <c r="AG1426" s="27">
        <f>IF(('Activity data'!AZ20*EF!$H51*EF!$H69)*NtoN2O*kgtoGg=0,"NO",('Activity data'!AZ20*EF!$H51*EF!$H69)*NtoN2O*kgtoGg)</f>
        <v>2.4398215935835355</v>
      </c>
      <c r="AH1426" s="27">
        <f>IF(('Activity data'!BA20*EF!$H51*EF!$H69)*NtoN2O*kgtoGg=0,"NO",('Activity data'!BA20*EF!$H51*EF!$H69)*NtoN2O*kgtoGg)</f>
        <v>2.5356369121252129</v>
      </c>
      <c r="AI1426" s="27">
        <f>IF(('Activity data'!BB20*EF!$H51*EF!$H69)*NtoN2O*kgtoGg=0,"NO",('Activity data'!BB20*EF!$H51*EF!$H69)*NtoN2O*kgtoGg)</f>
        <v>2.6388473537770931</v>
      </c>
      <c r="AJ1426" s="27">
        <f>IF(('Activity data'!BC20*EF!$H51*EF!$H69)*NtoN2O*kgtoGg=0,"NO",('Activity data'!BC20*EF!$H51*EF!$H69)*NtoN2O*kgtoGg)</f>
        <v>2.7493497662491455</v>
      </c>
      <c r="AK1426" s="27">
        <f>IF(('Activity data'!BD20*EF!$H51*EF!$H69)*NtoN2O*kgtoGg=0,"NO",('Activity data'!BD20*EF!$H51*EF!$H69)*NtoN2O*kgtoGg)</f>
        <v>2.8507479876559225</v>
      </c>
      <c r="AL1426" s="27">
        <f>IF(('Activity data'!BE20*EF!$H51*EF!$H69)*NtoN2O*kgtoGg=0,"NO",('Activity data'!BE20*EF!$H51*EF!$H69)*NtoN2O*kgtoGg)</f>
        <v>2.9505347719846347</v>
      </c>
      <c r="AM1426" s="27">
        <f>IF(('Activity data'!BF20*EF!$H51*EF!$H69)*NtoN2O*kgtoGg=0,"NO",('Activity data'!BF20*EF!$H51*EF!$H69)*NtoN2O*kgtoGg)</f>
        <v>3.0490743865158891</v>
      </c>
      <c r="AN1426" s="27">
        <f>IF(('Activity data'!BG20*EF!$H51*EF!$H69)*NtoN2O*kgtoGg=0,"NO",('Activity data'!BG20*EF!$H51*EF!$H69)*NtoN2O*kgtoGg)</f>
        <v>3.1585813861709466</v>
      </c>
      <c r="AO1426" s="27">
        <f>IF(('Activity data'!BH20*EF!$H51*EF!$H69)*NtoN2O*kgtoGg=0,"NO",('Activity data'!BH20*EF!$H51*EF!$H69)*NtoN2O*kgtoGg)</f>
        <v>3.2621852632226234</v>
      </c>
      <c r="AP1426" s="27">
        <f>IF(('Activity data'!BI20*EF!$H51*EF!$H69)*NtoN2O*kgtoGg=0,"NO",('Activity data'!BI20*EF!$H51*EF!$H69)*NtoN2O*kgtoGg)</f>
        <v>3.3695643404472522</v>
      </c>
      <c r="AQ1426" s="27">
        <f>IF(('Activity data'!BJ20*EF!$H51*EF!$H69)*NtoN2O*kgtoGg=0,"NO",('Activity data'!BJ20*EF!$H51*EF!$H69)*NtoN2O*kgtoGg)</f>
        <v>3.4812725080530544</v>
      </c>
      <c r="AR1426" s="27">
        <f>IF(('Activity data'!BK20*EF!$H51*EF!$H69)*NtoN2O*kgtoGg=0,"NO",('Activity data'!BK20*EF!$H51*EF!$H69)*NtoN2O*kgtoGg)</f>
        <v>3.5981993154978791</v>
      </c>
      <c r="AS1426" s="27">
        <f>IF(('Activity data'!BL20*EF!$H51*EF!$H69)*NtoN2O*kgtoGg=0,"NO",('Activity data'!BL20*EF!$H51*EF!$H69)*NtoN2O*kgtoGg)</f>
        <v>3.7216722091838785</v>
      </c>
      <c r="AT1426" s="27">
        <f>IF(('Activity data'!BM20*EF!$H51*EF!$H69)*NtoN2O*kgtoGg=0,"NO",('Activity data'!BM20*EF!$H51*EF!$H69)*NtoN2O*kgtoGg)</f>
        <v>3.7404703249321303</v>
      </c>
      <c r="AU1426" s="27">
        <f>IF(('Activity data'!BN20*EF!$H51*EF!$H69)*NtoN2O*kgtoGg=0,"NO",('Activity data'!BN20*EF!$H51*EF!$H69)*NtoN2O*kgtoGg)</f>
        <v>3.749641300046322</v>
      </c>
      <c r="AV1426" s="27">
        <f>IF(('Activity data'!BO20*EF!$H51*EF!$H69)*NtoN2O*kgtoGg=0,"NO",('Activity data'!BO20*EF!$H51*EF!$H69)*NtoN2O*kgtoGg)</f>
        <v>3.7450255667820502</v>
      </c>
      <c r="AW1426" s="27">
        <f>IF(('Activity data'!BP20*EF!$H51*EF!$H69)*NtoN2O*kgtoGg=0,"NO",('Activity data'!BP20*EF!$H51*EF!$H69)*NtoN2O*kgtoGg)</f>
        <v>3.7364851229908305</v>
      </c>
    </row>
    <row r="1427" spans="1:49" x14ac:dyDescent="0.3">
      <c r="A1427" s="95" t="s">
        <v>960</v>
      </c>
      <c r="B1427" s="95"/>
      <c r="C1427" s="95"/>
      <c r="D1427" t="str">
        <f t="shared" si="552"/>
        <v>3A Livestock</v>
      </c>
      <c r="E1427" t="str">
        <f t="shared" si="552"/>
        <v>3A2 Manure management (N2O)</v>
      </c>
      <c r="F1427" t="str">
        <f>EF!C70</f>
        <v>3A2i Poultry</v>
      </c>
      <c r="G1427" t="str">
        <f>EF!D70</f>
        <v>Subsistence layers</v>
      </c>
      <c r="H1427" t="str">
        <f t="shared" si="553"/>
        <v>Manure management Emissions</v>
      </c>
      <c r="I1427" t="s">
        <v>139</v>
      </c>
      <c r="J1427" t="str">
        <f t="shared" si="551"/>
        <v>Gg N2O</v>
      </c>
      <c r="K1427" s="27">
        <f>IF(('Activity data'!AD21*EF!$H52*EF!$H70)*NtoN2O*kgtoGg=0,"NO",('Activity data'!AD21*EF!$H52*EF!$H70)*NtoN2O*kgtoGg)</f>
        <v>1.3660093635870424E-2</v>
      </c>
      <c r="L1427" s="27">
        <f>IF(('Activity data'!AE21*EF!$H52*EF!$H70)*NtoN2O*kgtoGg=0,"NO",('Activity data'!AE21*EF!$H52*EF!$H70)*NtoN2O*kgtoGg)</f>
        <v>1.3937830420255735E-2</v>
      </c>
      <c r="M1427" s="27">
        <f>IF(('Activity data'!AF21*EF!$H52*EF!$H70)*NtoN2O*kgtoGg=0,"NO",('Activity data'!AF21*EF!$H52*EF!$H70)*NtoN2O*kgtoGg)</f>
        <v>1.4262478398481276E-2</v>
      </c>
      <c r="N1427" s="27">
        <f>IF(('Activity data'!AG21*EF!$H52*EF!$H70)*NtoN2O*kgtoGg=0,"NO",('Activity data'!AG21*EF!$H52*EF!$H70)*NtoN2O*kgtoGg)</f>
        <v>1.4511718638084306E-2</v>
      </c>
      <c r="O1427" s="27">
        <f>IF(('Activity data'!AH21*EF!$H52*EF!$H70)*NtoN2O*kgtoGg=0,"NO",('Activity data'!AH21*EF!$H52*EF!$H70)*NtoN2O*kgtoGg)</f>
        <v>1.4711795979713132E-2</v>
      </c>
      <c r="P1427" s="27">
        <f>IF(('Activity data'!AI21*EF!$H52*EF!$H70)*NtoN2O*kgtoGg=0,"NO",('Activity data'!AI21*EF!$H52*EF!$H70)*NtoN2O*kgtoGg)</f>
        <v>1.4861520550190493E-2</v>
      </c>
      <c r="Q1427" s="27">
        <f>IF(('Activity data'!AJ21*EF!$H52*EF!$H70)*NtoN2O*kgtoGg=0,"NO",('Activity data'!AJ21*EF!$H52*EF!$H70)*NtoN2O*kgtoGg)</f>
        <v>1.5053508778373347E-2</v>
      </c>
      <c r="R1427" s="27">
        <f>IF(('Activity data'!AK21*EF!$H52*EF!$H70)*NtoN2O*kgtoGg=0,"NO",('Activity data'!AK21*EF!$H52*EF!$H70)*NtoN2O*kgtoGg)</f>
        <v>1.5253123389732504E-2</v>
      </c>
      <c r="S1427" s="27">
        <f>IF(('Activity data'!AL21*EF!$H52*EF!$H70)*NtoN2O*kgtoGg=0,"NO",('Activity data'!AL21*EF!$H52*EF!$H70)*NtoN2O*kgtoGg)</f>
        <v>1.45742284149588E-2</v>
      </c>
      <c r="T1427" s="27">
        <f>IF(('Activity data'!AM21*EF!$H52*EF!$H70)*NtoN2O*kgtoGg=0,"NO",('Activity data'!AM21*EF!$H52*EF!$H70)*NtoN2O*kgtoGg)</f>
        <v>1.4936978657338758E-2</v>
      </c>
      <c r="U1427" s="27">
        <f>IF(('Activity data'!AN21*EF!$H52*EF!$H70)*NtoN2O*kgtoGg=0,"NO",('Activity data'!AN21*EF!$H52*EF!$H70)*NtoN2O*kgtoGg)</f>
        <v>1.5420403425757045E-2</v>
      </c>
      <c r="V1427" s="27">
        <f>IF(('Activity data'!AO21*EF!$H52*EF!$H70)*NtoN2O*kgtoGg=0,"NO",('Activity data'!AO21*EF!$H52*EF!$H70)*NtoN2O*kgtoGg)</f>
        <v>1.5716055381248869E-2</v>
      </c>
      <c r="W1427" s="27">
        <f>IF(('Activity data'!AP21*EF!$H52*EF!$H70)*NtoN2O*kgtoGg=0,"NO",('Activity data'!AP21*EF!$H52*EF!$H70)*NtoN2O*kgtoGg)</f>
        <v>1.6038380919907547E-2</v>
      </c>
      <c r="X1427" s="27">
        <f>IF(('Activity data'!AQ21*EF!$H52*EF!$H70)*NtoN2O*kgtoGg=0,"NO",('Activity data'!AQ21*EF!$H52*EF!$H70)*NtoN2O*kgtoGg)</f>
        <v>1.6395535886630449E-2</v>
      </c>
      <c r="Y1427" s="27">
        <f>IF(('Activity data'!AR21*EF!$H52*EF!$H70)*NtoN2O*kgtoGg=0,"NO",('Activity data'!AR21*EF!$H52*EF!$H70)*NtoN2O*kgtoGg)</f>
        <v>1.6764430279380526E-2</v>
      </c>
      <c r="Z1427" s="27">
        <f>IF(('Activity data'!AS21*EF!$H52*EF!$H70)*NtoN2O*kgtoGg=0,"NO",('Activity data'!AS21*EF!$H52*EF!$H70)*NtoN2O*kgtoGg)</f>
        <v>1.7162025423259852E-2</v>
      </c>
      <c r="AA1427" s="27">
        <f>IF(('Activity data'!AT21*EF!$H52*EF!$H70)*NtoN2O*kgtoGg=0,"NO",('Activity data'!AT21*EF!$H52*EF!$H70)*NtoN2O*kgtoGg)</f>
        <v>1.7568561909138691E-2</v>
      </c>
      <c r="AB1427" s="27">
        <f>IF(('Activity data'!AU21*EF!$H52*EF!$H70)*NtoN2O*kgtoGg=0,"NO",('Activity data'!AU21*EF!$H52*EF!$H70)*NtoN2O*kgtoGg)</f>
        <v>1.8002631935346944E-2</v>
      </c>
      <c r="AC1427" s="27">
        <f>IF(('Activity data'!AV21*EF!$H52*EF!$H70)*NtoN2O*kgtoGg=0,"NO",('Activity data'!AV21*EF!$H52*EF!$H70)*NtoN2O*kgtoGg)</f>
        <v>1.8444432598854574E-2</v>
      </c>
      <c r="AD1427" s="27">
        <f>IF(('Activity data'!AW21*EF!$H52*EF!$H70)*NtoN2O*kgtoGg=0,"NO",('Activity data'!AW21*EF!$H52*EF!$H70)*NtoN2O*kgtoGg)</f>
        <v>1.8921106165119213E-2</v>
      </c>
      <c r="AE1427" s="27">
        <f>IF(('Activity data'!AX21*EF!$H52*EF!$H70)*NtoN2O*kgtoGg=0,"NO",('Activity data'!AX21*EF!$H52*EF!$H70)*NtoN2O*kgtoGg)</f>
        <v>1.9392857554310274E-2</v>
      </c>
      <c r="AF1427" s="27">
        <f>IF(('Activity data'!AY21*EF!$H52*EF!$H70)*NtoN2O*kgtoGg=0,"NO",('Activity data'!AY21*EF!$H52*EF!$H70)*NtoN2O*kgtoGg)</f>
        <v>1.988637607417253E-2</v>
      </c>
      <c r="AG1427" s="27">
        <f>IF(('Activity data'!AZ21*EF!$H52*EF!$H70)*NtoN2O*kgtoGg=0,"NO",('Activity data'!AZ21*EF!$H52*EF!$H70)*NtoN2O*kgtoGg)</f>
        <v>2.0434112967013793E-2</v>
      </c>
      <c r="AH1427" s="27">
        <f>IF(('Activity data'!BA21*EF!$H52*EF!$H70)*NtoN2O*kgtoGg=0,"NO",('Activity data'!BA21*EF!$H52*EF!$H70)*NtoN2O*kgtoGg)</f>
        <v>2.0959956336489938E-2</v>
      </c>
      <c r="AI1427" s="27">
        <f>IF(('Activity data'!BB21*EF!$H52*EF!$H70)*NtoN2O*kgtoGg=0,"NO",('Activity data'!BB21*EF!$H52*EF!$H70)*NtoN2O*kgtoGg)</f>
        <v>2.1503763495753996E-2</v>
      </c>
      <c r="AJ1427" s="27">
        <f>IF(('Activity data'!BC21*EF!$H52*EF!$H70)*NtoN2O*kgtoGg=0,"NO",('Activity data'!BC21*EF!$H52*EF!$H70)*NtoN2O*kgtoGg)</f>
        <v>2.2080286026796948E-2</v>
      </c>
      <c r="AK1427" s="27">
        <f>IF(('Activity data'!BD21*EF!$H52*EF!$H70)*NtoN2O*kgtoGg=0,"NO",('Activity data'!BD21*EF!$H52*EF!$H70)*NtoN2O*kgtoGg)</f>
        <v>2.2627107721207101E-2</v>
      </c>
      <c r="AL1427" s="27">
        <f>IF(('Activity data'!BE21*EF!$H52*EF!$H70)*NtoN2O*kgtoGg=0,"NO",('Activity data'!BE21*EF!$H52*EF!$H70)*NtoN2O*kgtoGg)</f>
        <v>2.3172439062110847E-2</v>
      </c>
      <c r="AM1427" s="27">
        <f>IF(('Activity data'!BF21*EF!$H52*EF!$H70)*NtoN2O*kgtoGg=0,"NO",('Activity data'!BF21*EF!$H52*EF!$H70)*NtoN2O*kgtoGg)</f>
        <v>2.371753464093004E-2</v>
      </c>
      <c r="AN1427" s="27">
        <f>IF(('Activity data'!BG21*EF!$H52*EF!$H70)*NtoN2O*kgtoGg=0,"NO",('Activity data'!BG21*EF!$H52*EF!$H70)*NtoN2O*kgtoGg)</f>
        <v>2.4295855104154534E-2</v>
      </c>
      <c r="AO1427" s="27">
        <f>IF(('Activity data'!BH21*EF!$H52*EF!$H70)*NtoN2O*kgtoGg=0,"NO",('Activity data'!BH21*EF!$H52*EF!$H70)*NtoN2O*kgtoGg)</f>
        <v>2.4855761161942075E-2</v>
      </c>
      <c r="AP1427" s="27">
        <f>IF(('Activity data'!BI21*EF!$H52*EF!$H70)*NtoN2O*kgtoGg=0,"NO",('Activity data'!BI21*EF!$H52*EF!$H70)*NtoN2O*kgtoGg)</f>
        <v>2.5435056934590854E-2</v>
      </c>
      <c r="AQ1427" s="27">
        <f>IF(('Activity data'!BJ21*EF!$H52*EF!$H70)*NtoN2O*kgtoGg=0,"NO",('Activity data'!BJ21*EF!$H52*EF!$H70)*NtoN2O*kgtoGg)</f>
        <v>2.6036160699937267E-2</v>
      </c>
      <c r="AR1427" s="27">
        <f>IF(('Activity data'!BK21*EF!$H52*EF!$H70)*NtoN2O*kgtoGg=0,"NO",('Activity data'!BK21*EF!$H52*EF!$H70)*NtoN2O*kgtoGg)</f>
        <v>2.6662879185516769E-2</v>
      </c>
      <c r="AS1427" s="27">
        <f>IF(('Activity data'!BL21*EF!$H52*EF!$H70)*NtoN2O*kgtoGg=0,"NO",('Activity data'!BL21*EF!$H52*EF!$H70)*NtoN2O*kgtoGg)</f>
        <v>2.7306334789071466E-2</v>
      </c>
      <c r="AT1427" s="27">
        <f>IF(('Activity data'!BM21*EF!$H52*EF!$H70)*NtoN2O*kgtoGg=0,"NO",('Activity data'!BM21*EF!$H52*EF!$H70)*NtoN2O*kgtoGg)</f>
        <v>2.7531714483434007E-2</v>
      </c>
      <c r="AU1427" s="27">
        <f>IF(('Activity data'!BN21*EF!$H52*EF!$H70)*NtoN2O*kgtoGg=0,"NO",('Activity data'!BN21*EF!$H52*EF!$H70)*NtoN2O*kgtoGg)</f>
        <v>2.7718383757735835E-2</v>
      </c>
      <c r="AV1427" s="27">
        <f>IF(('Activity data'!BO21*EF!$H52*EF!$H70)*NtoN2O*kgtoGg=0,"NO",('Activity data'!BO21*EF!$H52*EF!$H70)*NtoN2O*kgtoGg)</f>
        <v>2.7848741900997311E-2</v>
      </c>
      <c r="AW1427" s="27">
        <f>IF(('Activity data'!BP21*EF!$H52*EF!$H70)*NtoN2O*kgtoGg=0,"NO",('Activity data'!BP21*EF!$H52*EF!$H70)*NtoN2O*kgtoGg)</f>
        <v>2.7962426225069836E-2</v>
      </c>
    </row>
    <row r="1428" spans="1:49" x14ac:dyDescent="0.3">
      <c r="A1428" s="95" t="s">
        <v>960</v>
      </c>
      <c r="B1428" s="95"/>
      <c r="C1428" s="95"/>
      <c r="D1428" t="str">
        <f t="shared" si="552"/>
        <v>3A Livestock</v>
      </c>
      <c r="E1428" t="str">
        <f t="shared" si="552"/>
        <v>3A2 Manure management (N2O)</v>
      </c>
      <c r="F1428" t="str">
        <f>EF!C71</f>
        <v>3A2i Poultry</v>
      </c>
      <c r="G1428" t="str">
        <f>EF!D71</f>
        <v>Subsistence broilers</v>
      </c>
      <c r="H1428" t="str">
        <f t="shared" si="553"/>
        <v>Manure management Emissions</v>
      </c>
      <c r="I1428" t="s">
        <v>139</v>
      </c>
      <c r="J1428" t="str">
        <f t="shared" si="551"/>
        <v>Gg N2O</v>
      </c>
      <c r="K1428" s="27">
        <f>IF(('Activity data'!AD22*EF!$H53*EF!$H71)*NtoN2O*kgtoGg=0,"NO",('Activity data'!AD22*EF!$H53*EF!$H71)*NtoN2O*kgtoGg)</f>
        <v>7.0904798648479067E-2</v>
      </c>
      <c r="L1428" s="27">
        <f>IF(('Activity data'!AE22*EF!$H53*EF!$H71)*NtoN2O*kgtoGg=0,"NO",('Activity data'!AE22*EF!$H53*EF!$H71)*NtoN2O*kgtoGg)</f>
        <v>7.1838488113865229E-2</v>
      </c>
      <c r="M1428" s="27">
        <f>IF(('Activity data'!AF22*EF!$H53*EF!$H71)*NtoN2O*kgtoGg=0,"NO",('Activity data'!AF22*EF!$H53*EF!$H71)*NtoN2O*kgtoGg)</f>
        <v>7.333826122290886E-2</v>
      </c>
      <c r="N1428" s="27">
        <f>IF(('Activity data'!AG22*EF!$H53*EF!$H71)*NtoN2O*kgtoGg=0,"NO",('Activity data'!AG22*EF!$H53*EF!$H71)*NtoN2O*kgtoGg)</f>
        <v>7.3768889900085552E-2</v>
      </c>
      <c r="O1428" s="27">
        <f>IF(('Activity data'!AH22*EF!$H53*EF!$H71)*NtoN2O*kgtoGg=0,"NO",('Activity data'!AH22*EF!$H53*EF!$H71)*NtoN2O*kgtoGg)</f>
        <v>7.3504831661853232E-2</v>
      </c>
      <c r="P1428" s="27">
        <f>IF(('Activity data'!AI22*EF!$H53*EF!$H71)*NtoN2O*kgtoGg=0,"NO",('Activity data'!AI22*EF!$H53*EF!$H71)*NtoN2O*kgtoGg)</f>
        <v>7.2548895925592424E-2</v>
      </c>
      <c r="Q1428" s="27">
        <f>IF(('Activity data'!AJ22*EF!$H53*EF!$H71)*NtoN2O*kgtoGg=0,"NO",('Activity data'!AJ22*EF!$H53*EF!$H71)*NtoN2O*kgtoGg)</f>
        <v>7.2146468817327461E-2</v>
      </c>
      <c r="R1428" s="27">
        <f>IF(('Activity data'!AK22*EF!$H53*EF!$H71)*NtoN2O*kgtoGg=0,"NO",('Activity data'!AK22*EF!$H53*EF!$H71)*NtoN2O*kgtoGg)</f>
        <v>7.1835339545248775E-2</v>
      </c>
      <c r="S1428" s="27">
        <f>IF(('Activity data'!AL22*EF!$H53*EF!$H71)*NtoN2O*kgtoGg=0,"NO",('Activity data'!AL22*EF!$H53*EF!$H71)*NtoN2O*kgtoGg)</f>
        <v>6.0553462411913554E-2</v>
      </c>
      <c r="T1428" s="27">
        <f>IF(('Activity data'!AM22*EF!$H53*EF!$H71)*NtoN2O*kgtoGg=0,"NO",('Activity data'!AM22*EF!$H53*EF!$H71)*NtoN2O*kgtoGg)</f>
        <v>6.2951673990704532E-2</v>
      </c>
      <c r="U1428" s="27">
        <f>IF(('Activity data'!AN22*EF!$H53*EF!$H71)*NtoN2O*kgtoGg=0,"NO",('Activity data'!AN22*EF!$H53*EF!$H71)*NtoN2O*kgtoGg)</f>
        <v>6.6779065471287438E-2</v>
      </c>
      <c r="V1428" s="27">
        <f>IF(('Activity data'!AO22*EF!$H53*EF!$H71)*NtoN2O*kgtoGg=0,"NO",('Activity data'!AO22*EF!$H53*EF!$H71)*NtoN2O*kgtoGg)</f>
        <v>6.8254568898105869E-2</v>
      </c>
      <c r="W1428" s="27">
        <f>IF(('Activity data'!AP22*EF!$H53*EF!$H71)*NtoN2O*kgtoGg=0,"NO",('Activity data'!AP22*EF!$H53*EF!$H71)*NtoN2O*kgtoGg)</f>
        <v>7.0020292911694371E-2</v>
      </c>
      <c r="X1428" s="27">
        <f>IF(('Activity data'!AQ22*EF!$H53*EF!$H71)*NtoN2O*kgtoGg=0,"NO",('Activity data'!AQ22*EF!$H53*EF!$H71)*NtoN2O*kgtoGg)</f>
        <v>7.2165945155508851E-2</v>
      </c>
      <c r="Y1428" s="27">
        <f>IF(('Activity data'!AR22*EF!$H53*EF!$H71)*NtoN2O*kgtoGg=0,"NO",('Activity data'!AR22*EF!$H53*EF!$H71)*NtoN2O*kgtoGg)</f>
        <v>7.4629791965159634E-2</v>
      </c>
      <c r="Z1428" s="27">
        <f>IF(('Activity data'!AS22*EF!$H53*EF!$H71)*NtoN2O*kgtoGg=0,"NO",('Activity data'!AS22*EF!$H53*EF!$H71)*NtoN2O*kgtoGg)</f>
        <v>7.738893067802953E-2</v>
      </c>
      <c r="AA1428" s="27">
        <f>IF(('Activity data'!AT22*EF!$H53*EF!$H71)*NtoN2O*kgtoGg=0,"NO",('Activity data'!AT22*EF!$H53*EF!$H71)*NtoN2O*kgtoGg)</f>
        <v>8.0206661196254428E-2</v>
      </c>
      <c r="AB1428" s="27">
        <f>IF(('Activity data'!AU22*EF!$H53*EF!$H71)*NtoN2O*kgtoGg=0,"NO",('Activity data'!AU22*EF!$H53*EF!$H71)*NtoN2O*kgtoGg)</f>
        <v>8.3296849166076437E-2</v>
      </c>
      <c r="AC1428" s="27">
        <f>IF(('Activity data'!AV22*EF!$H53*EF!$H71)*NtoN2O*kgtoGg=0,"NO",('Activity data'!AV22*EF!$H53*EF!$H71)*NtoN2O*kgtoGg)</f>
        <v>8.6426659244695656E-2</v>
      </c>
      <c r="AD1428" s="27">
        <f>IF(('Activity data'!AW22*EF!$H53*EF!$H71)*NtoN2O*kgtoGg=0,"NO",('Activity data'!AW22*EF!$H53*EF!$H71)*NtoN2O*kgtoGg)</f>
        <v>9.0080341376754844E-2</v>
      </c>
      <c r="AE1428" s="27">
        <f>IF(('Activity data'!AX22*EF!$H53*EF!$H71)*NtoN2O*kgtoGg=0,"NO",('Activity data'!AX22*EF!$H53*EF!$H71)*NtoN2O*kgtoGg)</f>
        <v>9.3626057457867992E-2</v>
      </c>
      <c r="AF1428" s="27">
        <f>IF(('Activity data'!AY22*EF!$H53*EF!$H71)*NtoN2O*kgtoGg=0,"NO",('Activity data'!AY22*EF!$H53*EF!$H71)*NtoN2O*kgtoGg)</f>
        <v>9.7366244433175556E-2</v>
      </c>
      <c r="AG1428" s="27">
        <f>IF(('Activity data'!AZ22*EF!$H53*EF!$H71)*NtoN2O*kgtoGg=0,"NO",('Activity data'!AZ22*EF!$H53*EF!$H71)*NtoN2O*kgtoGg)</f>
        <v>0.10165923306598072</v>
      </c>
      <c r="AH1428" s="27">
        <f>IF(('Activity data'!BA22*EF!$H53*EF!$H71)*NtoN2O*kgtoGg=0,"NO",('Activity data'!BA22*EF!$H53*EF!$H71)*NtoN2O*kgtoGg)</f>
        <v>0.10565153800521729</v>
      </c>
      <c r="AI1428" s="27">
        <f>IF(('Activity data'!BB22*EF!$H53*EF!$H71)*NtoN2O*kgtoGg=0,"NO",('Activity data'!BB22*EF!$H53*EF!$H71)*NtoN2O*kgtoGg)</f>
        <v>0.10995197307404567</v>
      </c>
      <c r="AJ1428" s="27">
        <f>IF(('Activity data'!BC22*EF!$H53*EF!$H71)*NtoN2O*kgtoGg=0,"NO",('Activity data'!BC22*EF!$H53*EF!$H71)*NtoN2O*kgtoGg)</f>
        <v>0.11455624026038116</v>
      </c>
      <c r="AK1428" s="27">
        <f>IF(('Activity data'!BD22*EF!$H53*EF!$H71)*NtoN2O*kgtoGg=0,"NO",('Activity data'!BD22*EF!$H53*EF!$H71)*NtoN2O*kgtoGg)</f>
        <v>0.11878116615233021</v>
      </c>
      <c r="AL1428" s="27">
        <f>IF(('Activity data'!BE22*EF!$H53*EF!$H71)*NtoN2O*kgtoGg=0,"NO",('Activity data'!BE22*EF!$H53*EF!$H71)*NtoN2O*kgtoGg)</f>
        <v>0.12293894883269324</v>
      </c>
      <c r="AM1428" s="27">
        <f>IF(('Activity data'!BF22*EF!$H53*EF!$H71)*NtoN2O*kgtoGg=0,"NO",('Activity data'!BF22*EF!$H53*EF!$H71)*NtoN2O*kgtoGg)</f>
        <v>0.12704476610482884</v>
      </c>
      <c r="AN1428" s="27">
        <f>IF(('Activity data'!BG22*EF!$H53*EF!$H71)*NtoN2O*kgtoGg=0,"NO",('Activity data'!BG22*EF!$H53*EF!$H71)*NtoN2O*kgtoGg)</f>
        <v>0.13160755775712291</v>
      </c>
      <c r="AO1428" s="27">
        <f>IF(('Activity data'!BH22*EF!$H53*EF!$H71)*NtoN2O*kgtoGg=0,"NO",('Activity data'!BH22*EF!$H53*EF!$H71)*NtoN2O*kgtoGg)</f>
        <v>0.13592438596760945</v>
      </c>
      <c r="AP1428" s="27">
        <f>IF(('Activity data'!BI22*EF!$H53*EF!$H71)*NtoN2O*kgtoGg=0,"NO",('Activity data'!BI22*EF!$H53*EF!$H71)*NtoN2O*kgtoGg)</f>
        <v>0.14039851418530233</v>
      </c>
      <c r="AQ1428" s="27">
        <f>IF(('Activity data'!BJ22*EF!$H53*EF!$H71)*NtoN2O*kgtoGg=0,"NO",('Activity data'!BJ22*EF!$H53*EF!$H71)*NtoN2O*kgtoGg)</f>
        <v>0.14505302116887739</v>
      </c>
      <c r="AR1428" s="27">
        <f>IF(('Activity data'!BK22*EF!$H53*EF!$H71)*NtoN2O*kgtoGg=0,"NO",('Activity data'!BK22*EF!$H53*EF!$H71)*NtoN2O*kgtoGg)</f>
        <v>0.14992497147907843</v>
      </c>
      <c r="AS1428" s="27">
        <f>IF(('Activity data'!BL22*EF!$H53*EF!$H71)*NtoN2O*kgtoGg=0,"NO",('Activity data'!BL22*EF!$H53*EF!$H71)*NtoN2O*kgtoGg)</f>
        <v>0.15506967538266181</v>
      </c>
      <c r="AT1428" s="27">
        <f>IF(('Activity data'!BM22*EF!$H53*EF!$H71)*NtoN2O*kgtoGg=0,"NO",('Activity data'!BM22*EF!$H53*EF!$H71)*NtoN2O*kgtoGg)</f>
        <v>0.15585293020550561</v>
      </c>
      <c r="AU1428" s="27">
        <f>IF(('Activity data'!BN22*EF!$H53*EF!$H71)*NtoN2O*kgtoGg=0,"NO",('Activity data'!BN22*EF!$H53*EF!$H71)*NtoN2O*kgtoGg)</f>
        <v>0.1562350541685969</v>
      </c>
      <c r="AV1428" s="27">
        <f>IF(('Activity data'!BO22*EF!$H53*EF!$H71)*NtoN2O*kgtoGg=0,"NO",('Activity data'!BO22*EF!$H53*EF!$H71)*NtoN2O*kgtoGg)</f>
        <v>0.15604273194925225</v>
      </c>
      <c r="AW1428" s="27">
        <f>IF(('Activity data'!BP22*EF!$H53*EF!$H71)*NtoN2O*kgtoGg=0,"NO",('Activity data'!BP22*EF!$H53*EF!$H71)*NtoN2O*kgtoGg)</f>
        <v>0.15568688012461812</v>
      </c>
    </row>
    <row r="1429" spans="1:49" x14ac:dyDescent="0.3">
      <c r="A1429" s="95" t="s">
        <v>960</v>
      </c>
      <c r="B1429" s="95"/>
      <c r="C1429" s="95"/>
      <c r="D1429" t="str">
        <f>'IPCC Categories'!A59</f>
        <v>3C Aggregated and non-CO2 emissions on land</v>
      </c>
      <c r="E1429" t="str">
        <f>'IPCC Categories'!B59</f>
        <v>3C1 Biomass burning (CH4)</v>
      </c>
      <c r="F1429" t="str">
        <f>'IPCC Categories'!C59</f>
        <v>3C1a Biomass burning in forest land</v>
      </c>
      <c r="G1429" t="str">
        <f>EF!D84</f>
        <v>Indigenous forests</v>
      </c>
      <c r="H1429" t="s">
        <v>640</v>
      </c>
      <c r="I1429" t="s">
        <v>121</v>
      </c>
      <c r="J1429" t="s">
        <v>286</v>
      </c>
      <c r="K1429" s="22">
        <f>INDEX('Activity data'!AD$24:AD$39,MATCH('Net zero emission reductions'!$G1429,'Activity data'!$D$24:$D$39,0))*INDEX(EF!$H$84:$H$99,MATCH('Net zero emission reductions'!$G1429,EF!$D$84:$D$99,0))*INDEX(EF!$H$100:$H$115,MATCH('Net zero emission reductions'!$G1429,EF!$D$100:$D$115,0))*INDEX(EF!$H$116:$H$131,MATCH('Net zero emission reductions'!$G1429,EF!$D$116:$D$131,0))*kgtoGg</f>
        <v>1.2653688249152322</v>
      </c>
      <c r="L1429" s="22">
        <f>INDEX('Activity data'!AE$24:AE$39,MATCH('Net zero emission reductions'!$G1429,'Activity data'!$D$24:$D$39,0))*INDEX(EF!$H$84:$H$99,MATCH('Net zero emission reductions'!$G1429,EF!$D$84:$D$99,0))*INDEX(EF!$H$100:$H$115,MATCH('Net zero emission reductions'!$G1429,EF!$D$100:$D$115,0))*INDEX(EF!$H$116:$H$131,MATCH('Net zero emission reductions'!$G1429,EF!$D$116:$D$131,0))*kgtoGg</f>
        <v>1.2648288705583226</v>
      </c>
      <c r="M1429" s="22">
        <f>INDEX('Activity data'!AF$24:AF$39,MATCH('Net zero emission reductions'!$G1429,'Activity data'!$D$24:$D$39,0))*INDEX(EF!$H$84:$H$99,MATCH('Net zero emission reductions'!$G1429,EF!$D$84:$D$99,0))*INDEX(EF!$H$100:$H$115,MATCH('Net zero emission reductions'!$G1429,EF!$D$100:$D$115,0))*INDEX(EF!$H$116:$H$131,MATCH('Net zero emission reductions'!$G1429,EF!$D$116:$D$131,0))*kgtoGg</f>
        <v>1.2642889162014133</v>
      </c>
      <c r="N1429" s="22">
        <f>INDEX('Activity data'!AG$24:AG$39,MATCH('Net zero emission reductions'!$G1429,'Activity data'!$D$24:$D$39,0))*INDEX(EF!$H$84:$H$99,MATCH('Net zero emission reductions'!$G1429,EF!$D$84:$D$99,0))*INDEX(EF!$H$100:$H$115,MATCH('Net zero emission reductions'!$G1429,EF!$D$100:$D$115,0))*INDEX(EF!$H$116:$H$131,MATCH('Net zero emission reductions'!$G1429,EF!$D$116:$D$131,0))*kgtoGg</f>
        <v>1.2637489618445039</v>
      </c>
      <c r="O1429" s="22">
        <f>INDEX('Activity data'!AH$24:AH$39,MATCH('Net zero emission reductions'!$G1429,'Activity data'!$D$24:$D$39,0))*INDEX(EF!$H$84:$H$99,MATCH('Net zero emission reductions'!$G1429,EF!$D$84:$D$99,0))*INDEX(EF!$H$100:$H$115,MATCH('Net zero emission reductions'!$G1429,EF!$D$100:$D$115,0))*INDEX(EF!$H$116:$H$131,MATCH('Net zero emission reductions'!$G1429,EF!$D$116:$D$131,0))*kgtoGg</f>
        <v>1.2632090074875946</v>
      </c>
      <c r="P1429" s="22">
        <f>INDEX('Activity data'!AI$24:AI$39,MATCH('Net zero emission reductions'!$G1429,'Activity data'!$D$24:$D$39,0))*INDEX(EF!$H$84:$H$99,MATCH('Net zero emission reductions'!$G1429,EF!$D$84:$D$99,0))*INDEX(EF!$H$100:$H$115,MATCH('Net zero emission reductions'!$G1429,EF!$D$100:$D$115,0))*INDEX(EF!$H$116:$H$131,MATCH('Net zero emission reductions'!$G1429,EF!$D$116:$D$131,0))*kgtoGg</f>
        <v>1.262669053130685</v>
      </c>
      <c r="Q1429" s="22">
        <f>INDEX('Activity data'!AJ$24:AJ$39,MATCH('Net zero emission reductions'!$G1429,'Activity data'!$D$24:$D$39,0))*INDEX(EF!$H$84:$H$99,MATCH('Net zero emission reductions'!$G1429,EF!$D$84:$D$99,0))*INDEX(EF!$H$100:$H$115,MATCH('Net zero emission reductions'!$G1429,EF!$D$100:$D$115,0))*INDEX(EF!$H$116:$H$131,MATCH('Net zero emission reductions'!$G1429,EF!$D$116:$D$131,0))*kgtoGg</f>
        <v>1.2621290987737757</v>
      </c>
      <c r="R1429" s="22">
        <f>INDEX('Activity data'!AK$24:AK$39,MATCH('Net zero emission reductions'!$G1429,'Activity data'!$D$24:$D$39,0))*INDEX(EF!$H$84:$H$99,MATCH('Net zero emission reductions'!$G1429,EF!$D$84:$D$99,0))*INDEX(EF!$H$100:$H$115,MATCH('Net zero emission reductions'!$G1429,EF!$D$100:$D$115,0))*INDEX(EF!$H$116:$H$131,MATCH('Net zero emission reductions'!$G1429,EF!$D$116:$D$131,0))*kgtoGg</f>
        <v>1.2615891444168661</v>
      </c>
      <c r="S1429" s="22">
        <f>INDEX('Activity data'!AL$24:AL$39,MATCH('Net zero emission reductions'!$G1429,'Activity data'!$D$24:$D$39,0))*INDEX(EF!$H$84:$H$99,MATCH('Net zero emission reductions'!$G1429,EF!$D$84:$D$99,0))*INDEX(EF!$H$100:$H$115,MATCH('Net zero emission reductions'!$G1429,EF!$D$100:$D$115,0))*INDEX(EF!$H$116:$H$131,MATCH('Net zero emission reductions'!$G1429,EF!$D$116:$D$131,0))*kgtoGg</f>
        <v>1.2610491900599567</v>
      </c>
      <c r="T1429" s="22">
        <f>INDEX('Activity data'!AM$24:AM$39,MATCH('Net zero emission reductions'!$G1429,'Activity data'!$D$24:$D$39,0))*INDEX(EF!$H$84:$H$99,MATCH('Net zero emission reductions'!$G1429,EF!$D$84:$D$99,0))*INDEX(EF!$H$100:$H$115,MATCH('Net zero emission reductions'!$G1429,EF!$D$100:$D$115,0))*INDEX(EF!$H$116:$H$131,MATCH('Net zero emission reductions'!$G1429,EF!$D$116:$D$131,0))*kgtoGg</f>
        <v>1.2605092357030474</v>
      </c>
      <c r="U1429" s="22">
        <f>INDEX('Activity data'!AN$24:AN$39,MATCH('Net zero emission reductions'!$G1429,'Activity data'!$D$24:$D$39,0))*INDEX(EF!$H$84:$H$99,MATCH('Net zero emission reductions'!$G1429,EF!$D$84:$D$99,0))*INDEX(EF!$H$100:$H$115,MATCH('Net zero emission reductions'!$G1429,EF!$D$100:$D$115,0))*INDEX(EF!$H$116:$H$131,MATCH('Net zero emission reductions'!$G1429,EF!$D$116:$D$131,0))*kgtoGg</f>
        <v>1.2599692813461378</v>
      </c>
      <c r="V1429" s="22">
        <f>INDEX('Activity data'!AO$24:AO$39,MATCH('Net zero emission reductions'!$G1429,'Activity data'!$D$24:$D$39,0))*INDEX(EF!$H$84:$H$99,MATCH('Net zero emission reductions'!$G1429,EF!$D$84:$D$99,0))*INDEX(EF!$H$100:$H$115,MATCH('Net zero emission reductions'!$G1429,EF!$D$100:$D$115,0))*INDEX(EF!$H$116:$H$131,MATCH('Net zero emission reductions'!$G1429,EF!$D$116:$D$131,0))*kgtoGg</f>
        <v>1.2594293269892285</v>
      </c>
      <c r="W1429" s="22">
        <f>INDEX('Activity data'!AP$24:AP$39,MATCH('Net zero emission reductions'!$G1429,'Activity data'!$D$24:$D$39,0))*INDEX(EF!$H$84:$H$99,MATCH('Net zero emission reductions'!$G1429,EF!$D$84:$D$99,0))*INDEX(EF!$H$100:$H$115,MATCH('Net zero emission reductions'!$G1429,EF!$D$100:$D$115,0))*INDEX(EF!$H$116:$H$131,MATCH('Net zero emission reductions'!$G1429,EF!$D$116:$D$131,0))*kgtoGg</f>
        <v>1.2588893726323194</v>
      </c>
      <c r="X1429" s="22">
        <f>INDEX('Activity data'!AQ$24:AQ$39,MATCH('Net zero emission reductions'!$G1429,'Activity data'!$D$24:$D$39,0))*INDEX(EF!$H$84:$H$99,MATCH('Net zero emission reductions'!$G1429,EF!$D$84:$D$99,0))*INDEX(EF!$H$100:$H$115,MATCH('Net zero emission reductions'!$G1429,EF!$D$100:$D$115,0))*INDEX(EF!$H$116:$H$131,MATCH('Net zero emission reductions'!$G1429,EF!$D$116:$D$131,0))*kgtoGg</f>
        <v>1.2583494182754098</v>
      </c>
      <c r="Y1429" s="22">
        <f>INDEX('Activity data'!AR$24:AR$39,MATCH('Net zero emission reductions'!$G1429,'Activity data'!$D$24:$D$39,0))*INDEX(EF!$H$84:$H$99,MATCH('Net zero emission reductions'!$G1429,EF!$D$84:$D$99,0))*INDEX(EF!$H$100:$H$115,MATCH('Net zero emission reductions'!$G1429,EF!$D$100:$D$115,0))*INDEX(EF!$H$116:$H$131,MATCH('Net zero emission reductions'!$G1429,EF!$D$116:$D$131,0))*kgtoGg</f>
        <v>1.2578094639185002</v>
      </c>
      <c r="Z1429" s="22">
        <f>INDEX('Activity data'!AS$24:AS$39,MATCH('Net zero emission reductions'!$G1429,'Activity data'!$D$24:$D$39,0))*INDEX(EF!$H$84:$H$99,MATCH('Net zero emission reductions'!$G1429,EF!$D$84:$D$99,0))*INDEX(EF!$H$100:$H$115,MATCH('Net zero emission reductions'!$G1429,EF!$D$100:$D$115,0))*INDEX(EF!$H$116:$H$131,MATCH('Net zero emission reductions'!$G1429,EF!$D$116:$D$131,0))*kgtoGg</f>
        <v>1.2572695095615909</v>
      </c>
      <c r="AA1429" s="22">
        <f>INDEX('Activity data'!AT$24:AT$39,MATCH('Net zero emission reductions'!$G1429,'Activity data'!$D$24:$D$39,0))*INDEX(EF!$H$84:$H$99,MATCH('Net zero emission reductions'!$G1429,EF!$D$84:$D$99,0))*INDEX(EF!$H$100:$H$115,MATCH('Net zero emission reductions'!$G1429,EF!$D$100:$D$115,0))*INDEX(EF!$H$116:$H$131,MATCH('Net zero emission reductions'!$G1429,EF!$D$116:$D$131,0))*kgtoGg</f>
        <v>1.2567295552046813</v>
      </c>
      <c r="AB1429" s="22">
        <f>INDEX('Activity data'!AU$24:AU$39,MATCH('Net zero emission reductions'!$G1429,'Activity data'!$D$24:$D$39,0))*INDEX(EF!$H$84:$H$99,MATCH('Net zero emission reductions'!$G1429,EF!$D$84:$D$99,0))*INDEX(EF!$H$100:$H$115,MATCH('Net zero emission reductions'!$G1429,EF!$D$100:$D$115,0))*INDEX(EF!$H$116:$H$131,MATCH('Net zero emission reductions'!$G1429,EF!$D$116:$D$131,0))*kgtoGg</f>
        <v>1.256189600847772</v>
      </c>
      <c r="AC1429" s="22">
        <f>INDEX('Activity data'!AV$24:AV$39,MATCH('Net zero emission reductions'!$G1429,'Activity data'!$D$24:$D$39,0))*INDEX(EF!$H$84:$H$99,MATCH('Net zero emission reductions'!$G1429,EF!$D$84:$D$99,0))*INDEX(EF!$H$100:$H$115,MATCH('Net zero emission reductions'!$G1429,EF!$D$100:$D$115,0))*INDEX(EF!$H$116:$H$131,MATCH('Net zero emission reductions'!$G1429,EF!$D$116:$D$131,0))*kgtoGg</f>
        <v>1.2556496464908629</v>
      </c>
      <c r="AD1429" s="22">
        <f>INDEX('Activity data'!AW$24:AW$39,MATCH('Net zero emission reductions'!$G1429,'Activity data'!$D$24:$D$39,0))*INDEX(EF!$H$84:$H$99,MATCH('Net zero emission reductions'!$G1429,EF!$D$84:$D$99,0))*INDEX(EF!$H$100:$H$115,MATCH('Net zero emission reductions'!$G1429,EF!$D$100:$D$115,0))*INDEX(EF!$H$116:$H$131,MATCH('Net zero emission reductions'!$G1429,EF!$D$116:$D$131,0))*kgtoGg</f>
        <v>1.2551096921339533</v>
      </c>
      <c r="AE1429" s="22">
        <f>INDEX('Activity data'!AX$24:AX$39,MATCH('Net zero emission reductions'!$G1429,'Activity data'!$D$24:$D$39,0))*INDEX(EF!$H$84:$H$99,MATCH('Net zero emission reductions'!$G1429,EF!$D$84:$D$99,0))*INDEX(EF!$H$100:$H$115,MATCH('Net zero emission reductions'!$G1429,EF!$D$100:$D$115,0))*INDEX(EF!$H$116:$H$131,MATCH('Net zero emission reductions'!$G1429,EF!$D$116:$D$131,0))*kgtoGg</f>
        <v>1.2545697377770435</v>
      </c>
      <c r="AF1429" s="22">
        <f>INDEX('Activity data'!AY$24:AY$39,MATCH('Net zero emission reductions'!$G1429,'Activity data'!$D$24:$D$39,0))*INDEX(EF!$H$84:$H$99,MATCH('Net zero emission reductions'!$G1429,EF!$D$84:$D$99,0))*INDEX(EF!$H$100:$H$115,MATCH('Net zero emission reductions'!$G1429,EF!$D$100:$D$115,0))*INDEX(EF!$H$116:$H$131,MATCH('Net zero emission reductions'!$G1429,EF!$D$116:$D$131,0))*kgtoGg</f>
        <v>1.2540297834201344</v>
      </c>
      <c r="AG1429" s="22">
        <f>INDEX('Activity data'!AZ$24:AZ$39,MATCH('Net zero emission reductions'!$G1429,'Activity data'!$D$24:$D$39,0))*INDEX(EF!$H$84:$H$99,MATCH('Net zero emission reductions'!$G1429,EF!$D$84:$D$99,0))*INDEX(EF!$H$100:$H$115,MATCH('Net zero emission reductions'!$G1429,EF!$D$100:$D$115,0))*INDEX(EF!$H$116:$H$131,MATCH('Net zero emission reductions'!$G1429,EF!$D$116:$D$131,0))*kgtoGg</f>
        <v>1.253489829063225</v>
      </c>
      <c r="AH1429" s="22">
        <f>INDEX('Activity data'!BA$24:BA$39,MATCH('Net zero emission reductions'!$G1429,'Activity data'!$D$24:$D$39,0))*INDEX(EF!$H$84:$H$99,MATCH('Net zero emission reductions'!$G1429,EF!$D$84:$D$99,0))*INDEX(EF!$H$100:$H$115,MATCH('Net zero emission reductions'!$G1429,EF!$D$100:$D$115,0))*INDEX(EF!$H$116:$H$131,MATCH('Net zero emission reductions'!$G1429,EF!$D$116:$D$131,0))*kgtoGg</f>
        <v>1.2529498747063155</v>
      </c>
      <c r="AI1429" s="22">
        <f>INDEX('Activity data'!BB$24:BB$39,MATCH('Net zero emission reductions'!$G1429,'Activity data'!$D$24:$D$39,0))*INDEX(EF!$H$84:$H$99,MATCH('Net zero emission reductions'!$G1429,EF!$D$84:$D$99,0))*INDEX(EF!$H$100:$H$115,MATCH('Net zero emission reductions'!$G1429,EF!$D$100:$D$115,0))*INDEX(EF!$H$116:$H$131,MATCH('Net zero emission reductions'!$G1429,EF!$D$116:$D$131,0))*kgtoGg</f>
        <v>1.2524099203494063</v>
      </c>
      <c r="AJ1429" s="22">
        <f>INDEX('Activity data'!BC$24:BC$39,MATCH('Net zero emission reductions'!$G1429,'Activity data'!$D$24:$D$39,0))*INDEX(EF!$H$84:$H$99,MATCH('Net zero emission reductions'!$G1429,EF!$D$84:$D$99,0))*INDEX(EF!$H$100:$H$115,MATCH('Net zero emission reductions'!$G1429,EF!$D$100:$D$115,0))*INDEX(EF!$H$116:$H$131,MATCH('Net zero emission reductions'!$G1429,EF!$D$116:$D$131,0))*kgtoGg</f>
        <v>1.2518699659924968</v>
      </c>
      <c r="AK1429" s="22">
        <f>INDEX('Activity data'!BD$24:BD$39,MATCH('Net zero emission reductions'!$G1429,'Activity data'!$D$24:$D$39,0))*INDEX(EF!$H$84:$H$99,MATCH('Net zero emission reductions'!$G1429,EF!$D$84:$D$99,0))*INDEX(EF!$H$100:$H$115,MATCH('Net zero emission reductions'!$G1429,EF!$D$100:$D$115,0))*INDEX(EF!$H$116:$H$131,MATCH('Net zero emission reductions'!$G1429,EF!$D$116:$D$131,0))*kgtoGg</f>
        <v>1.251330011635587</v>
      </c>
      <c r="AL1429" s="22">
        <f>INDEX('Activity data'!BE$24:BE$39,MATCH('Net zero emission reductions'!$G1429,'Activity data'!$D$24:$D$39,0))*INDEX(EF!$H$84:$H$99,MATCH('Net zero emission reductions'!$G1429,EF!$D$84:$D$99,0))*INDEX(EF!$H$100:$H$115,MATCH('Net zero emission reductions'!$G1429,EF!$D$100:$D$115,0))*INDEX(EF!$H$116:$H$131,MATCH('Net zero emission reductions'!$G1429,EF!$D$116:$D$131,0))*kgtoGg</f>
        <v>1.2507900572786779</v>
      </c>
      <c r="AM1429" s="22">
        <f>INDEX('Activity data'!BF$24:BF$39,MATCH('Net zero emission reductions'!$G1429,'Activity data'!$D$24:$D$39,0))*INDEX(EF!$H$84:$H$99,MATCH('Net zero emission reductions'!$G1429,EF!$D$84:$D$99,0))*INDEX(EF!$H$100:$H$115,MATCH('Net zero emission reductions'!$G1429,EF!$D$100:$D$115,0))*INDEX(EF!$H$116:$H$131,MATCH('Net zero emission reductions'!$G1429,EF!$D$116:$D$131,0))*kgtoGg</f>
        <v>1.2502501029217685</v>
      </c>
      <c r="AN1429" s="22">
        <f>INDEX('Activity data'!BG$24:BG$39,MATCH('Net zero emission reductions'!$G1429,'Activity data'!$D$24:$D$39,0))*INDEX(EF!$H$84:$H$99,MATCH('Net zero emission reductions'!$G1429,EF!$D$84:$D$99,0))*INDEX(EF!$H$100:$H$115,MATCH('Net zero emission reductions'!$G1429,EF!$D$100:$D$115,0))*INDEX(EF!$H$116:$H$131,MATCH('Net zero emission reductions'!$G1429,EF!$D$116:$D$131,0))*kgtoGg</f>
        <v>1.249710148564859</v>
      </c>
      <c r="AO1429" s="22">
        <f>INDEX('Activity data'!BH$24:BH$39,MATCH('Net zero emission reductions'!$G1429,'Activity data'!$D$24:$D$39,0))*INDEX(EF!$H$84:$H$99,MATCH('Net zero emission reductions'!$G1429,EF!$D$84:$D$99,0))*INDEX(EF!$H$100:$H$115,MATCH('Net zero emission reductions'!$G1429,EF!$D$100:$D$115,0))*INDEX(EF!$H$116:$H$131,MATCH('Net zero emission reductions'!$G1429,EF!$D$116:$D$131,0))*kgtoGg</f>
        <v>1.2491701942079498</v>
      </c>
      <c r="AP1429" s="22">
        <f>INDEX('Activity data'!BI$24:BI$39,MATCH('Net zero emission reductions'!$G1429,'Activity data'!$D$24:$D$39,0))*INDEX(EF!$H$84:$H$99,MATCH('Net zero emission reductions'!$G1429,EF!$D$84:$D$99,0))*INDEX(EF!$H$100:$H$115,MATCH('Net zero emission reductions'!$G1429,EF!$D$100:$D$115,0))*INDEX(EF!$H$116:$H$131,MATCH('Net zero emission reductions'!$G1429,EF!$D$116:$D$131,0))*kgtoGg</f>
        <v>1.2486302398510403</v>
      </c>
      <c r="AQ1429" s="22">
        <f>INDEX('Activity data'!BJ$24:BJ$39,MATCH('Net zero emission reductions'!$G1429,'Activity data'!$D$24:$D$39,0))*INDEX(EF!$H$84:$H$99,MATCH('Net zero emission reductions'!$G1429,EF!$D$84:$D$99,0))*INDEX(EF!$H$100:$H$115,MATCH('Net zero emission reductions'!$G1429,EF!$D$100:$D$115,0))*INDEX(EF!$H$116:$H$131,MATCH('Net zero emission reductions'!$G1429,EF!$D$116:$D$131,0))*kgtoGg</f>
        <v>1.2480902854941309</v>
      </c>
      <c r="AR1429" s="22">
        <f>INDEX('Activity data'!BK$24:BK$39,MATCH('Net zero emission reductions'!$G1429,'Activity data'!$D$24:$D$39,0))*INDEX(EF!$H$84:$H$99,MATCH('Net zero emission reductions'!$G1429,EF!$D$84:$D$99,0))*INDEX(EF!$H$100:$H$115,MATCH('Net zero emission reductions'!$G1429,EF!$D$100:$D$115,0))*INDEX(EF!$H$116:$H$131,MATCH('Net zero emission reductions'!$G1429,EF!$D$116:$D$131,0))*kgtoGg</f>
        <v>1.2475503311372214</v>
      </c>
      <c r="AS1429" s="22">
        <f>INDEX('Activity data'!BL$24:BL$39,MATCH('Net zero emission reductions'!$G1429,'Activity data'!$D$24:$D$39,0))*INDEX(EF!$H$84:$H$99,MATCH('Net zero emission reductions'!$G1429,EF!$D$84:$D$99,0))*INDEX(EF!$H$100:$H$115,MATCH('Net zero emission reductions'!$G1429,EF!$D$100:$D$115,0))*INDEX(EF!$H$116:$H$131,MATCH('Net zero emission reductions'!$G1429,EF!$D$116:$D$131,0))*kgtoGg</f>
        <v>1.247010376780312</v>
      </c>
      <c r="AT1429" s="22">
        <f>INDEX('Activity data'!BM$24:BM$39,MATCH('Net zero emission reductions'!$G1429,'Activity data'!$D$24:$D$39,0))*INDEX(EF!$H$84:$H$99,MATCH('Net zero emission reductions'!$G1429,EF!$D$84:$D$99,0))*INDEX(EF!$H$100:$H$115,MATCH('Net zero emission reductions'!$G1429,EF!$D$100:$D$115,0))*INDEX(EF!$H$116:$H$131,MATCH('Net zero emission reductions'!$G1429,EF!$D$116:$D$131,0))*kgtoGg</f>
        <v>1.2464704224234024</v>
      </c>
      <c r="AU1429" s="22">
        <f>INDEX('Activity data'!BN$24:BN$39,MATCH('Net zero emission reductions'!$G1429,'Activity data'!$D$24:$D$39,0))*INDEX(EF!$H$84:$H$99,MATCH('Net zero emission reductions'!$G1429,EF!$D$84:$D$99,0))*INDEX(EF!$H$100:$H$115,MATCH('Net zero emission reductions'!$G1429,EF!$D$100:$D$115,0))*INDEX(EF!$H$116:$H$131,MATCH('Net zero emission reductions'!$G1429,EF!$D$116:$D$131,0))*kgtoGg</f>
        <v>1.2459304680664931</v>
      </c>
      <c r="AV1429" s="22">
        <f>INDEX('Activity data'!BO$24:BO$39,MATCH('Net zero emission reductions'!$G1429,'Activity data'!$D$24:$D$39,0))*INDEX(EF!$H$84:$H$99,MATCH('Net zero emission reductions'!$G1429,EF!$D$84:$D$99,0))*INDEX(EF!$H$100:$H$115,MATCH('Net zero emission reductions'!$G1429,EF!$D$100:$D$115,0))*INDEX(EF!$H$116:$H$131,MATCH('Net zero emission reductions'!$G1429,EF!$D$116:$D$131,0))*kgtoGg</f>
        <v>1.2453905137095838</v>
      </c>
      <c r="AW1429" s="22">
        <f>INDEX('Activity data'!BP$24:BP$39,MATCH('Net zero emission reductions'!$G1429,'Activity data'!$D$24:$D$39,0))*INDEX(EF!$H$84:$H$99,MATCH('Net zero emission reductions'!$G1429,EF!$D$84:$D$99,0))*INDEX(EF!$H$100:$H$115,MATCH('Net zero emission reductions'!$G1429,EF!$D$100:$D$115,0))*INDEX(EF!$H$116:$H$131,MATCH('Net zero emission reductions'!$G1429,EF!$D$116:$D$131,0))*kgtoGg</f>
        <v>1.2448505593526744</v>
      </c>
    </row>
    <row r="1430" spans="1:49" x14ac:dyDescent="0.3">
      <c r="A1430" s="95" t="s">
        <v>960</v>
      </c>
      <c r="B1430" s="95"/>
      <c r="C1430" s="95"/>
      <c r="D1430" t="str">
        <f>D1429</f>
        <v>3C Aggregated and non-CO2 emissions on land</v>
      </c>
      <c r="E1430" t="str">
        <f t="shared" ref="E1430:F1434" si="554">E1429</f>
        <v>3C1 Biomass burning (CH4)</v>
      </c>
      <c r="F1430" t="str">
        <f>F1429</f>
        <v>3C1a Biomass burning in forest land</v>
      </c>
      <c r="G1430" t="str">
        <f>EF!D85</f>
        <v>Thickets</v>
      </c>
      <c r="H1430" t="s">
        <v>642</v>
      </c>
      <c r="I1430" t="str">
        <f>I1429</f>
        <v>CH4</v>
      </c>
      <c r="J1430" t="str">
        <f>J1429</f>
        <v>Gg CH4</v>
      </c>
      <c r="K1430" s="22">
        <f>INDEX('Activity data'!AD$24:AD$39,MATCH('Net zero emission reductions'!$G1430,'Activity data'!$D$24:$D$39,0))*INDEX(EF!$H$84:$H$99,MATCH('Net zero emission reductions'!$G1430,EF!$D$84:$D$99,0))*INDEX(EF!$H$100:$H$115,MATCH('Net zero emission reductions'!$G1430,EF!$D$100:$D$115,0))*INDEX(EF!$H$116:$H$131,MATCH('Net zero emission reductions'!$G1430,EF!$D$116:$D$131,0))*kgtoGg</f>
        <v>2.4624591885313172</v>
      </c>
      <c r="L1430" s="22">
        <f>INDEX('Activity data'!AE$24:AE$39,MATCH('Net zero emission reductions'!$G1430,'Activity data'!$D$24:$D$39,0))*INDEX(EF!$H$84:$H$99,MATCH('Net zero emission reductions'!$G1430,EF!$D$84:$D$99,0))*INDEX(EF!$H$100:$H$115,MATCH('Net zero emission reductions'!$G1430,EF!$D$100:$D$115,0))*INDEX(EF!$H$116:$H$131,MATCH('Net zero emission reductions'!$G1430,EF!$D$116:$D$131,0))*kgtoGg</f>
        <v>2.4585603570229884</v>
      </c>
      <c r="M1430" s="22">
        <f>INDEX('Activity data'!AF$24:AF$39,MATCH('Net zero emission reductions'!$G1430,'Activity data'!$D$24:$D$39,0))*INDEX(EF!$H$84:$H$99,MATCH('Net zero emission reductions'!$G1430,EF!$D$84:$D$99,0))*INDEX(EF!$H$100:$H$115,MATCH('Net zero emission reductions'!$G1430,EF!$D$100:$D$115,0))*INDEX(EF!$H$116:$H$131,MATCH('Net zero emission reductions'!$G1430,EF!$D$116:$D$131,0))*kgtoGg</f>
        <v>2.4546615255146595</v>
      </c>
      <c r="N1430" s="22">
        <f>INDEX('Activity data'!AG$24:AG$39,MATCH('Net zero emission reductions'!$G1430,'Activity data'!$D$24:$D$39,0))*INDEX(EF!$H$84:$H$99,MATCH('Net zero emission reductions'!$G1430,EF!$D$84:$D$99,0))*INDEX(EF!$H$100:$H$115,MATCH('Net zero emission reductions'!$G1430,EF!$D$100:$D$115,0))*INDEX(EF!$H$116:$H$131,MATCH('Net zero emission reductions'!$G1430,EF!$D$116:$D$131,0))*kgtoGg</f>
        <v>2.4507626940063303</v>
      </c>
      <c r="O1430" s="22">
        <f>INDEX('Activity data'!AH$24:AH$39,MATCH('Net zero emission reductions'!$G1430,'Activity data'!$D$24:$D$39,0))*INDEX(EF!$H$84:$H$99,MATCH('Net zero emission reductions'!$G1430,EF!$D$84:$D$99,0))*INDEX(EF!$H$100:$H$115,MATCH('Net zero emission reductions'!$G1430,EF!$D$100:$D$115,0))*INDEX(EF!$H$116:$H$131,MATCH('Net zero emission reductions'!$G1430,EF!$D$116:$D$131,0))*kgtoGg</f>
        <v>2.4468638624980015</v>
      </c>
      <c r="P1430" s="22">
        <f>INDEX('Activity data'!AI$24:AI$39,MATCH('Net zero emission reductions'!$G1430,'Activity data'!$D$24:$D$39,0))*INDEX(EF!$H$84:$H$99,MATCH('Net zero emission reductions'!$G1430,EF!$D$84:$D$99,0))*INDEX(EF!$H$100:$H$115,MATCH('Net zero emission reductions'!$G1430,EF!$D$100:$D$115,0))*INDEX(EF!$H$116:$H$131,MATCH('Net zero emission reductions'!$G1430,EF!$D$116:$D$131,0))*kgtoGg</f>
        <v>2.4429650309896722</v>
      </c>
      <c r="Q1430" s="22">
        <f>INDEX('Activity data'!AJ$24:AJ$39,MATCH('Net zero emission reductions'!$G1430,'Activity data'!$D$24:$D$39,0))*INDEX(EF!$H$84:$H$99,MATCH('Net zero emission reductions'!$G1430,EF!$D$84:$D$99,0))*INDEX(EF!$H$100:$H$115,MATCH('Net zero emission reductions'!$G1430,EF!$D$100:$D$115,0))*INDEX(EF!$H$116:$H$131,MATCH('Net zero emission reductions'!$G1430,EF!$D$116:$D$131,0))*kgtoGg</f>
        <v>2.4390661994813438</v>
      </c>
      <c r="R1430" s="22">
        <f>INDEX('Activity data'!AK$24:AK$39,MATCH('Net zero emission reductions'!$G1430,'Activity data'!$D$24:$D$39,0))*INDEX(EF!$H$84:$H$99,MATCH('Net zero emission reductions'!$G1430,EF!$D$84:$D$99,0))*INDEX(EF!$H$100:$H$115,MATCH('Net zero emission reductions'!$G1430,EF!$D$100:$D$115,0))*INDEX(EF!$H$116:$H$131,MATCH('Net zero emission reductions'!$G1430,EF!$D$116:$D$131,0))*kgtoGg</f>
        <v>2.4351673679730146</v>
      </c>
      <c r="S1430" s="22">
        <f>INDEX('Activity data'!AL$24:AL$39,MATCH('Net zero emission reductions'!$G1430,'Activity data'!$D$24:$D$39,0))*INDEX(EF!$H$84:$H$99,MATCH('Net zero emission reductions'!$G1430,EF!$D$84:$D$99,0))*INDEX(EF!$H$100:$H$115,MATCH('Net zero emission reductions'!$G1430,EF!$D$100:$D$115,0))*INDEX(EF!$H$116:$H$131,MATCH('Net zero emission reductions'!$G1430,EF!$D$116:$D$131,0))*kgtoGg</f>
        <v>2.4312685364646853</v>
      </c>
      <c r="T1430" s="22">
        <f>INDEX('Activity data'!AM$24:AM$39,MATCH('Net zero emission reductions'!$G1430,'Activity data'!$D$24:$D$39,0))*INDEX(EF!$H$84:$H$99,MATCH('Net zero emission reductions'!$G1430,EF!$D$84:$D$99,0))*INDEX(EF!$H$100:$H$115,MATCH('Net zero emission reductions'!$G1430,EF!$D$100:$D$115,0))*INDEX(EF!$H$116:$H$131,MATCH('Net zero emission reductions'!$G1430,EF!$D$116:$D$131,0))*kgtoGg</f>
        <v>2.427369704956357</v>
      </c>
      <c r="U1430" s="22">
        <f>INDEX('Activity data'!AN$24:AN$39,MATCH('Net zero emission reductions'!$G1430,'Activity data'!$D$24:$D$39,0))*INDEX(EF!$H$84:$H$99,MATCH('Net zero emission reductions'!$G1430,EF!$D$84:$D$99,0))*INDEX(EF!$H$100:$H$115,MATCH('Net zero emission reductions'!$G1430,EF!$D$100:$D$115,0))*INDEX(EF!$H$116:$H$131,MATCH('Net zero emission reductions'!$G1430,EF!$D$116:$D$131,0))*kgtoGg</f>
        <v>2.4234708734480273</v>
      </c>
      <c r="V1430" s="22">
        <f>INDEX('Activity data'!AO$24:AO$39,MATCH('Net zero emission reductions'!$G1430,'Activity data'!$D$24:$D$39,0))*INDEX(EF!$H$84:$H$99,MATCH('Net zero emission reductions'!$G1430,EF!$D$84:$D$99,0))*INDEX(EF!$H$100:$H$115,MATCH('Net zero emission reductions'!$G1430,EF!$D$100:$D$115,0))*INDEX(EF!$H$116:$H$131,MATCH('Net zero emission reductions'!$G1430,EF!$D$116:$D$131,0))*kgtoGg</f>
        <v>2.4195720419396989</v>
      </c>
      <c r="W1430" s="22">
        <f>INDEX('Activity data'!AP$24:AP$39,MATCH('Net zero emission reductions'!$G1430,'Activity data'!$D$24:$D$39,0))*INDEX(EF!$H$84:$H$99,MATCH('Net zero emission reductions'!$G1430,EF!$D$84:$D$99,0))*INDEX(EF!$H$100:$H$115,MATCH('Net zero emission reductions'!$G1430,EF!$D$100:$D$115,0))*INDEX(EF!$H$116:$H$131,MATCH('Net zero emission reductions'!$G1430,EF!$D$116:$D$131,0))*kgtoGg</f>
        <v>2.4156732104313696</v>
      </c>
      <c r="X1430" s="22">
        <f>INDEX('Activity data'!AQ$24:AQ$39,MATCH('Net zero emission reductions'!$G1430,'Activity data'!$D$24:$D$39,0))*INDEX(EF!$H$84:$H$99,MATCH('Net zero emission reductions'!$G1430,EF!$D$84:$D$99,0))*INDEX(EF!$H$100:$H$115,MATCH('Net zero emission reductions'!$G1430,EF!$D$100:$D$115,0))*INDEX(EF!$H$116:$H$131,MATCH('Net zero emission reductions'!$G1430,EF!$D$116:$D$131,0))*kgtoGg</f>
        <v>2.4117743789230404</v>
      </c>
      <c r="Y1430" s="22">
        <f>INDEX('Activity data'!AR$24:AR$39,MATCH('Net zero emission reductions'!$G1430,'Activity data'!$D$24:$D$39,0))*INDEX(EF!$H$84:$H$99,MATCH('Net zero emission reductions'!$G1430,EF!$D$84:$D$99,0))*INDEX(EF!$H$100:$H$115,MATCH('Net zero emission reductions'!$G1430,EF!$D$100:$D$115,0))*INDEX(EF!$H$116:$H$131,MATCH('Net zero emission reductions'!$G1430,EF!$D$116:$D$131,0))*kgtoGg</f>
        <v>2.407875547414712</v>
      </c>
      <c r="Z1430" s="22">
        <f>INDEX('Activity data'!AS$24:AS$39,MATCH('Net zero emission reductions'!$G1430,'Activity data'!$D$24:$D$39,0))*INDEX(EF!$H$84:$H$99,MATCH('Net zero emission reductions'!$G1430,EF!$D$84:$D$99,0))*INDEX(EF!$H$100:$H$115,MATCH('Net zero emission reductions'!$G1430,EF!$D$100:$D$115,0))*INDEX(EF!$H$116:$H$131,MATCH('Net zero emission reductions'!$G1430,EF!$D$116:$D$131,0))*kgtoGg</f>
        <v>2.4039767159063823</v>
      </c>
      <c r="AA1430" s="22">
        <f>INDEX('Activity data'!AT$24:AT$39,MATCH('Net zero emission reductions'!$G1430,'Activity data'!$D$24:$D$39,0))*INDEX(EF!$H$84:$H$99,MATCH('Net zero emission reductions'!$G1430,EF!$D$84:$D$99,0))*INDEX(EF!$H$100:$H$115,MATCH('Net zero emission reductions'!$G1430,EF!$D$100:$D$115,0))*INDEX(EF!$H$116:$H$131,MATCH('Net zero emission reductions'!$G1430,EF!$D$116:$D$131,0))*kgtoGg</f>
        <v>2.4000778843980535</v>
      </c>
      <c r="AB1430" s="22">
        <f>INDEX('Activity data'!AU$24:AU$39,MATCH('Net zero emission reductions'!$G1430,'Activity data'!$D$24:$D$39,0))*INDEX(EF!$H$84:$H$99,MATCH('Net zero emission reductions'!$G1430,EF!$D$84:$D$99,0))*INDEX(EF!$H$100:$H$115,MATCH('Net zero emission reductions'!$G1430,EF!$D$100:$D$115,0))*INDEX(EF!$H$116:$H$131,MATCH('Net zero emission reductions'!$G1430,EF!$D$116:$D$131,0))*kgtoGg</f>
        <v>2.3961790528897247</v>
      </c>
      <c r="AC1430" s="22">
        <f>INDEX('Activity data'!AV$24:AV$39,MATCH('Net zero emission reductions'!$G1430,'Activity data'!$D$24:$D$39,0))*INDEX(EF!$H$84:$H$99,MATCH('Net zero emission reductions'!$G1430,EF!$D$84:$D$99,0))*INDEX(EF!$H$100:$H$115,MATCH('Net zero emission reductions'!$G1430,EF!$D$100:$D$115,0))*INDEX(EF!$H$116:$H$131,MATCH('Net zero emission reductions'!$G1430,EF!$D$116:$D$131,0))*kgtoGg</f>
        <v>2.3922802213813954</v>
      </c>
      <c r="AD1430" s="22">
        <f>INDEX('Activity data'!AW$24:AW$39,MATCH('Net zero emission reductions'!$G1430,'Activity data'!$D$24:$D$39,0))*INDEX(EF!$H$84:$H$99,MATCH('Net zero emission reductions'!$G1430,EF!$D$84:$D$99,0))*INDEX(EF!$H$100:$H$115,MATCH('Net zero emission reductions'!$G1430,EF!$D$100:$D$115,0))*INDEX(EF!$H$116:$H$131,MATCH('Net zero emission reductions'!$G1430,EF!$D$116:$D$131,0))*kgtoGg</f>
        <v>2.3883813898730675</v>
      </c>
      <c r="AE1430" s="22">
        <f>INDEX('Activity data'!AX$24:AX$39,MATCH('Net zero emission reductions'!$G1430,'Activity data'!$D$24:$D$39,0))*INDEX(EF!$H$84:$H$99,MATCH('Net zero emission reductions'!$G1430,EF!$D$84:$D$99,0))*INDEX(EF!$H$100:$H$115,MATCH('Net zero emission reductions'!$G1430,EF!$D$100:$D$115,0))*INDEX(EF!$H$116:$H$131,MATCH('Net zero emission reductions'!$G1430,EF!$D$116:$D$131,0))*kgtoGg</f>
        <v>2.3844825583647378</v>
      </c>
      <c r="AF1430" s="22">
        <f>INDEX('Activity data'!AY$24:AY$39,MATCH('Net zero emission reductions'!$G1430,'Activity data'!$D$24:$D$39,0))*INDEX(EF!$H$84:$H$99,MATCH('Net zero emission reductions'!$G1430,EF!$D$84:$D$99,0))*INDEX(EF!$H$100:$H$115,MATCH('Net zero emission reductions'!$G1430,EF!$D$100:$D$115,0))*INDEX(EF!$H$116:$H$131,MATCH('Net zero emission reductions'!$G1430,EF!$D$116:$D$131,0))*kgtoGg</f>
        <v>2.3805837268564085</v>
      </c>
      <c r="AG1430" s="22">
        <f>INDEX('Activity data'!AZ$24:AZ$39,MATCH('Net zero emission reductions'!$G1430,'Activity data'!$D$24:$D$39,0))*INDEX(EF!$H$84:$H$99,MATCH('Net zero emission reductions'!$G1430,EF!$D$84:$D$99,0))*INDEX(EF!$H$100:$H$115,MATCH('Net zero emission reductions'!$G1430,EF!$D$100:$D$115,0))*INDEX(EF!$H$116:$H$131,MATCH('Net zero emission reductions'!$G1430,EF!$D$116:$D$131,0))*kgtoGg</f>
        <v>2.3766848953480793</v>
      </c>
      <c r="AH1430" s="22">
        <f>INDEX('Activity data'!BA$24:BA$39,MATCH('Net zero emission reductions'!$G1430,'Activity data'!$D$24:$D$39,0))*INDEX(EF!$H$84:$H$99,MATCH('Net zero emission reductions'!$G1430,EF!$D$84:$D$99,0))*INDEX(EF!$H$100:$H$115,MATCH('Net zero emission reductions'!$G1430,EF!$D$100:$D$115,0))*INDEX(EF!$H$116:$H$131,MATCH('Net zero emission reductions'!$G1430,EF!$D$116:$D$131,0))*kgtoGg</f>
        <v>2.3727860638397509</v>
      </c>
      <c r="AI1430" s="22">
        <f>INDEX('Activity data'!BB$24:BB$39,MATCH('Net zero emission reductions'!$G1430,'Activity data'!$D$24:$D$39,0))*INDEX(EF!$H$84:$H$99,MATCH('Net zero emission reductions'!$G1430,EF!$D$84:$D$99,0))*INDEX(EF!$H$100:$H$115,MATCH('Net zero emission reductions'!$G1430,EF!$D$100:$D$115,0))*INDEX(EF!$H$116:$H$131,MATCH('Net zero emission reductions'!$G1430,EF!$D$116:$D$131,0))*kgtoGg</f>
        <v>2.3688872323314216</v>
      </c>
      <c r="AJ1430" s="22">
        <f>INDEX('Activity data'!BC$24:BC$39,MATCH('Net zero emission reductions'!$G1430,'Activity data'!$D$24:$D$39,0))*INDEX(EF!$H$84:$H$99,MATCH('Net zero emission reductions'!$G1430,EF!$D$84:$D$99,0))*INDEX(EF!$H$100:$H$115,MATCH('Net zero emission reductions'!$G1430,EF!$D$100:$D$115,0))*INDEX(EF!$H$116:$H$131,MATCH('Net zero emission reductions'!$G1430,EF!$D$116:$D$131,0))*kgtoGg</f>
        <v>2.3649884008230924</v>
      </c>
      <c r="AK1430" s="22">
        <f>INDEX('Activity data'!BD$24:BD$39,MATCH('Net zero emission reductions'!$G1430,'Activity data'!$D$24:$D$39,0))*INDEX(EF!$H$84:$H$99,MATCH('Net zero emission reductions'!$G1430,EF!$D$84:$D$99,0))*INDEX(EF!$H$100:$H$115,MATCH('Net zero emission reductions'!$G1430,EF!$D$100:$D$115,0))*INDEX(EF!$H$116:$H$131,MATCH('Net zero emission reductions'!$G1430,EF!$D$116:$D$131,0))*kgtoGg</f>
        <v>2.361089569314764</v>
      </c>
      <c r="AL1430" s="22">
        <f>INDEX('Activity data'!BE$24:BE$39,MATCH('Net zero emission reductions'!$G1430,'Activity data'!$D$24:$D$39,0))*INDEX(EF!$H$84:$H$99,MATCH('Net zero emission reductions'!$G1430,EF!$D$84:$D$99,0))*INDEX(EF!$H$100:$H$115,MATCH('Net zero emission reductions'!$G1430,EF!$D$100:$D$115,0))*INDEX(EF!$H$116:$H$131,MATCH('Net zero emission reductions'!$G1430,EF!$D$116:$D$131,0))*kgtoGg</f>
        <v>2.3571907378064347</v>
      </c>
      <c r="AM1430" s="22">
        <f>INDEX('Activity data'!BF$24:BF$39,MATCH('Net zero emission reductions'!$G1430,'Activity data'!$D$24:$D$39,0))*INDEX(EF!$H$84:$H$99,MATCH('Net zero emission reductions'!$G1430,EF!$D$84:$D$99,0))*INDEX(EF!$H$100:$H$115,MATCH('Net zero emission reductions'!$G1430,EF!$D$100:$D$115,0))*INDEX(EF!$H$116:$H$131,MATCH('Net zero emission reductions'!$G1430,EF!$D$116:$D$131,0))*kgtoGg</f>
        <v>2.3532919062981059</v>
      </c>
      <c r="AN1430" s="22">
        <f>INDEX('Activity data'!BG$24:BG$39,MATCH('Net zero emission reductions'!$G1430,'Activity data'!$D$24:$D$39,0))*INDEX(EF!$H$84:$H$99,MATCH('Net zero emission reductions'!$G1430,EF!$D$84:$D$99,0))*INDEX(EF!$H$100:$H$115,MATCH('Net zero emission reductions'!$G1430,EF!$D$100:$D$115,0))*INDEX(EF!$H$116:$H$131,MATCH('Net zero emission reductions'!$G1430,EF!$D$116:$D$131,0))*kgtoGg</f>
        <v>2.3493930747897767</v>
      </c>
      <c r="AO1430" s="22">
        <f>INDEX('Activity data'!BH$24:BH$39,MATCH('Net zero emission reductions'!$G1430,'Activity data'!$D$24:$D$39,0))*INDEX(EF!$H$84:$H$99,MATCH('Net zero emission reductions'!$G1430,EF!$D$84:$D$99,0))*INDEX(EF!$H$100:$H$115,MATCH('Net zero emission reductions'!$G1430,EF!$D$100:$D$115,0))*INDEX(EF!$H$116:$H$131,MATCH('Net zero emission reductions'!$G1430,EF!$D$116:$D$131,0))*kgtoGg</f>
        <v>2.3454942432814478</v>
      </c>
      <c r="AP1430" s="22">
        <f>INDEX('Activity data'!BI$24:BI$39,MATCH('Net zero emission reductions'!$G1430,'Activity data'!$D$24:$D$39,0))*INDEX(EF!$H$84:$H$99,MATCH('Net zero emission reductions'!$G1430,EF!$D$84:$D$99,0))*INDEX(EF!$H$100:$H$115,MATCH('Net zero emission reductions'!$G1430,EF!$D$100:$D$115,0))*INDEX(EF!$H$116:$H$131,MATCH('Net zero emission reductions'!$G1430,EF!$D$116:$D$131,0))*kgtoGg</f>
        <v>2.341595411773119</v>
      </c>
      <c r="AQ1430" s="22">
        <f>INDEX('Activity data'!BJ$24:BJ$39,MATCH('Net zero emission reductions'!$G1430,'Activity data'!$D$24:$D$39,0))*INDEX(EF!$H$84:$H$99,MATCH('Net zero emission reductions'!$G1430,EF!$D$84:$D$99,0))*INDEX(EF!$H$100:$H$115,MATCH('Net zero emission reductions'!$G1430,EF!$D$100:$D$115,0))*INDEX(EF!$H$116:$H$131,MATCH('Net zero emission reductions'!$G1430,EF!$D$116:$D$131,0))*kgtoGg</f>
        <v>2.3376965802647898</v>
      </c>
      <c r="AR1430" s="22">
        <f>INDEX('Activity data'!BK$24:BK$39,MATCH('Net zero emission reductions'!$G1430,'Activity data'!$D$24:$D$39,0))*INDEX(EF!$H$84:$H$99,MATCH('Net zero emission reductions'!$G1430,EF!$D$84:$D$99,0))*INDEX(EF!$H$100:$H$115,MATCH('Net zero emission reductions'!$G1430,EF!$D$100:$D$115,0))*INDEX(EF!$H$116:$H$131,MATCH('Net zero emission reductions'!$G1430,EF!$D$116:$D$131,0))*kgtoGg</f>
        <v>2.3337977487564614</v>
      </c>
      <c r="AS1430" s="22">
        <f>INDEX('Activity data'!BL$24:BL$39,MATCH('Net zero emission reductions'!$G1430,'Activity data'!$D$24:$D$39,0))*INDEX(EF!$H$84:$H$99,MATCH('Net zero emission reductions'!$G1430,EF!$D$84:$D$99,0))*INDEX(EF!$H$100:$H$115,MATCH('Net zero emission reductions'!$G1430,EF!$D$100:$D$115,0))*INDEX(EF!$H$116:$H$131,MATCH('Net zero emission reductions'!$G1430,EF!$D$116:$D$131,0))*kgtoGg</f>
        <v>2.3298989172481317</v>
      </c>
      <c r="AT1430" s="22">
        <f>INDEX('Activity data'!BM$24:BM$39,MATCH('Net zero emission reductions'!$G1430,'Activity data'!$D$24:$D$39,0))*INDEX(EF!$H$84:$H$99,MATCH('Net zero emission reductions'!$G1430,EF!$D$84:$D$99,0))*INDEX(EF!$H$100:$H$115,MATCH('Net zero emission reductions'!$G1430,EF!$D$100:$D$115,0))*INDEX(EF!$H$116:$H$131,MATCH('Net zero emission reductions'!$G1430,EF!$D$116:$D$131,0))*kgtoGg</f>
        <v>2.3260000857398029</v>
      </c>
      <c r="AU1430" s="22">
        <f>INDEX('Activity data'!BN$24:BN$39,MATCH('Net zero emission reductions'!$G1430,'Activity data'!$D$24:$D$39,0))*INDEX(EF!$H$84:$H$99,MATCH('Net zero emission reductions'!$G1430,EF!$D$84:$D$99,0))*INDEX(EF!$H$100:$H$115,MATCH('Net zero emission reductions'!$G1430,EF!$D$100:$D$115,0))*INDEX(EF!$H$116:$H$131,MATCH('Net zero emission reductions'!$G1430,EF!$D$116:$D$131,0))*kgtoGg</f>
        <v>2.3221012542314736</v>
      </c>
      <c r="AV1430" s="22">
        <f>INDEX('Activity data'!BO$24:BO$39,MATCH('Net zero emission reductions'!$G1430,'Activity data'!$D$24:$D$39,0))*INDEX(EF!$H$84:$H$99,MATCH('Net zero emission reductions'!$G1430,EF!$D$84:$D$99,0))*INDEX(EF!$H$100:$H$115,MATCH('Net zero emission reductions'!$G1430,EF!$D$100:$D$115,0))*INDEX(EF!$H$116:$H$131,MATCH('Net zero emission reductions'!$G1430,EF!$D$116:$D$131,0))*kgtoGg</f>
        <v>2.3182024227231448</v>
      </c>
      <c r="AW1430" s="22">
        <f>INDEX('Activity data'!BP$24:BP$39,MATCH('Net zero emission reductions'!$G1430,'Activity data'!$D$24:$D$39,0))*INDEX(EF!$H$84:$H$99,MATCH('Net zero emission reductions'!$G1430,EF!$D$84:$D$99,0))*INDEX(EF!$H$100:$H$115,MATCH('Net zero emission reductions'!$G1430,EF!$D$100:$D$115,0))*INDEX(EF!$H$116:$H$131,MATCH('Net zero emission reductions'!$G1430,EF!$D$116:$D$131,0))*kgtoGg</f>
        <v>2.314303591214816</v>
      </c>
    </row>
    <row r="1431" spans="1:49" x14ac:dyDescent="0.3">
      <c r="A1431" s="95" t="s">
        <v>960</v>
      </c>
      <c r="B1431" s="95"/>
      <c r="C1431" s="95"/>
      <c r="D1431" t="str">
        <f t="shared" ref="D1431:E1446" si="555">D1430</f>
        <v>3C Aggregated and non-CO2 emissions on land</v>
      </c>
      <c r="E1431" t="str">
        <f t="shared" si="554"/>
        <v>3C1 Biomass burning (CH4)</v>
      </c>
      <c r="F1431" t="str">
        <f t="shared" si="554"/>
        <v>3C1a Biomass burning in forest land</v>
      </c>
      <c r="G1431" t="str">
        <f>EF!D86</f>
        <v>Woodlands</v>
      </c>
      <c r="H1431" t="s">
        <v>643</v>
      </c>
      <c r="I1431" t="str">
        <f t="shared" ref="I1431:J1434" si="556">I1430</f>
        <v>CH4</v>
      </c>
      <c r="J1431" t="str">
        <f t="shared" si="556"/>
        <v>Gg CH4</v>
      </c>
      <c r="K1431" s="22">
        <f>INDEX('Net zero Activity data'!AD$24:AD$39,MATCH('Net zero emission reductions'!$G1431,'Net zero Activity data'!$D$24:$D$39,0))*INDEX(EF!$H$84:$H$99,MATCH('Net zero emission reductions'!$G1431,EF!$D$84:$D$99,0))*INDEX(EF!$H$100:$H$115,MATCH('Net zero emission reductions'!$G1431,EF!$D$100:$D$115,0))*INDEX(EF!$H$116:$H$131,MATCH('Net zero emission reductions'!$G1431,EF!$D$116:$D$131,0))*kgtoGg</f>
        <v>5.3786221650316861</v>
      </c>
      <c r="L1431" s="22">
        <f>INDEX('Net zero Activity data'!AE$24:AE$39,MATCH('Net zero emission reductions'!$G1431,'Net zero Activity data'!$D$24:$D$39,0))*INDEX(EF!$H$84:$H$99,MATCH('Net zero emission reductions'!$G1431,EF!$D$84:$D$99,0))*INDEX(EF!$H$100:$H$115,MATCH('Net zero emission reductions'!$G1431,EF!$D$100:$D$115,0))*INDEX(EF!$H$116:$H$131,MATCH('Net zero emission reductions'!$G1431,EF!$D$116:$D$131,0))*kgtoGg</f>
        <v>5.3880428110636629</v>
      </c>
      <c r="M1431" s="22">
        <f>INDEX('Net zero Activity data'!AF$24:AF$39,MATCH('Net zero emission reductions'!$G1431,'Net zero Activity data'!$D$24:$D$39,0))*INDEX(EF!$H$84:$H$99,MATCH('Net zero emission reductions'!$G1431,EF!$D$84:$D$99,0))*INDEX(EF!$H$100:$H$115,MATCH('Net zero emission reductions'!$G1431,EF!$D$100:$D$115,0))*INDEX(EF!$H$116:$H$131,MATCH('Net zero emission reductions'!$G1431,EF!$D$116:$D$131,0))*kgtoGg</f>
        <v>5.3974634570956406</v>
      </c>
      <c r="N1431" s="22">
        <f>INDEX('Net zero Activity data'!AG$24:AG$39,MATCH('Net zero emission reductions'!$G1431,'Net zero Activity data'!$D$24:$D$39,0))*INDEX(EF!$H$84:$H$99,MATCH('Net zero emission reductions'!$G1431,EF!$D$84:$D$99,0))*INDEX(EF!$H$100:$H$115,MATCH('Net zero emission reductions'!$G1431,EF!$D$100:$D$115,0))*INDEX(EF!$H$116:$H$131,MATCH('Net zero emission reductions'!$G1431,EF!$D$116:$D$131,0))*kgtoGg</f>
        <v>5.4068841031276182</v>
      </c>
      <c r="O1431" s="22">
        <f>INDEX('Net zero Activity data'!AH$24:AH$39,MATCH('Net zero emission reductions'!$G1431,'Net zero Activity data'!$D$24:$D$39,0))*INDEX(EF!$H$84:$H$99,MATCH('Net zero emission reductions'!$G1431,EF!$D$84:$D$99,0))*INDEX(EF!$H$100:$H$115,MATCH('Net zero emission reductions'!$G1431,EF!$D$100:$D$115,0))*INDEX(EF!$H$116:$H$131,MATCH('Net zero emission reductions'!$G1431,EF!$D$116:$D$131,0))*kgtoGg</f>
        <v>5.4163047491595959</v>
      </c>
      <c r="P1431" s="22">
        <f>INDEX('Net zero Activity data'!AI$24:AI$39,MATCH('Net zero emission reductions'!$G1431,'Net zero Activity data'!$D$24:$D$39,0))*INDEX(EF!$H$84:$H$99,MATCH('Net zero emission reductions'!$G1431,EF!$D$84:$D$99,0))*INDEX(EF!$H$100:$H$115,MATCH('Net zero emission reductions'!$G1431,EF!$D$100:$D$115,0))*INDEX(EF!$H$116:$H$131,MATCH('Net zero emission reductions'!$G1431,EF!$D$116:$D$131,0))*kgtoGg</f>
        <v>5.4257253951915727</v>
      </c>
      <c r="Q1431" s="22">
        <f>INDEX('Net zero Activity data'!AJ$24:AJ$39,MATCH('Net zero emission reductions'!$G1431,'Net zero Activity data'!$D$24:$D$39,0))*INDEX(EF!$H$84:$H$99,MATCH('Net zero emission reductions'!$G1431,EF!$D$84:$D$99,0))*INDEX(EF!$H$100:$H$115,MATCH('Net zero emission reductions'!$G1431,EF!$D$100:$D$115,0))*INDEX(EF!$H$116:$H$131,MATCH('Net zero emission reductions'!$G1431,EF!$D$116:$D$131,0))*kgtoGg</f>
        <v>5.4351460412235486</v>
      </c>
      <c r="R1431" s="22">
        <f>INDEX('Net zero Activity data'!AK$24:AK$39,MATCH('Net zero emission reductions'!$G1431,'Net zero Activity data'!$D$24:$D$39,0))*INDEX(EF!$H$84:$H$99,MATCH('Net zero emission reductions'!$G1431,EF!$D$84:$D$99,0))*INDEX(EF!$H$100:$H$115,MATCH('Net zero emission reductions'!$G1431,EF!$D$100:$D$115,0))*INDEX(EF!$H$116:$H$131,MATCH('Net zero emission reductions'!$G1431,EF!$D$116:$D$131,0))*kgtoGg</f>
        <v>5.3972660466060871</v>
      </c>
      <c r="S1431" s="22">
        <f>INDEX('Net zero Activity data'!AL$24:AL$39,MATCH('Net zero emission reductions'!$G1431,'Net zero Activity data'!$D$24:$D$39,0))*INDEX(EF!$H$84:$H$99,MATCH('Net zero emission reductions'!$G1431,EF!$D$84:$D$99,0))*INDEX(EF!$H$100:$H$115,MATCH('Net zero emission reductions'!$G1431,EF!$D$100:$D$115,0))*INDEX(EF!$H$116:$H$131,MATCH('Net zero emission reductions'!$G1431,EF!$D$116:$D$131,0))*kgtoGg</f>
        <v>5.3593860519886229</v>
      </c>
      <c r="T1431" s="22">
        <f>INDEX('Net zero Activity data'!AM$24:AM$39,MATCH('Net zero emission reductions'!$G1431,'Net zero Activity data'!$D$24:$D$39,0))*INDEX(EF!$H$84:$H$99,MATCH('Net zero emission reductions'!$G1431,EF!$D$84:$D$99,0))*INDEX(EF!$H$100:$H$115,MATCH('Net zero emission reductions'!$G1431,EF!$D$100:$D$115,0))*INDEX(EF!$H$116:$H$131,MATCH('Net zero emission reductions'!$G1431,EF!$D$116:$D$131,0))*kgtoGg</f>
        <v>5.3215060573711588</v>
      </c>
      <c r="U1431" s="22">
        <f>INDEX('Net zero Activity data'!AN$24:AN$39,MATCH('Net zero emission reductions'!$G1431,'Net zero Activity data'!$D$24:$D$39,0))*INDEX(EF!$H$84:$H$99,MATCH('Net zero emission reductions'!$G1431,EF!$D$84:$D$99,0))*INDEX(EF!$H$100:$H$115,MATCH('Net zero emission reductions'!$G1431,EF!$D$100:$D$115,0))*INDEX(EF!$H$116:$H$131,MATCH('Net zero emission reductions'!$G1431,EF!$D$116:$D$131,0))*kgtoGg</f>
        <v>5.2836260627536946</v>
      </c>
      <c r="V1431" s="22">
        <f>INDEX('Net zero Activity data'!AO$24:AO$39,MATCH('Net zero emission reductions'!$G1431,'Net zero Activity data'!$D$24:$D$39,0))*INDEX(EF!$H$84:$H$99,MATCH('Net zero emission reductions'!$G1431,EF!$D$84:$D$99,0))*INDEX(EF!$H$100:$H$115,MATCH('Net zero emission reductions'!$G1431,EF!$D$100:$D$115,0))*INDEX(EF!$H$116:$H$131,MATCH('Net zero emission reductions'!$G1431,EF!$D$116:$D$131,0))*kgtoGg</f>
        <v>5.2457460681362322</v>
      </c>
      <c r="W1431" s="22">
        <f>INDEX('Net zero Activity data'!AP$24:AP$39,MATCH('Net zero emission reductions'!$G1431,'Net zero Activity data'!$D$24:$D$39,0))*INDEX(EF!$H$84:$H$99,MATCH('Net zero emission reductions'!$G1431,EF!$D$84:$D$99,0))*INDEX(EF!$H$100:$H$115,MATCH('Net zero emission reductions'!$G1431,EF!$D$100:$D$115,0))*INDEX(EF!$H$116:$H$131,MATCH('Net zero emission reductions'!$G1431,EF!$D$116:$D$131,0))*kgtoGg</f>
        <v>5.2078660735187698</v>
      </c>
      <c r="X1431" s="22">
        <f>INDEX('Net zero Activity data'!AQ$24:AQ$39,MATCH('Net zero emission reductions'!$G1431,'Net zero Activity data'!$D$24:$D$39,0))*INDEX(EF!$H$84:$H$99,MATCH('Net zero emission reductions'!$G1431,EF!$D$84:$D$99,0))*INDEX(EF!$H$100:$H$115,MATCH('Net zero emission reductions'!$G1431,EF!$D$100:$D$115,0))*INDEX(EF!$H$116:$H$131,MATCH('Net zero emission reductions'!$G1431,EF!$D$116:$D$131,0))*kgtoGg</f>
        <v>5.1699860789013057</v>
      </c>
      <c r="Y1431" s="22">
        <f>INDEX('Net zero Activity data'!AR$24:AR$39,MATCH('Net zero emission reductions'!$G1431,'Net zero Activity data'!$D$24:$D$39,0))*INDEX(EF!$H$84:$H$99,MATCH('Net zero emission reductions'!$G1431,EF!$D$84:$D$99,0))*INDEX(EF!$H$100:$H$115,MATCH('Net zero emission reductions'!$G1431,EF!$D$100:$D$115,0))*INDEX(EF!$H$116:$H$131,MATCH('Net zero emission reductions'!$G1431,EF!$D$116:$D$131,0))*kgtoGg</f>
        <v>5.1321060842838424</v>
      </c>
      <c r="Z1431" s="22">
        <f>INDEX('Net zero Activity data'!AS$24:AS$39,MATCH('Net zero emission reductions'!$G1431,'Net zero Activity data'!$D$24:$D$39,0))*INDEX(EF!$H$84:$H$99,MATCH('Net zero emission reductions'!$G1431,EF!$D$84:$D$99,0))*INDEX(EF!$H$100:$H$115,MATCH('Net zero emission reductions'!$G1431,EF!$D$100:$D$115,0))*INDEX(EF!$H$116:$H$131,MATCH('Net zero emission reductions'!$G1431,EF!$D$116:$D$131,0))*kgtoGg</f>
        <v>5.0942260896663782</v>
      </c>
      <c r="AA1431" s="22">
        <f>INDEX('Net zero Activity data'!AT$24:AT$39,MATCH('Net zero emission reductions'!$G1431,'Net zero Activity data'!$D$24:$D$39,0))*INDEX(EF!$H$84:$H$99,MATCH('Net zero emission reductions'!$G1431,EF!$D$84:$D$99,0))*INDEX(EF!$H$100:$H$115,MATCH('Net zero emission reductions'!$G1431,EF!$D$100:$D$115,0))*INDEX(EF!$H$116:$H$131,MATCH('Net zero emission reductions'!$G1431,EF!$D$116:$D$131,0))*kgtoGg</f>
        <v>5.0563460950489141</v>
      </c>
      <c r="AB1431" s="22">
        <f>INDEX('Net zero Activity data'!AU$24:AU$39,MATCH('Net zero emission reductions'!$G1431,'Net zero Activity data'!$D$24:$D$39,0))*INDEX(EF!$H$84:$H$99,MATCH('Net zero emission reductions'!$G1431,EF!$D$84:$D$99,0))*INDEX(EF!$H$100:$H$115,MATCH('Net zero emission reductions'!$G1431,EF!$D$100:$D$115,0))*INDEX(EF!$H$116:$H$131,MATCH('Net zero emission reductions'!$G1431,EF!$D$116:$D$131,0))*kgtoGg</f>
        <v>5.0184661004314526</v>
      </c>
      <c r="AC1431" s="22">
        <f>INDEX('Net zero Activity data'!AV$24:AV$39,MATCH('Net zero emission reductions'!$G1431,'Net zero Activity data'!$D$24:$D$39,0))*INDEX(EF!$H$84:$H$99,MATCH('Net zero emission reductions'!$G1431,EF!$D$84:$D$99,0))*INDEX(EF!$H$100:$H$115,MATCH('Net zero emission reductions'!$G1431,EF!$D$100:$D$115,0))*INDEX(EF!$H$116:$H$131,MATCH('Net zero emission reductions'!$G1431,EF!$D$116:$D$131,0))*kgtoGg</f>
        <v>4.9805861058139884</v>
      </c>
      <c r="AD1431" s="22">
        <f>INDEX('Net zero Activity data'!AW$24:AW$39,MATCH('Net zero emission reductions'!$G1431,'Net zero Activity data'!$D$24:$D$39,0))*INDEX(EF!$H$84:$H$99,MATCH('Net zero emission reductions'!$G1431,EF!$D$84:$D$99,0))*INDEX(EF!$H$100:$H$115,MATCH('Net zero emission reductions'!$G1431,EF!$D$100:$D$115,0))*INDEX(EF!$H$116:$H$131,MATCH('Net zero emission reductions'!$G1431,EF!$D$116:$D$131,0))*kgtoGg</f>
        <v>4.9427061111965243</v>
      </c>
      <c r="AE1431" s="22">
        <f>INDEX('Net zero Activity data'!AX$24:AX$39,MATCH('Net zero emission reductions'!$G1431,'Net zero Activity data'!$D$24:$D$39,0))*INDEX(EF!$H$84:$H$99,MATCH('Net zero emission reductions'!$G1431,EF!$D$84:$D$99,0))*INDEX(EF!$H$100:$H$115,MATCH('Net zero emission reductions'!$G1431,EF!$D$100:$D$115,0))*INDEX(EF!$H$116:$H$131,MATCH('Net zero emission reductions'!$G1431,EF!$D$116:$D$131,0))*kgtoGg</f>
        <v>4.9048261165790601</v>
      </c>
      <c r="AF1431" s="22">
        <f>INDEX('Net zero Activity data'!AY$24:AY$39,MATCH('Net zero emission reductions'!$G1431,'Net zero Activity data'!$D$24:$D$39,0))*INDEX(EF!$H$84:$H$99,MATCH('Net zero emission reductions'!$G1431,EF!$D$84:$D$99,0))*INDEX(EF!$H$100:$H$115,MATCH('Net zero emission reductions'!$G1431,EF!$D$100:$D$115,0))*INDEX(EF!$H$116:$H$131,MATCH('Net zero emission reductions'!$G1431,EF!$D$116:$D$131,0))*kgtoGg</f>
        <v>4.8669461219615968</v>
      </c>
      <c r="AG1431" s="22">
        <f>INDEX('Net zero Activity data'!AZ$24:AZ$39,MATCH('Net zero emission reductions'!$G1431,'Net zero Activity data'!$D$24:$D$39,0))*INDEX(EF!$H$84:$H$99,MATCH('Net zero emission reductions'!$G1431,EF!$D$84:$D$99,0))*INDEX(EF!$H$100:$H$115,MATCH('Net zero emission reductions'!$G1431,EF!$D$100:$D$115,0))*INDEX(EF!$H$116:$H$131,MATCH('Net zero emission reductions'!$G1431,EF!$D$116:$D$131,0))*kgtoGg</f>
        <v>4.8290661273441344</v>
      </c>
      <c r="AH1431" s="22">
        <f>INDEX('Net zero Activity data'!BA$24:BA$39,MATCH('Net zero emission reductions'!$G1431,'Net zero Activity data'!$D$24:$D$39,0))*INDEX(EF!$H$84:$H$99,MATCH('Net zero emission reductions'!$G1431,EF!$D$84:$D$99,0))*INDEX(EF!$H$100:$H$115,MATCH('Net zero emission reductions'!$G1431,EF!$D$100:$D$115,0))*INDEX(EF!$H$116:$H$131,MATCH('Net zero emission reductions'!$G1431,EF!$D$116:$D$131,0))*kgtoGg</f>
        <v>4.7911861327266712</v>
      </c>
      <c r="AI1431" s="22">
        <f>INDEX('Net zero Activity data'!BB$24:BB$39,MATCH('Net zero emission reductions'!$G1431,'Net zero Activity data'!$D$24:$D$39,0))*INDEX(EF!$H$84:$H$99,MATCH('Net zero emission reductions'!$G1431,EF!$D$84:$D$99,0))*INDEX(EF!$H$100:$H$115,MATCH('Net zero emission reductions'!$G1431,EF!$D$100:$D$115,0))*INDEX(EF!$H$116:$H$131,MATCH('Net zero emission reductions'!$G1431,EF!$D$116:$D$131,0))*kgtoGg</f>
        <v>4.7533061381092079</v>
      </c>
      <c r="AJ1431" s="22">
        <f>INDEX('Net zero Activity data'!BC$24:BC$39,MATCH('Net zero emission reductions'!$G1431,'Net zero Activity data'!$D$24:$D$39,0))*INDEX(EF!$H$84:$H$99,MATCH('Net zero emission reductions'!$G1431,EF!$D$84:$D$99,0))*INDEX(EF!$H$100:$H$115,MATCH('Net zero emission reductions'!$G1431,EF!$D$100:$D$115,0))*INDEX(EF!$H$116:$H$131,MATCH('Net zero emission reductions'!$G1431,EF!$D$116:$D$131,0))*kgtoGg</f>
        <v>4.7154261434917437</v>
      </c>
      <c r="AK1431" s="22">
        <f>INDEX('Net zero Activity data'!BD$24:BD$39,MATCH('Net zero emission reductions'!$G1431,'Net zero Activity data'!$D$24:$D$39,0))*INDEX(EF!$H$84:$H$99,MATCH('Net zero emission reductions'!$G1431,EF!$D$84:$D$99,0))*INDEX(EF!$H$100:$H$115,MATCH('Net zero emission reductions'!$G1431,EF!$D$100:$D$115,0))*INDEX(EF!$H$116:$H$131,MATCH('Net zero emission reductions'!$G1431,EF!$D$116:$D$131,0))*kgtoGg</f>
        <v>4.6775461488742796</v>
      </c>
      <c r="AL1431" s="22">
        <f>INDEX('Net zero Activity data'!BE$24:BE$39,MATCH('Net zero emission reductions'!$G1431,'Net zero Activity data'!$D$24:$D$39,0))*INDEX(EF!$H$84:$H$99,MATCH('Net zero emission reductions'!$G1431,EF!$D$84:$D$99,0))*INDEX(EF!$H$100:$H$115,MATCH('Net zero emission reductions'!$G1431,EF!$D$100:$D$115,0))*INDEX(EF!$H$116:$H$131,MATCH('Net zero emission reductions'!$G1431,EF!$D$116:$D$131,0))*kgtoGg</f>
        <v>4.6396661542568172</v>
      </c>
      <c r="AM1431" s="22">
        <f>INDEX('Net zero Activity data'!BF$24:BF$39,MATCH('Net zero emission reductions'!$G1431,'Net zero Activity data'!$D$24:$D$39,0))*INDEX(EF!$H$84:$H$99,MATCH('Net zero emission reductions'!$G1431,EF!$D$84:$D$99,0))*INDEX(EF!$H$100:$H$115,MATCH('Net zero emission reductions'!$G1431,EF!$D$100:$D$115,0))*INDEX(EF!$H$116:$H$131,MATCH('Net zero emission reductions'!$G1431,EF!$D$116:$D$131,0))*kgtoGg</f>
        <v>4.601786159639353</v>
      </c>
      <c r="AN1431" s="22">
        <f>INDEX('Net zero Activity data'!BG$24:BG$39,MATCH('Net zero emission reductions'!$G1431,'Net zero Activity data'!$D$24:$D$39,0))*INDEX(EF!$H$84:$H$99,MATCH('Net zero emission reductions'!$G1431,EF!$D$84:$D$99,0))*INDEX(EF!$H$100:$H$115,MATCH('Net zero emission reductions'!$G1431,EF!$D$100:$D$115,0))*INDEX(EF!$H$116:$H$131,MATCH('Net zero emission reductions'!$G1431,EF!$D$116:$D$131,0))*kgtoGg</f>
        <v>4.5639061650218888</v>
      </c>
      <c r="AO1431" s="22">
        <f>INDEX('Net zero Activity data'!BH$24:BH$39,MATCH('Net zero emission reductions'!$G1431,'Net zero Activity data'!$D$24:$D$39,0))*INDEX(EF!$H$84:$H$99,MATCH('Net zero emission reductions'!$G1431,EF!$D$84:$D$99,0))*INDEX(EF!$H$100:$H$115,MATCH('Net zero emission reductions'!$G1431,EF!$D$100:$D$115,0))*INDEX(EF!$H$116:$H$131,MATCH('Net zero emission reductions'!$G1431,EF!$D$116:$D$131,0))*kgtoGg</f>
        <v>4.5260261704044256</v>
      </c>
      <c r="AP1431" s="22">
        <f>INDEX('Net zero Activity data'!BI$24:BI$39,MATCH('Net zero emission reductions'!$G1431,'Net zero Activity data'!$D$24:$D$39,0))*INDEX(EF!$H$84:$H$99,MATCH('Net zero emission reductions'!$G1431,EF!$D$84:$D$99,0))*INDEX(EF!$H$100:$H$115,MATCH('Net zero emission reductions'!$G1431,EF!$D$100:$D$115,0))*INDEX(EF!$H$116:$H$131,MATCH('Net zero emission reductions'!$G1431,EF!$D$116:$D$131,0))*kgtoGg</f>
        <v>4.4881461757869623</v>
      </c>
      <c r="AQ1431" s="22">
        <f>INDEX('Net zero Activity data'!BJ$24:BJ$39,MATCH('Net zero emission reductions'!$G1431,'Net zero Activity data'!$D$24:$D$39,0))*INDEX(EF!$H$84:$H$99,MATCH('Net zero emission reductions'!$G1431,EF!$D$84:$D$99,0))*INDEX(EF!$H$100:$H$115,MATCH('Net zero emission reductions'!$G1431,EF!$D$100:$D$115,0))*INDEX(EF!$H$116:$H$131,MATCH('Net zero emission reductions'!$G1431,EF!$D$116:$D$131,0))*kgtoGg</f>
        <v>4.4502661811694981</v>
      </c>
      <c r="AR1431" s="22">
        <f>INDEX('Net zero Activity data'!BK$24:BK$39,MATCH('Net zero emission reductions'!$G1431,'Net zero Activity data'!$D$24:$D$39,0))*INDEX(EF!$H$84:$H$99,MATCH('Net zero emission reductions'!$G1431,EF!$D$84:$D$99,0))*INDEX(EF!$H$100:$H$115,MATCH('Net zero emission reductions'!$G1431,EF!$D$100:$D$115,0))*INDEX(EF!$H$116:$H$131,MATCH('Net zero emission reductions'!$G1431,EF!$D$116:$D$131,0))*kgtoGg</f>
        <v>4.4123861865520357</v>
      </c>
      <c r="AS1431" s="22">
        <f>INDEX('Net zero Activity data'!BL$24:BL$39,MATCH('Net zero emission reductions'!$G1431,'Net zero Activity data'!$D$24:$D$39,0))*INDEX(EF!$H$84:$H$99,MATCH('Net zero emission reductions'!$G1431,EF!$D$84:$D$99,0))*INDEX(EF!$H$100:$H$115,MATCH('Net zero emission reductions'!$G1431,EF!$D$100:$D$115,0))*INDEX(EF!$H$116:$H$131,MATCH('Net zero emission reductions'!$G1431,EF!$D$116:$D$131,0))*kgtoGg</f>
        <v>4.3745061919345725</v>
      </c>
      <c r="AT1431" s="22">
        <f>INDEX('Net zero Activity data'!BM$24:BM$39,MATCH('Net zero emission reductions'!$G1431,'Net zero Activity data'!$D$24:$D$39,0))*INDEX(EF!$H$84:$H$99,MATCH('Net zero emission reductions'!$G1431,EF!$D$84:$D$99,0))*INDEX(EF!$H$100:$H$115,MATCH('Net zero emission reductions'!$G1431,EF!$D$100:$D$115,0))*INDEX(EF!$H$116:$H$131,MATCH('Net zero emission reductions'!$G1431,EF!$D$116:$D$131,0))*kgtoGg</f>
        <v>4.3366261973171101</v>
      </c>
      <c r="AU1431" s="22">
        <f>INDEX('Net zero Activity data'!BN$24:BN$39,MATCH('Net zero emission reductions'!$G1431,'Net zero Activity data'!$D$24:$D$39,0))*INDEX(EF!$H$84:$H$99,MATCH('Net zero emission reductions'!$G1431,EF!$D$84:$D$99,0))*INDEX(EF!$H$100:$H$115,MATCH('Net zero emission reductions'!$G1431,EF!$D$100:$D$115,0))*INDEX(EF!$H$116:$H$131,MATCH('Net zero emission reductions'!$G1431,EF!$D$116:$D$131,0))*kgtoGg</f>
        <v>4.2987462026996468</v>
      </c>
      <c r="AV1431" s="22">
        <f>INDEX('Net zero Activity data'!BO$24:BO$39,MATCH('Net zero emission reductions'!$G1431,'Net zero Activity data'!$D$24:$D$39,0))*INDEX(EF!$H$84:$H$99,MATCH('Net zero emission reductions'!$G1431,EF!$D$84:$D$99,0))*INDEX(EF!$H$100:$H$115,MATCH('Net zero emission reductions'!$G1431,EF!$D$100:$D$115,0))*INDEX(EF!$H$116:$H$131,MATCH('Net zero emission reductions'!$G1431,EF!$D$116:$D$131,0))*kgtoGg</f>
        <v>4.2608662080821844</v>
      </c>
      <c r="AW1431" s="22">
        <f>INDEX('Net zero Activity data'!BP$24:BP$39,MATCH('Net zero emission reductions'!$G1431,'Net zero Activity data'!$D$24:$D$39,0))*INDEX(EF!$H$84:$H$99,MATCH('Net zero emission reductions'!$G1431,EF!$D$84:$D$99,0))*INDEX(EF!$H$100:$H$115,MATCH('Net zero emission reductions'!$G1431,EF!$D$100:$D$115,0))*INDEX(EF!$H$116:$H$131,MATCH('Net zero emission reductions'!$G1431,EF!$D$116:$D$131,0))*kgtoGg</f>
        <v>4.2229862134647194</v>
      </c>
    </row>
    <row r="1432" spans="1:49" x14ac:dyDescent="0.3">
      <c r="A1432" s="95" t="s">
        <v>960</v>
      </c>
      <c r="B1432" s="95"/>
      <c r="C1432" s="95"/>
      <c r="D1432" t="str">
        <f t="shared" si="555"/>
        <v>3C Aggregated and non-CO2 emissions on land</v>
      </c>
      <c r="E1432" t="str">
        <f t="shared" si="554"/>
        <v>3C1 Biomass burning (CH4)</v>
      </c>
      <c r="F1432" t="str">
        <f t="shared" si="554"/>
        <v>3C1a Biomass burning in forest land</v>
      </c>
      <c r="G1432" t="str">
        <f>EF!D87</f>
        <v>Plantations</v>
      </c>
      <c r="H1432" t="s">
        <v>644</v>
      </c>
      <c r="I1432" t="str">
        <f t="shared" si="556"/>
        <v>CH4</v>
      </c>
      <c r="J1432" t="str">
        <f t="shared" si="556"/>
        <v>Gg CH4</v>
      </c>
      <c r="K1432" s="22">
        <f>INDEX('Net zero Activity data'!AD$24:AD$39,MATCH('Net zero emission reductions'!$G1432,'Net zero Activity data'!$D$24:$D$39,0))*INDEX(EF!$H$84:$H$99,MATCH('Net zero emission reductions'!$G1432,EF!$D$84:$D$99,0))*INDEX(EF!$H$100:$H$115,MATCH('Net zero emission reductions'!$G1432,EF!$D$100:$D$115,0))*INDEX(EF!$H$116:$H$131,MATCH('Net zero emission reductions'!$G1432,EF!$D$116:$D$131,0))*kgtoGg</f>
        <v>2.098124981532016</v>
      </c>
      <c r="L1432" s="22">
        <f>INDEX('Net zero Activity data'!AE$24:AE$39,MATCH('Net zero emission reductions'!$G1432,'Net zero Activity data'!$D$24:$D$39,0))*INDEX(EF!$H$84:$H$99,MATCH('Net zero emission reductions'!$G1432,EF!$D$84:$D$99,0))*INDEX(EF!$H$100:$H$115,MATCH('Net zero emission reductions'!$G1432,EF!$D$100:$D$115,0))*INDEX(EF!$H$116:$H$131,MATCH('Net zero emission reductions'!$G1432,EF!$D$116:$D$131,0))*kgtoGg</f>
        <v>3.9454731415320157</v>
      </c>
      <c r="M1432" s="22">
        <f>INDEX('Net zero Activity data'!AF$24:AF$39,MATCH('Net zero emission reductions'!$G1432,'Net zero Activity data'!$D$24:$D$39,0))*INDEX(EF!$H$84:$H$99,MATCH('Net zero emission reductions'!$G1432,EF!$D$84:$D$99,0))*INDEX(EF!$H$100:$H$115,MATCH('Net zero emission reductions'!$G1432,EF!$D$100:$D$115,0))*INDEX(EF!$H$116:$H$131,MATCH('Net zero emission reductions'!$G1432,EF!$D$116:$D$131,0))*kgtoGg</f>
        <v>3.1857200215320161</v>
      </c>
      <c r="N1432" s="22">
        <f>INDEX('Net zero Activity data'!AG$24:AG$39,MATCH('Net zero emission reductions'!$G1432,'Net zero Activity data'!$D$24:$D$39,0))*INDEX(EF!$H$84:$H$99,MATCH('Net zero emission reductions'!$G1432,EF!$D$84:$D$99,0))*INDEX(EF!$H$100:$H$115,MATCH('Net zero emission reductions'!$G1432,EF!$D$100:$D$115,0))*INDEX(EF!$H$116:$H$131,MATCH('Net zero emission reductions'!$G1432,EF!$D$116:$D$131,0))*kgtoGg</f>
        <v>2.4712899415320164</v>
      </c>
      <c r="O1432" s="22">
        <f>INDEX('Net zero Activity data'!AH$24:AH$39,MATCH('Net zero emission reductions'!$G1432,'Net zero Activity data'!$D$24:$D$39,0))*INDEX(EF!$H$84:$H$99,MATCH('Net zero emission reductions'!$G1432,EF!$D$84:$D$99,0))*INDEX(EF!$H$100:$H$115,MATCH('Net zero emission reductions'!$G1432,EF!$D$100:$D$115,0))*INDEX(EF!$H$116:$H$131,MATCH('Net zero emission reductions'!$G1432,EF!$D$116:$D$131,0))*kgtoGg</f>
        <v>2.8281891415320159</v>
      </c>
      <c r="P1432" s="22">
        <f>INDEX('Net zero Activity data'!AI$24:AI$39,MATCH('Net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Q1432" s="22">
        <f>INDEX('Net zero Activity data'!AJ$24:AJ$39,MATCH('Net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R1432" s="22">
        <f>INDEX('Net zero Activity data'!AK$24:AK$39,MATCH('Net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S1432" s="22">
        <f>INDEX('Net zero Activity data'!AL$24:AL$39,MATCH('Net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T1432" s="22">
        <f>INDEX('Net zero Activity data'!AM$24:AM$39,MATCH('Net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U1432" s="22">
        <f>INDEX('Net zero Activity data'!AN$24:AN$39,MATCH('Net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V1432" s="22">
        <f>INDEX('Net zero Activity data'!AO$24:AO$39,MATCH('Net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W1432" s="22">
        <f>INDEX('Net zero Activity data'!AP$24:AP$39,MATCH('Net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X1432" s="22">
        <f>INDEX('Net zero Activity data'!AQ$24:AQ$39,MATCH('Net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Y1432" s="22">
        <f>INDEX('Net zero Activity data'!AR$24:AR$39,MATCH('Net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Z1432" s="22">
        <f>INDEX('Net zero Activity data'!AS$24:AS$39,MATCH('Net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A1432" s="22">
        <f>INDEX('Net zero Activity data'!AT$24:AT$39,MATCH('Net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B1432" s="22">
        <f>INDEX('Net zero Activity data'!AU$24:AU$39,MATCH('Net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C1432" s="22">
        <f>INDEX('Net zero Activity data'!AV$24:AV$39,MATCH('Net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D1432" s="22">
        <f>INDEX('Net zero Activity data'!AW$24:AW$39,MATCH('Net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E1432" s="22">
        <f>INDEX('Net zero Activity data'!AX$24:AX$39,MATCH('Net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F1432" s="22">
        <f>INDEX('Net zero Activity data'!AY$24:AY$39,MATCH('Net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G1432" s="22">
        <f>INDEX('Net zero Activity data'!AZ$24:AZ$39,MATCH('Net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H1432" s="22">
        <f>INDEX('Net zero Activity data'!BA$24:BA$39,MATCH('Net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I1432" s="22">
        <f>INDEX('Net zero Activity data'!BB$24:BB$39,MATCH('Net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J1432" s="22">
        <f>INDEX('Net zero Activity data'!BC$24:BC$39,MATCH('Net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K1432" s="22">
        <f>INDEX('Net zero Activity data'!BD$24:BD$39,MATCH('Net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L1432" s="22">
        <f>INDEX('Net zero Activity data'!BE$24:BE$39,MATCH('Net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M1432" s="22">
        <f>INDEX('Net zero Activity data'!BF$24:BF$39,MATCH('Net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N1432" s="22">
        <f>INDEX('Net zero Activity data'!BG$24:BG$39,MATCH('Net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O1432" s="22">
        <f>INDEX('Net zero Activity data'!BH$24:BH$39,MATCH('Net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AP1432" s="22">
        <f>INDEX('Net zero Activity data'!BI$24:BI$39,MATCH('Net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AQ1432" s="22">
        <f>INDEX('Net zero Activity data'!BJ$24:BJ$39,MATCH('Net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AR1432" s="22">
        <f>INDEX('Net zero Activity data'!BK$24:BK$39,MATCH('Net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AS1432" s="22">
        <f>INDEX('Net zero Activity data'!BL$24:BL$39,MATCH('Net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AT1432" s="22">
        <f>INDEX('Net zero Activity data'!BM$24:BM$39,MATCH('Net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AU1432" s="22">
        <f>INDEX('Net zero Activity data'!BN$24:BN$39,MATCH('Net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AV1432" s="22">
        <f>INDEX('Net zero Activity data'!BO$24:BO$39,MATCH('Net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AW1432" s="22">
        <f>INDEX('Net zero Activity data'!BP$24:BP$39,MATCH('Net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row>
    <row r="1433" spans="1:49" x14ac:dyDescent="0.3">
      <c r="A1433" s="95" t="s">
        <v>960</v>
      </c>
      <c r="B1433" s="95"/>
      <c r="C1433" s="95"/>
      <c r="D1433" t="str">
        <f t="shared" si="555"/>
        <v>3C Aggregated and non-CO2 emissions on land</v>
      </c>
      <c r="E1433" t="str">
        <f t="shared" si="554"/>
        <v>3C1 Biomass burning (CH4)</v>
      </c>
      <c r="F1433" t="str">
        <f>'IPCC Categories'!C60</f>
        <v>3C1b Biomass burning in Croplands</v>
      </c>
      <c r="G1433" t="str">
        <f>EF!D88</f>
        <v>Annual non-pivot</v>
      </c>
      <c r="H1433" t="s">
        <v>645</v>
      </c>
      <c r="I1433" t="str">
        <f t="shared" si="556"/>
        <v>CH4</v>
      </c>
      <c r="J1433" t="str">
        <f t="shared" si="556"/>
        <v>Gg CH4</v>
      </c>
      <c r="K1433" s="22">
        <f>INDEX('Net zero Activity data'!AD$24:AD$39,MATCH('Net zero emission reductions'!$G1433,'Net zero Activity data'!$D$24:$D$39,0))*INDEX(EF!$H$84:$H$99,MATCH('Net zero emission reductions'!$G1433,EF!$D$84:$D$99,0))*INDEX(EF!$H$100:$H$115,MATCH('Net zero emission reductions'!$G1433,EF!$D$100:$D$115,0))*INDEX(EF!$H$116:$H$131,MATCH('Net zero emission reductions'!$G1433,EF!$D$116:$D$131,0))*kgtoGg</f>
        <v>6.2297189589909543</v>
      </c>
      <c r="L1433" s="22">
        <f>INDEX('Net zero Activity data'!AE$24:AE$39,MATCH('Net zero emission reductions'!$G1433,'Net zero Activity data'!$D$24:$D$39,0))*INDEX(EF!$H$84:$H$99,MATCH('Net zero emission reductions'!$G1433,EF!$D$84:$D$99,0))*INDEX(EF!$H$100:$H$115,MATCH('Net zero emission reductions'!$G1433,EF!$D$100:$D$115,0))*INDEX(EF!$H$116:$H$131,MATCH('Net zero emission reductions'!$G1433,EF!$D$116:$D$131,0))*kgtoGg</f>
        <v>6.2126409419483526</v>
      </c>
      <c r="M1433" s="22">
        <f>INDEX('Net zero Activity data'!AF$24:AF$39,MATCH('Net zero emission reductions'!$G1433,'Net zero Activity data'!$D$24:$D$39,0))*INDEX(EF!$H$84:$H$99,MATCH('Net zero emission reductions'!$G1433,EF!$D$84:$D$99,0))*INDEX(EF!$H$100:$H$115,MATCH('Net zero emission reductions'!$G1433,EF!$D$100:$D$115,0))*INDEX(EF!$H$116:$H$131,MATCH('Net zero emission reductions'!$G1433,EF!$D$116:$D$131,0))*kgtoGg</f>
        <v>6.1955629249057527</v>
      </c>
      <c r="N1433" s="22">
        <f>INDEX('Net zero Activity data'!AG$24:AG$39,MATCH('Net zero emission reductions'!$G1433,'Net zero Activity data'!$D$24:$D$39,0))*INDEX(EF!$H$84:$H$99,MATCH('Net zero emission reductions'!$G1433,EF!$D$84:$D$99,0))*INDEX(EF!$H$100:$H$115,MATCH('Net zero emission reductions'!$G1433,EF!$D$100:$D$115,0))*INDEX(EF!$H$116:$H$131,MATCH('Net zero emission reductions'!$G1433,EF!$D$116:$D$131,0))*kgtoGg</f>
        <v>6.1784849078631501</v>
      </c>
      <c r="O1433" s="22">
        <f>INDEX('Net zero Activity data'!AH$24:AH$39,MATCH('Net zero emission reductions'!$G1433,'Net zero Activity data'!$D$24:$D$39,0))*INDEX(EF!$H$84:$H$99,MATCH('Net zero emission reductions'!$G1433,EF!$D$84:$D$99,0))*INDEX(EF!$H$100:$H$115,MATCH('Net zero emission reductions'!$G1433,EF!$D$100:$D$115,0))*INDEX(EF!$H$116:$H$131,MATCH('Net zero emission reductions'!$G1433,EF!$D$116:$D$131,0))*kgtoGg</f>
        <v>6.1614068908205484</v>
      </c>
      <c r="P1433" s="22">
        <f>INDEX('Net zero Activity data'!AI$24:AI$39,MATCH('Net zero emission reductions'!$G1433,'Net zero Activity data'!$D$24:$D$39,0))*INDEX(EF!$H$84:$H$99,MATCH('Net zero emission reductions'!$G1433,EF!$D$84:$D$99,0))*INDEX(EF!$H$100:$H$115,MATCH('Net zero emission reductions'!$G1433,EF!$D$100:$D$115,0))*INDEX(EF!$H$116:$H$131,MATCH('Net zero emission reductions'!$G1433,EF!$D$116:$D$131,0))*kgtoGg</f>
        <v>6.1443288737779493</v>
      </c>
      <c r="Q1433" s="22">
        <f>INDEX('Net zero Activity data'!AJ$24:AJ$39,MATCH('Net zero emission reductions'!$G1433,'Net zero Activity data'!$D$24:$D$39,0))*INDEX(EF!$H$84:$H$99,MATCH('Net zero emission reductions'!$G1433,EF!$D$84:$D$99,0))*INDEX(EF!$H$100:$H$115,MATCH('Net zero emission reductions'!$G1433,EF!$D$100:$D$115,0))*INDEX(EF!$H$116:$H$131,MATCH('Net zero emission reductions'!$G1433,EF!$D$116:$D$131,0))*kgtoGg</f>
        <v>6.1272508567353459</v>
      </c>
      <c r="R1433" s="22">
        <f>INDEX('Net zero Activity data'!AK$24:AK$39,MATCH('Net zero emission reductions'!$G1433,'Net zero Activity data'!$D$24:$D$39,0))*INDEX(EF!$H$84:$H$99,MATCH('Net zero emission reductions'!$G1433,EF!$D$84:$D$99,0))*INDEX(EF!$H$100:$H$115,MATCH('Net zero emission reductions'!$G1433,EF!$D$100:$D$115,0))*INDEX(EF!$H$116:$H$131,MATCH('Net zero emission reductions'!$G1433,EF!$D$116:$D$131,0))*kgtoGg</f>
        <v>6.1101728396927459</v>
      </c>
      <c r="S1433" s="22">
        <f>INDEX('Net zero Activity data'!AL$24:AL$39,MATCH('Net zero emission reductions'!$G1433,'Net zero Activity data'!$D$24:$D$39,0))*INDEX(EF!$H$84:$H$99,MATCH('Net zero emission reductions'!$G1433,EF!$D$84:$D$99,0))*INDEX(EF!$H$100:$H$115,MATCH('Net zero emission reductions'!$G1433,EF!$D$100:$D$115,0))*INDEX(EF!$H$116:$H$131,MATCH('Net zero emission reductions'!$G1433,EF!$D$116:$D$131,0))*kgtoGg</f>
        <v>6.0930948226501442</v>
      </c>
      <c r="T1433" s="22">
        <f>INDEX('Net zero Activity data'!AM$24:AM$39,MATCH('Net zero emission reductions'!$G1433,'Net zero Activity data'!$D$24:$D$39,0))*INDEX(EF!$H$84:$H$99,MATCH('Net zero emission reductions'!$G1433,EF!$D$84:$D$99,0))*INDEX(EF!$H$100:$H$115,MATCH('Net zero emission reductions'!$G1433,EF!$D$100:$D$115,0))*INDEX(EF!$H$116:$H$131,MATCH('Net zero emission reductions'!$G1433,EF!$D$116:$D$131,0))*kgtoGg</f>
        <v>6.0760168056075434</v>
      </c>
      <c r="U1433" s="22">
        <f>INDEX('Net zero Activity data'!AN$24:AN$39,MATCH('Net zero emission reductions'!$G1433,'Net zero Activity data'!$D$24:$D$39,0))*INDEX(EF!$H$84:$H$99,MATCH('Net zero emission reductions'!$G1433,EF!$D$84:$D$99,0))*INDEX(EF!$H$100:$H$115,MATCH('Net zero emission reductions'!$G1433,EF!$D$100:$D$115,0))*INDEX(EF!$H$116:$H$131,MATCH('Net zero emission reductions'!$G1433,EF!$D$116:$D$131,0))*kgtoGg</f>
        <v>6.0589387885649417</v>
      </c>
      <c r="V1433" s="22">
        <f>INDEX('Net zero Activity data'!AO$24:AO$39,MATCH('Net zero emission reductions'!$G1433,'Net zero Activity data'!$D$24:$D$39,0))*INDEX(EF!$H$84:$H$99,MATCH('Net zero emission reductions'!$G1433,EF!$D$84:$D$99,0))*INDEX(EF!$H$100:$H$115,MATCH('Net zero emission reductions'!$G1433,EF!$D$100:$D$115,0))*INDEX(EF!$H$116:$H$131,MATCH('Net zero emission reductions'!$G1433,EF!$D$116:$D$131,0))*kgtoGg</f>
        <v>6.04186077152234</v>
      </c>
      <c r="W1433" s="22">
        <f>INDEX('Net zero Activity data'!AP$24:AP$39,MATCH('Net zero emission reductions'!$G1433,'Net zero Activity data'!$D$24:$D$39,0))*INDEX(EF!$H$84:$H$99,MATCH('Net zero emission reductions'!$G1433,EF!$D$84:$D$99,0))*INDEX(EF!$H$100:$H$115,MATCH('Net zero emission reductions'!$G1433,EF!$D$100:$D$115,0))*INDEX(EF!$H$116:$H$131,MATCH('Net zero emission reductions'!$G1433,EF!$D$116:$D$131,0))*kgtoGg</f>
        <v>6.0247827544797383</v>
      </c>
      <c r="X1433" s="22">
        <f>INDEX('Net zero Activity data'!AQ$24:AQ$39,MATCH('Net zero emission reductions'!$G1433,'Net zero Activity data'!$D$24:$D$39,0))*INDEX(EF!$H$84:$H$99,MATCH('Net zero emission reductions'!$G1433,EF!$D$84:$D$99,0))*INDEX(EF!$H$100:$H$115,MATCH('Net zero emission reductions'!$G1433,EF!$D$100:$D$115,0))*INDEX(EF!$H$116:$H$131,MATCH('Net zero emission reductions'!$G1433,EF!$D$116:$D$131,0))*kgtoGg</f>
        <v>6.0077047374371375</v>
      </c>
      <c r="Y1433" s="22">
        <f>INDEX('Net zero Activity data'!AR$24:AR$39,MATCH('Net zero emission reductions'!$G1433,'Net zero Activity data'!$D$24:$D$39,0))*INDEX(EF!$H$84:$H$99,MATCH('Net zero emission reductions'!$G1433,EF!$D$84:$D$99,0))*INDEX(EF!$H$100:$H$115,MATCH('Net zero emission reductions'!$G1433,EF!$D$100:$D$115,0))*INDEX(EF!$H$116:$H$131,MATCH('Net zero emission reductions'!$G1433,EF!$D$116:$D$131,0))*kgtoGg</f>
        <v>5.9906267203945358</v>
      </c>
      <c r="Z1433" s="22">
        <f>INDEX('Net zero Activity data'!AS$24:AS$39,MATCH('Net zero emission reductions'!$G1433,'Net zero Activity data'!$D$24:$D$39,0))*INDEX(EF!$H$84:$H$99,MATCH('Net zero emission reductions'!$G1433,EF!$D$84:$D$99,0))*INDEX(EF!$H$100:$H$115,MATCH('Net zero emission reductions'!$G1433,EF!$D$100:$D$115,0))*INDEX(EF!$H$116:$H$131,MATCH('Net zero emission reductions'!$G1433,EF!$D$116:$D$131,0))*kgtoGg</f>
        <v>5.9735487033519359</v>
      </c>
      <c r="AA1433" s="22">
        <f>INDEX('Net zero Activity data'!AT$24:AT$39,MATCH('Net zero emission reductions'!$G1433,'Net zero Activity data'!$D$24:$D$39,0))*INDEX(EF!$H$84:$H$99,MATCH('Net zero emission reductions'!$G1433,EF!$D$84:$D$99,0))*INDEX(EF!$H$100:$H$115,MATCH('Net zero emission reductions'!$G1433,EF!$D$100:$D$115,0))*INDEX(EF!$H$116:$H$131,MATCH('Net zero emission reductions'!$G1433,EF!$D$116:$D$131,0))*kgtoGg</f>
        <v>5.9564706863093333</v>
      </c>
      <c r="AB1433" s="22">
        <f>INDEX('Net zero Activity data'!AU$24:AU$39,MATCH('Net zero emission reductions'!$G1433,'Net zero Activity data'!$D$24:$D$39,0))*INDEX(EF!$H$84:$H$99,MATCH('Net zero emission reductions'!$G1433,EF!$D$84:$D$99,0))*INDEX(EF!$H$100:$H$115,MATCH('Net zero emission reductions'!$G1433,EF!$D$100:$D$115,0))*INDEX(EF!$H$116:$H$131,MATCH('Net zero emission reductions'!$G1433,EF!$D$116:$D$131,0))*kgtoGg</f>
        <v>5.9393926692667334</v>
      </c>
      <c r="AC1433" s="22">
        <f>INDEX('Net zero Activity data'!AV$24:AV$39,MATCH('Net zero emission reductions'!$G1433,'Net zero Activity data'!$D$24:$D$39,0))*INDEX(EF!$H$84:$H$99,MATCH('Net zero emission reductions'!$G1433,EF!$D$84:$D$99,0))*INDEX(EF!$H$100:$H$115,MATCH('Net zero emission reductions'!$G1433,EF!$D$100:$D$115,0))*INDEX(EF!$H$116:$H$131,MATCH('Net zero emission reductions'!$G1433,EF!$D$116:$D$131,0))*kgtoGg</f>
        <v>5.9223146522241317</v>
      </c>
      <c r="AD1433" s="22">
        <f>INDEX('Net zero Activity data'!AW$24:AW$39,MATCH('Net zero emission reductions'!$G1433,'Net zero Activity data'!$D$24:$D$39,0))*INDEX(EF!$H$84:$H$99,MATCH('Net zero emission reductions'!$G1433,EF!$D$84:$D$99,0))*INDEX(EF!$H$100:$H$115,MATCH('Net zero emission reductions'!$G1433,EF!$D$100:$D$115,0))*INDEX(EF!$H$116:$H$131,MATCH('Net zero emission reductions'!$G1433,EF!$D$116:$D$131,0))*kgtoGg</f>
        <v>5.90523663518153</v>
      </c>
      <c r="AE1433" s="22">
        <f>INDEX('Net zero Activity data'!AX$24:AX$39,MATCH('Net zero emission reductions'!$G1433,'Net zero Activity data'!$D$24:$D$39,0))*INDEX(EF!$H$84:$H$99,MATCH('Net zero emission reductions'!$G1433,EF!$D$84:$D$99,0))*INDEX(EF!$H$100:$H$115,MATCH('Net zero emission reductions'!$G1433,EF!$D$100:$D$115,0))*INDEX(EF!$H$116:$H$131,MATCH('Net zero emission reductions'!$G1433,EF!$D$116:$D$131,0))*kgtoGg</f>
        <v>5.8881586181389283</v>
      </c>
      <c r="AF1433" s="22">
        <f>INDEX('Net zero Activity data'!AY$24:AY$39,MATCH('Net zero emission reductions'!$G1433,'Net zero Activity data'!$D$24:$D$39,0))*INDEX(EF!$H$84:$H$99,MATCH('Net zero emission reductions'!$G1433,EF!$D$84:$D$99,0))*INDEX(EF!$H$100:$H$115,MATCH('Net zero emission reductions'!$G1433,EF!$D$100:$D$115,0))*INDEX(EF!$H$116:$H$131,MATCH('Net zero emission reductions'!$G1433,EF!$D$116:$D$131,0))*kgtoGg</f>
        <v>5.8710806010963275</v>
      </c>
      <c r="AG1433" s="22">
        <f>INDEX('Net zero Activity data'!AZ$24:AZ$39,MATCH('Net zero emission reductions'!$G1433,'Net zero Activity data'!$D$24:$D$39,0))*INDEX(EF!$H$84:$H$99,MATCH('Net zero emission reductions'!$G1433,EF!$D$84:$D$99,0))*INDEX(EF!$H$100:$H$115,MATCH('Net zero emission reductions'!$G1433,EF!$D$100:$D$115,0))*INDEX(EF!$H$116:$H$131,MATCH('Net zero emission reductions'!$G1433,EF!$D$116:$D$131,0))*kgtoGg</f>
        <v>5.8540025840537266</v>
      </c>
      <c r="AH1433" s="22">
        <f>INDEX('Net zero Activity data'!BA$24:BA$39,MATCH('Net zero emission reductions'!$G1433,'Net zero Activity data'!$D$24:$D$39,0))*INDEX(EF!$H$84:$H$99,MATCH('Net zero emission reductions'!$G1433,EF!$D$84:$D$99,0))*INDEX(EF!$H$100:$H$115,MATCH('Net zero emission reductions'!$G1433,EF!$D$100:$D$115,0))*INDEX(EF!$H$116:$H$131,MATCH('Net zero emission reductions'!$G1433,EF!$D$116:$D$131,0))*kgtoGg</f>
        <v>5.8369245670111249</v>
      </c>
      <c r="AI1433" s="22">
        <f>INDEX('Net zero Activity data'!BB$24:BB$39,MATCH('Net zero emission reductions'!$G1433,'Net zero Activity data'!$D$24:$D$39,0))*INDEX(EF!$H$84:$H$99,MATCH('Net zero emission reductions'!$G1433,EF!$D$84:$D$99,0))*INDEX(EF!$H$100:$H$115,MATCH('Net zero emission reductions'!$G1433,EF!$D$100:$D$115,0))*INDEX(EF!$H$116:$H$131,MATCH('Net zero emission reductions'!$G1433,EF!$D$116:$D$131,0))*kgtoGg</f>
        <v>5.8198465499685241</v>
      </c>
      <c r="AJ1433" s="22">
        <f>INDEX('Net zero Activity data'!BC$24:BC$39,MATCH('Net zero emission reductions'!$G1433,'Net zero Activity data'!$D$24:$D$39,0))*INDEX(EF!$H$84:$H$99,MATCH('Net zero emission reductions'!$G1433,EF!$D$84:$D$99,0))*INDEX(EF!$H$100:$H$115,MATCH('Net zero emission reductions'!$G1433,EF!$D$100:$D$115,0))*INDEX(EF!$H$116:$H$131,MATCH('Net zero emission reductions'!$G1433,EF!$D$116:$D$131,0))*kgtoGg</f>
        <v>5.8027685329259224</v>
      </c>
      <c r="AK1433" s="22">
        <f>INDEX('Net zero Activity data'!BD$24:BD$39,MATCH('Net zero emission reductions'!$G1433,'Net zero Activity data'!$D$24:$D$39,0))*INDEX(EF!$H$84:$H$99,MATCH('Net zero emission reductions'!$G1433,EF!$D$84:$D$99,0))*INDEX(EF!$H$100:$H$115,MATCH('Net zero emission reductions'!$G1433,EF!$D$100:$D$115,0))*INDEX(EF!$H$116:$H$131,MATCH('Net zero emission reductions'!$G1433,EF!$D$116:$D$131,0))*kgtoGg</f>
        <v>5.7856905158833216</v>
      </c>
      <c r="AL1433" s="22">
        <f>INDEX('Net zero Activity data'!BE$24:BE$39,MATCH('Net zero emission reductions'!$G1433,'Net zero Activity data'!$D$24:$D$39,0))*INDEX(EF!$H$84:$H$99,MATCH('Net zero emission reductions'!$G1433,EF!$D$84:$D$99,0))*INDEX(EF!$H$100:$H$115,MATCH('Net zero emission reductions'!$G1433,EF!$D$100:$D$115,0))*INDEX(EF!$H$116:$H$131,MATCH('Net zero emission reductions'!$G1433,EF!$D$116:$D$131,0))*kgtoGg</f>
        <v>5.7686124988407199</v>
      </c>
      <c r="AM1433" s="22">
        <f>INDEX('Net zero Activity data'!BF$24:BF$39,MATCH('Net zero emission reductions'!$G1433,'Net zero Activity data'!$D$24:$D$39,0))*INDEX(EF!$H$84:$H$99,MATCH('Net zero emission reductions'!$G1433,EF!$D$84:$D$99,0))*INDEX(EF!$H$100:$H$115,MATCH('Net zero emission reductions'!$G1433,EF!$D$100:$D$115,0))*INDEX(EF!$H$116:$H$131,MATCH('Net zero emission reductions'!$G1433,EF!$D$116:$D$131,0))*kgtoGg</f>
        <v>5.7515344817981173</v>
      </c>
      <c r="AN1433" s="22">
        <f>INDEX('Net zero Activity data'!BG$24:BG$39,MATCH('Net zero emission reductions'!$G1433,'Net zero Activity data'!$D$24:$D$39,0))*INDEX(EF!$H$84:$H$99,MATCH('Net zero emission reductions'!$G1433,EF!$D$84:$D$99,0))*INDEX(EF!$H$100:$H$115,MATCH('Net zero emission reductions'!$G1433,EF!$D$100:$D$115,0))*INDEX(EF!$H$116:$H$131,MATCH('Net zero emission reductions'!$G1433,EF!$D$116:$D$131,0))*kgtoGg</f>
        <v>5.7344564647555183</v>
      </c>
      <c r="AO1433" s="22">
        <f>INDEX('Net zero Activity data'!BH$24:BH$39,MATCH('Net zero emission reductions'!$G1433,'Net zero Activity data'!$D$24:$D$39,0))*INDEX(EF!$H$84:$H$99,MATCH('Net zero emission reductions'!$G1433,EF!$D$84:$D$99,0))*INDEX(EF!$H$100:$H$115,MATCH('Net zero emission reductions'!$G1433,EF!$D$100:$D$115,0))*INDEX(EF!$H$116:$H$131,MATCH('Net zero emission reductions'!$G1433,EF!$D$116:$D$131,0))*kgtoGg</f>
        <v>5.7173784477129166</v>
      </c>
      <c r="AP1433" s="22">
        <f>INDEX('Net zero Activity data'!BI$24:BI$39,MATCH('Net zero emission reductions'!$G1433,'Net zero Activity data'!$D$24:$D$39,0))*INDEX(EF!$H$84:$H$99,MATCH('Net zero emission reductions'!$G1433,EF!$D$84:$D$99,0))*INDEX(EF!$H$100:$H$115,MATCH('Net zero emission reductions'!$G1433,EF!$D$100:$D$115,0))*INDEX(EF!$H$116:$H$131,MATCH('Net zero emission reductions'!$G1433,EF!$D$116:$D$131,0))*kgtoGg</f>
        <v>5.7003004306703149</v>
      </c>
      <c r="AQ1433" s="22">
        <f>INDEX('Net zero Activity data'!BJ$24:BJ$39,MATCH('Net zero emission reductions'!$G1433,'Net zero Activity data'!$D$24:$D$39,0))*INDEX(EF!$H$84:$H$99,MATCH('Net zero emission reductions'!$G1433,EF!$D$84:$D$99,0))*INDEX(EF!$H$100:$H$115,MATCH('Net zero emission reductions'!$G1433,EF!$D$100:$D$115,0))*INDEX(EF!$H$116:$H$131,MATCH('Net zero emission reductions'!$G1433,EF!$D$116:$D$131,0))*kgtoGg</f>
        <v>5.6832224136277141</v>
      </c>
      <c r="AR1433" s="22">
        <f>INDEX('Net zero Activity data'!BK$24:BK$39,MATCH('Net zero emission reductions'!$G1433,'Net zero Activity data'!$D$24:$D$39,0))*INDEX(EF!$H$84:$H$99,MATCH('Net zero emission reductions'!$G1433,EF!$D$84:$D$99,0))*INDEX(EF!$H$100:$H$115,MATCH('Net zero emission reductions'!$G1433,EF!$D$100:$D$115,0))*INDEX(EF!$H$116:$H$131,MATCH('Net zero emission reductions'!$G1433,EF!$D$116:$D$131,0))*kgtoGg</f>
        <v>5.6661443965851124</v>
      </c>
      <c r="AS1433" s="22">
        <f>INDEX('Net zero Activity data'!BL$24:BL$39,MATCH('Net zero emission reductions'!$G1433,'Net zero Activity data'!$D$24:$D$39,0))*INDEX(EF!$H$84:$H$99,MATCH('Net zero emission reductions'!$G1433,EF!$D$84:$D$99,0))*INDEX(EF!$H$100:$H$115,MATCH('Net zero emission reductions'!$G1433,EF!$D$100:$D$115,0))*INDEX(EF!$H$116:$H$131,MATCH('Net zero emission reductions'!$G1433,EF!$D$116:$D$131,0))*kgtoGg</f>
        <v>5.6490663795425107</v>
      </c>
      <c r="AT1433" s="22">
        <f>INDEX('Net zero Activity data'!BM$24:BM$39,MATCH('Net zero emission reductions'!$G1433,'Net zero Activity data'!$D$24:$D$39,0))*INDEX(EF!$H$84:$H$99,MATCH('Net zero emission reductions'!$G1433,EF!$D$84:$D$99,0))*INDEX(EF!$H$100:$H$115,MATCH('Net zero emission reductions'!$G1433,EF!$D$100:$D$115,0))*INDEX(EF!$H$116:$H$131,MATCH('Net zero emission reductions'!$G1433,EF!$D$116:$D$131,0))*kgtoGg</f>
        <v>5.631988362499909</v>
      </c>
      <c r="AU1433" s="22">
        <f>INDEX('Net zero Activity data'!BN$24:BN$39,MATCH('Net zero emission reductions'!$G1433,'Net zero Activity data'!$D$24:$D$39,0))*INDEX(EF!$H$84:$H$99,MATCH('Net zero emission reductions'!$G1433,EF!$D$84:$D$99,0))*INDEX(EF!$H$100:$H$115,MATCH('Net zero emission reductions'!$G1433,EF!$D$100:$D$115,0))*INDEX(EF!$H$116:$H$131,MATCH('Net zero emission reductions'!$G1433,EF!$D$116:$D$131,0))*kgtoGg</f>
        <v>5.614910345457309</v>
      </c>
      <c r="AV1433" s="22">
        <f>INDEX('Net zero Activity data'!BO$24:BO$39,MATCH('Net zero emission reductions'!$G1433,'Net zero Activity data'!$D$24:$D$39,0))*INDEX(EF!$H$84:$H$99,MATCH('Net zero emission reductions'!$G1433,EF!$D$84:$D$99,0))*INDEX(EF!$H$100:$H$115,MATCH('Net zero emission reductions'!$G1433,EF!$D$100:$D$115,0))*INDEX(EF!$H$116:$H$131,MATCH('Net zero emission reductions'!$G1433,EF!$D$116:$D$131,0))*kgtoGg</f>
        <v>5.5978323284147082</v>
      </c>
      <c r="AW1433" s="22">
        <f>INDEX('Net zero Activity data'!BP$24:BP$39,MATCH('Net zero emission reductions'!$G1433,'Net zero Activity data'!$D$24:$D$39,0))*INDEX(EF!$H$84:$H$99,MATCH('Net zero emission reductions'!$G1433,EF!$D$84:$D$99,0))*INDEX(EF!$H$100:$H$115,MATCH('Net zero emission reductions'!$G1433,EF!$D$100:$D$115,0))*INDEX(EF!$H$116:$H$131,MATCH('Net zero emission reductions'!$G1433,EF!$D$116:$D$131,0))*kgtoGg</f>
        <v>5.5807543113721056</v>
      </c>
    </row>
    <row r="1434" spans="1:49" x14ac:dyDescent="0.3">
      <c r="A1434" s="95" t="s">
        <v>960</v>
      </c>
      <c r="B1434" s="95"/>
      <c r="C1434" s="95"/>
      <c r="D1434" t="str">
        <f t="shared" si="555"/>
        <v>3C Aggregated and non-CO2 emissions on land</v>
      </c>
      <c r="E1434" t="str">
        <f t="shared" si="554"/>
        <v>3C1 Biomass burning (CH4)</v>
      </c>
      <c r="F1434" t="str">
        <f>F1433</f>
        <v>3C1b Biomass burning in Croplands</v>
      </c>
      <c r="G1434" t="str">
        <f>EF!D89</f>
        <v>Annual pivot</v>
      </c>
      <c r="H1434" t="s">
        <v>646</v>
      </c>
      <c r="I1434" t="str">
        <f t="shared" si="556"/>
        <v>CH4</v>
      </c>
      <c r="J1434" t="str">
        <f t="shared" si="556"/>
        <v>Gg CH4</v>
      </c>
      <c r="K1434" s="22">
        <f>INDEX('Net zero Activity data'!AD$24:AD$39,MATCH('Net zero emission reductions'!$G1434,'Net zero Activity data'!$D$24:$D$39,0))*INDEX(EF!$H$84:$H$99,MATCH('Net zero emission reductions'!$G1434,EF!$D$84:$D$99,0))*INDEX(EF!$H$100:$H$115,MATCH('Net zero emission reductions'!$G1434,EF!$D$100:$D$115,0))*INDEX(EF!$H$116:$H$131,MATCH('Net zero emission reductions'!$G1434,EF!$D$116:$D$131,0))*kgtoGg</f>
        <v>0.51545593822160218</v>
      </c>
      <c r="L1434" s="22">
        <f>INDEX('Net zero Activity data'!AE$24:AE$39,MATCH('Net zero emission reductions'!$G1434,'Net zero Activity data'!$D$24:$D$39,0))*INDEX(EF!$H$84:$H$99,MATCH('Net zero emission reductions'!$G1434,EF!$D$84:$D$99,0))*INDEX(EF!$H$100:$H$115,MATCH('Net zero emission reductions'!$G1434,EF!$D$100:$D$115,0))*INDEX(EF!$H$116:$H$131,MATCH('Net zero emission reductions'!$G1434,EF!$D$116:$D$131,0))*kgtoGg</f>
        <v>0.53112945404780765</v>
      </c>
      <c r="M1434" s="22">
        <f>INDEX('Net zero Activity data'!AF$24:AF$39,MATCH('Net zero emission reductions'!$G1434,'Net zero Activity data'!$D$24:$D$39,0))*INDEX(EF!$H$84:$H$99,MATCH('Net zero emission reductions'!$G1434,EF!$D$84:$D$99,0))*INDEX(EF!$H$100:$H$115,MATCH('Net zero emission reductions'!$G1434,EF!$D$100:$D$115,0))*INDEX(EF!$H$116:$H$131,MATCH('Net zero emission reductions'!$G1434,EF!$D$116:$D$131,0))*kgtoGg</f>
        <v>0.54680296987401311</v>
      </c>
      <c r="N1434" s="22">
        <f>INDEX('Net zero Activity data'!AG$24:AG$39,MATCH('Net zero emission reductions'!$G1434,'Net zero Activity data'!$D$24:$D$39,0))*INDEX(EF!$H$84:$H$99,MATCH('Net zero emission reductions'!$G1434,EF!$D$84:$D$99,0))*INDEX(EF!$H$100:$H$115,MATCH('Net zero emission reductions'!$G1434,EF!$D$100:$D$115,0))*INDEX(EF!$H$116:$H$131,MATCH('Net zero emission reductions'!$G1434,EF!$D$116:$D$131,0))*kgtoGg</f>
        <v>0.5624764857002188</v>
      </c>
      <c r="O1434" s="22">
        <f>INDEX('Net zero Activity data'!AH$24:AH$39,MATCH('Net zero emission reductions'!$G1434,'Net zero Activity data'!$D$24:$D$39,0))*INDEX(EF!$H$84:$H$99,MATCH('Net zero emission reductions'!$G1434,EF!$D$84:$D$99,0))*INDEX(EF!$H$100:$H$115,MATCH('Net zero emission reductions'!$G1434,EF!$D$100:$D$115,0))*INDEX(EF!$H$116:$H$131,MATCH('Net zero emission reductions'!$G1434,EF!$D$116:$D$131,0))*kgtoGg</f>
        <v>0.57815000152642426</v>
      </c>
      <c r="P1434" s="22">
        <f>INDEX('Net zero Activity data'!AI$24:AI$39,MATCH('Net zero emission reductions'!$G1434,'Net zero Activity data'!$D$24:$D$39,0))*INDEX(EF!$H$84:$H$99,MATCH('Net zero emission reductions'!$G1434,EF!$D$84:$D$99,0))*INDEX(EF!$H$100:$H$115,MATCH('Net zero emission reductions'!$G1434,EF!$D$100:$D$115,0))*INDEX(EF!$H$116:$H$131,MATCH('Net zero emission reductions'!$G1434,EF!$D$116:$D$131,0))*kgtoGg</f>
        <v>0.59382351735262984</v>
      </c>
      <c r="Q1434" s="22">
        <f>INDEX('Net zero Activity data'!AJ$24:AJ$39,MATCH('Net zero emission reductions'!$G1434,'Net zero Activity data'!$D$24:$D$39,0))*INDEX(EF!$H$84:$H$99,MATCH('Net zero emission reductions'!$G1434,EF!$D$84:$D$99,0))*INDEX(EF!$H$100:$H$115,MATCH('Net zero emission reductions'!$G1434,EF!$D$100:$D$115,0))*INDEX(EF!$H$116:$H$131,MATCH('Net zero emission reductions'!$G1434,EF!$D$116:$D$131,0))*kgtoGg</f>
        <v>0.6094970331788353</v>
      </c>
      <c r="R1434" s="22">
        <f>INDEX('Net zero Activity data'!AK$24:AK$39,MATCH('Net zero emission reductions'!$G1434,'Net zero Activity data'!$D$24:$D$39,0))*INDEX(EF!$H$84:$H$99,MATCH('Net zero emission reductions'!$G1434,EF!$D$84:$D$99,0))*INDEX(EF!$H$100:$H$115,MATCH('Net zero emission reductions'!$G1434,EF!$D$100:$D$115,0))*INDEX(EF!$H$116:$H$131,MATCH('Net zero emission reductions'!$G1434,EF!$D$116:$D$131,0))*kgtoGg</f>
        <v>0.62517054900504077</v>
      </c>
      <c r="S1434" s="22">
        <f>INDEX('Net zero Activity data'!AL$24:AL$39,MATCH('Net zero emission reductions'!$G1434,'Net zero Activity data'!$D$24:$D$39,0))*INDEX(EF!$H$84:$H$99,MATCH('Net zero emission reductions'!$G1434,EF!$D$84:$D$99,0))*INDEX(EF!$H$100:$H$115,MATCH('Net zero emission reductions'!$G1434,EF!$D$100:$D$115,0))*INDEX(EF!$H$116:$H$131,MATCH('Net zero emission reductions'!$G1434,EF!$D$116:$D$131,0))*kgtoGg</f>
        <v>0.64084406483124634</v>
      </c>
      <c r="T1434" s="22">
        <f>INDEX('Net zero Activity data'!AM$24:AM$39,MATCH('Net zero emission reductions'!$G1434,'Net zero Activity data'!$D$24:$D$39,0))*INDEX(EF!$H$84:$H$99,MATCH('Net zero emission reductions'!$G1434,EF!$D$84:$D$99,0))*INDEX(EF!$H$100:$H$115,MATCH('Net zero emission reductions'!$G1434,EF!$D$100:$D$115,0))*INDEX(EF!$H$116:$H$131,MATCH('Net zero emission reductions'!$G1434,EF!$D$116:$D$131,0))*kgtoGg</f>
        <v>0.65651758065745214</v>
      </c>
      <c r="U1434" s="22">
        <f>INDEX('Net zero Activity data'!AN$24:AN$39,MATCH('Net zero emission reductions'!$G1434,'Net zero Activity data'!$D$24:$D$39,0))*INDEX(EF!$H$84:$H$99,MATCH('Net zero emission reductions'!$G1434,EF!$D$84:$D$99,0))*INDEX(EF!$H$100:$H$115,MATCH('Net zero emission reductions'!$G1434,EF!$D$100:$D$115,0))*INDEX(EF!$H$116:$H$131,MATCH('Net zero emission reductions'!$G1434,EF!$D$116:$D$131,0))*kgtoGg</f>
        <v>0.6721910964836576</v>
      </c>
      <c r="V1434" s="22">
        <f>INDEX('Net zero Activity data'!AO$24:AO$39,MATCH('Net zero emission reductions'!$G1434,'Net zero Activity data'!$D$24:$D$39,0))*INDEX(EF!$H$84:$H$99,MATCH('Net zero emission reductions'!$G1434,EF!$D$84:$D$99,0))*INDEX(EF!$H$100:$H$115,MATCH('Net zero emission reductions'!$G1434,EF!$D$100:$D$115,0))*INDEX(EF!$H$116:$H$131,MATCH('Net zero emission reductions'!$G1434,EF!$D$116:$D$131,0))*kgtoGg</f>
        <v>0.68786461230986296</v>
      </c>
      <c r="W1434" s="22">
        <f>INDEX('Net zero Activity data'!AP$24:AP$39,MATCH('Net zero emission reductions'!$G1434,'Net zero Activity data'!$D$24:$D$39,0))*INDEX(EF!$H$84:$H$99,MATCH('Net zero emission reductions'!$G1434,EF!$D$84:$D$99,0))*INDEX(EF!$H$100:$H$115,MATCH('Net zero emission reductions'!$G1434,EF!$D$100:$D$115,0))*INDEX(EF!$H$116:$H$131,MATCH('Net zero emission reductions'!$G1434,EF!$D$116:$D$131,0))*kgtoGg</f>
        <v>0.70353812813606853</v>
      </c>
      <c r="X1434" s="22">
        <f>INDEX('Net zero Activity data'!AQ$24:AQ$39,MATCH('Net zero emission reductions'!$G1434,'Net zero Activity data'!$D$24:$D$39,0))*INDEX(EF!$H$84:$H$99,MATCH('Net zero emission reductions'!$G1434,EF!$D$84:$D$99,0))*INDEX(EF!$H$100:$H$115,MATCH('Net zero emission reductions'!$G1434,EF!$D$100:$D$115,0))*INDEX(EF!$H$116:$H$131,MATCH('Net zero emission reductions'!$G1434,EF!$D$116:$D$131,0))*kgtoGg</f>
        <v>0.71921164396227399</v>
      </c>
      <c r="Y1434" s="22">
        <f>INDEX('Net zero Activity data'!AR$24:AR$39,MATCH('Net zero emission reductions'!$G1434,'Net zero Activity data'!$D$24:$D$39,0))*INDEX(EF!$H$84:$H$99,MATCH('Net zero emission reductions'!$G1434,EF!$D$84:$D$99,0))*INDEX(EF!$H$100:$H$115,MATCH('Net zero emission reductions'!$G1434,EF!$D$100:$D$115,0))*INDEX(EF!$H$116:$H$131,MATCH('Net zero emission reductions'!$G1434,EF!$D$116:$D$131,0))*kgtoGg</f>
        <v>0.73488515978847979</v>
      </c>
      <c r="Z1434" s="22">
        <f>INDEX('Net zero Activity data'!AS$24:AS$39,MATCH('Net zero emission reductions'!$G1434,'Net zero Activity data'!$D$24:$D$39,0))*INDEX(EF!$H$84:$H$99,MATCH('Net zero emission reductions'!$G1434,EF!$D$84:$D$99,0))*INDEX(EF!$H$100:$H$115,MATCH('Net zero emission reductions'!$G1434,EF!$D$100:$D$115,0))*INDEX(EF!$H$116:$H$131,MATCH('Net zero emission reductions'!$G1434,EF!$D$116:$D$131,0))*kgtoGg</f>
        <v>0.75055867561468514</v>
      </c>
      <c r="AA1434" s="22">
        <f>INDEX('Net zero Activity data'!AT$24:AT$39,MATCH('Net zero emission reductions'!$G1434,'Net zero Activity data'!$D$24:$D$39,0))*INDEX(EF!$H$84:$H$99,MATCH('Net zero emission reductions'!$G1434,EF!$D$84:$D$99,0))*INDEX(EF!$H$100:$H$115,MATCH('Net zero emission reductions'!$G1434,EF!$D$100:$D$115,0))*INDEX(EF!$H$116:$H$131,MATCH('Net zero emission reductions'!$G1434,EF!$D$116:$D$131,0))*kgtoGg</f>
        <v>0.76623219144089083</v>
      </c>
      <c r="AB1434" s="22">
        <f>INDEX('Net zero Activity data'!AU$24:AU$39,MATCH('Net zero emission reductions'!$G1434,'Net zero Activity data'!$D$24:$D$39,0))*INDEX(EF!$H$84:$H$99,MATCH('Net zero emission reductions'!$G1434,EF!$D$84:$D$99,0))*INDEX(EF!$H$100:$H$115,MATCH('Net zero emission reductions'!$G1434,EF!$D$100:$D$115,0))*INDEX(EF!$H$116:$H$131,MATCH('Net zero emission reductions'!$G1434,EF!$D$116:$D$131,0))*kgtoGg</f>
        <v>0.78190570726709629</v>
      </c>
      <c r="AC1434" s="22">
        <f>INDEX('Net zero Activity data'!AV$24:AV$39,MATCH('Net zero emission reductions'!$G1434,'Net zero Activity data'!$D$24:$D$39,0))*INDEX(EF!$H$84:$H$99,MATCH('Net zero emission reductions'!$G1434,EF!$D$84:$D$99,0))*INDEX(EF!$H$100:$H$115,MATCH('Net zero emission reductions'!$G1434,EF!$D$100:$D$115,0))*INDEX(EF!$H$116:$H$131,MATCH('Net zero emission reductions'!$G1434,EF!$D$116:$D$131,0))*kgtoGg</f>
        <v>0.79757922309330198</v>
      </c>
      <c r="AD1434" s="22">
        <f>INDEX('Net zero Activity data'!AW$24:AW$39,MATCH('Net zero emission reductions'!$G1434,'Net zero Activity data'!$D$24:$D$39,0))*INDEX(EF!$H$84:$H$99,MATCH('Net zero emission reductions'!$G1434,EF!$D$84:$D$99,0))*INDEX(EF!$H$100:$H$115,MATCH('Net zero emission reductions'!$G1434,EF!$D$100:$D$115,0))*INDEX(EF!$H$116:$H$131,MATCH('Net zero emission reductions'!$G1434,EF!$D$116:$D$131,0))*kgtoGg</f>
        <v>0.81325273891950733</v>
      </c>
      <c r="AE1434" s="22">
        <f>INDEX('Net zero Activity data'!AX$24:AX$39,MATCH('Net zero emission reductions'!$G1434,'Net zero Activity data'!$D$24:$D$39,0))*INDEX(EF!$H$84:$H$99,MATCH('Net zero emission reductions'!$G1434,EF!$D$84:$D$99,0))*INDEX(EF!$H$100:$H$115,MATCH('Net zero emission reductions'!$G1434,EF!$D$100:$D$115,0))*INDEX(EF!$H$116:$H$131,MATCH('Net zero emission reductions'!$G1434,EF!$D$116:$D$131,0))*kgtoGg</f>
        <v>0.82892625474571302</v>
      </c>
      <c r="AF1434" s="22">
        <f>INDEX('Net zero Activity data'!AY$24:AY$39,MATCH('Net zero emission reductions'!$G1434,'Net zero Activity data'!$D$24:$D$39,0))*INDEX(EF!$H$84:$H$99,MATCH('Net zero emission reductions'!$G1434,EF!$D$84:$D$99,0))*INDEX(EF!$H$100:$H$115,MATCH('Net zero emission reductions'!$G1434,EF!$D$100:$D$115,0))*INDEX(EF!$H$116:$H$131,MATCH('Net zero emission reductions'!$G1434,EF!$D$116:$D$131,0))*kgtoGg</f>
        <v>0.84459977057191826</v>
      </c>
      <c r="AG1434" s="22">
        <f>INDEX('Net zero Activity data'!AZ$24:AZ$39,MATCH('Net zero emission reductions'!$G1434,'Net zero Activity data'!$D$24:$D$39,0))*INDEX(EF!$H$84:$H$99,MATCH('Net zero emission reductions'!$G1434,EF!$D$84:$D$99,0))*INDEX(EF!$H$100:$H$115,MATCH('Net zero emission reductions'!$G1434,EF!$D$100:$D$115,0))*INDEX(EF!$H$116:$H$131,MATCH('Net zero emission reductions'!$G1434,EF!$D$116:$D$131,0))*kgtoGg</f>
        <v>0.86027328639812406</v>
      </c>
      <c r="AH1434" s="22">
        <f>INDEX('Net zero Activity data'!BA$24:BA$39,MATCH('Net zero emission reductions'!$G1434,'Net zero Activity data'!$D$24:$D$39,0))*INDEX(EF!$H$84:$H$99,MATCH('Net zero emission reductions'!$G1434,EF!$D$84:$D$99,0))*INDEX(EF!$H$100:$H$115,MATCH('Net zero emission reductions'!$G1434,EF!$D$100:$D$115,0))*INDEX(EF!$H$116:$H$131,MATCH('Net zero emission reductions'!$G1434,EF!$D$116:$D$131,0))*kgtoGg</f>
        <v>0.87594680222432952</v>
      </c>
      <c r="AI1434" s="22">
        <f>INDEX('Net zero Activity data'!BB$24:BB$39,MATCH('Net zero emission reductions'!$G1434,'Net zero Activity data'!$D$24:$D$39,0))*INDEX(EF!$H$84:$H$99,MATCH('Net zero emission reductions'!$G1434,EF!$D$84:$D$99,0))*INDEX(EF!$H$100:$H$115,MATCH('Net zero emission reductions'!$G1434,EF!$D$100:$D$115,0))*INDEX(EF!$H$116:$H$131,MATCH('Net zero emission reductions'!$G1434,EF!$D$116:$D$131,0))*kgtoGg</f>
        <v>0.89162031805053521</v>
      </c>
      <c r="AJ1434" s="22">
        <f>INDEX('Net zero Activity data'!BC$24:BC$39,MATCH('Net zero emission reductions'!$G1434,'Net zero Activity data'!$D$24:$D$39,0))*INDEX(EF!$H$84:$H$99,MATCH('Net zero emission reductions'!$G1434,EF!$D$84:$D$99,0))*INDEX(EF!$H$100:$H$115,MATCH('Net zero emission reductions'!$G1434,EF!$D$100:$D$115,0))*INDEX(EF!$H$116:$H$131,MATCH('Net zero emission reductions'!$G1434,EF!$D$116:$D$131,0))*kgtoGg</f>
        <v>0.90729383387674067</v>
      </c>
      <c r="AK1434" s="22">
        <f>INDEX('Net zero Activity data'!BD$24:BD$39,MATCH('Net zero emission reductions'!$G1434,'Net zero Activity data'!$D$24:$D$39,0))*INDEX(EF!$H$84:$H$99,MATCH('Net zero emission reductions'!$G1434,EF!$D$84:$D$99,0))*INDEX(EF!$H$100:$H$115,MATCH('Net zero emission reductions'!$G1434,EF!$D$100:$D$115,0))*INDEX(EF!$H$116:$H$131,MATCH('Net zero emission reductions'!$G1434,EF!$D$116:$D$131,0))*kgtoGg</f>
        <v>0.92296734970294614</v>
      </c>
      <c r="AL1434" s="22">
        <f>INDEX('Net zero Activity data'!BE$24:BE$39,MATCH('Net zero emission reductions'!$G1434,'Net zero Activity data'!$D$24:$D$39,0))*INDEX(EF!$H$84:$H$99,MATCH('Net zero emission reductions'!$G1434,EF!$D$84:$D$99,0))*INDEX(EF!$H$100:$H$115,MATCH('Net zero emission reductions'!$G1434,EF!$D$100:$D$115,0))*INDEX(EF!$H$116:$H$131,MATCH('Net zero emission reductions'!$G1434,EF!$D$116:$D$131,0))*kgtoGg</f>
        <v>0.93864086552915194</v>
      </c>
      <c r="AM1434" s="22">
        <f>INDEX('Net zero Activity data'!BF$24:BF$39,MATCH('Net zero emission reductions'!$G1434,'Net zero Activity data'!$D$24:$D$39,0))*INDEX(EF!$H$84:$H$99,MATCH('Net zero emission reductions'!$G1434,EF!$D$84:$D$99,0))*INDEX(EF!$H$100:$H$115,MATCH('Net zero emission reductions'!$G1434,EF!$D$100:$D$115,0))*INDEX(EF!$H$116:$H$131,MATCH('Net zero emission reductions'!$G1434,EF!$D$116:$D$131,0))*kgtoGg</f>
        <v>0.95431438135535729</v>
      </c>
      <c r="AN1434" s="22">
        <f>INDEX('Net zero Activity data'!BG$24:BG$39,MATCH('Net zero emission reductions'!$G1434,'Net zero Activity data'!$D$24:$D$39,0))*INDEX(EF!$H$84:$H$99,MATCH('Net zero emission reductions'!$G1434,EF!$D$84:$D$99,0))*INDEX(EF!$H$100:$H$115,MATCH('Net zero emission reductions'!$G1434,EF!$D$100:$D$115,0))*INDEX(EF!$H$116:$H$131,MATCH('Net zero emission reductions'!$G1434,EF!$D$116:$D$131,0))*kgtoGg</f>
        <v>0.96998789718156264</v>
      </c>
      <c r="AO1434" s="22">
        <f>INDEX('Net zero Activity data'!BH$24:BH$39,MATCH('Net zero emission reductions'!$G1434,'Net zero Activity data'!$D$24:$D$39,0))*INDEX(EF!$H$84:$H$99,MATCH('Net zero emission reductions'!$G1434,EF!$D$84:$D$99,0))*INDEX(EF!$H$100:$H$115,MATCH('Net zero emission reductions'!$G1434,EF!$D$100:$D$115,0))*INDEX(EF!$H$116:$H$131,MATCH('Net zero emission reductions'!$G1434,EF!$D$116:$D$131,0))*kgtoGg</f>
        <v>0.98566141300776822</v>
      </c>
      <c r="AP1434" s="22">
        <f>INDEX('Net zero Activity data'!BI$24:BI$39,MATCH('Net zero emission reductions'!$G1434,'Net zero Activity data'!$D$24:$D$39,0))*INDEX(EF!$H$84:$H$99,MATCH('Net zero emission reductions'!$G1434,EF!$D$84:$D$99,0))*INDEX(EF!$H$100:$H$115,MATCH('Net zero emission reductions'!$G1434,EF!$D$100:$D$115,0))*INDEX(EF!$H$116:$H$131,MATCH('Net zero emission reductions'!$G1434,EF!$D$116:$D$131,0))*kgtoGg</f>
        <v>1.0013349288339739</v>
      </c>
      <c r="AQ1434" s="22">
        <f>INDEX('Net zero Activity data'!BJ$24:BJ$39,MATCH('Net zero emission reductions'!$G1434,'Net zero Activity data'!$D$24:$D$39,0))*INDEX(EF!$H$84:$H$99,MATCH('Net zero emission reductions'!$G1434,EF!$D$84:$D$99,0))*INDEX(EF!$H$100:$H$115,MATCH('Net zero emission reductions'!$G1434,EF!$D$100:$D$115,0))*INDEX(EF!$H$116:$H$131,MATCH('Net zero emission reductions'!$G1434,EF!$D$116:$D$131,0))*kgtoGg</f>
        <v>1.0170084446601795</v>
      </c>
      <c r="AR1434" s="22">
        <f>INDEX('Net zero Activity data'!BK$24:BK$39,MATCH('Net zero emission reductions'!$G1434,'Net zero Activity data'!$D$24:$D$39,0))*INDEX(EF!$H$84:$H$99,MATCH('Net zero emission reductions'!$G1434,EF!$D$84:$D$99,0))*INDEX(EF!$H$100:$H$115,MATCH('Net zero emission reductions'!$G1434,EF!$D$100:$D$115,0))*INDEX(EF!$H$116:$H$131,MATCH('Net zero emission reductions'!$G1434,EF!$D$116:$D$131,0))*kgtoGg</f>
        <v>1.0326819604863848</v>
      </c>
      <c r="AS1434" s="22">
        <f>INDEX('Net zero Activity data'!BL$24:BL$39,MATCH('Net zero emission reductions'!$G1434,'Net zero Activity data'!$D$24:$D$39,0))*INDEX(EF!$H$84:$H$99,MATCH('Net zero emission reductions'!$G1434,EF!$D$84:$D$99,0))*INDEX(EF!$H$100:$H$115,MATCH('Net zero emission reductions'!$G1434,EF!$D$100:$D$115,0))*INDEX(EF!$H$116:$H$131,MATCH('Net zero emission reductions'!$G1434,EF!$D$116:$D$131,0))*kgtoGg</f>
        <v>1.0483554763125904</v>
      </c>
      <c r="AT1434" s="22">
        <f>INDEX('Net zero Activity data'!BM$24:BM$39,MATCH('Net zero emission reductions'!$G1434,'Net zero Activity data'!$D$24:$D$39,0))*INDEX(EF!$H$84:$H$99,MATCH('Net zero emission reductions'!$G1434,EF!$D$84:$D$99,0))*INDEX(EF!$H$100:$H$115,MATCH('Net zero emission reductions'!$G1434,EF!$D$100:$D$115,0))*INDEX(EF!$H$116:$H$131,MATCH('Net zero emission reductions'!$G1434,EF!$D$116:$D$131,0))*kgtoGg</f>
        <v>1.0640289921387955</v>
      </c>
      <c r="AU1434" s="22">
        <f>INDEX('Net zero Activity data'!BN$24:BN$39,MATCH('Net zero emission reductions'!$G1434,'Net zero Activity data'!$D$24:$D$39,0))*INDEX(EF!$H$84:$H$99,MATCH('Net zero emission reductions'!$G1434,EF!$D$84:$D$99,0))*INDEX(EF!$H$100:$H$115,MATCH('Net zero emission reductions'!$G1434,EF!$D$100:$D$115,0))*INDEX(EF!$H$116:$H$131,MATCH('Net zero emission reductions'!$G1434,EF!$D$116:$D$131,0))*kgtoGg</f>
        <v>1.0797025079650009</v>
      </c>
      <c r="AV1434" s="22">
        <f>INDEX('Net zero Activity data'!BO$24:BO$39,MATCH('Net zero emission reductions'!$G1434,'Net zero Activity data'!$D$24:$D$39,0))*INDEX(EF!$H$84:$H$99,MATCH('Net zero emission reductions'!$G1434,EF!$D$84:$D$99,0))*INDEX(EF!$H$100:$H$115,MATCH('Net zero emission reductions'!$G1434,EF!$D$100:$D$115,0))*INDEX(EF!$H$116:$H$131,MATCH('Net zero emission reductions'!$G1434,EF!$D$116:$D$131,0))*kgtoGg</f>
        <v>1.0953760237912065</v>
      </c>
      <c r="AW1434" s="22">
        <f>INDEX('Net zero Activity data'!BP$24:BP$39,MATCH('Net zero emission reductions'!$G1434,'Net zero Activity data'!$D$24:$D$39,0))*INDEX(EF!$H$84:$H$99,MATCH('Net zero emission reductions'!$G1434,EF!$D$84:$D$99,0))*INDEX(EF!$H$100:$H$115,MATCH('Net zero emission reductions'!$G1434,EF!$D$100:$D$115,0))*INDEX(EF!$H$116:$H$131,MATCH('Net zero emission reductions'!$G1434,EF!$D$116:$D$131,0))*kgtoGg</f>
        <v>1.111049539617412</v>
      </c>
    </row>
    <row r="1435" spans="1:49" x14ac:dyDescent="0.3">
      <c r="A1435" s="95" t="s">
        <v>960</v>
      </c>
      <c r="B1435" s="95"/>
      <c r="C1435" s="95"/>
      <c r="D1435" t="str">
        <f t="shared" si="555"/>
        <v>3C Aggregated and non-CO2 emissions on land</v>
      </c>
      <c r="E1435" t="str">
        <f>E1434</f>
        <v>3C1 Biomass burning (CH4)</v>
      </c>
      <c r="F1435" t="str">
        <f t="shared" ref="F1435:F1437" si="557">F1434</f>
        <v>3C1b Biomass burning in Croplands</v>
      </c>
      <c r="G1435" t="str">
        <f>EF!D90</f>
        <v>Perennial orchards</v>
      </c>
      <c r="H1435" t="s">
        <v>647</v>
      </c>
      <c r="I1435" t="str">
        <f>I1434</f>
        <v>CH4</v>
      </c>
      <c r="J1435" t="str">
        <f>J1434</f>
        <v>Gg CH4</v>
      </c>
      <c r="K1435" s="22">
        <f>INDEX('Net zero Activity data'!AD$24:AD$39,MATCH('Net zero emission reductions'!$G1435,'Net zero Activity data'!$D$24:$D$39,0))*INDEX(EF!$H$84:$H$99,MATCH('Net zero emission reductions'!$G1435,EF!$D$84:$D$99,0))*INDEX(EF!$H$100:$H$115,MATCH('Net zero emission reductions'!$G1435,EF!$D$100:$D$115,0))*INDEX(EF!$H$116:$H$131,MATCH('Net zero emission reductions'!$G1435,EF!$D$116:$D$131,0))*kgtoGg</f>
        <v>6.1007970305663753E-2</v>
      </c>
      <c r="L1435" s="22">
        <f>INDEX('Net zero Activity data'!AE$24:AE$39,MATCH('Net zero emission reductions'!$G1435,'Net zero Activity data'!$D$24:$D$39,0))*INDEX(EF!$H$84:$H$99,MATCH('Net zero emission reductions'!$G1435,EF!$D$84:$D$99,0))*INDEX(EF!$H$100:$H$115,MATCH('Net zero emission reductions'!$G1435,EF!$D$100:$D$115,0))*INDEX(EF!$H$116:$H$131,MATCH('Net zero emission reductions'!$G1435,EF!$D$116:$D$131,0))*kgtoGg</f>
        <v>6.1529004605947853E-2</v>
      </c>
      <c r="M1435" s="22">
        <f>INDEX('Net zero Activity data'!AF$24:AF$39,MATCH('Net zero emission reductions'!$G1435,'Net zero Activity data'!$D$24:$D$39,0))*INDEX(EF!$H$84:$H$99,MATCH('Net zero emission reductions'!$G1435,EF!$D$84:$D$99,0))*INDEX(EF!$H$100:$H$115,MATCH('Net zero emission reductions'!$G1435,EF!$D$100:$D$115,0))*INDEX(EF!$H$116:$H$131,MATCH('Net zero emission reductions'!$G1435,EF!$D$116:$D$131,0))*kgtoGg</f>
        <v>6.2050038906231952E-2</v>
      </c>
      <c r="N1435" s="22">
        <f>INDEX('Net zero Activity data'!AG$24:AG$39,MATCH('Net zero emission reductions'!$G1435,'Net zero Activity data'!$D$24:$D$39,0))*INDEX(EF!$H$84:$H$99,MATCH('Net zero emission reductions'!$G1435,EF!$D$84:$D$99,0))*INDEX(EF!$H$100:$H$115,MATCH('Net zero emission reductions'!$G1435,EF!$D$100:$D$115,0))*INDEX(EF!$H$116:$H$131,MATCH('Net zero emission reductions'!$G1435,EF!$D$116:$D$131,0))*kgtoGg</f>
        <v>6.2571073206516031E-2</v>
      </c>
      <c r="O1435" s="22">
        <f>INDEX('Net zero Activity data'!AH$24:AH$39,MATCH('Net zero emission reductions'!$G1435,'Net zero Activity data'!$D$24:$D$39,0))*INDEX(EF!$H$84:$H$99,MATCH('Net zero emission reductions'!$G1435,EF!$D$84:$D$99,0))*INDEX(EF!$H$100:$H$115,MATCH('Net zero emission reductions'!$G1435,EF!$D$100:$D$115,0))*INDEX(EF!$H$116:$H$131,MATCH('Net zero emission reductions'!$G1435,EF!$D$116:$D$131,0))*kgtoGg</f>
        <v>6.3092107506800124E-2</v>
      </c>
      <c r="P1435" s="22">
        <f>INDEX('Net zero Activity data'!AI$24:AI$39,MATCH('Net zero emission reductions'!$G1435,'Net zero Activity data'!$D$24:$D$39,0))*INDEX(EF!$H$84:$H$99,MATCH('Net zero emission reductions'!$G1435,EF!$D$84:$D$99,0))*INDEX(EF!$H$100:$H$115,MATCH('Net zero emission reductions'!$G1435,EF!$D$100:$D$115,0))*INDEX(EF!$H$116:$H$131,MATCH('Net zero emission reductions'!$G1435,EF!$D$116:$D$131,0))*kgtoGg</f>
        <v>6.3613141807084217E-2</v>
      </c>
      <c r="Q1435" s="22">
        <f>INDEX('Net zero Activity data'!AJ$24:AJ$39,MATCH('Net zero emission reductions'!$G1435,'Net zero Activity data'!$D$24:$D$39,0))*INDEX(EF!$H$84:$H$99,MATCH('Net zero emission reductions'!$G1435,EF!$D$84:$D$99,0))*INDEX(EF!$H$100:$H$115,MATCH('Net zero emission reductions'!$G1435,EF!$D$100:$D$115,0))*INDEX(EF!$H$116:$H$131,MATCH('Net zero emission reductions'!$G1435,EF!$D$116:$D$131,0))*kgtoGg</f>
        <v>6.413417610736831E-2</v>
      </c>
      <c r="R1435" s="22">
        <f>INDEX('Net zero Activity data'!AK$24:AK$39,MATCH('Net zero emission reductions'!$G1435,'Net zero Activity data'!$D$24:$D$39,0))*INDEX(EF!$H$84:$H$99,MATCH('Net zero emission reductions'!$G1435,EF!$D$84:$D$99,0))*INDEX(EF!$H$100:$H$115,MATCH('Net zero emission reductions'!$G1435,EF!$D$100:$D$115,0))*INDEX(EF!$H$116:$H$131,MATCH('Net zero emission reductions'!$G1435,EF!$D$116:$D$131,0))*kgtoGg</f>
        <v>6.4655210407652403E-2</v>
      </c>
      <c r="S1435" s="22">
        <f>INDEX('Net zero Activity data'!AL$24:AL$39,MATCH('Net zero emission reductions'!$G1435,'Net zero Activity data'!$D$24:$D$39,0))*INDEX(EF!$H$84:$H$99,MATCH('Net zero emission reductions'!$G1435,EF!$D$84:$D$99,0))*INDEX(EF!$H$100:$H$115,MATCH('Net zero emission reductions'!$G1435,EF!$D$100:$D$115,0))*INDEX(EF!$H$116:$H$131,MATCH('Net zero emission reductions'!$G1435,EF!$D$116:$D$131,0))*kgtoGg</f>
        <v>6.5176244707936495E-2</v>
      </c>
      <c r="T1435" s="22">
        <f>INDEX('Net zero Activity data'!AM$24:AM$39,MATCH('Net zero emission reductions'!$G1435,'Net zero Activity data'!$D$24:$D$39,0))*INDEX(EF!$H$84:$H$99,MATCH('Net zero emission reductions'!$G1435,EF!$D$84:$D$99,0))*INDEX(EF!$H$100:$H$115,MATCH('Net zero emission reductions'!$G1435,EF!$D$100:$D$115,0))*INDEX(EF!$H$116:$H$131,MATCH('Net zero emission reductions'!$G1435,EF!$D$116:$D$131,0))*kgtoGg</f>
        <v>6.5697279008220588E-2</v>
      </c>
      <c r="U1435" s="22">
        <f>INDEX('Net zero Activity data'!AN$24:AN$39,MATCH('Net zero emission reductions'!$G1435,'Net zero Activity data'!$D$24:$D$39,0))*INDEX(EF!$H$84:$H$99,MATCH('Net zero emission reductions'!$G1435,EF!$D$84:$D$99,0))*INDEX(EF!$H$100:$H$115,MATCH('Net zero emission reductions'!$G1435,EF!$D$100:$D$115,0))*INDEX(EF!$H$116:$H$131,MATCH('Net zero emission reductions'!$G1435,EF!$D$116:$D$131,0))*kgtoGg</f>
        <v>6.6218313308504667E-2</v>
      </c>
      <c r="V1435" s="22">
        <f>INDEX('Net zero Activity data'!AO$24:AO$39,MATCH('Net zero emission reductions'!$G1435,'Net zero Activity data'!$D$24:$D$39,0))*INDEX(EF!$H$84:$H$99,MATCH('Net zero emission reductions'!$G1435,EF!$D$84:$D$99,0))*INDEX(EF!$H$100:$H$115,MATCH('Net zero emission reductions'!$G1435,EF!$D$100:$D$115,0))*INDEX(EF!$H$116:$H$131,MATCH('Net zero emission reductions'!$G1435,EF!$D$116:$D$131,0))*kgtoGg</f>
        <v>6.673934760878876E-2</v>
      </c>
      <c r="W1435" s="22">
        <f>INDEX('Net zero Activity data'!AP$24:AP$39,MATCH('Net zero emission reductions'!$G1435,'Net zero Activity data'!$D$24:$D$39,0))*INDEX(EF!$H$84:$H$99,MATCH('Net zero emission reductions'!$G1435,EF!$D$84:$D$99,0))*INDEX(EF!$H$100:$H$115,MATCH('Net zero emission reductions'!$G1435,EF!$D$100:$D$115,0))*INDEX(EF!$H$116:$H$131,MATCH('Net zero emission reductions'!$G1435,EF!$D$116:$D$131,0))*kgtoGg</f>
        <v>6.7260381909072867E-2</v>
      </c>
      <c r="X1435" s="22">
        <f>INDEX('Net zero Activity data'!AQ$24:AQ$39,MATCH('Net zero emission reductions'!$G1435,'Net zero Activity data'!$D$24:$D$39,0))*INDEX(EF!$H$84:$H$99,MATCH('Net zero emission reductions'!$G1435,EF!$D$84:$D$99,0))*INDEX(EF!$H$100:$H$115,MATCH('Net zero emission reductions'!$G1435,EF!$D$100:$D$115,0))*INDEX(EF!$H$116:$H$131,MATCH('Net zero emission reductions'!$G1435,EF!$D$116:$D$131,0))*kgtoGg</f>
        <v>6.7781416209356946E-2</v>
      </c>
      <c r="Y1435" s="22">
        <f>INDEX('Net zero Activity data'!AR$24:AR$39,MATCH('Net zero emission reductions'!$G1435,'Net zero Activity data'!$D$24:$D$39,0))*INDEX(EF!$H$84:$H$99,MATCH('Net zero emission reductions'!$G1435,EF!$D$84:$D$99,0))*INDEX(EF!$H$100:$H$115,MATCH('Net zero emission reductions'!$G1435,EF!$D$100:$D$115,0))*INDEX(EF!$H$116:$H$131,MATCH('Net zero emission reductions'!$G1435,EF!$D$116:$D$131,0))*kgtoGg</f>
        <v>6.8302450509641038E-2</v>
      </c>
      <c r="Z1435" s="22">
        <f>INDEX('Net zero Activity data'!AS$24:AS$39,MATCH('Net zero emission reductions'!$G1435,'Net zero Activity data'!$D$24:$D$39,0))*INDEX(EF!$H$84:$H$99,MATCH('Net zero emission reductions'!$G1435,EF!$D$84:$D$99,0))*INDEX(EF!$H$100:$H$115,MATCH('Net zero emission reductions'!$G1435,EF!$D$100:$D$115,0))*INDEX(EF!$H$116:$H$131,MATCH('Net zero emission reductions'!$G1435,EF!$D$116:$D$131,0))*kgtoGg</f>
        <v>6.8823484809925117E-2</v>
      </c>
      <c r="AA1435" s="22">
        <f>INDEX('Net zero Activity data'!AT$24:AT$39,MATCH('Net zero emission reductions'!$G1435,'Net zero Activity data'!$D$24:$D$39,0))*INDEX(EF!$H$84:$H$99,MATCH('Net zero emission reductions'!$G1435,EF!$D$84:$D$99,0))*INDEX(EF!$H$100:$H$115,MATCH('Net zero emission reductions'!$G1435,EF!$D$100:$D$115,0))*INDEX(EF!$H$116:$H$131,MATCH('Net zero emission reductions'!$G1435,EF!$D$116:$D$131,0))*kgtoGg</f>
        <v>6.9344519110209224E-2</v>
      </c>
      <c r="AB1435" s="22">
        <f>INDEX('Net zero Activity data'!AU$24:AU$39,MATCH('Net zero emission reductions'!$G1435,'Net zero Activity data'!$D$24:$D$39,0))*INDEX(EF!$H$84:$H$99,MATCH('Net zero emission reductions'!$G1435,EF!$D$84:$D$99,0))*INDEX(EF!$H$100:$H$115,MATCH('Net zero emission reductions'!$G1435,EF!$D$100:$D$115,0))*INDEX(EF!$H$116:$H$131,MATCH('Net zero emission reductions'!$G1435,EF!$D$116:$D$131,0))*kgtoGg</f>
        <v>6.9865553410493303E-2</v>
      </c>
      <c r="AC1435" s="22">
        <f>INDEX('Net zero Activity data'!AV$24:AV$39,MATCH('Net zero emission reductions'!$G1435,'Net zero Activity data'!$D$24:$D$39,0))*INDEX(EF!$H$84:$H$99,MATCH('Net zero emission reductions'!$G1435,EF!$D$84:$D$99,0))*INDEX(EF!$H$100:$H$115,MATCH('Net zero emission reductions'!$G1435,EF!$D$100:$D$115,0))*INDEX(EF!$H$116:$H$131,MATCH('Net zero emission reductions'!$G1435,EF!$D$116:$D$131,0))*kgtoGg</f>
        <v>7.038658771077741E-2</v>
      </c>
      <c r="AD1435" s="22">
        <f>INDEX('Net zero Activity data'!AW$24:AW$39,MATCH('Net zero emission reductions'!$G1435,'Net zero Activity data'!$D$24:$D$39,0))*INDEX(EF!$H$84:$H$99,MATCH('Net zero emission reductions'!$G1435,EF!$D$84:$D$99,0))*INDEX(EF!$H$100:$H$115,MATCH('Net zero emission reductions'!$G1435,EF!$D$100:$D$115,0))*INDEX(EF!$H$116:$H$131,MATCH('Net zero emission reductions'!$G1435,EF!$D$116:$D$131,0))*kgtoGg</f>
        <v>7.0907622011061489E-2</v>
      </c>
      <c r="AE1435" s="22">
        <f>INDEX('Net zero Activity data'!AX$24:AX$39,MATCH('Net zero emission reductions'!$G1435,'Net zero Activity data'!$D$24:$D$39,0))*INDEX(EF!$H$84:$H$99,MATCH('Net zero emission reductions'!$G1435,EF!$D$84:$D$99,0))*INDEX(EF!$H$100:$H$115,MATCH('Net zero emission reductions'!$G1435,EF!$D$100:$D$115,0))*INDEX(EF!$H$116:$H$131,MATCH('Net zero emission reductions'!$G1435,EF!$D$116:$D$131,0))*kgtoGg</f>
        <v>7.1428656311345595E-2</v>
      </c>
      <c r="AF1435" s="22">
        <f>INDEX('Net zero Activity data'!AY$24:AY$39,MATCH('Net zero emission reductions'!$G1435,'Net zero Activity data'!$D$24:$D$39,0))*INDEX(EF!$H$84:$H$99,MATCH('Net zero emission reductions'!$G1435,EF!$D$84:$D$99,0))*INDEX(EF!$H$100:$H$115,MATCH('Net zero emission reductions'!$G1435,EF!$D$100:$D$115,0))*INDEX(EF!$H$116:$H$131,MATCH('Net zero emission reductions'!$G1435,EF!$D$116:$D$131,0))*kgtoGg</f>
        <v>7.1949690611629674E-2</v>
      </c>
      <c r="AG1435" s="22">
        <f>INDEX('Net zero Activity data'!AZ$24:AZ$39,MATCH('Net zero emission reductions'!$G1435,'Net zero Activity data'!$D$24:$D$39,0))*INDEX(EF!$H$84:$H$99,MATCH('Net zero emission reductions'!$G1435,EF!$D$84:$D$99,0))*INDEX(EF!$H$100:$H$115,MATCH('Net zero emission reductions'!$G1435,EF!$D$100:$D$115,0))*INDEX(EF!$H$116:$H$131,MATCH('Net zero emission reductions'!$G1435,EF!$D$116:$D$131,0))*kgtoGg</f>
        <v>7.2470724911913767E-2</v>
      </c>
      <c r="AH1435" s="22">
        <f>INDEX('Net zero Activity data'!BA$24:BA$39,MATCH('Net zero emission reductions'!$G1435,'Net zero Activity data'!$D$24:$D$39,0))*INDEX(EF!$H$84:$H$99,MATCH('Net zero emission reductions'!$G1435,EF!$D$84:$D$99,0))*INDEX(EF!$H$100:$H$115,MATCH('Net zero emission reductions'!$G1435,EF!$D$100:$D$115,0))*INDEX(EF!$H$116:$H$131,MATCH('Net zero emission reductions'!$G1435,EF!$D$116:$D$131,0))*kgtoGg</f>
        <v>7.2991759212197846E-2</v>
      </c>
      <c r="AI1435" s="22">
        <f>INDEX('Net zero Activity data'!BB$24:BB$39,MATCH('Net zero emission reductions'!$G1435,'Net zero Activity data'!$D$24:$D$39,0))*INDEX(EF!$H$84:$H$99,MATCH('Net zero emission reductions'!$G1435,EF!$D$84:$D$99,0))*INDEX(EF!$H$100:$H$115,MATCH('Net zero emission reductions'!$G1435,EF!$D$100:$D$115,0))*INDEX(EF!$H$116:$H$131,MATCH('Net zero emission reductions'!$G1435,EF!$D$116:$D$131,0))*kgtoGg</f>
        <v>7.3512793512481966E-2</v>
      </c>
      <c r="AJ1435" s="22">
        <f>INDEX('Net zero Activity data'!BC$24:BC$39,MATCH('Net zero emission reductions'!$G1435,'Net zero Activity data'!$D$24:$D$39,0))*INDEX(EF!$H$84:$H$99,MATCH('Net zero emission reductions'!$G1435,EF!$D$84:$D$99,0))*INDEX(EF!$H$100:$H$115,MATCH('Net zero emission reductions'!$G1435,EF!$D$100:$D$115,0))*INDEX(EF!$H$116:$H$131,MATCH('Net zero emission reductions'!$G1435,EF!$D$116:$D$131,0))*kgtoGg</f>
        <v>7.4033827812766045E-2</v>
      </c>
      <c r="AK1435" s="22">
        <f>INDEX('Net zero Activity data'!BD$24:BD$39,MATCH('Net zero emission reductions'!$G1435,'Net zero Activity data'!$D$24:$D$39,0))*INDEX(EF!$H$84:$H$99,MATCH('Net zero emission reductions'!$G1435,EF!$D$84:$D$99,0))*INDEX(EF!$H$100:$H$115,MATCH('Net zero emission reductions'!$G1435,EF!$D$100:$D$115,0))*INDEX(EF!$H$116:$H$131,MATCH('Net zero emission reductions'!$G1435,EF!$D$116:$D$131,0))*kgtoGg</f>
        <v>7.4554862113050138E-2</v>
      </c>
      <c r="AL1435" s="22">
        <f>INDEX('Net zero Activity data'!BE$24:BE$39,MATCH('Net zero emission reductions'!$G1435,'Net zero Activity data'!$D$24:$D$39,0))*INDEX(EF!$H$84:$H$99,MATCH('Net zero emission reductions'!$G1435,EF!$D$84:$D$99,0))*INDEX(EF!$H$100:$H$115,MATCH('Net zero emission reductions'!$G1435,EF!$D$100:$D$115,0))*INDEX(EF!$H$116:$H$131,MATCH('Net zero emission reductions'!$G1435,EF!$D$116:$D$131,0))*kgtoGg</f>
        <v>7.5075896413334217E-2</v>
      </c>
      <c r="AM1435" s="22">
        <f>INDEX('Net zero Activity data'!BF$24:BF$39,MATCH('Net zero emission reductions'!$G1435,'Net zero Activity data'!$D$24:$D$39,0))*INDEX(EF!$H$84:$H$99,MATCH('Net zero emission reductions'!$G1435,EF!$D$84:$D$99,0))*INDEX(EF!$H$100:$H$115,MATCH('Net zero emission reductions'!$G1435,EF!$D$100:$D$115,0))*INDEX(EF!$H$116:$H$131,MATCH('Net zero emission reductions'!$G1435,EF!$D$116:$D$131,0))*kgtoGg</f>
        <v>7.5596930713618296E-2</v>
      </c>
      <c r="AN1435" s="22">
        <f>INDEX('Net zero Activity data'!BG$24:BG$39,MATCH('Net zero emission reductions'!$G1435,'Net zero Activity data'!$D$24:$D$39,0))*INDEX(EF!$H$84:$H$99,MATCH('Net zero emission reductions'!$G1435,EF!$D$84:$D$99,0))*INDEX(EF!$H$100:$H$115,MATCH('Net zero emission reductions'!$G1435,EF!$D$100:$D$115,0))*INDEX(EF!$H$116:$H$131,MATCH('Net zero emission reductions'!$G1435,EF!$D$116:$D$131,0))*kgtoGg</f>
        <v>7.6117965013902403E-2</v>
      </c>
      <c r="AO1435" s="22">
        <f>INDEX('Net zero Activity data'!BH$24:BH$39,MATCH('Net zero emission reductions'!$G1435,'Net zero Activity data'!$D$24:$D$39,0))*INDEX(EF!$H$84:$H$99,MATCH('Net zero emission reductions'!$G1435,EF!$D$84:$D$99,0))*INDEX(EF!$H$100:$H$115,MATCH('Net zero emission reductions'!$G1435,EF!$D$100:$D$115,0))*INDEX(EF!$H$116:$H$131,MATCH('Net zero emission reductions'!$G1435,EF!$D$116:$D$131,0))*kgtoGg</f>
        <v>7.6638999314186496E-2</v>
      </c>
      <c r="AP1435" s="22">
        <f>INDEX('Net zero Activity data'!BI$24:BI$39,MATCH('Net zero emission reductions'!$G1435,'Net zero Activity data'!$D$24:$D$39,0))*INDEX(EF!$H$84:$H$99,MATCH('Net zero emission reductions'!$G1435,EF!$D$84:$D$99,0))*INDEX(EF!$H$100:$H$115,MATCH('Net zero emission reductions'!$G1435,EF!$D$100:$D$115,0))*INDEX(EF!$H$116:$H$131,MATCH('Net zero emission reductions'!$G1435,EF!$D$116:$D$131,0))*kgtoGg</f>
        <v>7.7160033614470575E-2</v>
      </c>
      <c r="AQ1435" s="22">
        <f>INDEX('Net zero Activity data'!BJ$24:BJ$39,MATCH('Net zero emission reductions'!$G1435,'Net zero Activity data'!$D$24:$D$39,0))*INDEX(EF!$H$84:$H$99,MATCH('Net zero emission reductions'!$G1435,EF!$D$84:$D$99,0))*INDEX(EF!$H$100:$H$115,MATCH('Net zero emission reductions'!$G1435,EF!$D$100:$D$115,0))*INDEX(EF!$H$116:$H$131,MATCH('Net zero emission reductions'!$G1435,EF!$D$116:$D$131,0))*kgtoGg</f>
        <v>7.7681067914754681E-2</v>
      </c>
      <c r="AR1435" s="22">
        <f>INDEX('Net zero Activity data'!BK$24:BK$39,MATCH('Net zero emission reductions'!$G1435,'Net zero Activity data'!$D$24:$D$39,0))*INDEX(EF!$H$84:$H$99,MATCH('Net zero emission reductions'!$G1435,EF!$D$84:$D$99,0))*INDEX(EF!$H$100:$H$115,MATCH('Net zero emission reductions'!$G1435,EF!$D$100:$D$115,0))*INDEX(EF!$H$116:$H$131,MATCH('Net zero emission reductions'!$G1435,EF!$D$116:$D$131,0))*kgtoGg</f>
        <v>7.8202102215038774E-2</v>
      </c>
      <c r="AS1435" s="22">
        <f>INDEX('Net zero Activity data'!BL$24:BL$39,MATCH('Net zero emission reductions'!$G1435,'Net zero Activity data'!$D$24:$D$39,0))*INDEX(EF!$H$84:$H$99,MATCH('Net zero emission reductions'!$G1435,EF!$D$84:$D$99,0))*INDEX(EF!$H$100:$H$115,MATCH('Net zero emission reductions'!$G1435,EF!$D$100:$D$115,0))*INDEX(EF!$H$116:$H$131,MATCH('Net zero emission reductions'!$G1435,EF!$D$116:$D$131,0))*kgtoGg</f>
        <v>7.8723136515322853E-2</v>
      </c>
      <c r="AT1435" s="22">
        <f>INDEX('Net zero Activity data'!BM$24:BM$39,MATCH('Net zero emission reductions'!$G1435,'Net zero Activity data'!$D$24:$D$39,0))*INDEX(EF!$H$84:$H$99,MATCH('Net zero emission reductions'!$G1435,EF!$D$84:$D$99,0))*INDEX(EF!$H$100:$H$115,MATCH('Net zero emission reductions'!$G1435,EF!$D$100:$D$115,0))*INDEX(EF!$H$116:$H$131,MATCH('Net zero emission reductions'!$G1435,EF!$D$116:$D$131,0))*kgtoGg</f>
        <v>7.9244170815606946E-2</v>
      </c>
      <c r="AU1435" s="22">
        <f>INDEX('Net zero Activity data'!BN$24:BN$39,MATCH('Net zero emission reductions'!$G1435,'Net zero Activity data'!$D$24:$D$39,0))*INDEX(EF!$H$84:$H$99,MATCH('Net zero emission reductions'!$G1435,EF!$D$84:$D$99,0))*INDEX(EF!$H$100:$H$115,MATCH('Net zero emission reductions'!$G1435,EF!$D$100:$D$115,0))*INDEX(EF!$H$116:$H$131,MATCH('Net zero emission reductions'!$G1435,EF!$D$116:$D$131,0))*kgtoGg</f>
        <v>7.9765205115891025E-2</v>
      </c>
      <c r="AV1435" s="22">
        <f>INDEX('Net zero Activity data'!BO$24:BO$39,MATCH('Net zero emission reductions'!$G1435,'Net zero Activity data'!$D$24:$D$39,0))*INDEX(EF!$H$84:$H$99,MATCH('Net zero emission reductions'!$G1435,EF!$D$84:$D$99,0))*INDEX(EF!$H$100:$H$115,MATCH('Net zero emission reductions'!$G1435,EF!$D$100:$D$115,0))*INDEX(EF!$H$116:$H$131,MATCH('Net zero emission reductions'!$G1435,EF!$D$116:$D$131,0))*kgtoGg</f>
        <v>8.0286239416175145E-2</v>
      </c>
      <c r="AW1435" s="22">
        <f>INDEX('Net zero Activity data'!BP$24:BP$39,MATCH('Net zero emission reductions'!$G1435,'Net zero Activity data'!$D$24:$D$39,0))*INDEX(EF!$H$84:$H$99,MATCH('Net zero emission reductions'!$G1435,EF!$D$84:$D$99,0))*INDEX(EF!$H$100:$H$115,MATCH('Net zero emission reductions'!$G1435,EF!$D$100:$D$115,0))*INDEX(EF!$H$116:$H$131,MATCH('Net zero emission reductions'!$G1435,EF!$D$116:$D$131,0))*kgtoGg</f>
        <v>8.0807273716459224E-2</v>
      </c>
    </row>
    <row r="1436" spans="1:49" x14ac:dyDescent="0.3">
      <c r="A1436" s="95" t="s">
        <v>960</v>
      </c>
      <c r="B1436" s="95"/>
      <c r="C1436" s="95"/>
      <c r="D1436" t="str">
        <f t="shared" si="555"/>
        <v>3C Aggregated and non-CO2 emissions on land</v>
      </c>
      <c r="E1436" t="str">
        <f t="shared" si="555"/>
        <v>3C1 Biomass burning (CH4)</v>
      </c>
      <c r="F1436" t="str">
        <f t="shared" si="557"/>
        <v>3C1b Biomass burning in Croplands</v>
      </c>
      <c r="G1436" t="str">
        <f>EF!D91</f>
        <v>Perennial vineyards</v>
      </c>
      <c r="H1436" t="s">
        <v>648</v>
      </c>
      <c r="I1436" t="str">
        <f>I1435</f>
        <v>CH4</v>
      </c>
      <c r="J1436" t="str">
        <f>J1435</f>
        <v>Gg CH4</v>
      </c>
      <c r="K1436" s="22">
        <f>INDEX('Net zero Activity data'!AD$24:AD$39,MATCH('Net zero emission reductions'!$G1436,'Net zero Activity data'!$D$24:$D$39,0))*INDEX(EF!$H$84:$H$99,MATCH('Net zero emission reductions'!$G1436,EF!$D$84:$D$99,0))*INDEX(EF!$H$100:$H$115,MATCH('Net zero emission reductions'!$G1436,EF!$D$100:$D$115,0))*INDEX(EF!$H$116:$H$131,MATCH('Net zero emission reductions'!$G1436,EF!$D$116:$D$131,0))*kgtoGg</f>
        <v>1.6859607769005278E-2</v>
      </c>
      <c r="L1436" s="22">
        <f>INDEX('Net zero Activity data'!AE$24:AE$39,MATCH('Net zero emission reductions'!$G1436,'Net zero Activity data'!$D$24:$D$39,0))*INDEX(EF!$H$84:$H$99,MATCH('Net zero emission reductions'!$G1436,EF!$D$84:$D$99,0))*INDEX(EF!$H$100:$H$115,MATCH('Net zero emission reductions'!$G1436,EF!$D$100:$D$115,0))*INDEX(EF!$H$116:$H$131,MATCH('Net zero emission reductions'!$G1436,EF!$D$116:$D$131,0))*kgtoGg</f>
        <v>1.6970620595071061E-2</v>
      </c>
      <c r="M1436" s="22">
        <f>INDEX('Net zero Activity data'!AF$24:AF$39,MATCH('Net zero emission reductions'!$G1436,'Net zero Activity data'!$D$24:$D$39,0))*INDEX(EF!$H$84:$H$99,MATCH('Net zero emission reductions'!$G1436,EF!$D$84:$D$99,0))*INDEX(EF!$H$100:$H$115,MATCH('Net zero emission reductions'!$G1436,EF!$D$100:$D$115,0))*INDEX(EF!$H$116:$H$131,MATCH('Net zero emission reductions'!$G1436,EF!$D$116:$D$131,0))*kgtoGg</f>
        <v>1.7081633421136833E-2</v>
      </c>
      <c r="N1436" s="22">
        <f>INDEX('Net zero Activity data'!AG$24:AG$39,MATCH('Net zero emission reductions'!$G1436,'Net zero Activity data'!$D$24:$D$39,0))*INDEX(EF!$H$84:$H$99,MATCH('Net zero emission reductions'!$G1436,EF!$D$84:$D$99,0))*INDEX(EF!$H$100:$H$115,MATCH('Net zero emission reductions'!$G1436,EF!$D$100:$D$115,0))*INDEX(EF!$H$116:$H$131,MATCH('Net zero emission reductions'!$G1436,EF!$D$116:$D$131,0))*kgtoGg</f>
        <v>1.7192646247202611E-2</v>
      </c>
      <c r="O1436" s="22">
        <f>INDEX('Net zero Activity data'!AH$24:AH$39,MATCH('Net zero emission reductions'!$G1436,'Net zero Activity data'!$D$24:$D$39,0))*INDEX(EF!$H$84:$H$99,MATCH('Net zero emission reductions'!$G1436,EF!$D$84:$D$99,0))*INDEX(EF!$H$100:$H$115,MATCH('Net zero emission reductions'!$G1436,EF!$D$100:$D$115,0))*INDEX(EF!$H$116:$H$131,MATCH('Net zero emission reductions'!$G1436,EF!$D$116:$D$131,0))*kgtoGg</f>
        <v>1.7303659073268383E-2</v>
      </c>
      <c r="P1436" s="22">
        <f>INDEX('Net zero Activity data'!AI$24:AI$39,MATCH('Net zero emission reductions'!$G1436,'Net zero Activity data'!$D$24:$D$39,0))*INDEX(EF!$H$84:$H$99,MATCH('Net zero emission reductions'!$G1436,EF!$D$84:$D$99,0))*INDEX(EF!$H$100:$H$115,MATCH('Net zero emission reductions'!$G1436,EF!$D$100:$D$115,0))*INDEX(EF!$H$116:$H$131,MATCH('Net zero emission reductions'!$G1436,EF!$D$116:$D$131,0))*kgtoGg</f>
        <v>1.7414671899334159E-2</v>
      </c>
      <c r="Q1436" s="22">
        <f>INDEX('Net zero Activity data'!AJ$24:AJ$39,MATCH('Net zero emission reductions'!$G1436,'Net zero Activity data'!$D$24:$D$39,0))*INDEX(EF!$H$84:$H$99,MATCH('Net zero emission reductions'!$G1436,EF!$D$84:$D$99,0))*INDEX(EF!$H$100:$H$115,MATCH('Net zero emission reductions'!$G1436,EF!$D$100:$D$115,0))*INDEX(EF!$H$116:$H$131,MATCH('Net zero emission reductions'!$G1436,EF!$D$116:$D$131,0))*kgtoGg</f>
        <v>1.7525684725399934E-2</v>
      </c>
      <c r="R1436" s="22">
        <f>INDEX('Net zero Activity data'!AK$24:AK$39,MATCH('Net zero emission reductions'!$G1436,'Net zero Activity data'!$D$24:$D$39,0))*INDEX(EF!$H$84:$H$99,MATCH('Net zero emission reductions'!$G1436,EF!$D$84:$D$99,0))*INDEX(EF!$H$100:$H$115,MATCH('Net zero emission reductions'!$G1436,EF!$D$100:$D$115,0))*INDEX(EF!$H$116:$H$131,MATCH('Net zero emission reductions'!$G1436,EF!$D$116:$D$131,0))*kgtoGg</f>
        <v>1.7636697551465713E-2</v>
      </c>
      <c r="S1436" s="22">
        <f>INDEX('Net zero Activity data'!AL$24:AL$39,MATCH('Net zero emission reductions'!$G1436,'Net zero Activity data'!$D$24:$D$39,0))*INDEX(EF!$H$84:$H$99,MATCH('Net zero emission reductions'!$G1436,EF!$D$84:$D$99,0))*INDEX(EF!$H$100:$H$115,MATCH('Net zero emission reductions'!$G1436,EF!$D$100:$D$115,0))*INDEX(EF!$H$116:$H$131,MATCH('Net zero emission reductions'!$G1436,EF!$D$116:$D$131,0))*kgtoGg</f>
        <v>1.7747710377531489E-2</v>
      </c>
      <c r="T1436" s="22">
        <f>INDEX('Net zero Activity data'!AM$24:AM$39,MATCH('Net zero emission reductions'!$G1436,'Net zero Activity data'!$D$24:$D$39,0))*INDEX(EF!$H$84:$H$99,MATCH('Net zero emission reductions'!$G1436,EF!$D$84:$D$99,0))*INDEX(EF!$H$100:$H$115,MATCH('Net zero emission reductions'!$G1436,EF!$D$100:$D$115,0))*INDEX(EF!$H$116:$H$131,MATCH('Net zero emission reductions'!$G1436,EF!$D$116:$D$131,0))*kgtoGg</f>
        <v>1.7858723203597264E-2</v>
      </c>
      <c r="U1436" s="22">
        <f>INDEX('Net zero Activity data'!AN$24:AN$39,MATCH('Net zero emission reductions'!$G1436,'Net zero Activity data'!$D$24:$D$39,0))*INDEX(EF!$H$84:$H$99,MATCH('Net zero emission reductions'!$G1436,EF!$D$84:$D$99,0))*INDEX(EF!$H$100:$H$115,MATCH('Net zero emission reductions'!$G1436,EF!$D$100:$D$115,0))*INDEX(EF!$H$116:$H$131,MATCH('Net zero emission reductions'!$G1436,EF!$D$116:$D$131,0))*kgtoGg</f>
        <v>1.7969736029663043E-2</v>
      </c>
      <c r="V1436" s="22">
        <f>INDEX('Net zero Activity data'!AO$24:AO$39,MATCH('Net zero emission reductions'!$G1436,'Net zero Activity data'!$D$24:$D$39,0))*INDEX(EF!$H$84:$H$99,MATCH('Net zero emission reductions'!$G1436,EF!$D$84:$D$99,0))*INDEX(EF!$H$100:$H$115,MATCH('Net zero emission reductions'!$G1436,EF!$D$100:$D$115,0))*INDEX(EF!$H$116:$H$131,MATCH('Net zero emission reductions'!$G1436,EF!$D$116:$D$131,0))*kgtoGg</f>
        <v>1.8080748855728818E-2</v>
      </c>
      <c r="W1436" s="22">
        <f>INDEX('Net zero Activity data'!AP$24:AP$39,MATCH('Net zero emission reductions'!$G1436,'Net zero Activity data'!$D$24:$D$39,0))*INDEX(EF!$H$84:$H$99,MATCH('Net zero emission reductions'!$G1436,EF!$D$84:$D$99,0))*INDEX(EF!$H$100:$H$115,MATCH('Net zero emission reductions'!$G1436,EF!$D$100:$D$115,0))*INDEX(EF!$H$116:$H$131,MATCH('Net zero emission reductions'!$G1436,EF!$D$116:$D$131,0))*kgtoGg</f>
        <v>1.8191761681794601E-2</v>
      </c>
      <c r="X1436" s="22">
        <f>INDEX('Net zero Activity data'!AQ$24:AQ$39,MATCH('Net zero emission reductions'!$G1436,'Net zero Activity data'!$D$24:$D$39,0))*INDEX(EF!$H$84:$H$99,MATCH('Net zero emission reductions'!$G1436,EF!$D$84:$D$99,0))*INDEX(EF!$H$100:$H$115,MATCH('Net zero emission reductions'!$G1436,EF!$D$100:$D$115,0))*INDEX(EF!$H$116:$H$131,MATCH('Net zero emission reductions'!$G1436,EF!$D$116:$D$131,0))*kgtoGg</f>
        <v>1.8302774507860373E-2</v>
      </c>
      <c r="Y1436" s="22">
        <f>INDEX('Net zero Activity data'!AR$24:AR$39,MATCH('Net zero emission reductions'!$G1436,'Net zero Activity data'!$D$24:$D$39,0))*INDEX(EF!$H$84:$H$99,MATCH('Net zero emission reductions'!$G1436,EF!$D$84:$D$99,0))*INDEX(EF!$H$100:$H$115,MATCH('Net zero emission reductions'!$G1436,EF!$D$100:$D$115,0))*INDEX(EF!$H$116:$H$131,MATCH('Net zero emission reductions'!$G1436,EF!$D$116:$D$131,0))*kgtoGg</f>
        <v>1.8413787333926148E-2</v>
      </c>
      <c r="Z1436" s="22">
        <f>INDEX('Net zero Activity data'!AS$24:AS$39,MATCH('Net zero emission reductions'!$G1436,'Net zero Activity data'!$D$24:$D$39,0))*INDEX(EF!$H$84:$H$99,MATCH('Net zero emission reductions'!$G1436,EF!$D$84:$D$99,0))*INDEX(EF!$H$100:$H$115,MATCH('Net zero emission reductions'!$G1436,EF!$D$100:$D$115,0))*INDEX(EF!$H$116:$H$131,MATCH('Net zero emission reductions'!$G1436,EF!$D$116:$D$131,0))*kgtoGg</f>
        <v>1.852480015999192E-2</v>
      </c>
      <c r="AA1436" s="22">
        <f>INDEX('Net zero Activity data'!AT$24:AT$39,MATCH('Net zero emission reductions'!$G1436,'Net zero Activity data'!$D$24:$D$39,0))*INDEX(EF!$H$84:$H$99,MATCH('Net zero emission reductions'!$G1436,EF!$D$84:$D$99,0))*INDEX(EF!$H$100:$H$115,MATCH('Net zero emission reductions'!$G1436,EF!$D$100:$D$115,0))*INDEX(EF!$H$116:$H$131,MATCH('Net zero emission reductions'!$G1436,EF!$D$116:$D$131,0))*kgtoGg</f>
        <v>1.8635812986057699E-2</v>
      </c>
      <c r="AB1436" s="22">
        <f>INDEX('Net zero Activity data'!AU$24:AU$39,MATCH('Net zero emission reductions'!$G1436,'Net zero Activity data'!$D$24:$D$39,0))*INDEX(EF!$H$84:$H$99,MATCH('Net zero emission reductions'!$G1436,EF!$D$84:$D$99,0))*INDEX(EF!$H$100:$H$115,MATCH('Net zero emission reductions'!$G1436,EF!$D$100:$D$115,0))*INDEX(EF!$H$116:$H$131,MATCH('Net zero emission reductions'!$G1436,EF!$D$116:$D$131,0))*kgtoGg</f>
        <v>1.8746825812123474E-2</v>
      </c>
      <c r="AC1436" s="22">
        <f>INDEX('Net zero Activity data'!AV$24:AV$39,MATCH('Net zero emission reductions'!$G1436,'Net zero Activity data'!$D$24:$D$39,0))*INDEX(EF!$H$84:$H$99,MATCH('Net zero emission reductions'!$G1436,EF!$D$84:$D$99,0))*INDEX(EF!$H$100:$H$115,MATCH('Net zero emission reductions'!$G1436,EF!$D$100:$D$115,0))*INDEX(EF!$H$116:$H$131,MATCH('Net zero emission reductions'!$G1436,EF!$D$116:$D$131,0))*kgtoGg</f>
        <v>1.8857838638189253E-2</v>
      </c>
      <c r="AD1436" s="22">
        <f>INDEX('Net zero Activity data'!AW$24:AW$39,MATCH('Net zero emission reductions'!$G1436,'Net zero Activity data'!$D$24:$D$39,0))*INDEX(EF!$H$84:$H$99,MATCH('Net zero emission reductions'!$G1436,EF!$D$84:$D$99,0))*INDEX(EF!$H$100:$H$115,MATCH('Net zero emission reductions'!$G1436,EF!$D$100:$D$115,0))*INDEX(EF!$H$116:$H$131,MATCH('Net zero emission reductions'!$G1436,EF!$D$116:$D$131,0))*kgtoGg</f>
        <v>1.8968851464255032E-2</v>
      </c>
      <c r="AE1436" s="22">
        <f>INDEX('Net zero Activity data'!AX$24:AX$39,MATCH('Net zero emission reductions'!$G1436,'Net zero Activity data'!$D$24:$D$39,0))*INDEX(EF!$H$84:$H$99,MATCH('Net zero emission reductions'!$G1436,EF!$D$84:$D$99,0))*INDEX(EF!$H$100:$H$115,MATCH('Net zero emission reductions'!$G1436,EF!$D$100:$D$115,0))*INDEX(EF!$H$116:$H$131,MATCH('Net zero emission reductions'!$G1436,EF!$D$116:$D$131,0))*kgtoGg</f>
        <v>1.9079864290320804E-2</v>
      </c>
      <c r="AF1436" s="22">
        <f>INDEX('Net zero Activity data'!AY$24:AY$39,MATCH('Net zero emission reductions'!$G1436,'Net zero Activity data'!$D$24:$D$39,0))*INDEX(EF!$H$84:$H$99,MATCH('Net zero emission reductions'!$G1436,EF!$D$84:$D$99,0))*INDEX(EF!$H$100:$H$115,MATCH('Net zero emission reductions'!$G1436,EF!$D$100:$D$115,0))*INDEX(EF!$H$116:$H$131,MATCH('Net zero emission reductions'!$G1436,EF!$D$116:$D$131,0))*kgtoGg</f>
        <v>1.9190877116386583E-2</v>
      </c>
      <c r="AG1436" s="22">
        <f>INDEX('Net zero Activity data'!AZ$24:AZ$39,MATCH('Net zero emission reductions'!$G1436,'Net zero Activity data'!$D$24:$D$39,0))*INDEX(EF!$H$84:$H$99,MATCH('Net zero emission reductions'!$G1436,EF!$D$84:$D$99,0))*INDEX(EF!$H$100:$H$115,MATCH('Net zero emission reductions'!$G1436,EF!$D$100:$D$115,0))*INDEX(EF!$H$116:$H$131,MATCH('Net zero emission reductions'!$G1436,EF!$D$116:$D$131,0))*kgtoGg</f>
        <v>1.9301889942452358E-2</v>
      </c>
      <c r="AH1436" s="22">
        <f>INDEX('Net zero Activity data'!BA$24:BA$39,MATCH('Net zero emission reductions'!$G1436,'Net zero Activity data'!$D$24:$D$39,0))*INDEX(EF!$H$84:$H$99,MATCH('Net zero emission reductions'!$G1436,EF!$D$84:$D$99,0))*INDEX(EF!$H$100:$H$115,MATCH('Net zero emission reductions'!$G1436,EF!$D$100:$D$115,0))*INDEX(EF!$H$116:$H$131,MATCH('Net zero emission reductions'!$G1436,EF!$D$116:$D$131,0))*kgtoGg</f>
        <v>1.9412902768518137E-2</v>
      </c>
      <c r="AI1436" s="22">
        <f>INDEX('Net zero Activity data'!BB$24:BB$39,MATCH('Net zero emission reductions'!$G1436,'Net zero Activity data'!$D$24:$D$39,0))*INDEX(EF!$H$84:$H$99,MATCH('Net zero emission reductions'!$G1436,EF!$D$84:$D$99,0))*INDEX(EF!$H$100:$H$115,MATCH('Net zero emission reductions'!$G1436,EF!$D$100:$D$115,0))*INDEX(EF!$H$116:$H$131,MATCH('Net zero emission reductions'!$G1436,EF!$D$116:$D$131,0))*kgtoGg</f>
        <v>1.9523915594583916E-2</v>
      </c>
      <c r="AJ1436" s="22">
        <f>INDEX('Net zero Activity data'!BC$24:BC$39,MATCH('Net zero emission reductions'!$G1436,'Net zero Activity data'!$D$24:$D$39,0))*INDEX(EF!$H$84:$H$99,MATCH('Net zero emission reductions'!$G1436,EF!$D$84:$D$99,0))*INDEX(EF!$H$100:$H$115,MATCH('Net zero emission reductions'!$G1436,EF!$D$100:$D$115,0))*INDEX(EF!$H$116:$H$131,MATCH('Net zero emission reductions'!$G1436,EF!$D$116:$D$131,0))*kgtoGg</f>
        <v>1.9634928420649695E-2</v>
      </c>
      <c r="AK1436" s="22">
        <f>INDEX('Net zero Activity data'!BD$24:BD$39,MATCH('Net zero emission reductions'!$G1436,'Net zero Activity data'!$D$24:$D$39,0))*INDEX(EF!$H$84:$H$99,MATCH('Net zero emission reductions'!$G1436,EF!$D$84:$D$99,0))*INDEX(EF!$H$100:$H$115,MATCH('Net zero emission reductions'!$G1436,EF!$D$100:$D$115,0))*INDEX(EF!$H$116:$H$131,MATCH('Net zero emission reductions'!$G1436,EF!$D$116:$D$131,0))*kgtoGg</f>
        <v>1.9745941246715467E-2</v>
      </c>
      <c r="AL1436" s="22">
        <f>INDEX('Net zero Activity data'!BE$24:BE$39,MATCH('Net zero emission reductions'!$G1436,'Net zero Activity data'!$D$24:$D$39,0))*INDEX(EF!$H$84:$H$99,MATCH('Net zero emission reductions'!$G1436,EF!$D$84:$D$99,0))*INDEX(EF!$H$100:$H$115,MATCH('Net zero emission reductions'!$G1436,EF!$D$100:$D$115,0))*INDEX(EF!$H$116:$H$131,MATCH('Net zero emission reductions'!$G1436,EF!$D$116:$D$131,0))*kgtoGg</f>
        <v>1.9856954072781246E-2</v>
      </c>
      <c r="AM1436" s="22">
        <f>INDEX('Net zero Activity data'!BF$24:BF$39,MATCH('Net zero emission reductions'!$G1436,'Net zero Activity data'!$D$24:$D$39,0))*INDEX(EF!$H$84:$H$99,MATCH('Net zero emission reductions'!$G1436,EF!$D$84:$D$99,0))*INDEX(EF!$H$100:$H$115,MATCH('Net zero emission reductions'!$G1436,EF!$D$100:$D$115,0))*INDEX(EF!$H$116:$H$131,MATCH('Net zero emission reductions'!$G1436,EF!$D$116:$D$131,0))*kgtoGg</f>
        <v>1.9967966898847021E-2</v>
      </c>
      <c r="AN1436" s="22">
        <f>INDEX('Net zero Activity data'!BG$24:BG$39,MATCH('Net zero emission reductions'!$G1436,'Net zero Activity data'!$D$24:$D$39,0))*INDEX(EF!$H$84:$H$99,MATCH('Net zero emission reductions'!$G1436,EF!$D$84:$D$99,0))*INDEX(EF!$H$100:$H$115,MATCH('Net zero emission reductions'!$G1436,EF!$D$100:$D$115,0))*INDEX(EF!$H$116:$H$131,MATCH('Net zero emission reductions'!$G1436,EF!$D$116:$D$131,0))*kgtoGg</f>
        <v>2.0078979724912797E-2</v>
      </c>
      <c r="AO1436" s="22">
        <f>INDEX('Net zero Activity data'!BH$24:BH$39,MATCH('Net zero emission reductions'!$G1436,'Net zero Activity data'!$D$24:$D$39,0))*INDEX(EF!$H$84:$H$99,MATCH('Net zero emission reductions'!$G1436,EF!$D$84:$D$99,0))*INDEX(EF!$H$100:$H$115,MATCH('Net zero emission reductions'!$G1436,EF!$D$100:$D$115,0))*INDEX(EF!$H$116:$H$131,MATCH('Net zero emission reductions'!$G1436,EF!$D$116:$D$131,0))*kgtoGg</f>
        <v>2.0189992550978576E-2</v>
      </c>
      <c r="AP1436" s="22">
        <f>INDEX('Net zero Activity data'!BI$24:BI$39,MATCH('Net zero emission reductions'!$G1436,'Net zero Activity data'!$D$24:$D$39,0))*INDEX(EF!$H$84:$H$99,MATCH('Net zero emission reductions'!$G1436,EF!$D$84:$D$99,0))*INDEX(EF!$H$100:$H$115,MATCH('Net zero emission reductions'!$G1436,EF!$D$100:$D$115,0))*INDEX(EF!$H$116:$H$131,MATCH('Net zero emission reductions'!$G1436,EF!$D$116:$D$131,0))*kgtoGg</f>
        <v>2.0301005377044351E-2</v>
      </c>
      <c r="AQ1436" s="22">
        <f>INDEX('Net zero Activity data'!BJ$24:BJ$39,MATCH('Net zero emission reductions'!$G1436,'Net zero Activity data'!$D$24:$D$39,0))*INDEX(EF!$H$84:$H$99,MATCH('Net zero emission reductions'!$G1436,EF!$D$84:$D$99,0))*INDEX(EF!$H$100:$H$115,MATCH('Net zero emission reductions'!$G1436,EF!$D$100:$D$115,0))*INDEX(EF!$H$116:$H$131,MATCH('Net zero emission reductions'!$G1436,EF!$D$116:$D$131,0))*kgtoGg</f>
        <v>2.0412018203110126E-2</v>
      </c>
      <c r="AR1436" s="22">
        <f>INDEX('Net zero Activity data'!BK$24:BK$39,MATCH('Net zero emission reductions'!$G1436,'Net zero Activity data'!$D$24:$D$39,0))*INDEX(EF!$H$84:$H$99,MATCH('Net zero emission reductions'!$G1436,EF!$D$84:$D$99,0))*INDEX(EF!$H$100:$H$115,MATCH('Net zero emission reductions'!$G1436,EF!$D$100:$D$115,0))*INDEX(EF!$H$116:$H$131,MATCH('Net zero emission reductions'!$G1436,EF!$D$116:$D$131,0))*kgtoGg</f>
        <v>2.0523031029175905E-2</v>
      </c>
      <c r="AS1436" s="22">
        <f>INDEX('Net zero Activity data'!BL$24:BL$39,MATCH('Net zero emission reductions'!$G1436,'Net zero Activity data'!$D$24:$D$39,0))*INDEX(EF!$H$84:$H$99,MATCH('Net zero emission reductions'!$G1436,EF!$D$84:$D$99,0))*INDEX(EF!$H$100:$H$115,MATCH('Net zero emission reductions'!$G1436,EF!$D$100:$D$115,0))*INDEX(EF!$H$116:$H$131,MATCH('Net zero emission reductions'!$G1436,EF!$D$116:$D$131,0))*kgtoGg</f>
        <v>2.0634043855241681E-2</v>
      </c>
      <c r="AT1436" s="22">
        <f>INDEX('Net zero Activity data'!BM$24:BM$39,MATCH('Net zero emission reductions'!$G1436,'Net zero Activity data'!$D$24:$D$39,0))*INDEX(EF!$H$84:$H$99,MATCH('Net zero emission reductions'!$G1436,EF!$D$84:$D$99,0))*INDEX(EF!$H$100:$H$115,MATCH('Net zero emission reductions'!$G1436,EF!$D$100:$D$115,0))*INDEX(EF!$H$116:$H$131,MATCH('Net zero emission reductions'!$G1436,EF!$D$116:$D$131,0))*kgtoGg</f>
        <v>2.074505668130746E-2</v>
      </c>
      <c r="AU1436" s="22">
        <f>INDEX('Net zero Activity data'!BN$24:BN$39,MATCH('Net zero emission reductions'!$G1436,'Net zero Activity data'!$D$24:$D$39,0))*INDEX(EF!$H$84:$H$99,MATCH('Net zero emission reductions'!$G1436,EF!$D$84:$D$99,0))*INDEX(EF!$H$100:$H$115,MATCH('Net zero emission reductions'!$G1436,EF!$D$100:$D$115,0))*INDEX(EF!$H$116:$H$131,MATCH('Net zero emission reductions'!$G1436,EF!$D$116:$D$131,0))*kgtoGg</f>
        <v>2.0856069507373235E-2</v>
      </c>
      <c r="AV1436" s="22">
        <f>INDEX('Net zero Activity data'!BO$24:BO$39,MATCH('Net zero emission reductions'!$G1436,'Net zero Activity data'!$D$24:$D$39,0))*INDEX(EF!$H$84:$H$99,MATCH('Net zero emission reductions'!$G1436,EF!$D$84:$D$99,0))*INDEX(EF!$H$100:$H$115,MATCH('Net zero emission reductions'!$G1436,EF!$D$100:$D$115,0))*INDEX(EF!$H$116:$H$131,MATCH('Net zero emission reductions'!$G1436,EF!$D$116:$D$131,0))*kgtoGg</f>
        <v>2.0967082333439007E-2</v>
      </c>
      <c r="AW1436" s="22">
        <f>INDEX('Net zero Activity data'!BP$24:BP$39,MATCH('Net zero emission reductions'!$G1436,'Net zero Activity data'!$D$24:$D$39,0))*INDEX(EF!$H$84:$H$99,MATCH('Net zero emission reductions'!$G1436,EF!$D$84:$D$99,0))*INDEX(EF!$H$100:$H$115,MATCH('Net zero emission reductions'!$G1436,EF!$D$100:$D$115,0))*INDEX(EF!$H$116:$H$131,MATCH('Net zero emission reductions'!$G1436,EF!$D$116:$D$131,0))*kgtoGg</f>
        <v>2.1078095159504782E-2</v>
      </c>
    </row>
    <row r="1437" spans="1:49" x14ac:dyDescent="0.3">
      <c r="A1437" s="95" t="s">
        <v>960</v>
      </c>
      <c r="B1437" s="95"/>
      <c r="C1437" s="95"/>
      <c r="D1437" t="str">
        <f t="shared" si="555"/>
        <v>3C Aggregated and non-CO2 emissions on land</v>
      </c>
      <c r="E1437" t="str">
        <f t="shared" si="555"/>
        <v>3C1 Biomass burning (CH4)</v>
      </c>
      <c r="F1437" t="str">
        <f t="shared" si="557"/>
        <v>3C1b Biomass burning in Croplands</v>
      </c>
      <c r="G1437" t="str">
        <f>EF!D92</f>
        <v>Cropland subsistence</v>
      </c>
      <c r="H1437" t="s">
        <v>649</v>
      </c>
      <c r="I1437" t="str">
        <f t="shared" ref="I1437:J1444" si="558">I1436</f>
        <v>CH4</v>
      </c>
      <c r="J1437" t="str">
        <f t="shared" si="558"/>
        <v>Gg CH4</v>
      </c>
      <c r="K1437" s="22">
        <f>INDEX('Net zero Activity data'!AD$24:AD$39,MATCH('Net zero emission reductions'!$G1437,'Net zero Activity data'!$D$24:$D$39,0))*INDEX(EF!$H$84:$H$99,MATCH('Net zero emission reductions'!$G1437,EF!$D$84:$D$99,0))*INDEX(EF!$H$100:$H$115,MATCH('Net zero emission reductions'!$G1437,EF!$D$100:$D$115,0))*INDEX(EF!$H$116:$H$131,MATCH('Net zero emission reductions'!$G1437,EF!$D$116:$D$131,0))*kgtoGg</f>
        <v>2.1063465196390041</v>
      </c>
      <c r="L1437" s="22">
        <f>INDEX('Net zero Activity data'!AE$24:AE$39,MATCH('Net zero emission reductions'!$G1437,'Net zero Activity data'!$D$24:$D$39,0))*INDEX(EF!$H$84:$H$99,MATCH('Net zero emission reductions'!$G1437,EF!$D$84:$D$99,0))*INDEX(EF!$H$100:$H$115,MATCH('Net zero emission reductions'!$G1437,EF!$D$100:$D$115,0))*INDEX(EF!$H$116:$H$131,MATCH('Net zero emission reductions'!$G1437,EF!$D$116:$D$131,0))*kgtoGg</f>
        <v>2.1066609711212716</v>
      </c>
      <c r="M1437" s="22">
        <f>INDEX('Net zero Activity data'!AF$24:AF$39,MATCH('Net zero emission reductions'!$G1437,'Net zero Activity data'!$D$24:$D$39,0))*INDEX(EF!$H$84:$H$99,MATCH('Net zero emission reductions'!$G1437,EF!$D$84:$D$99,0))*INDEX(EF!$H$100:$H$115,MATCH('Net zero emission reductions'!$G1437,EF!$D$100:$D$115,0))*INDEX(EF!$H$116:$H$131,MATCH('Net zero emission reductions'!$G1437,EF!$D$116:$D$131,0))*kgtoGg</f>
        <v>2.1069754226035395</v>
      </c>
      <c r="N1437" s="22">
        <f>INDEX('Net zero Activity data'!AG$24:AG$39,MATCH('Net zero emission reductions'!$G1437,'Net zero Activity data'!$D$24:$D$39,0))*INDEX(EF!$H$84:$H$99,MATCH('Net zero emission reductions'!$G1437,EF!$D$84:$D$99,0))*INDEX(EF!$H$100:$H$115,MATCH('Net zero emission reductions'!$G1437,EF!$D$100:$D$115,0))*INDEX(EF!$H$116:$H$131,MATCH('Net zero emission reductions'!$G1437,EF!$D$116:$D$131,0))*kgtoGg</f>
        <v>2.1072898740858075</v>
      </c>
      <c r="O1437" s="22">
        <f>INDEX('Net zero Activity data'!AH$24:AH$39,MATCH('Net zero emission reductions'!$G1437,'Net zero Activity data'!$D$24:$D$39,0))*INDEX(EF!$H$84:$H$99,MATCH('Net zero emission reductions'!$G1437,EF!$D$84:$D$99,0))*INDEX(EF!$H$100:$H$115,MATCH('Net zero emission reductions'!$G1437,EF!$D$100:$D$115,0))*INDEX(EF!$H$116:$H$131,MATCH('Net zero emission reductions'!$G1437,EF!$D$116:$D$131,0))*kgtoGg</f>
        <v>2.1076043255680759</v>
      </c>
      <c r="P1437" s="22">
        <f>INDEX('Net zero Activity data'!AI$24:AI$39,MATCH('Net zero emission reductions'!$G1437,'Net zero Activity data'!$D$24:$D$39,0))*INDEX(EF!$H$84:$H$99,MATCH('Net zero emission reductions'!$G1437,EF!$D$84:$D$99,0))*INDEX(EF!$H$100:$H$115,MATCH('Net zero emission reductions'!$G1437,EF!$D$100:$D$115,0))*INDEX(EF!$H$116:$H$131,MATCH('Net zero emission reductions'!$G1437,EF!$D$116:$D$131,0))*kgtoGg</f>
        <v>2.1079187770503438</v>
      </c>
      <c r="Q1437" s="22">
        <f>INDEX('Net zero Activity data'!AJ$24:AJ$39,MATCH('Net zero emission reductions'!$G1437,'Net zero Activity data'!$D$24:$D$39,0))*INDEX(EF!$H$84:$H$99,MATCH('Net zero emission reductions'!$G1437,EF!$D$84:$D$99,0))*INDEX(EF!$H$100:$H$115,MATCH('Net zero emission reductions'!$G1437,EF!$D$100:$D$115,0))*INDEX(EF!$H$116:$H$131,MATCH('Net zero emission reductions'!$G1437,EF!$D$116:$D$131,0))*kgtoGg</f>
        <v>2.1082332285326113</v>
      </c>
      <c r="R1437" s="22">
        <f>INDEX('Net zero Activity data'!AK$24:AK$39,MATCH('Net zero emission reductions'!$G1437,'Net zero Activity data'!$D$24:$D$39,0))*INDEX(EF!$H$84:$H$99,MATCH('Net zero emission reductions'!$G1437,EF!$D$84:$D$99,0))*INDEX(EF!$H$100:$H$115,MATCH('Net zero emission reductions'!$G1437,EF!$D$100:$D$115,0))*INDEX(EF!$H$116:$H$131,MATCH('Net zero emission reductions'!$G1437,EF!$D$116:$D$131,0))*kgtoGg</f>
        <v>2.1085476800148797</v>
      </c>
      <c r="S1437" s="22">
        <f>INDEX('Net zero Activity data'!AL$24:AL$39,MATCH('Net zero emission reductions'!$G1437,'Net zero Activity data'!$D$24:$D$39,0))*INDEX(EF!$H$84:$H$99,MATCH('Net zero emission reductions'!$G1437,EF!$D$84:$D$99,0))*INDEX(EF!$H$100:$H$115,MATCH('Net zero emission reductions'!$G1437,EF!$D$100:$D$115,0))*INDEX(EF!$H$116:$H$131,MATCH('Net zero emission reductions'!$G1437,EF!$D$116:$D$131,0))*kgtoGg</f>
        <v>2.1088621314971481</v>
      </c>
      <c r="T1437" s="22">
        <f>INDEX('Net zero Activity data'!AM$24:AM$39,MATCH('Net zero emission reductions'!$G1437,'Net zero Activity data'!$D$24:$D$39,0))*INDEX(EF!$H$84:$H$99,MATCH('Net zero emission reductions'!$G1437,EF!$D$84:$D$99,0))*INDEX(EF!$H$100:$H$115,MATCH('Net zero emission reductions'!$G1437,EF!$D$100:$D$115,0))*INDEX(EF!$H$116:$H$131,MATCH('Net zero emission reductions'!$G1437,EF!$D$116:$D$131,0))*kgtoGg</f>
        <v>2.109176582979416</v>
      </c>
      <c r="U1437" s="22">
        <f>INDEX('Net zero Activity data'!AN$24:AN$39,MATCH('Net zero emission reductions'!$G1437,'Net zero Activity data'!$D$24:$D$39,0))*INDEX(EF!$H$84:$H$99,MATCH('Net zero emission reductions'!$G1437,EF!$D$84:$D$99,0))*INDEX(EF!$H$100:$H$115,MATCH('Net zero emission reductions'!$G1437,EF!$D$100:$D$115,0))*INDEX(EF!$H$116:$H$131,MATCH('Net zero emission reductions'!$G1437,EF!$D$116:$D$131,0))*kgtoGg</f>
        <v>2.1094910344616835</v>
      </c>
      <c r="V1437" s="22">
        <f>INDEX('Net zero Activity data'!AO$24:AO$39,MATCH('Net zero emission reductions'!$G1437,'Net zero Activity data'!$D$24:$D$39,0))*INDEX(EF!$H$84:$H$99,MATCH('Net zero emission reductions'!$G1437,EF!$D$84:$D$99,0))*INDEX(EF!$H$100:$H$115,MATCH('Net zero emission reductions'!$G1437,EF!$D$100:$D$115,0))*INDEX(EF!$H$116:$H$131,MATCH('Net zero emission reductions'!$G1437,EF!$D$116:$D$131,0))*kgtoGg</f>
        <v>2.1098054859439519</v>
      </c>
      <c r="W1437" s="22">
        <f>INDEX('Net zero Activity data'!AP$24:AP$39,MATCH('Net zero emission reductions'!$G1437,'Net zero Activity data'!$D$24:$D$39,0))*INDEX(EF!$H$84:$H$99,MATCH('Net zero emission reductions'!$G1437,EF!$D$84:$D$99,0))*INDEX(EF!$H$100:$H$115,MATCH('Net zero emission reductions'!$G1437,EF!$D$100:$D$115,0))*INDEX(EF!$H$116:$H$131,MATCH('Net zero emission reductions'!$G1437,EF!$D$116:$D$131,0))*kgtoGg</f>
        <v>2.1101199374262194</v>
      </c>
      <c r="X1437" s="22">
        <f>INDEX('Net zero Activity data'!AQ$24:AQ$39,MATCH('Net zero emission reductions'!$G1437,'Net zero Activity data'!$D$24:$D$39,0))*INDEX(EF!$H$84:$H$99,MATCH('Net zero emission reductions'!$G1437,EF!$D$84:$D$99,0))*INDEX(EF!$H$100:$H$115,MATCH('Net zero emission reductions'!$G1437,EF!$D$100:$D$115,0))*INDEX(EF!$H$116:$H$131,MATCH('Net zero emission reductions'!$G1437,EF!$D$116:$D$131,0))*kgtoGg</f>
        <v>2.1104343889084878</v>
      </c>
      <c r="Y1437" s="22">
        <f>INDEX('Net zero Activity data'!AR$24:AR$39,MATCH('Net zero emission reductions'!$G1437,'Net zero Activity data'!$D$24:$D$39,0))*INDEX(EF!$H$84:$H$99,MATCH('Net zero emission reductions'!$G1437,EF!$D$84:$D$99,0))*INDEX(EF!$H$100:$H$115,MATCH('Net zero emission reductions'!$G1437,EF!$D$100:$D$115,0))*INDEX(EF!$H$116:$H$131,MATCH('Net zero emission reductions'!$G1437,EF!$D$116:$D$131,0))*kgtoGg</f>
        <v>2.1107488403907562</v>
      </c>
      <c r="Z1437" s="22">
        <f>INDEX('Net zero Activity data'!AS$24:AS$39,MATCH('Net zero emission reductions'!$G1437,'Net zero Activity data'!$D$24:$D$39,0))*INDEX(EF!$H$84:$H$99,MATCH('Net zero emission reductions'!$G1437,EF!$D$84:$D$99,0))*INDEX(EF!$H$100:$H$115,MATCH('Net zero emission reductions'!$G1437,EF!$D$100:$D$115,0))*INDEX(EF!$H$116:$H$131,MATCH('Net zero emission reductions'!$G1437,EF!$D$116:$D$131,0))*kgtoGg</f>
        <v>2.1110632918730237</v>
      </c>
      <c r="AA1437" s="22">
        <f>INDEX('Net zero Activity data'!AT$24:AT$39,MATCH('Net zero emission reductions'!$G1437,'Net zero Activity data'!$D$24:$D$39,0))*INDEX(EF!$H$84:$H$99,MATCH('Net zero emission reductions'!$G1437,EF!$D$84:$D$99,0))*INDEX(EF!$H$100:$H$115,MATCH('Net zero emission reductions'!$G1437,EF!$D$100:$D$115,0))*INDEX(EF!$H$116:$H$131,MATCH('Net zero emission reductions'!$G1437,EF!$D$116:$D$131,0))*kgtoGg</f>
        <v>2.111377743355292</v>
      </c>
      <c r="AB1437" s="22">
        <f>INDEX('Net zero Activity data'!AU$24:AU$39,MATCH('Net zero emission reductions'!$G1437,'Net zero Activity data'!$D$24:$D$39,0))*INDEX(EF!$H$84:$H$99,MATCH('Net zero emission reductions'!$G1437,EF!$D$84:$D$99,0))*INDEX(EF!$H$100:$H$115,MATCH('Net zero emission reductions'!$G1437,EF!$D$100:$D$115,0))*INDEX(EF!$H$116:$H$131,MATCH('Net zero emission reductions'!$G1437,EF!$D$116:$D$131,0))*kgtoGg</f>
        <v>2.1116921948375604</v>
      </c>
      <c r="AC1437" s="22">
        <f>INDEX('Net zero Activity data'!AV$24:AV$39,MATCH('Net zero emission reductions'!$G1437,'Net zero Activity data'!$D$24:$D$39,0))*INDEX(EF!$H$84:$H$99,MATCH('Net zero emission reductions'!$G1437,EF!$D$84:$D$99,0))*INDEX(EF!$H$100:$H$115,MATCH('Net zero emission reductions'!$G1437,EF!$D$100:$D$115,0))*INDEX(EF!$H$116:$H$131,MATCH('Net zero emission reductions'!$G1437,EF!$D$116:$D$131,0))*kgtoGg</f>
        <v>2.1120066463198279</v>
      </c>
      <c r="AD1437" s="22">
        <f>INDEX('Net zero Activity data'!AW$24:AW$39,MATCH('Net zero emission reductions'!$G1437,'Net zero Activity data'!$D$24:$D$39,0))*INDEX(EF!$H$84:$H$99,MATCH('Net zero emission reductions'!$G1437,EF!$D$84:$D$99,0))*INDEX(EF!$H$100:$H$115,MATCH('Net zero emission reductions'!$G1437,EF!$D$100:$D$115,0))*INDEX(EF!$H$116:$H$131,MATCH('Net zero emission reductions'!$G1437,EF!$D$116:$D$131,0))*kgtoGg</f>
        <v>2.1123210978020959</v>
      </c>
      <c r="AE1437" s="22">
        <f>INDEX('Net zero Activity data'!AX$24:AX$39,MATCH('Net zero emission reductions'!$G1437,'Net zero Activity data'!$D$24:$D$39,0))*INDEX(EF!$H$84:$H$99,MATCH('Net zero emission reductions'!$G1437,EF!$D$84:$D$99,0))*INDEX(EF!$H$100:$H$115,MATCH('Net zero emission reductions'!$G1437,EF!$D$100:$D$115,0))*INDEX(EF!$H$116:$H$131,MATCH('Net zero emission reductions'!$G1437,EF!$D$116:$D$131,0))*kgtoGg</f>
        <v>2.1126355492843643</v>
      </c>
      <c r="AF1437" s="22">
        <f>INDEX('Net zero Activity data'!AY$24:AY$39,MATCH('Net zero emission reductions'!$G1437,'Net zero Activity data'!$D$24:$D$39,0))*INDEX(EF!$H$84:$H$99,MATCH('Net zero emission reductions'!$G1437,EF!$D$84:$D$99,0))*INDEX(EF!$H$100:$H$115,MATCH('Net zero emission reductions'!$G1437,EF!$D$100:$D$115,0))*INDEX(EF!$H$116:$H$131,MATCH('Net zero emission reductions'!$G1437,EF!$D$116:$D$131,0))*kgtoGg</f>
        <v>2.1129500007666326</v>
      </c>
      <c r="AG1437" s="22">
        <f>INDEX('Net zero Activity data'!AZ$24:AZ$39,MATCH('Net zero emission reductions'!$G1437,'Net zero Activity data'!$D$24:$D$39,0))*INDEX(EF!$H$84:$H$99,MATCH('Net zero emission reductions'!$G1437,EF!$D$84:$D$99,0))*INDEX(EF!$H$100:$H$115,MATCH('Net zero emission reductions'!$G1437,EF!$D$100:$D$115,0))*INDEX(EF!$H$116:$H$131,MATCH('Net zero emission reductions'!$G1437,EF!$D$116:$D$131,0))*kgtoGg</f>
        <v>2.1132644522489006</v>
      </c>
      <c r="AH1437" s="22">
        <f>INDEX('Net zero Activity data'!BA$24:BA$39,MATCH('Net zero emission reductions'!$G1437,'Net zero Activity data'!$D$24:$D$39,0))*INDEX(EF!$H$84:$H$99,MATCH('Net zero emission reductions'!$G1437,EF!$D$84:$D$99,0))*INDEX(EF!$H$100:$H$115,MATCH('Net zero emission reductions'!$G1437,EF!$D$100:$D$115,0))*INDEX(EF!$H$116:$H$131,MATCH('Net zero emission reductions'!$G1437,EF!$D$116:$D$131,0))*kgtoGg</f>
        <v>2.1135789037311681</v>
      </c>
      <c r="AI1437" s="22">
        <f>INDEX('Net zero Activity data'!BB$24:BB$39,MATCH('Net zero emission reductions'!$G1437,'Net zero Activity data'!$D$24:$D$39,0))*INDEX(EF!$H$84:$H$99,MATCH('Net zero emission reductions'!$G1437,EF!$D$84:$D$99,0))*INDEX(EF!$H$100:$H$115,MATCH('Net zero emission reductions'!$G1437,EF!$D$100:$D$115,0))*INDEX(EF!$H$116:$H$131,MATCH('Net zero emission reductions'!$G1437,EF!$D$116:$D$131,0))*kgtoGg</f>
        <v>2.113893355213436</v>
      </c>
      <c r="AJ1437" s="22">
        <f>INDEX('Net zero Activity data'!BC$24:BC$39,MATCH('Net zero emission reductions'!$G1437,'Net zero Activity data'!$D$24:$D$39,0))*INDEX(EF!$H$84:$H$99,MATCH('Net zero emission reductions'!$G1437,EF!$D$84:$D$99,0))*INDEX(EF!$H$100:$H$115,MATCH('Net zero emission reductions'!$G1437,EF!$D$100:$D$115,0))*INDEX(EF!$H$116:$H$131,MATCH('Net zero emission reductions'!$G1437,EF!$D$116:$D$131,0))*kgtoGg</f>
        <v>2.1142078066957044</v>
      </c>
      <c r="AK1437" s="22">
        <f>INDEX('Net zero Activity data'!BD$24:BD$39,MATCH('Net zero emission reductions'!$G1437,'Net zero Activity data'!$D$24:$D$39,0))*INDEX(EF!$H$84:$H$99,MATCH('Net zero emission reductions'!$G1437,EF!$D$84:$D$99,0))*INDEX(EF!$H$100:$H$115,MATCH('Net zero emission reductions'!$G1437,EF!$D$100:$D$115,0))*INDEX(EF!$H$116:$H$131,MATCH('Net zero emission reductions'!$G1437,EF!$D$116:$D$131,0))*kgtoGg</f>
        <v>2.1145222581779723</v>
      </c>
      <c r="AL1437" s="22">
        <f>INDEX('Net zero Activity data'!BE$24:BE$39,MATCH('Net zero emission reductions'!$G1437,'Net zero Activity data'!$D$24:$D$39,0))*INDEX(EF!$H$84:$H$99,MATCH('Net zero emission reductions'!$G1437,EF!$D$84:$D$99,0))*INDEX(EF!$H$100:$H$115,MATCH('Net zero emission reductions'!$G1437,EF!$D$100:$D$115,0))*INDEX(EF!$H$116:$H$131,MATCH('Net zero emission reductions'!$G1437,EF!$D$116:$D$131,0))*kgtoGg</f>
        <v>2.1148367096602407</v>
      </c>
      <c r="AM1437" s="22">
        <f>INDEX('Net zero Activity data'!BF$24:BF$39,MATCH('Net zero emission reductions'!$G1437,'Net zero Activity data'!$D$24:$D$39,0))*INDEX(EF!$H$84:$H$99,MATCH('Net zero emission reductions'!$G1437,EF!$D$84:$D$99,0))*INDEX(EF!$H$100:$H$115,MATCH('Net zero emission reductions'!$G1437,EF!$D$100:$D$115,0))*INDEX(EF!$H$116:$H$131,MATCH('Net zero emission reductions'!$G1437,EF!$D$116:$D$131,0))*kgtoGg</f>
        <v>2.1151511611425082</v>
      </c>
      <c r="AN1437" s="22">
        <f>INDEX('Net zero Activity data'!BG$24:BG$39,MATCH('Net zero emission reductions'!$G1437,'Net zero Activity data'!$D$24:$D$39,0))*INDEX(EF!$H$84:$H$99,MATCH('Net zero emission reductions'!$G1437,EF!$D$84:$D$99,0))*INDEX(EF!$H$100:$H$115,MATCH('Net zero emission reductions'!$G1437,EF!$D$100:$D$115,0))*INDEX(EF!$H$116:$H$131,MATCH('Net zero emission reductions'!$G1437,EF!$D$116:$D$131,0))*kgtoGg</f>
        <v>2.1154656126247766</v>
      </c>
      <c r="AO1437" s="22">
        <f>INDEX('Net zero Activity data'!BH$24:BH$39,MATCH('Net zero emission reductions'!$G1437,'Net zero Activity data'!$D$24:$D$39,0))*INDEX(EF!$H$84:$H$99,MATCH('Net zero emission reductions'!$G1437,EF!$D$84:$D$99,0))*INDEX(EF!$H$100:$H$115,MATCH('Net zero emission reductions'!$G1437,EF!$D$100:$D$115,0))*INDEX(EF!$H$116:$H$131,MATCH('Net zero emission reductions'!$G1437,EF!$D$116:$D$131,0))*kgtoGg</f>
        <v>2.1157800641070446</v>
      </c>
      <c r="AP1437" s="22">
        <f>INDEX('Net zero Activity data'!BI$24:BI$39,MATCH('Net zero emission reductions'!$G1437,'Net zero Activity data'!$D$24:$D$39,0))*INDEX(EF!$H$84:$H$99,MATCH('Net zero emission reductions'!$G1437,EF!$D$84:$D$99,0))*INDEX(EF!$H$100:$H$115,MATCH('Net zero emission reductions'!$G1437,EF!$D$100:$D$115,0))*INDEX(EF!$H$116:$H$131,MATCH('Net zero emission reductions'!$G1437,EF!$D$116:$D$131,0))*kgtoGg</f>
        <v>2.1160945155893125</v>
      </c>
      <c r="AQ1437" s="22">
        <f>INDEX('Net zero Activity data'!BJ$24:BJ$39,MATCH('Net zero emission reductions'!$G1437,'Net zero Activity data'!$D$24:$D$39,0))*INDEX(EF!$H$84:$H$99,MATCH('Net zero emission reductions'!$G1437,EF!$D$84:$D$99,0))*INDEX(EF!$H$100:$H$115,MATCH('Net zero emission reductions'!$G1437,EF!$D$100:$D$115,0))*INDEX(EF!$H$116:$H$131,MATCH('Net zero emission reductions'!$G1437,EF!$D$116:$D$131,0))*kgtoGg</f>
        <v>2.11640896707158</v>
      </c>
      <c r="AR1437" s="22">
        <f>INDEX('Net zero Activity data'!BK$24:BK$39,MATCH('Net zero emission reductions'!$G1437,'Net zero Activity data'!$D$24:$D$39,0))*INDEX(EF!$H$84:$H$99,MATCH('Net zero emission reductions'!$G1437,EF!$D$84:$D$99,0))*INDEX(EF!$H$100:$H$115,MATCH('Net zero emission reductions'!$G1437,EF!$D$100:$D$115,0))*INDEX(EF!$H$116:$H$131,MATCH('Net zero emission reductions'!$G1437,EF!$D$116:$D$131,0))*kgtoGg</f>
        <v>2.1167234185538484</v>
      </c>
      <c r="AS1437" s="22">
        <f>INDEX('Net zero Activity data'!BL$24:BL$39,MATCH('Net zero emission reductions'!$G1437,'Net zero Activity data'!$D$24:$D$39,0))*INDEX(EF!$H$84:$H$99,MATCH('Net zero emission reductions'!$G1437,EF!$D$84:$D$99,0))*INDEX(EF!$H$100:$H$115,MATCH('Net zero emission reductions'!$G1437,EF!$D$100:$D$115,0))*INDEX(EF!$H$116:$H$131,MATCH('Net zero emission reductions'!$G1437,EF!$D$116:$D$131,0))*kgtoGg</f>
        <v>2.1170378700361168</v>
      </c>
      <c r="AT1437" s="22">
        <f>INDEX('Net zero Activity data'!BM$24:BM$39,MATCH('Net zero emission reductions'!$G1437,'Net zero Activity data'!$D$24:$D$39,0))*INDEX(EF!$H$84:$H$99,MATCH('Net zero emission reductions'!$G1437,EF!$D$84:$D$99,0))*INDEX(EF!$H$100:$H$115,MATCH('Net zero emission reductions'!$G1437,EF!$D$100:$D$115,0))*INDEX(EF!$H$116:$H$131,MATCH('Net zero emission reductions'!$G1437,EF!$D$116:$D$131,0))*kgtoGg</f>
        <v>2.1173523215183847</v>
      </c>
      <c r="AU1437" s="22">
        <f>INDEX('Net zero Activity data'!BN$24:BN$39,MATCH('Net zero emission reductions'!$G1437,'Net zero Activity data'!$D$24:$D$39,0))*INDEX(EF!$H$84:$H$99,MATCH('Net zero emission reductions'!$G1437,EF!$D$84:$D$99,0))*INDEX(EF!$H$100:$H$115,MATCH('Net zero emission reductions'!$G1437,EF!$D$100:$D$115,0))*INDEX(EF!$H$116:$H$131,MATCH('Net zero emission reductions'!$G1437,EF!$D$116:$D$131,0))*kgtoGg</f>
        <v>2.1176667730006526</v>
      </c>
      <c r="AV1437" s="22">
        <f>INDEX('Net zero Activity data'!BO$24:BO$39,MATCH('Net zero emission reductions'!$G1437,'Net zero Activity data'!$D$24:$D$39,0))*INDEX(EF!$H$84:$H$99,MATCH('Net zero emission reductions'!$G1437,EF!$D$84:$D$99,0))*INDEX(EF!$H$100:$H$115,MATCH('Net zero emission reductions'!$G1437,EF!$D$100:$D$115,0))*INDEX(EF!$H$116:$H$131,MATCH('Net zero emission reductions'!$G1437,EF!$D$116:$D$131,0))*kgtoGg</f>
        <v>2.117981224482921</v>
      </c>
      <c r="AW1437" s="22">
        <f>INDEX('Net zero Activity data'!BP$24:BP$39,MATCH('Net zero emission reductions'!$G1437,'Net zero Activity data'!$D$24:$D$39,0))*INDEX(EF!$H$84:$H$99,MATCH('Net zero emission reductions'!$G1437,EF!$D$84:$D$99,0))*INDEX(EF!$H$100:$H$115,MATCH('Net zero emission reductions'!$G1437,EF!$D$100:$D$115,0))*INDEX(EF!$H$116:$H$131,MATCH('Net zero emission reductions'!$G1437,EF!$D$116:$D$131,0))*kgtoGg</f>
        <v>2.1182956759651885</v>
      </c>
    </row>
    <row r="1438" spans="1:49" x14ac:dyDescent="0.3">
      <c r="A1438" s="95" t="s">
        <v>960</v>
      </c>
      <c r="B1438" s="95"/>
      <c r="C1438" s="95"/>
      <c r="D1438" t="str">
        <f t="shared" si="555"/>
        <v>3C Aggregated and non-CO2 emissions on land</v>
      </c>
      <c r="E1438" t="str">
        <f t="shared" si="555"/>
        <v>3C1 Biomass burning (CH4)</v>
      </c>
      <c r="F1438" t="str">
        <f>'IPCC Categories'!C61</f>
        <v>3C1c Biomass burning in Grasslands</v>
      </c>
      <c r="G1438" t="str">
        <f>EF!D93</f>
        <v>Grasslands</v>
      </c>
      <c r="H1438" t="s">
        <v>650</v>
      </c>
      <c r="I1438" t="str">
        <f t="shared" si="558"/>
        <v>CH4</v>
      </c>
      <c r="J1438" t="str">
        <f t="shared" si="558"/>
        <v>Gg CH4</v>
      </c>
      <c r="K1438" s="22">
        <f>INDEX('Net zero Activity data'!AD$24:AD$39,MATCH('Net zero emission reductions'!$G1438,'Net zero Activity data'!$D$24:$D$39,0))*INDEX(EF!$H$84:$H$99,MATCH('Net zero emission reductions'!$G1438,EF!$D$84:$D$99,0))*INDEX(EF!$H$100:$H$115,MATCH('Net zero emission reductions'!$G1438,EF!$D$100:$D$115,0))*INDEX(EF!$H$116:$H$131,MATCH('Net zero emission reductions'!$G1438,EF!$D$116:$D$131,0))*kgtoGg</f>
        <v>19.140814819727147</v>
      </c>
      <c r="L1438" s="22">
        <f>INDEX('Net zero Activity data'!AE$24:AE$39,MATCH('Net zero emission reductions'!$G1438,'Net zero Activity data'!$D$24:$D$39,0))*INDEX(EF!$H$84:$H$99,MATCH('Net zero emission reductions'!$G1438,EF!$D$84:$D$99,0))*INDEX(EF!$H$100:$H$115,MATCH('Net zero emission reductions'!$G1438,EF!$D$100:$D$115,0))*INDEX(EF!$H$116:$H$131,MATCH('Net zero emission reductions'!$G1438,EF!$D$116:$D$131,0))*kgtoGg</f>
        <v>19.263613253106172</v>
      </c>
      <c r="M1438" s="22">
        <f>INDEX('Net zero Activity data'!AF$24:AF$39,MATCH('Net zero emission reductions'!$G1438,'Net zero Activity data'!$D$24:$D$39,0))*INDEX(EF!$H$84:$H$99,MATCH('Net zero emission reductions'!$G1438,EF!$D$84:$D$99,0))*INDEX(EF!$H$100:$H$115,MATCH('Net zero emission reductions'!$G1438,EF!$D$100:$D$115,0))*INDEX(EF!$H$116:$H$131,MATCH('Net zero emission reductions'!$G1438,EF!$D$116:$D$131,0))*kgtoGg</f>
        <v>19.386411686485193</v>
      </c>
      <c r="N1438" s="22">
        <f>INDEX('Net zero Activity data'!AG$24:AG$39,MATCH('Net zero emission reductions'!$G1438,'Net zero Activity data'!$D$24:$D$39,0))*INDEX(EF!$H$84:$H$99,MATCH('Net zero emission reductions'!$G1438,EF!$D$84:$D$99,0))*INDEX(EF!$H$100:$H$115,MATCH('Net zero emission reductions'!$G1438,EF!$D$100:$D$115,0))*INDEX(EF!$H$116:$H$131,MATCH('Net zero emission reductions'!$G1438,EF!$D$116:$D$131,0))*kgtoGg</f>
        <v>19.509210119864214</v>
      </c>
      <c r="O1438" s="22">
        <f>INDEX('Net zero Activity data'!AH$24:AH$39,MATCH('Net zero emission reductions'!$G1438,'Net zero Activity data'!$D$24:$D$39,0))*INDEX(EF!$H$84:$H$99,MATCH('Net zero emission reductions'!$G1438,EF!$D$84:$D$99,0))*INDEX(EF!$H$100:$H$115,MATCH('Net zero emission reductions'!$G1438,EF!$D$100:$D$115,0))*INDEX(EF!$H$116:$H$131,MATCH('Net zero emission reductions'!$G1438,EF!$D$116:$D$131,0))*kgtoGg</f>
        <v>19.632008553243242</v>
      </c>
      <c r="P1438" s="22">
        <f>INDEX('Net zero Activity data'!AI$24:AI$39,MATCH('Net zero emission reductions'!$G1438,'Net zero Activity data'!$D$24:$D$39,0))*INDEX(EF!$H$84:$H$99,MATCH('Net zero emission reductions'!$G1438,EF!$D$84:$D$99,0))*INDEX(EF!$H$100:$H$115,MATCH('Net zero emission reductions'!$G1438,EF!$D$100:$D$115,0))*INDEX(EF!$H$116:$H$131,MATCH('Net zero emission reductions'!$G1438,EF!$D$116:$D$131,0))*kgtoGg</f>
        <v>19.754806986622263</v>
      </c>
      <c r="Q1438" s="22">
        <f>INDEX('Net zero Activity data'!AJ$24:AJ$39,MATCH('Net zero emission reductions'!$G1438,'Net zero Activity data'!$D$24:$D$39,0))*INDEX(EF!$H$84:$H$99,MATCH('Net zero emission reductions'!$G1438,EF!$D$84:$D$99,0))*INDEX(EF!$H$100:$H$115,MATCH('Net zero emission reductions'!$G1438,EF!$D$100:$D$115,0))*INDEX(EF!$H$116:$H$131,MATCH('Net zero emission reductions'!$G1438,EF!$D$116:$D$131,0))*kgtoGg</f>
        <v>19.877605420001284</v>
      </c>
      <c r="R1438" s="22">
        <f>INDEX('Net zero Activity data'!AK$24:AK$39,MATCH('Net zero emission reductions'!$G1438,'Net zero Activity data'!$D$24:$D$39,0))*INDEX(EF!$H$84:$H$99,MATCH('Net zero emission reductions'!$G1438,EF!$D$84:$D$99,0))*INDEX(EF!$H$100:$H$115,MATCH('Net zero emission reductions'!$G1438,EF!$D$100:$D$115,0))*INDEX(EF!$H$116:$H$131,MATCH('Net zero emission reductions'!$G1438,EF!$D$116:$D$131,0))*kgtoGg</f>
        <v>20.083827984907678</v>
      </c>
      <c r="S1438" s="22">
        <f>INDEX('Net zero Activity data'!AL$24:AL$39,MATCH('Net zero emission reductions'!$G1438,'Net zero Activity data'!$D$24:$D$39,0))*INDEX(EF!$H$84:$H$99,MATCH('Net zero emission reductions'!$G1438,EF!$D$84:$D$99,0))*INDEX(EF!$H$100:$H$115,MATCH('Net zero emission reductions'!$G1438,EF!$D$100:$D$115,0))*INDEX(EF!$H$116:$H$131,MATCH('Net zero emission reductions'!$G1438,EF!$D$116:$D$131,0))*kgtoGg</f>
        <v>20.290050549814062</v>
      </c>
      <c r="T1438" s="22">
        <f>INDEX('Net zero Activity data'!AM$24:AM$39,MATCH('Net zero emission reductions'!$G1438,'Net zero Activity data'!$D$24:$D$39,0))*INDEX(EF!$H$84:$H$99,MATCH('Net zero emission reductions'!$G1438,EF!$D$84:$D$99,0))*INDEX(EF!$H$100:$H$115,MATCH('Net zero emission reductions'!$G1438,EF!$D$100:$D$115,0))*INDEX(EF!$H$116:$H$131,MATCH('Net zero emission reductions'!$G1438,EF!$D$116:$D$131,0))*kgtoGg</f>
        <v>20.496273114720456</v>
      </c>
      <c r="U1438" s="22">
        <f>INDEX('Net zero Activity data'!AN$24:AN$39,MATCH('Net zero emission reductions'!$G1438,'Net zero Activity data'!$D$24:$D$39,0))*INDEX(EF!$H$84:$H$99,MATCH('Net zero emission reductions'!$G1438,EF!$D$84:$D$99,0))*INDEX(EF!$H$100:$H$115,MATCH('Net zero emission reductions'!$G1438,EF!$D$100:$D$115,0))*INDEX(EF!$H$116:$H$131,MATCH('Net zero emission reductions'!$G1438,EF!$D$116:$D$131,0))*kgtoGg</f>
        <v>20.702495679626839</v>
      </c>
      <c r="V1438" s="22">
        <f>INDEX('Net zero Activity data'!AO$24:AO$39,MATCH('Net zero emission reductions'!$G1438,'Net zero Activity data'!$D$24:$D$39,0))*INDEX(EF!$H$84:$H$99,MATCH('Net zero emission reductions'!$G1438,EF!$D$84:$D$99,0))*INDEX(EF!$H$100:$H$115,MATCH('Net zero emission reductions'!$G1438,EF!$D$100:$D$115,0))*INDEX(EF!$H$116:$H$131,MATCH('Net zero emission reductions'!$G1438,EF!$D$116:$D$131,0))*kgtoGg</f>
        <v>20.908718244533233</v>
      </c>
      <c r="W1438" s="22">
        <f>INDEX('Net zero Activity data'!AP$24:AP$39,MATCH('Net zero emission reductions'!$G1438,'Net zero Activity data'!$D$24:$D$39,0))*INDEX(EF!$H$84:$H$99,MATCH('Net zero emission reductions'!$G1438,EF!$D$84:$D$99,0))*INDEX(EF!$H$100:$H$115,MATCH('Net zero emission reductions'!$G1438,EF!$D$100:$D$115,0))*INDEX(EF!$H$116:$H$131,MATCH('Net zero emission reductions'!$G1438,EF!$D$116:$D$131,0))*kgtoGg</f>
        <v>21.114940809439616</v>
      </c>
      <c r="X1438" s="22">
        <f>INDEX('Net zero Activity data'!AQ$24:AQ$39,MATCH('Net zero emission reductions'!$G1438,'Net zero Activity data'!$D$24:$D$39,0))*INDEX(EF!$H$84:$H$99,MATCH('Net zero emission reductions'!$G1438,EF!$D$84:$D$99,0))*INDEX(EF!$H$100:$H$115,MATCH('Net zero emission reductions'!$G1438,EF!$D$100:$D$115,0))*INDEX(EF!$H$116:$H$131,MATCH('Net zero emission reductions'!$G1438,EF!$D$116:$D$131,0))*kgtoGg</f>
        <v>21.32116337434601</v>
      </c>
      <c r="Y1438" s="22">
        <f>INDEX('Net zero Activity data'!AR$24:AR$39,MATCH('Net zero emission reductions'!$G1438,'Net zero Activity data'!$D$24:$D$39,0))*INDEX(EF!$H$84:$H$99,MATCH('Net zero emission reductions'!$G1438,EF!$D$84:$D$99,0))*INDEX(EF!$H$100:$H$115,MATCH('Net zero emission reductions'!$G1438,EF!$D$100:$D$115,0))*INDEX(EF!$H$116:$H$131,MATCH('Net zero emission reductions'!$G1438,EF!$D$116:$D$131,0))*kgtoGg</f>
        <v>21.527385939252397</v>
      </c>
      <c r="Z1438" s="22">
        <f>INDEX('Net zero Activity data'!AS$24:AS$39,MATCH('Net zero emission reductions'!$G1438,'Net zero Activity data'!$D$24:$D$39,0))*INDEX(EF!$H$84:$H$99,MATCH('Net zero emission reductions'!$G1438,EF!$D$84:$D$99,0))*INDEX(EF!$H$100:$H$115,MATCH('Net zero emission reductions'!$G1438,EF!$D$100:$D$115,0))*INDEX(EF!$H$116:$H$131,MATCH('Net zero emission reductions'!$G1438,EF!$D$116:$D$131,0))*kgtoGg</f>
        <v>21.733608504158784</v>
      </c>
      <c r="AA1438" s="22">
        <f>INDEX('Net zero Activity data'!AT$24:AT$39,MATCH('Net zero emission reductions'!$G1438,'Net zero Activity data'!$D$24:$D$39,0))*INDEX(EF!$H$84:$H$99,MATCH('Net zero emission reductions'!$G1438,EF!$D$84:$D$99,0))*INDEX(EF!$H$100:$H$115,MATCH('Net zero emission reductions'!$G1438,EF!$D$100:$D$115,0))*INDEX(EF!$H$116:$H$131,MATCH('Net zero emission reductions'!$G1438,EF!$D$116:$D$131,0))*kgtoGg</f>
        <v>21.939831069065175</v>
      </c>
      <c r="AB1438" s="22">
        <f>INDEX('Net zero Activity data'!AU$24:AU$39,MATCH('Net zero emission reductions'!$G1438,'Net zero Activity data'!$D$24:$D$39,0))*INDEX(EF!$H$84:$H$99,MATCH('Net zero emission reductions'!$G1438,EF!$D$84:$D$99,0))*INDEX(EF!$H$100:$H$115,MATCH('Net zero emission reductions'!$G1438,EF!$D$100:$D$115,0))*INDEX(EF!$H$116:$H$131,MATCH('Net zero emission reductions'!$G1438,EF!$D$116:$D$131,0))*kgtoGg</f>
        <v>22.146053633971565</v>
      </c>
      <c r="AC1438" s="22">
        <f>INDEX('Net zero Activity data'!AV$24:AV$39,MATCH('Net zero emission reductions'!$G1438,'Net zero Activity data'!$D$24:$D$39,0))*INDEX(EF!$H$84:$H$99,MATCH('Net zero emission reductions'!$G1438,EF!$D$84:$D$99,0))*INDEX(EF!$H$100:$H$115,MATCH('Net zero emission reductions'!$G1438,EF!$D$100:$D$115,0))*INDEX(EF!$H$116:$H$131,MATCH('Net zero emission reductions'!$G1438,EF!$D$116:$D$131,0))*kgtoGg</f>
        <v>22.352276198877952</v>
      </c>
      <c r="AD1438" s="22">
        <f>INDEX('Net zero Activity data'!AW$24:AW$39,MATCH('Net zero emission reductions'!$G1438,'Net zero Activity data'!$D$24:$D$39,0))*INDEX(EF!$H$84:$H$99,MATCH('Net zero emission reductions'!$G1438,EF!$D$84:$D$99,0))*INDEX(EF!$H$100:$H$115,MATCH('Net zero emission reductions'!$G1438,EF!$D$100:$D$115,0))*INDEX(EF!$H$116:$H$131,MATCH('Net zero emission reductions'!$G1438,EF!$D$116:$D$131,0))*kgtoGg</f>
        <v>22.56201626272437</v>
      </c>
      <c r="AE1438" s="22">
        <f>INDEX('Net zero Activity data'!AX$24:AX$39,MATCH('Net zero emission reductions'!$G1438,'Net zero Activity data'!$D$24:$D$39,0))*INDEX(EF!$H$84:$H$99,MATCH('Net zero emission reductions'!$G1438,EF!$D$84:$D$99,0))*INDEX(EF!$H$100:$H$115,MATCH('Net zero emission reductions'!$G1438,EF!$D$100:$D$115,0))*INDEX(EF!$H$116:$H$131,MATCH('Net zero emission reductions'!$G1438,EF!$D$116:$D$131,0))*kgtoGg</f>
        <v>22.771756326570781</v>
      </c>
      <c r="AF1438" s="22">
        <f>INDEX('Net zero Activity data'!AY$24:AY$39,MATCH('Net zero emission reductions'!$G1438,'Net zero Activity data'!$D$24:$D$39,0))*INDEX(EF!$H$84:$H$99,MATCH('Net zero emission reductions'!$G1438,EF!$D$84:$D$99,0))*INDEX(EF!$H$100:$H$115,MATCH('Net zero emission reductions'!$G1438,EF!$D$100:$D$115,0))*INDEX(EF!$H$116:$H$131,MATCH('Net zero emission reductions'!$G1438,EF!$D$116:$D$131,0))*kgtoGg</f>
        <v>22.981496390417199</v>
      </c>
      <c r="AG1438" s="22">
        <f>INDEX('Net zero Activity data'!AZ$24:AZ$39,MATCH('Net zero emission reductions'!$G1438,'Net zero Activity data'!$D$24:$D$39,0))*INDEX(EF!$H$84:$H$99,MATCH('Net zero emission reductions'!$G1438,EF!$D$84:$D$99,0))*INDEX(EF!$H$100:$H$115,MATCH('Net zero emission reductions'!$G1438,EF!$D$100:$D$115,0))*INDEX(EF!$H$116:$H$131,MATCH('Net zero emission reductions'!$G1438,EF!$D$116:$D$131,0))*kgtoGg</f>
        <v>23.191236454263613</v>
      </c>
      <c r="AH1438" s="22">
        <f>INDEX('Net zero Activity data'!BA$24:BA$39,MATCH('Net zero emission reductions'!$G1438,'Net zero Activity data'!$D$24:$D$39,0))*INDEX(EF!$H$84:$H$99,MATCH('Net zero emission reductions'!$G1438,EF!$D$84:$D$99,0))*INDEX(EF!$H$100:$H$115,MATCH('Net zero emission reductions'!$G1438,EF!$D$100:$D$115,0))*INDEX(EF!$H$116:$H$131,MATCH('Net zero emission reductions'!$G1438,EF!$D$116:$D$131,0))*kgtoGg</f>
        <v>23.400976518110024</v>
      </c>
      <c r="AI1438" s="22">
        <f>INDEX('Net zero Activity data'!BB$24:BB$39,MATCH('Net zero emission reductions'!$G1438,'Net zero Activity data'!$D$24:$D$39,0))*INDEX(EF!$H$84:$H$99,MATCH('Net zero emission reductions'!$G1438,EF!$D$84:$D$99,0))*INDEX(EF!$H$100:$H$115,MATCH('Net zero emission reductions'!$G1438,EF!$D$100:$D$115,0))*INDEX(EF!$H$116:$H$131,MATCH('Net zero emission reductions'!$G1438,EF!$D$116:$D$131,0))*kgtoGg</f>
        <v>23.610716581956442</v>
      </c>
      <c r="AJ1438" s="22">
        <f>INDEX('Net zero Activity data'!BC$24:BC$39,MATCH('Net zero emission reductions'!$G1438,'Net zero Activity data'!$D$24:$D$39,0))*INDEX(EF!$H$84:$H$99,MATCH('Net zero emission reductions'!$G1438,EF!$D$84:$D$99,0))*INDEX(EF!$H$100:$H$115,MATCH('Net zero emission reductions'!$G1438,EF!$D$100:$D$115,0))*INDEX(EF!$H$116:$H$131,MATCH('Net zero emission reductions'!$G1438,EF!$D$116:$D$131,0))*kgtoGg</f>
        <v>23.820456645802853</v>
      </c>
      <c r="AK1438" s="22">
        <f>INDEX('Net zero Activity data'!BD$24:BD$39,MATCH('Net zero emission reductions'!$G1438,'Net zero Activity data'!$D$24:$D$39,0))*INDEX(EF!$H$84:$H$99,MATCH('Net zero emission reductions'!$G1438,EF!$D$84:$D$99,0))*INDEX(EF!$H$100:$H$115,MATCH('Net zero emission reductions'!$G1438,EF!$D$100:$D$115,0))*INDEX(EF!$H$116:$H$131,MATCH('Net zero emission reductions'!$G1438,EF!$D$116:$D$131,0))*kgtoGg</f>
        <v>24.030196709649267</v>
      </c>
      <c r="AL1438" s="22">
        <f>INDEX('Net zero Activity data'!BE$24:BE$39,MATCH('Net zero emission reductions'!$G1438,'Net zero Activity data'!$D$24:$D$39,0))*INDEX(EF!$H$84:$H$99,MATCH('Net zero emission reductions'!$G1438,EF!$D$84:$D$99,0))*INDEX(EF!$H$100:$H$115,MATCH('Net zero emission reductions'!$G1438,EF!$D$100:$D$115,0))*INDEX(EF!$H$116:$H$131,MATCH('Net zero emission reductions'!$G1438,EF!$D$116:$D$131,0))*kgtoGg</f>
        <v>24.239936773495682</v>
      </c>
      <c r="AM1438" s="22">
        <f>INDEX('Net zero Activity data'!BF$24:BF$39,MATCH('Net zero emission reductions'!$G1438,'Net zero Activity data'!$D$24:$D$39,0))*INDEX(EF!$H$84:$H$99,MATCH('Net zero emission reductions'!$G1438,EF!$D$84:$D$99,0))*INDEX(EF!$H$100:$H$115,MATCH('Net zero emission reductions'!$G1438,EF!$D$100:$D$115,0))*INDEX(EF!$H$116:$H$131,MATCH('Net zero emission reductions'!$G1438,EF!$D$116:$D$131,0))*kgtoGg</f>
        <v>24.449676837342093</v>
      </c>
      <c r="AN1438" s="22">
        <f>INDEX('Net zero Activity data'!BG$24:BG$39,MATCH('Net zero emission reductions'!$G1438,'Net zero Activity data'!$D$24:$D$39,0))*INDEX(EF!$H$84:$H$99,MATCH('Net zero emission reductions'!$G1438,EF!$D$84:$D$99,0))*INDEX(EF!$H$100:$H$115,MATCH('Net zero emission reductions'!$G1438,EF!$D$100:$D$115,0))*INDEX(EF!$H$116:$H$131,MATCH('Net zero emission reductions'!$G1438,EF!$D$116:$D$131,0))*kgtoGg</f>
        <v>24.659416901188511</v>
      </c>
      <c r="AO1438" s="22">
        <f>INDEX('Net zero Activity data'!BH$24:BH$39,MATCH('Net zero emission reductions'!$G1438,'Net zero Activity data'!$D$24:$D$39,0))*INDEX(EF!$H$84:$H$99,MATCH('Net zero emission reductions'!$G1438,EF!$D$84:$D$99,0))*INDEX(EF!$H$100:$H$115,MATCH('Net zero emission reductions'!$G1438,EF!$D$100:$D$115,0))*INDEX(EF!$H$116:$H$131,MATCH('Net zero emission reductions'!$G1438,EF!$D$116:$D$131,0))*kgtoGg</f>
        <v>24.869156965034922</v>
      </c>
      <c r="AP1438" s="22">
        <f>INDEX('Net zero Activity data'!BI$24:BI$39,MATCH('Net zero emission reductions'!$G1438,'Net zero Activity data'!$D$24:$D$39,0))*INDEX(EF!$H$84:$H$99,MATCH('Net zero emission reductions'!$G1438,EF!$D$84:$D$99,0))*INDEX(EF!$H$100:$H$115,MATCH('Net zero emission reductions'!$G1438,EF!$D$100:$D$115,0))*INDEX(EF!$H$116:$H$131,MATCH('Net zero emission reductions'!$G1438,EF!$D$116:$D$131,0))*kgtoGg</f>
        <v>25.078897028881336</v>
      </c>
      <c r="AQ1438" s="22">
        <f>INDEX('Net zero Activity data'!BJ$24:BJ$39,MATCH('Net zero emission reductions'!$G1438,'Net zero Activity data'!$D$24:$D$39,0))*INDEX(EF!$H$84:$H$99,MATCH('Net zero emission reductions'!$G1438,EF!$D$84:$D$99,0))*INDEX(EF!$H$100:$H$115,MATCH('Net zero emission reductions'!$G1438,EF!$D$100:$D$115,0))*INDEX(EF!$H$116:$H$131,MATCH('Net zero emission reductions'!$G1438,EF!$D$116:$D$131,0))*kgtoGg</f>
        <v>25.28863709272775</v>
      </c>
      <c r="AR1438" s="22">
        <f>INDEX('Net zero Activity data'!BK$24:BK$39,MATCH('Net zero emission reductions'!$G1438,'Net zero Activity data'!$D$24:$D$39,0))*INDEX(EF!$H$84:$H$99,MATCH('Net zero emission reductions'!$G1438,EF!$D$84:$D$99,0))*INDEX(EF!$H$100:$H$115,MATCH('Net zero emission reductions'!$G1438,EF!$D$100:$D$115,0))*INDEX(EF!$H$116:$H$131,MATCH('Net zero emission reductions'!$G1438,EF!$D$116:$D$131,0))*kgtoGg</f>
        <v>25.498377156574168</v>
      </c>
      <c r="AS1438" s="22">
        <f>INDEX('Net zero Activity data'!BL$24:BL$39,MATCH('Net zero emission reductions'!$G1438,'Net zero Activity data'!$D$24:$D$39,0))*INDEX(EF!$H$84:$H$99,MATCH('Net zero emission reductions'!$G1438,EF!$D$84:$D$99,0))*INDEX(EF!$H$100:$H$115,MATCH('Net zero emission reductions'!$G1438,EF!$D$100:$D$115,0))*INDEX(EF!$H$116:$H$131,MATCH('Net zero emission reductions'!$G1438,EF!$D$116:$D$131,0))*kgtoGg</f>
        <v>25.708117220420583</v>
      </c>
      <c r="AT1438" s="22">
        <f>INDEX('Net zero Activity data'!BM$24:BM$39,MATCH('Net zero emission reductions'!$G1438,'Net zero Activity data'!$D$24:$D$39,0))*INDEX(EF!$H$84:$H$99,MATCH('Net zero emission reductions'!$G1438,EF!$D$84:$D$99,0))*INDEX(EF!$H$100:$H$115,MATCH('Net zero emission reductions'!$G1438,EF!$D$100:$D$115,0))*INDEX(EF!$H$116:$H$131,MATCH('Net zero emission reductions'!$G1438,EF!$D$116:$D$131,0))*kgtoGg</f>
        <v>25.917857284266997</v>
      </c>
      <c r="AU1438" s="22">
        <f>INDEX('Net zero Activity data'!BN$24:BN$39,MATCH('Net zero emission reductions'!$G1438,'Net zero Activity data'!$D$24:$D$39,0))*INDEX(EF!$H$84:$H$99,MATCH('Net zero emission reductions'!$G1438,EF!$D$84:$D$99,0))*INDEX(EF!$H$100:$H$115,MATCH('Net zero emission reductions'!$G1438,EF!$D$100:$D$115,0))*INDEX(EF!$H$116:$H$131,MATCH('Net zero emission reductions'!$G1438,EF!$D$116:$D$131,0))*kgtoGg</f>
        <v>26.127597348113408</v>
      </c>
      <c r="AV1438" s="22">
        <f>INDEX('Net zero Activity data'!BO$24:BO$39,MATCH('Net zero emission reductions'!$G1438,'Net zero Activity data'!$D$24:$D$39,0))*INDEX(EF!$H$84:$H$99,MATCH('Net zero emission reductions'!$G1438,EF!$D$84:$D$99,0))*INDEX(EF!$H$100:$H$115,MATCH('Net zero emission reductions'!$G1438,EF!$D$100:$D$115,0))*INDEX(EF!$H$116:$H$131,MATCH('Net zero emission reductions'!$G1438,EF!$D$116:$D$131,0))*kgtoGg</f>
        <v>26.337337411959826</v>
      </c>
      <c r="AW1438" s="22">
        <f>INDEX('Net zero Activity data'!BP$24:BP$39,MATCH('Net zero emission reductions'!$G1438,'Net zero Activity data'!$D$24:$D$39,0))*INDEX(EF!$H$84:$H$99,MATCH('Net zero emission reductions'!$G1438,EF!$D$84:$D$99,0))*INDEX(EF!$H$100:$H$115,MATCH('Net zero emission reductions'!$G1438,EF!$D$100:$D$115,0))*INDEX(EF!$H$116:$H$131,MATCH('Net zero emission reductions'!$G1438,EF!$D$116:$D$131,0))*kgtoGg</f>
        <v>26.54707747580624</v>
      </c>
    </row>
    <row r="1439" spans="1:49" x14ac:dyDescent="0.3">
      <c r="A1439" s="95" t="s">
        <v>960</v>
      </c>
      <c r="B1439" s="95"/>
      <c r="C1439" s="95"/>
      <c r="D1439" t="str">
        <f t="shared" si="555"/>
        <v>3C Aggregated and non-CO2 emissions on land</v>
      </c>
      <c r="E1439" t="str">
        <f t="shared" si="555"/>
        <v>3C1 Biomass burning (CH4)</v>
      </c>
      <c r="F1439" t="str">
        <f>F1438</f>
        <v>3C1c Biomass burning in Grasslands</v>
      </c>
      <c r="G1439" t="str">
        <f>EF!D94</f>
        <v>Low shrublands</v>
      </c>
      <c r="H1439" t="s">
        <v>651</v>
      </c>
      <c r="I1439" t="str">
        <f t="shared" si="558"/>
        <v>CH4</v>
      </c>
      <c r="J1439" t="str">
        <f t="shared" si="558"/>
        <v>Gg CH4</v>
      </c>
      <c r="K1439" s="22">
        <f>INDEX('Net zero Activity data'!AD$24:AD$39,MATCH('Net zero emission reductions'!$G1439,'Net zero Activity data'!$D$24:$D$39,0))*INDEX(EF!$H$84:$H$99,MATCH('Net zero emission reductions'!$G1439,EF!$D$84:$D$99,0))*INDEX(EF!$H$100:$H$115,MATCH('Net zero emission reductions'!$G1439,EF!$D$100:$D$115,0))*INDEX(EF!$H$116:$H$131,MATCH('Net zero emission reductions'!$G1439,EF!$D$116:$D$131,0))*kgtoGg</f>
        <v>2.803719836697308</v>
      </c>
      <c r="L1439" s="22">
        <f>INDEX('Net zero Activity data'!AE$24:AE$39,MATCH('Net zero emission reductions'!$G1439,'Net zero Activity data'!$D$24:$D$39,0))*INDEX(EF!$H$84:$H$99,MATCH('Net zero emission reductions'!$G1439,EF!$D$84:$D$99,0))*INDEX(EF!$H$100:$H$115,MATCH('Net zero emission reductions'!$G1439,EF!$D$100:$D$115,0))*INDEX(EF!$H$116:$H$131,MATCH('Net zero emission reductions'!$G1439,EF!$D$116:$D$131,0))*kgtoGg</f>
        <v>2.7952952347709599</v>
      </c>
      <c r="M1439" s="22">
        <f>INDEX('Net zero Activity data'!AF$24:AF$39,MATCH('Net zero emission reductions'!$G1439,'Net zero Activity data'!$D$24:$D$39,0))*INDEX(EF!$H$84:$H$99,MATCH('Net zero emission reductions'!$G1439,EF!$D$84:$D$99,0))*INDEX(EF!$H$100:$H$115,MATCH('Net zero emission reductions'!$G1439,EF!$D$100:$D$115,0))*INDEX(EF!$H$116:$H$131,MATCH('Net zero emission reductions'!$G1439,EF!$D$116:$D$131,0))*kgtoGg</f>
        <v>2.7868706328446127</v>
      </c>
      <c r="N1439" s="22">
        <f>INDEX('Net zero Activity data'!AG$24:AG$39,MATCH('Net zero emission reductions'!$G1439,'Net zero Activity data'!$D$24:$D$39,0))*INDEX(EF!$H$84:$H$99,MATCH('Net zero emission reductions'!$G1439,EF!$D$84:$D$99,0))*INDEX(EF!$H$100:$H$115,MATCH('Net zero emission reductions'!$G1439,EF!$D$100:$D$115,0))*INDEX(EF!$H$116:$H$131,MATCH('Net zero emission reductions'!$G1439,EF!$D$116:$D$131,0))*kgtoGg</f>
        <v>2.7784460309182646</v>
      </c>
      <c r="O1439" s="22">
        <f>INDEX('Net zero Activity data'!AH$24:AH$39,MATCH('Net zero emission reductions'!$G1439,'Net zero Activity data'!$D$24:$D$39,0))*INDEX(EF!$H$84:$H$99,MATCH('Net zero emission reductions'!$G1439,EF!$D$84:$D$99,0))*INDEX(EF!$H$100:$H$115,MATCH('Net zero emission reductions'!$G1439,EF!$D$100:$D$115,0))*INDEX(EF!$H$116:$H$131,MATCH('Net zero emission reductions'!$G1439,EF!$D$116:$D$131,0))*kgtoGg</f>
        <v>2.7700214289919165</v>
      </c>
      <c r="P1439" s="22">
        <f>INDEX('Net zero Activity data'!AI$24:AI$39,MATCH('Net zero emission reductions'!$G1439,'Net zero Activity data'!$D$24:$D$39,0))*INDEX(EF!$H$84:$H$99,MATCH('Net zero emission reductions'!$G1439,EF!$D$84:$D$99,0))*INDEX(EF!$H$100:$H$115,MATCH('Net zero emission reductions'!$G1439,EF!$D$100:$D$115,0))*INDEX(EF!$H$116:$H$131,MATCH('Net zero emission reductions'!$G1439,EF!$D$116:$D$131,0))*kgtoGg</f>
        <v>2.7615968270655689</v>
      </c>
      <c r="Q1439" s="22">
        <f>INDEX('Net zero Activity data'!AJ$24:AJ$39,MATCH('Net zero emission reductions'!$G1439,'Net zero Activity data'!$D$24:$D$39,0))*INDEX(EF!$H$84:$H$99,MATCH('Net zero emission reductions'!$G1439,EF!$D$84:$D$99,0))*INDEX(EF!$H$100:$H$115,MATCH('Net zero emission reductions'!$G1439,EF!$D$100:$D$115,0))*INDEX(EF!$H$116:$H$131,MATCH('Net zero emission reductions'!$G1439,EF!$D$116:$D$131,0))*kgtoGg</f>
        <v>2.7531722251392212</v>
      </c>
      <c r="R1439" s="22">
        <f>INDEX('Net zero Activity data'!AK$24:AK$39,MATCH('Net zero emission reductions'!$G1439,'Net zero Activity data'!$D$24:$D$39,0))*INDEX(EF!$H$84:$H$99,MATCH('Net zero emission reductions'!$G1439,EF!$D$84:$D$99,0))*INDEX(EF!$H$100:$H$115,MATCH('Net zero emission reductions'!$G1439,EF!$D$100:$D$115,0))*INDEX(EF!$H$116:$H$131,MATCH('Net zero emission reductions'!$G1439,EF!$D$116:$D$131,0))*kgtoGg</f>
        <v>2.7447476232128731</v>
      </c>
      <c r="S1439" s="22">
        <f>INDEX('Net zero Activity data'!AL$24:AL$39,MATCH('Net zero emission reductions'!$G1439,'Net zero Activity data'!$D$24:$D$39,0))*INDEX(EF!$H$84:$H$99,MATCH('Net zero emission reductions'!$G1439,EF!$D$84:$D$99,0))*INDEX(EF!$H$100:$H$115,MATCH('Net zero emission reductions'!$G1439,EF!$D$100:$D$115,0))*INDEX(EF!$H$116:$H$131,MATCH('Net zero emission reductions'!$G1439,EF!$D$116:$D$131,0))*kgtoGg</f>
        <v>2.7363230212865255</v>
      </c>
      <c r="T1439" s="22">
        <f>INDEX('Net zero Activity data'!AM$24:AM$39,MATCH('Net zero emission reductions'!$G1439,'Net zero Activity data'!$D$24:$D$39,0))*INDEX(EF!$H$84:$H$99,MATCH('Net zero emission reductions'!$G1439,EF!$D$84:$D$99,0))*INDEX(EF!$H$100:$H$115,MATCH('Net zero emission reductions'!$G1439,EF!$D$100:$D$115,0))*INDEX(EF!$H$116:$H$131,MATCH('Net zero emission reductions'!$G1439,EF!$D$116:$D$131,0))*kgtoGg</f>
        <v>2.7278984193601779</v>
      </c>
      <c r="U1439" s="22">
        <f>INDEX('Net zero Activity data'!AN$24:AN$39,MATCH('Net zero emission reductions'!$G1439,'Net zero Activity data'!$D$24:$D$39,0))*INDEX(EF!$H$84:$H$99,MATCH('Net zero emission reductions'!$G1439,EF!$D$84:$D$99,0))*INDEX(EF!$H$100:$H$115,MATCH('Net zero emission reductions'!$G1439,EF!$D$100:$D$115,0))*INDEX(EF!$H$116:$H$131,MATCH('Net zero emission reductions'!$G1439,EF!$D$116:$D$131,0))*kgtoGg</f>
        <v>2.7194738174338302</v>
      </c>
      <c r="V1439" s="22">
        <f>INDEX('Net zero Activity data'!AO$24:AO$39,MATCH('Net zero emission reductions'!$G1439,'Net zero Activity data'!$D$24:$D$39,0))*INDEX(EF!$H$84:$H$99,MATCH('Net zero emission reductions'!$G1439,EF!$D$84:$D$99,0))*INDEX(EF!$H$100:$H$115,MATCH('Net zero emission reductions'!$G1439,EF!$D$100:$D$115,0))*INDEX(EF!$H$116:$H$131,MATCH('Net zero emission reductions'!$G1439,EF!$D$116:$D$131,0))*kgtoGg</f>
        <v>2.7110492155074826</v>
      </c>
      <c r="W1439" s="22">
        <f>INDEX('Net zero Activity data'!AP$24:AP$39,MATCH('Net zero emission reductions'!$G1439,'Net zero Activity data'!$D$24:$D$39,0))*INDEX(EF!$H$84:$H$99,MATCH('Net zero emission reductions'!$G1439,EF!$D$84:$D$99,0))*INDEX(EF!$H$100:$H$115,MATCH('Net zero emission reductions'!$G1439,EF!$D$100:$D$115,0))*INDEX(EF!$H$116:$H$131,MATCH('Net zero emission reductions'!$G1439,EF!$D$116:$D$131,0))*kgtoGg</f>
        <v>2.7026246135811345</v>
      </c>
      <c r="X1439" s="22">
        <f>INDEX('Net zero Activity data'!AQ$24:AQ$39,MATCH('Net zero emission reductions'!$G1439,'Net zero Activity data'!$D$24:$D$39,0))*INDEX(EF!$H$84:$H$99,MATCH('Net zero emission reductions'!$G1439,EF!$D$84:$D$99,0))*INDEX(EF!$H$100:$H$115,MATCH('Net zero emission reductions'!$G1439,EF!$D$100:$D$115,0))*INDEX(EF!$H$116:$H$131,MATCH('Net zero emission reductions'!$G1439,EF!$D$116:$D$131,0))*kgtoGg</f>
        <v>2.6942000116547864</v>
      </c>
      <c r="Y1439" s="22">
        <f>INDEX('Net zero Activity data'!AR$24:AR$39,MATCH('Net zero emission reductions'!$G1439,'Net zero Activity data'!$D$24:$D$39,0))*INDEX(EF!$H$84:$H$99,MATCH('Net zero emission reductions'!$G1439,EF!$D$84:$D$99,0))*INDEX(EF!$H$100:$H$115,MATCH('Net zero emission reductions'!$G1439,EF!$D$100:$D$115,0))*INDEX(EF!$H$116:$H$131,MATCH('Net zero emission reductions'!$G1439,EF!$D$116:$D$131,0))*kgtoGg</f>
        <v>2.6857754097284392</v>
      </c>
      <c r="Z1439" s="22">
        <f>INDEX('Net zero Activity data'!AS$24:AS$39,MATCH('Net zero emission reductions'!$G1439,'Net zero Activity data'!$D$24:$D$39,0))*INDEX(EF!$H$84:$H$99,MATCH('Net zero emission reductions'!$G1439,EF!$D$84:$D$99,0))*INDEX(EF!$H$100:$H$115,MATCH('Net zero emission reductions'!$G1439,EF!$D$100:$D$115,0))*INDEX(EF!$H$116:$H$131,MATCH('Net zero emission reductions'!$G1439,EF!$D$116:$D$131,0))*kgtoGg</f>
        <v>2.6773508078020911</v>
      </c>
      <c r="AA1439" s="22">
        <f>INDEX('Net zero Activity data'!AT$24:AT$39,MATCH('Net zero emission reductions'!$G1439,'Net zero Activity data'!$D$24:$D$39,0))*INDEX(EF!$H$84:$H$99,MATCH('Net zero emission reductions'!$G1439,EF!$D$84:$D$99,0))*INDEX(EF!$H$100:$H$115,MATCH('Net zero emission reductions'!$G1439,EF!$D$100:$D$115,0))*INDEX(EF!$H$116:$H$131,MATCH('Net zero emission reductions'!$G1439,EF!$D$116:$D$131,0))*kgtoGg</f>
        <v>2.668926205875743</v>
      </c>
      <c r="AB1439" s="22">
        <f>INDEX('Net zero Activity data'!AU$24:AU$39,MATCH('Net zero emission reductions'!$G1439,'Net zero Activity data'!$D$24:$D$39,0))*INDEX(EF!$H$84:$H$99,MATCH('Net zero emission reductions'!$G1439,EF!$D$84:$D$99,0))*INDEX(EF!$H$100:$H$115,MATCH('Net zero emission reductions'!$G1439,EF!$D$100:$D$115,0))*INDEX(EF!$H$116:$H$131,MATCH('Net zero emission reductions'!$G1439,EF!$D$116:$D$131,0))*kgtoGg</f>
        <v>2.6605016039493949</v>
      </c>
      <c r="AC1439" s="22">
        <f>INDEX('Net zero Activity data'!AV$24:AV$39,MATCH('Net zero emission reductions'!$G1439,'Net zero Activity data'!$D$24:$D$39,0))*INDEX(EF!$H$84:$H$99,MATCH('Net zero emission reductions'!$G1439,EF!$D$84:$D$99,0))*INDEX(EF!$H$100:$H$115,MATCH('Net zero emission reductions'!$G1439,EF!$D$100:$D$115,0))*INDEX(EF!$H$116:$H$131,MATCH('Net zero emission reductions'!$G1439,EF!$D$116:$D$131,0))*kgtoGg</f>
        <v>2.6520770020230477</v>
      </c>
      <c r="AD1439" s="22">
        <f>INDEX('Net zero Activity data'!AW$24:AW$39,MATCH('Net zero emission reductions'!$G1439,'Net zero Activity data'!$D$24:$D$39,0))*INDEX(EF!$H$84:$H$99,MATCH('Net zero emission reductions'!$G1439,EF!$D$84:$D$99,0))*INDEX(EF!$H$100:$H$115,MATCH('Net zero emission reductions'!$G1439,EF!$D$100:$D$115,0))*INDEX(EF!$H$116:$H$131,MATCH('Net zero emission reductions'!$G1439,EF!$D$116:$D$131,0))*kgtoGg</f>
        <v>2.6436524000967001</v>
      </c>
      <c r="AE1439" s="22">
        <f>INDEX('Net zero Activity data'!AX$24:AX$39,MATCH('Net zero emission reductions'!$G1439,'Net zero Activity data'!$D$24:$D$39,0))*INDEX(EF!$H$84:$H$99,MATCH('Net zero emission reductions'!$G1439,EF!$D$84:$D$99,0))*INDEX(EF!$H$100:$H$115,MATCH('Net zero emission reductions'!$G1439,EF!$D$100:$D$115,0))*INDEX(EF!$H$116:$H$131,MATCH('Net zero emission reductions'!$G1439,EF!$D$116:$D$131,0))*kgtoGg</f>
        <v>2.6352277981703516</v>
      </c>
      <c r="AF1439" s="22">
        <f>INDEX('Net zero Activity data'!AY$24:AY$39,MATCH('Net zero emission reductions'!$G1439,'Net zero Activity data'!$D$24:$D$39,0))*INDEX(EF!$H$84:$H$99,MATCH('Net zero emission reductions'!$G1439,EF!$D$84:$D$99,0))*INDEX(EF!$H$100:$H$115,MATCH('Net zero emission reductions'!$G1439,EF!$D$100:$D$115,0))*INDEX(EF!$H$116:$H$131,MATCH('Net zero emission reductions'!$G1439,EF!$D$116:$D$131,0))*kgtoGg</f>
        <v>2.6268031962440044</v>
      </c>
      <c r="AG1439" s="22">
        <f>INDEX('Net zero Activity data'!AZ$24:AZ$39,MATCH('Net zero emission reductions'!$G1439,'Net zero Activity data'!$D$24:$D$39,0))*INDEX(EF!$H$84:$H$99,MATCH('Net zero emission reductions'!$G1439,EF!$D$84:$D$99,0))*INDEX(EF!$H$100:$H$115,MATCH('Net zero emission reductions'!$G1439,EF!$D$100:$D$115,0))*INDEX(EF!$H$116:$H$131,MATCH('Net zero emission reductions'!$G1439,EF!$D$116:$D$131,0))*kgtoGg</f>
        <v>2.6183785943176563</v>
      </c>
      <c r="AH1439" s="22">
        <f>INDEX('Net zero Activity data'!BA$24:BA$39,MATCH('Net zero emission reductions'!$G1439,'Net zero Activity data'!$D$24:$D$39,0))*INDEX(EF!$H$84:$H$99,MATCH('Net zero emission reductions'!$G1439,EF!$D$84:$D$99,0))*INDEX(EF!$H$100:$H$115,MATCH('Net zero emission reductions'!$G1439,EF!$D$100:$D$115,0))*INDEX(EF!$H$116:$H$131,MATCH('Net zero emission reductions'!$G1439,EF!$D$116:$D$131,0))*kgtoGg</f>
        <v>2.6099539923913087</v>
      </c>
      <c r="AI1439" s="22">
        <f>INDEX('Net zero Activity data'!BB$24:BB$39,MATCH('Net zero emission reductions'!$G1439,'Net zero Activity data'!$D$24:$D$39,0))*INDEX(EF!$H$84:$H$99,MATCH('Net zero emission reductions'!$G1439,EF!$D$84:$D$99,0))*INDEX(EF!$H$100:$H$115,MATCH('Net zero emission reductions'!$G1439,EF!$D$100:$D$115,0))*INDEX(EF!$H$116:$H$131,MATCH('Net zero emission reductions'!$G1439,EF!$D$116:$D$131,0))*kgtoGg</f>
        <v>2.601529390464961</v>
      </c>
      <c r="AJ1439" s="22">
        <f>INDEX('Net zero Activity data'!BC$24:BC$39,MATCH('Net zero emission reductions'!$G1439,'Net zero Activity data'!$D$24:$D$39,0))*INDEX(EF!$H$84:$H$99,MATCH('Net zero emission reductions'!$G1439,EF!$D$84:$D$99,0))*INDEX(EF!$H$100:$H$115,MATCH('Net zero emission reductions'!$G1439,EF!$D$100:$D$115,0))*INDEX(EF!$H$116:$H$131,MATCH('Net zero emission reductions'!$G1439,EF!$D$116:$D$131,0))*kgtoGg</f>
        <v>2.5931047885386134</v>
      </c>
      <c r="AK1439" s="22">
        <f>INDEX('Net zero Activity data'!BD$24:BD$39,MATCH('Net zero emission reductions'!$G1439,'Net zero Activity data'!$D$24:$D$39,0))*INDEX(EF!$H$84:$H$99,MATCH('Net zero emission reductions'!$G1439,EF!$D$84:$D$99,0))*INDEX(EF!$H$100:$H$115,MATCH('Net zero emission reductions'!$G1439,EF!$D$100:$D$115,0))*INDEX(EF!$H$116:$H$131,MATCH('Net zero emission reductions'!$G1439,EF!$D$116:$D$131,0))*kgtoGg</f>
        <v>2.5846801866122653</v>
      </c>
      <c r="AL1439" s="22">
        <f>INDEX('Net zero Activity data'!BE$24:BE$39,MATCH('Net zero emission reductions'!$G1439,'Net zero Activity data'!$D$24:$D$39,0))*INDEX(EF!$H$84:$H$99,MATCH('Net zero emission reductions'!$G1439,EF!$D$84:$D$99,0))*INDEX(EF!$H$100:$H$115,MATCH('Net zero emission reductions'!$G1439,EF!$D$100:$D$115,0))*INDEX(EF!$H$116:$H$131,MATCH('Net zero emission reductions'!$G1439,EF!$D$116:$D$131,0))*kgtoGg</f>
        <v>2.5762555846859176</v>
      </c>
      <c r="AM1439" s="22">
        <f>INDEX('Net zero Activity data'!BF$24:BF$39,MATCH('Net zero emission reductions'!$G1439,'Net zero Activity data'!$D$24:$D$39,0))*INDEX(EF!$H$84:$H$99,MATCH('Net zero emission reductions'!$G1439,EF!$D$84:$D$99,0))*INDEX(EF!$H$100:$H$115,MATCH('Net zero emission reductions'!$G1439,EF!$D$100:$D$115,0))*INDEX(EF!$H$116:$H$131,MATCH('Net zero emission reductions'!$G1439,EF!$D$116:$D$131,0))*kgtoGg</f>
        <v>2.56783098275957</v>
      </c>
      <c r="AN1439" s="22">
        <f>INDEX('Net zero Activity data'!BG$24:BG$39,MATCH('Net zero emission reductions'!$G1439,'Net zero Activity data'!$D$24:$D$39,0))*INDEX(EF!$H$84:$H$99,MATCH('Net zero emission reductions'!$G1439,EF!$D$84:$D$99,0))*INDEX(EF!$H$100:$H$115,MATCH('Net zero emission reductions'!$G1439,EF!$D$100:$D$115,0))*INDEX(EF!$H$116:$H$131,MATCH('Net zero emission reductions'!$G1439,EF!$D$116:$D$131,0))*kgtoGg</f>
        <v>2.5594063808332219</v>
      </c>
      <c r="AO1439" s="22">
        <f>INDEX('Net zero Activity data'!BH$24:BH$39,MATCH('Net zero emission reductions'!$G1439,'Net zero Activity data'!$D$24:$D$39,0))*INDEX(EF!$H$84:$H$99,MATCH('Net zero emission reductions'!$G1439,EF!$D$84:$D$99,0))*INDEX(EF!$H$100:$H$115,MATCH('Net zero emission reductions'!$G1439,EF!$D$100:$D$115,0))*INDEX(EF!$H$116:$H$131,MATCH('Net zero emission reductions'!$G1439,EF!$D$116:$D$131,0))*kgtoGg</f>
        <v>2.5509817789068738</v>
      </c>
      <c r="AP1439" s="22">
        <f>INDEX('Net zero Activity data'!BI$24:BI$39,MATCH('Net zero emission reductions'!$G1439,'Net zero Activity data'!$D$24:$D$39,0))*INDEX(EF!$H$84:$H$99,MATCH('Net zero emission reductions'!$G1439,EF!$D$84:$D$99,0))*INDEX(EF!$H$100:$H$115,MATCH('Net zero emission reductions'!$G1439,EF!$D$100:$D$115,0))*INDEX(EF!$H$116:$H$131,MATCH('Net zero emission reductions'!$G1439,EF!$D$116:$D$131,0))*kgtoGg</f>
        <v>2.5425571769805266</v>
      </c>
      <c r="AQ1439" s="22">
        <f>INDEX('Net zero Activity data'!BJ$24:BJ$39,MATCH('Net zero emission reductions'!$G1439,'Net zero Activity data'!$D$24:$D$39,0))*INDEX(EF!$H$84:$H$99,MATCH('Net zero emission reductions'!$G1439,EF!$D$84:$D$99,0))*INDEX(EF!$H$100:$H$115,MATCH('Net zero emission reductions'!$G1439,EF!$D$100:$D$115,0))*INDEX(EF!$H$116:$H$131,MATCH('Net zero emission reductions'!$G1439,EF!$D$116:$D$131,0))*kgtoGg</f>
        <v>2.5341325750541785</v>
      </c>
      <c r="AR1439" s="22">
        <f>INDEX('Net zero Activity data'!BK$24:BK$39,MATCH('Net zero emission reductions'!$G1439,'Net zero Activity data'!$D$24:$D$39,0))*INDEX(EF!$H$84:$H$99,MATCH('Net zero emission reductions'!$G1439,EF!$D$84:$D$99,0))*INDEX(EF!$H$100:$H$115,MATCH('Net zero emission reductions'!$G1439,EF!$D$100:$D$115,0))*INDEX(EF!$H$116:$H$131,MATCH('Net zero emission reductions'!$G1439,EF!$D$116:$D$131,0))*kgtoGg</f>
        <v>2.52570797312783</v>
      </c>
      <c r="AS1439" s="22">
        <f>INDEX('Net zero Activity data'!BL$24:BL$39,MATCH('Net zero emission reductions'!$G1439,'Net zero Activity data'!$D$24:$D$39,0))*INDEX(EF!$H$84:$H$99,MATCH('Net zero emission reductions'!$G1439,EF!$D$84:$D$99,0))*INDEX(EF!$H$100:$H$115,MATCH('Net zero emission reductions'!$G1439,EF!$D$100:$D$115,0))*INDEX(EF!$H$116:$H$131,MATCH('Net zero emission reductions'!$G1439,EF!$D$116:$D$131,0))*kgtoGg</f>
        <v>2.5172833712014828</v>
      </c>
      <c r="AT1439" s="22">
        <f>INDEX('Net zero Activity data'!BM$24:BM$39,MATCH('Net zero emission reductions'!$G1439,'Net zero Activity data'!$D$24:$D$39,0))*INDEX(EF!$H$84:$H$99,MATCH('Net zero emission reductions'!$G1439,EF!$D$84:$D$99,0))*INDEX(EF!$H$100:$H$115,MATCH('Net zero emission reductions'!$G1439,EF!$D$100:$D$115,0))*INDEX(EF!$H$116:$H$131,MATCH('Net zero emission reductions'!$G1439,EF!$D$116:$D$131,0))*kgtoGg</f>
        <v>2.5088587692751347</v>
      </c>
      <c r="AU1439" s="22">
        <f>INDEX('Net zero Activity data'!BN$24:BN$39,MATCH('Net zero emission reductions'!$G1439,'Net zero Activity data'!$D$24:$D$39,0))*INDEX(EF!$H$84:$H$99,MATCH('Net zero emission reductions'!$G1439,EF!$D$84:$D$99,0))*INDEX(EF!$H$100:$H$115,MATCH('Net zero emission reductions'!$G1439,EF!$D$100:$D$115,0))*INDEX(EF!$H$116:$H$131,MATCH('Net zero emission reductions'!$G1439,EF!$D$116:$D$131,0))*kgtoGg</f>
        <v>2.5004341673487875</v>
      </c>
      <c r="AV1439" s="22">
        <f>INDEX('Net zero Activity data'!BO$24:BO$39,MATCH('Net zero emission reductions'!$G1439,'Net zero Activity data'!$D$24:$D$39,0))*INDEX(EF!$H$84:$H$99,MATCH('Net zero emission reductions'!$G1439,EF!$D$84:$D$99,0))*INDEX(EF!$H$100:$H$115,MATCH('Net zero emission reductions'!$G1439,EF!$D$100:$D$115,0))*INDEX(EF!$H$116:$H$131,MATCH('Net zero emission reductions'!$G1439,EF!$D$116:$D$131,0))*kgtoGg</f>
        <v>2.4920095654224399</v>
      </c>
      <c r="AW1439" s="22">
        <f>INDEX('Net zero Activity data'!BP$24:BP$39,MATCH('Net zero emission reductions'!$G1439,'Net zero Activity data'!$D$24:$D$39,0))*INDEX(EF!$H$84:$H$99,MATCH('Net zero emission reductions'!$G1439,EF!$D$84:$D$99,0))*INDEX(EF!$H$100:$H$115,MATCH('Net zero emission reductions'!$G1439,EF!$D$100:$D$115,0))*INDEX(EF!$H$116:$H$131,MATCH('Net zero emission reductions'!$G1439,EF!$D$116:$D$131,0))*kgtoGg</f>
        <v>2.4835849634960923</v>
      </c>
    </row>
    <row r="1440" spans="1:49" x14ac:dyDescent="0.3">
      <c r="A1440" s="95" t="s">
        <v>960</v>
      </c>
      <c r="B1440" s="95"/>
      <c r="C1440" s="95"/>
      <c r="D1440" t="str">
        <f t="shared" si="555"/>
        <v>3C Aggregated and non-CO2 emissions on land</v>
      </c>
      <c r="E1440" t="str">
        <f t="shared" si="555"/>
        <v>3C1 Biomass burning (CH4)</v>
      </c>
      <c r="F1440" t="str">
        <f>F1439</f>
        <v>3C1c Biomass burning in Grasslands</v>
      </c>
      <c r="G1440" t="str">
        <f>EF!D95</f>
        <v>Degraded land</v>
      </c>
      <c r="H1440" t="s">
        <v>641</v>
      </c>
      <c r="I1440" t="str">
        <f t="shared" si="558"/>
        <v>CH4</v>
      </c>
      <c r="J1440" t="str">
        <f t="shared" si="558"/>
        <v>Gg CH4</v>
      </c>
      <c r="K1440" s="22">
        <f>INDEX('Net zero Activity data'!AD$24:AD$39,MATCH('Net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L1440" s="22">
        <f>INDEX('Net zero Activity data'!AE$24:AE$39,MATCH('Net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M1440" s="22">
        <f>INDEX('Net zero Activity data'!AF$24:AF$39,MATCH('Net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N1440" s="22">
        <f>INDEX('Net zero Activity data'!AG$24:AG$39,MATCH('Net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O1440" s="22">
        <f>INDEX('Net zero Activity data'!AH$24:AH$39,MATCH('Net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P1440" s="22">
        <f>INDEX('Net zero Activity data'!AI$24:AI$39,MATCH('Net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Q1440" s="22">
        <f>INDEX('Net zero Activity data'!AJ$24:AJ$39,MATCH('Net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R1440" s="22">
        <f>INDEX('Net zero Activity data'!AK$24:AK$39,MATCH('Net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S1440" s="22">
        <f>INDEX('Net zero Activity data'!AL$24:AL$39,MATCH('Net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T1440" s="22">
        <f>INDEX('Net zero Activity data'!AM$24:AM$39,MATCH('Net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U1440" s="22">
        <f>INDEX('Net zero Activity data'!AN$24:AN$39,MATCH('Net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V1440" s="22">
        <f>INDEX('Net zero Activity data'!AO$24:AO$39,MATCH('Net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W1440" s="22">
        <f>INDEX('Net zero Activity data'!AP$24:AP$39,MATCH('Net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X1440" s="22">
        <f>INDEX('Net zero Activity data'!AQ$24:AQ$39,MATCH('Net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Y1440" s="22">
        <f>INDEX('Net zero Activity data'!AR$24:AR$39,MATCH('Net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Z1440" s="22">
        <f>INDEX('Net zero Activity data'!AS$24:AS$39,MATCH('Net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A1440" s="22">
        <f>INDEX('Net zero Activity data'!AT$24:AT$39,MATCH('Net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B1440" s="22">
        <f>INDEX('Net zero Activity data'!AU$24:AU$39,MATCH('Net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C1440" s="22">
        <f>INDEX('Net zero Activity data'!AV$24:AV$39,MATCH('Net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D1440" s="22">
        <f>INDEX('Net zero Activity data'!AW$24:AW$39,MATCH('Net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E1440" s="22">
        <f>INDEX('Net zero Activity data'!AX$24:AX$39,MATCH('Net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F1440" s="22">
        <f>INDEX('Net zero Activity data'!AY$24:AY$39,MATCH('Net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G1440" s="22">
        <f>INDEX('Net zero Activity data'!AZ$24:AZ$39,MATCH('Net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H1440" s="22">
        <f>INDEX('Net zero Activity data'!BA$24:BA$39,MATCH('Net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I1440" s="22">
        <f>INDEX('Net zero Activity data'!BB$24:BB$39,MATCH('Net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J1440" s="22">
        <f>INDEX('Net zero Activity data'!BC$24:BC$39,MATCH('Net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K1440" s="22">
        <f>INDEX('Net zero Activity data'!BD$24:BD$39,MATCH('Net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L1440" s="22">
        <f>INDEX('Net zero Activity data'!BE$24:BE$39,MATCH('Net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M1440" s="22">
        <f>INDEX('Net zero Activity data'!BF$24:BF$39,MATCH('Net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N1440" s="22">
        <f>INDEX('Net zero Activity data'!BG$24:BG$39,MATCH('Net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O1440" s="22">
        <f>INDEX('Net zero Activity data'!BH$24:BH$39,MATCH('Net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P1440" s="22">
        <f>INDEX('Net zero Activity data'!BI$24:BI$39,MATCH('Net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Q1440" s="22">
        <f>INDEX('Net zero Activity data'!BJ$24:BJ$39,MATCH('Net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R1440" s="22">
        <f>INDEX('Net zero Activity data'!BK$24:BK$39,MATCH('Net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S1440" s="22">
        <f>INDEX('Net zero Activity data'!BL$24:BL$39,MATCH('Net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T1440" s="22">
        <f>INDEX('Net zero Activity data'!BM$24:BM$39,MATCH('Net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U1440" s="22">
        <f>INDEX('Net zero Activity data'!BN$24:BN$39,MATCH('Net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V1440" s="22">
        <f>INDEX('Net zero Activity data'!BO$24:BO$39,MATCH('Net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W1440" s="22">
        <f>INDEX('Net zero Activity data'!BP$24:BP$39,MATCH('Net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row>
    <row r="1441" spans="1:49" x14ac:dyDescent="0.3">
      <c r="A1441" s="95" t="s">
        <v>960</v>
      </c>
      <c r="B1441" s="95"/>
      <c r="C1441" s="95"/>
      <c r="D1441" t="str">
        <f t="shared" si="555"/>
        <v>3C Aggregated and non-CO2 emissions on land</v>
      </c>
      <c r="E1441" t="str">
        <f t="shared" si="555"/>
        <v>3C1 Biomass burning (CH4)</v>
      </c>
      <c r="F1441" t="str">
        <f>'IPCC Categories'!C62</f>
        <v>3C1d Biomass burning in Wetlands</v>
      </c>
      <c r="G1441" t="str">
        <f>EF!D96</f>
        <v>Wetlands</v>
      </c>
      <c r="H1441" t="s">
        <v>652</v>
      </c>
      <c r="I1441" t="str">
        <f t="shared" si="558"/>
        <v>CH4</v>
      </c>
      <c r="J1441" t="str">
        <f t="shared" si="558"/>
        <v>Gg CH4</v>
      </c>
      <c r="K1441" s="22">
        <f>INDEX('Net zero Activity data'!AD$24:AD$39,MATCH('Net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L1441" s="22">
        <f>INDEX('Net zero Activity data'!AE$24:AE$39,MATCH('Net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M1441" s="22">
        <f>INDEX('Net zero Activity data'!AF$24:AF$39,MATCH('Net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N1441" s="22">
        <f>INDEX('Net zero Activity data'!AG$24:AG$39,MATCH('Net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O1441" s="22">
        <f>INDEX('Net zero Activity data'!AH$24:AH$39,MATCH('Net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P1441" s="22">
        <f>INDEX('Net zero Activity data'!AI$24:AI$39,MATCH('Net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Q1441" s="22">
        <f>INDEX('Net zero Activity data'!AJ$24:AJ$39,MATCH('Net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R1441" s="22">
        <f>INDEX('Net zero Activity data'!AK$24:AK$39,MATCH('Net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S1441" s="22">
        <f>INDEX('Net zero Activity data'!AL$24:AL$39,MATCH('Net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T1441" s="22">
        <f>INDEX('Net zero Activity data'!AM$24:AM$39,MATCH('Net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U1441" s="22">
        <f>INDEX('Net zero Activity data'!AN$24:AN$39,MATCH('Net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V1441" s="22">
        <f>INDEX('Net zero Activity data'!AO$24:AO$39,MATCH('Net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W1441" s="22">
        <f>INDEX('Net zero Activity data'!AP$24:AP$39,MATCH('Net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X1441" s="22">
        <f>INDEX('Net zero Activity data'!AQ$24:AQ$39,MATCH('Net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Y1441" s="22">
        <f>INDEX('Net zero Activity data'!AR$24:AR$39,MATCH('Net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Z1441" s="22">
        <f>INDEX('Net zero Activity data'!AS$24:AS$39,MATCH('Net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A1441" s="22">
        <f>INDEX('Net zero Activity data'!AT$24:AT$39,MATCH('Net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B1441" s="22">
        <f>INDEX('Net zero Activity data'!AU$24:AU$39,MATCH('Net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C1441" s="22">
        <f>INDEX('Net zero Activity data'!AV$24:AV$39,MATCH('Net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D1441" s="22">
        <f>INDEX('Net zero Activity data'!AW$24:AW$39,MATCH('Net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E1441" s="22">
        <f>INDEX('Net zero Activity data'!AX$24:AX$39,MATCH('Net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F1441" s="22">
        <f>INDEX('Net zero Activity data'!AY$24:AY$39,MATCH('Net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G1441" s="22">
        <f>INDEX('Net zero Activity data'!AZ$24:AZ$39,MATCH('Net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H1441" s="22">
        <f>INDEX('Net zero Activity data'!BA$24:BA$39,MATCH('Net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I1441" s="22">
        <f>INDEX('Net zero Activity data'!BB$24:BB$39,MATCH('Net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J1441" s="22">
        <f>INDEX('Net zero Activity data'!BC$24:BC$39,MATCH('Net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K1441" s="22">
        <f>INDEX('Net zero Activity data'!BD$24:BD$39,MATCH('Net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L1441" s="22">
        <f>INDEX('Net zero Activity data'!BE$24:BE$39,MATCH('Net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M1441" s="22">
        <f>INDEX('Net zero Activity data'!BF$24:BF$39,MATCH('Net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N1441" s="22">
        <f>INDEX('Net zero Activity data'!BG$24:BG$39,MATCH('Net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O1441" s="22">
        <f>INDEX('Net zero Activity data'!BH$24:BH$39,MATCH('Net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P1441" s="22">
        <f>INDEX('Net zero Activity data'!BI$24:BI$39,MATCH('Net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Q1441" s="22">
        <f>INDEX('Net zero Activity data'!BJ$24:BJ$39,MATCH('Net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R1441" s="22">
        <f>INDEX('Net zero Activity data'!BK$24:BK$39,MATCH('Net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S1441" s="22">
        <f>INDEX('Net zero Activity data'!BL$24:BL$39,MATCH('Net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T1441" s="22">
        <f>INDEX('Net zero Activity data'!BM$24:BM$39,MATCH('Net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U1441" s="22">
        <f>INDEX('Net zero Activity data'!BN$24:BN$39,MATCH('Net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V1441" s="22">
        <f>INDEX('Net zero Activity data'!BO$24:BO$39,MATCH('Net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W1441" s="22">
        <f>INDEX('Net zero Activity data'!BP$24:BP$39,MATCH('Net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row>
    <row r="1442" spans="1:49" x14ac:dyDescent="0.3">
      <c r="A1442" s="95" t="s">
        <v>960</v>
      </c>
      <c r="B1442" s="95"/>
      <c r="C1442" s="95"/>
      <c r="D1442" t="str">
        <f t="shared" si="555"/>
        <v>3C Aggregated and non-CO2 emissions on land</v>
      </c>
      <c r="E1442" t="str">
        <f t="shared" si="555"/>
        <v>3C1 Biomass burning (CH4)</v>
      </c>
      <c r="F1442" t="str">
        <f>'IPCC Categories'!C63</f>
        <v>3C1e Biomass burning in Settlements</v>
      </c>
      <c r="G1442" t="str">
        <f>EF!D97</f>
        <v>Settlements</v>
      </c>
      <c r="H1442" t="s">
        <v>653</v>
      </c>
      <c r="I1442" t="str">
        <f t="shared" si="558"/>
        <v>CH4</v>
      </c>
      <c r="J1442" t="str">
        <f t="shared" si="558"/>
        <v>Gg CH4</v>
      </c>
      <c r="K1442" s="22">
        <f>INDEX('Net zero Activity data'!AD$24:AD$39,MATCH('Net zero emission reductions'!$G1442,'Net zero Activity data'!$D$24:$D$39,0))*INDEX(EF!$H$84:$H$99,MATCH('Net zero emission reductions'!$G1442,EF!$D$84:$D$99,0))*INDEX(EF!$H$100:$H$115,MATCH('Net zero emission reductions'!$G1442,EF!$D$100:$D$115,0))*INDEX(EF!$H$116:$H$131,MATCH('Net zero emission reductions'!$G1442,EF!$D$116:$D$131,0))*kgtoGg</f>
        <v>0.42972240374246135</v>
      </c>
      <c r="L1442" s="22">
        <f>INDEX('Net zero Activity data'!AE$24:AE$39,MATCH('Net zero emission reductions'!$G1442,'Net zero Activity data'!$D$24:$D$39,0))*INDEX(EF!$H$84:$H$99,MATCH('Net zero emission reductions'!$G1442,EF!$D$84:$D$99,0))*INDEX(EF!$H$100:$H$115,MATCH('Net zero emission reductions'!$G1442,EF!$D$100:$D$115,0))*INDEX(EF!$H$116:$H$131,MATCH('Net zero emission reductions'!$G1442,EF!$D$116:$D$131,0))*kgtoGg</f>
        <v>0.43063058922924524</v>
      </c>
      <c r="M1442" s="22">
        <f>INDEX('Net zero Activity data'!AF$24:AF$39,MATCH('Net zero emission reductions'!$G1442,'Net zero Activity data'!$D$24:$D$39,0))*INDEX(EF!$H$84:$H$99,MATCH('Net zero emission reductions'!$G1442,EF!$D$84:$D$99,0))*INDEX(EF!$H$100:$H$115,MATCH('Net zero emission reductions'!$G1442,EF!$D$100:$D$115,0))*INDEX(EF!$H$116:$H$131,MATCH('Net zero emission reductions'!$G1442,EF!$D$116:$D$131,0))*kgtoGg</f>
        <v>0.43153877471602919</v>
      </c>
      <c r="N1442" s="22">
        <f>INDEX('Net zero Activity data'!AG$24:AG$39,MATCH('Net zero emission reductions'!$G1442,'Net zero Activity data'!$D$24:$D$39,0))*INDEX(EF!$H$84:$H$99,MATCH('Net zero emission reductions'!$G1442,EF!$D$84:$D$99,0))*INDEX(EF!$H$100:$H$115,MATCH('Net zero emission reductions'!$G1442,EF!$D$100:$D$115,0))*INDEX(EF!$H$116:$H$131,MATCH('Net zero emission reductions'!$G1442,EF!$D$116:$D$131,0))*kgtoGg</f>
        <v>0.43244696020281326</v>
      </c>
      <c r="O1442" s="22">
        <f>INDEX('Net zero Activity data'!AH$24:AH$39,MATCH('Net zero emission reductions'!$G1442,'Net zero Activity data'!$D$24:$D$39,0))*INDEX(EF!$H$84:$H$99,MATCH('Net zero emission reductions'!$G1442,EF!$D$84:$D$99,0))*INDEX(EF!$H$100:$H$115,MATCH('Net zero emission reductions'!$G1442,EF!$D$100:$D$115,0))*INDEX(EF!$H$116:$H$131,MATCH('Net zero emission reductions'!$G1442,EF!$D$116:$D$131,0))*kgtoGg</f>
        <v>0.43335514568959721</v>
      </c>
      <c r="P1442" s="22">
        <f>INDEX('Net zero Activity data'!AI$24:AI$39,MATCH('Net zero emission reductions'!$G1442,'Net zero Activity data'!$D$24:$D$39,0))*INDEX(EF!$H$84:$H$99,MATCH('Net zero emission reductions'!$G1442,EF!$D$84:$D$99,0))*INDEX(EF!$H$100:$H$115,MATCH('Net zero emission reductions'!$G1442,EF!$D$100:$D$115,0))*INDEX(EF!$H$116:$H$131,MATCH('Net zero emission reductions'!$G1442,EF!$D$116:$D$131,0))*kgtoGg</f>
        <v>0.43426333117638116</v>
      </c>
      <c r="Q1442" s="22">
        <f>INDEX('Net zero Activity data'!AJ$24:AJ$39,MATCH('Net zero emission reductions'!$G1442,'Net zero Activity data'!$D$24:$D$39,0))*INDEX(EF!$H$84:$H$99,MATCH('Net zero emission reductions'!$G1442,EF!$D$84:$D$99,0))*INDEX(EF!$H$100:$H$115,MATCH('Net zero emission reductions'!$G1442,EF!$D$100:$D$115,0))*INDEX(EF!$H$116:$H$131,MATCH('Net zero emission reductions'!$G1442,EF!$D$116:$D$131,0))*kgtoGg</f>
        <v>0.43517151666316517</v>
      </c>
      <c r="R1442" s="22">
        <f>INDEX('Net zero Activity data'!AK$24:AK$39,MATCH('Net zero emission reductions'!$G1442,'Net zero Activity data'!$D$24:$D$39,0))*INDEX(EF!$H$84:$H$99,MATCH('Net zero emission reductions'!$G1442,EF!$D$84:$D$99,0))*INDEX(EF!$H$100:$H$115,MATCH('Net zero emission reductions'!$G1442,EF!$D$100:$D$115,0))*INDEX(EF!$H$116:$H$131,MATCH('Net zero emission reductions'!$G1442,EF!$D$116:$D$131,0))*kgtoGg</f>
        <v>0.43607970214994918</v>
      </c>
      <c r="S1442" s="22">
        <f>INDEX('Net zero Activity data'!AL$24:AL$39,MATCH('Net zero emission reductions'!$G1442,'Net zero Activity data'!$D$24:$D$39,0))*INDEX(EF!$H$84:$H$99,MATCH('Net zero emission reductions'!$G1442,EF!$D$84:$D$99,0))*INDEX(EF!$H$100:$H$115,MATCH('Net zero emission reductions'!$G1442,EF!$D$100:$D$115,0))*INDEX(EF!$H$116:$H$131,MATCH('Net zero emission reductions'!$G1442,EF!$D$116:$D$131,0))*kgtoGg</f>
        <v>0.43698788763673319</v>
      </c>
      <c r="T1442" s="22">
        <f>INDEX('Net zero Activity data'!AM$24:AM$39,MATCH('Net zero emission reductions'!$G1442,'Net zero Activity data'!$D$24:$D$39,0))*INDEX(EF!$H$84:$H$99,MATCH('Net zero emission reductions'!$G1442,EF!$D$84:$D$99,0))*INDEX(EF!$H$100:$H$115,MATCH('Net zero emission reductions'!$G1442,EF!$D$100:$D$115,0))*INDEX(EF!$H$116:$H$131,MATCH('Net zero emission reductions'!$G1442,EF!$D$116:$D$131,0))*kgtoGg</f>
        <v>0.43789607312351719</v>
      </c>
      <c r="U1442" s="22">
        <f>INDEX('Net zero Activity data'!AN$24:AN$39,MATCH('Net zero emission reductions'!$G1442,'Net zero Activity data'!$D$24:$D$39,0))*INDEX(EF!$H$84:$H$99,MATCH('Net zero emission reductions'!$G1442,EF!$D$84:$D$99,0))*INDEX(EF!$H$100:$H$115,MATCH('Net zero emission reductions'!$G1442,EF!$D$100:$D$115,0))*INDEX(EF!$H$116:$H$131,MATCH('Net zero emission reductions'!$G1442,EF!$D$116:$D$131,0))*kgtoGg</f>
        <v>0.4388042586103012</v>
      </c>
      <c r="V1442" s="22">
        <f>INDEX('Net zero Activity data'!AO$24:AO$39,MATCH('Net zero emission reductions'!$G1442,'Net zero Activity data'!$D$24:$D$39,0))*INDEX(EF!$H$84:$H$99,MATCH('Net zero emission reductions'!$G1442,EF!$D$84:$D$99,0))*INDEX(EF!$H$100:$H$115,MATCH('Net zero emission reductions'!$G1442,EF!$D$100:$D$115,0))*INDEX(EF!$H$116:$H$131,MATCH('Net zero emission reductions'!$G1442,EF!$D$116:$D$131,0))*kgtoGg</f>
        <v>0.43971244409708521</v>
      </c>
      <c r="W1442" s="22">
        <f>INDEX('Net zero Activity data'!AP$24:AP$39,MATCH('Net zero emission reductions'!$G1442,'Net zero Activity data'!$D$24:$D$39,0))*INDEX(EF!$H$84:$H$99,MATCH('Net zero emission reductions'!$G1442,EF!$D$84:$D$99,0))*INDEX(EF!$H$100:$H$115,MATCH('Net zero emission reductions'!$G1442,EF!$D$100:$D$115,0))*INDEX(EF!$H$116:$H$131,MATCH('Net zero emission reductions'!$G1442,EF!$D$116:$D$131,0))*kgtoGg</f>
        <v>0.44062062958386911</v>
      </c>
      <c r="X1442" s="22">
        <f>INDEX('Net zero Activity data'!AQ$24:AQ$39,MATCH('Net zero emission reductions'!$G1442,'Net zero Activity data'!$D$24:$D$39,0))*INDEX(EF!$H$84:$H$99,MATCH('Net zero emission reductions'!$G1442,EF!$D$84:$D$99,0))*INDEX(EF!$H$100:$H$115,MATCH('Net zero emission reductions'!$G1442,EF!$D$100:$D$115,0))*INDEX(EF!$H$116:$H$131,MATCH('Net zero emission reductions'!$G1442,EF!$D$116:$D$131,0))*kgtoGg</f>
        <v>0.44152881507065311</v>
      </c>
      <c r="Y1442" s="22">
        <f>INDEX('Net zero Activity data'!AR$24:AR$39,MATCH('Net zero emission reductions'!$G1442,'Net zero Activity data'!$D$24:$D$39,0))*INDEX(EF!$H$84:$H$99,MATCH('Net zero emission reductions'!$G1442,EF!$D$84:$D$99,0))*INDEX(EF!$H$100:$H$115,MATCH('Net zero emission reductions'!$G1442,EF!$D$100:$D$115,0))*INDEX(EF!$H$116:$H$131,MATCH('Net zero emission reductions'!$G1442,EF!$D$116:$D$131,0))*kgtoGg</f>
        <v>0.44243700055743712</v>
      </c>
      <c r="Z1442" s="22">
        <f>INDEX('Net zero Activity data'!AS$24:AS$39,MATCH('Net zero emission reductions'!$G1442,'Net zero Activity data'!$D$24:$D$39,0))*INDEX(EF!$H$84:$H$99,MATCH('Net zero emission reductions'!$G1442,EF!$D$84:$D$99,0))*INDEX(EF!$H$100:$H$115,MATCH('Net zero emission reductions'!$G1442,EF!$D$100:$D$115,0))*INDEX(EF!$H$116:$H$131,MATCH('Net zero emission reductions'!$G1442,EF!$D$116:$D$131,0))*kgtoGg</f>
        <v>0.44334518604422107</v>
      </c>
      <c r="AA1442" s="22">
        <f>INDEX('Net zero Activity data'!AT$24:AT$39,MATCH('Net zero emission reductions'!$G1442,'Net zero Activity data'!$D$24:$D$39,0))*INDEX(EF!$H$84:$H$99,MATCH('Net zero emission reductions'!$G1442,EF!$D$84:$D$99,0))*INDEX(EF!$H$100:$H$115,MATCH('Net zero emission reductions'!$G1442,EF!$D$100:$D$115,0))*INDEX(EF!$H$116:$H$131,MATCH('Net zero emission reductions'!$G1442,EF!$D$116:$D$131,0))*kgtoGg</f>
        <v>0.44425337153100508</v>
      </c>
      <c r="AB1442" s="22">
        <f>INDEX('Net zero Activity data'!AU$24:AU$39,MATCH('Net zero emission reductions'!$G1442,'Net zero Activity data'!$D$24:$D$39,0))*INDEX(EF!$H$84:$H$99,MATCH('Net zero emission reductions'!$G1442,EF!$D$84:$D$99,0))*INDEX(EF!$H$100:$H$115,MATCH('Net zero emission reductions'!$G1442,EF!$D$100:$D$115,0))*INDEX(EF!$H$116:$H$131,MATCH('Net zero emission reductions'!$G1442,EF!$D$116:$D$131,0))*kgtoGg</f>
        <v>0.44516155701778909</v>
      </c>
      <c r="AC1442" s="22">
        <f>INDEX('Net zero Activity data'!AV$24:AV$39,MATCH('Net zero emission reductions'!$G1442,'Net zero Activity data'!$D$24:$D$39,0))*INDEX(EF!$H$84:$H$99,MATCH('Net zero emission reductions'!$G1442,EF!$D$84:$D$99,0))*INDEX(EF!$H$100:$H$115,MATCH('Net zero emission reductions'!$G1442,EF!$D$100:$D$115,0))*INDEX(EF!$H$116:$H$131,MATCH('Net zero emission reductions'!$G1442,EF!$D$116:$D$131,0))*kgtoGg</f>
        <v>0.44606974250457304</v>
      </c>
      <c r="AD1442" s="22">
        <f>INDEX('Net zero Activity data'!AW$24:AW$39,MATCH('Net zero emission reductions'!$G1442,'Net zero Activity data'!$D$24:$D$39,0))*INDEX(EF!$H$84:$H$99,MATCH('Net zero emission reductions'!$G1442,EF!$D$84:$D$99,0))*INDEX(EF!$H$100:$H$115,MATCH('Net zero emission reductions'!$G1442,EF!$D$100:$D$115,0))*INDEX(EF!$H$116:$H$131,MATCH('Net zero emission reductions'!$G1442,EF!$D$116:$D$131,0))*kgtoGg</f>
        <v>0.44697792799135705</v>
      </c>
      <c r="AE1442" s="22">
        <f>INDEX('Net zero Activity data'!AX$24:AX$39,MATCH('Net zero emission reductions'!$G1442,'Net zero Activity data'!$D$24:$D$39,0))*INDEX(EF!$H$84:$H$99,MATCH('Net zero emission reductions'!$G1442,EF!$D$84:$D$99,0))*INDEX(EF!$H$100:$H$115,MATCH('Net zero emission reductions'!$G1442,EF!$D$100:$D$115,0))*INDEX(EF!$H$116:$H$131,MATCH('Net zero emission reductions'!$G1442,EF!$D$116:$D$131,0))*kgtoGg</f>
        <v>0.44788611347814106</v>
      </c>
      <c r="AF1442" s="22">
        <f>INDEX('Net zero Activity data'!AY$24:AY$39,MATCH('Net zero emission reductions'!$G1442,'Net zero Activity data'!$D$24:$D$39,0))*INDEX(EF!$H$84:$H$99,MATCH('Net zero emission reductions'!$G1442,EF!$D$84:$D$99,0))*INDEX(EF!$H$100:$H$115,MATCH('Net zero emission reductions'!$G1442,EF!$D$100:$D$115,0))*INDEX(EF!$H$116:$H$131,MATCH('Net zero emission reductions'!$G1442,EF!$D$116:$D$131,0))*kgtoGg</f>
        <v>0.44879429896492501</v>
      </c>
      <c r="AG1442" s="22">
        <f>INDEX('Net zero Activity data'!AZ$24:AZ$39,MATCH('Net zero emission reductions'!$G1442,'Net zero Activity data'!$D$24:$D$39,0))*INDEX(EF!$H$84:$H$99,MATCH('Net zero emission reductions'!$G1442,EF!$D$84:$D$99,0))*INDEX(EF!$H$100:$H$115,MATCH('Net zero emission reductions'!$G1442,EF!$D$100:$D$115,0))*INDEX(EF!$H$116:$H$131,MATCH('Net zero emission reductions'!$G1442,EF!$D$116:$D$131,0))*kgtoGg</f>
        <v>0.44970248445170896</v>
      </c>
      <c r="AH1442" s="22">
        <f>INDEX('Net zero Activity data'!BA$24:BA$39,MATCH('Net zero emission reductions'!$G1442,'Net zero Activity data'!$D$24:$D$39,0))*INDEX(EF!$H$84:$H$99,MATCH('Net zero emission reductions'!$G1442,EF!$D$84:$D$99,0))*INDEX(EF!$H$100:$H$115,MATCH('Net zero emission reductions'!$G1442,EF!$D$100:$D$115,0))*INDEX(EF!$H$116:$H$131,MATCH('Net zero emission reductions'!$G1442,EF!$D$116:$D$131,0))*kgtoGg</f>
        <v>0.45061066993849297</v>
      </c>
      <c r="AI1442" s="22">
        <f>INDEX('Net zero Activity data'!BB$24:BB$39,MATCH('Net zero emission reductions'!$G1442,'Net zero Activity data'!$D$24:$D$39,0))*INDEX(EF!$H$84:$H$99,MATCH('Net zero emission reductions'!$G1442,EF!$D$84:$D$99,0))*INDEX(EF!$H$100:$H$115,MATCH('Net zero emission reductions'!$G1442,EF!$D$100:$D$115,0))*INDEX(EF!$H$116:$H$131,MATCH('Net zero emission reductions'!$G1442,EF!$D$116:$D$131,0))*kgtoGg</f>
        <v>0.45151885542527692</v>
      </c>
      <c r="AJ1442" s="22">
        <f>INDEX('Net zero Activity data'!BC$24:BC$39,MATCH('Net zero emission reductions'!$G1442,'Net zero Activity data'!$D$24:$D$39,0))*INDEX(EF!$H$84:$H$99,MATCH('Net zero emission reductions'!$G1442,EF!$D$84:$D$99,0))*INDEX(EF!$H$100:$H$115,MATCH('Net zero emission reductions'!$G1442,EF!$D$100:$D$115,0))*INDEX(EF!$H$116:$H$131,MATCH('Net zero emission reductions'!$G1442,EF!$D$116:$D$131,0))*kgtoGg</f>
        <v>0.45242704091206093</v>
      </c>
      <c r="AK1442" s="22">
        <f>INDEX('Net zero Activity data'!BD$24:BD$39,MATCH('Net zero emission reductions'!$G1442,'Net zero Activity data'!$D$24:$D$39,0))*INDEX(EF!$H$84:$H$99,MATCH('Net zero emission reductions'!$G1442,EF!$D$84:$D$99,0))*INDEX(EF!$H$100:$H$115,MATCH('Net zero emission reductions'!$G1442,EF!$D$100:$D$115,0))*INDEX(EF!$H$116:$H$131,MATCH('Net zero emission reductions'!$G1442,EF!$D$116:$D$131,0))*kgtoGg</f>
        <v>0.45333522639884494</v>
      </c>
      <c r="AL1442" s="22">
        <f>INDEX('Net zero Activity data'!BE$24:BE$39,MATCH('Net zero emission reductions'!$G1442,'Net zero Activity data'!$D$24:$D$39,0))*INDEX(EF!$H$84:$H$99,MATCH('Net zero emission reductions'!$G1442,EF!$D$84:$D$99,0))*INDEX(EF!$H$100:$H$115,MATCH('Net zero emission reductions'!$G1442,EF!$D$100:$D$115,0))*INDEX(EF!$H$116:$H$131,MATCH('Net zero emission reductions'!$G1442,EF!$D$116:$D$131,0))*kgtoGg</f>
        <v>0.454243411885629</v>
      </c>
      <c r="AM1442" s="22">
        <f>INDEX('Net zero Activity data'!BF$24:BF$39,MATCH('Net zero emission reductions'!$G1442,'Net zero Activity data'!$D$24:$D$39,0))*INDEX(EF!$H$84:$H$99,MATCH('Net zero emission reductions'!$G1442,EF!$D$84:$D$99,0))*INDEX(EF!$H$100:$H$115,MATCH('Net zero emission reductions'!$G1442,EF!$D$100:$D$115,0))*INDEX(EF!$H$116:$H$131,MATCH('Net zero emission reductions'!$G1442,EF!$D$116:$D$131,0))*kgtoGg</f>
        <v>0.45515159737241295</v>
      </c>
      <c r="AN1442" s="22">
        <f>INDEX('Net zero Activity data'!BG$24:BG$39,MATCH('Net zero emission reductions'!$G1442,'Net zero Activity data'!$D$24:$D$39,0))*INDEX(EF!$H$84:$H$99,MATCH('Net zero emission reductions'!$G1442,EF!$D$84:$D$99,0))*INDEX(EF!$H$100:$H$115,MATCH('Net zero emission reductions'!$G1442,EF!$D$100:$D$115,0))*INDEX(EF!$H$116:$H$131,MATCH('Net zero emission reductions'!$G1442,EF!$D$116:$D$131,0))*kgtoGg</f>
        <v>0.4560597828591969</v>
      </c>
      <c r="AO1442" s="22">
        <f>INDEX('Net zero Activity data'!BH$24:BH$39,MATCH('Net zero emission reductions'!$G1442,'Net zero Activity data'!$D$24:$D$39,0))*INDEX(EF!$H$84:$H$99,MATCH('Net zero emission reductions'!$G1442,EF!$D$84:$D$99,0))*INDEX(EF!$H$100:$H$115,MATCH('Net zero emission reductions'!$G1442,EF!$D$100:$D$115,0))*INDEX(EF!$H$116:$H$131,MATCH('Net zero emission reductions'!$G1442,EF!$D$116:$D$131,0))*kgtoGg</f>
        <v>0.45696796834598097</v>
      </c>
      <c r="AP1442" s="22">
        <f>INDEX('Net zero Activity data'!BI$24:BI$39,MATCH('Net zero emission reductions'!$G1442,'Net zero Activity data'!$D$24:$D$39,0))*INDEX(EF!$H$84:$H$99,MATCH('Net zero emission reductions'!$G1442,EF!$D$84:$D$99,0))*INDEX(EF!$H$100:$H$115,MATCH('Net zero emission reductions'!$G1442,EF!$D$100:$D$115,0))*INDEX(EF!$H$116:$H$131,MATCH('Net zero emission reductions'!$G1442,EF!$D$116:$D$131,0))*kgtoGg</f>
        <v>0.45787615383276492</v>
      </c>
      <c r="AQ1442" s="22">
        <f>INDEX('Net zero Activity data'!BJ$24:BJ$39,MATCH('Net zero emission reductions'!$G1442,'Net zero Activity data'!$D$24:$D$39,0))*INDEX(EF!$H$84:$H$99,MATCH('Net zero emission reductions'!$G1442,EF!$D$84:$D$99,0))*INDEX(EF!$H$100:$H$115,MATCH('Net zero emission reductions'!$G1442,EF!$D$100:$D$115,0))*INDEX(EF!$H$116:$H$131,MATCH('Net zero emission reductions'!$G1442,EF!$D$116:$D$131,0))*kgtoGg</f>
        <v>0.45878433931954882</v>
      </c>
      <c r="AR1442" s="22">
        <f>INDEX('Net zero Activity data'!BK$24:BK$39,MATCH('Net zero emission reductions'!$G1442,'Net zero Activity data'!$D$24:$D$39,0))*INDEX(EF!$H$84:$H$99,MATCH('Net zero emission reductions'!$G1442,EF!$D$84:$D$99,0))*INDEX(EF!$H$100:$H$115,MATCH('Net zero emission reductions'!$G1442,EF!$D$100:$D$115,0))*INDEX(EF!$H$116:$H$131,MATCH('Net zero emission reductions'!$G1442,EF!$D$116:$D$131,0))*kgtoGg</f>
        <v>0.45969252480633288</v>
      </c>
      <c r="AS1442" s="22">
        <f>INDEX('Net zero Activity data'!BL$24:BL$39,MATCH('Net zero emission reductions'!$G1442,'Net zero Activity data'!$D$24:$D$39,0))*INDEX(EF!$H$84:$H$99,MATCH('Net zero emission reductions'!$G1442,EF!$D$84:$D$99,0))*INDEX(EF!$H$100:$H$115,MATCH('Net zero emission reductions'!$G1442,EF!$D$100:$D$115,0))*INDEX(EF!$H$116:$H$131,MATCH('Net zero emission reductions'!$G1442,EF!$D$116:$D$131,0))*kgtoGg</f>
        <v>0.46060071029311683</v>
      </c>
      <c r="AT1442" s="22">
        <f>INDEX('Net zero Activity data'!BM$24:BM$39,MATCH('Net zero emission reductions'!$G1442,'Net zero Activity data'!$D$24:$D$39,0))*INDEX(EF!$H$84:$H$99,MATCH('Net zero emission reductions'!$G1442,EF!$D$84:$D$99,0))*INDEX(EF!$H$100:$H$115,MATCH('Net zero emission reductions'!$G1442,EF!$D$100:$D$115,0))*INDEX(EF!$H$116:$H$131,MATCH('Net zero emission reductions'!$G1442,EF!$D$116:$D$131,0))*kgtoGg</f>
        <v>0.46150889577990084</v>
      </c>
      <c r="AU1442" s="22">
        <f>INDEX('Net zero Activity data'!BN$24:BN$39,MATCH('Net zero emission reductions'!$G1442,'Net zero Activity data'!$D$24:$D$39,0))*INDEX(EF!$H$84:$H$99,MATCH('Net zero emission reductions'!$G1442,EF!$D$84:$D$99,0))*INDEX(EF!$H$100:$H$115,MATCH('Net zero emission reductions'!$G1442,EF!$D$100:$D$115,0))*INDEX(EF!$H$116:$H$131,MATCH('Net zero emission reductions'!$G1442,EF!$D$116:$D$131,0))*kgtoGg</f>
        <v>0.46241708126668479</v>
      </c>
      <c r="AV1442" s="22">
        <f>INDEX('Net zero Activity data'!BO$24:BO$39,MATCH('Net zero emission reductions'!$G1442,'Net zero Activity data'!$D$24:$D$39,0))*INDEX(EF!$H$84:$H$99,MATCH('Net zero emission reductions'!$G1442,EF!$D$84:$D$99,0))*INDEX(EF!$H$100:$H$115,MATCH('Net zero emission reductions'!$G1442,EF!$D$100:$D$115,0))*INDEX(EF!$H$116:$H$131,MATCH('Net zero emission reductions'!$G1442,EF!$D$116:$D$131,0))*kgtoGg</f>
        <v>0.4633252667534688</v>
      </c>
      <c r="AW1442" s="22">
        <f>INDEX('Net zero Activity data'!BP$24:BP$39,MATCH('Net zero emission reductions'!$G1442,'Net zero Activity data'!$D$24:$D$39,0))*INDEX(EF!$H$84:$H$99,MATCH('Net zero emission reductions'!$G1442,EF!$D$84:$D$99,0))*INDEX(EF!$H$100:$H$115,MATCH('Net zero emission reductions'!$G1442,EF!$D$100:$D$115,0))*INDEX(EF!$H$116:$H$131,MATCH('Net zero emission reductions'!$G1442,EF!$D$116:$D$131,0))*kgtoGg</f>
        <v>0.46423345224025281</v>
      </c>
    </row>
    <row r="1443" spans="1:49" x14ac:dyDescent="0.3">
      <c r="A1443" s="95" t="s">
        <v>960</v>
      </c>
      <c r="B1443" s="95"/>
      <c r="C1443" s="95"/>
      <c r="D1443" t="str">
        <f t="shared" si="555"/>
        <v>3C Aggregated and non-CO2 emissions on land</v>
      </c>
      <c r="E1443" t="str">
        <f t="shared" si="555"/>
        <v>3C1 Biomass burning (CH4)</v>
      </c>
      <c r="F1443" t="str">
        <f>F1442</f>
        <v>3C1e Biomass burning in Settlements</v>
      </c>
      <c r="G1443" t="str">
        <f>EF!D98</f>
        <v>Mines</v>
      </c>
      <c r="H1443" t="s">
        <v>654</v>
      </c>
      <c r="I1443" t="str">
        <f t="shared" si="558"/>
        <v>CH4</v>
      </c>
      <c r="J1443" t="str">
        <f t="shared" si="558"/>
        <v>Gg CH4</v>
      </c>
      <c r="K1443" s="22">
        <f>INDEX('Net zero Activity data'!AD$24:AD$39,MATCH('Net zero emission reductions'!$G1443,'Net zero Activity data'!$D$24:$D$39,0))*INDEX(EF!$H$84:$H$99,MATCH('Net zero emission reductions'!$G1443,EF!$D$84:$D$99,0))*INDEX(EF!$H$100:$H$115,MATCH('Net zero emission reductions'!$G1443,EF!$D$100:$D$115,0))*INDEX(EF!$H$116:$H$131,MATCH('Net zero emission reductions'!$G1443,EF!$D$116:$D$131,0))*kgtoGg</f>
        <v>0</v>
      </c>
      <c r="L1443" s="22">
        <f>INDEX('Net zero Activity data'!AE$24:AE$39,MATCH('Net zero emission reductions'!$G1443,'Net zero Activity data'!$D$24:$D$39,0))*INDEX(EF!$H$84:$H$99,MATCH('Net zero emission reductions'!$G1443,EF!$D$84:$D$99,0))*INDEX(EF!$H$100:$H$115,MATCH('Net zero emission reductions'!$G1443,EF!$D$100:$D$115,0))*INDEX(EF!$H$116:$H$131,MATCH('Net zero emission reductions'!$G1443,EF!$D$116:$D$131,0))*kgtoGg</f>
        <v>0</v>
      </c>
      <c r="M1443" s="22">
        <f>INDEX('Net zero Activity data'!AF$24:AF$39,MATCH('Net zero emission reductions'!$G1443,'Net zero Activity data'!$D$24:$D$39,0))*INDEX(EF!$H$84:$H$99,MATCH('Net zero emission reductions'!$G1443,EF!$D$84:$D$99,0))*INDEX(EF!$H$100:$H$115,MATCH('Net zero emission reductions'!$G1443,EF!$D$100:$D$115,0))*INDEX(EF!$H$116:$H$131,MATCH('Net zero emission reductions'!$G1443,EF!$D$116:$D$131,0))*kgtoGg</f>
        <v>0</v>
      </c>
      <c r="N1443" s="22">
        <f>INDEX('Net zero Activity data'!AG$24:AG$39,MATCH('Net zero emission reductions'!$G1443,'Net zero Activity data'!$D$24:$D$39,0))*INDEX(EF!$H$84:$H$99,MATCH('Net zero emission reductions'!$G1443,EF!$D$84:$D$99,0))*INDEX(EF!$H$100:$H$115,MATCH('Net zero emission reductions'!$G1443,EF!$D$100:$D$115,0))*INDEX(EF!$H$116:$H$131,MATCH('Net zero emission reductions'!$G1443,EF!$D$116:$D$131,0))*kgtoGg</f>
        <v>0</v>
      </c>
      <c r="O1443" s="22">
        <f>INDEX('Net zero Activity data'!AH$24:AH$39,MATCH('Net zero emission reductions'!$G1443,'Net zero Activity data'!$D$24:$D$39,0))*INDEX(EF!$H$84:$H$99,MATCH('Net zero emission reductions'!$G1443,EF!$D$84:$D$99,0))*INDEX(EF!$H$100:$H$115,MATCH('Net zero emission reductions'!$G1443,EF!$D$100:$D$115,0))*INDEX(EF!$H$116:$H$131,MATCH('Net zero emission reductions'!$G1443,EF!$D$116:$D$131,0))*kgtoGg</f>
        <v>0</v>
      </c>
      <c r="P1443" s="22">
        <f>INDEX('Net zero Activity data'!AI$24:AI$39,MATCH('Net zero emission reductions'!$G1443,'Net zero Activity data'!$D$24:$D$39,0))*INDEX(EF!$H$84:$H$99,MATCH('Net zero emission reductions'!$G1443,EF!$D$84:$D$99,0))*INDEX(EF!$H$100:$H$115,MATCH('Net zero emission reductions'!$G1443,EF!$D$100:$D$115,0))*INDEX(EF!$H$116:$H$131,MATCH('Net zero emission reductions'!$G1443,EF!$D$116:$D$131,0))*kgtoGg</f>
        <v>0</v>
      </c>
      <c r="Q1443" s="22">
        <f>INDEX('Net zero Activity data'!AJ$24:AJ$39,MATCH('Net zero emission reductions'!$G1443,'Net zero Activity data'!$D$24:$D$39,0))*INDEX(EF!$H$84:$H$99,MATCH('Net zero emission reductions'!$G1443,EF!$D$84:$D$99,0))*INDEX(EF!$H$100:$H$115,MATCH('Net zero emission reductions'!$G1443,EF!$D$100:$D$115,0))*INDEX(EF!$H$116:$H$131,MATCH('Net zero emission reductions'!$G1443,EF!$D$116:$D$131,0))*kgtoGg</f>
        <v>0</v>
      </c>
      <c r="R1443" s="22">
        <f>INDEX('Net zero Activity data'!AK$24:AK$39,MATCH('Net zero emission reductions'!$G1443,'Net zero Activity data'!$D$24:$D$39,0))*INDEX(EF!$H$84:$H$99,MATCH('Net zero emission reductions'!$G1443,EF!$D$84:$D$99,0))*INDEX(EF!$H$100:$H$115,MATCH('Net zero emission reductions'!$G1443,EF!$D$100:$D$115,0))*INDEX(EF!$H$116:$H$131,MATCH('Net zero emission reductions'!$G1443,EF!$D$116:$D$131,0))*kgtoGg</f>
        <v>0</v>
      </c>
      <c r="S1443" s="22">
        <f>INDEX('Net zero Activity data'!AL$24:AL$39,MATCH('Net zero emission reductions'!$G1443,'Net zero Activity data'!$D$24:$D$39,0))*INDEX(EF!$H$84:$H$99,MATCH('Net zero emission reductions'!$G1443,EF!$D$84:$D$99,0))*INDEX(EF!$H$100:$H$115,MATCH('Net zero emission reductions'!$G1443,EF!$D$100:$D$115,0))*INDEX(EF!$H$116:$H$131,MATCH('Net zero emission reductions'!$G1443,EF!$D$116:$D$131,0))*kgtoGg</f>
        <v>0</v>
      </c>
      <c r="T1443" s="22">
        <f>INDEX('Net zero Activity data'!AM$24:AM$39,MATCH('Net zero emission reductions'!$G1443,'Net zero Activity data'!$D$24:$D$39,0))*INDEX(EF!$H$84:$H$99,MATCH('Net zero emission reductions'!$G1443,EF!$D$84:$D$99,0))*INDEX(EF!$H$100:$H$115,MATCH('Net zero emission reductions'!$G1443,EF!$D$100:$D$115,0))*INDEX(EF!$H$116:$H$131,MATCH('Net zero emission reductions'!$G1443,EF!$D$116:$D$131,0))*kgtoGg</f>
        <v>0</v>
      </c>
      <c r="U1443" s="22">
        <f>INDEX('Net zero Activity data'!AN$24:AN$39,MATCH('Net zero emission reductions'!$G1443,'Net zero Activity data'!$D$24:$D$39,0))*INDEX(EF!$H$84:$H$99,MATCH('Net zero emission reductions'!$G1443,EF!$D$84:$D$99,0))*INDEX(EF!$H$100:$H$115,MATCH('Net zero emission reductions'!$G1443,EF!$D$100:$D$115,0))*INDEX(EF!$H$116:$H$131,MATCH('Net zero emission reductions'!$G1443,EF!$D$116:$D$131,0))*kgtoGg</f>
        <v>0</v>
      </c>
      <c r="V1443" s="22">
        <f>INDEX('Net zero Activity data'!AO$24:AO$39,MATCH('Net zero emission reductions'!$G1443,'Net zero Activity data'!$D$24:$D$39,0))*INDEX(EF!$H$84:$H$99,MATCH('Net zero emission reductions'!$G1443,EF!$D$84:$D$99,0))*INDEX(EF!$H$100:$H$115,MATCH('Net zero emission reductions'!$G1443,EF!$D$100:$D$115,0))*INDEX(EF!$H$116:$H$131,MATCH('Net zero emission reductions'!$G1443,EF!$D$116:$D$131,0))*kgtoGg</f>
        <v>0</v>
      </c>
      <c r="W1443" s="22">
        <f>INDEX('Net zero Activity data'!AP$24:AP$39,MATCH('Net zero emission reductions'!$G1443,'Net zero Activity data'!$D$24:$D$39,0))*INDEX(EF!$H$84:$H$99,MATCH('Net zero emission reductions'!$G1443,EF!$D$84:$D$99,0))*INDEX(EF!$H$100:$H$115,MATCH('Net zero emission reductions'!$G1443,EF!$D$100:$D$115,0))*INDEX(EF!$H$116:$H$131,MATCH('Net zero emission reductions'!$G1443,EF!$D$116:$D$131,0))*kgtoGg</f>
        <v>0</v>
      </c>
      <c r="X1443" s="22">
        <f>INDEX('Net zero Activity data'!AQ$24:AQ$39,MATCH('Net zero emission reductions'!$G1443,'Net zero Activity data'!$D$24:$D$39,0))*INDEX(EF!$H$84:$H$99,MATCH('Net zero emission reductions'!$G1443,EF!$D$84:$D$99,0))*INDEX(EF!$H$100:$H$115,MATCH('Net zero emission reductions'!$G1443,EF!$D$100:$D$115,0))*INDEX(EF!$H$116:$H$131,MATCH('Net zero emission reductions'!$G1443,EF!$D$116:$D$131,0))*kgtoGg</f>
        <v>0</v>
      </c>
      <c r="Y1443" s="22">
        <f>INDEX('Net zero Activity data'!AR$24:AR$39,MATCH('Net zero emission reductions'!$G1443,'Net zero Activity data'!$D$24:$D$39,0))*INDEX(EF!$H$84:$H$99,MATCH('Net zero emission reductions'!$G1443,EF!$D$84:$D$99,0))*INDEX(EF!$H$100:$H$115,MATCH('Net zero emission reductions'!$G1443,EF!$D$100:$D$115,0))*INDEX(EF!$H$116:$H$131,MATCH('Net zero emission reductions'!$G1443,EF!$D$116:$D$131,0))*kgtoGg</f>
        <v>0</v>
      </c>
      <c r="Z1443" s="22">
        <f>INDEX('Net zero Activity data'!AS$24:AS$39,MATCH('Net zero emission reductions'!$G1443,'Net zero Activity data'!$D$24:$D$39,0))*INDEX(EF!$H$84:$H$99,MATCH('Net zero emission reductions'!$G1443,EF!$D$84:$D$99,0))*INDEX(EF!$H$100:$H$115,MATCH('Net zero emission reductions'!$G1443,EF!$D$100:$D$115,0))*INDEX(EF!$H$116:$H$131,MATCH('Net zero emission reductions'!$G1443,EF!$D$116:$D$131,0))*kgtoGg</f>
        <v>0</v>
      </c>
      <c r="AA1443" s="22">
        <f>INDEX('Net zero Activity data'!AT$24:AT$39,MATCH('Net zero emission reductions'!$G1443,'Net zero Activity data'!$D$24:$D$39,0))*INDEX(EF!$H$84:$H$99,MATCH('Net zero emission reductions'!$G1443,EF!$D$84:$D$99,0))*INDEX(EF!$H$100:$H$115,MATCH('Net zero emission reductions'!$G1443,EF!$D$100:$D$115,0))*INDEX(EF!$H$116:$H$131,MATCH('Net zero emission reductions'!$G1443,EF!$D$116:$D$131,0))*kgtoGg</f>
        <v>0</v>
      </c>
      <c r="AB1443" s="22">
        <f>INDEX('Net zero Activity data'!AU$24:AU$39,MATCH('Net zero emission reductions'!$G1443,'Net zero Activity data'!$D$24:$D$39,0))*INDEX(EF!$H$84:$H$99,MATCH('Net zero emission reductions'!$G1443,EF!$D$84:$D$99,0))*INDEX(EF!$H$100:$H$115,MATCH('Net zero emission reductions'!$G1443,EF!$D$100:$D$115,0))*INDEX(EF!$H$116:$H$131,MATCH('Net zero emission reductions'!$G1443,EF!$D$116:$D$131,0))*kgtoGg</f>
        <v>0</v>
      </c>
      <c r="AC1443" s="22">
        <f>INDEX('Net zero Activity data'!AV$24:AV$39,MATCH('Net zero emission reductions'!$G1443,'Net zero Activity data'!$D$24:$D$39,0))*INDEX(EF!$H$84:$H$99,MATCH('Net zero emission reductions'!$G1443,EF!$D$84:$D$99,0))*INDEX(EF!$H$100:$H$115,MATCH('Net zero emission reductions'!$G1443,EF!$D$100:$D$115,0))*INDEX(EF!$H$116:$H$131,MATCH('Net zero emission reductions'!$G1443,EF!$D$116:$D$131,0))*kgtoGg</f>
        <v>0</v>
      </c>
      <c r="AD1443" s="22">
        <f>INDEX('Net zero Activity data'!AW$24:AW$39,MATCH('Net zero emission reductions'!$G1443,'Net zero Activity data'!$D$24:$D$39,0))*INDEX(EF!$H$84:$H$99,MATCH('Net zero emission reductions'!$G1443,EF!$D$84:$D$99,0))*INDEX(EF!$H$100:$H$115,MATCH('Net zero emission reductions'!$G1443,EF!$D$100:$D$115,0))*INDEX(EF!$H$116:$H$131,MATCH('Net zero emission reductions'!$G1443,EF!$D$116:$D$131,0))*kgtoGg</f>
        <v>0</v>
      </c>
      <c r="AE1443" s="22">
        <f>INDEX('Net zero Activity data'!AX$24:AX$39,MATCH('Net zero emission reductions'!$G1443,'Net zero Activity data'!$D$24:$D$39,0))*INDEX(EF!$H$84:$H$99,MATCH('Net zero emission reductions'!$G1443,EF!$D$84:$D$99,0))*INDEX(EF!$H$100:$H$115,MATCH('Net zero emission reductions'!$G1443,EF!$D$100:$D$115,0))*INDEX(EF!$H$116:$H$131,MATCH('Net zero emission reductions'!$G1443,EF!$D$116:$D$131,0))*kgtoGg</f>
        <v>0</v>
      </c>
      <c r="AF1443" s="22">
        <f>INDEX('Net zero Activity data'!AY$24:AY$39,MATCH('Net zero emission reductions'!$G1443,'Net zero Activity data'!$D$24:$D$39,0))*INDEX(EF!$H$84:$H$99,MATCH('Net zero emission reductions'!$G1443,EF!$D$84:$D$99,0))*INDEX(EF!$H$100:$H$115,MATCH('Net zero emission reductions'!$G1443,EF!$D$100:$D$115,0))*INDEX(EF!$H$116:$H$131,MATCH('Net zero emission reductions'!$G1443,EF!$D$116:$D$131,0))*kgtoGg</f>
        <v>0</v>
      </c>
      <c r="AG1443" s="22">
        <f>INDEX('Net zero Activity data'!AZ$24:AZ$39,MATCH('Net zero emission reductions'!$G1443,'Net zero Activity data'!$D$24:$D$39,0))*INDEX(EF!$H$84:$H$99,MATCH('Net zero emission reductions'!$G1443,EF!$D$84:$D$99,0))*INDEX(EF!$H$100:$H$115,MATCH('Net zero emission reductions'!$G1443,EF!$D$100:$D$115,0))*INDEX(EF!$H$116:$H$131,MATCH('Net zero emission reductions'!$G1443,EF!$D$116:$D$131,0))*kgtoGg</f>
        <v>0</v>
      </c>
      <c r="AH1443" s="22">
        <f>INDEX('Net zero Activity data'!BA$24:BA$39,MATCH('Net zero emission reductions'!$G1443,'Net zero Activity data'!$D$24:$D$39,0))*INDEX(EF!$H$84:$H$99,MATCH('Net zero emission reductions'!$G1443,EF!$D$84:$D$99,0))*INDEX(EF!$H$100:$H$115,MATCH('Net zero emission reductions'!$G1443,EF!$D$100:$D$115,0))*INDEX(EF!$H$116:$H$131,MATCH('Net zero emission reductions'!$G1443,EF!$D$116:$D$131,0))*kgtoGg</f>
        <v>0</v>
      </c>
      <c r="AI1443" s="22">
        <f>INDEX('Net zero Activity data'!BB$24:BB$39,MATCH('Net zero emission reductions'!$G1443,'Net zero Activity data'!$D$24:$D$39,0))*INDEX(EF!$H$84:$H$99,MATCH('Net zero emission reductions'!$G1443,EF!$D$84:$D$99,0))*INDEX(EF!$H$100:$H$115,MATCH('Net zero emission reductions'!$G1443,EF!$D$100:$D$115,0))*INDEX(EF!$H$116:$H$131,MATCH('Net zero emission reductions'!$G1443,EF!$D$116:$D$131,0))*kgtoGg</f>
        <v>0</v>
      </c>
      <c r="AJ1443" s="22">
        <f>INDEX('Net zero Activity data'!BC$24:BC$39,MATCH('Net zero emission reductions'!$G1443,'Net zero Activity data'!$D$24:$D$39,0))*INDEX(EF!$H$84:$H$99,MATCH('Net zero emission reductions'!$G1443,EF!$D$84:$D$99,0))*INDEX(EF!$H$100:$H$115,MATCH('Net zero emission reductions'!$G1443,EF!$D$100:$D$115,0))*INDEX(EF!$H$116:$H$131,MATCH('Net zero emission reductions'!$G1443,EF!$D$116:$D$131,0))*kgtoGg</f>
        <v>0</v>
      </c>
      <c r="AK1443" s="22">
        <f>INDEX('Net zero Activity data'!BD$24:BD$39,MATCH('Net zero emission reductions'!$G1443,'Net zero Activity data'!$D$24:$D$39,0))*INDEX(EF!$H$84:$H$99,MATCH('Net zero emission reductions'!$G1443,EF!$D$84:$D$99,0))*INDEX(EF!$H$100:$H$115,MATCH('Net zero emission reductions'!$G1443,EF!$D$100:$D$115,0))*INDEX(EF!$H$116:$H$131,MATCH('Net zero emission reductions'!$G1443,EF!$D$116:$D$131,0))*kgtoGg</f>
        <v>0</v>
      </c>
      <c r="AL1443" s="22">
        <f>INDEX('Net zero Activity data'!BE$24:BE$39,MATCH('Net zero emission reductions'!$G1443,'Net zero Activity data'!$D$24:$D$39,0))*INDEX(EF!$H$84:$H$99,MATCH('Net zero emission reductions'!$G1443,EF!$D$84:$D$99,0))*INDEX(EF!$H$100:$H$115,MATCH('Net zero emission reductions'!$G1443,EF!$D$100:$D$115,0))*INDEX(EF!$H$116:$H$131,MATCH('Net zero emission reductions'!$G1443,EF!$D$116:$D$131,0))*kgtoGg</f>
        <v>0</v>
      </c>
      <c r="AM1443" s="22">
        <f>INDEX('Net zero Activity data'!BF$24:BF$39,MATCH('Net zero emission reductions'!$G1443,'Net zero Activity data'!$D$24:$D$39,0))*INDEX(EF!$H$84:$H$99,MATCH('Net zero emission reductions'!$G1443,EF!$D$84:$D$99,0))*INDEX(EF!$H$100:$H$115,MATCH('Net zero emission reductions'!$G1443,EF!$D$100:$D$115,0))*INDEX(EF!$H$116:$H$131,MATCH('Net zero emission reductions'!$G1443,EF!$D$116:$D$131,0))*kgtoGg</f>
        <v>0</v>
      </c>
      <c r="AN1443" s="22">
        <f>INDEX('Net zero Activity data'!BG$24:BG$39,MATCH('Net zero emission reductions'!$G1443,'Net zero Activity data'!$D$24:$D$39,0))*INDEX(EF!$H$84:$H$99,MATCH('Net zero emission reductions'!$G1443,EF!$D$84:$D$99,0))*INDEX(EF!$H$100:$H$115,MATCH('Net zero emission reductions'!$G1443,EF!$D$100:$D$115,0))*INDEX(EF!$H$116:$H$131,MATCH('Net zero emission reductions'!$G1443,EF!$D$116:$D$131,0))*kgtoGg</f>
        <v>0</v>
      </c>
      <c r="AO1443" s="22">
        <f>INDEX('Net zero Activity data'!BH$24:BH$39,MATCH('Net zero emission reductions'!$G1443,'Net zero Activity data'!$D$24:$D$39,0))*INDEX(EF!$H$84:$H$99,MATCH('Net zero emission reductions'!$G1443,EF!$D$84:$D$99,0))*INDEX(EF!$H$100:$H$115,MATCH('Net zero emission reductions'!$G1443,EF!$D$100:$D$115,0))*INDEX(EF!$H$116:$H$131,MATCH('Net zero emission reductions'!$G1443,EF!$D$116:$D$131,0))*kgtoGg</f>
        <v>0</v>
      </c>
      <c r="AP1443" s="22">
        <f>INDEX('Net zero Activity data'!BI$24:BI$39,MATCH('Net zero emission reductions'!$G1443,'Net zero Activity data'!$D$24:$D$39,0))*INDEX(EF!$H$84:$H$99,MATCH('Net zero emission reductions'!$G1443,EF!$D$84:$D$99,0))*INDEX(EF!$H$100:$H$115,MATCH('Net zero emission reductions'!$G1443,EF!$D$100:$D$115,0))*INDEX(EF!$H$116:$H$131,MATCH('Net zero emission reductions'!$G1443,EF!$D$116:$D$131,0))*kgtoGg</f>
        <v>0</v>
      </c>
      <c r="AQ1443" s="22">
        <f>INDEX('Net zero Activity data'!BJ$24:BJ$39,MATCH('Net zero emission reductions'!$G1443,'Net zero Activity data'!$D$24:$D$39,0))*INDEX(EF!$H$84:$H$99,MATCH('Net zero emission reductions'!$G1443,EF!$D$84:$D$99,0))*INDEX(EF!$H$100:$H$115,MATCH('Net zero emission reductions'!$G1443,EF!$D$100:$D$115,0))*INDEX(EF!$H$116:$H$131,MATCH('Net zero emission reductions'!$G1443,EF!$D$116:$D$131,0))*kgtoGg</f>
        <v>0</v>
      </c>
      <c r="AR1443" s="22">
        <f>INDEX('Net zero Activity data'!BK$24:BK$39,MATCH('Net zero emission reductions'!$G1443,'Net zero Activity data'!$D$24:$D$39,0))*INDEX(EF!$H$84:$H$99,MATCH('Net zero emission reductions'!$G1443,EF!$D$84:$D$99,0))*INDEX(EF!$H$100:$H$115,MATCH('Net zero emission reductions'!$G1443,EF!$D$100:$D$115,0))*INDEX(EF!$H$116:$H$131,MATCH('Net zero emission reductions'!$G1443,EF!$D$116:$D$131,0))*kgtoGg</f>
        <v>0</v>
      </c>
      <c r="AS1443" s="22">
        <f>INDEX('Net zero Activity data'!BL$24:BL$39,MATCH('Net zero emission reductions'!$G1443,'Net zero Activity data'!$D$24:$D$39,0))*INDEX(EF!$H$84:$H$99,MATCH('Net zero emission reductions'!$G1443,EF!$D$84:$D$99,0))*INDEX(EF!$H$100:$H$115,MATCH('Net zero emission reductions'!$G1443,EF!$D$100:$D$115,0))*INDEX(EF!$H$116:$H$131,MATCH('Net zero emission reductions'!$G1443,EF!$D$116:$D$131,0))*kgtoGg</f>
        <v>0</v>
      </c>
      <c r="AT1443" s="22">
        <f>INDEX('Net zero Activity data'!BM$24:BM$39,MATCH('Net zero emission reductions'!$G1443,'Net zero Activity data'!$D$24:$D$39,0))*INDEX(EF!$H$84:$H$99,MATCH('Net zero emission reductions'!$G1443,EF!$D$84:$D$99,0))*INDEX(EF!$H$100:$H$115,MATCH('Net zero emission reductions'!$G1443,EF!$D$100:$D$115,0))*INDEX(EF!$H$116:$H$131,MATCH('Net zero emission reductions'!$G1443,EF!$D$116:$D$131,0))*kgtoGg</f>
        <v>0</v>
      </c>
      <c r="AU1443" s="22">
        <f>INDEX('Net zero Activity data'!BN$24:BN$39,MATCH('Net zero emission reductions'!$G1443,'Net zero Activity data'!$D$24:$D$39,0))*INDEX(EF!$H$84:$H$99,MATCH('Net zero emission reductions'!$G1443,EF!$D$84:$D$99,0))*INDEX(EF!$H$100:$H$115,MATCH('Net zero emission reductions'!$G1443,EF!$D$100:$D$115,0))*INDEX(EF!$H$116:$H$131,MATCH('Net zero emission reductions'!$G1443,EF!$D$116:$D$131,0))*kgtoGg</f>
        <v>0</v>
      </c>
      <c r="AV1443" s="22">
        <f>INDEX('Net zero Activity data'!BO$24:BO$39,MATCH('Net zero emission reductions'!$G1443,'Net zero Activity data'!$D$24:$D$39,0))*INDEX(EF!$H$84:$H$99,MATCH('Net zero emission reductions'!$G1443,EF!$D$84:$D$99,0))*INDEX(EF!$H$100:$H$115,MATCH('Net zero emission reductions'!$G1443,EF!$D$100:$D$115,0))*INDEX(EF!$H$116:$H$131,MATCH('Net zero emission reductions'!$G1443,EF!$D$116:$D$131,0))*kgtoGg</f>
        <v>0</v>
      </c>
      <c r="AW1443" s="22">
        <f>INDEX('Net zero Activity data'!BP$24:BP$39,MATCH('Net zero emission reductions'!$G1443,'Net zero Activity data'!$D$24:$D$39,0))*INDEX(EF!$H$84:$H$99,MATCH('Net zero emission reductions'!$G1443,EF!$D$84:$D$99,0))*INDEX(EF!$H$100:$H$115,MATCH('Net zero emission reductions'!$G1443,EF!$D$100:$D$115,0))*INDEX(EF!$H$116:$H$131,MATCH('Net zero emission reductions'!$G1443,EF!$D$116:$D$131,0))*kgtoGg</f>
        <v>0</v>
      </c>
    </row>
    <row r="1444" spans="1:49" x14ac:dyDescent="0.3">
      <c r="A1444" s="95" t="s">
        <v>960</v>
      </c>
      <c r="B1444" s="95"/>
      <c r="C1444" s="95"/>
      <c r="D1444" t="str">
        <f t="shared" si="555"/>
        <v>3C Aggregated and non-CO2 emissions on land</v>
      </c>
      <c r="E1444" t="str">
        <f t="shared" si="555"/>
        <v>3C1 Biomass burning (CH4)</v>
      </c>
      <c r="F1444" t="str">
        <f>'IPCC Categories'!C64</f>
        <v>3C1f Biomass burning in Other lands</v>
      </c>
      <c r="G1444" t="str">
        <f>EF!D99</f>
        <v>Bare ground</v>
      </c>
      <c r="H1444" t="s">
        <v>655</v>
      </c>
      <c r="I1444" t="str">
        <f t="shared" si="558"/>
        <v>CH4</v>
      </c>
      <c r="J1444" t="str">
        <f t="shared" si="558"/>
        <v>Gg CH4</v>
      </c>
      <c r="K1444" s="22">
        <f>INDEX('Net zero Activity data'!AD$24:AD$39,MATCH('Net zero emission reductions'!$G1444,'Net zero Activity data'!$D$24:$D$39,0))*INDEX(EF!$H$84:$H$99,MATCH('Net zero emission reductions'!$G1444,EF!$D$84:$D$99,0))*INDEX(EF!$H$100:$H$115,MATCH('Net zero emission reductions'!$G1444,EF!$D$100:$D$115,0))*INDEX(EF!$H$116:$H$131,MATCH('Net zero emission reductions'!$G1444,EF!$D$116:$D$131,0))*kgtoGg</f>
        <v>0</v>
      </c>
      <c r="L1444" s="22">
        <f>INDEX('Net zero Activity data'!AE$24:AE$39,MATCH('Net zero emission reductions'!$G1444,'Net zero Activity data'!$D$24:$D$39,0))*INDEX(EF!$H$84:$H$99,MATCH('Net zero emission reductions'!$G1444,EF!$D$84:$D$99,0))*INDEX(EF!$H$100:$H$115,MATCH('Net zero emission reductions'!$G1444,EF!$D$100:$D$115,0))*INDEX(EF!$H$116:$H$131,MATCH('Net zero emission reductions'!$G1444,EF!$D$116:$D$131,0))*kgtoGg</f>
        <v>0</v>
      </c>
      <c r="M1444" s="22">
        <f>INDEX('Net zero Activity data'!AF$24:AF$39,MATCH('Net zero emission reductions'!$G1444,'Net zero Activity data'!$D$24:$D$39,0))*INDEX(EF!$H$84:$H$99,MATCH('Net zero emission reductions'!$G1444,EF!$D$84:$D$99,0))*INDEX(EF!$H$100:$H$115,MATCH('Net zero emission reductions'!$G1444,EF!$D$100:$D$115,0))*INDEX(EF!$H$116:$H$131,MATCH('Net zero emission reductions'!$G1444,EF!$D$116:$D$131,0))*kgtoGg</f>
        <v>0</v>
      </c>
      <c r="N1444" s="22">
        <f>INDEX('Net zero Activity data'!AG$24:AG$39,MATCH('Net zero emission reductions'!$G1444,'Net zero Activity data'!$D$24:$D$39,0))*INDEX(EF!$H$84:$H$99,MATCH('Net zero emission reductions'!$G1444,EF!$D$84:$D$99,0))*INDEX(EF!$H$100:$H$115,MATCH('Net zero emission reductions'!$G1444,EF!$D$100:$D$115,0))*INDEX(EF!$H$116:$H$131,MATCH('Net zero emission reductions'!$G1444,EF!$D$116:$D$131,0))*kgtoGg</f>
        <v>0</v>
      </c>
      <c r="O1444" s="22">
        <f>INDEX('Net zero Activity data'!AH$24:AH$39,MATCH('Net zero emission reductions'!$G1444,'Net zero Activity data'!$D$24:$D$39,0))*INDEX(EF!$H$84:$H$99,MATCH('Net zero emission reductions'!$G1444,EF!$D$84:$D$99,0))*INDEX(EF!$H$100:$H$115,MATCH('Net zero emission reductions'!$G1444,EF!$D$100:$D$115,0))*INDEX(EF!$H$116:$H$131,MATCH('Net zero emission reductions'!$G1444,EF!$D$116:$D$131,0))*kgtoGg</f>
        <v>0</v>
      </c>
      <c r="P1444" s="22">
        <f>INDEX('Net zero Activity data'!AI$24:AI$39,MATCH('Net zero emission reductions'!$G1444,'Net zero Activity data'!$D$24:$D$39,0))*INDEX(EF!$H$84:$H$99,MATCH('Net zero emission reductions'!$G1444,EF!$D$84:$D$99,0))*INDEX(EF!$H$100:$H$115,MATCH('Net zero emission reductions'!$G1444,EF!$D$100:$D$115,0))*INDEX(EF!$H$116:$H$131,MATCH('Net zero emission reductions'!$G1444,EF!$D$116:$D$131,0))*kgtoGg</f>
        <v>0</v>
      </c>
      <c r="Q1444" s="22">
        <f>INDEX('Net zero Activity data'!AJ$24:AJ$39,MATCH('Net zero emission reductions'!$G1444,'Net zero Activity data'!$D$24:$D$39,0))*INDEX(EF!$H$84:$H$99,MATCH('Net zero emission reductions'!$G1444,EF!$D$84:$D$99,0))*INDEX(EF!$H$100:$H$115,MATCH('Net zero emission reductions'!$G1444,EF!$D$100:$D$115,0))*INDEX(EF!$H$116:$H$131,MATCH('Net zero emission reductions'!$G1444,EF!$D$116:$D$131,0))*kgtoGg</f>
        <v>0</v>
      </c>
      <c r="R1444" s="22">
        <f>INDEX('Net zero Activity data'!AK$24:AK$39,MATCH('Net zero emission reductions'!$G1444,'Net zero Activity data'!$D$24:$D$39,0))*INDEX(EF!$H$84:$H$99,MATCH('Net zero emission reductions'!$G1444,EF!$D$84:$D$99,0))*INDEX(EF!$H$100:$H$115,MATCH('Net zero emission reductions'!$G1444,EF!$D$100:$D$115,0))*INDEX(EF!$H$116:$H$131,MATCH('Net zero emission reductions'!$G1444,EF!$D$116:$D$131,0))*kgtoGg</f>
        <v>0</v>
      </c>
      <c r="S1444" s="22">
        <f>INDEX('Net zero Activity data'!AL$24:AL$39,MATCH('Net zero emission reductions'!$G1444,'Net zero Activity data'!$D$24:$D$39,0))*INDEX(EF!$H$84:$H$99,MATCH('Net zero emission reductions'!$G1444,EF!$D$84:$D$99,0))*INDEX(EF!$H$100:$H$115,MATCH('Net zero emission reductions'!$G1444,EF!$D$100:$D$115,0))*INDEX(EF!$H$116:$H$131,MATCH('Net zero emission reductions'!$G1444,EF!$D$116:$D$131,0))*kgtoGg</f>
        <v>0</v>
      </c>
      <c r="T1444" s="22">
        <f>INDEX('Net zero Activity data'!AM$24:AM$39,MATCH('Net zero emission reductions'!$G1444,'Net zero Activity data'!$D$24:$D$39,0))*INDEX(EF!$H$84:$H$99,MATCH('Net zero emission reductions'!$G1444,EF!$D$84:$D$99,0))*INDEX(EF!$H$100:$H$115,MATCH('Net zero emission reductions'!$G1444,EF!$D$100:$D$115,0))*INDEX(EF!$H$116:$H$131,MATCH('Net zero emission reductions'!$G1444,EF!$D$116:$D$131,0))*kgtoGg</f>
        <v>0</v>
      </c>
      <c r="U1444" s="22">
        <f>INDEX('Net zero Activity data'!AN$24:AN$39,MATCH('Net zero emission reductions'!$G1444,'Net zero Activity data'!$D$24:$D$39,0))*INDEX(EF!$H$84:$H$99,MATCH('Net zero emission reductions'!$G1444,EF!$D$84:$D$99,0))*INDEX(EF!$H$100:$H$115,MATCH('Net zero emission reductions'!$G1444,EF!$D$100:$D$115,0))*INDEX(EF!$H$116:$H$131,MATCH('Net zero emission reductions'!$G1444,EF!$D$116:$D$131,0))*kgtoGg</f>
        <v>0</v>
      </c>
      <c r="V1444" s="22">
        <f>INDEX('Net zero Activity data'!AO$24:AO$39,MATCH('Net zero emission reductions'!$G1444,'Net zero Activity data'!$D$24:$D$39,0))*INDEX(EF!$H$84:$H$99,MATCH('Net zero emission reductions'!$G1444,EF!$D$84:$D$99,0))*INDEX(EF!$H$100:$H$115,MATCH('Net zero emission reductions'!$G1444,EF!$D$100:$D$115,0))*INDEX(EF!$H$116:$H$131,MATCH('Net zero emission reductions'!$G1444,EF!$D$116:$D$131,0))*kgtoGg</f>
        <v>0</v>
      </c>
      <c r="W1444" s="22">
        <f>INDEX('Net zero Activity data'!AP$24:AP$39,MATCH('Net zero emission reductions'!$G1444,'Net zero Activity data'!$D$24:$D$39,0))*INDEX(EF!$H$84:$H$99,MATCH('Net zero emission reductions'!$G1444,EF!$D$84:$D$99,0))*INDEX(EF!$H$100:$H$115,MATCH('Net zero emission reductions'!$G1444,EF!$D$100:$D$115,0))*INDEX(EF!$H$116:$H$131,MATCH('Net zero emission reductions'!$G1444,EF!$D$116:$D$131,0))*kgtoGg</f>
        <v>0</v>
      </c>
      <c r="X1444" s="22">
        <f>INDEX('Net zero Activity data'!AQ$24:AQ$39,MATCH('Net zero emission reductions'!$G1444,'Net zero Activity data'!$D$24:$D$39,0))*INDEX(EF!$H$84:$H$99,MATCH('Net zero emission reductions'!$G1444,EF!$D$84:$D$99,0))*INDEX(EF!$H$100:$H$115,MATCH('Net zero emission reductions'!$G1444,EF!$D$100:$D$115,0))*INDEX(EF!$H$116:$H$131,MATCH('Net zero emission reductions'!$G1444,EF!$D$116:$D$131,0))*kgtoGg</f>
        <v>0</v>
      </c>
      <c r="Y1444" s="22">
        <f>INDEX('Net zero Activity data'!AR$24:AR$39,MATCH('Net zero emission reductions'!$G1444,'Net zero Activity data'!$D$24:$D$39,0))*INDEX(EF!$H$84:$H$99,MATCH('Net zero emission reductions'!$G1444,EF!$D$84:$D$99,0))*INDEX(EF!$H$100:$H$115,MATCH('Net zero emission reductions'!$G1444,EF!$D$100:$D$115,0))*INDEX(EF!$H$116:$H$131,MATCH('Net zero emission reductions'!$G1444,EF!$D$116:$D$131,0))*kgtoGg</f>
        <v>0</v>
      </c>
      <c r="Z1444" s="22">
        <f>INDEX('Net zero Activity data'!AS$24:AS$39,MATCH('Net zero emission reductions'!$G1444,'Net zero Activity data'!$D$24:$D$39,0))*INDEX(EF!$H$84:$H$99,MATCH('Net zero emission reductions'!$G1444,EF!$D$84:$D$99,0))*INDEX(EF!$H$100:$H$115,MATCH('Net zero emission reductions'!$G1444,EF!$D$100:$D$115,0))*INDEX(EF!$H$116:$H$131,MATCH('Net zero emission reductions'!$G1444,EF!$D$116:$D$131,0))*kgtoGg</f>
        <v>0</v>
      </c>
      <c r="AA1444" s="22">
        <f>INDEX('Net zero Activity data'!AT$24:AT$39,MATCH('Net zero emission reductions'!$G1444,'Net zero Activity data'!$D$24:$D$39,0))*INDEX(EF!$H$84:$H$99,MATCH('Net zero emission reductions'!$G1444,EF!$D$84:$D$99,0))*INDEX(EF!$H$100:$H$115,MATCH('Net zero emission reductions'!$G1444,EF!$D$100:$D$115,0))*INDEX(EF!$H$116:$H$131,MATCH('Net zero emission reductions'!$G1444,EF!$D$116:$D$131,0))*kgtoGg</f>
        <v>0</v>
      </c>
      <c r="AB1444" s="22">
        <f>INDEX('Net zero Activity data'!AU$24:AU$39,MATCH('Net zero emission reductions'!$G1444,'Net zero Activity data'!$D$24:$D$39,0))*INDEX(EF!$H$84:$H$99,MATCH('Net zero emission reductions'!$G1444,EF!$D$84:$D$99,0))*INDEX(EF!$H$100:$H$115,MATCH('Net zero emission reductions'!$G1444,EF!$D$100:$D$115,0))*INDEX(EF!$H$116:$H$131,MATCH('Net zero emission reductions'!$G1444,EF!$D$116:$D$131,0))*kgtoGg</f>
        <v>0</v>
      </c>
      <c r="AC1444" s="22">
        <f>INDEX('Net zero Activity data'!AV$24:AV$39,MATCH('Net zero emission reductions'!$G1444,'Net zero Activity data'!$D$24:$D$39,0))*INDEX(EF!$H$84:$H$99,MATCH('Net zero emission reductions'!$G1444,EF!$D$84:$D$99,0))*INDEX(EF!$H$100:$H$115,MATCH('Net zero emission reductions'!$G1444,EF!$D$100:$D$115,0))*INDEX(EF!$H$116:$H$131,MATCH('Net zero emission reductions'!$G1444,EF!$D$116:$D$131,0))*kgtoGg</f>
        <v>0</v>
      </c>
      <c r="AD1444" s="22">
        <f>INDEX('Net zero Activity data'!AW$24:AW$39,MATCH('Net zero emission reductions'!$G1444,'Net zero Activity data'!$D$24:$D$39,0))*INDEX(EF!$H$84:$H$99,MATCH('Net zero emission reductions'!$G1444,EF!$D$84:$D$99,0))*INDEX(EF!$H$100:$H$115,MATCH('Net zero emission reductions'!$G1444,EF!$D$100:$D$115,0))*INDEX(EF!$H$116:$H$131,MATCH('Net zero emission reductions'!$G1444,EF!$D$116:$D$131,0))*kgtoGg</f>
        <v>0</v>
      </c>
      <c r="AE1444" s="22">
        <f>INDEX('Net zero Activity data'!AX$24:AX$39,MATCH('Net zero emission reductions'!$G1444,'Net zero Activity data'!$D$24:$D$39,0))*INDEX(EF!$H$84:$H$99,MATCH('Net zero emission reductions'!$G1444,EF!$D$84:$D$99,0))*INDEX(EF!$H$100:$H$115,MATCH('Net zero emission reductions'!$G1444,EF!$D$100:$D$115,0))*INDEX(EF!$H$116:$H$131,MATCH('Net zero emission reductions'!$G1444,EF!$D$116:$D$131,0))*kgtoGg</f>
        <v>0</v>
      </c>
      <c r="AF1444" s="22">
        <f>INDEX('Net zero Activity data'!AY$24:AY$39,MATCH('Net zero emission reductions'!$G1444,'Net zero Activity data'!$D$24:$D$39,0))*INDEX(EF!$H$84:$H$99,MATCH('Net zero emission reductions'!$G1444,EF!$D$84:$D$99,0))*INDEX(EF!$H$100:$H$115,MATCH('Net zero emission reductions'!$G1444,EF!$D$100:$D$115,0))*INDEX(EF!$H$116:$H$131,MATCH('Net zero emission reductions'!$G1444,EF!$D$116:$D$131,0))*kgtoGg</f>
        <v>0</v>
      </c>
      <c r="AG1444" s="22">
        <f>INDEX('Net zero Activity data'!AZ$24:AZ$39,MATCH('Net zero emission reductions'!$G1444,'Net zero Activity data'!$D$24:$D$39,0))*INDEX(EF!$H$84:$H$99,MATCH('Net zero emission reductions'!$G1444,EF!$D$84:$D$99,0))*INDEX(EF!$H$100:$H$115,MATCH('Net zero emission reductions'!$G1444,EF!$D$100:$D$115,0))*INDEX(EF!$H$116:$H$131,MATCH('Net zero emission reductions'!$G1444,EF!$D$116:$D$131,0))*kgtoGg</f>
        <v>0</v>
      </c>
      <c r="AH1444" s="22">
        <f>INDEX('Net zero Activity data'!BA$24:BA$39,MATCH('Net zero emission reductions'!$G1444,'Net zero Activity data'!$D$24:$D$39,0))*INDEX(EF!$H$84:$H$99,MATCH('Net zero emission reductions'!$G1444,EF!$D$84:$D$99,0))*INDEX(EF!$H$100:$H$115,MATCH('Net zero emission reductions'!$G1444,EF!$D$100:$D$115,0))*INDEX(EF!$H$116:$H$131,MATCH('Net zero emission reductions'!$G1444,EF!$D$116:$D$131,0))*kgtoGg</f>
        <v>0</v>
      </c>
      <c r="AI1444" s="22">
        <f>INDEX('Net zero Activity data'!BB$24:BB$39,MATCH('Net zero emission reductions'!$G1444,'Net zero Activity data'!$D$24:$D$39,0))*INDEX(EF!$H$84:$H$99,MATCH('Net zero emission reductions'!$G1444,EF!$D$84:$D$99,0))*INDEX(EF!$H$100:$H$115,MATCH('Net zero emission reductions'!$G1444,EF!$D$100:$D$115,0))*INDEX(EF!$H$116:$H$131,MATCH('Net zero emission reductions'!$G1444,EF!$D$116:$D$131,0))*kgtoGg</f>
        <v>0</v>
      </c>
      <c r="AJ1444" s="22">
        <f>INDEX('Net zero Activity data'!BC$24:BC$39,MATCH('Net zero emission reductions'!$G1444,'Net zero Activity data'!$D$24:$D$39,0))*INDEX(EF!$H$84:$H$99,MATCH('Net zero emission reductions'!$G1444,EF!$D$84:$D$99,0))*INDEX(EF!$H$100:$H$115,MATCH('Net zero emission reductions'!$G1444,EF!$D$100:$D$115,0))*INDEX(EF!$H$116:$H$131,MATCH('Net zero emission reductions'!$G1444,EF!$D$116:$D$131,0))*kgtoGg</f>
        <v>0</v>
      </c>
      <c r="AK1444" s="22">
        <f>INDEX('Net zero Activity data'!BD$24:BD$39,MATCH('Net zero emission reductions'!$G1444,'Net zero Activity data'!$D$24:$D$39,0))*INDEX(EF!$H$84:$H$99,MATCH('Net zero emission reductions'!$G1444,EF!$D$84:$D$99,0))*INDEX(EF!$H$100:$H$115,MATCH('Net zero emission reductions'!$G1444,EF!$D$100:$D$115,0))*INDEX(EF!$H$116:$H$131,MATCH('Net zero emission reductions'!$G1444,EF!$D$116:$D$131,0))*kgtoGg</f>
        <v>0</v>
      </c>
      <c r="AL1444" s="22">
        <f>INDEX('Net zero Activity data'!BE$24:BE$39,MATCH('Net zero emission reductions'!$G1444,'Net zero Activity data'!$D$24:$D$39,0))*INDEX(EF!$H$84:$H$99,MATCH('Net zero emission reductions'!$G1444,EF!$D$84:$D$99,0))*INDEX(EF!$H$100:$H$115,MATCH('Net zero emission reductions'!$G1444,EF!$D$100:$D$115,0))*INDEX(EF!$H$116:$H$131,MATCH('Net zero emission reductions'!$G1444,EF!$D$116:$D$131,0))*kgtoGg</f>
        <v>0</v>
      </c>
      <c r="AM1444" s="22">
        <f>INDEX('Net zero Activity data'!BF$24:BF$39,MATCH('Net zero emission reductions'!$G1444,'Net zero Activity data'!$D$24:$D$39,0))*INDEX(EF!$H$84:$H$99,MATCH('Net zero emission reductions'!$G1444,EF!$D$84:$D$99,0))*INDEX(EF!$H$100:$H$115,MATCH('Net zero emission reductions'!$G1444,EF!$D$100:$D$115,0))*INDEX(EF!$H$116:$H$131,MATCH('Net zero emission reductions'!$G1444,EF!$D$116:$D$131,0))*kgtoGg</f>
        <v>0</v>
      </c>
      <c r="AN1444" s="22">
        <f>INDEX('Net zero Activity data'!BG$24:BG$39,MATCH('Net zero emission reductions'!$G1444,'Net zero Activity data'!$D$24:$D$39,0))*INDEX(EF!$H$84:$H$99,MATCH('Net zero emission reductions'!$G1444,EF!$D$84:$D$99,0))*INDEX(EF!$H$100:$H$115,MATCH('Net zero emission reductions'!$G1444,EF!$D$100:$D$115,0))*INDEX(EF!$H$116:$H$131,MATCH('Net zero emission reductions'!$G1444,EF!$D$116:$D$131,0))*kgtoGg</f>
        <v>0</v>
      </c>
      <c r="AO1444" s="22">
        <f>INDEX('Net zero Activity data'!BH$24:BH$39,MATCH('Net zero emission reductions'!$G1444,'Net zero Activity data'!$D$24:$D$39,0))*INDEX(EF!$H$84:$H$99,MATCH('Net zero emission reductions'!$G1444,EF!$D$84:$D$99,0))*INDEX(EF!$H$100:$H$115,MATCH('Net zero emission reductions'!$G1444,EF!$D$100:$D$115,0))*INDEX(EF!$H$116:$H$131,MATCH('Net zero emission reductions'!$G1444,EF!$D$116:$D$131,0))*kgtoGg</f>
        <v>0</v>
      </c>
      <c r="AP1444" s="22">
        <f>INDEX('Net zero Activity data'!BI$24:BI$39,MATCH('Net zero emission reductions'!$G1444,'Net zero Activity data'!$D$24:$D$39,0))*INDEX(EF!$H$84:$H$99,MATCH('Net zero emission reductions'!$G1444,EF!$D$84:$D$99,0))*INDEX(EF!$H$100:$H$115,MATCH('Net zero emission reductions'!$G1444,EF!$D$100:$D$115,0))*INDEX(EF!$H$116:$H$131,MATCH('Net zero emission reductions'!$G1444,EF!$D$116:$D$131,0))*kgtoGg</f>
        <v>0</v>
      </c>
      <c r="AQ1444" s="22">
        <f>INDEX('Net zero Activity data'!BJ$24:BJ$39,MATCH('Net zero emission reductions'!$G1444,'Net zero Activity data'!$D$24:$D$39,0))*INDEX(EF!$H$84:$H$99,MATCH('Net zero emission reductions'!$G1444,EF!$D$84:$D$99,0))*INDEX(EF!$H$100:$H$115,MATCH('Net zero emission reductions'!$G1444,EF!$D$100:$D$115,0))*INDEX(EF!$H$116:$H$131,MATCH('Net zero emission reductions'!$G1444,EF!$D$116:$D$131,0))*kgtoGg</f>
        <v>0</v>
      </c>
      <c r="AR1444" s="22">
        <f>INDEX('Net zero Activity data'!BK$24:BK$39,MATCH('Net zero emission reductions'!$G1444,'Net zero Activity data'!$D$24:$D$39,0))*INDEX(EF!$H$84:$H$99,MATCH('Net zero emission reductions'!$G1444,EF!$D$84:$D$99,0))*INDEX(EF!$H$100:$H$115,MATCH('Net zero emission reductions'!$G1444,EF!$D$100:$D$115,0))*INDEX(EF!$H$116:$H$131,MATCH('Net zero emission reductions'!$G1444,EF!$D$116:$D$131,0))*kgtoGg</f>
        <v>0</v>
      </c>
      <c r="AS1444" s="22">
        <f>INDEX('Net zero Activity data'!BL$24:BL$39,MATCH('Net zero emission reductions'!$G1444,'Net zero Activity data'!$D$24:$D$39,0))*INDEX(EF!$H$84:$H$99,MATCH('Net zero emission reductions'!$G1444,EF!$D$84:$D$99,0))*INDEX(EF!$H$100:$H$115,MATCH('Net zero emission reductions'!$G1444,EF!$D$100:$D$115,0))*INDEX(EF!$H$116:$H$131,MATCH('Net zero emission reductions'!$G1444,EF!$D$116:$D$131,0))*kgtoGg</f>
        <v>0</v>
      </c>
      <c r="AT1444" s="22">
        <f>INDEX('Net zero Activity data'!BM$24:BM$39,MATCH('Net zero emission reductions'!$G1444,'Net zero Activity data'!$D$24:$D$39,0))*INDEX(EF!$H$84:$H$99,MATCH('Net zero emission reductions'!$G1444,EF!$D$84:$D$99,0))*INDEX(EF!$H$100:$H$115,MATCH('Net zero emission reductions'!$G1444,EF!$D$100:$D$115,0))*INDEX(EF!$H$116:$H$131,MATCH('Net zero emission reductions'!$G1444,EF!$D$116:$D$131,0))*kgtoGg</f>
        <v>0</v>
      </c>
      <c r="AU1444" s="22">
        <f>INDEX('Net zero Activity data'!BN$24:BN$39,MATCH('Net zero emission reductions'!$G1444,'Net zero Activity data'!$D$24:$D$39,0))*INDEX(EF!$H$84:$H$99,MATCH('Net zero emission reductions'!$G1444,EF!$D$84:$D$99,0))*INDEX(EF!$H$100:$H$115,MATCH('Net zero emission reductions'!$G1444,EF!$D$100:$D$115,0))*INDEX(EF!$H$116:$H$131,MATCH('Net zero emission reductions'!$G1444,EF!$D$116:$D$131,0))*kgtoGg</f>
        <v>0</v>
      </c>
      <c r="AV1444" s="22">
        <f>INDEX('Net zero Activity data'!BO$24:BO$39,MATCH('Net zero emission reductions'!$G1444,'Net zero Activity data'!$D$24:$D$39,0))*INDEX(EF!$H$84:$H$99,MATCH('Net zero emission reductions'!$G1444,EF!$D$84:$D$99,0))*INDEX(EF!$H$100:$H$115,MATCH('Net zero emission reductions'!$G1444,EF!$D$100:$D$115,0))*INDEX(EF!$H$116:$H$131,MATCH('Net zero emission reductions'!$G1444,EF!$D$116:$D$131,0))*kgtoGg</f>
        <v>0</v>
      </c>
      <c r="AW1444" s="22">
        <f>INDEX('Net zero Activity data'!BP$24:BP$39,MATCH('Net zero emission reductions'!$G1444,'Net zero Activity data'!$D$24:$D$39,0))*INDEX(EF!$H$84:$H$99,MATCH('Net zero emission reductions'!$G1444,EF!$D$84:$D$99,0))*INDEX(EF!$H$100:$H$115,MATCH('Net zero emission reductions'!$G1444,EF!$D$100:$D$115,0))*INDEX(EF!$H$116:$H$131,MATCH('Net zero emission reductions'!$G1444,EF!$D$116:$D$131,0))*kgtoGg</f>
        <v>0</v>
      </c>
    </row>
    <row r="1445" spans="1:49" x14ac:dyDescent="0.3">
      <c r="A1445" s="95" t="s">
        <v>960</v>
      </c>
      <c r="B1445" s="95"/>
      <c r="C1445" s="95"/>
      <c r="D1445" t="str">
        <f t="shared" si="555"/>
        <v>3C Aggregated and non-CO2 emissions on land</v>
      </c>
      <c r="E1445" t="str">
        <f>'IPCC Categories'!B65</f>
        <v>3C1 Biomass burning (N2O)</v>
      </c>
      <c r="F1445" t="str">
        <f>F1429</f>
        <v>3C1a Biomass burning in forest land</v>
      </c>
      <c r="G1445" t="str">
        <f>EF!D100</f>
        <v>Indigenous forests</v>
      </c>
      <c r="H1445" t="s">
        <v>640</v>
      </c>
      <c r="I1445" t="s">
        <v>139</v>
      </c>
      <c r="J1445" t="s">
        <v>287</v>
      </c>
      <c r="K1445" s="22">
        <f>INDEX('Net zero Activity data'!AD$24:AD$39,MATCH('Net zero emission reductions'!$G1445,'Net zero Activity data'!$D$24:$D$39,0))*INDEX(EF!$H$84:$H$99,MATCH('Net zero emission reductions'!$G1445,EF!$D$84:$D$99,0))*INDEX(EF!$H$100:$H$115,MATCH('Net zero emission reductions'!$G1445,EF!$D$100:$D$115,0))*INDEX(EF!$H$132:$H$147,MATCH('Net zero emission reductions'!$G1445,EF!$D$132:$D$147,0))*kgtoGg</f>
        <v>6.9999126484672408E-2</v>
      </c>
      <c r="L1445" s="22">
        <f>INDEX('Net zero Activity data'!AE$24:AE$39,MATCH('Net zero emission reductions'!$G1445,'Net zero Activity data'!$D$24:$D$39,0))*INDEX(EF!$H$84:$H$99,MATCH('Net zero emission reductions'!$G1445,EF!$D$84:$D$99,0))*INDEX(EF!$H$100:$H$115,MATCH('Net zero emission reductions'!$G1445,EF!$D$100:$D$115,0))*INDEX(EF!$H$132:$H$147,MATCH('Net zero emission reductions'!$G1445,EF!$D$132:$D$147,0))*kgtoGg</f>
        <v>6.9969256669183813E-2</v>
      </c>
      <c r="M1445" s="22">
        <f>INDEX('Net zero Activity data'!AF$24:AF$39,MATCH('Net zero emission reductions'!$G1445,'Net zero Activity data'!$D$24:$D$39,0))*INDEX(EF!$H$84:$H$99,MATCH('Net zero emission reductions'!$G1445,EF!$D$84:$D$99,0))*INDEX(EF!$H$100:$H$115,MATCH('Net zero emission reductions'!$G1445,EF!$D$100:$D$115,0))*INDEX(EF!$H$132:$H$147,MATCH('Net zero emission reductions'!$G1445,EF!$D$132:$D$147,0))*kgtoGg</f>
        <v>6.9939386853695204E-2</v>
      </c>
      <c r="N1445" s="22">
        <f>INDEX('Net zero Activity data'!AG$24:AG$39,MATCH('Net zero emission reductions'!$G1445,'Net zero Activity data'!$D$24:$D$39,0))*INDEX(EF!$H$84:$H$99,MATCH('Net zero emission reductions'!$G1445,EF!$D$84:$D$99,0))*INDEX(EF!$H$100:$H$115,MATCH('Net zero emission reductions'!$G1445,EF!$D$100:$D$115,0))*INDEX(EF!$H$132:$H$147,MATCH('Net zero emission reductions'!$G1445,EF!$D$132:$D$147,0))*kgtoGg</f>
        <v>6.9909517038206595E-2</v>
      </c>
      <c r="O1445" s="22">
        <f>INDEX('Net zero Activity data'!AH$24:AH$39,MATCH('Net zero emission reductions'!$G1445,'Net zero Activity data'!$D$24:$D$39,0))*INDEX(EF!$H$84:$H$99,MATCH('Net zero emission reductions'!$G1445,EF!$D$84:$D$99,0))*INDEX(EF!$H$100:$H$115,MATCH('Net zero emission reductions'!$G1445,EF!$D$100:$D$115,0))*INDEX(EF!$H$132:$H$147,MATCH('Net zero emission reductions'!$G1445,EF!$D$132:$D$147,0))*kgtoGg</f>
        <v>6.9879647222718E-2</v>
      </c>
      <c r="P1445" s="22">
        <f>INDEX('Net zero Activity data'!AI$24:AI$39,MATCH('Net zero emission reductions'!$G1445,'Net zero Activity data'!$D$24:$D$39,0))*INDEX(EF!$H$84:$H$99,MATCH('Net zero emission reductions'!$G1445,EF!$D$84:$D$99,0))*INDEX(EF!$H$100:$H$115,MATCH('Net zero emission reductions'!$G1445,EF!$D$100:$D$115,0))*INDEX(EF!$H$132:$H$147,MATCH('Net zero emission reductions'!$G1445,EF!$D$132:$D$147,0))*kgtoGg</f>
        <v>6.9849777407229377E-2</v>
      </c>
      <c r="Q1445" s="22">
        <f>INDEX('Net zero Activity data'!AJ$24:AJ$39,MATCH('Net zero emission reductions'!$G1445,'Net zero Activity data'!$D$24:$D$39,0))*INDEX(EF!$H$84:$H$99,MATCH('Net zero emission reductions'!$G1445,EF!$D$84:$D$99,0))*INDEX(EF!$H$100:$H$115,MATCH('Net zero emission reductions'!$G1445,EF!$D$100:$D$115,0))*INDEX(EF!$H$132:$H$147,MATCH('Net zero emission reductions'!$G1445,EF!$D$132:$D$147,0))*kgtoGg</f>
        <v>6.9819907591740768E-2</v>
      </c>
      <c r="R1445" s="22">
        <f>INDEX('Net zero Activity data'!AK$24:AK$39,MATCH('Net zero emission reductions'!$G1445,'Net zero Activity data'!$D$24:$D$39,0))*INDEX(EF!$H$84:$H$99,MATCH('Net zero emission reductions'!$G1445,EF!$D$84:$D$99,0))*INDEX(EF!$H$100:$H$115,MATCH('Net zero emission reductions'!$G1445,EF!$D$100:$D$115,0))*INDEX(EF!$H$132:$H$147,MATCH('Net zero emission reductions'!$G1445,EF!$D$132:$D$147,0))*kgtoGg</f>
        <v>6.9790037776252159E-2</v>
      </c>
      <c r="S1445" s="22">
        <f>INDEX('Net zero Activity data'!AL$24:AL$39,MATCH('Net zero emission reductions'!$G1445,'Net zero Activity data'!$D$24:$D$39,0))*INDEX(EF!$H$84:$H$99,MATCH('Net zero emission reductions'!$G1445,EF!$D$84:$D$99,0))*INDEX(EF!$H$100:$H$115,MATCH('Net zero emission reductions'!$G1445,EF!$D$100:$D$115,0))*INDEX(EF!$H$132:$H$147,MATCH('Net zero emission reductions'!$G1445,EF!$D$132:$D$147,0))*kgtoGg</f>
        <v>6.9760167960763578E-2</v>
      </c>
      <c r="T1445" s="22">
        <f>INDEX('Net zero Activity data'!AM$24:AM$39,MATCH('Net zero emission reductions'!$G1445,'Net zero Activity data'!$D$24:$D$39,0))*INDEX(EF!$H$84:$H$99,MATCH('Net zero emission reductions'!$G1445,EF!$D$84:$D$99,0))*INDEX(EF!$H$100:$H$115,MATCH('Net zero emission reductions'!$G1445,EF!$D$100:$D$115,0))*INDEX(EF!$H$132:$H$147,MATCH('Net zero emission reductions'!$G1445,EF!$D$132:$D$147,0))*kgtoGg</f>
        <v>6.9730298145274969E-2</v>
      </c>
      <c r="U1445" s="22">
        <f>INDEX('Net zero Activity data'!AN$24:AN$39,MATCH('Net zero emission reductions'!$G1445,'Net zero Activity data'!$D$24:$D$39,0))*INDEX(EF!$H$84:$H$99,MATCH('Net zero emission reductions'!$G1445,EF!$D$84:$D$99,0))*INDEX(EF!$H$100:$H$115,MATCH('Net zero emission reductions'!$G1445,EF!$D$100:$D$115,0))*INDEX(EF!$H$132:$H$147,MATCH('Net zero emission reductions'!$G1445,EF!$D$132:$D$147,0))*kgtoGg</f>
        <v>6.9700428329786346E-2</v>
      </c>
      <c r="V1445" s="22">
        <f>INDEX('Net zero Activity data'!AO$24:AO$39,MATCH('Net zero emission reductions'!$G1445,'Net zero Activity data'!$D$24:$D$39,0))*INDEX(EF!$H$84:$H$99,MATCH('Net zero emission reductions'!$G1445,EF!$D$84:$D$99,0))*INDEX(EF!$H$100:$H$115,MATCH('Net zero emission reductions'!$G1445,EF!$D$100:$D$115,0))*INDEX(EF!$H$132:$H$147,MATCH('Net zero emission reductions'!$G1445,EF!$D$132:$D$147,0))*kgtoGg</f>
        <v>6.9670558514297751E-2</v>
      </c>
      <c r="W1445" s="22">
        <f>INDEX('Net zero Activity data'!AP$24:AP$39,MATCH('Net zero emission reductions'!$G1445,'Net zero Activity data'!$D$24:$D$39,0))*INDEX(EF!$H$84:$H$99,MATCH('Net zero emission reductions'!$G1445,EF!$D$84:$D$99,0))*INDEX(EF!$H$100:$H$115,MATCH('Net zero emission reductions'!$G1445,EF!$D$100:$D$115,0))*INDEX(EF!$H$132:$H$147,MATCH('Net zero emission reductions'!$G1445,EF!$D$132:$D$147,0))*kgtoGg</f>
        <v>6.9640688698809156E-2</v>
      </c>
      <c r="X1445" s="22">
        <f>INDEX('Net zero Activity data'!AQ$24:AQ$39,MATCH('Net zero emission reductions'!$G1445,'Net zero Activity data'!$D$24:$D$39,0))*INDEX(EF!$H$84:$H$99,MATCH('Net zero emission reductions'!$G1445,EF!$D$84:$D$99,0))*INDEX(EF!$H$100:$H$115,MATCH('Net zero emission reductions'!$G1445,EF!$D$100:$D$115,0))*INDEX(EF!$H$132:$H$147,MATCH('Net zero emission reductions'!$G1445,EF!$D$132:$D$147,0))*kgtoGg</f>
        <v>6.9610818883320533E-2</v>
      </c>
      <c r="Y1445" s="22">
        <f>INDEX('Net zero Activity data'!AR$24:AR$39,MATCH('Net zero emission reductions'!$G1445,'Net zero Activity data'!$D$24:$D$39,0))*INDEX(EF!$H$84:$H$99,MATCH('Net zero emission reductions'!$G1445,EF!$D$84:$D$99,0))*INDEX(EF!$H$100:$H$115,MATCH('Net zero emission reductions'!$G1445,EF!$D$100:$D$115,0))*INDEX(EF!$H$132:$H$147,MATCH('Net zero emission reductions'!$G1445,EF!$D$132:$D$147,0))*kgtoGg</f>
        <v>6.9580949067831938E-2</v>
      </c>
      <c r="Z1445" s="22">
        <f>INDEX('Net zero Activity data'!AS$24:AS$39,MATCH('Net zero emission reductions'!$G1445,'Net zero Activity data'!$D$24:$D$39,0))*INDEX(EF!$H$84:$H$99,MATCH('Net zero emission reductions'!$G1445,EF!$D$84:$D$99,0))*INDEX(EF!$H$100:$H$115,MATCH('Net zero emission reductions'!$G1445,EF!$D$100:$D$115,0))*INDEX(EF!$H$132:$H$147,MATCH('Net zero emission reductions'!$G1445,EF!$D$132:$D$147,0))*kgtoGg</f>
        <v>6.9551079252343315E-2</v>
      </c>
      <c r="AA1445" s="22">
        <f>INDEX('Net zero Activity data'!AT$24:AT$39,MATCH('Net zero emission reductions'!$G1445,'Net zero Activity data'!$D$24:$D$39,0))*INDEX(EF!$H$84:$H$99,MATCH('Net zero emission reductions'!$G1445,EF!$D$84:$D$99,0))*INDEX(EF!$H$100:$H$115,MATCH('Net zero emission reductions'!$G1445,EF!$D$100:$D$115,0))*INDEX(EF!$H$132:$H$147,MATCH('Net zero emission reductions'!$G1445,EF!$D$132:$D$147,0))*kgtoGg</f>
        <v>6.9521209436854706E-2</v>
      </c>
      <c r="AB1445" s="22">
        <f>INDEX('Net zero Activity data'!AU$24:AU$39,MATCH('Net zero emission reductions'!$G1445,'Net zero Activity data'!$D$24:$D$39,0))*INDEX(EF!$H$84:$H$99,MATCH('Net zero emission reductions'!$G1445,EF!$D$84:$D$99,0))*INDEX(EF!$H$100:$H$115,MATCH('Net zero emission reductions'!$G1445,EF!$D$100:$D$115,0))*INDEX(EF!$H$132:$H$147,MATCH('Net zero emission reductions'!$G1445,EF!$D$132:$D$147,0))*kgtoGg</f>
        <v>6.9491339621366111E-2</v>
      </c>
      <c r="AC1445" s="22">
        <f>INDEX('Net zero Activity data'!AV$24:AV$39,MATCH('Net zero emission reductions'!$G1445,'Net zero Activity data'!$D$24:$D$39,0))*INDEX(EF!$H$84:$H$99,MATCH('Net zero emission reductions'!$G1445,EF!$D$84:$D$99,0))*INDEX(EF!$H$100:$H$115,MATCH('Net zero emission reductions'!$G1445,EF!$D$100:$D$115,0))*INDEX(EF!$H$132:$H$147,MATCH('Net zero emission reductions'!$G1445,EF!$D$132:$D$147,0))*kgtoGg</f>
        <v>6.9461469805877502E-2</v>
      </c>
      <c r="AD1445" s="22">
        <f>INDEX('Net zero Activity data'!AW$24:AW$39,MATCH('Net zero emission reductions'!$G1445,'Net zero Activity data'!$D$24:$D$39,0))*INDEX(EF!$H$84:$H$99,MATCH('Net zero emission reductions'!$G1445,EF!$D$84:$D$99,0))*INDEX(EF!$H$100:$H$115,MATCH('Net zero emission reductions'!$G1445,EF!$D$100:$D$115,0))*INDEX(EF!$H$132:$H$147,MATCH('Net zero emission reductions'!$G1445,EF!$D$132:$D$147,0))*kgtoGg</f>
        <v>6.9431599990388893E-2</v>
      </c>
      <c r="AE1445" s="22">
        <f>INDEX('Net zero Activity data'!AX$24:AX$39,MATCH('Net zero emission reductions'!$G1445,'Net zero Activity data'!$D$24:$D$39,0))*INDEX(EF!$H$84:$H$99,MATCH('Net zero emission reductions'!$G1445,EF!$D$84:$D$99,0))*INDEX(EF!$H$100:$H$115,MATCH('Net zero emission reductions'!$G1445,EF!$D$100:$D$115,0))*INDEX(EF!$H$132:$H$147,MATCH('Net zero emission reductions'!$G1445,EF!$D$132:$D$147,0))*kgtoGg</f>
        <v>6.9401730174900297E-2</v>
      </c>
      <c r="AF1445" s="22">
        <f>INDEX('Net zero Activity data'!AY$24:AY$39,MATCH('Net zero emission reductions'!$G1445,'Net zero Activity data'!$D$24:$D$39,0))*INDEX(EF!$H$84:$H$99,MATCH('Net zero emission reductions'!$G1445,EF!$D$84:$D$99,0))*INDEX(EF!$H$100:$H$115,MATCH('Net zero emission reductions'!$G1445,EF!$D$100:$D$115,0))*INDEX(EF!$H$132:$H$147,MATCH('Net zero emission reductions'!$G1445,EF!$D$132:$D$147,0))*kgtoGg</f>
        <v>6.9371860359411688E-2</v>
      </c>
      <c r="AG1445" s="22">
        <f>INDEX('Net zero Activity data'!AZ$24:AZ$39,MATCH('Net zero emission reductions'!$G1445,'Net zero Activity data'!$D$24:$D$39,0))*INDEX(EF!$H$84:$H$99,MATCH('Net zero emission reductions'!$G1445,EF!$D$84:$D$99,0))*INDEX(EF!$H$100:$H$115,MATCH('Net zero emission reductions'!$G1445,EF!$D$100:$D$115,0))*INDEX(EF!$H$132:$H$147,MATCH('Net zero emission reductions'!$G1445,EF!$D$132:$D$147,0))*kgtoGg</f>
        <v>6.9341990543923093E-2</v>
      </c>
      <c r="AH1445" s="22">
        <f>INDEX('Net zero Activity data'!BA$24:BA$39,MATCH('Net zero emission reductions'!$G1445,'Net zero Activity data'!$D$24:$D$39,0))*INDEX(EF!$H$84:$H$99,MATCH('Net zero emission reductions'!$G1445,EF!$D$84:$D$99,0))*INDEX(EF!$H$100:$H$115,MATCH('Net zero emission reductions'!$G1445,EF!$D$100:$D$115,0))*INDEX(EF!$H$132:$H$147,MATCH('Net zero emission reductions'!$G1445,EF!$D$132:$D$147,0))*kgtoGg</f>
        <v>6.931212072843447E-2</v>
      </c>
      <c r="AI1445" s="22">
        <f>INDEX('Net zero Activity data'!BB$24:BB$39,MATCH('Net zero emission reductions'!$G1445,'Net zero Activity data'!$D$24:$D$39,0))*INDEX(EF!$H$84:$H$99,MATCH('Net zero emission reductions'!$G1445,EF!$D$84:$D$99,0))*INDEX(EF!$H$100:$H$115,MATCH('Net zero emission reductions'!$G1445,EF!$D$100:$D$115,0))*INDEX(EF!$H$132:$H$147,MATCH('Net zero emission reductions'!$G1445,EF!$D$132:$D$147,0))*kgtoGg</f>
        <v>6.9282250912945875E-2</v>
      </c>
      <c r="AJ1445" s="22">
        <f>INDEX('Net zero Activity data'!BC$24:BC$39,MATCH('Net zero emission reductions'!$G1445,'Net zero Activity data'!$D$24:$D$39,0))*INDEX(EF!$H$84:$H$99,MATCH('Net zero emission reductions'!$G1445,EF!$D$84:$D$99,0))*INDEX(EF!$H$100:$H$115,MATCH('Net zero emission reductions'!$G1445,EF!$D$100:$D$115,0))*INDEX(EF!$H$132:$H$147,MATCH('Net zero emission reductions'!$G1445,EF!$D$132:$D$147,0))*kgtoGg</f>
        <v>6.9252381097457266E-2</v>
      </c>
      <c r="AK1445" s="22">
        <f>INDEX('Net zero Activity data'!BD$24:BD$39,MATCH('Net zero emission reductions'!$G1445,'Net zero Activity data'!$D$24:$D$39,0))*INDEX(EF!$H$84:$H$99,MATCH('Net zero emission reductions'!$G1445,EF!$D$84:$D$99,0))*INDEX(EF!$H$100:$H$115,MATCH('Net zero emission reductions'!$G1445,EF!$D$100:$D$115,0))*INDEX(EF!$H$132:$H$147,MATCH('Net zero emission reductions'!$G1445,EF!$D$132:$D$147,0))*kgtoGg</f>
        <v>6.9222511281968643E-2</v>
      </c>
      <c r="AL1445" s="22">
        <f>INDEX('Net zero Activity data'!BE$24:BE$39,MATCH('Net zero emission reductions'!$G1445,'Net zero Activity data'!$D$24:$D$39,0))*INDEX(EF!$H$84:$H$99,MATCH('Net zero emission reductions'!$G1445,EF!$D$84:$D$99,0))*INDEX(EF!$H$100:$H$115,MATCH('Net zero emission reductions'!$G1445,EF!$D$100:$D$115,0))*INDEX(EF!$H$132:$H$147,MATCH('Net zero emission reductions'!$G1445,EF!$D$132:$D$147,0))*kgtoGg</f>
        <v>6.9192641466480048E-2</v>
      </c>
      <c r="AM1445" s="22">
        <f>INDEX('Net zero Activity data'!BF$24:BF$39,MATCH('Net zero emission reductions'!$G1445,'Net zero Activity data'!$D$24:$D$39,0))*INDEX(EF!$H$84:$H$99,MATCH('Net zero emission reductions'!$G1445,EF!$D$84:$D$99,0))*INDEX(EF!$H$100:$H$115,MATCH('Net zero emission reductions'!$G1445,EF!$D$100:$D$115,0))*INDEX(EF!$H$132:$H$147,MATCH('Net zero emission reductions'!$G1445,EF!$D$132:$D$147,0))*kgtoGg</f>
        <v>6.9162771650991453E-2</v>
      </c>
      <c r="AN1445" s="22">
        <f>INDEX('Net zero Activity data'!BG$24:BG$39,MATCH('Net zero emission reductions'!$G1445,'Net zero Activity data'!$D$24:$D$39,0))*INDEX(EF!$H$84:$H$99,MATCH('Net zero emission reductions'!$G1445,EF!$D$84:$D$99,0))*INDEX(EF!$H$100:$H$115,MATCH('Net zero emission reductions'!$G1445,EF!$D$100:$D$115,0))*INDEX(EF!$H$132:$H$147,MATCH('Net zero emission reductions'!$G1445,EF!$D$132:$D$147,0))*kgtoGg</f>
        <v>6.913290183550283E-2</v>
      </c>
      <c r="AO1445" s="22">
        <f>INDEX('Net zero Activity data'!BH$24:BH$39,MATCH('Net zero emission reductions'!$G1445,'Net zero Activity data'!$D$24:$D$39,0))*INDEX(EF!$H$84:$H$99,MATCH('Net zero emission reductions'!$G1445,EF!$D$84:$D$99,0))*INDEX(EF!$H$100:$H$115,MATCH('Net zero emission reductions'!$G1445,EF!$D$100:$D$115,0))*INDEX(EF!$H$132:$H$147,MATCH('Net zero emission reductions'!$G1445,EF!$D$132:$D$147,0))*kgtoGg</f>
        <v>6.9103032020014235E-2</v>
      </c>
      <c r="AP1445" s="22">
        <f>INDEX('Net zero Activity data'!BI$24:BI$39,MATCH('Net zero emission reductions'!$G1445,'Net zero Activity data'!$D$24:$D$39,0))*INDEX(EF!$H$84:$H$99,MATCH('Net zero emission reductions'!$G1445,EF!$D$84:$D$99,0))*INDEX(EF!$H$100:$H$115,MATCH('Net zero emission reductions'!$G1445,EF!$D$100:$D$115,0))*INDEX(EF!$H$132:$H$147,MATCH('Net zero emission reductions'!$G1445,EF!$D$132:$D$147,0))*kgtoGg</f>
        <v>6.9073162204525626E-2</v>
      </c>
      <c r="AQ1445" s="22">
        <f>INDEX('Net zero Activity data'!BJ$24:BJ$39,MATCH('Net zero emission reductions'!$G1445,'Net zero Activity data'!$D$24:$D$39,0))*INDEX(EF!$H$84:$H$99,MATCH('Net zero emission reductions'!$G1445,EF!$D$84:$D$99,0))*INDEX(EF!$H$100:$H$115,MATCH('Net zero emission reductions'!$G1445,EF!$D$100:$D$115,0))*INDEX(EF!$H$132:$H$147,MATCH('Net zero emission reductions'!$G1445,EF!$D$132:$D$147,0))*kgtoGg</f>
        <v>6.9043292389037031E-2</v>
      </c>
      <c r="AR1445" s="22">
        <f>INDEX('Net zero Activity data'!BK$24:BK$39,MATCH('Net zero emission reductions'!$G1445,'Net zero Activity data'!$D$24:$D$39,0))*INDEX(EF!$H$84:$H$99,MATCH('Net zero emission reductions'!$G1445,EF!$D$84:$D$99,0))*INDEX(EF!$H$100:$H$115,MATCH('Net zero emission reductions'!$G1445,EF!$D$100:$D$115,0))*INDEX(EF!$H$132:$H$147,MATCH('Net zero emission reductions'!$G1445,EF!$D$132:$D$147,0))*kgtoGg</f>
        <v>6.9013422573548422E-2</v>
      </c>
      <c r="AS1445" s="22">
        <f>INDEX('Net zero Activity data'!BL$24:BL$39,MATCH('Net zero emission reductions'!$G1445,'Net zero Activity data'!$D$24:$D$39,0))*INDEX(EF!$H$84:$H$99,MATCH('Net zero emission reductions'!$G1445,EF!$D$84:$D$99,0))*INDEX(EF!$H$100:$H$115,MATCH('Net zero emission reductions'!$G1445,EF!$D$100:$D$115,0))*INDEX(EF!$H$132:$H$147,MATCH('Net zero emission reductions'!$G1445,EF!$D$132:$D$147,0))*kgtoGg</f>
        <v>6.8983552758059813E-2</v>
      </c>
      <c r="AT1445" s="22">
        <f>INDEX('Net zero Activity data'!BM$24:BM$39,MATCH('Net zero emission reductions'!$G1445,'Net zero Activity data'!$D$24:$D$39,0))*INDEX(EF!$H$84:$H$99,MATCH('Net zero emission reductions'!$G1445,EF!$D$84:$D$99,0))*INDEX(EF!$H$100:$H$115,MATCH('Net zero emission reductions'!$G1445,EF!$D$100:$D$115,0))*INDEX(EF!$H$132:$H$147,MATCH('Net zero emission reductions'!$G1445,EF!$D$132:$D$147,0))*kgtoGg</f>
        <v>6.8953682942571204E-2</v>
      </c>
      <c r="AU1445" s="22">
        <f>INDEX('Net zero Activity data'!BN$24:BN$39,MATCH('Net zero emission reductions'!$G1445,'Net zero Activity data'!$D$24:$D$39,0))*INDEX(EF!$H$84:$H$99,MATCH('Net zero emission reductions'!$G1445,EF!$D$84:$D$99,0))*INDEX(EF!$H$100:$H$115,MATCH('Net zero emission reductions'!$G1445,EF!$D$100:$D$115,0))*INDEX(EF!$H$132:$H$147,MATCH('Net zero emission reductions'!$G1445,EF!$D$132:$D$147,0))*kgtoGg</f>
        <v>6.8923813127082581E-2</v>
      </c>
      <c r="AV1445" s="22">
        <f>INDEX('Net zero Activity data'!BO$24:BO$39,MATCH('Net zero emission reductions'!$G1445,'Net zero Activity data'!$D$24:$D$39,0))*INDEX(EF!$H$84:$H$99,MATCH('Net zero emission reductions'!$G1445,EF!$D$84:$D$99,0))*INDEX(EF!$H$100:$H$115,MATCH('Net zero emission reductions'!$G1445,EF!$D$100:$D$115,0))*INDEX(EF!$H$132:$H$147,MATCH('Net zero emission reductions'!$G1445,EF!$D$132:$D$147,0))*kgtoGg</f>
        <v>6.8893943311593986E-2</v>
      </c>
      <c r="AW1445" s="22">
        <f>INDEX('Net zero Activity data'!BP$24:BP$39,MATCH('Net zero emission reductions'!$G1445,'Net zero Activity data'!$D$24:$D$39,0))*INDEX(EF!$H$84:$H$99,MATCH('Net zero emission reductions'!$G1445,EF!$D$84:$D$99,0))*INDEX(EF!$H$100:$H$115,MATCH('Net zero emission reductions'!$G1445,EF!$D$100:$D$115,0))*INDEX(EF!$H$132:$H$147,MATCH('Net zero emission reductions'!$G1445,EF!$D$132:$D$147,0))*kgtoGg</f>
        <v>6.8864073496105391E-2</v>
      </c>
    </row>
    <row r="1446" spans="1:49" x14ac:dyDescent="0.3">
      <c r="A1446" s="95" t="s">
        <v>960</v>
      </c>
      <c r="B1446" s="95"/>
      <c r="C1446" s="95"/>
      <c r="D1446" t="str">
        <f t="shared" si="555"/>
        <v>3C Aggregated and non-CO2 emissions on land</v>
      </c>
      <c r="E1446" t="str">
        <f>E1445</f>
        <v>3C1 Biomass burning (N2O)</v>
      </c>
      <c r="F1446" t="str">
        <f t="shared" ref="F1446:F1460" si="559">F1430</f>
        <v>3C1a Biomass burning in forest land</v>
      </c>
      <c r="G1446" t="str">
        <f>EF!D101</f>
        <v>Thickets</v>
      </c>
      <c r="H1446" t="s">
        <v>642</v>
      </c>
      <c r="I1446" t="str">
        <f>I1445</f>
        <v>N2O</v>
      </c>
      <c r="J1446" t="str">
        <f>J1445</f>
        <v>Gg N2O</v>
      </c>
      <c r="K1446" s="22">
        <f>INDEX('Net zero Activity data'!AD$24:AD$39,MATCH('Net zero emission reductions'!$G1446,'Net zero Activity data'!$D$24:$D$39,0))*INDEX(EF!$H$84:$H$99,MATCH('Net zero emission reductions'!$G1446,EF!$D$84:$D$99,0))*INDEX(EF!$H$100:$H$115,MATCH('Net zero emission reductions'!$G1446,EF!$D$100:$D$115,0))*INDEX(EF!$H$132:$H$147,MATCH('Net zero emission reductions'!$G1446,EF!$D$132:$D$147,0))*kgtoGg</f>
        <v>0.1362211465996048</v>
      </c>
      <c r="L1446" s="22">
        <f>INDEX('Net zero Activity data'!AE$24:AE$39,MATCH('Net zero emission reductions'!$G1446,'Net zero Activity data'!$D$24:$D$39,0))*INDEX(EF!$H$84:$H$99,MATCH('Net zero emission reductions'!$G1446,EF!$D$84:$D$99,0))*INDEX(EF!$H$100:$H$115,MATCH('Net zero emission reductions'!$G1446,EF!$D$100:$D$115,0))*INDEX(EF!$H$132:$H$147,MATCH('Net zero emission reductions'!$G1446,EF!$D$132:$D$147,0))*kgtoGg</f>
        <v>0.13600546655871854</v>
      </c>
      <c r="M1446" s="22">
        <f>INDEX('Net zero Activity data'!AF$24:AF$39,MATCH('Net zero emission reductions'!$G1446,'Net zero Activity data'!$D$24:$D$39,0))*INDEX(EF!$H$84:$H$99,MATCH('Net zero emission reductions'!$G1446,EF!$D$84:$D$99,0))*INDEX(EF!$H$100:$H$115,MATCH('Net zero emission reductions'!$G1446,EF!$D$100:$D$115,0))*INDEX(EF!$H$132:$H$147,MATCH('Net zero emission reductions'!$G1446,EF!$D$132:$D$147,0))*kgtoGg</f>
        <v>0.13578978651783222</v>
      </c>
      <c r="N1446" s="22">
        <f>INDEX('Net zero Activity data'!AG$24:AG$39,MATCH('Net zero emission reductions'!$G1446,'Net zero Activity data'!$D$24:$D$39,0))*INDEX(EF!$H$84:$H$99,MATCH('Net zero emission reductions'!$G1446,EF!$D$84:$D$99,0))*INDEX(EF!$H$100:$H$115,MATCH('Net zero emission reductions'!$G1446,EF!$D$100:$D$115,0))*INDEX(EF!$H$132:$H$147,MATCH('Net zero emission reductions'!$G1446,EF!$D$132:$D$147,0))*kgtoGg</f>
        <v>0.13557410647694595</v>
      </c>
      <c r="O1446" s="22">
        <f>INDEX('Net zero Activity data'!AH$24:AH$39,MATCH('Net zero emission reductions'!$G1446,'Net zero Activity data'!$D$24:$D$39,0))*INDEX(EF!$H$84:$H$99,MATCH('Net zero emission reductions'!$G1446,EF!$D$84:$D$99,0))*INDEX(EF!$H$100:$H$115,MATCH('Net zero emission reductions'!$G1446,EF!$D$100:$D$115,0))*INDEX(EF!$H$132:$H$147,MATCH('Net zero emission reductions'!$G1446,EF!$D$132:$D$147,0))*kgtoGg</f>
        <v>0.13535842643605966</v>
      </c>
      <c r="P1446" s="22">
        <f>INDEX('Net zero Activity data'!AI$24:AI$39,MATCH('Net zero emission reductions'!$G1446,'Net zero Activity data'!$D$24:$D$39,0))*INDEX(EF!$H$84:$H$99,MATCH('Net zero emission reductions'!$G1446,EF!$D$84:$D$99,0))*INDEX(EF!$H$100:$H$115,MATCH('Net zero emission reductions'!$G1446,EF!$D$100:$D$115,0))*INDEX(EF!$H$132:$H$147,MATCH('Net zero emission reductions'!$G1446,EF!$D$132:$D$147,0))*kgtoGg</f>
        <v>0.13514274639517335</v>
      </c>
      <c r="Q1446" s="22">
        <f>INDEX('Net zero Activity data'!AJ$24:AJ$39,MATCH('Net zero emission reductions'!$G1446,'Net zero Activity data'!$D$24:$D$39,0))*INDEX(EF!$H$84:$H$99,MATCH('Net zero emission reductions'!$G1446,EF!$D$84:$D$99,0))*INDEX(EF!$H$100:$H$115,MATCH('Net zero emission reductions'!$G1446,EF!$D$100:$D$115,0))*INDEX(EF!$H$132:$H$147,MATCH('Net zero emission reductions'!$G1446,EF!$D$132:$D$147,0))*kgtoGg</f>
        <v>0.13492706635428708</v>
      </c>
      <c r="R1446" s="22">
        <f>INDEX('Net zero Activity data'!AK$24:AK$39,MATCH('Net zero emission reductions'!$G1446,'Net zero Activity data'!$D$24:$D$39,0))*INDEX(EF!$H$84:$H$99,MATCH('Net zero emission reductions'!$G1446,EF!$D$84:$D$99,0))*INDEX(EF!$H$100:$H$115,MATCH('Net zero emission reductions'!$G1446,EF!$D$100:$D$115,0))*INDEX(EF!$H$132:$H$147,MATCH('Net zero emission reductions'!$G1446,EF!$D$132:$D$147,0))*kgtoGg</f>
        <v>0.13471138631340079</v>
      </c>
      <c r="S1446" s="22">
        <f>INDEX('Net zero Activity data'!AL$24:AL$39,MATCH('Net zero emission reductions'!$G1446,'Net zero Activity data'!$D$24:$D$39,0))*INDEX(EF!$H$84:$H$99,MATCH('Net zero emission reductions'!$G1446,EF!$D$84:$D$99,0))*INDEX(EF!$H$100:$H$115,MATCH('Net zero emission reductions'!$G1446,EF!$D$100:$D$115,0))*INDEX(EF!$H$132:$H$147,MATCH('Net zero emission reductions'!$G1446,EF!$D$132:$D$147,0))*kgtoGg</f>
        <v>0.13449570627251453</v>
      </c>
      <c r="T1446" s="22">
        <f>INDEX('Net zero Activity data'!AM$24:AM$39,MATCH('Net zero emission reductions'!$G1446,'Net zero Activity data'!$D$24:$D$39,0))*INDEX(EF!$H$84:$H$99,MATCH('Net zero emission reductions'!$G1446,EF!$D$84:$D$99,0))*INDEX(EF!$H$100:$H$115,MATCH('Net zero emission reductions'!$G1446,EF!$D$100:$D$115,0))*INDEX(EF!$H$132:$H$147,MATCH('Net zero emission reductions'!$G1446,EF!$D$132:$D$147,0))*kgtoGg</f>
        <v>0.13428002623162824</v>
      </c>
      <c r="U1446" s="22">
        <f>INDEX('Net zero Activity data'!AN$24:AN$39,MATCH('Net zero emission reductions'!$G1446,'Net zero Activity data'!$D$24:$D$39,0))*INDEX(EF!$H$84:$H$99,MATCH('Net zero emission reductions'!$G1446,EF!$D$84:$D$99,0))*INDEX(EF!$H$100:$H$115,MATCH('Net zero emission reductions'!$G1446,EF!$D$100:$D$115,0))*INDEX(EF!$H$132:$H$147,MATCH('Net zero emission reductions'!$G1446,EF!$D$132:$D$147,0))*kgtoGg</f>
        <v>0.13406434619074192</v>
      </c>
      <c r="V1446" s="22">
        <f>INDEX('Net zero Activity data'!AO$24:AO$39,MATCH('Net zero emission reductions'!$G1446,'Net zero Activity data'!$D$24:$D$39,0))*INDEX(EF!$H$84:$H$99,MATCH('Net zero emission reductions'!$G1446,EF!$D$84:$D$99,0))*INDEX(EF!$H$100:$H$115,MATCH('Net zero emission reductions'!$G1446,EF!$D$100:$D$115,0))*INDEX(EF!$H$132:$H$147,MATCH('Net zero emission reductions'!$G1446,EF!$D$132:$D$147,0))*kgtoGg</f>
        <v>0.13384866614985566</v>
      </c>
      <c r="W1446" s="22">
        <f>INDEX('Net zero Activity data'!AP$24:AP$39,MATCH('Net zero emission reductions'!$G1446,'Net zero Activity data'!$D$24:$D$39,0))*INDEX(EF!$H$84:$H$99,MATCH('Net zero emission reductions'!$G1446,EF!$D$84:$D$99,0))*INDEX(EF!$H$100:$H$115,MATCH('Net zero emission reductions'!$G1446,EF!$D$100:$D$115,0))*INDEX(EF!$H$132:$H$147,MATCH('Net zero emission reductions'!$G1446,EF!$D$132:$D$147,0))*kgtoGg</f>
        <v>0.1336329861089694</v>
      </c>
      <c r="X1446" s="22">
        <f>INDEX('Net zero Activity data'!AQ$24:AQ$39,MATCH('Net zero emission reductions'!$G1446,'Net zero Activity data'!$D$24:$D$39,0))*INDEX(EF!$H$84:$H$99,MATCH('Net zero emission reductions'!$G1446,EF!$D$84:$D$99,0))*INDEX(EF!$H$100:$H$115,MATCH('Net zero emission reductions'!$G1446,EF!$D$100:$D$115,0))*INDEX(EF!$H$132:$H$147,MATCH('Net zero emission reductions'!$G1446,EF!$D$132:$D$147,0))*kgtoGg</f>
        <v>0.13341730606808308</v>
      </c>
      <c r="Y1446" s="22">
        <f>INDEX('Net zero Activity data'!AR$24:AR$39,MATCH('Net zero emission reductions'!$G1446,'Net zero Activity data'!$D$24:$D$39,0))*INDEX(EF!$H$84:$H$99,MATCH('Net zero emission reductions'!$G1446,EF!$D$84:$D$99,0))*INDEX(EF!$H$100:$H$115,MATCH('Net zero emission reductions'!$G1446,EF!$D$100:$D$115,0))*INDEX(EF!$H$132:$H$147,MATCH('Net zero emission reductions'!$G1446,EF!$D$132:$D$147,0))*kgtoGg</f>
        <v>0.13320162602719682</v>
      </c>
      <c r="Z1446" s="22">
        <f>INDEX('Net zero Activity data'!AS$24:AS$39,MATCH('Net zero emission reductions'!$G1446,'Net zero Activity data'!$D$24:$D$39,0))*INDEX(EF!$H$84:$H$99,MATCH('Net zero emission reductions'!$G1446,EF!$D$84:$D$99,0))*INDEX(EF!$H$100:$H$115,MATCH('Net zero emission reductions'!$G1446,EF!$D$100:$D$115,0))*INDEX(EF!$H$132:$H$147,MATCH('Net zero emission reductions'!$G1446,EF!$D$132:$D$147,0))*kgtoGg</f>
        <v>0.1329859459863105</v>
      </c>
      <c r="AA1446" s="22">
        <f>INDEX('Net zero Activity data'!AT$24:AT$39,MATCH('Net zero emission reductions'!$G1446,'Net zero Activity data'!$D$24:$D$39,0))*INDEX(EF!$H$84:$H$99,MATCH('Net zero emission reductions'!$G1446,EF!$D$84:$D$99,0))*INDEX(EF!$H$100:$H$115,MATCH('Net zero emission reductions'!$G1446,EF!$D$100:$D$115,0))*INDEX(EF!$H$132:$H$147,MATCH('Net zero emission reductions'!$G1446,EF!$D$132:$D$147,0))*kgtoGg</f>
        <v>0.13277026594542424</v>
      </c>
      <c r="AB1446" s="22">
        <f>INDEX('Net zero Activity data'!AU$24:AU$39,MATCH('Net zero emission reductions'!$G1446,'Net zero Activity data'!$D$24:$D$39,0))*INDEX(EF!$H$84:$H$99,MATCH('Net zero emission reductions'!$G1446,EF!$D$84:$D$99,0))*INDEX(EF!$H$100:$H$115,MATCH('Net zero emission reductions'!$G1446,EF!$D$100:$D$115,0))*INDEX(EF!$H$132:$H$147,MATCH('Net zero emission reductions'!$G1446,EF!$D$132:$D$147,0))*kgtoGg</f>
        <v>0.13255458590453795</v>
      </c>
      <c r="AC1446" s="22">
        <f>INDEX('Net zero Activity data'!AV$24:AV$39,MATCH('Net zero emission reductions'!$G1446,'Net zero Activity data'!$D$24:$D$39,0))*INDEX(EF!$H$84:$H$99,MATCH('Net zero emission reductions'!$G1446,EF!$D$84:$D$99,0))*INDEX(EF!$H$100:$H$115,MATCH('Net zero emission reductions'!$G1446,EF!$D$100:$D$115,0))*INDEX(EF!$H$132:$H$147,MATCH('Net zero emission reductions'!$G1446,EF!$D$132:$D$147,0))*kgtoGg</f>
        <v>0.13233890586365168</v>
      </c>
      <c r="AD1446" s="22">
        <f>INDEX('Net zero Activity data'!AW$24:AW$39,MATCH('Net zero emission reductions'!$G1446,'Net zero Activity data'!$D$24:$D$39,0))*INDEX(EF!$H$84:$H$99,MATCH('Net zero emission reductions'!$G1446,EF!$D$84:$D$99,0))*INDEX(EF!$H$100:$H$115,MATCH('Net zero emission reductions'!$G1446,EF!$D$100:$D$115,0))*INDEX(EF!$H$132:$H$147,MATCH('Net zero emission reductions'!$G1446,EF!$D$132:$D$147,0))*kgtoGg</f>
        <v>0.13212322582276539</v>
      </c>
      <c r="AE1446" s="22">
        <f>INDEX('Net zero Activity data'!AX$24:AX$39,MATCH('Net zero emission reductions'!$G1446,'Net zero Activity data'!$D$24:$D$39,0))*INDEX(EF!$H$84:$H$99,MATCH('Net zero emission reductions'!$G1446,EF!$D$84:$D$99,0))*INDEX(EF!$H$100:$H$115,MATCH('Net zero emission reductions'!$G1446,EF!$D$100:$D$115,0))*INDEX(EF!$H$132:$H$147,MATCH('Net zero emission reductions'!$G1446,EF!$D$132:$D$147,0))*kgtoGg</f>
        <v>0.1319075457818791</v>
      </c>
      <c r="AF1446" s="22">
        <f>INDEX('Net zero Activity data'!AY$24:AY$39,MATCH('Net zero emission reductions'!$G1446,'Net zero Activity data'!$D$24:$D$39,0))*INDEX(EF!$H$84:$H$99,MATCH('Net zero emission reductions'!$G1446,EF!$D$84:$D$99,0))*INDEX(EF!$H$100:$H$115,MATCH('Net zero emission reductions'!$G1446,EF!$D$100:$D$115,0))*INDEX(EF!$H$132:$H$147,MATCH('Net zero emission reductions'!$G1446,EF!$D$132:$D$147,0))*kgtoGg</f>
        <v>0.13169186574099281</v>
      </c>
      <c r="AG1446" s="22">
        <f>INDEX('Net zero Activity data'!AZ$24:AZ$39,MATCH('Net zero emission reductions'!$G1446,'Net zero Activity data'!$D$24:$D$39,0))*INDEX(EF!$H$84:$H$99,MATCH('Net zero emission reductions'!$G1446,EF!$D$84:$D$99,0))*INDEX(EF!$H$100:$H$115,MATCH('Net zero emission reductions'!$G1446,EF!$D$100:$D$115,0))*INDEX(EF!$H$132:$H$147,MATCH('Net zero emission reductions'!$G1446,EF!$D$132:$D$147,0))*kgtoGg</f>
        <v>0.13147618570010652</v>
      </c>
      <c r="AH1446" s="22">
        <f>INDEX('Net zero Activity data'!BA$24:BA$39,MATCH('Net zero emission reductions'!$G1446,'Net zero Activity data'!$D$24:$D$39,0))*INDEX(EF!$H$84:$H$99,MATCH('Net zero emission reductions'!$G1446,EF!$D$84:$D$99,0))*INDEX(EF!$H$100:$H$115,MATCH('Net zero emission reductions'!$G1446,EF!$D$100:$D$115,0))*INDEX(EF!$H$132:$H$147,MATCH('Net zero emission reductions'!$G1446,EF!$D$132:$D$147,0))*kgtoGg</f>
        <v>0.13126050565922026</v>
      </c>
      <c r="AI1446" s="22">
        <f>INDEX('Net zero Activity data'!BB$24:BB$39,MATCH('Net zero emission reductions'!$G1446,'Net zero Activity data'!$D$24:$D$39,0))*INDEX(EF!$H$84:$H$99,MATCH('Net zero emission reductions'!$G1446,EF!$D$84:$D$99,0))*INDEX(EF!$H$100:$H$115,MATCH('Net zero emission reductions'!$G1446,EF!$D$100:$D$115,0))*INDEX(EF!$H$132:$H$147,MATCH('Net zero emission reductions'!$G1446,EF!$D$132:$D$147,0))*kgtoGg</f>
        <v>0.13104482561833397</v>
      </c>
      <c r="AJ1446" s="22">
        <f>INDEX('Net zero Activity data'!BC$24:BC$39,MATCH('Net zero emission reductions'!$G1446,'Net zero Activity data'!$D$24:$D$39,0))*INDEX(EF!$H$84:$H$99,MATCH('Net zero emission reductions'!$G1446,EF!$D$84:$D$99,0))*INDEX(EF!$H$100:$H$115,MATCH('Net zero emission reductions'!$G1446,EF!$D$100:$D$115,0))*INDEX(EF!$H$132:$H$147,MATCH('Net zero emission reductions'!$G1446,EF!$D$132:$D$147,0))*kgtoGg</f>
        <v>0.13082914557744768</v>
      </c>
      <c r="AK1446" s="22">
        <f>INDEX('Net zero Activity data'!BD$24:BD$39,MATCH('Net zero emission reductions'!$G1446,'Net zero Activity data'!$D$24:$D$39,0))*INDEX(EF!$H$84:$H$99,MATCH('Net zero emission reductions'!$G1446,EF!$D$84:$D$99,0))*INDEX(EF!$H$100:$H$115,MATCH('Net zero emission reductions'!$G1446,EF!$D$100:$D$115,0))*INDEX(EF!$H$132:$H$147,MATCH('Net zero emission reductions'!$G1446,EF!$D$132:$D$147,0))*kgtoGg</f>
        <v>0.13061346553656142</v>
      </c>
      <c r="AL1446" s="22">
        <f>INDEX('Net zero Activity data'!BE$24:BE$39,MATCH('Net zero emission reductions'!$G1446,'Net zero Activity data'!$D$24:$D$39,0))*INDEX(EF!$H$84:$H$99,MATCH('Net zero emission reductions'!$G1446,EF!$D$84:$D$99,0))*INDEX(EF!$H$100:$H$115,MATCH('Net zero emission reductions'!$G1446,EF!$D$100:$D$115,0))*INDEX(EF!$H$132:$H$147,MATCH('Net zero emission reductions'!$G1446,EF!$D$132:$D$147,0))*kgtoGg</f>
        <v>0.13039778549567513</v>
      </c>
      <c r="AM1446" s="22">
        <f>INDEX('Net zero Activity data'!BF$24:BF$39,MATCH('Net zero emission reductions'!$G1446,'Net zero Activity data'!$D$24:$D$39,0))*INDEX(EF!$H$84:$H$99,MATCH('Net zero emission reductions'!$G1446,EF!$D$84:$D$99,0))*INDEX(EF!$H$100:$H$115,MATCH('Net zero emission reductions'!$G1446,EF!$D$100:$D$115,0))*INDEX(EF!$H$132:$H$147,MATCH('Net zero emission reductions'!$G1446,EF!$D$132:$D$147,0))*kgtoGg</f>
        <v>0.13018210545478884</v>
      </c>
      <c r="AN1446" s="22">
        <f>INDEX('Net zero Activity data'!BG$24:BG$39,MATCH('Net zero emission reductions'!$G1446,'Net zero Activity data'!$D$24:$D$39,0))*INDEX(EF!$H$84:$H$99,MATCH('Net zero emission reductions'!$G1446,EF!$D$84:$D$99,0))*INDEX(EF!$H$100:$H$115,MATCH('Net zero emission reductions'!$G1446,EF!$D$100:$D$115,0))*INDEX(EF!$H$132:$H$147,MATCH('Net zero emission reductions'!$G1446,EF!$D$132:$D$147,0))*kgtoGg</f>
        <v>0.12996642541390255</v>
      </c>
      <c r="AO1446" s="22">
        <f>INDEX('Net zero Activity data'!BH$24:BH$39,MATCH('Net zero emission reductions'!$G1446,'Net zero Activity data'!$D$24:$D$39,0))*INDEX(EF!$H$84:$H$99,MATCH('Net zero emission reductions'!$G1446,EF!$D$84:$D$99,0))*INDEX(EF!$H$100:$H$115,MATCH('Net zero emission reductions'!$G1446,EF!$D$100:$D$115,0))*INDEX(EF!$H$132:$H$147,MATCH('Net zero emission reductions'!$G1446,EF!$D$132:$D$147,0))*kgtoGg</f>
        <v>0.12975074537301626</v>
      </c>
      <c r="AP1446" s="22">
        <f>INDEX('Net zero Activity data'!BI$24:BI$39,MATCH('Net zero emission reductions'!$G1446,'Net zero Activity data'!$D$24:$D$39,0))*INDEX(EF!$H$84:$H$99,MATCH('Net zero emission reductions'!$G1446,EF!$D$84:$D$99,0))*INDEX(EF!$H$100:$H$115,MATCH('Net zero emission reductions'!$G1446,EF!$D$100:$D$115,0))*INDEX(EF!$H$132:$H$147,MATCH('Net zero emission reductions'!$G1446,EF!$D$132:$D$147,0))*kgtoGg</f>
        <v>0.12953506533212999</v>
      </c>
      <c r="AQ1446" s="22">
        <f>INDEX('Net zero Activity data'!BJ$24:BJ$39,MATCH('Net zero emission reductions'!$G1446,'Net zero Activity data'!$D$24:$D$39,0))*INDEX(EF!$H$84:$H$99,MATCH('Net zero emission reductions'!$G1446,EF!$D$84:$D$99,0))*INDEX(EF!$H$100:$H$115,MATCH('Net zero emission reductions'!$G1446,EF!$D$100:$D$115,0))*INDEX(EF!$H$132:$H$147,MATCH('Net zero emission reductions'!$G1446,EF!$D$132:$D$147,0))*kgtoGg</f>
        <v>0.12931938529124368</v>
      </c>
      <c r="AR1446" s="22">
        <f>INDEX('Net zero Activity data'!BK$24:BK$39,MATCH('Net zero emission reductions'!$G1446,'Net zero Activity data'!$D$24:$D$39,0))*INDEX(EF!$H$84:$H$99,MATCH('Net zero emission reductions'!$G1446,EF!$D$84:$D$99,0))*INDEX(EF!$H$100:$H$115,MATCH('Net zero emission reductions'!$G1446,EF!$D$100:$D$115,0))*INDEX(EF!$H$132:$H$147,MATCH('Net zero emission reductions'!$G1446,EF!$D$132:$D$147,0))*kgtoGg</f>
        <v>0.12910370525035741</v>
      </c>
      <c r="AS1446" s="22">
        <f>INDEX('Net zero Activity data'!BL$24:BL$39,MATCH('Net zero emission reductions'!$G1446,'Net zero Activity data'!$D$24:$D$39,0))*INDEX(EF!$H$84:$H$99,MATCH('Net zero emission reductions'!$G1446,EF!$D$84:$D$99,0))*INDEX(EF!$H$100:$H$115,MATCH('Net zero emission reductions'!$G1446,EF!$D$100:$D$115,0))*INDEX(EF!$H$132:$H$147,MATCH('Net zero emission reductions'!$G1446,EF!$D$132:$D$147,0))*kgtoGg</f>
        <v>0.12888802520947112</v>
      </c>
      <c r="AT1446" s="22">
        <f>INDEX('Net zero Activity data'!BM$24:BM$39,MATCH('Net zero emission reductions'!$G1446,'Net zero Activity data'!$D$24:$D$39,0))*INDEX(EF!$H$84:$H$99,MATCH('Net zero emission reductions'!$G1446,EF!$D$84:$D$99,0))*INDEX(EF!$H$100:$H$115,MATCH('Net zero emission reductions'!$G1446,EF!$D$100:$D$115,0))*INDEX(EF!$H$132:$H$147,MATCH('Net zero emission reductions'!$G1446,EF!$D$132:$D$147,0))*kgtoGg</f>
        <v>0.12867234516858483</v>
      </c>
      <c r="AU1446" s="22">
        <f>INDEX('Net zero Activity data'!BN$24:BN$39,MATCH('Net zero emission reductions'!$G1446,'Net zero Activity data'!$D$24:$D$39,0))*INDEX(EF!$H$84:$H$99,MATCH('Net zero emission reductions'!$G1446,EF!$D$84:$D$99,0))*INDEX(EF!$H$100:$H$115,MATCH('Net zero emission reductions'!$G1446,EF!$D$100:$D$115,0))*INDEX(EF!$H$132:$H$147,MATCH('Net zero emission reductions'!$G1446,EF!$D$132:$D$147,0))*kgtoGg</f>
        <v>0.12845666512769857</v>
      </c>
      <c r="AV1446" s="22">
        <f>INDEX('Net zero Activity data'!BO$24:BO$39,MATCH('Net zero emission reductions'!$G1446,'Net zero Activity data'!$D$24:$D$39,0))*INDEX(EF!$H$84:$H$99,MATCH('Net zero emission reductions'!$G1446,EF!$D$84:$D$99,0))*INDEX(EF!$H$100:$H$115,MATCH('Net zero emission reductions'!$G1446,EF!$D$100:$D$115,0))*INDEX(EF!$H$132:$H$147,MATCH('Net zero emission reductions'!$G1446,EF!$D$132:$D$147,0))*kgtoGg</f>
        <v>0.12824098508681228</v>
      </c>
      <c r="AW1446" s="22">
        <f>INDEX('Net zero Activity data'!BP$24:BP$39,MATCH('Net zero emission reductions'!$G1446,'Net zero Activity data'!$D$24:$D$39,0))*INDEX(EF!$H$84:$H$99,MATCH('Net zero emission reductions'!$G1446,EF!$D$84:$D$99,0))*INDEX(EF!$H$100:$H$115,MATCH('Net zero emission reductions'!$G1446,EF!$D$100:$D$115,0))*INDEX(EF!$H$132:$H$147,MATCH('Net zero emission reductions'!$G1446,EF!$D$132:$D$147,0))*kgtoGg</f>
        <v>0.12802530504592599</v>
      </c>
    </row>
    <row r="1447" spans="1:49" x14ac:dyDescent="0.3">
      <c r="A1447" s="95" t="s">
        <v>960</v>
      </c>
      <c r="B1447" s="95"/>
      <c r="C1447" s="95"/>
      <c r="D1447" t="str">
        <f t="shared" ref="D1447:E1460" si="560">D1446</f>
        <v>3C Aggregated and non-CO2 emissions on land</v>
      </c>
      <c r="E1447" t="str">
        <f t="shared" si="560"/>
        <v>3C1 Biomass burning (N2O)</v>
      </c>
      <c r="F1447" t="str">
        <f t="shared" si="559"/>
        <v>3C1a Biomass burning in forest land</v>
      </c>
      <c r="G1447" t="str">
        <f>EF!D102</f>
        <v>Woodlands</v>
      </c>
      <c r="H1447" t="s">
        <v>643</v>
      </c>
      <c r="I1447" t="str">
        <f t="shared" ref="I1447:J1460" si="561">I1446</f>
        <v>N2O</v>
      </c>
      <c r="J1447" t="str">
        <f t="shared" si="561"/>
        <v>Gg N2O</v>
      </c>
      <c r="K1447" s="22">
        <f>INDEX('Net zero Activity data'!AD$24:AD$39,MATCH('Net zero emission reductions'!$G1447,'Net zero Activity data'!$D$24:$D$39,0))*INDEX(EF!$H$84:$H$99,MATCH('Net zero emission reductions'!$G1447,EF!$D$84:$D$99,0))*INDEX(EF!$H$100:$H$115,MATCH('Net zero emission reductions'!$G1447,EF!$D$100:$D$115,0))*INDEX(EF!$H$132:$H$147,MATCH('Net zero emission reductions'!$G1447,EF!$D$132:$D$147,0))*kgtoGg</f>
        <v>0.49109158898115401</v>
      </c>
      <c r="L1447" s="22">
        <f>INDEX('Net zero Activity data'!AE$24:AE$39,MATCH('Net zero emission reductions'!$G1447,'Net zero Activity data'!$D$24:$D$39,0))*INDEX(EF!$H$84:$H$99,MATCH('Net zero emission reductions'!$G1447,EF!$D$84:$D$99,0))*INDEX(EF!$H$100:$H$115,MATCH('Net zero emission reductions'!$G1447,EF!$D$100:$D$115,0))*INDEX(EF!$H$132:$H$147,MATCH('Net zero emission reductions'!$G1447,EF!$D$132:$D$147,0))*kgtoGg</f>
        <v>0.49195173492320404</v>
      </c>
      <c r="M1447" s="22">
        <f>INDEX('Net zero Activity data'!AF$24:AF$39,MATCH('Net zero emission reductions'!$G1447,'Net zero Activity data'!$D$24:$D$39,0))*INDEX(EF!$H$84:$H$99,MATCH('Net zero emission reductions'!$G1447,EF!$D$84:$D$99,0))*INDEX(EF!$H$100:$H$115,MATCH('Net zero emission reductions'!$G1447,EF!$D$100:$D$115,0))*INDEX(EF!$H$132:$H$147,MATCH('Net zero emission reductions'!$G1447,EF!$D$132:$D$147,0))*kgtoGg</f>
        <v>0.49281188086525413</v>
      </c>
      <c r="N1447" s="22">
        <f>INDEX('Net zero Activity data'!AG$24:AG$39,MATCH('Net zero emission reductions'!$G1447,'Net zero Activity data'!$D$24:$D$39,0))*INDEX(EF!$H$84:$H$99,MATCH('Net zero emission reductions'!$G1447,EF!$D$84:$D$99,0))*INDEX(EF!$H$100:$H$115,MATCH('Net zero emission reductions'!$G1447,EF!$D$100:$D$115,0))*INDEX(EF!$H$132:$H$147,MATCH('Net zero emission reductions'!$G1447,EF!$D$132:$D$147,0))*kgtoGg</f>
        <v>0.49367202680730427</v>
      </c>
      <c r="O1447" s="22">
        <f>INDEX('Net zero Activity data'!AH$24:AH$39,MATCH('Net zero emission reductions'!$G1447,'Net zero Activity data'!$D$24:$D$39,0))*INDEX(EF!$H$84:$H$99,MATCH('Net zero emission reductions'!$G1447,EF!$D$84:$D$99,0))*INDEX(EF!$H$100:$H$115,MATCH('Net zero emission reductions'!$G1447,EF!$D$100:$D$115,0))*INDEX(EF!$H$132:$H$147,MATCH('Net zero emission reductions'!$G1447,EF!$D$132:$D$147,0))*kgtoGg</f>
        <v>0.49453217274935435</v>
      </c>
      <c r="P1447" s="22">
        <f>INDEX('Net zero Activity data'!AI$24:AI$39,MATCH('Net zero emission reductions'!$G1447,'Net zero Activity data'!$D$24:$D$39,0))*INDEX(EF!$H$84:$H$99,MATCH('Net zero emission reductions'!$G1447,EF!$D$84:$D$99,0))*INDEX(EF!$H$100:$H$115,MATCH('Net zero emission reductions'!$G1447,EF!$D$100:$D$115,0))*INDEX(EF!$H$132:$H$147,MATCH('Net zero emission reductions'!$G1447,EF!$D$132:$D$147,0))*kgtoGg</f>
        <v>0.49539231869140443</v>
      </c>
      <c r="Q1447" s="22">
        <f>INDEX('Net zero Activity data'!AJ$24:AJ$39,MATCH('Net zero emission reductions'!$G1447,'Net zero Activity data'!$D$24:$D$39,0))*INDEX(EF!$H$84:$H$99,MATCH('Net zero emission reductions'!$G1447,EF!$D$84:$D$99,0))*INDEX(EF!$H$100:$H$115,MATCH('Net zero emission reductions'!$G1447,EF!$D$100:$D$115,0))*INDEX(EF!$H$132:$H$147,MATCH('Net zero emission reductions'!$G1447,EF!$D$132:$D$147,0))*kgtoGg</f>
        <v>0.49625246463345457</v>
      </c>
      <c r="R1447" s="22">
        <f>INDEX('Net zero Activity data'!AK$24:AK$39,MATCH('Net zero emission reductions'!$G1447,'Net zero Activity data'!$D$24:$D$39,0))*INDEX(EF!$H$84:$H$99,MATCH('Net zero emission reductions'!$G1447,EF!$D$84:$D$99,0))*INDEX(EF!$H$100:$H$115,MATCH('Net zero emission reductions'!$G1447,EF!$D$100:$D$115,0))*INDEX(EF!$H$132:$H$147,MATCH('Net zero emission reductions'!$G1447,EF!$D$132:$D$147,0))*kgtoGg</f>
        <v>0.49279385642925139</v>
      </c>
      <c r="S1447" s="22">
        <f>INDEX('Net zero Activity data'!AL$24:AL$39,MATCH('Net zero emission reductions'!$G1447,'Net zero Activity data'!$D$24:$D$39,0))*INDEX(EF!$H$84:$H$99,MATCH('Net zero emission reductions'!$G1447,EF!$D$84:$D$99,0))*INDEX(EF!$H$100:$H$115,MATCH('Net zero emission reductions'!$G1447,EF!$D$100:$D$115,0))*INDEX(EF!$H$132:$H$147,MATCH('Net zero emission reductions'!$G1447,EF!$D$132:$D$147,0))*kgtoGg</f>
        <v>0.48933524822504815</v>
      </c>
      <c r="T1447" s="22">
        <f>INDEX('Net zero Activity data'!AM$24:AM$39,MATCH('Net zero emission reductions'!$G1447,'Net zero Activity data'!$D$24:$D$39,0))*INDEX(EF!$H$84:$H$99,MATCH('Net zero emission reductions'!$G1447,EF!$D$84:$D$99,0))*INDEX(EF!$H$100:$H$115,MATCH('Net zero emission reductions'!$G1447,EF!$D$100:$D$115,0))*INDEX(EF!$H$132:$H$147,MATCH('Net zero emission reductions'!$G1447,EF!$D$132:$D$147,0))*kgtoGg</f>
        <v>0.48587664002084496</v>
      </c>
      <c r="U1447" s="22">
        <f>INDEX('Net zero Activity data'!AN$24:AN$39,MATCH('Net zero emission reductions'!$G1447,'Net zero Activity data'!$D$24:$D$39,0))*INDEX(EF!$H$84:$H$99,MATCH('Net zero emission reductions'!$G1447,EF!$D$84:$D$99,0))*INDEX(EF!$H$100:$H$115,MATCH('Net zero emission reductions'!$G1447,EF!$D$100:$D$115,0))*INDEX(EF!$H$132:$H$147,MATCH('Net zero emission reductions'!$G1447,EF!$D$132:$D$147,0))*kgtoGg</f>
        <v>0.48241803181664178</v>
      </c>
      <c r="V1447" s="22">
        <f>INDEX('Net zero Activity data'!AO$24:AO$39,MATCH('Net zero emission reductions'!$G1447,'Net zero Activity data'!$D$24:$D$39,0))*INDEX(EF!$H$84:$H$99,MATCH('Net zero emission reductions'!$G1447,EF!$D$84:$D$99,0))*INDEX(EF!$H$100:$H$115,MATCH('Net zero emission reductions'!$G1447,EF!$D$100:$D$115,0))*INDEX(EF!$H$132:$H$147,MATCH('Net zero emission reductions'!$G1447,EF!$D$132:$D$147,0))*kgtoGg</f>
        <v>0.47895942361243865</v>
      </c>
      <c r="W1447" s="22">
        <f>INDEX('Net zero Activity data'!AP$24:AP$39,MATCH('Net zero emission reductions'!$G1447,'Net zero Activity data'!$D$24:$D$39,0))*INDEX(EF!$H$84:$H$99,MATCH('Net zero emission reductions'!$G1447,EF!$D$84:$D$99,0))*INDEX(EF!$H$100:$H$115,MATCH('Net zero emission reductions'!$G1447,EF!$D$100:$D$115,0))*INDEX(EF!$H$132:$H$147,MATCH('Net zero emission reductions'!$G1447,EF!$D$132:$D$147,0))*kgtoGg</f>
        <v>0.47550081540823552</v>
      </c>
      <c r="X1447" s="22">
        <f>INDEX('Net zero Activity data'!AQ$24:AQ$39,MATCH('Net zero emission reductions'!$G1447,'Net zero Activity data'!$D$24:$D$39,0))*INDEX(EF!$H$84:$H$99,MATCH('Net zero emission reductions'!$G1447,EF!$D$84:$D$99,0))*INDEX(EF!$H$100:$H$115,MATCH('Net zero emission reductions'!$G1447,EF!$D$100:$D$115,0))*INDEX(EF!$H$132:$H$147,MATCH('Net zero emission reductions'!$G1447,EF!$D$132:$D$147,0))*kgtoGg</f>
        <v>0.47204220720403234</v>
      </c>
      <c r="Y1447" s="22">
        <f>INDEX('Net zero Activity data'!AR$24:AR$39,MATCH('Net zero emission reductions'!$G1447,'Net zero Activity data'!$D$24:$D$39,0))*INDEX(EF!$H$84:$H$99,MATCH('Net zero emission reductions'!$G1447,EF!$D$84:$D$99,0))*INDEX(EF!$H$100:$H$115,MATCH('Net zero emission reductions'!$G1447,EF!$D$100:$D$115,0))*INDEX(EF!$H$132:$H$147,MATCH('Net zero emission reductions'!$G1447,EF!$D$132:$D$147,0))*kgtoGg</f>
        <v>0.46858359899982904</v>
      </c>
      <c r="Z1447" s="22">
        <f>INDEX('Net zero Activity data'!AS$24:AS$39,MATCH('Net zero emission reductions'!$G1447,'Net zero Activity data'!$D$24:$D$39,0))*INDEX(EF!$H$84:$H$99,MATCH('Net zero emission reductions'!$G1447,EF!$D$84:$D$99,0))*INDEX(EF!$H$100:$H$115,MATCH('Net zero emission reductions'!$G1447,EF!$D$100:$D$115,0))*INDEX(EF!$H$132:$H$147,MATCH('Net zero emission reductions'!$G1447,EF!$D$132:$D$147,0))*kgtoGg</f>
        <v>0.46512499079562586</v>
      </c>
      <c r="AA1447" s="22">
        <f>INDEX('Net zero Activity data'!AT$24:AT$39,MATCH('Net zero emission reductions'!$G1447,'Net zero Activity data'!$D$24:$D$39,0))*INDEX(EF!$H$84:$H$99,MATCH('Net zero emission reductions'!$G1447,EF!$D$84:$D$99,0))*INDEX(EF!$H$100:$H$115,MATCH('Net zero emission reductions'!$G1447,EF!$D$100:$D$115,0))*INDEX(EF!$H$132:$H$147,MATCH('Net zero emission reductions'!$G1447,EF!$D$132:$D$147,0))*kgtoGg</f>
        <v>0.46166638259142267</v>
      </c>
      <c r="AB1447" s="22">
        <f>INDEX('Net zero Activity data'!AU$24:AU$39,MATCH('Net zero emission reductions'!$G1447,'Net zero Activity data'!$D$24:$D$39,0))*INDEX(EF!$H$84:$H$99,MATCH('Net zero emission reductions'!$G1447,EF!$D$84:$D$99,0))*INDEX(EF!$H$100:$H$115,MATCH('Net zero emission reductions'!$G1447,EF!$D$100:$D$115,0))*INDEX(EF!$H$132:$H$147,MATCH('Net zero emission reductions'!$G1447,EF!$D$132:$D$147,0))*kgtoGg</f>
        <v>0.45820777438721955</v>
      </c>
      <c r="AC1447" s="22">
        <f>INDEX('Net zero Activity data'!AV$24:AV$39,MATCH('Net zero emission reductions'!$G1447,'Net zero Activity data'!$D$24:$D$39,0))*INDEX(EF!$H$84:$H$99,MATCH('Net zero emission reductions'!$G1447,EF!$D$84:$D$99,0))*INDEX(EF!$H$100:$H$115,MATCH('Net zero emission reductions'!$G1447,EF!$D$100:$D$115,0))*INDEX(EF!$H$132:$H$147,MATCH('Net zero emission reductions'!$G1447,EF!$D$132:$D$147,0))*kgtoGg</f>
        <v>0.45474916618301631</v>
      </c>
      <c r="AD1447" s="22">
        <f>INDEX('Net zero Activity data'!AW$24:AW$39,MATCH('Net zero emission reductions'!$G1447,'Net zero Activity data'!$D$24:$D$39,0))*INDEX(EF!$H$84:$H$99,MATCH('Net zero emission reductions'!$G1447,EF!$D$84:$D$99,0))*INDEX(EF!$H$100:$H$115,MATCH('Net zero emission reductions'!$G1447,EF!$D$100:$D$115,0))*INDEX(EF!$H$132:$H$147,MATCH('Net zero emission reductions'!$G1447,EF!$D$132:$D$147,0))*kgtoGg</f>
        <v>0.45129055797881312</v>
      </c>
      <c r="AE1447" s="22">
        <f>INDEX('Net zero Activity data'!AX$24:AX$39,MATCH('Net zero emission reductions'!$G1447,'Net zero Activity data'!$D$24:$D$39,0))*INDEX(EF!$H$84:$H$99,MATCH('Net zero emission reductions'!$G1447,EF!$D$84:$D$99,0))*INDEX(EF!$H$100:$H$115,MATCH('Net zero emission reductions'!$G1447,EF!$D$100:$D$115,0))*INDEX(EF!$H$132:$H$147,MATCH('Net zero emission reductions'!$G1447,EF!$D$132:$D$147,0))*kgtoGg</f>
        <v>0.44783194977460994</v>
      </c>
      <c r="AF1447" s="22">
        <f>INDEX('Net zero Activity data'!AY$24:AY$39,MATCH('Net zero emission reductions'!$G1447,'Net zero Activity data'!$D$24:$D$39,0))*INDEX(EF!$H$84:$H$99,MATCH('Net zero emission reductions'!$G1447,EF!$D$84:$D$99,0))*INDEX(EF!$H$100:$H$115,MATCH('Net zero emission reductions'!$G1447,EF!$D$100:$D$115,0))*INDEX(EF!$H$132:$H$147,MATCH('Net zero emission reductions'!$G1447,EF!$D$132:$D$147,0))*kgtoGg</f>
        <v>0.44437334157040664</v>
      </c>
      <c r="AG1447" s="22">
        <f>INDEX('Net zero Activity data'!AZ$24:AZ$39,MATCH('Net zero emission reductions'!$G1447,'Net zero Activity data'!$D$24:$D$39,0))*INDEX(EF!$H$84:$H$99,MATCH('Net zero emission reductions'!$G1447,EF!$D$84:$D$99,0))*INDEX(EF!$H$100:$H$115,MATCH('Net zero emission reductions'!$G1447,EF!$D$100:$D$115,0))*INDEX(EF!$H$132:$H$147,MATCH('Net zero emission reductions'!$G1447,EF!$D$132:$D$147,0))*kgtoGg</f>
        <v>0.44091473336620357</v>
      </c>
      <c r="AH1447" s="22">
        <f>INDEX('Net zero Activity data'!BA$24:BA$39,MATCH('Net zero emission reductions'!$G1447,'Net zero Activity data'!$D$24:$D$39,0))*INDEX(EF!$H$84:$H$99,MATCH('Net zero emission reductions'!$G1447,EF!$D$84:$D$99,0))*INDEX(EF!$H$100:$H$115,MATCH('Net zero emission reductions'!$G1447,EF!$D$100:$D$115,0))*INDEX(EF!$H$132:$H$147,MATCH('Net zero emission reductions'!$G1447,EF!$D$132:$D$147,0))*kgtoGg</f>
        <v>0.43745612516200039</v>
      </c>
      <c r="AI1447" s="22">
        <f>INDEX('Net zero Activity data'!BB$24:BB$39,MATCH('Net zero emission reductions'!$G1447,'Net zero Activity data'!$D$24:$D$39,0))*INDEX(EF!$H$84:$H$99,MATCH('Net zero emission reductions'!$G1447,EF!$D$84:$D$99,0))*INDEX(EF!$H$100:$H$115,MATCH('Net zero emission reductions'!$G1447,EF!$D$100:$D$115,0))*INDEX(EF!$H$132:$H$147,MATCH('Net zero emission reductions'!$G1447,EF!$D$132:$D$147,0))*kgtoGg</f>
        <v>0.4339975169577972</v>
      </c>
      <c r="AJ1447" s="22">
        <f>INDEX('Net zero Activity data'!BC$24:BC$39,MATCH('Net zero emission reductions'!$G1447,'Net zero Activity data'!$D$24:$D$39,0))*INDEX(EF!$H$84:$H$99,MATCH('Net zero emission reductions'!$G1447,EF!$D$84:$D$99,0))*INDEX(EF!$H$100:$H$115,MATCH('Net zero emission reductions'!$G1447,EF!$D$100:$D$115,0))*INDEX(EF!$H$132:$H$147,MATCH('Net zero emission reductions'!$G1447,EF!$D$132:$D$147,0))*kgtoGg</f>
        <v>0.43053890875359402</v>
      </c>
      <c r="AK1447" s="22">
        <f>INDEX('Net zero Activity data'!BD$24:BD$39,MATCH('Net zero emission reductions'!$G1447,'Net zero Activity data'!$D$24:$D$39,0))*INDEX(EF!$H$84:$H$99,MATCH('Net zero emission reductions'!$G1447,EF!$D$84:$D$99,0))*INDEX(EF!$H$100:$H$115,MATCH('Net zero emission reductions'!$G1447,EF!$D$100:$D$115,0))*INDEX(EF!$H$132:$H$147,MATCH('Net zero emission reductions'!$G1447,EF!$D$132:$D$147,0))*kgtoGg</f>
        <v>0.42708030054939083</v>
      </c>
      <c r="AL1447" s="22">
        <f>INDEX('Net zero Activity data'!BE$24:BE$39,MATCH('Net zero emission reductions'!$G1447,'Net zero Activity data'!$D$24:$D$39,0))*INDEX(EF!$H$84:$H$99,MATCH('Net zero emission reductions'!$G1447,EF!$D$84:$D$99,0))*INDEX(EF!$H$100:$H$115,MATCH('Net zero emission reductions'!$G1447,EF!$D$100:$D$115,0))*INDEX(EF!$H$132:$H$147,MATCH('Net zero emission reductions'!$G1447,EF!$D$132:$D$147,0))*kgtoGg</f>
        <v>0.42362169234518765</v>
      </c>
      <c r="AM1447" s="22">
        <f>INDEX('Net zero Activity data'!BF$24:BF$39,MATCH('Net zero emission reductions'!$G1447,'Net zero Activity data'!$D$24:$D$39,0))*INDEX(EF!$H$84:$H$99,MATCH('Net zero emission reductions'!$G1447,EF!$D$84:$D$99,0))*INDEX(EF!$H$100:$H$115,MATCH('Net zero emission reductions'!$G1447,EF!$D$100:$D$115,0))*INDEX(EF!$H$132:$H$147,MATCH('Net zero emission reductions'!$G1447,EF!$D$132:$D$147,0))*kgtoGg</f>
        <v>0.42016308414098436</v>
      </c>
      <c r="AN1447" s="22">
        <f>INDEX('Net zero Activity data'!BG$24:BG$39,MATCH('Net zero emission reductions'!$G1447,'Net zero Activity data'!$D$24:$D$39,0))*INDEX(EF!$H$84:$H$99,MATCH('Net zero emission reductions'!$G1447,EF!$D$84:$D$99,0))*INDEX(EF!$H$100:$H$115,MATCH('Net zero emission reductions'!$G1447,EF!$D$100:$D$115,0))*INDEX(EF!$H$132:$H$147,MATCH('Net zero emission reductions'!$G1447,EF!$D$132:$D$147,0))*kgtoGg</f>
        <v>0.41670447593678112</v>
      </c>
      <c r="AO1447" s="22">
        <f>INDEX('Net zero Activity data'!BH$24:BH$39,MATCH('Net zero emission reductions'!$G1447,'Net zero Activity data'!$D$24:$D$39,0))*INDEX(EF!$H$84:$H$99,MATCH('Net zero emission reductions'!$G1447,EF!$D$84:$D$99,0))*INDEX(EF!$H$100:$H$115,MATCH('Net zero emission reductions'!$G1447,EF!$D$100:$D$115,0))*INDEX(EF!$H$132:$H$147,MATCH('Net zero emission reductions'!$G1447,EF!$D$132:$D$147,0))*kgtoGg</f>
        <v>0.41324586773257804</v>
      </c>
      <c r="AP1447" s="22">
        <f>INDEX('Net zero Activity data'!BI$24:BI$39,MATCH('Net zero emission reductions'!$G1447,'Net zero Activity data'!$D$24:$D$39,0))*INDEX(EF!$H$84:$H$99,MATCH('Net zero emission reductions'!$G1447,EF!$D$84:$D$99,0))*INDEX(EF!$H$100:$H$115,MATCH('Net zero emission reductions'!$G1447,EF!$D$100:$D$115,0))*INDEX(EF!$H$132:$H$147,MATCH('Net zero emission reductions'!$G1447,EF!$D$132:$D$147,0))*kgtoGg</f>
        <v>0.4097872595283748</v>
      </c>
      <c r="AQ1447" s="22">
        <f>INDEX('Net zero Activity data'!BJ$24:BJ$39,MATCH('Net zero emission reductions'!$G1447,'Net zero Activity data'!$D$24:$D$39,0))*INDEX(EF!$H$84:$H$99,MATCH('Net zero emission reductions'!$G1447,EF!$D$84:$D$99,0))*INDEX(EF!$H$100:$H$115,MATCH('Net zero emission reductions'!$G1447,EF!$D$100:$D$115,0))*INDEX(EF!$H$132:$H$147,MATCH('Net zero emission reductions'!$G1447,EF!$D$132:$D$147,0))*kgtoGg</f>
        <v>0.40632865132417167</v>
      </c>
      <c r="AR1447" s="22">
        <f>INDEX('Net zero Activity data'!BK$24:BK$39,MATCH('Net zero emission reductions'!$G1447,'Net zero Activity data'!$D$24:$D$39,0))*INDEX(EF!$H$84:$H$99,MATCH('Net zero emission reductions'!$G1447,EF!$D$84:$D$99,0))*INDEX(EF!$H$100:$H$115,MATCH('Net zero emission reductions'!$G1447,EF!$D$100:$D$115,0))*INDEX(EF!$H$132:$H$147,MATCH('Net zero emission reductions'!$G1447,EF!$D$132:$D$147,0))*kgtoGg</f>
        <v>0.40287004311996844</v>
      </c>
      <c r="AS1447" s="22">
        <f>INDEX('Net zero Activity data'!BL$24:BL$39,MATCH('Net zero emission reductions'!$G1447,'Net zero Activity data'!$D$24:$D$39,0))*INDEX(EF!$H$84:$H$99,MATCH('Net zero emission reductions'!$G1447,EF!$D$84:$D$99,0))*INDEX(EF!$H$100:$H$115,MATCH('Net zero emission reductions'!$G1447,EF!$D$100:$D$115,0))*INDEX(EF!$H$132:$H$147,MATCH('Net zero emission reductions'!$G1447,EF!$D$132:$D$147,0))*kgtoGg</f>
        <v>0.39941143491576536</v>
      </c>
      <c r="AT1447" s="22">
        <f>INDEX('Net zero Activity data'!BM$24:BM$39,MATCH('Net zero emission reductions'!$G1447,'Net zero Activity data'!$D$24:$D$39,0))*INDEX(EF!$H$84:$H$99,MATCH('Net zero emission reductions'!$G1447,EF!$D$84:$D$99,0))*INDEX(EF!$H$100:$H$115,MATCH('Net zero emission reductions'!$G1447,EF!$D$100:$D$115,0))*INDEX(EF!$H$132:$H$147,MATCH('Net zero emission reductions'!$G1447,EF!$D$132:$D$147,0))*kgtoGg</f>
        <v>0.39595282671156223</v>
      </c>
      <c r="AU1447" s="22">
        <f>INDEX('Net zero Activity data'!BN$24:BN$39,MATCH('Net zero emission reductions'!$G1447,'Net zero Activity data'!$D$24:$D$39,0))*INDEX(EF!$H$84:$H$99,MATCH('Net zero emission reductions'!$G1447,EF!$D$84:$D$99,0))*INDEX(EF!$H$100:$H$115,MATCH('Net zero emission reductions'!$G1447,EF!$D$100:$D$115,0))*INDEX(EF!$H$132:$H$147,MATCH('Net zero emission reductions'!$G1447,EF!$D$132:$D$147,0))*kgtoGg</f>
        <v>0.3924942185073591</v>
      </c>
      <c r="AV1447" s="22">
        <f>INDEX('Net zero Activity data'!BO$24:BO$39,MATCH('Net zero emission reductions'!$G1447,'Net zero Activity data'!$D$24:$D$39,0))*INDEX(EF!$H$84:$H$99,MATCH('Net zero emission reductions'!$G1447,EF!$D$84:$D$99,0))*INDEX(EF!$H$100:$H$115,MATCH('Net zero emission reductions'!$G1447,EF!$D$100:$D$115,0))*INDEX(EF!$H$132:$H$147,MATCH('Net zero emission reductions'!$G1447,EF!$D$132:$D$147,0))*kgtoGg</f>
        <v>0.38903561030315592</v>
      </c>
      <c r="AW1447" s="22">
        <f>INDEX('Net zero Activity data'!BP$24:BP$39,MATCH('Net zero emission reductions'!$G1447,'Net zero Activity data'!$D$24:$D$39,0))*INDEX(EF!$H$84:$H$99,MATCH('Net zero emission reductions'!$G1447,EF!$D$84:$D$99,0))*INDEX(EF!$H$100:$H$115,MATCH('Net zero emission reductions'!$G1447,EF!$D$100:$D$115,0))*INDEX(EF!$H$132:$H$147,MATCH('Net zero emission reductions'!$G1447,EF!$D$132:$D$147,0))*kgtoGg</f>
        <v>0.38557700209895263</v>
      </c>
    </row>
    <row r="1448" spans="1:49" x14ac:dyDescent="0.3">
      <c r="A1448" s="95" t="s">
        <v>960</v>
      </c>
      <c r="B1448" s="95"/>
      <c r="C1448" s="95"/>
      <c r="D1448" t="str">
        <f t="shared" si="560"/>
        <v>3C Aggregated and non-CO2 emissions on land</v>
      </c>
      <c r="E1448" t="str">
        <f t="shared" si="560"/>
        <v>3C1 Biomass burning (N2O)</v>
      </c>
      <c r="F1448" t="str">
        <f t="shared" si="559"/>
        <v>3C1a Biomass burning in forest land</v>
      </c>
      <c r="G1448" t="str">
        <f>EF!D103</f>
        <v>Plantations</v>
      </c>
      <c r="H1448" t="s">
        <v>644</v>
      </c>
      <c r="I1448" t="str">
        <f t="shared" si="561"/>
        <v>N2O</v>
      </c>
      <c r="J1448" t="str">
        <f t="shared" si="561"/>
        <v>Gg N2O</v>
      </c>
      <c r="K1448" s="22">
        <f>INDEX('Net zero Activity data'!AD$24:AD$39,MATCH('Net zero emission reductions'!$G1448,'Net zero Activity data'!$D$24:$D$39,0))*INDEX(EF!$H$84:$H$99,MATCH('Net zero emission reductions'!$G1448,EF!$D$84:$D$99,0))*INDEX(EF!$H$100:$H$115,MATCH('Net zero emission reductions'!$G1448,EF!$D$100:$D$115,0))*INDEX(EF!$H$132:$H$147,MATCH('Net zero emission reductions'!$G1448,EF!$D$132:$D$147,0))*kgtoGg</f>
        <v>0.11606648834006898</v>
      </c>
      <c r="L1448" s="22">
        <f>INDEX('Net zero Activity data'!AE$24:AE$39,MATCH('Net zero emission reductions'!$G1448,'Net zero Activity data'!$D$24:$D$39,0))*INDEX(EF!$H$84:$H$99,MATCH('Net zero emission reductions'!$G1448,EF!$D$84:$D$99,0))*INDEX(EF!$H$100:$H$115,MATCH('Net zero emission reductions'!$G1448,EF!$D$100:$D$115,0))*INDEX(EF!$H$132:$H$147,MATCH('Net zero emission reductions'!$G1448,EF!$D$132:$D$147,0))*kgtoGg</f>
        <v>0.21826021634006895</v>
      </c>
      <c r="M1448" s="22">
        <f>INDEX('Net zero Activity data'!AF$24:AF$39,MATCH('Net zero emission reductions'!$G1448,'Net zero Activity data'!$D$24:$D$39,0))*INDEX(EF!$H$84:$H$99,MATCH('Net zero emission reductions'!$G1448,EF!$D$84:$D$99,0))*INDEX(EF!$H$100:$H$115,MATCH('Net zero emission reductions'!$G1448,EF!$D$100:$D$115,0))*INDEX(EF!$H$132:$H$147,MATCH('Net zero emission reductions'!$G1448,EF!$D$132:$D$147,0))*kgtoGg</f>
        <v>0.17623132034006897</v>
      </c>
      <c r="N1448" s="22">
        <f>INDEX('Net zero Activity data'!AG$24:AG$39,MATCH('Net zero emission reductions'!$G1448,'Net zero Activity data'!$D$24:$D$39,0))*INDEX(EF!$H$84:$H$99,MATCH('Net zero emission reductions'!$G1448,EF!$D$84:$D$99,0))*INDEX(EF!$H$100:$H$115,MATCH('Net zero emission reductions'!$G1448,EF!$D$100:$D$115,0))*INDEX(EF!$H$132:$H$147,MATCH('Net zero emission reductions'!$G1448,EF!$D$132:$D$147,0))*kgtoGg</f>
        <v>0.13670965634006899</v>
      </c>
      <c r="O1448" s="22">
        <f>INDEX('Net zero Activity data'!AH$24:AH$39,MATCH('Net zero emission reductions'!$G1448,'Net zero Activity data'!$D$24:$D$39,0))*INDEX(EF!$H$84:$H$99,MATCH('Net zero emission reductions'!$G1448,EF!$D$84:$D$99,0))*INDEX(EF!$H$100:$H$115,MATCH('Net zero emission reductions'!$G1448,EF!$D$100:$D$115,0))*INDEX(EF!$H$132:$H$147,MATCH('Net zero emission reductions'!$G1448,EF!$D$132:$D$147,0))*kgtoGg</f>
        <v>0.15645301634006897</v>
      </c>
      <c r="P1448" s="22">
        <f>INDEX('Net zero Activity data'!AI$24:AI$39,MATCH('Net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Q1448" s="22">
        <f>INDEX('Net zero Activity data'!AJ$24:AJ$39,MATCH('Net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R1448" s="22">
        <f>INDEX('Net zero Activity data'!AK$24:AK$39,MATCH('Net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S1448" s="22">
        <f>INDEX('Net zero Activity data'!AL$24:AL$39,MATCH('Net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T1448" s="22">
        <f>INDEX('Net zero Activity data'!AM$24:AM$39,MATCH('Net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U1448" s="22">
        <f>INDEX('Net zero Activity data'!AN$24:AN$39,MATCH('Net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V1448" s="22">
        <f>INDEX('Net zero Activity data'!AO$24:AO$39,MATCH('Net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W1448" s="22">
        <f>INDEX('Net zero Activity data'!AP$24:AP$39,MATCH('Net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X1448" s="22">
        <f>INDEX('Net zero Activity data'!AQ$24:AQ$39,MATCH('Net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Y1448" s="22">
        <f>INDEX('Net zero Activity data'!AR$24:AR$39,MATCH('Net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Z1448" s="22">
        <f>INDEX('Net zero Activity data'!AS$24:AS$39,MATCH('Net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A1448" s="22">
        <f>INDEX('Net zero Activity data'!AT$24:AT$39,MATCH('Net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B1448" s="22">
        <f>INDEX('Net zero Activity data'!AU$24:AU$39,MATCH('Net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C1448" s="22">
        <f>INDEX('Net zero Activity data'!AV$24:AV$39,MATCH('Net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D1448" s="22">
        <f>INDEX('Net zero Activity data'!AW$24:AW$39,MATCH('Net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E1448" s="22">
        <f>INDEX('Net zero Activity data'!AX$24:AX$39,MATCH('Net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F1448" s="22">
        <f>INDEX('Net zero Activity data'!AY$24:AY$39,MATCH('Net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G1448" s="22">
        <f>INDEX('Net zero Activity data'!AZ$24:AZ$39,MATCH('Net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H1448" s="22">
        <f>INDEX('Net zero Activity data'!BA$24:BA$39,MATCH('Net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I1448" s="22">
        <f>INDEX('Net zero Activity data'!BB$24:BB$39,MATCH('Net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J1448" s="22">
        <f>INDEX('Net zero Activity data'!BC$24:BC$39,MATCH('Net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K1448" s="22">
        <f>INDEX('Net zero Activity data'!BD$24:BD$39,MATCH('Net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L1448" s="22">
        <f>INDEX('Net zero Activity data'!BE$24:BE$39,MATCH('Net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M1448" s="22">
        <f>INDEX('Net zero Activity data'!BF$24:BF$39,MATCH('Net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N1448" s="22">
        <f>INDEX('Net zero Activity data'!BG$24:BG$39,MATCH('Net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O1448" s="22">
        <f>INDEX('Net zero Activity data'!BH$24:BH$39,MATCH('Net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AP1448" s="22">
        <f>INDEX('Net zero Activity data'!BI$24:BI$39,MATCH('Net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AQ1448" s="22">
        <f>INDEX('Net zero Activity data'!BJ$24:BJ$39,MATCH('Net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AR1448" s="22">
        <f>INDEX('Net zero Activity data'!BK$24:BK$39,MATCH('Net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AS1448" s="22">
        <f>INDEX('Net zero Activity data'!BL$24:BL$39,MATCH('Net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AT1448" s="22">
        <f>INDEX('Net zero Activity data'!BM$24:BM$39,MATCH('Net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AU1448" s="22">
        <f>INDEX('Net zero Activity data'!BN$24:BN$39,MATCH('Net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AV1448" s="22">
        <f>INDEX('Net zero Activity data'!BO$24:BO$39,MATCH('Net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AW1448" s="22">
        <f>INDEX('Net zero Activity data'!BP$24:BP$39,MATCH('Net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row>
    <row r="1449" spans="1:49" x14ac:dyDescent="0.3">
      <c r="A1449" s="95" t="s">
        <v>960</v>
      </c>
      <c r="B1449" s="95"/>
      <c r="C1449" s="95"/>
      <c r="D1449" t="str">
        <f t="shared" si="560"/>
        <v>3C Aggregated and non-CO2 emissions on land</v>
      </c>
      <c r="E1449" t="str">
        <f t="shared" si="560"/>
        <v>3C1 Biomass burning (N2O)</v>
      </c>
      <c r="F1449" t="str">
        <f t="shared" si="559"/>
        <v>3C1b Biomass burning in Croplands</v>
      </c>
      <c r="G1449" t="str">
        <f>EF!D104</f>
        <v>Annual non-pivot</v>
      </c>
      <c r="H1449" t="s">
        <v>645</v>
      </c>
      <c r="I1449" t="str">
        <f t="shared" si="561"/>
        <v>N2O</v>
      </c>
      <c r="J1449" t="str">
        <f t="shared" si="561"/>
        <v>Gg N2O</v>
      </c>
      <c r="K1449" s="22">
        <f>INDEX('Net zero Activity data'!AD$24:AD$39,MATCH('Net zero emission reductions'!$G1449,'Net zero Activity data'!$D$24:$D$39,0))*INDEX(EF!$H$84:$H$99,MATCH('Net zero emission reductions'!$G1449,EF!$D$84:$D$99,0))*INDEX(EF!$H$100:$H$115,MATCH('Net zero emission reductions'!$G1449,EF!$D$100:$D$115,0))*INDEX(EF!$H$132:$H$147,MATCH('Net zero emission reductions'!$G1449,EF!$D$132:$D$147,0))*kgtoGg</f>
        <v>0.16151123227013586</v>
      </c>
      <c r="L1449" s="22">
        <f>INDEX('Net zero Activity data'!AE$24:AE$39,MATCH('Net zero emission reductions'!$G1449,'Net zero Activity data'!$D$24:$D$39,0))*INDEX(EF!$H$84:$H$99,MATCH('Net zero emission reductions'!$G1449,EF!$D$84:$D$99,0))*INDEX(EF!$H$100:$H$115,MATCH('Net zero emission reductions'!$G1449,EF!$D$100:$D$115,0))*INDEX(EF!$H$132:$H$147,MATCH('Net zero emission reductions'!$G1449,EF!$D$132:$D$147,0))*kgtoGg</f>
        <v>0.16106846886532766</v>
      </c>
      <c r="M1449" s="22">
        <f>INDEX('Net zero Activity data'!AF$24:AF$39,MATCH('Net zero emission reductions'!$G1449,'Net zero Activity data'!$D$24:$D$39,0))*INDEX(EF!$H$84:$H$99,MATCH('Net zero emission reductions'!$G1449,EF!$D$84:$D$99,0))*INDEX(EF!$H$100:$H$115,MATCH('Net zero emission reductions'!$G1449,EF!$D$100:$D$115,0))*INDEX(EF!$H$132:$H$147,MATCH('Net zero emission reductions'!$G1449,EF!$D$132:$D$147,0))*kgtoGg</f>
        <v>0.16062570546051952</v>
      </c>
      <c r="N1449" s="22">
        <f>INDEX('Net zero Activity data'!AG$24:AG$39,MATCH('Net zero emission reductions'!$G1449,'Net zero Activity data'!$D$24:$D$39,0))*INDEX(EF!$H$84:$H$99,MATCH('Net zero emission reductions'!$G1449,EF!$D$84:$D$99,0))*INDEX(EF!$H$100:$H$115,MATCH('Net zero emission reductions'!$G1449,EF!$D$100:$D$115,0))*INDEX(EF!$H$132:$H$147,MATCH('Net zero emission reductions'!$G1449,EF!$D$132:$D$147,0))*kgtoGg</f>
        <v>0.16018294205571132</v>
      </c>
      <c r="O1449" s="22">
        <f>INDEX('Net zero Activity data'!AH$24:AH$39,MATCH('Net zero emission reductions'!$G1449,'Net zero Activity data'!$D$24:$D$39,0))*INDEX(EF!$H$84:$H$99,MATCH('Net zero emission reductions'!$G1449,EF!$D$84:$D$99,0))*INDEX(EF!$H$100:$H$115,MATCH('Net zero emission reductions'!$G1449,EF!$D$100:$D$115,0))*INDEX(EF!$H$132:$H$147,MATCH('Net zero emission reductions'!$G1449,EF!$D$132:$D$147,0))*kgtoGg</f>
        <v>0.15974017865090312</v>
      </c>
      <c r="P1449" s="22">
        <f>INDEX('Net zero Activity data'!AI$24:AI$39,MATCH('Net zero emission reductions'!$G1449,'Net zero Activity data'!$D$24:$D$39,0))*INDEX(EF!$H$84:$H$99,MATCH('Net zero emission reductions'!$G1449,EF!$D$84:$D$99,0))*INDEX(EF!$H$100:$H$115,MATCH('Net zero emission reductions'!$G1449,EF!$D$100:$D$115,0))*INDEX(EF!$H$132:$H$147,MATCH('Net zero emission reductions'!$G1449,EF!$D$132:$D$147,0))*kgtoGg</f>
        <v>0.15929741524609498</v>
      </c>
      <c r="Q1449" s="22">
        <f>INDEX('Net zero Activity data'!AJ$24:AJ$39,MATCH('Net zero emission reductions'!$G1449,'Net zero Activity data'!$D$24:$D$39,0))*INDEX(EF!$H$84:$H$99,MATCH('Net zero emission reductions'!$G1449,EF!$D$84:$D$99,0))*INDEX(EF!$H$100:$H$115,MATCH('Net zero emission reductions'!$G1449,EF!$D$100:$D$115,0))*INDEX(EF!$H$132:$H$147,MATCH('Net zero emission reductions'!$G1449,EF!$D$132:$D$147,0))*kgtoGg</f>
        <v>0.15885465184128675</v>
      </c>
      <c r="R1449" s="22">
        <f>INDEX('Net zero Activity data'!AK$24:AK$39,MATCH('Net zero emission reductions'!$G1449,'Net zero Activity data'!$D$24:$D$39,0))*INDEX(EF!$H$84:$H$99,MATCH('Net zero emission reductions'!$G1449,EF!$D$84:$D$99,0))*INDEX(EF!$H$100:$H$115,MATCH('Net zero emission reductions'!$G1449,EF!$D$100:$D$115,0))*INDEX(EF!$H$132:$H$147,MATCH('Net zero emission reductions'!$G1449,EF!$D$132:$D$147,0))*kgtoGg</f>
        <v>0.15841188843647858</v>
      </c>
      <c r="S1449" s="22">
        <f>INDEX('Net zero Activity data'!AL$24:AL$39,MATCH('Net zero emission reductions'!$G1449,'Net zero Activity data'!$D$24:$D$39,0))*INDEX(EF!$H$84:$H$99,MATCH('Net zero emission reductions'!$G1449,EF!$D$84:$D$99,0))*INDEX(EF!$H$100:$H$115,MATCH('Net zero emission reductions'!$G1449,EF!$D$100:$D$115,0))*INDEX(EF!$H$132:$H$147,MATCH('Net zero emission reductions'!$G1449,EF!$D$132:$D$147,0))*kgtoGg</f>
        <v>0.1579691250316704</v>
      </c>
      <c r="T1449" s="22">
        <f>INDEX('Net zero Activity data'!AM$24:AM$39,MATCH('Net zero emission reductions'!$G1449,'Net zero Activity data'!$D$24:$D$39,0))*INDEX(EF!$H$84:$H$99,MATCH('Net zero emission reductions'!$G1449,EF!$D$84:$D$99,0))*INDEX(EF!$H$100:$H$115,MATCH('Net zero emission reductions'!$G1449,EF!$D$100:$D$115,0))*INDEX(EF!$H$132:$H$147,MATCH('Net zero emission reductions'!$G1449,EF!$D$132:$D$147,0))*kgtoGg</f>
        <v>0.15752636162686223</v>
      </c>
      <c r="U1449" s="22">
        <f>INDEX('Net zero Activity data'!AN$24:AN$39,MATCH('Net zero emission reductions'!$G1449,'Net zero Activity data'!$D$24:$D$39,0))*INDEX(EF!$H$84:$H$99,MATCH('Net zero emission reductions'!$G1449,EF!$D$84:$D$99,0))*INDEX(EF!$H$100:$H$115,MATCH('Net zero emission reductions'!$G1449,EF!$D$100:$D$115,0))*INDEX(EF!$H$132:$H$147,MATCH('Net zero emission reductions'!$G1449,EF!$D$132:$D$147,0))*kgtoGg</f>
        <v>0.15708359822205403</v>
      </c>
      <c r="V1449" s="22">
        <f>INDEX('Net zero Activity data'!AO$24:AO$39,MATCH('Net zero emission reductions'!$G1449,'Net zero Activity data'!$D$24:$D$39,0))*INDEX(EF!$H$84:$H$99,MATCH('Net zero emission reductions'!$G1449,EF!$D$84:$D$99,0))*INDEX(EF!$H$100:$H$115,MATCH('Net zero emission reductions'!$G1449,EF!$D$100:$D$115,0))*INDEX(EF!$H$132:$H$147,MATCH('Net zero emission reductions'!$G1449,EF!$D$132:$D$147,0))*kgtoGg</f>
        <v>0.15664083481724586</v>
      </c>
      <c r="W1449" s="22">
        <f>INDEX('Net zero Activity data'!AP$24:AP$39,MATCH('Net zero emission reductions'!$G1449,'Net zero Activity data'!$D$24:$D$39,0))*INDEX(EF!$H$84:$H$99,MATCH('Net zero emission reductions'!$G1449,EF!$D$84:$D$99,0))*INDEX(EF!$H$100:$H$115,MATCH('Net zero emission reductions'!$G1449,EF!$D$100:$D$115,0))*INDEX(EF!$H$132:$H$147,MATCH('Net zero emission reductions'!$G1449,EF!$D$132:$D$147,0))*kgtoGg</f>
        <v>0.15619807141243769</v>
      </c>
      <c r="X1449" s="22">
        <f>INDEX('Net zero Activity data'!AQ$24:AQ$39,MATCH('Net zero emission reductions'!$G1449,'Net zero Activity data'!$D$24:$D$39,0))*INDEX(EF!$H$84:$H$99,MATCH('Net zero emission reductions'!$G1449,EF!$D$84:$D$99,0))*INDEX(EF!$H$100:$H$115,MATCH('Net zero emission reductions'!$G1449,EF!$D$100:$D$115,0))*INDEX(EF!$H$132:$H$147,MATCH('Net zero emission reductions'!$G1449,EF!$D$132:$D$147,0))*kgtoGg</f>
        <v>0.15575530800762949</v>
      </c>
      <c r="Y1449" s="22">
        <f>INDEX('Net zero Activity data'!AR$24:AR$39,MATCH('Net zero emission reductions'!$G1449,'Net zero Activity data'!$D$24:$D$39,0))*INDEX(EF!$H$84:$H$99,MATCH('Net zero emission reductions'!$G1449,EF!$D$84:$D$99,0))*INDEX(EF!$H$100:$H$115,MATCH('Net zero emission reductions'!$G1449,EF!$D$100:$D$115,0))*INDEX(EF!$H$132:$H$147,MATCH('Net zero emission reductions'!$G1449,EF!$D$132:$D$147,0))*kgtoGg</f>
        <v>0.15531254460282132</v>
      </c>
      <c r="Z1449" s="22">
        <f>INDEX('Net zero Activity data'!AS$24:AS$39,MATCH('Net zero emission reductions'!$G1449,'Net zero Activity data'!$D$24:$D$39,0))*INDEX(EF!$H$84:$H$99,MATCH('Net zero emission reductions'!$G1449,EF!$D$84:$D$99,0))*INDEX(EF!$H$100:$H$115,MATCH('Net zero emission reductions'!$G1449,EF!$D$100:$D$115,0))*INDEX(EF!$H$132:$H$147,MATCH('Net zero emission reductions'!$G1449,EF!$D$132:$D$147,0))*kgtoGg</f>
        <v>0.15486978119801315</v>
      </c>
      <c r="AA1449" s="22">
        <f>INDEX('Net zero Activity data'!AT$24:AT$39,MATCH('Net zero emission reductions'!$G1449,'Net zero Activity data'!$D$24:$D$39,0))*INDEX(EF!$H$84:$H$99,MATCH('Net zero emission reductions'!$G1449,EF!$D$84:$D$99,0))*INDEX(EF!$H$100:$H$115,MATCH('Net zero emission reductions'!$G1449,EF!$D$100:$D$115,0))*INDEX(EF!$H$132:$H$147,MATCH('Net zero emission reductions'!$G1449,EF!$D$132:$D$147,0))*kgtoGg</f>
        <v>0.15442701779320495</v>
      </c>
      <c r="AB1449" s="22">
        <f>INDEX('Net zero Activity data'!AU$24:AU$39,MATCH('Net zero emission reductions'!$G1449,'Net zero Activity data'!$D$24:$D$39,0))*INDEX(EF!$H$84:$H$99,MATCH('Net zero emission reductions'!$G1449,EF!$D$84:$D$99,0))*INDEX(EF!$H$100:$H$115,MATCH('Net zero emission reductions'!$G1449,EF!$D$100:$D$115,0))*INDEX(EF!$H$132:$H$147,MATCH('Net zero emission reductions'!$G1449,EF!$D$132:$D$147,0))*kgtoGg</f>
        <v>0.1539842543883968</v>
      </c>
      <c r="AC1449" s="22">
        <f>INDEX('Net zero Activity data'!AV$24:AV$39,MATCH('Net zero emission reductions'!$G1449,'Net zero Activity data'!$D$24:$D$39,0))*INDEX(EF!$H$84:$H$99,MATCH('Net zero emission reductions'!$G1449,EF!$D$84:$D$99,0))*INDEX(EF!$H$100:$H$115,MATCH('Net zero emission reductions'!$G1449,EF!$D$100:$D$115,0))*INDEX(EF!$H$132:$H$147,MATCH('Net zero emission reductions'!$G1449,EF!$D$132:$D$147,0))*kgtoGg</f>
        <v>0.1535414909835886</v>
      </c>
      <c r="AD1449" s="22">
        <f>INDEX('Net zero Activity data'!AW$24:AW$39,MATCH('Net zero emission reductions'!$G1449,'Net zero Activity data'!$D$24:$D$39,0))*INDEX(EF!$H$84:$H$99,MATCH('Net zero emission reductions'!$G1449,EF!$D$84:$D$99,0))*INDEX(EF!$H$100:$H$115,MATCH('Net zero emission reductions'!$G1449,EF!$D$100:$D$115,0))*INDEX(EF!$H$132:$H$147,MATCH('Net zero emission reductions'!$G1449,EF!$D$132:$D$147,0))*kgtoGg</f>
        <v>0.15309872757878043</v>
      </c>
      <c r="AE1449" s="22">
        <f>INDEX('Net zero Activity data'!AX$24:AX$39,MATCH('Net zero emission reductions'!$G1449,'Net zero Activity data'!$D$24:$D$39,0))*INDEX(EF!$H$84:$H$99,MATCH('Net zero emission reductions'!$G1449,EF!$D$84:$D$99,0))*INDEX(EF!$H$100:$H$115,MATCH('Net zero emission reductions'!$G1449,EF!$D$100:$D$115,0))*INDEX(EF!$H$132:$H$147,MATCH('Net zero emission reductions'!$G1449,EF!$D$132:$D$147,0))*kgtoGg</f>
        <v>0.15265596417397226</v>
      </c>
      <c r="AF1449" s="22">
        <f>INDEX('Net zero Activity data'!AY$24:AY$39,MATCH('Net zero emission reductions'!$G1449,'Net zero Activity data'!$D$24:$D$39,0))*INDEX(EF!$H$84:$H$99,MATCH('Net zero emission reductions'!$G1449,EF!$D$84:$D$99,0))*INDEX(EF!$H$100:$H$115,MATCH('Net zero emission reductions'!$G1449,EF!$D$100:$D$115,0))*INDEX(EF!$H$132:$H$147,MATCH('Net zero emission reductions'!$G1449,EF!$D$132:$D$147,0))*kgtoGg</f>
        <v>0.15221320076916403</v>
      </c>
      <c r="AG1449" s="22">
        <f>INDEX('Net zero Activity data'!AZ$24:AZ$39,MATCH('Net zero emission reductions'!$G1449,'Net zero Activity data'!$D$24:$D$39,0))*INDEX(EF!$H$84:$H$99,MATCH('Net zero emission reductions'!$G1449,EF!$D$84:$D$99,0))*INDEX(EF!$H$100:$H$115,MATCH('Net zero emission reductions'!$G1449,EF!$D$100:$D$115,0))*INDEX(EF!$H$132:$H$147,MATCH('Net zero emission reductions'!$G1449,EF!$D$132:$D$147,0))*kgtoGg</f>
        <v>0.15177043736435586</v>
      </c>
      <c r="AH1449" s="22">
        <f>INDEX('Net zero Activity data'!BA$24:BA$39,MATCH('Net zero emission reductions'!$G1449,'Net zero Activity data'!$D$24:$D$39,0))*INDEX(EF!$H$84:$H$99,MATCH('Net zero emission reductions'!$G1449,EF!$D$84:$D$99,0))*INDEX(EF!$H$100:$H$115,MATCH('Net zero emission reductions'!$G1449,EF!$D$100:$D$115,0))*INDEX(EF!$H$132:$H$147,MATCH('Net zero emission reductions'!$G1449,EF!$D$132:$D$147,0))*kgtoGg</f>
        <v>0.15132767395954769</v>
      </c>
      <c r="AI1449" s="22">
        <f>INDEX('Net zero Activity data'!BB$24:BB$39,MATCH('Net zero emission reductions'!$G1449,'Net zero Activity data'!$D$24:$D$39,0))*INDEX(EF!$H$84:$H$99,MATCH('Net zero emission reductions'!$G1449,EF!$D$84:$D$99,0))*INDEX(EF!$H$100:$H$115,MATCH('Net zero emission reductions'!$G1449,EF!$D$100:$D$115,0))*INDEX(EF!$H$132:$H$147,MATCH('Net zero emission reductions'!$G1449,EF!$D$132:$D$147,0))*kgtoGg</f>
        <v>0.15088491055473952</v>
      </c>
      <c r="AJ1449" s="22">
        <f>INDEX('Net zero Activity data'!BC$24:BC$39,MATCH('Net zero emission reductions'!$G1449,'Net zero Activity data'!$D$24:$D$39,0))*INDEX(EF!$H$84:$H$99,MATCH('Net zero emission reductions'!$G1449,EF!$D$84:$D$99,0))*INDEX(EF!$H$100:$H$115,MATCH('Net zero emission reductions'!$G1449,EF!$D$100:$D$115,0))*INDEX(EF!$H$132:$H$147,MATCH('Net zero emission reductions'!$G1449,EF!$D$132:$D$147,0))*kgtoGg</f>
        <v>0.15044214714993132</v>
      </c>
      <c r="AK1449" s="22">
        <f>INDEX('Net zero Activity data'!BD$24:BD$39,MATCH('Net zero emission reductions'!$G1449,'Net zero Activity data'!$D$24:$D$39,0))*INDEX(EF!$H$84:$H$99,MATCH('Net zero emission reductions'!$G1449,EF!$D$84:$D$99,0))*INDEX(EF!$H$100:$H$115,MATCH('Net zero emission reductions'!$G1449,EF!$D$100:$D$115,0))*INDEX(EF!$H$132:$H$147,MATCH('Net zero emission reductions'!$G1449,EF!$D$132:$D$147,0))*kgtoGg</f>
        <v>0.14999938374512317</v>
      </c>
      <c r="AL1449" s="22">
        <f>INDEX('Net zero Activity data'!BE$24:BE$39,MATCH('Net zero emission reductions'!$G1449,'Net zero Activity data'!$D$24:$D$39,0))*INDEX(EF!$H$84:$H$99,MATCH('Net zero emission reductions'!$G1449,EF!$D$84:$D$99,0))*INDEX(EF!$H$100:$H$115,MATCH('Net zero emission reductions'!$G1449,EF!$D$100:$D$115,0))*INDEX(EF!$H$132:$H$147,MATCH('Net zero emission reductions'!$G1449,EF!$D$132:$D$147,0))*kgtoGg</f>
        <v>0.14955662034031497</v>
      </c>
      <c r="AM1449" s="22">
        <f>INDEX('Net zero Activity data'!BF$24:BF$39,MATCH('Net zero emission reductions'!$G1449,'Net zero Activity data'!$D$24:$D$39,0))*INDEX(EF!$H$84:$H$99,MATCH('Net zero emission reductions'!$G1449,EF!$D$84:$D$99,0))*INDEX(EF!$H$100:$H$115,MATCH('Net zero emission reductions'!$G1449,EF!$D$100:$D$115,0))*INDEX(EF!$H$132:$H$147,MATCH('Net zero emission reductions'!$G1449,EF!$D$132:$D$147,0))*kgtoGg</f>
        <v>0.14911385693550677</v>
      </c>
      <c r="AN1449" s="22">
        <f>INDEX('Net zero Activity data'!BG$24:BG$39,MATCH('Net zero emission reductions'!$G1449,'Net zero Activity data'!$D$24:$D$39,0))*INDEX(EF!$H$84:$H$99,MATCH('Net zero emission reductions'!$G1449,EF!$D$84:$D$99,0))*INDEX(EF!$H$100:$H$115,MATCH('Net zero emission reductions'!$G1449,EF!$D$100:$D$115,0))*INDEX(EF!$H$132:$H$147,MATCH('Net zero emission reductions'!$G1449,EF!$D$132:$D$147,0))*kgtoGg</f>
        <v>0.14867109353069863</v>
      </c>
      <c r="AO1449" s="22">
        <f>INDEX('Net zero Activity data'!BH$24:BH$39,MATCH('Net zero emission reductions'!$G1449,'Net zero Activity data'!$D$24:$D$39,0))*INDEX(EF!$H$84:$H$99,MATCH('Net zero emission reductions'!$G1449,EF!$D$84:$D$99,0))*INDEX(EF!$H$100:$H$115,MATCH('Net zero emission reductions'!$G1449,EF!$D$100:$D$115,0))*INDEX(EF!$H$132:$H$147,MATCH('Net zero emission reductions'!$G1449,EF!$D$132:$D$147,0))*kgtoGg</f>
        <v>0.14822833012589043</v>
      </c>
      <c r="AP1449" s="22">
        <f>INDEX('Net zero Activity data'!BI$24:BI$39,MATCH('Net zero emission reductions'!$G1449,'Net zero Activity data'!$D$24:$D$39,0))*INDEX(EF!$H$84:$H$99,MATCH('Net zero emission reductions'!$G1449,EF!$D$84:$D$99,0))*INDEX(EF!$H$100:$H$115,MATCH('Net zero emission reductions'!$G1449,EF!$D$100:$D$115,0))*INDEX(EF!$H$132:$H$147,MATCH('Net zero emission reductions'!$G1449,EF!$D$132:$D$147,0))*kgtoGg</f>
        <v>0.14778556672108226</v>
      </c>
      <c r="AQ1449" s="22">
        <f>INDEX('Net zero Activity data'!BJ$24:BJ$39,MATCH('Net zero emission reductions'!$G1449,'Net zero Activity data'!$D$24:$D$39,0))*INDEX(EF!$H$84:$H$99,MATCH('Net zero emission reductions'!$G1449,EF!$D$84:$D$99,0))*INDEX(EF!$H$100:$H$115,MATCH('Net zero emission reductions'!$G1449,EF!$D$100:$D$115,0))*INDEX(EF!$H$132:$H$147,MATCH('Net zero emission reductions'!$G1449,EF!$D$132:$D$147,0))*kgtoGg</f>
        <v>0.14734280331627406</v>
      </c>
      <c r="AR1449" s="22">
        <f>INDEX('Net zero Activity data'!BK$24:BK$39,MATCH('Net zero emission reductions'!$G1449,'Net zero Activity data'!$D$24:$D$39,0))*INDEX(EF!$H$84:$H$99,MATCH('Net zero emission reductions'!$G1449,EF!$D$84:$D$99,0))*INDEX(EF!$H$100:$H$115,MATCH('Net zero emission reductions'!$G1449,EF!$D$100:$D$115,0))*INDEX(EF!$H$132:$H$147,MATCH('Net zero emission reductions'!$G1449,EF!$D$132:$D$147,0))*kgtoGg</f>
        <v>0.14690003991146589</v>
      </c>
      <c r="AS1449" s="22">
        <f>INDEX('Net zero Activity data'!BL$24:BL$39,MATCH('Net zero emission reductions'!$G1449,'Net zero Activity data'!$D$24:$D$39,0))*INDEX(EF!$H$84:$H$99,MATCH('Net zero emission reductions'!$G1449,EF!$D$84:$D$99,0))*INDEX(EF!$H$100:$H$115,MATCH('Net zero emission reductions'!$G1449,EF!$D$100:$D$115,0))*INDEX(EF!$H$132:$H$147,MATCH('Net zero emission reductions'!$G1449,EF!$D$132:$D$147,0))*kgtoGg</f>
        <v>0.14645727650665771</v>
      </c>
      <c r="AT1449" s="22">
        <f>INDEX('Net zero Activity data'!BM$24:BM$39,MATCH('Net zero emission reductions'!$G1449,'Net zero Activity data'!$D$24:$D$39,0))*INDEX(EF!$H$84:$H$99,MATCH('Net zero emission reductions'!$G1449,EF!$D$84:$D$99,0))*INDEX(EF!$H$100:$H$115,MATCH('Net zero emission reductions'!$G1449,EF!$D$100:$D$115,0))*INDEX(EF!$H$132:$H$147,MATCH('Net zero emission reductions'!$G1449,EF!$D$132:$D$147,0))*kgtoGg</f>
        <v>0.14601451310184949</v>
      </c>
      <c r="AU1449" s="22">
        <f>INDEX('Net zero Activity data'!BN$24:BN$39,MATCH('Net zero emission reductions'!$G1449,'Net zero Activity data'!$D$24:$D$39,0))*INDEX(EF!$H$84:$H$99,MATCH('Net zero emission reductions'!$G1449,EF!$D$84:$D$99,0))*INDEX(EF!$H$100:$H$115,MATCH('Net zero emission reductions'!$G1449,EF!$D$100:$D$115,0))*INDEX(EF!$H$132:$H$147,MATCH('Net zero emission reductions'!$G1449,EF!$D$132:$D$147,0))*kgtoGg</f>
        <v>0.14557174969704134</v>
      </c>
      <c r="AV1449" s="22">
        <f>INDEX('Net zero Activity data'!BO$24:BO$39,MATCH('Net zero emission reductions'!$G1449,'Net zero Activity data'!$D$24:$D$39,0))*INDEX(EF!$H$84:$H$99,MATCH('Net zero emission reductions'!$G1449,EF!$D$84:$D$99,0))*INDEX(EF!$H$100:$H$115,MATCH('Net zero emission reductions'!$G1449,EF!$D$100:$D$115,0))*INDEX(EF!$H$132:$H$147,MATCH('Net zero emission reductions'!$G1449,EF!$D$132:$D$147,0))*kgtoGg</f>
        <v>0.14512898629223317</v>
      </c>
      <c r="AW1449" s="22">
        <f>INDEX('Net zero Activity data'!BP$24:BP$39,MATCH('Net zero emission reductions'!$G1449,'Net zero Activity data'!$D$24:$D$39,0))*INDEX(EF!$H$84:$H$99,MATCH('Net zero emission reductions'!$G1449,EF!$D$84:$D$99,0))*INDEX(EF!$H$100:$H$115,MATCH('Net zero emission reductions'!$G1449,EF!$D$100:$D$115,0))*INDEX(EF!$H$132:$H$147,MATCH('Net zero emission reductions'!$G1449,EF!$D$132:$D$147,0))*kgtoGg</f>
        <v>0.14468622288742497</v>
      </c>
    </row>
    <row r="1450" spans="1:49" x14ac:dyDescent="0.3">
      <c r="A1450" s="95" t="s">
        <v>960</v>
      </c>
      <c r="B1450" s="95"/>
      <c r="C1450" s="95"/>
      <c r="D1450" t="str">
        <f t="shared" si="560"/>
        <v>3C Aggregated and non-CO2 emissions on land</v>
      </c>
      <c r="E1450" t="str">
        <f t="shared" si="560"/>
        <v>3C1 Biomass burning (N2O)</v>
      </c>
      <c r="F1450" t="str">
        <f t="shared" si="559"/>
        <v>3C1b Biomass burning in Croplands</v>
      </c>
      <c r="G1450" t="str">
        <f>EF!D105</f>
        <v>Annual pivot</v>
      </c>
      <c r="H1450" t="s">
        <v>646</v>
      </c>
      <c r="I1450" t="str">
        <f t="shared" si="561"/>
        <v>N2O</v>
      </c>
      <c r="J1450" t="str">
        <f t="shared" si="561"/>
        <v>Gg N2O</v>
      </c>
      <c r="K1450" s="22">
        <f>INDEX('Net zero Activity data'!AD$24:AD$39,MATCH('Net zero emission reductions'!$G1450,'Net zero Activity data'!$D$24:$D$39,0))*INDEX(EF!$H$84:$H$99,MATCH('Net zero emission reductions'!$G1450,EF!$D$84:$D$99,0))*INDEX(EF!$H$100:$H$115,MATCH('Net zero emission reductions'!$G1450,EF!$D$100:$D$115,0))*INDEX(EF!$H$132:$H$147,MATCH('Net zero emission reductions'!$G1450,EF!$D$132:$D$147,0))*kgtoGg</f>
        <v>1.3363672472411908E-2</v>
      </c>
      <c r="L1450" s="22">
        <f>INDEX('Net zero Activity data'!AE$24:AE$39,MATCH('Net zero emission reductions'!$G1450,'Net zero Activity data'!$D$24:$D$39,0))*INDEX(EF!$H$84:$H$99,MATCH('Net zero emission reductions'!$G1450,EF!$D$84:$D$99,0))*INDEX(EF!$H$100:$H$115,MATCH('Net zero emission reductions'!$G1450,EF!$D$100:$D$115,0))*INDEX(EF!$H$132:$H$147,MATCH('Net zero emission reductions'!$G1450,EF!$D$132:$D$147,0))*kgtoGg</f>
        <v>1.3770022882720941E-2</v>
      </c>
      <c r="M1450" s="22">
        <f>INDEX('Net zero Activity data'!AF$24:AF$39,MATCH('Net zero emission reductions'!$G1450,'Net zero Activity data'!$D$24:$D$39,0))*INDEX(EF!$H$84:$H$99,MATCH('Net zero emission reductions'!$G1450,EF!$D$84:$D$99,0))*INDEX(EF!$H$100:$H$115,MATCH('Net zero emission reductions'!$G1450,EF!$D$100:$D$115,0))*INDEX(EF!$H$132:$H$147,MATCH('Net zero emission reductions'!$G1450,EF!$D$132:$D$147,0))*kgtoGg</f>
        <v>1.4176373293029969E-2</v>
      </c>
      <c r="N1450" s="22">
        <f>INDEX('Net zero Activity data'!AG$24:AG$39,MATCH('Net zero emission reductions'!$G1450,'Net zero Activity data'!$D$24:$D$39,0))*INDEX(EF!$H$84:$H$99,MATCH('Net zero emission reductions'!$G1450,EF!$D$84:$D$99,0))*INDEX(EF!$H$100:$H$115,MATCH('Net zero emission reductions'!$G1450,EF!$D$100:$D$115,0))*INDEX(EF!$H$132:$H$147,MATCH('Net zero emission reductions'!$G1450,EF!$D$132:$D$147,0))*kgtoGg</f>
        <v>1.4582723703339006E-2</v>
      </c>
      <c r="O1450" s="22">
        <f>INDEX('Net zero Activity data'!AH$24:AH$39,MATCH('Net zero emission reductions'!$G1450,'Net zero Activity data'!$D$24:$D$39,0))*INDEX(EF!$H$84:$H$99,MATCH('Net zero emission reductions'!$G1450,EF!$D$84:$D$99,0))*INDEX(EF!$H$100:$H$115,MATCH('Net zero emission reductions'!$G1450,EF!$D$100:$D$115,0))*INDEX(EF!$H$132:$H$147,MATCH('Net zero emission reductions'!$G1450,EF!$D$132:$D$147,0))*kgtoGg</f>
        <v>1.4989074113648037E-2</v>
      </c>
      <c r="P1450" s="22">
        <f>INDEX('Net zero Activity data'!AI$24:AI$39,MATCH('Net zero emission reductions'!$G1450,'Net zero Activity data'!$D$24:$D$39,0))*INDEX(EF!$H$84:$H$99,MATCH('Net zero emission reductions'!$G1450,EF!$D$84:$D$99,0))*INDEX(EF!$H$100:$H$115,MATCH('Net zero emission reductions'!$G1450,EF!$D$100:$D$115,0))*INDEX(EF!$H$132:$H$147,MATCH('Net zero emission reductions'!$G1450,EF!$D$132:$D$147,0))*kgtoGg</f>
        <v>1.5395424523957073E-2</v>
      </c>
      <c r="Q1450" s="22">
        <f>INDEX('Net zero Activity data'!AJ$24:AJ$39,MATCH('Net zero emission reductions'!$G1450,'Net zero Activity data'!$D$24:$D$39,0))*INDEX(EF!$H$84:$H$99,MATCH('Net zero emission reductions'!$G1450,EF!$D$84:$D$99,0))*INDEX(EF!$H$100:$H$115,MATCH('Net zero emission reductions'!$G1450,EF!$D$100:$D$115,0))*INDEX(EF!$H$132:$H$147,MATCH('Net zero emission reductions'!$G1450,EF!$D$132:$D$147,0))*kgtoGg</f>
        <v>1.58017749342661E-2</v>
      </c>
      <c r="R1450" s="22">
        <f>INDEX('Net zero Activity data'!AK$24:AK$39,MATCH('Net zero emission reductions'!$G1450,'Net zero Activity data'!$D$24:$D$39,0))*INDEX(EF!$H$84:$H$99,MATCH('Net zero emission reductions'!$G1450,EF!$D$84:$D$99,0))*INDEX(EF!$H$100:$H$115,MATCH('Net zero emission reductions'!$G1450,EF!$D$100:$D$115,0))*INDEX(EF!$H$132:$H$147,MATCH('Net zero emission reductions'!$G1450,EF!$D$132:$D$147,0))*kgtoGg</f>
        <v>1.6208125344575129E-2</v>
      </c>
      <c r="S1450" s="22">
        <f>INDEX('Net zero Activity data'!AL$24:AL$39,MATCH('Net zero emission reductions'!$G1450,'Net zero Activity data'!$D$24:$D$39,0))*INDEX(EF!$H$84:$H$99,MATCH('Net zero emission reductions'!$G1450,EF!$D$84:$D$99,0))*INDEX(EF!$H$100:$H$115,MATCH('Net zero emission reductions'!$G1450,EF!$D$100:$D$115,0))*INDEX(EF!$H$132:$H$147,MATCH('Net zero emission reductions'!$G1450,EF!$D$132:$D$147,0))*kgtoGg</f>
        <v>1.6614475754884166E-2</v>
      </c>
      <c r="T1450" s="22">
        <f>INDEX('Net zero Activity data'!AM$24:AM$39,MATCH('Net zero emission reductions'!$G1450,'Net zero Activity data'!$D$24:$D$39,0))*INDEX(EF!$H$84:$H$99,MATCH('Net zero emission reductions'!$G1450,EF!$D$84:$D$99,0))*INDEX(EF!$H$100:$H$115,MATCH('Net zero emission reductions'!$G1450,EF!$D$100:$D$115,0))*INDEX(EF!$H$132:$H$147,MATCH('Net zero emission reductions'!$G1450,EF!$D$132:$D$147,0))*kgtoGg</f>
        <v>1.7020826165193202E-2</v>
      </c>
      <c r="U1450" s="22">
        <f>INDEX('Net zero Activity data'!AN$24:AN$39,MATCH('Net zero emission reductions'!$G1450,'Net zero Activity data'!$D$24:$D$39,0))*INDEX(EF!$H$84:$H$99,MATCH('Net zero emission reductions'!$G1450,EF!$D$84:$D$99,0))*INDEX(EF!$H$100:$H$115,MATCH('Net zero emission reductions'!$G1450,EF!$D$100:$D$115,0))*INDEX(EF!$H$132:$H$147,MATCH('Net zero emission reductions'!$G1450,EF!$D$132:$D$147,0))*kgtoGg</f>
        <v>1.7427176575502232E-2</v>
      </c>
      <c r="V1450" s="22">
        <f>INDEX('Net zero Activity data'!AO$24:AO$39,MATCH('Net zero emission reductions'!$G1450,'Net zero Activity data'!$D$24:$D$39,0))*INDEX(EF!$H$84:$H$99,MATCH('Net zero emission reductions'!$G1450,EF!$D$84:$D$99,0))*INDEX(EF!$H$100:$H$115,MATCH('Net zero emission reductions'!$G1450,EF!$D$100:$D$115,0))*INDEX(EF!$H$132:$H$147,MATCH('Net zero emission reductions'!$G1450,EF!$D$132:$D$147,0))*kgtoGg</f>
        <v>1.7833526985811265E-2</v>
      </c>
      <c r="W1450" s="22">
        <f>INDEX('Net zero Activity data'!AP$24:AP$39,MATCH('Net zero emission reductions'!$G1450,'Net zero Activity data'!$D$24:$D$39,0))*INDEX(EF!$H$84:$H$99,MATCH('Net zero emission reductions'!$G1450,EF!$D$84:$D$99,0))*INDEX(EF!$H$100:$H$115,MATCH('Net zero emission reductions'!$G1450,EF!$D$100:$D$115,0))*INDEX(EF!$H$132:$H$147,MATCH('Net zero emission reductions'!$G1450,EF!$D$132:$D$147,0))*kgtoGg</f>
        <v>1.8239877396120294E-2</v>
      </c>
      <c r="X1450" s="22">
        <f>INDEX('Net zero Activity data'!AQ$24:AQ$39,MATCH('Net zero emission reductions'!$G1450,'Net zero Activity data'!$D$24:$D$39,0))*INDEX(EF!$H$84:$H$99,MATCH('Net zero emission reductions'!$G1450,EF!$D$84:$D$99,0))*INDEX(EF!$H$100:$H$115,MATCH('Net zero emission reductions'!$G1450,EF!$D$100:$D$115,0))*INDEX(EF!$H$132:$H$147,MATCH('Net zero emission reductions'!$G1450,EF!$D$132:$D$147,0))*kgtoGg</f>
        <v>1.8646227806429327E-2</v>
      </c>
      <c r="Y1450" s="22">
        <f>INDEX('Net zero Activity data'!AR$24:AR$39,MATCH('Net zero emission reductions'!$G1450,'Net zero Activity data'!$D$24:$D$39,0))*INDEX(EF!$H$84:$H$99,MATCH('Net zero emission reductions'!$G1450,EF!$D$84:$D$99,0))*INDEX(EF!$H$100:$H$115,MATCH('Net zero emission reductions'!$G1450,EF!$D$100:$D$115,0))*INDEX(EF!$H$132:$H$147,MATCH('Net zero emission reductions'!$G1450,EF!$D$132:$D$147,0))*kgtoGg</f>
        <v>1.9052578216738364E-2</v>
      </c>
      <c r="Z1450" s="22">
        <f>INDEX('Net zero Activity data'!AS$24:AS$39,MATCH('Net zero emission reductions'!$G1450,'Net zero Activity data'!$D$24:$D$39,0))*INDEX(EF!$H$84:$H$99,MATCH('Net zero emission reductions'!$G1450,EF!$D$84:$D$99,0))*INDEX(EF!$H$100:$H$115,MATCH('Net zero emission reductions'!$G1450,EF!$D$100:$D$115,0))*INDEX(EF!$H$132:$H$147,MATCH('Net zero emission reductions'!$G1450,EF!$D$132:$D$147,0))*kgtoGg</f>
        <v>1.9458928627047394E-2</v>
      </c>
      <c r="AA1450" s="22">
        <f>INDEX('Net zero Activity data'!AT$24:AT$39,MATCH('Net zero emission reductions'!$G1450,'Net zero Activity data'!$D$24:$D$39,0))*INDEX(EF!$H$84:$H$99,MATCH('Net zero emission reductions'!$G1450,EF!$D$84:$D$99,0))*INDEX(EF!$H$100:$H$115,MATCH('Net zero emission reductions'!$G1450,EF!$D$100:$D$115,0))*INDEX(EF!$H$132:$H$147,MATCH('Net zero emission reductions'!$G1450,EF!$D$132:$D$147,0))*kgtoGg</f>
        <v>1.986527903735643E-2</v>
      </c>
      <c r="AB1450" s="22">
        <f>INDEX('Net zero Activity data'!AU$24:AU$39,MATCH('Net zero emission reductions'!$G1450,'Net zero Activity data'!$D$24:$D$39,0))*INDEX(EF!$H$84:$H$99,MATCH('Net zero emission reductions'!$G1450,EF!$D$84:$D$99,0))*INDEX(EF!$H$100:$H$115,MATCH('Net zero emission reductions'!$G1450,EF!$D$100:$D$115,0))*INDEX(EF!$H$132:$H$147,MATCH('Net zero emission reductions'!$G1450,EF!$D$132:$D$147,0))*kgtoGg</f>
        <v>2.027162944766546E-2</v>
      </c>
      <c r="AC1450" s="22">
        <f>INDEX('Net zero Activity data'!AV$24:AV$39,MATCH('Net zero emission reductions'!$G1450,'Net zero Activity data'!$D$24:$D$39,0))*INDEX(EF!$H$84:$H$99,MATCH('Net zero emission reductions'!$G1450,EF!$D$84:$D$99,0))*INDEX(EF!$H$100:$H$115,MATCH('Net zero emission reductions'!$G1450,EF!$D$100:$D$115,0))*INDEX(EF!$H$132:$H$147,MATCH('Net zero emission reductions'!$G1450,EF!$D$132:$D$147,0))*kgtoGg</f>
        <v>2.0677979857974496E-2</v>
      </c>
      <c r="AD1450" s="22">
        <f>INDEX('Net zero Activity data'!AW$24:AW$39,MATCH('Net zero emission reductions'!$G1450,'Net zero Activity data'!$D$24:$D$39,0))*INDEX(EF!$H$84:$H$99,MATCH('Net zero emission reductions'!$G1450,EF!$D$84:$D$99,0))*INDEX(EF!$H$100:$H$115,MATCH('Net zero emission reductions'!$G1450,EF!$D$100:$D$115,0))*INDEX(EF!$H$132:$H$147,MATCH('Net zero emission reductions'!$G1450,EF!$D$132:$D$147,0))*kgtoGg</f>
        <v>2.1084330268283526E-2</v>
      </c>
      <c r="AE1450" s="22">
        <f>INDEX('Net zero Activity data'!AX$24:AX$39,MATCH('Net zero emission reductions'!$G1450,'Net zero Activity data'!$D$24:$D$39,0))*INDEX(EF!$H$84:$H$99,MATCH('Net zero emission reductions'!$G1450,EF!$D$84:$D$99,0))*INDEX(EF!$H$100:$H$115,MATCH('Net zero emission reductions'!$G1450,EF!$D$100:$D$115,0))*INDEX(EF!$H$132:$H$147,MATCH('Net zero emission reductions'!$G1450,EF!$D$132:$D$147,0))*kgtoGg</f>
        <v>2.1490680678592562E-2</v>
      </c>
      <c r="AF1450" s="22">
        <f>INDEX('Net zero Activity data'!AY$24:AY$39,MATCH('Net zero emission reductions'!$G1450,'Net zero Activity data'!$D$24:$D$39,0))*INDEX(EF!$H$84:$H$99,MATCH('Net zero emission reductions'!$G1450,EF!$D$84:$D$99,0))*INDEX(EF!$H$100:$H$115,MATCH('Net zero emission reductions'!$G1450,EF!$D$100:$D$115,0))*INDEX(EF!$H$132:$H$147,MATCH('Net zero emission reductions'!$G1450,EF!$D$132:$D$147,0))*kgtoGg</f>
        <v>2.1897031088901588E-2</v>
      </c>
      <c r="AG1450" s="22">
        <f>INDEX('Net zero Activity data'!AZ$24:AZ$39,MATCH('Net zero emission reductions'!$G1450,'Net zero Activity data'!$D$24:$D$39,0))*INDEX(EF!$H$84:$H$99,MATCH('Net zero emission reductions'!$G1450,EF!$D$84:$D$99,0))*INDEX(EF!$H$100:$H$115,MATCH('Net zero emission reductions'!$G1450,EF!$D$100:$D$115,0))*INDEX(EF!$H$132:$H$147,MATCH('Net zero emission reductions'!$G1450,EF!$D$132:$D$147,0))*kgtoGg</f>
        <v>2.2303381499210621E-2</v>
      </c>
      <c r="AH1450" s="22">
        <f>INDEX('Net zero Activity data'!BA$24:BA$39,MATCH('Net zero emission reductions'!$G1450,'Net zero Activity data'!$D$24:$D$39,0))*INDEX(EF!$H$84:$H$99,MATCH('Net zero emission reductions'!$G1450,EF!$D$84:$D$99,0))*INDEX(EF!$H$100:$H$115,MATCH('Net zero emission reductions'!$G1450,EF!$D$100:$D$115,0))*INDEX(EF!$H$132:$H$147,MATCH('Net zero emission reductions'!$G1450,EF!$D$132:$D$147,0))*kgtoGg</f>
        <v>2.2709731909519658E-2</v>
      </c>
      <c r="AI1450" s="22">
        <f>INDEX('Net zero Activity data'!BB$24:BB$39,MATCH('Net zero emission reductions'!$G1450,'Net zero Activity data'!$D$24:$D$39,0))*INDEX(EF!$H$84:$H$99,MATCH('Net zero emission reductions'!$G1450,EF!$D$84:$D$99,0))*INDEX(EF!$H$100:$H$115,MATCH('Net zero emission reductions'!$G1450,EF!$D$100:$D$115,0))*INDEX(EF!$H$132:$H$147,MATCH('Net zero emission reductions'!$G1450,EF!$D$132:$D$147,0))*kgtoGg</f>
        <v>2.3116082319828691E-2</v>
      </c>
      <c r="AJ1450" s="22">
        <f>INDEX('Net zero Activity data'!BC$24:BC$39,MATCH('Net zero emission reductions'!$G1450,'Net zero Activity data'!$D$24:$D$39,0))*INDEX(EF!$H$84:$H$99,MATCH('Net zero emission reductions'!$G1450,EF!$D$84:$D$99,0))*INDEX(EF!$H$100:$H$115,MATCH('Net zero emission reductions'!$G1450,EF!$D$100:$D$115,0))*INDEX(EF!$H$132:$H$147,MATCH('Net zero emission reductions'!$G1450,EF!$D$132:$D$147,0))*kgtoGg</f>
        <v>2.3522432730137724E-2</v>
      </c>
      <c r="AK1450" s="22">
        <f>INDEX('Net zero Activity data'!BD$24:BD$39,MATCH('Net zero emission reductions'!$G1450,'Net zero Activity data'!$D$24:$D$39,0))*INDEX(EF!$H$84:$H$99,MATCH('Net zero emission reductions'!$G1450,EF!$D$84:$D$99,0))*INDEX(EF!$H$100:$H$115,MATCH('Net zero emission reductions'!$G1450,EF!$D$100:$D$115,0))*INDEX(EF!$H$132:$H$147,MATCH('Net zero emission reductions'!$G1450,EF!$D$132:$D$147,0))*kgtoGg</f>
        <v>2.392878314044675E-2</v>
      </c>
      <c r="AL1450" s="22">
        <f>INDEX('Net zero Activity data'!BE$24:BE$39,MATCH('Net zero emission reductions'!$G1450,'Net zero Activity data'!$D$24:$D$39,0))*INDEX(EF!$H$84:$H$99,MATCH('Net zero emission reductions'!$G1450,EF!$D$84:$D$99,0))*INDEX(EF!$H$100:$H$115,MATCH('Net zero emission reductions'!$G1450,EF!$D$100:$D$115,0))*INDEX(EF!$H$132:$H$147,MATCH('Net zero emission reductions'!$G1450,EF!$D$132:$D$147,0))*kgtoGg</f>
        <v>2.433513355075579E-2</v>
      </c>
      <c r="AM1450" s="22">
        <f>INDEX('Net zero Activity data'!BF$24:BF$39,MATCH('Net zero emission reductions'!$G1450,'Net zero Activity data'!$D$24:$D$39,0))*INDEX(EF!$H$84:$H$99,MATCH('Net zero emission reductions'!$G1450,EF!$D$84:$D$99,0))*INDEX(EF!$H$100:$H$115,MATCH('Net zero emission reductions'!$G1450,EF!$D$100:$D$115,0))*INDEX(EF!$H$132:$H$147,MATCH('Net zero emission reductions'!$G1450,EF!$D$132:$D$147,0))*kgtoGg</f>
        <v>2.4741483961064823E-2</v>
      </c>
      <c r="AN1450" s="22">
        <f>INDEX('Net zero Activity data'!BG$24:BG$39,MATCH('Net zero emission reductions'!$G1450,'Net zero Activity data'!$D$24:$D$39,0))*INDEX(EF!$H$84:$H$99,MATCH('Net zero emission reductions'!$G1450,EF!$D$84:$D$99,0))*INDEX(EF!$H$100:$H$115,MATCH('Net zero emission reductions'!$G1450,EF!$D$100:$D$115,0))*INDEX(EF!$H$132:$H$147,MATCH('Net zero emission reductions'!$G1450,EF!$D$132:$D$147,0))*kgtoGg</f>
        <v>2.5147834371373849E-2</v>
      </c>
      <c r="AO1450" s="22">
        <f>INDEX('Net zero Activity data'!BH$24:BH$39,MATCH('Net zero emission reductions'!$G1450,'Net zero Activity data'!$D$24:$D$39,0))*INDEX(EF!$H$84:$H$99,MATCH('Net zero emission reductions'!$G1450,EF!$D$84:$D$99,0))*INDEX(EF!$H$100:$H$115,MATCH('Net zero emission reductions'!$G1450,EF!$D$100:$D$115,0))*INDEX(EF!$H$132:$H$147,MATCH('Net zero emission reductions'!$G1450,EF!$D$132:$D$147,0))*kgtoGg</f>
        <v>2.5554184781682879E-2</v>
      </c>
      <c r="AP1450" s="22">
        <f>INDEX('Net zero Activity data'!BI$24:BI$39,MATCH('Net zero emission reductions'!$G1450,'Net zero Activity data'!$D$24:$D$39,0))*INDEX(EF!$H$84:$H$99,MATCH('Net zero emission reductions'!$G1450,EF!$D$84:$D$99,0))*INDEX(EF!$H$100:$H$115,MATCH('Net zero emission reductions'!$G1450,EF!$D$100:$D$115,0))*INDEX(EF!$H$132:$H$147,MATCH('Net zero emission reductions'!$G1450,EF!$D$132:$D$147,0))*kgtoGg</f>
        <v>2.5960535191991915E-2</v>
      </c>
      <c r="AQ1450" s="22">
        <f>INDEX('Net zero Activity data'!BJ$24:BJ$39,MATCH('Net zero emission reductions'!$G1450,'Net zero Activity data'!$D$24:$D$39,0))*INDEX(EF!$H$84:$H$99,MATCH('Net zero emission reductions'!$G1450,EF!$D$84:$D$99,0))*INDEX(EF!$H$100:$H$115,MATCH('Net zero emission reductions'!$G1450,EF!$D$100:$D$115,0))*INDEX(EF!$H$132:$H$147,MATCH('Net zero emission reductions'!$G1450,EF!$D$132:$D$147,0))*kgtoGg</f>
        <v>2.6366885602300948E-2</v>
      </c>
      <c r="AR1450" s="22">
        <f>INDEX('Net zero Activity data'!BK$24:BK$39,MATCH('Net zero emission reductions'!$G1450,'Net zero Activity data'!$D$24:$D$39,0))*INDEX(EF!$H$84:$H$99,MATCH('Net zero emission reductions'!$G1450,EF!$D$84:$D$99,0))*INDEX(EF!$H$100:$H$115,MATCH('Net zero emission reductions'!$G1450,EF!$D$100:$D$115,0))*INDEX(EF!$H$132:$H$147,MATCH('Net zero emission reductions'!$G1450,EF!$D$132:$D$147,0))*kgtoGg</f>
        <v>2.6773236012609978E-2</v>
      </c>
      <c r="AS1450" s="22">
        <f>INDEX('Net zero Activity data'!BL$24:BL$39,MATCH('Net zero emission reductions'!$G1450,'Net zero Activity data'!$D$24:$D$39,0))*INDEX(EF!$H$84:$H$99,MATCH('Net zero emission reductions'!$G1450,EF!$D$84:$D$99,0))*INDEX(EF!$H$100:$H$115,MATCH('Net zero emission reductions'!$G1450,EF!$D$100:$D$115,0))*INDEX(EF!$H$132:$H$147,MATCH('Net zero emission reductions'!$G1450,EF!$D$132:$D$147,0))*kgtoGg</f>
        <v>2.7179586422919014E-2</v>
      </c>
      <c r="AT1450" s="22">
        <f>INDEX('Net zero Activity data'!BM$24:BM$39,MATCH('Net zero emission reductions'!$G1450,'Net zero Activity data'!$D$24:$D$39,0))*INDEX(EF!$H$84:$H$99,MATCH('Net zero emission reductions'!$G1450,EF!$D$84:$D$99,0))*INDEX(EF!$H$100:$H$115,MATCH('Net zero emission reductions'!$G1450,EF!$D$100:$D$115,0))*INDEX(EF!$H$132:$H$147,MATCH('Net zero emission reductions'!$G1450,EF!$D$132:$D$147,0))*kgtoGg</f>
        <v>2.7585936833228034E-2</v>
      </c>
      <c r="AU1450" s="22">
        <f>INDEX('Net zero Activity data'!BN$24:BN$39,MATCH('Net zero emission reductions'!$G1450,'Net zero Activity data'!$D$24:$D$39,0))*INDEX(EF!$H$84:$H$99,MATCH('Net zero emission reductions'!$G1450,EF!$D$84:$D$99,0))*INDEX(EF!$H$100:$H$115,MATCH('Net zero emission reductions'!$G1450,EF!$D$100:$D$115,0))*INDEX(EF!$H$132:$H$147,MATCH('Net zero emission reductions'!$G1450,EF!$D$132:$D$147,0))*kgtoGg</f>
        <v>2.7992287243537067E-2</v>
      </c>
      <c r="AV1450" s="22">
        <f>INDEX('Net zero Activity data'!BO$24:BO$39,MATCH('Net zero emission reductions'!$G1450,'Net zero Activity data'!$D$24:$D$39,0))*INDEX(EF!$H$84:$H$99,MATCH('Net zero emission reductions'!$G1450,EF!$D$84:$D$99,0))*INDEX(EF!$H$100:$H$115,MATCH('Net zero emission reductions'!$G1450,EF!$D$100:$D$115,0))*INDEX(EF!$H$132:$H$147,MATCH('Net zero emission reductions'!$G1450,EF!$D$132:$D$147,0))*kgtoGg</f>
        <v>2.8398637653846096E-2</v>
      </c>
      <c r="AW1450" s="22">
        <f>INDEX('Net zero Activity data'!BP$24:BP$39,MATCH('Net zero emission reductions'!$G1450,'Net zero Activity data'!$D$24:$D$39,0))*INDEX(EF!$H$84:$H$99,MATCH('Net zero emission reductions'!$G1450,EF!$D$84:$D$99,0))*INDEX(EF!$H$100:$H$115,MATCH('Net zero emission reductions'!$G1450,EF!$D$100:$D$115,0))*INDEX(EF!$H$132:$H$147,MATCH('Net zero emission reductions'!$G1450,EF!$D$132:$D$147,0))*kgtoGg</f>
        <v>2.8804988064155126E-2</v>
      </c>
    </row>
    <row r="1451" spans="1:49" x14ac:dyDescent="0.3">
      <c r="A1451" s="95" t="s">
        <v>960</v>
      </c>
      <c r="B1451" s="95"/>
      <c r="C1451" s="95"/>
      <c r="D1451" t="str">
        <f t="shared" si="560"/>
        <v>3C Aggregated and non-CO2 emissions on land</v>
      </c>
      <c r="E1451" t="str">
        <f t="shared" si="560"/>
        <v>3C1 Biomass burning (N2O)</v>
      </c>
      <c r="F1451" t="str">
        <f t="shared" si="559"/>
        <v>3C1b Biomass burning in Croplands</v>
      </c>
      <c r="G1451" t="str">
        <f>EF!D106</f>
        <v>Perennial orchards</v>
      </c>
      <c r="H1451" t="s">
        <v>647</v>
      </c>
      <c r="I1451" t="str">
        <f t="shared" si="561"/>
        <v>N2O</v>
      </c>
      <c r="J1451" t="str">
        <f t="shared" si="561"/>
        <v>Gg N2O</v>
      </c>
      <c r="K1451" s="22">
        <f>INDEX('Net zero Activity data'!AD$24:AD$39,MATCH('Net zero emission reductions'!$G1451,'Net zero Activity data'!$D$24:$D$39,0))*INDEX(EF!$H$84:$H$99,MATCH('Net zero emission reductions'!$G1451,EF!$D$84:$D$99,0))*INDEX(EF!$H$100:$H$115,MATCH('Net zero emission reductions'!$G1451,EF!$D$100:$D$115,0))*INDEX(EF!$H$132:$H$147,MATCH('Net zero emission reductions'!$G1451,EF!$D$132:$D$147,0))*kgtoGg</f>
        <v>1.5816881190357272E-3</v>
      </c>
      <c r="L1451" s="22">
        <f>INDEX('Net zero Activity data'!AE$24:AE$39,MATCH('Net zero emission reductions'!$G1451,'Net zero Activity data'!$D$24:$D$39,0))*INDEX(EF!$H$84:$H$99,MATCH('Net zero emission reductions'!$G1451,EF!$D$84:$D$99,0))*INDEX(EF!$H$100:$H$115,MATCH('Net zero emission reductions'!$G1451,EF!$D$100:$D$115,0))*INDEX(EF!$H$132:$H$147,MATCH('Net zero emission reductions'!$G1451,EF!$D$132:$D$147,0))*kgtoGg</f>
        <v>1.5951964157097593E-3</v>
      </c>
      <c r="M1451" s="22">
        <f>INDEX('Net zero Activity data'!AF$24:AF$39,MATCH('Net zero emission reductions'!$G1451,'Net zero Activity data'!$D$24:$D$39,0))*INDEX(EF!$H$84:$H$99,MATCH('Net zero emission reductions'!$G1451,EF!$D$84:$D$99,0))*INDEX(EF!$H$100:$H$115,MATCH('Net zero emission reductions'!$G1451,EF!$D$100:$D$115,0))*INDEX(EF!$H$132:$H$147,MATCH('Net zero emission reductions'!$G1451,EF!$D$132:$D$147,0))*kgtoGg</f>
        <v>1.6087047123837911E-3</v>
      </c>
      <c r="N1451" s="22">
        <f>INDEX('Net zero Activity data'!AG$24:AG$39,MATCH('Net zero emission reductions'!$G1451,'Net zero Activity data'!$D$24:$D$39,0))*INDEX(EF!$H$84:$H$99,MATCH('Net zero emission reductions'!$G1451,EF!$D$84:$D$99,0))*INDEX(EF!$H$100:$H$115,MATCH('Net zero emission reductions'!$G1451,EF!$D$100:$D$115,0))*INDEX(EF!$H$132:$H$147,MATCH('Net zero emission reductions'!$G1451,EF!$D$132:$D$147,0))*kgtoGg</f>
        <v>1.6222130090578235E-3</v>
      </c>
      <c r="O1451" s="22">
        <f>INDEX('Net zero Activity data'!AH$24:AH$39,MATCH('Net zero emission reductions'!$G1451,'Net zero Activity data'!$D$24:$D$39,0))*INDEX(EF!$H$84:$H$99,MATCH('Net zero emission reductions'!$G1451,EF!$D$84:$D$99,0))*INDEX(EF!$H$100:$H$115,MATCH('Net zero emission reductions'!$G1451,EF!$D$100:$D$115,0))*INDEX(EF!$H$132:$H$147,MATCH('Net zero emission reductions'!$G1451,EF!$D$132:$D$147,0))*kgtoGg</f>
        <v>1.6357213057318551E-3</v>
      </c>
      <c r="P1451" s="22">
        <f>INDEX('Net zero Activity data'!AI$24:AI$39,MATCH('Net zero emission reductions'!$G1451,'Net zero Activity data'!$D$24:$D$39,0))*INDEX(EF!$H$84:$H$99,MATCH('Net zero emission reductions'!$G1451,EF!$D$84:$D$99,0))*INDEX(EF!$H$100:$H$115,MATCH('Net zero emission reductions'!$G1451,EF!$D$100:$D$115,0))*INDEX(EF!$H$132:$H$147,MATCH('Net zero emission reductions'!$G1451,EF!$D$132:$D$147,0))*kgtoGg</f>
        <v>1.6492296024058872E-3</v>
      </c>
      <c r="Q1451" s="22">
        <f>INDEX('Net zero Activity data'!AJ$24:AJ$39,MATCH('Net zero emission reductions'!$G1451,'Net zero Activity data'!$D$24:$D$39,0))*INDEX(EF!$H$84:$H$99,MATCH('Net zero emission reductions'!$G1451,EF!$D$84:$D$99,0))*INDEX(EF!$H$100:$H$115,MATCH('Net zero emission reductions'!$G1451,EF!$D$100:$D$115,0))*INDEX(EF!$H$132:$H$147,MATCH('Net zero emission reductions'!$G1451,EF!$D$132:$D$147,0))*kgtoGg</f>
        <v>1.6627378990799191E-3</v>
      </c>
      <c r="R1451" s="22">
        <f>INDEX('Net zero Activity data'!AK$24:AK$39,MATCH('Net zero emission reductions'!$G1451,'Net zero Activity data'!$D$24:$D$39,0))*INDEX(EF!$H$84:$H$99,MATCH('Net zero emission reductions'!$G1451,EF!$D$84:$D$99,0))*INDEX(EF!$H$100:$H$115,MATCH('Net zero emission reductions'!$G1451,EF!$D$100:$D$115,0))*INDEX(EF!$H$132:$H$147,MATCH('Net zero emission reductions'!$G1451,EF!$D$132:$D$147,0))*kgtoGg</f>
        <v>1.6762461957539514E-3</v>
      </c>
      <c r="S1451" s="22">
        <f>INDEX('Net zero Activity data'!AL$24:AL$39,MATCH('Net zero emission reductions'!$G1451,'Net zero Activity data'!$D$24:$D$39,0))*INDEX(EF!$H$84:$H$99,MATCH('Net zero emission reductions'!$G1451,EF!$D$84:$D$99,0))*INDEX(EF!$H$100:$H$115,MATCH('Net zero emission reductions'!$G1451,EF!$D$100:$D$115,0))*INDEX(EF!$H$132:$H$147,MATCH('Net zero emission reductions'!$G1451,EF!$D$132:$D$147,0))*kgtoGg</f>
        <v>1.6897544924279831E-3</v>
      </c>
      <c r="T1451" s="22">
        <f>INDEX('Net zero Activity data'!AM$24:AM$39,MATCH('Net zero emission reductions'!$G1451,'Net zero Activity data'!$D$24:$D$39,0))*INDEX(EF!$H$84:$H$99,MATCH('Net zero emission reductions'!$G1451,EF!$D$84:$D$99,0))*INDEX(EF!$H$100:$H$115,MATCH('Net zero emission reductions'!$G1451,EF!$D$100:$D$115,0))*INDEX(EF!$H$132:$H$147,MATCH('Net zero emission reductions'!$G1451,EF!$D$132:$D$147,0))*kgtoGg</f>
        <v>1.7032627891020152E-3</v>
      </c>
      <c r="U1451" s="22">
        <f>INDEX('Net zero Activity data'!AN$24:AN$39,MATCH('Net zero emission reductions'!$G1451,'Net zero Activity data'!$D$24:$D$39,0))*INDEX(EF!$H$84:$H$99,MATCH('Net zero emission reductions'!$G1451,EF!$D$84:$D$99,0))*INDEX(EF!$H$100:$H$115,MATCH('Net zero emission reductions'!$G1451,EF!$D$100:$D$115,0))*INDEX(EF!$H$132:$H$147,MATCH('Net zero emission reductions'!$G1451,EF!$D$132:$D$147,0))*kgtoGg</f>
        <v>1.716771085776047E-3</v>
      </c>
      <c r="V1451" s="22">
        <f>INDEX('Net zero Activity data'!AO$24:AO$39,MATCH('Net zero emission reductions'!$G1451,'Net zero Activity data'!$D$24:$D$39,0))*INDEX(EF!$H$84:$H$99,MATCH('Net zero emission reductions'!$G1451,EF!$D$84:$D$99,0))*INDEX(EF!$H$100:$H$115,MATCH('Net zero emission reductions'!$G1451,EF!$D$100:$D$115,0))*INDEX(EF!$H$132:$H$147,MATCH('Net zero emission reductions'!$G1451,EF!$D$132:$D$147,0))*kgtoGg</f>
        <v>1.7302793824500789E-3</v>
      </c>
      <c r="W1451" s="22">
        <f>INDEX('Net zero Activity data'!AP$24:AP$39,MATCH('Net zero emission reductions'!$G1451,'Net zero Activity data'!$D$24:$D$39,0))*INDEX(EF!$H$84:$H$99,MATCH('Net zero emission reductions'!$G1451,EF!$D$84:$D$99,0))*INDEX(EF!$H$100:$H$115,MATCH('Net zero emission reductions'!$G1451,EF!$D$100:$D$115,0))*INDEX(EF!$H$132:$H$147,MATCH('Net zero emission reductions'!$G1451,EF!$D$132:$D$147,0))*kgtoGg</f>
        <v>1.7437876791241112E-3</v>
      </c>
      <c r="X1451" s="22">
        <f>INDEX('Net zero Activity data'!AQ$24:AQ$39,MATCH('Net zero emission reductions'!$G1451,'Net zero Activity data'!$D$24:$D$39,0))*INDEX(EF!$H$84:$H$99,MATCH('Net zero emission reductions'!$G1451,EF!$D$84:$D$99,0))*INDEX(EF!$H$100:$H$115,MATCH('Net zero emission reductions'!$G1451,EF!$D$100:$D$115,0))*INDEX(EF!$H$132:$H$147,MATCH('Net zero emission reductions'!$G1451,EF!$D$132:$D$147,0))*kgtoGg</f>
        <v>1.7572959757981431E-3</v>
      </c>
      <c r="Y1451" s="22">
        <f>INDEX('Net zero Activity data'!AR$24:AR$39,MATCH('Net zero emission reductions'!$G1451,'Net zero Activity data'!$D$24:$D$39,0))*INDEX(EF!$H$84:$H$99,MATCH('Net zero emission reductions'!$G1451,EF!$D$84:$D$99,0))*INDEX(EF!$H$100:$H$115,MATCH('Net zero emission reductions'!$G1451,EF!$D$100:$D$115,0))*INDEX(EF!$H$132:$H$147,MATCH('Net zero emission reductions'!$G1451,EF!$D$132:$D$147,0))*kgtoGg</f>
        <v>1.7708042724721754E-3</v>
      </c>
      <c r="Z1451" s="22">
        <f>INDEX('Net zero Activity data'!AS$24:AS$39,MATCH('Net zero emission reductions'!$G1451,'Net zero Activity data'!$D$24:$D$39,0))*INDEX(EF!$H$84:$H$99,MATCH('Net zero emission reductions'!$G1451,EF!$D$84:$D$99,0))*INDEX(EF!$H$100:$H$115,MATCH('Net zero emission reductions'!$G1451,EF!$D$100:$D$115,0))*INDEX(EF!$H$132:$H$147,MATCH('Net zero emission reductions'!$G1451,EF!$D$132:$D$147,0))*kgtoGg</f>
        <v>1.7843125691462071E-3</v>
      </c>
      <c r="AA1451" s="22">
        <f>INDEX('Net zero Activity data'!AT$24:AT$39,MATCH('Net zero emission reductions'!$G1451,'Net zero Activity data'!$D$24:$D$39,0))*INDEX(EF!$H$84:$H$99,MATCH('Net zero emission reductions'!$G1451,EF!$D$84:$D$99,0))*INDEX(EF!$H$100:$H$115,MATCH('Net zero emission reductions'!$G1451,EF!$D$100:$D$115,0))*INDEX(EF!$H$132:$H$147,MATCH('Net zero emission reductions'!$G1451,EF!$D$132:$D$147,0))*kgtoGg</f>
        <v>1.7978208658202392E-3</v>
      </c>
      <c r="AB1451" s="22">
        <f>INDEX('Net zero Activity data'!AU$24:AU$39,MATCH('Net zero emission reductions'!$G1451,'Net zero Activity data'!$D$24:$D$39,0))*INDEX(EF!$H$84:$H$99,MATCH('Net zero emission reductions'!$G1451,EF!$D$84:$D$99,0))*INDEX(EF!$H$100:$H$115,MATCH('Net zero emission reductions'!$G1451,EF!$D$100:$D$115,0))*INDEX(EF!$H$132:$H$147,MATCH('Net zero emission reductions'!$G1451,EF!$D$132:$D$147,0))*kgtoGg</f>
        <v>1.8113291624942711E-3</v>
      </c>
      <c r="AC1451" s="22">
        <f>INDEX('Net zero Activity data'!AV$24:AV$39,MATCH('Net zero emission reductions'!$G1451,'Net zero Activity data'!$D$24:$D$39,0))*INDEX(EF!$H$84:$H$99,MATCH('Net zero emission reductions'!$G1451,EF!$D$84:$D$99,0))*INDEX(EF!$H$100:$H$115,MATCH('Net zero emission reductions'!$G1451,EF!$D$100:$D$115,0))*INDEX(EF!$H$132:$H$147,MATCH('Net zero emission reductions'!$G1451,EF!$D$132:$D$147,0))*kgtoGg</f>
        <v>1.8248374591683034E-3</v>
      </c>
      <c r="AD1451" s="22">
        <f>INDEX('Net zero Activity data'!AW$24:AW$39,MATCH('Net zero emission reductions'!$G1451,'Net zero Activity data'!$D$24:$D$39,0))*INDEX(EF!$H$84:$H$99,MATCH('Net zero emission reductions'!$G1451,EF!$D$84:$D$99,0))*INDEX(EF!$H$100:$H$115,MATCH('Net zero emission reductions'!$G1451,EF!$D$100:$D$115,0))*INDEX(EF!$H$132:$H$147,MATCH('Net zero emission reductions'!$G1451,EF!$D$132:$D$147,0))*kgtoGg</f>
        <v>1.838345755842335E-3</v>
      </c>
      <c r="AE1451" s="22">
        <f>INDEX('Net zero Activity data'!AX$24:AX$39,MATCH('Net zero emission reductions'!$G1451,'Net zero Activity data'!$D$24:$D$39,0))*INDEX(EF!$H$84:$H$99,MATCH('Net zero emission reductions'!$G1451,EF!$D$84:$D$99,0))*INDEX(EF!$H$100:$H$115,MATCH('Net zero emission reductions'!$G1451,EF!$D$100:$D$115,0))*INDEX(EF!$H$132:$H$147,MATCH('Net zero emission reductions'!$G1451,EF!$D$132:$D$147,0))*kgtoGg</f>
        <v>1.8518540525163671E-3</v>
      </c>
      <c r="AF1451" s="22">
        <f>INDEX('Net zero Activity data'!AY$24:AY$39,MATCH('Net zero emission reductions'!$G1451,'Net zero Activity data'!$D$24:$D$39,0))*INDEX(EF!$H$84:$H$99,MATCH('Net zero emission reductions'!$G1451,EF!$D$84:$D$99,0))*INDEX(EF!$H$100:$H$115,MATCH('Net zero emission reductions'!$G1451,EF!$D$100:$D$115,0))*INDEX(EF!$H$132:$H$147,MATCH('Net zero emission reductions'!$G1451,EF!$D$132:$D$147,0))*kgtoGg</f>
        <v>1.865362349190399E-3</v>
      </c>
      <c r="AG1451" s="22">
        <f>INDEX('Net zero Activity data'!AZ$24:AZ$39,MATCH('Net zero emission reductions'!$G1451,'Net zero Activity data'!$D$24:$D$39,0))*INDEX(EF!$H$84:$H$99,MATCH('Net zero emission reductions'!$G1451,EF!$D$84:$D$99,0))*INDEX(EF!$H$100:$H$115,MATCH('Net zero emission reductions'!$G1451,EF!$D$100:$D$115,0))*INDEX(EF!$H$132:$H$147,MATCH('Net zero emission reductions'!$G1451,EF!$D$132:$D$147,0))*kgtoGg</f>
        <v>1.8788706458644309E-3</v>
      </c>
      <c r="AH1451" s="22">
        <f>INDEX('Net zero Activity data'!BA$24:BA$39,MATCH('Net zero emission reductions'!$G1451,'Net zero Activity data'!$D$24:$D$39,0))*INDEX(EF!$H$84:$H$99,MATCH('Net zero emission reductions'!$G1451,EF!$D$84:$D$99,0))*INDEX(EF!$H$100:$H$115,MATCH('Net zero emission reductions'!$G1451,EF!$D$100:$D$115,0))*INDEX(EF!$H$132:$H$147,MATCH('Net zero emission reductions'!$G1451,EF!$D$132:$D$147,0))*kgtoGg</f>
        <v>1.892378942538463E-3</v>
      </c>
      <c r="AI1451" s="22">
        <f>INDEX('Net zero Activity data'!BB$24:BB$39,MATCH('Net zero emission reductions'!$G1451,'Net zero Activity data'!$D$24:$D$39,0))*INDEX(EF!$H$84:$H$99,MATCH('Net zero emission reductions'!$G1451,EF!$D$84:$D$99,0))*INDEX(EF!$H$100:$H$115,MATCH('Net zero emission reductions'!$G1451,EF!$D$100:$D$115,0))*INDEX(EF!$H$132:$H$147,MATCH('Net zero emission reductions'!$G1451,EF!$D$132:$D$147,0))*kgtoGg</f>
        <v>1.9058872392124951E-3</v>
      </c>
      <c r="AJ1451" s="22">
        <f>INDEX('Net zero Activity data'!BC$24:BC$39,MATCH('Net zero emission reductions'!$G1451,'Net zero Activity data'!$D$24:$D$39,0))*INDEX(EF!$H$84:$H$99,MATCH('Net zero emission reductions'!$G1451,EF!$D$84:$D$99,0))*INDEX(EF!$H$100:$H$115,MATCH('Net zero emission reductions'!$G1451,EF!$D$100:$D$115,0))*INDEX(EF!$H$132:$H$147,MATCH('Net zero emission reductions'!$G1451,EF!$D$132:$D$147,0))*kgtoGg</f>
        <v>1.9193955358865269E-3</v>
      </c>
      <c r="AK1451" s="22">
        <f>INDEX('Net zero Activity data'!BD$24:BD$39,MATCH('Net zero emission reductions'!$G1451,'Net zero Activity data'!$D$24:$D$39,0))*INDEX(EF!$H$84:$H$99,MATCH('Net zero emission reductions'!$G1451,EF!$D$84:$D$99,0))*INDEX(EF!$H$100:$H$115,MATCH('Net zero emission reductions'!$G1451,EF!$D$100:$D$115,0))*INDEX(EF!$H$132:$H$147,MATCH('Net zero emission reductions'!$G1451,EF!$D$132:$D$147,0))*kgtoGg</f>
        <v>1.932903832560559E-3</v>
      </c>
      <c r="AL1451" s="22">
        <f>INDEX('Net zero Activity data'!BE$24:BE$39,MATCH('Net zero emission reductions'!$G1451,'Net zero Activity data'!$D$24:$D$39,0))*INDEX(EF!$H$84:$H$99,MATCH('Net zero emission reductions'!$G1451,EF!$D$84:$D$99,0))*INDEX(EF!$H$100:$H$115,MATCH('Net zero emission reductions'!$G1451,EF!$D$100:$D$115,0))*INDEX(EF!$H$132:$H$147,MATCH('Net zero emission reductions'!$G1451,EF!$D$132:$D$147,0))*kgtoGg</f>
        <v>1.9464121292345907E-3</v>
      </c>
      <c r="AM1451" s="22">
        <f>INDEX('Net zero Activity data'!BF$24:BF$39,MATCH('Net zero emission reductions'!$G1451,'Net zero Activity data'!$D$24:$D$39,0))*INDEX(EF!$H$84:$H$99,MATCH('Net zero emission reductions'!$G1451,EF!$D$84:$D$99,0))*INDEX(EF!$H$100:$H$115,MATCH('Net zero emission reductions'!$G1451,EF!$D$100:$D$115,0))*INDEX(EF!$H$132:$H$147,MATCH('Net zero emission reductions'!$G1451,EF!$D$132:$D$147,0))*kgtoGg</f>
        <v>1.959920425908623E-3</v>
      </c>
      <c r="AN1451" s="22">
        <f>INDEX('Net zero Activity data'!BG$24:BG$39,MATCH('Net zero emission reductions'!$G1451,'Net zero Activity data'!$D$24:$D$39,0))*INDEX(EF!$H$84:$H$99,MATCH('Net zero emission reductions'!$G1451,EF!$D$84:$D$99,0))*INDEX(EF!$H$100:$H$115,MATCH('Net zero emission reductions'!$G1451,EF!$D$100:$D$115,0))*INDEX(EF!$H$132:$H$147,MATCH('Net zero emission reductions'!$G1451,EF!$D$132:$D$147,0))*kgtoGg</f>
        <v>1.9734287225826549E-3</v>
      </c>
      <c r="AO1451" s="22">
        <f>INDEX('Net zero Activity data'!BH$24:BH$39,MATCH('Net zero emission reductions'!$G1451,'Net zero Activity data'!$D$24:$D$39,0))*INDEX(EF!$H$84:$H$99,MATCH('Net zero emission reductions'!$G1451,EF!$D$84:$D$99,0))*INDEX(EF!$H$100:$H$115,MATCH('Net zero emission reductions'!$G1451,EF!$D$100:$D$115,0))*INDEX(EF!$H$132:$H$147,MATCH('Net zero emission reductions'!$G1451,EF!$D$132:$D$147,0))*kgtoGg</f>
        <v>1.9869370192566872E-3</v>
      </c>
      <c r="AP1451" s="22">
        <f>INDEX('Net zero Activity data'!BI$24:BI$39,MATCH('Net zero emission reductions'!$G1451,'Net zero Activity data'!$D$24:$D$39,0))*INDEX(EF!$H$84:$H$99,MATCH('Net zero emission reductions'!$G1451,EF!$D$84:$D$99,0))*INDEX(EF!$H$100:$H$115,MATCH('Net zero emission reductions'!$G1451,EF!$D$100:$D$115,0))*INDEX(EF!$H$132:$H$147,MATCH('Net zero emission reductions'!$G1451,EF!$D$132:$D$147,0))*kgtoGg</f>
        <v>2.0004453159307187E-3</v>
      </c>
      <c r="AQ1451" s="22">
        <f>INDEX('Net zero Activity data'!BJ$24:BJ$39,MATCH('Net zero emission reductions'!$G1451,'Net zero Activity data'!$D$24:$D$39,0))*INDEX(EF!$H$84:$H$99,MATCH('Net zero emission reductions'!$G1451,EF!$D$84:$D$99,0))*INDEX(EF!$H$100:$H$115,MATCH('Net zero emission reductions'!$G1451,EF!$D$100:$D$115,0))*INDEX(EF!$H$132:$H$147,MATCH('Net zero emission reductions'!$G1451,EF!$D$132:$D$147,0))*kgtoGg</f>
        <v>2.013953612604751E-3</v>
      </c>
      <c r="AR1451" s="22">
        <f>INDEX('Net zero Activity data'!BK$24:BK$39,MATCH('Net zero emission reductions'!$G1451,'Net zero Activity data'!$D$24:$D$39,0))*INDEX(EF!$H$84:$H$99,MATCH('Net zero emission reductions'!$G1451,EF!$D$84:$D$99,0))*INDEX(EF!$H$100:$H$115,MATCH('Net zero emission reductions'!$G1451,EF!$D$100:$D$115,0))*INDEX(EF!$H$132:$H$147,MATCH('Net zero emission reductions'!$G1451,EF!$D$132:$D$147,0))*kgtoGg</f>
        <v>2.0274619092787828E-3</v>
      </c>
      <c r="AS1451" s="22">
        <f>INDEX('Net zero Activity data'!BL$24:BL$39,MATCH('Net zero emission reductions'!$G1451,'Net zero Activity data'!$D$24:$D$39,0))*INDEX(EF!$H$84:$H$99,MATCH('Net zero emission reductions'!$G1451,EF!$D$84:$D$99,0))*INDEX(EF!$H$100:$H$115,MATCH('Net zero emission reductions'!$G1451,EF!$D$100:$D$115,0))*INDEX(EF!$H$132:$H$147,MATCH('Net zero emission reductions'!$G1451,EF!$D$132:$D$147,0))*kgtoGg</f>
        <v>2.0409702059528147E-3</v>
      </c>
      <c r="AT1451" s="22">
        <f>INDEX('Net zero Activity data'!BM$24:BM$39,MATCH('Net zero emission reductions'!$G1451,'Net zero Activity data'!$D$24:$D$39,0))*INDEX(EF!$H$84:$H$99,MATCH('Net zero emission reductions'!$G1451,EF!$D$84:$D$99,0))*INDEX(EF!$H$100:$H$115,MATCH('Net zero emission reductions'!$G1451,EF!$D$100:$D$115,0))*INDEX(EF!$H$132:$H$147,MATCH('Net zero emission reductions'!$G1451,EF!$D$132:$D$147,0))*kgtoGg</f>
        <v>2.0544785026268466E-3</v>
      </c>
      <c r="AU1451" s="22">
        <f>INDEX('Net zero Activity data'!BN$24:BN$39,MATCH('Net zero emission reductions'!$G1451,'Net zero Activity data'!$D$24:$D$39,0))*INDEX(EF!$H$84:$H$99,MATCH('Net zero emission reductions'!$G1451,EF!$D$84:$D$99,0))*INDEX(EF!$H$100:$H$115,MATCH('Net zero emission reductions'!$G1451,EF!$D$100:$D$115,0))*INDEX(EF!$H$132:$H$147,MATCH('Net zero emission reductions'!$G1451,EF!$D$132:$D$147,0))*kgtoGg</f>
        <v>2.0679867993008789E-3</v>
      </c>
      <c r="AV1451" s="22">
        <f>INDEX('Net zero Activity data'!BO$24:BO$39,MATCH('Net zero emission reductions'!$G1451,'Net zero Activity data'!$D$24:$D$39,0))*INDEX(EF!$H$84:$H$99,MATCH('Net zero emission reductions'!$G1451,EF!$D$84:$D$99,0))*INDEX(EF!$H$100:$H$115,MATCH('Net zero emission reductions'!$G1451,EF!$D$100:$D$115,0))*INDEX(EF!$H$132:$H$147,MATCH('Net zero emission reductions'!$G1451,EF!$D$132:$D$147,0))*kgtoGg</f>
        <v>2.0814950959749112E-3</v>
      </c>
      <c r="AW1451" s="22">
        <f>INDEX('Net zero Activity data'!BP$24:BP$39,MATCH('Net zero emission reductions'!$G1451,'Net zero Activity data'!$D$24:$D$39,0))*INDEX(EF!$H$84:$H$99,MATCH('Net zero emission reductions'!$G1451,EF!$D$84:$D$99,0))*INDEX(EF!$H$100:$H$115,MATCH('Net zero emission reductions'!$G1451,EF!$D$100:$D$115,0))*INDEX(EF!$H$132:$H$147,MATCH('Net zero emission reductions'!$G1451,EF!$D$132:$D$147,0))*kgtoGg</f>
        <v>2.0950033926489427E-3</v>
      </c>
    </row>
    <row r="1452" spans="1:49" x14ac:dyDescent="0.3">
      <c r="A1452" s="95" t="s">
        <v>960</v>
      </c>
      <c r="B1452" s="95"/>
      <c r="C1452" s="95"/>
      <c r="D1452" t="str">
        <f t="shared" si="560"/>
        <v>3C Aggregated and non-CO2 emissions on land</v>
      </c>
      <c r="E1452" t="str">
        <f t="shared" si="560"/>
        <v>3C1 Biomass burning (N2O)</v>
      </c>
      <c r="F1452" t="str">
        <f t="shared" si="559"/>
        <v>3C1b Biomass burning in Croplands</v>
      </c>
      <c r="G1452" t="str">
        <f>EF!D107</f>
        <v>Perennial vineyards</v>
      </c>
      <c r="H1452" t="s">
        <v>648</v>
      </c>
      <c r="I1452" t="str">
        <f t="shared" si="561"/>
        <v>N2O</v>
      </c>
      <c r="J1452" t="str">
        <f t="shared" si="561"/>
        <v>Gg N2O</v>
      </c>
      <c r="K1452" s="22">
        <f>INDEX('Net zero Activity data'!AD$24:AD$39,MATCH('Net zero emission reductions'!$G1452,'Net zero Activity data'!$D$24:$D$39,0))*INDEX(EF!$H$84:$H$99,MATCH('Net zero emission reductions'!$G1452,EF!$D$84:$D$99,0))*INDEX(EF!$H$100:$H$115,MATCH('Net zero emission reductions'!$G1452,EF!$D$100:$D$115,0))*INDEX(EF!$H$132:$H$147,MATCH('Net zero emission reductions'!$G1452,EF!$D$132:$D$147,0))*kgtoGg</f>
        <v>4.3710094215939618E-4</v>
      </c>
      <c r="L1452" s="22">
        <f>INDEX('Net zero Activity data'!AE$24:AE$39,MATCH('Net zero emission reductions'!$G1452,'Net zero Activity data'!$D$24:$D$39,0))*INDEX(EF!$H$84:$H$99,MATCH('Net zero emission reductions'!$G1452,EF!$D$84:$D$99,0))*INDEX(EF!$H$100:$H$115,MATCH('Net zero emission reductions'!$G1452,EF!$D$100:$D$115,0))*INDEX(EF!$H$132:$H$147,MATCH('Net zero emission reductions'!$G1452,EF!$D$132:$D$147,0))*kgtoGg</f>
        <v>4.3997905246480524E-4</v>
      </c>
      <c r="M1452" s="22">
        <f>INDEX('Net zero Activity data'!AF$24:AF$39,MATCH('Net zero emission reductions'!$G1452,'Net zero Activity data'!$D$24:$D$39,0))*INDEX(EF!$H$84:$H$99,MATCH('Net zero emission reductions'!$G1452,EF!$D$84:$D$99,0))*INDEX(EF!$H$100:$H$115,MATCH('Net zero emission reductions'!$G1452,EF!$D$100:$D$115,0))*INDEX(EF!$H$132:$H$147,MATCH('Net zero emission reductions'!$G1452,EF!$D$132:$D$147,0))*kgtoGg</f>
        <v>4.4285716277021425E-4</v>
      </c>
      <c r="N1452" s="22">
        <f>INDEX('Net zero Activity data'!AG$24:AG$39,MATCH('Net zero emission reductions'!$G1452,'Net zero Activity data'!$D$24:$D$39,0))*INDEX(EF!$H$84:$H$99,MATCH('Net zero emission reductions'!$G1452,EF!$D$84:$D$99,0))*INDEX(EF!$H$100:$H$115,MATCH('Net zero emission reductions'!$G1452,EF!$D$100:$D$115,0))*INDEX(EF!$H$132:$H$147,MATCH('Net zero emission reductions'!$G1452,EF!$D$132:$D$147,0))*kgtoGg</f>
        <v>4.4573527307562326E-4</v>
      </c>
      <c r="O1452" s="22">
        <f>INDEX('Net zero Activity data'!AH$24:AH$39,MATCH('Net zero emission reductions'!$G1452,'Net zero Activity data'!$D$24:$D$39,0))*INDEX(EF!$H$84:$H$99,MATCH('Net zero emission reductions'!$G1452,EF!$D$84:$D$99,0))*INDEX(EF!$H$100:$H$115,MATCH('Net zero emission reductions'!$G1452,EF!$D$100:$D$115,0))*INDEX(EF!$H$132:$H$147,MATCH('Net zero emission reductions'!$G1452,EF!$D$132:$D$147,0))*kgtoGg</f>
        <v>4.4861338338103221E-4</v>
      </c>
      <c r="P1452" s="22">
        <f>INDEX('Net zero Activity data'!AI$24:AI$39,MATCH('Net zero emission reductions'!$G1452,'Net zero Activity data'!$D$24:$D$39,0))*INDEX(EF!$H$84:$H$99,MATCH('Net zero emission reductions'!$G1452,EF!$D$84:$D$99,0))*INDEX(EF!$H$100:$H$115,MATCH('Net zero emission reductions'!$G1452,EF!$D$100:$D$115,0))*INDEX(EF!$H$132:$H$147,MATCH('Net zero emission reductions'!$G1452,EF!$D$132:$D$147,0))*kgtoGg</f>
        <v>4.5149149368644122E-4</v>
      </c>
      <c r="Q1452" s="22">
        <f>INDEX('Net zero Activity data'!AJ$24:AJ$39,MATCH('Net zero emission reductions'!$G1452,'Net zero Activity data'!$D$24:$D$39,0))*INDEX(EF!$H$84:$H$99,MATCH('Net zero emission reductions'!$G1452,EF!$D$84:$D$99,0))*INDEX(EF!$H$100:$H$115,MATCH('Net zero emission reductions'!$G1452,EF!$D$100:$D$115,0))*INDEX(EF!$H$132:$H$147,MATCH('Net zero emission reductions'!$G1452,EF!$D$132:$D$147,0))*kgtoGg</f>
        <v>4.5436960399185023E-4</v>
      </c>
      <c r="R1452" s="22">
        <f>INDEX('Net zero Activity data'!AK$24:AK$39,MATCH('Net zero emission reductions'!$G1452,'Net zero Activity data'!$D$24:$D$39,0))*INDEX(EF!$H$84:$H$99,MATCH('Net zero emission reductions'!$G1452,EF!$D$84:$D$99,0))*INDEX(EF!$H$100:$H$115,MATCH('Net zero emission reductions'!$G1452,EF!$D$100:$D$115,0))*INDEX(EF!$H$132:$H$147,MATCH('Net zero emission reductions'!$G1452,EF!$D$132:$D$147,0))*kgtoGg</f>
        <v>4.5724771429725918E-4</v>
      </c>
      <c r="S1452" s="22">
        <f>INDEX('Net zero Activity data'!AL$24:AL$39,MATCH('Net zero emission reductions'!$G1452,'Net zero Activity data'!$D$24:$D$39,0))*INDEX(EF!$H$84:$H$99,MATCH('Net zero emission reductions'!$G1452,EF!$D$84:$D$99,0))*INDEX(EF!$H$100:$H$115,MATCH('Net zero emission reductions'!$G1452,EF!$D$100:$D$115,0))*INDEX(EF!$H$132:$H$147,MATCH('Net zero emission reductions'!$G1452,EF!$D$132:$D$147,0))*kgtoGg</f>
        <v>4.601258246026683E-4</v>
      </c>
      <c r="T1452" s="22">
        <f>INDEX('Net zero Activity data'!AM$24:AM$39,MATCH('Net zero emission reductions'!$G1452,'Net zero Activity data'!$D$24:$D$39,0))*INDEX(EF!$H$84:$H$99,MATCH('Net zero emission reductions'!$G1452,EF!$D$84:$D$99,0))*INDEX(EF!$H$100:$H$115,MATCH('Net zero emission reductions'!$G1452,EF!$D$100:$D$115,0))*INDEX(EF!$H$132:$H$147,MATCH('Net zero emission reductions'!$G1452,EF!$D$132:$D$147,0))*kgtoGg</f>
        <v>4.630039349080773E-4</v>
      </c>
      <c r="U1452" s="22">
        <f>INDEX('Net zero Activity data'!AN$24:AN$39,MATCH('Net zero emission reductions'!$G1452,'Net zero Activity data'!$D$24:$D$39,0))*INDEX(EF!$H$84:$H$99,MATCH('Net zero emission reductions'!$G1452,EF!$D$84:$D$99,0))*INDEX(EF!$H$100:$H$115,MATCH('Net zero emission reductions'!$G1452,EF!$D$100:$D$115,0))*INDEX(EF!$H$132:$H$147,MATCH('Net zero emission reductions'!$G1452,EF!$D$132:$D$147,0))*kgtoGg</f>
        <v>4.6588204521348631E-4</v>
      </c>
      <c r="V1452" s="22">
        <f>INDEX('Net zero Activity data'!AO$24:AO$39,MATCH('Net zero emission reductions'!$G1452,'Net zero Activity data'!$D$24:$D$39,0))*INDEX(EF!$H$84:$H$99,MATCH('Net zero emission reductions'!$G1452,EF!$D$84:$D$99,0))*INDEX(EF!$H$100:$H$115,MATCH('Net zero emission reductions'!$G1452,EF!$D$100:$D$115,0))*INDEX(EF!$H$132:$H$147,MATCH('Net zero emission reductions'!$G1452,EF!$D$132:$D$147,0))*kgtoGg</f>
        <v>4.6876015551889532E-4</v>
      </c>
      <c r="W1452" s="22">
        <f>INDEX('Net zero Activity data'!AP$24:AP$39,MATCH('Net zero emission reductions'!$G1452,'Net zero Activity data'!$D$24:$D$39,0))*INDEX(EF!$H$84:$H$99,MATCH('Net zero emission reductions'!$G1452,EF!$D$84:$D$99,0))*INDEX(EF!$H$100:$H$115,MATCH('Net zero emission reductions'!$G1452,EF!$D$100:$D$115,0))*INDEX(EF!$H$132:$H$147,MATCH('Net zero emission reductions'!$G1452,EF!$D$132:$D$147,0))*kgtoGg</f>
        <v>4.7163826582430438E-4</v>
      </c>
      <c r="X1452" s="22">
        <f>INDEX('Net zero Activity data'!AQ$24:AQ$39,MATCH('Net zero emission reductions'!$G1452,'Net zero Activity data'!$D$24:$D$39,0))*INDEX(EF!$H$84:$H$99,MATCH('Net zero emission reductions'!$G1452,EF!$D$84:$D$99,0))*INDEX(EF!$H$100:$H$115,MATCH('Net zero emission reductions'!$G1452,EF!$D$100:$D$115,0))*INDEX(EF!$H$132:$H$147,MATCH('Net zero emission reductions'!$G1452,EF!$D$132:$D$147,0))*kgtoGg</f>
        <v>4.7451637612971339E-4</v>
      </c>
      <c r="Y1452" s="22">
        <f>INDEX('Net zero Activity data'!AR$24:AR$39,MATCH('Net zero emission reductions'!$G1452,'Net zero Activity data'!$D$24:$D$39,0))*INDEX(EF!$H$84:$H$99,MATCH('Net zero emission reductions'!$G1452,EF!$D$84:$D$99,0))*INDEX(EF!$H$100:$H$115,MATCH('Net zero emission reductions'!$G1452,EF!$D$100:$D$115,0))*INDEX(EF!$H$132:$H$147,MATCH('Net zero emission reductions'!$G1452,EF!$D$132:$D$147,0))*kgtoGg</f>
        <v>4.773944864351224E-4</v>
      </c>
      <c r="Z1452" s="22">
        <f>INDEX('Net zero Activity data'!AS$24:AS$39,MATCH('Net zero emission reductions'!$G1452,'Net zero Activity data'!$D$24:$D$39,0))*INDEX(EF!$H$84:$H$99,MATCH('Net zero emission reductions'!$G1452,EF!$D$84:$D$99,0))*INDEX(EF!$H$100:$H$115,MATCH('Net zero emission reductions'!$G1452,EF!$D$100:$D$115,0))*INDEX(EF!$H$132:$H$147,MATCH('Net zero emission reductions'!$G1452,EF!$D$132:$D$147,0))*kgtoGg</f>
        <v>4.8027259674053135E-4</v>
      </c>
      <c r="AA1452" s="22">
        <f>INDEX('Net zero Activity data'!AT$24:AT$39,MATCH('Net zero emission reductions'!$G1452,'Net zero Activity data'!$D$24:$D$39,0))*INDEX(EF!$H$84:$H$99,MATCH('Net zero emission reductions'!$G1452,EF!$D$84:$D$99,0))*INDEX(EF!$H$100:$H$115,MATCH('Net zero emission reductions'!$G1452,EF!$D$100:$D$115,0))*INDEX(EF!$H$132:$H$147,MATCH('Net zero emission reductions'!$G1452,EF!$D$132:$D$147,0))*kgtoGg</f>
        <v>4.8315070704594041E-4</v>
      </c>
      <c r="AB1452" s="22">
        <f>INDEX('Net zero Activity data'!AU$24:AU$39,MATCH('Net zero emission reductions'!$G1452,'Net zero Activity data'!$D$24:$D$39,0))*INDEX(EF!$H$84:$H$99,MATCH('Net zero emission reductions'!$G1452,EF!$D$84:$D$99,0))*INDEX(EF!$H$100:$H$115,MATCH('Net zero emission reductions'!$G1452,EF!$D$100:$D$115,0))*INDEX(EF!$H$132:$H$147,MATCH('Net zero emission reductions'!$G1452,EF!$D$132:$D$147,0))*kgtoGg</f>
        <v>4.8602881735134937E-4</v>
      </c>
      <c r="AC1452" s="22">
        <f>INDEX('Net zero Activity data'!AV$24:AV$39,MATCH('Net zero emission reductions'!$G1452,'Net zero Activity data'!$D$24:$D$39,0))*INDEX(EF!$H$84:$H$99,MATCH('Net zero emission reductions'!$G1452,EF!$D$84:$D$99,0))*INDEX(EF!$H$100:$H$115,MATCH('Net zero emission reductions'!$G1452,EF!$D$100:$D$115,0))*INDEX(EF!$H$132:$H$147,MATCH('Net zero emission reductions'!$G1452,EF!$D$132:$D$147,0))*kgtoGg</f>
        <v>4.8890692765675837E-4</v>
      </c>
      <c r="AD1452" s="22">
        <f>INDEX('Net zero Activity data'!AW$24:AW$39,MATCH('Net zero emission reductions'!$G1452,'Net zero Activity data'!$D$24:$D$39,0))*INDEX(EF!$H$84:$H$99,MATCH('Net zero emission reductions'!$G1452,EF!$D$84:$D$99,0))*INDEX(EF!$H$100:$H$115,MATCH('Net zero emission reductions'!$G1452,EF!$D$100:$D$115,0))*INDEX(EF!$H$132:$H$147,MATCH('Net zero emission reductions'!$G1452,EF!$D$132:$D$147,0))*kgtoGg</f>
        <v>4.9178503796216749E-4</v>
      </c>
      <c r="AE1452" s="22">
        <f>INDEX('Net zero Activity data'!AX$24:AX$39,MATCH('Net zero emission reductions'!$G1452,'Net zero Activity data'!$D$24:$D$39,0))*INDEX(EF!$H$84:$H$99,MATCH('Net zero emission reductions'!$G1452,EF!$D$84:$D$99,0))*INDEX(EF!$H$100:$H$115,MATCH('Net zero emission reductions'!$G1452,EF!$D$100:$D$115,0))*INDEX(EF!$H$132:$H$147,MATCH('Net zero emission reductions'!$G1452,EF!$D$132:$D$147,0))*kgtoGg</f>
        <v>4.946631482675765E-4</v>
      </c>
      <c r="AF1452" s="22">
        <f>INDEX('Net zero Activity data'!AY$24:AY$39,MATCH('Net zero emission reductions'!$G1452,'Net zero Activity data'!$D$24:$D$39,0))*INDEX(EF!$H$84:$H$99,MATCH('Net zero emission reductions'!$G1452,EF!$D$84:$D$99,0))*INDEX(EF!$H$100:$H$115,MATCH('Net zero emission reductions'!$G1452,EF!$D$100:$D$115,0))*INDEX(EF!$H$132:$H$147,MATCH('Net zero emission reductions'!$G1452,EF!$D$132:$D$147,0))*kgtoGg</f>
        <v>4.975412585729855E-4</v>
      </c>
      <c r="AG1452" s="22">
        <f>INDEX('Net zero Activity data'!AZ$24:AZ$39,MATCH('Net zero emission reductions'!$G1452,'Net zero Activity data'!$D$24:$D$39,0))*INDEX(EF!$H$84:$H$99,MATCH('Net zero emission reductions'!$G1452,EF!$D$84:$D$99,0))*INDEX(EF!$H$100:$H$115,MATCH('Net zero emission reductions'!$G1452,EF!$D$100:$D$115,0))*INDEX(EF!$H$132:$H$147,MATCH('Net zero emission reductions'!$G1452,EF!$D$132:$D$147,0))*kgtoGg</f>
        <v>5.0041936887839451E-4</v>
      </c>
      <c r="AH1452" s="22">
        <f>INDEX('Net zero Activity data'!BA$24:BA$39,MATCH('Net zero emission reductions'!$G1452,'Net zero Activity data'!$D$24:$D$39,0))*INDEX(EF!$H$84:$H$99,MATCH('Net zero emission reductions'!$G1452,EF!$D$84:$D$99,0))*INDEX(EF!$H$100:$H$115,MATCH('Net zero emission reductions'!$G1452,EF!$D$100:$D$115,0))*INDEX(EF!$H$132:$H$147,MATCH('Net zero emission reductions'!$G1452,EF!$D$132:$D$147,0))*kgtoGg</f>
        <v>5.0329747918380363E-4</v>
      </c>
      <c r="AI1452" s="22">
        <f>INDEX('Net zero Activity data'!BB$24:BB$39,MATCH('Net zero emission reductions'!$G1452,'Net zero Activity data'!$D$24:$D$39,0))*INDEX(EF!$H$84:$H$99,MATCH('Net zero emission reductions'!$G1452,EF!$D$84:$D$99,0))*INDEX(EF!$H$100:$H$115,MATCH('Net zero emission reductions'!$G1452,EF!$D$100:$D$115,0))*INDEX(EF!$H$132:$H$147,MATCH('Net zero emission reductions'!$G1452,EF!$D$132:$D$147,0))*kgtoGg</f>
        <v>5.0617558948921264E-4</v>
      </c>
      <c r="AJ1452" s="22">
        <f>INDEX('Net zero Activity data'!BC$24:BC$39,MATCH('Net zero emission reductions'!$G1452,'Net zero Activity data'!$D$24:$D$39,0))*INDEX(EF!$H$84:$H$99,MATCH('Net zero emission reductions'!$G1452,EF!$D$84:$D$99,0))*INDEX(EF!$H$100:$H$115,MATCH('Net zero emission reductions'!$G1452,EF!$D$100:$D$115,0))*INDEX(EF!$H$132:$H$147,MATCH('Net zero emission reductions'!$G1452,EF!$D$132:$D$147,0))*kgtoGg</f>
        <v>5.0905369979462175E-4</v>
      </c>
      <c r="AK1452" s="22">
        <f>INDEX('Net zero Activity data'!BD$24:BD$39,MATCH('Net zero emission reductions'!$G1452,'Net zero Activity data'!$D$24:$D$39,0))*INDEX(EF!$H$84:$H$99,MATCH('Net zero emission reductions'!$G1452,EF!$D$84:$D$99,0))*INDEX(EF!$H$100:$H$115,MATCH('Net zero emission reductions'!$G1452,EF!$D$100:$D$115,0))*INDEX(EF!$H$132:$H$147,MATCH('Net zero emission reductions'!$G1452,EF!$D$132:$D$147,0))*kgtoGg</f>
        <v>5.1193181010003065E-4</v>
      </c>
      <c r="AL1452" s="22">
        <f>INDEX('Net zero Activity data'!BE$24:BE$39,MATCH('Net zero emission reductions'!$G1452,'Net zero Activity data'!$D$24:$D$39,0))*INDEX(EF!$H$84:$H$99,MATCH('Net zero emission reductions'!$G1452,EF!$D$84:$D$99,0))*INDEX(EF!$H$100:$H$115,MATCH('Net zero emission reductions'!$G1452,EF!$D$100:$D$115,0))*INDEX(EF!$H$132:$H$147,MATCH('Net zero emission reductions'!$G1452,EF!$D$132:$D$147,0))*kgtoGg</f>
        <v>5.1480992040543966E-4</v>
      </c>
      <c r="AM1452" s="22">
        <f>INDEX('Net zero Activity data'!BF$24:BF$39,MATCH('Net zero emission reductions'!$G1452,'Net zero Activity data'!$D$24:$D$39,0))*INDEX(EF!$H$84:$H$99,MATCH('Net zero emission reductions'!$G1452,EF!$D$84:$D$99,0))*INDEX(EF!$H$100:$H$115,MATCH('Net zero emission reductions'!$G1452,EF!$D$100:$D$115,0))*INDEX(EF!$H$132:$H$147,MATCH('Net zero emission reductions'!$G1452,EF!$D$132:$D$147,0))*kgtoGg</f>
        <v>5.1768803071084878E-4</v>
      </c>
      <c r="AN1452" s="22">
        <f>INDEX('Net zero Activity data'!BG$24:BG$39,MATCH('Net zero emission reductions'!$G1452,'Net zero Activity data'!$D$24:$D$39,0))*INDEX(EF!$H$84:$H$99,MATCH('Net zero emission reductions'!$G1452,EF!$D$84:$D$99,0))*INDEX(EF!$H$100:$H$115,MATCH('Net zero emission reductions'!$G1452,EF!$D$100:$D$115,0))*INDEX(EF!$H$132:$H$147,MATCH('Net zero emission reductions'!$G1452,EF!$D$132:$D$147,0))*kgtoGg</f>
        <v>5.2056614101625778E-4</v>
      </c>
      <c r="AO1452" s="22">
        <f>INDEX('Net zero Activity data'!BH$24:BH$39,MATCH('Net zero emission reductions'!$G1452,'Net zero Activity data'!$D$24:$D$39,0))*INDEX(EF!$H$84:$H$99,MATCH('Net zero emission reductions'!$G1452,EF!$D$84:$D$99,0))*INDEX(EF!$H$100:$H$115,MATCH('Net zero emission reductions'!$G1452,EF!$D$100:$D$115,0))*INDEX(EF!$H$132:$H$147,MATCH('Net zero emission reductions'!$G1452,EF!$D$132:$D$147,0))*kgtoGg</f>
        <v>5.2344425132166679E-4</v>
      </c>
      <c r="AP1452" s="22">
        <f>INDEX('Net zero Activity data'!BI$24:BI$39,MATCH('Net zero emission reductions'!$G1452,'Net zero Activity data'!$D$24:$D$39,0))*INDEX(EF!$H$84:$H$99,MATCH('Net zero emission reductions'!$G1452,EF!$D$84:$D$99,0))*INDEX(EF!$H$100:$H$115,MATCH('Net zero emission reductions'!$G1452,EF!$D$100:$D$115,0))*INDEX(EF!$H$132:$H$147,MATCH('Net zero emission reductions'!$G1452,EF!$D$132:$D$147,0))*kgtoGg</f>
        <v>5.263223616270758E-4</v>
      </c>
      <c r="AQ1452" s="22">
        <f>INDEX('Net zero Activity data'!BJ$24:BJ$39,MATCH('Net zero emission reductions'!$G1452,'Net zero Activity data'!$D$24:$D$39,0))*INDEX(EF!$H$84:$H$99,MATCH('Net zero emission reductions'!$G1452,EF!$D$84:$D$99,0))*INDEX(EF!$H$100:$H$115,MATCH('Net zero emission reductions'!$G1452,EF!$D$100:$D$115,0))*INDEX(EF!$H$132:$H$147,MATCH('Net zero emission reductions'!$G1452,EF!$D$132:$D$147,0))*kgtoGg</f>
        <v>5.2920047193248491E-4</v>
      </c>
      <c r="AR1452" s="22">
        <f>INDEX('Net zero Activity data'!BK$24:BK$39,MATCH('Net zero emission reductions'!$G1452,'Net zero Activity data'!$D$24:$D$39,0))*INDEX(EF!$H$84:$H$99,MATCH('Net zero emission reductions'!$G1452,EF!$D$84:$D$99,0))*INDEX(EF!$H$100:$H$115,MATCH('Net zero emission reductions'!$G1452,EF!$D$100:$D$115,0))*INDEX(EF!$H$132:$H$147,MATCH('Net zero emission reductions'!$G1452,EF!$D$132:$D$147,0))*kgtoGg</f>
        <v>5.3207858223789392E-4</v>
      </c>
      <c r="AS1452" s="22">
        <f>INDEX('Net zero Activity data'!BL$24:BL$39,MATCH('Net zero emission reductions'!$G1452,'Net zero Activity data'!$D$24:$D$39,0))*INDEX(EF!$H$84:$H$99,MATCH('Net zero emission reductions'!$G1452,EF!$D$84:$D$99,0))*INDEX(EF!$H$100:$H$115,MATCH('Net zero emission reductions'!$G1452,EF!$D$100:$D$115,0))*INDEX(EF!$H$132:$H$147,MATCH('Net zero emission reductions'!$G1452,EF!$D$132:$D$147,0))*kgtoGg</f>
        <v>5.3495669254330282E-4</v>
      </c>
      <c r="AT1452" s="22">
        <f>INDEX('Net zero Activity data'!BM$24:BM$39,MATCH('Net zero emission reductions'!$G1452,'Net zero Activity data'!$D$24:$D$39,0))*INDEX(EF!$H$84:$H$99,MATCH('Net zero emission reductions'!$G1452,EF!$D$84:$D$99,0))*INDEX(EF!$H$100:$H$115,MATCH('Net zero emission reductions'!$G1452,EF!$D$100:$D$115,0))*INDEX(EF!$H$132:$H$147,MATCH('Net zero emission reductions'!$G1452,EF!$D$132:$D$147,0))*kgtoGg</f>
        <v>5.3783480284871194E-4</v>
      </c>
      <c r="AU1452" s="22">
        <f>INDEX('Net zero Activity data'!BN$24:BN$39,MATCH('Net zero emission reductions'!$G1452,'Net zero Activity data'!$D$24:$D$39,0))*INDEX(EF!$H$84:$H$99,MATCH('Net zero emission reductions'!$G1452,EF!$D$84:$D$99,0))*INDEX(EF!$H$100:$H$115,MATCH('Net zero emission reductions'!$G1452,EF!$D$100:$D$115,0))*INDEX(EF!$H$132:$H$147,MATCH('Net zero emission reductions'!$G1452,EF!$D$132:$D$147,0))*kgtoGg</f>
        <v>5.4071291315412095E-4</v>
      </c>
      <c r="AV1452" s="22">
        <f>INDEX('Net zero Activity data'!BO$24:BO$39,MATCH('Net zero emission reductions'!$G1452,'Net zero Activity data'!$D$24:$D$39,0))*INDEX(EF!$H$84:$H$99,MATCH('Net zero emission reductions'!$G1452,EF!$D$84:$D$99,0))*INDEX(EF!$H$100:$H$115,MATCH('Net zero emission reductions'!$G1452,EF!$D$100:$D$115,0))*INDEX(EF!$H$132:$H$147,MATCH('Net zero emission reductions'!$G1452,EF!$D$132:$D$147,0))*kgtoGg</f>
        <v>5.4359102345952984E-4</v>
      </c>
      <c r="AW1452" s="22">
        <f>INDEX('Net zero Activity data'!BP$24:BP$39,MATCH('Net zero emission reductions'!$G1452,'Net zero Activity data'!$D$24:$D$39,0))*INDEX(EF!$H$84:$H$99,MATCH('Net zero emission reductions'!$G1452,EF!$D$84:$D$99,0))*INDEX(EF!$H$100:$H$115,MATCH('Net zero emission reductions'!$G1452,EF!$D$100:$D$115,0))*INDEX(EF!$H$132:$H$147,MATCH('Net zero emission reductions'!$G1452,EF!$D$132:$D$147,0))*kgtoGg</f>
        <v>5.4646913376493885E-4</v>
      </c>
    </row>
    <row r="1453" spans="1:49" x14ac:dyDescent="0.3">
      <c r="A1453" s="95" t="s">
        <v>960</v>
      </c>
      <c r="B1453" s="95"/>
      <c r="C1453" s="95"/>
      <c r="D1453" t="str">
        <f t="shared" si="560"/>
        <v>3C Aggregated and non-CO2 emissions on land</v>
      </c>
      <c r="E1453" t="str">
        <f t="shared" si="560"/>
        <v>3C1 Biomass burning (N2O)</v>
      </c>
      <c r="F1453" t="str">
        <f t="shared" si="559"/>
        <v>3C1b Biomass burning in Croplands</v>
      </c>
      <c r="G1453" t="str">
        <f>EF!D108</f>
        <v>Cropland subsistence</v>
      </c>
      <c r="H1453" t="s">
        <v>649</v>
      </c>
      <c r="I1453" t="str">
        <f t="shared" si="561"/>
        <v>N2O</v>
      </c>
      <c r="J1453" t="str">
        <f t="shared" si="561"/>
        <v>Gg N2O</v>
      </c>
      <c r="K1453" s="22">
        <f>INDEX('Net zero Activity data'!AD$24:AD$39,MATCH('Net zero emission reductions'!$G1453,'Net zero Activity data'!$D$24:$D$39,0))*INDEX(EF!$H$84:$H$99,MATCH('Net zero emission reductions'!$G1453,EF!$D$84:$D$99,0))*INDEX(EF!$H$100:$H$115,MATCH('Net zero emission reductions'!$G1453,EF!$D$100:$D$115,0))*INDEX(EF!$H$132:$H$147,MATCH('Net zero emission reductions'!$G1453,EF!$D$132:$D$147,0))*kgtoGg</f>
        <v>5.46089838424927E-2</v>
      </c>
      <c r="L1453" s="22">
        <f>INDEX('Net zero Activity data'!AE$24:AE$39,MATCH('Net zero emission reductions'!$G1453,'Net zero Activity data'!$D$24:$D$39,0))*INDEX(EF!$H$84:$H$99,MATCH('Net zero emission reductions'!$G1453,EF!$D$84:$D$99,0))*INDEX(EF!$H$100:$H$115,MATCH('Net zero emission reductions'!$G1453,EF!$D$100:$D$115,0))*INDEX(EF!$H$132:$H$147,MATCH('Net zero emission reductions'!$G1453,EF!$D$132:$D$147,0))*kgtoGg</f>
        <v>5.4617136288329267E-2</v>
      </c>
      <c r="M1453" s="22">
        <f>INDEX('Net zero Activity data'!AF$24:AF$39,MATCH('Net zero emission reductions'!$G1453,'Net zero Activity data'!$D$24:$D$39,0))*INDEX(EF!$H$84:$H$99,MATCH('Net zero emission reductions'!$G1453,EF!$D$84:$D$99,0))*INDEX(EF!$H$100:$H$115,MATCH('Net zero emission reductions'!$G1453,EF!$D$100:$D$115,0))*INDEX(EF!$H$132:$H$147,MATCH('Net zero emission reductions'!$G1453,EF!$D$132:$D$147,0))*kgtoGg</f>
        <v>5.462528873416584E-2</v>
      </c>
      <c r="N1453" s="22">
        <f>INDEX('Net zero Activity data'!AG$24:AG$39,MATCH('Net zero emission reductions'!$G1453,'Net zero Activity data'!$D$24:$D$39,0))*INDEX(EF!$H$84:$H$99,MATCH('Net zero emission reductions'!$G1453,EF!$D$84:$D$99,0))*INDEX(EF!$H$100:$H$115,MATCH('Net zero emission reductions'!$G1453,EF!$D$100:$D$115,0))*INDEX(EF!$H$132:$H$147,MATCH('Net zero emission reductions'!$G1453,EF!$D$132:$D$147,0))*kgtoGg</f>
        <v>5.4633441180002421E-2</v>
      </c>
      <c r="O1453" s="22">
        <f>INDEX('Net zero Activity data'!AH$24:AH$39,MATCH('Net zero emission reductions'!$G1453,'Net zero Activity data'!$D$24:$D$39,0))*INDEX(EF!$H$84:$H$99,MATCH('Net zero emission reductions'!$G1453,EF!$D$84:$D$99,0))*INDEX(EF!$H$100:$H$115,MATCH('Net zero emission reductions'!$G1453,EF!$D$100:$D$115,0))*INDEX(EF!$H$132:$H$147,MATCH('Net zero emission reductions'!$G1453,EF!$D$132:$D$147,0))*kgtoGg</f>
        <v>5.4641593625839001E-2</v>
      </c>
      <c r="P1453" s="22">
        <f>INDEX('Net zero Activity data'!AI$24:AI$39,MATCH('Net zero emission reductions'!$G1453,'Net zero Activity data'!$D$24:$D$39,0))*INDEX(EF!$H$84:$H$99,MATCH('Net zero emission reductions'!$G1453,EF!$D$84:$D$99,0))*INDEX(EF!$H$100:$H$115,MATCH('Net zero emission reductions'!$G1453,EF!$D$100:$D$115,0))*INDEX(EF!$H$132:$H$147,MATCH('Net zero emission reductions'!$G1453,EF!$D$132:$D$147,0))*kgtoGg</f>
        <v>5.4649746071675574E-2</v>
      </c>
      <c r="Q1453" s="22">
        <f>INDEX('Net zero Activity data'!AJ$24:AJ$39,MATCH('Net zero emission reductions'!$G1453,'Net zero Activity data'!$D$24:$D$39,0))*INDEX(EF!$H$84:$H$99,MATCH('Net zero emission reductions'!$G1453,EF!$D$84:$D$99,0))*INDEX(EF!$H$100:$H$115,MATCH('Net zero emission reductions'!$G1453,EF!$D$100:$D$115,0))*INDEX(EF!$H$132:$H$147,MATCH('Net zero emission reductions'!$G1453,EF!$D$132:$D$147,0))*kgtoGg</f>
        <v>5.4657898517512148E-2</v>
      </c>
      <c r="R1453" s="22">
        <f>INDEX('Net zero Activity data'!AK$24:AK$39,MATCH('Net zero emission reductions'!$G1453,'Net zero Activity data'!$D$24:$D$39,0))*INDEX(EF!$H$84:$H$99,MATCH('Net zero emission reductions'!$G1453,EF!$D$84:$D$99,0))*INDEX(EF!$H$100:$H$115,MATCH('Net zero emission reductions'!$G1453,EF!$D$100:$D$115,0))*INDEX(EF!$H$132:$H$147,MATCH('Net zero emission reductions'!$G1453,EF!$D$132:$D$147,0))*kgtoGg</f>
        <v>5.4666050963348742E-2</v>
      </c>
      <c r="S1453" s="22">
        <f>INDEX('Net zero Activity data'!AL$24:AL$39,MATCH('Net zero emission reductions'!$G1453,'Net zero Activity data'!$D$24:$D$39,0))*INDEX(EF!$H$84:$H$99,MATCH('Net zero emission reductions'!$G1453,EF!$D$84:$D$99,0))*INDEX(EF!$H$100:$H$115,MATCH('Net zero emission reductions'!$G1453,EF!$D$100:$D$115,0))*INDEX(EF!$H$132:$H$147,MATCH('Net zero emission reductions'!$G1453,EF!$D$132:$D$147,0))*kgtoGg</f>
        <v>5.4674203409185315E-2</v>
      </c>
      <c r="T1453" s="22">
        <f>INDEX('Net zero Activity data'!AM$24:AM$39,MATCH('Net zero emission reductions'!$G1453,'Net zero Activity data'!$D$24:$D$39,0))*INDEX(EF!$H$84:$H$99,MATCH('Net zero emission reductions'!$G1453,EF!$D$84:$D$99,0))*INDEX(EF!$H$100:$H$115,MATCH('Net zero emission reductions'!$G1453,EF!$D$100:$D$115,0))*INDEX(EF!$H$132:$H$147,MATCH('Net zero emission reductions'!$G1453,EF!$D$132:$D$147,0))*kgtoGg</f>
        <v>5.4682355855021902E-2</v>
      </c>
      <c r="U1453" s="22">
        <f>INDEX('Net zero Activity data'!AN$24:AN$39,MATCH('Net zero emission reductions'!$G1453,'Net zero Activity data'!$D$24:$D$39,0))*INDEX(EF!$H$84:$H$99,MATCH('Net zero emission reductions'!$G1453,EF!$D$84:$D$99,0))*INDEX(EF!$H$100:$H$115,MATCH('Net zero emission reductions'!$G1453,EF!$D$100:$D$115,0))*INDEX(EF!$H$132:$H$147,MATCH('Net zero emission reductions'!$G1453,EF!$D$132:$D$147,0))*kgtoGg</f>
        <v>5.4690508300858469E-2</v>
      </c>
      <c r="V1453" s="22">
        <f>INDEX('Net zero Activity data'!AO$24:AO$39,MATCH('Net zero emission reductions'!$G1453,'Net zero Activity data'!$D$24:$D$39,0))*INDEX(EF!$H$84:$H$99,MATCH('Net zero emission reductions'!$G1453,EF!$D$84:$D$99,0))*INDEX(EF!$H$100:$H$115,MATCH('Net zero emission reductions'!$G1453,EF!$D$100:$D$115,0))*INDEX(EF!$H$132:$H$147,MATCH('Net zero emission reductions'!$G1453,EF!$D$132:$D$147,0))*kgtoGg</f>
        <v>5.4698660746695049E-2</v>
      </c>
      <c r="W1453" s="22">
        <f>INDEX('Net zero Activity data'!AP$24:AP$39,MATCH('Net zero emission reductions'!$G1453,'Net zero Activity data'!$D$24:$D$39,0))*INDEX(EF!$H$84:$H$99,MATCH('Net zero emission reductions'!$G1453,EF!$D$84:$D$99,0))*INDEX(EF!$H$100:$H$115,MATCH('Net zero emission reductions'!$G1453,EF!$D$100:$D$115,0))*INDEX(EF!$H$132:$H$147,MATCH('Net zero emission reductions'!$G1453,EF!$D$132:$D$147,0))*kgtoGg</f>
        <v>5.4706813192531623E-2</v>
      </c>
      <c r="X1453" s="22">
        <f>INDEX('Net zero Activity data'!AQ$24:AQ$39,MATCH('Net zero emission reductions'!$G1453,'Net zero Activity data'!$D$24:$D$39,0))*INDEX(EF!$H$84:$H$99,MATCH('Net zero emission reductions'!$G1453,EF!$D$84:$D$99,0))*INDEX(EF!$H$100:$H$115,MATCH('Net zero emission reductions'!$G1453,EF!$D$100:$D$115,0))*INDEX(EF!$H$132:$H$147,MATCH('Net zero emission reductions'!$G1453,EF!$D$132:$D$147,0))*kgtoGg</f>
        <v>5.4714965638368196E-2</v>
      </c>
      <c r="Y1453" s="22">
        <f>INDEX('Net zero Activity data'!AR$24:AR$39,MATCH('Net zero emission reductions'!$G1453,'Net zero Activity data'!$D$24:$D$39,0))*INDEX(EF!$H$84:$H$99,MATCH('Net zero emission reductions'!$G1453,EF!$D$84:$D$99,0))*INDEX(EF!$H$100:$H$115,MATCH('Net zero emission reductions'!$G1453,EF!$D$100:$D$115,0))*INDEX(EF!$H$132:$H$147,MATCH('Net zero emission reductions'!$G1453,EF!$D$132:$D$147,0))*kgtoGg</f>
        <v>5.472311808420479E-2</v>
      </c>
      <c r="Z1453" s="22">
        <f>INDEX('Net zero Activity data'!AS$24:AS$39,MATCH('Net zero emission reductions'!$G1453,'Net zero Activity data'!$D$24:$D$39,0))*INDEX(EF!$H$84:$H$99,MATCH('Net zero emission reductions'!$G1453,EF!$D$84:$D$99,0))*INDEX(EF!$H$100:$H$115,MATCH('Net zero emission reductions'!$G1453,EF!$D$100:$D$115,0))*INDEX(EF!$H$132:$H$147,MATCH('Net zero emission reductions'!$G1453,EF!$D$132:$D$147,0))*kgtoGg</f>
        <v>5.4731270530041363E-2</v>
      </c>
      <c r="AA1453" s="22">
        <f>INDEX('Net zero Activity data'!AT$24:AT$39,MATCH('Net zero emission reductions'!$G1453,'Net zero Activity data'!$D$24:$D$39,0))*INDEX(EF!$H$84:$H$99,MATCH('Net zero emission reductions'!$G1453,EF!$D$84:$D$99,0))*INDEX(EF!$H$100:$H$115,MATCH('Net zero emission reductions'!$G1453,EF!$D$100:$D$115,0))*INDEX(EF!$H$132:$H$147,MATCH('Net zero emission reductions'!$G1453,EF!$D$132:$D$147,0))*kgtoGg</f>
        <v>5.4739422975877944E-2</v>
      </c>
      <c r="AB1453" s="22">
        <f>INDEX('Net zero Activity data'!AU$24:AU$39,MATCH('Net zero emission reductions'!$G1453,'Net zero Activity data'!$D$24:$D$39,0))*INDEX(EF!$H$84:$H$99,MATCH('Net zero emission reductions'!$G1453,EF!$D$84:$D$99,0))*INDEX(EF!$H$100:$H$115,MATCH('Net zero emission reductions'!$G1453,EF!$D$100:$D$115,0))*INDEX(EF!$H$132:$H$147,MATCH('Net zero emission reductions'!$G1453,EF!$D$132:$D$147,0))*kgtoGg</f>
        <v>5.4747575421714524E-2</v>
      </c>
      <c r="AC1453" s="22">
        <f>INDEX('Net zero Activity data'!AV$24:AV$39,MATCH('Net zero emission reductions'!$G1453,'Net zero Activity data'!$D$24:$D$39,0))*INDEX(EF!$H$84:$H$99,MATCH('Net zero emission reductions'!$G1453,EF!$D$84:$D$99,0))*INDEX(EF!$H$100:$H$115,MATCH('Net zero emission reductions'!$G1453,EF!$D$100:$D$115,0))*INDEX(EF!$H$132:$H$147,MATCH('Net zero emission reductions'!$G1453,EF!$D$132:$D$147,0))*kgtoGg</f>
        <v>5.4755727867551097E-2</v>
      </c>
      <c r="AD1453" s="22">
        <f>INDEX('Net zero Activity data'!AW$24:AW$39,MATCH('Net zero emission reductions'!$G1453,'Net zero Activity data'!$D$24:$D$39,0))*INDEX(EF!$H$84:$H$99,MATCH('Net zero emission reductions'!$G1453,EF!$D$84:$D$99,0))*INDEX(EF!$H$100:$H$115,MATCH('Net zero emission reductions'!$G1453,EF!$D$100:$D$115,0))*INDEX(EF!$H$132:$H$147,MATCH('Net zero emission reductions'!$G1453,EF!$D$132:$D$147,0))*kgtoGg</f>
        <v>5.4763880313387671E-2</v>
      </c>
      <c r="AE1453" s="22">
        <f>INDEX('Net zero Activity data'!AX$24:AX$39,MATCH('Net zero emission reductions'!$G1453,'Net zero Activity data'!$D$24:$D$39,0))*INDEX(EF!$H$84:$H$99,MATCH('Net zero emission reductions'!$G1453,EF!$D$84:$D$99,0))*INDEX(EF!$H$100:$H$115,MATCH('Net zero emission reductions'!$G1453,EF!$D$100:$D$115,0))*INDEX(EF!$H$132:$H$147,MATCH('Net zero emission reductions'!$G1453,EF!$D$132:$D$147,0))*kgtoGg</f>
        <v>5.4772032759224265E-2</v>
      </c>
      <c r="AF1453" s="22">
        <f>INDEX('Net zero Activity data'!AY$24:AY$39,MATCH('Net zero emission reductions'!$G1453,'Net zero Activity data'!$D$24:$D$39,0))*INDEX(EF!$H$84:$H$99,MATCH('Net zero emission reductions'!$G1453,EF!$D$84:$D$99,0))*INDEX(EF!$H$100:$H$115,MATCH('Net zero emission reductions'!$G1453,EF!$D$100:$D$115,0))*INDEX(EF!$H$132:$H$147,MATCH('Net zero emission reductions'!$G1453,EF!$D$132:$D$147,0))*kgtoGg</f>
        <v>5.4780185205060838E-2</v>
      </c>
      <c r="AG1453" s="22">
        <f>INDEX('Net zero Activity data'!AZ$24:AZ$39,MATCH('Net zero emission reductions'!$G1453,'Net zero Activity data'!$D$24:$D$39,0))*INDEX(EF!$H$84:$H$99,MATCH('Net zero emission reductions'!$G1453,EF!$D$84:$D$99,0))*INDEX(EF!$H$100:$H$115,MATCH('Net zero emission reductions'!$G1453,EF!$D$100:$D$115,0))*INDEX(EF!$H$132:$H$147,MATCH('Net zero emission reductions'!$G1453,EF!$D$132:$D$147,0))*kgtoGg</f>
        <v>5.4788337650897426E-2</v>
      </c>
      <c r="AH1453" s="22">
        <f>INDEX('Net zero Activity data'!BA$24:BA$39,MATCH('Net zero emission reductions'!$G1453,'Net zero Activity data'!$D$24:$D$39,0))*INDEX(EF!$H$84:$H$99,MATCH('Net zero emission reductions'!$G1453,EF!$D$84:$D$99,0))*INDEX(EF!$H$100:$H$115,MATCH('Net zero emission reductions'!$G1453,EF!$D$100:$D$115,0))*INDEX(EF!$H$132:$H$147,MATCH('Net zero emission reductions'!$G1453,EF!$D$132:$D$147,0))*kgtoGg</f>
        <v>5.4796490096733992E-2</v>
      </c>
      <c r="AI1453" s="22">
        <f>INDEX('Net zero Activity data'!BB$24:BB$39,MATCH('Net zero emission reductions'!$G1453,'Net zero Activity data'!$D$24:$D$39,0))*INDEX(EF!$H$84:$H$99,MATCH('Net zero emission reductions'!$G1453,EF!$D$84:$D$99,0))*INDEX(EF!$H$100:$H$115,MATCH('Net zero emission reductions'!$G1453,EF!$D$100:$D$115,0))*INDEX(EF!$H$132:$H$147,MATCH('Net zero emission reductions'!$G1453,EF!$D$132:$D$147,0))*kgtoGg</f>
        <v>5.4804642542570572E-2</v>
      </c>
      <c r="AJ1453" s="22">
        <f>INDEX('Net zero Activity data'!BC$24:BC$39,MATCH('Net zero emission reductions'!$G1453,'Net zero Activity data'!$D$24:$D$39,0))*INDEX(EF!$H$84:$H$99,MATCH('Net zero emission reductions'!$G1453,EF!$D$84:$D$99,0))*INDEX(EF!$H$100:$H$115,MATCH('Net zero emission reductions'!$G1453,EF!$D$100:$D$115,0))*INDEX(EF!$H$132:$H$147,MATCH('Net zero emission reductions'!$G1453,EF!$D$132:$D$147,0))*kgtoGg</f>
        <v>5.4812794988407146E-2</v>
      </c>
      <c r="AK1453" s="22">
        <f>INDEX('Net zero Activity data'!BD$24:BD$39,MATCH('Net zero emission reductions'!$G1453,'Net zero Activity data'!$D$24:$D$39,0))*INDEX(EF!$H$84:$H$99,MATCH('Net zero emission reductions'!$G1453,EF!$D$84:$D$99,0))*INDEX(EF!$H$100:$H$115,MATCH('Net zero emission reductions'!$G1453,EF!$D$100:$D$115,0))*INDEX(EF!$H$132:$H$147,MATCH('Net zero emission reductions'!$G1453,EF!$D$132:$D$147,0))*kgtoGg</f>
        <v>5.4820947434243726E-2</v>
      </c>
      <c r="AL1453" s="22">
        <f>INDEX('Net zero Activity data'!BE$24:BE$39,MATCH('Net zero emission reductions'!$G1453,'Net zero Activity data'!$D$24:$D$39,0))*INDEX(EF!$H$84:$H$99,MATCH('Net zero emission reductions'!$G1453,EF!$D$84:$D$99,0))*INDEX(EF!$H$100:$H$115,MATCH('Net zero emission reductions'!$G1453,EF!$D$100:$D$115,0))*INDEX(EF!$H$132:$H$147,MATCH('Net zero emission reductions'!$G1453,EF!$D$132:$D$147,0))*kgtoGg</f>
        <v>5.4829099880080313E-2</v>
      </c>
      <c r="AM1453" s="22">
        <f>INDEX('Net zero Activity data'!BF$24:BF$39,MATCH('Net zero emission reductions'!$G1453,'Net zero Activity data'!$D$24:$D$39,0))*INDEX(EF!$H$84:$H$99,MATCH('Net zero emission reductions'!$G1453,EF!$D$84:$D$99,0))*INDEX(EF!$H$100:$H$115,MATCH('Net zero emission reductions'!$G1453,EF!$D$100:$D$115,0))*INDEX(EF!$H$132:$H$147,MATCH('Net zero emission reductions'!$G1453,EF!$D$132:$D$147,0))*kgtoGg</f>
        <v>5.4837252325916887E-2</v>
      </c>
      <c r="AN1453" s="22">
        <f>INDEX('Net zero Activity data'!BG$24:BG$39,MATCH('Net zero emission reductions'!$G1453,'Net zero Activity data'!$D$24:$D$39,0))*INDEX(EF!$H$84:$H$99,MATCH('Net zero emission reductions'!$G1453,EF!$D$84:$D$99,0))*INDEX(EF!$H$100:$H$115,MATCH('Net zero emission reductions'!$G1453,EF!$D$100:$D$115,0))*INDEX(EF!$H$132:$H$147,MATCH('Net zero emission reductions'!$G1453,EF!$D$132:$D$147,0))*kgtoGg</f>
        <v>5.4845404771753467E-2</v>
      </c>
      <c r="AO1453" s="22">
        <f>INDEX('Net zero Activity data'!BH$24:BH$39,MATCH('Net zero emission reductions'!$G1453,'Net zero Activity data'!$D$24:$D$39,0))*INDEX(EF!$H$84:$H$99,MATCH('Net zero emission reductions'!$G1453,EF!$D$84:$D$99,0))*INDEX(EF!$H$100:$H$115,MATCH('Net zero emission reductions'!$G1453,EF!$D$100:$D$115,0))*INDEX(EF!$H$132:$H$147,MATCH('Net zero emission reductions'!$G1453,EF!$D$132:$D$147,0))*kgtoGg</f>
        <v>5.4853557217590047E-2</v>
      </c>
      <c r="AP1453" s="22">
        <f>INDEX('Net zero Activity data'!BI$24:BI$39,MATCH('Net zero emission reductions'!$G1453,'Net zero Activity data'!$D$24:$D$39,0))*INDEX(EF!$H$84:$H$99,MATCH('Net zero emission reductions'!$G1453,EF!$D$84:$D$99,0))*INDEX(EF!$H$100:$H$115,MATCH('Net zero emission reductions'!$G1453,EF!$D$100:$D$115,0))*INDEX(EF!$H$132:$H$147,MATCH('Net zero emission reductions'!$G1453,EF!$D$132:$D$147,0))*kgtoGg</f>
        <v>5.4861709663426621E-2</v>
      </c>
      <c r="AQ1453" s="22">
        <f>INDEX('Net zero Activity data'!BJ$24:BJ$39,MATCH('Net zero emission reductions'!$G1453,'Net zero Activity data'!$D$24:$D$39,0))*INDEX(EF!$H$84:$H$99,MATCH('Net zero emission reductions'!$G1453,EF!$D$84:$D$99,0))*INDEX(EF!$H$100:$H$115,MATCH('Net zero emission reductions'!$G1453,EF!$D$100:$D$115,0))*INDEX(EF!$H$132:$H$147,MATCH('Net zero emission reductions'!$G1453,EF!$D$132:$D$147,0))*kgtoGg</f>
        <v>5.4869862109263194E-2</v>
      </c>
      <c r="AR1453" s="22">
        <f>INDEX('Net zero Activity data'!BK$24:BK$39,MATCH('Net zero emission reductions'!$G1453,'Net zero Activity data'!$D$24:$D$39,0))*INDEX(EF!$H$84:$H$99,MATCH('Net zero emission reductions'!$G1453,EF!$D$84:$D$99,0))*INDEX(EF!$H$100:$H$115,MATCH('Net zero emission reductions'!$G1453,EF!$D$100:$D$115,0))*INDEX(EF!$H$132:$H$147,MATCH('Net zero emission reductions'!$G1453,EF!$D$132:$D$147,0))*kgtoGg</f>
        <v>5.4878014555099774E-2</v>
      </c>
      <c r="AS1453" s="22">
        <f>INDEX('Net zero Activity data'!BL$24:BL$39,MATCH('Net zero emission reductions'!$G1453,'Net zero Activity data'!$D$24:$D$39,0))*INDEX(EF!$H$84:$H$99,MATCH('Net zero emission reductions'!$G1453,EF!$D$84:$D$99,0))*INDEX(EF!$H$100:$H$115,MATCH('Net zero emission reductions'!$G1453,EF!$D$100:$D$115,0))*INDEX(EF!$H$132:$H$147,MATCH('Net zero emission reductions'!$G1453,EF!$D$132:$D$147,0))*kgtoGg</f>
        <v>5.4886167000936362E-2</v>
      </c>
      <c r="AT1453" s="22">
        <f>INDEX('Net zero Activity data'!BM$24:BM$39,MATCH('Net zero emission reductions'!$G1453,'Net zero Activity data'!$D$24:$D$39,0))*INDEX(EF!$H$84:$H$99,MATCH('Net zero emission reductions'!$G1453,EF!$D$84:$D$99,0))*INDEX(EF!$H$100:$H$115,MATCH('Net zero emission reductions'!$G1453,EF!$D$100:$D$115,0))*INDEX(EF!$H$132:$H$147,MATCH('Net zero emission reductions'!$G1453,EF!$D$132:$D$147,0))*kgtoGg</f>
        <v>5.4894319446772949E-2</v>
      </c>
      <c r="AU1453" s="22">
        <f>INDEX('Net zero Activity data'!BN$24:BN$39,MATCH('Net zero emission reductions'!$G1453,'Net zero Activity data'!$D$24:$D$39,0))*INDEX(EF!$H$84:$H$99,MATCH('Net zero emission reductions'!$G1453,EF!$D$84:$D$99,0))*INDEX(EF!$H$100:$H$115,MATCH('Net zero emission reductions'!$G1453,EF!$D$100:$D$115,0))*INDEX(EF!$H$132:$H$147,MATCH('Net zero emission reductions'!$G1453,EF!$D$132:$D$147,0))*kgtoGg</f>
        <v>5.4902471892609515E-2</v>
      </c>
      <c r="AV1453" s="22">
        <f>INDEX('Net zero Activity data'!BO$24:BO$39,MATCH('Net zero emission reductions'!$G1453,'Net zero Activity data'!$D$24:$D$39,0))*INDEX(EF!$H$84:$H$99,MATCH('Net zero emission reductions'!$G1453,EF!$D$84:$D$99,0))*INDEX(EF!$H$100:$H$115,MATCH('Net zero emission reductions'!$G1453,EF!$D$100:$D$115,0))*INDEX(EF!$H$132:$H$147,MATCH('Net zero emission reductions'!$G1453,EF!$D$132:$D$147,0))*kgtoGg</f>
        <v>5.4910624338446096E-2</v>
      </c>
      <c r="AW1453" s="22">
        <f>INDEX('Net zero Activity data'!BP$24:BP$39,MATCH('Net zero emission reductions'!$G1453,'Net zero Activity data'!$D$24:$D$39,0))*INDEX(EF!$H$84:$H$99,MATCH('Net zero emission reductions'!$G1453,EF!$D$84:$D$99,0))*INDEX(EF!$H$100:$H$115,MATCH('Net zero emission reductions'!$G1453,EF!$D$100:$D$115,0))*INDEX(EF!$H$132:$H$147,MATCH('Net zero emission reductions'!$G1453,EF!$D$132:$D$147,0))*kgtoGg</f>
        <v>5.4918776784282669E-2</v>
      </c>
    </row>
    <row r="1454" spans="1:49" x14ac:dyDescent="0.3">
      <c r="A1454" s="95" t="s">
        <v>960</v>
      </c>
      <c r="B1454" s="95"/>
      <c r="C1454" s="95"/>
      <c r="D1454" t="str">
        <f t="shared" si="560"/>
        <v>3C Aggregated and non-CO2 emissions on land</v>
      </c>
      <c r="E1454" t="str">
        <f t="shared" si="560"/>
        <v>3C1 Biomass burning (N2O)</v>
      </c>
      <c r="F1454" t="str">
        <f t="shared" si="559"/>
        <v>3C1c Biomass burning in Grasslands</v>
      </c>
      <c r="G1454" t="str">
        <f>EF!D109</f>
        <v>Grasslands</v>
      </c>
      <c r="H1454" t="s">
        <v>650</v>
      </c>
      <c r="I1454" t="str">
        <f t="shared" si="561"/>
        <v>N2O</v>
      </c>
      <c r="J1454" t="str">
        <f t="shared" si="561"/>
        <v>Gg N2O</v>
      </c>
      <c r="K1454" s="22">
        <f>INDEX('Net zero Activity data'!AD$24:AD$39,MATCH('Net zero emission reductions'!$G1454,'Net zero Activity data'!$D$24:$D$39,0))*INDEX(EF!$H$84:$H$99,MATCH('Net zero emission reductions'!$G1454,EF!$D$84:$D$99,0))*INDEX(EF!$H$100:$H$115,MATCH('Net zero emission reductions'!$G1454,EF!$D$100:$D$115,0))*INDEX(EF!$H$132:$H$147,MATCH('Net zero emission reductions'!$G1454,EF!$D$132:$D$147,0))*kgtoGg</f>
        <v>1.7476396139750874</v>
      </c>
      <c r="L1454" s="22">
        <f>INDEX('Net zero Activity data'!AE$24:AE$39,MATCH('Net zero emission reductions'!$G1454,'Net zero Activity data'!$D$24:$D$39,0))*INDEX(EF!$H$84:$H$99,MATCH('Net zero emission reductions'!$G1454,EF!$D$84:$D$99,0))*INDEX(EF!$H$100:$H$115,MATCH('Net zero emission reductions'!$G1454,EF!$D$100:$D$115,0))*INDEX(EF!$H$132:$H$147,MATCH('Net zero emission reductions'!$G1454,EF!$D$132:$D$147,0))*kgtoGg</f>
        <v>1.7588516448488245</v>
      </c>
      <c r="M1454" s="22">
        <f>INDEX('Net zero Activity data'!AF$24:AF$39,MATCH('Net zero emission reductions'!$G1454,'Net zero Activity data'!$D$24:$D$39,0))*INDEX(EF!$H$84:$H$99,MATCH('Net zero emission reductions'!$G1454,EF!$D$84:$D$99,0))*INDEX(EF!$H$100:$H$115,MATCH('Net zero emission reductions'!$G1454,EF!$D$100:$D$115,0))*INDEX(EF!$H$132:$H$147,MATCH('Net zero emission reductions'!$G1454,EF!$D$132:$D$147,0))*kgtoGg</f>
        <v>1.7700636757225612</v>
      </c>
      <c r="N1454" s="22">
        <f>INDEX('Net zero Activity data'!AG$24:AG$39,MATCH('Net zero emission reductions'!$G1454,'Net zero Activity data'!$D$24:$D$39,0))*INDEX(EF!$H$84:$H$99,MATCH('Net zero emission reductions'!$G1454,EF!$D$84:$D$99,0))*INDEX(EF!$H$100:$H$115,MATCH('Net zero emission reductions'!$G1454,EF!$D$100:$D$115,0))*INDEX(EF!$H$132:$H$147,MATCH('Net zero emission reductions'!$G1454,EF!$D$132:$D$147,0))*kgtoGg</f>
        <v>1.7812757065962979</v>
      </c>
      <c r="O1454" s="22">
        <f>INDEX('Net zero Activity data'!AH$24:AH$39,MATCH('Net zero emission reductions'!$G1454,'Net zero Activity data'!$D$24:$D$39,0))*INDEX(EF!$H$84:$H$99,MATCH('Net zero emission reductions'!$G1454,EF!$D$84:$D$99,0))*INDEX(EF!$H$100:$H$115,MATCH('Net zero emission reductions'!$G1454,EF!$D$100:$D$115,0))*INDEX(EF!$H$132:$H$147,MATCH('Net zero emission reductions'!$G1454,EF!$D$132:$D$147,0))*kgtoGg</f>
        <v>1.7924877374700352</v>
      </c>
      <c r="P1454" s="22">
        <f>INDEX('Net zero Activity data'!AI$24:AI$39,MATCH('Net zero emission reductions'!$G1454,'Net zero Activity data'!$D$24:$D$39,0))*INDEX(EF!$H$84:$H$99,MATCH('Net zero emission reductions'!$G1454,EF!$D$84:$D$99,0))*INDEX(EF!$H$100:$H$115,MATCH('Net zero emission reductions'!$G1454,EF!$D$100:$D$115,0))*INDEX(EF!$H$132:$H$147,MATCH('Net zero emission reductions'!$G1454,EF!$D$132:$D$147,0))*kgtoGg</f>
        <v>1.8036997683437717</v>
      </c>
      <c r="Q1454" s="22">
        <f>INDEX('Net zero Activity data'!AJ$24:AJ$39,MATCH('Net zero emission reductions'!$G1454,'Net zero Activity data'!$D$24:$D$39,0))*INDEX(EF!$H$84:$H$99,MATCH('Net zero emission reductions'!$G1454,EF!$D$84:$D$99,0))*INDEX(EF!$H$100:$H$115,MATCH('Net zero emission reductions'!$G1454,EF!$D$100:$D$115,0))*INDEX(EF!$H$132:$H$147,MATCH('Net zero emission reductions'!$G1454,EF!$D$132:$D$147,0))*kgtoGg</f>
        <v>1.8149117992175088</v>
      </c>
      <c r="R1454" s="22">
        <f>INDEX('Net zero Activity data'!AK$24:AK$39,MATCH('Net zero emission reductions'!$G1454,'Net zero Activity data'!$D$24:$D$39,0))*INDEX(EF!$H$84:$H$99,MATCH('Net zero emission reductions'!$G1454,EF!$D$84:$D$99,0))*INDEX(EF!$H$100:$H$115,MATCH('Net zero emission reductions'!$G1454,EF!$D$100:$D$115,0))*INDEX(EF!$H$132:$H$147,MATCH('Net zero emission reductions'!$G1454,EF!$D$132:$D$147,0))*kgtoGg</f>
        <v>1.8337408160133097</v>
      </c>
      <c r="S1454" s="22">
        <f>INDEX('Net zero Activity data'!AL$24:AL$39,MATCH('Net zero emission reductions'!$G1454,'Net zero Activity data'!$D$24:$D$39,0))*INDEX(EF!$H$84:$H$99,MATCH('Net zero emission reductions'!$G1454,EF!$D$84:$D$99,0))*INDEX(EF!$H$100:$H$115,MATCH('Net zero emission reductions'!$G1454,EF!$D$100:$D$115,0))*INDEX(EF!$H$132:$H$147,MATCH('Net zero emission reductions'!$G1454,EF!$D$132:$D$147,0))*kgtoGg</f>
        <v>1.8525698328091103</v>
      </c>
      <c r="T1454" s="22">
        <f>INDEX('Net zero Activity data'!AM$24:AM$39,MATCH('Net zero emission reductions'!$G1454,'Net zero Activity data'!$D$24:$D$39,0))*INDEX(EF!$H$84:$H$99,MATCH('Net zero emission reductions'!$G1454,EF!$D$84:$D$99,0))*INDEX(EF!$H$100:$H$115,MATCH('Net zero emission reductions'!$G1454,EF!$D$100:$D$115,0))*INDEX(EF!$H$132:$H$147,MATCH('Net zero emission reductions'!$G1454,EF!$D$132:$D$147,0))*kgtoGg</f>
        <v>1.8713988496049114</v>
      </c>
      <c r="U1454" s="22">
        <f>INDEX('Net zero Activity data'!AN$24:AN$39,MATCH('Net zero emission reductions'!$G1454,'Net zero Activity data'!$D$24:$D$39,0))*INDEX(EF!$H$84:$H$99,MATCH('Net zero emission reductions'!$G1454,EF!$D$84:$D$99,0))*INDEX(EF!$H$100:$H$115,MATCH('Net zero emission reductions'!$G1454,EF!$D$100:$D$115,0))*INDEX(EF!$H$132:$H$147,MATCH('Net zero emission reductions'!$G1454,EF!$D$132:$D$147,0))*kgtoGg</f>
        <v>1.8902278664007113</v>
      </c>
      <c r="V1454" s="22">
        <f>INDEX('Net zero Activity data'!AO$24:AO$39,MATCH('Net zero emission reductions'!$G1454,'Net zero Activity data'!$D$24:$D$39,0))*INDEX(EF!$H$84:$H$99,MATCH('Net zero emission reductions'!$G1454,EF!$D$84:$D$99,0))*INDEX(EF!$H$100:$H$115,MATCH('Net zero emission reductions'!$G1454,EF!$D$100:$D$115,0))*INDEX(EF!$H$132:$H$147,MATCH('Net zero emission reductions'!$G1454,EF!$D$132:$D$147,0))*kgtoGg</f>
        <v>1.9090568831965125</v>
      </c>
      <c r="W1454" s="22">
        <f>INDEX('Net zero Activity data'!AP$24:AP$39,MATCH('Net zero emission reductions'!$G1454,'Net zero Activity data'!$D$24:$D$39,0))*INDEX(EF!$H$84:$H$99,MATCH('Net zero emission reductions'!$G1454,EF!$D$84:$D$99,0))*INDEX(EF!$H$100:$H$115,MATCH('Net zero emission reductions'!$G1454,EF!$D$100:$D$115,0))*INDEX(EF!$H$132:$H$147,MATCH('Net zero emission reductions'!$G1454,EF!$D$132:$D$147,0))*kgtoGg</f>
        <v>1.9278858999923132</v>
      </c>
      <c r="X1454" s="22">
        <f>INDEX('Net zero Activity data'!AQ$24:AQ$39,MATCH('Net zero emission reductions'!$G1454,'Net zero Activity data'!$D$24:$D$39,0))*INDEX(EF!$H$84:$H$99,MATCH('Net zero emission reductions'!$G1454,EF!$D$84:$D$99,0))*INDEX(EF!$H$100:$H$115,MATCH('Net zero emission reductions'!$G1454,EF!$D$100:$D$115,0))*INDEX(EF!$H$132:$H$147,MATCH('Net zero emission reductions'!$G1454,EF!$D$132:$D$147,0))*kgtoGg</f>
        <v>1.9467149167881139</v>
      </c>
      <c r="Y1454" s="22">
        <f>INDEX('Net zero Activity data'!AR$24:AR$39,MATCH('Net zero emission reductions'!$G1454,'Net zero Activity data'!$D$24:$D$39,0))*INDEX(EF!$H$84:$H$99,MATCH('Net zero emission reductions'!$G1454,EF!$D$84:$D$99,0))*INDEX(EF!$H$100:$H$115,MATCH('Net zero emission reductions'!$G1454,EF!$D$100:$D$115,0))*INDEX(EF!$H$132:$H$147,MATCH('Net zero emission reductions'!$G1454,EF!$D$132:$D$147,0))*kgtoGg</f>
        <v>1.9655439335839147</v>
      </c>
      <c r="Z1454" s="22">
        <f>INDEX('Net zero Activity data'!AS$24:AS$39,MATCH('Net zero emission reductions'!$G1454,'Net zero Activity data'!$D$24:$D$39,0))*INDEX(EF!$H$84:$H$99,MATCH('Net zero emission reductions'!$G1454,EF!$D$84:$D$99,0))*INDEX(EF!$H$100:$H$115,MATCH('Net zero emission reductions'!$G1454,EF!$D$100:$D$115,0))*INDEX(EF!$H$132:$H$147,MATCH('Net zero emission reductions'!$G1454,EF!$D$132:$D$147,0))*kgtoGg</f>
        <v>1.9843729503797152</v>
      </c>
      <c r="AA1454" s="22">
        <f>INDEX('Net zero Activity data'!AT$24:AT$39,MATCH('Net zero emission reductions'!$G1454,'Net zero Activity data'!$D$24:$D$39,0))*INDEX(EF!$H$84:$H$99,MATCH('Net zero emission reductions'!$G1454,EF!$D$84:$D$99,0))*INDEX(EF!$H$100:$H$115,MATCH('Net zero emission reductions'!$G1454,EF!$D$100:$D$115,0))*INDEX(EF!$H$132:$H$147,MATCH('Net zero emission reductions'!$G1454,EF!$D$132:$D$147,0))*kgtoGg</f>
        <v>2.0032019671755164</v>
      </c>
      <c r="AB1454" s="22">
        <f>INDEX('Net zero Activity data'!AU$24:AU$39,MATCH('Net zero emission reductions'!$G1454,'Net zero Activity data'!$D$24:$D$39,0))*INDEX(EF!$H$84:$H$99,MATCH('Net zero emission reductions'!$G1454,EF!$D$84:$D$99,0))*INDEX(EF!$H$100:$H$115,MATCH('Net zero emission reductions'!$G1454,EF!$D$100:$D$115,0))*INDEX(EF!$H$132:$H$147,MATCH('Net zero emission reductions'!$G1454,EF!$D$132:$D$147,0))*kgtoGg</f>
        <v>2.0220309839713169</v>
      </c>
      <c r="AC1454" s="22">
        <f>INDEX('Net zero Activity data'!AV$24:AV$39,MATCH('Net zero emission reductions'!$G1454,'Net zero Activity data'!$D$24:$D$39,0))*INDEX(EF!$H$84:$H$99,MATCH('Net zero emission reductions'!$G1454,EF!$D$84:$D$99,0))*INDEX(EF!$H$100:$H$115,MATCH('Net zero emission reductions'!$G1454,EF!$D$100:$D$115,0))*INDEX(EF!$H$132:$H$147,MATCH('Net zero emission reductions'!$G1454,EF!$D$132:$D$147,0))*kgtoGg</f>
        <v>2.0408600007671174</v>
      </c>
      <c r="AD1454" s="22">
        <f>INDEX('Net zero Activity data'!AW$24:AW$39,MATCH('Net zero emission reductions'!$G1454,'Net zero Activity data'!$D$24:$D$39,0))*INDEX(EF!$H$84:$H$99,MATCH('Net zero emission reductions'!$G1454,EF!$D$84:$D$99,0))*INDEX(EF!$H$100:$H$115,MATCH('Net zero emission reductions'!$G1454,EF!$D$100:$D$115,0))*INDEX(EF!$H$132:$H$147,MATCH('Net zero emission reductions'!$G1454,EF!$D$132:$D$147,0))*kgtoGg</f>
        <v>2.0600101805096163</v>
      </c>
      <c r="AE1454" s="22">
        <f>INDEX('Net zero Activity data'!AX$24:AX$39,MATCH('Net zero emission reductions'!$G1454,'Net zero Activity data'!$D$24:$D$39,0))*INDEX(EF!$H$84:$H$99,MATCH('Net zero emission reductions'!$G1454,EF!$D$84:$D$99,0))*INDEX(EF!$H$100:$H$115,MATCH('Net zero emission reductions'!$G1454,EF!$D$100:$D$115,0))*INDEX(EF!$H$132:$H$147,MATCH('Net zero emission reductions'!$G1454,EF!$D$132:$D$147,0))*kgtoGg</f>
        <v>2.0791603602521147</v>
      </c>
      <c r="AF1454" s="22">
        <f>INDEX('Net zero Activity data'!AY$24:AY$39,MATCH('Net zero emission reductions'!$G1454,'Net zero Activity data'!$D$24:$D$39,0))*INDEX(EF!$H$84:$H$99,MATCH('Net zero emission reductions'!$G1454,EF!$D$84:$D$99,0))*INDEX(EF!$H$100:$H$115,MATCH('Net zero emission reductions'!$G1454,EF!$D$100:$D$115,0))*INDEX(EF!$H$132:$H$147,MATCH('Net zero emission reductions'!$G1454,EF!$D$132:$D$147,0))*kgtoGg</f>
        <v>2.0983105399946136</v>
      </c>
      <c r="AG1454" s="22">
        <f>INDEX('Net zero Activity data'!AZ$24:AZ$39,MATCH('Net zero emission reductions'!$G1454,'Net zero Activity data'!$D$24:$D$39,0))*INDEX(EF!$H$84:$H$99,MATCH('Net zero emission reductions'!$G1454,EF!$D$84:$D$99,0))*INDEX(EF!$H$100:$H$115,MATCH('Net zero emission reductions'!$G1454,EF!$D$100:$D$115,0))*INDEX(EF!$H$132:$H$147,MATCH('Net zero emission reductions'!$G1454,EF!$D$132:$D$147,0))*kgtoGg</f>
        <v>2.1174607197371125</v>
      </c>
      <c r="AH1454" s="22">
        <f>INDEX('Net zero Activity data'!BA$24:BA$39,MATCH('Net zero emission reductions'!$G1454,'Net zero Activity data'!$D$24:$D$39,0))*INDEX(EF!$H$84:$H$99,MATCH('Net zero emission reductions'!$G1454,EF!$D$84:$D$99,0))*INDEX(EF!$H$100:$H$115,MATCH('Net zero emission reductions'!$G1454,EF!$D$100:$D$115,0))*INDEX(EF!$H$132:$H$147,MATCH('Net zero emission reductions'!$G1454,EF!$D$132:$D$147,0))*kgtoGg</f>
        <v>2.1366108994796109</v>
      </c>
      <c r="AI1454" s="22">
        <f>INDEX('Net zero Activity data'!BB$24:BB$39,MATCH('Net zero emission reductions'!$G1454,'Net zero Activity data'!$D$24:$D$39,0))*INDEX(EF!$H$84:$H$99,MATCH('Net zero emission reductions'!$G1454,EF!$D$84:$D$99,0))*INDEX(EF!$H$100:$H$115,MATCH('Net zero emission reductions'!$G1454,EF!$D$100:$D$115,0))*INDEX(EF!$H$132:$H$147,MATCH('Net zero emission reductions'!$G1454,EF!$D$132:$D$147,0))*kgtoGg</f>
        <v>2.1557610792221098</v>
      </c>
      <c r="AJ1454" s="22">
        <f>INDEX('Net zero Activity data'!BC$24:BC$39,MATCH('Net zero emission reductions'!$G1454,'Net zero Activity data'!$D$24:$D$39,0))*INDEX(EF!$H$84:$H$99,MATCH('Net zero emission reductions'!$G1454,EF!$D$84:$D$99,0))*INDEX(EF!$H$100:$H$115,MATCH('Net zero emission reductions'!$G1454,EF!$D$100:$D$115,0))*INDEX(EF!$H$132:$H$147,MATCH('Net zero emission reductions'!$G1454,EF!$D$132:$D$147,0))*kgtoGg</f>
        <v>2.1749112589646082</v>
      </c>
      <c r="AK1454" s="22">
        <f>INDEX('Net zero Activity data'!BD$24:BD$39,MATCH('Net zero emission reductions'!$G1454,'Net zero Activity data'!$D$24:$D$39,0))*INDEX(EF!$H$84:$H$99,MATCH('Net zero emission reductions'!$G1454,EF!$D$84:$D$99,0))*INDEX(EF!$H$100:$H$115,MATCH('Net zero emission reductions'!$G1454,EF!$D$100:$D$115,0))*INDEX(EF!$H$132:$H$147,MATCH('Net zero emission reductions'!$G1454,EF!$D$132:$D$147,0))*kgtoGg</f>
        <v>2.1940614387071071</v>
      </c>
      <c r="AL1454" s="22">
        <f>INDEX('Net zero Activity data'!BE$24:BE$39,MATCH('Net zero emission reductions'!$G1454,'Net zero Activity data'!$D$24:$D$39,0))*INDEX(EF!$H$84:$H$99,MATCH('Net zero emission reductions'!$G1454,EF!$D$84:$D$99,0))*INDEX(EF!$H$100:$H$115,MATCH('Net zero emission reductions'!$G1454,EF!$D$100:$D$115,0))*INDEX(EF!$H$132:$H$147,MATCH('Net zero emission reductions'!$G1454,EF!$D$132:$D$147,0))*kgtoGg</f>
        <v>2.2132116184496056</v>
      </c>
      <c r="AM1454" s="22">
        <f>INDEX('Net zero Activity data'!BF$24:BF$39,MATCH('Net zero emission reductions'!$G1454,'Net zero Activity data'!$D$24:$D$39,0))*INDEX(EF!$H$84:$H$99,MATCH('Net zero emission reductions'!$G1454,EF!$D$84:$D$99,0))*INDEX(EF!$H$100:$H$115,MATCH('Net zero emission reductions'!$G1454,EF!$D$100:$D$115,0))*INDEX(EF!$H$132:$H$147,MATCH('Net zero emission reductions'!$G1454,EF!$D$132:$D$147,0))*kgtoGg</f>
        <v>2.232361798192104</v>
      </c>
      <c r="AN1454" s="22">
        <f>INDEX('Net zero Activity data'!BG$24:BG$39,MATCH('Net zero emission reductions'!$G1454,'Net zero Activity data'!$D$24:$D$39,0))*INDEX(EF!$H$84:$H$99,MATCH('Net zero emission reductions'!$G1454,EF!$D$84:$D$99,0))*INDEX(EF!$H$100:$H$115,MATCH('Net zero emission reductions'!$G1454,EF!$D$100:$D$115,0))*INDEX(EF!$H$132:$H$147,MATCH('Net zero emission reductions'!$G1454,EF!$D$132:$D$147,0))*kgtoGg</f>
        <v>2.2515119779346029</v>
      </c>
      <c r="AO1454" s="22">
        <f>INDEX('Net zero Activity data'!BH$24:BH$39,MATCH('Net zero emission reductions'!$G1454,'Net zero Activity data'!$D$24:$D$39,0))*INDEX(EF!$H$84:$H$99,MATCH('Net zero emission reductions'!$G1454,EF!$D$84:$D$99,0))*INDEX(EF!$H$100:$H$115,MATCH('Net zero emission reductions'!$G1454,EF!$D$100:$D$115,0))*INDEX(EF!$H$132:$H$147,MATCH('Net zero emission reductions'!$G1454,EF!$D$132:$D$147,0))*kgtoGg</f>
        <v>2.2706621576771018</v>
      </c>
      <c r="AP1454" s="22">
        <f>INDEX('Net zero Activity data'!BI$24:BI$39,MATCH('Net zero emission reductions'!$G1454,'Net zero Activity data'!$D$24:$D$39,0))*INDEX(EF!$H$84:$H$99,MATCH('Net zero emission reductions'!$G1454,EF!$D$84:$D$99,0))*INDEX(EF!$H$100:$H$115,MATCH('Net zero emission reductions'!$G1454,EF!$D$100:$D$115,0))*INDEX(EF!$H$132:$H$147,MATCH('Net zero emission reductions'!$G1454,EF!$D$132:$D$147,0))*kgtoGg</f>
        <v>2.2898123374196002</v>
      </c>
      <c r="AQ1454" s="22">
        <f>INDEX('Net zero Activity data'!BJ$24:BJ$39,MATCH('Net zero emission reductions'!$G1454,'Net zero Activity data'!$D$24:$D$39,0))*INDEX(EF!$H$84:$H$99,MATCH('Net zero emission reductions'!$G1454,EF!$D$84:$D$99,0))*INDEX(EF!$H$100:$H$115,MATCH('Net zero emission reductions'!$G1454,EF!$D$100:$D$115,0))*INDEX(EF!$H$132:$H$147,MATCH('Net zero emission reductions'!$G1454,EF!$D$132:$D$147,0))*kgtoGg</f>
        <v>2.3089625171620991</v>
      </c>
      <c r="AR1454" s="22">
        <f>INDEX('Net zero Activity data'!BK$24:BK$39,MATCH('Net zero emission reductions'!$G1454,'Net zero Activity data'!$D$24:$D$39,0))*INDEX(EF!$H$84:$H$99,MATCH('Net zero emission reductions'!$G1454,EF!$D$84:$D$99,0))*INDEX(EF!$H$100:$H$115,MATCH('Net zero emission reductions'!$G1454,EF!$D$100:$D$115,0))*INDEX(EF!$H$132:$H$147,MATCH('Net zero emission reductions'!$G1454,EF!$D$132:$D$147,0))*kgtoGg</f>
        <v>2.328112696904598</v>
      </c>
      <c r="AS1454" s="22">
        <f>INDEX('Net zero Activity data'!BL$24:BL$39,MATCH('Net zero emission reductions'!$G1454,'Net zero Activity data'!$D$24:$D$39,0))*INDEX(EF!$H$84:$H$99,MATCH('Net zero emission reductions'!$G1454,EF!$D$84:$D$99,0))*INDEX(EF!$H$100:$H$115,MATCH('Net zero emission reductions'!$G1454,EF!$D$100:$D$115,0))*INDEX(EF!$H$132:$H$147,MATCH('Net zero emission reductions'!$G1454,EF!$D$132:$D$147,0))*kgtoGg</f>
        <v>2.3472628766470964</v>
      </c>
      <c r="AT1454" s="22">
        <f>INDEX('Net zero Activity data'!BM$24:BM$39,MATCH('Net zero emission reductions'!$G1454,'Net zero Activity data'!$D$24:$D$39,0))*INDEX(EF!$H$84:$H$99,MATCH('Net zero emission reductions'!$G1454,EF!$D$84:$D$99,0))*INDEX(EF!$H$100:$H$115,MATCH('Net zero emission reductions'!$G1454,EF!$D$100:$D$115,0))*INDEX(EF!$H$132:$H$147,MATCH('Net zero emission reductions'!$G1454,EF!$D$132:$D$147,0))*kgtoGg</f>
        <v>2.3664130563895953</v>
      </c>
      <c r="AU1454" s="22">
        <f>INDEX('Net zero Activity data'!BN$24:BN$39,MATCH('Net zero emission reductions'!$G1454,'Net zero Activity data'!$D$24:$D$39,0))*INDEX(EF!$H$84:$H$99,MATCH('Net zero emission reductions'!$G1454,EF!$D$84:$D$99,0))*INDEX(EF!$H$100:$H$115,MATCH('Net zero emission reductions'!$G1454,EF!$D$100:$D$115,0))*INDEX(EF!$H$132:$H$147,MATCH('Net zero emission reductions'!$G1454,EF!$D$132:$D$147,0))*kgtoGg</f>
        <v>2.3855632361320942</v>
      </c>
      <c r="AV1454" s="22">
        <f>INDEX('Net zero Activity data'!BO$24:BO$39,MATCH('Net zero emission reductions'!$G1454,'Net zero Activity data'!$D$24:$D$39,0))*INDEX(EF!$H$84:$H$99,MATCH('Net zero emission reductions'!$G1454,EF!$D$84:$D$99,0))*INDEX(EF!$H$100:$H$115,MATCH('Net zero emission reductions'!$G1454,EF!$D$100:$D$115,0))*INDEX(EF!$H$132:$H$147,MATCH('Net zero emission reductions'!$G1454,EF!$D$132:$D$147,0))*kgtoGg</f>
        <v>2.4047134158745926</v>
      </c>
      <c r="AW1454" s="22">
        <f>INDEX('Net zero Activity data'!BP$24:BP$39,MATCH('Net zero emission reductions'!$G1454,'Net zero Activity data'!$D$24:$D$39,0))*INDEX(EF!$H$84:$H$99,MATCH('Net zero emission reductions'!$G1454,EF!$D$84:$D$99,0))*INDEX(EF!$H$100:$H$115,MATCH('Net zero emission reductions'!$G1454,EF!$D$100:$D$115,0))*INDEX(EF!$H$132:$H$147,MATCH('Net zero emission reductions'!$G1454,EF!$D$132:$D$147,0))*kgtoGg</f>
        <v>2.4238635956170911</v>
      </c>
    </row>
    <row r="1455" spans="1:49" x14ac:dyDescent="0.3">
      <c r="A1455" s="95" t="s">
        <v>960</v>
      </c>
      <c r="B1455" s="95"/>
      <c r="C1455" s="95"/>
      <c r="D1455" t="str">
        <f t="shared" si="560"/>
        <v>3C Aggregated and non-CO2 emissions on land</v>
      </c>
      <c r="E1455" t="str">
        <f t="shared" si="560"/>
        <v>3C1 Biomass burning (N2O)</v>
      </c>
      <c r="F1455" t="str">
        <f t="shared" si="559"/>
        <v>3C1c Biomass burning in Grasslands</v>
      </c>
      <c r="G1455" t="str">
        <f>EF!D110</f>
        <v>Low shrublands</v>
      </c>
      <c r="H1455" t="s">
        <v>651</v>
      </c>
      <c r="I1455" t="str">
        <f t="shared" si="561"/>
        <v>N2O</v>
      </c>
      <c r="J1455" t="str">
        <f t="shared" si="561"/>
        <v>Gg N2O</v>
      </c>
      <c r="K1455" s="22">
        <f>INDEX('Net zero Activity data'!AD$24:AD$39,MATCH('Net zero emission reductions'!$G1455,'Net zero Activity data'!$D$24:$D$39,0))*INDEX(EF!$H$84:$H$99,MATCH('Net zero emission reductions'!$G1455,EF!$D$84:$D$99,0))*INDEX(EF!$H$100:$H$115,MATCH('Net zero emission reductions'!$G1455,EF!$D$100:$D$115,0))*INDEX(EF!$H$132:$H$147,MATCH('Net zero emission reductions'!$G1455,EF!$D$132:$D$147,0))*kgtoGg</f>
        <v>0.15509939522155319</v>
      </c>
      <c r="L1455" s="22">
        <f>INDEX('Net zero Activity data'!AE$24:AE$39,MATCH('Net zero emission reductions'!$G1455,'Net zero Activity data'!$D$24:$D$39,0))*INDEX(EF!$H$84:$H$99,MATCH('Net zero emission reductions'!$G1455,EF!$D$84:$D$99,0))*INDEX(EF!$H$100:$H$115,MATCH('Net zero emission reductions'!$G1455,EF!$D$100:$D$115,0))*INDEX(EF!$H$132:$H$147,MATCH('Net zero emission reductions'!$G1455,EF!$D$132:$D$147,0))*kgtoGg</f>
        <v>0.15463335341286163</v>
      </c>
      <c r="M1455" s="22">
        <f>INDEX('Net zero Activity data'!AF$24:AF$39,MATCH('Net zero emission reductions'!$G1455,'Net zero Activity data'!$D$24:$D$39,0))*INDEX(EF!$H$84:$H$99,MATCH('Net zero emission reductions'!$G1455,EF!$D$84:$D$99,0))*INDEX(EF!$H$100:$H$115,MATCH('Net zero emission reductions'!$G1455,EF!$D$100:$D$115,0))*INDEX(EF!$H$132:$H$147,MATCH('Net zero emission reductions'!$G1455,EF!$D$132:$D$147,0))*kgtoGg</f>
        <v>0.15416731160417008</v>
      </c>
      <c r="N1455" s="22">
        <f>INDEX('Net zero Activity data'!AG$24:AG$39,MATCH('Net zero emission reductions'!$G1455,'Net zero Activity data'!$D$24:$D$39,0))*INDEX(EF!$H$84:$H$99,MATCH('Net zero emission reductions'!$G1455,EF!$D$84:$D$99,0))*INDEX(EF!$H$100:$H$115,MATCH('Net zero emission reductions'!$G1455,EF!$D$100:$D$115,0))*INDEX(EF!$H$132:$H$147,MATCH('Net zero emission reductions'!$G1455,EF!$D$132:$D$147,0))*kgtoGg</f>
        <v>0.15370126979547846</v>
      </c>
      <c r="O1455" s="22">
        <f>INDEX('Net zero Activity data'!AH$24:AH$39,MATCH('Net zero emission reductions'!$G1455,'Net zero Activity data'!$D$24:$D$39,0))*INDEX(EF!$H$84:$H$99,MATCH('Net zero emission reductions'!$G1455,EF!$D$84:$D$99,0))*INDEX(EF!$H$100:$H$115,MATCH('Net zero emission reductions'!$G1455,EF!$D$100:$D$115,0))*INDEX(EF!$H$132:$H$147,MATCH('Net zero emission reductions'!$G1455,EF!$D$132:$D$147,0))*kgtoGg</f>
        <v>0.15323522798678688</v>
      </c>
      <c r="P1455" s="22">
        <f>INDEX('Net zero Activity data'!AI$24:AI$39,MATCH('Net zero emission reductions'!$G1455,'Net zero Activity data'!$D$24:$D$39,0))*INDEX(EF!$H$84:$H$99,MATCH('Net zero emission reductions'!$G1455,EF!$D$84:$D$99,0))*INDEX(EF!$H$100:$H$115,MATCH('Net zero emission reductions'!$G1455,EF!$D$100:$D$115,0))*INDEX(EF!$H$132:$H$147,MATCH('Net zero emission reductions'!$G1455,EF!$D$132:$D$147,0))*kgtoGg</f>
        <v>0.15276918617809529</v>
      </c>
      <c r="Q1455" s="22">
        <f>INDEX('Net zero Activity data'!AJ$24:AJ$39,MATCH('Net zero emission reductions'!$G1455,'Net zero Activity data'!$D$24:$D$39,0))*INDEX(EF!$H$84:$H$99,MATCH('Net zero emission reductions'!$G1455,EF!$D$84:$D$99,0))*INDEX(EF!$H$100:$H$115,MATCH('Net zero emission reductions'!$G1455,EF!$D$100:$D$115,0))*INDEX(EF!$H$132:$H$147,MATCH('Net zero emission reductions'!$G1455,EF!$D$132:$D$147,0))*kgtoGg</f>
        <v>0.1523031443694037</v>
      </c>
      <c r="R1455" s="22">
        <f>INDEX('Net zero Activity data'!AK$24:AK$39,MATCH('Net zero emission reductions'!$G1455,'Net zero Activity data'!$D$24:$D$39,0))*INDEX(EF!$H$84:$H$99,MATCH('Net zero emission reductions'!$G1455,EF!$D$84:$D$99,0))*INDEX(EF!$H$100:$H$115,MATCH('Net zero emission reductions'!$G1455,EF!$D$100:$D$115,0))*INDEX(EF!$H$132:$H$147,MATCH('Net zero emission reductions'!$G1455,EF!$D$132:$D$147,0))*kgtoGg</f>
        <v>0.15183710256071217</v>
      </c>
      <c r="S1455" s="22">
        <f>INDEX('Net zero Activity data'!AL$24:AL$39,MATCH('Net zero emission reductions'!$G1455,'Net zero Activity data'!$D$24:$D$39,0))*INDEX(EF!$H$84:$H$99,MATCH('Net zero emission reductions'!$G1455,EF!$D$84:$D$99,0))*INDEX(EF!$H$100:$H$115,MATCH('Net zero emission reductions'!$G1455,EF!$D$100:$D$115,0))*INDEX(EF!$H$132:$H$147,MATCH('Net zero emission reductions'!$G1455,EF!$D$132:$D$147,0))*kgtoGg</f>
        <v>0.15137106075202056</v>
      </c>
      <c r="T1455" s="22">
        <f>INDEX('Net zero Activity data'!AM$24:AM$39,MATCH('Net zero emission reductions'!$G1455,'Net zero Activity data'!$D$24:$D$39,0))*INDEX(EF!$H$84:$H$99,MATCH('Net zero emission reductions'!$G1455,EF!$D$84:$D$99,0))*INDEX(EF!$H$100:$H$115,MATCH('Net zero emission reductions'!$G1455,EF!$D$100:$D$115,0))*INDEX(EF!$H$132:$H$147,MATCH('Net zero emission reductions'!$G1455,EF!$D$132:$D$147,0))*kgtoGg</f>
        <v>0.15090501894332897</v>
      </c>
      <c r="U1455" s="22">
        <f>INDEX('Net zero Activity data'!AN$24:AN$39,MATCH('Net zero emission reductions'!$G1455,'Net zero Activity data'!$D$24:$D$39,0))*INDEX(EF!$H$84:$H$99,MATCH('Net zero emission reductions'!$G1455,EF!$D$84:$D$99,0))*INDEX(EF!$H$100:$H$115,MATCH('Net zero emission reductions'!$G1455,EF!$D$100:$D$115,0))*INDEX(EF!$H$132:$H$147,MATCH('Net zero emission reductions'!$G1455,EF!$D$132:$D$147,0))*kgtoGg</f>
        <v>0.15043897713463741</v>
      </c>
      <c r="V1455" s="22">
        <f>INDEX('Net zero Activity data'!AO$24:AO$39,MATCH('Net zero emission reductions'!$G1455,'Net zero Activity data'!$D$24:$D$39,0))*INDEX(EF!$H$84:$H$99,MATCH('Net zero emission reductions'!$G1455,EF!$D$84:$D$99,0))*INDEX(EF!$H$100:$H$115,MATCH('Net zero emission reductions'!$G1455,EF!$D$100:$D$115,0))*INDEX(EF!$H$132:$H$147,MATCH('Net zero emission reductions'!$G1455,EF!$D$132:$D$147,0))*kgtoGg</f>
        <v>0.14997293532594583</v>
      </c>
      <c r="W1455" s="22">
        <f>INDEX('Net zero Activity data'!AP$24:AP$39,MATCH('Net zero emission reductions'!$G1455,'Net zero Activity data'!$D$24:$D$39,0))*INDEX(EF!$H$84:$H$99,MATCH('Net zero emission reductions'!$G1455,EF!$D$84:$D$99,0))*INDEX(EF!$H$100:$H$115,MATCH('Net zero emission reductions'!$G1455,EF!$D$100:$D$115,0))*INDEX(EF!$H$132:$H$147,MATCH('Net zero emission reductions'!$G1455,EF!$D$132:$D$147,0))*kgtoGg</f>
        <v>0.14950689351725424</v>
      </c>
      <c r="X1455" s="22">
        <f>INDEX('Net zero Activity data'!AQ$24:AQ$39,MATCH('Net zero emission reductions'!$G1455,'Net zero Activity data'!$D$24:$D$39,0))*INDEX(EF!$H$84:$H$99,MATCH('Net zero emission reductions'!$G1455,EF!$D$84:$D$99,0))*INDEX(EF!$H$100:$H$115,MATCH('Net zero emission reductions'!$G1455,EF!$D$100:$D$115,0))*INDEX(EF!$H$132:$H$147,MATCH('Net zero emission reductions'!$G1455,EF!$D$132:$D$147,0))*kgtoGg</f>
        <v>0.14904085170856263</v>
      </c>
      <c r="Y1455" s="22">
        <f>INDEX('Net zero Activity data'!AR$24:AR$39,MATCH('Net zero emission reductions'!$G1455,'Net zero Activity data'!$D$24:$D$39,0))*INDEX(EF!$H$84:$H$99,MATCH('Net zero emission reductions'!$G1455,EF!$D$84:$D$99,0))*INDEX(EF!$H$100:$H$115,MATCH('Net zero emission reductions'!$G1455,EF!$D$100:$D$115,0))*INDEX(EF!$H$132:$H$147,MATCH('Net zero emission reductions'!$G1455,EF!$D$132:$D$147,0))*kgtoGg</f>
        <v>0.14857480989987112</v>
      </c>
      <c r="Z1455" s="22">
        <f>INDEX('Net zero Activity data'!AS$24:AS$39,MATCH('Net zero emission reductions'!$G1455,'Net zero Activity data'!$D$24:$D$39,0))*INDEX(EF!$H$84:$H$99,MATCH('Net zero emission reductions'!$G1455,EF!$D$84:$D$99,0))*INDEX(EF!$H$100:$H$115,MATCH('Net zero emission reductions'!$G1455,EF!$D$100:$D$115,0))*INDEX(EF!$H$132:$H$147,MATCH('Net zero emission reductions'!$G1455,EF!$D$132:$D$147,0))*kgtoGg</f>
        <v>0.14810876809117951</v>
      </c>
      <c r="AA1455" s="22">
        <f>INDEX('Net zero Activity data'!AT$24:AT$39,MATCH('Net zero emission reductions'!$G1455,'Net zero Activity data'!$D$24:$D$39,0))*INDEX(EF!$H$84:$H$99,MATCH('Net zero emission reductions'!$G1455,EF!$D$84:$D$99,0))*INDEX(EF!$H$100:$H$115,MATCH('Net zero emission reductions'!$G1455,EF!$D$100:$D$115,0))*INDEX(EF!$H$132:$H$147,MATCH('Net zero emission reductions'!$G1455,EF!$D$132:$D$147,0))*kgtoGg</f>
        <v>0.1476427262824879</v>
      </c>
      <c r="AB1455" s="22">
        <f>INDEX('Net zero Activity data'!AU$24:AU$39,MATCH('Net zero emission reductions'!$G1455,'Net zero Activity data'!$D$24:$D$39,0))*INDEX(EF!$H$84:$H$99,MATCH('Net zero emission reductions'!$G1455,EF!$D$84:$D$99,0))*INDEX(EF!$H$100:$H$115,MATCH('Net zero emission reductions'!$G1455,EF!$D$100:$D$115,0))*INDEX(EF!$H$132:$H$147,MATCH('Net zero emission reductions'!$G1455,EF!$D$132:$D$147,0))*kgtoGg</f>
        <v>0.14717668447379634</v>
      </c>
      <c r="AC1455" s="22">
        <f>INDEX('Net zero Activity data'!AV$24:AV$39,MATCH('Net zero emission reductions'!$G1455,'Net zero Activity data'!$D$24:$D$39,0))*INDEX(EF!$H$84:$H$99,MATCH('Net zero emission reductions'!$G1455,EF!$D$84:$D$99,0))*INDEX(EF!$H$100:$H$115,MATCH('Net zero emission reductions'!$G1455,EF!$D$100:$D$115,0))*INDEX(EF!$H$132:$H$147,MATCH('Net zero emission reductions'!$G1455,EF!$D$132:$D$147,0))*kgtoGg</f>
        <v>0.14671064266510475</v>
      </c>
      <c r="AD1455" s="22">
        <f>INDEX('Net zero Activity data'!AW$24:AW$39,MATCH('Net zero emission reductions'!$G1455,'Net zero Activity data'!$D$24:$D$39,0))*INDEX(EF!$H$84:$H$99,MATCH('Net zero emission reductions'!$G1455,EF!$D$84:$D$99,0))*INDEX(EF!$H$100:$H$115,MATCH('Net zero emission reductions'!$G1455,EF!$D$100:$D$115,0))*INDEX(EF!$H$132:$H$147,MATCH('Net zero emission reductions'!$G1455,EF!$D$132:$D$147,0))*kgtoGg</f>
        <v>0.14624460085641319</v>
      </c>
      <c r="AE1455" s="22">
        <f>INDEX('Net zero Activity data'!AX$24:AX$39,MATCH('Net zero emission reductions'!$G1455,'Net zero Activity data'!$D$24:$D$39,0))*INDEX(EF!$H$84:$H$99,MATCH('Net zero emission reductions'!$G1455,EF!$D$84:$D$99,0))*INDEX(EF!$H$100:$H$115,MATCH('Net zero emission reductions'!$G1455,EF!$D$100:$D$115,0))*INDEX(EF!$H$132:$H$147,MATCH('Net zero emission reductions'!$G1455,EF!$D$132:$D$147,0))*kgtoGg</f>
        <v>0.14577855904772158</v>
      </c>
      <c r="AF1455" s="22">
        <f>INDEX('Net zero Activity data'!AY$24:AY$39,MATCH('Net zero emission reductions'!$G1455,'Net zero Activity data'!$D$24:$D$39,0))*INDEX(EF!$H$84:$H$99,MATCH('Net zero emission reductions'!$G1455,EF!$D$84:$D$99,0))*INDEX(EF!$H$100:$H$115,MATCH('Net zero emission reductions'!$G1455,EF!$D$100:$D$115,0))*INDEX(EF!$H$132:$H$147,MATCH('Net zero emission reductions'!$G1455,EF!$D$132:$D$147,0))*kgtoGg</f>
        <v>0.14531251723903005</v>
      </c>
      <c r="AG1455" s="22">
        <f>INDEX('Net zero Activity data'!AZ$24:AZ$39,MATCH('Net zero emission reductions'!$G1455,'Net zero Activity data'!$D$24:$D$39,0))*INDEX(EF!$H$84:$H$99,MATCH('Net zero emission reductions'!$G1455,EF!$D$84:$D$99,0))*INDEX(EF!$H$100:$H$115,MATCH('Net zero emission reductions'!$G1455,EF!$D$100:$D$115,0))*INDEX(EF!$H$132:$H$147,MATCH('Net zero emission reductions'!$G1455,EF!$D$132:$D$147,0))*kgtoGg</f>
        <v>0.14484647543033843</v>
      </c>
      <c r="AH1455" s="22">
        <f>INDEX('Net zero Activity data'!BA$24:BA$39,MATCH('Net zero emission reductions'!$G1455,'Net zero Activity data'!$D$24:$D$39,0))*INDEX(EF!$H$84:$H$99,MATCH('Net zero emission reductions'!$G1455,EF!$D$84:$D$99,0))*INDEX(EF!$H$100:$H$115,MATCH('Net zero emission reductions'!$G1455,EF!$D$100:$D$115,0))*INDEX(EF!$H$132:$H$147,MATCH('Net zero emission reductions'!$G1455,EF!$D$132:$D$147,0))*kgtoGg</f>
        <v>0.14438043362164685</v>
      </c>
      <c r="AI1455" s="22">
        <f>INDEX('Net zero Activity data'!BB$24:BB$39,MATCH('Net zero emission reductions'!$G1455,'Net zero Activity data'!$D$24:$D$39,0))*INDEX(EF!$H$84:$H$99,MATCH('Net zero emission reductions'!$G1455,EF!$D$84:$D$99,0))*INDEX(EF!$H$100:$H$115,MATCH('Net zero emission reductions'!$G1455,EF!$D$100:$D$115,0))*INDEX(EF!$H$132:$H$147,MATCH('Net zero emission reductions'!$G1455,EF!$D$132:$D$147,0))*kgtoGg</f>
        <v>0.14391439181295529</v>
      </c>
      <c r="AJ1455" s="22">
        <f>INDEX('Net zero Activity data'!BC$24:BC$39,MATCH('Net zero emission reductions'!$G1455,'Net zero Activity data'!$D$24:$D$39,0))*INDEX(EF!$H$84:$H$99,MATCH('Net zero emission reductions'!$G1455,EF!$D$84:$D$99,0))*INDEX(EF!$H$100:$H$115,MATCH('Net zero emission reductions'!$G1455,EF!$D$100:$D$115,0))*INDEX(EF!$H$132:$H$147,MATCH('Net zero emission reductions'!$G1455,EF!$D$132:$D$147,0))*kgtoGg</f>
        <v>0.1434483500042637</v>
      </c>
      <c r="AK1455" s="22">
        <f>INDEX('Net zero Activity data'!BD$24:BD$39,MATCH('Net zero emission reductions'!$G1455,'Net zero Activity data'!$D$24:$D$39,0))*INDEX(EF!$H$84:$H$99,MATCH('Net zero emission reductions'!$G1455,EF!$D$84:$D$99,0))*INDEX(EF!$H$100:$H$115,MATCH('Net zero emission reductions'!$G1455,EF!$D$100:$D$115,0))*INDEX(EF!$H$132:$H$147,MATCH('Net zero emission reductions'!$G1455,EF!$D$132:$D$147,0))*kgtoGg</f>
        <v>0.14298230819557212</v>
      </c>
      <c r="AL1455" s="22">
        <f>INDEX('Net zero Activity data'!BE$24:BE$39,MATCH('Net zero emission reductions'!$G1455,'Net zero Activity data'!$D$24:$D$39,0))*INDEX(EF!$H$84:$H$99,MATCH('Net zero emission reductions'!$G1455,EF!$D$84:$D$99,0))*INDEX(EF!$H$100:$H$115,MATCH('Net zero emission reductions'!$G1455,EF!$D$100:$D$115,0))*INDEX(EF!$H$132:$H$147,MATCH('Net zero emission reductions'!$G1455,EF!$D$132:$D$147,0))*kgtoGg</f>
        <v>0.14251626638688056</v>
      </c>
      <c r="AM1455" s="22">
        <f>INDEX('Net zero Activity data'!BF$24:BF$39,MATCH('Net zero emission reductions'!$G1455,'Net zero Activity data'!$D$24:$D$39,0))*INDEX(EF!$H$84:$H$99,MATCH('Net zero emission reductions'!$G1455,EF!$D$84:$D$99,0))*INDEX(EF!$H$100:$H$115,MATCH('Net zero emission reductions'!$G1455,EF!$D$100:$D$115,0))*INDEX(EF!$H$132:$H$147,MATCH('Net zero emission reductions'!$G1455,EF!$D$132:$D$147,0))*kgtoGg</f>
        <v>0.142050224578189</v>
      </c>
      <c r="AN1455" s="22">
        <f>INDEX('Net zero Activity data'!BG$24:BG$39,MATCH('Net zero emission reductions'!$G1455,'Net zero Activity data'!$D$24:$D$39,0))*INDEX(EF!$H$84:$H$99,MATCH('Net zero emission reductions'!$G1455,EF!$D$84:$D$99,0))*INDEX(EF!$H$100:$H$115,MATCH('Net zero emission reductions'!$G1455,EF!$D$100:$D$115,0))*INDEX(EF!$H$132:$H$147,MATCH('Net zero emission reductions'!$G1455,EF!$D$132:$D$147,0))*kgtoGg</f>
        <v>0.14158418276949739</v>
      </c>
      <c r="AO1455" s="22">
        <f>INDEX('Net zero Activity data'!BH$24:BH$39,MATCH('Net zero emission reductions'!$G1455,'Net zero Activity data'!$D$24:$D$39,0))*INDEX(EF!$H$84:$H$99,MATCH('Net zero emission reductions'!$G1455,EF!$D$84:$D$99,0))*INDEX(EF!$H$100:$H$115,MATCH('Net zero emission reductions'!$G1455,EF!$D$100:$D$115,0))*INDEX(EF!$H$132:$H$147,MATCH('Net zero emission reductions'!$G1455,EF!$D$132:$D$147,0))*kgtoGg</f>
        <v>0.14111814096080577</v>
      </c>
      <c r="AP1455" s="22">
        <f>INDEX('Net zero Activity data'!BI$24:BI$39,MATCH('Net zero emission reductions'!$G1455,'Net zero Activity data'!$D$24:$D$39,0))*INDEX(EF!$H$84:$H$99,MATCH('Net zero emission reductions'!$G1455,EF!$D$84:$D$99,0))*INDEX(EF!$H$100:$H$115,MATCH('Net zero emission reductions'!$G1455,EF!$D$100:$D$115,0))*INDEX(EF!$H$132:$H$147,MATCH('Net zero emission reductions'!$G1455,EF!$D$132:$D$147,0))*kgtoGg</f>
        <v>0.14065209915211424</v>
      </c>
      <c r="AQ1455" s="22">
        <f>INDEX('Net zero Activity data'!BJ$24:BJ$39,MATCH('Net zero emission reductions'!$G1455,'Net zero Activity data'!$D$24:$D$39,0))*INDEX(EF!$H$84:$H$99,MATCH('Net zero emission reductions'!$G1455,EF!$D$84:$D$99,0))*INDEX(EF!$H$100:$H$115,MATCH('Net zero emission reductions'!$G1455,EF!$D$100:$D$115,0))*INDEX(EF!$H$132:$H$147,MATCH('Net zero emission reductions'!$G1455,EF!$D$132:$D$147,0))*kgtoGg</f>
        <v>0.14018605734342263</v>
      </c>
      <c r="AR1455" s="22">
        <f>INDEX('Net zero Activity data'!BK$24:BK$39,MATCH('Net zero emission reductions'!$G1455,'Net zero Activity data'!$D$24:$D$39,0))*INDEX(EF!$H$84:$H$99,MATCH('Net zero emission reductions'!$G1455,EF!$D$84:$D$99,0))*INDEX(EF!$H$100:$H$115,MATCH('Net zero emission reductions'!$G1455,EF!$D$100:$D$115,0))*INDEX(EF!$H$132:$H$147,MATCH('Net zero emission reductions'!$G1455,EF!$D$132:$D$147,0))*kgtoGg</f>
        <v>0.13972001553473104</v>
      </c>
      <c r="AS1455" s="22">
        <f>INDEX('Net zero Activity data'!BL$24:BL$39,MATCH('Net zero emission reductions'!$G1455,'Net zero Activity data'!$D$24:$D$39,0))*INDEX(EF!$H$84:$H$99,MATCH('Net zero emission reductions'!$G1455,EF!$D$84:$D$99,0))*INDEX(EF!$H$100:$H$115,MATCH('Net zero emission reductions'!$G1455,EF!$D$100:$D$115,0))*INDEX(EF!$H$132:$H$147,MATCH('Net zero emission reductions'!$G1455,EF!$D$132:$D$147,0))*kgtoGg</f>
        <v>0.13925397372603948</v>
      </c>
      <c r="AT1455" s="22">
        <f>INDEX('Net zero Activity data'!BM$24:BM$39,MATCH('Net zero emission reductions'!$G1455,'Net zero Activity data'!$D$24:$D$39,0))*INDEX(EF!$H$84:$H$99,MATCH('Net zero emission reductions'!$G1455,EF!$D$84:$D$99,0))*INDEX(EF!$H$100:$H$115,MATCH('Net zero emission reductions'!$G1455,EF!$D$100:$D$115,0))*INDEX(EF!$H$132:$H$147,MATCH('Net zero emission reductions'!$G1455,EF!$D$132:$D$147,0))*kgtoGg</f>
        <v>0.13878793191734787</v>
      </c>
      <c r="AU1455" s="22">
        <f>INDEX('Net zero Activity data'!BN$24:BN$39,MATCH('Net zero emission reductions'!$G1455,'Net zero Activity data'!$D$24:$D$39,0))*INDEX(EF!$H$84:$H$99,MATCH('Net zero emission reductions'!$G1455,EF!$D$84:$D$99,0))*INDEX(EF!$H$100:$H$115,MATCH('Net zero emission reductions'!$G1455,EF!$D$100:$D$115,0))*INDEX(EF!$H$132:$H$147,MATCH('Net zero emission reductions'!$G1455,EF!$D$132:$D$147,0))*kgtoGg</f>
        <v>0.13832189010865634</v>
      </c>
      <c r="AV1455" s="22">
        <f>INDEX('Net zero Activity data'!BO$24:BO$39,MATCH('Net zero emission reductions'!$G1455,'Net zero Activity data'!$D$24:$D$39,0))*INDEX(EF!$H$84:$H$99,MATCH('Net zero emission reductions'!$G1455,EF!$D$84:$D$99,0))*INDEX(EF!$H$100:$H$115,MATCH('Net zero emission reductions'!$G1455,EF!$D$100:$D$115,0))*INDEX(EF!$H$132:$H$147,MATCH('Net zero emission reductions'!$G1455,EF!$D$132:$D$147,0))*kgtoGg</f>
        <v>0.13785584829996475</v>
      </c>
      <c r="AW1455" s="22">
        <f>INDEX('Net zero Activity data'!BP$24:BP$39,MATCH('Net zero emission reductions'!$G1455,'Net zero Activity data'!$D$24:$D$39,0))*INDEX(EF!$H$84:$H$99,MATCH('Net zero emission reductions'!$G1455,EF!$D$84:$D$99,0))*INDEX(EF!$H$100:$H$115,MATCH('Net zero emission reductions'!$G1455,EF!$D$100:$D$115,0))*INDEX(EF!$H$132:$H$147,MATCH('Net zero emission reductions'!$G1455,EF!$D$132:$D$147,0))*kgtoGg</f>
        <v>0.13738980649127319</v>
      </c>
    </row>
    <row r="1456" spans="1:49" x14ac:dyDescent="0.3">
      <c r="A1456" s="95" t="s">
        <v>960</v>
      </c>
      <c r="B1456" s="95"/>
      <c r="C1456" s="95"/>
      <c r="D1456" t="str">
        <f t="shared" si="560"/>
        <v>3C Aggregated and non-CO2 emissions on land</v>
      </c>
      <c r="E1456" t="str">
        <f t="shared" si="560"/>
        <v>3C1 Biomass burning (N2O)</v>
      </c>
      <c r="F1456" t="str">
        <f t="shared" si="559"/>
        <v>3C1c Biomass burning in Grasslands</v>
      </c>
      <c r="G1456" t="str">
        <f>EF!D111</f>
        <v>Degraded land</v>
      </c>
      <c r="H1456" t="s">
        <v>641</v>
      </c>
      <c r="I1456" t="str">
        <f t="shared" si="561"/>
        <v>N2O</v>
      </c>
      <c r="J1456" t="str">
        <f t="shared" si="561"/>
        <v>Gg N2O</v>
      </c>
      <c r="K1456" s="22">
        <f>INDEX('Net zero Activity data'!AD$24:AD$39,MATCH('Net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L1456" s="22">
        <f>INDEX('Net zero Activity data'!AE$24:AE$39,MATCH('Net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M1456" s="22">
        <f>INDEX('Net zero Activity data'!AF$24:AF$39,MATCH('Net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N1456" s="22">
        <f>INDEX('Net zero Activity data'!AG$24:AG$39,MATCH('Net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O1456" s="22">
        <f>INDEX('Net zero Activity data'!AH$24:AH$39,MATCH('Net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P1456" s="22">
        <f>INDEX('Net zero Activity data'!AI$24:AI$39,MATCH('Net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Q1456" s="22">
        <f>INDEX('Net zero Activity data'!AJ$24:AJ$39,MATCH('Net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R1456" s="22">
        <f>INDEX('Net zero Activity data'!AK$24:AK$39,MATCH('Net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S1456" s="22">
        <f>INDEX('Net zero Activity data'!AL$24:AL$39,MATCH('Net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T1456" s="22">
        <f>INDEX('Net zero Activity data'!AM$24:AM$39,MATCH('Net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U1456" s="22">
        <f>INDEX('Net zero Activity data'!AN$24:AN$39,MATCH('Net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V1456" s="22">
        <f>INDEX('Net zero Activity data'!AO$24:AO$39,MATCH('Net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W1456" s="22">
        <f>INDEX('Net zero Activity data'!AP$24:AP$39,MATCH('Net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X1456" s="22">
        <f>INDEX('Net zero Activity data'!AQ$24:AQ$39,MATCH('Net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Y1456" s="22">
        <f>INDEX('Net zero Activity data'!AR$24:AR$39,MATCH('Net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Z1456" s="22">
        <f>INDEX('Net zero Activity data'!AS$24:AS$39,MATCH('Net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A1456" s="22">
        <f>INDEX('Net zero Activity data'!AT$24:AT$39,MATCH('Net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B1456" s="22">
        <f>INDEX('Net zero Activity data'!AU$24:AU$39,MATCH('Net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C1456" s="22">
        <f>INDEX('Net zero Activity data'!AV$24:AV$39,MATCH('Net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D1456" s="22">
        <f>INDEX('Net zero Activity data'!AW$24:AW$39,MATCH('Net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E1456" s="22">
        <f>INDEX('Net zero Activity data'!AX$24:AX$39,MATCH('Net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F1456" s="22">
        <f>INDEX('Net zero Activity data'!AY$24:AY$39,MATCH('Net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G1456" s="22">
        <f>INDEX('Net zero Activity data'!AZ$24:AZ$39,MATCH('Net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H1456" s="22">
        <f>INDEX('Net zero Activity data'!BA$24:BA$39,MATCH('Net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I1456" s="22">
        <f>INDEX('Net zero Activity data'!BB$24:BB$39,MATCH('Net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J1456" s="22">
        <f>INDEX('Net zero Activity data'!BC$24:BC$39,MATCH('Net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K1456" s="22">
        <f>INDEX('Net zero Activity data'!BD$24:BD$39,MATCH('Net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L1456" s="22">
        <f>INDEX('Net zero Activity data'!BE$24:BE$39,MATCH('Net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M1456" s="22">
        <f>INDEX('Net zero Activity data'!BF$24:BF$39,MATCH('Net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N1456" s="22">
        <f>INDEX('Net zero Activity data'!BG$24:BG$39,MATCH('Net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O1456" s="22">
        <f>INDEX('Net zero Activity data'!BH$24:BH$39,MATCH('Net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P1456" s="22">
        <f>INDEX('Net zero Activity data'!BI$24:BI$39,MATCH('Net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Q1456" s="22">
        <f>INDEX('Net zero Activity data'!BJ$24:BJ$39,MATCH('Net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R1456" s="22">
        <f>INDEX('Net zero Activity data'!BK$24:BK$39,MATCH('Net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S1456" s="22">
        <f>INDEX('Net zero Activity data'!BL$24:BL$39,MATCH('Net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T1456" s="22">
        <f>INDEX('Net zero Activity data'!BM$24:BM$39,MATCH('Net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U1456" s="22">
        <f>INDEX('Net zero Activity data'!BN$24:BN$39,MATCH('Net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V1456" s="22">
        <f>INDEX('Net zero Activity data'!BO$24:BO$39,MATCH('Net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W1456" s="22">
        <f>INDEX('Net zero Activity data'!BP$24:BP$39,MATCH('Net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row>
    <row r="1457" spans="1:49" x14ac:dyDescent="0.3">
      <c r="A1457" s="95" t="s">
        <v>960</v>
      </c>
      <c r="B1457" s="95"/>
      <c r="C1457" s="95"/>
      <c r="D1457" t="str">
        <f t="shared" si="560"/>
        <v>3C Aggregated and non-CO2 emissions on land</v>
      </c>
      <c r="E1457" t="str">
        <f t="shared" si="560"/>
        <v>3C1 Biomass burning (N2O)</v>
      </c>
      <c r="F1457" t="str">
        <f t="shared" si="559"/>
        <v>3C1d Biomass burning in Wetlands</v>
      </c>
      <c r="G1457" t="str">
        <f>EF!D112</f>
        <v>Wetlands</v>
      </c>
      <c r="H1457" t="s">
        <v>652</v>
      </c>
      <c r="I1457" t="str">
        <f t="shared" si="561"/>
        <v>N2O</v>
      </c>
      <c r="J1457" t="str">
        <f t="shared" si="561"/>
        <v>Gg N2O</v>
      </c>
      <c r="K1457" s="22">
        <f>INDEX('Net zero Activity data'!AD$24:AD$39,MATCH('Net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L1457" s="22">
        <f>INDEX('Net zero Activity data'!AE$24:AE$39,MATCH('Net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M1457" s="22">
        <f>INDEX('Net zero Activity data'!AF$24:AF$39,MATCH('Net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N1457" s="22">
        <f>INDEX('Net zero Activity data'!AG$24:AG$39,MATCH('Net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O1457" s="22">
        <f>INDEX('Net zero Activity data'!AH$24:AH$39,MATCH('Net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P1457" s="22">
        <f>INDEX('Net zero Activity data'!AI$24:AI$39,MATCH('Net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Q1457" s="22">
        <f>INDEX('Net zero Activity data'!AJ$24:AJ$39,MATCH('Net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R1457" s="22">
        <f>INDEX('Net zero Activity data'!AK$24:AK$39,MATCH('Net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S1457" s="22">
        <f>INDEX('Net zero Activity data'!AL$24:AL$39,MATCH('Net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T1457" s="22">
        <f>INDEX('Net zero Activity data'!AM$24:AM$39,MATCH('Net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U1457" s="22">
        <f>INDEX('Net zero Activity data'!AN$24:AN$39,MATCH('Net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V1457" s="22">
        <f>INDEX('Net zero Activity data'!AO$24:AO$39,MATCH('Net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W1457" s="22">
        <f>INDEX('Net zero Activity data'!AP$24:AP$39,MATCH('Net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X1457" s="22">
        <f>INDEX('Net zero Activity data'!AQ$24:AQ$39,MATCH('Net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Y1457" s="22">
        <f>INDEX('Net zero Activity data'!AR$24:AR$39,MATCH('Net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Z1457" s="22">
        <f>INDEX('Net zero Activity data'!AS$24:AS$39,MATCH('Net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A1457" s="22">
        <f>INDEX('Net zero Activity data'!AT$24:AT$39,MATCH('Net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B1457" s="22">
        <f>INDEX('Net zero Activity data'!AU$24:AU$39,MATCH('Net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C1457" s="22">
        <f>INDEX('Net zero Activity data'!AV$24:AV$39,MATCH('Net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D1457" s="22">
        <f>INDEX('Net zero Activity data'!AW$24:AW$39,MATCH('Net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E1457" s="22">
        <f>INDEX('Net zero Activity data'!AX$24:AX$39,MATCH('Net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F1457" s="22">
        <f>INDEX('Net zero Activity data'!AY$24:AY$39,MATCH('Net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G1457" s="22">
        <f>INDEX('Net zero Activity data'!AZ$24:AZ$39,MATCH('Net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H1457" s="22">
        <f>INDEX('Net zero Activity data'!BA$24:BA$39,MATCH('Net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I1457" s="22">
        <f>INDEX('Net zero Activity data'!BB$24:BB$39,MATCH('Net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J1457" s="22">
        <f>INDEX('Net zero Activity data'!BC$24:BC$39,MATCH('Net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K1457" s="22">
        <f>INDEX('Net zero Activity data'!BD$24:BD$39,MATCH('Net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L1457" s="22">
        <f>INDEX('Net zero Activity data'!BE$24:BE$39,MATCH('Net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M1457" s="22">
        <f>INDEX('Net zero Activity data'!BF$24:BF$39,MATCH('Net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N1457" s="22">
        <f>INDEX('Net zero Activity data'!BG$24:BG$39,MATCH('Net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O1457" s="22">
        <f>INDEX('Net zero Activity data'!BH$24:BH$39,MATCH('Net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P1457" s="22">
        <f>INDEX('Net zero Activity data'!BI$24:BI$39,MATCH('Net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Q1457" s="22">
        <f>INDEX('Net zero Activity data'!BJ$24:BJ$39,MATCH('Net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R1457" s="22">
        <f>INDEX('Net zero Activity data'!BK$24:BK$39,MATCH('Net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S1457" s="22">
        <f>INDEX('Net zero Activity data'!BL$24:BL$39,MATCH('Net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T1457" s="22">
        <f>INDEX('Net zero Activity data'!BM$24:BM$39,MATCH('Net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U1457" s="22">
        <f>INDEX('Net zero Activity data'!BN$24:BN$39,MATCH('Net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V1457" s="22">
        <f>INDEX('Net zero Activity data'!BO$24:BO$39,MATCH('Net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W1457" s="22">
        <f>INDEX('Net zero Activity data'!BP$24:BP$39,MATCH('Net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row>
    <row r="1458" spans="1:49" x14ac:dyDescent="0.3">
      <c r="A1458" s="95" t="s">
        <v>960</v>
      </c>
      <c r="B1458" s="95"/>
      <c r="C1458" s="95"/>
      <c r="D1458" t="str">
        <f t="shared" si="560"/>
        <v>3C Aggregated and non-CO2 emissions on land</v>
      </c>
      <c r="E1458" t="str">
        <f t="shared" si="560"/>
        <v>3C1 Biomass burning (N2O)</v>
      </c>
      <c r="F1458" t="str">
        <f t="shared" si="559"/>
        <v>3C1e Biomass burning in Settlements</v>
      </c>
      <c r="G1458" t="str">
        <f>EF!D113</f>
        <v>Settlements</v>
      </c>
      <c r="H1458" t="s">
        <v>653</v>
      </c>
      <c r="I1458" t="str">
        <f t="shared" si="561"/>
        <v>N2O</v>
      </c>
      <c r="J1458" t="str">
        <f t="shared" si="561"/>
        <v>Gg N2O</v>
      </c>
      <c r="K1458" s="22">
        <f>INDEX('Net zero Activity data'!AD$24:AD$39,MATCH('Net zero emission reductions'!$G1458,'Net zero Activity data'!$D$24:$D$39,0))*INDEX(EF!$H$84:$H$99,MATCH('Net zero emission reductions'!$G1458,EF!$D$84:$D$99,0))*INDEX(EF!$H$100:$H$115,MATCH('Net zero emission reductions'!$G1458,EF!$D$100:$D$115,0))*INDEX(EF!$H$132:$H$147,MATCH('Net zero emission reductions'!$G1458,EF!$D$132:$D$147,0))*kgtoGg</f>
        <v>3.9235523819963862E-2</v>
      </c>
      <c r="L1458" s="22">
        <f>INDEX('Net zero Activity data'!AE$24:AE$39,MATCH('Net zero emission reductions'!$G1458,'Net zero Activity data'!$D$24:$D$39,0))*INDEX(EF!$H$84:$H$99,MATCH('Net zero emission reductions'!$G1458,EF!$D$84:$D$99,0))*INDEX(EF!$H$100:$H$115,MATCH('Net zero emission reductions'!$G1458,EF!$D$100:$D$115,0))*INDEX(EF!$H$132:$H$147,MATCH('Net zero emission reductions'!$G1458,EF!$D$132:$D$147,0))*kgtoGg</f>
        <v>3.9318445103539788E-2</v>
      </c>
      <c r="M1458" s="22">
        <f>INDEX('Net zero Activity data'!AF$24:AF$39,MATCH('Net zero emission reductions'!$G1458,'Net zero Activity data'!$D$24:$D$39,0))*INDEX(EF!$H$84:$H$99,MATCH('Net zero emission reductions'!$G1458,EF!$D$84:$D$99,0))*INDEX(EF!$H$100:$H$115,MATCH('Net zero emission reductions'!$G1458,EF!$D$100:$D$115,0))*INDEX(EF!$H$132:$H$147,MATCH('Net zero emission reductions'!$G1458,EF!$D$132:$D$147,0))*kgtoGg</f>
        <v>3.9401366387115715E-2</v>
      </c>
      <c r="N1458" s="22">
        <f>INDEX('Net zero Activity data'!AG$24:AG$39,MATCH('Net zero emission reductions'!$G1458,'Net zero Activity data'!$D$24:$D$39,0))*INDEX(EF!$H$84:$H$99,MATCH('Net zero emission reductions'!$G1458,EF!$D$84:$D$99,0))*INDEX(EF!$H$100:$H$115,MATCH('Net zero emission reductions'!$G1458,EF!$D$100:$D$115,0))*INDEX(EF!$H$132:$H$147,MATCH('Net zero emission reductions'!$G1458,EF!$D$132:$D$147,0))*kgtoGg</f>
        <v>3.9484287670691648E-2</v>
      </c>
      <c r="O1458" s="22">
        <f>INDEX('Net zero Activity data'!AH$24:AH$39,MATCH('Net zero emission reductions'!$G1458,'Net zero Activity data'!$D$24:$D$39,0))*INDEX(EF!$H$84:$H$99,MATCH('Net zero emission reductions'!$G1458,EF!$D$84:$D$99,0))*INDEX(EF!$H$100:$H$115,MATCH('Net zero emission reductions'!$G1458,EF!$D$100:$D$115,0))*INDEX(EF!$H$132:$H$147,MATCH('Net zero emission reductions'!$G1458,EF!$D$132:$D$147,0))*kgtoGg</f>
        <v>3.9567208954267574E-2</v>
      </c>
      <c r="P1458" s="22">
        <f>INDEX('Net zero Activity data'!AI$24:AI$39,MATCH('Net zero emission reductions'!$G1458,'Net zero Activity data'!$D$24:$D$39,0))*INDEX(EF!$H$84:$H$99,MATCH('Net zero emission reductions'!$G1458,EF!$D$84:$D$99,0))*INDEX(EF!$H$100:$H$115,MATCH('Net zero emission reductions'!$G1458,EF!$D$100:$D$115,0))*INDEX(EF!$H$132:$H$147,MATCH('Net zero emission reductions'!$G1458,EF!$D$132:$D$147,0))*kgtoGg</f>
        <v>3.9650130237843507E-2</v>
      </c>
      <c r="Q1458" s="22">
        <f>INDEX('Net zero Activity data'!AJ$24:AJ$39,MATCH('Net zero emission reductions'!$G1458,'Net zero Activity data'!$D$24:$D$39,0))*INDEX(EF!$H$84:$H$99,MATCH('Net zero emission reductions'!$G1458,EF!$D$84:$D$99,0))*INDEX(EF!$H$100:$H$115,MATCH('Net zero emission reductions'!$G1458,EF!$D$100:$D$115,0))*INDEX(EF!$H$132:$H$147,MATCH('Net zero emission reductions'!$G1458,EF!$D$132:$D$147,0))*kgtoGg</f>
        <v>3.9733051521419427E-2</v>
      </c>
      <c r="R1458" s="22">
        <f>INDEX('Net zero Activity data'!AK$24:AK$39,MATCH('Net zero emission reductions'!$G1458,'Net zero Activity data'!$D$24:$D$39,0))*INDEX(EF!$H$84:$H$99,MATCH('Net zero emission reductions'!$G1458,EF!$D$84:$D$99,0))*INDEX(EF!$H$100:$H$115,MATCH('Net zero emission reductions'!$G1458,EF!$D$100:$D$115,0))*INDEX(EF!$H$132:$H$147,MATCH('Net zero emission reductions'!$G1458,EF!$D$132:$D$147,0))*kgtoGg</f>
        <v>3.981597280499536E-2</v>
      </c>
      <c r="S1458" s="22">
        <f>INDEX('Net zero Activity data'!AL$24:AL$39,MATCH('Net zero emission reductions'!$G1458,'Net zero Activity data'!$D$24:$D$39,0))*INDEX(EF!$H$84:$H$99,MATCH('Net zero emission reductions'!$G1458,EF!$D$84:$D$99,0))*INDEX(EF!$H$100:$H$115,MATCH('Net zero emission reductions'!$G1458,EF!$D$100:$D$115,0))*INDEX(EF!$H$132:$H$147,MATCH('Net zero emission reductions'!$G1458,EF!$D$132:$D$147,0))*kgtoGg</f>
        <v>3.9898894088571286E-2</v>
      </c>
      <c r="T1458" s="22">
        <f>INDEX('Net zero Activity data'!AM$24:AM$39,MATCH('Net zero emission reductions'!$G1458,'Net zero Activity data'!$D$24:$D$39,0))*INDEX(EF!$H$84:$H$99,MATCH('Net zero emission reductions'!$G1458,EF!$D$84:$D$99,0))*INDEX(EF!$H$100:$H$115,MATCH('Net zero emission reductions'!$G1458,EF!$D$100:$D$115,0))*INDEX(EF!$H$132:$H$147,MATCH('Net zero emission reductions'!$G1458,EF!$D$132:$D$147,0))*kgtoGg</f>
        <v>3.9981815372147227E-2</v>
      </c>
      <c r="U1458" s="22">
        <f>INDEX('Net zero Activity data'!AN$24:AN$39,MATCH('Net zero emission reductions'!$G1458,'Net zero Activity data'!$D$24:$D$39,0))*INDEX(EF!$H$84:$H$99,MATCH('Net zero emission reductions'!$G1458,EF!$D$84:$D$99,0))*INDEX(EF!$H$100:$H$115,MATCH('Net zero emission reductions'!$G1458,EF!$D$100:$D$115,0))*INDEX(EF!$H$132:$H$147,MATCH('Net zero emission reductions'!$G1458,EF!$D$132:$D$147,0))*kgtoGg</f>
        <v>4.0064736655723153E-2</v>
      </c>
      <c r="V1458" s="22">
        <f>INDEX('Net zero Activity data'!AO$24:AO$39,MATCH('Net zero emission reductions'!$G1458,'Net zero Activity data'!$D$24:$D$39,0))*INDEX(EF!$H$84:$H$99,MATCH('Net zero emission reductions'!$G1458,EF!$D$84:$D$99,0))*INDEX(EF!$H$100:$H$115,MATCH('Net zero emission reductions'!$G1458,EF!$D$100:$D$115,0))*INDEX(EF!$H$132:$H$147,MATCH('Net zero emission reductions'!$G1458,EF!$D$132:$D$147,0))*kgtoGg</f>
        <v>4.0147657939299079E-2</v>
      </c>
      <c r="W1458" s="22">
        <f>INDEX('Net zero Activity data'!AP$24:AP$39,MATCH('Net zero emission reductions'!$G1458,'Net zero Activity data'!$D$24:$D$39,0))*INDEX(EF!$H$84:$H$99,MATCH('Net zero emission reductions'!$G1458,EF!$D$84:$D$99,0))*INDEX(EF!$H$100:$H$115,MATCH('Net zero emission reductions'!$G1458,EF!$D$100:$D$115,0))*INDEX(EF!$H$132:$H$147,MATCH('Net zero emission reductions'!$G1458,EF!$D$132:$D$147,0))*kgtoGg</f>
        <v>4.0230579222875013E-2</v>
      </c>
      <c r="X1458" s="22">
        <f>INDEX('Net zero Activity data'!AQ$24:AQ$39,MATCH('Net zero emission reductions'!$G1458,'Net zero Activity data'!$D$24:$D$39,0))*INDEX(EF!$H$84:$H$99,MATCH('Net zero emission reductions'!$G1458,EF!$D$84:$D$99,0))*INDEX(EF!$H$100:$H$115,MATCH('Net zero emission reductions'!$G1458,EF!$D$100:$D$115,0))*INDEX(EF!$H$132:$H$147,MATCH('Net zero emission reductions'!$G1458,EF!$D$132:$D$147,0))*kgtoGg</f>
        <v>4.0313500506450946E-2</v>
      </c>
      <c r="Y1458" s="22">
        <f>INDEX('Net zero Activity data'!AR$24:AR$39,MATCH('Net zero emission reductions'!$G1458,'Net zero Activity data'!$D$24:$D$39,0))*INDEX(EF!$H$84:$H$99,MATCH('Net zero emission reductions'!$G1458,EF!$D$84:$D$99,0))*INDEX(EF!$H$100:$H$115,MATCH('Net zero emission reductions'!$G1458,EF!$D$100:$D$115,0))*INDEX(EF!$H$132:$H$147,MATCH('Net zero emission reductions'!$G1458,EF!$D$132:$D$147,0))*kgtoGg</f>
        <v>4.0396421790026865E-2</v>
      </c>
      <c r="Z1458" s="22">
        <f>INDEX('Net zero Activity data'!AS$24:AS$39,MATCH('Net zero emission reductions'!$G1458,'Net zero Activity data'!$D$24:$D$39,0))*INDEX(EF!$H$84:$H$99,MATCH('Net zero emission reductions'!$G1458,EF!$D$84:$D$99,0))*INDEX(EF!$H$100:$H$115,MATCH('Net zero emission reductions'!$G1458,EF!$D$100:$D$115,0))*INDEX(EF!$H$132:$H$147,MATCH('Net zero emission reductions'!$G1458,EF!$D$132:$D$147,0))*kgtoGg</f>
        <v>4.0479343073602798E-2</v>
      </c>
      <c r="AA1458" s="22">
        <f>INDEX('Net zero Activity data'!AT$24:AT$39,MATCH('Net zero emission reductions'!$G1458,'Net zero Activity data'!$D$24:$D$39,0))*INDEX(EF!$H$84:$H$99,MATCH('Net zero emission reductions'!$G1458,EF!$D$84:$D$99,0))*INDEX(EF!$H$100:$H$115,MATCH('Net zero emission reductions'!$G1458,EF!$D$100:$D$115,0))*INDEX(EF!$H$132:$H$147,MATCH('Net zero emission reductions'!$G1458,EF!$D$132:$D$147,0))*kgtoGg</f>
        <v>4.0562264357178725E-2</v>
      </c>
      <c r="AB1458" s="22">
        <f>INDEX('Net zero Activity data'!AU$24:AU$39,MATCH('Net zero emission reductions'!$G1458,'Net zero Activity data'!$D$24:$D$39,0))*INDEX(EF!$H$84:$H$99,MATCH('Net zero emission reductions'!$G1458,EF!$D$84:$D$99,0))*INDEX(EF!$H$100:$H$115,MATCH('Net zero emission reductions'!$G1458,EF!$D$100:$D$115,0))*INDEX(EF!$H$132:$H$147,MATCH('Net zero emission reductions'!$G1458,EF!$D$132:$D$147,0))*kgtoGg</f>
        <v>4.0645185640754658E-2</v>
      </c>
      <c r="AC1458" s="22">
        <f>INDEX('Net zero Activity data'!AV$24:AV$39,MATCH('Net zero emission reductions'!$G1458,'Net zero Activity data'!$D$24:$D$39,0))*INDEX(EF!$H$84:$H$99,MATCH('Net zero emission reductions'!$G1458,EF!$D$84:$D$99,0))*INDEX(EF!$H$100:$H$115,MATCH('Net zero emission reductions'!$G1458,EF!$D$100:$D$115,0))*INDEX(EF!$H$132:$H$147,MATCH('Net zero emission reductions'!$G1458,EF!$D$132:$D$147,0))*kgtoGg</f>
        <v>4.0728106924330584E-2</v>
      </c>
      <c r="AD1458" s="22">
        <f>INDEX('Net zero Activity data'!AW$24:AW$39,MATCH('Net zero emission reductions'!$G1458,'Net zero Activity data'!$D$24:$D$39,0))*INDEX(EF!$H$84:$H$99,MATCH('Net zero emission reductions'!$G1458,EF!$D$84:$D$99,0))*INDEX(EF!$H$100:$H$115,MATCH('Net zero emission reductions'!$G1458,EF!$D$100:$D$115,0))*INDEX(EF!$H$132:$H$147,MATCH('Net zero emission reductions'!$G1458,EF!$D$132:$D$147,0))*kgtoGg</f>
        <v>4.0811028207906511E-2</v>
      </c>
      <c r="AE1458" s="22">
        <f>INDEX('Net zero Activity data'!AX$24:AX$39,MATCH('Net zero emission reductions'!$G1458,'Net zero Activity data'!$D$24:$D$39,0))*INDEX(EF!$H$84:$H$99,MATCH('Net zero emission reductions'!$G1458,EF!$D$84:$D$99,0))*INDEX(EF!$H$100:$H$115,MATCH('Net zero emission reductions'!$G1458,EF!$D$100:$D$115,0))*INDEX(EF!$H$132:$H$147,MATCH('Net zero emission reductions'!$G1458,EF!$D$132:$D$147,0))*kgtoGg</f>
        <v>4.0893949491482444E-2</v>
      </c>
      <c r="AF1458" s="22">
        <f>INDEX('Net zero Activity data'!AY$24:AY$39,MATCH('Net zero emission reductions'!$G1458,'Net zero Activity data'!$D$24:$D$39,0))*INDEX(EF!$H$84:$H$99,MATCH('Net zero emission reductions'!$G1458,EF!$D$84:$D$99,0))*INDEX(EF!$H$100:$H$115,MATCH('Net zero emission reductions'!$G1458,EF!$D$100:$D$115,0))*INDEX(EF!$H$132:$H$147,MATCH('Net zero emission reductions'!$G1458,EF!$D$132:$D$147,0))*kgtoGg</f>
        <v>4.097687077505837E-2</v>
      </c>
      <c r="AG1458" s="22">
        <f>INDEX('Net zero Activity data'!AZ$24:AZ$39,MATCH('Net zero emission reductions'!$G1458,'Net zero Activity data'!$D$24:$D$39,0))*INDEX(EF!$H$84:$H$99,MATCH('Net zero emission reductions'!$G1458,EF!$D$84:$D$99,0))*INDEX(EF!$H$100:$H$115,MATCH('Net zero emission reductions'!$G1458,EF!$D$100:$D$115,0))*INDEX(EF!$H$132:$H$147,MATCH('Net zero emission reductions'!$G1458,EF!$D$132:$D$147,0))*kgtoGg</f>
        <v>4.1059792058634303E-2</v>
      </c>
      <c r="AH1458" s="22">
        <f>INDEX('Net zero Activity data'!BA$24:BA$39,MATCH('Net zero emission reductions'!$G1458,'Net zero Activity data'!$D$24:$D$39,0))*INDEX(EF!$H$84:$H$99,MATCH('Net zero emission reductions'!$G1458,EF!$D$84:$D$99,0))*INDEX(EF!$H$100:$H$115,MATCH('Net zero emission reductions'!$G1458,EF!$D$100:$D$115,0))*INDEX(EF!$H$132:$H$147,MATCH('Net zero emission reductions'!$G1458,EF!$D$132:$D$147,0))*kgtoGg</f>
        <v>4.114271334221023E-2</v>
      </c>
      <c r="AI1458" s="22">
        <f>INDEX('Net zero Activity data'!BB$24:BB$39,MATCH('Net zero emission reductions'!$G1458,'Net zero Activity data'!$D$24:$D$39,0))*INDEX(EF!$H$84:$H$99,MATCH('Net zero emission reductions'!$G1458,EF!$D$84:$D$99,0))*INDEX(EF!$H$100:$H$115,MATCH('Net zero emission reductions'!$G1458,EF!$D$100:$D$115,0))*INDEX(EF!$H$132:$H$147,MATCH('Net zero emission reductions'!$G1458,EF!$D$132:$D$147,0))*kgtoGg</f>
        <v>4.1225634625786156E-2</v>
      </c>
      <c r="AJ1458" s="22">
        <f>INDEX('Net zero Activity data'!BC$24:BC$39,MATCH('Net zero emission reductions'!$G1458,'Net zero Activity data'!$D$24:$D$39,0))*INDEX(EF!$H$84:$H$99,MATCH('Net zero emission reductions'!$G1458,EF!$D$84:$D$99,0))*INDEX(EF!$H$100:$H$115,MATCH('Net zero emission reductions'!$G1458,EF!$D$100:$D$115,0))*INDEX(EF!$H$132:$H$147,MATCH('Net zero emission reductions'!$G1458,EF!$D$132:$D$147,0))*kgtoGg</f>
        <v>4.1308555909362089E-2</v>
      </c>
      <c r="AK1458" s="22">
        <f>INDEX('Net zero Activity data'!BD$24:BD$39,MATCH('Net zero emission reductions'!$G1458,'Net zero Activity data'!$D$24:$D$39,0))*INDEX(EF!$H$84:$H$99,MATCH('Net zero emission reductions'!$G1458,EF!$D$84:$D$99,0))*INDEX(EF!$H$100:$H$115,MATCH('Net zero emission reductions'!$G1458,EF!$D$100:$D$115,0))*INDEX(EF!$H$132:$H$147,MATCH('Net zero emission reductions'!$G1458,EF!$D$132:$D$147,0))*kgtoGg</f>
        <v>4.1391477192938023E-2</v>
      </c>
      <c r="AL1458" s="22">
        <f>INDEX('Net zero Activity data'!BE$24:BE$39,MATCH('Net zero emission reductions'!$G1458,'Net zero Activity data'!$D$24:$D$39,0))*INDEX(EF!$H$84:$H$99,MATCH('Net zero emission reductions'!$G1458,EF!$D$84:$D$99,0))*INDEX(EF!$H$100:$H$115,MATCH('Net zero emission reductions'!$G1458,EF!$D$100:$D$115,0))*INDEX(EF!$H$132:$H$147,MATCH('Net zero emission reductions'!$G1458,EF!$D$132:$D$147,0))*kgtoGg</f>
        <v>4.1474398476513949E-2</v>
      </c>
      <c r="AM1458" s="22">
        <f>INDEX('Net zero Activity data'!BF$24:BF$39,MATCH('Net zero emission reductions'!$G1458,'Net zero Activity data'!$D$24:$D$39,0))*INDEX(EF!$H$84:$H$99,MATCH('Net zero emission reductions'!$G1458,EF!$D$84:$D$99,0))*INDEX(EF!$H$100:$H$115,MATCH('Net zero emission reductions'!$G1458,EF!$D$100:$D$115,0))*INDEX(EF!$H$132:$H$147,MATCH('Net zero emission reductions'!$G1458,EF!$D$132:$D$147,0))*kgtoGg</f>
        <v>4.1557319760089875E-2</v>
      </c>
      <c r="AN1458" s="22">
        <f>INDEX('Net zero Activity data'!BG$24:BG$39,MATCH('Net zero emission reductions'!$G1458,'Net zero Activity data'!$D$24:$D$39,0))*INDEX(EF!$H$84:$H$99,MATCH('Net zero emission reductions'!$G1458,EF!$D$84:$D$99,0))*INDEX(EF!$H$100:$H$115,MATCH('Net zero emission reductions'!$G1458,EF!$D$100:$D$115,0))*INDEX(EF!$H$132:$H$147,MATCH('Net zero emission reductions'!$G1458,EF!$D$132:$D$147,0))*kgtoGg</f>
        <v>4.1640241043665809E-2</v>
      </c>
      <c r="AO1458" s="22">
        <f>INDEX('Net zero Activity data'!BH$24:BH$39,MATCH('Net zero emission reductions'!$G1458,'Net zero Activity data'!$D$24:$D$39,0))*INDEX(EF!$H$84:$H$99,MATCH('Net zero emission reductions'!$G1458,EF!$D$84:$D$99,0))*INDEX(EF!$H$100:$H$115,MATCH('Net zero emission reductions'!$G1458,EF!$D$100:$D$115,0))*INDEX(EF!$H$132:$H$147,MATCH('Net zero emission reductions'!$G1458,EF!$D$132:$D$147,0))*kgtoGg</f>
        <v>4.1723162327241742E-2</v>
      </c>
      <c r="AP1458" s="22">
        <f>INDEX('Net zero Activity data'!BI$24:BI$39,MATCH('Net zero emission reductions'!$G1458,'Net zero Activity data'!$D$24:$D$39,0))*INDEX(EF!$H$84:$H$99,MATCH('Net zero emission reductions'!$G1458,EF!$D$84:$D$99,0))*INDEX(EF!$H$100:$H$115,MATCH('Net zero emission reductions'!$G1458,EF!$D$100:$D$115,0))*INDEX(EF!$H$132:$H$147,MATCH('Net zero emission reductions'!$G1458,EF!$D$132:$D$147,0))*kgtoGg</f>
        <v>4.1806083610817661E-2</v>
      </c>
      <c r="AQ1458" s="22">
        <f>INDEX('Net zero Activity data'!BJ$24:BJ$39,MATCH('Net zero emission reductions'!$G1458,'Net zero Activity data'!$D$24:$D$39,0))*INDEX(EF!$H$84:$H$99,MATCH('Net zero emission reductions'!$G1458,EF!$D$84:$D$99,0))*INDEX(EF!$H$100:$H$115,MATCH('Net zero emission reductions'!$G1458,EF!$D$100:$D$115,0))*INDEX(EF!$H$132:$H$147,MATCH('Net zero emission reductions'!$G1458,EF!$D$132:$D$147,0))*kgtoGg</f>
        <v>4.1889004894393594E-2</v>
      </c>
      <c r="AR1458" s="22">
        <f>INDEX('Net zero Activity data'!BK$24:BK$39,MATCH('Net zero emission reductions'!$G1458,'Net zero Activity data'!$D$24:$D$39,0))*INDEX(EF!$H$84:$H$99,MATCH('Net zero emission reductions'!$G1458,EF!$D$84:$D$99,0))*INDEX(EF!$H$100:$H$115,MATCH('Net zero emission reductions'!$G1458,EF!$D$100:$D$115,0))*INDEX(EF!$H$132:$H$147,MATCH('Net zero emission reductions'!$G1458,EF!$D$132:$D$147,0))*kgtoGg</f>
        <v>4.1971926177969528E-2</v>
      </c>
      <c r="AS1458" s="22">
        <f>INDEX('Net zero Activity data'!BL$24:BL$39,MATCH('Net zero emission reductions'!$G1458,'Net zero Activity data'!$D$24:$D$39,0))*INDEX(EF!$H$84:$H$99,MATCH('Net zero emission reductions'!$G1458,EF!$D$84:$D$99,0))*INDEX(EF!$H$100:$H$115,MATCH('Net zero emission reductions'!$G1458,EF!$D$100:$D$115,0))*INDEX(EF!$H$132:$H$147,MATCH('Net zero emission reductions'!$G1458,EF!$D$132:$D$147,0))*kgtoGg</f>
        <v>4.2054847461545454E-2</v>
      </c>
      <c r="AT1458" s="22">
        <f>INDEX('Net zero Activity data'!BM$24:BM$39,MATCH('Net zero emission reductions'!$G1458,'Net zero Activity data'!$D$24:$D$39,0))*INDEX(EF!$H$84:$H$99,MATCH('Net zero emission reductions'!$G1458,EF!$D$84:$D$99,0))*INDEX(EF!$H$100:$H$115,MATCH('Net zero emission reductions'!$G1458,EF!$D$100:$D$115,0))*INDEX(EF!$H$132:$H$147,MATCH('Net zero emission reductions'!$G1458,EF!$D$132:$D$147,0))*kgtoGg</f>
        <v>4.2137768745121387E-2</v>
      </c>
      <c r="AU1458" s="22">
        <f>INDEX('Net zero Activity data'!BN$24:BN$39,MATCH('Net zero emission reductions'!$G1458,'Net zero Activity data'!$D$24:$D$39,0))*INDEX(EF!$H$84:$H$99,MATCH('Net zero emission reductions'!$G1458,EF!$D$84:$D$99,0))*INDEX(EF!$H$100:$H$115,MATCH('Net zero emission reductions'!$G1458,EF!$D$100:$D$115,0))*INDEX(EF!$H$132:$H$147,MATCH('Net zero emission reductions'!$G1458,EF!$D$132:$D$147,0))*kgtoGg</f>
        <v>4.2220690028697307E-2</v>
      </c>
      <c r="AV1458" s="22">
        <f>INDEX('Net zero Activity data'!BO$24:BO$39,MATCH('Net zero emission reductions'!$G1458,'Net zero Activity data'!$D$24:$D$39,0))*INDEX(EF!$H$84:$H$99,MATCH('Net zero emission reductions'!$G1458,EF!$D$84:$D$99,0))*INDEX(EF!$H$100:$H$115,MATCH('Net zero emission reductions'!$G1458,EF!$D$100:$D$115,0))*INDEX(EF!$H$132:$H$147,MATCH('Net zero emission reductions'!$G1458,EF!$D$132:$D$147,0))*kgtoGg</f>
        <v>4.230361131227324E-2</v>
      </c>
      <c r="AW1458" s="22">
        <f>INDEX('Net zero Activity data'!BP$24:BP$39,MATCH('Net zero emission reductions'!$G1458,'Net zero Activity data'!$D$24:$D$39,0))*INDEX(EF!$H$84:$H$99,MATCH('Net zero emission reductions'!$G1458,EF!$D$84:$D$99,0))*INDEX(EF!$H$100:$H$115,MATCH('Net zero emission reductions'!$G1458,EF!$D$100:$D$115,0))*INDEX(EF!$H$132:$H$147,MATCH('Net zero emission reductions'!$G1458,EF!$D$132:$D$147,0))*kgtoGg</f>
        <v>4.2386532595849173E-2</v>
      </c>
    </row>
    <row r="1459" spans="1:49" x14ac:dyDescent="0.3">
      <c r="A1459" s="95" t="s">
        <v>960</v>
      </c>
      <c r="B1459" s="95"/>
      <c r="C1459" s="95"/>
      <c r="D1459" t="str">
        <f t="shared" si="560"/>
        <v>3C Aggregated and non-CO2 emissions on land</v>
      </c>
      <c r="E1459" t="str">
        <f t="shared" si="560"/>
        <v>3C1 Biomass burning (N2O)</v>
      </c>
      <c r="F1459" t="str">
        <f t="shared" si="559"/>
        <v>3C1e Biomass burning in Settlements</v>
      </c>
      <c r="G1459" t="str">
        <f>EF!D114</f>
        <v>Mines</v>
      </c>
      <c r="H1459" t="s">
        <v>654</v>
      </c>
      <c r="I1459" t="str">
        <f t="shared" si="561"/>
        <v>N2O</v>
      </c>
      <c r="J1459" t="str">
        <f t="shared" si="561"/>
        <v>Gg N2O</v>
      </c>
      <c r="K1459" s="22">
        <f>INDEX('Net zero Activity data'!AD$24:AD$39,MATCH('Net zero emission reductions'!$G1459,'Net zero Activity data'!$D$24:$D$39,0))*INDEX(EF!$H$84:$H$99,MATCH('Net zero emission reductions'!$G1459,EF!$D$84:$D$99,0))*INDEX(EF!$H$100:$H$115,MATCH('Net zero emission reductions'!$G1459,EF!$D$100:$D$115,0))*INDEX(EF!$H$132:$H$147,MATCH('Net zero emission reductions'!$G1459,EF!$D$132:$D$147,0))*kgtoGg</f>
        <v>0</v>
      </c>
      <c r="L1459" s="22">
        <f>INDEX('Net zero Activity data'!AE$24:AE$39,MATCH('Net zero emission reductions'!$G1459,'Net zero Activity data'!$D$24:$D$39,0))*INDEX(EF!$H$84:$H$99,MATCH('Net zero emission reductions'!$G1459,EF!$D$84:$D$99,0))*INDEX(EF!$H$100:$H$115,MATCH('Net zero emission reductions'!$G1459,EF!$D$100:$D$115,0))*INDEX(EF!$H$132:$H$147,MATCH('Net zero emission reductions'!$G1459,EF!$D$132:$D$147,0))*kgtoGg</f>
        <v>0</v>
      </c>
      <c r="M1459" s="22">
        <f>INDEX('Net zero Activity data'!AF$24:AF$39,MATCH('Net zero emission reductions'!$G1459,'Net zero Activity data'!$D$24:$D$39,0))*INDEX(EF!$H$84:$H$99,MATCH('Net zero emission reductions'!$G1459,EF!$D$84:$D$99,0))*INDEX(EF!$H$100:$H$115,MATCH('Net zero emission reductions'!$G1459,EF!$D$100:$D$115,0))*INDEX(EF!$H$132:$H$147,MATCH('Net zero emission reductions'!$G1459,EF!$D$132:$D$147,0))*kgtoGg</f>
        <v>0</v>
      </c>
      <c r="N1459" s="22">
        <f>INDEX('Net zero Activity data'!AG$24:AG$39,MATCH('Net zero emission reductions'!$G1459,'Net zero Activity data'!$D$24:$D$39,0))*INDEX(EF!$H$84:$H$99,MATCH('Net zero emission reductions'!$G1459,EF!$D$84:$D$99,0))*INDEX(EF!$H$100:$H$115,MATCH('Net zero emission reductions'!$G1459,EF!$D$100:$D$115,0))*INDEX(EF!$H$132:$H$147,MATCH('Net zero emission reductions'!$G1459,EF!$D$132:$D$147,0))*kgtoGg</f>
        <v>0</v>
      </c>
      <c r="O1459" s="22">
        <f>INDEX('Net zero Activity data'!AH$24:AH$39,MATCH('Net zero emission reductions'!$G1459,'Net zero Activity data'!$D$24:$D$39,0))*INDEX(EF!$H$84:$H$99,MATCH('Net zero emission reductions'!$G1459,EF!$D$84:$D$99,0))*INDEX(EF!$H$100:$H$115,MATCH('Net zero emission reductions'!$G1459,EF!$D$100:$D$115,0))*INDEX(EF!$H$132:$H$147,MATCH('Net zero emission reductions'!$G1459,EF!$D$132:$D$147,0))*kgtoGg</f>
        <v>0</v>
      </c>
      <c r="P1459" s="22">
        <f>INDEX('Net zero Activity data'!AI$24:AI$39,MATCH('Net zero emission reductions'!$G1459,'Net zero Activity data'!$D$24:$D$39,0))*INDEX(EF!$H$84:$H$99,MATCH('Net zero emission reductions'!$G1459,EF!$D$84:$D$99,0))*INDEX(EF!$H$100:$H$115,MATCH('Net zero emission reductions'!$G1459,EF!$D$100:$D$115,0))*INDEX(EF!$H$132:$H$147,MATCH('Net zero emission reductions'!$G1459,EF!$D$132:$D$147,0))*kgtoGg</f>
        <v>0</v>
      </c>
      <c r="Q1459" s="22">
        <f>INDEX('Net zero Activity data'!AJ$24:AJ$39,MATCH('Net zero emission reductions'!$G1459,'Net zero Activity data'!$D$24:$D$39,0))*INDEX(EF!$H$84:$H$99,MATCH('Net zero emission reductions'!$G1459,EF!$D$84:$D$99,0))*INDEX(EF!$H$100:$H$115,MATCH('Net zero emission reductions'!$G1459,EF!$D$100:$D$115,0))*INDEX(EF!$H$132:$H$147,MATCH('Net zero emission reductions'!$G1459,EF!$D$132:$D$147,0))*kgtoGg</f>
        <v>0</v>
      </c>
      <c r="R1459" s="22">
        <f>INDEX('Net zero Activity data'!AK$24:AK$39,MATCH('Net zero emission reductions'!$G1459,'Net zero Activity data'!$D$24:$D$39,0))*INDEX(EF!$H$84:$H$99,MATCH('Net zero emission reductions'!$G1459,EF!$D$84:$D$99,0))*INDEX(EF!$H$100:$H$115,MATCH('Net zero emission reductions'!$G1459,EF!$D$100:$D$115,0))*INDEX(EF!$H$132:$H$147,MATCH('Net zero emission reductions'!$G1459,EF!$D$132:$D$147,0))*kgtoGg</f>
        <v>0</v>
      </c>
      <c r="S1459" s="22">
        <f>INDEX('Net zero Activity data'!AL$24:AL$39,MATCH('Net zero emission reductions'!$G1459,'Net zero Activity data'!$D$24:$D$39,0))*INDEX(EF!$H$84:$H$99,MATCH('Net zero emission reductions'!$G1459,EF!$D$84:$D$99,0))*INDEX(EF!$H$100:$H$115,MATCH('Net zero emission reductions'!$G1459,EF!$D$100:$D$115,0))*INDEX(EF!$H$132:$H$147,MATCH('Net zero emission reductions'!$G1459,EF!$D$132:$D$147,0))*kgtoGg</f>
        <v>0</v>
      </c>
      <c r="T1459" s="22">
        <f>INDEX('Net zero Activity data'!AM$24:AM$39,MATCH('Net zero emission reductions'!$G1459,'Net zero Activity data'!$D$24:$D$39,0))*INDEX(EF!$H$84:$H$99,MATCH('Net zero emission reductions'!$G1459,EF!$D$84:$D$99,0))*INDEX(EF!$H$100:$H$115,MATCH('Net zero emission reductions'!$G1459,EF!$D$100:$D$115,0))*INDEX(EF!$H$132:$H$147,MATCH('Net zero emission reductions'!$G1459,EF!$D$132:$D$147,0))*kgtoGg</f>
        <v>0</v>
      </c>
      <c r="U1459" s="22">
        <f>INDEX('Net zero Activity data'!AN$24:AN$39,MATCH('Net zero emission reductions'!$G1459,'Net zero Activity data'!$D$24:$D$39,0))*INDEX(EF!$H$84:$H$99,MATCH('Net zero emission reductions'!$G1459,EF!$D$84:$D$99,0))*INDEX(EF!$H$100:$H$115,MATCH('Net zero emission reductions'!$G1459,EF!$D$100:$D$115,0))*INDEX(EF!$H$132:$H$147,MATCH('Net zero emission reductions'!$G1459,EF!$D$132:$D$147,0))*kgtoGg</f>
        <v>0</v>
      </c>
      <c r="V1459" s="22">
        <f>INDEX('Net zero Activity data'!AO$24:AO$39,MATCH('Net zero emission reductions'!$G1459,'Net zero Activity data'!$D$24:$D$39,0))*INDEX(EF!$H$84:$H$99,MATCH('Net zero emission reductions'!$G1459,EF!$D$84:$D$99,0))*INDEX(EF!$H$100:$H$115,MATCH('Net zero emission reductions'!$G1459,EF!$D$100:$D$115,0))*INDEX(EF!$H$132:$H$147,MATCH('Net zero emission reductions'!$G1459,EF!$D$132:$D$147,0))*kgtoGg</f>
        <v>0</v>
      </c>
      <c r="W1459" s="22">
        <f>INDEX('Net zero Activity data'!AP$24:AP$39,MATCH('Net zero emission reductions'!$G1459,'Net zero Activity data'!$D$24:$D$39,0))*INDEX(EF!$H$84:$H$99,MATCH('Net zero emission reductions'!$G1459,EF!$D$84:$D$99,0))*INDEX(EF!$H$100:$H$115,MATCH('Net zero emission reductions'!$G1459,EF!$D$100:$D$115,0))*INDEX(EF!$H$132:$H$147,MATCH('Net zero emission reductions'!$G1459,EF!$D$132:$D$147,0))*kgtoGg</f>
        <v>0</v>
      </c>
      <c r="X1459" s="22">
        <f>INDEX('Net zero Activity data'!AQ$24:AQ$39,MATCH('Net zero emission reductions'!$G1459,'Net zero Activity data'!$D$24:$D$39,0))*INDEX(EF!$H$84:$H$99,MATCH('Net zero emission reductions'!$G1459,EF!$D$84:$D$99,0))*INDEX(EF!$H$100:$H$115,MATCH('Net zero emission reductions'!$G1459,EF!$D$100:$D$115,0))*INDEX(EF!$H$132:$H$147,MATCH('Net zero emission reductions'!$G1459,EF!$D$132:$D$147,0))*kgtoGg</f>
        <v>0</v>
      </c>
      <c r="Y1459" s="22">
        <f>INDEX('Net zero Activity data'!AR$24:AR$39,MATCH('Net zero emission reductions'!$G1459,'Net zero Activity data'!$D$24:$D$39,0))*INDEX(EF!$H$84:$H$99,MATCH('Net zero emission reductions'!$G1459,EF!$D$84:$D$99,0))*INDEX(EF!$H$100:$H$115,MATCH('Net zero emission reductions'!$G1459,EF!$D$100:$D$115,0))*INDEX(EF!$H$132:$H$147,MATCH('Net zero emission reductions'!$G1459,EF!$D$132:$D$147,0))*kgtoGg</f>
        <v>0</v>
      </c>
      <c r="Z1459" s="22">
        <f>INDEX('Net zero Activity data'!AS$24:AS$39,MATCH('Net zero emission reductions'!$G1459,'Net zero Activity data'!$D$24:$D$39,0))*INDEX(EF!$H$84:$H$99,MATCH('Net zero emission reductions'!$G1459,EF!$D$84:$D$99,0))*INDEX(EF!$H$100:$H$115,MATCH('Net zero emission reductions'!$G1459,EF!$D$100:$D$115,0))*INDEX(EF!$H$132:$H$147,MATCH('Net zero emission reductions'!$G1459,EF!$D$132:$D$147,0))*kgtoGg</f>
        <v>0</v>
      </c>
      <c r="AA1459" s="22">
        <f>INDEX('Net zero Activity data'!AT$24:AT$39,MATCH('Net zero emission reductions'!$G1459,'Net zero Activity data'!$D$24:$D$39,0))*INDEX(EF!$H$84:$H$99,MATCH('Net zero emission reductions'!$G1459,EF!$D$84:$D$99,0))*INDEX(EF!$H$100:$H$115,MATCH('Net zero emission reductions'!$G1459,EF!$D$100:$D$115,0))*INDEX(EF!$H$132:$H$147,MATCH('Net zero emission reductions'!$G1459,EF!$D$132:$D$147,0))*kgtoGg</f>
        <v>0</v>
      </c>
      <c r="AB1459" s="22">
        <f>INDEX('Net zero Activity data'!AU$24:AU$39,MATCH('Net zero emission reductions'!$G1459,'Net zero Activity data'!$D$24:$D$39,0))*INDEX(EF!$H$84:$H$99,MATCH('Net zero emission reductions'!$G1459,EF!$D$84:$D$99,0))*INDEX(EF!$H$100:$H$115,MATCH('Net zero emission reductions'!$G1459,EF!$D$100:$D$115,0))*INDEX(EF!$H$132:$H$147,MATCH('Net zero emission reductions'!$G1459,EF!$D$132:$D$147,0))*kgtoGg</f>
        <v>0</v>
      </c>
      <c r="AC1459" s="22">
        <f>INDEX('Net zero Activity data'!AV$24:AV$39,MATCH('Net zero emission reductions'!$G1459,'Net zero Activity data'!$D$24:$D$39,0))*INDEX(EF!$H$84:$H$99,MATCH('Net zero emission reductions'!$G1459,EF!$D$84:$D$99,0))*INDEX(EF!$H$100:$H$115,MATCH('Net zero emission reductions'!$G1459,EF!$D$100:$D$115,0))*INDEX(EF!$H$132:$H$147,MATCH('Net zero emission reductions'!$G1459,EF!$D$132:$D$147,0))*kgtoGg</f>
        <v>0</v>
      </c>
      <c r="AD1459" s="22">
        <f>INDEX('Net zero Activity data'!AW$24:AW$39,MATCH('Net zero emission reductions'!$G1459,'Net zero Activity data'!$D$24:$D$39,0))*INDEX(EF!$H$84:$H$99,MATCH('Net zero emission reductions'!$G1459,EF!$D$84:$D$99,0))*INDEX(EF!$H$100:$H$115,MATCH('Net zero emission reductions'!$G1459,EF!$D$100:$D$115,0))*INDEX(EF!$H$132:$H$147,MATCH('Net zero emission reductions'!$G1459,EF!$D$132:$D$147,0))*kgtoGg</f>
        <v>0</v>
      </c>
      <c r="AE1459" s="22">
        <f>INDEX('Net zero Activity data'!AX$24:AX$39,MATCH('Net zero emission reductions'!$G1459,'Net zero Activity data'!$D$24:$D$39,0))*INDEX(EF!$H$84:$H$99,MATCH('Net zero emission reductions'!$G1459,EF!$D$84:$D$99,0))*INDEX(EF!$H$100:$H$115,MATCH('Net zero emission reductions'!$G1459,EF!$D$100:$D$115,0))*INDEX(EF!$H$132:$H$147,MATCH('Net zero emission reductions'!$G1459,EF!$D$132:$D$147,0))*kgtoGg</f>
        <v>0</v>
      </c>
      <c r="AF1459" s="22">
        <f>INDEX('Net zero Activity data'!AY$24:AY$39,MATCH('Net zero emission reductions'!$G1459,'Net zero Activity data'!$D$24:$D$39,0))*INDEX(EF!$H$84:$H$99,MATCH('Net zero emission reductions'!$G1459,EF!$D$84:$D$99,0))*INDEX(EF!$H$100:$H$115,MATCH('Net zero emission reductions'!$G1459,EF!$D$100:$D$115,0))*INDEX(EF!$H$132:$H$147,MATCH('Net zero emission reductions'!$G1459,EF!$D$132:$D$147,0))*kgtoGg</f>
        <v>0</v>
      </c>
      <c r="AG1459" s="22">
        <f>INDEX('Net zero Activity data'!AZ$24:AZ$39,MATCH('Net zero emission reductions'!$G1459,'Net zero Activity data'!$D$24:$D$39,0))*INDEX(EF!$H$84:$H$99,MATCH('Net zero emission reductions'!$G1459,EF!$D$84:$D$99,0))*INDEX(EF!$H$100:$H$115,MATCH('Net zero emission reductions'!$G1459,EF!$D$100:$D$115,0))*INDEX(EF!$H$132:$H$147,MATCH('Net zero emission reductions'!$G1459,EF!$D$132:$D$147,0))*kgtoGg</f>
        <v>0</v>
      </c>
      <c r="AH1459" s="22">
        <f>INDEX('Net zero Activity data'!BA$24:BA$39,MATCH('Net zero emission reductions'!$G1459,'Net zero Activity data'!$D$24:$D$39,0))*INDEX(EF!$H$84:$H$99,MATCH('Net zero emission reductions'!$G1459,EF!$D$84:$D$99,0))*INDEX(EF!$H$100:$H$115,MATCH('Net zero emission reductions'!$G1459,EF!$D$100:$D$115,0))*INDEX(EF!$H$132:$H$147,MATCH('Net zero emission reductions'!$G1459,EF!$D$132:$D$147,0))*kgtoGg</f>
        <v>0</v>
      </c>
      <c r="AI1459" s="22">
        <f>INDEX('Net zero Activity data'!BB$24:BB$39,MATCH('Net zero emission reductions'!$G1459,'Net zero Activity data'!$D$24:$D$39,0))*INDEX(EF!$H$84:$H$99,MATCH('Net zero emission reductions'!$G1459,EF!$D$84:$D$99,0))*INDEX(EF!$H$100:$H$115,MATCH('Net zero emission reductions'!$G1459,EF!$D$100:$D$115,0))*INDEX(EF!$H$132:$H$147,MATCH('Net zero emission reductions'!$G1459,EF!$D$132:$D$147,0))*kgtoGg</f>
        <v>0</v>
      </c>
      <c r="AJ1459" s="22">
        <f>INDEX('Net zero Activity data'!BC$24:BC$39,MATCH('Net zero emission reductions'!$G1459,'Net zero Activity data'!$D$24:$D$39,0))*INDEX(EF!$H$84:$H$99,MATCH('Net zero emission reductions'!$G1459,EF!$D$84:$D$99,0))*INDEX(EF!$H$100:$H$115,MATCH('Net zero emission reductions'!$G1459,EF!$D$100:$D$115,0))*INDEX(EF!$H$132:$H$147,MATCH('Net zero emission reductions'!$G1459,EF!$D$132:$D$147,0))*kgtoGg</f>
        <v>0</v>
      </c>
      <c r="AK1459" s="22">
        <f>INDEX('Net zero Activity data'!BD$24:BD$39,MATCH('Net zero emission reductions'!$G1459,'Net zero Activity data'!$D$24:$D$39,0))*INDEX(EF!$H$84:$H$99,MATCH('Net zero emission reductions'!$G1459,EF!$D$84:$D$99,0))*INDEX(EF!$H$100:$H$115,MATCH('Net zero emission reductions'!$G1459,EF!$D$100:$D$115,0))*INDEX(EF!$H$132:$H$147,MATCH('Net zero emission reductions'!$G1459,EF!$D$132:$D$147,0))*kgtoGg</f>
        <v>0</v>
      </c>
      <c r="AL1459" s="22">
        <f>INDEX('Net zero Activity data'!BE$24:BE$39,MATCH('Net zero emission reductions'!$G1459,'Net zero Activity data'!$D$24:$D$39,0))*INDEX(EF!$H$84:$H$99,MATCH('Net zero emission reductions'!$G1459,EF!$D$84:$D$99,0))*INDEX(EF!$H$100:$H$115,MATCH('Net zero emission reductions'!$G1459,EF!$D$100:$D$115,0))*INDEX(EF!$H$132:$H$147,MATCH('Net zero emission reductions'!$G1459,EF!$D$132:$D$147,0))*kgtoGg</f>
        <v>0</v>
      </c>
      <c r="AM1459" s="22">
        <f>INDEX('Net zero Activity data'!BF$24:BF$39,MATCH('Net zero emission reductions'!$G1459,'Net zero Activity data'!$D$24:$D$39,0))*INDEX(EF!$H$84:$H$99,MATCH('Net zero emission reductions'!$G1459,EF!$D$84:$D$99,0))*INDEX(EF!$H$100:$H$115,MATCH('Net zero emission reductions'!$G1459,EF!$D$100:$D$115,0))*INDEX(EF!$H$132:$H$147,MATCH('Net zero emission reductions'!$G1459,EF!$D$132:$D$147,0))*kgtoGg</f>
        <v>0</v>
      </c>
      <c r="AN1459" s="22">
        <f>INDEX('Net zero Activity data'!BG$24:BG$39,MATCH('Net zero emission reductions'!$G1459,'Net zero Activity data'!$D$24:$D$39,0))*INDEX(EF!$H$84:$H$99,MATCH('Net zero emission reductions'!$G1459,EF!$D$84:$D$99,0))*INDEX(EF!$H$100:$H$115,MATCH('Net zero emission reductions'!$G1459,EF!$D$100:$D$115,0))*INDEX(EF!$H$132:$H$147,MATCH('Net zero emission reductions'!$G1459,EF!$D$132:$D$147,0))*kgtoGg</f>
        <v>0</v>
      </c>
      <c r="AO1459" s="22">
        <f>INDEX('Net zero Activity data'!BH$24:BH$39,MATCH('Net zero emission reductions'!$G1459,'Net zero Activity data'!$D$24:$D$39,0))*INDEX(EF!$H$84:$H$99,MATCH('Net zero emission reductions'!$G1459,EF!$D$84:$D$99,0))*INDEX(EF!$H$100:$H$115,MATCH('Net zero emission reductions'!$G1459,EF!$D$100:$D$115,0))*INDEX(EF!$H$132:$H$147,MATCH('Net zero emission reductions'!$G1459,EF!$D$132:$D$147,0))*kgtoGg</f>
        <v>0</v>
      </c>
      <c r="AP1459" s="22">
        <f>INDEX('Net zero Activity data'!BI$24:BI$39,MATCH('Net zero emission reductions'!$G1459,'Net zero Activity data'!$D$24:$D$39,0))*INDEX(EF!$H$84:$H$99,MATCH('Net zero emission reductions'!$G1459,EF!$D$84:$D$99,0))*INDEX(EF!$H$100:$H$115,MATCH('Net zero emission reductions'!$G1459,EF!$D$100:$D$115,0))*INDEX(EF!$H$132:$H$147,MATCH('Net zero emission reductions'!$G1459,EF!$D$132:$D$147,0))*kgtoGg</f>
        <v>0</v>
      </c>
      <c r="AQ1459" s="22">
        <f>INDEX('Net zero Activity data'!BJ$24:BJ$39,MATCH('Net zero emission reductions'!$G1459,'Net zero Activity data'!$D$24:$D$39,0))*INDEX(EF!$H$84:$H$99,MATCH('Net zero emission reductions'!$G1459,EF!$D$84:$D$99,0))*INDEX(EF!$H$100:$H$115,MATCH('Net zero emission reductions'!$G1459,EF!$D$100:$D$115,0))*INDEX(EF!$H$132:$H$147,MATCH('Net zero emission reductions'!$G1459,EF!$D$132:$D$147,0))*kgtoGg</f>
        <v>0</v>
      </c>
      <c r="AR1459" s="22">
        <f>INDEX('Net zero Activity data'!BK$24:BK$39,MATCH('Net zero emission reductions'!$G1459,'Net zero Activity data'!$D$24:$D$39,0))*INDEX(EF!$H$84:$H$99,MATCH('Net zero emission reductions'!$G1459,EF!$D$84:$D$99,0))*INDEX(EF!$H$100:$H$115,MATCH('Net zero emission reductions'!$G1459,EF!$D$100:$D$115,0))*INDEX(EF!$H$132:$H$147,MATCH('Net zero emission reductions'!$G1459,EF!$D$132:$D$147,0))*kgtoGg</f>
        <v>0</v>
      </c>
      <c r="AS1459" s="22">
        <f>INDEX('Net zero Activity data'!BL$24:BL$39,MATCH('Net zero emission reductions'!$G1459,'Net zero Activity data'!$D$24:$D$39,0))*INDEX(EF!$H$84:$H$99,MATCH('Net zero emission reductions'!$G1459,EF!$D$84:$D$99,0))*INDEX(EF!$H$100:$H$115,MATCH('Net zero emission reductions'!$G1459,EF!$D$100:$D$115,0))*INDEX(EF!$H$132:$H$147,MATCH('Net zero emission reductions'!$G1459,EF!$D$132:$D$147,0))*kgtoGg</f>
        <v>0</v>
      </c>
      <c r="AT1459" s="22">
        <f>INDEX('Net zero Activity data'!BM$24:BM$39,MATCH('Net zero emission reductions'!$G1459,'Net zero Activity data'!$D$24:$D$39,0))*INDEX(EF!$H$84:$H$99,MATCH('Net zero emission reductions'!$G1459,EF!$D$84:$D$99,0))*INDEX(EF!$H$100:$H$115,MATCH('Net zero emission reductions'!$G1459,EF!$D$100:$D$115,0))*INDEX(EF!$H$132:$H$147,MATCH('Net zero emission reductions'!$G1459,EF!$D$132:$D$147,0))*kgtoGg</f>
        <v>0</v>
      </c>
      <c r="AU1459" s="22">
        <f>INDEX('Net zero Activity data'!BN$24:BN$39,MATCH('Net zero emission reductions'!$G1459,'Net zero Activity data'!$D$24:$D$39,0))*INDEX(EF!$H$84:$H$99,MATCH('Net zero emission reductions'!$G1459,EF!$D$84:$D$99,0))*INDEX(EF!$H$100:$H$115,MATCH('Net zero emission reductions'!$G1459,EF!$D$100:$D$115,0))*INDEX(EF!$H$132:$H$147,MATCH('Net zero emission reductions'!$G1459,EF!$D$132:$D$147,0))*kgtoGg</f>
        <v>0</v>
      </c>
      <c r="AV1459" s="22">
        <f>INDEX('Net zero Activity data'!BO$24:BO$39,MATCH('Net zero emission reductions'!$G1459,'Net zero Activity data'!$D$24:$D$39,0))*INDEX(EF!$H$84:$H$99,MATCH('Net zero emission reductions'!$G1459,EF!$D$84:$D$99,0))*INDEX(EF!$H$100:$H$115,MATCH('Net zero emission reductions'!$G1459,EF!$D$100:$D$115,0))*INDEX(EF!$H$132:$H$147,MATCH('Net zero emission reductions'!$G1459,EF!$D$132:$D$147,0))*kgtoGg</f>
        <v>0</v>
      </c>
      <c r="AW1459" s="22">
        <f>INDEX('Net zero Activity data'!BP$24:BP$39,MATCH('Net zero emission reductions'!$G1459,'Net zero Activity data'!$D$24:$D$39,0))*INDEX(EF!$H$84:$H$99,MATCH('Net zero emission reductions'!$G1459,EF!$D$84:$D$99,0))*INDEX(EF!$H$100:$H$115,MATCH('Net zero emission reductions'!$G1459,EF!$D$100:$D$115,0))*INDEX(EF!$H$132:$H$147,MATCH('Net zero emission reductions'!$G1459,EF!$D$132:$D$147,0))*kgtoGg</f>
        <v>0</v>
      </c>
    </row>
    <row r="1460" spans="1:49" x14ac:dyDescent="0.3">
      <c r="A1460" s="95" t="s">
        <v>960</v>
      </c>
      <c r="B1460" s="95"/>
      <c r="C1460" s="95"/>
      <c r="D1460" t="str">
        <f t="shared" si="560"/>
        <v>3C Aggregated and non-CO2 emissions on land</v>
      </c>
      <c r="E1460" t="str">
        <f t="shared" si="560"/>
        <v>3C1 Biomass burning (N2O)</v>
      </c>
      <c r="F1460" t="str">
        <f t="shared" si="559"/>
        <v>3C1f Biomass burning in Other lands</v>
      </c>
      <c r="G1460" t="str">
        <f>EF!D115</f>
        <v>Bare ground</v>
      </c>
      <c r="H1460" t="s">
        <v>655</v>
      </c>
      <c r="I1460" t="str">
        <f t="shared" si="561"/>
        <v>N2O</v>
      </c>
      <c r="J1460" t="str">
        <f t="shared" si="561"/>
        <v>Gg N2O</v>
      </c>
      <c r="K1460" s="22">
        <f>INDEX('Net zero Activity data'!AD$24:AD$39,MATCH('Net zero emission reductions'!$G1460,'Net zero Activity data'!$D$24:$D$39,0))*INDEX(EF!$H$84:$H$99,MATCH('Net zero emission reductions'!$G1460,EF!$D$84:$D$99,0))*INDEX(EF!$H$100:$H$115,MATCH('Net zero emission reductions'!$G1460,EF!$D$100:$D$115,0))*INDEX(EF!$H$132:$H$147,MATCH('Net zero emission reductions'!$G1460,EF!$D$132:$D$147,0))*kgtoGg</f>
        <v>0</v>
      </c>
      <c r="L1460" s="22">
        <f>INDEX('Net zero Activity data'!AE$24:AE$39,MATCH('Net zero emission reductions'!$G1460,'Net zero Activity data'!$D$24:$D$39,0))*INDEX(EF!$H$84:$H$99,MATCH('Net zero emission reductions'!$G1460,EF!$D$84:$D$99,0))*INDEX(EF!$H$100:$H$115,MATCH('Net zero emission reductions'!$G1460,EF!$D$100:$D$115,0))*INDEX(EF!$H$132:$H$147,MATCH('Net zero emission reductions'!$G1460,EF!$D$132:$D$147,0))*kgtoGg</f>
        <v>0</v>
      </c>
      <c r="M1460" s="22">
        <f>INDEX('Net zero Activity data'!AF$24:AF$39,MATCH('Net zero emission reductions'!$G1460,'Net zero Activity data'!$D$24:$D$39,0))*INDEX(EF!$H$84:$H$99,MATCH('Net zero emission reductions'!$G1460,EF!$D$84:$D$99,0))*INDEX(EF!$H$100:$H$115,MATCH('Net zero emission reductions'!$G1460,EF!$D$100:$D$115,0))*INDEX(EF!$H$132:$H$147,MATCH('Net zero emission reductions'!$G1460,EF!$D$132:$D$147,0))*kgtoGg</f>
        <v>0</v>
      </c>
      <c r="N1460" s="22">
        <f>INDEX('Net zero Activity data'!AG$24:AG$39,MATCH('Net zero emission reductions'!$G1460,'Net zero Activity data'!$D$24:$D$39,0))*INDEX(EF!$H$84:$H$99,MATCH('Net zero emission reductions'!$G1460,EF!$D$84:$D$99,0))*INDEX(EF!$H$100:$H$115,MATCH('Net zero emission reductions'!$G1460,EF!$D$100:$D$115,0))*INDEX(EF!$H$132:$H$147,MATCH('Net zero emission reductions'!$G1460,EF!$D$132:$D$147,0))*kgtoGg</f>
        <v>0</v>
      </c>
      <c r="O1460" s="22">
        <f>INDEX('Net zero Activity data'!AH$24:AH$39,MATCH('Net zero emission reductions'!$G1460,'Net zero Activity data'!$D$24:$D$39,0))*INDEX(EF!$H$84:$H$99,MATCH('Net zero emission reductions'!$G1460,EF!$D$84:$D$99,0))*INDEX(EF!$H$100:$H$115,MATCH('Net zero emission reductions'!$G1460,EF!$D$100:$D$115,0))*INDEX(EF!$H$132:$H$147,MATCH('Net zero emission reductions'!$G1460,EF!$D$132:$D$147,0))*kgtoGg</f>
        <v>0</v>
      </c>
      <c r="P1460" s="22">
        <f>INDEX('Net zero Activity data'!AI$24:AI$39,MATCH('Net zero emission reductions'!$G1460,'Net zero Activity data'!$D$24:$D$39,0))*INDEX(EF!$H$84:$H$99,MATCH('Net zero emission reductions'!$G1460,EF!$D$84:$D$99,0))*INDEX(EF!$H$100:$H$115,MATCH('Net zero emission reductions'!$G1460,EF!$D$100:$D$115,0))*INDEX(EF!$H$132:$H$147,MATCH('Net zero emission reductions'!$G1460,EF!$D$132:$D$147,0))*kgtoGg</f>
        <v>0</v>
      </c>
      <c r="Q1460" s="22">
        <f>INDEX('Net zero Activity data'!AJ$24:AJ$39,MATCH('Net zero emission reductions'!$G1460,'Net zero Activity data'!$D$24:$D$39,0))*INDEX(EF!$H$84:$H$99,MATCH('Net zero emission reductions'!$G1460,EF!$D$84:$D$99,0))*INDEX(EF!$H$100:$H$115,MATCH('Net zero emission reductions'!$G1460,EF!$D$100:$D$115,0))*INDEX(EF!$H$132:$H$147,MATCH('Net zero emission reductions'!$G1460,EF!$D$132:$D$147,0))*kgtoGg</f>
        <v>0</v>
      </c>
      <c r="R1460" s="22">
        <f>INDEX('Net zero Activity data'!AK$24:AK$39,MATCH('Net zero emission reductions'!$G1460,'Net zero Activity data'!$D$24:$D$39,0))*INDEX(EF!$H$84:$H$99,MATCH('Net zero emission reductions'!$G1460,EF!$D$84:$D$99,0))*INDEX(EF!$H$100:$H$115,MATCH('Net zero emission reductions'!$G1460,EF!$D$100:$D$115,0))*INDEX(EF!$H$132:$H$147,MATCH('Net zero emission reductions'!$G1460,EF!$D$132:$D$147,0))*kgtoGg</f>
        <v>0</v>
      </c>
      <c r="S1460" s="22">
        <f>INDEX('Net zero Activity data'!AL$24:AL$39,MATCH('Net zero emission reductions'!$G1460,'Net zero Activity data'!$D$24:$D$39,0))*INDEX(EF!$H$84:$H$99,MATCH('Net zero emission reductions'!$G1460,EF!$D$84:$D$99,0))*INDEX(EF!$H$100:$H$115,MATCH('Net zero emission reductions'!$G1460,EF!$D$100:$D$115,0))*INDEX(EF!$H$132:$H$147,MATCH('Net zero emission reductions'!$G1460,EF!$D$132:$D$147,0))*kgtoGg</f>
        <v>0</v>
      </c>
      <c r="T1460" s="22">
        <f>INDEX('Net zero Activity data'!AM$24:AM$39,MATCH('Net zero emission reductions'!$G1460,'Net zero Activity data'!$D$24:$D$39,0))*INDEX(EF!$H$84:$H$99,MATCH('Net zero emission reductions'!$G1460,EF!$D$84:$D$99,0))*INDEX(EF!$H$100:$H$115,MATCH('Net zero emission reductions'!$G1460,EF!$D$100:$D$115,0))*INDEX(EF!$H$132:$H$147,MATCH('Net zero emission reductions'!$G1460,EF!$D$132:$D$147,0))*kgtoGg</f>
        <v>0</v>
      </c>
      <c r="U1460" s="22">
        <f>INDEX('Net zero Activity data'!AN$24:AN$39,MATCH('Net zero emission reductions'!$G1460,'Net zero Activity data'!$D$24:$D$39,0))*INDEX(EF!$H$84:$H$99,MATCH('Net zero emission reductions'!$G1460,EF!$D$84:$D$99,0))*INDEX(EF!$H$100:$H$115,MATCH('Net zero emission reductions'!$G1460,EF!$D$100:$D$115,0))*INDEX(EF!$H$132:$H$147,MATCH('Net zero emission reductions'!$G1460,EF!$D$132:$D$147,0))*kgtoGg</f>
        <v>0</v>
      </c>
      <c r="V1460" s="22">
        <f>INDEX('Net zero Activity data'!AO$24:AO$39,MATCH('Net zero emission reductions'!$G1460,'Net zero Activity data'!$D$24:$D$39,0))*INDEX(EF!$H$84:$H$99,MATCH('Net zero emission reductions'!$G1460,EF!$D$84:$D$99,0))*INDEX(EF!$H$100:$H$115,MATCH('Net zero emission reductions'!$G1460,EF!$D$100:$D$115,0))*INDEX(EF!$H$132:$H$147,MATCH('Net zero emission reductions'!$G1460,EF!$D$132:$D$147,0))*kgtoGg</f>
        <v>0</v>
      </c>
      <c r="W1460" s="22">
        <f>INDEX('Net zero Activity data'!AP$24:AP$39,MATCH('Net zero emission reductions'!$G1460,'Net zero Activity data'!$D$24:$D$39,0))*INDEX(EF!$H$84:$H$99,MATCH('Net zero emission reductions'!$G1460,EF!$D$84:$D$99,0))*INDEX(EF!$H$100:$H$115,MATCH('Net zero emission reductions'!$G1460,EF!$D$100:$D$115,0))*INDEX(EF!$H$132:$H$147,MATCH('Net zero emission reductions'!$G1460,EF!$D$132:$D$147,0))*kgtoGg</f>
        <v>0</v>
      </c>
      <c r="X1460" s="22">
        <f>INDEX('Net zero Activity data'!AQ$24:AQ$39,MATCH('Net zero emission reductions'!$G1460,'Net zero Activity data'!$D$24:$D$39,0))*INDEX(EF!$H$84:$H$99,MATCH('Net zero emission reductions'!$G1460,EF!$D$84:$D$99,0))*INDEX(EF!$H$100:$H$115,MATCH('Net zero emission reductions'!$G1460,EF!$D$100:$D$115,0))*INDEX(EF!$H$132:$H$147,MATCH('Net zero emission reductions'!$G1460,EF!$D$132:$D$147,0))*kgtoGg</f>
        <v>0</v>
      </c>
      <c r="Y1460" s="22">
        <f>INDEX('Net zero Activity data'!AR$24:AR$39,MATCH('Net zero emission reductions'!$G1460,'Net zero Activity data'!$D$24:$D$39,0))*INDEX(EF!$H$84:$H$99,MATCH('Net zero emission reductions'!$G1460,EF!$D$84:$D$99,0))*INDEX(EF!$H$100:$H$115,MATCH('Net zero emission reductions'!$G1460,EF!$D$100:$D$115,0))*INDEX(EF!$H$132:$H$147,MATCH('Net zero emission reductions'!$G1460,EF!$D$132:$D$147,0))*kgtoGg</f>
        <v>0</v>
      </c>
      <c r="Z1460" s="22">
        <f>INDEX('Net zero Activity data'!AS$24:AS$39,MATCH('Net zero emission reductions'!$G1460,'Net zero Activity data'!$D$24:$D$39,0))*INDEX(EF!$H$84:$H$99,MATCH('Net zero emission reductions'!$G1460,EF!$D$84:$D$99,0))*INDEX(EF!$H$100:$H$115,MATCH('Net zero emission reductions'!$G1460,EF!$D$100:$D$115,0))*INDEX(EF!$H$132:$H$147,MATCH('Net zero emission reductions'!$G1460,EF!$D$132:$D$147,0))*kgtoGg</f>
        <v>0</v>
      </c>
      <c r="AA1460" s="22">
        <f>INDEX('Net zero Activity data'!AT$24:AT$39,MATCH('Net zero emission reductions'!$G1460,'Net zero Activity data'!$D$24:$D$39,0))*INDEX(EF!$H$84:$H$99,MATCH('Net zero emission reductions'!$G1460,EF!$D$84:$D$99,0))*INDEX(EF!$H$100:$H$115,MATCH('Net zero emission reductions'!$G1460,EF!$D$100:$D$115,0))*INDEX(EF!$H$132:$H$147,MATCH('Net zero emission reductions'!$G1460,EF!$D$132:$D$147,0))*kgtoGg</f>
        <v>0</v>
      </c>
      <c r="AB1460" s="22">
        <f>INDEX('Net zero Activity data'!AU$24:AU$39,MATCH('Net zero emission reductions'!$G1460,'Net zero Activity data'!$D$24:$D$39,0))*INDEX(EF!$H$84:$H$99,MATCH('Net zero emission reductions'!$G1460,EF!$D$84:$D$99,0))*INDEX(EF!$H$100:$H$115,MATCH('Net zero emission reductions'!$G1460,EF!$D$100:$D$115,0))*INDEX(EF!$H$132:$H$147,MATCH('Net zero emission reductions'!$G1460,EF!$D$132:$D$147,0))*kgtoGg</f>
        <v>0</v>
      </c>
      <c r="AC1460" s="22">
        <f>INDEX('Net zero Activity data'!AV$24:AV$39,MATCH('Net zero emission reductions'!$G1460,'Net zero Activity data'!$D$24:$D$39,0))*INDEX(EF!$H$84:$H$99,MATCH('Net zero emission reductions'!$G1460,EF!$D$84:$D$99,0))*INDEX(EF!$H$100:$H$115,MATCH('Net zero emission reductions'!$G1460,EF!$D$100:$D$115,0))*INDEX(EF!$H$132:$H$147,MATCH('Net zero emission reductions'!$G1460,EF!$D$132:$D$147,0))*kgtoGg</f>
        <v>0</v>
      </c>
      <c r="AD1460" s="22">
        <f>INDEX('Net zero Activity data'!AW$24:AW$39,MATCH('Net zero emission reductions'!$G1460,'Net zero Activity data'!$D$24:$D$39,0))*INDEX(EF!$H$84:$H$99,MATCH('Net zero emission reductions'!$G1460,EF!$D$84:$D$99,0))*INDEX(EF!$H$100:$H$115,MATCH('Net zero emission reductions'!$G1460,EF!$D$100:$D$115,0))*INDEX(EF!$H$132:$H$147,MATCH('Net zero emission reductions'!$G1460,EF!$D$132:$D$147,0))*kgtoGg</f>
        <v>0</v>
      </c>
      <c r="AE1460" s="22">
        <f>INDEX('Net zero Activity data'!AX$24:AX$39,MATCH('Net zero emission reductions'!$G1460,'Net zero Activity data'!$D$24:$D$39,0))*INDEX(EF!$H$84:$H$99,MATCH('Net zero emission reductions'!$G1460,EF!$D$84:$D$99,0))*INDEX(EF!$H$100:$H$115,MATCH('Net zero emission reductions'!$G1460,EF!$D$100:$D$115,0))*INDEX(EF!$H$132:$H$147,MATCH('Net zero emission reductions'!$G1460,EF!$D$132:$D$147,0))*kgtoGg</f>
        <v>0</v>
      </c>
      <c r="AF1460" s="22">
        <f>INDEX('Net zero Activity data'!AY$24:AY$39,MATCH('Net zero emission reductions'!$G1460,'Net zero Activity data'!$D$24:$D$39,0))*INDEX(EF!$H$84:$H$99,MATCH('Net zero emission reductions'!$G1460,EF!$D$84:$D$99,0))*INDEX(EF!$H$100:$H$115,MATCH('Net zero emission reductions'!$G1460,EF!$D$100:$D$115,0))*INDEX(EF!$H$132:$H$147,MATCH('Net zero emission reductions'!$G1460,EF!$D$132:$D$147,0))*kgtoGg</f>
        <v>0</v>
      </c>
      <c r="AG1460" s="22">
        <f>INDEX('Net zero Activity data'!AZ$24:AZ$39,MATCH('Net zero emission reductions'!$G1460,'Net zero Activity data'!$D$24:$D$39,0))*INDEX(EF!$H$84:$H$99,MATCH('Net zero emission reductions'!$G1460,EF!$D$84:$D$99,0))*INDEX(EF!$H$100:$H$115,MATCH('Net zero emission reductions'!$G1460,EF!$D$100:$D$115,0))*INDEX(EF!$H$132:$H$147,MATCH('Net zero emission reductions'!$G1460,EF!$D$132:$D$147,0))*kgtoGg</f>
        <v>0</v>
      </c>
      <c r="AH1460" s="22">
        <f>INDEX('Net zero Activity data'!BA$24:BA$39,MATCH('Net zero emission reductions'!$G1460,'Net zero Activity data'!$D$24:$D$39,0))*INDEX(EF!$H$84:$H$99,MATCH('Net zero emission reductions'!$G1460,EF!$D$84:$D$99,0))*INDEX(EF!$H$100:$H$115,MATCH('Net zero emission reductions'!$G1460,EF!$D$100:$D$115,0))*INDEX(EF!$H$132:$H$147,MATCH('Net zero emission reductions'!$G1460,EF!$D$132:$D$147,0))*kgtoGg</f>
        <v>0</v>
      </c>
      <c r="AI1460" s="22">
        <f>INDEX('Net zero Activity data'!BB$24:BB$39,MATCH('Net zero emission reductions'!$G1460,'Net zero Activity data'!$D$24:$D$39,0))*INDEX(EF!$H$84:$H$99,MATCH('Net zero emission reductions'!$G1460,EF!$D$84:$D$99,0))*INDEX(EF!$H$100:$H$115,MATCH('Net zero emission reductions'!$G1460,EF!$D$100:$D$115,0))*INDEX(EF!$H$132:$H$147,MATCH('Net zero emission reductions'!$G1460,EF!$D$132:$D$147,0))*kgtoGg</f>
        <v>0</v>
      </c>
      <c r="AJ1460" s="22">
        <f>INDEX('Net zero Activity data'!BC$24:BC$39,MATCH('Net zero emission reductions'!$G1460,'Net zero Activity data'!$D$24:$D$39,0))*INDEX(EF!$H$84:$H$99,MATCH('Net zero emission reductions'!$G1460,EF!$D$84:$D$99,0))*INDEX(EF!$H$100:$H$115,MATCH('Net zero emission reductions'!$G1460,EF!$D$100:$D$115,0))*INDEX(EF!$H$132:$H$147,MATCH('Net zero emission reductions'!$G1460,EF!$D$132:$D$147,0))*kgtoGg</f>
        <v>0</v>
      </c>
      <c r="AK1460" s="22">
        <f>INDEX('Net zero Activity data'!BD$24:BD$39,MATCH('Net zero emission reductions'!$G1460,'Net zero Activity data'!$D$24:$D$39,0))*INDEX(EF!$H$84:$H$99,MATCH('Net zero emission reductions'!$G1460,EF!$D$84:$D$99,0))*INDEX(EF!$H$100:$H$115,MATCH('Net zero emission reductions'!$G1460,EF!$D$100:$D$115,0))*INDEX(EF!$H$132:$H$147,MATCH('Net zero emission reductions'!$G1460,EF!$D$132:$D$147,0))*kgtoGg</f>
        <v>0</v>
      </c>
      <c r="AL1460" s="22">
        <f>INDEX('Net zero Activity data'!BE$24:BE$39,MATCH('Net zero emission reductions'!$G1460,'Net zero Activity data'!$D$24:$D$39,0))*INDEX(EF!$H$84:$H$99,MATCH('Net zero emission reductions'!$G1460,EF!$D$84:$D$99,0))*INDEX(EF!$H$100:$H$115,MATCH('Net zero emission reductions'!$G1460,EF!$D$100:$D$115,0))*INDEX(EF!$H$132:$H$147,MATCH('Net zero emission reductions'!$G1460,EF!$D$132:$D$147,0))*kgtoGg</f>
        <v>0</v>
      </c>
      <c r="AM1460" s="22">
        <f>INDEX('Net zero Activity data'!BF$24:BF$39,MATCH('Net zero emission reductions'!$G1460,'Net zero Activity data'!$D$24:$D$39,0))*INDEX(EF!$H$84:$H$99,MATCH('Net zero emission reductions'!$G1460,EF!$D$84:$D$99,0))*INDEX(EF!$H$100:$H$115,MATCH('Net zero emission reductions'!$G1460,EF!$D$100:$D$115,0))*INDEX(EF!$H$132:$H$147,MATCH('Net zero emission reductions'!$G1460,EF!$D$132:$D$147,0))*kgtoGg</f>
        <v>0</v>
      </c>
      <c r="AN1460" s="22">
        <f>INDEX('Net zero Activity data'!BG$24:BG$39,MATCH('Net zero emission reductions'!$G1460,'Net zero Activity data'!$D$24:$D$39,0))*INDEX(EF!$H$84:$H$99,MATCH('Net zero emission reductions'!$G1460,EF!$D$84:$D$99,0))*INDEX(EF!$H$100:$H$115,MATCH('Net zero emission reductions'!$G1460,EF!$D$100:$D$115,0))*INDEX(EF!$H$132:$H$147,MATCH('Net zero emission reductions'!$G1460,EF!$D$132:$D$147,0))*kgtoGg</f>
        <v>0</v>
      </c>
      <c r="AO1460" s="22">
        <f>INDEX('Net zero Activity data'!BH$24:BH$39,MATCH('Net zero emission reductions'!$G1460,'Net zero Activity data'!$D$24:$D$39,0))*INDEX(EF!$H$84:$H$99,MATCH('Net zero emission reductions'!$G1460,EF!$D$84:$D$99,0))*INDEX(EF!$H$100:$H$115,MATCH('Net zero emission reductions'!$G1460,EF!$D$100:$D$115,0))*INDEX(EF!$H$132:$H$147,MATCH('Net zero emission reductions'!$G1460,EF!$D$132:$D$147,0))*kgtoGg</f>
        <v>0</v>
      </c>
      <c r="AP1460" s="22">
        <f>INDEX('Net zero Activity data'!BI$24:BI$39,MATCH('Net zero emission reductions'!$G1460,'Net zero Activity data'!$D$24:$D$39,0))*INDEX(EF!$H$84:$H$99,MATCH('Net zero emission reductions'!$G1460,EF!$D$84:$D$99,0))*INDEX(EF!$H$100:$H$115,MATCH('Net zero emission reductions'!$G1460,EF!$D$100:$D$115,0))*INDEX(EF!$H$132:$H$147,MATCH('Net zero emission reductions'!$G1460,EF!$D$132:$D$147,0))*kgtoGg</f>
        <v>0</v>
      </c>
      <c r="AQ1460" s="22">
        <f>INDEX('Net zero Activity data'!BJ$24:BJ$39,MATCH('Net zero emission reductions'!$G1460,'Net zero Activity data'!$D$24:$D$39,0))*INDEX(EF!$H$84:$H$99,MATCH('Net zero emission reductions'!$G1460,EF!$D$84:$D$99,0))*INDEX(EF!$H$100:$H$115,MATCH('Net zero emission reductions'!$G1460,EF!$D$100:$D$115,0))*INDEX(EF!$H$132:$H$147,MATCH('Net zero emission reductions'!$G1460,EF!$D$132:$D$147,0))*kgtoGg</f>
        <v>0</v>
      </c>
      <c r="AR1460" s="22">
        <f>INDEX('Net zero Activity data'!BK$24:BK$39,MATCH('Net zero emission reductions'!$G1460,'Net zero Activity data'!$D$24:$D$39,0))*INDEX(EF!$H$84:$H$99,MATCH('Net zero emission reductions'!$G1460,EF!$D$84:$D$99,0))*INDEX(EF!$H$100:$H$115,MATCH('Net zero emission reductions'!$G1460,EF!$D$100:$D$115,0))*INDEX(EF!$H$132:$H$147,MATCH('Net zero emission reductions'!$G1460,EF!$D$132:$D$147,0))*kgtoGg</f>
        <v>0</v>
      </c>
      <c r="AS1460" s="22">
        <f>INDEX('Net zero Activity data'!BL$24:BL$39,MATCH('Net zero emission reductions'!$G1460,'Net zero Activity data'!$D$24:$D$39,0))*INDEX(EF!$H$84:$H$99,MATCH('Net zero emission reductions'!$G1460,EF!$D$84:$D$99,0))*INDEX(EF!$H$100:$H$115,MATCH('Net zero emission reductions'!$G1460,EF!$D$100:$D$115,0))*INDEX(EF!$H$132:$H$147,MATCH('Net zero emission reductions'!$G1460,EF!$D$132:$D$147,0))*kgtoGg</f>
        <v>0</v>
      </c>
      <c r="AT1460" s="22">
        <f>INDEX('Net zero Activity data'!BM$24:BM$39,MATCH('Net zero emission reductions'!$G1460,'Net zero Activity data'!$D$24:$D$39,0))*INDEX(EF!$H$84:$H$99,MATCH('Net zero emission reductions'!$G1460,EF!$D$84:$D$99,0))*INDEX(EF!$H$100:$H$115,MATCH('Net zero emission reductions'!$G1460,EF!$D$100:$D$115,0))*INDEX(EF!$H$132:$H$147,MATCH('Net zero emission reductions'!$G1460,EF!$D$132:$D$147,0))*kgtoGg</f>
        <v>0</v>
      </c>
      <c r="AU1460" s="22">
        <f>INDEX('Net zero Activity data'!BN$24:BN$39,MATCH('Net zero emission reductions'!$G1460,'Net zero Activity data'!$D$24:$D$39,0))*INDEX(EF!$H$84:$H$99,MATCH('Net zero emission reductions'!$G1460,EF!$D$84:$D$99,0))*INDEX(EF!$H$100:$H$115,MATCH('Net zero emission reductions'!$G1460,EF!$D$100:$D$115,0))*INDEX(EF!$H$132:$H$147,MATCH('Net zero emission reductions'!$G1460,EF!$D$132:$D$147,0))*kgtoGg</f>
        <v>0</v>
      </c>
      <c r="AV1460" s="22">
        <f>INDEX('Net zero Activity data'!BO$24:BO$39,MATCH('Net zero emission reductions'!$G1460,'Net zero Activity data'!$D$24:$D$39,0))*INDEX(EF!$H$84:$H$99,MATCH('Net zero emission reductions'!$G1460,EF!$D$84:$D$99,0))*INDEX(EF!$H$100:$H$115,MATCH('Net zero emission reductions'!$G1460,EF!$D$100:$D$115,0))*INDEX(EF!$H$132:$H$147,MATCH('Net zero emission reductions'!$G1460,EF!$D$132:$D$147,0))*kgtoGg</f>
        <v>0</v>
      </c>
      <c r="AW1460" s="22">
        <f>INDEX('Net zero Activity data'!BP$24:BP$39,MATCH('Net zero emission reductions'!$G1460,'Net zero Activity data'!$D$24:$D$39,0))*INDEX(EF!$H$84:$H$99,MATCH('Net zero emission reductions'!$G1460,EF!$D$84:$D$99,0))*INDEX(EF!$H$100:$H$115,MATCH('Net zero emission reductions'!$G1460,EF!$D$100:$D$115,0))*INDEX(EF!$H$132:$H$147,MATCH('Net zero emission reductions'!$G1460,EF!$D$132:$D$147,0))*kgtoGg</f>
        <v>0</v>
      </c>
    </row>
    <row r="1461" spans="1:49" x14ac:dyDescent="0.3">
      <c r="A1461" s="95" t="s">
        <v>960</v>
      </c>
      <c r="B1461" s="95"/>
      <c r="C1461" s="95"/>
      <c r="D1461" t="str">
        <f>D1460</f>
        <v>3C Aggregated and non-CO2 emissions on land</v>
      </c>
      <c r="E1461" t="str">
        <f>'IPCC Categories'!B71</f>
        <v>3C2 Liming (CO2)</v>
      </c>
      <c r="H1461" t="s">
        <v>381</v>
      </c>
      <c r="I1461" t="s">
        <v>380</v>
      </c>
      <c r="J1461" t="s">
        <v>382</v>
      </c>
      <c r="K1461" s="22">
        <f>'Activity data'!AD45*EF!$H$149*CtoCO2*ttoGg</f>
        <v>886.46691832724639</v>
      </c>
      <c r="L1461" s="22">
        <f>'Activity data'!AE45*EF!$H$149*CtoCO2*ttoGg</f>
        <v>888.12131157949125</v>
      </c>
      <c r="M1461" s="22">
        <f>'Activity data'!AF45*EF!$H$149*CtoCO2*ttoGg</f>
        <v>891.15452747930806</v>
      </c>
      <c r="N1461" s="22">
        <f>'Activity data'!AG45*EF!$H$149*CtoCO2*ttoGg</f>
        <v>894.77997458773643</v>
      </c>
      <c r="O1461" s="22">
        <f>'Activity data'!AH45*EF!$H$149*CtoCO2*ttoGg</f>
        <v>897.22911689738771</v>
      </c>
      <c r="P1461" s="22">
        <f>'Activity data'!AI45*EF!$H$149*CtoCO2*ttoGg</f>
        <v>898.91455113929567</v>
      </c>
      <c r="Q1461" s="22">
        <f>'Activity data'!AJ45*EF!$H$149*CtoCO2*ttoGg</f>
        <v>899.83749014303339</v>
      </c>
      <c r="R1461" s="22">
        <f>'Activity data'!AK45*EF!$H$149*CtoCO2*ttoGg</f>
        <v>901.33063602016739</v>
      </c>
      <c r="S1461" s="22">
        <f>'Activity data'!AL45*EF!$H$149*CtoCO2*ttoGg</f>
        <v>902.89907464525436</v>
      </c>
      <c r="T1461" s="22">
        <f>'Activity data'!AM45*EF!$H$149*CtoCO2*ttoGg</f>
        <v>891.99675751980965</v>
      </c>
      <c r="U1461" s="22">
        <f>'Activity data'!AN45*EF!$H$149*CtoCO2*ttoGg</f>
        <v>896.31989501908868</v>
      </c>
      <c r="V1461" s="22">
        <f>'Activity data'!AO45*EF!$H$149*CtoCO2*ttoGg</f>
        <v>902.22024497284394</v>
      </c>
      <c r="W1461" s="22">
        <f>'Activity data'!AP45*EF!$H$149*CtoCO2*ttoGg</f>
        <v>905.3909035858818</v>
      </c>
      <c r="X1461" s="22">
        <f>'Activity data'!AQ45*EF!$H$149*CtoCO2*ttoGg</f>
        <v>908.85869804414574</v>
      </c>
      <c r="Y1461" s="22">
        <f>'Activity data'!AR45*EF!$H$149*CtoCO2*ttoGg</f>
        <v>912.71420258721548</v>
      </c>
      <c r="Z1461" s="22">
        <f>'Activity data'!AS45*EF!$H$149*CtoCO2*ttoGg</f>
        <v>916.76138513802675</v>
      </c>
      <c r="AA1461" s="22">
        <f>'Activity data'!AT45*EF!$H$149*CtoCO2*ttoGg</f>
        <v>921.08070130350711</v>
      </c>
      <c r="AB1461" s="22">
        <f>'Activity data'!AU45*EF!$H$149*CtoCO2*ttoGg</f>
        <v>925.40933815746541</v>
      </c>
      <c r="AC1461" s="22">
        <f>'Activity data'!AV45*EF!$H$149*CtoCO2*ttoGg</f>
        <v>929.96831948890872</v>
      </c>
      <c r="AD1461" s="22">
        <f>'Activity data'!AW45*EF!$H$149*CtoCO2*ttoGg</f>
        <v>934.50696522239457</v>
      </c>
      <c r="AE1461" s="22">
        <f>'Activity data'!AX45*EF!$H$149*CtoCO2*ttoGg</f>
        <v>939.42761374681561</v>
      </c>
      <c r="AF1461" s="22">
        <f>'Activity data'!AY45*EF!$H$149*CtoCO2*ttoGg</f>
        <v>944.16688868183769</v>
      </c>
      <c r="AG1461" s="22">
        <f>'Activity data'!AZ45*EF!$H$149*CtoCO2*ttoGg</f>
        <v>949.0261231000643</v>
      </c>
      <c r="AH1461" s="22">
        <f>'Activity data'!BA45*EF!$H$149*CtoCO2*ttoGg</f>
        <v>954.33840569705478</v>
      </c>
      <c r="AI1461" s="22">
        <f>'Activity data'!BB45*EF!$H$149*CtoCO2*ttoGg</f>
        <v>959.278398620286</v>
      </c>
      <c r="AJ1461" s="22">
        <f>'Activity data'!BC45*EF!$H$149*CtoCO2*ttoGg</f>
        <v>964.3507815679485</v>
      </c>
      <c r="AK1461" s="22">
        <f>'Activity data'!BD45*EF!$H$149*CtoCO2*ttoGg</f>
        <v>969.61220137656596</v>
      </c>
      <c r="AL1461" s="22">
        <f>'Activity data'!BE45*EF!$H$149*CtoCO2*ttoGg</f>
        <v>974.44775869223997</v>
      </c>
      <c r="AM1461" s="22">
        <f>'Activity data'!BF45*EF!$H$149*CtoCO2*ttoGg</f>
        <v>979.14890322764631</v>
      </c>
      <c r="AN1461" s="22">
        <f>'Activity data'!BG45*EF!$H$149*CtoCO2*ttoGg</f>
        <v>983.73381176950784</v>
      </c>
      <c r="AO1461" s="22">
        <f>'Activity data'!BH45*EF!$H$149*CtoCO2*ttoGg</f>
        <v>988.57156221875641</v>
      </c>
      <c r="AP1461" s="22">
        <f>'Activity data'!BI45*EF!$H$149*CtoCO2*ttoGg</f>
        <v>993.12969939958668</v>
      </c>
      <c r="AQ1461" s="22">
        <f>'Activity data'!BJ45*EF!$H$149*CtoCO2*ttoGg</f>
        <v>997.74604101719626</v>
      </c>
      <c r="AR1461" s="22">
        <f>'Activity data'!BK45*EF!$H$149*CtoCO2*ttoGg</f>
        <v>1002.4341171721968</v>
      </c>
      <c r="AS1461" s="22">
        <f>'Activity data'!BL45*EF!$H$149*CtoCO2*ttoGg</f>
        <v>1007.2170829821735</v>
      </c>
      <c r="AT1461" s="22">
        <f>'Activity data'!BM45*EF!$H$149*CtoCO2*ttoGg</f>
        <v>1012.0749838215364</v>
      </c>
      <c r="AU1461" s="22">
        <f>'Activity data'!BN45*EF!$H$149*CtoCO2*ttoGg</f>
        <v>1013.5676439901464</v>
      </c>
      <c r="AV1461" s="22">
        <f>'Activity data'!BO45*EF!$H$149*CtoCO2*ttoGg</f>
        <v>1014.7466063039381</v>
      </c>
      <c r="AW1461" s="22">
        <f>'Activity data'!BP45*EF!$H$149*CtoCO2*ttoGg</f>
        <v>1015.4810997197675</v>
      </c>
    </row>
    <row r="1462" spans="1:49" x14ac:dyDescent="0.3">
      <c r="A1462" s="95" t="s">
        <v>960</v>
      </c>
      <c r="B1462" s="95"/>
      <c r="C1462" s="95"/>
      <c r="D1462" t="str">
        <f>D1461</f>
        <v>3C Aggregated and non-CO2 emissions on land</v>
      </c>
      <c r="E1462" t="str">
        <f>'IPCC Categories'!B72</f>
        <v>3C3 Urea application (CO2)</v>
      </c>
      <c r="H1462" t="s">
        <v>387</v>
      </c>
      <c r="I1462" t="s">
        <v>380</v>
      </c>
      <c r="J1462" t="s">
        <v>382</v>
      </c>
      <c r="K1462" s="22">
        <f>'Activity data'!AD46*EF!$H$150*CtoCO2*ttoGg</f>
        <v>470.0955092083982</v>
      </c>
      <c r="L1462" s="22">
        <f>'Activity data'!AE46*EF!$H$150*CtoCO2*ttoGg</f>
        <v>470.05382539136968</v>
      </c>
      <c r="M1462" s="22">
        <f>'Activity data'!AF46*EF!$H$150*CtoCO2*ttoGg</f>
        <v>469.97740098840234</v>
      </c>
      <c r="N1462" s="22">
        <f>'Activity data'!AG46*EF!$H$150*CtoCO2*ttoGg</f>
        <v>469.88605482647296</v>
      </c>
      <c r="O1462" s="22">
        <f>'Activity data'!AH46*EF!$H$150*CtoCO2*ttoGg</f>
        <v>469.82434664447095</v>
      </c>
      <c r="P1462" s="22">
        <f>'Activity data'!AI46*EF!$H$150*CtoCO2*ttoGg</f>
        <v>469.78188072383335</v>
      </c>
      <c r="Q1462" s="22">
        <f>'Activity data'!AJ46*EF!$H$150*CtoCO2*ttoGg</f>
        <v>469.75862650630785</v>
      </c>
      <c r="R1462" s="22">
        <f>'Activity data'!AK46*EF!$H$150*CtoCO2*ttoGg</f>
        <v>469.72100545130479</v>
      </c>
      <c r="S1462" s="22">
        <f>'Activity data'!AL46*EF!$H$150*CtoCO2*ttoGg</f>
        <v>469.68148733275598</v>
      </c>
      <c r="T1462" s="22">
        <f>'Activity data'!AM46*EF!$H$150*CtoCO2*ttoGg</f>
        <v>469.95618030048149</v>
      </c>
      <c r="U1462" s="22">
        <f>'Activity data'!AN46*EF!$H$150*CtoCO2*ttoGg</f>
        <v>469.84725524758687</v>
      </c>
      <c r="V1462" s="22">
        <f>'Activity data'!AO46*EF!$H$150*CtoCO2*ttoGg</f>
        <v>469.69859101219856</v>
      </c>
      <c r="W1462" s="22">
        <f>'Activity data'!AP46*EF!$H$150*CtoCO2*ttoGg</f>
        <v>469.61870362550462</v>
      </c>
      <c r="X1462" s="22">
        <f>'Activity data'!AQ46*EF!$H$150*CtoCO2*ttoGg</f>
        <v>469.53132965350932</v>
      </c>
      <c r="Y1462" s="22">
        <f>'Activity data'!AR46*EF!$H$150*CtoCO2*ttoGg</f>
        <v>469.43418700274725</v>
      </c>
      <c r="Z1462" s="22">
        <f>'Activity data'!AS46*EF!$H$150*CtoCO2*ttoGg</f>
        <v>469.33221486480466</v>
      </c>
      <c r="AA1462" s="22">
        <f>'Activity data'!AT46*EF!$H$150*CtoCO2*ttoGg</f>
        <v>469.22338609360048</v>
      </c>
      <c r="AB1462" s="22">
        <f>'Activity data'!AU46*EF!$H$150*CtoCO2*ttoGg</f>
        <v>469.1143224798808</v>
      </c>
      <c r="AC1462" s="22">
        <f>'Activity data'!AV46*EF!$H$150*CtoCO2*ttoGg</f>
        <v>468.99945514504452</v>
      </c>
      <c r="AD1462" s="22">
        <f>'Activity data'!AW46*EF!$H$150*CtoCO2*ttoGg</f>
        <v>468.88510018254988</v>
      </c>
      <c r="AE1462" s="22">
        <f>'Activity data'!AX46*EF!$H$150*CtoCO2*ttoGg</f>
        <v>468.76112034131472</v>
      </c>
      <c r="AF1462" s="22">
        <f>'Activity data'!AY46*EF!$H$150*CtoCO2*ttoGg</f>
        <v>468.64171035885056</v>
      </c>
      <c r="AG1462" s="22">
        <f>'Activity data'!AZ46*EF!$H$150*CtoCO2*ttoGg</f>
        <v>468.5192778972135</v>
      </c>
      <c r="AH1462" s="22">
        <f>'Activity data'!BA46*EF!$H$150*CtoCO2*ttoGg</f>
        <v>468.38543050906895</v>
      </c>
      <c r="AI1462" s="22">
        <f>'Activity data'!BB46*EF!$H$150*CtoCO2*ttoGg</f>
        <v>468.26096326958111</v>
      </c>
      <c r="AJ1462" s="22">
        <f>'Activity data'!BC46*EF!$H$150*CtoCO2*ttoGg</f>
        <v>468.13316035307253</v>
      </c>
      <c r="AK1462" s="22">
        <f>'Activity data'!BD46*EF!$H$150*CtoCO2*ttoGg</f>
        <v>468.00059449527834</v>
      </c>
      <c r="AL1462" s="22">
        <f>'Activity data'!BE46*EF!$H$150*CtoCO2*ttoGg</f>
        <v>467.87875859797629</v>
      </c>
      <c r="AM1462" s="22">
        <f>'Activity data'!BF46*EF!$H$150*CtoCO2*ttoGg</f>
        <v>467.76030934271449</v>
      </c>
      <c r="AN1462" s="22">
        <f>'Activity data'!BG46*EF!$H$150*CtoCO2*ttoGg</f>
        <v>467.64478875019984</v>
      </c>
      <c r="AO1462" s="22">
        <f>'Activity data'!BH46*EF!$H$150*CtoCO2*ttoGg</f>
        <v>467.52289759506942</v>
      </c>
      <c r="AP1462" s="22">
        <f>'Activity data'!BI46*EF!$H$150*CtoCO2*ttoGg</f>
        <v>467.40805152931154</v>
      </c>
      <c r="AQ1462" s="22">
        <f>'Activity data'!BJ46*EF!$H$150*CtoCO2*ttoGg</f>
        <v>467.29173895425197</v>
      </c>
      <c r="AR1462" s="22">
        <f>'Activity data'!BK46*EF!$H$150*CtoCO2*ttoGg</f>
        <v>467.17361896772775</v>
      </c>
      <c r="AS1462" s="22">
        <f>'Activity data'!BL46*EF!$H$150*CtoCO2*ttoGg</f>
        <v>467.05310815725005</v>
      </c>
      <c r="AT1462" s="22">
        <f>'Activity data'!BM46*EF!$H$150*CtoCO2*ttoGg</f>
        <v>466.93070929624412</v>
      </c>
      <c r="AU1462" s="22">
        <f>'Activity data'!BN46*EF!$H$150*CtoCO2*ttoGg</f>
        <v>466.89310047907219</v>
      </c>
      <c r="AV1462" s="22">
        <f>'Activity data'!BO46*EF!$H$150*CtoCO2*ttoGg</f>
        <v>466.86339554083878</v>
      </c>
      <c r="AW1462" s="22">
        <f>'Activity data'!BP46*EF!$H$150*CtoCO2*ttoGg</f>
        <v>466.8448893669817</v>
      </c>
    </row>
    <row r="1463" spans="1:49" x14ac:dyDescent="0.3">
      <c r="A1463" s="95" t="s">
        <v>960</v>
      </c>
      <c r="B1463" s="95"/>
      <c r="C1463" s="95"/>
      <c r="D1463" t="str">
        <f>D1462</f>
        <v>3C Aggregated and non-CO2 emissions on land</v>
      </c>
      <c r="E1463" t="str">
        <f>'IPCC Categories'!B73</f>
        <v>3C4 Direct N2O from managed soils (N2O)</v>
      </c>
      <c r="H1463" t="s">
        <v>419</v>
      </c>
      <c r="I1463" t="s">
        <v>139</v>
      </c>
      <c r="J1463" t="s">
        <v>287</v>
      </c>
      <c r="K1463" s="22">
        <f>'Activity data'!AD47*ttokg*SNEF*NtoN2O*kgtoGg</f>
        <v>6.6064812063358538</v>
      </c>
      <c r="L1463" s="22">
        <f>'Activity data'!AE47*ttokg*SNEF*NtoN2O*kgtoGg</f>
        <v>6.6058242184852958</v>
      </c>
      <c r="M1463" s="22">
        <f>'Activity data'!AF47*ttokg*SNEF*NtoN2O*kgtoGg</f>
        <v>6.6046196765835479</v>
      </c>
      <c r="N1463" s="22">
        <f>'Activity data'!AG47*ttokg*SNEF*NtoN2O*kgtoGg</f>
        <v>6.6031799495417181</v>
      </c>
      <c r="O1463" s="22">
        <f>'Activity data'!AH47*ttokg*SNEF*NtoN2O*kgtoGg</f>
        <v>6.6022073532502725</v>
      </c>
      <c r="P1463" s="22">
        <f>'Activity data'!AI47*ttokg*SNEF*NtoN2O*kgtoGg</f>
        <v>6.6015380384919204</v>
      </c>
      <c r="Q1463" s="22">
        <f>'Activity data'!AJ47*ttokg*SNEF*NtoN2O*kgtoGg</f>
        <v>6.6011715236312982</v>
      </c>
      <c r="R1463" s="22">
        <f>'Activity data'!AK47*ttokg*SNEF*NtoN2O*kgtoGg</f>
        <v>6.6005785698707236</v>
      </c>
      <c r="S1463" s="22">
        <f>'Activity data'!AL47*ttokg*SNEF*NtoN2O*kgtoGg</f>
        <v>6.599955716072432</v>
      </c>
      <c r="T1463" s="22">
        <f>'Activity data'!AM47*ttokg*SNEF*NtoN2O*kgtoGg</f>
        <v>6.6042852126323481</v>
      </c>
      <c r="U1463" s="22">
        <f>'Activity data'!AN47*ttokg*SNEF*NtoN2O*kgtoGg</f>
        <v>6.6025684208058211</v>
      </c>
      <c r="V1463" s="22">
        <f>'Activity data'!AO47*ttokg*SNEF*NtoN2O*kgtoGg</f>
        <v>6.6002252909433183</v>
      </c>
      <c r="W1463" s="22">
        <f>'Activity data'!AP47*ttokg*SNEF*NtoN2O*kgtoGg</f>
        <v>6.598966168189885</v>
      </c>
      <c r="X1463" s="22">
        <f>'Activity data'!AQ47*ttokg*SNEF*NtoN2O*kgtoGg</f>
        <v>6.597589047711292</v>
      </c>
      <c r="Y1463" s="22">
        <f>'Activity data'!AR47*ttokg*SNEF*NtoN2O*kgtoGg</f>
        <v>6.5960579609281904</v>
      </c>
      <c r="Z1463" s="22">
        <f>'Activity data'!AS47*ttokg*SNEF*NtoN2O*kgtoGg</f>
        <v>6.5944507555305236</v>
      </c>
      <c r="AA1463" s="22">
        <f>'Activity data'!AT47*ttokg*SNEF*NtoN2O*kgtoGg</f>
        <v>6.5927354812209922</v>
      </c>
      <c r="AB1463" s="22">
        <f>'Activity data'!AU47*ttokg*SNEF*NtoN2O*kgtoGg</f>
        <v>6.5910165055066825</v>
      </c>
      <c r="AC1463" s="22">
        <f>'Activity data'!AV47*ttokg*SNEF*NtoN2O*kgtoGg</f>
        <v>6.589206056061478</v>
      </c>
      <c r="AD1463" s="22">
        <f>'Activity data'!AW47*ttokg*SNEF*NtoN2O*kgtoGg</f>
        <v>6.5874036822299606</v>
      </c>
      <c r="AE1463" s="22">
        <f>'Activity data'!AX47*ttokg*SNEF*NtoN2O*kgtoGg</f>
        <v>6.5854496085579246</v>
      </c>
      <c r="AF1463" s="22">
        <f>'Activity data'!AY47*ttokg*SNEF*NtoN2O*kgtoGg</f>
        <v>6.5835675614397218</v>
      </c>
      <c r="AG1463" s="22">
        <f>'Activity data'!AZ47*ttokg*SNEF*NtoN2O*kgtoGg</f>
        <v>6.5816378763594336</v>
      </c>
      <c r="AH1463" s="22">
        <f>'Activity data'!BA47*ttokg*SNEF*NtoN2O*kgtoGg</f>
        <v>6.5795282781002431</v>
      </c>
      <c r="AI1463" s="22">
        <f>'Activity data'!BB47*ttokg*SNEF*NtoN2O*kgtoGg</f>
        <v>6.5775665224366495</v>
      </c>
      <c r="AJ1463" s="22">
        <f>'Activity data'!BC47*ttokg*SNEF*NtoN2O*kgtoGg</f>
        <v>6.5755521924304867</v>
      </c>
      <c r="AK1463" s="22">
        <f>'Activity data'!BD47*ttokg*SNEF*NtoN2O*kgtoGg</f>
        <v>6.573462792654313</v>
      </c>
      <c r="AL1463" s="22">
        <f>'Activity data'!BE47*ttokg*SNEF*NtoN2O*kgtoGg</f>
        <v>6.5715425101563261</v>
      </c>
      <c r="AM1463" s="22">
        <f>'Activity data'!BF47*ttokg*SNEF*NtoN2O*kgtoGg</f>
        <v>6.5696756052718408</v>
      </c>
      <c r="AN1463" s="22">
        <f>'Activity data'!BG47*ttokg*SNEF*NtoN2O*kgtoGg</f>
        <v>6.5678548596880235</v>
      </c>
      <c r="AO1463" s="22">
        <f>'Activity data'!BH47*ttokg*SNEF*NtoN2O*kgtoGg</f>
        <v>6.5659337062591927</v>
      </c>
      <c r="AP1463" s="22">
        <f>'Activity data'!BI47*ttokg*SNEF*NtoN2O*kgtoGg</f>
        <v>6.564123592040632</v>
      </c>
      <c r="AQ1463" s="22">
        <f>'Activity data'!BJ47*ttokg*SNEF*NtoN2O*kgtoGg</f>
        <v>6.5622903638449301</v>
      </c>
      <c r="AR1463" s="22">
        <f>'Activity data'!BK47*ttokg*SNEF*NtoN2O*kgtoGg</f>
        <v>6.5604286486377719</v>
      </c>
      <c r="AS1463" s="22">
        <f>'Activity data'!BL47*ttokg*SNEF*NtoN2O*kgtoGg</f>
        <v>6.5585292511260116</v>
      </c>
      <c r="AT1463" s="22">
        <f>'Activity data'!BM47*ttokg*SNEF*NtoN2O*kgtoGg</f>
        <v>6.5566000956326942</v>
      </c>
      <c r="AU1463" s="22">
        <f>'Activity data'!BN47*ttokg*SNEF*NtoN2O*kgtoGg</f>
        <v>6.5560073347552805</v>
      </c>
      <c r="AV1463" s="22">
        <f>'Activity data'!BO47*ttokg*SNEF*NtoN2O*kgtoGg</f>
        <v>6.5555391486602428</v>
      </c>
      <c r="AW1463" s="22">
        <f>'Activity data'!BP47*ttokg*SNEF*NtoN2O*kgtoGg</f>
        <v>6.5552474687649953</v>
      </c>
    </row>
    <row r="1464" spans="1:49" x14ac:dyDescent="0.3">
      <c r="A1464" s="95" t="s">
        <v>960</v>
      </c>
      <c r="B1464" s="95"/>
      <c r="C1464" s="95"/>
      <c r="D1464" t="str">
        <f t="shared" ref="D1464:F1479" si="562">D1463</f>
        <v>3C Aggregated and non-CO2 emissions on land</v>
      </c>
      <c r="E1464" t="str">
        <f>E1463</f>
        <v>3C4 Direct N2O from managed soils (N2O)</v>
      </c>
      <c r="H1464" t="s">
        <v>420</v>
      </c>
      <c r="I1464" t="str">
        <f>I1463</f>
        <v>N2O</v>
      </c>
      <c r="J1464" t="str">
        <f>J1463</f>
        <v>Gg N2O</v>
      </c>
      <c r="K1464" s="22">
        <f>'Activity data'!AD48*ttokg*ONEF*NtoN2O*kgtoGg</f>
        <v>4.3602775961816637E-2</v>
      </c>
      <c r="L1464" s="22">
        <f>'Activity data'!AE48*ttokg*ONEF*NtoN2O*kgtoGg</f>
        <v>4.3598439842002956E-2</v>
      </c>
      <c r="M1464" s="22">
        <f>'Activity data'!AF48*ttokg*ONEF*NtoN2O*kgtoGg</f>
        <v>4.3590489865451415E-2</v>
      </c>
      <c r="N1464" s="22">
        <f>'Activity data'!AG48*ttokg*ONEF*NtoN2O*kgtoGg</f>
        <v>4.3580987666975365E-2</v>
      </c>
      <c r="O1464" s="22">
        <f>'Activity data'!AH48*ttokg*ONEF*NtoN2O*kgtoGg</f>
        <v>4.3574568531451807E-2</v>
      </c>
      <c r="P1464" s="22">
        <f>'Activity data'!AI48*ttokg*ONEF*NtoN2O*kgtoGg</f>
        <v>4.3570151054046678E-2</v>
      </c>
      <c r="Q1464" s="22">
        <f>'Activity data'!AJ48*ttokg*ONEF*NtoN2O*kgtoGg</f>
        <v>4.356773205596657E-2</v>
      </c>
      <c r="R1464" s="22">
        <f>'Activity data'!AK48*ttokg*ONEF*NtoN2O*kgtoGg</f>
        <v>4.3563818561146786E-2</v>
      </c>
      <c r="S1464" s="22">
        <f>'Activity data'!AL48*ttokg*ONEF*NtoN2O*kgtoGg</f>
        <v>4.3559707726078062E-2</v>
      </c>
      <c r="T1464" s="22">
        <f>'Activity data'!AM48*ttokg*ONEF*NtoN2O*kgtoGg</f>
        <v>4.3588282403373507E-2</v>
      </c>
      <c r="U1464" s="22">
        <f>'Activity data'!AN48*ttokg*ONEF*NtoN2O*kgtoGg</f>
        <v>4.3576951577318432E-2</v>
      </c>
      <c r="V1464" s="22">
        <f>'Activity data'!AO48*ttokg*ONEF*NtoN2O*kgtoGg</f>
        <v>4.356148692022592E-2</v>
      </c>
      <c r="W1464" s="22">
        <f>'Activity data'!AP48*ttokg*ONEF*NtoN2O*kgtoGg</f>
        <v>4.3553176710053244E-2</v>
      </c>
      <c r="X1464" s="22">
        <f>'Activity data'!AQ48*ttokg*ONEF*NtoN2O*kgtoGg</f>
        <v>4.3544087714894535E-2</v>
      </c>
      <c r="Y1464" s="22">
        <f>'Activity data'!AR48*ttokg*ONEF*NtoN2O*kgtoGg</f>
        <v>4.3533982542126072E-2</v>
      </c>
      <c r="Z1464" s="22">
        <f>'Activity data'!AS48*ttokg*ONEF*NtoN2O*kgtoGg</f>
        <v>4.3523374986501467E-2</v>
      </c>
      <c r="AA1464" s="22">
        <f>'Activity data'!AT48*ttokg*ONEF*NtoN2O*kgtoGg</f>
        <v>4.3512054176058558E-2</v>
      </c>
      <c r="AB1464" s="22">
        <f>'Activity data'!AU48*ttokg*ONEF*NtoN2O*kgtoGg</f>
        <v>4.3500708936344119E-2</v>
      </c>
      <c r="AC1464" s="22">
        <f>'Activity data'!AV48*ttokg*ONEF*NtoN2O*kgtoGg</f>
        <v>4.3488759970005758E-2</v>
      </c>
      <c r="AD1464" s="22">
        <f>'Activity data'!AW48*ttokg*ONEF*NtoN2O*kgtoGg</f>
        <v>4.3476864302717751E-2</v>
      </c>
      <c r="AE1464" s="22">
        <f>'Activity data'!AX48*ttokg*ONEF*NtoN2O*kgtoGg</f>
        <v>4.3463967416482306E-2</v>
      </c>
      <c r="AF1464" s="22">
        <f>'Activity data'!AY48*ttokg*ONEF*NtoN2O*kgtoGg</f>
        <v>4.3451545905502167E-2</v>
      </c>
      <c r="AG1464" s="22">
        <f>'Activity data'!AZ48*ttokg*ONEF*NtoN2O*kgtoGg</f>
        <v>4.3438809983972274E-2</v>
      </c>
      <c r="AH1464" s="22">
        <f>'Activity data'!BA48*ttokg*ONEF*NtoN2O*kgtoGg</f>
        <v>4.342488663546161E-2</v>
      </c>
      <c r="AI1464" s="22">
        <f>'Activity data'!BB48*ttokg*ONEF*NtoN2O*kgtoGg</f>
        <v>4.3411939048081889E-2</v>
      </c>
      <c r="AJ1464" s="22">
        <f>'Activity data'!BC48*ttokg*ONEF*NtoN2O*kgtoGg</f>
        <v>4.3398644470041221E-2</v>
      </c>
      <c r="AK1464" s="22">
        <f>'Activity data'!BD48*ttokg*ONEF*NtoN2O*kgtoGg</f>
        <v>4.3384854431518481E-2</v>
      </c>
      <c r="AL1464" s="22">
        <f>'Activity data'!BE48*ttokg*ONEF*NtoN2O*kgtoGg</f>
        <v>4.3372180567031765E-2</v>
      </c>
      <c r="AM1464" s="22">
        <f>'Activity data'!BF48*ttokg*ONEF*NtoN2O*kgtoGg</f>
        <v>4.3359858994794151E-2</v>
      </c>
      <c r="AN1464" s="22">
        <f>'Activity data'!BG48*ttokg*ONEF*NtoN2O*kgtoGg</f>
        <v>4.3347842073940955E-2</v>
      </c>
      <c r="AO1464" s="22">
        <f>'Activity data'!BH48*ttokg*ONEF*NtoN2O*kgtoGg</f>
        <v>4.3335162461310681E-2</v>
      </c>
      <c r="AP1464" s="22">
        <f>'Activity data'!BI48*ttokg*ONEF*NtoN2O*kgtoGg</f>
        <v>4.3323215707468173E-2</v>
      </c>
      <c r="AQ1464" s="22">
        <f>'Activity data'!BJ48*ttokg*ONEF*NtoN2O*kgtoGg</f>
        <v>4.3311116401376547E-2</v>
      </c>
      <c r="AR1464" s="22">
        <f>'Activity data'!BK48*ttokg*ONEF*NtoN2O*kgtoGg</f>
        <v>4.32988290810093E-2</v>
      </c>
      <c r="AS1464" s="22">
        <f>'Activity data'!BL48*ttokg*ONEF*NtoN2O*kgtoGg</f>
        <v>4.3286293057431681E-2</v>
      </c>
      <c r="AT1464" s="22">
        <f>'Activity data'!BM48*ttokg*ONEF*NtoN2O*kgtoGg</f>
        <v>4.3273560631175802E-2</v>
      </c>
      <c r="AU1464" s="22">
        <f>'Activity data'!BN48*ttokg*ONEF*NtoN2O*kgtoGg</f>
        <v>4.326964840938486E-2</v>
      </c>
      <c r="AV1464" s="22">
        <f>'Activity data'!BO48*ttokg*ONEF*NtoN2O*kgtoGg</f>
        <v>4.3266558381157602E-2</v>
      </c>
      <c r="AW1464" s="22">
        <f>'Activity data'!BP48*ttokg*ONEF*NtoN2O*kgtoGg</f>
        <v>4.326463329384897E-2</v>
      </c>
    </row>
    <row r="1465" spans="1:49" x14ac:dyDescent="0.3">
      <c r="A1465" s="95" t="s">
        <v>960</v>
      </c>
      <c r="B1465" s="95"/>
      <c r="C1465" s="95"/>
      <c r="D1465" t="str">
        <f t="shared" si="562"/>
        <v>3C Aggregated and non-CO2 emissions on land</v>
      </c>
      <c r="E1465" t="str">
        <f>E1464</f>
        <v>3C4 Direct N2O from managed soils (N2O)</v>
      </c>
      <c r="H1465" t="s">
        <v>58</v>
      </c>
      <c r="I1465" t="str">
        <f>I1464</f>
        <v>N2O</v>
      </c>
      <c r="J1465" t="str">
        <f>J1464</f>
        <v>Gg N2O</v>
      </c>
      <c r="K1465" s="22">
        <f>'Activity data'!AD85*CREF*NtoN2O*kgtoGg</f>
        <v>2.94930909510781</v>
      </c>
      <c r="L1465" s="22">
        <f>'Activity data'!AE85*CREF*NtoN2O*kgtoGg</f>
        <v>2.9542138952234782</v>
      </c>
      <c r="M1465" s="22">
        <f>'Activity data'!AF85*CREF*NtoN2O*kgtoGg</f>
        <v>2.9632065078783478</v>
      </c>
      <c r="N1465" s="22">
        <f>'Activity data'!AG85*CREF*NtoN2O*kgtoGg</f>
        <v>2.9739549157146588</v>
      </c>
      <c r="O1465" s="22">
        <f>'Activity data'!AH85*CREF*NtoN2O*kgtoGg</f>
        <v>2.9812159181802835</v>
      </c>
      <c r="P1465" s="22">
        <f>'Activity data'!AI85*CREF*NtoN2O*kgtoGg</f>
        <v>2.9862127459015309</v>
      </c>
      <c r="Q1465" s="22">
        <f>'Activity data'!AJ85*CREF*NtoN2O*kgtoGg</f>
        <v>2.9889489945692191</v>
      </c>
      <c r="R1465" s="22">
        <f>'Activity data'!AK85*CREF*NtoN2O*kgtoGg</f>
        <v>2.993375742599615</v>
      </c>
      <c r="S1465" s="22">
        <f>'Activity data'!AL85*CREF*NtoN2O*kgtoGg</f>
        <v>2.9980257119701434</v>
      </c>
      <c r="T1465" s="22">
        <f>'Activity data'!AM85*CREF*NtoN2O*kgtoGg</f>
        <v>2.9657034776855355</v>
      </c>
      <c r="U1465" s="22">
        <f>'Activity data'!AN85*CREF*NtoN2O*kgtoGg</f>
        <v>2.9785203368438653</v>
      </c>
      <c r="V1465" s="22">
        <f>'Activity data'!AO85*CREF*NtoN2O*kgtoGg</f>
        <v>2.9960131772531153</v>
      </c>
      <c r="W1465" s="22">
        <f>'Activity data'!AP85*CREF*NtoN2O*kgtoGg</f>
        <v>3.0054132680180357</v>
      </c>
      <c r="X1465" s="22">
        <f>'Activity data'!AQ85*CREF*NtoN2O*kgtoGg</f>
        <v>3.0156942810945373</v>
      </c>
      <c r="Y1465" s="22">
        <f>'Activity data'!AR85*CREF*NtoN2O*kgtoGg</f>
        <v>3.0271247430497872</v>
      </c>
      <c r="Z1465" s="22">
        <f>'Activity data'!AS85*CREF*NtoN2O*kgtoGg</f>
        <v>3.0391234751628531</v>
      </c>
      <c r="AA1465" s="22">
        <f>'Activity data'!AT85*CREF*NtoN2O*kgtoGg</f>
        <v>3.0519290051656554</v>
      </c>
      <c r="AB1465" s="22">
        <f>'Activity data'!AU85*CREF*NtoN2O*kgtoGg</f>
        <v>3.0647621683287483</v>
      </c>
      <c r="AC1465" s="22">
        <f>'Activity data'!AV85*CREF*NtoN2O*kgtoGg</f>
        <v>3.078278236610247</v>
      </c>
      <c r="AD1465" s="22">
        <f>'Activity data'!AW85*CREF*NtoN2O*kgtoGg</f>
        <v>3.0917340156932256</v>
      </c>
      <c r="AE1465" s="22">
        <f>'Activity data'!AX85*CREF*NtoN2O*kgtoGg</f>
        <v>3.1063223231702981</v>
      </c>
      <c r="AF1465" s="22">
        <f>'Activity data'!AY85*CREF*NtoN2O*kgtoGg</f>
        <v>3.1203729101259317</v>
      </c>
      <c r="AG1465" s="22">
        <f>'Activity data'!AZ85*CREF*NtoN2O*kgtoGg</f>
        <v>3.1347791424435716</v>
      </c>
      <c r="AH1465" s="22">
        <f>'Activity data'!BA85*CREF*NtoN2O*kgtoGg</f>
        <v>3.1505285322943979</v>
      </c>
      <c r="AI1465" s="22">
        <f>'Activity data'!BB85*CREF*NtoN2O*kgtoGg</f>
        <v>3.165174190349632</v>
      </c>
      <c r="AJ1465" s="22">
        <f>'Activity data'!BC85*CREF*NtoN2O*kgtoGg</f>
        <v>3.1802123467460328</v>
      </c>
      <c r="AK1465" s="22">
        <f>'Activity data'!BD85*CREF*NtoN2O*kgtoGg</f>
        <v>3.1958109430597368</v>
      </c>
      <c r="AL1465" s="22">
        <f>'Activity data'!BE85*CREF*NtoN2O*kgtoGg</f>
        <v>3.2101469795788988</v>
      </c>
      <c r="AM1465" s="22">
        <f>'Activity data'!BF85*CREF*NtoN2O*kgtoGg</f>
        <v>3.2240845208676738</v>
      </c>
      <c r="AN1465" s="22">
        <f>'Activity data'!BG85*CREF*NtoN2O*kgtoGg</f>
        <v>3.2376774558702412</v>
      </c>
      <c r="AO1465" s="22">
        <f>'Activity data'!BH85*CREF*NtoN2O*kgtoGg</f>
        <v>3.2520199943996095</v>
      </c>
      <c r="AP1465" s="22">
        <f>'Activity data'!BI85*CREF*NtoN2O*kgtoGg</f>
        <v>3.2655335600173556</v>
      </c>
      <c r="AQ1465" s="22">
        <f>'Activity data'!BJ85*CREF*NtoN2O*kgtoGg</f>
        <v>3.2792196850479614</v>
      </c>
      <c r="AR1465" s="22">
        <f>'Activity data'!BK85*CREF*NtoN2O*kgtoGg</f>
        <v>3.2931184823478818</v>
      </c>
      <c r="AS1465" s="22">
        <f>'Activity data'!BL85*CREF*NtoN2O*kgtoGg</f>
        <v>3.3072986001803124</v>
      </c>
      <c r="AT1465" s="22">
        <f>'Activity data'!BM85*CREF*NtoN2O*kgtoGg</f>
        <v>3.3217008788202178</v>
      </c>
      <c r="AU1465" s="22">
        <f>'Activity data'!BN85*CREF*NtoN2O*kgtoGg</f>
        <v>3.3261261868645517</v>
      </c>
      <c r="AV1465" s="22">
        <f>'Activity data'!BO85*CREF*NtoN2O*kgtoGg</f>
        <v>3.3296214710028345</v>
      </c>
      <c r="AW1465" s="22">
        <f>'Activity data'!BP85*CREF*NtoN2O*kgtoGg</f>
        <v>3.3317990327077256</v>
      </c>
    </row>
    <row r="1466" spans="1:49" x14ac:dyDescent="0.3">
      <c r="A1466" s="95" t="s">
        <v>960</v>
      </c>
      <c r="B1466" s="95"/>
      <c r="C1466" s="95"/>
      <c r="D1466" t="str">
        <f>D1464</f>
        <v>3C Aggregated and non-CO2 emissions on land</v>
      </c>
      <c r="E1466" t="str">
        <f>E1464</f>
        <v>3C4 Direct N2O from managed soils (N2O)</v>
      </c>
      <c r="F1466" t="s">
        <v>421</v>
      </c>
      <c r="G1466" t="str">
        <f>'Activity data'!D50</f>
        <v xml:space="preserve"> - TMR</v>
      </c>
      <c r="H1466" t="str">
        <f>F1466&amp;G1466</f>
        <v>MM emissions - TMR</v>
      </c>
      <c r="I1466" t="str">
        <f>I1464</f>
        <v>N2O</v>
      </c>
      <c r="J1466" t="str">
        <f>J1464</f>
        <v>Gg N2O</v>
      </c>
      <c r="K1466" s="22">
        <f>'Activity data'!AD50*ManureNEF*NtoN2O*kgtoGg</f>
        <v>0.31878106382562998</v>
      </c>
      <c r="L1466" s="22">
        <f>'Activity data'!AE50*ManureNEF*NtoN2O*kgtoGg</f>
        <v>0.32056321299147905</v>
      </c>
      <c r="M1466" s="22">
        <f>'Activity data'!AF50*ManureNEF*NtoN2O*kgtoGg</f>
        <v>0.32309177745176459</v>
      </c>
      <c r="N1466" s="22">
        <f>'Activity data'!AG50*ManureNEF*NtoN2O*kgtoGg</f>
        <v>0.32471664946511047</v>
      </c>
      <c r="O1466" s="22">
        <f>'Activity data'!AH50*ManureNEF*NtoN2O*kgtoGg</f>
        <v>0.32579638434951874</v>
      </c>
      <c r="P1466" s="22">
        <f>'Activity data'!AI50*ManureNEF*NtoN2O*kgtoGg</f>
        <v>0.32632035510276458</v>
      </c>
      <c r="Q1466" s="22">
        <f>'Activity data'!AJ50*ManureNEF*NtoN2O*kgtoGg</f>
        <v>0.32747800149861978</v>
      </c>
      <c r="R1466" s="22">
        <f>'Activity data'!AK50*ManureNEF*NtoN2O*kgtoGg</f>
        <v>0.32880601635823298</v>
      </c>
      <c r="S1466" s="22">
        <f>'Activity data'!AL50*ManureNEF*NtoN2O*kgtoGg</f>
        <v>0.31892223916812396</v>
      </c>
      <c r="T1466" s="22">
        <f>'Activity data'!AM50*ManureNEF*NtoN2O*kgtoGg</f>
        <v>0.32227574446012153</v>
      </c>
      <c r="U1466" s="22">
        <f>'Activity data'!AN50*ManureNEF*NtoN2O*kgtoGg</f>
        <v>0.32718438885789924</v>
      </c>
      <c r="V1466" s="22">
        <f>'Activity data'!AO50*ManureNEF*NtoN2O*kgtoGg</f>
        <v>0.3297286573308299</v>
      </c>
      <c r="W1466" s="22">
        <f>'Activity data'!AP50*ManureNEF*NtoN2O*kgtoGg</f>
        <v>0.33263641751266398</v>
      </c>
      <c r="X1466" s="22">
        <f>'Activity data'!AQ50*ManureNEF*NtoN2O*kgtoGg</f>
        <v>0.3360018452717824</v>
      </c>
      <c r="Y1466" s="22">
        <f>'Activity data'!AR50*ManureNEF*NtoN2O*kgtoGg</f>
        <v>0.33943858200235472</v>
      </c>
      <c r="Z1466" s="22">
        <f>'Activity data'!AS50*ManureNEF*NtoN2O*kgtoGg</f>
        <v>0.34324260633991188</v>
      </c>
      <c r="AA1466" s="22">
        <f>'Activity data'!AT50*ManureNEF*NtoN2O*kgtoGg</f>
        <v>0.34716446895122904</v>
      </c>
      <c r="AB1466" s="22">
        <f>'Activity data'!AU50*ManureNEF*NtoN2O*kgtoGg</f>
        <v>0.35142933015547478</v>
      </c>
      <c r="AC1466" s="22">
        <f>'Activity data'!AV50*ManureNEF*NtoN2O*kgtoGg</f>
        <v>0.3557903986539287</v>
      </c>
      <c r="AD1466" s="22">
        <f>'Activity data'!AW50*ManureNEF*NtoN2O*kgtoGg</f>
        <v>0.36050179142942168</v>
      </c>
      <c r="AE1466" s="22">
        <f>'Activity data'!AX50*ManureNEF*NtoN2O*kgtoGg</f>
        <v>0.36514941854093586</v>
      </c>
      <c r="AF1466" s="22">
        <f>'Activity data'!AY50*ManureNEF*NtoN2O*kgtoGg</f>
        <v>0.37005495430435736</v>
      </c>
      <c r="AG1466" s="22">
        <f>'Activity data'!AZ50*ManureNEF*NtoN2O*kgtoGg</f>
        <v>0.37560392620070809</v>
      </c>
      <c r="AH1466" s="22">
        <f>'Activity data'!BA50*ManureNEF*NtoN2O*kgtoGg</f>
        <v>0.38087972226770728</v>
      </c>
      <c r="AI1466" s="22">
        <f>'Activity data'!BB50*ManureNEF*NtoN2O*kgtoGg</f>
        <v>0.38629002318967742</v>
      </c>
      <c r="AJ1466" s="22">
        <f>'Activity data'!BC50*ManureNEF*NtoN2O*kgtoGg</f>
        <v>0.39207609513939878</v>
      </c>
      <c r="AK1466" s="22">
        <f>'Activity data'!BD50*ManureNEF*NtoN2O*kgtoGg</f>
        <v>0.39749694724838469</v>
      </c>
      <c r="AL1466" s="22">
        <f>'Activity data'!BE50*ManureNEF*NtoN2O*kgtoGg</f>
        <v>0.4028883818835427</v>
      </c>
      <c r="AM1466" s="22">
        <f>'Activity data'!BF50*ManureNEF*NtoN2O*kgtoGg</f>
        <v>0.40826539528750555</v>
      </c>
      <c r="AN1466" s="22">
        <f>'Activity data'!BG50*ManureNEF*NtoN2O*kgtoGg</f>
        <v>0.41395411425770406</v>
      </c>
      <c r="AO1466" s="22">
        <f>'Activity data'!BH50*ManureNEF*NtoN2O*kgtoGg</f>
        <v>0.41941402149436835</v>
      </c>
      <c r="AP1466" s="22">
        <f>'Activity data'!BI50*ManureNEF*NtoN2O*kgtoGg</f>
        <v>0.4250859445304776</v>
      </c>
      <c r="AQ1466" s="22">
        <f>'Activity data'!BJ50*ManureNEF*NtoN2O*kgtoGg</f>
        <v>0.43099575197279355</v>
      </c>
      <c r="AR1466" s="22">
        <f>'Activity data'!BK50*ManureNEF*NtoN2O*kgtoGg</f>
        <v>0.43718504328373597</v>
      </c>
      <c r="AS1466" s="22">
        <f>'Activity data'!BL50*ManureNEF*NtoN2O*kgtoGg</f>
        <v>0.44348381500621098</v>
      </c>
      <c r="AT1466" s="22">
        <f>'Activity data'!BM50*ManureNEF*NtoN2O*kgtoGg</f>
        <v>0.44497720344404595</v>
      </c>
      <c r="AU1466" s="22">
        <f>'Activity data'!BN50*ManureNEF*NtoN2O*kgtoGg</f>
        <v>0.44604004342695891</v>
      </c>
      <c r="AV1466" s="22">
        <f>'Activity data'!BO50*ManureNEF*NtoN2O*kgtoGg</f>
        <v>0.44647550838656064</v>
      </c>
      <c r="AW1466" s="22">
        <f>'Activity data'!BP50*ManureNEF*NtoN2O*kgtoGg</f>
        <v>0.44673845388478889</v>
      </c>
    </row>
    <row r="1467" spans="1:49" x14ac:dyDescent="0.3">
      <c r="A1467" s="95" t="s">
        <v>960</v>
      </c>
      <c r="B1467" s="95"/>
      <c r="C1467" s="95"/>
      <c r="D1467" t="str">
        <f t="shared" si="562"/>
        <v>3C Aggregated and non-CO2 emissions on land</v>
      </c>
      <c r="E1467" t="str">
        <f t="shared" si="562"/>
        <v>3C4 Direct N2O from managed soils (N2O)</v>
      </c>
      <c r="F1467" t="str">
        <f>F1466</f>
        <v>MM emissions</v>
      </c>
      <c r="G1467" t="str">
        <f>'Activity data'!D51</f>
        <v xml:space="preserve"> - Pasture</v>
      </c>
      <c r="H1467" t="str">
        <f t="shared" ref="H1467:H1530" si="563">F1467&amp;G1467</f>
        <v>MM emissions - Pasture</v>
      </c>
      <c r="I1467" t="str">
        <f t="shared" ref="I1467:J1482" si="564">I1466</f>
        <v>N2O</v>
      </c>
      <c r="J1467" t="str">
        <f t="shared" si="564"/>
        <v>Gg N2O</v>
      </c>
      <c r="K1467" s="22">
        <f>'Activity data'!AD51*ManureNEF*NtoN2O*kgtoGg</f>
        <v>0.93210651077804862</v>
      </c>
      <c r="L1467" s="22">
        <f>'Activity data'!AE51*ManureNEF*NtoN2O*kgtoGg</f>
        <v>0.93731746283627471</v>
      </c>
      <c r="M1467" s="22">
        <f>'Activity data'!AF51*ManureNEF*NtoN2O*kgtoGg</f>
        <v>0.94471091139331731</v>
      </c>
      <c r="N1467" s="22">
        <f>'Activity data'!AG51*ManureNEF*NtoN2O*kgtoGg</f>
        <v>0.94946198965576145</v>
      </c>
      <c r="O1467" s="22">
        <f>'Activity data'!AH51*ManureNEF*NtoN2O*kgtoGg</f>
        <v>0.95261910289076079</v>
      </c>
      <c r="P1467" s="22">
        <f>'Activity data'!AI51*ManureNEF*NtoN2O*kgtoGg</f>
        <v>0.95415117805450056</v>
      </c>
      <c r="Q1467" s="22">
        <f>'Activity data'!AJ51*ManureNEF*NtoN2O*kgtoGg</f>
        <v>0.95753610227115837</v>
      </c>
      <c r="R1467" s="22">
        <f>'Activity data'!AK51*ManureNEF*NtoN2O*kgtoGg</f>
        <v>0.96141917889497119</v>
      </c>
      <c r="S1467" s="22">
        <f>'Activity data'!AL51*ManureNEF*NtoN2O*kgtoGg</f>
        <v>0.93251930335211441</v>
      </c>
      <c r="T1467" s="22">
        <f>'Activity data'!AM51*ManureNEF*NtoN2O*kgtoGg</f>
        <v>0.94232485478320349</v>
      </c>
      <c r="U1467" s="22">
        <f>'Activity data'!AN51*ManureNEF*NtoN2O*kgtoGg</f>
        <v>0.95667758749371812</v>
      </c>
      <c r="V1467" s="22">
        <f>'Activity data'!AO51*ManureNEF*NtoN2O*kgtoGg</f>
        <v>0.96411695412461496</v>
      </c>
      <c r="W1467" s="22">
        <f>'Activity data'!AP51*ManureNEF*NtoN2O*kgtoGg</f>
        <v>0.97261915988534076</v>
      </c>
      <c r="X1467" s="22">
        <f>'Activity data'!AQ51*ManureNEF*NtoN2O*kgtoGg</f>
        <v>0.98245957226172753</v>
      </c>
      <c r="Y1467" s="22">
        <f>'Activity data'!AR51*ManureNEF*NtoN2O*kgtoGg</f>
        <v>0.99250848998586416</v>
      </c>
      <c r="Z1467" s="22">
        <f>'Activity data'!AS51*ManureNEF*NtoN2O*kgtoGg</f>
        <v>1.0036313459348443</v>
      </c>
      <c r="AA1467" s="22">
        <f>'Activity data'!AT51*ManureNEF*NtoN2O*kgtoGg</f>
        <v>1.0150987575511923</v>
      </c>
      <c r="AB1467" s="22">
        <f>'Activity data'!AU51*ManureNEF*NtoN2O*kgtoGg</f>
        <v>1.0275690870253942</v>
      </c>
      <c r="AC1467" s="22">
        <f>'Activity data'!AV51*ManureNEF*NtoN2O*kgtoGg</f>
        <v>1.0403207238151548</v>
      </c>
      <c r="AD1467" s="22">
        <f>'Activity data'!AW51*ManureNEF*NtoN2O*kgtoGg</f>
        <v>1.054096698548936</v>
      </c>
      <c r="AE1467" s="22">
        <f>'Activity data'!AX51*ManureNEF*NtoN2O*kgtoGg</f>
        <v>1.0676862243454883</v>
      </c>
      <c r="AF1467" s="22">
        <f>'Activity data'!AY51*ManureNEF*NtoN2O*kgtoGg</f>
        <v>1.0820298675000297</v>
      </c>
      <c r="AG1467" s="22">
        <f>'Activity data'!AZ51*ManureNEF*NtoN2O*kgtoGg</f>
        <v>1.0982548990958272</v>
      </c>
      <c r="AH1467" s="22">
        <f>'Activity data'!BA51*ManureNEF*NtoN2O*kgtoGg</f>
        <v>1.1136811725531401</v>
      </c>
      <c r="AI1467" s="22">
        <f>'Activity data'!BB51*ManureNEF*NtoN2O*kgtoGg</f>
        <v>1.1295007342740186</v>
      </c>
      <c r="AJ1467" s="22">
        <f>'Activity data'!BC51*ManureNEF*NtoN2O*kgtoGg</f>
        <v>1.146419039494041</v>
      </c>
      <c r="AK1467" s="22">
        <f>'Activity data'!BD51*ManureNEF*NtoN2O*kgtoGg</f>
        <v>1.1622694525772803</v>
      </c>
      <c r="AL1467" s="22">
        <f>'Activity data'!BE51*ManureNEF*NtoN2O*kgtoGg</f>
        <v>1.1780338498270926</v>
      </c>
      <c r="AM1467" s="22">
        <f>'Activity data'!BF51*ManureNEF*NtoN2O*kgtoGg</f>
        <v>1.1937560798185081</v>
      </c>
      <c r="AN1467" s="22">
        <f>'Activity data'!BG51*ManureNEF*NtoN2O*kgtoGg</f>
        <v>1.2103897277726068</v>
      </c>
      <c r="AO1467" s="22">
        <f>'Activity data'!BH51*ManureNEF*NtoN2O*kgtoGg</f>
        <v>1.2263543369073659</v>
      </c>
      <c r="AP1467" s="22">
        <f>'Activity data'!BI51*ManureNEF*NtoN2O*kgtoGg</f>
        <v>1.2429388740412319</v>
      </c>
      <c r="AQ1467" s="22">
        <f>'Activity data'!BJ51*ManureNEF*NtoN2O*kgtoGg</f>
        <v>1.260218978224084</v>
      </c>
      <c r="AR1467" s="22">
        <f>'Activity data'!BK51*ManureNEF*NtoN2O*kgtoGg</f>
        <v>1.2783162850678402</v>
      </c>
      <c r="AS1467" s="22">
        <f>'Activity data'!BL51*ManureNEF*NtoN2O*kgtoGg</f>
        <v>1.2967337094341598</v>
      </c>
      <c r="AT1467" s="22">
        <f>'Activity data'!BM51*ManureNEF*NtoN2O*kgtoGg</f>
        <v>1.3011003335658498</v>
      </c>
      <c r="AU1467" s="22">
        <f>'Activity data'!BN51*ManureNEF*NtoN2O*kgtoGg</f>
        <v>1.3042080466028143</v>
      </c>
      <c r="AV1467" s="22">
        <f>'Activity data'!BO51*ManureNEF*NtoN2O*kgtoGg</f>
        <v>1.3054813334134847</v>
      </c>
      <c r="AW1467" s="22">
        <f>'Activity data'!BP51*ManureNEF*NtoN2O*kgtoGg</f>
        <v>1.3062501783628579</v>
      </c>
    </row>
    <row r="1468" spans="1:49" x14ac:dyDescent="0.3">
      <c r="A1468" s="95" t="s">
        <v>960</v>
      </c>
      <c r="B1468" s="95"/>
      <c r="C1468" s="95"/>
      <c r="D1468" t="str">
        <f t="shared" si="562"/>
        <v>3C Aggregated and non-CO2 emissions on land</v>
      </c>
      <c r="E1468" t="str">
        <f t="shared" si="562"/>
        <v>3C4 Direct N2O from managed soils (N2O)</v>
      </c>
      <c r="F1468" t="str">
        <f t="shared" si="562"/>
        <v>MM emissions</v>
      </c>
      <c r="G1468" t="str">
        <f>'Activity data'!D52</f>
        <v xml:space="preserve"> - Non-lactating</v>
      </c>
      <c r="H1468" t="str">
        <f t="shared" si="563"/>
        <v>MM emissions - Non-lactating</v>
      </c>
      <c r="I1468" t="str">
        <f t="shared" si="564"/>
        <v>N2O</v>
      </c>
      <c r="J1468" t="str">
        <f t="shared" si="564"/>
        <v>Gg N2O</v>
      </c>
      <c r="K1468" s="22">
        <f>'Activity data'!AD52*ManureNEF*NtoN2O*kgtoGg</f>
        <v>4.9862442750846919E-2</v>
      </c>
      <c r="L1468" s="22">
        <f>'Activity data'!AE52*ManureNEF*NtoN2O*kgtoGg</f>
        <v>5.0141199304605803E-2</v>
      </c>
      <c r="M1468" s="22">
        <f>'Activity data'!AF52*ManureNEF*NtoN2O*kgtoGg</f>
        <v>5.0536707115294892E-2</v>
      </c>
      <c r="N1468" s="22">
        <f>'Activity data'!AG52*ManureNEF*NtoN2O*kgtoGg</f>
        <v>5.0790863013925151E-2</v>
      </c>
      <c r="O1468" s="22">
        <f>'Activity data'!AH52*ManureNEF*NtoN2O*kgtoGg</f>
        <v>5.0959750770976316E-2</v>
      </c>
      <c r="P1468" s="22">
        <f>'Activity data'!AI52*ManureNEF*NtoN2O*kgtoGg</f>
        <v>5.1041708153806091E-2</v>
      </c>
      <c r="Q1468" s="22">
        <f>'Activity data'!AJ52*ManureNEF*NtoN2O*kgtoGg</f>
        <v>5.122278251388987E-2</v>
      </c>
      <c r="R1468" s="22">
        <f>'Activity data'!AK52*ManureNEF*NtoN2O*kgtoGg</f>
        <v>5.1430505218981168E-2</v>
      </c>
      <c r="S1468" s="22">
        <f>'Activity data'!AL52*ManureNEF*NtoN2O*kgtoGg</f>
        <v>4.9884524826075798E-2</v>
      </c>
      <c r="T1468" s="22">
        <f>'Activity data'!AM52*ManureNEF*NtoN2O*kgtoGg</f>
        <v>5.0409066540160655E-2</v>
      </c>
      <c r="U1468" s="22">
        <f>'Activity data'!AN52*ManureNEF*NtoN2O*kgtoGg</f>
        <v>5.1176856813934052E-2</v>
      </c>
      <c r="V1468" s="22">
        <f>'Activity data'!AO52*ManureNEF*NtoN2O*kgtoGg</f>
        <v>5.1574820982670536E-2</v>
      </c>
      <c r="W1468" s="22">
        <f>'Activity data'!AP52*ManureNEF*NtoN2O*kgtoGg</f>
        <v>5.2029641052156198E-2</v>
      </c>
      <c r="X1468" s="22">
        <f>'Activity data'!AQ52*ManureNEF*NtoN2O*kgtoGg</f>
        <v>5.255604763025503E-2</v>
      </c>
      <c r="Y1468" s="22">
        <f>'Activity data'!AR52*ManureNEF*NtoN2O*kgtoGg</f>
        <v>5.3093608068824946E-2</v>
      </c>
      <c r="Z1468" s="22">
        <f>'Activity data'!AS52*ManureNEF*NtoN2O*kgtoGg</f>
        <v>5.3688618147146365E-2</v>
      </c>
      <c r="AA1468" s="22">
        <f>'Activity data'!AT52*ManureNEF*NtoN2O*kgtoGg</f>
        <v>5.4302060010934287E-2</v>
      </c>
      <c r="AB1468" s="22">
        <f>'Activity data'!AU52*ManureNEF*NtoN2O*kgtoGg</f>
        <v>5.4969152325279956E-2</v>
      </c>
      <c r="AC1468" s="22">
        <f>'Activity data'!AV52*ManureNEF*NtoN2O*kgtoGg</f>
        <v>5.5651292994888926E-2</v>
      </c>
      <c r="AD1468" s="22">
        <f>'Activity data'!AW52*ManureNEF*NtoN2O*kgtoGg</f>
        <v>5.6388229968890861E-2</v>
      </c>
      <c r="AE1468" s="22">
        <f>'Activity data'!AX52*ManureNEF*NtoN2O*kgtoGg</f>
        <v>5.711519297602205E-2</v>
      </c>
      <c r="AF1468" s="22">
        <f>'Activity data'!AY52*ManureNEF*NtoN2O*kgtoGg</f>
        <v>5.7882497009801276E-2</v>
      </c>
      <c r="AG1468" s="22">
        <f>'Activity data'!AZ52*ManureNEF*NtoN2O*kgtoGg</f>
        <v>5.8750444717194539E-2</v>
      </c>
      <c r="AH1468" s="22">
        <f>'Activity data'!BA52*ManureNEF*NtoN2O*kgtoGg</f>
        <v>5.9575663367885126E-2</v>
      </c>
      <c r="AI1468" s="22">
        <f>'Activity data'!BB52*ManureNEF*NtoN2O*kgtoGg</f>
        <v>6.0421920723165649E-2</v>
      </c>
      <c r="AJ1468" s="22">
        <f>'Activity data'!BC52*ManureNEF*NtoN2O*kgtoGg</f>
        <v>6.1326954660511038E-2</v>
      </c>
      <c r="AK1468" s="22">
        <f>'Activity data'!BD52*ManureNEF*NtoN2O*kgtoGg</f>
        <v>6.2174862389725999E-2</v>
      </c>
      <c r="AL1468" s="22">
        <f>'Activity data'!BE52*ManureNEF*NtoN2O*kgtoGg</f>
        <v>6.3018168756843018E-2</v>
      </c>
      <c r="AM1468" s="22">
        <f>'Activity data'!BF52*ManureNEF*NtoN2O*kgtoGg</f>
        <v>6.3859219413391094E-2</v>
      </c>
      <c r="AN1468" s="22">
        <f>'Activity data'!BG52*ManureNEF*NtoN2O*kgtoGg</f>
        <v>6.4749025792016954E-2</v>
      </c>
      <c r="AO1468" s="22">
        <f>'Activity data'!BH52*ManureNEF*NtoN2O*kgtoGg</f>
        <v>6.5603042366106867E-2</v>
      </c>
      <c r="AP1468" s="22">
        <f>'Activity data'!BI52*ManureNEF*NtoN2O*kgtoGg</f>
        <v>6.6490221592755999E-2</v>
      </c>
      <c r="AQ1468" s="22">
        <f>'Activity data'!BJ52*ManureNEF*NtoN2O*kgtoGg</f>
        <v>6.7414609734650743E-2</v>
      </c>
      <c r="AR1468" s="22">
        <f>'Activity data'!BK52*ManureNEF*NtoN2O*kgtoGg</f>
        <v>6.8382713611200324E-2</v>
      </c>
      <c r="AS1468" s="22">
        <f>'Activity data'!BL52*ManureNEF*NtoN2O*kgtoGg</f>
        <v>6.9367941970261027E-2</v>
      </c>
      <c r="AT1468" s="22">
        <f>'Activity data'!BM52*ManureNEF*NtoN2O*kgtoGg</f>
        <v>6.9601531740596523E-2</v>
      </c>
      <c r="AU1468" s="22">
        <f>'Activity data'!BN52*ManureNEF*NtoN2O*kgtoGg</f>
        <v>6.9767776865590186E-2</v>
      </c>
      <c r="AV1468" s="22">
        <f>'Activity data'!BO52*ManureNEF*NtoN2O*kgtoGg</f>
        <v>6.983589053067922E-2</v>
      </c>
      <c r="AW1468" s="22">
        <f>'Activity data'!BP52*ManureNEF*NtoN2O*kgtoGg</f>
        <v>6.9877019400426524E-2</v>
      </c>
    </row>
    <row r="1469" spans="1:49" x14ac:dyDescent="0.3">
      <c r="A1469" s="95" t="s">
        <v>960</v>
      </c>
      <c r="B1469" s="95"/>
      <c r="C1469" s="95"/>
      <c r="D1469" t="str">
        <f t="shared" si="562"/>
        <v>3C Aggregated and non-CO2 emissions on land</v>
      </c>
      <c r="E1469" t="str">
        <f t="shared" si="562"/>
        <v>3C4 Direct N2O from managed soils (N2O)</v>
      </c>
      <c r="F1469" t="str">
        <f t="shared" si="562"/>
        <v>MM emissions</v>
      </c>
      <c r="G1469" t="str">
        <f>'Activity data'!D53</f>
        <v xml:space="preserve"> - Commercial cattle</v>
      </c>
      <c r="H1469" t="str">
        <f t="shared" si="563"/>
        <v>MM emissions - Commercial cattle</v>
      </c>
      <c r="I1469" t="str">
        <f t="shared" si="564"/>
        <v>N2O</v>
      </c>
      <c r="J1469" t="str">
        <f t="shared" si="564"/>
        <v>Gg N2O</v>
      </c>
      <c r="K1469" s="22">
        <f>'Activity data'!AD53*ManureNEF*NtoN2O*kgtoGg</f>
        <v>0.3999997899835232</v>
      </c>
      <c r="L1469" s="22">
        <f>'Activity data'!AE53*ManureNEF*NtoN2O*kgtoGg</f>
        <v>0.39653071954810187</v>
      </c>
      <c r="M1469" s="22">
        <f>'Activity data'!AF53*ManureNEF*NtoN2O*kgtoGg</f>
        <v>0.39521014945095023</v>
      </c>
      <c r="N1469" s="22">
        <f>'Activity data'!AG53*ManureNEF*NtoN2O*kgtoGg</f>
        <v>0.38993263522397309</v>
      </c>
      <c r="O1469" s="22">
        <f>'Activity data'!AH53*ManureNEF*NtoN2O*kgtoGg</f>
        <v>0.382272194437701</v>
      </c>
      <c r="P1469" s="22">
        <f>'Activity data'!AI53*ManureNEF*NtoN2O*kgtoGg</f>
        <v>0.37238723301511378</v>
      </c>
      <c r="Q1469" s="22">
        <f>'Activity data'!AJ53*ManureNEF*NtoN2O*kgtoGg</f>
        <v>0.36459067483623875</v>
      </c>
      <c r="R1469" s="22">
        <f>'Activity data'!AK53*ManureNEF*NtoN2O*kgtoGg</f>
        <v>0.3572142444544395</v>
      </c>
      <c r="S1469" s="22">
        <f>'Activity data'!AL53*ManureNEF*NtoN2O*kgtoGg</f>
        <v>0.31424439964767104</v>
      </c>
      <c r="T1469" s="22">
        <f>'Activity data'!AM53*ManureNEF*NtoN2O*kgtoGg</f>
        <v>0.31934867566353531</v>
      </c>
      <c r="U1469" s="22">
        <f>'Activity data'!AN53*ManureNEF*NtoN2O*kgtoGg</f>
        <v>0.32887086359473244</v>
      </c>
      <c r="V1469" s="22">
        <f>'Activity data'!AO53*ManureNEF*NtoN2O*kgtoGg</f>
        <v>0.33077255450985388</v>
      </c>
      <c r="W1469" s="22">
        <f>'Activity data'!AP53*ManureNEF*NtoN2O*kgtoGg</f>
        <v>0.33351533974002295</v>
      </c>
      <c r="X1469" s="22">
        <f>'Activity data'!AQ53*ManureNEF*NtoN2O*kgtoGg</f>
        <v>0.33734158563652278</v>
      </c>
      <c r="Y1469" s="22">
        <f>'Activity data'!AR53*ManureNEF*NtoN2O*kgtoGg</f>
        <v>0.34173046425936165</v>
      </c>
      <c r="Z1469" s="22">
        <f>'Activity data'!AS53*ManureNEF*NtoN2O*kgtoGg</f>
        <v>0.34687619399861491</v>
      </c>
      <c r="AA1469" s="22">
        <f>'Activity data'!AT53*ManureNEF*NtoN2O*kgtoGg</f>
        <v>0.35204565699464252</v>
      </c>
      <c r="AB1469" s="22">
        <f>'Activity data'!AU53*ManureNEF*NtoN2O*kgtoGg</f>
        <v>0.35785970773870229</v>
      </c>
      <c r="AC1469" s="22">
        <f>'Activity data'!AV53*ManureNEF*NtoN2O*kgtoGg</f>
        <v>0.36361606039285416</v>
      </c>
      <c r="AD1469" s="22">
        <f>'Activity data'!AW53*ManureNEF*NtoN2O*kgtoGg</f>
        <v>0.36736576480920718</v>
      </c>
      <c r="AE1469" s="22">
        <f>'Activity data'!AX53*ManureNEF*NtoN2O*kgtoGg</f>
        <v>0.37044453344609923</v>
      </c>
      <c r="AF1469" s="22">
        <f>'Activity data'!AY53*ManureNEF*NtoN2O*kgtoGg</f>
        <v>0.37369707806666508</v>
      </c>
      <c r="AG1469" s="22">
        <f>'Activity data'!AZ53*ManureNEF*NtoN2O*kgtoGg</f>
        <v>0.37804894622531426</v>
      </c>
      <c r="AH1469" s="22">
        <f>'Activity data'!BA53*ManureNEF*NtoN2O*kgtoGg</f>
        <v>0.38117866346584023</v>
      </c>
      <c r="AI1469" s="22">
        <f>'Activity data'!BB53*ManureNEF*NtoN2O*kgtoGg</f>
        <v>0.38451417084428363</v>
      </c>
      <c r="AJ1469" s="22">
        <f>'Activity data'!BC53*ManureNEF*NtoN2O*kgtoGg</f>
        <v>0.38818587422632583</v>
      </c>
      <c r="AK1469" s="22">
        <f>'Activity data'!BD53*ManureNEF*NtoN2O*kgtoGg</f>
        <v>0.39047383423356319</v>
      </c>
      <c r="AL1469" s="22">
        <f>'Activity data'!BE53*ManureNEF*NtoN2O*kgtoGg</f>
        <v>0.39219030360024004</v>
      </c>
      <c r="AM1469" s="22">
        <f>'Activity data'!BF53*ManureNEF*NtoN2O*kgtoGg</f>
        <v>0.39338421797559098</v>
      </c>
      <c r="AN1469" s="22">
        <f>'Activity data'!BG53*ManureNEF*NtoN2O*kgtoGg</f>
        <v>0.39709578221714281</v>
      </c>
      <c r="AO1469" s="22">
        <f>'Activity data'!BH53*ManureNEF*NtoN2O*kgtoGg</f>
        <v>0.39991704090429331</v>
      </c>
      <c r="AP1469" s="22">
        <f>'Activity data'!BI53*ManureNEF*NtoN2O*kgtoGg</f>
        <v>0.40277391205281804</v>
      </c>
      <c r="AQ1469" s="22">
        <f>'Activity data'!BJ53*ManureNEF*NtoN2O*kgtoGg</f>
        <v>0.40569907697718249</v>
      </c>
      <c r="AR1469" s="22">
        <f>'Activity data'!BK53*ManureNEF*NtoN2O*kgtoGg</f>
        <v>0.40875152256691355</v>
      </c>
      <c r="AS1469" s="22">
        <f>'Activity data'!BL53*ManureNEF*NtoN2O*kgtoGg</f>
        <v>0.41188557339004239</v>
      </c>
      <c r="AT1469" s="22">
        <f>'Activity data'!BM53*ManureNEF*NtoN2O*kgtoGg</f>
        <v>0.4057032930761475</v>
      </c>
      <c r="AU1469" s="22">
        <f>'Activity data'!BN53*ManureNEF*NtoN2O*kgtoGg</f>
        <v>0.3986998092121265</v>
      </c>
      <c r="AV1469" s="22">
        <f>'Activity data'!BO53*ManureNEF*NtoN2O*kgtoGg</f>
        <v>0.39058052493607326</v>
      </c>
      <c r="AW1469" s="22">
        <f>'Activity data'!BP53*ManureNEF*NtoN2O*kgtoGg</f>
        <v>0.38220678819508502</v>
      </c>
    </row>
    <row r="1470" spans="1:49" x14ac:dyDescent="0.3">
      <c r="A1470" s="95" t="s">
        <v>960</v>
      </c>
      <c r="B1470" s="95"/>
      <c r="C1470" s="95"/>
      <c r="D1470" t="str">
        <f t="shared" si="562"/>
        <v>3C Aggregated and non-CO2 emissions on land</v>
      </c>
      <c r="E1470" t="str">
        <f t="shared" si="562"/>
        <v>3C4 Direct N2O from managed soils (N2O)</v>
      </c>
      <c r="F1470" t="str">
        <f t="shared" si="562"/>
        <v>MM emissions</v>
      </c>
      <c r="G1470" t="str">
        <f>'Activity data'!D54</f>
        <v xml:space="preserve"> - Subsistence cattle</v>
      </c>
      <c r="H1470" t="str">
        <f t="shared" si="563"/>
        <v>MM emissions - Subsistence cattle</v>
      </c>
      <c r="I1470" t="str">
        <f t="shared" si="564"/>
        <v>N2O</v>
      </c>
      <c r="J1470" t="str">
        <f t="shared" si="564"/>
        <v>Gg N2O</v>
      </c>
      <c r="K1470" s="22">
        <f>'Activity data'!AD54*ManureNEF*NtoN2O*kgtoGg</f>
        <v>2.6602988559851246</v>
      </c>
      <c r="L1470" s="22">
        <f>'Activity data'!AE54*ManureNEF*NtoN2O*kgtoGg</f>
        <v>2.6372269335947083</v>
      </c>
      <c r="M1470" s="22">
        <f>'Activity data'!AF54*ManureNEF*NtoN2O*kgtoGg</f>
        <v>2.6284441511866339</v>
      </c>
      <c r="N1470" s="22">
        <f>'Activity data'!AG54*ManureNEF*NtoN2O*kgtoGg</f>
        <v>2.5933447201068058</v>
      </c>
      <c r="O1470" s="22">
        <f>'Activity data'!AH54*ManureNEF*NtoN2O*kgtoGg</f>
        <v>2.5423970387070201</v>
      </c>
      <c r="P1470" s="22">
        <f>'Activity data'!AI54*ManureNEF*NtoN2O*kgtoGg</f>
        <v>2.4766546252796311</v>
      </c>
      <c r="Q1470" s="22">
        <f>'Activity data'!AJ54*ManureNEF*NtoN2O*kgtoGg</f>
        <v>2.4248016610449818</v>
      </c>
      <c r="R1470" s="22">
        <f>'Activity data'!AK54*ManureNEF*NtoN2O*kgtoGg</f>
        <v>2.3757428620222045</v>
      </c>
      <c r="S1470" s="22">
        <f>'Activity data'!AL54*ManureNEF*NtoN2O*kgtoGg</f>
        <v>2.0899611395217677</v>
      </c>
      <c r="T1470" s="22">
        <f>'Activity data'!AM54*ManureNEF*NtoN2O*kgtoGg</f>
        <v>2.123908406459571</v>
      </c>
      <c r="U1470" s="22">
        <f>'Activity data'!AN54*ManureNEF*NtoN2O*kgtoGg</f>
        <v>2.1872381038598681</v>
      </c>
      <c r="V1470" s="22">
        <f>'Activity data'!AO54*ManureNEF*NtoN2O*kgtoGg</f>
        <v>2.1998857759152552</v>
      </c>
      <c r="W1470" s="22">
        <f>'Activity data'!AP54*ManureNEF*NtoN2O*kgtoGg</f>
        <v>2.2181273565179156</v>
      </c>
      <c r="X1470" s="22">
        <f>'Activity data'!AQ54*ManureNEF*NtoN2O*kgtoGg</f>
        <v>2.2435747638317936</v>
      </c>
      <c r="Y1470" s="22">
        <f>'Activity data'!AR54*ManureNEF*NtoN2O*kgtoGg</f>
        <v>2.2727641011058872</v>
      </c>
      <c r="Z1470" s="22">
        <f>'Activity data'!AS54*ManureNEF*NtoN2O*kgtoGg</f>
        <v>2.3069870664207133</v>
      </c>
      <c r="AA1470" s="22">
        <f>'Activity data'!AT54*ManureNEF*NtoN2O*kgtoGg</f>
        <v>2.3413678757080296</v>
      </c>
      <c r="AB1470" s="22">
        <f>'Activity data'!AU54*ManureNEF*NtoN2O*kgtoGg</f>
        <v>2.380035677367871</v>
      </c>
      <c r="AC1470" s="22">
        <f>'Activity data'!AV54*ManureNEF*NtoN2O*kgtoGg</f>
        <v>2.4183197434198012</v>
      </c>
      <c r="AD1470" s="22">
        <f>'Activity data'!AW54*ManureNEF*NtoN2O*kgtoGg</f>
        <v>2.4432580924362282</v>
      </c>
      <c r="AE1470" s="22">
        <f>'Activity data'!AX54*ManureNEF*NtoN2O*kgtoGg</f>
        <v>2.4637342148934525</v>
      </c>
      <c r="AF1470" s="22">
        <f>'Activity data'!AY54*ManureNEF*NtoN2O*kgtoGg</f>
        <v>2.4853660780839015</v>
      </c>
      <c r="AG1470" s="22">
        <f>'Activity data'!AZ54*ManureNEF*NtoN2O*kgtoGg</f>
        <v>2.5143092679899</v>
      </c>
      <c r="AH1470" s="22">
        <f>'Activity data'!BA54*ManureNEF*NtoN2O*kgtoGg</f>
        <v>2.5351242369049363</v>
      </c>
      <c r="AI1470" s="22">
        <f>'Activity data'!BB54*ManureNEF*NtoN2O*kgtoGg</f>
        <v>2.5573078647097613</v>
      </c>
      <c r="AJ1470" s="22">
        <f>'Activity data'!BC54*ManureNEF*NtoN2O*kgtoGg</f>
        <v>2.5817274482979573</v>
      </c>
      <c r="AK1470" s="22">
        <f>'Activity data'!BD54*ManureNEF*NtoN2O*kgtoGg</f>
        <v>2.5969440997618101</v>
      </c>
      <c r="AL1470" s="22">
        <f>'Activity data'!BE54*ManureNEF*NtoN2O*kgtoGg</f>
        <v>2.6083599094868397</v>
      </c>
      <c r="AM1470" s="22">
        <f>'Activity data'!BF54*ManureNEF*NtoN2O*kgtoGg</f>
        <v>2.6163003362731181</v>
      </c>
      <c r="AN1470" s="22">
        <f>'Activity data'!BG54*ManureNEF*NtoN2O*kgtoGg</f>
        <v>2.6409850244978843</v>
      </c>
      <c r="AO1470" s="22">
        <f>'Activity data'!BH54*ManureNEF*NtoN2O*kgtoGg</f>
        <v>2.6597485124941493</v>
      </c>
      <c r="AP1470" s="22">
        <f>'Activity data'!BI54*ManureNEF*NtoN2O*kgtoGg</f>
        <v>2.6787488500904026</v>
      </c>
      <c r="AQ1470" s="22">
        <f>'Activity data'!BJ54*ManureNEF*NtoN2O*kgtoGg</f>
        <v>2.6982033925594746</v>
      </c>
      <c r="AR1470" s="22">
        <f>'Activity data'!BK54*ManureNEF*NtoN2O*kgtoGg</f>
        <v>2.7185044469941606</v>
      </c>
      <c r="AS1470" s="22">
        <f>'Activity data'!BL54*ManureNEF*NtoN2O*kgtoGg</f>
        <v>2.739348237486432</v>
      </c>
      <c r="AT1470" s="22">
        <f>'Activity data'!BM54*ManureNEF*NtoN2O*kgtoGg</f>
        <v>2.6982314327823316</v>
      </c>
      <c r="AU1470" s="22">
        <f>'Activity data'!BN54*ManureNEF*NtoN2O*kgtoGg</f>
        <v>2.6516530080483269</v>
      </c>
      <c r="AV1470" s="22">
        <f>'Activity data'!BO54*ManureNEF*NtoN2O*kgtoGg</f>
        <v>2.5976536730189443</v>
      </c>
      <c r="AW1470" s="22">
        <f>'Activity data'!BP54*ManureNEF*NtoN2O*kgtoGg</f>
        <v>2.5419620380976129</v>
      </c>
    </row>
    <row r="1471" spans="1:49" x14ac:dyDescent="0.3">
      <c r="A1471" s="95" t="s">
        <v>960</v>
      </c>
      <c r="B1471" s="95"/>
      <c r="C1471" s="95"/>
      <c r="D1471" t="str">
        <f t="shared" si="562"/>
        <v>3C Aggregated and non-CO2 emissions on land</v>
      </c>
      <c r="E1471" t="str">
        <f t="shared" si="562"/>
        <v>3C4 Direct N2O from managed soils (N2O)</v>
      </c>
      <c r="F1471" t="str">
        <f t="shared" si="562"/>
        <v>MM emissions</v>
      </c>
      <c r="G1471" t="str">
        <f>'Activity data'!D55</f>
        <v xml:space="preserve"> - Feedlot</v>
      </c>
      <c r="H1471" t="str">
        <f t="shared" si="563"/>
        <v>MM emissions - Feedlot</v>
      </c>
      <c r="I1471" t="str">
        <f t="shared" si="564"/>
        <v>N2O</v>
      </c>
      <c r="J1471" t="str">
        <f t="shared" si="564"/>
        <v>Gg N2O</v>
      </c>
      <c r="K1471" s="22">
        <f>'Activity data'!AD55*ManureNEF*NtoN2O*kgtoGg</f>
        <v>0.34358078636628736</v>
      </c>
      <c r="L1471" s="22">
        <f>'Activity data'!AE55*ManureNEF*NtoN2O*kgtoGg</f>
        <v>0.35516571939691499</v>
      </c>
      <c r="M1471" s="22">
        <f>'Activity data'!AF55*ManureNEF*NtoN2O*kgtoGg</f>
        <v>0.36891582276573964</v>
      </c>
      <c r="N1471" s="22">
        <f>'Activity data'!AG55*ManureNEF*NtoN2O*kgtoGg</f>
        <v>0.37917034791782095</v>
      </c>
      <c r="O1471" s="22">
        <f>'Activity data'!AH55*ManureNEF*NtoN2O*kgtoGg</f>
        <v>0.38707850955818851</v>
      </c>
      <c r="P1471" s="22">
        <f>'Activity data'!AI55*ManureNEF*NtoN2O*kgtoGg</f>
        <v>0.39252728601928993</v>
      </c>
      <c r="Q1471" s="22">
        <f>'Activity data'!AJ55*ManureNEF*NtoN2O*kgtoGg</f>
        <v>0.39996713645364929</v>
      </c>
      <c r="R1471" s="22">
        <f>'Activity data'!AK55*ManureNEF*NtoN2O*kgtoGg</f>
        <v>0.40776627193753145</v>
      </c>
      <c r="S1471" s="22">
        <f>'Activity data'!AL55*ManureNEF*NtoN2O*kgtoGg</f>
        <v>0.37321314104522196</v>
      </c>
      <c r="T1471" s="22">
        <f>'Activity data'!AM55*ManureNEF*NtoN2O*kgtoGg</f>
        <v>0.3884130094850205</v>
      </c>
      <c r="U1471" s="22">
        <f>'Activity data'!AN55*ManureNEF*NtoN2O*kgtoGg</f>
        <v>0.40949913684353023</v>
      </c>
      <c r="V1471" s="22">
        <f>'Activity data'!AO55*ManureNEF*NtoN2O*kgtoGg</f>
        <v>0.4215293985273969</v>
      </c>
      <c r="W1471" s="22">
        <f>'Activity data'!AP55*ManureNEF*NtoN2O*kgtoGg</f>
        <v>0.43487839572409737</v>
      </c>
      <c r="X1471" s="22">
        <f>'Activity data'!AQ55*ManureNEF*NtoN2O*kgtoGg</f>
        <v>0.4499540833261832</v>
      </c>
      <c r="Y1471" s="22">
        <f>'Activity data'!AR55*ManureNEF*NtoN2O*kgtoGg</f>
        <v>0.46615455433442204</v>
      </c>
      <c r="Z1471" s="22">
        <f>'Activity data'!AS55*ManureNEF*NtoN2O*kgtoGg</f>
        <v>0.48381398189083635</v>
      </c>
      <c r="AA1471" s="22">
        <f>'Activity data'!AT55*ManureNEF*NtoN2O*kgtoGg</f>
        <v>0.50197004484830632</v>
      </c>
      <c r="AB1471" s="22">
        <f>'Activity data'!AU55*ManureNEF*NtoN2O*kgtoGg</f>
        <v>0.52154350048929543</v>
      </c>
      <c r="AC1471" s="22">
        <f>'Activity data'!AV55*ManureNEF*NtoN2O*kgtoGg</f>
        <v>0.5415643129229577</v>
      </c>
      <c r="AD1471" s="22">
        <f>'Activity data'!AW55*ManureNEF*NtoN2O*kgtoGg</f>
        <v>0.56529401193420392</v>
      </c>
      <c r="AE1471" s="22">
        <f>'Activity data'!AX55*ManureNEF*NtoN2O*kgtoGg</f>
        <v>0.58897158069089917</v>
      </c>
      <c r="AF1471" s="22">
        <f>'Activity data'!AY55*ManureNEF*NtoN2O*kgtoGg</f>
        <v>0.61393439377098979</v>
      </c>
      <c r="AG1471" s="22">
        <f>'Activity data'!AZ55*ManureNEF*NtoN2O*kgtoGg</f>
        <v>0.64183870134182519</v>
      </c>
      <c r="AH1471" s="22">
        <f>'Activity data'!BA55*ManureNEF*NtoN2O*kgtoGg</f>
        <v>0.66886013669524935</v>
      </c>
      <c r="AI1471" s="22">
        <f>'Activity data'!BB55*ManureNEF*NtoN2O*kgtoGg</f>
        <v>0.6974449623138369</v>
      </c>
      <c r="AJ1471" s="22">
        <f>'Activity data'!BC55*ManureNEF*NtoN2O*kgtoGg</f>
        <v>0.72794565179733817</v>
      </c>
      <c r="AK1471" s="22">
        <f>'Activity data'!BD55*ManureNEF*NtoN2O*kgtoGg</f>
        <v>0.75716831024556897</v>
      </c>
      <c r="AL1471" s="22">
        <f>'Activity data'!BE55*ManureNEF*NtoN2O*kgtoGg</f>
        <v>0.78655158010344739</v>
      </c>
      <c r="AM1471" s="22">
        <f>'Activity data'!BF55*ManureNEF*NtoN2O*kgtoGg</f>
        <v>0.81615922006003327</v>
      </c>
      <c r="AN1471" s="22">
        <f>'Activity data'!BG55*ManureNEF*NtoN2O*kgtoGg</f>
        <v>0.84710504325273028</v>
      </c>
      <c r="AO1471" s="22">
        <f>'Activity data'!BH55*ManureNEF*NtoN2O*kgtoGg</f>
        <v>0.8772777887183536</v>
      </c>
      <c r="AP1471" s="22">
        <f>'Activity data'!BI55*ManureNEF*NtoN2O*kgtoGg</f>
        <v>0.90865780083615855</v>
      </c>
      <c r="AQ1471" s="22">
        <f>'Activity data'!BJ55*ManureNEF*NtoN2O*kgtoGg</f>
        <v>0.94138400089523855</v>
      </c>
      <c r="AR1471" s="22">
        <f>'Activity data'!BK55*ManureNEF*NtoN2O*kgtoGg</f>
        <v>0.9756708685083213</v>
      </c>
      <c r="AS1471" s="22">
        <f>'Activity data'!BL55*ManureNEF*NtoN2O*kgtoGg</f>
        <v>1.0114969469202602</v>
      </c>
      <c r="AT1471" s="22">
        <f>'Activity data'!BM55*ManureNEF*NtoN2O*kgtoGg</f>
        <v>1.0252009760930854</v>
      </c>
      <c r="AU1471" s="22">
        <f>'Activity data'!BN55*ManureNEF*NtoN2O*kgtoGg</f>
        <v>1.0368909620314641</v>
      </c>
      <c r="AV1471" s="22">
        <f>'Activity data'!BO55*ManureNEF*NtoN2O*kgtoGg</f>
        <v>1.0455964615277633</v>
      </c>
      <c r="AW1471" s="22">
        <f>'Activity data'!BP55*ManureNEF*NtoN2O*kgtoGg</f>
        <v>1.0534263177729573</v>
      </c>
    </row>
    <row r="1472" spans="1:49" x14ac:dyDescent="0.3">
      <c r="A1472" s="95" t="s">
        <v>960</v>
      </c>
      <c r="B1472" s="95"/>
      <c r="C1472" s="95"/>
      <c r="D1472" t="str">
        <f t="shared" si="562"/>
        <v>3C Aggregated and non-CO2 emissions on land</v>
      </c>
      <c r="E1472" t="str">
        <f t="shared" si="562"/>
        <v>3C4 Direct N2O from managed soils (N2O)</v>
      </c>
      <c r="F1472" t="str">
        <f t="shared" si="562"/>
        <v>MM emissions</v>
      </c>
      <c r="G1472" t="str">
        <f>'Activity data'!D56</f>
        <v xml:space="preserve"> - Commercial sheep</v>
      </c>
      <c r="H1472" t="str">
        <f t="shared" si="563"/>
        <v>MM emissions - Commercial sheep</v>
      </c>
      <c r="I1472" t="str">
        <f t="shared" si="564"/>
        <v>N2O</v>
      </c>
      <c r="J1472" t="str">
        <f t="shared" si="564"/>
        <v>Gg N2O</v>
      </c>
      <c r="K1472" s="22">
        <f>'Activity data'!AD56*ManureNEF*NtoN2O*kgtoGg</f>
        <v>5.8359782740747899E-2</v>
      </c>
      <c r="L1472" s="22">
        <f>'Activity data'!AE56*ManureNEF*NtoN2O*kgtoGg</f>
        <v>5.8391337689573865E-2</v>
      </c>
      <c r="M1472" s="22">
        <f>'Activity data'!AF56*ManureNEF*NtoN2O*kgtoGg</f>
        <v>5.8466784388382168E-2</v>
      </c>
      <c r="N1472" s="22">
        <f>'Activity data'!AG56*ManureNEF*NtoN2O*kgtoGg</f>
        <v>5.857803115055428E-2</v>
      </c>
      <c r="O1472" s="22">
        <f>'Activity data'!AH56*ManureNEF*NtoN2O*kgtoGg</f>
        <v>5.872437103691365E-2</v>
      </c>
      <c r="P1472" s="22">
        <f>'Activity data'!AI56*ManureNEF*NtoN2O*kgtoGg</f>
        <v>5.890425875881948E-2</v>
      </c>
      <c r="Q1472" s="22">
        <f>'Activity data'!AJ56*ManureNEF*NtoN2O*kgtoGg</f>
        <v>5.9106297224497076E-2</v>
      </c>
      <c r="R1472" s="22">
        <f>'Activity data'!AK56*ManureNEF*NtoN2O*kgtoGg</f>
        <v>5.932921089397071E-2</v>
      </c>
      <c r="S1472" s="22">
        <f>'Activity data'!AL56*ManureNEF*NtoN2O*kgtoGg</f>
        <v>5.9533053172061867E-2</v>
      </c>
      <c r="T1472" s="22">
        <f>'Activity data'!AM56*ManureNEF*NtoN2O*kgtoGg</f>
        <v>5.9622626403998236E-2</v>
      </c>
      <c r="U1472" s="22">
        <f>'Activity data'!AN56*ManureNEF*NtoN2O*kgtoGg</f>
        <v>5.9732014563410027E-2</v>
      </c>
      <c r="V1472" s="22">
        <f>'Activity data'!AO56*ManureNEF*NtoN2O*kgtoGg</f>
        <v>5.9846990057404043E-2</v>
      </c>
      <c r="W1472" s="22">
        <f>'Activity data'!AP56*ManureNEF*NtoN2O*kgtoGg</f>
        <v>5.9976074595492208E-2</v>
      </c>
      <c r="X1472" s="22">
        <f>'Activity data'!AQ56*ManureNEF*NtoN2O*kgtoGg</f>
        <v>6.0118906996584121E-2</v>
      </c>
      <c r="Y1472" s="22">
        <f>'Activity data'!AR56*ManureNEF*NtoN2O*kgtoGg</f>
        <v>6.0208109427104674E-2</v>
      </c>
      <c r="Z1472" s="22">
        <f>'Activity data'!AS56*ManureNEF*NtoN2O*kgtoGg</f>
        <v>6.0308885561081285E-2</v>
      </c>
      <c r="AA1472" s="22">
        <f>'Activity data'!AT56*ManureNEF*NtoN2O*kgtoGg</f>
        <v>6.0419873689415794E-2</v>
      </c>
      <c r="AB1472" s="22">
        <f>'Activity data'!AU56*ManureNEF*NtoN2O*kgtoGg</f>
        <v>6.0541378990392976E-2</v>
      </c>
      <c r="AC1472" s="22">
        <f>'Activity data'!AV56*ManureNEF*NtoN2O*kgtoGg</f>
        <v>6.0672147346661598E-2</v>
      </c>
      <c r="AD1472" s="22">
        <f>'Activity data'!AW56*ManureNEF*NtoN2O*kgtoGg</f>
        <v>6.075986875735849E-2</v>
      </c>
      <c r="AE1472" s="22">
        <f>'Activity data'!AX56*ManureNEF*NtoN2O*kgtoGg</f>
        <v>6.0855100315135816E-2</v>
      </c>
      <c r="AF1472" s="22">
        <f>'Activity data'!AY56*ManureNEF*NtoN2O*kgtoGg</f>
        <v>6.095860752574931E-2</v>
      </c>
      <c r="AG1472" s="22">
        <f>'Activity data'!AZ56*ManureNEF*NtoN2O*kgtoGg</f>
        <v>6.1071400786534412E-2</v>
      </c>
      <c r="AH1472" s="22">
        <f>'Activity data'!BA56*ManureNEF*NtoN2O*kgtoGg</f>
        <v>6.1190093146373289E-2</v>
      </c>
      <c r="AI1472" s="22">
        <f>'Activity data'!BB56*ManureNEF*NtoN2O*kgtoGg</f>
        <v>6.1265960925417272E-2</v>
      </c>
      <c r="AJ1472" s="22">
        <f>'Activity data'!BC56*ManureNEF*NtoN2O*kgtoGg</f>
        <v>6.1349061452671098E-2</v>
      </c>
      <c r="AK1472" s="22">
        <f>'Activity data'!BD56*ManureNEF*NtoN2O*kgtoGg</f>
        <v>6.1436653899188148E-2</v>
      </c>
      <c r="AL1472" s="22">
        <f>'Activity data'!BE56*ManureNEF*NtoN2O*kgtoGg</f>
        <v>6.152967077586103E-2</v>
      </c>
      <c r="AM1472" s="22">
        <f>'Activity data'!BF56*ManureNEF*NtoN2O*kgtoGg</f>
        <v>6.1627971048734624E-2</v>
      </c>
      <c r="AN1472" s="22">
        <f>'Activity data'!BG56*ManureNEF*NtoN2O*kgtoGg</f>
        <v>6.1686054121935154E-2</v>
      </c>
      <c r="AO1472" s="22">
        <f>'Activity data'!BH56*ManureNEF*NtoN2O*kgtoGg</f>
        <v>6.1748058507407479E-2</v>
      </c>
      <c r="AP1472" s="22">
        <f>'Activity data'!BI56*ManureNEF*NtoN2O*kgtoGg</f>
        <v>6.1815315922285695E-2</v>
      </c>
      <c r="AQ1472" s="22">
        <f>'Activity data'!BJ56*ManureNEF*NtoN2O*kgtoGg</f>
        <v>6.1887761342917867E-2</v>
      </c>
      <c r="AR1472" s="22">
        <f>'Activity data'!BK56*ManureNEF*NtoN2O*kgtoGg</f>
        <v>6.1965393268001254E-2</v>
      </c>
      <c r="AS1472" s="22">
        <f>'Activity data'!BL56*ManureNEF*NtoN2O*kgtoGg</f>
        <v>6.2000613011444994E-2</v>
      </c>
      <c r="AT1472" s="22">
        <f>'Activity data'!BM56*ManureNEF*NtoN2O*kgtoGg</f>
        <v>6.2023309807671526E-2</v>
      </c>
      <c r="AU1472" s="22">
        <f>'Activity data'!BN56*ManureNEF*NtoN2O*kgtoGg</f>
        <v>6.2048189785904866E-2</v>
      </c>
      <c r="AV1472" s="22">
        <f>'Activity data'!BO56*ManureNEF*NtoN2O*kgtoGg</f>
        <v>6.2074469713562223E-2</v>
      </c>
      <c r="AW1472" s="22">
        <f>'Activity data'!BP56*ManureNEF*NtoN2O*kgtoGg</f>
        <v>6.2103581129763968E-2</v>
      </c>
    </row>
    <row r="1473" spans="1:49" x14ac:dyDescent="0.3">
      <c r="A1473" s="95" t="s">
        <v>960</v>
      </c>
      <c r="B1473" s="95"/>
      <c r="C1473" s="95"/>
      <c r="D1473" t="str">
        <f t="shared" si="562"/>
        <v>3C Aggregated and non-CO2 emissions on land</v>
      </c>
      <c r="E1473" t="str">
        <f t="shared" si="562"/>
        <v>3C4 Direct N2O from managed soils (N2O)</v>
      </c>
      <c r="F1473" t="str">
        <f t="shared" si="562"/>
        <v>MM emissions</v>
      </c>
      <c r="G1473" t="str">
        <f>'Activity data'!D57</f>
        <v xml:space="preserve"> - Subsistence sheep</v>
      </c>
      <c r="H1473" t="str">
        <f t="shared" si="563"/>
        <v>MM emissions - Subsistence sheep</v>
      </c>
      <c r="I1473" t="str">
        <f t="shared" si="564"/>
        <v>N2O</v>
      </c>
      <c r="J1473" t="str">
        <f t="shared" si="564"/>
        <v>Gg N2O</v>
      </c>
      <c r="K1473" s="22">
        <f>'Activity data'!AD57*ManureNEF*NtoN2O*kgtoGg</f>
        <v>4.7496930236945983E-2</v>
      </c>
      <c r="L1473" s="22">
        <f>'Activity data'!AE57*ManureNEF*NtoN2O*kgtoGg</f>
        <v>4.7522611675988952E-2</v>
      </c>
      <c r="M1473" s="22">
        <f>'Activity data'!AF57*ManureNEF*NtoN2O*kgtoGg</f>
        <v>4.7584015033260249E-2</v>
      </c>
      <c r="N1473" s="22">
        <f>'Activity data'!AG57*ManureNEF*NtoN2O*kgtoGg</f>
        <v>4.7674554775764919E-2</v>
      </c>
      <c r="O1473" s="22">
        <f>'Activity data'!AH57*ManureNEF*NtoN2O*kgtoGg</f>
        <v>4.7793655551108268E-2</v>
      </c>
      <c r="P1473" s="22">
        <f>'Activity data'!AI57*ManureNEF*NtoN2O*kgtoGg</f>
        <v>4.7940059704389672E-2</v>
      </c>
      <c r="Q1473" s="22">
        <f>'Activity data'!AJ57*ManureNEF*NtoN2O*kgtoGg</f>
        <v>4.8104491552124547E-2</v>
      </c>
      <c r="R1473" s="22">
        <f>'Activity data'!AK57*ManureNEF*NtoN2O*kgtoGg</f>
        <v>4.8285912978158388E-2</v>
      </c>
      <c r="S1473" s="22">
        <f>'Activity data'!AL57*ManureNEF*NtoN2O*kgtoGg</f>
        <v>4.8451812884003569E-2</v>
      </c>
      <c r="T1473" s="22">
        <f>'Activity data'!AM57*ManureNEF*NtoN2O*kgtoGg</f>
        <v>4.8524713319004827E-2</v>
      </c>
      <c r="U1473" s="22">
        <f>'Activity data'!AN57*ManureNEF*NtoN2O*kgtoGg</f>
        <v>4.8613740411504645E-2</v>
      </c>
      <c r="V1473" s="22">
        <f>'Activity data'!AO57*ManureNEF*NtoN2O*kgtoGg</f>
        <v>4.8707314834861425E-2</v>
      </c>
      <c r="W1473" s="22">
        <f>'Activity data'!AP57*ManureNEF*NtoN2O*kgtoGg</f>
        <v>4.8812372102251839E-2</v>
      </c>
      <c r="X1473" s="22">
        <f>'Activity data'!AQ57*ManureNEF*NtoN2O*kgtoGg</f>
        <v>4.8928618261364118E-2</v>
      </c>
      <c r="Y1473" s="22">
        <f>'Activity data'!AR57*ManureNEF*NtoN2O*kgtoGg</f>
        <v>4.9001216914416376E-2</v>
      </c>
      <c r="Z1473" s="22">
        <f>'Activity data'!AS57*ManureNEF*NtoN2O*kgtoGg</f>
        <v>4.908323498885471E-2</v>
      </c>
      <c r="AA1473" s="22">
        <f>'Activity data'!AT57*ManureNEF*NtoN2O*kgtoGg</f>
        <v>4.9173564238571964E-2</v>
      </c>
      <c r="AB1473" s="22">
        <f>'Activity data'!AU57*ManureNEF*NtoN2O*kgtoGg</f>
        <v>4.9272453037208674E-2</v>
      </c>
      <c r="AC1473" s="22">
        <f>'Activity data'!AV57*ManureNEF*NtoN2O*kgtoGg</f>
        <v>4.9378880703714607E-2</v>
      </c>
      <c r="AD1473" s="22">
        <f>'Activity data'!AW57*ManureNEF*NtoN2O*kgtoGg</f>
        <v>4.9450274007947166E-2</v>
      </c>
      <c r="AE1473" s="22">
        <f>'Activity data'!AX57*ManureNEF*NtoN2O*kgtoGg</f>
        <v>4.9527779551040076E-2</v>
      </c>
      <c r="AF1473" s="22">
        <f>'Activity data'!AY57*ManureNEF*NtoN2O*kgtoGg</f>
        <v>4.9612020350622385E-2</v>
      </c>
      <c r="AG1473" s="22">
        <f>'Activity data'!AZ57*ManureNEF*NtoN2O*kgtoGg</f>
        <v>4.9703818732780645E-2</v>
      </c>
      <c r="AH1473" s="22">
        <f>'Activity data'!BA57*ManureNEF*NtoN2O*kgtoGg</f>
        <v>4.9800418179697173E-2</v>
      </c>
      <c r="AI1473" s="22">
        <f>'Activity data'!BB57*ManureNEF*NtoN2O*kgtoGg</f>
        <v>4.9862164239042377E-2</v>
      </c>
      <c r="AJ1473" s="22">
        <f>'Activity data'!BC57*ManureNEF*NtoN2O*kgtoGg</f>
        <v>4.992979677227443E-2</v>
      </c>
      <c r="AK1473" s="22">
        <f>'Activity data'!BD57*ManureNEF*NtoN2O*kgtoGg</f>
        <v>5.0001085117194859E-2</v>
      </c>
      <c r="AL1473" s="22">
        <f>'Activity data'!BE57*ManureNEF*NtoN2O*kgtoGg</f>
        <v>5.0076788210912958E-2</v>
      </c>
      <c r="AM1473" s="22">
        <f>'Activity data'!BF57*ManureNEF*NtoN2O*kgtoGg</f>
        <v>5.0156791270960163E-2</v>
      </c>
      <c r="AN1473" s="22">
        <f>'Activity data'!BG57*ManureNEF*NtoN2O*kgtoGg</f>
        <v>5.0204062997244822E-2</v>
      </c>
      <c r="AO1473" s="22">
        <f>'Activity data'!BH57*ManureNEF*NtoN2O*kgtoGg</f>
        <v>5.0254526138690123E-2</v>
      </c>
      <c r="AP1473" s="22">
        <f>'Activity data'!BI57*ManureNEF*NtoN2O*kgtoGg</f>
        <v>5.0309264532021343E-2</v>
      </c>
      <c r="AQ1473" s="22">
        <f>'Activity data'!BJ57*ManureNEF*NtoN2O*kgtoGg</f>
        <v>5.036822525682455E-2</v>
      </c>
      <c r="AR1473" s="22">
        <f>'Activity data'!BK57*ManureNEF*NtoN2O*kgtoGg</f>
        <v>5.0431407091243406E-2</v>
      </c>
      <c r="AS1473" s="22">
        <f>'Activity data'!BL57*ManureNEF*NtoN2O*kgtoGg</f>
        <v>5.0460071174945387E-2</v>
      </c>
      <c r="AT1473" s="22">
        <f>'Activity data'!BM57*ManureNEF*NtoN2O*kgtoGg</f>
        <v>5.0478543281871534E-2</v>
      </c>
      <c r="AU1473" s="22">
        <f>'Activity data'!BN57*ManureNEF*NtoN2O*kgtoGg</f>
        <v>5.0498792202188725E-2</v>
      </c>
      <c r="AV1473" s="22">
        <f>'Activity data'!BO57*ManureNEF*NtoN2O*kgtoGg</f>
        <v>5.0520180491040283E-2</v>
      </c>
      <c r="AW1473" s="22">
        <f>'Activity data'!BP57*ManureNEF*NtoN2O*kgtoGg</f>
        <v>5.0543873226679401E-2</v>
      </c>
    </row>
    <row r="1474" spans="1:49" x14ac:dyDescent="0.3">
      <c r="A1474" s="95" t="s">
        <v>960</v>
      </c>
      <c r="B1474" s="95"/>
      <c r="C1474" s="95"/>
      <c r="D1474" t="str">
        <f t="shared" si="562"/>
        <v>3C Aggregated and non-CO2 emissions on land</v>
      </c>
      <c r="E1474" t="str">
        <f t="shared" si="562"/>
        <v>3C4 Direct N2O from managed soils (N2O)</v>
      </c>
      <c r="F1474" t="str">
        <f t="shared" si="562"/>
        <v>MM emissions</v>
      </c>
      <c r="G1474" t="str">
        <f>'Activity data'!D58</f>
        <v xml:space="preserve"> - Commercial goats</v>
      </c>
      <c r="H1474" t="str">
        <f t="shared" si="563"/>
        <v>MM emissions - Commercial goats</v>
      </c>
      <c r="I1474" t="str">
        <f t="shared" si="564"/>
        <v>N2O</v>
      </c>
      <c r="J1474" t="str">
        <f t="shared" si="564"/>
        <v>Gg N2O</v>
      </c>
      <c r="K1474" s="22">
        <f>'Activity data'!AD58*ManureNEF*NtoN2O*kgtoGg</f>
        <v>7.214092738049376E-3</v>
      </c>
      <c r="L1474" s="22">
        <f>'Activity data'!AE58*ManureNEF*NtoN2O*kgtoGg</f>
        <v>7.2328458969643655E-3</v>
      </c>
      <c r="M1474" s="22">
        <f>'Activity data'!AF58*ManureNEF*NtoN2O*kgtoGg</f>
        <v>7.2587152169743185E-3</v>
      </c>
      <c r="N1474" s="22">
        <f>'Activity data'!AG58*ManureNEF*NtoN2O*kgtoGg</f>
        <v>7.2902308808567374E-3</v>
      </c>
      <c r="O1474" s="22">
        <f>'Activity data'!AH58*ManureNEF*NtoN2O*kgtoGg</f>
        <v>7.3273479389297461E-3</v>
      </c>
      <c r="P1474" s="22">
        <f>'Activity data'!AI58*ManureNEF*NtoN2O*kgtoGg</f>
        <v>7.3698404773103405E-3</v>
      </c>
      <c r="Q1474" s="22">
        <f>'Activity data'!AJ58*ManureNEF*NtoN2O*kgtoGg</f>
        <v>7.4155715935563154E-3</v>
      </c>
      <c r="R1474" s="22">
        <f>'Activity data'!AK58*ManureNEF*NtoN2O*kgtoGg</f>
        <v>7.4643602602570466E-3</v>
      </c>
      <c r="S1474" s="22">
        <f>'Activity data'!AL58*ManureNEF*NtoN2O*kgtoGg</f>
        <v>7.508606055628168E-3</v>
      </c>
      <c r="T1474" s="22">
        <f>'Activity data'!AM58*ManureNEF*NtoN2O*kgtoGg</f>
        <v>7.530218392894506E-3</v>
      </c>
      <c r="U1474" s="22">
        <f>'Activity data'!AN58*ManureNEF*NtoN2O*kgtoGg</f>
        <v>7.5549909541397786E-3</v>
      </c>
      <c r="V1474" s="22">
        <f>'Activity data'!AO58*ManureNEF*NtoN2O*kgtoGg</f>
        <v>7.5802429112896688E-3</v>
      </c>
      <c r="W1474" s="22">
        <f>'Activity data'!AP58*ManureNEF*NtoN2O*kgtoGg</f>
        <v>7.6076305558180233E-3</v>
      </c>
      <c r="X1474" s="22">
        <f>'Activity data'!AQ58*ManureNEF*NtoN2O*kgtoGg</f>
        <v>7.6371086242101958E-3</v>
      </c>
      <c r="Y1474" s="22">
        <f>'Activity data'!AR58*ManureNEF*NtoN2O*kgtoGg</f>
        <v>7.6559732990994986E-3</v>
      </c>
      <c r="Z1474" s="22">
        <f>'Activity data'!AS58*ManureNEF*NtoN2O*kgtoGg</f>
        <v>7.6766122997346123E-3</v>
      </c>
      <c r="AA1474" s="22">
        <f>'Activity data'!AT58*ManureNEF*NtoN2O*kgtoGg</f>
        <v>7.6987842276677087E-3</v>
      </c>
      <c r="AB1474" s="22">
        <f>'Activity data'!AU58*ManureNEF*NtoN2O*kgtoGg</f>
        <v>7.7225602786557407E-3</v>
      </c>
      <c r="AC1474" s="22">
        <f>'Activity data'!AV58*ManureNEF*NtoN2O*kgtoGg</f>
        <v>7.7477172000671966E-3</v>
      </c>
      <c r="AD1474" s="22">
        <f>'Activity data'!AW58*ManureNEF*NtoN2O*kgtoGg</f>
        <v>7.7644940114083667E-3</v>
      </c>
      <c r="AE1474" s="22">
        <f>'Activity data'!AX58*ManureNEF*NtoN2O*kgtoGg</f>
        <v>7.7823854824558272E-3</v>
      </c>
      <c r="AF1474" s="22">
        <f>'Activity data'!AY58*ManureNEF*NtoN2O*kgtoGg</f>
        <v>7.8015430548696758E-3</v>
      </c>
      <c r="AG1474" s="22">
        <f>'Activity data'!AZ58*ManureNEF*NtoN2O*kgtoGg</f>
        <v>7.8221613065677827E-3</v>
      </c>
      <c r="AH1474" s="22">
        <f>'Activity data'!BA58*ManureNEF*NtoN2O*kgtoGg</f>
        <v>7.8436173383695379E-3</v>
      </c>
      <c r="AI1474" s="22">
        <f>'Activity data'!BB58*ManureNEF*NtoN2O*kgtoGg</f>
        <v>7.8569056109017259E-3</v>
      </c>
      <c r="AJ1474" s="22">
        <f>'Activity data'!BC58*ManureNEF*NtoN2O*kgtoGg</f>
        <v>7.8713258060749292E-3</v>
      </c>
      <c r="AK1474" s="22">
        <f>'Activity data'!BD58*ManureNEF*NtoN2O*kgtoGg</f>
        <v>7.8863764085469988E-3</v>
      </c>
      <c r="AL1474" s="22">
        <f>'Activity data'!BE58*ManureNEF*NtoN2O*kgtoGg</f>
        <v>7.9022347099283879E-3</v>
      </c>
      <c r="AM1474" s="22">
        <f>'Activity data'!BF58*ManureNEF*NtoN2O*kgtoGg</f>
        <v>7.9188789980088534E-3</v>
      </c>
      <c r="AN1474" s="22">
        <f>'Activity data'!BG58*ManureNEF*NtoN2O*kgtoGg</f>
        <v>7.927972418898541E-3</v>
      </c>
      <c r="AO1474" s="22">
        <f>'Activity data'!BH58*ManureNEF*NtoN2O*kgtoGg</f>
        <v>7.9376387015817219E-3</v>
      </c>
      <c r="AP1474" s="22">
        <f>'Activity data'!BI58*ManureNEF*NtoN2O*kgtoGg</f>
        <v>7.9481245993818089E-3</v>
      </c>
      <c r="AQ1474" s="22">
        <f>'Activity data'!BJ58*ManureNEF*NtoN2O*kgtoGg</f>
        <v>7.9594200977915561E-3</v>
      </c>
      <c r="AR1474" s="22">
        <f>'Activity data'!BK58*ManureNEF*NtoN2O*kgtoGg</f>
        <v>7.9715264998755E-3</v>
      </c>
      <c r="AS1474" s="22">
        <f>'Activity data'!BL58*ManureNEF*NtoN2O*kgtoGg</f>
        <v>7.9757936370942299E-3</v>
      </c>
      <c r="AT1474" s="22">
        <f>'Activity data'!BM58*ManureNEF*NtoN2O*kgtoGg</f>
        <v>7.9776886737032964E-3</v>
      </c>
      <c r="AU1474" s="22">
        <f>'Activity data'!BN58*ManureNEF*NtoN2O*kgtoGg</f>
        <v>7.979891666850529E-3</v>
      </c>
      <c r="AV1474" s="22">
        <f>'Activity data'!BO58*ManureNEF*NtoN2O*kgtoGg</f>
        <v>7.9822633621210899E-3</v>
      </c>
      <c r="AW1474" s="22">
        <f>'Activity data'!BP58*ManureNEF*NtoN2O*kgtoGg</f>
        <v>7.9850651414760491E-3</v>
      </c>
    </row>
    <row r="1475" spans="1:49" x14ac:dyDescent="0.3">
      <c r="A1475" s="95" t="s">
        <v>960</v>
      </c>
      <c r="B1475" s="95"/>
      <c r="C1475" s="95"/>
      <c r="D1475" t="str">
        <f t="shared" si="562"/>
        <v>3C Aggregated and non-CO2 emissions on land</v>
      </c>
      <c r="E1475" t="str">
        <f t="shared" si="562"/>
        <v>3C4 Direct N2O from managed soils (N2O)</v>
      </c>
      <c r="F1475" t="str">
        <f t="shared" si="562"/>
        <v>MM emissions</v>
      </c>
      <c r="G1475" t="str">
        <f>'Activity data'!D59</f>
        <v xml:space="preserve"> - Subsistence goats</v>
      </c>
      <c r="H1475" t="str">
        <f t="shared" si="563"/>
        <v>MM emissions - Subsistence goats</v>
      </c>
      <c r="I1475" t="str">
        <f t="shared" si="564"/>
        <v>N2O</v>
      </c>
      <c r="J1475" t="str">
        <f t="shared" si="564"/>
        <v>Gg N2O</v>
      </c>
      <c r="K1475" s="22">
        <f>'Activity data'!AD59*ManureNEF*NtoN2O*kgtoGg</f>
        <v>8.7045671471293537E-2</v>
      </c>
      <c r="L1475" s="22">
        <f>'Activity data'!AE59*ManureNEF*NtoN2O*kgtoGg</f>
        <v>8.7271948200639354E-2</v>
      </c>
      <c r="M1475" s="22">
        <f>'Activity data'!AF59*ManureNEF*NtoN2O*kgtoGg</f>
        <v>8.7584088952434122E-2</v>
      </c>
      <c r="N1475" s="22">
        <f>'Activity data'!AG59*ManureNEF*NtoN2O*kgtoGg</f>
        <v>8.7964358824768829E-2</v>
      </c>
      <c r="O1475" s="22">
        <f>'Activity data'!AH59*ManureNEF*NtoN2O*kgtoGg</f>
        <v>8.8412215452112072E-2</v>
      </c>
      <c r="P1475" s="22">
        <f>'Activity data'!AI59*ManureNEF*NtoN2O*kgtoGg</f>
        <v>8.8924932944132923E-2</v>
      </c>
      <c r="Q1475" s="22">
        <f>'Activity data'!AJ59*ManureNEF*NtoN2O*kgtoGg</f>
        <v>8.9476727309038592E-2</v>
      </c>
      <c r="R1475" s="22">
        <f>'Activity data'!AK59*ManureNEF*NtoN2O*kgtoGg</f>
        <v>9.0065414259340087E-2</v>
      </c>
      <c r="S1475" s="22">
        <f>'Activity data'!AL59*ManureNEF*NtoN2O*kgtoGg</f>
        <v>9.0599286654346481E-2</v>
      </c>
      <c r="T1475" s="22">
        <f>'Activity data'!AM59*ManureNEF*NtoN2O*kgtoGg</f>
        <v>9.0860062399505684E-2</v>
      </c>
      <c r="U1475" s="22">
        <f>'Activity data'!AN59*ManureNEF*NtoN2O*kgtoGg</f>
        <v>9.1158969594901898E-2</v>
      </c>
      <c r="V1475" s="22">
        <f>'Activity data'!AO59*ManureNEF*NtoN2O*kgtoGg</f>
        <v>9.146366120975781E-2</v>
      </c>
      <c r="W1475" s="22">
        <f>'Activity data'!AP59*ManureNEF*NtoN2O*kgtoGg</f>
        <v>9.1794122155375246E-2</v>
      </c>
      <c r="X1475" s="22">
        <f>'Activity data'!AQ59*ManureNEF*NtoN2O*kgtoGg</f>
        <v>9.2149806279498009E-2</v>
      </c>
      <c r="Y1475" s="22">
        <f>'Activity data'!AR59*ManureNEF*NtoN2O*kgtoGg</f>
        <v>9.2377428567213551E-2</v>
      </c>
      <c r="Z1475" s="22">
        <f>'Activity data'!AS59*ManureNEF*NtoN2O*kgtoGg</f>
        <v>9.2626459974767344E-2</v>
      </c>
      <c r="AA1475" s="22">
        <f>'Activity data'!AT59*ManureNEF*NtoN2O*kgtoGg</f>
        <v>9.289398777414952E-2</v>
      </c>
      <c r="AB1475" s="22">
        <f>'Activity data'!AU59*ManureNEF*NtoN2O*kgtoGg</f>
        <v>9.3180871017592357E-2</v>
      </c>
      <c r="AC1475" s="22">
        <f>'Activity data'!AV59*ManureNEF*NtoN2O*kgtoGg</f>
        <v>9.34844159255835E-2</v>
      </c>
      <c r="AD1475" s="22">
        <f>'Activity data'!AW59*ManureNEF*NtoN2O*kgtoGg</f>
        <v>9.368684592771491E-2</v>
      </c>
      <c r="AE1475" s="22">
        <f>'Activity data'!AX59*ManureNEF*NtoN2O*kgtoGg</f>
        <v>9.3902725480069615E-2</v>
      </c>
      <c r="AF1475" s="22">
        <f>'Activity data'!AY59*ManureNEF*NtoN2O*kgtoGg</f>
        <v>9.4133881886713511E-2</v>
      </c>
      <c r="AG1475" s="22">
        <f>'Activity data'!AZ59*ManureNEF*NtoN2O*kgtoGg</f>
        <v>9.4382662936360925E-2</v>
      </c>
      <c r="AH1475" s="22">
        <f>'Activity data'!BA59*ManureNEF*NtoN2O*kgtoGg</f>
        <v>9.4641552690500438E-2</v>
      </c>
      <c r="AI1475" s="22">
        <f>'Activity data'!BB59*ManureNEF*NtoN2O*kgtoGg</f>
        <v>9.4801889776154655E-2</v>
      </c>
      <c r="AJ1475" s="22">
        <f>'Activity data'!BC59*ManureNEF*NtoN2O*kgtoGg</f>
        <v>9.4975884707627883E-2</v>
      </c>
      <c r="AK1475" s="22">
        <f>'Activity data'!BD59*ManureNEF*NtoN2O*kgtoGg</f>
        <v>9.5157486171013425E-2</v>
      </c>
      <c r="AL1475" s="22">
        <f>'Activity data'!BE59*ManureNEF*NtoN2O*kgtoGg</f>
        <v>9.534883337741358E-2</v>
      </c>
      <c r="AM1475" s="22">
        <f>'Activity data'!BF59*ManureNEF*NtoN2O*kgtoGg</f>
        <v>9.5549664346009811E-2</v>
      </c>
      <c r="AN1475" s="22">
        <f>'Activity data'!BG59*ManureNEF*NtoN2O*kgtoGg</f>
        <v>9.5659386102584815E-2</v>
      </c>
      <c r="AO1475" s="22">
        <f>'Activity data'!BH59*ManureNEF*NtoN2O*kgtoGg</f>
        <v>9.5776020043586318E-2</v>
      </c>
      <c r="AP1475" s="22">
        <f>'Activity data'!BI59*ManureNEF*NtoN2O*kgtoGg</f>
        <v>9.5902543509270868E-2</v>
      </c>
      <c r="AQ1475" s="22">
        <f>'Activity data'!BJ59*ManureNEF*NtoN2O*kgtoGg</f>
        <v>9.6038835663999289E-2</v>
      </c>
      <c r="AR1475" s="22">
        <f>'Activity data'!BK59*ManureNEF*NtoN2O*kgtoGg</f>
        <v>9.6184912230625655E-2</v>
      </c>
      <c r="AS1475" s="22">
        <f>'Activity data'!BL59*ManureNEF*NtoN2O*kgtoGg</f>
        <v>9.6236399761761113E-2</v>
      </c>
      <c r="AT1475" s="22">
        <f>'Activity data'!BM59*ManureNEF*NtoN2O*kgtoGg</f>
        <v>9.625926538604522E-2</v>
      </c>
      <c r="AU1475" s="22">
        <f>'Activity data'!BN59*ManureNEF*NtoN2O*kgtoGg</f>
        <v>9.6285846832210489E-2</v>
      </c>
      <c r="AV1475" s="22">
        <f>'Activity data'!BO59*ManureNEF*NtoN2O*kgtoGg</f>
        <v>9.6314463848216167E-2</v>
      </c>
      <c r="AW1475" s="22">
        <f>'Activity data'!BP59*ManureNEF*NtoN2O*kgtoGg</f>
        <v>9.6348270284329823E-2</v>
      </c>
    </row>
    <row r="1476" spans="1:49" x14ac:dyDescent="0.3">
      <c r="A1476" s="95" t="s">
        <v>960</v>
      </c>
      <c r="B1476" s="95"/>
      <c r="C1476" s="95"/>
      <c r="D1476" t="str">
        <f t="shared" si="562"/>
        <v>3C Aggregated and non-CO2 emissions on land</v>
      </c>
      <c r="E1476" t="str">
        <f t="shared" si="562"/>
        <v>3C4 Direct N2O from managed soils (N2O)</v>
      </c>
      <c r="F1476" t="str">
        <f t="shared" si="562"/>
        <v>MM emissions</v>
      </c>
      <c r="G1476" t="str">
        <f>'Activity data'!D60</f>
        <v xml:space="preserve"> - Horses</v>
      </c>
      <c r="H1476" t="str">
        <f t="shared" si="563"/>
        <v>MM emissions - Horses</v>
      </c>
      <c r="I1476" t="str">
        <f t="shared" si="564"/>
        <v>N2O</v>
      </c>
      <c r="J1476" t="str">
        <f t="shared" si="564"/>
        <v>Gg N2O</v>
      </c>
      <c r="K1476" s="22">
        <f>'Activity data'!AD60*ManureNEF*NtoN2O*kgtoGg</f>
        <v>0</v>
      </c>
      <c r="L1476" s="22">
        <f>'Activity data'!AE60*ManureNEF*NtoN2O*kgtoGg</f>
        <v>0</v>
      </c>
      <c r="M1476" s="22">
        <f>'Activity data'!AF60*ManureNEF*NtoN2O*kgtoGg</f>
        <v>0</v>
      </c>
      <c r="N1476" s="22">
        <f>'Activity data'!AG60*ManureNEF*NtoN2O*kgtoGg</f>
        <v>0</v>
      </c>
      <c r="O1476" s="22">
        <f>'Activity data'!AH60*ManureNEF*NtoN2O*kgtoGg</f>
        <v>0</v>
      </c>
      <c r="P1476" s="22">
        <f>'Activity data'!AI60*ManureNEF*NtoN2O*kgtoGg</f>
        <v>0</v>
      </c>
      <c r="Q1476" s="22">
        <f>'Activity data'!AJ60*ManureNEF*NtoN2O*kgtoGg</f>
        <v>0</v>
      </c>
      <c r="R1476" s="22">
        <f>'Activity data'!AK60*ManureNEF*NtoN2O*kgtoGg</f>
        <v>0</v>
      </c>
      <c r="S1476" s="22">
        <f>'Activity data'!AL60*ManureNEF*NtoN2O*kgtoGg</f>
        <v>0</v>
      </c>
      <c r="T1476" s="22">
        <f>'Activity data'!AM60*ManureNEF*NtoN2O*kgtoGg</f>
        <v>0</v>
      </c>
      <c r="U1476" s="22">
        <f>'Activity data'!AN60*ManureNEF*NtoN2O*kgtoGg</f>
        <v>0</v>
      </c>
      <c r="V1476" s="22">
        <f>'Activity data'!AO60*ManureNEF*NtoN2O*kgtoGg</f>
        <v>0</v>
      </c>
      <c r="W1476" s="22">
        <f>'Activity data'!AP60*ManureNEF*NtoN2O*kgtoGg</f>
        <v>0</v>
      </c>
      <c r="X1476" s="22">
        <f>'Activity data'!AQ60*ManureNEF*NtoN2O*kgtoGg</f>
        <v>0</v>
      </c>
      <c r="Y1476" s="22">
        <f>'Activity data'!AR60*ManureNEF*NtoN2O*kgtoGg</f>
        <v>0</v>
      </c>
      <c r="Z1476" s="22">
        <f>'Activity data'!AS60*ManureNEF*NtoN2O*kgtoGg</f>
        <v>0</v>
      </c>
      <c r="AA1476" s="22">
        <f>'Activity data'!AT60*ManureNEF*NtoN2O*kgtoGg</f>
        <v>0</v>
      </c>
      <c r="AB1476" s="22">
        <f>'Activity data'!AU60*ManureNEF*NtoN2O*kgtoGg</f>
        <v>0</v>
      </c>
      <c r="AC1476" s="22">
        <f>'Activity data'!AV60*ManureNEF*NtoN2O*kgtoGg</f>
        <v>0</v>
      </c>
      <c r="AD1476" s="22">
        <f>'Activity data'!AW60*ManureNEF*NtoN2O*kgtoGg</f>
        <v>0</v>
      </c>
      <c r="AE1476" s="22">
        <f>'Activity data'!AX60*ManureNEF*NtoN2O*kgtoGg</f>
        <v>0</v>
      </c>
      <c r="AF1476" s="22">
        <f>'Activity data'!AY60*ManureNEF*NtoN2O*kgtoGg</f>
        <v>0</v>
      </c>
      <c r="AG1476" s="22">
        <f>'Activity data'!AZ60*ManureNEF*NtoN2O*kgtoGg</f>
        <v>0</v>
      </c>
      <c r="AH1476" s="22">
        <f>'Activity data'!BA60*ManureNEF*NtoN2O*kgtoGg</f>
        <v>0</v>
      </c>
      <c r="AI1476" s="22">
        <f>'Activity data'!BB60*ManureNEF*NtoN2O*kgtoGg</f>
        <v>0</v>
      </c>
      <c r="AJ1476" s="22">
        <f>'Activity data'!BC60*ManureNEF*NtoN2O*kgtoGg</f>
        <v>0</v>
      </c>
      <c r="AK1476" s="22">
        <f>'Activity data'!BD60*ManureNEF*NtoN2O*kgtoGg</f>
        <v>0</v>
      </c>
      <c r="AL1476" s="22">
        <f>'Activity data'!BE60*ManureNEF*NtoN2O*kgtoGg</f>
        <v>0</v>
      </c>
      <c r="AM1476" s="22">
        <f>'Activity data'!BF60*ManureNEF*NtoN2O*kgtoGg</f>
        <v>0</v>
      </c>
      <c r="AN1476" s="22">
        <f>'Activity data'!BG60*ManureNEF*NtoN2O*kgtoGg</f>
        <v>0</v>
      </c>
      <c r="AO1476" s="22">
        <f>'Activity data'!BH60*ManureNEF*NtoN2O*kgtoGg</f>
        <v>0</v>
      </c>
      <c r="AP1476" s="22">
        <f>'Activity data'!BI60*ManureNEF*NtoN2O*kgtoGg</f>
        <v>0</v>
      </c>
      <c r="AQ1476" s="22">
        <f>'Activity data'!BJ60*ManureNEF*NtoN2O*kgtoGg</f>
        <v>0</v>
      </c>
      <c r="AR1476" s="22">
        <f>'Activity data'!BK60*ManureNEF*NtoN2O*kgtoGg</f>
        <v>0</v>
      </c>
      <c r="AS1476" s="22">
        <f>'Activity data'!BL60*ManureNEF*NtoN2O*kgtoGg</f>
        <v>0</v>
      </c>
      <c r="AT1476" s="22">
        <f>'Activity data'!BM60*ManureNEF*NtoN2O*kgtoGg</f>
        <v>0</v>
      </c>
      <c r="AU1476" s="22">
        <f>'Activity data'!BN60*ManureNEF*NtoN2O*kgtoGg</f>
        <v>0</v>
      </c>
      <c r="AV1476" s="22">
        <f>'Activity data'!BO60*ManureNEF*NtoN2O*kgtoGg</f>
        <v>0</v>
      </c>
      <c r="AW1476" s="22">
        <f>'Activity data'!BP60*ManureNEF*NtoN2O*kgtoGg</f>
        <v>0</v>
      </c>
    </row>
    <row r="1477" spans="1:49" x14ac:dyDescent="0.3">
      <c r="A1477" s="95" t="s">
        <v>960</v>
      </c>
      <c r="B1477" s="95"/>
      <c r="C1477" s="95"/>
      <c r="D1477" t="str">
        <f t="shared" si="562"/>
        <v>3C Aggregated and non-CO2 emissions on land</v>
      </c>
      <c r="E1477" t="str">
        <f t="shared" si="562"/>
        <v>3C4 Direct N2O from managed soils (N2O)</v>
      </c>
      <c r="F1477" t="str">
        <f t="shared" si="562"/>
        <v>MM emissions</v>
      </c>
      <c r="G1477" t="str">
        <f>'Activity data'!D61</f>
        <v xml:space="preserve"> - Mules &amp; Asses</v>
      </c>
      <c r="H1477" t="str">
        <f t="shared" si="563"/>
        <v>MM emissions - Mules &amp; Asses</v>
      </c>
      <c r="I1477" t="str">
        <f t="shared" si="564"/>
        <v>N2O</v>
      </c>
      <c r="J1477" t="str">
        <f t="shared" si="564"/>
        <v>Gg N2O</v>
      </c>
      <c r="K1477" s="22">
        <f>'Activity data'!AD61*ManureNEF*NtoN2O*kgtoGg</f>
        <v>0</v>
      </c>
      <c r="L1477" s="22">
        <f>'Activity data'!AE61*ManureNEF*NtoN2O*kgtoGg</f>
        <v>0</v>
      </c>
      <c r="M1477" s="22">
        <f>'Activity data'!AF61*ManureNEF*NtoN2O*kgtoGg</f>
        <v>0</v>
      </c>
      <c r="N1477" s="22">
        <f>'Activity data'!AG61*ManureNEF*NtoN2O*kgtoGg</f>
        <v>0</v>
      </c>
      <c r="O1477" s="22">
        <f>'Activity data'!AH61*ManureNEF*NtoN2O*kgtoGg</f>
        <v>0</v>
      </c>
      <c r="P1477" s="22">
        <f>'Activity data'!AI61*ManureNEF*NtoN2O*kgtoGg</f>
        <v>0</v>
      </c>
      <c r="Q1477" s="22">
        <f>'Activity data'!AJ61*ManureNEF*NtoN2O*kgtoGg</f>
        <v>0</v>
      </c>
      <c r="R1477" s="22">
        <f>'Activity data'!AK61*ManureNEF*NtoN2O*kgtoGg</f>
        <v>0</v>
      </c>
      <c r="S1477" s="22">
        <f>'Activity data'!AL61*ManureNEF*NtoN2O*kgtoGg</f>
        <v>0</v>
      </c>
      <c r="T1477" s="22">
        <f>'Activity data'!AM61*ManureNEF*NtoN2O*kgtoGg</f>
        <v>0</v>
      </c>
      <c r="U1477" s="22">
        <f>'Activity data'!AN61*ManureNEF*NtoN2O*kgtoGg</f>
        <v>0</v>
      </c>
      <c r="V1477" s="22">
        <f>'Activity data'!AO61*ManureNEF*NtoN2O*kgtoGg</f>
        <v>0</v>
      </c>
      <c r="W1477" s="22">
        <f>'Activity data'!AP61*ManureNEF*NtoN2O*kgtoGg</f>
        <v>0</v>
      </c>
      <c r="X1477" s="22">
        <f>'Activity data'!AQ61*ManureNEF*NtoN2O*kgtoGg</f>
        <v>0</v>
      </c>
      <c r="Y1477" s="22">
        <f>'Activity data'!AR61*ManureNEF*NtoN2O*kgtoGg</f>
        <v>0</v>
      </c>
      <c r="Z1477" s="22">
        <f>'Activity data'!AS61*ManureNEF*NtoN2O*kgtoGg</f>
        <v>0</v>
      </c>
      <c r="AA1477" s="22">
        <f>'Activity data'!AT61*ManureNEF*NtoN2O*kgtoGg</f>
        <v>0</v>
      </c>
      <c r="AB1477" s="22">
        <f>'Activity data'!AU61*ManureNEF*NtoN2O*kgtoGg</f>
        <v>0</v>
      </c>
      <c r="AC1477" s="22">
        <f>'Activity data'!AV61*ManureNEF*NtoN2O*kgtoGg</f>
        <v>0</v>
      </c>
      <c r="AD1477" s="22">
        <f>'Activity data'!AW61*ManureNEF*NtoN2O*kgtoGg</f>
        <v>0</v>
      </c>
      <c r="AE1477" s="22">
        <f>'Activity data'!AX61*ManureNEF*NtoN2O*kgtoGg</f>
        <v>0</v>
      </c>
      <c r="AF1477" s="22">
        <f>'Activity data'!AY61*ManureNEF*NtoN2O*kgtoGg</f>
        <v>0</v>
      </c>
      <c r="AG1477" s="22">
        <f>'Activity data'!AZ61*ManureNEF*NtoN2O*kgtoGg</f>
        <v>0</v>
      </c>
      <c r="AH1477" s="22">
        <f>'Activity data'!BA61*ManureNEF*NtoN2O*kgtoGg</f>
        <v>0</v>
      </c>
      <c r="AI1477" s="22">
        <f>'Activity data'!BB61*ManureNEF*NtoN2O*kgtoGg</f>
        <v>0</v>
      </c>
      <c r="AJ1477" s="22">
        <f>'Activity data'!BC61*ManureNEF*NtoN2O*kgtoGg</f>
        <v>0</v>
      </c>
      <c r="AK1477" s="22">
        <f>'Activity data'!BD61*ManureNEF*NtoN2O*kgtoGg</f>
        <v>0</v>
      </c>
      <c r="AL1477" s="22">
        <f>'Activity data'!BE61*ManureNEF*NtoN2O*kgtoGg</f>
        <v>0</v>
      </c>
      <c r="AM1477" s="22">
        <f>'Activity data'!BF61*ManureNEF*NtoN2O*kgtoGg</f>
        <v>0</v>
      </c>
      <c r="AN1477" s="22">
        <f>'Activity data'!BG61*ManureNEF*NtoN2O*kgtoGg</f>
        <v>0</v>
      </c>
      <c r="AO1477" s="22">
        <f>'Activity data'!BH61*ManureNEF*NtoN2O*kgtoGg</f>
        <v>0</v>
      </c>
      <c r="AP1477" s="22">
        <f>'Activity data'!BI61*ManureNEF*NtoN2O*kgtoGg</f>
        <v>0</v>
      </c>
      <c r="AQ1477" s="22">
        <f>'Activity data'!BJ61*ManureNEF*NtoN2O*kgtoGg</f>
        <v>0</v>
      </c>
      <c r="AR1477" s="22">
        <f>'Activity data'!BK61*ManureNEF*NtoN2O*kgtoGg</f>
        <v>0</v>
      </c>
      <c r="AS1477" s="22">
        <f>'Activity data'!BL61*ManureNEF*NtoN2O*kgtoGg</f>
        <v>0</v>
      </c>
      <c r="AT1477" s="22">
        <f>'Activity data'!BM61*ManureNEF*NtoN2O*kgtoGg</f>
        <v>0</v>
      </c>
      <c r="AU1477" s="22">
        <f>'Activity data'!BN61*ManureNEF*NtoN2O*kgtoGg</f>
        <v>0</v>
      </c>
      <c r="AV1477" s="22">
        <f>'Activity data'!BO61*ManureNEF*NtoN2O*kgtoGg</f>
        <v>0</v>
      </c>
      <c r="AW1477" s="22">
        <f>'Activity data'!BP61*ManureNEF*NtoN2O*kgtoGg</f>
        <v>0</v>
      </c>
    </row>
    <row r="1478" spans="1:49" x14ac:dyDescent="0.3">
      <c r="A1478" s="95" t="s">
        <v>960</v>
      </c>
      <c r="B1478" s="95"/>
      <c r="C1478" s="95"/>
      <c r="D1478" t="str">
        <f t="shared" si="562"/>
        <v>3C Aggregated and non-CO2 emissions on land</v>
      </c>
      <c r="E1478" t="str">
        <f t="shared" si="562"/>
        <v>3C4 Direct N2O from managed soils (N2O)</v>
      </c>
      <c r="F1478" t="str">
        <f t="shared" si="562"/>
        <v>MM emissions</v>
      </c>
      <c r="G1478" t="str">
        <f>'Activity data'!D62</f>
        <v xml:space="preserve"> - Commercial swine</v>
      </c>
      <c r="H1478" t="str">
        <f t="shared" si="563"/>
        <v>MM emissions - Commercial swine</v>
      </c>
      <c r="I1478" t="str">
        <f t="shared" si="564"/>
        <v>N2O</v>
      </c>
      <c r="J1478" t="str">
        <f t="shared" si="564"/>
        <v>Gg N2O</v>
      </c>
      <c r="K1478" s="22">
        <f>'Activity data'!AD62*ManureNEF*NtoN2O*kgtoGg</f>
        <v>0.12462873299340151</v>
      </c>
      <c r="L1478" s="22">
        <f>'Activity data'!AE62*ManureNEF*NtoN2O*kgtoGg</f>
        <v>0.1239512929347177</v>
      </c>
      <c r="M1478" s="22">
        <f>'Activity data'!AF62*ManureNEF*NtoN2O*kgtoGg</f>
        <v>0.12400689511310994</v>
      </c>
      <c r="N1478" s="22">
        <f>'Activity data'!AG62*ManureNEF*NtoN2O*kgtoGg</f>
        <v>0.12286841678965586</v>
      </c>
      <c r="O1478" s="22">
        <f>'Activity data'!AH62*ManureNEF*NtoN2O*kgtoGg</f>
        <v>0.12100901910044999</v>
      </c>
      <c r="P1478" s="22">
        <f>'Activity data'!AI62*ManureNEF*NtoN2O*kgtoGg</f>
        <v>0.11845842648899828</v>
      </c>
      <c r="Q1478" s="22">
        <f>'Activity data'!AJ62*ManureNEF*NtoN2O*kgtoGg</f>
        <v>0.11660641339960404</v>
      </c>
      <c r="R1478" s="22">
        <f>'Activity data'!AK62*ManureNEF*NtoN2O*kgtoGg</f>
        <v>0.1149182786313902</v>
      </c>
      <c r="S1478" s="22">
        <f>'Activity data'!AL62*ManureNEF*NtoN2O*kgtoGg</f>
        <v>0.10146708298993465</v>
      </c>
      <c r="T1478" s="22">
        <f>'Activity data'!AM62*ManureNEF*NtoN2O*kgtoGg</f>
        <v>0.10275020296586759</v>
      </c>
      <c r="U1478" s="22">
        <f>'Activity data'!AN62*ManureNEF*NtoN2O*kgtoGg</f>
        <v>0.10550352655141972</v>
      </c>
      <c r="V1478" s="22">
        <f>'Activity data'!AO62*ManureNEF*NtoN2O*kgtoGg</f>
        <v>0.10575351402910073</v>
      </c>
      <c r="W1478" s="22">
        <f>'Activity data'!AP62*ManureNEF*NtoN2O*kgtoGg</f>
        <v>0.10629487580237802</v>
      </c>
      <c r="X1478" s="22">
        <f>'Activity data'!AQ62*ManureNEF*NtoN2O*kgtoGg</f>
        <v>0.10720509536861222</v>
      </c>
      <c r="Y1478" s="22">
        <f>'Activity data'!AR62*ManureNEF*NtoN2O*kgtoGg</f>
        <v>0.10834723898966528</v>
      </c>
      <c r="Z1478" s="22">
        <f>'Activity data'!AS62*ManureNEF*NtoN2O*kgtoGg</f>
        <v>0.10974683917126901</v>
      </c>
      <c r="AA1478" s="22">
        <f>'Activity data'!AT62*ManureNEF*NtoN2O*kgtoGg</f>
        <v>0.1111628062750292</v>
      </c>
      <c r="AB1478" s="22">
        <f>'Activity data'!AU62*ManureNEF*NtoN2O*kgtoGg</f>
        <v>0.11279760688156307</v>
      </c>
      <c r="AC1478" s="22">
        <f>'Activity data'!AV62*ManureNEF*NtoN2O*kgtoGg</f>
        <v>0.11442112413234014</v>
      </c>
      <c r="AD1478" s="22">
        <f>'Activity data'!AW62*ManureNEF*NtoN2O*kgtoGg</f>
        <v>0.11643957996744059</v>
      </c>
      <c r="AE1478" s="22">
        <f>'Activity data'!AX62*ManureNEF*NtoN2O*kgtoGg</f>
        <v>0.11829771598770626</v>
      </c>
      <c r="AF1478" s="22">
        <f>'Activity data'!AY62*ManureNEF*NtoN2O*kgtoGg</f>
        <v>0.12027492127071612</v>
      </c>
      <c r="AG1478" s="22">
        <f>'Activity data'!AZ62*ManureNEF*NtoN2O*kgtoGg</f>
        <v>0.12268685377616716</v>
      </c>
      <c r="AH1478" s="22">
        <f>'Activity data'!BA62*ManureNEF*NtoN2O*kgtoGg</f>
        <v>0.12475791099342097</v>
      </c>
      <c r="AI1478" s="22">
        <f>'Activity data'!BB62*ManureNEF*NtoN2O*kgtoGg</f>
        <v>0.12699329856497024</v>
      </c>
      <c r="AJ1478" s="22">
        <f>'Activity data'!BC62*ManureNEF*NtoN2O*kgtoGg</f>
        <v>0.12941943299405728</v>
      </c>
      <c r="AK1478" s="22">
        <f>'Activity data'!BD62*ManureNEF*NtoN2O*kgtoGg</f>
        <v>0.13144337900700456</v>
      </c>
      <c r="AL1478" s="22">
        <f>'Activity data'!BE62*ManureNEF*NtoN2O*kgtoGg</f>
        <v>0.13334140591601026</v>
      </c>
      <c r="AM1478" s="22">
        <f>'Activity data'!BF62*ManureNEF*NtoN2O*kgtoGg</f>
        <v>0.13512882169953486</v>
      </c>
      <c r="AN1478" s="22">
        <f>'Activity data'!BG62*ManureNEF*NtoN2O*kgtoGg</f>
        <v>0.13719268069693955</v>
      </c>
      <c r="AO1478" s="22">
        <f>'Activity data'!BH62*ManureNEF*NtoN2O*kgtoGg</f>
        <v>0.13898281232646292</v>
      </c>
      <c r="AP1478" s="22">
        <f>'Activity data'!BI62*ManureNEF*NtoN2O*kgtoGg</f>
        <v>0.140830682916952</v>
      </c>
      <c r="AQ1478" s="22">
        <f>'Activity data'!BJ62*ManureNEF*NtoN2O*kgtoGg</f>
        <v>0.14275023053200411</v>
      </c>
      <c r="AR1478" s="22">
        <f>'Activity data'!BK62*ManureNEF*NtoN2O*kgtoGg</f>
        <v>0.14476547350370239</v>
      </c>
      <c r="AS1478" s="22">
        <f>'Activity data'!BL62*ManureNEF*NtoN2O*kgtoGg</f>
        <v>0.14688161225730581</v>
      </c>
      <c r="AT1478" s="22">
        <f>'Activity data'!BM62*ManureNEF*NtoN2O*kgtoGg</f>
        <v>0.14559391276445241</v>
      </c>
      <c r="AU1478" s="22">
        <f>'Activity data'!BN62*ManureNEF*NtoN2O*kgtoGg</f>
        <v>0.14400863154663293</v>
      </c>
      <c r="AV1478" s="22">
        <f>'Activity data'!BO62*ManureNEF*NtoN2O*kgtoGg</f>
        <v>0.1420082821543816</v>
      </c>
      <c r="AW1478" s="22">
        <f>'Activity data'!BP62*ManureNEF*NtoN2O*kgtoGg</f>
        <v>0.13990982914905775</v>
      </c>
    </row>
    <row r="1479" spans="1:49" x14ac:dyDescent="0.3">
      <c r="A1479" s="95" t="s">
        <v>960</v>
      </c>
      <c r="B1479" s="95"/>
      <c r="C1479" s="95"/>
      <c r="D1479" t="str">
        <f t="shared" si="562"/>
        <v>3C Aggregated and non-CO2 emissions on land</v>
      </c>
      <c r="E1479" t="str">
        <f t="shared" si="562"/>
        <v>3C4 Direct N2O from managed soils (N2O)</v>
      </c>
      <c r="F1479" t="str">
        <f t="shared" si="562"/>
        <v>MM emissions</v>
      </c>
      <c r="G1479" t="str">
        <f>'Activity data'!D63</f>
        <v xml:space="preserve"> - Subsistence swine</v>
      </c>
      <c r="H1479" t="str">
        <f t="shared" si="563"/>
        <v>MM emissions - Subsistence swine</v>
      </c>
      <c r="I1479" t="str">
        <f t="shared" si="564"/>
        <v>N2O</v>
      </c>
      <c r="J1479" t="str">
        <f t="shared" si="564"/>
        <v>Gg N2O</v>
      </c>
      <c r="K1479" s="22">
        <f>'Activity data'!AD63*ManureNEF*NtoN2O*kgtoGg</f>
        <v>3.1618785484610064E-2</v>
      </c>
      <c r="L1479" s="22">
        <f>'Activity data'!AE63*ManureNEF*NtoN2O*kgtoGg</f>
        <v>3.1446916354757486E-2</v>
      </c>
      <c r="M1479" s="22">
        <f>'Activity data'!AF63*ManureNEF*NtoN2O*kgtoGg</f>
        <v>3.1461022839745618E-2</v>
      </c>
      <c r="N1479" s="22">
        <f>'Activity data'!AG63*ManureNEF*NtoN2O*kgtoGg</f>
        <v>3.1172186541537576E-2</v>
      </c>
      <c r="O1479" s="22">
        <f>'Activity data'!AH63*ManureNEF*NtoN2O*kgtoGg</f>
        <v>3.0700450247237825E-2</v>
      </c>
      <c r="P1479" s="22">
        <f>'Activity data'!AI63*ManureNEF*NtoN2O*kgtoGg</f>
        <v>3.0053355161673623E-2</v>
      </c>
      <c r="Q1479" s="22">
        <f>'Activity data'!AJ63*ManureNEF*NtoN2O*kgtoGg</f>
        <v>2.9583492368545915E-2</v>
      </c>
      <c r="R1479" s="22">
        <f>'Activity data'!AK63*ManureNEF*NtoN2O*kgtoGg</f>
        <v>2.9155206131309674E-2</v>
      </c>
      <c r="S1479" s="22">
        <f>'Activity data'!AL63*ManureNEF*NtoN2O*kgtoGg</f>
        <v>2.5742586430512242E-2</v>
      </c>
      <c r="T1479" s="22">
        <f>'Activity data'!AM63*ManureNEF*NtoN2O*kgtoGg</f>
        <v>2.6068118868302407E-2</v>
      </c>
      <c r="U1479" s="22">
        <f>'Activity data'!AN63*ManureNEF*NtoN2O*kgtoGg</f>
        <v>2.6766647576171875E-2</v>
      </c>
      <c r="V1479" s="22">
        <f>'Activity data'!AO63*ManureNEF*NtoN2O*kgtoGg</f>
        <v>2.6830070353895639E-2</v>
      </c>
      <c r="W1479" s="22">
        <f>'Activity data'!AP63*ManureNEF*NtoN2O*kgtoGg</f>
        <v>2.6967415903093594E-2</v>
      </c>
      <c r="X1479" s="22">
        <f>'Activity data'!AQ63*ManureNEF*NtoN2O*kgtoGg</f>
        <v>2.7198342082935097E-2</v>
      </c>
      <c r="Y1479" s="22">
        <f>'Activity data'!AR63*ManureNEF*NtoN2O*kgtoGg</f>
        <v>2.7488108281140813E-2</v>
      </c>
      <c r="Z1479" s="22">
        <f>'Activity data'!AS63*ManureNEF*NtoN2O*kgtoGg</f>
        <v>2.7843192191916763E-2</v>
      </c>
      <c r="AA1479" s="22">
        <f>'Activity data'!AT63*ManureNEF*NtoN2O*kgtoGg</f>
        <v>2.8202428453344759E-2</v>
      </c>
      <c r="AB1479" s="22">
        <f>'Activity data'!AU63*ManureNEF*NtoN2O*kgtoGg</f>
        <v>2.8617183610093744E-2</v>
      </c>
      <c r="AC1479" s="22">
        <f>'Activity data'!AV63*ManureNEF*NtoN2O*kgtoGg</f>
        <v>2.902907613639907E-2</v>
      </c>
      <c r="AD1479" s="22">
        <f>'Activity data'!AW63*ManureNEF*NtoN2O*kgtoGg</f>
        <v>2.9541166089713286E-2</v>
      </c>
      <c r="AE1479" s="22">
        <f>'Activity data'!AX63*ManureNEF*NtoN2O*kgtoGg</f>
        <v>3.0012582293784919E-2</v>
      </c>
      <c r="AF1479" s="22">
        <f>'Activity data'!AY63*ManureNEF*NtoN2O*kgtoGg</f>
        <v>3.05142068245088E-2</v>
      </c>
      <c r="AG1479" s="22">
        <f>'Activity data'!AZ63*ManureNEF*NtoN2O*kgtoGg</f>
        <v>3.1126123311674345E-2</v>
      </c>
      <c r="AH1479" s="22">
        <f>'Activity data'!BA63*ManureNEF*NtoN2O*kgtoGg</f>
        <v>3.1651558436511636E-2</v>
      </c>
      <c r="AI1479" s="22">
        <f>'Activity data'!BB63*ManureNEF*NtoN2O*kgtoGg</f>
        <v>3.2218684799767874E-2</v>
      </c>
      <c r="AJ1479" s="22">
        <f>'Activity data'!BC63*ManureNEF*NtoN2O*kgtoGg</f>
        <v>3.2834204369193265E-2</v>
      </c>
      <c r="AK1479" s="22">
        <f>'Activity data'!BD63*ManureNEF*NtoN2O*kgtoGg</f>
        <v>3.334768720159275E-2</v>
      </c>
      <c r="AL1479" s="22">
        <f>'Activity data'!BE63*ManureNEF*NtoN2O*kgtoGg</f>
        <v>3.3829223876470492E-2</v>
      </c>
      <c r="AM1479" s="22">
        <f>'Activity data'!BF63*ManureNEF*NtoN2O*kgtoGg</f>
        <v>3.4282698086419032E-2</v>
      </c>
      <c r="AN1479" s="22">
        <f>'Activity data'!BG63*ManureNEF*NtoN2O*kgtoGg</f>
        <v>3.4806306995392507E-2</v>
      </c>
      <c r="AO1479" s="22">
        <f>'Activity data'!BH63*ManureNEF*NtoN2O*kgtoGg</f>
        <v>3.5260470225842028E-2</v>
      </c>
      <c r="AP1479" s="22">
        <f>'Activity data'!BI63*ManureNEF*NtoN2O*kgtoGg</f>
        <v>3.5729282051178403E-2</v>
      </c>
      <c r="AQ1479" s="22">
        <f>'Activity data'!BJ63*ManureNEF*NtoN2O*kgtoGg</f>
        <v>3.6216278611362E-2</v>
      </c>
      <c r="AR1479" s="22">
        <f>'Activity data'!BK63*ManureNEF*NtoN2O*kgtoGg</f>
        <v>3.672755344896201E-2</v>
      </c>
      <c r="AS1479" s="22">
        <f>'Activity data'!BL63*ManureNEF*NtoN2O*kgtoGg</f>
        <v>3.7264425931725673E-2</v>
      </c>
      <c r="AT1479" s="22">
        <f>'Activity data'!BM63*ManureNEF*NtoN2O*kgtoGg</f>
        <v>3.6937731653004804E-2</v>
      </c>
      <c r="AU1479" s="22">
        <f>'Activity data'!BN63*ManureNEF*NtoN2O*kgtoGg</f>
        <v>3.6535539754274135E-2</v>
      </c>
      <c r="AV1479" s="22">
        <f>'Activity data'!BO63*ManureNEF*NtoN2O*kgtoGg</f>
        <v>3.6028043474654464E-2</v>
      </c>
      <c r="AW1479" s="22">
        <f>'Activity data'!BP63*ManureNEF*NtoN2O*kgtoGg</f>
        <v>3.5495657933766529E-2</v>
      </c>
    </row>
    <row r="1480" spans="1:49" x14ac:dyDescent="0.3">
      <c r="A1480" s="95" t="s">
        <v>960</v>
      </c>
      <c r="B1480" s="95"/>
      <c r="C1480" s="95"/>
      <c r="D1480" t="str">
        <f t="shared" ref="D1480:F1495" si="565">D1479</f>
        <v>3C Aggregated and non-CO2 emissions on land</v>
      </c>
      <c r="E1480" t="str">
        <f t="shared" si="565"/>
        <v>3C4 Direct N2O from managed soils (N2O)</v>
      </c>
      <c r="F1480" t="str">
        <f t="shared" si="565"/>
        <v>MM emissions</v>
      </c>
      <c r="G1480" t="str">
        <f>'Activity data'!D64</f>
        <v xml:space="preserve"> - Commercial layers</v>
      </c>
      <c r="H1480" t="str">
        <f t="shared" si="563"/>
        <v>MM emissions - Commercial layers</v>
      </c>
      <c r="I1480" t="str">
        <f t="shared" si="564"/>
        <v>N2O</v>
      </c>
      <c r="J1480" t="str">
        <f t="shared" si="564"/>
        <v>Gg N2O</v>
      </c>
      <c r="K1480" s="22">
        <f>'Activity data'!AD64*ManureNEF*NtoN2O*kgtoGg</f>
        <v>0.15700744358616764</v>
      </c>
      <c r="L1480" s="22">
        <f>'Activity data'!AE64*ManureNEF*NtoN2O*kgtoGg</f>
        <v>0.16019971617730658</v>
      </c>
      <c r="M1480" s="22">
        <f>'Activity data'!AF64*ManureNEF*NtoN2O*kgtoGg</f>
        <v>0.16393118028621728</v>
      </c>
      <c r="N1480" s="22">
        <f>'Activity data'!AG64*ManureNEF*NtoN2O*kgtoGg</f>
        <v>0.1667959170810015</v>
      </c>
      <c r="O1480" s="22">
        <f>'Activity data'!AH64*ManureNEF*NtoN2O*kgtoGg</f>
        <v>0.16909558154641685</v>
      </c>
      <c r="P1480" s="22">
        <f>'Activity data'!AI64*ManureNEF*NtoN2O*kgtoGg</f>
        <v>0.17081649742586277</v>
      </c>
      <c r="Q1480" s="22">
        <f>'Activity data'!AJ64*ManureNEF*NtoN2O*kgtoGg</f>
        <v>0.17302318661183388</v>
      </c>
      <c r="R1480" s="22">
        <f>'Activity data'!AK64*ManureNEF*NtoN2O*kgtoGg</f>
        <v>0.17531753251219051</v>
      </c>
      <c r="S1480" s="22">
        <f>'Activity data'!AL64*ManureNEF*NtoN2O*kgtoGg</f>
        <v>0.16751439680213853</v>
      </c>
      <c r="T1480" s="22">
        <f>'Activity data'!AM64*ManureNEF*NtoN2O*kgtoGg</f>
        <v>0.17168380366965671</v>
      </c>
      <c r="U1480" s="22">
        <f>'Activity data'!AN64*ManureNEF*NtoN2O*kgtoGg</f>
        <v>0.17724022876298692</v>
      </c>
      <c r="V1480" s="22">
        <f>'Activity data'!AO64*ManureNEF*NtoN2O*kgtoGg</f>
        <v>0.18063841613712966</v>
      </c>
      <c r="W1480" s="22">
        <f>'Activity data'!AP64*ManureNEF*NtoN2O*kgtoGg</f>
        <v>0.18434318641003919</v>
      </c>
      <c r="X1480" s="22">
        <f>'Activity data'!AQ64*ManureNEF*NtoN2O*kgtoGg</f>
        <v>0.188448281864291</v>
      </c>
      <c r="Y1480" s="22">
        <f>'Activity data'!AR64*ManureNEF*NtoN2O*kgtoGg</f>
        <v>0.19268830884381843</v>
      </c>
      <c r="Z1480" s="22">
        <f>'Activity data'!AS64*ManureNEF*NtoN2O*kgtoGg</f>
        <v>0.19725821874244767</v>
      </c>
      <c r="AA1480" s="22">
        <f>'Activity data'!AT64*ManureNEF*NtoN2O*kgtoGg</f>
        <v>0.20193089933116126</v>
      </c>
      <c r="AB1480" s="22">
        <f>'Activity data'!AU64*ManureNEF*NtoN2O*kgtoGg</f>
        <v>0.20692004706096712</v>
      </c>
      <c r="AC1480" s="22">
        <f>'Activity data'!AV64*ManureNEF*NtoN2O*kgtoGg</f>
        <v>0.21199804978928341</v>
      </c>
      <c r="AD1480" s="22">
        <f>'Activity data'!AW64*ManureNEF*NtoN2O*kgtoGg</f>
        <v>0.21747687739173732</v>
      </c>
      <c r="AE1480" s="22">
        <f>'Activity data'!AX64*ManureNEF*NtoN2O*kgtoGg</f>
        <v>0.22289913009362322</v>
      </c>
      <c r="AF1480" s="22">
        <f>'Activity data'!AY64*ManureNEF*NtoN2O*kgtoGg</f>
        <v>0.22857157153008073</v>
      </c>
      <c r="AG1480" s="22">
        <f>'Activity data'!AZ64*ManureNEF*NtoN2O*kgtoGg</f>
        <v>0.23486719230657463</v>
      </c>
      <c r="AH1480" s="22">
        <f>'Activity data'!BA64*ManureNEF*NtoN2O*kgtoGg</f>
        <v>0.24091117160634945</v>
      </c>
      <c r="AI1480" s="22">
        <f>'Activity data'!BB64*ManureNEF*NtoN2O*kgtoGg</f>
        <v>0.24716162450629867</v>
      </c>
      <c r="AJ1480" s="22">
        <f>'Activity data'!BC64*ManureNEF*NtoN2O*kgtoGg</f>
        <v>0.25378810388351081</v>
      </c>
      <c r="AK1480" s="22">
        <f>'Activity data'!BD64*ManureNEF*NtoN2O*kgtoGg</f>
        <v>0.26007320548130258</v>
      </c>
      <c r="AL1480" s="22">
        <f>'Activity data'!BE64*ManureNEF*NtoN2O*kgtoGg</f>
        <v>0.26634117713838401</v>
      </c>
      <c r="AM1480" s="22">
        <f>'Activity data'!BF64*ManureNEF*NtoN2O*kgtoGg</f>
        <v>0.27260643897493425</v>
      </c>
      <c r="AN1480" s="22">
        <f>'Activity data'!BG64*ManureNEF*NtoN2O*kgtoGg</f>
        <v>0.2792535835644861</v>
      </c>
      <c r="AO1480" s="22">
        <f>'Activity data'!BH64*ManureNEF*NtoN2O*kgtoGg</f>
        <v>0.2856890752327706</v>
      </c>
      <c r="AP1480" s="22">
        <f>'Activity data'!BI64*ManureNEF*NtoN2O*kgtoGg</f>
        <v>0.29234742990941948</v>
      </c>
      <c r="AQ1480" s="22">
        <f>'Activity data'!BJ64*ManureNEF*NtoN2O*kgtoGg</f>
        <v>0.29925644298376841</v>
      </c>
      <c r="AR1480" s="22">
        <f>'Activity data'!BK64*ManureNEF*NtoN2O*kgtoGg</f>
        <v>0.30645986851598017</v>
      </c>
      <c r="AS1480" s="22">
        <f>'Activity data'!BL64*ManureNEF*NtoN2O*kgtoGg</f>
        <v>0.31385566843275581</v>
      </c>
      <c r="AT1480" s="22">
        <f>'Activity data'!BM64*ManureNEF*NtoN2O*kgtoGg</f>
        <v>0.31644615504224521</v>
      </c>
      <c r="AU1480" s="22">
        <f>'Activity data'!BN64*ManureNEF*NtoN2O*kgtoGg</f>
        <v>0.31859170882360827</v>
      </c>
      <c r="AV1480" s="22">
        <f>'Activity data'!BO64*ManureNEF*NtoN2O*kgtoGg</f>
        <v>0.32009002936003406</v>
      </c>
      <c r="AW1480" s="22">
        <f>'Activity data'!BP64*ManureNEF*NtoN2O*kgtoGg</f>
        <v>0.3213967030603942</v>
      </c>
    </row>
    <row r="1481" spans="1:49" x14ac:dyDescent="0.3">
      <c r="A1481" s="95" t="s">
        <v>960</v>
      </c>
      <c r="B1481" s="95"/>
      <c r="C1481" s="95"/>
      <c r="D1481" t="str">
        <f t="shared" si="565"/>
        <v>3C Aggregated and non-CO2 emissions on land</v>
      </c>
      <c r="E1481" t="str">
        <f t="shared" si="565"/>
        <v>3C4 Direct N2O from managed soils (N2O)</v>
      </c>
      <c r="F1481" t="str">
        <f t="shared" si="565"/>
        <v>MM emissions</v>
      </c>
      <c r="G1481" t="str">
        <f>'Activity data'!D65</f>
        <v xml:space="preserve"> - Commercial broilers</v>
      </c>
      <c r="H1481" t="str">
        <f t="shared" si="563"/>
        <v>MM emissions - Commercial broilers</v>
      </c>
      <c r="I1481" t="str">
        <f t="shared" si="564"/>
        <v>N2O</v>
      </c>
      <c r="J1481" t="str">
        <f t="shared" si="564"/>
        <v>Gg N2O</v>
      </c>
      <c r="K1481" s="22">
        <f>'Activity data'!AD65*ManureNEF*NtoN2O*kgtoGg</f>
        <v>0.78620275218739033</v>
      </c>
      <c r="L1481" s="22">
        <f>'Activity data'!AE65*ManureNEF*NtoN2O*kgtoGg</f>
        <v>0.79655563720176326</v>
      </c>
      <c r="M1481" s="22">
        <f>'Activity data'!AF65*ManureNEF*NtoN2O*kgtoGg</f>
        <v>0.8131853402467214</v>
      </c>
      <c r="N1481" s="22">
        <f>'Activity data'!AG65*ManureNEF*NtoN2O*kgtoGg</f>
        <v>0.81796021384654038</v>
      </c>
      <c r="O1481" s="22">
        <f>'Activity data'!AH65*ManureNEF*NtoN2O*kgtoGg</f>
        <v>0.81503229757580642</v>
      </c>
      <c r="P1481" s="22">
        <f>'Activity data'!AI65*ManureNEF*NtoN2O*kgtoGg</f>
        <v>0.80443274266431908</v>
      </c>
      <c r="Q1481" s="22">
        <f>'Activity data'!AJ65*ManureNEF*NtoN2O*kgtoGg</f>
        <v>0.79997057217510736</v>
      </c>
      <c r="R1481" s="22">
        <f>'Activity data'!AK65*ManureNEF*NtoN2O*kgtoGg</f>
        <v>0.79652072541357855</v>
      </c>
      <c r="S1481" s="22">
        <f>'Activity data'!AL65*ManureNEF*NtoN2O*kgtoGg</f>
        <v>0.6714256257710044</v>
      </c>
      <c r="T1481" s="22">
        <f>'Activity data'!AM65*ManureNEF*NtoN2O*kgtoGg</f>
        <v>0.69801734564768969</v>
      </c>
      <c r="U1481" s="22">
        <f>'Activity data'!AN65*ManureNEF*NtoN2O*kgtoGg</f>
        <v>0.74045602078801331</v>
      </c>
      <c r="V1481" s="22">
        <f>'Activity data'!AO65*ManureNEF*NtoN2O*kgtoGg</f>
        <v>0.75681661805559275</v>
      </c>
      <c r="W1481" s="22">
        <f>'Activity data'!AP65*ManureNEF*NtoN2O*kgtoGg</f>
        <v>0.77639522353149193</v>
      </c>
      <c r="X1481" s="22">
        <f>'Activity data'!AQ65*ManureNEF*NtoN2O*kgtoGg</f>
        <v>0.8001865286543951</v>
      </c>
      <c r="Y1481" s="22">
        <f>'Activity data'!AR65*ManureNEF*NtoN2O*kgtoGg</f>
        <v>0.82750602154681474</v>
      </c>
      <c r="Z1481" s="22">
        <f>'Activity data'!AS65*ManureNEF*NtoN2O*kgtoGg</f>
        <v>0.85809975414422934</v>
      </c>
      <c r="AA1481" s="22">
        <f>'Activity data'!AT65*ManureNEF*NtoN2O*kgtoGg</f>
        <v>0.88934316122776869</v>
      </c>
      <c r="AB1481" s="22">
        <f>'Activity data'!AU65*ManureNEF*NtoN2O*kgtoGg</f>
        <v>0.92360761628524812</v>
      </c>
      <c r="AC1481" s="22">
        <f>'Activity data'!AV65*ManureNEF*NtoN2O*kgtoGg</f>
        <v>0.95831140706580387</v>
      </c>
      <c r="AD1481" s="22">
        <f>'Activity data'!AW65*ManureNEF*NtoN2O*kgtoGg</f>
        <v>0.99882396760608316</v>
      </c>
      <c r="AE1481" s="22">
        <f>'Activity data'!AX65*ManureNEF*NtoN2O*kgtoGg</f>
        <v>1.0381393848215872</v>
      </c>
      <c r="AF1481" s="22">
        <f>'Activity data'!AY65*ManureNEF*NtoN2O*kgtoGg</f>
        <v>1.079611123684572</v>
      </c>
      <c r="AG1481" s="22">
        <f>'Activity data'!AZ65*ManureNEF*NtoN2O*kgtoGg</f>
        <v>1.1272124079778039</v>
      </c>
      <c r="AH1481" s="22">
        <f>'Activity data'!BA65*ManureNEF*NtoN2O*kgtoGg</f>
        <v>1.1714796676080013</v>
      </c>
      <c r="AI1481" s="22">
        <f>'Activity data'!BB65*ManureNEF*NtoN2O*kgtoGg</f>
        <v>1.2191635190702683</v>
      </c>
      <c r="AJ1481" s="22">
        <f>'Activity data'!BC65*ManureNEF*NtoN2O*kgtoGg</f>
        <v>1.2702163053795446</v>
      </c>
      <c r="AK1481" s="22">
        <f>'Activity data'!BD65*ManureNEF*NtoN2O*kgtoGg</f>
        <v>1.3170629000720371</v>
      </c>
      <c r="AL1481" s="22">
        <f>'Activity data'!BE65*ManureNEF*NtoN2O*kgtoGg</f>
        <v>1.3631650010384939</v>
      </c>
      <c r="AM1481" s="22">
        <f>'Activity data'!BF65*ManureNEF*NtoN2O*kgtoGg</f>
        <v>1.4086909019769458</v>
      </c>
      <c r="AN1481" s="22">
        <f>'Activity data'!BG65*ManureNEF*NtoN2O*kgtoGg</f>
        <v>1.4592838015136291</v>
      </c>
      <c r="AO1481" s="22">
        <f>'Activity data'!BH65*ManureNEF*NtoN2O*kgtoGg</f>
        <v>1.5071494225223063</v>
      </c>
      <c r="AP1481" s="22">
        <f>'Activity data'!BI65*ManureNEF*NtoN2O*kgtoGg</f>
        <v>1.5567592089604327</v>
      </c>
      <c r="AQ1481" s="22">
        <f>'Activity data'!BJ65*ManureNEF*NtoN2O*kgtoGg</f>
        <v>1.6083690614713202</v>
      </c>
      <c r="AR1481" s="22">
        <f>'Activity data'!BK65*ManureNEF*NtoN2O*kgtoGg</f>
        <v>1.6623899573120902</v>
      </c>
      <c r="AS1481" s="22">
        <f>'Activity data'!BL65*ManureNEF*NtoN2O*kgtoGg</f>
        <v>1.7194351847901206</v>
      </c>
      <c r="AT1481" s="22">
        <f>'Activity data'!BM65*ManureNEF*NtoN2O*kgtoGg</f>
        <v>1.7281200285400726</v>
      </c>
      <c r="AU1481" s="22">
        <f>'Activity data'!BN65*ManureNEF*NtoN2O*kgtoGg</f>
        <v>1.7323570747934378</v>
      </c>
      <c r="AV1481" s="22">
        <f>'Activity data'!BO65*ManureNEF*NtoN2O*kgtoGg</f>
        <v>1.7302245779661751</v>
      </c>
      <c r="AW1481" s="22">
        <f>'Activity data'!BP65*ManureNEF*NtoN2O*kgtoGg</f>
        <v>1.7262788410170404</v>
      </c>
    </row>
    <row r="1482" spans="1:49" x14ac:dyDescent="0.3">
      <c r="A1482" s="95" t="s">
        <v>960</v>
      </c>
      <c r="B1482" s="95"/>
      <c r="C1482" s="95"/>
      <c r="D1482" t="str">
        <f t="shared" si="565"/>
        <v>3C Aggregated and non-CO2 emissions on land</v>
      </c>
      <c r="E1482" t="str">
        <f t="shared" si="565"/>
        <v>3C4 Direct N2O from managed soils (N2O)</v>
      </c>
      <c r="F1482" t="s">
        <v>422</v>
      </c>
      <c r="G1482" t="str">
        <f>G1466</f>
        <v xml:space="preserve"> - TMR</v>
      </c>
      <c r="H1482" t="str">
        <f t="shared" si="563"/>
        <v>U&amp;D emissions - TMR</v>
      </c>
      <c r="I1482" t="str">
        <f t="shared" si="564"/>
        <v>N2O</v>
      </c>
      <c r="J1482" t="str">
        <f t="shared" si="564"/>
        <v>Gg N2O</v>
      </c>
      <c r="K1482" s="22">
        <f>'Activity data'!AD66*UDCPPEF*NtoN2O*kgtoGg</f>
        <v>0</v>
      </c>
      <c r="L1482" s="22">
        <f>'Activity data'!AE66*UDCPPEF*NtoN2O*kgtoGg</f>
        <v>0</v>
      </c>
      <c r="M1482" s="22">
        <f>'Activity data'!AF66*UDCPPEF*NtoN2O*kgtoGg</f>
        <v>0</v>
      </c>
      <c r="N1482" s="22">
        <f>'Activity data'!AG66*UDCPPEF*NtoN2O*kgtoGg</f>
        <v>0</v>
      </c>
      <c r="O1482" s="22">
        <f>'Activity data'!AH66*UDCPPEF*NtoN2O*kgtoGg</f>
        <v>0</v>
      </c>
      <c r="P1482" s="22">
        <f>'Activity data'!AI66*UDCPPEF*NtoN2O*kgtoGg</f>
        <v>0</v>
      </c>
      <c r="Q1482" s="22">
        <f>'Activity data'!AJ66*UDCPPEF*NtoN2O*kgtoGg</f>
        <v>0</v>
      </c>
      <c r="R1482" s="22">
        <f>'Activity data'!AK66*UDCPPEF*NtoN2O*kgtoGg</f>
        <v>0</v>
      </c>
      <c r="S1482" s="22">
        <f>'Activity data'!AL66*UDCPPEF*NtoN2O*kgtoGg</f>
        <v>0</v>
      </c>
      <c r="T1482" s="22">
        <f>'Activity data'!AM66*UDCPPEF*NtoN2O*kgtoGg</f>
        <v>0</v>
      </c>
      <c r="U1482" s="22">
        <f>'Activity data'!AN66*UDCPPEF*NtoN2O*kgtoGg</f>
        <v>0</v>
      </c>
      <c r="V1482" s="22">
        <f>'Activity data'!AO66*UDCPPEF*NtoN2O*kgtoGg</f>
        <v>0</v>
      </c>
      <c r="W1482" s="22">
        <f>'Activity data'!AP66*UDCPPEF*NtoN2O*kgtoGg</f>
        <v>0</v>
      </c>
      <c r="X1482" s="22">
        <f>'Activity data'!AQ66*UDCPPEF*NtoN2O*kgtoGg</f>
        <v>0</v>
      </c>
      <c r="Y1482" s="22">
        <f>'Activity data'!AR66*UDCPPEF*NtoN2O*kgtoGg</f>
        <v>0</v>
      </c>
      <c r="Z1482" s="22">
        <f>'Activity data'!AS66*UDCPPEF*NtoN2O*kgtoGg</f>
        <v>0</v>
      </c>
      <c r="AA1482" s="22">
        <f>'Activity data'!AT66*UDCPPEF*NtoN2O*kgtoGg</f>
        <v>0</v>
      </c>
      <c r="AB1482" s="22">
        <f>'Activity data'!AU66*UDCPPEF*NtoN2O*kgtoGg</f>
        <v>0</v>
      </c>
      <c r="AC1482" s="22">
        <f>'Activity data'!AV66*UDCPPEF*NtoN2O*kgtoGg</f>
        <v>0</v>
      </c>
      <c r="AD1482" s="22">
        <f>'Activity data'!AW66*UDCPPEF*NtoN2O*kgtoGg</f>
        <v>0</v>
      </c>
      <c r="AE1482" s="22">
        <f>'Activity data'!AX66*UDCPPEF*NtoN2O*kgtoGg</f>
        <v>0</v>
      </c>
      <c r="AF1482" s="22">
        <f>'Activity data'!AY66*UDCPPEF*NtoN2O*kgtoGg</f>
        <v>0</v>
      </c>
      <c r="AG1482" s="22">
        <f>'Activity data'!AZ66*UDCPPEF*NtoN2O*kgtoGg</f>
        <v>0</v>
      </c>
      <c r="AH1482" s="22">
        <f>'Activity data'!BA66*UDCPPEF*NtoN2O*kgtoGg</f>
        <v>0</v>
      </c>
      <c r="AI1482" s="22">
        <f>'Activity data'!BB66*UDCPPEF*NtoN2O*kgtoGg</f>
        <v>0</v>
      </c>
      <c r="AJ1482" s="22">
        <f>'Activity data'!BC66*UDCPPEF*NtoN2O*kgtoGg</f>
        <v>0</v>
      </c>
      <c r="AK1482" s="22">
        <f>'Activity data'!BD66*UDCPPEF*NtoN2O*kgtoGg</f>
        <v>0</v>
      </c>
      <c r="AL1482" s="22">
        <f>'Activity data'!BE66*UDCPPEF*NtoN2O*kgtoGg</f>
        <v>0</v>
      </c>
      <c r="AM1482" s="22">
        <f>'Activity data'!BF66*UDCPPEF*NtoN2O*kgtoGg</f>
        <v>0</v>
      </c>
      <c r="AN1482" s="22">
        <f>'Activity data'!BG66*UDCPPEF*NtoN2O*kgtoGg</f>
        <v>0</v>
      </c>
      <c r="AO1482" s="22">
        <f>'Activity data'!BH66*UDCPPEF*NtoN2O*kgtoGg</f>
        <v>0</v>
      </c>
      <c r="AP1482" s="22">
        <f>'Activity data'!BI66*UDCPPEF*NtoN2O*kgtoGg</f>
        <v>0</v>
      </c>
      <c r="AQ1482" s="22">
        <f>'Activity data'!BJ66*UDCPPEF*NtoN2O*kgtoGg</f>
        <v>0</v>
      </c>
      <c r="AR1482" s="22">
        <f>'Activity data'!BK66*UDCPPEF*NtoN2O*kgtoGg</f>
        <v>0</v>
      </c>
      <c r="AS1482" s="22">
        <f>'Activity data'!BL66*UDCPPEF*NtoN2O*kgtoGg</f>
        <v>0</v>
      </c>
      <c r="AT1482" s="22">
        <f>'Activity data'!BM66*UDCPPEF*NtoN2O*kgtoGg</f>
        <v>0</v>
      </c>
      <c r="AU1482" s="22">
        <f>'Activity data'!BN66*UDCPPEF*NtoN2O*kgtoGg</f>
        <v>0</v>
      </c>
      <c r="AV1482" s="22">
        <f>'Activity data'!BO66*UDCPPEF*NtoN2O*kgtoGg</f>
        <v>0</v>
      </c>
      <c r="AW1482" s="22">
        <f>'Activity data'!BP66*UDCPPEF*NtoN2O*kgtoGg</f>
        <v>0</v>
      </c>
    </row>
    <row r="1483" spans="1:49" x14ac:dyDescent="0.3">
      <c r="A1483" s="95" t="s">
        <v>960</v>
      </c>
      <c r="B1483" s="95"/>
      <c r="C1483" s="95"/>
      <c r="D1483" t="str">
        <f t="shared" si="565"/>
        <v>3C Aggregated and non-CO2 emissions on land</v>
      </c>
      <c r="E1483" t="str">
        <f t="shared" si="565"/>
        <v>3C4 Direct N2O from managed soils (N2O)</v>
      </c>
      <c r="F1483" t="s">
        <v>422</v>
      </c>
      <c r="G1483" t="str">
        <f t="shared" ref="G1483:G1497" si="566">G1467</f>
        <v xml:space="preserve"> - Pasture</v>
      </c>
      <c r="H1483" t="str">
        <f t="shared" si="563"/>
        <v>U&amp;D emissions - Pasture</v>
      </c>
      <c r="I1483" t="str">
        <f t="shared" ref="I1483:J1498" si="567">I1482</f>
        <v>N2O</v>
      </c>
      <c r="J1483" t="str">
        <f t="shared" si="567"/>
        <v>Gg N2O</v>
      </c>
      <c r="K1483" s="22">
        <f>'Activity data'!AD67*UDCPPEF*NtoN2O*kgtoGg</f>
        <v>1.0775797812462991</v>
      </c>
      <c r="L1483" s="22">
        <f>'Activity data'!AE67*UDCPPEF*NtoN2O*kgtoGg</f>
        <v>1.0836040032789305</v>
      </c>
      <c r="M1483" s="22">
        <f>'Activity data'!AF67*UDCPPEF*NtoN2O*kgtoGg</f>
        <v>1.0921513426512339</v>
      </c>
      <c r="N1483" s="22">
        <f>'Activity data'!AG67*UDCPPEF*NtoN2O*kgtoGg</f>
        <v>1.0976439186771809</v>
      </c>
      <c r="O1483" s="22">
        <f>'Activity data'!AH67*UDCPPEF*NtoN2O*kgtoGg</f>
        <v>1.1012937605673538</v>
      </c>
      <c r="P1483" s="22">
        <f>'Activity data'!AI67*UDCPPEF*NtoN2O*kgtoGg</f>
        <v>1.1030649457277464</v>
      </c>
      <c r="Q1483" s="22">
        <f>'Activity data'!AJ67*UDCPPEF*NtoN2O*kgtoGg</f>
        <v>1.1069781529146336</v>
      </c>
      <c r="R1483" s="22">
        <f>'Activity data'!AK67*UDCPPEF*NtoN2O*kgtoGg</f>
        <v>1.1114672588381171</v>
      </c>
      <c r="S1483" s="22">
        <f>'Activity data'!AL67*UDCPPEF*NtoN2O*kgtoGg</f>
        <v>1.0780569980949297</v>
      </c>
      <c r="T1483" s="22">
        <f>'Activity data'!AM67*UDCPPEF*NtoN2O*kgtoGg</f>
        <v>1.0893928957031254</v>
      </c>
      <c r="U1483" s="22">
        <f>'Activity data'!AN67*UDCPPEF*NtoN2O*kgtoGg</f>
        <v>1.1059856502817549</v>
      </c>
      <c r="V1483" s="22">
        <f>'Activity data'!AO67*UDCPPEF*NtoN2O*kgtoGg</f>
        <v>1.1145860741325027</v>
      </c>
      <c r="W1483" s="22">
        <f>'Activity data'!AP67*UDCPPEF*NtoN2O*kgtoGg</f>
        <v>1.1244152137402783</v>
      </c>
      <c r="X1483" s="22">
        <f>'Activity data'!AQ67*UDCPPEF*NtoN2O*kgtoGg</f>
        <v>1.1357914130193381</v>
      </c>
      <c r="Y1483" s="22">
        <f>'Activity data'!AR67*UDCPPEF*NtoN2O*kgtoGg</f>
        <v>1.1474086589431955</v>
      </c>
      <c r="Z1483" s="22">
        <f>'Activity data'!AS67*UDCPPEF*NtoN2O*kgtoGg</f>
        <v>1.1602674519477969</v>
      </c>
      <c r="AA1483" s="22">
        <f>'Activity data'!AT67*UDCPPEF*NtoN2O*kgtoGg</f>
        <v>1.1735245752036907</v>
      </c>
      <c r="AB1483" s="22">
        <f>'Activity data'!AU67*UDCPPEF*NtoN2O*kgtoGg</f>
        <v>1.18794114106982</v>
      </c>
      <c r="AC1483" s="22">
        <f>'Activity data'!AV67*UDCPPEF*NtoN2O*kgtoGg</f>
        <v>1.2026829177053815</v>
      </c>
      <c r="AD1483" s="22">
        <f>'Activity data'!AW67*UDCPPEF*NtoN2O*kgtoGg</f>
        <v>1.218608900056573</v>
      </c>
      <c r="AE1483" s="22">
        <f>'Activity data'!AX67*UDCPPEF*NtoN2O*kgtoGg</f>
        <v>1.2343193345034551</v>
      </c>
      <c r="AF1483" s="22">
        <f>'Activity data'!AY67*UDCPPEF*NtoN2O*kgtoGg</f>
        <v>1.2509015809248898</v>
      </c>
      <c r="AG1483" s="22">
        <f>'Activity data'!AZ67*UDCPPEF*NtoN2O*kgtoGg</f>
        <v>1.2696588428853492</v>
      </c>
      <c r="AH1483" s="22">
        <f>'Activity data'!BA67*UDCPPEF*NtoN2O*kgtoGg</f>
        <v>1.2874926850325319</v>
      </c>
      <c r="AI1483" s="22">
        <f>'Activity data'!BB67*UDCPPEF*NtoN2O*kgtoGg</f>
        <v>1.3057811956925069</v>
      </c>
      <c r="AJ1483" s="22">
        <f>'Activity data'!BC67*UDCPPEF*NtoN2O*kgtoGg</f>
        <v>1.3253399300509145</v>
      </c>
      <c r="AK1483" s="22">
        <f>'Activity data'!BD67*UDCPPEF*NtoN2O*kgtoGg</f>
        <v>1.3436641070257576</v>
      </c>
      <c r="AL1483" s="22">
        <f>'Activity data'!BE67*UDCPPEF*NtoN2O*kgtoGg</f>
        <v>1.361888843730743</v>
      </c>
      <c r="AM1483" s="22">
        <f>'Activity data'!BF67*UDCPPEF*NtoN2O*kgtoGg</f>
        <v>1.380064832160125</v>
      </c>
      <c r="AN1483" s="22">
        <f>'Activity data'!BG67*UDCPPEF*NtoN2O*kgtoGg</f>
        <v>1.3992944829741121</v>
      </c>
      <c r="AO1483" s="22">
        <f>'Activity data'!BH67*UDCPPEF*NtoN2O*kgtoGg</f>
        <v>1.4177506785056255</v>
      </c>
      <c r="AP1483" s="22">
        <f>'Activity data'!BI67*UDCPPEF*NtoN2O*kgtoGg</f>
        <v>1.4369235538048923</v>
      </c>
      <c r="AQ1483" s="22">
        <f>'Activity data'!BJ67*UDCPPEF*NtoN2O*kgtoGg</f>
        <v>1.4569005528602124</v>
      </c>
      <c r="AR1483" s="22">
        <f>'Activity data'!BK67*UDCPPEF*NtoN2O*kgtoGg</f>
        <v>1.4778222948761157</v>
      </c>
      <c r="AS1483" s="22">
        <f>'Activity data'!BL67*UDCPPEF*NtoN2O*kgtoGg</f>
        <v>1.499114114952786</v>
      </c>
      <c r="AT1483" s="22">
        <f>'Activity data'!BM67*UDCPPEF*NtoN2O*kgtoGg</f>
        <v>1.5041622353362427</v>
      </c>
      <c r="AU1483" s="22">
        <f>'Activity data'!BN67*UDCPPEF*NtoN2O*kgtoGg</f>
        <v>1.5077549671708836</v>
      </c>
      <c r="AV1483" s="22">
        <f>'Activity data'!BO67*UDCPPEF*NtoN2O*kgtoGg</f>
        <v>1.5092269750444909</v>
      </c>
      <c r="AW1483" s="22">
        <f>'Activity data'!BP67*UDCPPEF*NtoN2O*kgtoGg</f>
        <v>1.5101158131362518</v>
      </c>
    </row>
    <row r="1484" spans="1:49" x14ac:dyDescent="0.3">
      <c r="A1484" s="95" t="s">
        <v>960</v>
      </c>
      <c r="B1484" s="95"/>
      <c r="C1484" s="95"/>
      <c r="D1484" t="str">
        <f t="shared" si="565"/>
        <v>3C Aggregated and non-CO2 emissions on land</v>
      </c>
      <c r="E1484" t="str">
        <f t="shared" si="565"/>
        <v>3C4 Direct N2O from managed soils (N2O)</v>
      </c>
      <c r="F1484" t="s">
        <v>422</v>
      </c>
      <c r="G1484" t="str">
        <f t="shared" si="566"/>
        <v xml:space="preserve"> - Non-lactating</v>
      </c>
      <c r="H1484" t="str">
        <f t="shared" si="563"/>
        <v>U&amp;D emissions - Non-lactating</v>
      </c>
      <c r="I1484" t="str">
        <f t="shared" si="567"/>
        <v>N2O</v>
      </c>
      <c r="J1484" t="str">
        <f t="shared" si="567"/>
        <v>Gg N2O</v>
      </c>
      <c r="K1484" s="22">
        <f>'Activity data'!AD68*UDCPPEF*NtoN2O*kgtoGg</f>
        <v>0.73383920392416069</v>
      </c>
      <c r="L1484" s="22">
        <f>'Activity data'!AE68*UDCPPEF*NtoN2O*kgtoGg</f>
        <v>0.7379417403466384</v>
      </c>
      <c r="M1484" s="22">
        <f>'Activity data'!AF68*UDCPPEF*NtoN2O*kgtoGg</f>
        <v>0.74376253694082328</v>
      </c>
      <c r="N1484" s="22">
        <f>'Activity data'!AG68*UDCPPEF*NtoN2O*kgtoGg</f>
        <v>0.74750301879518044</v>
      </c>
      <c r="O1484" s="22">
        <f>'Activity data'!AH68*UDCPPEF*NtoN2O*kgtoGg</f>
        <v>0.74998858609492636</v>
      </c>
      <c r="P1484" s="22">
        <f>'Activity data'!AI68*UDCPPEF*NtoN2O*kgtoGg</f>
        <v>0.75119477530775824</v>
      </c>
      <c r="Q1484" s="22">
        <f>'Activity data'!AJ68*UDCPPEF*NtoN2O*kgtoGg</f>
        <v>0.7538596961765357</v>
      </c>
      <c r="R1484" s="22">
        <f>'Activity data'!AK68*UDCPPEF*NtoN2O*kgtoGg</f>
        <v>0.75691680802528427</v>
      </c>
      <c r="S1484" s="22">
        <f>'Activity data'!AL68*UDCPPEF*NtoN2O*kgtoGg</f>
        <v>0.73416419186323789</v>
      </c>
      <c r="T1484" s="22">
        <f>'Activity data'!AM68*UDCPPEF*NtoN2O*kgtoGg</f>
        <v>0.74188401569562545</v>
      </c>
      <c r="U1484" s="22">
        <f>'Activity data'!AN68*UDCPPEF*NtoN2O*kgtoGg</f>
        <v>0.75318379509275502</v>
      </c>
      <c r="V1484" s="22">
        <f>'Activity data'!AO68*UDCPPEF*NtoN2O*kgtoGg</f>
        <v>0.75904074257996901</v>
      </c>
      <c r="W1484" s="22">
        <f>'Activity data'!AP68*UDCPPEF*NtoN2O*kgtoGg</f>
        <v>0.76573445390469996</v>
      </c>
      <c r="X1484" s="22">
        <f>'Activity data'!AQ68*UDCPPEF*NtoN2O*kgtoGg</f>
        <v>0.77348172345069344</v>
      </c>
      <c r="Y1484" s="22">
        <f>'Activity data'!AR68*UDCPPEF*NtoN2O*kgtoGg</f>
        <v>0.78139314741105659</v>
      </c>
      <c r="Z1484" s="22">
        <f>'Activity data'!AS68*UDCPPEF*NtoN2O*kgtoGg</f>
        <v>0.79015007342818022</v>
      </c>
      <c r="AA1484" s="22">
        <f>'Activity data'!AT68*UDCPPEF*NtoN2O*kgtoGg</f>
        <v>0.79917826507184453</v>
      </c>
      <c r="AB1484" s="22">
        <f>'Activity data'!AU68*UDCPPEF*NtoN2O*kgtoGg</f>
        <v>0.80899604506608758</v>
      </c>
      <c r="AC1484" s="22">
        <f>'Activity data'!AV68*UDCPPEF*NtoN2O*kgtoGg</f>
        <v>0.81903529581943424</v>
      </c>
      <c r="AD1484" s="22">
        <f>'Activity data'!AW68*UDCPPEF*NtoN2O*kgtoGg</f>
        <v>0.82988099876756494</v>
      </c>
      <c r="AE1484" s="22">
        <f>'Activity data'!AX68*UDCPPEF*NtoN2O*kgtoGg</f>
        <v>0.84057991211806271</v>
      </c>
      <c r="AF1484" s="22">
        <f>'Activity data'!AY68*UDCPPEF*NtoN2O*kgtoGg</f>
        <v>0.8518725353882447</v>
      </c>
      <c r="AG1484" s="22">
        <f>'Activity data'!AZ68*UDCPPEF*NtoN2O*kgtoGg</f>
        <v>0.86464635912215038</v>
      </c>
      <c r="AH1484" s="22">
        <f>'Activity data'!BA68*UDCPPEF*NtoN2O*kgtoGg</f>
        <v>0.87679132764509471</v>
      </c>
      <c r="AI1484" s="22">
        <f>'Activity data'!BB68*UDCPPEF*NtoN2O*kgtoGg</f>
        <v>0.88924592853613249</v>
      </c>
      <c r="AJ1484" s="22">
        <f>'Activity data'!BC68*UDCPPEF*NtoN2O*kgtoGg</f>
        <v>0.90256556045678527</v>
      </c>
      <c r="AK1484" s="22">
        <f>'Activity data'!BD68*UDCPPEF*NtoN2O*kgtoGg</f>
        <v>0.91504445035228033</v>
      </c>
      <c r="AL1484" s="22">
        <f>'Activity data'!BE68*UDCPPEF*NtoN2O*kgtoGg</f>
        <v>0.92745562074362309</v>
      </c>
      <c r="AM1484" s="22">
        <f>'Activity data'!BF68*UDCPPEF*NtoN2O*kgtoGg</f>
        <v>0.93983359322574034</v>
      </c>
      <c r="AN1484" s="22">
        <f>'Activity data'!BG68*UDCPPEF*NtoN2O*kgtoGg</f>
        <v>0.95292911700102378</v>
      </c>
      <c r="AO1484" s="22">
        <f>'Activity data'!BH68*UDCPPEF*NtoN2O*kgtoGg</f>
        <v>0.9654979124368942</v>
      </c>
      <c r="AP1484" s="22">
        <f>'Activity data'!BI68*UDCPPEF*NtoN2O*kgtoGg</f>
        <v>0.97855477169819061</v>
      </c>
      <c r="AQ1484" s="22">
        <f>'Activity data'!BJ68*UDCPPEF*NtoN2O*kgtoGg</f>
        <v>0.99215924473924411</v>
      </c>
      <c r="AR1484" s="22">
        <f>'Activity data'!BK68*UDCPPEF*NtoN2O*kgtoGg</f>
        <v>1.0064070942004693</v>
      </c>
      <c r="AS1484" s="22">
        <f>'Activity data'!BL68*UDCPPEF*NtoN2O*kgtoGg</f>
        <v>1.0209069693531829</v>
      </c>
      <c r="AT1484" s="22">
        <f>'Activity data'!BM68*UDCPPEF*NtoN2O*kgtoGg</f>
        <v>1.0243447738739997</v>
      </c>
      <c r="AU1484" s="22">
        <f>'Activity data'!BN68*UDCPPEF*NtoN2O*kgtoGg</f>
        <v>1.0267914488351768</v>
      </c>
      <c r="AV1484" s="22">
        <f>'Activity data'!BO68*UDCPPEF*NtoN2O*kgtoGg</f>
        <v>1.0277938962687103</v>
      </c>
      <c r="AW1484" s="22">
        <f>'Activity data'!BP68*UDCPPEF*NtoN2O*kgtoGg</f>
        <v>1.0283992010907079</v>
      </c>
    </row>
    <row r="1485" spans="1:49" x14ac:dyDescent="0.3">
      <c r="A1485" s="95" t="s">
        <v>960</v>
      </c>
      <c r="B1485" s="95"/>
      <c r="C1485" s="95"/>
      <c r="D1485" t="str">
        <f t="shared" si="565"/>
        <v>3C Aggregated and non-CO2 emissions on land</v>
      </c>
      <c r="E1485" t="str">
        <f t="shared" si="565"/>
        <v>3C4 Direct N2O from managed soils (N2O)</v>
      </c>
      <c r="F1485" t="s">
        <v>422</v>
      </c>
      <c r="G1485" t="str">
        <f t="shared" si="566"/>
        <v xml:space="preserve"> - Commercial cattle</v>
      </c>
      <c r="H1485" t="str">
        <f t="shared" si="563"/>
        <v>U&amp;D emissions - Commercial cattle</v>
      </c>
      <c r="I1485" t="str">
        <f t="shared" si="567"/>
        <v>N2O</v>
      </c>
      <c r="J1485" t="str">
        <f t="shared" si="567"/>
        <v>Gg N2O</v>
      </c>
      <c r="K1485" s="22">
        <f>'Activity data'!AD69*UDCPPEF*NtoN2O*kgtoGg</f>
        <v>15.353527292296844</v>
      </c>
      <c r="L1485" s="22">
        <f>'Activity data'!AE69*UDCPPEF*NtoN2O*kgtoGg</f>
        <v>15.220371053361486</v>
      </c>
      <c r="M1485" s="22">
        <f>'Activity data'!AF69*UDCPPEF*NtoN2O*kgtoGg</f>
        <v>15.169682504177887</v>
      </c>
      <c r="N1485" s="22">
        <f>'Activity data'!AG69*UDCPPEF*NtoN2O*kgtoGg</f>
        <v>14.967111251021189</v>
      </c>
      <c r="O1485" s="22">
        <f>'Activity data'!AH69*UDCPPEF*NtoN2O*kgtoGg</f>
        <v>14.673074129931953</v>
      </c>
      <c r="P1485" s="22">
        <f>'Activity data'!AI69*UDCPPEF*NtoN2O*kgtoGg</f>
        <v>14.293651368256896</v>
      </c>
      <c r="Q1485" s="22">
        <f>'Activity data'!AJ69*UDCPPEF*NtoN2O*kgtoGg</f>
        <v>13.994389539168758</v>
      </c>
      <c r="R1485" s="22">
        <f>'Activity data'!AK69*UDCPPEF*NtoN2O*kgtoGg</f>
        <v>13.711253827544139</v>
      </c>
      <c r="S1485" s="22">
        <f>'Activity data'!AL69*UDCPPEF*NtoN2O*kgtoGg</f>
        <v>12.061906249102522</v>
      </c>
      <c r="T1485" s="22">
        <f>'Activity data'!AM69*UDCPPEF*NtoN2O*kgtoGg</f>
        <v>12.257827954761961</v>
      </c>
      <c r="U1485" s="22">
        <f>'Activity data'!AN69*UDCPPEF*NtoN2O*kgtoGg</f>
        <v>12.623326077373568</v>
      </c>
      <c r="V1485" s="22">
        <f>'Activity data'!AO69*UDCPPEF*NtoN2O*kgtoGg</f>
        <v>12.696320274115601</v>
      </c>
      <c r="W1485" s="22">
        <f>'Activity data'!AP69*UDCPPEF*NtoN2O*kgtoGg</f>
        <v>12.80159889911199</v>
      </c>
      <c r="X1485" s="22">
        <f>'Activity data'!AQ69*UDCPPEF*NtoN2O*kgtoGg</f>
        <v>12.948464903220069</v>
      </c>
      <c r="Y1485" s="22">
        <f>'Activity data'!AR69*UDCPPEF*NtoN2O*kgtoGg</f>
        <v>13.116926910965395</v>
      </c>
      <c r="Z1485" s="22">
        <f>'Activity data'!AS69*UDCPPEF*NtoN2O*kgtoGg</f>
        <v>13.314439769643803</v>
      </c>
      <c r="AA1485" s="22">
        <f>'Activity data'!AT69*UDCPPEF*NtoN2O*kgtoGg</f>
        <v>13.51286360181456</v>
      </c>
      <c r="AB1485" s="22">
        <f>'Activity data'!AU69*UDCPPEF*NtoN2O*kgtoGg</f>
        <v>13.736029185929986</v>
      </c>
      <c r="AC1485" s="22">
        <f>'Activity data'!AV69*UDCPPEF*NtoN2O*kgtoGg</f>
        <v>13.956980095887328</v>
      </c>
      <c r="AD1485" s="22">
        <f>'Activity data'!AW69*UDCPPEF*NtoN2O*kgtoGg</f>
        <v>14.10090814419179</v>
      </c>
      <c r="AE1485" s="22">
        <f>'Activity data'!AX69*UDCPPEF*NtoN2O*kgtoGg</f>
        <v>14.219083101971489</v>
      </c>
      <c r="AF1485" s="22">
        <f>'Activity data'!AY69*UDCPPEF*NtoN2O*kgtoGg</f>
        <v>14.343928249023508</v>
      </c>
      <c r="AG1485" s="22">
        <f>'Activity data'!AZ69*UDCPPEF*NtoN2O*kgtoGg</f>
        <v>14.51096965309287</v>
      </c>
      <c r="AH1485" s="22">
        <f>'Activity data'!BA69*UDCPPEF*NtoN2O*kgtoGg</f>
        <v>14.631100213840327</v>
      </c>
      <c r="AI1485" s="22">
        <f>'Activity data'!BB69*UDCPPEF*NtoN2O*kgtoGg</f>
        <v>14.759129789982603</v>
      </c>
      <c r="AJ1485" s="22">
        <f>'Activity data'!BC69*UDCPPEF*NtoN2O*kgtoGg</f>
        <v>14.900063859192302</v>
      </c>
      <c r="AK1485" s="22">
        <f>'Activity data'!BD69*UDCPPEF*NtoN2O*kgtoGg</f>
        <v>14.987884546338787</v>
      </c>
      <c r="AL1485" s="22">
        <f>'Activity data'!BE69*UDCPPEF*NtoN2O*kgtoGg</f>
        <v>15.053769229100121</v>
      </c>
      <c r="AM1485" s="22">
        <f>'Activity data'!BF69*UDCPPEF*NtoN2O*kgtoGg</f>
        <v>15.099596245527735</v>
      </c>
      <c r="AN1485" s="22">
        <f>'Activity data'!BG69*UDCPPEF*NtoN2O*kgtoGg</f>
        <v>15.242060327526691</v>
      </c>
      <c r="AO1485" s="22">
        <f>'Activity data'!BH69*UDCPPEF*NtoN2O*kgtoGg</f>
        <v>15.350351065013276</v>
      </c>
      <c r="AP1485" s="22">
        <f>'Activity data'!BI69*UDCPPEF*NtoN2O*kgtoGg</f>
        <v>15.4600087454617</v>
      </c>
      <c r="AQ1485" s="22">
        <f>'Activity data'!BJ69*UDCPPEF*NtoN2O*kgtoGg</f>
        <v>15.572287803164578</v>
      </c>
      <c r="AR1485" s="22">
        <f>'Activity data'!BK69*UDCPPEF*NtoN2O*kgtoGg</f>
        <v>15.689452381356277</v>
      </c>
      <c r="AS1485" s="22">
        <f>'Activity data'!BL69*UDCPPEF*NtoN2O*kgtoGg</f>
        <v>15.809749281637989</v>
      </c>
      <c r="AT1485" s="22">
        <f>'Activity data'!BM69*UDCPPEF*NtoN2O*kgtoGg</f>
        <v>15.572449633225865</v>
      </c>
      <c r="AU1485" s="22">
        <f>'Activity data'!BN69*UDCPPEF*NtoN2O*kgtoGg</f>
        <v>15.303629040465463</v>
      </c>
      <c r="AV1485" s="22">
        <f>'Activity data'!BO69*UDCPPEF*NtoN2O*kgtoGg</f>
        <v>14.991979745020995</v>
      </c>
      <c r="AW1485" s="22">
        <f>'Activity data'!BP69*UDCPPEF*NtoN2O*kgtoGg</f>
        <v>14.670563587286086</v>
      </c>
    </row>
    <row r="1486" spans="1:49" x14ac:dyDescent="0.3">
      <c r="A1486" s="95" t="s">
        <v>960</v>
      </c>
      <c r="B1486" s="95"/>
      <c r="C1486" s="95"/>
      <c r="D1486" t="str">
        <f t="shared" si="565"/>
        <v>3C Aggregated and non-CO2 emissions on land</v>
      </c>
      <c r="E1486" t="str">
        <f t="shared" si="565"/>
        <v>3C4 Direct N2O from managed soils (N2O)</v>
      </c>
      <c r="F1486" t="s">
        <v>422</v>
      </c>
      <c r="G1486" t="str">
        <f t="shared" si="566"/>
        <v xml:space="preserve"> - Subsistence cattle</v>
      </c>
      <c r="H1486" t="str">
        <f t="shared" si="563"/>
        <v>U&amp;D emissions - Subsistence cattle</v>
      </c>
      <c r="I1486" t="str">
        <f t="shared" si="567"/>
        <v>N2O</v>
      </c>
      <c r="J1486" t="str">
        <f t="shared" si="567"/>
        <v>Gg N2O</v>
      </c>
      <c r="K1486" s="22">
        <f>'Activity data'!AD70*UDCPPEF*NtoN2O*kgtoGg</f>
        <v>9.6543103644621464</v>
      </c>
      <c r="L1486" s="22">
        <f>'Activity data'!AE70*UDCPPEF*NtoN2O*kgtoGg</f>
        <v>9.570581613851763</v>
      </c>
      <c r="M1486" s="22">
        <f>'Activity data'!AF70*UDCPPEF*NtoN2O*kgtoGg</f>
        <v>9.5387086131773007</v>
      </c>
      <c r="N1486" s="22">
        <f>'Activity data'!AG70*UDCPPEF*NtoN2O*kgtoGg</f>
        <v>9.4113316455488931</v>
      </c>
      <c r="O1486" s="22">
        <f>'Activity data'!AH70*UDCPPEF*NtoN2O*kgtoGg</f>
        <v>9.2264408662754782</v>
      </c>
      <c r="P1486" s="22">
        <f>'Activity data'!AI70*UDCPPEF*NtoN2O*kgtoGg</f>
        <v>8.9878595272244652</v>
      </c>
      <c r="Q1486" s="22">
        <f>'Activity data'!AJ70*UDCPPEF*NtoN2O*kgtoGg</f>
        <v>8.7996834473406587</v>
      </c>
      <c r="R1486" s="22">
        <f>'Activity data'!AK70*UDCPPEF*NtoN2O*kgtoGg</f>
        <v>8.6216474831450967</v>
      </c>
      <c r="S1486" s="22">
        <f>'Activity data'!AL70*UDCPPEF*NtoN2O*kgtoGg</f>
        <v>7.5845363934257692</v>
      </c>
      <c r="T1486" s="22">
        <f>'Activity data'!AM70*UDCPPEF*NtoN2O*kgtoGg</f>
        <v>7.7077321202161873</v>
      </c>
      <c r="U1486" s="22">
        <f>'Activity data'!AN70*UDCPPEF*NtoN2O*kgtoGg</f>
        <v>7.9375576349753283</v>
      </c>
      <c r="V1486" s="22">
        <f>'Activity data'!AO70*UDCPPEF*NtoN2O*kgtoGg</f>
        <v>7.9834564448537479</v>
      </c>
      <c r="W1486" s="22">
        <f>'Activity data'!AP70*UDCPPEF*NtoN2O*kgtoGg</f>
        <v>8.0496557292988875</v>
      </c>
      <c r="X1486" s="22">
        <f>'Activity data'!AQ70*UDCPPEF*NtoN2O*kgtoGg</f>
        <v>8.1420051913250582</v>
      </c>
      <c r="Y1486" s="22">
        <f>'Activity data'!AR70*UDCPPEF*NtoN2O*kgtoGg</f>
        <v>8.2479342378842677</v>
      </c>
      <c r="Z1486" s="22">
        <f>'Activity data'!AS70*UDCPPEF*NtoN2O*kgtoGg</f>
        <v>8.3721304829783953</v>
      </c>
      <c r="AA1486" s="22">
        <f>'Activity data'!AT70*UDCPPEF*NtoN2O*kgtoGg</f>
        <v>8.4968995489404282</v>
      </c>
      <c r="AB1486" s="22">
        <f>'Activity data'!AU70*UDCPPEF*NtoN2O*kgtoGg</f>
        <v>8.6372262485124356</v>
      </c>
      <c r="AC1486" s="22">
        <f>'Activity data'!AV70*UDCPPEF*NtoN2O*kgtoGg</f>
        <v>8.7761603591847646</v>
      </c>
      <c r="AD1486" s="22">
        <f>'Activity data'!AW70*UDCPPEF*NtoN2O*kgtoGg</f>
        <v>8.8666624322282459</v>
      </c>
      <c r="AE1486" s="22">
        <f>'Activity data'!AX70*UDCPPEF*NtoN2O*kgtoGg</f>
        <v>8.9409709411455953</v>
      </c>
      <c r="AF1486" s="22">
        <f>'Activity data'!AY70*UDCPPEF*NtoN2O*kgtoGg</f>
        <v>9.0194736704657732</v>
      </c>
      <c r="AG1486" s="22">
        <f>'Activity data'!AZ70*UDCPPEF*NtoN2O*kgtoGg</f>
        <v>9.1245094402859266</v>
      </c>
      <c r="AH1486" s="22">
        <f>'Activity data'!BA70*UDCPPEF*NtoN2O*kgtoGg</f>
        <v>9.2000476339292057</v>
      </c>
      <c r="AI1486" s="22">
        <f>'Activity data'!BB70*UDCPPEF*NtoN2O*kgtoGg</f>
        <v>9.2805527348338117</v>
      </c>
      <c r="AJ1486" s="22">
        <f>'Activity data'!BC70*UDCPPEF*NtoN2O*kgtoGg</f>
        <v>9.3691721914038766</v>
      </c>
      <c r="AK1486" s="22">
        <f>'Activity data'!BD70*UDCPPEF*NtoN2O*kgtoGg</f>
        <v>9.4243939104259251</v>
      </c>
      <c r="AL1486" s="22">
        <f>'Activity data'!BE70*UDCPPEF*NtoN2O*kgtoGg</f>
        <v>9.4658222521699837</v>
      </c>
      <c r="AM1486" s="22">
        <f>'Activity data'!BF70*UDCPPEF*NtoN2O*kgtoGg</f>
        <v>9.4946383171201845</v>
      </c>
      <c r="AN1486" s="22">
        <f>'Activity data'!BG70*UDCPPEF*NtoN2O*kgtoGg</f>
        <v>9.5842198469681268</v>
      </c>
      <c r="AO1486" s="22">
        <f>'Activity data'!BH70*UDCPPEF*NtoN2O*kgtoGg</f>
        <v>9.6523131501803814</v>
      </c>
      <c r="AP1486" s="22">
        <f>'Activity data'!BI70*UDCPPEF*NtoN2O*kgtoGg</f>
        <v>9.7212659882312984</v>
      </c>
      <c r="AQ1486" s="22">
        <f>'Activity data'!BJ70*UDCPPEF*NtoN2O*kgtoGg</f>
        <v>9.7918671504174508</v>
      </c>
      <c r="AR1486" s="22">
        <f>'Activity data'!BK70*UDCPPEF*NtoN2O*kgtoGg</f>
        <v>9.8655403318336496</v>
      </c>
      <c r="AS1486" s="22">
        <f>'Activity data'!BL70*UDCPPEF*NtoN2O*kgtoGg</f>
        <v>9.9411831199104377</v>
      </c>
      <c r="AT1486" s="22">
        <f>'Activity data'!BM70*UDCPPEF*NtoN2O*kgtoGg</f>
        <v>9.7919689092907181</v>
      </c>
      <c r="AU1486" s="22">
        <f>'Activity data'!BN70*UDCPPEF*NtoN2O*kgtoGg</f>
        <v>9.6229343034011841</v>
      </c>
      <c r="AV1486" s="22">
        <f>'Activity data'!BO70*UDCPPEF*NtoN2O*kgtoGg</f>
        <v>9.4269689746655256</v>
      </c>
      <c r="AW1486" s="22">
        <f>'Activity data'!BP70*UDCPPEF*NtoN2O*kgtoGg</f>
        <v>9.2248622350316598</v>
      </c>
    </row>
    <row r="1487" spans="1:49" x14ac:dyDescent="0.3">
      <c r="A1487" s="95" t="s">
        <v>960</v>
      </c>
      <c r="B1487" s="95"/>
      <c r="C1487" s="95"/>
      <c r="D1487" t="str">
        <f t="shared" si="565"/>
        <v>3C Aggregated and non-CO2 emissions on land</v>
      </c>
      <c r="E1487" t="str">
        <f t="shared" si="565"/>
        <v>3C4 Direct N2O from managed soils (N2O)</v>
      </c>
      <c r="F1487" t="s">
        <v>422</v>
      </c>
      <c r="G1487" t="str">
        <f t="shared" si="566"/>
        <v xml:space="preserve"> - Feedlot</v>
      </c>
      <c r="H1487" t="str">
        <f t="shared" si="563"/>
        <v>U&amp;D emissions - Feedlot</v>
      </c>
      <c r="I1487" t="str">
        <f t="shared" si="567"/>
        <v>N2O</v>
      </c>
      <c r="J1487" t="str">
        <f t="shared" si="567"/>
        <v>Gg N2O</v>
      </c>
      <c r="K1487" s="22">
        <f>'Activity data'!AD71*UDCPPEF*NtoN2O*kgtoGg</f>
        <v>0</v>
      </c>
      <c r="L1487" s="22">
        <f>'Activity data'!AE71*UDCPPEF*NtoN2O*kgtoGg</f>
        <v>0</v>
      </c>
      <c r="M1487" s="22">
        <f>'Activity data'!AF71*UDCPPEF*NtoN2O*kgtoGg</f>
        <v>0</v>
      </c>
      <c r="N1487" s="22">
        <f>'Activity data'!AG71*UDCPPEF*NtoN2O*kgtoGg</f>
        <v>0</v>
      </c>
      <c r="O1487" s="22">
        <f>'Activity data'!AH71*UDCPPEF*NtoN2O*kgtoGg</f>
        <v>0</v>
      </c>
      <c r="P1487" s="22">
        <f>'Activity data'!AI71*UDCPPEF*NtoN2O*kgtoGg</f>
        <v>0</v>
      </c>
      <c r="Q1487" s="22">
        <f>'Activity data'!AJ71*UDCPPEF*NtoN2O*kgtoGg</f>
        <v>0</v>
      </c>
      <c r="R1487" s="22">
        <f>'Activity data'!AK71*UDCPPEF*NtoN2O*kgtoGg</f>
        <v>0</v>
      </c>
      <c r="S1487" s="22">
        <f>'Activity data'!AL71*UDCPPEF*NtoN2O*kgtoGg</f>
        <v>0</v>
      </c>
      <c r="T1487" s="22">
        <f>'Activity data'!AM71*UDCPPEF*NtoN2O*kgtoGg</f>
        <v>0</v>
      </c>
      <c r="U1487" s="22">
        <f>'Activity data'!AN71*UDCPPEF*NtoN2O*kgtoGg</f>
        <v>0</v>
      </c>
      <c r="V1487" s="22">
        <f>'Activity data'!AO71*UDCPPEF*NtoN2O*kgtoGg</f>
        <v>0</v>
      </c>
      <c r="W1487" s="22">
        <f>'Activity data'!AP71*UDCPPEF*NtoN2O*kgtoGg</f>
        <v>0</v>
      </c>
      <c r="X1487" s="22">
        <f>'Activity data'!AQ71*UDCPPEF*NtoN2O*kgtoGg</f>
        <v>0</v>
      </c>
      <c r="Y1487" s="22">
        <f>'Activity data'!AR71*UDCPPEF*NtoN2O*kgtoGg</f>
        <v>0</v>
      </c>
      <c r="Z1487" s="22">
        <f>'Activity data'!AS71*UDCPPEF*NtoN2O*kgtoGg</f>
        <v>0</v>
      </c>
      <c r="AA1487" s="22">
        <f>'Activity data'!AT71*UDCPPEF*NtoN2O*kgtoGg</f>
        <v>0</v>
      </c>
      <c r="AB1487" s="22">
        <f>'Activity data'!AU71*UDCPPEF*NtoN2O*kgtoGg</f>
        <v>0</v>
      </c>
      <c r="AC1487" s="22">
        <f>'Activity data'!AV71*UDCPPEF*NtoN2O*kgtoGg</f>
        <v>0</v>
      </c>
      <c r="AD1487" s="22">
        <f>'Activity data'!AW71*UDCPPEF*NtoN2O*kgtoGg</f>
        <v>0</v>
      </c>
      <c r="AE1487" s="22">
        <f>'Activity data'!AX71*UDCPPEF*NtoN2O*kgtoGg</f>
        <v>0</v>
      </c>
      <c r="AF1487" s="22">
        <f>'Activity data'!AY71*UDCPPEF*NtoN2O*kgtoGg</f>
        <v>0</v>
      </c>
      <c r="AG1487" s="22">
        <f>'Activity data'!AZ71*UDCPPEF*NtoN2O*kgtoGg</f>
        <v>0</v>
      </c>
      <c r="AH1487" s="22">
        <f>'Activity data'!BA71*UDCPPEF*NtoN2O*kgtoGg</f>
        <v>0</v>
      </c>
      <c r="AI1487" s="22">
        <f>'Activity data'!BB71*UDCPPEF*NtoN2O*kgtoGg</f>
        <v>0</v>
      </c>
      <c r="AJ1487" s="22">
        <f>'Activity data'!BC71*UDCPPEF*NtoN2O*kgtoGg</f>
        <v>0</v>
      </c>
      <c r="AK1487" s="22">
        <f>'Activity data'!BD71*UDCPPEF*NtoN2O*kgtoGg</f>
        <v>0</v>
      </c>
      <c r="AL1487" s="22">
        <f>'Activity data'!BE71*UDCPPEF*NtoN2O*kgtoGg</f>
        <v>0</v>
      </c>
      <c r="AM1487" s="22">
        <f>'Activity data'!BF71*UDCPPEF*NtoN2O*kgtoGg</f>
        <v>0</v>
      </c>
      <c r="AN1487" s="22">
        <f>'Activity data'!BG71*UDCPPEF*NtoN2O*kgtoGg</f>
        <v>0</v>
      </c>
      <c r="AO1487" s="22">
        <f>'Activity data'!BH71*UDCPPEF*NtoN2O*kgtoGg</f>
        <v>0</v>
      </c>
      <c r="AP1487" s="22">
        <f>'Activity data'!BI71*UDCPPEF*NtoN2O*kgtoGg</f>
        <v>0</v>
      </c>
      <c r="AQ1487" s="22">
        <f>'Activity data'!BJ71*UDCPPEF*NtoN2O*kgtoGg</f>
        <v>0</v>
      </c>
      <c r="AR1487" s="22">
        <f>'Activity data'!BK71*UDCPPEF*NtoN2O*kgtoGg</f>
        <v>0</v>
      </c>
      <c r="AS1487" s="22">
        <f>'Activity data'!BL71*UDCPPEF*NtoN2O*kgtoGg</f>
        <v>0</v>
      </c>
      <c r="AT1487" s="22">
        <f>'Activity data'!BM71*UDCPPEF*NtoN2O*kgtoGg</f>
        <v>0</v>
      </c>
      <c r="AU1487" s="22">
        <f>'Activity data'!BN71*UDCPPEF*NtoN2O*kgtoGg</f>
        <v>0</v>
      </c>
      <c r="AV1487" s="22">
        <f>'Activity data'!BO71*UDCPPEF*NtoN2O*kgtoGg</f>
        <v>0</v>
      </c>
      <c r="AW1487" s="22">
        <f>'Activity data'!BP71*UDCPPEF*NtoN2O*kgtoGg</f>
        <v>0</v>
      </c>
    </row>
    <row r="1488" spans="1:49" x14ac:dyDescent="0.3">
      <c r="A1488" s="95" t="s">
        <v>960</v>
      </c>
      <c r="B1488" s="95"/>
      <c r="C1488" s="95"/>
      <c r="D1488" t="str">
        <f t="shared" si="565"/>
        <v>3C Aggregated and non-CO2 emissions on land</v>
      </c>
      <c r="E1488" t="str">
        <f t="shared" si="565"/>
        <v>3C4 Direct N2O from managed soils (N2O)</v>
      </c>
      <c r="F1488" t="s">
        <v>422</v>
      </c>
      <c r="G1488" t="str">
        <f t="shared" si="566"/>
        <v xml:space="preserve"> - Commercial sheep</v>
      </c>
      <c r="H1488" t="str">
        <f t="shared" si="563"/>
        <v>U&amp;D emissions - Commercial sheep</v>
      </c>
      <c r="I1488" t="str">
        <f t="shared" si="567"/>
        <v>N2O</v>
      </c>
      <c r="J1488" t="str">
        <f t="shared" si="567"/>
        <v>Gg N2O</v>
      </c>
      <c r="K1488" s="22">
        <f>'Activity data'!AD72*UDSOEF*NtoN2O*kgtoGg</f>
        <v>5.8008217784478333</v>
      </c>
      <c r="L1488" s="22">
        <f>'Activity data'!AE72*UDSOEF*NtoN2O*kgtoGg</f>
        <v>5.8039582643251126</v>
      </c>
      <c r="M1488" s="22">
        <f>'Activity data'!AF72*UDSOEF*NtoN2O*kgtoGg</f>
        <v>5.8114574843873825</v>
      </c>
      <c r="N1488" s="22">
        <f>'Activity data'!AG72*UDSOEF*NtoN2O*kgtoGg</f>
        <v>5.8225151444828054</v>
      </c>
      <c r="O1488" s="22">
        <f>'Activity data'!AH72*UDSOEF*NtoN2O*kgtoGg</f>
        <v>5.8370609765606929</v>
      </c>
      <c r="P1488" s="22">
        <f>'Activity data'!AI72*UDSOEF*NtoN2O*kgtoGg</f>
        <v>5.8549413826537444</v>
      </c>
      <c r="Q1488" s="22">
        <f>'Activity data'!AJ72*UDSOEF*NtoN2O*kgtoGg</f>
        <v>5.8750235193024203</v>
      </c>
      <c r="R1488" s="22">
        <f>'Activity data'!AK72*UDSOEF*NtoN2O*kgtoGg</f>
        <v>5.8971806009067276</v>
      </c>
      <c r="S1488" s="22">
        <f>'Activity data'!AL72*UDSOEF*NtoN2O*kgtoGg</f>
        <v>5.917442032162775</v>
      </c>
      <c r="T1488" s="22">
        <f>'Activity data'!AM72*UDSOEF*NtoN2O*kgtoGg</f>
        <v>5.9263453955781369</v>
      </c>
      <c r="U1488" s="22">
        <f>'Activity data'!AN72*UDSOEF*NtoN2O*kgtoGg</f>
        <v>5.9372183150377431</v>
      </c>
      <c r="V1488" s="22">
        <f>'Activity data'!AO72*UDSOEF*NtoN2O*kgtoGg</f>
        <v>5.9486466020913653</v>
      </c>
      <c r="W1488" s="22">
        <f>'Activity data'!AP72*UDSOEF*NtoN2O*kgtoGg</f>
        <v>5.9614772941302494</v>
      </c>
      <c r="X1488" s="22">
        <f>'Activity data'!AQ72*UDSOEF*NtoN2O*kgtoGg</f>
        <v>5.975674490624324</v>
      </c>
      <c r="Y1488" s="22">
        <f>'Activity data'!AR72*UDSOEF*NtoN2O*kgtoGg</f>
        <v>5.984540997272453</v>
      </c>
      <c r="Z1488" s="22">
        <f>'Activity data'!AS72*UDSOEF*NtoN2O*kgtoGg</f>
        <v>5.9945579021556687</v>
      </c>
      <c r="AA1488" s="22">
        <f>'Activity data'!AT72*UDSOEF*NtoN2O*kgtoGg</f>
        <v>6.0055898546708475</v>
      </c>
      <c r="AB1488" s="22">
        <f>'Activity data'!AU72*UDSOEF*NtoN2O*kgtoGg</f>
        <v>6.0176671888041211</v>
      </c>
      <c r="AC1488" s="22">
        <f>'Activity data'!AV72*UDSOEF*NtoN2O*kgtoGg</f>
        <v>6.030665248312749</v>
      </c>
      <c r="AD1488" s="22">
        <f>'Activity data'!AW72*UDSOEF*NtoN2O*kgtoGg</f>
        <v>6.0393845451591259</v>
      </c>
      <c r="AE1488" s="22">
        <f>'Activity data'!AX72*UDSOEF*NtoN2O*kgtoGg</f>
        <v>6.0488503325285592</v>
      </c>
      <c r="AF1488" s="22">
        <f>'Activity data'!AY72*UDSOEF*NtoN2O*kgtoGg</f>
        <v>6.0591386998485763</v>
      </c>
      <c r="AG1488" s="22">
        <f>'Activity data'!AZ72*UDSOEF*NtoN2O*kgtoGg</f>
        <v>6.0703500781796258</v>
      </c>
      <c r="AH1488" s="22">
        <f>'Activity data'!BA72*UDSOEF*NtoN2O*kgtoGg</f>
        <v>6.0821478127419235</v>
      </c>
      <c r="AI1488" s="22">
        <f>'Activity data'!BB72*UDSOEF*NtoN2O*kgtoGg</f>
        <v>6.0896888871649706</v>
      </c>
      <c r="AJ1488" s="22">
        <f>'Activity data'!BC72*UDSOEF*NtoN2O*kgtoGg</f>
        <v>6.0979488793317644</v>
      </c>
      <c r="AK1488" s="22">
        <f>'Activity data'!BD72*UDSOEF*NtoN2O*kgtoGg</f>
        <v>6.1066553574494229</v>
      </c>
      <c r="AL1488" s="22">
        <f>'Activity data'!BE72*UDSOEF*NtoN2O*kgtoGg</f>
        <v>6.1159010108536567</v>
      </c>
      <c r="AM1488" s="22">
        <f>'Activity data'!BF72*UDSOEF*NtoN2O*kgtoGg</f>
        <v>6.1256718211091643</v>
      </c>
      <c r="AN1488" s="22">
        <f>'Activity data'!BG72*UDSOEF*NtoN2O*kgtoGg</f>
        <v>6.1314451386260842</v>
      </c>
      <c r="AO1488" s="22">
        <f>'Activity data'!BH72*UDSOEF*NtoN2O*kgtoGg</f>
        <v>6.1376082251338753</v>
      </c>
      <c r="AP1488" s="22">
        <f>'Activity data'!BI72*UDSOEF*NtoN2O*kgtoGg</f>
        <v>6.1442934501067121</v>
      </c>
      <c r="AQ1488" s="22">
        <f>'Activity data'!BJ72*UDSOEF*NtoN2O*kgtoGg</f>
        <v>6.1514943503502693</v>
      </c>
      <c r="AR1488" s="22">
        <f>'Activity data'!BK72*UDSOEF*NtoN2O*kgtoGg</f>
        <v>6.1592107766386786</v>
      </c>
      <c r="AS1488" s="22">
        <f>'Activity data'!BL72*UDSOEF*NtoN2O*kgtoGg</f>
        <v>6.1627115342701337</v>
      </c>
      <c r="AT1488" s="22">
        <f>'Activity data'!BM72*UDSOEF*NtoN2O*kgtoGg</f>
        <v>6.1649675411239766</v>
      </c>
      <c r="AU1488" s="22">
        <f>'Activity data'!BN72*UDSOEF*NtoN2O*kgtoGg</f>
        <v>6.1674405510086165</v>
      </c>
      <c r="AV1488" s="22">
        <f>'Activity data'!BO72*UDSOEF*NtoN2O*kgtoGg</f>
        <v>6.1700527124926303</v>
      </c>
      <c r="AW1488" s="22">
        <f>'Activity data'!BP72*UDSOEF*NtoN2O*kgtoGg</f>
        <v>6.1729463171150929</v>
      </c>
    </row>
    <row r="1489" spans="1:49" x14ac:dyDescent="0.3">
      <c r="A1489" s="95" t="s">
        <v>960</v>
      </c>
      <c r="B1489" s="95"/>
      <c r="C1489" s="95"/>
      <c r="D1489" t="str">
        <f t="shared" si="565"/>
        <v>3C Aggregated and non-CO2 emissions on land</v>
      </c>
      <c r="E1489" t="str">
        <f t="shared" si="565"/>
        <v>3C4 Direct N2O from managed soils (N2O)</v>
      </c>
      <c r="F1489" t="s">
        <v>422</v>
      </c>
      <c r="G1489" t="str">
        <f t="shared" si="566"/>
        <v xml:space="preserve"> - Subsistence sheep</v>
      </c>
      <c r="H1489" t="str">
        <f t="shared" si="563"/>
        <v>U&amp;D emissions - Subsistence sheep</v>
      </c>
      <c r="I1489" t="str">
        <f t="shared" si="567"/>
        <v>N2O</v>
      </c>
      <c r="J1489" t="str">
        <f t="shared" si="567"/>
        <v>Gg N2O</v>
      </c>
      <c r="K1489" s="22">
        <f>'Activity data'!AD73*UDSOEF*NtoN2O*kgtoGg</f>
        <v>0.6475429908430661</v>
      </c>
      <c r="L1489" s="22">
        <f>'Activity data'!AE73*UDSOEF*NtoN2O*kgtoGg</f>
        <v>0.64789311527772075</v>
      </c>
      <c r="M1489" s="22">
        <f>'Activity data'!AF73*UDSOEF*NtoN2O*kgtoGg</f>
        <v>0.64873024966549919</v>
      </c>
      <c r="N1489" s="22">
        <f>'Activity data'!AG73*UDSOEF*NtoN2O*kgtoGg</f>
        <v>0.64996461103073178</v>
      </c>
      <c r="O1489" s="22">
        <f>'Activity data'!AH73*UDSOEF*NtoN2O*kgtoGg</f>
        <v>0.65158835538416293</v>
      </c>
      <c r="P1489" s="22">
        <f>'Activity data'!AI73*UDSOEF*NtoN2O*kgtoGg</f>
        <v>0.65358433665736837</v>
      </c>
      <c r="Q1489" s="22">
        <f>'Activity data'!AJ73*UDSOEF*NtoN2O*kgtoGg</f>
        <v>0.65582609607089082</v>
      </c>
      <c r="R1489" s="22">
        <f>'Activity data'!AK73*UDSOEF*NtoN2O*kgtoGg</f>
        <v>0.65829948060818433</v>
      </c>
      <c r="S1489" s="22">
        <f>'Activity data'!AL73*UDSOEF*NtoN2O*kgtoGg</f>
        <v>0.66056125459390613</v>
      </c>
      <c r="T1489" s="22">
        <f>'Activity data'!AM73*UDSOEF*NtoN2O*kgtoGg</f>
        <v>0.6615551328399103</v>
      </c>
      <c r="U1489" s="22">
        <f>'Activity data'!AN73*UDSOEF*NtoN2O*kgtoGg</f>
        <v>0.6627688716953648</v>
      </c>
      <c r="V1489" s="22">
        <f>'Activity data'!AO73*UDSOEF*NtoN2O*kgtoGg</f>
        <v>0.66404460597260306</v>
      </c>
      <c r="W1489" s="22">
        <f>'Activity data'!AP73*UDSOEF*NtoN2O*kgtoGg</f>
        <v>0.6654768900548883</v>
      </c>
      <c r="X1489" s="22">
        <f>'Activity data'!AQ73*UDSOEF*NtoN2O*kgtoGg</f>
        <v>0.66706171638303324</v>
      </c>
      <c r="Y1489" s="22">
        <f>'Activity data'!AR73*UDSOEF*NtoN2O*kgtoGg</f>
        <v>0.66805148032554751</v>
      </c>
      <c r="Z1489" s="22">
        <f>'Activity data'!AS73*UDSOEF*NtoN2O*kgtoGg</f>
        <v>0.66916966267880784</v>
      </c>
      <c r="AA1489" s="22">
        <f>'Activity data'!AT73*UDSOEF*NtoN2O*kgtoGg</f>
        <v>0.67040115431901948</v>
      </c>
      <c r="AB1489" s="22">
        <f>'Activity data'!AU73*UDSOEF*NtoN2O*kgtoGg</f>
        <v>0.67174934141470444</v>
      </c>
      <c r="AC1489" s="22">
        <f>'Activity data'!AV73*UDSOEF*NtoN2O*kgtoGg</f>
        <v>0.67320030864845803</v>
      </c>
      <c r="AD1489" s="22">
        <f>'Activity data'!AW73*UDSOEF*NtoN2O*kgtoGg</f>
        <v>0.67417363963044585</v>
      </c>
      <c r="AE1489" s="22">
        <f>'Activity data'!AX73*UDSOEF*NtoN2O*kgtoGg</f>
        <v>0.67523030099636827</v>
      </c>
      <c r="AF1489" s="22">
        <f>'Activity data'!AY73*UDSOEF*NtoN2O*kgtoGg</f>
        <v>0.67637878657302375</v>
      </c>
      <c r="AG1489" s="22">
        <f>'Activity data'!AZ73*UDSOEF*NtoN2O*kgtoGg</f>
        <v>0.67763030743217745</v>
      </c>
      <c r="AH1489" s="22">
        <f>'Activity data'!BA73*UDSOEF*NtoN2O*kgtoGg</f>
        <v>0.67894728296002871</v>
      </c>
      <c r="AI1489" s="22">
        <f>'Activity data'!BB73*UDSOEF*NtoN2O*kgtoGg</f>
        <v>0.67978908953029982</v>
      </c>
      <c r="AJ1489" s="22">
        <f>'Activity data'!BC73*UDSOEF*NtoN2O*kgtoGg</f>
        <v>0.68071114854819625</v>
      </c>
      <c r="AK1489" s="22">
        <f>'Activity data'!BD73*UDSOEF*NtoN2O*kgtoGg</f>
        <v>0.68168304858156126</v>
      </c>
      <c r="AL1489" s="22">
        <f>'Activity data'!BE73*UDSOEF*NtoN2O*kgtoGg</f>
        <v>0.68271513649709059</v>
      </c>
      <c r="AM1489" s="22">
        <f>'Activity data'!BF73*UDSOEF*NtoN2O*kgtoGg</f>
        <v>0.68380584742348371</v>
      </c>
      <c r="AN1489" s="22">
        <f>'Activity data'!BG73*UDSOEF*NtoN2O*kgtoGg</f>
        <v>0.68445032012662432</v>
      </c>
      <c r="AO1489" s="22">
        <f>'Activity data'!BH73*UDSOEF*NtoN2O*kgtoGg</f>
        <v>0.68513830255782171</v>
      </c>
      <c r="AP1489" s="22">
        <f>'Activity data'!BI73*UDSOEF*NtoN2O*kgtoGg</f>
        <v>0.6858845710588557</v>
      </c>
      <c r="AQ1489" s="22">
        <f>'Activity data'!BJ73*UDSOEF*NtoN2O*kgtoGg</f>
        <v>0.6866884041464022</v>
      </c>
      <c r="AR1489" s="22">
        <f>'Activity data'!BK73*UDSOEF*NtoN2O*kgtoGg</f>
        <v>0.68754978516244758</v>
      </c>
      <c r="AS1489" s="22">
        <f>'Activity data'!BL73*UDSOEF*NtoN2O*kgtoGg</f>
        <v>0.6879405730806889</v>
      </c>
      <c r="AT1489" s="22">
        <f>'Activity data'!BM73*UDSOEF*NtoN2O*kgtoGg</f>
        <v>0.68819241005849918</v>
      </c>
      <c r="AU1489" s="22">
        <f>'Activity data'!BN73*UDSOEF*NtoN2O*kgtoGg</f>
        <v>0.68846847098197617</v>
      </c>
      <c r="AV1489" s="22">
        <f>'Activity data'!BO73*UDSOEF*NtoN2O*kgtoGg</f>
        <v>0.68876006533266065</v>
      </c>
      <c r="AW1489" s="22">
        <f>'Activity data'!BP73*UDSOEF*NtoN2O*kgtoGg</f>
        <v>0.68908307704774374</v>
      </c>
    </row>
    <row r="1490" spans="1:49" x14ac:dyDescent="0.3">
      <c r="A1490" s="95" t="s">
        <v>960</v>
      </c>
      <c r="B1490" s="95"/>
      <c r="C1490" s="95"/>
      <c r="D1490" t="str">
        <f t="shared" si="565"/>
        <v>3C Aggregated and non-CO2 emissions on land</v>
      </c>
      <c r="E1490" t="str">
        <f t="shared" si="565"/>
        <v>3C4 Direct N2O from managed soils (N2O)</v>
      </c>
      <c r="F1490" t="s">
        <v>422</v>
      </c>
      <c r="G1490" t="str">
        <f t="shared" si="566"/>
        <v xml:space="preserve"> - Commercial goats</v>
      </c>
      <c r="H1490" t="str">
        <f t="shared" si="563"/>
        <v>U&amp;D emissions - Commercial goats</v>
      </c>
      <c r="I1490" t="str">
        <f t="shared" si="567"/>
        <v>N2O</v>
      </c>
      <c r="J1490" t="str">
        <f t="shared" si="567"/>
        <v>Gg N2O</v>
      </c>
      <c r="K1490" s="22">
        <f>'Activity data'!AD74*UDSOEF*NtoN2O*kgtoGg</f>
        <v>0.71706343480611268</v>
      </c>
      <c r="L1490" s="22">
        <f>'Activity data'!AE74*UDSOEF*NtoN2O*kgtoGg</f>
        <v>0.71892745361392807</v>
      </c>
      <c r="M1490" s="22">
        <f>'Activity data'!AF74*UDSOEF*NtoN2O*kgtoGg</f>
        <v>0.72149880168720626</v>
      </c>
      <c r="N1490" s="22">
        <f>'Activity data'!AG74*UDSOEF*NtoN2O*kgtoGg</f>
        <v>0.72463138273575978</v>
      </c>
      <c r="O1490" s="22">
        <f>'Activity data'!AH74*UDSOEF*NtoN2O*kgtoGg</f>
        <v>0.72832072886952293</v>
      </c>
      <c r="P1490" s="22">
        <f>'Activity data'!AI74*UDSOEF*NtoN2O*kgtoGg</f>
        <v>0.7325443847928953</v>
      </c>
      <c r="Q1490" s="22">
        <f>'Activity data'!AJ74*UDSOEF*NtoN2O*kgtoGg</f>
        <v>0.73708994755228441</v>
      </c>
      <c r="R1490" s="22">
        <f>'Activity data'!AK74*UDSOEF*NtoN2O*kgtoGg</f>
        <v>0.74193942345928476</v>
      </c>
      <c r="S1490" s="22">
        <f>'Activity data'!AL74*UDSOEF*NtoN2O*kgtoGg</f>
        <v>0.74633734890279979</v>
      </c>
      <c r="T1490" s="22">
        <f>'Activity data'!AM74*UDSOEF*NtoN2O*kgtoGg</f>
        <v>0.7484855631491526</v>
      </c>
      <c r="U1490" s="22">
        <f>'Activity data'!AN74*UDSOEF*NtoN2O*kgtoGg</f>
        <v>0.75094789604401424</v>
      </c>
      <c r="V1490" s="22">
        <f>'Activity data'!AO74*UDSOEF*NtoN2O*kgtoGg</f>
        <v>0.7534578797366237</v>
      </c>
      <c r="W1490" s="22">
        <f>'Activity data'!AP74*UDSOEF*NtoN2O*kgtoGg</f>
        <v>0.75618014560841795</v>
      </c>
      <c r="X1490" s="22">
        <f>'Activity data'!AQ74*UDSOEF*NtoN2O*kgtoGg</f>
        <v>0.75911019457510998</v>
      </c>
      <c r="Y1490" s="22">
        <f>'Activity data'!AR74*UDSOEF*NtoN2O*kgtoGg</f>
        <v>0.76098529780205848</v>
      </c>
      <c r="Z1490" s="22">
        <f>'Activity data'!AS74*UDSOEF*NtoN2O*kgtoGg</f>
        <v>0.76303676473265736</v>
      </c>
      <c r="AA1490" s="22">
        <f>'Activity data'!AT74*UDSOEF*NtoN2O*kgtoGg</f>
        <v>0.7652406009428746</v>
      </c>
      <c r="AB1490" s="22">
        <f>'Activity data'!AU74*UDSOEF*NtoN2O*kgtoGg</f>
        <v>0.76760388311939587</v>
      </c>
      <c r="AC1490" s="22">
        <f>'Activity data'!AV74*UDSOEF*NtoN2O*kgtoGg</f>
        <v>0.77010442048860683</v>
      </c>
      <c r="AD1490" s="22">
        <f>'Activity data'!AW74*UDSOEF*NtoN2O*kgtoGg</f>
        <v>0.77177199510986771</v>
      </c>
      <c r="AE1490" s="22">
        <f>'Activity data'!AX74*UDSOEF*NtoN2O*kgtoGg</f>
        <v>0.773550364220007</v>
      </c>
      <c r="AF1490" s="22">
        <f>'Activity data'!AY74*UDSOEF*NtoN2O*kgtoGg</f>
        <v>0.77545458075511842</v>
      </c>
      <c r="AG1490" s="22">
        <f>'Activity data'!AZ74*UDSOEF*NtoN2O*kgtoGg</f>
        <v>0.77750398529137599</v>
      </c>
      <c r="AH1490" s="22">
        <f>'Activity data'!BA74*UDSOEF*NtoN2O*kgtoGg</f>
        <v>0.77963666315118907</v>
      </c>
      <c r="AI1490" s="22">
        <f>'Activity data'!BB74*UDSOEF*NtoN2O*kgtoGg</f>
        <v>0.78095748542095478</v>
      </c>
      <c r="AJ1490" s="22">
        <f>'Activity data'!BC74*UDSOEF*NtoN2O*kgtoGg</f>
        <v>0.78239081807371291</v>
      </c>
      <c r="AK1490" s="22">
        <f>'Activity data'!BD74*UDSOEF*NtoN2O*kgtoGg</f>
        <v>0.78388681169292429</v>
      </c>
      <c r="AL1490" s="22">
        <f>'Activity data'!BE74*UDSOEF*NtoN2O*kgtoGg</f>
        <v>0.78546308863746028</v>
      </c>
      <c r="AM1490" s="22">
        <f>'Activity data'!BF74*UDSOEF*NtoN2O*kgtoGg</f>
        <v>0.78711749076594029</v>
      </c>
      <c r="AN1490" s="22">
        <f>'Activity data'!BG74*UDSOEF*NtoN2O*kgtoGg</f>
        <v>0.7880213548905175</v>
      </c>
      <c r="AO1490" s="22">
        <f>'Activity data'!BH74*UDSOEF*NtoN2O*kgtoGg</f>
        <v>0.7889821600969783</v>
      </c>
      <c r="AP1490" s="22">
        <f>'Activity data'!BI74*UDSOEF*NtoN2O*kgtoGg</f>
        <v>0.7900244330710835</v>
      </c>
      <c r="AQ1490" s="22">
        <f>'Activity data'!BJ74*UDSOEF*NtoN2O*kgtoGg</f>
        <v>0.79114717839494386</v>
      </c>
      <c r="AR1490" s="22">
        <f>'Activity data'!BK74*UDSOEF*NtoN2O*kgtoGg</f>
        <v>0.79235052559003472</v>
      </c>
      <c r="AS1490" s="22">
        <f>'Activity data'!BL74*UDSOEF*NtoN2O*kgtoGg</f>
        <v>0.79277466874731783</v>
      </c>
      <c r="AT1490" s="22">
        <f>'Activity data'!BM74*UDSOEF*NtoN2O*kgtoGg</f>
        <v>0.79296303081990593</v>
      </c>
      <c r="AU1490" s="22">
        <f>'Activity data'!BN74*UDSOEF*NtoN2O*kgtoGg</f>
        <v>0.79318200303032371</v>
      </c>
      <c r="AV1490" s="22">
        <f>'Activity data'!BO74*UDSOEF*NtoN2O*kgtoGg</f>
        <v>0.79341774382528896</v>
      </c>
      <c r="AW1490" s="22">
        <f>'Activity data'!BP74*UDSOEF*NtoN2O*kgtoGg</f>
        <v>0.79369623394189648</v>
      </c>
    </row>
    <row r="1491" spans="1:49" x14ac:dyDescent="0.3">
      <c r="A1491" s="95" t="s">
        <v>960</v>
      </c>
      <c r="B1491" s="95"/>
      <c r="C1491" s="95"/>
      <c r="D1491" t="str">
        <f t="shared" si="565"/>
        <v>3C Aggregated and non-CO2 emissions on land</v>
      </c>
      <c r="E1491" t="str">
        <f t="shared" si="565"/>
        <v>3C4 Direct N2O from managed soils (N2O)</v>
      </c>
      <c r="F1491" t="s">
        <v>422</v>
      </c>
      <c r="G1491" t="str">
        <f t="shared" si="566"/>
        <v xml:space="preserve"> - Subsistence goats</v>
      </c>
      <c r="H1491" t="str">
        <f t="shared" si="563"/>
        <v>U&amp;D emissions - Subsistence goats</v>
      </c>
      <c r="I1491" t="str">
        <f t="shared" si="567"/>
        <v>N2O</v>
      </c>
      <c r="J1491" t="str">
        <f t="shared" si="567"/>
        <v>Gg N2O</v>
      </c>
      <c r="K1491" s="22">
        <f>'Activity data'!AD75*UDSOEF*NtoN2O*kgtoGg</f>
        <v>1.1867254191644503</v>
      </c>
      <c r="L1491" s="22">
        <f>'Activity data'!AE75*UDSOEF*NtoN2O*kgtoGg</f>
        <v>1.1898103324282718</v>
      </c>
      <c r="M1491" s="22">
        <f>'Activity data'!AF75*UDSOEF*NtoN2O*kgtoGg</f>
        <v>1.194065861258722</v>
      </c>
      <c r="N1491" s="22">
        <f>'Activity data'!AG75*UDSOEF*NtoN2O*kgtoGg</f>
        <v>1.1992502192631385</v>
      </c>
      <c r="O1491" s="22">
        <f>'Activity data'!AH75*UDSOEF*NtoN2O*kgtoGg</f>
        <v>1.2053560121742171</v>
      </c>
      <c r="P1491" s="22">
        <f>'Activity data'!AI75*UDSOEF*NtoN2O*kgtoGg</f>
        <v>1.212346076933865</v>
      </c>
      <c r="Q1491" s="22">
        <f>'Activity data'!AJ75*UDSOEF*NtoN2O*kgtoGg</f>
        <v>1.2198688909683484</v>
      </c>
      <c r="R1491" s="22">
        <f>'Activity data'!AK75*UDSOEF*NtoN2O*kgtoGg</f>
        <v>1.2278946750888551</v>
      </c>
      <c r="S1491" s="22">
        <f>'Activity data'!AL75*UDSOEF*NtoN2O*kgtoGg</f>
        <v>1.2351731523644685</v>
      </c>
      <c r="T1491" s="22">
        <f>'Activity data'!AM75*UDSOEF*NtoN2O*kgtoGg</f>
        <v>1.2387284033063148</v>
      </c>
      <c r="U1491" s="22">
        <f>'Activity data'!AN75*UDSOEF*NtoN2O*kgtoGg</f>
        <v>1.2428035142308693</v>
      </c>
      <c r="V1491" s="22">
        <f>'Activity data'!AO75*UDSOEF*NtoN2O*kgtoGg</f>
        <v>1.2469574862577844</v>
      </c>
      <c r="W1491" s="22">
        <f>'Activity data'!AP75*UDSOEF*NtoN2O*kgtoGg</f>
        <v>1.2514627809792418</v>
      </c>
      <c r="X1491" s="22">
        <f>'Activity data'!AQ75*UDSOEF*NtoN2O*kgtoGg</f>
        <v>1.2563119525021347</v>
      </c>
      <c r="Y1491" s="22">
        <f>'Activity data'!AR75*UDSOEF*NtoN2O*kgtoGg</f>
        <v>1.2594152102544689</v>
      </c>
      <c r="Z1491" s="22">
        <f>'Activity data'!AS75*UDSOEF*NtoN2O*kgtoGg</f>
        <v>1.2628103463539342</v>
      </c>
      <c r="AA1491" s="22">
        <f>'Activity data'!AT75*UDSOEF*NtoN2O*kgtoGg</f>
        <v>1.2664576505161484</v>
      </c>
      <c r="AB1491" s="22">
        <f>'Activity data'!AU75*UDSOEF*NtoN2O*kgtoGg</f>
        <v>1.2703688345138295</v>
      </c>
      <c r="AC1491" s="22">
        <f>'Activity data'!AV75*UDSOEF*NtoN2O*kgtoGg</f>
        <v>1.2745071730673998</v>
      </c>
      <c r="AD1491" s="22">
        <f>'Activity data'!AW75*UDSOEF*NtoN2O*kgtoGg</f>
        <v>1.2772669751927705</v>
      </c>
      <c r="AE1491" s="22">
        <f>'Activity data'!AX75*UDSOEF*NtoN2O*kgtoGg</f>
        <v>1.2802101399467087</v>
      </c>
      <c r="AF1491" s="22">
        <f>'Activity data'!AY75*UDSOEF*NtoN2O*kgtoGg</f>
        <v>1.2833615796326843</v>
      </c>
      <c r="AG1491" s="22">
        <f>'Activity data'!AZ75*UDSOEF*NtoN2O*kgtoGg</f>
        <v>1.2867533025114073</v>
      </c>
      <c r="AH1491" s="22">
        <f>'Activity data'!BA75*UDSOEF*NtoN2O*kgtoGg</f>
        <v>1.2902828410491152</v>
      </c>
      <c r="AI1491" s="22">
        <f>'Activity data'!BB75*UDSOEF*NtoN2O*kgtoGg</f>
        <v>1.2924687750762118</v>
      </c>
      <c r="AJ1491" s="22">
        <f>'Activity data'!BC75*UDSOEF*NtoN2O*kgtoGg</f>
        <v>1.2948409115017798</v>
      </c>
      <c r="AK1491" s="22">
        <f>'Activity data'!BD75*UDSOEF*NtoN2O*kgtoGg</f>
        <v>1.2973167505540197</v>
      </c>
      <c r="AL1491" s="22">
        <f>'Activity data'!BE75*UDSOEF*NtoN2O*kgtoGg</f>
        <v>1.2999254568789065</v>
      </c>
      <c r="AM1491" s="22">
        <f>'Activity data'!BF75*UDSOEF*NtoN2O*kgtoGg</f>
        <v>1.3026634587962926</v>
      </c>
      <c r="AN1491" s="22">
        <f>'Activity data'!BG75*UDSOEF*NtoN2O*kgtoGg</f>
        <v>1.3041593355626162</v>
      </c>
      <c r="AO1491" s="22">
        <f>'Activity data'!BH75*UDSOEF*NtoN2O*kgtoGg</f>
        <v>1.3057494486628347</v>
      </c>
      <c r="AP1491" s="22">
        <f>'Activity data'!BI75*UDSOEF*NtoN2O*kgtoGg</f>
        <v>1.3074743892636795</v>
      </c>
      <c r="AQ1491" s="22">
        <f>'Activity data'!BJ75*UDSOEF*NtoN2O*kgtoGg</f>
        <v>1.3093325099687654</v>
      </c>
      <c r="AR1491" s="22">
        <f>'Activity data'!BK75*UDSOEF*NtoN2O*kgtoGg</f>
        <v>1.3113240251335019</v>
      </c>
      <c r="AS1491" s="22">
        <f>'Activity data'!BL75*UDSOEF*NtoN2O*kgtoGg</f>
        <v>1.3120259734433455</v>
      </c>
      <c r="AT1491" s="22">
        <f>'Activity data'!BM75*UDSOEF*NtoN2O*kgtoGg</f>
        <v>1.3123377088473509</v>
      </c>
      <c r="AU1491" s="22">
        <f>'Activity data'!BN75*UDSOEF*NtoN2O*kgtoGg</f>
        <v>1.3127001034076922</v>
      </c>
      <c r="AV1491" s="22">
        <f>'Activity data'!BO75*UDSOEF*NtoN2O*kgtoGg</f>
        <v>1.313090249634846</v>
      </c>
      <c r="AW1491" s="22">
        <f>'Activity data'!BP75*UDSOEF*NtoN2O*kgtoGg</f>
        <v>1.3135511451209665</v>
      </c>
    </row>
    <row r="1492" spans="1:49" x14ac:dyDescent="0.3">
      <c r="A1492" s="95" t="s">
        <v>960</v>
      </c>
      <c r="B1492" s="95"/>
      <c r="C1492" s="95"/>
      <c r="D1492" t="str">
        <f t="shared" si="565"/>
        <v>3C Aggregated and non-CO2 emissions on land</v>
      </c>
      <c r="E1492" t="str">
        <f t="shared" si="565"/>
        <v>3C4 Direct N2O from managed soils (N2O)</v>
      </c>
      <c r="F1492" t="s">
        <v>422</v>
      </c>
      <c r="G1492" t="str">
        <f t="shared" si="566"/>
        <v xml:space="preserve"> - Horses</v>
      </c>
      <c r="H1492" t="str">
        <f t="shared" si="563"/>
        <v>U&amp;D emissions - Horses</v>
      </c>
      <c r="I1492" t="str">
        <f t="shared" si="567"/>
        <v>N2O</v>
      </c>
      <c r="J1492" t="str">
        <f t="shared" si="567"/>
        <v>Gg N2O</v>
      </c>
      <c r="K1492" s="22">
        <f>'Activity data'!AD76*UDSOEF*NtoN2O*kgtoGg</f>
        <v>0.19147730421375916</v>
      </c>
      <c r="L1492" s="22">
        <f>'Activity data'!AE76*UDSOEF*NtoN2O*kgtoGg</f>
        <v>0.19240499933397132</v>
      </c>
      <c r="M1492" s="22">
        <f>'Activity data'!AF76*UDSOEF*NtoN2O*kgtoGg</f>
        <v>0.19381280191845887</v>
      </c>
      <c r="N1492" s="22">
        <f>'Activity data'!AG76*UDSOEF*NtoN2O*kgtoGg</f>
        <v>0.19411375969056655</v>
      </c>
      <c r="O1492" s="22">
        <f>'Activity data'!AH76*UDSOEF*NtoN2O*kgtoGg</f>
        <v>0.19368291106027893</v>
      </c>
      <c r="P1492" s="22">
        <f>'Activity data'!AI76*UDSOEF*NtoN2O*kgtoGg</f>
        <v>0.19253602379697463</v>
      </c>
      <c r="Q1492" s="22">
        <f>'Activity data'!AJ76*UDSOEF*NtoN2O*kgtoGg</f>
        <v>0.19190012409058904</v>
      </c>
      <c r="R1492" s="22">
        <f>'Activity data'!AK76*UDSOEF*NtoN2O*kgtoGg</f>
        <v>0.19132863754616405</v>
      </c>
      <c r="S1492" s="22">
        <f>'Activity data'!AL76*UDSOEF*NtoN2O*kgtoGg</f>
        <v>0.1803905818810948</v>
      </c>
      <c r="T1492" s="22">
        <f>'Activity data'!AM76*UDSOEF*NtoN2O*kgtoGg</f>
        <v>0.18262456774024571</v>
      </c>
      <c r="U1492" s="22">
        <f>'Activity data'!AN76*UDSOEF*NtoN2O*kgtoGg</f>
        <v>0.18617292598676535</v>
      </c>
      <c r="V1492" s="22">
        <f>'Activity data'!AO76*UDSOEF*NtoN2O*kgtoGg</f>
        <v>0.1874827131948397</v>
      </c>
      <c r="W1492" s="22">
        <f>'Activity data'!AP76*UDSOEF*NtoN2O*kgtoGg</f>
        <v>0.18903918513554135</v>
      </c>
      <c r="X1492" s="22">
        <f>'Activity data'!AQ76*UDSOEF*NtoN2O*kgtoGg</f>
        <v>0.19092374052200031</v>
      </c>
      <c r="Y1492" s="22">
        <f>'Activity data'!AR76*UDSOEF*NtoN2O*kgtoGg</f>
        <v>0.19317866485257018</v>
      </c>
      <c r="Z1492" s="22">
        <f>'Activity data'!AS76*UDSOEF*NtoN2O*kgtoGg</f>
        <v>0.19568472941200174</v>
      </c>
      <c r="AA1492" s="22">
        <f>'Activity data'!AT76*UDSOEF*NtoN2O*kgtoGg</f>
        <v>0.19822057353598227</v>
      </c>
      <c r="AB1492" s="22">
        <f>'Activity data'!AU76*UDSOEF*NtoN2O*kgtoGg</f>
        <v>0.20098305885598644</v>
      </c>
      <c r="AC1492" s="22">
        <f>'Activity data'!AV76*UDSOEF*NtoN2O*kgtoGg</f>
        <v>0.20375514589644325</v>
      </c>
      <c r="AD1492" s="22">
        <f>'Activity data'!AW76*UDSOEF*NtoN2O*kgtoGg</f>
        <v>0.20708073603212976</v>
      </c>
      <c r="AE1492" s="22">
        <f>'Activity data'!AX76*UDSOEF*NtoN2O*kgtoGg</f>
        <v>0.21028463440230635</v>
      </c>
      <c r="AF1492" s="22">
        <f>'Activity data'!AY76*UDSOEF*NtoN2O*kgtoGg</f>
        <v>0.2136443220754487</v>
      </c>
      <c r="AG1492" s="22">
        <f>'Activity data'!AZ76*UDSOEF*NtoN2O*kgtoGg</f>
        <v>0.21748682395851593</v>
      </c>
      <c r="AH1492" s="22">
        <f>'Activity data'!BA76*UDSOEF*NtoN2O*kgtoGg</f>
        <v>0.22102739700732632</v>
      </c>
      <c r="AI1492" s="22">
        <f>'Activity data'!BB76*UDSOEF*NtoN2O*kgtoGg</f>
        <v>0.22493633340985938</v>
      </c>
      <c r="AJ1492" s="22">
        <f>'Activity data'!BC76*UDSOEF*NtoN2O*kgtoGg</f>
        <v>0.22910386680533321</v>
      </c>
      <c r="AK1492" s="22">
        <f>'Activity data'!BD76*UDSOEF*NtoN2O*kgtoGg</f>
        <v>0.2329046036438828</v>
      </c>
      <c r="AL1492" s="22">
        <f>'Activity data'!BE76*UDSOEF*NtoN2O*kgtoGg</f>
        <v>0.23662356544971794</v>
      </c>
      <c r="AM1492" s="22">
        <f>'Activity data'!BF76*UDSOEF*NtoN2O*kgtoGg</f>
        <v>0.24027411251375713</v>
      </c>
      <c r="AN1492" s="22">
        <f>'Activity data'!BG76*UDSOEF*NtoN2O*kgtoGg</f>
        <v>0.24444413665938144</v>
      </c>
      <c r="AO1492" s="22">
        <f>'Activity data'!BH76*UDSOEF*NtoN2O*kgtoGg</f>
        <v>0.2483759174868751</v>
      </c>
      <c r="AP1492" s="22">
        <f>'Activity data'!BI76*UDSOEF*NtoN2O*kgtoGg</f>
        <v>0.25243602460510989</v>
      </c>
      <c r="AQ1492" s="22">
        <f>'Activity data'!BJ76*UDSOEF*NtoN2O*kgtoGg</f>
        <v>0.25664462657697379</v>
      </c>
      <c r="AR1492" s="22">
        <f>'Activity data'!BK76*UDSOEF*NtoN2O*kgtoGg</f>
        <v>0.26103451555954071</v>
      </c>
      <c r="AS1492" s="22">
        <f>'Activity data'!BL76*UDSOEF*NtoN2O*kgtoGg</f>
        <v>0.26580339289786814</v>
      </c>
      <c r="AT1492" s="22">
        <f>'Activity data'!BM76*UDSOEF*NtoN2O*kgtoGg</f>
        <v>0.26659601183855292</v>
      </c>
      <c r="AU1492" s="22">
        <f>'Activity data'!BN76*UDSOEF*NtoN2O*kgtoGg</f>
        <v>0.26701268168020675</v>
      </c>
      <c r="AV1492" s="22">
        <f>'Activity data'!BO76*UDSOEF*NtoN2O*kgtoGg</f>
        <v>0.26689564753163691</v>
      </c>
      <c r="AW1492" s="22">
        <f>'Activity data'!BP76*UDSOEF*NtoN2O*kgtoGg</f>
        <v>0.2666191038621068</v>
      </c>
    </row>
    <row r="1493" spans="1:49" x14ac:dyDescent="0.3">
      <c r="A1493" s="95" t="s">
        <v>960</v>
      </c>
      <c r="B1493" s="95"/>
      <c r="C1493" s="95"/>
      <c r="D1493" t="str">
        <f t="shared" si="565"/>
        <v>3C Aggregated and non-CO2 emissions on land</v>
      </c>
      <c r="E1493" t="str">
        <f t="shared" si="565"/>
        <v>3C4 Direct N2O from managed soils (N2O)</v>
      </c>
      <c r="F1493" t="s">
        <v>422</v>
      </c>
      <c r="G1493" t="str">
        <f t="shared" si="566"/>
        <v xml:space="preserve"> - Mules &amp; Asses</v>
      </c>
      <c r="H1493" t="str">
        <f t="shared" si="563"/>
        <v>U&amp;D emissions - Mules &amp; Asses</v>
      </c>
      <c r="I1493" t="str">
        <f t="shared" si="567"/>
        <v>N2O</v>
      </c>
      <c r="J1493" t="str">
        <f t="shared" si="567"/>
        <v>Gg N2O</v>
      </c>
      <c r="K1493" s="22">
        <f>'Activity data'!AD77*UDSOEF*NtoN2O*kgtoGg</f>
        <v>3.4640571428571423E-2</v>
      </c>
      <c r="L1493" s="22">
        <f>'Activity data'!AE77*UDSOEF*NtoN2O*kgtoGg</f>
        <v>3.4640571428571423E-2</v>
      </c>
      <c r="M1493" s="22">
        <f>'Activity data'!AF77*UDSOEF*NtoN2O*kgtoGg</f>
        <v>3.4640571428571423E-2</v>
      </c>
      <c r="N1493" s="22">
        <f>'Activity data'!AG77*UDSOEF*NtoN2O*kgtoGg</f>
        <v>3.4640571428571423E-2</v>
      </c>
      <c r="O1493" s="22">
        <f>'Activity data'!AH77*UDSOEF*NtoN2O*kgtoGg</f>
        <v>3.4640571428571423E-2</v>
      </c>
      <c r="P1493" s="22">
        <f>'Activity data'!AI77*UDSOEF*NtoN2O*kgtoGg</f>
        <v>3.4640571428571423E-2</v>
      </c>
      <c r="Q1493" s="22">
        <f>'Activity data'!AJ77*UDSOEF*NtoN2O*kgtoGg</f>
        <v>3.4640571428571423E-2</v>
      </c>
      <c r="R1493" s="22">
        <f>'Activity data'!AK77*UDSOEF*NtoN2O*kgtoGg</f>
        <v>3.4640571428571423E-2</v>
      </c>
      <c r="S1493" s="22">
        <f>'Activity data'!AL77*UDSOEF*NtoN2O*kgtoGg</f>
        <v>3.4640571428571423E-2</v>
      </c>
      <c r="T1493" s="22">
        <f>'Activity data'!AM77*UDSOEF*NtoN2O*kgtoGg</f>
        <v>3.4640571428571423E-2</v>
      </c>
      <c r="U1493" s="22">
        <f>'Activity data'!AN77*UDSOEF*NtoN2O*kgtoGg</f>
        <v>3.4640571428571423E-2</v>
      </c>
      <c r="V1493" s="22">
        <f>'Activity data'!AO77*UDSOEF*NtoN2O*kgtoGg</f>
        <v>3.4640571428571423E-2</v>
      </c>
      <c r="W1493" s="22">
        <f>'Activity data'!AP77*UDSOEF*NtoN2O*kgtoGg</f>
        <v>3.4640571428571423E-2</v>
      </c>
      <c r="X1493" s="22">
        <f>'Activity data'!AQ77*UDSOEF*NtoN2O*kgtoGg</f>
        <v>3.4640571428571423E-2</v>
      </c>
      <c r="Y1493" s="22">
        <f>'Activity data'!AR77*UDSOEF*NtoN2O*kgtoGg</f>
        <v>3.4640571428571423E-2</v>
      </c>
      <c r="Z1493" s="22">
        <f>'Activity data'!AS77*UDSOEF*NtoN2O*kgtoGg</f>
        <v>3.4640571428571423E-2</v>
      </c>
      <c r="AA1493" s="22">
        <f>'Activity data'!AT77*UDSOEF*NtoN2O*kgtoGg</f>
        <v>3.4640571428571423E-2</v>
      </c>
      <c r="AB1493" s="22">
        <f>'Activity data'!AU77*UDSOEF*NtoN2O*kgtoGg</f>
        <v>3.4640571428571423E-2</v>
      </c>
      <c r="AC1493" s="22">
        <f>'Activity data'!AV77*UDSOEF*NtoN2O*kgtoGg</f>
        <v>3.4640571428571423E-2</v>
      </c>
      <c r="AD1493" s="22">
        <f>'Activity data'!AW77*UDSOEF*NtoN2O*kgtoGg</f>
        <v>3.4640571428571423E-2</v>
      </c>
      <c r="AE1493" s="22">
        <f>'Activity data'!AX77*UDSOEF*NtoN2O*kgtoGg</f>
        <v>3.4640571428571423E-2</v>
      </c>
      <c r="AF1493" s="22">
        <f>'Activity data'!AY77*UDSOEF*NtoN2O*kgtoGg</f>
        <v>3.4640571428571423E-2</v>
      </c>
      <c r="AG1493" s="22">
        <f>'Activity data'!AZ77*UDSOEF*NtoN2O*kgtoGg</f>
        <v>3.4640571428571423E-2</v>
      </c>
      <c r="AH1493" s="22">
        <f>'Activity data'!BA77*UDSOEF*NtoN2O*kgtoGg</f>
        <v>3.4640571428571423E-2</v>
      </c>
      <c r="AI1493" s="22">
        <f>'Activity data'!BB77*UDSOEF*NtoN2O*kgtoGg</f>
        <v>3.4640571428571423E-2</v>
      </c>
      <c r="AJ1493" s="22">
        <f>'Activity data'!BC77*UDSOEF*NtoN2O*kgtoGg</f>
        <v>3.4640571428571423E-2</v>
      </c>
      <c r="AK1493" s="22">
        <f>'Activity data'!BD77*UDSOEF*NtoN2O*kgtoGg</f>
        <v>3.4640571428571423E-2</v>
      </c>
      <c r="AL1493" s="22">
        <f>'Activity data'!BE77*UDSOEF*NtoN2O*kgtoGg</f>
        <v>3.4640571428571423E-2</v>
      </c>
      <c r="AM1493" s="22">
        <f>'Activity data'!BF77*UDSOEF*NtoN2O*kgtoGg</f>
        <v>3.4640571428571423E-2</v>
      </c>
      <c r="AN1493" s="22">
        <f>'Activity data'!BG77*UDSOEF*NtoN2O*kgtoGg</f>
        <v>3.4640571428571423E-2</v>
      </c>
      <c r="AO1493" s="22">
        <f>'Activity data'!BH77*UDSOEF*NtoN2O*kgtoGg</f>
        <v>3.4640571428571423E-2</v>
      </c>
      <c r="AP1493" s="22">
        <f>'Activity data'!BI77*UDSOEF*NtoN2O*kgtoGg</f>
        <v>3.4640571428571423E-2</v>
      </c>
      <c r="AQ1493" s="22">
        <f>'Activity data'!BJ77*UDSOEF*NtoN2O*kgtoGg</f>
        <v>3.4640571428571423E-2</v>
      </c>
      <c r="AR1493" s="22">
        <f>'Activity data'!BK77*UDSOEF*NtoN2O*kgtoGg</f>
        <v>3.4640571428571423E-2</v>
      </c>
      <c r="AS1493" s="22">
        <f>'Activity data'!BL77*UDSOEF*NtoN2O*kgtoGg</f>
        <v>3.4640571428571423E-2</v>
      </c>
      <c r="AT1493" s="22">
        <f>'Activity data'!BM77*UDSOEF*NtoN2O*kgtoGg</f>
        <v>3.4640571428571423E-2</v>
      </c>
      <c r="AU1493" s="22">
        <f>'Activity data'!BN77*UDSOEF*NtoN2O*kgtoGg</f>
        <v>3.4640571428571423E-2</v>
      </c>
      <c r="AV1493" s="22">
        <f>'Activity data'!BO77*UDSOEF*NtoN2O*kgtoGg</f>
        <v>3.4640571428571423E-2</v>
      </c>
      <c r="AW1493" s="22">
        <f>'Activity data'!BP77*UDSOEF*NtoN2O*kgtoGg</f>
        <v>3.4640571428571423E-2</v>
      </c>
    </row>
    <row r="1494" spans="1:49" x14ac:dyDescent="0.3">
      <c r="A1494" s="95" t="s">
        <v>960</v>
      </c>
      <c r="B1494" s="95"/>
      <c r="C1494" s="95"/>
      <c r="D1494" t="str">
        <f t="shared" si="565"/>
        <v>3C Aggregated and non-CO2 emissions on land</v>
      </c>
      <c r="E1494" t="str">
        <f t="shared" si="565"/>
        <v>3C4 Direct N2O from managed soils (N2O)</v>
      </c>
      <c r="F1494" t="s">
        <v>422</v>
      </c>
      <c r="G1494" t="str">
        <f t="shared" si="566"/>
        <v xml:space="preserve"> - Commercial swine</v>
      </c>
      <c r="H1494" t="str">
        <f t="shared" si="563"/>
        <v>U&amp;D emissions - Commercial swine</v>
      </c>
      <c r="I1494" t="str">
        <f t="shared" si="567"/>
        <v>N2O</v>
      </c>
      <c r="J1494" t="str">
        <f t="shared" si="567"/>
        <v>Gg N2O</v>
      </c>
      <c r="K1494" s="22">
        <f>'Activity data'!AD78*UDCPPEF*NtoN2O*kgtoGg</f>
        <v>0</v>
      </c>
      <c r="L1494" s="22">
        <f>'Activity data'!AE78*UDCPPEF*NtoN2O*kgtoGg</f>
        <v>0</v>
      </c>
      <c r="M1494" s="22">
        <f>'Activity data'!AF78*UDCPPEF*NtoN2O*kgtoGg</f>
        <v>0</v>
      </c>
      <c r="N1494" s="22">
        <f>'Activity data'!AG78*UDCPPEF*NtoN2O*kgtoGg</f>
        <v>0</v>
      </c>
      <c r="O1494" s="22">
        <f>'Activity data'!AH78*UDCPPEF*NtoN2O*kgtoGg</f>
        <v>0</v>
      </c>
      <c r="P1494" s="22">
        <f>'Activity data'!AI78*UDCPPEF*NtoN2O*kgtoGg</f>
        <v>0</v>
      </c>
      <c r="Q1494" s="22">
        <f>'Activity data'!AJ78*UDCPPEF*NtoN2O*kgtoGg</f>
        <v>0</v>
      </c>
      <c r="R1494" s="22">
        <f>'Activity data'!AK78*UDCPPEF*NtoN2O*kgtoGg</f>
        <v>0</v>
      </c>
      <c r="S1494" s="22">
        <f>'Activity data'!AL78*UDCPPEF*NtoN2O*kgtoGg</f>
        <v>0</v>
      </c>
      <c r="T1494" s="22">
        <f>'Activity data'!AM78*UDCPPEF*NtoN2O*kgtoGg</f>
        <v>0</v>
      </c>
      <c r="U1494" s="22">
        <f>'Activity data'!AN78*UDCPPEF*NtoN2O*kgtoGg</f>
        <v>0</v>
      </c>
      <c r="V1494" s="22">
        <f>'Activity data'!AO78*UDCPPEF*NtoN2O*kgtoGg</f>
        <v>0</v>
      </c>
      <c r="W1494" s="22">
        <f>'Activity data'!AP78*UDCPPEF*NtoN2O*kgtoGg</f>
        <v>0</v>
      </c>
      <c r="X1494" s="22">
        <f>'Activity data'!AQ78*UDCPPEF*NtoN2O*kgtoGg</f>
        <v>0</v>
      </c>
      <c r="Y1494" s="22">
        <f>'Activity data'!AR78*UDCPPEF*NtoN2O*kgtoGg</f>
        <v>0</v>
      </c>
      <c r="Z1494" s="22">
        <f>'Activity data'!AS78*UDCPPEF*NtoN2O*kgtoGg</f>
        <v>0</v>
      </c>
      <c r="AA1494" s="22">
        <f>'Activity data'!AT78*UDCPPEF*NtoN2O*kgtoGg</f>
        <v>0</v>
      </c>
      <c r="AB1494" s="22">
        <f>'Activity data'!AU78*UDCPPEF*NtoN2O*kgtoGg</f>
        <v>0</v>
      </c>
      <c r="AC1494" s="22">
        <f>'Activity data'!AV78*UDCPPEF*NtoN2O*kgtoGg</f>
        <v>0</v>
      </c>
      <c r="AD1494" s="22">
        <f>'Activity data'!AW78*UDCPPEF*NtoN2O*kgtoGg</f>
        <v>0</v>
      </c>
      <c r="AE1494" s="22">
        <f>'Activity data'!AX78*UDCPPEF*NtoN2O*kgtoGg</f>
        <v>0</v>
      </c>
      <c r="AF1494" s="22">
        <f>'Activity data'!AY78*UDCPPEF*NtoN2O*kgtoGg</f>
        <v>0</v>
      </c>
      <c r="AG1494" s="22">
        <f>'Activity data'!AZ78*UDCPPEF*NtoN2O*kgtoGg</f>
        <v>0</v>
      </c>
      <c r="AH1494" s="22">
        <f>'Activity data'!BA78*UDCPPEF*NtoN2O*kgtoGg</f>
        <v>0</v>
      </c>
      <c r="AI1494" s="22">
        <f>'Activity data'!BB78*UDCPPEF*NtoN2O*kgtoGg</f>
        <v>0</v>
      </c>
      <c r="AJ1494" s="22">
        <f>'Activity data'!BC78*UDCPPEF*NtoN2O*kgtoGg</f>
        <v>0</v>
      </c>
      <c r="AK1494" s="22">
        <f>'Activity data'!BD78*UDCPPEF*NtoN2O*kgtoGg</f>
        <v>0</v>
      </c>
      <c r="AL1494" s="22">
        <f>'Activity data'!BE78*UDCPPEF*NtoN2O*kgtoGg</f>
        <v>0</v>
      </c>
      <c r="AM1494" s="22">
        <f>'Activity data'!BF78*UDCPPEF*NtoN2O*kgtoGg</f>
        <v>0</v>
      </c>
      <c r="AN1494" s="22">
        <f>'Activity data'!BG78*UDCPPEF*NtoN2O*kgtoGg</f>
        <v>0</v>
      </c>
      <c r="AO1494" s="22">
        <f>'Activity data'!BH78*UDCPPEF*NtoN2O*kgtoGg</f>
        <v>0</v>
      </c>
      <c r="AP1494" s="22">
        <f>'Activity data'!BI78*UDCPPEF*NtoN2O*kgtoGg</f>
        <v>0</v>
      </c>
      <c r="AQ1494" s="22">
        <f>'Activity data'!BJ78*UDCPPEF*NtoN2O*kgtoGg</f>
        <v>0</v>
      </c>
      <c r="AR1494" s="22">
        <f>'Activity data'!BK78*UDCPPEF*NtoN2O*kgtoGg</f>
        <v>0</v>
      </c>
      <c r="AS1494" s="22">
        <f>'Activity data'!BL78*UDCPPEF*NtoN2O*kgtoGg</f>
        <v>0</v>
      </c>
      <c r="AT1494" s="22">
        <f>'Activity data'!BM78*UDCPPEF*NtoN2O*kgtoGg</f>
        <v>0</v>
      </c>
      <c r="AU1494" s="22">
        <f>'Activity data'!BN78*UDCPPEF*NtoN2O*kgtoGg</f>
        <v>0</v>
      </c>
      <c r="AV1494" s="22">
        <f>'Activity data'!BO78*UDCPPEF*NtoN2O*kgtoGg</f>
        <v>0</v>
      </c>
      <c r="AW1494" s="22">
        <f>'Activity data'!BP78*UDCPPEF*NtoN2O*kgtoGg</f>
        <v>0</v>
      </c>
    </row>
    <row r="1495" spans="1:49" x14ac:dyDescent="0.3">
      <c r="A1495" s="95" t="s">
        <v>960</v>
      </c>
      <c r="B1495" s="95"/>
      <c r="C1495" s="95"/>
      <c r="D1495" t="str">
        <f t="shared" si="565"/>
        <v>3C Aggregated and non-CO2 emissions on land</v>
      </c>
      <c r="E1495" t="str">
        <f t="shared" si="565"/>
        <v>3C4 Direct N2O from managed soils (N2O)</v>
      </c>
      <c r="F1495" t="s">
        <v>422</v>
      </c>
      <c r="G1495" t="str">
        <f t="shared" si="566"/>
        <v xml:space="preserve"> - Subsistence swine</v>
      </c>
      <c r="H1495" t="str">
        <f t="shared" si="563"/>
        <v>U&amp;D emissions - Subsistence swine</v>
      </c>
      <c r="I1495" t="str">
        <f t="shared" si="567"/>
        <v>N2O</v>
      </c>
      <c r="J1495" t="str">
        <f t="shared" si="567"/>
        <v>Gg N2O</v>
      </c>
      <c r="K1495" s="22">
        <f>'Activity data'!AD79*UDCPPEF*NtoN2O*kgtoGg</f>
        <v>0</v>
      </c>
      <c r="L1495" s="22">
        <f>'Activity data'!AE79*UDCPPEF*NtoN2O*kgtoGg</f>
        <v>0</v>
      </c>
      <c r="M1495" s="22">
        <f>'Activity data'!AF79*UDCPPEF*NtoN2O*kgtoGg</f>
        <v>0</v>
      </c>
      <c r="N1495" s="22">
        <f>'Activity data'!AG79*UDCPPEF*NtoN2O*kgtoGg</f>
        <v>0</v>
      </c>
      <c r="O1495" s="22">
        <f>'Activity data'!AH79*UDCPPEF*NtoN2O*kgtoGg</f>
        <v>0</v>
      </c>
      <c r="P1495" s="22">
        <f>'Activity data'!AI79*UDCPPEF*NtoN2O*kgtoGg</f>
        <v>0</v>
      </c>
      <c r="Q1495" s="22">
        <f>'Activity data'!AJ79*UDCPPEF*NtoN2O*kgtoGg</f>
        <v>0</v>
      </c>
      <c r="R1495" s="22">
        <f>'Activity data'!AK79*UDCPPEF*NtoN2O*kgtoGg</f>
        <v>0</v>
      </c>
      <c r="S1495" s="22">
        <f>'Activity data'!AL79*UDCPPEF*NtoN2O*kgtoGg</f>
        <v>0</v>
      </c>
      <c r="T1495" s="22">
        <f>'Activity data'!AM79*UDCPPEF*NtoN2O*kgtoGg</f>
        <v>0</v>
      </c>
      <c r="U1495" s="22">
        <f>'Activity data'!AN79*UDCPPEF*NtoN2O*kgtoGg</f>
        <v>0</v>
      </c>
      <c r="V1495" s="22">
        <f>'Activity data'!AO79*UDCPPEF*NtoN2O*kgtoGg</f>
        <v>0</v>
      </c>
      <c r="W1495" s="22">
        <f>'Activity data'!AP79*UDCPPEF*NtoN2O*kgtoGg</f>
        <v>0</v>
      </c>
      <c r="X1495" s="22">
        <f>'Activity data'!AQ79*UDCPPEF*NtoN2O*kgtoGg</f>
        <v>0</v>
      </c>
      <c r="Y1495" s="22">
        <f>'Activity data'!AR79*UDCPPEF*NtoN2O*kgtoGg</f>
        <v>0</v>
      </c>
      <c r="Z1495" s="22">
        <f>'Activity data'!AS79*UDCPPEF*NtoN2O*kgtoGg</f>
        <v>0</v>
      </c>
      <c r="AA1495" s="22">
        <f>'Activity data'!AT79*UDCPPEF*NtoN2O*kgtoGg</f>
        <v>0</v>
      </c>
      <c r="AB1495" s="22">
        <f>'Activity data'!AU79*UDCPPEF*NtoN2O*kgtoGg</f>
        <v>0</v>
      </c>
      <c r="AC1495" s="22">
        <f>'Activity data'!AV79*UDCPPEF*NtoN2O*kgtoGg</f>
        <v>0</v>
      </c>
      <c r="AD1495" s="22">
        <f>'Activity data'!AW79*UDCPPEF*NtoN2O*kgtoGg</f>
        <v>0</v>
      </c>
      <c r="AE1495" s="22">
        <f>'Activity data'!AX79*UDCPPEF*NtoN2O*kgtoGg</f>
        <v>0</v>
      </c>
      <c r="AF1495" s="22">
        <f>'Activity data'!AY79*UDCPPEF*NtoN2O*kgtoGg</f>
        <v>0</v>
      </c>
      <c r="AG1495" s="22">
        <f>'Activity data'!AZ79*UDCPPEF*NtoN2O*kgtoGg</f>
        <v>0</v>
      </c>
      <c r="AH1495" s="22">
        <f>'Activity data'!BA79*UDCPPEF*NtoN2O*kgtoGg</f>
        <v>0</v>
      </c>
      <c r="AI1495" s="22">
        <f>'Activity data'!BB79*UDCPPEF*NtoN2O*kgtoGg</f>
        <v>0</v>
      </c>
      <c r="AJ1495" s="22">
        <f>'Activity data'!BC79*UDCPPEF*NtoN2O*kgtoGg</f>
        <v>0</v>
      </c>
      <c r="AK1495" s="22">
        <f>'Activity data'!BD79*UDCPPEF*NtoN2O*kgtoGg</f>
        <v>0</v>
      </c>
      <c r="AL1495" s="22">
        <f>'Activity data'!BE79*UDCPPEF*NtoN2O*kgtoGg</f>
        <v>0</v>
      </c>
      <c r="AM1495" s="22">
        <f>'Activity data'!BF79*UDCPPEF*NtoN2O*kgtoGg</f>
        <v>0</v>
      </c>
      <c r="AN1495" s="22">
        <f>'Activity data'!BG79*UDCPPEF*NtoN2O*kgtoGg</f>
        <v>0</v>
      </c>
      <c r="AO1495" s="22">
        <f>'Activity data'!BH79*UDCPPEF*NtoN2O*kgtoGg</f>
        <v>0</v>
      </c>
      <c r="AP1495" s="22">
        <f>'Activity data'!BI79*UDCPPEF*NtoN2O*kgtoGg</f>
        <v>0</v>
      </c>
      <c r="AQ1495" s="22">
        <f>'Activity data'!BJ79*UDCPPEF*NtoN2O*kgtoGg</f>
        <v>0</v>
      </c>
      <c r="AR1495" s="22">
        <f>'Activity data'!BK79*UDCPPEF*NtoN2O*kgtoGg</f>
        <v>0</v>
      </c>
      <c r="AS1495" s="22">
        <f>'Activity data'!BL79*UDCPPEF*NtoN2O*kgtoGg</f>
        <v>0</v>
      </c>
      <c r="AT1495" s="22">
        <f>'Activity data'!BM79*UDCPPEF*NtoN2O*kgtoGg</f>
        <v>0</v>
      </c>
      <c r="AU1495" s="22">
        <f>'Activity data'!BN79*UDCPPEF*NtoN2O*kgtoGg</f>
        <v>0</v>
      </c>
      <c r="AV1495" s="22">
        <f>'Activity data'!BO79*UDCPPEF*NtoN2O*kgtoGg</f>
        <v>0</v>
      </c>
      <c r="AW1495" s="22">
        <f>'Activity data'!BP79*UDCPPEF*NtoN2O*kgtoGg</f>
        <v>0</v>
      </c>
    </row>
    <row r="1496" spans="1:49" x14ac:dyDescent="0.3">
      <c r="A1496" s="95" t="s">
        <v>960</v>
      </c>
      <c r="B1496" s="95"/>
      <c r="C1496" s="95"/>
      <c r="D1496" t="str">
        <f t="shared" ref="D1496:E1511" si="568">D1495</f>
        <v>3C Aggregated and non-CO2 emissions on land</v>
      </c>
      <c r="E1496" t="str">
        <f t="shared" si="568"/>
        <v>3C4 Direct N2O from managed soils (N2O)</v>
      </c>
      <c r="F1496" t="s">
        <v>422</v>
      </c>
      <c r="G1496" t="str">
        <f t="shared" si="566"/>
        <v xml:space="preserve"> - Commercial layers</v>
      </c>
      <c r="H1496" t="str">
        <f t="shared" si="563"/>
        <v>U&amp;D emissions - Commercial layers</v>
      </c>
      <c r="I1496" t="str">
        <f t="shared" si="567"/>
        <v>N2O</v>
      </c>
      <c r="J1496" t="str">
        <f t="shared" si="567"/>
        <v>Gg N2O</v>
      </c>
      <c r="K1496" s="22">
        <f>'Activity data'!AD80*UDCPPEF*NtoN2O*kgtoGg</f>
        <v>0</v>
      </c>
      <c r="L1496" s="22">
        <f>'Activity data'!AE80*UDCPPEF*NtoN2O*kgtoGg</f>
        <v>0</v>
      </c>
      <c r="M1496" s="22">
        <f>'Activity data'!AF80*UDCPPEF*NtoN2O*kgtoGg</f>
        <v>0</v>
      </c>
      <c r="N1496" s="22">
        <f>'Activity data'!AG80*UDCPPEF*NtoN2O*kgtoGg</f>
        <v>0</v>
      </c>
      <c r="O1496" s="22">
        <f>'Activity data'!AH80*UDCPPEF*NtoN2O*kgtoGg</f>
        <v>0</v>
      </c>
      <c r="P1496" s="22">
        <f>'Activity data'!AI80*UDCPPEF*NtoN2O*kgtoGg</f>
        <v>0</v>
      </c>
      <c r="Q1496" s="22">
        <f>'Activity data'!AJ80*UDCPPEF*NtoN2O*kgtoGg</f>
        <v>0</v>
      </c>
      <c r="R1496" s="22">
        <f>'Activity data'!AK80*UDCPPEF*NtoN2O*kgtoGg</f>
        <v>0</v>
      </c>
      <c r="S1496" s="22">
        <f>'Activity data'!AL80*UDCPPEF*NtoN2O*kgtoGg</f>
        <v>0</v>
      </c>
      <c r="T1496" s="22">
        <f>'Activity data'!AM80*UDCPPEF*NtoN2O*kgtoGg</f>
        <v>0</v>
      </c>
      <c r="U1496" s="22">
        <f>'Activity data'!AN80*UDCPPEF*NtoN2O*kgtoGg</f>
        <v>0</v>
      </c>
      <c r="V1496" s="22">
        <f>'Activity data'!AO80*UDCPPEF*NtoN2O*kgtoGg</f>
        <v>0</v>
      </c>
      <c r="W1496" s="22">
        <f>'Activity data'!AP80*UDCPPEF*NtoN2O*kgtoGg</f>
        <v>0</v>
      </c>
      <c r="X1496" s="22">
        <f>'Activity data'!AQ80*UDCPPEF*NtoN2O*kgtoGg</f>
        <v>0</v>
      </c>
      <c r="Y1496" s="22">
        <f>'Activity data'!AR80*UDCPPEF*NtoN2O*kgtoGg</f>
        <v>0</v>
      </c>
      <c r="Z1496" s="22">
        <f>'Activity data'!AS80*UDCPPEF*NtoN2O*kgtoGg</f>
        <v>0</v>
      </c>
      <c r="AA1496" s="22">
        <f>'Activity data'!AT80*UDCPPEF*NtoN2O*kgtoGg</f>
        <v>0</v>
      </c>
      <c r="AB1496" s="22">
        <f>'Activity data'!AU80*UDCPPEF*NtoN2O*kgtoGg</f>
        <v>0</v>
      </c>
      <c r="AC1496" s="22">
        <f>'Activity data'!AV80*UDCPPEF*NtoN2O*kgtoGg</f>
        <v>0</v>
      </c>
      <c r="AD1496" s="22">
        <f>'Activity data'!AW80*UDCPPEF*NtoN2O*kgtoGg</f>
        <v>0</v>
      </c>
      <c r="AE1496" s="22">
        <f>'Activity data'!AX80*UDCPPEF*NtoN2O*kgtoGg</f>
        <v>0</v>
      </c>
      <c r="AF1496" s="22">
        <f>'Activity data'!AY80*UDCPPEF*NtoN2O*kgtoGg</f>
        <v>0</v>
      </c>
      <c r="AG1496" s="22">
        <f>'Activity data'!AZ80*UDCPPEF*NtoN2O*kgtoGg</f>
        <v>0</v>
      </c>
      <c r="AH1496" s="22">
        <f>'Activity data'!BA80*UDCPPEF*NtoN2O*kgtoGg</f>
        <v>0</v>
      </c>
      <c r="AI1496" s="22">
        <f>'Activity data'!BB80*UDCPPEF*NtoN2O*kgtoGg</f>
        <v>0</v>
      </c>
      <c r="AJ1496" s="22">
        <f>'Activity data'!BC80*UDCPPEF*NtoN2O*kgtoGg</f>
        <v>0</v>
      </c>
      <c r="AK1496" s="22">
        <f>'Activity data'!BD80*UDCPPEF*NtoN2O*kgtoGg</f>
        <v>0</v>
      </c>
      <c r="AL1496" s="22">
        <f>'Activity data'!BE80*UDCPPEF*NtoN2O*kgtoGg</f>
        <v>0</v>
      </c>
      <c r="AM1496" s="22">
        <f>'Activity data'!BF80*UDCPPEF*NtoN2O*kgtoGg</f>
        <v>0</v>
      </c>
      <c r="AN1496" s="22">
        <f>'Activity data'!BG80*UDCPPEF*NtoN2O*kgtoGg</f>
        <v>0</v>
      </c>
      <c r="AO1496" s="22">
        <f>'Activity data'!BH80*UDCPPEF*NtoN2O*kgtoGg</f>
        <v>0</v>
      </c>
      <c r="AP1496" s="22">
        <f>'Activity data'!BI80*UDCPPEF*NtoN2O*kgtoGg</f>
        <v>0</v>
      </c>
      <c r="AQ1496" s="22">
        <f>'Activity data'!BJ80*UDCPPEF*NtoN2O*kgtoGg</f>
        <v>0</v>
      </c>
      <c r="AR1496" s="22">
        <f>'Activity data'!BK80*UDCPPEF*NtoN2O*kgtoGg</f>
        <v>0</v>
      </c>
      <c r="AS1496" s="22">
        <f>'Activity data'!BL80*UDCPPEF*NtoN2O*kgtoGg</f>
        <v>0</v>
      </c>
      <c r="AT1496" s="22">
        <f>'Activity data'!BM80*UDCPPEF*NtoN2O*kgtoGg</f>
        <v>0</v>
      </c>
      <c r="AU1496" s="22">
        <f>'Activity data'!BN80*UDCPPEF*NtoN2O*kgtoGg</f>
        <v>0</v>
      </c>
      <c r="AV1496" s="22">
        <f>'Activity data'!BO80*UDCPPEF*NtoN2O*kgtoGg</f>
        <v>0</v>
      </c>
      <c r="AW1496" s="22">
        <f>'Activity data'!BP80*UDCPPEF*NtoN2O*kgtoGg</f>
        <v>0</v>
      </c>
    </row>
    <row r="1497" spans="1:49" x14ac:dyDescent="0.3">
      <c r="A1497" s="95" t="s">
        <v>960</v>
      </c>
      <c r="B1497" s="95"/>
      <c r="C1497" s="95"/>
      <c r="D1497" t="str">
        <f t="shared" si="568"/>
        <v>3C Aggregated and non-CO2 emissions on land</v>
      </c>
      <c r="E1497" t="str">
        <f t="shared" si="568"/>
        <v>3C4 Direct N2O from managed soils (N2O)</v>
      </c>
      <c r="F1497" t="s">
        <v>422</v>
      </c>
      <c r="G1497" t="str">
        <f t="shared" si="566"/>
        <v xml:space="preserve"> - Commercial broilers</v>
      </c>
      <c r="H1497" t="str">
        <f t="shared" si="563"/>
        <v>U&amp;D emissions - Commercial broilers</v>
      </c>
      <c r="I1497" t="str">
        <f t="shared" si="567"/>
        <v>N2O</v>
      </c>
      <c r="J1497" t="str">
        <f t="shared" si="567"/>
        <v>Gg N2O</v>
      </c>
      <c r="K1497" s="22">
        <f>'Activity data'!AD81*UDCPPEF*NtoN2O*kgtoGg</f>
        <v>0</v>
      </c>
      <c r="L1497" s="22">
        <f>'Activity data'!AE81*UDCPPEF*NtoN2O*kgtoGg</f>
        <v>0</v>
      </c>
      <c r="M1497" s="22">
        <f>'Activity data'!AF81*UDCPPEF*NtoN2O*kgtoGg</f>
        <v>0</v>
      </c>
      <c r="N1497" s="22">
        <f>'Activity data'!AG81*UDCPPEF*NtoN2O*kgtoGg</f>
        <v>0</v>
      </c>
      <c r="O1497" s="22">
        <f>'Activity data'!AH81*UDCPPEF*NtoN2O*kgtoGg</f>
        <v>0</v>
      </c>
      <c r="P1497" s="22">
        <f>'Activity data'!AI81*UDCPPEF*NtoN2O*kgtoGg</f>
        <v>0</v>
      </c>
      <c r="Q1497" s="22">
        <f>'Activity data'!AJ81*UDCPPEF*NtoN2O*kgtoGg</f>
        <v>0</v>
      </c>
      <c r="R1497" s="22">
        <f>'Activity data'!AK81*UDCPPEF*NtoN2O*kgtoGg</f>
        <v>0</v>
      </c>
      <c r="S1497" s="22">
        <f>'Activity data'!AL81*UDCPPEF*NtoN2O*kgtoGg</f>
        <v>0</v>
      </c>
      <c r="T1497" s="22">
        <f>'Activity data'!AM81*UDCPPEF*NtoN2O*kgtoGg</f>
        <v>0</v>
      </c>
      <c r="U1497" s="22">
        <f>'Activity data'!AN81*UDCPPEF*NtoN2O*kgtoGg</f>
        <v>0</v>
      </c>
      <c r="V1497" s="22">
        <f>'Activity data'!AO81*UDCPPEF*NtoN2O*kgtoGg</f>
        <v>0</v>
      </c>
      <c r="W1497" s="22">
        <f>'Activity data'!AP81*UDCPPEF*NtoN2O*kgtoGg</f>
        <v>0</v>
      </c>
      <c r="X1497" s="22">
        <f>'Activity data'!AQ81*UDCPPEF*NtoN2O*kgtoGg</f>
        <v>0</v>
      </c>
      <c r="Y1497" s="22">
        <f>'Activity data'!AR81*UDCPPEF*NtoN2O*kgtoGg</f>
        <v>0</v>
      </c>
      <c r="Z1497" s="22">
        <f>'Activity data'!AS81*UDCPPEF*NtoN2O*kgtoGg</f>
        <v>0</v>
      </c>
      <c r="AA1497" s="22">
        <f>'Activity data'!AT81*UDCPPEF*NtoN2O*kgtoGg</f>
        <v>0</v>
      </c>
      <c r="AB1497" s="22">
        <f>'Activity data'!AU81*UDCPPEF*NtoN2O*kgtoGg</f>
        <v>0</v>
      </c>
      <c r="AC1497" s="22">
        <f>'Activity data'!AV81*UDCPPEF*NtoN2O*kgtoGg</f>
        <v>0</v>
      </c>
      <c r="AD1497" s="22">
        <f>'Activity data'!AW81*UDCPPEF*NtoN2O*kgtoGg</f>
        <v>0</v>
      </c>
      <c r="AE1497" s="22">
        <f>'Activity data'!AX81*UDCPPEF*NtoN2O*kgtoGg</f>
        <v>0</v>
      </c>
      <c r="AF1497" s="22">
        <f>'Activity data'!AY81*UDCPPEF*NtoN2O*kgtoGg</f>
        <v>0</v>
      </c>
      <c r="AG1497" s="22">
        <f>'Activity data'!AZ81*UDCPPEF*NtoN2O*kgtoGg</f>
        <v>0</v>
      </c>
      <c r="AH1497" s="22">
        <f>'Activity data'!BA81*UDCPPEF*NtoN2O*kgtoGg</f>
        <v>0</v>
      </c>
      <c r="AI1497" s="22">
        <f>'Activity data'!BB81*UDCPPEF*NtoN2O*kgtoGg</f>
        <v>0</v>
      </c>
      <c r="AJ1497" s="22">
        <f>'Activity data'!BC81*UDCPPEF*NtoN2O*kgtoGg</f>
        <v>0</v>
      </c>
      <c r="AK1497" s="22">
        <f>'Activity data'!BD81*UDCPPEF*NtoN2O*kgtoGg</f>
        <v>0</v>
      </c>
      <c r="AL1497" s="22">
        <f>'Activity data'!BE81*UDCPPEF*NtoN2O*kgtoGg</f>
        <v>0</v>
      </c>
      <c r="AM1497" s="22">
        <f>'Activity data'!BF81*UDCPPEF*NtoN2O*kgtoGg</f>
        <v>0</v>
      </c>
      <c r="AN1497" s="22">
        <f>'Activity data'!BG81*UDCPPEF*NtoN2O*kgtoGg</f>
        <v>0</v>
      </c>
      <c r="AO1497" s="22">
        <f>'Activity data'!BH81*UDCPPEF*NtoN2O*kgtoGg</f>
        <v>0</v>
      </c>
      <c r="AP1497" s="22">
        <f>'Activity data'!BI81*UDCPPEF*NtoN2O*kgtoGg</f>
        <v>0</v>
      </c>
      <c r="AQ1497" s="22">
        <f>'Activity data'!BJ81*UDCPPEF*NtoN2O*kgtoGg</f>
        <v>0</v>
      </c>
      <c r="AR1497" s="22">
        <f>'Activity data'!BK81*UDCPPEF*NtoN2O*kgtoGg</f>
        <v>0</v>
      </c>
      <c r="AS1497" s="22">
        <f>'Activity data'!BL81*UDCPPEF*NtoN2O*kgtoGg</f>
        <v>0</v>
      </c>
      <c r="AT1497" s="22">
        <f>'Activity data'!BM81*UDCPPEF*NtoN2O*kgtoGg</f>
        <v>0</v>
      </c>
      <c r="AU1497" s="22">
        <f>'Activity data'!BN81*UDCPPEF*NtoN2O*kgtoGg</f>
        <v>0</v>
      </c>
      <c r="AV1497" s="22">
        <f>'Activity data'!BO81*UDCPPEF*NtoN2O*kgtoGg</f>
        <v>0</v>
      </c>
      <c r="AW1497" s="22">
        <f>'Activity data'!BP81*UDCPPEF*NtoN2O*kgtoGg</f>
        <v>0</v>
      </c>
    </row>
    <row r="1498" spans="1:49" x14ac:dyDescent="0.3">
      <c r="A1498" s="95" t="s">
        <v>960</v>
      </c>
      <c r="B1498" s="95"/>
      <c r="C1498" s="95"/>
      <c r="D1498" t="str">
        <f>D1497</f>
        <v>3C Aggregated and non-CO2 emissions on land</v>
      </c>
      <c r="E1498" t="str">
        <f t="shared" si="568"/>
        <v>3C4 Direct N2O from managed soils (N2O)</v>
      </c>
      <c r="F1498" t="s">
        <v>60</v>
      </c>
      <c r="G1498" t="str">
        <f>" - "&amp;'Activity data'!D87</f>
        <v xml:space="preserve"> - Forest remaining forest land</v>
      </c>
      <c r="H1498" t="str">
        <f t="shared" si="563"/>
        <v>FSOM - Forest remaining forest land</v>
      </c>
      <c r="J1498" t="str">
        <f t="shared" si="567"/>
        <v>Gg N2O</v>
      </c>
      <c r="K1498" s="22" t="str">
        <f>IFERROR((('Activity data'!AD87*(1/Constants!$H$135))*ttokg)*FSOMEF*NtoN2O*kgtoGg,"NO")</f>
        <v>NO</v>
      </c>
      <c r="L1498" s="22" t="str">
        <f>IFERROR((('Activity data'!AE87*(1/Constants!$H$135))*ttokg)*FSOMEF*NtoN2O*kgtoGg,"NO")</f>
        <v>NO</v>
      </c>
      <c r="M1498" s="22" t="str">
        <f>IFERROR((('Activity data'!AF87*(1/Constants!$H$135))*ttokg)*FSOMEF*NtoN2O*kgtoGg,"NO")</f>
        <v>NO</v>
      </c>
      <c r="N1498" s="22" t="str">
        <f>IFERROR((('Activity data'!AG87*(1/Constants!$H$135))*ttokg)*FSOMEF*NtoN2O*kgtoGg,"NO")</f>
        <v>NO</v>
      </c>
      <c r="O1498" s="22" t="str">
        <f>IFERROR((('Activity data'!AH87*(1/Constants!$H$135))*ttokg)*FSOMEF*NtoN2O*kgtoGg,"NO")</f>
        <v>NO</v>
      </c>
      <c r="P1498" s="22" t="str">
        <f>IFERROR((('Activity data'!AI87*(1/Constants!$H$135))*ttokg)*FSOMEF*NtoN2O*kgtoGg,"NO")</f>
        <v>NO</v>
      </c>
      <c r="Q1498" s="22" t="str">
        <f>IFERROR((('Activity data'!AJ87*(1/Constants!$H$135))*ttokg)*FSOMEF*NtoN2O*kgtoGg,"NO")</f>
        <v>NO</v>
      </c>
      <c r="R1498" s="22" t="str">
        <f>IFERROR((('Activity data'!AK87*(1/Constants!$H$135))*ttokg)*FSOMEF*NtoN2O*kgtoGg,"NO")</f>
        <v>NO</v>
      </c>
      <c r="S1498" s="22" t="str">
        <f>IFERROR((('Activity data'!AL87*(1/Constants!$H$135))*ttokg)*FSOMEF*NtoN2O*kgtoGg,"NO")</f>
        <v>NO</v>
      </c>
      <c r="T1498" s="22" t="str">
        <f>IFERROR((('Activity data'!AM87*(1/Constants!$H$135))*ttokg)*FSOMEF*NtoN2O*kgtoGg,"NO")</f>
        <v>NO</v>
      </c>
      <c r="U1498" s="22" t="str">
        <f>IFERROR((('Activity data'!AN87*(1/Constants!$H$135))*ttokg)*FSOMEF*NtoN2O*kgtoGg,"NO")</f>
        <v>NO</v>
      </c>
      <c r="V1498" s="22" t="str">
        <f>IFERROR((('Activity data'!AO87*(1/Constants!$H$135))*ttokg)*FSOMEF*NtoN2O*kgtoGg,"NO")</f>
        <v>NO</v>
      </c>
      <c r="W1498" s="22" t="str">
        <f>IFERROR((('Activity data'!AP87*(1/Constants!$H$135))*ttokg)*FSOMEF*NtoN2O*kgtoGg,"NO")</f>
        <v>NO</v>
      </c>
      <c r="X1498" s="22" t="str">
        <f>IFERROR((('Activity data'!AQ87*(1/Constants!$H$135))*ttokg)*FSOMEF*NtoN2O*kgtoGg,"NO")</f>
        <v>NO</v>
      </c>
      <c r="Y1498" s="22" t="str">
        <f>IFERROR((('Activity data'!AR87*(1/Constants!$H$135))*ttokg)*FSOMEF*NtoN2O*kgtoGg,"NO")</f>
        <v>NO</v>
      </c>
      <c r="Z1498" s="22" t="str">
        <f>IFERROR((('Activity data'!AS87*(1/Constants!$H$135))*ttokg)*FSOMEF*NtoN2O*kgtoGg,"NO")</f>
        <v>NO</v>
      </c>
      <c r="AA1498" s="22" t="str">
        <f>IFERROR((('Activity data'!AT87*(1/Constants!$H$135))*ttokg)*FSOMEF*NtoN2O*kgtoGg,"NO")</f>
        <v>NO</v>
      </c>
      <c r="AB1498" s="22" t="str">
        <f>IFERROR((('Activity data'!AU87*(1/Constants!$H$135))*ttokg)*FSOMEF*NtoN2O*kgtoGg,"NO")</f>
        <v>NO</v>
      </c>
      <c r="AC1498" s="22" t="str">
        <f>IFERROR((('Activity data'!AV87*(1/Constants!$H$135))*ttokg)*FSOMEF*NtoN2O*kgtoGg,"NO")</f>
        <v>NO</v>
      </c>
      <c r="AD1498" s="22" t="str">
        <f>IFERROR((('Activity data'!AW87*(1/Constants!$H$135))*ttokg)*FSOMEF*NtoN2O*kgtoGg,"NO")</f>
        <v>NO</v>
      </c>
      <c r="AE1498" s="22" t="str">
        <f>IFERROR((('Activity data'!AX87*(1/Constants!$H$135))*ttokg)*FSOMEF*NtoN2O*kgtoGg,"NO")</f>
        <v>NO</v>
      </c>
      <c r="AF1498" s="22" t="str">
        <f>IFERROR((('Activity data'!AY87*(1/Constants!$H$135))*ttokg)*FSOMEF*NtoN2O*kgtoGg,"NO")</f>
        <v>NO</v>
      </c>
      <c r="AG1498" s="22" t="str">
        <f>IFERROR((('Activity data'!AZ87*(1/Constants!$H$135))*ttokg)*FSOMEF*NtoN2O*kgtoGg,"NO")</f>
        <v>NO</v>
      </c>
      <c r="AH1498" s="22" t="str">
        <f>IFERROR((('Activity data'!BA87*(1/Constants!$H$135))*ttokg)*FSOMEF*NtoN2O*kgtoGg,"NO")</f>
        <v>NO</v>
      </c>
      <c r="AI1498" s="22" t="str">
        <f>IFERROR((('Activity data'!BB87*(1/Constants!$H$135))*ttokg)*FSOMEF*NtoN2O*kgtoGg,"NO")</f>
        <v>NO</v>
      </c>
      <c r="AJ1498" s="22" t="str">
        <f>IFERROR((('Activity data'!BC87*(1/Constants!$H$135))*ttokg)*FSOMEF*NtoN2O*kgtoGg,"NO")</f>
        <v>NO</v>
      </c>
      <c r="AK1498" s="22" t="str">
        <f>IFERROR((('Activity data'!BD87*(1/Constants!$H$135))*ttokg)*FSOMEF*NtoN2O*kgtoGg,"NO")</f>
        <v>NO</v>
      </c>
      <c r="AL1498" s="22" t="str">
        <f>IFERROR((('Activity data'!BE87*(1/Constants!$H$135))*ttokg)*FSOMEF*NtoN2O*kgtoGg,"NO")</f>
        <v>NO</v>
      </c>
      <c r="AM1498" s="22" t="str">
        <f>IFERROR((('Activity data'!BF87*(1/Constants!$H$135))*ttokg)*FSOMEF*NtoN2O*kgtoGg,"NO")</f>
        <v>NO</v>
      </c>
      <c r="AN1498" s="22" t="str">
        <f>IFERROR((('Activity data'!BG87*(1/Constants!$H$135))*ttokg)*FSOMEF*NtoN2O*kgtoGg,"NO")</f>
        <v>NO</v>
      </c>
      <c r="AO1498" s="22" t="str">
        <f>IFERROR((('Activity data'!BH87*(1/Constants!$H$135))*ttokg)*FSOMEF*NtoN2O*kgtoGg,"NO")</f>
        <v>NO</v>
      </c>
      <c r="AP1498" s="22" t="str">
        <f>IFERROR((('Activity data'!BI87*(1/Constants!$H$135))*ttokg)*FSOMEF*NtoN2O*kgtoGg,"NO")</f>
        <v>NO</v>
      </c>
      <c r="AQ1498" s="22" t="str">
        <f>IFERROR((('Activity data'!BJ87*(1/Constants!$H$135))*ttokg)*FSOMEF*NtoN2O*kgtoGg,"NO")</f>
        <v>NO</v>
      </c>
      <c r="AR1498" s="22" t="str">
        <f>IFERROR((('Activity data'!BK87*(1/Constants!$H$135))*ttokg)*FSOMEF*NtoN2O*kgtoGg,"NO")</f>
        <v>NO</v>
      </c>
      <c r="AS1498" s="22" t="str">
        <f>IFERROR((('Activity data'!BL87*(1/Constants!$H$135))*ttokg)*FSOMEF*NtoN2O*kgtoGg,"NO")</f>
        <v>NO</v>
      </c>
      <c r="AT1498" s="22" t="str">
        <f>IFERROR((('Activity data'!BM87*(1/Constants!$H$135))*ttokg)*FSOMEF*NtoN2O*kgtoGg,"NO")</f>
        <v>NO</v>
      </c>
      <c r="AU1498" s="22" t="str">
        <f>IFERROR((('Activity data'!BN87*(1/Constants!$H$135))*ttokg)*FSOMEF*NtoN2O*kgtoGg,"NO")</f>
        <v>NO</v>
      </c>
      <c r="AV1498" s="22" t="str">
        <f>IFERROR((('Activity data'!BO87*(1/Constants!$H$135))*ttokg)*FSOMEF*NtoN2O*kgtoGg,"NO")</f>
        <v>NO</v>
      </c>
      <c r="AW1498" s="22" t="str">
        <f>IFERROR((('Activity data'!BP87*(1/Constants!$H$135))*ttokg)*FSOMEF*NtoN2O*kgtoGg,"NO")</f>
        <v>NO</v>
      </c>
    </row>
    <row r="1499" spans="1:49" x14ac:dyDescent="0.3">
      <c r="A1499" s="95" t="s">
        <v>960</v>
      </c>
      <c r="B1499" s="95"/>
      <c r="C1499" s="95"/>
      <c r="D1499" t="str">
        <f t="shared" ref="D1499:D1509" si="569">D1498</f>
        <v>3C Aggregated and non-CO2 emissions on land</v>
      </c>
      <c r="E1499" t="str">
        <f t="shared" si="568"/>
        <v>3C4 Direct N2O from managed soils (N2O)</v>
      </c>
      <c r="F1499" t="s">
        <v>60</v>
      </c>
      <c r="G1499" t="str">
        <f>" - "&amp;'Activity data'!D88</f>
        <v xml:space="preserve"> - Land converted to forest land</v>
      </c>
      <c r="H1499" t="str">
        <f t="shared" si="563"/>
        <v>FSOM - Land converted to forest land</v>
      </c>
      <c r="J1499" t="str">
        <f t="shared" ref="J1499:J1562" si="570">J1498</f>
        <v>Gg N2O</v>
      </c>
      <c r="K1499" s="22" t="str">
        <f>IFERROR((('Activity data'!AD88*(1/Constants!$H$135))*ttokg)*FSOMEF*NtoN2O*kgtoGg,"NO")</f>
        <v>NO</v>
      </c>
      <c r="L1499" s="22" t="str">
        <f>IFERROR((('Activity data'!AE88*(1/Constants!$H$135))*ttokg)*FSOMEF*NtoN2O*kgtoGg,"NO")</f>
        <v>NO</v>
      </c>
      <c r="M1499" s="22" t="str">
        <f>IFERROR((('Activity data'!AF88*(1/Constants!$H$135))*ttokg)*FSOMEF*NtoN2O*kgtoGg,"NO")</f>
        <v>NO</v>
      </c>
      <c r="N1499" s="22" t="str">
        <f>IFERROR((('Activity data'!AG88*(1/Constants!$H$135))*ttokg)*FSOMEF*NtoN2O*kgtoGg,"NO")</f>
        <v>NO</v>
      </c>
      <c r="O1499" s="22" t="str">
        <f>IFERROR((('Activity data'!AH88*(1/Constants!$H$135))*ttokg)*FSOMEF*NtoN2O*kgtoGg,"NO")</f>
        <v>NO</v>
      </c>
      <c r="P1499" s="22" t="str">
        <f>IFERROR((('Activity data'!AI88*(1/Constants!$H$135))*ttokg)*FSOMEF*NtoN2O*kgtoGg,"NO")</f>
        <v>NO</v>
      </c>
      <c r="Q1499" s="22" t="str">
        <f>IFERROR((('Activity data'!AJ88*(1/Constants!$H$135))*ttokg)*FSOMEF*NtoN2O*kgtoGg,"NO")</f>
        <v>NO</v>
      </c>
      <c r="R1499" s="22" t="str">
        <f>IFERROR((('Activity data'!AK88*(1/Constants!$H$135))*ttokg)*FSOMEF*NtoN2O*kgtoGg,"NO")</f>
        <v>NO</v>
      </c>
      <c r="S1499" s="22" t="str">
        <f>IFERROR((('Activity data'!AL88*(1/Constants!$H$135))*ttokg)*FSOMEF*NtoN2O*kgtoGg,"NO")</f>
        <v>NO</v>
      </c>
      <c r="T1499" s="22" t="str">
        <f>IFERROR((('Activity data'!AM88*(1/Constants!$H$135))*ttokg)*FSOMEF*NtoN2O*kgtoGg,"NO")</f>
        <v>NO</v>
      </c>
      <c r="U1499" s="22" t="str">
        <f>IFERROR((('Activity data'!AN88*(1/Constants!$H$135))*ttokg)*FSOMEF*NtoN2O*kgtoGg,"NO")</f>
        <v>NO</v>
      </c>
      <c r="V1499" s="22" t="str">
        <f>IFERROR((('Activity data'!AO88*(1/Constants!$H$135))*ttokg)*FSOMEF*NtoN2O*kgtoGg,"NO")</f>
        <v>NO</v>
      </c>
      <c r="W1499" s="22" t="str">
        <f>IFERROR((('Activity data'!AP88*(1/Constants!$H$135))*ttokg)*FSOMEF*NtoN2O*kgtoGg,"NO")</f>
        <v>NO</v>
      </c>
      <c r="X1499" s="22" t="str">
        <f>IFERROR((('Activity data'!AQ88*(1/Constants!$H$135))*ttokg)*FSOMEF*NtoN2O*kgtoGg,"NO")</f>
        <v>NO</v>
      </c>
      <c r="Y1499" s="22" t="str">
        <f>IFERROR((('Activity data'!AR88*(1/Constants!$H$135))*ttokg)*FSOMEF*NtoN2O*kgtoGg,"NO")</f>
        <v>NO</v>
      </c>
      <c r="Z1499" s="22" t="str">
        <f>IFERROR((('Activity data'!AS88*(1/Constants!$H$135))*ttokg)*FSOMEF*NtoN2O*kgtoGg,"NO")</f>
        <v>NO</v>
      </c>
      <c r="AA1499" s="22" t="str">
        <f>IFERROR((('Activity data'!AT88*(1/Constants!$H$135))*ttokg)*FSOMEF*NtoN2O*kgtoGg,"NO")</f>
        <v>NO</v>
      </c>
      <c r="AB1499" s="22" t="str">
        <f>IFERROR((('Activity data'!AU88*(1/Constants!$H$135))*ttokg)*FSOMEF*NtoN2O*kgtoGg,"NO")</f>
        <v>NO</v>
      </c>
      <c r="AC1499" s="22" t="str">
        <f>IFERROR((('Activity data'!AV88*(1/Constants!$H$135))*ttokg)*FSOMEF*NtoN2O*kgtoGg,"NO")</f>
        <v>NO</v>
      </c>
      <c r="AD1499" s="22" t="str">
        <f>IFERROR((('Activity data'!AW88*(1/Constants!$H$135))*ttokg)*FSOMEF*NtoN2O*kgtoGg,"NO")</f>
        <v>NO</v>
      </c>
      <c r="AE1499" s="22" t="str">
        <f>IFERROR((('Activity data'!AX88*(1/Constants!$H$135))*ttokg)*FSOMEF*NtoN2O*kgtoGg,"NO")</f>
        <v>NO</v>
      </c>
      <c r="AF1499" s="22" t="str">
        <f>IFERROR((('Activity data'!AY88*(1/Constants!$H$135))*ttokg)*FSOMEF*NtoN2O*kgtoGg,"NO")</f>
        <v>NO</v>
      </c>
      <c r="AG1499" s="22" t="str">
        <f>IFERROR((('Activity data'!AZ88*(1/Constants!$H$135))*ttokg)*FSOMEF*NtoN2O*kgtoGg,"NO")</f>
        <v>NO</v>
      </c>
      <c r="AH1499" s="22" t="str">
        <f>IFERROR((('Activity data'!BA88*(1/Constants!$H$135))*ttokg)*FSOMEF*NtoN2O*kgtoGg,"NO")</f>
        <v>NO</v>
      </c>
      <c r="AI1499" s="22" t="str">
        <f>IFERROR((('Activity data'!BB88*(1/Constants!$H$135))*ttokg)*FSOMEF*NtoN2O*kgtoGg,"NO")</f>
        <v>NO</v>
      </c>
      <c r="AJ1499" s="22" t="str">
        <f>IFERROR((('Activity data'!BC88*(1/Constants!$H$135))*ttokg)*FSOMEF*NtoN2O*kgtoGg,"NO")</f>
        <v>NO</v>
      </c>
      <c r="AK1499" s="22" t="str">
        <f>IFERROR((('Activity data'!BD88*(1/Constants!$H$135))*ttokg)*FSOMEF*NtoN2O*kgtoGg,"NO")</f>
        <v>NO</v>
      </c>
      <c r="AL1499" s="22" t="str">
        <f>IFERROR((('Activity data'!BE88*(1/Constants!$H$135))*ttokg)*FSOMEF*NtoN2O*kgtoGg,"NO")</f>
        <v>NO</v>
      </c>
      <c r="AM1499" s="22" t="str">
        <f>IFERROR((('Activity data'!BF88*(1/Constants!$H$135))*ttokg)*FSOMEF*NtoN2O*kgtoGg,"NO")</f>
        <v>NO</v>
      </c>
      <c r="AN1499" s="22" t="str">
        <f>IFERROR((('Activity data'!BG88*(1/Constants!$H$135))*ttokg)*FSOMEF*NtoN2O*kgtoGg,"NO")</f>
        <v>NO</v>
      </c>
      <c r="AO1499" s="22" t="str">
        <f>IFERROR((('Activity data'!BH88*(1/Constants!$H$135))*ttokg)*FSOMEF*NtoN2O*kgtoGg,"NO")</f>
        <v>NO</v>
      </c>
      <c r="AP1499" s="22" t="str">
        <f>IFERROR((('Activity data'!BI88*(1/Constants!$H$135))*ttokg)*FSOMEF*NtoN2O*kgtoGg,"NO")</f>
        <v>NO</v>
      </c>
      <c r="AQ1499" s="22" t="str">
        <f>IFERROR((('Activity data'!BJ88*(1/Constants!$H$135))*ttokg)*FSOMEF*NtoN2O*kgtoGg,"NO")</f>
        <v>NO</v>
      </c>
      <c r="AR1499" s="22" t="str">
        <f>IFERROR((('Activity data'!BK88*(1/Constants!$H$135))*ttokg)*FSOMEF*NtoN2O*kgtoGg,"NO")</f>
        <v>NO</v>
      </c>
      <c r="AS1499" s="22" t="str">
        <f>IFERROR((('Activity data'!BL88*(1/Constants!$H$135))*ttokg)*FSOMEF*NtoN2O*kgtoGg,"NO")</f>
        <v>NO</v>
      </c>
      <c r="AT1499" s="22" t="str">
        <f>IFERROR((('Activity data'!BM88*(1/Constants!$H$135))*ttokg)*FSOMEF*NtoN2O*kgtoGg,"NO")</f>
        <v>NO</v>
      </c>
      <c r="AU1499" s="22" t="str">
        <f>IFERROR((('Activity data'!BN88*(1/Constants!$H$135))*ttokg)*FSOMEF*NtoN2O*kgtoGg,"NO")</f>
        <v>NO</v>
      </c>
      <c r="AV1499" s="22" t="str">
        <f>IFERROR((('Activity data'!BO88*(1/Constants!$H$135))*ttokg)*FSOMEF*NtoN2O*kgtoGg,"NO")</f>
        <v>NO</v>
      </c>
      <c r="AW1499" s="22" t="str">
        <f>IFERROR((('Activity data'!BP88*(1/Constants!$H$135))*ttokg)*FSOMEF*NtoN2O*kgtoGg,"NO")</f>
        <v>NO</v>
      </c>
    </row>
    <row r="1500" spans="1:49" x14ac:dyDescent="0.3">
      <c r="A1500" s="95" t="s">
        <v>960</v>
      </c>
      <c r="B1500" s="95"/>
      <c r="C1500" s="95"/>
      <c r="D1500" t="str">
        <f t="shared" si="569"/>
        <v>3C Aggregated and non-CO2 emissions on land</v>
      </c>
      <c r="E1500" t="str">
        <f t="shared" si="568"/>
        <v>3C4 Direct N2O from managed soils (N2O)</v>
      </c>
      <c r="F1500" t="s">
        <v>60</v>
      </c>
      <c r="G1500" t="str">
        <f>" - "&amp;'Activity data'!D89</f>
        <v xml:space="preserve"> - Cropland remaining cropland</v>
      </c>
      <c r="H1500" t="str">
        <f t="shared" si="563"/>
        <v>FSOM - Cropland remaining cropland</v>
      </c>
      <c r="J1500" t="str">
        <f t="shared" si="570"/>
        <v>Gg N2O</v>
      </c>
      <c r="K1500" s="22">
        <f>IFERROR((('Activity data'!AD89*(1/Constants!$H$135))*ttokg)*FSOMEF*NtoN2O*kgtoGg,"NO")</f>
        <v>3.4398813895090996E-3</v>
      </c>
      <c r="L1500" s="22">
        <f>IFERROR((('Activity data'!AE89*(1/Constants!$H$135))*ttokg)*FSOMEF*NtoN2O*kgtoGg,"NO")</f>
        <v>3.4358310252377683E-3</v>
      </c>
      <c r="M1500" s="22">
        <f>IFERROR((('Activity data'!AF89*(1/Constants!$H$135))*ttokg)*FSOMEF*NtoN2O*kgtoGg,"NO")</f>
        <v>3.4317806609664363E-3</v>
      </c>
      <c r="N1500" s="22">
        <f>IFERROR((('Activity data'!AG89*(1/Constants!$H$135))*ttokg)*FSOMEF*NtoN2O*kgtoGg,"NO")</f>
        <v>3.4277302966951037E-3</v>
      </c>
      <c r="O1500" s="22">
        <f>IFERROR((('Activity data'!AH89*(1/Constants!$H$135))*ttokg)*FSOMEF*NtoN2O*kgtoGg,"NO")</f>
        <v>3.4236799324237725E-3</v>
      </c>
      <c r="P1500" s="22">
        <f>IFERROR((('Activity data'!AI89*(1/Constants!$H$135))*ttokg)*FSOMEF*NtoN2O*kgtoGg,"NO")</f>
        <v>3.4196295681524396E-3</v>
      </c>
      <c r="Q1500" s="22">
        <f>IFERROR((('Activity data'!AJ89*(1/Constants!$H$135))*ttokg)*FSOMEF*NtoN2O*kgtoGg,"NO")</f>
        <v>3.4155792038811079E-3</v>
      </c>
      <c r="R1500" s="22">
        <f>IFERROR((('Activity data'!AK89*(1/Constants!$H$135))*ttokg)*FSOMEF*NtoN2O*kgtoGg,"NO")</f>
        <v>3.4115288396097763E-3</v>
      </c>
      <c r="S1500" s="22">
        <f>IFERROR((('Activity data'!AL89*(1/Constants!$H$135))*ttokg)*FSOMEF*NtoN2O*kgtoGg,"NO")</f>
        <v>3.4074784753384451E-3</v>
      </c>
      <c r="T1500" s="22">
        <f>IFERROR((('Activity data'!AM89*(1/Constants!$H$135))*ttokg)*FSOMEF*NtoN2O*kgtoGg,"NO")</f>
        <v>3.4034281110671134E-3</v>
      </c>
      <c r="U1500" s="22">
        <f>IFERROR((('Activity data'!AN89*(1/Constants!$H$135))*ttokg)*FSOMEF*NtoN2O*kgtoGg,"NO")</f>
        <v>3.39937774679578E-3</v>
      </c>
      <c r="V1500" s="22">
        <f>IFERROR((('Activity data'!AO89*(1/Constants!$H$135))*ttokg)*FSOMEF*NtoN2O*kgtoGg,"NO")</f>
        <v>3.3953273825244488E-3</v>
      </c>
      <c r="W1500" s="22">
        <f>IFERROR((('Activity data'!AP89*(1/Constants!$H$135))*ttokg)*FSOMEF*NtoN2O*kgtoGg,"NO")</f>
        <v>3.3912770182531172E-3</v>
      </c>
      <c r="X1500" s="22">
        <f>IFERROR((('Activity data'!AQ89*(1/Constants!$H$135))*ttokg)*FSOMEF*NtoN2O*kgtoGg,"NO")</f>
        <v>3.387226653981786E-3</v>
      </c>
      <c r="Y1500" s="22">
        <f>IFERROR((('Activity data'!AR89*(1/Constants!$H$135))*ttokg)*FSOMEF*NtoN2O*kgtoGg,"NO")</f>
        <v>3.3831762897104547E-3</v>
      </c>
      <c r="Z1500" s="22">
        <f>IFERROR((('Activity data'!AS89*(1/Constants!$H$135))*ttokg)*FSOMEF*NtoN2O*kgtoGg,"NO")</f>
        <v>3.3791259254391218E-3</v>
      </c>
      <c r="AA1500" s="22">
        <f>IFERROR((('Activity data'!AT89*(1/Constants!$H$135))*ttokg)*FSOMEF*NtoN2O*kgtoGg,"NO")</f>
        <v>3.375075561167791E-3</v>
      </c>
      <c r="AB1500" s="22">
        <f>IFERROR((('Activity data'!AU89*(1/Constants!$H$135))*ttokg)*FSOMEF*NtoN2O*kgtoGg,"NO")</f>
        <v>3.3710251968964585E-3</v>
      </c>
      <c r="AC1500" s="22">
        <f>IFERROR((('Activity data'!AV89*(1/Constants!$H$135))*ttokg)*FSOMEF*NtoN2O*kgtoGg,"NO")</f>
        <v>3.3669748326251273E-3</v>
      </c>
      <c r="AD1500" s="22">
        <f>IFERROR((('Activity data'!AW89*(1/Constants!$H$135))*ttokg)*FSOMEF*NtoN2O*kgtoGg,"NO")</f>
        <v>3.3629244683537943E-3</v>
      </c>
      <c r="AE1500" s="22">
        <f>IFERROR((('Activity data'!AX89*(1/Constants!$H$135))*ttokg)*FSOMEF*NtoN2O*kgtoGg,"NO")</f>
        <v>3.358874104082464E-3</v>
      </c>
      <c r="AF1500" s="22">
        <f>IFERROR((('Activity data'!AY89*(1/Constants!$H$135))*ttokg)*FSOMEF*NtoN2O*kgtoGg,"NO")</f>
        <v>3.3548237398111319E-3</v>
      </c>
      <c r="AG1500" s="22">
        <f>IFERROR((('Activity data'!AZ89*(1/Constants!$H$135))*ttokg)*FSOMEF*NtoN2O*kgtoGg,"NO")</f>
        <v>3.3507733755397998E-3</v>
      </c>
      <c r="AH1500" s="22">
        <f>IFERROR((('Activity data'!BA89*(1/Constants!$H$135))*ttokg)*FSOMEF*NtoN2O*kgtoGg,"NO")</f>
        <v>3.3467230112684673E-3</v>
      </c>
      <c r="AI1500" s="22">
        <f>IFERROR((('Activity data'!BB89*(1/Constants!$H$135))*ttokg)*FSOMEF*NtoN2O*kgtoGg,"NO")</f>
        <v>3.3426726469971361E-3</v>
      </c>
      <c r="AJ1500" s="22">
        <f>IFERROR((('Activity data'!BC89*(1/Constants!$H$135))*ttokg)*FSOMEF*NtoN2O*kgtoGg,"NO")</f>
        <v>3.3386222827258044E-3</v>
      </c>
      <c r="AK1500" s="22">
        <f>IFERROR((('Activity data'!BD89*(1/Constants!$H$135))*ttokg)*FSOMEF*NtoN2O*kgtoGg,"NO")</f>
        <v>3.3345719184544728E-3</v>
      </c>
      <c r="AL1500" s="22">
        <f>IFERROR((('Activity data'!BE89*(1/Constants!$H$135))*ttokg)*FSOMEF*NtoN2O*kgtoGg,"NO")</f>
        <v>3.3305215541831416E-3</v>
      </c>
      <c r="AM1500" s="22">
        <f>IFERROR((('Activity data'!BF89*(1/Constants!$H$135))*ttokg)*FSOMEF*NtoN2O*kgtoGg,"NO")</f>
        <v>3.3264711899118095E-3</v>
      </c>
      <c r="AN1500" s="22">
        <f>IFERROR((('Activity data'!BG89*(1/Constants!$H$135))*ttokg)*FSOMEF*NtoN2O*kgtoGg,"NO")</f>
        <v>3.3224208256404765E-3</v>
      </c>
      <c r="AO1500" s="22">
        <f>IFERROR((('Activity data'!BH89*(1/Constants!$H$135))*ttokg)*FSOMEF*NtoN2O*kgtoGg,"NO")</f>
        <v>3.3183704613691458E-3</v>
      </c>
      <c r="AP1500" s="22">
        <f>IFERROR((('Activity data'!BI89*(1/Constants!$H$135))*ttokg)*FSOMEF*NtoN2O*kgtoGg,"NO")</f>
        <v>3.3143200970978137E-3</v>
      </c>
      <c r="AQ1500" s="22">
        <f>IFERROR((('Activity data'!BJ89*(1/Constants!$H$135))*ttokg)*FSOMEF*NtoN2O*kgtoGg,"NO")</f>
        <v>3.3102697328264833E-3</v>
      </c>
      <c r="AR1500" s="22">
        <f>IFERROR((('Activity data'!BK89*(1/Constants!$H$135))*ttokg)*FSOMEF*NtoN2O*kgtoGg,"NO")</f>
        <v>3.3062193685551499E-3</v>
      </c>
      <c r="AS1500" s="22">
        <f>IFERROR((('Activity data'!BL89*(1/Constants!$H$135))*ttokg)*FSOMEF*NtoN2O*kgtoGg,"NO")</f>
        <v>3.3021690042838187E-3</v>
      </c>
      <c r="AT1500" s="22">
        <f>IFERROR((('Activity data'!BM89*(1/Constants!$H$135))*ttokg)*FSOMEF*NtoN2O*kgtoGg,"NO")</f>
        <v>3.2981186400124866E-3</v>
      </c>
      <c r="AU1500" s="22">
        <f>IFERROR((('Activity data'!BN89*(1/Constants!$H$135))*ttokg)*FSOMEF*NtoN2O*kgtoGg,"NO")</f>
        <v>3.2940682757411541E-3</v>
      </c>
      <c r="AV1500" s="22">
        <f>IFERROR((('Activity data'!BO89*(1/Constants!$H$135))*ttokg)*FSOMEF*NtoN2O*kgtoGg,"NO")</f>
        <v>3.2900179114698229E-3</v>
      </c>
      <c r="AW1500" s="22">
        <f>IFERROR((('Activity data'!BP89*(1/Constants!$H$135))*ttokg)*FSOMEF*NtoN2O*kgtoGg,"NO")</f>
        <v>3.2859675471984908E-3</v>
      </c>
    </row>
    <row r="1501" spans="1:49" x14ac:dyDescent="0.3">
      <c r="A1501" s="95" t="s">
        <v>960</v>
      </c>
      <c r="B1501" s="95"/>
      <c r="C1501" s="95"/>
      <c r="D1501" t="str">
        <f t="shared" si="569"/>
        <v>3C Aggregated and non-CO2 emissions on land</v>
      </c>
      <c r="E1501" t="str">
        <f t="shared" si="568"/>
        <v>3C4 Direct N2O from managed soils (N2O)</v>
      </c>
      <c r="F1501" t="s">
        <v>60</v>
      </c>
      <c r="G1501" t="str">
        <f>" - "&amp;'Activity data'!D90</f>
        <v xml:space="preserve"> - Land converted to cropland</v>
      </c>
      <c r="H1501" t="str">
        <f t="shared" si="563"/>
        <v>FSOM - Land converted to cropland</v>
      </c>
      <c r="J1501" t="str">
        <f t="shared" si="570"/>
        <v>Gg N2O</v>
      </c>
      <c r="K1501" s="22">
        <f>IFERROR((('Activity data'!AD90*(1/Constants!$H$135))*ttokg)*FSOMEF*NtoN2O*kgtoGg,"NO")</f>
        <v>0.49020960547040615</v>
      </c>
      <c r="L1501" s="22">
        <f>IFERROR((('Activity data'!AE90*(1/Constants!$H$135))*ttokg)*FSOMEF*NtoN2O*kgtoGg,"NO")</f>
        <v>0.49134551154341793</v>
      </c>
      <c r="M1501" s="22">
        <f>IFERROR((('Activity data'!AF90*(1/Constants!$H$135))*ttokg)*FSOMEF*NtoN2O*kgtoGg,"NO")</f>
        <v>0.49248141761642988</v>
      </c>
      <c r="N1501" s="22">
        <f>IFERROR((('Activity data'!AG90*(1/Constants!$H$135))*ttokg)*FSOMEF*NtoN2O*kgtoGg,"NO")</f>
        <v>0.49361732368944172</v>
      </c>
      <c r="O1501" s="22">
        <f>IFERROR((('Activity data'!AH90*(1/Constants!$H$135))*ttokg)*FSOMEF*NtoN2O*kgtoGg,"NO")</f>
        <v>0.49475322976245356</v>
      </c>
      <c r="P1501" s="22">
        <f>IFERROR((('Activity data'!AI90*(1/Constants!$H$135))*ttokg)*FSOMEF*NtoN2O*kgtoGg,"NO")</f>
        <v>0.49588913583546534</v>
      </c>
      <c r="Q1501" s="22">
        <f>IFERROR((('Activity data'!AJ90*(1/Constants!$H$135))*ttokg)*FSOMEF*NtoN2O*kgtoGg,"NO")</f>
        <v>0.49702504190847724</v>
      </c>
      <c r="R1501" s="22">
        <f>IFERROR((('Activity data'!AK90*(1/Constants!$H$135))*ttokg)*FSOMEF*NtoN2O*kgtoGg,"NO")</f>
        <v>0.49816094798148913</v>
      </c>
      <c r="S1501" s="22">
        <f>IFERROR((('Activity data'!AL90*(1/Constants!$H$135))*ttokg)*FSOMEF*NtoN2O*kgtoGg,"NO")</f>
        <v>0.49929685405450086</v>
      </c>
      <c r="T1501" s="22">
        <f>IFERROR((('Activity data'!AM90*(1/Constants!$H$135))*ttokg)*FSOMEF*NtoN2O*kgtoGg,"NO")</f>
        <v>0.50043276012751292</v>
      </c>
      <c r="U1501" s="22">
        <f>IFERROR((('Activity data'!AN90*(1/Constants!$H$135))*ttokg)*FSOMEF*NtoN2O*kgtoGg,"NO")</f>
        <v>0.50156866620052454</v>
      </c>
      <c r="V1501" s="22">
        <f>IFERROR((('Activity data'!AO90*(1/Constants!$H$135))*ttokg)*FSOMEF*NtoN2O*kgtoGg,"NO")</f>
        <v>0.50270457227353649</v>
      </c>
      <c r="W1501" s="22">
        <f>IFERROR((('Activity data'!AP90*(1/Constants!$H$135))*ttokg)*FSOMEF*NtoN2O*kgtoGg,"NO")</f>
        <v>0.50384047834654833</v>
      </c>
      <c r="X1501" s="22">
        <f>IFERROR((('Activity data'!AQ90*(1/Constants!$H$135))*ttokg)*FSOMEF*NtoN2O*kgtoGg,"NO")</f>
        <v>0.50497638441956039</v>
      </c>
      <c r="Y1501" s="22">
        <f>IFERROR((('Activity data'!AR90*(1/Constants!$H$135))*ttokg)*FSOMEF*NtoN2O*kgtoGg,"NO")</f>
        <v>0.506112290492572</v>
      </c>
      <c r="Z1501" s="22">
        <f>IFERROR((('Activity data'!AS90*(1/Constants!$H$135))*ttokg)*FSOMEF*NtoN2O*kgtoGg,"NO")</f>
        <v>0.50724819656558406</v>
      </c>
      <c r="AA1501" s="22">
        <f>IFERROR((('Activity data'!AT90*(1/Constants!$H$135))*ttokg)*FSOMEF*NtoN2O*kgtoGg,"NO")</f>
        <v>0.50838410263859568</v>
      </c>
      <c r="AB1501" s="22">
        <f>IFERROR((('Activity data'!AU90*(1/Constants!$H$135))*ttokg)*FSOMEF*NtoN2O*kgtoGg,"NO")</f>
        <v>0.50952000871160763</v>
      </c>
      <c r="AC1501" s="22">
        <f>IFERROR((('Activity data'!AV90*(1/Constants!$H$135))*ttokg)*FSOMEF*NtoN2O*kgtoGg,"NO")</f>
        <v>0.51065591478461958</v>
      </c>
      <c r="AD1501" s="22">
        <f>IFERROR((('Activity data'!AW90*(1/Constants!$H$135))*ttokg)*FSOMEF*NtoN2O*kgtoGg,"NO")</f>
        <v>0.51179182085763142</v>
      </c>
      <c r="AE1501" s="22">
        <f>IFERROR((('Activity data'!AX90*(1/Constants!$H$135))*ttokg)*FSOMEF*NtoN2O*kgtoGg,"NO")</f>
        <v>0.51292772693064326</v>
      </c>
      <c r="AF1501" s="22">
        <f>IFERROR((('Activity data'!AY90*(1/Constants!$H$135))*ttokg)*FSOMEF*NtoN2O*kgtoGg,"NO")</f>
        <v>0.5140636330036551</v>
      </c>
      <c r="AG1501" s="22">
        <f>IFERROR((('Activity data'!AZ90*(1/Constants!$H$135))*ttokg)*FSOMEF*NtoN2O*kgtoGg,"NO")</f>
        <v>0.51519953907666705</v>
      </c>
      <c r="AH1501" s="22">
        <f>IFERROR((('Activity data'!BA90*(1/Constants!$H$135))*ttokg)*FSOMEF*NtoN2O*kgtoGg,"NO")</f>
        <v>0.51633544514967877</v>
      </c>
      <c r="AI1501" s="22">
        <f>IFERROR((('Activity data'!BB90*(1/Constants!$H$135))*ttokg)*FSOMEF*NtoN2O*kgtoGg,"NO")</f>
        <v>0.51747135122269072</v>
      </c>
      <c r="AJ1501" s="22">
        <f>IFERROR((('Activity data'!BC90*(1/Constants!$H$135))*ttokg)*FSOMEF*NtoN2O*kgtoGg,"NO")</f>
        <v>0.51860725729570256</v>
      </c>
      <c r="AK1501" s="22">
        <f>IFERROR((('Activity data'!BD90*(1/Constants!$H$135))*ttokg)*FSOMEF*NtoN2O*kgtoGg,"NO")</f>
        <v>0.5197431633687144</v>
      </c>
      <c r="AL1501" s="22">
        <f>IFERROR((('Activity data'!BE90*(1/Constants!$H$135))*ttokg)*FSOMEF*NtoN2O*kgtoGg,"NO")</f>
        <v>0.52087906944172624</v>
      </c>
      <c r="AM1501" s="22">
        <f>IFERROR((('Activity data'!BF90*(1/Constants!$H$135))*ttokg)*FSOMEF*NtoN2O*kgtoGg,"NO")</f>
        <v>0.52201497551473808</v>
      </c>
      <c r="AN1501" s="22">
        <f>IFERROR((('Activity data'!BG90*(1/Constants!$H$135))*ttokg)*FSOMEF*NtoN2O*kgtoGg,"NO")</f>
        <v>0.52315088158774992</v>
      </c>
      <c r="AO1501" s="22">
        <f>IFERROR((('Activity data'!BH90*(1/Constants!$H$135))*ttokg)*FSOMEF*NtoN2O*kgtoGg,"NO")</f>
        <v>0.52428678766076187</v>
      </c>
      <c r="AP1501" s="22">
        <f>IFERROR((('Activity data'!BI90*(1/Constants!$H$135))*ttokg)*FSOMEF*NtoN2O*kgtoGg,"NO")</f>
        <v>0.52542269373377359</v>
      </c>
      <c r="AQ1501" s="22">
        <f>IFERROR((('Activity data'!BJ90*(1/Constants!$H$135))*ttokg)*FSOMEF*NtoN2O*kgtoGg,"NO")</f>
        <v>0.52655859980678543</v>
      </c>
      <c r="AR1501" s="22">
        <f>IFERROR((('Activity data'!BK90*(1/Constants!$H$135))*ttokg)*FSOMEF*NtoN2O*kgtoGg,"NO")</f>
        <v>0.52769450587979749</v>
      </c>
      <c r="AS1501" s="22">
        <f>IFERROR((('Activity data'!BL90*(1/Constants!$H$135))*ttokg)*FSOMEF*NtoN2O*kgtoGg,"NO")</f>
        <v>0.52883041195280922</v>
      </c>
      <c r="AT1501" s="22">
        <f>IFERROR((('Activity data'!BM90*(1/Constants!$H$135))*ttokg)*FSOMEF*NtoN2O*kgtoGg,"NO")</f>
        <v>0.52996631802582106</v>
      </c>
      <c r="AU1501" s="22">
        <f>IFERROR((('Activity data'!BN90*(1/Constants!$H$135))*ttokg)*FSOMEF*NtoN2O*kgtoGg,"NO")</f>
        <v>0.53110222409883301</v>
      </c>
      <c r="AV1501" s="22">
        <f>IFERROR((('Activity data'!BO90*(1/Constants!$H$135))*ttokg)*FSOMEF*NtoN2O*kgtoGg,"NO")</f>
        <v>0.53223813017184474</v>
      </c>
      <c r="AW1501" s="22">
        <f>IFERROR((('Activity data'!BP90*(1/Constants!$H$135))*ttokg)*FSOMEF*NtoN2O*kgtoGg,"NO")</f>
        <v>0.5333740362448568</v>
      </c>
    </row>
    <row r="1502" spans="1:49" x14ac:dyDescent="0.3">
      <c r="A1502" s="95" t="s">
        <v>960</v>
      </c>
      <c r="B1502" s="95"/>
      <c r="C1502" s="95"/>
      <c r="D1502" t="str">
        <f t="shared" si="569"/>
        <v>3C Aggregated and non-CO2 emissions on land</v>
      </c>
      <c r="E1502" t="str">
        <f t="shared" si="568"/>
        <v>3C4 Direct N2O from managed soils (N2O)</v>
      </c>
      <c r="F1502" t="s">
        <v>60</v>
      </c>
      <c r="G1502" t="str">
        <f>" - "&amp;'Activity data'!D91</f>
        <v xml:space="preserve"> - Grassland remaining grassland</v>
      </c>
      <c r="H1502" t="str">
        <f t="shared" si="563"/>
        <v>FSOM - Grassland remaining grassland</v>
      </c>
      <c r="J1502" t="str">
        <f t="shared" si="570"/>
        <v>Gg N2O</v>
      </c>
      <c r="K1502" s="22">
        <f>IFERROR((('Activity data'!AD91*(1/Constants!$H$135))*ttokg)*FSOMEF*NtoN2O*kgtoGg,"NO")</f>
        <v>0.57597220909378744</v>
      </c>
      <c r="L1502" s="22">
        <f>IFERROR((('Activity data'!AE91*(1/Constants!$H$135))*ttokg)*FSOMEF*NtoN2O*kgtoGg,"NO")</f>
        <v>0.57597220909378744</v>
      </c>
      <c r="M1502" s="22">
        <f>IFERROR((('Activity data'!AF91*(1/Constants!$H$135))*ttokg)*FSOMEF*NtoN2O*kgtoGg,"NO")</f>
        <v>0.57597220909378744</v>
      </c>
      <c r="N1502" s="22">
        <f>IFERROR((('Activity data'!AG91*(1/Constants!$H$135))*ttokg)*FSOMEF*NtoN2O*kgtoGg,"NO")</f>
        <v>0.57597220909378744</v>
      </c>
      <c r="O1502" s="22">
        <f>IFERROR((('Activity data'!AH91*(1/Constants!$H$135))*ttokg)*FSOMEF*NtoN2O*kgtoGg,"NO")</f>
        <v>0.57597220909378744</v>
      </c>
      <c r="P1502" s="22">
        <f>IFERROR((('Activity data'!AI91*(1/Constants!$H$135))*ttokg)*FSOMEF*NtoN2O*kgtoGg,"NO")</f>
        <v>0.57597220909378744</v>
      </c>
      <c r="Q1502" s="22">
        <f>IFERROR((('Activity data'!AJ91*(1/Constants!$H$135))*ttokg)*FSOMEF*NtoN2O*kgtoGg,"NO")</f>
        <v>0.57597220909378744</v>
      </c>
      <c r="R1502" s="22">
        <f>IFERROR((('Activity data'!AK91*(1/Constants!$H$135))*ttokg)*FSOMEF*NtoN2O*kgtoGg,"NO")</f>
        <v>0.57597220909378744</v>
      </c>
      <c r="S1502" s="22">
        <f>IFERROR((('Activity data'!AL91*(1/Constants!$H$135))*ttokg)*FSOMEF*NtoN2O*kgtoGg,"NO")</f>
        <v>0.57597220909378744</v>
      </c>
      <c r="T1502" s="22">
        <f>IFERROR((('Activity data'!AM91*(1/Constants!$H$135))*ttokg)*FSOMEF*NtoN2O*kgtoGg,"NO")</f>
        <v>0.57597220909378744</v>
      </c>
      <c r="U1502" s="22">
        <f>IFERROR((('Activity data'!AN91*(1/Constants!$H$135))*ttokg)*FSOMEF*NtoN2O*kgtoGg,"NO")</f>
        <v>0.57597220909378744</v>
      </c>
      <c r="V1502" s="22">
        <f>IFERROR((('Activity data'!AO91*(1/Constants!$H$135))*ttokg)*FSOMEF*NtoN2O*kgtoGg,"NO")</f>
        <v>0.57597220909378744</v>
      </c>
      <c r="W1502" s="22">
        <f>IFERROR((('Activity data'!AP91*(1/Constants!$H$135))*ttokg)*FSOMEF*NtoN2O*kgtoGg,"NO")</f>
        <v>0.57597220909378744</v>
      </c>
      <c r="X1502" s="22">
        <f>IFERROR((('Activity data'!AQ91*(1/Constants!$H$135))*ttokg)*FSOMEF*NtoN2O*kgtoGg,"NO")</f>
        <v>0.57597220909378744</v>
      </c>
      <c r="Y1502" s="22">
        <f>IFERROR((('Activity data'!AR91*(1/Constants!$H$135))*ttokg)*FSOMEF*NtoN2O*kgtoGg,"NO")</f>
        <v>0.57597220909378744</v>
      </c>
      <c r="Z1502" s="22">
        <f>IFERROR((('Activity data'!AS91*(1/Constants!$H$135))*ttokg)*FSOMEF*NtoN2O*kgtoGg,"NO")</f>
        <v>0.57597220909378744</v>
      </c>
      <c r="AA1502" s="22">
        <f>IFERROR((('Activity data'!AT91*(1/Constants!$H$135))*ttokg)*FSOMEF*NtoN2O*kgtoGg,"NO")</f>
        <v>0.57597220909378744</v>
      </c>
      <c r="AB1502" s="22">
        <f>IFERROR((('Activity data'!AU91*(1/Constants!$H$135))*ttokg)*FSOMEF*NtoN2O*kgtoGg,"NO")</f>
        <v>0.57597220909378744</v>
      </c>
      <c r="AC1502" s="22">
        <f>IFERROR((('Activity data'!AV91*(1/Constants!$H$135))*ttokg)*FSOMEF*NtoN2O*kgtoGg,"NO")</f>
        <v>0.57597220909378744</v>
      </c>
      <c r="AD1502" s="22">
        <f>IFERROR((('Activity data'!AW91*(1/Constants!$H$135))*ttokg)*FSOMEF*NtoN2O*kgtoGg,"NO")</f>
        <v>0.57597220909378744</v>
      </c>
      <c r="AE1502" s="22">
        <f>IFERROR((('Activity data'!AX91*(1/Constants!$H$135))*ttokg)*FSOMEF*NtoN2O*kgtoGg,"NO")</f>
        <v>0.57597220909378744</v>
      </c>
      <c r="AF1502" s="22">
        <f>IFERROR((('Activity data'!AY91*(1/Constants!$H$135))*ttokg)*FSOMEF*NtoN2O*kgtoGg,"NO")</f>
        <v>0.57597220909378744</v>
      </c>
      <c r="AG1502" s="22">
        <f>IFERROR((('Activity data'!AZ91*(1/Constants!$H$135))*ttokg)*FSOMEF*NtoN2O*kgtoGg,"NO")</f>
        <v>0.57597220909378744</v>
      </c>
      <c r="AH1502" s="22">
        <f>IFERROR((('Activity data'!BA91*(1/Constants!$H$135))*ttokg)*FSOMEF*NtoN2O*kgtoGg,"NO")</f>
        <v>0.57597220909378744</v>
      </c>
      <c r="AI1502" s="22">
        <f>IFERROR((('Activity data'!BB91*(1/Constants!$H$135))*ttokg)*FSOMEF*NtoN2O*kgtoGg,"NO")</f>
        <v>0.57597220909378744</v>
      </c>
      <c r="AJ1502" s="22">
        <f>IFERROR((('Activity data'!BC91*(1/Constants!$H$135))*ttokg)*FSOMEF*NtoN2O*kgtoGg,"NO")</f>
        <v>0.57597220909378744</v>
      </c>
      <c r="AK1502" s="22">
        <f>IFERROR((('Activity data'!BD91*(1/Constants!$H$135))*ttokg)*FSOMEF*NtoN2O*kgtoGg,"NO")</f>
        <v>0.57597220909378744</v>
      </c>
      <c r="AL1502" s="22">
        <f>IFERROR((('Activity data'!BE91*(1/Constants!$H$135))*ttokg)*FSOMEF*NtoN2O*kgtoGg,"NO")</f>
        <v>0.57597220909378744</v>
      </c>
      <c r="AM1502" s="22">
        <f>IFERROR((('Activity data'!BF91*(1/Constants!$H$135))*ttokg)*FSOMEF*NtoN2O*kgtoGg,"NO")</f>
        <v>0.57597220909378744</v>
      </c>
      <c r="AN1502" s="22">
        <f>IFERROR((('Activity data'!BG91*(1/Constants!$H$135))*ttokg)*FSOMEF*NtoN2O*kgtoGg,"NO")</f>
        <v>0.57597220909378744</v>
      </c>
      <c r="AO1502" s="22">
        <f>IFERROR((('Activity data'!BH91*(1/Constants!$H$135))*ttokg)*FSOMEF*NtoN2O*kgtoGg,"NO")</f>
        <v>0.57597220909378744</v>
      </c>
      <c r="AP1502" s="22">
        <f>IFERROR((('Activity data'!BI91*(1/Constants!$H$135))*ttokg)*FSOMEF*NtoN2O*kgtoGg,"NO")</f>
        <v>0.57597220909378744</v>
      </c>
      <c r="AQ1502" s="22">
        <f>IFERROR((('Activity data'!BJ91*(1/Constants!$H$135))*ttokg)*FSOMEF*NtoN2O*kgtoGg,"NO")</f>
        <v>0.57597220909378744</v>
      </c>
      <c r="AR1502" s="22">
        <f>IFERROR((('Activity data'!BK91*(1/Constants!$H$135))*ttokg)*FSOMEF*NtoN2O*kgtoGg,"NO")</f>
        <v>0.57597220909378744</v>
      </c>
      <c r="AS1502" s="22">
        <f>IFERROR((('Activity data'!BL91*(1/Constants!$H$135))*ttokg)*FSOMEF*NtoN2O*kgtoGg,"NO")</f>
        <v>0.57597220909378744</v>
      </c>
      <c r="AT1502" s="22">
        <f>IFERROR((('Activity data'!BM91*(1/Constants!$H$135))*ttokg)*FSOMEF*NtoN2O*kgtoGg,"NO")</f>
        <v>0.57597220909378744</v>
      </c>
      <c r="AU1502" s="22">
        <f>IFERROR((('Activity data'!BN91*(1/Constants!$H$135))*ttokg)*FSOMEF*NtoN2O*kgtoGg,"NO")</f>
        <v>0.57597220909378744</v>
      </c>
      <c r="AV1502" s="22">
        <f>IFERROR((('Activity data'!BO91*(1/Constants!$H$135))*ttokg)*FSOMEF*NtoN2O*kgtoGg,"NO")</f>
        <v>0.57597220909378744</v>
      </c>
      <c r="AW1502" s="22">
        <f>IFERROR((('Activity data'!BP91*(1/Constants!$H$135))*ttokg)*FSOMEF*NtoN2O*kgtoGg,"NO")</f>
        <v>0.57597220909378744</v>
      </c>
    </row>
    <row r="1503" spans="1:49" x14ac:dyDescent="0.3">
      <c r="A1503" s="95" t="s">
        <v>960</v>
      </c>
      <c r="B1503" s="95"/>
      <c r="C1503" s="95"/>
      <c r="D1503" t="str">
        <f t="shared" si="569"/>
        <v>3C Aggregated and non-CO2 emissions on land</v>
      </c>
      <c r="E1503" t="str">
        <f t="shared" si="568"/>
        <v>3C4 Direct N2O from managed soils (N2O)</v>
      </c>
      <c r="F1503" t="s">
        <v>60</v>
      </c>
      <c r="G1503" t="str">
        <f>" - "&amp;'Activity data'!D92</f>
        <v xml:space="preserve"> - Land converted to grassland</v>
      </c>
      <c r="H1503" t="str">
        <f t="shared" si="563"/>
        <v>FSOM - Land converted to grassland</v>
      </c>
      <c r="J1503" t="str">
        <f t="shared" si="570"/>
        <v>Gg N2O</v>
      </c>
      <c r="K1503" s="22" t="str">
        <f>IFERROR((('Activity data'!AD92*(1/Constants!$H$135))*ttokg)*FSOMEF*NtoN2O*kgtoGg,"NO")</f>
        <v>NO</v>
      </c>
      <c r="L1503" s="22" t="str">
        <f>IFERROR((('Activity data'!AE92*(1/Constants!$H$135))*ttokg)*FSOMEF*NtoN2O*kgtoGg,"NO")</f>
        <v>NO</v>
      </c>
      <c r="M1503" s="22" t="str">
        <f>IFERROR((('Activity data'!AF92*(1/Constants!$H$135))*ttokg)*FSOMEF*NtoN2O*kgtoGg,"NO")</f>
        <v>NO</v>
      </c>
      <c r="N1503" s="22" t="str">
        <f>IFERROR((('Activity data'!AG92*(1/Constants!$H$135))*ttokg)*FSOMEF*NtoN2O*kgtoGg,"NO")</f>
        <v>NO</v>
      </c>
      <c r="O1503" s="22" t="str">
        <f>IFERROR((('Activity data'!AH92*(1/Constants!$H$135))*ttokg)*FSOMEF*NtoN2O*kgtoGg,"NO")</f>
        <v>NO</v>
      </c>
      <c r="P1503" s="22" t="str">
        <f>IFERROR((('Activity data'!AI92*(1/Constants!$H$135))*ttokg)*FSOMEF*NtoN2O*kgtoGg,"NO")</f>
        <v>NO</v>
      </c>
      <c r="Q1503" s="22" t="str">
        <f>IFERROR((('Activity data'!AJ92*(1/Constants!$H$135))*ttokg)*FSOMEF*NtoN2O*kgtoGg,"NO")</f>
        <v>NO</v>
      </c>
      <c r="R1503" s="22" t="str">
        <f>IFERROR((('Activity data'!AK92*(1/Constants!$H$135))*ttokg)*FSOMEF*NtoN2O*kgtoGg,"NO")</f>
        <v>NO</v>
      </c>
      <c r="S1503" s="22" t="str">
        <f>IFERROR((('Activity data'!AL92*(1/Constants!$H$135))*ttokg)*FSOMEF*NtoN2O*kgtoGg,"NO")</f>
        <v>NO</v>
      </c>
      <c r="T1503" s="22" t="str">
        <f>IFERROR((('Activity data'!AM92*(1/Constants!$H$135))*ttokg)*FSOMEF*NtoN2O*kgtoGg,"NO")</f>
        <v>NO</v>
      </c>
      <c r="U1503" s="22" t="str">
        <f>IFERROR((('Activity data'!AN92*(1/Constants!$H$135))*ttokg)*FSOMEF*NtoN2O*kgtoGg,"NO")</f>
        <v>NO</v>
      </c>
      <c r="V1503" s="22" t="str">
        <f>IFERROR((('Activity data'!AO92*(1/Constants!$H$135))*ttokg)*FSOMEF*NtoN2O*kgtoGg,"NO")</f>
        <v>NO</v>
      </c>
      <c r="W1503" s="22" t="str">
        <f>IFERROR((('Activity data'!AP92*(1/Constants!$H$135))*ttokg)*FSOMEF*NtoN2O*kgtoGg,"NO")</f>
        <v>NO</v>
      </c>
      <c r="X1503" s="22" t="str">
        <f>IFERROR((('Activity data'!AQ92*(1/Constants!$H$135))*ttokg)*FSOMEF*NtoN2O*kgtoGg,"NO")</f>
        <v>NO</v>
      </c>
      <c r="Y1503" s="22" t="str">
        <f>IFERROR((('Activity data'!AR92*(1/Constants!$H$135))*ttokg)*FSOMEF*NtoN2O*kgtoGg,"NO")</f>
        <v>NO</v>
      </c>
      <c r="Z1503" s="22" t="str">
        <f>IFERROR((('Activity data'!AS92*(1/Constants!$H$135))*ttokg)*FSOMEF*NtoN2O*kgtoGg,"NO")</f>
        <v>NO</v>
      </c>
      <c r="AA1503" s="22" t="str">
        <f>IFERROR((('Activity data'!AT92*(1/Constants!$H$135))*ttokg)*FSOMEF*NtoN2O*kgtoGg,"NO")</f>
        <v>NO</v>
      </c>
      <c r="AB1503" s="22" t="str">
        <f>IFERROR((('Activity data'!AU92*(1/Constants!$H$135))*ttokg)*FSOMEF*NtoN2O*kgtoGg,"NO")</f>
        <v>NO</v>
      </c>
      <c r="AC1503" s="22" t="str">
        <f>IFERROR((('Activity data'!AV92*(1/Constants!$H$135))*ttokg)*FSOMEF*NtoN2O*kgtoGg,"NO")</f>
        <v>NO</v>
      </c>
      <c r="AD1503" s="22" t="str">
        <f>IFERROR((('Activity data'!AW92*(1/Constants!$H$135))*ttokg)*FSOMEF*NtoN2O*kgtoGg,"NO")</f>
        <v>NO</v>
      </c>
      <c r="AE1503" s="22" t="str">
        <f>IFERROR((('Activity data'!AX92*(1/Constants!$H$135))*ttokg)*FSOMEF*NtoN2O*kgtoGg,"NO")</f>
        <v>NO</v>
      </c>
      <c r="AF1503" s="22" t="str">
        <f>IFERROR((('Activity data'!AY92*(1/Constants!$H$135))*ttokg)*FSOMEF*NtoN2O*kgtoGg,"NO")</f>
        <v>NO</v>
      </c>
      <c r="AG1503" s="22" t="str">
        <f>IFERROR((('Activity data'!AZ92*(1/Constants!$H$135))*ttokg)*FSOMEF*NtoN2O*kgtoGg,"NO")</f>
        <v>NO</v>
      </c>
      <c r="AH1503" s="22" t="str">
        <f>IFERROR((('Activity data'!BA92*(1/Constants!$H$135))*ttokg)*FSOMEF*NtoN2O*kgtoGg,"NO")</f>
        <v>NO</v>
      </c>
      <c r="AI1503" s="22" t="str">
        <f>IFERROR((('Activity data'!BB92*(1/Constants!$H$135))*ttokg)*FSOMEF*NtoN2O*kgtoGg,"NO")</f>
        <v>NO</v>
      </c>
      <c r="AJ1503" s="22" t="str">
        <f>IFERROR((('Activity data'!BC92*(1/Constants!$H$135))*ttokg)*FSOMEF*NtoN2O*kgtoGg,"NO")</f>
        <v>NO</v>
      </c>
      <c r="AK1503" s="22" t="str">
        <f>IFERROR((('Activity data'!BD92*(1/Constants!$H$135))*ttokg)*FSOMEF*NtoN2O*kgtoGg,"NO")</f>
        <v>NO</v>
      </c>
      <c r="AL1503" s="22" t="str">
        <f>IFERROR((('Activity data'!BE92*(1/Constants!$H$135))*ttokg)*FSOMEF*NtoN2O*kgtoGg,"NO")</f>
        <v>NO</v>
      </c>
      <c r="AM1503" s="22" t="str">
        <f>IFERROR((('Activity data'!BF92*(1/Constants!$H$135))*ttokg)*FSOMEF*NtoN2O*kgtoGg,"NO")</f>
        <v>NO</v>
      </c>
      <c r="AN1503" s="22" t="str">
        <f>IFERROR((('Activity data'!BG92*(1/Constants!$H$135))*ttokg)*FSOMEF*NtoN2O*kgtoGg,"NO")</f>
        <v>NO</v>
      </c>
      <c r="AO1503" s="22" t="str">
        <f>IFERROR((('Activity data'!BH92*(1/Constants!$H$135))*ttokg)*FSOMEF*NtoN2O*kgtoGg,"NO")</f>
        <v>NO</v>
      </c>
      <c r="AP1503" s="22" t="str">
        <f>IFERROR((('Activity data'!BI92*(1/Constants!$H$135))*ttokg)*FSOMEF*NtoN2O*kgtoGg,"NO")</f>
        <v>NO</v>
      </c>
      <c r="AQ1503" s="22" t="str">
        <f>IFERROR((('Activity data'!BJ92*(1/Constants!$H$135))*ttokg)*FSOMEF*NtoN2O*kgtoGg,"NO")</f>
        <v>NO</v>
      </c>
      <c r="AR1503" s="22" t="str">
        <f>IFERROR((('Activity data'!BK92*(1/Constants!$H$135))*ttokg)*FSOMEF*NtoN2O*kgtoGg,"NO")</f>
        <v>NO</v>
      </c>
      <c r="AS1503" s="22" t="str">
        <f>IFERROR((('Activity data'!BL92*(1/Constants!$H$135))*ttokg)*FSOMEF*NtoN2O*kgtoGg,"NO")</f>
        <v>NO</v>
      </c>
      <c r="AT1503" s="22" t="str">
        <f>IFERROR((('Activity data'!BM92*(1/Constants!$H$135))*ttokg)*FSOMEF*NtoN2O*kgtoGg,"NO")</f>
        <v>NO</v>
      </c>
      <c r="AU1503" s="22" t="str">
        <f>IFERROR((('Activity data'!BN92*(1/Constants!$H$135))*ttokg)*FSOMEF*NtoN2O*kgtoGg,"NO")</f>
        <v>NO</v>
      </c>
      <c r="AV1503" s="22" t="str">
        <f>IFERROR((('Activity data'!BO92*(1/Constants!$H$135))*ttokg)*FSOMEF*NtoN2O*kgtoGg,"NO")</f>
        <v>NO</v>
      </c>
      <c r="AW1503" s="22" t="str">
        <f>IFERROR((('Activity data'!BP92*(1/Constants!$H$135))*ttokg)*FSOMEF*NtoN2O*kgtoGg,"NO")</f>
        <v>NO</v>
      </c>
    </row>
    <row r="1504" spans="1:49" x14ac:dyDescent="0.3">
      <c r="A1504" s="95" t="s">
        <v>960</v>
      </c>
      <c r="B1504" s="95"/>
      <c r="C1504" s="95"/>
      <c r="D1504" t="str">
        <f t="shared" si="569"/>
        <v>3C Aggregated and non-CO2 emissions on land</v>
      </c>
      <c r="E1504" t="str">
        <f t="shared" si="568"/>
        <v>3C4 Direct N2O from managed soils (N2O)</v>
      </c>
      <c r="F1504" t="s">
        <v>60</v>
      </c>
      <c r="G1504" t="str">
        <f>" - "&amp;'Activity data'!D93</f>
        <v xml:space="preserve"> - Wetland remaining wetland</v>
      </c>
      <c r="H1504" t="str">
        <f t="shared" si="563"/>
        <v>FSOM - Wetland remaining wetland</v>
      </c>
      <c r="J1504" t="str">
        <f t="shared" si="570"/>
        <v>Gg N2O</v>
      </c>
      <c r="K1504" s="22" t="str">
        <f>IFERROR((('Activity data'!AD93*(1/Constants!$H$135))*ttokg)*FSOMEF*NtoN2O*kgtoGg,"NO")</f>
        <v>NO</v>
      </c>
      <c r="L1504" s="22" t="str">
        <f>IFERROR((('Activity data'!AE93*(1/Constants!$H$135))*ttokg)*FSOMEF*NtoN2O*kgtoGg,"NO")</f>
        <v>NO</v>
      </c>
      <c r="M1504" s="22" t="str">
        <f>IFERROR((('Activity data'!AF93*(1/Constants!$H$135))*ttokg)*FSOMEF*NtoN2O*kgtoGg,"NO")</f>
        <v>NO</v>
      </c>
      <c r="N1504" s="22" t="str">
        <f>IFERROR((('Activity data'!AG93*(1/Constants!$H$135))*ttokg)*FSOMEF*NtoN2O*kgtoGg,"NO")</f>
        <v>NO</v>
      </c>
      <c r="O1504" s="22" t="str">
        <f>IFERROR((('Activity data'!AH93*(1/Constants!$H$135))*ttokg)*FSOMEF*NtoN2O*kgtoGg,"NO")</f>
        <v>NO</v>
      </c>
      <c r="P1504" s="22" t="str">
        <f>IFERROR((('Activity data'!AI93*(1/Constants!$H$135))*ttokg)*FSOMEF*NtoN2O*kgtoGg,"NO")</f>
        <v>NO</v>
      </c>
      <c r="Q1504" s="22" t="str">
        <f>IFERROR((('Activity data'!AJ93*(1/Constants!$H$135))*ttokg)*FSOMEF*NtoN2O*kgtoGg,"NO")</f>
        <v>NO</v>
      </c>
      <c r="R1504" s="22" t="str">
        <f>IFERROR((('Activity data'!AK93*(1/Constants!$H$135))*ttokg)*FSOMEF*NtoN2O*kgtoGg,"NO")</f>
        <v>NO</v>
      </c>
      <c r="S1504" s="22" t="str">
        <f>IFERROR((('Activity data'!AL93*(1/Constants!$H$135))*ttokg)*FSOMEF*NtoN2O*kgtoGg,"NO")</f>
        <v>NO</v>
      </c>
      <c r="T1504" s="22" t="str">
        <f>IFERROR((('Activity data'!AM93*(1/Constants!$H$135))*ttokg)*FSOMEF*NtoN2O*kgtoGg,"NO")</f>
        <v>NO</v>
      </c>
      <c r="U1504" s="22" t="str">
        <f>IFERROR((('Activity data'!AN93*(1/Constants!$H$135))*ttokg)*FSOMEF*NtoN2O*kgtoGg,"NO")</f>
        <v>NO</v>
      </c>
      <c r="V1504" s="22" t="str">
        <f>IFERROR((('Activity data'!AO93*(1/Constants!$H$135))*ttokg)*FSOMEF*NtoN2O*kgtoGg,"NO")</f>
        <v>NO</v>
      </c>
      <c r="W1504" s="22" t="str">
        <f>IFERROR((('Activity data'!AP93*(1/Constants!$H$135))*ttokg)*FSOMEF*NtoN2O*kgtoGg,"NO")</f>
        <v>NO</v>
      </c>
      <c r="X1504" s="22" t="str">
        <f>IFERROR((('Activity data'!AQ93*(1/Constants!$H$135))*ttokg)*FSOMEF*NtoN2O*kgtoGg,"NO")</f>
        <v>NO</v>
      </c>
      <c r="Y1504" s="22" t="str">
        <f>IFERROR((('Activity data'!AR93*(1/Constants!$H$135))*ttokg)*FSOMEF*NtoN2O*kgtoGg,"NO")</f>
        <v>NO</v>
      </c>
      <c r="Z1504" s="22" t="str">
        <f>IFERROR((('Activity data'!AS93*(1/Constants!$H$135))*ttokg)*FSOMEF*NtoN2O*kgtoGg,"NO")</f>
        <v>NO</v>
      </c>
      <c r="AA1504" s="22" t="str">
        <f>IFERROR((('Activity data'!AT93*(1/Constants!$H$135))*ttokg)*FSOMEF*NtoN2O*kgtoGg,"NO")</f>
        <v>NO</v>
      </c>
      <c r="AB1504" s="22" t="str">
        <f>IFERROR((('Activity data'!AU93*(1/Constants!$H$135))*ttokg)*FSOMEF*NtoN2O*kgtoGg,"NO")</f>
        <v>NO</v>
      </c>
      <c r="AC1504" s="22" t="str">
        <f>IFERROR((('Activity data'!AV93*(1/Constants!$H$135))*ttokg)*FSOMEF*NtoN2O*kgtoGg,"NO")</f>
        <v>NO</v>
      </c>
      <c r="AD1504" s="22" t="str">
        <f>IFERROR((('Activity data'!AW93*(1/Constants!$H$135))*ttokg)*FSOMEF*NtoN2O*kgtoGg,"NO")</f>
        <v>NO</v>
      </c>
      <c r="AE1504" s="22" t="str">
        <f>IFERROR((('Activity data'!AX93*(1/Constants!$H$135))*ttokg)*FSOMEF*NtoN2O*kgtoGg,"NO")</f>
        <v>NO</v>
      </c>
      <c r="AF1504" s="22" t="str">
        <f>IFERROR((('Activity data'!AY93*(1/Constants!$H$135))*ttokg)*FSOMEF*NtoN2O*kgtoGg,"NO")</f>
        <v>NO</v>
      </c>
      <c r="AG1504" s="22" t="str">
        <f>IFERROR((('Activity data'!AZ93*(1/Constants!$H$135))*ttokg)*FSOMEF*NtoN2O*kgtoGg,"NO")</f>
        <v>NO</v>
      </c>
      <c r="AH1504" s="22" t="str">
        <f>IFERROR((('Activity data'!BA93*(1/Constants!$H$135))*ttokg)*FSOMEF*NtoN2O*kgtoGg,"NO")</f>
        <v>NO</v>
      </c>
      <c r="AI1504" s="22" t="str">
        <f>IFERROR((('Activity data'!BB93*(1/Constants!$H$135))*ttokg)*FSOMEF*NtoN2O*kgtoGg,"NO")</f>
        <v>NO</v>
      </c>
      <c r="AJ1504" s="22" t="str">
        <f>IFERROR((('Activity data'!BC93*(1/Constants!$H$135))*ttokg)*FSOMEF*NtoN2O*kgtoGg,"NO")</f>
        <v>NO</v>
      </c>
      <c r="AK1504" s="22" t="str">
        <f>IFERROR((('Activity data'!BD93*(1/Constants!$H$135))*ttokg)*FSOMEF*NtoN2O*kgtoGg,"NO")</f>
        <v>NO</v>
      </c>
      <c r="AL1504" s="22" t="str">
        <f>IFERROR((('Activity data'!BE93*(1/Constants!$H$135))*ttokg)*FSOMEF*NtoN2O*kgtoGg,"NO")</f>
        <v>NO</v>
      </c>
      <c r="AM1504" s="22" t="str">
        <f>IFERROR((('Activity data'!BF93*(1/Constants!$H$135))*ttokg)*FSOMEF*NtoN2O*kgtoGg,"NO")</f>
        <v>NO</v>
      </c>
      <c r="AN1504" s="22" t="str">
        <f>IFERROR((('Activity data'!BG93*(1/Constants!$H$135))*ttokg)*FSOMEF*NtoN2O*kgtoGg,"NO")</f>
        <v>NO</v>
      </c>
      <c r="AO1504" s="22" t="str">
        <f>IFERROR((('Activity data'!BH93*(1/Constants!$H$135))*ttokg)*FSOMEF*NtoN2O*kgtoGg,"NO")</f>
        <v>NO</v>
      </c>
      <c r="AP1504" s="22" t="str">
        <f>IFERROR((('Activity data'!BI93*(1/Constants!$H$135))*ttokg)*FSOMEF*NtoN2O*kgtoGg,"NO")</f>
        <v>NO</v>
      </c>
      <c r="AQ1504" s="22" t="str">
        <f>IFERROR((('Activity data'!BJ93*(1/Constants!$H$135))*ttokg)*FSOMEF*NtoN2O*kgtoGg,"NO")</f>
        <v>NO</v>
      </c>
      <c r="AR1504" s="22" t="str">
        <f>IFERROR((('Activity data'!BK93*(1/Constants!$H$135))*ttokg)*FSOMEF*NtoN2O*kgtoGg,"NO")</f>
        <v>NO</v>
      </c>
      <c r="AS1504" s="22" t="str">
        <f>IFERROR((('Activity data'!BL93*(1/Constants!$H$135))*ttokg)*FSOMEF*NtoN2O*kgtoGg,"NO")</f>
        <v>NO</v>
      </c>
      <c r="AT1504" s="22" t="str">
        <f>IFERROR((('Activity data'!BM93*(1/Constants!$H$135))*ttokg)*FSOMEF*NtoN2O*kgtoGg,"NO")</f>
        <v>NO</v>
      </c>
      <c r="AU1504" s="22" t="str">
        <f>IFERROR((('Activity data'!BN93*(1/Constants!$H$135))*ttokg)*FSOMEF*NtoN2O*kgtoGg,"NO")</f>
        <v>NO</v>
      </c>
      <c r="AV1504" s="22" t="str">
        <f>IFERROR((('Activity data'!BO93*(1/Constants!$H$135))*ttokg)*FSOMEF*NtoN2O*kgtoGg,"NO")</f>
        <v>NO</v>
      </c>
      <c r="AW1504" s="22" t="str">
        <f>IFERROR((('Activity data'!BP93*(1/Constants!$H$135))*ttokg)*FSOMEF*NtoN2O*kgtoGg,"NO")</f>
        <v>NO</v>
      </c>
    </row>
    <row r="1505" spans="1:49" x14ac:dyDescent="0.3">
      <c r="A1505" s="95" t="s">
        <v>960</v>
      </c>
      <c r="B1505" s="95"/>
      <c r="C1505" s="95"/>
      <c r="D1505" t="str">
        <f t="shared" si="569"/>
        <v>3C Aggregated and non-CO2 emissions on land</v>
      </c>
      <c r="E1505" t="str">
        <f t="shared" si="568"/>
        <v>3C4 Direct N2O from managed soils (N2O)</v>
      </c>
      <c r="F1505" t="s">
        <v>60</v>
      </c>
      <c r="G1505" t="str">
        <f>" - "&amp;'Activity data'!D94</f>
        <v xml:space="preserve"> - Land converted to wetland</v>
      </c>
      <c r="H1505" t="str">
        <f t="shared" si="563"/>
        <v>FSOM - Land converted to wetland</v>
      </c>
      <c r="J1505" t="str">
        <f t="shared" si="570"/>
        <v>Gg N2O</v>
      </c>
      <c r="K1505" s="22" t="str">
        <f>IFERROR((('Activity data'!AD94*(1/Constants!$H$135))*ttokg)*FSOMEF*NtoN2O*kgtoGg,"NO")</f>
        <v>NO</v>
      </c>
      <c r="L1505" s="22" t="str">
        <f>IFERROR((('Activity data'!AE94*(1/Constants!$H$135))*ttokg)*FSOMEF*NtoN2O*kgtoGg,"NO")</f>
        <v>NO</v>
      </c>
      <c r="M1505" s="22" t="str">
        <f>IFERROR((('Activity data'!AF94*(1/Constants!$H$135))*ttokg)*FSOMEF*NtoN2O*kgtoGg,"NO")</f>
        <v>NO</v>
      </c>
      <c r="N1505" s="22" t="str">
        <f>IFERROR((('Activity data'!AG94*(1/Constants!$H$135))*ttokg)*FSOMEF*NtoN2O*kgtoGg,"NO")</f>
        <v>NO</v>
      </c>
      <c r="O1505" s="22" t="str">
        <f>IFERROR((('Activity data'!AH94*(1/Constants!$H$135))*ttokg)*FSOMEF*NtoN2O*kgtoGg,"NO")</f>
        <v>NO</v>
      </c>
      <c r="P1505" s="22" t="str">
        <f>IFERROR((('Activity data'!AI94*(1/Constants!$H$135))*ttokg)*FSOMEF*NtoN2O*kgtoGg,"NO")</f>
        <v>NO</v>
      </c>
      <c r="Q1505" s="22" t="str">
        <f>IFERROR((('Activity data'!AJ94*(1/Constants!$H$135))*ttokg)*FSOMEF*NtoN2O*kgtoGg,"NO")</f>
        <v>NO</v>
      </c>
      <c r="R1505" s="22" t="str">
        <f>IFERROR((('Activity data'!AK94*(1/Constants!$H$135))*ttokg)*FSOMEF*NtoN2O*kgtoGg,"NO")</f>
        <v>NO</v>
      </c>
      <c r="S1505" s="22" t="str">
        <f>IFERROR((('Activity data'!AL94*(1/Constants!$H$135))*ttokg)*FSOMEF*NtoN2O*kgtoGg,"NO")</f>
        <v>NO</v>
      </c>
      <c r="T1505" s="22" t="str">
        <f>IFERROR((('Activity data'!AM94*(1/Constants!$H$135))*ttokg)*FSOMEF*NtoN2O*kgtoGg,"NO")</f>
        <v>NO</v>
      </c>
      <c r="U1505" s="22" t="str">
        <f>IFERROR((('Activity data'!AN94*(1/Constants!$H$135))*ttokg)*FSOMEF*NtoN2O*kgtoGg,"NO")</f>
        <v>NO</v>
      </c>
      <c r="V1505" s="22" t="str">
        <f>IFERROR((('Activity data'!AO94*(1/Constants!$H$135))*ttokg)*FSOMEF*NtoN2O*kgtoGg,"NO")</f>
        <v>NO</v>
      </c>
      <c r="W1505" s="22" t="str">
        <f>IFERROR((('Activity data'!AP94*(1/Constants!$H$135))*ttokg)*FSOMEF*NtoN2O*kgtoGg,"NO")</f>
        <v>NO</v>
      </c>
      <c r="X1505" s="22" t="str">
        <f>IFERROR((('Activity data'!AQ94*(1/Constants!$H$135))*ttokg)*FSOMEF*NtoN2O*kgtoGg,"NO")</f>
        <v>NO</v>
      </c>
      <c r="Y1505" s="22" t="str">
        <f>IFERROR((('Activity data'!AR94*(1/Constants!$H$135))*ttokg)*FSOMEF*NtoN2O*kgtoGg,"NO")</f>
        <v>NO</v>
      </c>
      <c r="Z1505" s="22" t="str">
        <f>IFERROR((('Activity data'!AS94*(1/Constants!$H$135))*ttokg)*FSOMEF*NtoN2O*kgtoGg,"NO")</f>
        <v>NO</v>
      </c>
      <c r="AA1505" s="22" t="str">
        <f>IFERROR((('Activity data'!AT94*(1/Constants!$H$135))*ttokg)*FSOMEF*NtoN2O*kgtoGg,"NO")</f>
        <v>NO</v>
      </c>
      <c r="AB1505" s="22" t="str">
        <f>IFERROR((('Activity data'!AU94*(1/Constants!$H$135))*ttokg)*FSOMEF*NtoN2O*kgtoGg,"NO")</f>
        <v>NO</v>
      </c>
      <c r="AC1505" s="22" t="str">
        <f>IFERROR((('Activity data'!AV94*(1/Constants!$H$135))*ttokg)*FSOMEF*NtoN2O*kgtoGg,"NO")</f>
        <v>NO</v>
      </c>
      <c r="AD1505" s="22" t="str">
        <f>IFERROR((('Activity data'!AW94*(1/Constants!$H$135))*ttokg)*FSOMEF*NtoN2O*kgtoGg,"NO")</f>
        <v>NO</v>
      </c>
      <c r="AE1505" s="22" t="str">
        <f>IFERROR((('Activity data'!AX94*(1/Constants!$H$135))*ttokg)*FSOMEF*NtoN2O*kgtoGg,"NO")</f>
        <v>NO</v>
      </c>
      <c r="AF1505" s="22" t="str">
        <f>IFERROR((('Activity data'!AY94*(1/Constants!$H$135))*ttokg)*FSOMEF*NtoN2O*kgtoGg,"NO")</f>
        <v>NO</v>
      </c>
      <c r="AG1505" s="22" t="str">
        <f>IFERROR((('Activity data'!AZ94*(1/Constants!$H$135))*ttokg)*FSOMEF*NtoN2O*kgtoGg,"NO")</f>
        <v>NO</v>
      </c>
      <c r="AH1505" s="22" t="str">
        <f>IFERROR((('Activity data'!BA94*(1/Constants!$H$135))*ttokg)*FSOMEF*NtoN2O*kgtoGg,"NO")</f>
        <v>NO</v>
      </c>
      <c r="AI1505" s="22" t="str">
        <f>IFERROR((('Activity data'!BB94*(1/Constants!$H$135))*ttokg)*FSOMEF*NtoN2O*kgtoGg,"NO")</f>
        <v>NO</v>
      </c>
      <c r="AJ1505" s="22" t="str">
        <f>IFERROR((('Activity data'!BC94*(1/Constants!$H$135))*ttokg)*FSOMEF*NtoN2O*kgtoGg,"NO")</f>
        <v>NO</v>
      </c>
      <c r="AK1505" s="22" t="str">
        <f>IFERROR((('Activity data'!BD94*(1/Constants!$H$135))*ttokg)*FSOMEF*NtoN2O*kgtoGg,"NO")</f>
        <v>NO</v>
      </c>
      <c r="AL1505" s="22" t="str">
        <f>IFERROR((('Activity data'!BE94*(1/Constants!$H$135))*ttokg)*FSOMEF*NtoN2O*kgtoGg,"NO")</f>
        <v>NO</v>
      </c>
      <c r="AM1505" s="22" t="str">
        <f>IFERROR((('Activity data'!BF94*(1/Constants!$H$135))*ttokg)*FSOMEF*NtoN2O*kgtoGg,"NO")</f>
        <v>NO</v>
      </c>
      <c r="AN1505" s="22" t="str">
        <f>IFERROR((('Activity data'!BG94*(1/Constants!$H$135))*ttokg)*FSOMEF*NtoN2O*kgtoGg,"NO")</f>
        <v>NO</v>
      </c>
      <c r="AO1505" s="22" t="str">
        <f>IFERROR((('Activity data'!BH94*(1/Constants!$H$135))*ttokg)*FSOMEF*NtoN2O*kgtoGg,"NO")</f>
        <v>NO</v>
      </c>
      <c r="AP1505" s="22" t="str">
        <f>IFERROR((('Activity data'!BI94*(1/Constants!$H$135))*ttokg)*FSOMEF*NtoN2O*kgtoGg,"NO")</f>
        <v>NO</v>
      </c>
      <c r="AQ1505" s="22" t="str">
        <f>IFERROR((('Activity data'!BJ94*(1/Constants!$H$135))*ttokg)*FSOMEF*NtoN2O*kgtoGg,"NO")</f>
        <v>NO</v>
      </c>
      <c r="AR1505" s="22" t="str">
        <f>IFERROR((('Activity data'!BK94*(1/Constants!$H$135))*ttokg)*FSOMEF*NtoN2O*kgtoGg,"NO")</f>
        <v>NO</v>
      </c>
      <c r="AS1505" s="22" t="str">
        <f>IFERROR((('Activity data'!BL94*(1/Constants!$H$135))*ttokg)*FSOMEF*NtoN2O*kgtoGg,"NO")</f>
        <v>NO</v>
      </c>
      <c r="AT1505" s="22" t="str">
        <f>IFERROR((('Activity data'!BM94*(1/Constants!$H$135))*ttokg)*FSOMEF*NtoN2O*kgtoGg,"NO")</f>
        <v>NO</v>
      </c>
      <c r="AU1505" s="22" t="str">
        <f>IFERROR((('Activity data'!BN94*(1/Constants!$H$135))*ttokg)*FSOMEF*NtoN2O*kgtoGg,"NO")</f>
        <v>NO</v>
      </c>
      <c r="AV1505" s="22" t="str">
        <f>IFERROR((('Activity data'!BO94*(1/Constants!$H$135))*ttokg)*FSOMEF*NtoN2O*kgtoGg,"NO")</f>
        <v>NO</v>
      </c>
      <c r="AW1505" s="22" t="str">
        <f>IFERROR((('Activity data'!BP94*(1/Constants!$H$135))*ttokg)*FSOMEF*NtoN2O*kgtoGg,"NO")</f>
        <v>NO</v>
      </c>
    </row>
    <row r="1506" spans="1:49" x14ac:dyDescent="0.3">
      <c r="A1506" s="95" t="s">
        <v>960</v>
      </c>
      <c r="B1506" s="95"/>
      <c r="C1506" s="95"/>
      <c r="D1506" t="str">
        <f t="shared" si="569"/>
        <v>3C Aggregated and non-CO2 emissions on land</v>
      </c>
      <c r="E1506" t="str">
        <f t="shared" si="568"/>
        <v>3C4 Direct N2O from managed soils (N2O)</v>
      </c>
      <c r="F1506" t="s">
        <v>60</v>
      </c>
      <c r="G1506" t="str">
        <f>" - "&amp;'Activity data'!D95</f>
        <v xml:space="preserve"> - Settlements remaining settlements</v>
      </c>
      <c r="H1506" t="str">
        <f t="shared" si="563"/>
        <v>FSOM - Settlements remaining settlements</v>
      </c>
      <c r="J1506" t="str">
        <f t="shared" si="570"/>
        <v>Gg N2O</v>
      </c>
      <c r="K1506" s="22">
        <f>IFERROR((('Activity data'!AD95*(1/Constants!$H$135))*ttokg)*FSOMEF*NtoN2O*kgtoGg,"NO")</f>
        <v>5.604018730639919E-5</v>
      </c>
      <c r="L1506" s="22">
        <f>IFERROR((('Activity data'!AE95*(1/Constants!$H$135))*ttokg)*FSOMEF*NtoN2O*kgtoGg,"NO")</f>
        <v>5.604018730639919E-5</v>
      </c>
      <c r="M1506" s="22">
        <f>IFERROR((('Activity data'!AF95*(1/Constants!$H$135))*ttokg)*FSOMEF*NtoN2O*kgtoGg,"NO")</f>
        <v>5.604018730639919E-5</v>
      </c>
      <c r="N1506" s="22">
        <f>IFERROR((('Activity data'!AG95*(1/Constants!$H$135))*ttokg)*FSOMEF*NtoN2O*kgtoGg,"NO")</f>
        <v>5.604018730639919E-5</v>
      </c>
      <c r="O1506" s="22">
        <f>IFERROR((('Activity data'!AH95*(1/Constants!$H$135))*ttokg)*FSOMEF*NtoN2O*kgtoGg,"NO")</f>
        <v>5.604018730639919E-5</v>
      </c>
      <c r="P1506" s="22">
        <f>IFERROR((('Activity data'!AI95*(1/Constants!$H$135))*ttokg)*FSOMEF*NtoN2O*kgtoGg,"NO")</f>
        <v>5.604018730639919E-5</v>
      </c>
      <c r="Q1506" s="22">
        <f>IFERROR((('Activity data'!AJ95*(1/Constants!$H$135))*ttokg)*FSOMEF*NtoN2O*kgtoGg,"NO")</f>
        <v>5.604018730639919E-5</v>
      </c>
      <c r="R1506" s="22">
        <f>IFERROR((('Activity data'!AK95*(1/Constants!$H$135))*ttokg)*FSOMEF*NtoN2O*kgtoGg,"NO")</f>
        <v>5.604018730639919E-5</v>
      </c>
      <c r="S1506" s="22">
        <f>IFERROR((('Activity data'!AL95*(1/Constants!$H$135))*ttokg)*FSOMEF*NtoN2O*kgtoGg,"NO")</f>
        <v>5.604018730639919E-5</v>
      </c>
      <c r="T1506" s="22">
        <f>IFERROR((('Activity data'!AM95*(1/Constants!$H$135))*ttokg)*FSOMEF*NtoN2O*kgtoGg,"NO")</f>
        <v>5.604018730639919E-5</v>
      </c>
      <c r="U1506" s="22">
        <f>IFERROR((('Activity data'!AN95*(1/Constants!$H$135))*ttokg)*FSOMEF*NtoN2O*kgtoGg,"NO")</f>
        <v>5.604018730639919E-5</v>
      </c>
      <c r="V1506" s="22">
        <f>IFERROR((('Activity data'!AO95*(1/Constants!$H$135))*ttokg)*FSOMEF*NtoN2O*kgtoGg,"NO")</f>
        <v>5.604018730639919E-5</v>
      </c>
      <c r="W1506" s="22">
        <f>IFERROR((('Activity data'!AP95*(1/Constants!$H$135))*ttokg)*FSOMEF*NtoN2O*kgtoGg,"NO")</f>
        <v>5.604018730639919E-5</v>
      </c>
      <c r="X1506" s="22">
        <f>IFERROR((('Activity data'!AQ95*(1/Constants!$H$135))*ttokg)*FSOMEF*NtoN2O*kgtoGg,"NO")</f>
        <v>5.604018730639919E-5</v>
      </c>
      <c r="Y1506" s="22">
        <f>IFERROR((('Activity data'!AR95*(1/Constants!$H$135))*ttokg)*FSOMEF*NtoN2O*kgtoGg,"NO")</f>
        <v>5.604018730639919E-5</v>
      </c>
      <c r="Z1506" s="22">
        <f>IFERROR((('Activity data'!AS95*(1/Constants!$H$135))*ttokg)*FSOMEF*NtoN2O*kgtoGg,"NO")</f>
        <v>5.604018730639919E-5</v>
      </c>
      <c r="AA1506" s="22">
        <f>IFERROR((('Activity data'!AT95*(1/Constants!$H$135))*ttokg)*FSOMEF*NtoN2O*kgtoGg,"NO")</f>
        <v>5.604018730639919E-5</v>
      </c>
      <c r="AB1506" s="22">
        <f>IFERROR((('Activity data'!AU95*(1/Constants!$H$135))*ttokg)*FSOMEF*NtoN2O*kgtoGg,"NO")</f>
        <v>5.604018730639919E-5</v>
      </c>
      <c r="AC1506" s="22">
        <f>IFERROR((('Activity data'!AV95*(1/Constants!$H$135))*ttokg)*FSOMEF*NtoN2O*kgtoGg,"NO")</f>
        <v>5.604018730639919E-5</v>
      </c>
      <c r="AD1506" s="22">
        <f>IFERROR((('Activity data'!AW95*(1/Constants!$H$135))*ttokg)*FSOMEF*NtoN2O*kgtoGg,"NO")</f>
        <v>5.604018730639919E-5</v>
      </c>
      <c r="AE1506" s="22">
        <f>IFERROR((('Activity data'!AX95*(1/Constants!$H$135))*ttokg)*FSOMEF*NtoN2O*kgtoGg,"NO")</f>
        <v>5.604018730639919E-5</v>
      </c>
      <c r="AF1506" s="22">
        <f>IFERROR((('Activity data'!AY95*(1/Constants!$H$135))*ttokg)*FSOMEF*NtoN2O*kgtoGg,"NO")</f>
        <v>5.604018730639919E-5</v>
      </c>
      <c r="AG1506" s="22">
        <f>IFERROR((('Activity data'!AZ95*(1/Constants!$H$135))*ttokg)*FSOMEF*NtoN2O*kgtoGg,"NO")</f>
        <v>5.604018730639919E-5</v>
      </c>
      <c r="AH1506" s="22">
        <f>IFERROR((('Activity data'!BA95*(1/Constants!$H$135))*ttokg)*FSOMEF*NtoN2O*kgtoGg,"NO")</f>
        <v>5.604018730639919E-5</v>
      </c>
      <c r="AI1506" s="22">
        <f>IFERROR((('Activity data'!BB95*(1/Constants!$H$135))*ttokg)*FSOMEF*NtoN2O*kgtoGg,"NO")</f>
        <v>5.604018730639919E-5</v>
      </c>
      <c r="AJ1506" s="22">
        <f>IFERROR((('Activity data'!BC95*(1/Constants!$H$135))*ttokg)*FSOMEF*NtoN2O*kgtoGg,"NO")</f>
        <v>5.604018730639919E-5</v>
      </c>
      <c r="AK1506" s="22">
        <f>IFERROR((('Activity data'!BD95*(1/Constants!$H$135))*ttokg)*FSOMEF*NtoN2O*kgtoGg,"NO")</f>
        <v>5.604018730639919E-5</v>
      </c>
      <c r="AL1506" s="22">
        <f>IFERROR((('Activity data'!BE95*(1/Constants!$H$135))*ttokg)*FSOMEF*NtoN2O*kgtoGg,"NO")</f>
        <v>5.604018730639919E-5</v>
      </c>
      <c r="AM1506" s="22">
        <f>IFERROR((('Activity data'!BF95*(1/Constants!$H$135))*ttokg)*FSOMEF*NtoN2O*kgtoGg,"NO")</f>
        <v>5.604018730639919E-5</v>
      </c>
      <c r="AN1506" s="22">
        <f>IFERROR((('Activity data'!BG95*(1/Constants!$H$135))*ttokg)*FSOMEF*NtoN2O*kgtoGg,"NO")</f>
        <v>5.604018730639919E-5</v>
      </c>
      <c r="AO1506" s="22">
        <f>IFERROR((('Activity data'!BH95*(1/Constants!$H$135))*ttokg)*FSOMEF*NtoN2O*kgtoGg,"NO")</f>
        <v>5.604018730639919E-5</v>
      </c>
      <c r="AP1506" s="22">
        <f>IFERROR((('Activity data'!BI95*(1/Constants!$H$135))*ttokg)*FSOMEF*NtoN2O*kgtoGg,"NO")</f>
        <v>5.604018730639919E-5</v>
      </c>
      <c r="AQ1506" s="22">
        <f>IFERROR((('Activity data'!BJ95*(1/Constants!$H$135))*ttokg)*FSOMEF*NtoN2O*kgtoGg,"NO")</f>
        <v>5.604018730639919E-5</v>
      </c>
      <c r="AR1506" s="22">
        <f>IFERROR((('Activity data'!BK95*(1/Constants!$H$135))*ttokg)*FSOMEF*NtoN2O*kgtoGg,"NO")</f>
        <v>5.604018730639919E-5</v>
      </c>
      <c r="AS1506" s="22">
        <f>IFERROR((('Activity data'!BL95*(1/Constants!$H$135))*ttokg)*FSOMEF*NtoN2O*kgtoGg,"NO")</f>
        <v>5.604018730639919E-5</v>
      </c>
      <c r="AT1506" s="22">
        <f>IFERROR((('Activity data'!BM95*(1/Constants!$H$135))*ttokg)*FSOMEF*NtoN2O*kgtoGg,"NO")</f>
        <v>5.604018730639919E-5</v>
      </c>
      <c r="AU1506" s="22">
        <f>IFERROR((('Activity data'!BN95*(1/Constants!$H$135))*ttokg)*FSOMEF*NtoN2O*kgtoGg,"NO")</f>
        <v>5.604018730639919E-5</v>
      </c>
      <c r="AV1506" s="22">
        <f>IFERROR((('Activity data'!BO95*(1/Constants!$H$135))*ttokg)*FSOMEF*NtoN2O*kgtoGg,"NO")</f>
        <v>5.604018730639919E-5</v>
      </c>
      <c r="AW1506" s="22">
        <f>IFERROR((('Activity data'!BP95*(1/Constants!$H$135))*ttokg)*FSOMEF*NtoN2O*kgtoGg,"NO")</f>
        <v>5.604018730639919E-5</v>
      </c>
    </row>
    <row r="1507" spans="1:49" x14ac:dyDescent="0.3">
      <c r="A1507" s="95" t="s">
        <v>960</v>
      </c>
      <c r="B1507" s="95"/>
      <c r="C1507" s="95"/>
      <c r="D1507" t="str">
        <f t="shared" si="569"/>
        <v>3C Aggregated and non-CO2 emissions on land</v>
      </c>
      <c r="E1507" t="str">
        <f t="shared" si="568"/>
        <v>3C4 Direct N2O from managed soils (N2O)</v>
      </c>
      <c r="F1507" t="s">
        <v>60</v>
      </c>
      <c r="G1507" t="str">
        <f>" - "&amp;'Activity data'!D96</f>
        <v xml:space="preserve"> - Land converted to settlements</v>
      </c>
      <c r="H1507" t="str">
        <f t="shared" si="563"/>
        <v>FSOM - Land converted to settlements</v>
      </c>
      <c r="J1507" t="str">
        <f t="shared" si="570"/>
        <v>Gg N2O</v>
      </c>
      <c r="K1507" s="22">
        <f>IFERROR((('Activity data'!AD96*(1/Constants!$H$135))*ttokg)*FSOMEF*NtoN2O*kgtoGg,"NO")</f>
        <v>6.110857899094551E-2</v>
      </c>
      <c r="L1507" s="22">
        <f>IFERROR((('Activity data'!AE96*(1/Constants!$H$135))*ttokg)*FSOMEF*NtoN2O*kgtoGg,"NO")</f>
        <v>6.110857899094551E-2</v>
      </c>
      <c r="M1507" s="22">
        <f>IFERROR((('Activity data'!AF96*(1/Constants!$H$135))*ttokg)*FSOMEF*NtoN2O*kgtoGg,"NO")</f>
        <v>6.110857899094551E-2</v>
      </c>
      <c r="N1507" s="22">
        <f>IFERROR((('Activity data'!AG96*(1/Constants!$H$135))*ttokg)*FSOMEF*NtoN2O*kgtoGg,"NO")</f>
        <v>6.110857899094551E-2</v>
      </c>
      <c r="O1507" s="22">
        <f>IFERROR((('Activity data'!AH96*(1/Constants!$H$135))*ttokg)*FSOMEF*NtoN2O*kgtoGg,"NO")</f>
        <v>6.110857899094551E-2</v>
      </c>
      <c r="P1507" s="22">
        <f>IFERROR((('Activity data'!AI96*(1/Constants!$H$135))*ttokg)*FSOMEF*NtoN2O*kgtoGg,"NO")</f>
        <v>6.110857899094551E-2</v>
      </c>
      <c r="Q1507" s="22">
        <f>IFERROR((('Activity data'!AJ96*(1/Constants!$H$135))*ttokg)*FSOMEF*NtoN2O*kgtoGg,"NO")</f>
        <v>6.110857899094551E-2</v>
      </c>
      <c r="R1507" s="22">
        <f>IFERROR((('Activity data'!AK96*(1/Constants!$H$135))*ttokg)*FSOMEF*NtoN2O*kgtoGg,"NO")</f>
        <v>6.110857899094551E-2</v>
      </c>
      <c r="S1507" s="22">
        <f>IFERROR((('Activity data'!AL96*(1/Constants!$H$135))*ttokg)*FSOMEF*NtoN2O*kgtoGg,"NO")</f>
        <v>6.110857899094551E-2</v>
      </c>
      <c r="T1507" s="22">
        <f>IFERROR((('Activity data'!AM96*(1/Constants!$H$135))*ttokg)*FSOMEF*NtoN2O*kgtoGg,"NO")</f>
        <v>6.110857899094551E-2</v>
      </c>
      <c r="U1507" s="22">
        <f>IFERROR((('Activity data'!AN96*(1/Constants!$H$135))*ttokg)*FSOMEF*NtoN2O*kgtoGg,"NO")</f>
        <v>6.110857899094551E-2</v>
      </c>
      <c r="V1507" s="22">
        <f>IFERROR((('Activity data'!AO96*(1/Constants!$H$135))*ttokg)*FSOMEF*NtoN2O*kgtoGg,"NO")</f>
        <v>6.110857899094551E-2</v>
      </c>
      <c r="W1507" s="22">
        <f>IFERROR((('Activity data'!AP96*(1/Constants!$H$135))*ttokg)*FSOMEF*NtoN2O*kgtoGg,"NO")</f>
        <v>6.110857899094551E-2</v>
      </c>
      <c r="X1507" s="22">
        <f>IFERROR((('Activity data'!AQ96*(1/Constants!$H$135))*ttokg)*FSOMEF*NtoN2O*kgtoGg,"NO")</f>
        <v>6.110857899094551E-2</v>
      </c>
      <c r="Y1507" s="22">
        <f>IFERROR((('Activity data'!AR96*(1/Constants!$H$135))*ttokg)*FSOMEF*NtoN2O*kgtoGg,"NO")</f>
        <v>6.110857899094551E-2</v>
      </c>
      <c r="Z1507" s="22">
        <f>IFERROR((('Activity data'!AS96*(1/Constants!$H$135))*ttokg)*FSOMEF*NtoN2O*kgtoGg,"NO")</f>
        <v>6.110857899094551E-2</v>
      </c>
      <c r="AA1507" s="22">
        <f>IFERROR((('Activity data'!AT96*(1/Constants!$H$135))*ttokg)*FSOMEF*NtoN2O*kgtoGg,"NO")</f>
        <v>6.110857899094551E-2</v>
      </c>
      <c r="AB1507" s="22">
        <f>IFERROR((('Activity data'!AU96*(1/Constants!$H$135))*ttokg)*FSOMEF*NtoN2O*kgtoGg,"NO")</f>
        <v>6.110857899094551E-2</v>
      </c>
      <c r="AC1507" s="22">
        <f>IFERROR((('Activity data'!AV96*(1/Constants!$H$135))*ttokg)*FSOMEF*NtoN2O*kgtoGg,"NO")</f>
        <v>6.110857899094551E-2</v>
      </c>
      <c r="AD1507" s="22">
        <f>IFERROR((('Activity data'!AW96*(1/Constants!$H$135))*ttokg)*FSOMEF*NtoN2O*kgtoGg,"NO")</f>
        <v>6.110857899094551E-2</v>
      </c>
      <c r="AE1507" s="22">
        <f>IFERROR((('Activity data'!AX96*(1/Constants!$H$135))*ttokg)*FSOMEF*NtoN2O*kgtoGg,"NO")</f>
        <v>6.110857899094551E-2</v>
      </c>
      <c r="AF1507" s="22">
        <f>IFERROR((('Activity data'!AY96*(1/Constants!$H$135))*ttokg)*FSOMEF*NtoN2O*kgtoGg,"NO")</f>
        <v>6.110857899094551E-2</v>
      </c>
      <c r="AG1507" s="22">
        <f>IFERROR((('Activity data'!AZ96*(1/Constants!$H$135))*ttokg)*FSOMEF*NtoN2O*kgtoGg,"NO")</f>
        <v>6.110857899094551E-2</v>
      </c>
      <c r="AH1507" s="22">
        <f>IFERROR((('Activity data'!BA96*(1/Constants!$H$135))*ttokg)*FSOMEF*NtoN2O*kgtoGg,"NO")</f>
        <v>6.110857899094551E-2</v>
      </c>
      <c r="AI1507" s="22">
        <f>IFERROR((('Activity data'!BB96*(1/Constants!$H$135))*ttokg)*FSOMEF*NtoN2O*kgtoGg,"NO")</f>
        <v>6.110857899094551E-2</v>
      </c>
      <c r="AJ1507" s="22">
        <f>IFERROR((('Activity data'!BC96*(1/Constants!$H$135))*ttokg)*FSOMEF*NtoN2O*kgtoGg,"NO")</f>
        <v>6.110857899094551E-2</v>
      </c>
      <c r="AK1507" s="22">
        <f>IFERROR((('Activity data'!BD96*(1/Constants!$H$135))*ttokg)*FSOMEF*NtoN2O*kgtoGg,"NO")</f>
        <v>6.110857899094551E-2</v>
      </c>
      <c r="AL1507" s="22">
        <f>IFERROR((('Activity data'!BE96*(1/Constants!$H$135))*ttokg)*FSOMEF*NtoN2O*kgtoGg,"NO")</f>
        <v>6.110857899094551E-2</v>
      </c>
      <c r="AM1507" s="22">
        <f>IFERROR((('Activity data'!BF96*(1/Constants!$H$135))*ttokg)*FSOMEF*NtoN2O*kgtoGg,"NO")</f>
        <v>6.110857899094551E-2</v>
      </c>
      <c r="AN1507" s="22">
        <f>IFERROR((('Activity data'!BG96*(1/Constants!$H$135))*ttokg)*FSOMEF*NtoN2O*kgtoGg,"NO")</f>
        <v>6.110857899094551E-2</v>
      </c>
      <c r="AO1507" s="22">
        <f>IFERROR((('Activity data'!BH96*(1/Constants!$H$135))*ttokg)*FSOMEF*NtoN2O*kgtoGg,"NO")</f>
        <v>6.110857899094551E-2</v>
      </c>
      <c r="AP1507" s="22">
        <f>IFERROR((('Activity data'!BI96*(1/Constants!$H$135))*ttokg)*FSOMEF*NtoN2O*kgtoGg,"NO")</f>
        <v>6.110857899094551E-2</v>
      </c>
      <c r="AQ1507" s="22">
        <f>IFERROR((('Activity data'!BJ96*(1/Constants!$H$135))*ttokg)*FSOMEF*NtoN2O*kgtoGg,"NO")</f>
        <v>6.110857899094551E-2</v>
      </c>
      <c r="AR1507" s="22">
        <f>IFERROR((('Activity data'!BK96*(1/Constants!$H$135))*ttokg)*FSOMEF*NtoN2O*kgtoGg,"NO")</f>
        <v>6.110857899094551E-2</v>
      </c>
      <c r="AS1507" s="22">
        <f>IFERROR((('Activity data'!BL96*(1/Constants!$H$135))*ttokg)*FSOMEF*NtoN2O*kgtoGg,"NO")</f>
        <v>6.110857899094551E-2</v>
      </c>
      <c r="AT1507" s="22">
        <f>IFERROR((('Activity data'!BM96*(1/Constants!$H$135))*ttokg)*FSOMEF*NtoN2O*kgtoGg,"NO")</f>
        <v>6.110857899094551E-2</v>
      </c>
      <c r="AU1507" s="22">
        <f>IFERROR((('Activity data'!BN96*(1/Constants!$H$135))*ttokg)*FSOMEF*NtoN2O*kgtoGg,"NO")</f>
        <v>6.110857899094551E-2</v>
      </c>
      <c r="AV1507" s="22">
        <f>IFERROR((('Activity data'!BO96*(1/Constants!$H$135))*ttokg)*FSOMEF*NtoN2O*kgtoGg,"NO")</f>
        <v>6.110857899094551E-2</v>
      </c>
      <c r="AW1507" s="22">
        <f>IFERROR((('Activity data'!BP96*(1/Constants!$H$135))*ttokg)*FSOMEF*NtoN2O*kgtoGg,"NO")</f>
        <v>6.110857899094551E-2</v>
      </c>
    </row>
    <row r="1508" spans="1:49" x14ac:dyDescent="0.3">
      <c r="A1508" s="95" t="s">
        <v>960</v>
      </c>
      <c r="B1508" s="95"/>
      <c r="C1508" s="95"/>
      <c r="D1508" t="str">
        <f t="shared" si="569"/>
        <v>3C Aggregated and non-CO2 emissions on land</v>
      </c>
      <c r="E1508" t="str">
        <f t="shared" si="568"/>
        <v>3C4 Direct N2O from managed soils (N2O)</v>
      </c>
      <c r="F1508" t="s">
        <v>60</v>
      </c>
      <c r="G1508" t="str">
        <f>" - "&amp;'Activity data'!D97</f>
        <v xml:space="preserve"> - Other land remaining other land</v>
      </c>
      <c r="H1508" t="str">
        <f t="shared" si="563"/>
        <v>FSOM - Other land remaining other land</v>
      </c>
      <c r="J1508" t="str">
        <f t="shared" si="570"/>
        <v>Gg N2O</v>
      </c>
      <c r="K1508" s="22" t="str">
        <f>IFERROR((('Activity data'!AD97*(1/Constants!$H$135))*ttokg)*FSOMEF*NtoN2O*kgtoGg,"NO")</f>
        <v>NO</v>
      </c>
      <c r="L1508" s="22" t="str">
        <f>IFERROR((('Activity data'!AE97*(1/Constants!$H$135))*ttokg)*FSOMEF*NtoN2O*kgtoGg,"NO")</f>
        <v>NO</v>
      </c>
      <c r="M1508" s="22" t="str">
        <f>IFERROR((('Activity data'!AF97*(1/Constants!$H$135))*ttokg)*FSOMEF*NtoN2O*kgtoGg,"NO")</f>
        <v>NO</v>
      </c>
      <c r="N1508" s="22" t="str">
        <f>IFERROR((('Activity data'!AG97*(1/Constants!$H$135))*ttokg)*FSOMEF*NtoN2O*kgtoGg,"NO")</f>
        <v>NO</v>
      </c>
      <c r="O1508" s="22" t="str">
        <f>IFERROR((('Activity data'!AH97*(1/Constants!$H$135))*ttokg)*FSOMEF*NtoN2O*kgtoGg,"NO")</f>
        <v>NO</v>
      </c>
      <c r="P1508" s="22" t="str">
        <f>IFERROR((('Activity data'!AI97*(1/Constants!$H$135))*ttokg)*FSOMEF*NtoN2O*kgtoGg,"NO")</f>
        <v>NO</v>
      </c>
      <c r="Q1508" s="22" t="str">
        <f>IFERROR((('Activity data'!AJ97*(1/Constants!$H$135))*ttokg)*FSOMEF*NtoN2O*kgtoGg,"NO")</f>
        <v>NO</v>
      </c>
      <c r="R1508" s="22" t="str">
        <f>IFERROR((('Activity data'!AK97*(1/Constants!$H$135))*ttokg)*FSOMEF*NtoN2O*kgtoGg,"NO")</f>
        <v>NO</v>
      </c>
      <c r="S1508" s="22" t="str">
        <f>IFERROR((('Activity data'!AL97*(1/Constants!$H$135))*ttokg)*FSOMEF*NtoN2O*kgtoGg,"NO")</f>
        <v>NO</v>
      </c>
      <c r="T1508" s="22" t="str">
        <f>IFERROR((('Activity data'!AM97*(1/Constants!$H$135))*ttokg)*FSOMEF*NtoN2O*kgtoGg,"NO")</f>
        <v>NO</v>
      </c>
      <c r="U1508" s="22" t="str">
        <f>IFERROR((('Activity data'!AN97*(1/Constants!$H$135))*ttokg)*FSOMEF*NtoN2O*kgtoGg,"NO")</f>
        <v>NO</v>
      </c>
      <c r="V1508" s="22" t="str">
        <f>IFERROR((('Activity data'!AO97*(1/Constants!$H$135))*ttokg)*FSOMEF*NtoN2O*kgtoGg,"NO")</f>
        <v>NO</v>
      </c>
      <c r="W1508" s="22" t="str">
        <f>IFERROR((('Activity data'!AP97*(1/Constants!$H$135))*ttokg)*FSOMEF*NtoN2O*kgtoGg,"NO")</f>
        <v>NO</v>
      </c>
      <c r="X1508" s="22" t="str">
        <f>IFERROR((('Activity data'!AQ97*(1/Constants!$H$135))*ttokg)*FSOMEF*NtoN2O*kgtoGg,"NO")</f>
        <v>NO</v>
      </c>
      <c r="Y1508" s="22" t="str">
        <f>IFERROR((('Activity data'!AR97*(1/Constants!$H$135))*ttokg)*FSOMEF*NtoN2O*kgtoGg,"NO")</f>
        <v>NO</v>
      </c>
      <c r="Z1508" s="22" t="str">
        <f>IFERROR((('Activity data'!AS97*(1/Constants!$H$135))*ttokg)*FSOMEF*NtoN2O*kgtoGg,"NO")</f>
        <v>NO</v>
      </c>
      <c r="AA1508" s="22" t="str">
        <f>IFERROR((('Activity data'!AT97*(1/Constants!$H$135))*ttokg)*FSOMEF*NtoN2O*kgtoGg,"NO")</f>
        <v>NO</v>
      </c>
      <c r="AB1508" s="22" t="str">
        <f>IFERROR((('Activity data'!AU97*(1/Constants!$H$135))*ttokg)*FSOMEF*NtoN2O*kgtoGg,"NO")</f>
        <v>NO</v>
      </c>
      <c r="AC1508" s="22" t="str">
        <f>IFERROR((('Activity data'!AV97*(1/Constants!$H$135))*ttokg)*FSOMEF*NtoN2O*kgtoGg,"NO")</f>
        <v>NO</v>
      </c>
      <c r="AD1508" s="22" t="str">
        <f>IFERROR((('Activity data'!AW97*(1/Constants!$H$135))*ttokg)*FSOMEF*NtoN2O*kgtoGg,"NO")</f>
        <v>NO</v>
      </c>
      <c r="AE1508" s="22" t="str">
        <f>IFERROR((('Activity data'!AX97*(1/Constants!$H$135))*ttokg)*FSOMEF*NtoN2O*kgtoGg,"NO")</f>
        <v>NO</v>
      </c>
      <c r="AF1508" s="22" t="str">
        <f>IFERROR((('Activity data'!AY97*(1/Constants!$H$135))*ttokg)*FSOMEF*NtoN2O*kgtoGg,"NO")</f>
        <v>NO</v>
      </c>
      <c r="AG1508" s="22" t="str">
        <f>IFERROR((('Activity data'!AZ97*(1/Constants!$H$135))*ttokg)*FSOMEF*NtoN2O*kgtoGg,"NO")</f>
        <v>NO</v>
      </c>
      <c r="AH1508" s="22" t="str">
        <f>IFERROR((('Activity data'!BA97*(1/Constants!$H$135))*ttokg)*FSOMEF*NtoN2O*kgtoGg,"NO")</f>
        <v>NO</v>
      </c>
      <c r="AI1508" s="22" t="str">
        <f>IFERROR((('Activity data'!BB97*(1/Constants!$H$135))*ttokg)*FSOMEF*NtoN2O*kgtoGg,"NO")</f>
        <v>NO</v>
      </c>
      <c r="AJ1508" s="22" t="str">
        <f>IFERROR((('Activity data'!BC97*(1/Constants!$H$135))*ttokg)*FSOMEF*NtoN2O*kgtoGg,"NO")</f>
        <v>NO</v>
      </c>
      <c r="AK1508" s="22" t="str">
        <f>IFERROR((('Activity data'!BD97*(1/Constants!$H$135))*ttokg)*FSOMEF*NtoN2O*kgtoGg,"NO")</f>
        <v>NO</v>
      </c>
      <c r="AL1508" s="22" t="str">
        <f>IFERROR((('Activity data'!BE97*(1/Constants!$H$135))*ttokg)*FSOMEF*NtoN2O*kgtoGg,"NO")</f>
        <v>NO</v>
      </c>
      <c r="AM1508" s="22" t="str">
        <f>IFERROR((('Activity data'!BF97*(1/Constants!$H$135))*ttokg)*FSOMEF*NtoN2O*kgtoGg,"NO")</f>
        <v>NO</v>
      </c>
      <c r="AN1508" s="22" t="str">
        <f>IFERROR((('Activity data'!BG97*(1/Constants!$H$135))*ttokg)*FSOMEF*NtoN2O*kgtoGg,"NO")</f>
        <v>NO</v>
      </c>
      <c r="AO1508" s="22" t="str">
        <f>IFERROR((('Activity data'!BH97*(1/Constants!$H$135))*ttokg)*FSOMEF*NtoN2O*kgtoGg,"NO")</f>
        <v>NO</v>
      </c>
      <c r="AP1508" s="22" t="str">
        <f>IFERROR((('Activity data'!BI97*(1/Constants!$H$135))*ttokg)*FSOMEF*NtoN2O*kgtoGg,"NO")</f>
        <v>NO</v>
      </c>
      <c r="AQ1508" s="22" t="str">
        <f>IFERROR((('Activity data'!BJ97*(1/Constants!$H$135))*ttokg)*FSOMEF*NtoN2O*kgtoGg,"NO")</f>
        <v>NO</v>
      </c>
      <c r="AR1508" s="22" t="str">
        <f>IFERROR((('Activity data'!BK97*(1/Constants!$H$135))*ttokg)*FSOMEF*NtoN2O*kgtoGg,"NO")</f>
        <v>NO</v>
      </c>
      <c r="AS1508" s="22" t="str">
        <f>IFERROR((('Activity data'!BL97*(1/Constants!$H$135))*ttokg)*FSOMEF*NtoN2O*kgtoGg,"NO")</f>
        <v>NO</v>
      </c>
      <c r="AT1508" s="22" t="str">
        <f>IFERROR((('Activity data'!BM97*(1/Constants!$H$135))*ttokg)*FSOMEF*NtoN2O*kgtoGg,"NO")</f>
        <v>NO</v>
      </c>
      <c r="AU1508" s="22" t="str">
        <f>IFERROR((('Activity data'!BN97*(1/Constants!$H$135))*ttokg)*FSOMEF*NtoN2O*kgtoGg,"NO")</f>
        <v>NO</v>
      </c>
      <c r="AV1508" s="22" t="str">
        <f>IFERROR((('Activity data'!BO97*(1/Constants!$H$135))*ttokg)*FSOMEF*NtoN2O*kgtoGg,"NO")</f>
        <v>NO</v>
      </c>
      <c r="AW1508" s="22" t="str">
        <f>IFERROR((('Activity data'!BP97*(1/Constants!$H$135))*ttokg)*FSOMEF*NtoN2O*kgtoGg,"NO")</f>
        <v>NO</v>
      </c>
    </row>
    <row r="1509" spans="1:49" x14ac:dyDescent="0.3">
      <c r="A1509" s="95" t="s">
        <v>960</v>
      </c>
      <c r="B1509" s="95"/>
      <c r="C1509" s="95"/>
      <c r="D1509" t="str">
        <f t="shared" si="569"/>
        <v>3C Aggregated and non-CO2 emissions on land</v>
      </c>
      <c r="E1509" t="str">
        <f t="shared" si="568"/>
        <v>3C4 Direct N2O from managed soils (N2O)</v>
      </c>
      <c r="F1509" t="s">
        <v>60</v>
      </c>
      <c r="G1509" t="str">
        <f>" - "&amp;'Activity data'!D98</f>
        <v xml:space="preserve"> - Land converted to other lands</v>
      </c>
      <c r="H1509" t="str">
        <f t="shared" si="563"/>
        <v>FSOM - Land converted to other lands</v>
      </c>
      <c r="J1509" t="str">
        <f t="shared" si="570"/>
        <v>Gg N2O</v>
      </c>
      <c r="K1509" s="22">
        <f>IFERROR((('Activity data'!AD98*(1/Constants!$H$135))*ttokg)*FSOMEF*NtoN2O*kgtoGg,"NO")</f>
        <v>3.1961717215001131</v>
      </c>
      <c r="L1509" s="22">
        <f>IFERROR((('Activity data'!AE98*(1/Constants!$H$135))*ttokg)*FSOMEF*NtoN2O*kgtoGg,"NO")</f>
        <v>3.1961717215001131</v>
      </c>
      <c r="M1509" s="22">
        <f>IFERROR((('Activity data'!AF98*(1/Constants!$H$135))*ttokg)*FSOMEF*NtoN2O*kgtoGg,"NO")</f>
        <v>3.1961717215001131</v>
      </c>
      <c r="N1509" s="22">
        <f>IFERROR((('Activity data'!AG98*(1/Constants!$H$135))*ttokg)*FSOMEF*NtoN2O*kgtoGg,"NO")</f>
        <v>3.1961717215001131</v>
      </c>
      <c r="O1509" s="22">
        <f>IFERROR((('Activity data'!AH98*(1/Constants!$H$135))*ttokg)*FSOMEF*NtoN2O*kgtoGg,"NO")</f>
        <v>3.1961717215001131</v>
      </c>
      <c r="P1509" s="22">
        <f>IFERROR((('Activity data'!AI98*(1/Constants!$H$135))*ttokg)*FSOMEF*NtoN2O*kgtoGg,"NO")</f>
        <v>3.1961717215001131</v>
      </c>
      <c r="Q1509" s="22">
        <f>IFERROR((('Activity data'!AJ98*(1/Constants!$H$135))*ttokg)*FSOMEF*NtoN2O*kgtoGg,"NO")</f>
        <v>3.1961717215001131</v>
      </c>
      <c r="R1509" s="22">
        <f>IFERROR((('Activity data'!AK98*(1/Constants!$H$135))*ttokg)*FSOMEF*NtoN2O*kgtoGg,"NO")</f>
        <v>3.1961717215001131</v>
      </c>
      <c r="S1509" s="22">
        <f>IFERROR((('Activity data'!AL98*(1/Constants!$H$135))*ttokg)*FSOMEF*NtoN2O*kgtoGg,"NO")</f>
        <v>3.1961717215001131</v>
      </c>
      <c r="T1509" s="22">
        <f>IFERROR((('Activity data'!AM98*(1/Constants!$H$135))*ttokg)*FSOMEF*NtoN2O*kgtoGg,"NO")</f>
        <v>3.1961717215001131</v>
      </c>
      <c r="U1509" s="22">
        <f>IFERROR((('Activity data'!AN98*(1/Constants!$H$135))*ttokg)*FSOMEF*NtoN2O*kgtoGg,"NO")</f>
        <v>3.1961717215001131</v>
      </c>
      <c r="V1509" s="22">
        <f>IFERROR((('Activity data'!AO98*(1/Constants!$H$135))*ttokg)*FSOMEF*NtoN2O*kgtoGg,"NO")</f>
        <v>3.1961717215001131</v>
      </c>
      <c r="W1509" s="22">
        <f>IFERROR((('Activity data'!AP98*(1/Constants!$H$135))*ttokg)*FSOMEF*NtoN2O*kgtoGg,"NO")</f>
        <v>3.1961717215001131</v>
      </c>
      <c r="X1509" s="22">
        <f>IFERROR((('Activity data'!AQ98*(1/Constants!$H$135))*ttokg)*FSOMEF*NtoN2O*kgtoGg,"NO")</f>
        <v>3.1961717215001131</v>
      </c>
      <c r="Y1509" s="22">
        <f>IFERROR((('Activity data'!AR98*(1/Constants!$H$135))*ttokg)*FSOMEF*NtoN2O*kgtoGg,"NO")</f>
        <v>3.1961717215001131</v>
      </c>
      <c r="Z1509" s="22">
        <f>IFERROR((('Activity data'!AS98*(1/Constants!$H$135))*ttokg)*FSOMEF*NtoN2O*kgtoGg,"NO")</f>
        <v>3.1961717215001131</v>
      </c>
      <c r="AA1509" s="22">
        <f>IFERROR((('Activity data'!AT98*(1/Constants!$H$135))*ttokg)*FSOMEF*NtoN2O*kgtoGg,"NO")</f>
        <v>3.1961717215001131</v>
      </c>
      <c r="AB1509" s="22">
        <f>IFERROR((('Activity data'!AU98*(1/Constants!$H$135))*ttokg)*FSOMEF*NtoN2O*kgtoGg,"NO")</f>
        <v>3.1961717215001131</v>
      </c>
      <c r="AC1509" s="22">
        <f>IFERROR((('Activity data'!AV98*(1/Constants!$H$135))*ttokg)*FSOMEF*NtoN2O*kgtoGg,"NO")</f>
        <v>3.1961717215001131</v>
      </c>
      <c r="AD1509" s="22">
        <f>IFERROR((('Activity data'!AW98*(1/Constants!$H$135))*ttokg)*FSOMEF*NtoN2O*kgtoGg,"NO")</f>
        <v>3.1961717215001131</v>
      </c>
      <c r="AE1509" s="22">
        <f>IFERROR((('Activity data'!AX98*(1/Constants!$H$135))*ttokg)*FSOMEF*NtoN2O*kgtoGg,"NO")</f>
        <v>3.1961717215001131</v>
      </c>
      <c r="AF1509" s="22">
        <f>IFERROR((('Activity data'!AY98*(1/Constants!$H$135))*ttokg)*FSOMEF*NtoN2O*kgtoGg,"NO")</f>
        <v>3.1961717215001131</v>
      </c>
      <c r="AG1509" s="22">
        <f>IFERROR((('Activity data'!AZ98*(1/Constants!$H$135))*ttokg)*FSOMEF*NtoN2O*kgtoGg,"NO")</f>
        <v>3.1961717215001131</v>
      </c>
      <c r="AH1509" s="22">
        <f>IFERROR((('Activity data'!BA98*(1/Constants!$H$135))*ttokg)*FSOMEF*NtoN2O*kgtoGg,"NO")</f>
        <v>3.1961717215001131</v>
      </c>
      <c r="AI1509" s="22">
        <f>IFERROR((('Activity data'!BB98*(1/Constants!$H$135))*ttokg)*FSOMEF*NtoN2O*kgtoGg,"NO")</f>
        <v>3.1961717215001131</v>
      </c>
      <c r="AJ1509" s="22">
        <f>IFERROR((('Activity data'!BC98*(1/Constants!$H$135))*ttokg)*FSOMEF*NtoN2O*kgtoGg,"NO")</f>
        <v>3.1961717215001131</v>
      </c>
      <c r="AK1509" s="22">
        <f>IFERROR((('Activity data'!BD98*(1/Constants!$H$135))*ttokg)*FSOMEF*NtoN2O*kgtoGg,"NO")</f>
        <v>3.1961717215001131</v>
      </c>
      <c r="AL1509" s="22">
        <f>IFERROR((('Activity data'!BE98*(1/Constants!$H$135))*ttokg)*FSOMEF*NtoN2O*kgtoGg,"NO")</f>
        <v>3.1961717215001131</v>
      </c>
      <c r="AM1509" s="22">
        <f>IFERROR((('Activity data'!BF98*(1/Constants!$H$135))*ttokg)*FSOMEF*NtoN2O*kgtoGg,"NO")</f>
        <v>3.1961717215001131</v>
      </c>
      <c r="AN1509" s="22">
        <f>IFERROR((('Activity data'!BG98*(1/Constants!$H$135))*ttokg)*FSOMEF*NtoN2O*kgtoGg,"NO")</f>
        <v>3.1961717215001131</v>
      </c>
      <c r="AO1509" s="22">
        <f>IFERROR((('Activity data'!BH98*(1/Constants!$H$135))*ttokg)*FSOMEF*NtoN2O*kgtoGg,"NO")</f>
        <v>3.1961717215001131</v>
      </c>
      <c r="AP1509" s="22">
        <f>IFERROR((('Activity data'!BI98*(1/Constants!$H$135))*ttokg)*FSOMEF*NtoN2O*kgtoGg,"NO")</f>
        <v>3.1961717215001131</v>
      </c>
      <c r="AQ1509" s="22">
        <f>IFERROR((('Activity data'!BJ98*(1/Constants!$H$135))*ttokg)*FSOMEF*NtoN2O*kgtoGg,"NO")</f>
        <v>3.1961717215001131</v>
      </c>
      <c r="AR1509" s="22">
        <f>IFERROR((('Activity data'!BK98*(1/Constants!$H$135))*ttokg)*FSOMEF*NtoN2O*kgtoGg,"NO")</f>
        <v>3.1961717215001131</v>
      </c>
      <c r="AS1509" s="22">
        <f>IFERROR((('Activity data'!BL98*(1/Constants!$H$135))*ttokg)*FSOMEF*NtoN2O*kgtoGg,"NO")</f>
        <v>3.1961717215001131</v>
      </c>
      <c r="AT1509" s="22">
        <f>IFERROR((('Activity data'!BM98*(1/Constants!$H$135))*ttokg)*FSOMEF*NtoN2O*kgtoGg,"NO")</f>
        <v>3.1961717215001131</v>
      </c>
      <c r="AU1509" s="22">
        <f>IFERROR((('Activity data'!BN98*(1/Constants!$H$135))*ttokg)*FSOMEF*NtoN2O*kgtoGg,"NO")</f>
        <v>3.1961717215001131</v>
      </c>
      <c r="AV1509" s="22">
        <f>IFERROR((('Activity data'!BO98*(1/Constants!$H$135))*ttokg)*FSOMEF*NtoN2O*kgtoGg,"NO")</f>
        <v>3.1961717215001131</v>
      </c>
      <c r="AW1509" s="22">
        <f>IFERROR((('Activity data'!BP98*(1/Constants!$H$135))*ttokg)*FSOMEF*NtoN2O*kgtoGg,"NO")</f>
        <v>3.1961717215001131</v>
      </c>
    </row>
    <row r="1510" spans="1:49" x14ac:dyDescent="0.3">
      <c r="A1510" s="95" t="s">
        <v>960</v>
      </c>
      <c r="B1510" s="95"/>
      <c r="C1510" s="95"/>
      <c r="D1510" t="str">
        <f>D1497</f>
        <v>3C Aggregated and non-CO2 emissions on land</v>
      </c>
      <c r="E1510" t="str">
        <f>'IPCC Categories'!B78</f>
        <v>3C5 Indirect N2O from managed soils (N2O)</v>
      </c>
      <c r="F1510" t="str">
        <f>'IPCC Categories'!C78</f>
        <v>Volatilisation</v>
      </c>
      <c r="G1510" t="s">
        <v>435</v>
      </c>
      <c r="H1510" t="str">
        <f t="shared" si="563"/>
        <v>Volatilisation - Synthetic fertlisers</v>
      </c>
      <c r="I1510" t="str">
        <f>I1497</f>
        <v>N2O</v>
      </c>
      <c r="J1510" t="str">
        <f>J1497</f>
        <v>Gg N2O</v>
      </c>
      <c r="K1510" s="22">
        <f>'Activity data'!AD47*ttokg*FracGASF*MSVolatEF*NtoN2O*kgtoGg</f>
        <v>0.66064812063358536</v>
      </c>
      <c r="L1510" s="22">
        <f>'Activity data'!AE47*ttokg*FracGASF*MSVolatEF*NtoN2O*kgtoGg</f>
        <v>0.66058242184852956</v>
      </c>
      <c r="M1510" s="22">
        <f>'Activity data'!AF47*ttokg*FracGASF*MSVolatEF*NtoN2O*kgtoGg</f>
        <v>0.66046196765835474</v>
      </c>
      <c r="N1510" s="22">
        <f>'Activity data'!AG47*ttokg*FracGASF*MSVolatEF*NtoN2O*kgtoGg</f>
        <v>0.66031799495417198</v>
      </c>
      <c r="O1510" s="22">
        <f>'Activity data'!AH47*ttokg*FracGASF*MSVolatEF*NtoN2O*kgtoGg</f>
        <v>0.66022073532502734</v>
      </c>
      <c r="P1510" s="22">
        <f>'Activity data'!AI47*ttokg*FracGASF*MSVolatEF*NtoN2O*kgtoGg</f>
        <v>0.66015380384919209</v>
      </c>
      <c r="Q1510" s="22">
        <f>'Activity data'!AJ47*ttokg*FracGASF*MSVolatEF*NtoN2O*kgtoGg</f>
        <v>0.66011715236312984</v>
      </c>
      <c r="R1510" s="22">
        <f>'Activity data'!AK47*ttokg*FracGASF*MSVolatEF*NtoN2O*kgtoGg</f>
        <v>0.66005785698707231</v>
      </c>
      <c r="S1510" s="22">
        <f>'Activity data'!AL47*ttokg*FracGASF*MSVolatEF*NtoN2O*kgtoGg</f>
        <v>0.65999557160724309</v>
      </c>
      <c r="T1510" s="22">
        <f>'Activity data'!AM47*ttokg*FracGASF*MSVolatEF*NtoN2O*kgtoGg</f>
        <v>0.66042852126323504</v>
      </c>
      <c r="U1510" s="22">
        <f>'Activity data'!AN47*ttokg*FracGASF*MSVolatEF*NtoN2O*kgtoGg</f>
        <v>0.660256842080582</v>
      </c>
      <c r="V1510" s="22">
        <f>'Activity data'!AO47*ttokg*FracGASF*MSVolatEF*NtoN2O*kgtoGg</f>
        <v>0.66002252909433212</v>
      </c>
      <c r="W1510" s="22">
        <f>'Activity data'!AP47*ttokg*FracGASF*MSVolatEF*NtoN2O*kgtoGg</f>
        <v>0.65989661681898848</v>
      </c>
      <c r="X1510" s="22">
        <f>'Activity data'!AQ47*ttokg*FracGASF*MSVolatEF*NtoN2O*kgtoGg</f>
        <v>0.6597589047711292</v>
      </c>
      <c r="Y1510" s="22">
        <f>'Activity data'!AR47*ttokg*FracGASF*MSVolatEF*NtoN2O*kgtoGg</f>
        <v>0.659605796092819</v>
      </c>
      <c r="Z1510" s="22">
        <f>'Activity data'!AS47*ttokg*FracGASF*MSVolatEF*NtoN2O*kgtoGg</f>
        <v>0.65944507555305243</v>
      </c>
      <c r="AA1510" s="22">
        <f>'Activity data'!AT47*ttokg*FracGASF*MSVolatEF*NtoN2O*kgtoGg</f>
        <v>0.65927354812209926</v>
      </c>
      <c r="AB1510" s="22">
        <f>'Activity data'!AU47*ttokg*FracGASF*MSVolatEF*NtoN2O*kgtoGg</f>
        <v>0.65910165055066838</v>
      </c>
      <c r="AC1510" s="22">
        <f>'Activity data'!AV47*ttokg*FracGASF*MSVolatEF*NtoN2O*kgtoGg</f>
        <v>0.65892060560614785</v>
      </c>
      <c r="AD1510" s="22">
        <f>'Activity data'!AW47*ttokg*FracGASF*MSVolatEF*NtoN2O*kgtoGg</f>
        <v>0.6587403682229962</v>
      </c>
      <c r="AE1510" s="22">
        <f>'Activity data'!AX47*ttokg*FracGASF*MSVolatEF*NtoN2O*kgtoGg</f>
        <v>0.6585449608557925</v>
      </c>
      <c r="AF1510" s="22">
        <f>'Activity data'!AY47*ttokg*FracGASF*MSVolatEF*NtoN2O*kgtoGg</f>
        <v>0.65835675614397215</v>
      </c>
      <c r="AG1510" s="22">
        <f>'Activity data'!AZ47*ttokg*FracGASF*MSVolatEF*NtoN2O*kgtoGg</f>
        <v>0.65816378763594341</v>
      </c>
      <c r="AH1510" s="22">
        <f>'Activity data'!BA47*ttokg*FracGASF*MSVolatEF*NtoN2O*kgtoGg</f>
        <v>0.6579528278100244</v>
      </c>
      <c r="AI1510" s="22">
        <f>'Activity data'!BB47*ttokg*FracGASF*MSVolatEF*NtoN2O*kgtoGg</f>
        <v>0.65775665224366497</v>
      </c>
      <c r="AJ1510" s="22">
        <f>'Activity data'!BC47*ttokg*FracGASF*MSVolatEF*NtoN2O*kgtoGg</f>
        <v>0.65755521924304883</v>
      </c>
      <c r="AK1510" s="22">
        <f>'Activity data'!BD47*ttokg*FracGASF*MSVolatEF*NtoN2O*kgtoGg</f>
        <v>0.65734627926543143</v>
      </c>
      <c r="AL1510" s="22">
        <f>'Activity data'!BE47*ttokg*FracGASF*MSVolatEF*NtoN2O*kgtoGg</f>
        <v>0.65715425101563263</v>
      </c>
      <c r="AM1510" s="22">
        <f>'Activity data'!BF47*ttokg*FracGASF*MSVolatEF*NtoN2O*kgtoGg</f>
        <v>0.65696756052718408</v>
      </c>
      <c r="AN1510" s="22">
        <f>'Activity data'!BG47*ttokg*FracGASF*MSVolatEF*NtoN2O*kgtoGg</f>
        <v>0.65678548596880248</v>
      </c>
      <c r="AO1510" s="22">
        <f>'Activity data'!BH47*ttokg*FracGASF*MSVolatEF*NtoN2O*kgtoGg</f>
        <v>0.65659337062591927</v>
      </c>
      <c r="AP1510" s="22">
        <f>'Activity data'!BI47*ttokg*FracGASF*MSVolatEF*NtoN2O*kgtoGg</f>
        <v>0.65641235920406316</v>
      </c>
      <c r="AQ1510" s="22">
        <f>'Activity data'!BJ47*ttokg*FracGASF*MSVolatEF*NtoN2O*kgtoGg</f>
        <v>0.65622903638449304</v>
      </c>
      <c r="AR1510" s="22">
        <f>'Activity data'!BK47*ttokg*FracGASF*MSVolatEF*NtoN2O*kgtoGg</f>
        <v>0.65604286486377728</v>
      </c>
      <c r="AS1510" s="22">
        <f>'Activity data'!BL47*ttokg*FracGASF*MSVolatEF*NtoN2O*kgtoGg</f>
        <v>0.65585292511260118</v>
      </c>
      <c r="AT1510" s="22">
        <f>'Activity data'!BM47*ttokg*FracGASF*MSVolatEF*NtoN2O*kgtoGg</f>
        <v>0.65566000956326953</v>
      </c>
      <c r="AU1510" s="22">
        <f>'Activity data'!BN47*ttokg*FracGASF*MSVolatEF*NtoN2O*kgtoGg</f>
        <v>0.65560073347552816</v>
      </c>
      <c r="AV1510" s="22">
        <f>'Activity data'!BO47*ttokg*FracGASF*MSVolatEF*NtoN2O*kgtoGg</f>
        <v>0.65555391486602432</v>
      </c>
      <c r="AW1510" s="22">
        <f>'Activity data'!BP47*ttokg*FracGASF*MSVolatEF*NtoN2O*kgtoGg</f>
        <v>0.65552474687649953</v>
      </c>
    </row>
    <row r="1511" spans="1:49" x14ac:dyDescent="0.3">
      <c r="A1511" s="95" t="s">
        <v>960</v>
      </c>
      <c r="B1511" s="95"/>
      <c r="C1511" s="95"/>
      <c r="D1511" t="str">
        <f t="shared" si="568"/>
        <v>3C Aggregated and non-CO2 emissions on land</v>
      </c>
      <c r="E1511" t="str">
        <f>E1510</f>
        <v>3C5 Indirect N2O from managed soils (N2O)</v>
      </c>
      <c r="F1511" t="str">
        <f>F1510</f>
        <v>Volatilisation</v>
      </c>
      <c r="G1511" t="s">
        <v>436</v>
      </c>
      <c r="H1511" t="str">
        <f t="shared" si="563"/>
        <v>Volatilisation - Organic fertilisers</v>
      </c>
      <c r="I1511" t="str">
        <f t="shared" ref="I1511:I1562" si="571">I1510</f>
        <v>N2O</v>
      </c>
      <c r="J1511" t="str">
        <f t="shared" si="570"/>
        <v>Gg N2O</v>
      </c>
      <c r="K1511" s="22">
        <f>'Activity data'!AD48*ttokg*FracGASM*MSVolatEF*NtoN2O*kgtoGg</f>
        <v>8.720555192363328E-3</v>
      </c>
      <c r="L1511" s="22">
        <f>'Activity data'!AE48*ttokg*FracGASM*MSVolatEF*NtoN2O*kgtoGg</f>
        <v>8.7196879684005926E-3</v>
      </c>
      <c r="M1511" s="22">
        <f>'Activity data'!AF48*ttokg*FracGASM*MSVolatEF*NtoN2O*kgtoGg</f>
        <v>8.7180979730902847E-3</v>
      </c>
      <c r="N1511" s="22">
        <f>'Activity data'!AG48*ttokg*FracGASM*MSVolatEF*NtoN2O*kgtoGg</f>
        <v>8.7161975333950713E-3</v>
      </c>
      <c r="O1511" s="22">
        <f>'Activity data'!AH48*ttokg*FracGASM*MSVolatEF*NtoN2O*kgtoGg</f>
        <v>8.7149137062903607E-3</v>
      </c>
      <c r="P1511" s="22">
        <f>'Activity data'!AI48*ttokg*FracGASM*MSVolatEF*NtoN2O*kgtoGg</f>
        <v>8.7140302108093363E-3</v>
      </c>
      <c r="Q1511" s="22">
        <f>'Activity data'!AJ48*ttokg*FracGASM*MSVolatEF*NtoN2O*kgtoGg</f>
        <v>8.7135464111933163E-3</v>
      </c>
      <c r="R1511" s="22">
        <f>'Activity data'!AK48*ttokg*FracGASM*MSVolatEF*NtoN2O*kgtoGg</f>
        <v>8.7127637122293555E-3</v>
      </c>
      <c r="S1511" s="22">
        <f>'Activity data'!AL48*ttokg*FracGASM*MSVolatEF*NtoN2O*kgtoGg</f>
        <v>8.7119415452156113E-3</v>
      </c>
      <c r="T1511" s="22">
        <f>'Activity data'!AM48*ttokg*FracGASM*MSVolatEF*NtoN2O*kgtoGg</f>
        <v>8.7176564806747021E-3</v>
      </c>
      <c r="U1511" s="22">
        <f>'Activity data'!AN48*ttokg*FracGASM*MSVolatEF*NtoN2O*kgtoGg</f>
        <v>8.7153903154636864E-3</v>
      </c>
      <c r="V1511" s="22">
        <f>'Activity data'!AO48*ttokg*FracGASM*MSVolatEF*NtoN2O*kgtoGg</f>
        <v>8.7122973840451836E-3</v>
      </c>
      <c r="W1511" s="22">
        <f>'Activity data'!AP48*ttokg*FracGASM*MSVolatEF*NtoN2O*kgtoGg</f>
        <v>8.7106353420106468E-3</v>
      </c>
      <c r="X1511" s="22">
        <f>'Activity data'!AQ48*ttokg*FracGASM*MSVolatEF*NtoN2O*kgtoGg</f>
        <v>8.7088175429789073E-3</v>
      </c>
      <c r="Y1511" s="22">
        <f>'Activity data'!AR48*ttokg*FracGASM*MSVolatEF*NtoN2O*kgtoGg</f>
        <v>8.7067965084252144E-3</v>
      </c>
      <c r="Z1511" s="22">
        <f>'Activity data'!AS48*ttokg*FracGASM*MSVolatEF*NtoN2O*kgtoGg</f>
        <v>8.7046749973002935E-3</v>
      </c>
      <c r="AA1511" s="22">
        <f>'Activity data'!AT48*ttokg*FracGASM*MSVolatEF*NtoN2O*kgtoGg</f>
        <v>8.702410835211713E-3</v>
      </c>
      <c r="AB1511" s="22">
        <f>'Activity data'!AU48*ttokg*FracGASM*MSVolatEF*NtoN2O*kgtoGg</f>
        <v>8.7001417872688246E-3</v>
      </c>
      <c r="AC1511" s="22">
        <f>'Activity data'!AV48*ttokg*FracGASM*MSVolatEF*NtoN2O*kgtoGg</f>
        <v>8.6977519940011523E-3</v>
      </c>
      <c r="AD1511" s="22">
        <f>'Activity data'!AW48*ttokg*FracGASM*MSVolatEF*NtoN2O*kgtoGg</f>
        <v>8.6953728605435512E-3</v>
      </c>
      <c r="AE1511" s="22">
        <f>'Activity data'!AX48*ttokg*FracGASM*MSVolatEF*NtoN2O*kgtoGg</f>
        <v>8.6927934832964609E-3</v>
      </c>
      <c r="AF1511" s="22">
        <f>'Activity data'!AY48*ttokg*FracGASM*MSVolatEF*NtoN2O*kgtoGg</f>
        <v>8.6903091811004352E-3</v>
      </c>
      <c r="AG1511" s="22">
        <f>'Activity data'!AZ48*ttokg*FracGASM*MSVolatEF*NtoN2O*kgtoGg</f>
        <v>8.6877619967944547E-3</v>
      </c>
      <c r="AH1511" s="22">
        <f>'Activity data'!BA48*ttokg*FracGASM*MSVolatEF*NtoN2O*kgtoGg</f>
        <v>8.6849773270923237E-3</v>
      </c>
      <c r="AI1511" s="22">
        <f>'Activity data'!BB48*ttokg*FracGASM*MSVolatEF*NtoN2O*kgtoGg</f>
        <v>8.6823878096163789E-3</v>
      </c>
      <c r="AJ1511" s="22">
        <f>'Activity data'!BC48*ttokg*FracGASM*MSVolatEF*NtoN2O*kgtoGg</f>
        <v>8.6797288940082453E-3</v>
      </c>
      <c r="AK1511" s="22">
        <f>'Activity data'!BD48*ttokg*FracGASM*MSVolatEF*NtoN2O*kgtoGg</f>
        <v>8.6769708863036962E-3</v>
      </c>
      <c r="AL1511" s="22">
        <f>'Activity data'!BE48*ttokg*FracGASM*MSVolatEF*NtoN2O*kgtoGg</f>
        <v>8.6744361134063527E-3</v>
      </c>
      <c r="AM1511" s="22">
        <f>'Activity data'!BF48*ttokg*FracGASM*MSVolatEF*NtoN2O*kgtoGg</f>
        <v>8.6719717989588319E-3</v>
      </c>
      <c r="AN1511" s="22">
        <f>'Activity data'!BG48*ttokg*FracGASM*MSVolatEF*NtoN2O*kgtoGg</f>
        <v>8.6695684147881907E-3</v>
      </c>
      <c r="AO1511" s="22">
        <f>'Activity data'!BH48*ttokg*FracGASM*MSVolatEF*NtoN2O*kgtoGg</f>
        <v>8.6670324922621354E-3</v>
      </c>
      <c r="AP1511" s="22">
        <f>'Activity data'!BI48*ttokg*FracGASM*MSVolatEF*NtoN2O*kgtoGg</f>
        <v>8.6646431414936359E-3</v>
      </c>
      <c r="AQ1511" s="22">
        <f>'Activity data'!BJ48*ttokg*FracGASM*MSVolatEF*NtoN2O*kgtoGg</f>
        <v>8.6622232802753101E-3</v>
      </c>
      <c r="AR1511" s="22">
        <f>'Activity data'!BK48*ttokg*FracGASM*MSVolatEF*NtoN2O*kgtoGg</f>
        <v>8.6597658162018594E-3</v>
      </c>
      <c r="AS1511" s="22">
        <f>'Activity data'!BL48*ttokg*FracGASM*MSVolatEF*NtoN2O*kgtoGg</f>
        <v>8.6572586114863365E-3</v>
      </c>
      <c r="AT1511" s="22">
        <f>'Activity data'!BM48*ttokg*FracGASM*MSVolatEF*NtoN2O*kgtoGg</f>
        <v>8.6547121262351596E-3</v>
      </c>
      <c r="AU1511" s="22">
        <f>'Activity data'!BN48*ttokg*FracGASM*MSVolatEF*NtoN2O*kgtoGg</f>
        <v>8.6539296818769745E-3</v>
      </c>
      <c r="AV1511" s="22">
        <f>'Activity data'!BO48*ttokg*FracGASM*MSVolatEF*NtoN2O*kgtoGg</f>
        <v>8.6533116762315225E-3</v>
      </c>
      <c r="AW1511" s="22">
        <f>'Activity data'!BP48*ttokg*FracGASM*MSVolatEF*NtoN2O*kgtoGg</f>
        <v>8.6529266587697939E-3</v>
      </c>
    </row>
    <row r="1512" spans="1:49" x14ac:dyDescent="0.3">
      <c r="A1512" s="95" t="s">
        <v>960</v>
      </c>
      <c r="B1512" s="95"/>
      <c r="C1512" s="95"/>
      <c r="D1512" t="str">
        <f t="shared" ref="D1512:F1527" si="572">D1511</f>
        <v>3C Aggregated and non-CO2 emissions on land</v>
      </c>
      <c r="E1512" t="str">
        <f t="shared" si="572"/>
        <v>3C5 Indirect N2O from managed soils (N2O)</v>
      </c>
      <c r="F1512" t="str">
        <f t="shared" si="572"/>
        <v>Volatilisation</v>
      </c>
      <c r="G1512" t="s">
        <v>437</v>
      </c>
      <c r="H1512" t="str">
        <f t="shared" si="563"/>
        <v>Volatilisation - Managed manure</v>
      </c>
      <c r="I1512" t="str">
        <f t="shared" si="571"/>
        <v>N2O</v>
      </c>
      <c r="J1512" t="str">
        <f t="shared" si="570"/>
        <v>Gg N2O</v>
      </c>
      <c r="K1512" s="22">
        <f>SUM('Activity data'!AD50:AD65)*FracGASM*MSVolatEF*NtoN2O*kgtoGg</f>
        <v>1.2008407282256135</v>
      </c>
      <c r="L1512" s="22">
        <f>SUM('Activity data'!AE50:AE65)*FracGASM*MSVolatEF*NtoN2O*kgtoGg</f>
        <v>1.201903510760759</v>
      </c>
      <c r="M1512" s="22">
        <f>SUM('Activity data'!AF50:AF65)*FracGASM*MSVolatEF*NtoN2O*kgtoGg</f>
        <v>1.2088775122881088</v>
      </c>
      <c r="N1512" s="22">
        <f>SUM('Activity data'!AG50:AG65)*FracGASM*MSVolatEF*NtoN2O*kgtoGg</f>
        <v>1.2055442230548155</v>
      </c>
      <c r="O1512" s="22">
        <f>SUM('Activity data'!AH50:AH65)*FracGASM*MSVolatEF*NtoN2O*kgtoGg</f>
        <v>1.195843583832628</v>
      </c>
      <c r="P1512" s="22">
        <f>SUM('Activity data'!AI50:AI65)*FracGASM*MSVolatEF*NtoN2O*kgtoGg</f>
        <v>1.1799964998501222</v>
      </c>
      <c r="Q1512" s="22">
        <f>SUM('Activity data'!AJ50:AJ65)*FracGASM*MSVolatEF*NtoN2O*kgtoGg</f>
        <v>1.169776622170569</v>
      </c>
      <c r="R1512" s="22">
        <f>SUM('Activity data'!AK50:AK65)*FracGASM*MSVolatEF*NtoN2O*kgtoGg</f>
        <v>1.1606871439933113</v>
      </c>
      <c r="S1512" s="22">
        <f>SUM('Activity data'!AL50:AL65)*FracGASM*MSVolatEF*NtoN2O*kgtoGg</f>
        <v>1.0501974396641209</v>
      </c>
      <c r="T1512" s="22">
        <f>SUM('Activity data'!AM50:AM65)*FracGASM*MSVolatEF*NtoN2O*kgtoGg</f>
        <v>1.0703473698117068</v>
      </c>
      <c r="U1512" s="22">
        <f>SUM('Activity data'!AN50:AN65)*FracGASM*MSVolatEF*NtoN2O*kgtoGg</f>
        <v>1.1035346153332457</v>
      </c>
      <c r="V1512" s="22">
        <f>SUM('Activity data'!AO50:AO65)*FracGASM*MSVolatEF*NtoN2O*kgtoGg</f>
        <v>1.1150489977959306</v>
      </c>
      <c r="W1512" s="22">
        <f>SUM('Activity data'!AP50:AP65)*FracGASM*MSVolatEF*NtoN2O*kgtoGg</f>
        <v>1.1291994422976275</v>
      </c>
      <c r="X1512" s="22">
        <f>SUM('Activity data'!AQ50:AQ65)*FracGASM*MSVolatEF*NtoN2O*kgtoGg</f>
        <v>1.1467521172180308</v>
      </c>
      <c r="Y1512" s="22">
        <f>SUM('Activity data'!AR50:AR65)*FracGASM*MSVolatEF*NtoN2O*kgtoGg</f>
        <v>1.1661924411251976</v>
      </c>
      <c r="Z1512" s="22">
        <f>SUM('Activity data'!AS50:AS65)*FracGASM*MSVolatEF*NtoN2O*kgtoGg</f>
        <v>1.1881766019612736</v>
      </c>
      <c r="AA1512" s="22">
        <f>SUM('Activity data'!AT50:AT65)*FracGASM*MSVolatEF*NtoN2O*kgtoGg</f>
        <v>1.2105548738562886</v>
      </c>
      <c r="AB1512" s="22">
        <f>SUM('Activity data'!AU50:AU65)*FracGASM*MSVolatEF*NtoN2O*kgtoGg</f>
        <v>1.2352132344527478</v>
      </c>
      <c r="AC1512" s="22">
        <f>SUM('Activity data'!AV50:AV65)*FracGASM*MSVolatEF*NtoN2O*kgtoGg</f>
        <v>1.2600610700998878</v>
      </c>
      <c r="AD1512" s="22">
        <f>SUM('Activity data'!AW50:AW65)*FracGASM*MSVolatEF*NtoN2O*kgtoGg</f>
        <v>1.2841695325772586</v>
      </c>
      <c r="AE1512" s="22">
        <f>SUM('Activity data'!AX50:AX65)*FracGASM*MSVolatEF*NtoN2O*kgtoGg</f>
        <v>1.3069035937836597</v>
      </c>
      <c r="AF1512" s="22">
        <f>SUM('Activity data'!AY50:AY65)*FracGASM*MSVolatEF*NtoN2O*kgtoGg</f>
        <v>1.3308885489727156</v>
      </c>
      <c r="AG1512" s="22">
        <f>SUM('Activity data'!AZ50:AZ65)*FracGASM*MSVolatEF*NtoN2O*kgtoGg</f>
        <v>1.3591357613410466</v>
      </c>
      <c r="AH1512" s="22">
        <f>SUM('Activity data'!BA50:BA65)*FracGASM*MSVolatEF*NtoN2O*kgtoGg</f>
        <v>1.3843151170507964</v>
      </c>
      <c r="AI1512" s="22">
        <f>SUM('Activity data'!BB50:BB65)*FracGASM*MSVolatEF*NtoN2O*kgtoGg</f>
        <v>1.4109607447095132</v>
      </c>
      <c r="AJ1512" s="22">
        <f>SUM('Activity data'!BC50:BC65)*FracGASM*MSVolatEF*NtoN2O*kgtoGg</f>
        <v>1.439613035796105</v>
      </c>
      <c r="AK1512" s="22">
        <f>SUM('Activity data'!BD50:BD65)*FracGASM*MSVolatEF*NtoN2O*kgtoGg</f>
        <v>1.4645872559628428</v>
      </c>
      <c r="AL1512" s="22">
        <f>SUM('Activity data'!BE50:BE65)*FracGASM*MSVolatEF*NtoN2O*kgtoGg</f>
        <v>1.4885153057402958</v>
      </c>
      <c r="AM1512" s="22">
        <f>SUM('Activity data'!BF50:BF65)*FracGASM*MSVolatEF*NtoN2O*kgtoGg</f>
        <v>1.5115373270459393</v>
      </c>
      <c r="AN1512" s="22">
        <f>SUM('Activity data'!BG50:BG65)*FracGASM*MSVolatEF*NtoN2O*kgtoGg</f>
        <v>1.5400585132402391</v>
      </c>
      <c r="AO1512" s="22">
        <f>SUM('Activity data'!BH50:BH65)*FracGASM*MSVolatEF*NtoN2O*kgtoGg</f>
        <v>1.5662225533166572</v>
      </c>
      <c r="AP1512" s="22">
        <f>SUM('Activity data'!BI50:BI65)*FracGASM*MSVolatEF*NtoN2O*kgtoGg</f>
        <v>1.593267491108957</v>
      </c>
      <c r="AQ1512" s="22">
        <f>SUM('Activity data'!BJ50:BJ65)*FracGASM*MSVolatEF*NtoN2O*kgtoGg</f>
        <v>1.6213524132646824</v>
      </c>
      <c r="AR1512" s="22">
        <f>SUM('Activity data'!BK50:BK65)*FracGASM*MSVolatEF*NtoN2O*kgtoGg</f>
        <v>1.6507413943805305</v>
      </c>
      <c r="AS1512" s="22">
        <f>SUM('Activity data'!BL50:BL65)*FracGASM*MSVolatEF*NtoN2O*kgtoGg</f>
        <v>1.6812851986409043</v>
      </c>
      <c r="AT1512" s="22">
        <f>SUM('Activity data'!BM50:BM65)*FracGASM*MSVolatEF*NtoN2O*kgtoGg</f>
        <v>1.6777302811702246</v>
      </c>
      <c r="AU1512" s="22">
        <f>SUM('Activity data'!BN50:BN65)*FracGASM*MSVolatEF*NtoN2O*kgtoGg</f>
        <v>1.6711130643184777</v>
      </c>
      <c r="AV1512" s="22">
        <f>SUM('Activity data'!BO50:BO65)*FracGASM*MSVolatEF*NtoN2O*kgtoGg</f>
        <v>1.6601731404367381</v>
      </c>
      <c r="AW1512" s="22">
        <f>SUM('Activity data'!BP50:BP65)*FracGASM*MSVolatEF*NtoN2O*kgtoGg</f>
        <v>1.6481045233312475</v>
      </c>
    </row>
    <row r="1513" spans="1:49" x14ac:dyDescent="0.3">
      <c r="A1513" s="95" t="s">
        <v>960</v>
      </c>
      <c r="B1513" s="95"/>
      <c r="C1513" s="95"/>
      <c r="D1513" t="str">
        <f t="shared" si="572"/>
        <v>3C Aggregated and non-CO2 emissions on land</v>
      </c>
      <c r="E1513" t="str">
        <f t="shared" si="572"/>
        <v>3C5 Indirect N2O from managed soils (N2O)</v>
      </c>
      <c r="F1513" t="str">
        <f t="shared" si="572"/>
        <v>Volatilisation</v>
      </c>
      <c r="G1513" t="s">
        <v>438</v>
      </c>
      <c r="H1513" t="str">
        <f t="shared" si="563"/>
        <v>Volatilisation - Urine &amp; dung</v>
      </c>
      <c r="I1513" t="str">
        <f t="shared" si="571"/>
        <v>N2O</v>
      </c>
      <c r="J1513" t="str">
        <f t="shared" si="570"/>
        <v>Gg N2O</v>
      </c>
      <c r="K1513" s="22">
        <f>SUM('Activity data'!AD66:AD81)*FracGASM*MSVolatEF*NtoN2O*kgtoGg</f>
        <v>4.3975799639737048</v>
      </c>
      <c r="L1513" s="22">
        <f>SUM('Activity data'!AE66:AE81)*FracGASM*MSVolatEF*NtoN2O*kgtoGg</f>
        <v>4.3787767883653972</v>
      </c>
      <c r="M1513" s="22">
        <f>SUM('Activity data'!AF66:AF81)*FracGASM*MSVolatEF*NtoN2O*kgtoGg</f>
        <v>4.3752716537638934</v>
      </c>
      <c r="N1513" s="22">
        <f>SUM('Activity data'!AG66:AG81)*FracGASM*MSVolatEF*NtoN2O*kgtoGg</f>
        <v>4.3473821211305594</v>
      </c>
      <c r="O1513" s="22">
        <f>SUM('Activity data'!AH66:AH81)*FracGASM*MSVolatEF*NtoN2O*kgtoGg</f>
        <v>4.3052096453824609</v>
      </c>
      <c r="P1513" s="22">
        <f>SUM('Activity data'!AI66:AI81)*FracGASM*MSVolatEF*NtoN2O*kgtoGg</f>
        <v>4.2496956169043703</v>
      </c>
      <c r="Q1513" s="22">
        <f>SUM('Activity data'!AJ66:AJ81)*FracGASM*MSVolatEF*NtoN2O*kgtoGg</f>
        <v>4.2083609134426787</v>
      </c>
      <c r="R1513" s="22">
        <f>SUM('Activity data'!AK66:AK81)*FracGASM*MSVolatEF*NtoN2O*kgtoGg</f>
        <v>4.1703852155628214</v>
      </c>
      <c r="S1513" s="22">
        <f>SUM('Activity data'!AL66:AL81)*FracGASM*MSVolatEF*NtoN2O*kgtoGg</f>
        <v>3.900775371515369</v>
      </c>
      <c r="T1513" s="22">
        <f>SUM('Activity data'!AM66:AM81)*FracGASM*MSVolatEF*NtoN2O*kgtoGg</f>
        <v>3.9381596254461564</v>
      </c>
      <c r="U1513" s="22">
        <f>SUM('Activity data'!AN66:AN81)*FracGASM*MSVolatEF*NtoN2O*kgtoGg</f>
        <v>4.0049157346570068</v>
      </c>
      <c r="V1513" s="22">
        <f>SUM('Activity data'!AO66:AO81)*FracGASM*MSVolatEF*NtoN2O*kgtoGg</f>
        <v>4.0223863253045398</v>
      </c>
      <c r="W1513" s="22">
        <f>SUM('Activity data'!AP66:AP81)*FracGASM*MSVolatEF*NtoN2O*kgtoGg</f>
        <v>4.045795803072969</v>
      </c>
      <c r="X1513" s="22">
        <f>SUM('Activity data'!AQ66:AQ81)*FracGASM*MSVolatEF*NtoN2O*kgtoGg</f>
        <v>4.0767188563085508</v>
      </c>
      <c r="Y1513" s="22">
        <f>SUM('Activity data'!AR66:AR81)*FracGASM*MSVolatEF*NtoN2O*kgtoGg</f>
        <v>4.1095287399075264</v>
      </c>
      <c r="Z1513" s="22">
        <f>SUM('Activity data'!AS66:AS81)*FracGASM*MSVolatEF*NtoN2O*kgtoGg</f>
        <v>4.1476787731521458</v>
      </c>
      <c r="AA1513" s="22">
        <f>SUM('Activity data'!AT66:AT81)*FracGASM*MSVolatEF*NtoN2O*kgtoGg</f>
        <v>4.1863566801857406</v>
      </c>
      <c r="AB1513" s="22">
        <f>SUM('Activity data'!AU66:AU81)*FracGASM*MSVolatEF*NtoN2O*kgtoGg</f>
        <v>4.2296218376851549</v>
      </c>
      <c r="AC1513" s="22">
        <f>SUM('Activity data'!AV66:AV81)*FracGASM*MSVolatEF*NtoN2O*kgtoGg</f>
        <v>4.2728604404281354</v>
      </c>
      <c r="AD1513" s="22">
        <f>SUM('Activity data'!AW66:AW81)*FracGASM*MSVolatEF*NtoN2O*kgtoGg</f>
        <v>4.3024697400350007</v>
      </c>
      <c r="AE1513" s="22">
        <f>SUM('Activity data'!AX66:AX81)*FracGASM*MSVolatEF*NtoN2O*kgtoGg</f>
        <v>4.3280485976783627</v>
      </c>
      <c r="AF1513" s="22">
        <f>SUM('Activity data'!AY66:AY81)*FracGASM*MSVolatEF*NtoN2O*kgtoGg</f>
        <v>4.3551413116429245</v>
      </c>
      <c r="AG1513" s="22">
        <f>SUM('Activity data'!AZ66:AZ81)*FracGASM*MSVolatEF*NtoN2O*kgtoGg</f>
        <v>4.3898514432989648</v>
      </c>
      <c r="AH1513" s="22">
        <f>SUM('Activity data'!BA66:BA81)*FracGASM*MSVolatEF*NtoN2O*kgtoGg</f>
        <v>4.4168796997123483</v>
      </c>
      <c r="AI1513" s="22">
        <f>SUM('Activity data'!BB66:BB81)*FracGASM*MSVolatEF*NtoN2O*kgtoGg</f>
        <v>4.4439671933106792</v>
      </c>
      <c r="AJ1513" s="22">
        <f>SUM('Activity data'!BC66:BC81)*FracGASM*MSVolatEF*NtoN2O*kgtoGg</f>
        <v>4.4736413932482595</v>
      </c>
      <c r="AK1513" s="22">
        <f>SUM('Activity data'!BD66:BD81)*FracGASM*MSVolatEF*NtoN2O*kgtoGg</f>
        <v>4.4945161300843504</v>
      </c>
      <c r="AL1513" s="22">
        <f>SUM('Activity data'!BE66:BE81)*FracGASM*MSVolatEF*NtoN2O*kgtoGg</f>
        <v>4.5119473605235276</v>
      </c>
      <c r="AM1513" s="22">
        <f>SUM('Activity data'!BF66:BF81)*FracGASM*MSVolatEF*NtoN2O*kgtoGg</f>
        <v>4.5262479592108207</v>
      </c>
      <c r="AN1513" s="22">
        <f>SUM('Activity data'!BG66:BG81)*FracGASM*MSVolatEF*NtoN2O*kgtoGg</f>
        <v>4.5552825489057529</v>
      </c>
      <c r="AO1513" s="22">
        <f>SUM('Activity data'!BH66:BH81)*FracGASM*MSVolatEF*NtoN2O*kgtoGg</f>
        <v>4.5786902056870105</v>
      </c>
      <c r="AP1513" s="22">
        <f>SUM('Activity data'!BI66:BI81)*FracGASM*MSVolatEF*NtoN2O*kgtoGg</f>
        <v>4.6026259938264094</v>
      </c>
      <c r="AQ1513" s="22">
        <f>SUM('Activity data'!BJ66:BJ81)*FracGASM*MSVolatEF*NtoN2O*kgtoGg</f>
        <v>4.6273110032913349</v>
      </c>
      <c r="AR1513" s="22">
        <f>SUM('Activity data'!BK66:BK81)*FracGASM*MSVolatEF*NtoN2O*kgtoGg</f>
        <v>4.6531442501292055</v>
      </c>
      <c r="AS1513" s="22">
        <f>SUM('Activity data'!BL66:BL81)*FracGASM*MSVolatEF*NtoN2O*kgtoGg</f>
        <v>4.6782746913590252</v>
      </c>
      <c r="AT1513" s="22">
        <f>SUM('Activity data'!BM66:BM81)*FracGASM*MSVolatEF*NtoN2O*kgtoGg</f>
        <v>4.6412320099960542</v>
      </c>
      <c r="AU1513" s="22">
        <f>SUM('Activity data'!BN66:BN81)*FracGASM*MSVolatEF*NtoN2O*kgtoGg</f>
        <v>4.5987998522947482</v>
      </c>
      <c r="AV1513" s="22">
        <f>SUM('Activity data'!BO66:BO81)*FracGASM*MSVolatEF*NtoN2O*kgtoGg</f>
        <v>4.5489683571490982</v>
      </c>
      <c r="AW1513" s="22">
        <f>SUM('Activity data'!BP66:BP81)*FracGASM*MSVolatEF*NtoN2O*kgtoGg</f>
        <v>4.4975013733577454</v>
      </c>
    </row>
    <row r="1514" spans="1:49" x14ac:dyDescent="0.3">
      <c r="A1514" s="95" t="s">
        <v>960</v>
      </c>
      <c r="B1514" s="95"/>
      <c r="C1514" s="95"/>
      <c r="D1514" t="str">
        <f t="shared" si="572"/>
        <v>3C Aggregated and non-CO2 emissions on land</v>
      </c>
      <c r="E1514" t="str">
        <f t="shared" si="572"/>
        <v>3C5 Indirect N2O from managed soils (N2O)</v>
      </c>
      <c r="F1514" t="str">
        <f>'IPCC Categories'!C79</f>
        <v>Leaching/runoff</v>
      </c>
      <c r="G1514" t="str">
        <f>G1510</f>
        <v xml:space="preserve"> - Synthetic fertlisers</v>
      </c>
      <c r="H1514" t="str">
        <f t="shared" si="563"/>
        <v>Leaching/runoff - Synthetic fertlisers</v>
      </c>
      <c r="I1514" t="str">
        <f t="shared" si="571"/>
        <v>N2O</v>
      </c>
      <c r="J1514" t="str">
        <f t="shared" si="570"/>
        <v>Gg N2O</v>
      </c>
      <c r="K1514" s="22">
        <f>'Activity data'!AD47*FracLEACH*MSLeachEF*NtoN2O*kgtoGg</f>
        <v>2.2792360161858692E-4</v>
      </c>
      <c r="L1514" s="22">
        <f>'Activity data'!AE47*FracLEACH*MSLeachEF*NtoN2O*kgtoGg</f>
        <v>2.2790093553774266E-4</v>
      </c>
      <c r="M1514" s="22">
        <f>'Activity data'!AF47*FracLEACH*MSLeachEF*NtoN2O*kgtoGg</f>
        <v>2.278593788421324E-4</v>
      </c>
      <c r="N1514" s="22">
        <f>'Activity data'!AG47*FracLEACH*MSLeachEF*NtoN2O*kgtoGg</f>
        <v>2.2780970825918929E-4</v>
      </c>
      <c r="O1514" s="22">
        <f>'Activity data'!AH47*FracLEACH*MSLeachEF*NtoN2O*kgtoGg</f>
        <v>2.277761536871344E-4</v>
      </c>
      <c r="P1514" s="22">
        <f>'Activity data'!AI47*FracLEACH*MSLeachEF*NtoN2O*kgtoGg</f>
        <v>2.2775306232797126E-4</v>
      </c>
      <c r="Q1514" s="22">
        <f>'Activity data'!AJ47*FracLEACH*MSLeachEF*NtoN2O*kgtoGg</f>
        <v>2.2774041756527976E-4</v>
      </c>
      <c r="R1514" s="22">
        <f>'Activity data'!AK47*FracLEACH*MSLeachEF*NtoN2O*kgtoGg</f>
        <v>2.2771996066053992E-4</v>
      </c>
      <c r="S1514" s="22">
        <f>'Activity data'!AL47*FracLEACH*MSLeachEF*NtoN2O*kgtoGg</f>
        <v>2.2769847220449889E-4</v>
      </c>
      <c r="T1514" s="22">
        <f>'Activity data'!AM47*FracLEACH*MSLeachEF*NtoN2O*kgtoGg</f>
        <v>2.2784783983581601E-4</v>
      </c>
      <c r="U1514" s="22">
        <f>'Activity data'!AN47*FracLEACH*MSLeachEF*NtoN2O*kgtoGg</f>
        <v>2.2778861051780079E-4</v>
      </c>
      <c r="V1514" s="22">
        <f>'Activity data'!AO47*FracLEACH*MSLeachEF*NtoN2O*kgtoGg</f>
        <v>2.2770777253754449E-4</v>
      </c>
      <c r="W1514" s="22">
        <f>'Activity data'!AP47*FracLEACH*MSLeachEF*NtoN2O*kgtoGg</f>
        <v>2.2766433280255099E-4</v>
      </c>
      <c r="X1514" s="22">
        <f>'Activity data'!AQ47*FracLEACH*MSLeachEF*NtoN2O*kgtoGg</f>
        <v>2.2761682214603963E-4</v>
      </c>
      <c r="Y1514" s="22">
        <f>'Activity data'!AR47*FracLEACH*MSLeachEF*NtoN2O*kgtoGg</f>
        <v>2.2756399965202255E-4</v>
      </c>
      <c r="Z1514" s="22">
        <f>'Activity data'!AS47*FracLEACH*MSLeachEF*NtoN2O*kgtoGg</f>
        <v>2.2750855106580306E-4</v>
      </c>
      <c r="AA1514" s="22">
        <f>'Activity data'!AT47*FracLEACH*MSLeachEF*NtoN2O*kgtoGg</f>
        <v>2.2744937410212421E-4</v>
      </c>
      <c r="AB1514" s="22">
        <f>'Activity data'!AU47*FracLEACH*MSLeachEF*NtoN2O*kgtoGg</f>
        <v>2.273900694399806E-4</v>
      </c>
      <c r="AC1514" s="22">
        <f>'Activity data'!AV47*FracLEACH*MSLeachEF*NtoN2O*kgtoGg</f>
        <v>2.27327608934121E-4</v>
      </c>
      <c r="AD1514" s="22">
        <f>'Activity data'!AW47*FracLEACH*MSLeachEF*NtoN2O*kgtoGg</f>
        <v>2.2726542703693366E-4</v>
      </c>
      <c r="AE1514" s="22">
        <f>'Activity data'!AX47*FracLEACH*MSLeachEF*NtoN2O*kgtoGg</f>
        <v>2.2719801149524835E-4</v>
      </c>
      <c r="AF1514" s="22">
        <f>'Activity data'!AY47*FracLEACH*MSLeachEF*NtoN2O*kgtoGg</f>
        <v>2.2713308086967036E-4</v>
      </c>
      <c r="AG1514" s="22">
        <f>'Activity data'!AZ47*FracLEACH*MSLeachEF*NtoN2O*kgtoGg</f>
        <v>2.2706650673440042E-4</v>
      </c>
      <c r="AH1514" s="22">
        <f>'Activity data'!BA47*FracLEACH*MSLeachEF*NtoN2O*kgtoGg</f>
        <v>2.2699372559445836E-4</v>
      </c>
      <c r="AI1514" s="22">
        <f>'Activity data'!BB47*FracLEACH*MSLeachEF*NtoN2O*kgtoGg</f>
        <v>2.2692604502406438E-4</v>
      </c>
      <c r="AJ1514" s="22">
        <f>'Activity data'!BC47*FracLEACH*MSLeachEF*NtoN2O*kgtoGg</f>
        <v>2.2685655063885179E-4</v>
      </c>
      <c r="AK1514" s="22">
        <f>'Activity data'!BD47*FracLEACH*MSLeachEF*NtoN2O*kgtoGg</f>
        <v>2.2678446634657377E-4</v>
      </c>
      <c r="AL1514" s="22">
        <f>'Activity data'!BE47*FracLEACH*MSLeachEF*NtoN2O*kgtoGg</f>
        <v>2.2671821660039324E-4</v>
      </c>
      <c r="AM1514" s="22">
        <f>'Activity data'!BF47*FracLEACH*MSLeachEF*NtoN2O*kgtoGg</f>
        <v>2.2665380838187847E-4</v>
      </c>
      <c r="AN1514" s="22">
        <f>'Activity data'!BG47*FracLEACH*MSLeachEF*NtoN2O*kgtoGg</f>
        <v>2.2659099265923683E-4</v>
      </c>
      <c r="AO1514" s="22">
        <f>'Activity data'!BH47*FracLEACH*MSLeachEF*NtoN2O*kgtoGg</f>
        <v>2.2652471286594214E-4</v>
      </c>
      <c r="AP1514" s="22">
        <f>'Activity data'!BI47*FracLEACH*MSLeachEF*NtoN2O*kgtoGg</f>
        <v>2.2646226392540174E-4</v>
      </c>
      <c r="AQ1514" s="22">
        <f>'Activity data'!BJ47*FracLEACH*MSLeachEF*NtoN2O*kgtoGg</f>
        <v>2.2639901755265007E-4</v>
      </c>
      <c r="AR1514" s="22">
        <f>'Activity data'!BK47*FracLEACH*MSLeachEF*NtoN2O*kgtoGg</f>
        <v>2.2633478837800309E-4</v>
      </c>
      <c r="AS1514" s="22">
        <f>'Activity data'!BL47*FracLEACH*MSLeachEF*NtoN2O*kgtoGg</f>
        <v>2.2626925916384739E-4</v>
      </c>
      <c r="AT1514" s="22">
        <f>'Activity data'!BM47*FracLEACH*MSLeachEF*NtoN2O*kgtoGg</f>
        <v>2.2620270329932796E-4</v>
      </c>
      <c r="AU1514" s="22">
        <f>'Activity data'!BN47*FracLEACH*MSLeachEF*NtoN2O*kgtoGg</f>
        <v>2.261822530490572E-4</v>
      </c>
      <c r="AV1514" s="22">
        <f>'Activity data'!BO47*FracLEACH*MSLeachEF*NtoN2O*kgtoGg</f>
        <v>2.2616610062877842E-4</v>
      </c>
      <c r="AW1514" s="22">
        <f>'Activity data'!BP47*FracLEACH*MSLeachEF*NtoN2O*kgtoGg</f>
        <v>2.2615603767239231E-4</v>
      </c>
    </row>
    <row r="1515" spans="1:49" x14ac:dyDescent="0.3">
      <c r="A1515" s="95" t="s">
        <v>960</v>
      </c>
      <c r="B1515" s="95"/>
      <c r="C1515" s="95"/>
      <c r="D1515" t="str">
        <f t="shared" si="572"/>
        <v>3C Aggregated and non-CO2 emissions on land</v>
      </c>
      <c r="E1515" t="str">
        <f t="shared" si="572"/>
        <v>3C5 Indirect N2O from managed soils (N2O)</v>
      </c>
      <c r="F1515" t="str">
        <f t="shared" si="572"/>
        <v>Leaching/runoff</v>
      </c>
      <c r="G1515" t="str">
        <f t="shared" ref="G1515:G1517" si="573">G1511</f>
        <v xml:space="preserve"> - Organic fertilisers</v>
      </c>
      <c r="H1515" t="str">
        <f t="shared" si="563"/>
        <v>Leaching/runoff - Organic fertilisers</v>
      </c>
      <c r="I1515" t="str">
        <f t="shared" si="571"/>
        <v>N2O</v>
      </c>
      <c r="J1515" t="str">
        <f t="shared" si="570"/>
        <v>Gg N2O</v>
      </c>
      <c r="K1515" s="22">
        <f>'Activity data'!AD48*FracLEACH*MSLeachEF*NtoN2O*kgtoGg</f>
        <v>1.5042957706826741E-6</v>
      </c>
      <c r="L1515" s="22">
        <f>'Activity data'!AE48*FracLEACH*MSLeachEF*NtoN2O*kgtoGg</f>
        <v>1.5041461745491019E-6</v>
      </c>
      <c r="M1515" s="22">
        <f>'Activity data'!AF48*FracLEACH*MSLeachEF*NtoN2O*kgtoGg</f>
        <v>1.5038719003580737E-6</v>
      </c>
      <c r="N1515" s="22">
        <f>'Activity data'!AG48*FracLEACH*MSLeachEF*NtoN2O*kgtoGg</f>
        <v>1.5035440745106496E-6</v>
      </c>
      <c r="O1515" s="22">
        <f>'Activity data'!AH48*FracLEACH*MSLeachEF*NtoN2O*kgtoGg</f>
        <v>1.5033226143350872E-6</v>
      </c>
      <c r="P1515" s="22">
        <f>'Activity data'!AI48*FracLEACH*MSLeachEF*NtoN2O*kgtoGg</f>
        <v>1.5031702113646103E-6</v>
      </c>
      <c r="Q1515" s="22">
        <f>'Activity data'!AJ48*FracLEACH*MSLeachEF*NtoN2O*kgtoGg</f>
        <v>1.5030867559308466E-6</v>
      </c>
      <c r="R1515" s="22">
        <f>'Activity data'!AK48*FracLEACH*MSLeachEF*NtoN2O*kgtoGg</f>
        <v>1.5029517403595637E-6</v>
      </c>
      <c r="S1515" s="22">
        <f>'Activity data'!AL48*FracLEACH*MSLeachEF*NtoN2O*kgtoGg</f>
        <v>1.5028099165496928E-6</v>
      </c>
      <c r="T1515" s="22">
        <f>'Activity data'!AM48*FracLEACH*MSLeachEF*NtoN2O*kgtoGg</f>
        <v>1.503795742916386E-6</v>
      </c>
      <c r="U1515" s="22">
        <f>'Activity data'!AN48*FracLEACH*MSLeachEF*NtoN2O*kgtoGg</f>
        <v>1.5034048294174857E-6</v>
      </c>
      <c r="V1515" s="22">
        <f>'Activity data'!AO48*FracLEACH*MSLeachEF*NtoN2O*kgtoGg</f>
        <v>1.502871298747794E-6</v>
      </c>
      <c r="W1515" s="22">
        <f>'Activity data'!AP48*FracLEACH*MSLeachEF*NtoN2O*kgtoGg</f>
        <v>1.5025845964968368E-6</v>
      </c>
      <c r="X1515" s="22">
        <f>'Activity data'!AQ48*FracLEACH*MSLeachEF*NtoN2O*kgtoGg</f>
        <v>1.5022710261638614E-6</v>
      </c>
      <c r="Y1515" s="22">
        <f>'Activity data'!AR48*FracLEACH*MSLeachEF*NtoN2O*kgtoGg</f>
        <v>1.5019223977033493E-6</v>
      </c>
      <c r="Z1515" s="22">
        <f>'Activity data'!AS48*FracLEACH*MSLeachEF*NtoN2O*kgtoGg</f>
        <v>1.5015564370343004E-6</v>
      </c>
      <c r="AA1515" s="22">
        <f>'Activity data'!AT48*FracLEACH*MSLeachEF*NtoN2O*kgtoGg</f>
        <v>1.5011658690740202E-6</v>
      </c>
      <c r="AB1515" s="22">
        <f>'Activity data'!AU48*FracLEACH*MSLeachEF*NtoN2O*kgtoGg</f>
        <v>1.500774458303872E-6</v>
      </c>
      <c r="AC1515" s="22">
        <f>'Activity data'!AV48*FracLEACH*MSLeachEF*NtoN2O*kgtoGg</f>
        <v>1.5003622189651987E-6</v>
      </c>
      <c r="AD1515" s="22">
        <f>'Activity data'!AW48*FracLEACH*MSLeachEF*NtoN2O*kgtoGg</f>
        <v>1.4999518184437622E-6</v>
      </c>
      <c r="AE1515" s="22">
        <f>'Activity data'!AX48*FracLEACH*MSLeachEF*NtoN2O*kgtoGg</f>
        <v>1.4995068758686393E-6</v>
      </c>
      <c r="AF1515" s="22">
        <f>'Activity data'!AY48*FracLEACH*MSLeachEF*NtoN2O*kgtoGg</f>
        <v>1.4990783337398247E-6</v>
      </c>
      <c r="AG1515" s="22">
        <f>'Activity data'!AZ48*FracLEACH*MSLeachEF*NtoN2O*kgtoGg</f>
        <v>1.498638944447043E-6</v>
      </c>
      <c r="AH1515" s="22">
        <f>'Activity data'!BA48*FracLEACH*MSLeachEF*NtoN2O*kgtoGg</f>
        <v>1.4981585889234254E-6</v>
      </c>
      <c r="AI1515" s="22">
        <f>'Activity data'!BB48*FracLEACH*MSLeachEF*NtoN2O*kgtoGg</f>
        <v>1.497711897158825E-6</v>
      </c>
      <c r="AJ1515" s="22">
        <f>'Activity data'!BC48*FracLEACH*MSLeachEF*NtoN2O*kgtoGg</f>
        <v>1.4972532342164218E-6</v>
      </c>
      <c r="AK1515" s="22">
        <f>'Activity data'!BD48*FracLEACH*MSLeachEF*NtoN2O*kgtoGg</f>
        <v>1.4967774778873874E-6</v>
      </c>
      <c r="AL1515" s="22">
        <f>'Activity data'!BE48*FracLEACH*MSLeachEF*NtoN2O*kgtoGg</f>
        <v>1.4963402295625958E-6</v>
      </c>
      <c r="AM1515" s="22">
        <f>'Activity data'!BF48*FracLEACH*MSLeachEF*NtoN2O*kgtoGg</f>
        <v>1.4959151353203979E-6</v>
      </c>
      <c r="AN1515" s="22">
        <f>'Activity data'!BG48*FracLEACH*MSLeachEF*NtoN2O*kgtoGg</f>
        <v>1.4955005515509629E-6</v>
      </c>
      <c r="AO1515" s="22">
        <f>'Activity data'!BH48*FracLEACH*MSLeachEF*NtoN2O*kgtoGg</f>
        <v>1.4950631049152183E-6</v>
      </c>
      <c r="AP1515" s="22">
        <f>'Activity data'!BI48*FracLEACH*MSLeachEF*NtoN2O*kgtoGg</f>
        <v>1.4946509419076516E-6</v>
      </c>
      <c r="AQ1515" s="22">
        <f>'Activity data'!BJ48*FracLEACH*MSLeachEF*NtoN2O*kgtoGg</f>
        <v>1.4942335158474905E-6</v>
      </c>
      <c r="AR1515" s="22">
        <f>'Activity data'!BK48*FracLEACH*MSLeachEF*NtoN2O*kgtoGg</f>
        <v>1.4938096032948206E-6</v>
      </c>
      <c r="AS1515" s="22">
        <f>'Activity data'!BL48*FracLEACH*MSLeachEF*NtoN2O*kgtoGg</f>
        <v>1.4933771104813929E-6</v>
      </c>
      <c r="AT1515" s="22">
        <f>'Activity data'!BM48*FracLEACH*MSLeachEF*NtoN2O*kgtoGg</f>
        <v>1.4929378417755646E-6</v>
      </c>
      <c r="AU1515" s="22">
        <f>'Activity data'!BN48*FracLEACH*MSLeachEF*NtoN2O*kgtoGg</f>
        <v>1.4928028701237777E-6</v>
      </c>
      <c r="AV1515" s="22">
        <f>'Activity data'!BO48*FracLEACH*MSLeachEF*NtoN2O*kgtoGg</f>
        <v>1.4926962641499375E-6</v>
      </c>
      <c r="AW1515" s="22">
        <f>'Activity data'!BP48*FracLEACH*MSLeachEF*NtoN2O*kgtoGg</f>
        <v>1.4926298486377895E-6</v>
      </c>
    </row>
    <row r="1516" spans="1:49" x14ac:dyDescent="0.3">
      <c r="A1516" s="95" t="s">
        <v>960</v>
      </c>
      <c r="B1516" s="95"/>
      <c r="C1516" s="95"/>
      <c r="D1516" t="str">
        <f t="shared" si="572"/>
        <v>3C Aggregated and non-CO2 emissions on land</v>
      </c>
      <c r="E1516" t="str">
        <f t="shared" si="572"/>
        <v>3C5 Indirect N2O from managed soils (N2O)</v>
      </c>
      <c r="F1516" t="str">
        <f t="shared" si="572"/>
        <v>Leaching/runoff</v>
      </c>
      <c r="G1516" t="str">
        <f t="shared" si="573"/>
        <v xml:space="preserve"> - Managed manure</v>
      </c>
      <c r="H1516" t="str">
        <f t="shared" si="563"/>
        <v>Leaching/runoff - Managed manure</v>
      </c>
      <c r="I1516" t="str">
        <f t="shared" si="571"/>
        <v>N2O</v>
      </c>
      <c r="J1516" t="str">
        <f t="shared" si="570"/>
        <v>Gg N2O</v>
      </c>
      <c r="K1516" s="22">
        <f>SUM('Activity data'!AD50:AD65)*FracLEACH*MSLeachEF*NtoN2O*kgtoGg</f>
        <v>0.20714502561891829</v>
      </c>
      <c r="L1516" s="22">
        <f>SUM('Activity data'!AE50:AE65)*FracLEACH*MSLeachEF*NtoN2O*kgtoGg</f>
        <v>0.20732835560623092</v>
      </c>
      <c r="M1516" s="22">
        <f>SUM('Activity data'!AF50:AF65)*FracLEACH*MSLeachEF*NtoN2O*kgtoGg</f>
        <v>0.20853137086969875</v>
      </c>
      <c r="N1516" s="22">
        <f>SUM('Activity data'!AG50:AG65)*FracLEACH*MSLeachEF*NtoN2O*kgtoGg</f>
        <v>0.20795637847695567</v>
      </c>
      <c r="O1516" s="22">
        <f>SUM('Activity data'!AH50:AH65)*FracLEACH*MSLeachEF*NtoN2O*kgtoGg</f>
        <v>0.20628301821112832</v>
      </c>
      <c r="P1516" s="22">
        <f>SUM('Activity data'!AI50:AI65)*FracLEACH*MSLeachEF*NtoN2O*kgtoGg</f>
        <v>0.20354939622414608</v>
      </c>
      <c r="Q1516" s="22">
        <f>SUM('Activity data'!AJ50:AJ65)*FracLEACH*MSLeachEF*NtoN2O*kgtoGg</f>
        <v>0.20178646732442315</v>
      </c>
      <c r="R1516" s="22">
        <f>SUM('Activity data'!AK50:AK65)*FracLEACH*MSLeachEF*NtoN2O*kgtoGg</f>
        <v>0.20021853233884618</v>
      </c>
      <c r="S1516" s="22">
        <f>SUM('Activity data'!AL50:AL65)*FracLEACH*MSLeachEF*NtoN2O*kgtoGg</f>
        <v>0.18115905834206086</v>
      </c>
      <c r="T1516" s="22">
        <f>SUM('Activity data'!AM50:AM65)*FracLEACH*MSLeachEF*NtoN2O*kgtoGg</f>
        <v>0.1846349212925194</v>
      </c>
      <c r="U1516" s="22">
        <f>SUM('Activity data'!AN50:AN65)*FracLEACH*MSLeachEF*NtoN2O*kgtoGg</f>
        <v>0.19035972114498487</v>
      </c>
      <c r="V1516" s="22">
        <f>SUM('Activity data'!AO50:AO65)*FracLEACH*MSLeachEF*NtoN2O*kgtoGg</f>
        <v>0.19234595211979802</v>
      </c>
      <c r="W1516" s="22">
        <f>SUM('Activity data'!AP50:AP65)*FracLEACH*MSLeachEF*NtoN2O*kgtoGg</f>
        <v>0.1947869037963407</v>
      </c>
      <c r="X1516" s="22">
        <f>SUM('Activity data'!AQ50:AQ65)*FracLEACH*MSLeachEF*NtoN2O*kgtoGg</f>
        <v>0.19781474022011031</v>
      </c>
      <c r="Y1516" s="22">
        <f>SUM('Activity data'!AR50:AR65)*FracLEACH*MSLeachEF*NtoN2O*kgtoGg</f>
        <v>0.20116819609409653</v>
      </c>
      <c r="Z1516" s="22">
        <f>SUM('Activity data'!AS50:AS65)*FracLEACH*MSLeachEF*NtoN2O*kgtoGg</f>
        <v>0.20496046383831973</v>
      </c>
      <c r="AA1516" s="22">
        <f>SUM('Activity data'!AT50:AT65)*FracLEACH*MSLeachEF*NtoN2O*kgtoGg</f>
        <v>0.20882071574020974</v>
      </c>
      <c r="AB1516" s="22">
        <f>SUM('Activity data'!AU50:AU65)*FracLEACH*MSLeachEF*NtoN2O*kgtoGg</f>
        <v>0.21307428294309891</v>
      </c>
      <c r="AC1516" s="22">
        <f>SUM('Activity data'!AV50:AV65)*FracLEACH*MSLeachEF*NtoN2O*kgtoGg</f>
        <v>0.21736053459223065</v>
      </c>
      <c r="AD1516" s="22">
        <f>SUM('Activity data'!AW50:AW65)*FracLEACH*MSLeachEF*NtoN2O*kgtoGg</f>
        <v>0.2215192443695771</v>
      </c>
      <c r="AE1516" s="22">
        <f>SUM('Activity data'!AX50:AX65)*FracLEACH*MSLeachEF*NtoN2O*kgtoGg</f>
        <v>0.22544086992768131</v>
      </c>
      <c r="AF1516" s="22">
        <f>SUM('Activity data'!AY50:AY65)*FracLEACH*MSLeachEF*NtoN2O*kgtoGg</f>
        <v>0.22957827469779338</v>
      </c>
      <c r="AG1516" s="22">
        <f>SUM('Activity data'!AZ50:AZ65)*FracLEACH*MSLeachEF*NtoN2O*kgtoGg</f>
        <v>0.23445091883133051</v>
      </c>
      <c r="AH1516" s="22">
        <f>SUM('Activity data'!BA50:BA65)*FracLEACH*MSLeachEF*NtoN2O*kgtoGg</f>
        <v>0.23879435769126237</v>
      </c>
      <c r="AI1516" s="22">
        <f>SUM('Activity data'!BB50:BB65)*FracLEACH*MSLeachEF*NtoN2O*kgtoGg</f>
        <v>0.24339072846239099</v>
      </c>
      <c r="AJ1516" s="22">
        <f>SUM('Activity data'!BC50:BC65)*FracLEACH*MSLeachEF*NtoN2O*kgtoGg</f>
        <v>0.24833324867482812</v>
      </c>
      <c r="AK1516" s="22">
        <f>SUM('Activity data'!BD50:BD65)*FracLEACH*MSLeachEF*NtoN2O*kgtoGg</f>
        <v>0.25264130165359039</v>
      </c>
      <c r="AL1516" s="22">
        <f>SUM('Activity data'!BE50:BE65)*FracLEACH*MSLeachEF*NtoN2O*kgtoGg</f>
        <v>0.256768890240201</v>
      </c>
      <c r="AM1516" s="22">
        <f>SUM('Activity data'!BF50:BF65)*FracLEACH*MSLeachEF*NtoN2O*kgtoGg</f>
        <v>0.26074018891542444</v>
      </c>
      <c r="AN1516" s="22">
        <f>SUM('Activity data'!BG50:BG65)*FracLEACH*MSLeachEF*NtoN2O*kgtoGg</f>
        <v>0.26566009353394121</v>
      </c>
      <c r="AO1516" s="22">
        <f>SUM('Activity data'!BH50:BH65)*FracLEACH*MSLeachEF*NtoN2O*kgtoGg</f>
        <v>0.2701733904471233</v>
      </c>
      <c r="AP1516" s="22">
        <f>SUM('Activity data'!BI50:BI65)*FracLEACH*MSLeachEF*NtoN2O*kgtoGg</f>
        <v>0.27483864221629506</v>
      </c>
      <c r="AQ1516" s="22">
        <f>SUM('Activity data'!BJ50:BJ65)*FracLEACH*MSLeachEF*NtoN2O*kgtoGg</f>
        <v>0.27968329128815766</v>
      </c>
      <c r="AR1516" s="22">
        <f>SUM('Activity data'!BK50:BK65)*FracLEACH*MSLeachEF*NtoN2O*kgtoGg</f>
        <v>0.28475289053064146</v>
      </c>
      <c r="AS1516" s="22">
        <f>SUM('Activity data'!BL50:BL65)*FracLEACH*MSLeachEF*NtoN2O*kgtoGg</f>
        <v>0.29002169676555595</v>
      </c>
      <c r="AT1516" s="22">
        <f>SUM('Activity data'!BM50:BM65)*FracLEACH*MSLeachEF*NtoN2O*kgtoGg</f>
        <v>0.28940847350186372</v>
      </c>
      <c r="AU1516" s="22">
        <f>SUM('Activity data'!BN50:BN65)*FracLEACH*MSLeachEF*NtoN2O*kgtoGg</f>
        <v>0.2882670035949374</v>
      </c>
      <c r="AV1516" s="22">
        <f>SUM('Activity data'!BO50:BO65)*FracLEACH*MSLeachEF*NtoN2O*kgtoGg</f>
        <v>0.28637986672533733</v>
      </c>
      <c r="AW1516" s="22">
        <f>SUM('Activity data'!BP50:BP65)*FracLEACH*MSLeachEF*NtoN2O*kgtoGg</f>
        <v>0.28429803027464012</v>
      </c>
    </row>
    <row r="1517" spans="1:49" x14ac:dyDescent="0.3">
      <c r="A1517" s="95" t="s">
        <v>960</v>
      </c>
      <c r="B1517" s="95"/>
      <c r="C1517" s="95"/>
      <c r="D1517" t="str">
        <f t="shared" si="572"/>
        <v>3C Aggregated and non-CO2 emissions on land</v>
      </c>
      <c r="E1517" t="str">
        <f t="shared" si="572"/>
        <v>3C5 Indirect N2O from managed soils (N2O)</v>
      </c>
      <c r="F1517" t="str">
        <f t="shared" si="572"/>
        <v>Leaching/runoff</v>
      </c>
      <c r="G1517" t="str">
        <f t="shared" si="573"/>
        <v xml:space="preserve"> - Urine &amp; dung</v>
      </c>
      <c r="H1517" t="str">
        <f t="shared" si="563"/>
        <v>Leaching/runoff - Urine &amp; dung</v>
      </c>
      <c r="I1517" t="str">
        <f t="shared" si="571"/>
        <v>N2O</v>
      </c>
      <c r="J1517" t="str">
        <f t="shared" si="570"/>
        <v>Gg N2O</v>
      </c>
      <c r="K1517" s="22">
        <f>SUM('Activity data'!AD66:AD81)*FracLEACHUD*MSLeachEF*NtoN2O*kgtoGg</f>
        <v>0</v>
      </c>
      <c r="L1517" s="22">
        <f>SUM('Activity data'!AE66:AE81)*FracLEACHUD*MSLeachEF*NtoN2O*kgtoGg</f>
        <v>0</v>
      </c>
      <c r="M1517" s="22">
        <f>SUM('Activity data'!AF66:AF81)*FracLEACHUD*MSLeachEF*NtoN2O*kgtoGg</f>
        <v>0</v>
      </c>
      <c r="N1517" s="22">
        <f>SUM('Activity data'!AG66:AG81)*FracLEACHUD*MSLeachEF*NtoN2O*kgtoGg</f>
        <v>0</v>
      </c>
      <c r="O1517" s="22">
        <f>SUM('Activity data'!AH66:AH81)*FracLEACHUD*MSLeachEF*NtoN2O*kgtoGg</f>
        <v>0</v>
      </c>
      <c r="P1517" s="22">
        <f>SUM('Activity data'!AI66:AI81)*FracLEACHUD*MSLeachEF*NtoN2O*kgtoGg</f>
        <v>0</v>
      </c>
      <c r="Q1517" s="22">
        <f>SUM('Activity data'!AJ66:AJ81)*FracLEACHUD*MSLeachEF*NtoN2O*kgtoGg</f>
        <v>0</v>
      </c>
      <c r="R1517" s="22">
        <f>SUM('Activity data'!AK66:AK81)*FracLEACHUD*MSLeachEF*NtoN2O*kgtoGg</f>
        <v>0</v>
      </c>
      <c r="S1517" s="22">
        <f>SUM('Activity data'!AL66:AL81)*FracLEACHUD*MSLeachEF*NtoN2O*kgtoGg</f>
        <v>0</v>
      </c>
      <c r="T1517" s="22">
        <f>SUM('Activity data'!AM66:AM81)*FracLEACHUD*MSLeachEF*NtoN2O*kgtoGg</f>
        <v>0</v>
      </c>
      <c r="U1517" s="22">
        <f>SUM('Activity data'!AN66:AN81)*FracLEACHUD*MSLeachEF*NtoN2O*kgtoGg</f>
        <v>0</v>
      </c>
      <c r="V1517" s="22">
        <f>SUM('Activity data'!AO66:AO81)*FracLEACHUD*MSLeachEF*NtoN2O*kgtoGg</f>
        <v>0</v>
      </c>
      <c r="W1517" s="22">
        <f>SUM('Activity data'!AP66:AP81)*FracLEACHUD*MSLeachEF*NtoN2O*kgtoGg</f>
        <v>0</v>
      </c>
      <c r="X1517" s="22">
        <f>SUM('Activity data'!AQ66:AQ81)*FracLEACHUD*MSLeachEF*NtoN2O*kgtoGg</f>
        <v>0</v>
      </c>
      <c r="Y1517" s="22">
        <f>SUM('Activity data'!AR66:AR81)*FracLEACHUD*MSLeachEF*NtoN2O*kgtoGg</f>
        <v>0</v>
      </c>
      <c r="Z1517" s="22">
        <f>SUM('Activity data'!AS66:AS81)*FracLEACHUD*MSLeachEF*NtoN2O*kgtoGg</f>
        <v>0</v>
      </c>
      <c r="AA1517" s="22">
        <f>SUM('Activity data'!AT66:AT81)*FracLEACHUD*MSLeachEF*NtoN2O*kgtoGg</f>
        <v>0</v>
      </c>
      <c r="AB1517" s="22">
        <f>SUM('Activity data'!AU66:AU81)*FracLEACHUD*MSLeachEF*NtoN2O*kgtoGg</f>
        <v>0</v>
      </c>
      <c r="AC1517" s="22">
        <f>SUM('Activity data'!AV66:AV81)*FracLEACHUD*MSLeachEF*NtoN2O*kgtoGg</f>
        <v>0</v>
      </c>
      <c r="AD1517" s="22">
        <f>SUM('Activity data'!AW66:AW81)*FracLEACHUD*MSLeachEF*NtoN2O*kgtoGg</f>
        <v>0</v>
      </c>
      <c r="AE1517" s="22">
        <f>SUM('Activity data'!AX66:AX81)*FracLEACHUD*MSLeachEF*NtoN2O*kgtoGg</f>
        <v>0</v>
      </c>
      <c r="AF1517" s="22">
        <f>SUM('Activity data'!AY66:AY81)*FracLEACHUD*MSLeachEF*NtoN2O*kgtoGg</f>
        <v>0</v>
      </c>
      <c r="AG1517" s="22">
        <f>SUM('Activity data'!AZ66:AZ81)*FracLEACHUD*MSLeachEF*NtoN2O*kgtoGg</f>
        <v>0</v>
      </c>
      <c r="AH1517" s="22">
        <f>SUM('Activity data'!BA66:BA81)*FracLEACHUD*MSLeachEF*NtoN2O*kgtoGg</f>
        <v>0</v>
      </c>
      <c r="AI1517" s="22">
        <f>SUM('Activity data'!BB66:BB81)*FracLEACHUD*MSLeachEF*NtoN2O*kgtoGg</f>
        <v>0</v>
      </c>
      <c r="AJ1517" s="22">
        <f>SUM('Activity data'!BC66:BC81)*FracLEACHUD*MSLeachEF*NtoN2O*kgtoGg</f>
        <v>0</v>
      </c>
      <c r="AK1517" s="22">
        <f>SUM('Activity data'!BD66:BD81)*FracLEACHUD*MSLeachEF*NtoN2O*kgtoGg</f>
        <v>0</v>
      </c>
      <c r="AL1517" s="22">
        <f>SUM('Activity data'!BE66:BE81)*FracLEACHUD*MSLeachEF*NtoN2O*kgtoGg</f>
        <v>0</v>
      </c>
      <c r="AM1517" s="22">
        <f>SUM('Activity data'!BF66:BF81)*FracLEACHUD*MSLeachEF*NtoN2O*kgtoGg</f>
        <v>0</v>
      </c>
      <c r="AN1517" s="22">
        <f>SUM('Activity data'!BG66:BG81)*FracLEACHUD*MSLeachEF*NtoN2O*kgtoGg</f>
        <v>0</v>
      </c>
      <c r="AO1517" s="22">
        <f>SUM('Activity data'!BH66:BH81)*FracLEACHUD*MSLeachEF*NtoN2O*kgtoGg</f>
        <v>0</v>
      </c>
      <c r="AP1517" s="22">
        <f>SUM('Activity data'!BI66:BI81)*FracLEACHUD*MSLeachEF*NtoN2O*kgtoGg</f>
        <v>0</v>
      </c>
      <c r="AQ1517" s="22">
        <f>SUM('Activity data'!BJ66:BJ81)*FracLEACHUD*MSLeachEF*NtoN2O*kgtoGg</f>
        <v>0</v>
      </c>
      <c r="AR1517" s="22">
        <f>SUM('Activity data'!BK66:BK81)*FracLEACHUD*MSLeachEF*NtoN2O*kgtoGg</f>
        <v>0</v>
      </c>
      <c r="AS1517" s="22">
        <f>SUM('Activity data'!BL66:BL81)*FracLEACHUD*MSLeachEF*NtoN2O*kgtoGg</f>
        <v>0</v>
      </c>
      <c r="AT1517" s="22">
        <f>SUM('Activity data'!BM66:BM81)*FracLEACHUD*MSLeachEF*NtoN2O*kgtoGg</f>
        <v>0</v>
      </c>
      <c r="AU1517" s="22">
        <f>SUM('Activity data'!BN66:BN81)*FracLEACHUD*MSLeachEF*NtoN2O*kgtoGg</f>
        <v>0</v>
      </c>
      <c r="AV1517" s="22">
        <f>SUM('Activity data'!BO66:BO81)*FracLEACHUD*MSLeachEF*NtoN2O*kgtoGg</f>
        <v>0</v>
      </c>
      <c r="AW1517" s="22">
        <f>SUM('Activity data'!BP66:BP81)*FracLEACHUD*MSLeachEF*NtoN2O*kgtoGg</f>
        <v>0</v>
      </c>
    </row>
    <row r="1518" spans="1:49" x14ac:dyDescent="0.3">
      <c r="A1518" s="95" t="s">
        <v>960</v>
      </c>
      <c r="B1518" s="95"/>
      <c r="C1518" s="95"/>
      <c r="D1518" t="str">
        <f t="shared" si="572"/>
        <v>3C Aggregated and non-CO2 emissions on land</v>
      </c>
      <c r="E1518" t="str">
        <f t="shared" si="572"/>
        <v>3C5 Indirect N2O from managed soils (N2O)</v>
      </c>
      <c r="F1518" t="str">
        <f t="shared" si="572"/>
        <v>Leaching/runoff</v>
      </c>
      <c r="G1518" t="s">
        <v>439</v>
      </c>
      <c r="H1518" t="str">
        <f t="shared" si="563"/>
        <v>Leaching/runoff - crop residues</v>
      </c>
      <c r="I1518" t="str">
        <f t="shared" si="571"/>
        <v>N2O</v>
      </c>
      <c r="J1518" t="str">
        <f t="shared" si="570"/>
        <v>Gg N2O</v>
      </c>
      <c r="K1518" s="22">
        <f>'Activity data'!AD85*FracLEACH*MSLeachEF*NtoN2O*kgtoGg</f>
        <v>0.10175116378121943</v>
      </c>
      <c r="L1518" s="22">
        <f>'Activity data'!AE85*FracLEACH*MSLeachEF*NtoN2O*kgtoGg</f>
        <v>0.10192037938520998</v>
      </c>
      <c r="M1518" s="22">
        <f>'Activity data'!AF85*FracLEACH*MSLeachEF*NtoN2O*kgtoGg</f>
        <v>0.102230624521803</v>
      </c>
      <c r="N1518" s="22">
        <f>'Activity data'!AG85*FracLEACH*MSLeachEF*NtoN2O*kgtoGg</f>
        <v>0.10260144459215571</v>
      </c>
      <c r="O1518" s="22">
        <f>'Activity data'!AH85*FracLEACH*MSLeachEF*NtoN2O*kgtoGg</f>
        <v>0.10285194917721978</v>
      </c>
      <c r="P1518" s="22">
        <f>'Activity data'!AI85*FracLEACH*MSLeachEF*NtoN2O*kgtoGg</f>
        <v>0.10302433973360284</v>
      </c>
      <c r="Q1518" s="22">
        <f>'Activity data'!AJ85*FracLEACH*MSLeachEF*NtoN2O*kgtoGg</f>
        <v>0.10311874031263807</v>
      </c>
      <c r="R1518" s="22">
        <f>'Activity data'!AK85*FracLEACH*MSLeachEF*NtoN2O*kgtoGg</f>
        <v>0.10327146311968674</v>
      </c>
      <c r="S1518" s="22">
        <f>'Activity data'!AL85*FracLEACH*MSLeachEF*NtoN2O*kgtoGg</f>
        <v>0.10343188706296993</v>
      </c>
      <c r="T1518" s="22">
        <f>'Activity data'!AM85*FracLEACH*MSLeachEF*NtoN2O*kgtoGg</f>
        <v>0.10231676998015095</v>
      </c>
      <c r="U1518" s="22">
        <f>'Activity data'!AN85*FracLEACH*MSLeachEF*NtoN2O*kgtoGg</f>
        <v>0.10275895162111336</v>
      </c>
      <c r="V1518" s="22">
        <f>'Activity data'!AO85*FracLEACH*MSLeachEF*NtoN2O*kgtoGg</f>
        <v>0.10336245461523248</v>
      </c>
      <c r="W1518" s="22">
        <f>'Activity data'!AP85*FracLEACH*MSLeachEF*NtoN2O*kgtoGg</f>
        <v>0.10368675774662221</v>
      </c>
      <c r="X1518" s="22">
        <f>'Activity data'!AQ85*FracLEACH*MSLeachEF*NtoN2O*kgtoGg</f>
        <v>0.10404145269776151</v>
      </c>
      <c r="Y1518" s="22">
        <f>'Activity data'!AR85*FracLEACH*MSLeachEF*NtoN2O*kgtoGg</f>
        <v>0.10443580363521765</v>
      </c>
      <c r="Z1518" s="22">
        <f>'Activity data'!AS85*FracLEACH*MSLeachEF*NtoN2O*kgtoGg</f>
        <v>0.1048497598931184</v>
      </c>
      <c r="AA1518" s="22">
        <f>'Activity data'!AT85*FracLEACH*MSLeachEF*NtoN2O*kgtoGg</f>
        <v>0.10529155067821512</v>
      </c>
      <c r="AB1518" s="22">
        <f>'Activity data'!AU85*FracLEACH*MSLeachEF*NtoN2O*kgtoGg</f>
        <v>0.10573429480734184</v>
      </c>
      <c r="AC1518" s="22">
        <f>'Activity data'!AV85*FracLEACH*MSLeachEF*NtoN2O*kgtoGg</f>
        <v>0.10620059916305352</v>
      </c>
      <c r="AD1518" s="22">
        <f>'Activity data'!AW85*FracLEACH*MSLeachEF*NtoN2O*kgtoGg</f>
        <v>0.10666482354141628</v>
      </c>
      <c r="AE1518" s="22">
        <f>'Activity data'!AX85*FracLEACH*MSLeachEF*NtoN2O*kgtoGg</f>
        <v>0.10716812014937527</v>
      </c>
      <c r="AF1518" s="22">
        <f>'Activity data'!AY85*FracLEACH*MSLeachEF*NtoN2O*kgtoGg</f>
        <v>0.10765286539934465</v>
      </c>
      <c r="AG1518" s="22">
        <f>'Activity data'!AZ85*FracLEACH*MSLeachEF*NtoN2O*kgtoGg</f>
        <v>0.10814988041430322</v>
      </c>
      <c r="AH1518" s="22">
        <f>'Activity data'!BA85*FracLEACH*MSLeachEF*NtoN2O*kgtoGg</f>
        <v>0.1086932343641567</v>
      </c>
      <c r="AI1518" s="22">
        <f>'Activity data'!BB85*FracLEACH*MSLeachEF*NtoN2O*kgtoGg</f>
        <v>0.1091985095670623</v>
      </c>
      <c r="AJ1518" s="22">
        <f>'Activity data'!BC85*FracLEACH*MSLeachEF*NtoN2O*kgtoGg</f>
        <v>0.10971732596273812</v>
      </c>
      <c r="AK1518" s="22">
        <f>'Activity data'!BD85*FracLEACH*MSLeachEF*NtoN2O*kgtoGg</f>
        <v>0.11025547753556091</v>
      </c>
      <c r="AL1518" s="22">
        <f>'Activity data'!BE85*FracLEACH*MSLeachEF*NtoN2O*kgtoGg</f>
        <v>0.11075007079547201</v>
      </c>
      <c r="AM1518" s="22">
        <f>'Activity data'!BF85*FracLEACH*MSLeachEF*NtoN2O*kgtoGg</f>
        <v>0.11123091596993474</v>
      </c>
      <c r="AN1518" s="22">
        <f>'Activity data'!BG85*FracLEACH*MSLeachEF*NtoN2O*kgtoGg</f>
        <v>0.11169987222752331</v>
      </c>
      <c r="AO1518" s="22">
        <f>'Activity data'!BH85*FracLEACH*MSLeachEF*NtoN2O*kgtoGg</f>
        <v>0.11219468980678651</v>
      </c>
      <c r="AP1518" s="22">
        <f>'Activity data'!BI85*FracLEACH*MSLeachEF*NtoN2O*kgtoGg</f>
        <v>0.11266090782059876</v>
      </c>
      <c r="AQ1518" s="22">
        <f>'Activity data'!BJ85*FracLEACH*MSLeachEF*NtoN2O*kgtoGg</f>
        <v>0.11313307913415467</v>
      </c>
      <c r="AR1518" s="22">
        <f>'Activity data'!BK85*FracLEACH*MSLeachEF*NtoN2O*kgtoGg</f>
        <v>0.11361258764100189</v>
      </c>
      <c r="AS1518" s="22">
        <f>'Activity data'!BL85*FracLEACH*MSLeachEF*NtoN2O*kgtoGg</f>
        <v>0.11410180170622075</v>
      </c>
      <c r="AT1518" s="22">
        <f>'Activity data'!BM85*FracLEACH*MSLeachEF*NtoN2O*kgtoGg</f>
        <v>0.1145986803192975</v>
      </c>
      <c r="AU1518" s="22">
        <f>'Activity data'!BN85*FracLEACH*MSLeachEF*NtoN2O*kgtoGg</f>
        <v>0.11475135344682705</v>
      </c>
      <c r="AV1518" s="22">
        <f>'Activity data'!BO85*FracLEACH*MSLeachEF*NtoN2O*kgtoGg</f>
        <v>0.11487194074959778</v>
      </c>
      <c r="AW1518" s="22">
        <f>'Activity data'!BP85*FracLEACH*MSLeachEF*NtoN2O*kgtoGg</f>
        <v>0.11494706662841653</v>
      </c>
    </row>
    <row r="1519" spans="1:49" x14ac:dyDescent="0.3">
      <c r="A1519" s="95" t="s">
        <v>960</v>
      </c>
      <c r="B1519" s="95"/>
      <c r="C1519" s="95"/>
      <c r="D1519" t="str">
        <f t="shared" si="572"/>
        <v>3C Aggregated and non-CO2 emissions on land</v>
      </c>
      <c r="E1519" t="str">
        <f>'IPCC Categories'!B78</f>
        <v>3C5 Indirect N2O from managed soils (N2O)</v>
      </c>
      <c r="F1519" t="str">
        <f t="shared" si="572"/>
        <v>Leaching/runoff</v>
      </c>
      <c r="G1519" t="str">
        <f>" - FSOM - "&amp;'Activity data'!D87</f>
        <v xml:space="preserve"> - FSOM - Forest remaining forest land</v>
      </c>
      <c r="H1519" t="str">
        <f t="shared" si="563"/>
        <v>Leaching/runoff - FSOM - Forest remaining forest land</v>
      </c>
      <c r="I1519" t="str">
        <f t="shared" si="571"/>
        <v>N2O</v>
      </c>
      <c r="J1519" t="str">
        <f t="shared" si="570"/>
        <v>Gg N2O</v>
      </c>
      <c r="K1519" s="22" t="str">
        <f>IFERROR(('Activity data'!AD87*(1/Constants!$H$135))*ttokg*FracLEACH*MSLeachEF*NtoN2O*kgtoGg,"NO")</f>
        <v>NO</v>
      </c>
      <c r="L1519" s="22" t="str">
        <f>IFERROR(('Activity data'!AE87*(1/Constants!$H$135))*ttokg*FracLEACH*MSLeachEF*NtoN2O*kgtoGg,"NO")</f>
        <v>NO</v>
      </c>
      <c r="M1519" s="22" t="str">
        <f>IFERROR(('Activity data'!AF87*(1/Constants!$H$135))*ttokg*FracLEACH*MSLeachEF*NtoN2O*kgtoGg,"NO")</f>
        <v>NO</v>
      </c>
      <c r="N1519" s="22" t="str">
        <f>IFERROR(('Activity data'!AG87*(1/Constants!$H$135))*ttokg*FracLEACH*MSLeachEF*NtoN2O*kgtoGg,"NO")</f>
        <v>NO</v>
      </c>
      <c r="O1519" s="22" t="str">
        <f>IFERROR(('Activity data'!AH87*(1/Constants!$H$135))*ttokg*FracLEACH*MSLeachEF*NtoN2O*kgtoGg,"NO")</f>
        <v>NO</v>
      </c>
      <c r="P1519" s="22" t="str">
        <f>IFERROR(('Activity data'!AI87*(1/Constants!$H$135))*ttokg*FracLEACH*MSLeachEF*NtoN2O*kgtoGg,"NO")</f>
        <v>NO</v>
      </c>
      <c r="Q1519" s="22" t="str">
        <f>IFERROR(('Activity data'!AJ87*(1/Constants!$H$135))*ttokg*FracLEACH*MSLeachEF*NtoN2O*kgtoGg,"NO")</f>
        <v>NO</v>
      </c>
      <c r="R1519" s="22" t="str">
        <f>IFERROR(('Activity data'!AK87*(1/Constants!$H$135))*ttokg*FracLEACH*MSLeachEF*NtoN2O*kgtoGg,"NO")</f>
        <v>NO</v>
      </c>
      <c r="S1519" s="22" t="str">
        <f>IFERROR(('Activity data'!AL87*(1/Constants!$H$135))*ttokg*FracLEACH*MSLeachEF*NtoN2O*kgtoGg,"NO")</f>
        <v>NO</v>
      </c>
      <c r="T1519" s="22" t="str">
        <f>IFERROR(('Activity data'!AM87*(1/Constants!$H$135))*ttokg*FracLEACH*MSLeachEF*NtoN2O*kgtoGg,"NO")</f>
        <v>NO</v>
      </c>
      <c r="U1519" s="22" t="str">
        <f>IFERROR(('Activity data'!AN87*(1/Constants!$H$135))*ttokg*FracLEACH*MSLeachEF*NtoN2O*kgtoGg,"NO")</f>
        <v>NO</v>
      </c>
      <c r="V1519" s="22" t="str">
        <f>IFERROR(('Activity data'!AO87*(1/Constants!$H$135))*ttokg*FracLEACH*MSLeachEF*NtoN2O*kgtoGg,"NO")</f>
        <v>NO</v>
      </c>
      <c r="W1519" s="22" t="str">
        <f>IFERROR(('Activity data'!AP87*(1/Constants!$H$135))*ttokg*FracLEACH*MSLeachEF*NtoN2O*kgtoGg,"NO")</f>
        <v>NO</v>
      </c>
      <c r="X1519" s="22" t="str">
        <f>IFERROR(('Activity data'!AQ87*(1/Constants!$H$135))*ttokg*FracLEACH*MSLeachEF*NtoN2O*kgtoGg,"NO")</f>
        <v>NO</v>
      </c>
      <c r="Y1519" s="22" t="str">
        <f>IFERROR(('Activity data'!AR87*(1/Constants!$H$135))*ttokg*FracLEACH*MSLeachEF*NtoN2O*kgtoGg,"NO")</f>
        <v>NO</v>
      </c>
      <c r="Z1519" s="22" t="str">
        <f>IFERROR(('Activity data'!AS87*(1/Constants!$H$135))*ttokg*FracLEACH*MSLeachEF*NtoN2O*kgtoGg,"NO")</f>
        <v>NO</v>
      </c>
      <c r="AA1519" s="22" t="str">
        <f>IFERROR(('Activity data'!AT87*(1/Constants!$H$135))*ttokg*FracLEACH*MSLeachEF*NtoN2O*kgtoGg,"NO")</f>
        <v>NO</v>
      </c>
      <c r="AB1519" s="22" t="str">
        <f>IFERROR(('Activity data'!AU87*(1/Constants!$H$135))*ttokg*FracLEACH*MSLeachEF*NtoN2O*kgtoGg,"NO")</f>
        <v>NO</v>
      </c>
      <c r="AC1519" s="22" t="str">
        <f>IFERROR(('Activity data'!AV87*(1/Constants!$H$135))*ttokg*FracLEACH*MSLeachEF*NtoN2O*kgtoGg,"NO")</f>
        <v>NO</v>
      </c>
      <c r="AD1519" s="22" t="str">
        <f>IFERROR(('Activity data'!AW87*(1/Constants!$H$135))*ttokg*FracLEACH*MSLeachEF*NtoN2O*kgtoGg,"NO")</f>
        <v>NO</v>
      </c>
      <c r="AE1519" s="22" t="str">
        <f>IFERROR(('Activity data'!AX87*(1/Constants!$H$135))*ttokg*FracLEACH*MSLeachEF*NtoN2O*kgtoGg,"NO")</f>
        <v>NO</v>
      </c>
      <c r="AF1519" s="22" t="str">
        <f>IFERROR(('Activity data'!AY87*(1/Constants!$H$135))*ttokg*FracLEACH*MSLeachEF*NtoN2O*kgtoGg,"NO")</f>
        <v>NO</v>
      </c>
      <c r="AG1519" s="22" t="str">
        <f>IFERROR(('Activity data'!AZ87*(1/Constants!$H$135))*ttokg*FracLEACH*MSLeachEF*NtoN2O*kgtoGg,"NO")</f>
        <v>NO</v>
      </c>
      <c r="AH1519" s="22" t="str">
        <f>IFERROR(('Activity data'!BA87*(1/Constants!$H$135))*ttokg*FracLEACH*MSLeachEF*NtoN2O*kgtoGg,"NO")</f>
        <v>NO</v>
      </c>
      <c r="AI1519" s="22" t="str">
        <f>IFERROR(('Activity data'!BB87*(1/Constants!$H$135))*ttokg*FracLEACH*MSLeachEF*NtoN2O*kgtoGg,"NO")</f>
        <v>NO</v>
      </c>
      <c r="AJ1519" s="22" t="str">
        <f>IFERROR(('Activity data'!BC87*(1/Constants!$H$135))*ttokg*FracLEACH*MSLeachEF*NtoN2O*kgtoGg,"NO")</f>
        <v>NO</v>
      </c>
      <c r="AK1519" s="22" t="str">
        <f>IFERROR(('Activity data'!BD87*(1/Constants!$H$135))*ttokg*FracLEACH*MSLeachEF*NtoN2O*kgtoGg,"NO")</f>
        <v>NO</v>
      </c>
      <c r="AL1519" s="22" t="str">
        <f>IFERROR(('Activity data'!BE87*(1/Constants!$H$135))*ttokg*FracLEACH*MSLeachEF*NtoN2O*kgtoGg,"NO")</f>
        <v>NO</v>
      </c>
      <c r="AM1519" s="22" t="str">
        <f>IFERROR(('Activity data'!BF87*(1/Constants!$H$135))*ttokg*FracLEACH*MSLeachEF*NtoN2O*kgtoGg,"NO")</f>
        <v>NO</v>
      </c>
      <c r="AN1519" s="22" t="str">
        <f>IFERROR(('Activity data'!BG87*(1/Constants!$H$135))*ttokg*FracLEACH*MSLeachEF*NtoN2O*kgtoGg,"NO")</f>
        <v>NO</v>
      </c>
      <c r="AO1519" s="22" t="str">
        <f>IFERROR(('Activity data'!BH87*(1/Constants!$H$135))*ttokg*FracLEACH*MSLeachEF*NtoN2O*kgtoGg,"NO")</f>
        <v>NO</v>
      </c>
      <c r="AP1519" s="22" t="str">
        <f>IFERROR(('Activity data'!BI87*(1/Constants!$H$135))*ttokg*FracLEACH*MSLeachEF*NtoN2O*kgtoGg,"NO")</f>
        <v>NO</v>
      </c>
      <c r="AQ1519" s="22" t="str">
        <f>IFERROR(('Activity data'!BJ87*(1/Constants!$H$135))*ttokg*FracLEACH*MSLeachEF*NtoN2O*kgtoGg,"NO")</f>
        <v>NO</v>
      </c>
      <c r="AR1519" s="22" t="str">
        <f>IFERROR(('Activity data'!BK87*(1/Constants!$H$135))*ttokg*FracLEACH*MSLeachEF*NtoN2O*kgtoGg,"NO")</f>
        <v>NO</v>
      </c>
      <c r="AS1519" s="22" t="str">
        <f>IFERROR(('Activity data'!BL87*(1/Constants!$H$135))*ttokg*FracLEACH*MSLeachEF*NtoN2O*kgtoGg,"NO")</f>
        <v>NO</v>
      </c>
      <c r="AT1519" s="22" t="str">
        <f>IFERROR(('Activity data'!BM87*(1/Constants!$H$135))*ttokg*FracLEACH*MSLeachEF*NtoN2O*kgtoGg,"NO")</f>
        <v>NO</v>
      </c>
      <c r="AU1519" s="22" t="str">
        <f>IFERROR(('Activity data'!BN87*(1/Constants!$H$135))*ttokg*FracLEACH*MSLeachEF*NtoN2O*kgtoGg,"NO")</f>
        <v>NO</v>
      </c>
      <c r="AV1519" s="22" t="str">
        <f>IFERROR(('Activity data'!BO87*(1/Constants!$H$135))*ttokg*FracLEACH*MSLeachEF*NtoN2O*kgtoGg,"NO")</f>
        <v>NO</v>
      </c>
      <c r="AW1519" s="22" t="str">
        <f>IFERROR(('Activity data'!BP87*(1/Constants!$H$135))*ttokg*FracLEACH*MSLeachEF*NtoN2O*kgtoGg,"NO")</f>
        <v>NO</v>
      </c>
    </row>
    <row r="1520" spans="1:49" x14ac:dyDescent="0.3">
      <c r="A1520" s="95" t="s">
        <v>960</v>
      </c>
      <c r="B1520" s="95"/>
      <c r="C1520" s="95"/>
      <c r="D1520" t="str">
        <f>D1519</f>
        <v>3C Aggregated and non-CO2 emissions on land</v>
      </c>
      <c r="E1520" t="str">
        <f t="shared" ref="E1520:F1530" si="574">E1519</f>
        <v>3C5 Indirect N2O from managed soils (N2O)</v>
      </c>
      <c r="F1520" t="str">
        <f t="shared" si="572"/>
        <v>Leaching/runoff</v>
      </c>
      <c r="G1520" t="str">
        <f>" - FSOM - "&amp;'Activity data'!D88</f>
        <v xml:space="preserve"> - FSOM - Land converted to forest land</v>
      </c>
      <c r="H1520" t="str">
        <f t="shared" si="563"/>
        <v>Leaching/runoff - FSOM - Land converted to forest land</v>
      </c>
      <c r="I1520" t="str">
        <f t="shared" si="571"/>
        <v>N2O</v>
      </c>
      <c r="J1520" t="str">
        <f t="shared" si="570"/>
        <v>Gg N2O</v>
      </c>
      <c r="K1520" s="22" t="str">
        <f>IFERROR(('Activity data'!AD88*(1/Constants!$H$135))*ttokg*FracLEACH*MSLeachEF*NtoN2O*kgtoGg,"NO")</f>
        <v>NO</v>
      </c>
      <c r="L1520" s="22" t="str">
        <f>IFERROR(('Activity data'!AE88*(1/Constants!$H$135))*ttokg*FracLEACH*MSLeachEF*NtoN2O*kgtoGg,"NO")</f>
        <v>NO</v>
      </c>
      <c r="M1520" s="22" t="str">
        <f>IFERROR(('Activity data'!AF88*(1/Constants!$H$135))*ttokg*FracLEACH*MSLeachEF*NtoN2O*kgtoGg,"NO")</f>
        <v>NO</v>
      </c>
      <c r="N1520" s="22" t="str">
        <f>IFERROR(('Activity data'!AG88*(1/Constants!$H$135))*ttokg*FracLEACH*MSLeachEF*NtoN2O*kgtoGg,"NO")</f>
        <v>NO</v>
      </c>
      <c r="O1520" s="22" t="str">
        <f>IFERROR(('Activity data'!AH88*(1/Constants!$H$135))*ttokg*FracLEACH*MSLeachEF*NtoN2O*kgtoGg,"NO")</f>
        <v>NO</v>
      </c>
      <c r="P1520" s="22" t="str">
        <f>IFERROR(('Activity data'!AI88*(1/Constants!$H$135))*ttokg*FracLEACH*MSLeachEF*NtoN2O*kgtoGg,"NO")</f>
        <v>NO</v>
      </c>
      <c r="Q1520" s="22" t="str">
        <f>IFERROR(('Activity data'!AJ88*(1/Constants!$H$135))*ttokg*FracLEACH*MSLeachEF*NtoN2O*kgtoGg,"NO")</f>
        <v>NO</v>
      </c>
      <c r="R1520" s="22" t="str">
        <f>IFERROR(('Activity data'!AK88*(1/Constants!$H$135))*ttokg*FracLEACH*MSLeachEF*NtoN2O*kgtoGg,"NO")</f>
        <v>NO</v>
      </c>
      <c r="S1520" s="22" t="str">
        <f>IFERROR(('Activity data'!AL88*(1/Constants!$H$135))*ttokg*FracLEACH*MSLeachEF*NtoN2O*kgtoGg,"NO")</f>
        <v>NO</v>
      </c>
      <c r="T1520" s="22" t="str">
        <f>IFERROR(('Activity data'!AM88*(1/Constants!$H$135))*ttokg*FracLEACH*MSLeachEF*NtoN2O*kgtoGg,"NO")</f>
        <v>NO</v>
      </c>
      <c r="U1520" s="22" t="str">
        <f>IFERROR(('Activity data'!AN88*(1/Constants!$H$135))*ttokg*FracLEACH*MSLeachEF*NtoN2O*kgtoGg,"NO")</f>
        <v>NO</v>
      </c>
      <c r="V1520" s="22" t="str">
        <f>IFERROR(('Activity data'!AO88*(1/Constants!$H$135))*ttokg*FracLEACH*MSLeachEF*NtoN2O*kgtoGg,"NO")</f>
        <v>NO</v>
      </c>
      <c r="W1520" s="22" t="str">
        <f>IFERROR(('Activity data'!AP88*(1/Constants!$H$135))*ttokg*FracLEACH*MSLeachEF*NtoN2O*kgtoGg,"NO")</f>
        <v>NO</v>
      </c>
      <c r="X1520" s="22" t="str">
        <f>IFERROR(('Activity data'!AQ88*(1/Constants!$H$135))*ttokg*FracLEACH*MSLeachEF*NtoN2O*kgtoGg,"NO")</f>
        <v>NO</v>
      </c>
      <c r="Y1520" s="22" t="str">
        <f>IFERROR(('Activity data'!AR88*(1/Constants!$H$135))*ttokg*FracLEACH*MSLeachEF*NtoN2O*kgtoGg,"NO")</f>
        <v>NO</v>
      </c>
      <c r="Z1520" s="22" t="str">
        <f>IFERROR(('Activity data'!AS88*(1/Constants!$H$135))*ttokg*FracLEACH*MSLeachEF*NtoN2O*kgtoGg,"NO")</f>
        <v>NO</v>
      </c>
      <c r="AA1520" s="22" t="str">
        <f>IFERROR(('Activity data'!AT88*(1/Constants!$H$135))*ttokg*FracLEACH*MSLeachEF*NtoN2O*kgtoGg,"NO")</f>
        <v>NO</v>
      </c>
      <c r="AB1520" s="22" t="str">
        <f>IFERROR(('Activity data'!AU88*(1/Constants!$H$135))*ttokg*FracLEACH*MSLeachEF*NtoN2O*kgtoGg,"NO")</f>
        <v>NO</v>
      </c>
      <c r="AC1520" s="22" t="str">
        <f>IFERROR(('Activity data'!AV88*(1/Constants!$H$135))*ttokg*FracLEACH*MSLeachEF*NtoN2O*kgtoGg,"NO")</f>
        <v>NO</v>
      </c>
      <c r="AD1520" s="22" t="str">
        <f>IFERROR(('Activity data'!AW88*(1/Constants!$H$135))*ttokg*FracLEACH*MSLeachEF*NtoN2O*kgtoGg,"NO")</f>
        <v>NO</v>
      </c>
      <c r="AE1520" s="22" t="str">
        <f>IFERROR(('Activity data'!AX88*(1/Constants!$H$135))*ttokg*FracLEACH*MSLeachEF*NtoN2O*kgtoGg,"NO")</f>
        <v>NO</v>
      </c>
      <c r="AF1520" s="22" t="str">
        <f>IFERROR(('Activity data'!AY88*(1/Constants!$H$135))*ttokg*FracLEACH*MSLeachEF*NtoN2O*kgtoGg,"NO")</f>
        <v>NO</v>
      </c>
      <c r="AG1520" s="22" t="str">
        <f>IFERROR(('Activity data'!AZ88*(1/Constants!$H$135))*ttokg*FracLEACH*MSLeachEF*NtoN2O*kgtoGg,"NO")</f>
        <v>NO</v>
      </c>
      <c r="AH1520" s="22" t="str">
        <f>IFERROR(('Activity data'!BA88*(1/Constants!$H$135))*ttokg*FracLEACH*MSLeachEF*NtoN2O*kgtoGg,"NO")</f>
        <v>NO</v>
      </c>
      <c r="AI1520" s="22" t="str">
        <f>IFERROR(('Activity data'!BB88*(1/Constants!$H$135))*ttokg*FracLEACH*MSLeachEF*NtoN2O*kgtoGg,"NO")</f>
        <v>NO</v>
      </c>
      <c r="AJ1520" s="22" t="str">
        <f>IFERROR(('Activity data'!BC88*(1/Constants!$H$135))*ttokg*FracLEACH*MSLeachEF*NtoN2O*kgtoGg,"NO")</f>
        <v>NO</v>
      </c>
      <c r="AK1520" s="22" t="str">
        <f>IFERROR(('Activity data'!BD88*(1/Constants!$H$135))*ttokg*FracLEACH*MSLeachEF*NtoN2O*kgtoGg,"NO")</f>
        <v>NO</v>
      </c>
      <c r="AL1520" s="22" t="str">
        <f>IFERROR(('Activity data'!BE88*(1/Constants!$H$135))*ttokg*FracLEACH*MSLeachEF*NtoN2O*kgtoGg,"NO")</f>
        <v>NO</v>
      </c>
      <c r="AM1520" s="22" t="str">
        <f>IFERROR(('Activity data'!BF88*(1/Constants!$H$135))*ttokg*FracLEACH*MSLeachEF*NtoN2O*kgtoGg,"NO")</f>
        <v>NO</v>
      </c>
      <c r="AN1520" s="22" t="str">
        <f>IFERROR(('Activity data'!BG88*(1/Constants!$H$135))*ttokg*FracLEACH*MSLeachEF*NtoN2O*kgtoGg,"NO")</f>
        <v>NO</v>
      </c>
      <c r="AO1520" s="22" t="str">
        <f>IFERROR(('Activity data'!BH88*(1/Constants!$H$135))*ttokg*FracLEACH*MSLeachEF*NtoN2O*kgtoGg,"NO")</f>
        <v>NO</v>
      </c>
      <c r="AP1520" s="22" t="str">
        <f>IFERROR(('Activity data'!BI88*(1/Constants!$H$135))*ttokg*FracLEACH*MSLeachEF*NtoN2O*kgtoGg,"NO")</f>
        <v>NO</v>
      </c>
      <c r="AQ1520" s="22" t="str">
        <f>IFERROR(('Activity data'!BJ88*(1/Constants!$H$135))*ttokg*FracLEACH*MSLeachEF*NtoN2O*kgtoGg,"NO")</f>
        <v>NO</v>
      </c>
      <c r="AR1520" s="22" t="str">
        <f>IFERROR(('Activity data'!BK88*(1/Constants!$H$135))*ttokg*FracLEACH*MSLeachEF*NtoN2O*kgtoGg,"NO")</f>
        <v>NO</v>
      </c>
      <c r="AS1520" s="22" t="str">
        <f>IFERROR(('Activity data'!BL88*(1/Constants!$H$135))*ttokg*FracLEACH*MSLeachEF*NtoN2O*kgtoGg,"NO")</f>
        <v>NO</v>
      </c>
      <c r="AT1520" s="22" t="str">
        <f>IFERROR(('Activity data'!BM88*(1/Constants!$H$135))*ttokg*FracLEACH*MSLeachEF*NtoN2O*kgtoGg,"NO")</f>
        <v>NO</v>
      </c>
      <c r="AU1520" s="22" t="str">
        <f>IFERROR(('Activity data'!BN88*(1/Constants!$H$135))*ttokg*FracLEACH*MSLeachEF*NtoN2O*kgtoGg,"NO")</f>
        <v>NO</v>
      </c>
      <c r="AV1520" s="22" t="str">
        <f>IFERROR(('Activity data'!BO88*(1/Constants!$H$135))*ttokg*FracLEACH*MSLeachEF*NtoN2O*kgtoGg,"NO")</f>
        <v>NO</v>
      </c>
      <c r="AW1520" s="22" t="str">
        <f>IFERROR(('Activity data'!BP88*(1/Constants!$H$135))*ttokg*FracLEACH*MSLeachEF*NtoN2O*kgtoGg,"NO")</f>
        <v>NO</v>
      </c>
    </row>
    <row r="1521" spans="1:49" x14ac:dyDescent="0.3">
      <c r="A1521" s="95" t="s">
        <v>960</v>
      </c>
      <c r="B1521" s="95"/>
      <c r="C1521" s="95"/>
      <c r="D1521" t="str">
        <f t="shared" ref="D1521:F1536" si="575">D1520</f>
        <v>3C Aggregated and non-CO2 emissions on land</v>
      </c>
      <c r="E1521" t="str">
        <f t="shared" si="574"/>
        <v>3C5 Indirect N2O from managed soils (N2O)</v>
      </c>
      <c r="F1521" t="str">
        <f t="shared" si="572"/>
        <v>Leaching/runoff</v>
      </c>
      <c r="G1521" t="str">
        <f>" - FSOM - "&amp;'Activity data'!D89</f>
        <v xml:space="preserve"> - FSOM - Cropland remaining cropland</v>
      </c>
      <c r="H1521" t="str">
        <f t="shared" si="563"/>
        <v>Leaching/runoff - FSOM - Cropland remaining cropland</v>
      </c>
      <c r="I1521" t="str">
        <f t="shared" si="571"/>
        <v>N2O</v>
      </c>
      <c r="J1521" t="str">
        <f t="shared" si="570"/>
        <v>Gg N2O</v>
      </c>
      <c r="K1521" s="22">
        <f>IFERROR(('Activity data'!AD89*(1/Constants!$H$135))*ttokg*FracLEACH*MSLeachEF*NtoN2O*kgtoGg,"NO")</f>
        <v>1.1867590793806392E-4</v>
      </c>
      <c r="L1521" s="22">
        <f>IFERROR(('Activity data'!AE89*(1/Constants!$H$135))*ttokg*FracLEACH*MSLeachEF*NtoN2O*kgtoGg,"NO")</f>
        <v>1.1853617037070301E-4</v>
      </c>
      <c r="M1521" s="22">
        <f>IFERROR(('Activity data'!AF89*(1/Constants!$H$135))*ttokg*FracLEACH*MSLeachEF*NtoN2O*kgtoGg,"NO")</f>
        <v>1.1839643280334203E-4</v>
      </c>
      <c r="N1521" s="22">
        <f>IFERROR(('Activity data'!AG89*(1/Constants!$H$135))*ttokg*FracLEACH*MSLeachEF*NtoN2O*kgtoGg,"NO")</f>
        <v>1.1825669523598106E-4</v>
      </c>
      <c r="O1521" s="22">
        <f>IFERROR(('Activity data'!AH89*(1/Constants!$H$135))*ttokg*FracLEACH*MSLeachEF*NtoN2O*kgtoGg,"NO")</f>
        <v>1.1811695766862012E-4</v>
      </c>
      <c r="P1521" s="22">
        <f>IFERROR(('Activity data'!AI89*(1/Constants!$H$135))*ttokg*FracLEACH*MSLeachEF*NtoN2O*kgtoGg,"NO")</f>
        <v>1.1797722010125916E-4</v>
      </c>
      <c r="Q1521" s="22">
        <f>IFERROR(('Activity data'!AJ89*(1/Constants!$H$135))*ttokg*FracLEACH*MSLeachEF*NtoN2O*kgtoGg,"NO")</f>
        <v>1.178374825338982E-4</v>
      </c>
      <c r="R1521" s="22">
        <f>IFERROR(('Activity data'!AK89*(1/Constants!$H$135))*ttokg*FracLEACH*MSLeachEF*NtoN2O*kgtoGg,"NO")</f>
        <v>1.1769774496653728E-4</v>
      </c>
      <c r="S1521" s="22">
        <f>IFERROR(('Activity data'!AL89*(1/Constants!$H$135))*ttokg*FracLEACH*MSLeachEF*NtoN2O*kgtoGg,"NO")</f>
        <v>1.1755800739917633E-4</v>
      </c>
      <c r="T1521" s="22">
        <f>IFERROR(('Activity data'!AM89*(1/Constants!$H$135))*ttokg*FracLEACH*MSLeachEF*NtoN2O*kgtoGg,"NO")</f>
        <v>1.174182698318154E-4</v>
      </c>
      <c r="U1521" s="22">
        <f>IFERROR(('Activity data'!AN89*(1/Constants!$H$135))*ttokg*FracLEACH*MSLeachEF*NtoN2O*kgtoGg,"NO")</f>
        <v>1.1727853226445441E-4</v>
      </c>
      <c r="V1521" s="22">
        <f>IFERROR(('Activity data'!AO89*(1/Constants!$H$135))*ttokg*FracLEACH*MSLeachEF*NtoN2O*kgtoGg,"NO")</f>
        <v>1.1713879469709348E-4</v>
      </c>
      <c r="W1521" s="22">
        <f>IFERROR(('Activity data'!AP89*(1/Constants!$H$135))*ttokg*FracLEACH*MSLeachEF*NtoN2O*kgtoGg,"NO")</f>
        <v>1.1699905712973254E-4</v>
      </c>
      <c r="X1521" s="22">
        <f>IFERROR(('Activity data'!AQ89*(1/Constants!$H$135))*ttokg*FracLEACH*MSLeachEF*NtoN2O*kgtoGg,"NO")</f>
        <v>1.168593195623716E-4</v>
      </c>
      <c r="Y1521" s="22">
        <f>IFERROR(('Activity data'!AR89*(1/Constants!$H$135))*ttokg*FracLEACH*MSLeachEF*NtoN2O*kgtoGg,"NO")</f>
        <v>1.1671958199501069E-4</v>
      </c>
      <c r="Z1521" s="22">
        <f>IFERROR(('Activity data'!AS89*(1/Constants!$H$135))*ttokg*FracLEACH*MSLeachEF*NtoN2O*kgtoGg,"NO")</f>
        <v>1.1657984442764968E-4</v>
      </c>
      <c r="AA1521" s="22">
        <f>IFERROR(('Activity data'!AT89*(1/Constants!$H$135))*ttokg*FracLEACH*MSLeachEF*NtoN2O*kgtoGg,"NO")</f>
        <v>1.1644010686028878E-4</v>
      </c>
      <c r="AB1521" s="22">
        <f>IFERROR(('Activity data'!AU89*(1/Constants!$H$135))*ttokg*FracLEACH*MSLeachEF*NtoN2O*kgtoGg,"NO")</f>
        <v>1.1630036929292779E-4</v>
      </c>
      <c r="AC1521" s="22">
        <f>IFERROR(('Activity data'!AV89*(1/Constants!$H$135))*ttokg*FracLEACH*MSLeachEF*NtoN2O*kgtoGg,"NO")</f>
        <v>1.1616063172556689E-4</v>
      </c>
      <c r="AD1521" s="22">
        <f>IFERROR(('Activity data'!AW89*(1/Constants!$H$135))*ttokg*FracLEACH*MSLeachEF*NtoN2O*kgtoGg,"NO")</f>
        <v>1.1602089415820588E-4</v>
      </c>
      <c r="AE1521" s="22">
        <f>IFERROR(('Activity data'!AX89*(1/Constants!$H$135))*ttokg*FracLEACH*MSLeachEF*NtoN2O*kgtoGg,"NO")</f>
        <v>1.1588115659084502E-4</v>
      </c>
      <c r="AF1521" s="22">
        <f>IFERROR(('Activity data'!AY89*(1/Constants!$H$135))*ttokg*FracLEACH*MSLeachEF*NtoN2O*kgtoGg,"NO")</f>
        <v>1.1574141902348403E-4</v>
      </c>
      <c r="AG1521" s="22">
        <f>IFERROR(('Activity data'!AZ89*(1/Constants!$H$135))*ttokg*FracLEACH*MSLeachEF*NtoN2O*kgtoGg,"NO")</f>
        <v>1.1560168145612309E-4</v>
      </c>
      <c r="AH1521" s="22">
        <f>IFERROR(('Activity data'!BA89*(1/Constants!$H$135))*ttokg*FracLEACH*MSLeachEF*NtoN2O*kgtoGg,"NO")</f>
        <v>1.154619438887621E-4</v>
      </c>
      <c r="AI1521" s="22">
        <f>IFERROR(('Activity data'!BB89*(1/Constants!$H$135))*ttokg*FracLEACH*MSLeachEF*NtoN2O*kgtoGg,"NO")</f>
        <v>1.1532220632140118E-4</v>
      </c>
      <c r="AJ1521" s="22">
        <f>IFERROR(('Activity data'!BC89*(1/Constants!$H$135))*ttokg*FracLEACH*MSLeachEF*NtoN2O*kgtoGg,"NO")</f>
        <v>1.1518246875404022E-4</v>
      </c>
      <c r="AK1521" s="22">
        <f>IFERROR(('Activity data'!BD89*(1/Constants!$H$135))*ttokg*FracLEACH*MSLeachEF*NtoN2O*kgtoGg,"NO")</f>
        <v>1.1504273118667928E-4</v>
      </c>
      <c r="AL1521" s="22">
        <f>IFERROR(('Activity data'!BE89*(1/Constants!$H$135))*ttokg*FracLEACH*MSLeachEF*NtoN2O*kgtoGg,"NO")</f>
        <v>1.1490299361931835E-4</v>
      </c>
      <c r="AM1521" s="22">
        <f>IFERROR(('Activity data'!BF89*(1/Constants!$H$135))*ttokg*FracLEACH*MSLeachEF*NtoN2O*kgtoGg,"NO")</f>
        <v>1.1476325605195744E-4</v>
      </c>
      <c r="AN1521" s="22">
        <f>IFERROR(('Activity data'!BG89*(1/Constants!$H$135))*ttokg*FracLEACH*MSLeachEF*NtoN2O*kgtoGg,"NO")</f>
        <v>1.1462351848459642E-4</v>
      </c>
      <c r="AO1521" s="22">
        <f>IFERROR(('Activity data'!BH89*(1/Constants!$H$135))*ttokg*FracLEACH*MSLeachEF*NtoN2O*kgtoGg,"NO")</f>
        <v>1.1448378091723552E-4</v>
      </c>
      <c r="AP1521" s="22">
        <f>IFERROR(('Activity data'!BI89*(1/Constants!$H$135))*ttokg*FracLEACH*MSLeachEF*NtoN2O*kgtoGg,"NO")</f>
        <v>1.1434404334987458E-4</v>
      </c>
      <c r="AQ1521" s="22">
        <f>IFERROR(('Activity data'!BJ89*(1/Constants!$H$135))*ttokg*FracLEACH*MSLeachEF*NtoN2O*kgtoGg,"NO")</f>
        <v>1.1420430578251366E-4</v>
      </c>
      <c r="AR1521" s="22">
        <f>IFERROR(('Activity data'!BK89*(1/Constants!$H$135))*ttokg*FracLEACH*MSLeachEF*NtoN2O*kgtoGg,"NO")</f>
        <v>1.1406456821515268E-4</v>
      </c>
      <c r="AS1521" s="22">
        <f>IFERROR(('Activity data'!BL89*(1/Constants!$H$135))*ttokg*FracLEACH*MSLeachEF*NtoN2O*kgtoGg,"NO")</f>
        <v>1.1392483064779174E-4</v>
      </c>
      <c r="AT1521" s="22">
        <f>IFERROR(('Activity data'!BM89*(1/Constants!$H$135))*ttokg*FracLEACH*MSLeachEF*NtoN2O*kgtoGg,"NO")</f>
        <v>1.1378509308043078E-4</v>
      </c>
      <c r="AU1521" s="22">
        <f>IFERROR(('Activity data'!BN89*(1/Constants!$H$135))*ttokg*FracLEACH*MSLeachEF*NtoN2O*kgtoGg,"NO")</f>
        <v>1.136453555130698E-4</v>
      </c>
      <c r="AV1521" s="22">
        <f>IFERROR(('Activity data'!BO89*(1/Constants!$H$135))*ttokg*FracLEACH*MSLeachEF*NtoN2O*kgtoGg,"NO")</f>
        <v>1.1350561794570888E-4</v>
      </c>
      <c r="AW1521" s="22">
        <f>IFERROR(('Activity data'!BP89*(1/Constants!$H$135))*ttokg*FracLEACH*MSLeachEF*NtoN2O*kgtoGg,"NO")</f>
        <v>1.1336588037834792E-4</v>
      </c>
    </row>
    <row r="1522" spans="1:49" x14ac:dyDescent="0.3">
      <c r="A1522" s="95" t="s">
        <v>960</v>
      </c>
      <c r="B1522" s="95"/>
      <c r="C1522" s="95"/>
      <c r="D1522" t="str">
        <f t="shared" si="575"/>
        <v>3C Aggregated and non-CO2 emissions on land</v>
      </c>
      <c r="E1522" t="str">
        <f t="shared" si="574"/>
        <v>3C5 Indirect N2O from managed soils (N2O)</v>
      </c>
      <c r="F1522" t="str">
        <f t="shared" si="572"/>
        <v>Leaching/runoff</v>
      </c>
      <c r="G1522" t="str">
        <f>" - FSOM - "&amp;'Activity data'!D90</f>
        <v xml:space="preserve"> - FSOM - Land converted to cropland</v>
      </c>
      <c r="H1522" t="str">
        <f t="shared" si="563"/>
        <v>Leaching/runoff - FSOM - Land converted to cropland</v>
      </c>
      <c r="I1522" t="str">
        <f t="shared" si="571"/>
        <v>N2O</v>
      </c>
      <c r="J1522" t="str">
        <f t="shared" si="570"/>
        <v>Gg N2O</v>
      </c>
      <c r="K1522" s="22">
        <f>IFERROR(('Activity data'!AD90*(1/Constants!$H$135))*ttokg*FracLEACH*MSLeachEF*NtoN2O*kgtoGg,"NO")</f>
        <v>1.6912231388729011E-2</v>
      </c>
      <c r="L1522" s="22">
        <f>IFERROR(('Activity data'!AE90*(1/Constants!$H$135))*ttokg*FracLEACH*MSLeachEF*NtoN2O*kgtoGg,"NO")</f>
        <v>1.6951420148247919E-2</v>
      </c>
      <c r="M1522" s="22">
        <f>IFERROR(('Activity data'!AF90*(1/Constants!$H$135))*ttokg*FracLEACH*MSLeachEF*NtoN2O*kgtoGg,"NO")</f>
        <v>1.6990608907766828E-2</v>
      </c>
      <c r="N1522" s="22">
        <f>IFERROR(('Activity data'!AG90*(1/Constants!$H$135))*ttokg*FracLEACH*MSLeachEF*NtoN2O*kgtoGg,"NO")</f>
        <v>1.702979766728574E-2</v>
      </c>
      <c r="O1522" s="22">
        <f>IFERROR(('Activity data'!AH90*(1/Constants!$H$135))*ttokg*FracLEACH*MSLeachEF*NtoN2O*kgtoGg,"NO")</f>
        <v>1.7068986426804648E-2</v>
      </c>
      <c r="P1522" s="22">
        <f>IFERROR(('Activity data'!AI90*(1/Constants!$H$135))*ttokg*FracLEACH*MSLeachEF*NtoN2O*kgtoGg,"NO")</f>
        <v>1.7108175186323554E-2</v>
      </c>
      <c r="Q1522" s="22">
        <f>IFERROR(('Activity data'!AJ90*(1/Constants!$H$135))*ttokg*FracLEACH*MSLeachEF*NtoN2O*kgtoGg,"NO")</f>
        <v>1.7147363945842466E-2</v>
      </c>
      <c r="R1522" s="22">
        <f>IFERROR(('Activity data'!AK90*(1/Constants!$H$135))*ttokg*FracLEACH*MSLeachEF*NtoN2O*kgtoGg,"NO")</f>
        <v>1.7186552705361371E-2</v>
      </c>
      <c r="S1522" s="22">
        <f>IFERROR(('Activity data'!AL90*(1/Constants!$H$135))*ttokg*FracLEACH*MSLeachEF*NtoN2O*kgtoGg,"NO")</f>
        <v>1.7225741464880276E-2</v>
      </c>
      <c r="T1522" s="22">
        <f>IFERROR(('Activity data'!AM90*(1/Constants!$H$135))*ttokg*FracLEACH*MSLeachEF*NtoN2O*kgtoGg,"NO")</f>
        <v>1.7264930224399191E-2</v>
      </c>
      <c r="U1522" s="22">
        <f>IFERROR(('Activity data'!AN90*(1/Constants!$H$135))*ttokg*FracLEACH*MSLeachEF*NtoN2O*kgtoGg,"NO")</f>
        <v>1.7304118983918097E-2</v>
      </c>
      <c r="V1522" s="22">
        <f>IFERROR(('Activity data'!AO90*(1/Constants!$H$135))*ttokg*FracLEACH*MSLeachEF*NtoN2O*kgtoGg,"NO")</f>
        <v>1.7343307743437009E-2</v>
      </c>
      <c r="W1522" s="22">
        <f>IFERROR(('Activity data'!AP90*(1/Constants!$H$135))*ttokg*FracLEACH*MSLeachEF*NtoN2O*kgtoGg,"NO")</f>
        <v>1.7382496502955917E-2</v>
      </c>
      <c r="X1522" s="22">
        <f>IFERROR(('Activity data'!AQ90*(1/Constants!$H$135))*ttokg*FracLEACH*MSLeachEF*NtoN2O*kgtoGg,"NO")</f>
        <v>1.7421685262474829E-2</v>
      </c>
      <c r="Y1522" s="22">
        <f>IFERROR(('Activity data'!AR90*(1/Constants!$H$135))*ttokg*FracLEACH*MSLeachEF*NtoN2O*kgtoGg,"NO")</f>
        <v>1.7460874021993734E-2</v>
      </c>
      <c r="Z1522" s="22">
        <f>IFERROR(('Activity data'!AS90*(1/Constants!$H$135))*ttokg*FracLEACH*MSLeachEF*NtoN2O*kgtoGg,"NO")</f>
        <v>1.750006278151265E-2</v>
      </c>
      <c r="AA1522" s="22">
        <f>IFERROR(('Activity data'!AT90*(1/Constants!$H$135))*ttokg*FracLEACH*MSLeachEF*NtoN2O*kgtoGg,"NO")</f>
        <v>1.7539251541031548E-2</v>
      </c>
      <c r="AB1522" s="22">
        <f>IFERROR(('Activity data'!AU90*(1/Constants!$H$135))*ttokg*FracLEACH*MSLeachEF*NtoN2O*kgtoGg,"NO")</f>
        <v>1.7578440300550464E-2</v>
      </c>
      <c r="AC1522" s="22">
        <f>IFERROR(('Activity data'!AV90*(1/Constants!$H$135))*ttokg*FracLEACH*MSLeachEF*NtoN2O*kgtoGg,"NO")</f>
        <v>1.7617629060069376E-2</v>
      </c>
      <c r="AD1522" s="22">
        <f>IFERROR(('Activity data'!AW90*(1/Constants!$H$135))*ttokg*FracLEACH*MSLeachEF*NtoN2O*kgtoGg,"NO")</f>
        <v>1.7656817819588281E-2</v>
      </c>
      <c r="AE1522" s="22">
        <f>IFERROR(('Activity data'!AX90*(1/Constants!$H$135))*ttokg*FracLEACH*MSLeachEF*NtoN2O*kgtoGg,"NO")</f>
        <v>1.769600657910719E-2</v>
      </c>
      <c r="AF1522" s="22">
        <f>IFERROR(('Activity data'!AY90*(1/Constants!$H$135))*ttokg*FracLEACH*MSLeachEF*NtoN2O*kgtoGg,"NO")</f>
        <v>1.7735195338626102E-2</v>
      </c>
      <c r="AG1522" s="22">
        <f>IFERROR(('Activity data'!AZ90*(1/Constants!$H$135))*ttokg*FracLEACH*MSLeachEF*NtoN2O*kgtoGg,"NO")</f>
        <v>1.777438409814501E-2</v>
      </c>
      <c r="AH1522" s="22">
        <f>IFERROR(('Activity data'!BA90*(1/Constants!$H$135))*ttokg*FracLEACH*MSLeachEF*NtoN2O*kgtoGg,"NO")</f>
        <v>1.7813572857663919E-2</v>
      </c>
      <c r="AI1522" s="22">
        <f>IFERROR(('Activity data'!BB90*(1/Constants!$H$135))*ttokg*FracLEACH*MSLeachEF*NtoN2O*kgtoGg,"NO")</f>
        <v>1.7852761617182831E-2</v>
      </c>
      <c r="AJ1522" s="22">
        <f>IFERROR(('Activity data'!BC90*(1/Constants!$H$135))*ttokg*FracLEACH*MSLeachEF*NtoN2O*kgtoGg,"NO")</f>
        <v>1.7891950376701736E-2</v>
      </c>
      <c r="AK1522" s="22">
        <f>IFERROR(('Activity data'!BD90*(1/Constants!$H$135))*ttokg*FracLEACH*MSLeachEF*NtoN2O*kgtoGg,"NO")</f>
        <v>1.7931139136220645E-2</v>
      </c>
      <c r="AL1522" s="22">
        <f>IFERROR(('Activity data'!BE90*(1/Constants!$H$135))*ttokg*FracLEACH*MSLeachEF*NtoN2O*kgtoGg,"NO")</f>
        <v>1.7970327895739557E-2</v>
      </c>
      <c r="AM1522" s="22">
        <f>IFERROR(('Activity data'!BF90*(1/Constants!$H$135))*ttokg*FracLEACH*MSLeachEF*NtoN2O*kgtoGg,"NO")</f>
        <v>1.8009516655258465E-2</v>
      </c>
      <c r="AN1522" s="22">
        <f>IFERROR(('Activity data'!BG90*(1/Constants!$H$135))*ttokg*FracLEACH*MSLeachEF*NtoN2O*kgtoGg,"NO")</f>
        <v>1.8048705414777374E-2</v>
      </c>
      <c r="AO1522" s="22">
        <f>IFERROR(('Activity data'!BH90*(1/Constants!$H$135))*ttokg*FracLEACH*MSLeachEF*NtoN2O*kgtoGg,"NO")</f>
        <v>1.8087894174296286E-2</v>
      </c>
      <c r="AP1522" s="22">
        <f>IFERROR(('Activity data'!BI90*(1/Constants!$H$135))*ttokg*FracLEACH*MSLeachEF*NtoN2O*kgtoGg,"NO")</f>
        <v>1.8127082933815188E-2</v>
      </c>
      <c r="AQ1522" s="22">
        <f>IFERROR(('Activity data'!BJ90*(1/Constants!$H$135))*ttokg*FracLEACH*MSLeachEF*NtoN2O*kgtoGg,"NO")</f>
        <v>1.8166271693334096E-2</v>
      </c>
      <c r="AR1522" s="22">
        <f>IFERROR(('Activity data'!BK90*(1/Constants!$H$135))*ttokg*FracLEACH*MSLeachEF*NtoN2O*kgtoGg,"NO")</f>
        <v>1.8205460452853015E-2</v>
      </c>
      <c r="AS1522" s="22">
        <f>IFERROR(('Activity data'!BL90*(1/Constants!$H$135))*ttokg*FracLEACH*MSLeachEF*NtoN2O*kgtoGg,"NO")</f>
        <v>1.8244649212371917E-2</v>
      </c>
      <c r="AT1522" s="22">
        <f>IFERROR(('Activity data'!BM90*(1/Constants!$H$135))*ttokg*FracLEACH*MSLeachEF*NtoN2O*kgtoGg,"NO")</f>
        <v>1.8283837971890825E-2</v>
      </c>
      <c r="AU1522" s="22">
        <f>IFERROR(('Activity data'!BN90*(1/Constants!$H$135))*ttokg*FracLEACH*MSLeachEF*NtoN2O*kgtoGg,"NO")</f>
        <v>1.8323026731409734E-2</v>
      </c>
      <c r="AV1522" s="22">
        <f>IFERROR(('Activity data'!BO90*(1/Constants!$H$135))*ttokg*FracLEACH*MSLeachEF*NtoN2O*kgtoGg,"NO")</f>
        <v>1.8362215490928643E-2</v>
      </c>
      <c r="AW1522" s="22">
        <f>IFERROR(('Activity data'!BP90*(1/Constants!$H$135))*ttokg*FracLEACH*MSLeachEF*NtoN2O*kgtoGg,"NO")</f>
        <v>1.8401404250447555E-2</v>
      </c>
    </row>
    <row r="1523" spans="1:49" x14ac:dyDescent="0.3">
      <c r="A1523" s="95" t="s">
        <v>960</v>
      </c>
      <c r="B1523" s="95"/>
      <c r="C1523" s="95"/>
      <c r="D1523" t="str">
        <f t="shared" si="575"/>
        <v>3C Aggregated and non-CO2 emissions on land</v>
      </c>
      <c r="E1523" t="str">
        <f t="shared" si="574"/>
        <v>3C5 Indirect N2O from managed soils (N2O)</v>
      </c>
      <c r="F1523" t="str">
        <f t="shared" si="572"/>
        <v>Leaching/runoff</v>
      </c>
      <c r="G1523" t="str">
        <f>" - FSOM - "&amp;'Activity data'!D91</f>
        <v xml:space="preserve"> - FSOM - Grassland remaining grassland</v>
      </c>
      <c r="H1523" t="str">
        <f t="shared" si="563"/>
        <v>Leaching/runoff - FSOM - Grassland remaining grassland</v>
      </c>
      <c r="I1523" t="str">
        <f t="shared" si="571"/>
        <v>N2O</v>
      </c>
      <c r="J1523" t="str">
        <f t="shared" si="570"/>
        <v>Gg N2O</v>
      </c>
      <c r="K1523" s="22">
        <f>IFERROR(('Activity data'!AD91*(1/Constants!$H$135))*ttokg*FracLEACH*MSLeachEF*NtoN2O*kgtoGg,"NO")</f>
        <v>1.9871041213735664E-2</v>
      </c>
      <c r="L1523" s="22">
        <f>IFERROR(('Activity data'!AE91*(1/Constants!$H$135))*ttokg*FracLEACH*MSLeachEF*NtoN2O*kgtoGg,"NO")</f>
        <v>1.9871041213735664E-2</v>
      </c>
      <c r="M1523" s="22">
        <f>IFERROR(('Activity data'!AF91*(1/Constants!$H$135))*ttokg*FracLEACH*MSLeachEF*NtoN2O*kgtoGg,"NO")</f>
        <v>1.9871041213735664E-2</v>
      </c>
      <c r="N1523" s="22">
        <f>IFERROR(('Activity data'!AG91*(1/Constants!$H$135))*ttokg*FracLEACH*MSLeachEF*NtoN2O*kgtoGg,"NO")</f>
        <v>1.9871041213735664E-2</v>
      </c>
      <c r="O1523" s="22">
        <f>IFERROR(('Activity data'!AH91*(1/Constants!$H$135))*ttokg*FracLEACH*MSLeachEF*NtoN2O*kgtoGg,"NO")</f>
        <v>1.9871041213735664E-2</v>
      </c>
      <c r="P1523" s="22">
        <f>IFERROR(('Activity data'!AI91*(1/Constants!$H$135))*ttokg*FracLEACH*MSLeachEF*NtoN2O*kgtoGg,"NO")</f>
        <v>1.9871041213735664E-2</v>
      </c>
      <c r="Q1523" s="22">
        <f>IFERROR(('Activity data'!AJ91*(1/Constants!$H$135))*ttokg*FracLEACH*MSLeachEF*NtoN2O*kgtoGg,"NO")</f>
        <v>1.9871041213735664E-2</v>
      </c>
      <c r="R1523" s="22">
        <f>IFERROR(('Activity data'!AK91*(1/Constants!$H$135))*ttokg*FracLEACH*MSLeachEF*NtoN2O*kgtoGg,"NO")</f>
        <v>1.9871041213735664E-2</v>
      </c>
      <c r="S1523" s="22">
        <f>IFERROR(('Activity data'!AL91*(1/Constants!$H$135))*ttokg*FracLEACH*MSLeachEF*NtoN2O*kgtoGg,"NO")</f>
        <v>1.9871041213735664E-2</v>
      </c>
      <c r="T1523" s="22">
        <f>IFERROR(('Activity data'!AM91*(1/Constants!$H$135))*ttokg*FracLEACH*MSLeachEF*NtoN2O*kgtoGg,"NO")</f>
        <v>1.9871041213735664E-2</v>
      </c>
      <c r="U1523" s="22">
        <f>IFERROR(('Activity data'!AN91*(1/Constants!$H$135))*ttokg*FracLEACH*MSLeachEF*NtoN2O*kgtoGg,"NO")</f>
        <v>1.9871041213735664E-2</v>
      </c>
      <c r="V1523" s="22">
        <f>IFERROR(('Activity data'!AO91*(1/Constants!$H$135))*ttokg*FracLEACH*MSLeachEF*NtoN2O*kgtoGg,"NO")</f>
        <v>1.9871041213735664E-2</v>
      </c>
      <c r="W1523" s="22">
        <f>IFERROR(('Activity data'!AP91*(1/Constants!$H$135))*ttokg*FracLEACH*MSLeachEF*NtoN2O*kgtoGg,"NO")</f>
        <v>1.9871041213735664E-2</v>
      </c>
      <c r="X1523" s="22">
        <f>IFERROR(('Activity data'!AQ91*(1/Constants!$H$135))*ttokg*FracLEACH*MSLeachEF*NtoN2O*kgtoGg,"NO")</f>
        <v>1.9871041213735664E-2</v>
      </c>
      <c r="Y1523" s="22">
        <f>IFERROR(('Activity data'!AR91*(1/Constants!$H$135))*ttokg*FracLEACH*MSLeachEF*NtoN2O*kgtoGg,"NO")</f>
        <v>1.9871041213735664E-2</v>
      </c>
      <c r="Z1523" s="22">
        <f>IFERROR(('Activity data'!AS91*(1/Constants!$H$135))*ttokg*FracLEACH*MSLeachEF*NtoN2O*kgtoGg,"NO")</f>
        <v>1.9871041213735664E-2</v>
      </c>
      <c r="AA1523" s="22">
        <f>IFERROR(('Activity data'!AT91*(1/Constants!$H$135))*ttokg*FracLEACH*MSLeachEF*NtoN2O*kgtoGg,"NO")</f>
        <v>1.9871041213735664E-2</v>
      </c>
      <c r="AB1523" s="22">
        <f>IFERROR(('Activity data'!AU91*(1/Constants!$H$135))*ttokg*FracLEACH*MSLeachEF*NtoN2O*kgtoGg,"NO")</f>
        <v>1.9871041213735664E-2</v>
      </c>
      <c r="AC1523" s="22">
        <f>IFERROR(('Activity data'!AV91*(1/Constants!$H$135))*ttokg*FracLEACH*MSLeachEF*NtoN2O*kgtoGg,"NO")</f>
        <v>1.9871041213735664E-2</v>
      </c>
      <c r="AD1523" s="22">
        <f>IFERROR(('Activity data'!AW91*(1/Constants!$H$135))*ttokg*FracLEACH*MSLeachEF*NtoN2O*kgtoGg,"NO")</f>
        <v>1.9871041213735664E-2</v>
      </c>
      <c r="AE1523" s="22">
        <f>IFERROR(('Activity data'!AX91*(1/Constants!$H$135))*ttokg*FracLEACH*MSLeachEF*NtoN2O*kgtoGg,"NO")</f>
        <v>1.9871041213735664E-2</v>
      </c>
      <c r="AF1523" s="22">
        <f>IFERROR(('Activity data'!AY91*(1/Constants!$H$135))*ttokg*FracLEACH*MSLeachEF*NtoN2O*kgtoGg,"NO")</f>
        <v>1.9871041213735664E-2</v>
      </c>
      <c r="AG1523" s="22">
        <f>IFERROR(('Activity data'!AZ91*(1/Constants!$H$135))*ttokg*FracLEACH*MSLeachEF*NtoN2O*kgtoGg,"NO")</f>
        <v>1.9871041213735664E-2</v>
      </c>
      <c r="AH1523" s="22">
        <f>IFERROR(('Activity data'!BA91*(1/Constants!$H$135))*ttokg*FracLEACH*MSLeachEF*NtoN2O*kgtoGg,"NO")</f>
        <v>1.9871041213735664E-2</v>
      </c>
      <c r="AI1523" s="22">
        <f>IFERROR(('Activity data'!BB91*(1/Constants!$H$135))*ttokg*FracLEACH*MSLeachEF*NtoN2O*kgtoGg,"NO")</f>
        <v>1.9871041213735664E-2</v>
      </c>
      <c r="AJ1523" s="22">
        <f>IFERROR(('Activity data'!BC91*(1/Constants!$H$135))*ttokg*FracLEACH*MSLeachEF*NtoN2O*kgtoGg,"NO")</f>
        <v>1.9871041213735664E-2</v>
      </c>
      <c r="AK1523" s="22">
        <f>IFERROR(('Activity data'!BD91*(1/Constants!$H$135))*ttokg*FracLEACH*MSLeachEF*NtoN2O*kgtoGg,"NO")</f>
        <v>1.9871041213735664E-2</v>
      </c>
      <c r="AL1523" s="22">
        <f>IFERROR(('Activity data'!BE91*(1/Constants!$H$135))*ttokg*FracLEACH*MSLeachEF*NtoN2O*kgtoGg,"NO")</f>
        <v>1.9871041213735664E-2</v>
      </c>
      <c r="AM1523" s="22">
        <f>IFERROR(('Activity data'!BF91*(1/Constants!$H$135))*ttokg*FracLEACH*MSLeachEF*NtoN2O*kgtoGg,"NO")</f>
        <v>1.9871041213735664E-2</v>
      </c>
      <c r="AN1523" s="22">
        <f>IFERROR(('Activity data'!BG91*(1/Constants!$H$135))*ttokg*FracLEACH*MSLeachEF*NtoN2O*kgtoGg,"NO")</f>
        <v>1.9871041213735664E-2</v>
      </c>
      <c r="AO1523" s="22">
        <f>IFERROR(('Activity data'!BH91*(1/Constants!$H$135))*ttokg*FracLEACH*MSLeachEF*NtoN2O*kgtoGg,"NO")</f>
        <v>1.9871041213735664E-2</v>
      </c>
      <c r="AP1523" s="22">
        <f>IFERROR(('Activity data'!BI91*(1/Constants!$H$135))*ttokg*FracLEACH*MSLeachEF*NtoN2O*kgtoGg,"NO")</f>
        <v>1.9871041213735664E-2</v>
      </c>
      <c r="AQ1523" s="22">
        <f>IFERROR(('Activity data'!BJ91*(1/Constants!$H$135))*ttokg*FracLEACH*MSLeachEF*NtoN2O*kgtoGg,"NO")</f>
        <v>1.9871041213735664E-2</v>
      </c>
      <c r="AR1523" s="22">
        <f>IFERROR(('Activity data'!BK91*(1/Constants!$H$135))*ttokg*FracLEACH*MSLeachEF*NtoN2O*kgtoGg,"NO")</f>
        <v>1.9871041213735664E-2</v>
      </c>
      <c r="AS1523" s="22">
        <f>IFERROR(('Activity data'!BL91*(1/Constants!$H$135))*ttokg*FracLEACH*MSLeachEF*NtoN2O*kgtoGg,"NO")</f>
        <v>1.9871041213735664E-2</v>
      </c>
      <c r="AT1523" s="22">
        <f>IFERROR(('Activity data'!BM91*(1/Constants!$H$135))*ttokg*FracLEACH*MSLeachEF*NtoN2O*kgtoGg,"NO")</f>
        <v>1.9871041213735664E-2</v>
      </c>
      <c r="AU1523" s="22">
        <f>IFERROR(('Activity data'!BN91*(1/Constants!$H$135))*ttokg*FracLEACH*MSLeachEF*NtoN2O*kgtoGg,"NO")</f>
        <v>1.9871041213735664E-2</v>
      </c>
      <c r="AV1523" s="22">
        <f>IFERROR(('Activity data'!BO91*(1/Constants!$H$135))*ttokg*FracLEACH*MSLeachEF*NtoN2O*kgtoGg,"NO")</f>
        <v>1.9871041213735664E-2</v>
      </c>
      <c r="AW1523" s="22">
        <f>IFERROR(('Activity data'!BP91*(1/Constants!$H$135))*ttokg*FracLEACH*MSLeachEF*NtoN2O*kgtoGg,"NO")</f>
        <v>1.9871041213735664E-2</v>
      </c>
    </row>
    <row r="1524" spans="1:49" x14ac:dyDescent="0.3">
      <c r="A1524" s="95" t="s">
        <v>960</v>
      </c>
      <c r="B1524" s="95"/>
      <c r="C1524" s="95"/>
      <c r="D1524" t="str">
        <f t="shared" si="575"/>
        <v>3C Aggregated and non-CO2 emissions on land</v>
      </c>
      <c r="E1524" t="str">
        <f t="shared" si="574"/>
        <v>3C5 Indirect N2O from managed soils (N2O)</v>
      </c>
      <c r="F1524" t="str">
        <f t="shared" si="572"/>
        <v>Leaching/runoff</v>
      </c>
      <c r="G1524" t="str">
        <f>" - FSOM - "&amp;'Activity data'!D92</f>
        <v xml:space="preserve"> - FSOM - Land converted to grassland</v>
      </c>
      <c r="H1524" t="str">
        <f t="shared" si="563"/>
        <v>Leaching/runoff - FSOM - Land converted to grassland</v>
      </c>
      <c r="I1524" t="str">
        <f t="shared" si="571"/>
        <v>N2O</v>
      </c>
      <c r="J1524" t="str">
        <f t="shared" si="570"/>
        <v>Gg N2O</v>
      </c>
      <c r="K1524" s="22" t="str">
        <f>IFERROR(('Activity data'!AD92*(1/Constants!$H$135))*ttokg*FracLEACH*MSLeachEF*NtoN2O*kgtoGg,"NO")</f>
        <v>NO</v>
      </c>
      <c r="L1524" s="22" t="str">
        <f>IFERROR(('Activity data'!AE92*(1/Constants!$H$135))*ttokg*FracLEACH*MSLeachEF*NtoN2O*kgtoGg,"NO")</f>
        <v>NO</v>
      </c>
      <c r="M1524" s="22" t="str">
        <f>IFERROR(('Activity data'!AF92*(1/Constants!$H$135))*ttokg*FracLEACH*MSLeachEF*NtoN2O*kgtoGg,"NO")</f>
        <v>NO</v>
      </c>
      <c r="N1524" s="22" t="str">
        <f>IFERROR(('Activity data'!AG92*(1/Constants!$H$135))*ttokg*FracLEACH*MSLeachEF*NtoN2O*kgtoGg,"NO")</f>
        <v>NO</v>
      </c>
      <c r="O1524" s="22" t="str">
        <f>IFERROR(('Activity data'!AH92*(1/Constants!$H$135))*ttokg*FracLEACH*MSLeachEF*NtoN2O*kgtoGg,"NO")</f>
        <v>NO</v>
      </c>
      <c r="P1524" s="22" t="str">
        <f>IFERROR(('Activity data'!AI92*(1/Constants!$H$135))*ttokg*FracLEACH*MSLeachEF*NtoN2O*kgtoGg,"NO")</f>
        <v>NO</v>
      </c>
      <c r="Q1524" s="22" t="str">
        <f>IFERROR(('Activity data'!AJ92*(1/Constants!$H$135))*ttokg*FracLEACH*MSLeachEF*NtoN2O*kgtoGg,"NO")</f>
        <v>NO</v>
      </c>
      <c r="R1524" s="22" t="str">
        <f>IFERROR(('Activity data'!AK92*(1/Constants!$H$135))*ttokg*FracLEACH*MSLeachEF*NtoN2O*kgtoGg,"NO")</f>
        <v>NO</v>
      </c>
      <c r="S1524" s="22" t="str">
        <f>IFERROR(('Activity data'!AL92*(1/Constants!$H$135))*ttokg*FracLEACH*MSLeachEF*NtoN2O*kgtoGg,"NO")</f>
        <v>NO</v>
      </c>
      <c r="T1524" s="22" t="str">
        <f>IFERROR(('Activity data'!AM92*(1/Constants!$H$135))*ttokg*FracLEACH*MSLeachEF*NtoN2O*kgtoGg,"NO")</f>
        <v>NO</v>
      </c>
      <c r="U1524" s="22" t="str">
        <f>IFERROR(('Activity data'!AN92*(1/Constants!$H$135))*ttokg*FracLEACH*MSLeachEF*NtoN2O*kgtoGg,"NO")</f>
        <v>NO</v>
      </c>
      <c r="V1524" s="22" t="str">
        <f>IFERROR(('Activity data'!AO92*(1/Constants!$H$135))*ttokg*FracLEACH*MSLeachEF*NtoN2O*kgtoGg,"NO")</f>
        <v>NO</v>
      </c>
      <c r="W1524" s="22" t="str">
        <f>IFERROR(('Activity data'!AP92*(1/Constants!$H$135))*ttokg*FracLEACH*MSLeachEF*NtoN2O*kgtoGg,"NO")</f>
        <v>NO</v>
      </c>
      <c r="X1524" s="22" t="str">
        <f>IFERROR(('Activity data'!AQ92*(1/Constants!$H$135))*ttokg*FracLEACH*MSLeachEF*NtoN2O*kgtoGg,"NO")</f>
        <v>NO</v>
      </c>
      <c r="Y1524" s="22" t="str">
        <f>IFERROR(('Activity data'!AR92*(1/Constants!$H$135))*ttokg*FracLEACH*MSLeachEF*NtoN2O*kgtoGg,"NO")</f>
        <v>NO</v>
      </c>
      <c r="Z1524" s="22" t="str">
        <f>IFERROR(('Activity data'!AS92*(1/Constants!$H$135))*ttokg*FracLEACH*MSLeachEF*NtoN2O*kgtoGg,"NO")</f>
        <v>NO</v>
      </c>
      <c r="AA1524" s="22" t="str">
        <f>IFERROR(('Activity data'!AT92*(1/Constants!$H$135))*ttokg*FracLEACH*MSLeachEF*NtoN2O*kgtoGg,"NO")</f>
        <v>NO</v>
      </c>
      <c r="AB1524" s="22" t="str">
        <f>IFERROR(('Activity data'!AU92*(1/Constants!$H$135))*ttokg*FracLEACH*MSLeachEF*NtoN2O*kgtoGg,"NO")</f>
        <v>NO</v>
      </c>
      <c r="AC1524" s="22" t="str">
        <f>IFERROR(('Activity data'!AV92*(1/Constants!$H$135))*ttokg*FracLEACH*MSLeachEF*NtoN2O*kgtoGg,"NO")</f>
        <v>NO</v>
      </c>
      <c r="AD1524" s="22" t="str">
        <f>IFERROR(('Activity data'!AW92*(1/Constants!$H$135))*ttokg*FracLEACH*MSLeachEF*NtoN2O*kgtoGg,"NO")</f>
        <v>NO</v>
      </c>
      <c r="AE1524" s="22" t="str">
        <f>IFERROR(('Activity data'!AX92*(1/Constants!$H$135))*ttokg*FracLEACH*MSLeachEF*NtoN2O*kgtoGg,"NO")</f>
        <v>NO</v>
      </c>
      <c r="AF1524" s="22" t="str">
        <f>IFERROR(('Activity data'!AY92*(1/Constants!$H$135))*ttokg*FracLEACH*MSLeachEF*NtoN2O*kgtoGg,"NO")</f>
        <v>NO</v>
      </c>
      <c r="AG1524" s="22" t="str">
        <f>IFERROR(('Activity data'!AZ92*(1/Constants!$H$135))*ttokg*FracLEACH*MSLeachEF*NtoN2O*kgtoGg,"NO")</f>
        <v>NO</v>
      </c>
      <c r="AH1524" s="22" t="str">
        <f>IFERROR(('Activity data'!BA92*(1/Constants!$H$135))*ttokg*FracLEACH*MSLeachEF*NtoN2O*kgtoGg,"NO")</f>
        <v>NO</v>
      </c>
      <c r="AI1524" s="22" t="str">
        <f>IFERROR(('Activity data'!BB92*(1/Constants!$H$135))*ttokg*FracLEACH*MSLeachEF*NtoN2O*kgtoGg,"NO")</f>
        <v>NO</v>
      </c>
      <c r="AJ1524" s="22" t="str">
        <f>IFERROR(('Activity data'!BC92*(1/Constants!$H$135))*ttokg*FracLEACH*MSLeachEF*NtoN2O*kgtoGg,"NO")</f>
        <v>NO</v>
      </c>
      <c r="AK1524" s="22" t="str">
        <f>IFERROR(('Activity data'!BD92*(1/Constants!$H$135))*ttokg*FracLEACH*MSLeachEF*NtoN2O*kgtoGg,"NO")</f>
        <v>NO</v>
      </c>
      <c r="AL1524" s="22" t="str">
        <f>IFERROR(('Activity data'!BE92*(1/Constants!$H$135))*ttokg*FracLEACH*MSLeachEF*NtoN2O*kgtoGg,"NO")</f>
        <v>NO</v>
      </c>
      <c r="AM1524" s="22" t="str">
        <f>IFERROR(('Activity data'!BF92*(1/Constants!$H$135))*ttokg*FracLEACH*MSLeachEF*NtoN2O*kgtoGg,"NO")</f>
        <v>NO</v>
      </c>
      <c r="AN1524" s="22" t="str">
        <f>IFERROR(('Activity data'!BG92*(1/Constants!$H$135))*ttokg*FracLEACH*MSLeachEF*NtoN2O*kgtoGg,"NO")</f>
        <v>NO</v>
      </c>
      <c r="AO1524" s="22" t="str">
        <f>IFERROR(('Activity data'!BH92*(1/Constants!$H$135))*ttokg*FracLEACH*MSLeachEF*NtoN2O*kgtoGg,"NO")</f>
        <v>NO</v>
      </c>
      <c r="AP1524" s="22" t="str">
        <f>IFERROR(('Activity data'!BI92*(1/Constants!$H$135))*ttokg*FracLEACH*MSLeachEF*NtoN2O*kgtoGg,"NO")</f>
        <v>NO</v>
      </c>
      <c r="AQ1524" s="22" t="str">
        <f>IFERROR(('Activity data'!BJ92*(1/Constants!$H$135))*ttokg*FracLEACH*MSLeachEF*NtoN2O*kgtoGg,"NO")</f>
        <v>NO</v>
      </c>
      <c r="AR1524" s="22" t="str">
        <f>IFERROR(('Activity data'!BK92*(1/Constants!$H$135))*ttokg*FracLEACH*MSLeachEF*NtoN2O*kgtoGg,"NO")</f>
        <v>NO</v>
      </c>
      <c r="AS1524" s="22" t="str">
        <f>IFERROR(('Activity data'!BL92*(1/Constants!$H$135))*ttokg*FracLEACH*MSLeachEF*NtoN2O*kgtoGg,"NO")</f>
        <v>NO</v>
      </c>
      <c r="AT1524" s="22" t="str">
        <f>IFERROR(('Activity data'!BM92*(1/Constants!$H$135))*ttokg*FracLEACH*MSLeachEF*NtoN2O*kgtoGg,"NO")</f>
        <v>NO</v>
      </c>
      <c r="AU1524" s="22" t="str">
        <f>IFERROR(('Activity data'!BN92*(1/Constants!$H$135))*ttokg*FracLEACH*MSLeachEF*NtoN2O*kgtoGg,"NO")</f>
        <v>NO</v>
      </c>
      <c r="AV1524" s="22" t="str">
        <f>IFERROR(('Activity data'!BO92*(1/Constants!$H$135))*ttokg*FracLEACH*MSLeachEF*NtoN2O*kgtoGg,"NO")</f>
        <v>NO</v>
      </c>
      <c r="AW1524" s="22" t="str">
        <f>IFERROR(('Activity data'!BP92*(1/Constants!$H$135))*ttokg*FracLEACH*MSLeachEF*NtoN2O*kgtoGg,"NO")</f>
        <v>NO</v>
      </c>
    </row>
    <row r="1525" spans="1:49" x14ac:dyDescent="0.3">
      <c r="A1525" s="95" t="s">
        <v>960</v>
      </c>
      <c r="B1525" s="95"/>
      <c r="C1525" s="95"/>
      <c r="D1525" t="str">
        <f t="shared" si="575"/>
        <v>3C Aggregated and non-CO2 emissions on land</v>
      </c>
      <c r="E1525" t="str">
        <f t="shared" si="574"/>
        <v>3C5 Indirect N2O from managed soils (N2O)</v>
      </c>
      <c r="F1525" t="str">
        <f t="shared" si="572"/>
        <v>Leaching/runoff</v>
      </c>
      <c r="G1525" t="str">
        <f>" - FSOM - "&amp;'Activity data'!D93</f>
        <v xml:space="preserve"> - FSOM - Wetland remaining wetland</v>
      </c>
      <c r="H1525" t="str">
        <f t="shared" si="563"/>
        <v>Leaching/runoff - FSOM - Wetland remaining wetland</v>
      </c>
      <c r="I1525" t="str">
        <f t="shared" si="571"/>
        <v>N2O</v>
      </c>
      <c r="J1525" t="str">
        <f t="shared" si="570"/>
        <v>Gg N2O</v>
      </c>
      <c r="K1525" s="22" t="str">
        <f>IFERROR(('Activity data'!AD93*(1/Constants!$H$135))*ttokg*FracLEACH*MSLeachEF*NtoN2O*kgtoGg,"NO")</f>
        <v>NO</v>
      </c>
      <c r="L1525" s="22" t="str">
        <f>IFERROR(('Activity data'!AE93*(1/Constants!$H$135))*ttokg*FracLEACH*MSLeachEF*NtoN2O*kgtoGg,"NO")</f>
        <v>NO</v>
      </c>
      <c r="M1525" s="22" t="str">
        <f>IFERROR(('Activity data'!AF93*(1/Constants!$H$135))*ttokg*FracLEACH*MSLeachEF*NtoN2O*kgtoGg,"NO")</f>
        <v>NO</v>
      </c>
      <c r="N1525" s="22" t="str">
        <f>IFERROR(('Activity data'!AG93*(1/Constants!$H$135))*ttokg*FracLEACH*MSLeachEF*NtoN2O*kgtoGg,"NO")</f>
        <v>NO</v>
      </c>
      <c r="O1525" s="22" t="str">
        <f>IFERROR(('Activity data'!AH93*(1/Constants!$H$135))*ttokg*FracLEACH*MSLeachEF*NtoN2O*kgtoGg,"NO")</f>
        <v>NO</v>
      </c>
      <c r="P1525" s="22" t="str">
        <f>IFERROR(('Activity data'!AI93*(1/Constants!$H$135))*ttokg*FracLEACH*MSLeachEF*NtoN2O*kgtoGg,"NO")</f>
        <v>NO</v>
      </c>
      <c r="Q1525" s="22" t="str">
        <f>IFERROR(('Activity data'!AJ93*(1/Constants!$H$135))*ttokg*FracLEACH*MSLeachEF*NtoN2O*kgtoGg,"NO")</f>
        <v>NO</v>
      </c>
      <c r="R1525" s="22" t="str">
        <f>IFERROR(('Activity data'!AK93*(1/Constants!$H$135))*ttokg*FracLEACH*MSLeachEF*NtoN2O*kgtoGg,"NO")</f>
        <v>NO</v>
      </c>
      <c r="S1525" s="22" t="str">
        <f>IFERROR(('Activity data'!AL93*(1/Constants!$H$135))*ttokg*FracLEACH*MSLeachEF*NtoN2O*kgtoGg,"NO")</f>
        <v>NO</v>
      </c>
      <c r="T1525" s="22" t="str">
        <f>IFERROR(('Activity data'!AM93*(1/Constants!$H$135))*ttokg*FracLEACH*MSLeachEF*NtoN2O*kgtoGg,"NO")</f>
        <v>NO</v>
      </c>
      <c r="U1525" s="22" t="str">
        <f>IFERROR(('Activity data'!AN93*(1/Constants!$H$135))*ttokg*FracLEACH*MSLeachEF*NtoN2O*kgtoGg,"NO")</f>
        <v>NO</v>
      </c>
      <c r="V1525" s="22" t="str">
        <f>IFERROR(('Activity data'!AO93*(1/Constants!$H$135))*ttokg*FracLEACH*MSLeachEF*NtoN2O*kgtoGg,"NO")</f>
        <v>NO</v>
      </c>
      <c r="W1525" s="22" t="str">
        <f>IFERROR(('Activity data'!AP93*(1/Constants!$H$135))*ttokg*FracLEACH*MSLeachEF*NtoN2O*kgtoGg,"NO")</f>
        <v>NO</v>
      </c>
      <c r="X1525" s="22" t="str">
        <f>IFERROR(('Activity data'!AQ93*(1/Constants!$H$135))*ttokg*FracLEACH*MSLeachEF*NtoN2O*kgtoGg,"NO")</f>
        <v>NO</v>
      </c>
      <c r="Y1525" s="22" t="str">
        <f>IFERROR(('Activity data'!AR93*(1/Constants!$H$135))*ttokg*FracLEACH*MSLeachEF*NtoN2O*kgtoGg,"NO")</f>
        <v>NO</v>
      </c>
      <c r="Z1525" s="22" t="str">
        <f>IFERROR(('Activity data'!AS93*(1/Constants!$H$135))*ttokg*FracLEACH*MSLeachEF*NtoN2O*kgtoGg,"NO")</f>
        <v>NO</v>
      </c>
      <c r="AA1525" s="22" t="str">
        <f>IFERROR(('Activity data'!AT93*(1/Constants!$H$135))*ttokg*FracLEACH*MSLeachEF*NtoN2O*kgtoGg,"NO")</f>
        <v>NO</v>
      </c>
      <c r="AB1525" s="22" t="str">
        <f>IFERROR(('Activity data'!AU93*(1/Constants!$H$135))*ttokg*FracLEACH*MSLeachEF*NtoN2O*kgtoGg,"NO")</f>
        <v>NO</v>
      </c>
      <c r="AC1525" s="22" t="str">
        <f>IFERROR(('Activity data'!AV93*(1/Constants!$H$135))*ttokg*FracLEACH*MSLeachEF*NtoN2O*kgtoGg,"NO")</f>
        <v>NO</v>
      </c>
      <c r="AD1525" s="22" t="str">
        <f>IFERROR(('Activity data'!AW93*(1/Constants!$H$135))*ttokg*FracLEACH*MSLeachEF*NtoN2O*kgtoGg,"NO")</f>
        <v>NO</v>
      </c>
      <c r="AE1525" s="22" t="str">
        <f>IFERROR(('Activity data'!AX93*(1/Constants!$H$135))*ttokg*FracLEACH*MSLeachEF*NtoN2O*kgtoGg,"NO")</f>
        <v>NO</v>
      </c>
      <c r="AF1525" s="22" t="str">
        <f>IFERROR(('Activity data'!AY93*(1/Constants!$H$135))*ttokg*FracLEACH*MSLeachEF*NtoN2O*kgtoGg,"NO")</f>
        <v>NO</v>
      </c>
      <c r="AG1525" s="22" t="str">
        <f>IFERROR(('Activity data'!AZ93*(1/Constants!$H$135))*ttokg*FracLEACH*MSLeachEF*NtoN2O*kgtoGg,"NO")</f>
        <v>NO</v>
      </c>
      <c r="AH1525" s="22" t="str">
        <f>IFERROR(('Activity data'!BA93*(1/Constants!$H$135))*ttokg*FracLEACH*MSLeachEF*NtoN2O*kgtoGg,"NO")</f>
        <v>NO</v>
      </c>
      <c r="AI1525" s="22" t="str">
        <f>IFERROR(('Activity data'!BB93*(1/Constants!$H$135))*ttokg*FracLEACH*MSLeachEF*NtoN2O*kgtoGg,"NO")</f>
        <v>NO</v>
      </c>
      <c r="AJ1525" s="22" t="str">
        <f>IFERROR(('Activity data'!BC93*(1/Constants!$H$135))*ttokg*FracLEACH*MSLeachEF*NtoN2O*kgtoGg,"NO")</f>
        <v>NO</v>
      </c>
      <c r="AK1525" s="22" t="str">
        <f>IFERROR(('Activity data'!BD93*(1/Constants!$H$135))*ttokg*FracLEACH*MSLeachEF*NtoN2O*kgtoGg,"NO")</f>
        <v>NO</v>
      </c>
      <c r="AL1525" s="22" t="str">
        <f>IFERROR(('Activity data'!BE93*(1/Constants!$H$135))*ttokg*FracLEACH*MSLeachEF*NtoN2O*kgtoGg,"NO")</f>
        <v>NO</v>
      </c>
      <c r="AM1525" s="22" t="str">
        <f>IFERROR(('Activity data'!BF93*(1/Constants!$H$135))*ttokg*FracLEACH*MSLeachEF*NtoN2O*kgtoGg,"NO")</f>
        <v>NO</v>
      </c>
      <c r="AN1525" s="22" t="str">
        <f>IFERROR(('Activity data'!BG93*(1/Constants!$H$135))*ttokg*FracLEACH*MSLeachEF*NtoN2O*kgtoGg,"NO")</f>
        <v>NO</v>
      </c>
      <c r="AO1525" s="22" t="str">
        <f>IFERROR(('Activity data'!BH93*(1/Constants!$H$135))*ttokg*FracLEACH*MSLeachEF*NtoN2O*kgtoGg,"NO")</f>
        <v>NO</v>
      </c>
      <c r="AP1525" s="22" t="str">
        <f>IFERROR(('Activity data'!BI93*(1/Constants!$H$135))*ttokg*FracLEACH*MSLeachEF*NtoN2O*kgtoGg,"NO")</f>
        <v>NO</v>
      </c>
      <c r="AQ1525" s="22" t="str">
        <f>IFERROR(('Activity data'!BJ93*(1/Constants!$H$135))*ttokg*FracLEACH*MSLeachEF*NtoN2O*kgtoGg,"NO")</f>
        <v>NO</v>
      </c>
      <c r="AR1525" s="22" t="str">
        <f>IFERROR(('Activity data'!BK93*(1/Constants!$H$135))*ttokg*FracLEACH*MSLeachEF*NtoN2O*kgtoGg,"NO")</f>
        <v>NO</v>
      </c>
      <c r="AS1525" s="22" t="str">
        <f>IFERROR(('Activity data'!BL93*(1/Constants!$H$135))*ttokg*FracLEACH*MSLeachEF*NtoN2O*kgtoGg,"NO")</f>
        <v>NO</v>
      </c>
      <c r="AT1525" s="22" t="str">
        <f>IFERROR(('Activity data'!BM93*(1/Constants!$H$135))*ttokg*FracLEACH*MSLeachEF*NtoN2O*kgtoGg,"NO")</f>
        <v>NO</v>
      </c>
      <c r="AU1525" s="22" t="str">
        <f>IFERROR(('Activity data'!BN93*(1/Constants!$H$135))*ttokg*FracLEACH*MSLeachEF*NtoN2O*kgtoGg,"NO")</f>
        <v>NO</v>
      </c>
      <c r="AV1525" s="22" t="str">
        <f>IFERROR(('Activity data'!BO93*(1/Constants!$H$135))*ttokg*FracLEACH*MSLeachEF*NtoN2O*kgtoGg,"NO")</f>
        <v>NO</v>
      </c>
      <c r="AW1525" s="22" t="str">
        <f>IFERROR(('Activity data'!BP93*(1/Constants!$H$135))*ttokg*FracLEACH*MSLeachEF*NtoN2O*kgtoGg,"NO")</f>
        <v>NO</v>
      </c>
    </row>
    <row r="1526" spans="1:49" x14ac:dyDescent="0.3">
      <c r="A1526" s="95" t="s">
        <v>960</v>
      </c>
      <c r="B1526" s="95"/>
      <c r="C1526" s="95"/>
      <c r="D1526" t="str">
        <f t="shared" si="575"/>
        <v>3C Aggregated and non-CO2 emissions on land</v>
      </c>
      <c r="E1526" t="str">
        <f t="shared" si="574"/>
        <v>3C5 Indirect N2O from managed soils (N2O)</v>
      </c>
      <c r="F1526" t="str">
        <f t="shared" si="572"/>
        <v>Leaching/runoff</v>
      </c>
      <c r="G1526" t="str">
        <f>" - FSOM - "&amp;'Activity data'!D94</f>
        <v xml:space="preserve"> - FSOM - Land converted to wetland</v>
      </c>
      <c r="H1526" t="str">
        <f t="shared" si="563"/>
        <v>Leaching/runoff - FSOM - Land converted to wetland</v>
      </c>
      <c r="I1526" t="str">
        <f t="shared" si="571"/>
        <v>N2O</v>
      </c>
      <c r="J1526" t="str">
        <f t="shared" si="570"/>
        <v>Gg N2O</v>
      </c>
      <c r="K1526" s="22" t="str">
        <f>IFERROR(('Activity data'!AD94*(1/Constants!$H$135))*ttokg*FracLEACH*MSLeachEF*NtoN2O*kgtoGg,"NO")</f>
        <v>NO</v>
      </c>
      <c r="L1526" s="22" t="str">
        <f>IFERROR(('Activity data'!AE94*(1/Constants!$H$135))*ttokg*FracLEACH*MSLeachEF*NtoN2O*kgtoGg,"NO")</f>
        <v>NO</v>
      </c>
      <c r="M1526" s="22" t="str">
        <f>IFERROR(('Activity data'!AF94*(1/Constants!$H$135))*ttokg*FracLEACH*MSLeachEF*NtoN2O*kgtoGg,"NO")</f>
        <v>NO</v>
      </c>
      <c r="N1526" s="22" t="str">
        <f>IFERROR(('Activity data'!AG94*(1/Constants!$H$135))*ttokg*FracLEACH*MSLeachEF*NtoN2O*kgtoGg,"NO")</f>
        <v>NO</v>
      </c>
      <c r="O1526" s="22" t="str">
        <f>IFERROR(('Activity data'!AH94*(1/Constants!$H$135))*ttokg*FracLEACH*MSLeachEF*NtoN2O*kgtoGg,"NO")</f>
        <v>NO</v>
      </c>
      <c r="P1526" s="22" t="str">
        <f>IFERROR(('Activity data'!AI94*(1/Constants!$H$135))*ttokg*FracLEACH*MSLeachEF*NtoN2O*kgtoGg,"NO")</f>
        <v>NO</v>
      </c>
      <c r="Q1526" s="22" t="str">
        <f>IFERROR(('Activity data'!AJ94*(1/Constants!$H$135))*ttokg*FracLEACH*MSLeachEF*NtoN2O*kgtoGg,"NO")</f>
        <v>NO</v>
      </c>
      <c r="R1526" s="22" t="str">
        <f>IFERROR(('Activity data'!AK94*(1/Constants!$H$135))*ttokg*FracLEACH*MSLeachEF*NtoN2O*kgtoGg,"NO")</f>
        <v>NO</v>
      </c>
      <c r="S1526" s="22" t="str">
        <f>IFERROR(('Activity data'!AL94*(1/Constants!$H$135))*ttokg*FracLEACH*MSLeachEF*NtoN2O*kgtoGg,"NO")</f>
        <v>NO</v>
      </c>
      <c r="T1526" s="22" t="str">
        <f>IFERROR(('Activity data'!AM94*(1/Constants!$H$135))*ttokg*FracLEACH*MSLeachEF*NtoN2O*kgtoGg,"NO")</f>
        <v>NO</v>
      </c>
      <c r="U1526" s="22" t="str">
        <f>IFERROR(('Activity data'!AN94*(1/Constants!$H$135))*ttokg*FracLEACH*MSLeachEF*NtoN2O*kgtoGg,"NO")</f>
        <v>NO</v>
      </c>
      <c r="V1526" s="22" t="str">
        <f>IFERROR(('Activity data'!AO94*(1/Constants!$H$135))*ttokg*FracLEACH*MSLeachEF*NtoN2O*kgtoGg,"NO")</f>
        <v>NO</v>
      </c>
      <c r="W1526" s="22" t="str">
        <f>IFERROR(('Activity data'!AP94*(1/Constants!$H$135))*ttokg*FracLEACH*MSLeachEF*NtoN2O*kgtoGg,"NO")</f>
        <v>NO</v>
      </c>
      <c r="X1526" s="22" t="str">
        <f>IFERROR(('Activity data'!AQ94*(1/Constants!$H$135))*ttokg*FracLEACH*MSLeachEF*NtoN2O*kgtoGg,"NO")</f>
        <v>NO</v>
      </c>
      <c r="Y1526" s="22" t="str">
        <f>IFERROR(('Activity data'!AR94*(1/Constants!$H$135))*ttokg*FracLEACH*MSLeachEF*NtoN2O*kgtoGg,"NO")</f>
        <v>NO</v>
      </c>
      <c r="Z1526" s="22" t="str">
        <f>IFERROR(('Activity data'!AS94*(1/Constants!$H$135))*ttokg*FracLEACH*MSLeachEF*NtoN2O*kgtoGg,"NO")</f>
        <v>NO</v>
      </c>
      <c r="AA1526" s="22" t="str">
        <f>IFERROR(('Activity data'!AT94*(1/Constants!$H$135))*ttokg*FracLEACH*MSLeachEF*NtoN2O*kgtoGg,"NO")</f>
        <v>NO</v>
      </c>
      <c r="AB1526" s="22" t="str">
        <f>IFERROR(('Activity data'!AU94*(1/Constants!$H$135))*ttokg*FracLEACH*MSLeachEF*NtoN2O*kgtoGg,"NO")</f>
        <v>NO</v>
      </c>
      <c r="AC1526" s="22" t="str">
        <f>IFERROR(('Activity data'!AV94*(1/Constants!$H$135))*ttokg*FracLEACH*MSLeachEF*NtoN2O*kgtoGg,"NO")</f>
        <v>NO</v>
      </c>
      <c r="AD1526" s="22" t="str">
        <f>IFERROR(('Activity data'!AW94*(1/Constants!$H$135))*ttokg*FracLEACH*MSLeachEF*NtoN2O*kgtoGg,"NO")</f>
        <v>NO</v>
      </c>
      <c r="AE1526" s="22" t="str">
        <f>IFERROR(('Activity data'!AX94*(1/Constants!$H$135))*ttokg*FracLEACH*MSLeachEF*NtoN2O*kgtoGg,"NO")</f>
        <v>NO</v>
      </c>
      <c r="AF1526" s="22" t="str">
        <f>IFERROR(('Activity data'!AY94*(1/Constants!$H$135))*ttokg*FracLEACH*MSLeachEF*NtoN2O*kgtoGg,"NO")</f>
        <v>NO</v>
      </c>
      <c r="AG1526" s="22" t="str">
        <f>IFERROR(('Activity data'!AZ94*(1/Constants!$H$135))*ttokg*FracLEACH*MSLeachEF*NtoN2O*kgtoGg,"NO")</f>
        <v>NO</v>
      </c>
      <c r="AH1526" s="22" t="str">
        <f>IFERROR(('Activity data'!BA94*(1/Constants!$H$135))*ttokg*FracLEACH*MSLeachEF*NtoN2O*kgtoGg,"NO")</f>
        <v>NO</v>
      </c>
      <c r="AI1526" s="22" t="str">
        <f>IFERROR(('Activity data'!BB94*(1/Constants!$H$135))*ttokg*FracLEACH*MSLeachEF*NtoN2O*kgtoGg,"NO")</f>
        <v>NO</v>
      </c>
      <c r="AJ1526" s="22" t="str">
        <f>IFERROR(('Activity data'!BC94*(1/Constants!$H$135))*ttokg*FracLEACH*MSLeachEF*NtoN2O*kgtoGg,"NO")</f>
        <v>NO</v>
      </c>
      <c r="AK1526" s="22" t="str">
        <f>IFERROR(('Activity data'!BD94*(1/Constants!$H$135))*ttokg*FracLEACH*MSLeachEF*NtoN2O*kgtoGg,"NO")</f>
        <v>NO</v>
      </c>
      <c r="AL1526" s="22" t="str">
        <f>IFERROR(('Activity data'!BE94*(1/Constants!$H$135))*ttokg*FracLEACH*MSLeachEF*NtoN2O*kgtoGg,"NO")</f>
        <v>NO</v>
      </c>
      <c r="AM1526" s="22" t="str">
        <f>IFERROR(('Activity data'!BF94*(1/Constants!$H$135))*ttokg*FracLEACH*MSLeachEF*NtoN2O*kgtoGg,"NO")</f>
        <v>NO</v>
      </c>
      <c r="AN1526" s="22" t="str">
        <f>IFERROR(('Activity data'!BG94*(1/Constants!$H$135))*ttokg*FracLEACH*MSLeachEF*NtoN2O*kgtoGg,"NO")</f>
        <v>NO</v>
      </c>
      <c r="AO1526" s="22" t="str">
        <f>IFERROR(('Activity data'!BH94*(1/Constants!$H$135))*ttokg*FracLEACH*MSLeachEF*NtoN2O*kgtoGg,"NO")</f>
        <v>NO</v>
      </c>
      <c r="AP1526" s="22" t="str">
        <f>IFERROR(('Activity data'!BI94*(1/Constants!$H$135))*ttokg*FracLEACH*MSLeachEF*NtoN2O*kgtoGg,"NO")</f>
        <v>NO</v>
      </c>
      <c r="AQ1526" s="22" t="str">
        <f>IFERROR(('Activity data'!BJ94*(1/Constants!$H$135))*ttokg*FracLEACH*MSLeachEF*NtoN2O*kgtoGg,"NO")</f>
        <v>NO</v>
      </c>
      <c r="AR1526" s="22" t="str">
        <f>IFERROR(('Activity data'!BK94*(1/Constants!$H$135))*ttokg*FracLEACH*MSLeachEF*NtoN2O*kgtoGg,"NO")</f>
        <v>NO</v>
      </c>
      <c r="AS1526" s="22" t="str">
        <f>IFERROR(('Activity data'!BL94*(1/Constants!$H$135))*ttokg*FracLEACH*MSLeachEF*NtoN2O*kgtoGg,"NO")</f>
        <v>NO</v>
      </c>
      <c r="AT1526" s="22" t="str">
        <f>IFERROR(('Activity data'!BM94*(1/Constants!$H$135))*ttokg*FracLEACH*MSLeachEF*NtoN2O*kgtoGg,"NO")</f>
        <v>NO</v>
      </c>
      <c r="AU1526" s="22" t="str">
        <f>IFERROR(('Activity data'!BN94*(1/Constants!$H$135))*ttokg*FracLEACH*MSLeachEF*NtoN2O*kgtoGg,"NO")</f>
        <v>NO</v>
      </c>
      <c r="AV1526" s="22" t="str">
        <f>IFERROR(('Activity data'!BO94*(1/Constants!$H$135))*ttokg*FracLEACH*MSLeachEF*NtoN2O*kgtoGg,"NO")</f>
        <v>NO</v>
      </c>
      <c r="AW1526" s="22" t="str">
        <f>IFERROR(('Activity data'!BP94*(1/Constants!$H$135))*ttokg*FracLEACH*MSLeachEF*NtoN2O*kgtoGg,"NO")</f>
        <v>NO</v>
      </c>
    </row>
    <row r="1527" spans="1:49" x14ac:dyDescent="0.3">
      <c r="A1527" s="95" t="s">
        <v>960</v>
      </c>
      <c r="B1527" s="95"/>
      <c r="C1527" s="95"/>
      <c r="D1527" t="str">
        <f t="shared" si="575"/>
        <v>3C Aggregated and non-CO2 emissions on land</v>
      </c>
      <c r="E1527" t="str">
        <f t="shared" si="574"/>
        <v>3C5 Indirect N2O from managed soils (N2O)</v>
      </c>
      <c r="F1527" t="str">
        <f t="shared" si="572"/>
        <v>Leaching/runoff</v>
      </c>
      <c r="G1527" t="str">
        <f>" - FSOM - "&amp;'Activity data'!D95</f>
        <v xml:space="preserve"> - FSOM - Settlements remaining settlements</v>
      </c>
      <c r="H1527" t="str">
        <f t="shared" si="563"/>
        <v>Leaching/runoff - FSOM - Settlements remaining settlements</v>
      </c>
      <c r="I1527" t="str">
        <f t="shared" si="571"/>
        <v>N2O</v>
      </c>
      <c r="J1527" t="str">
        <f t="shared" si="570"/>
        <v>Gg N2O</v>
      </c>
      <c r="K1527" s="22">
        <f>IFERROR(('Activity data'!AD95*(1/Constants!$H$135))*ttokg*FracLEACH*MSLeachEF*NtoN2O*kgtoGg,"NO")</f>
        <v>1.9333864620707719E-6</v>
      </c>
      <c r="L1527" s="22">
        <f>IFERROR(('Activity data'!AE95*(1/Constants!$H$135))*ttokg*FracLEACH*MSLeachEF*NtoN2O*kgtoGg,"NO")</f>
        <v>1.9333864620707719E-6</v>
      </c>
      <c r="M1527" s="22">
        <f>IFERROR(('Activity data'!AF95*(1/Constants!$H$135))*ttokg*FracLEACH*MSLeachEF*NtoN2O*kgtoGg,"NO")</f>
        <v>1.9333864620707719E-6</v>
      </c>
      <c r="N1527" s="22">
        <f>IFERROR(('Activity data'!AG95*(1/Constants!$H$135))*ttokg*FracLEACH*MSLeachEF*NtoN2O*kgtoGg,"NO")</f>
        <v>1.9333864620707719E-6</v>
      </c>
      <c r="O1527" s="22">
        <f>IFERROR(('Activity data'!AH95*(1/Constants!$H$135))*ttokg*FracLEACH*MSLeachEF*NtoN2O*kgtoGg,"NO")</f>
        <v>1.9333864620707719E-6</v>
      </c>
      <c r="P1527" s="22">
        <f>IFERROR(('Activity data'!AI95*(1/Constants!$H$135))*ttokg*FracLEACH*MSLeachEF*NtoN2O*kgtoGg,"NO")</f>
        <v>1.9333864620707719E-6</v>
      </c>
      <c r="Q1527" s="22">
        <f>IFERROR(('Activity data'!AJ95*(1/Constants!$H$135))*ttokg*FracLEACH*MSLeachEF*NtoN2O*kgtoGg,"NO")</f>
        <v>1.9333864620707719E-6</v>
      </c>
      <c r="R1527" s="22">
        <f>IFERROR(('Activity data'!AK95*(1/Constants!$H$135))*ttokg*FracLEACH*MSLeachEF*NtoN2O*kgtoGg,"NO")</f>
        <v>1.9333864620707719E-6</v>
      </c>
      <c r="S1527" s="22">
        <f>IFERROR(('Activity data'!AL95*(1/Constants!$H$135))*ttokg*FracLEACH*MSLeachEF*NtoN2O*kgtoGg,"NO")</f>
        <v>1.9333864620707719E-6</v>
      </c>
      <c r="T1527" s="22">
        <f>IFERROR(('Activity data'!AM95*(1/Constants!$H$135))*ttokg*FracLEACH*MSLeachEF*NtoN2O*kgtoGg,"NO")</f>
        <v>1.9333864620707719E-6</v>
      </c>
      <c r="U1527" s="22">
        <f>IFERROR(('Activity data'!AN95*(1/Constants!$H$135))*ttokg*FracLEACH*MSLeachEF*NtoN2O*kgtoGg,"NO")</f>
        <v>1.9333864620707719E-6</v>
      </c>
      <c r="V1527" s="22">
        <f>IFERROR(('Activity data'!AO95*(1/Constants!$H$135))*ttokg*FracLEACH*MSLeachEF*NtoN2O*kgtoGg,"NO")</f>
        <v>1.9333864620707719E-6</v>
      </c>
      <c r="W1527" s="22">
        <f>IFERROR(('Activity data'!AP95*(1/Constants!$H$135))*ttokg*FracLEACH*MSLeachEF*NtoN2O*kgtoGg,"NO")</f>
        <v>1.9333864620707719E-6</v>
      </c>
      <c r="X1527" s="22">
        <f>IFERROR(('Activity data'!AQ95*(1/Constants!$H$135))*ttokg*FracLEACH*MSLeachEF*NtoN2O*kgtoGg,"NO")</f>
        <v>1.9333864620707719E-6</v>
      </c>
      <c r="Y1527" s="22">
        <f>IFERROR(('Activity data'!AR95*(1/Constants!$H$135))*ttokg*FracLEACH*MSLeachEF*NtoN2O*kgtoGg,"NO")</f>
        <v>1.9333864620707719E-6</v>
      </c>
      <c r="Z1527" s="22">
        <f>IFERROR(('Activity data'!AS95*(1/Constants!$H$135))*ttokg*FracLEACH*MSLeachEF*NtoN2O*kgtoGg,"NO")</f>
        <v>1.9333864620707719E-6</v>
      </c>
      <c r="AA1527" s="22">
        <f>IFERROR(('Activity data'!AT95*(1/Constants!$H$135))*ttokg*FracLEACH*MSLeachEF*NtoN2O*kgtoGg,"NO")</f>
        <v>1.9333864620707719E-6</v>
      </c>
      <c r="AB1527" s="22">
        <f>IFERROR(('Activity data'!AU95*(1/Constants!$H$135))*ttokg*FracLEACH*MSLeachEF*NtoN2O*kgtoGg,"NO")</f>
        <v>1.9333864620707719E-6</v>
      </c>
      <c r="AC1527" s="22">
        <f>IFERROR(('Activity data'!AV95*(1/Constants!$H$135))*ttokg*FracLEACH*MSLeachEF*NtoN2O*kgtoGg,"NO")</f>
        <v>1.9333864620707719E-6</v>
      </c>
      <c r="AD1527" s="22">
        <f>IFERROR(('Activity data'!AW95*(1/Constants!$H$135))*ttokg*FracLEACH*MSLeachEF*NtoN2O*kgtoGg,"NO")</f>
        <v>1.9333864620707719E-6</v>
      </c>
      <c r="AE1527" s="22">
        <f>IFERROR(('Activity data'!AX95*(1/Constants!$H$135))*ttokg*FracLEACH*MSLeachEF*NtoN2O*kgtoGg,"NO")</f>
        <v>1.9333864620707719E-6</v>
      </c>
      <c r="AF1527" s="22">
        <f>IFERROR(('Activity data'!AY95*(1/Constants!$H$135))*ttokg*FracLEACH*MSLeachEF*NtoN2O*kgtoGg,"NO")</f>
        <v>1.9333864620707719E-6</v>
      </c>
      <c r="AG1527" s="22">
        <f>IFERROR(('Activity data'!AZ95*(1/Constants!$H$135))*ttokg*FracLEACH*MSLeachEF*NtoN2O*kgtoGg,"NO")</f>
        <v>1.9333864620707719E-6</v>
      </c>
      <c r="AH1527" s="22">
        <f>IFERROR(('Activity data'!BA95*(1/Constants!$H$135))*ttokg*FracLEACH*MSLeachEF*NtoN2O*kgtoGg,"NO")</f>
        <v>1.9333864620707719E-6</v>
      </c>
      <c r="AI1527" s="22">
        <f>IFERROR(('Activity data'!BB95*(1/Constants!$H$135))*ttokg*FracLEACH*MSLeachEF*NtoN2O*kgtoGg,"NO")</f>
        <v>1.9333864620707719E-6</v>
      </c>
      <c r="AJ1527" s="22">
        <f>IFERROR(('Activity data'!BC95*(1/Constants!$H$135))*ttokg*FracLEACH*MSLeachEF*NtoN2O*kgtoGg,"NO")</f>
        <v>1.9333864620707719E-6</v>
      </c>
      <c r="AK1527" s="22">
        <f>IFERROR(('Activity data'!BD95*(1/Constants!$H$135))*ttokg*FracLEACH*MSLeachEF*NtoN2O*kgtoGg,"NO")</f>
        <v>1.9333864620707719E-6</v>
      </c>
      <c r="AL1527" s="22">
        <f>IFERROR(('Activity data'!BE95*(1/Constants!$H$135))*ttokg*FracLEACH*MSLeachEF*NtoN2O*kgtoGg,"NO")</f>
        <v>1.9333864620707719E-6</v>
      </c>
      <c r="AM1527" s="22">
        <f>IFERROR(('Activity data'!BF95*(1/Constants!$H$135))*ttokg*FracLEACH*MSLeachEF*NtoN2O*kgtoGg,"NO")</f>
        <v>1.9333864620707719E-6</v>
      </c>
      <c r="AN1527" s="22">
        <f>IFERROR(('Activity data'!BG95*(1/Constants!$H$135))*ttokg*FracLEACH*MSLeachEF*NtoN2O*kgtoGg,"NO")</f>
        <v>1.9333864620707719E-6</v>
      </c>
      <c r="AO1527" s="22">
        <f>IFERROR(('Activity data'!BH95*(1/Constants!$H$135))*ttokg*FracLEACH*MSLeachEF*NtoN2O*kgtoGg,"NO")</f>
        <v>1.9333864620707719E-6</v>
      </c>
      <c r="AP1527" s="22">
        <f>IFERROR(('Activity data'!BI95*(1/Constants!$H$135))*ttokg*FracLEACH*MSLeachEF*NtoN2O*kgtoGg,"NO")</f>
        <v>1.9333864620707719E-6</v>
      </c>
      <c r="AQ1527" s="22">
        <f>IFERROR(('Activity data'!BJ95*(1/Constants!$H$135))*ttokg*FracLEACH*MSLeachEF*NtoN2O*kgtoGg,"NO")</f>
        <v>1.9333864620707719E-6</v>
      </c>
      <c r="AR1527" s="22">
        <f>IFERROR(('Activity data'!BK95*(1/Constants!$H$135))*ttokg*FracLEACH*MSLeachEF*NtoN2O*kgtoGg,"NO")</f>
        <v>1.9333864620707719E-6</v>
      </c>
      <c r="AS1527" s="22">
        <f>IFERROR(('Activity data'!BL95*(1/Constants!$H$135))*ttokg*FracLEACH*MSLeachEF*NtoN2O*kgtoGg,"NO")</f>
        <v>1.9333864620707719E-6</v>
      </c>
      <c r="AT1527" s="22">
        <f>IFERROR(('Activity data'!BM95*(1/Constants!$H$135))*ttokg*FracLEACH*MSLeachEF*NtoN2O*kgtoGg,"NO")</f>
        <v>1.9333864620707719E-6</v>
      </c>
      <c r="AU1527" s="22">
        <f>IFERROR(('Activity data'!BN95*(1/Constants!$H$135))*ttokg*FracLEACH*MSLeachEF*NtoN2O*kgtoGg,"NO")</f>
        <v>1.9333864620707719E-6</v>
      </c>
      <c r="AV1527" s="22">
        <f>IFERROR(('Activity data'!BO95*(1/Constants!$H$135))*ttokg*FracLEACH*MSLeachEF*NtoN2O*kgtoGg,"NO")</f>
        <v>1.9333864620707719E-6</v>
      </c>
      <c r="AW1527" s="22">
        <f>IFERROR(('Activity data'!BP95*(1/Constants!$H$135))*ttokg*FracLEACH*MSLeachEF*NtoN2O*kgtoGg,"NO")</f>
        <v>1.9333864620707719E-6</v>
      </c>
    </row>
    <row r="1528" spans="1:49" x14ac:dyDescent="0.3">
      <c r="A1528" s="95" t="s">
        <v>960</v>
      </c>
      <c r="B1528" s="95"/>
      <c r="C1528" s="95"/>
      <c r="D1528" t="str">
        <f t="shared" si="575"/>
        <v>3C Aggregated and non-CO2 emissions on land</v>
      </c>
      <c r="E1528" t="str">
        <f t="shared" si="574"/>
        <v>3C5 Indirect N2O from managed soils (N2O)</v>
      </c>
      <c r="F1528" t="str">
        <f t="shared" si="574"/>
        <v>Leaching/runoff</v>
      </c>
      <c r="G1528" t="str">
        <f>" - FSOM - "&amp;'Activity data'!D96</f>
        <v xml:space="preserve"> - FSOM - Land converted to settlements</v>
      </c>
      <c r="H1528" t="str">
        <f t="shared" si="563"/>
        <v>Leaching/runoff - FSOM - Land converted to settlements</v>
      </c>
      <c r="I1528" t="str">
        <f t="shared" si="571"/>
        <v>N2O</v>
      </c>
      <c r="J1528" t="str">
        <f t="shared" si="570"/>
        <v>Gg N2O</v>
      </c>
      <c r="K1528" s="22">
        <f>IFERROR(('Activity data'!AD96*(1/Constants!$H$135))*ttokg*FracLEACH*MSLeachEF*NtoN2O*kgtoGg,"NO")</f>
        <v>2.1082459751876198E-3</v>
      </c>
      <c r="L1528" s="22">
        <f>IFERROR(('Activity data'!AE96*(1/Constants!$H$135))*ttokg*FracLEACH*MSLeachEF*NtoN2O*kgtoGg,"NO")</f>
        <v>2.1082459751876198E-3</v>
      </c>
      <c r="M1528" s="22">
        <f>IFERROR(('Activity data'!AF96*(1/Constants!$H$135))*ttokg*FracLEACH*MSLeachEF*NtoN2O*kgtoGg,"NO")</f>
        <v>2.1082459751876198E-3</v>
      </c>
      <c r="N1528" s="22">
        <f>IFERROR(('Activity data'!AG96*(1/Constants!$H$135))*ttokg*FracLEACH*MSLeachEF*NtoN2O*kgtoGg,"NO")</f>
        <v>2.1082459751876198E-3</v>
      </c>
      <c r="O1528" s="22">
        <f>IFERROR(('Activity data'!AH96*(1/Constants!$H$135))*ttokg*FracLEACH*MSLeachEF*NtoN2O*kgtoGg,"NO")</f>
        <v>2.1082459751876198E-3</v>
      </c>
      <c r="P1528" s="22">
        <f>IFERROR(('Activity data'!AI96*(1/Constants!$H$135))*ttokg*FracLEACH*MSLeachEF*NtoN2O*kgtoGg,"NO")</f>
        <v>2.1082459751876198E-3</v>
      </c>
      <c r="Q1528" s="22">
        <f>IFERROR(('Activity data'!AJ96*(1/Constants!$H$135))*ttokg*FracLEACH*MSLeachEF*NtoN2O*kgtoGg,"NO")</f>
        <v>2.1082459751876198E-3</v>
      </c>
      <c r="R1528" s="22">
        <f>IFERROR(('Activity data'!AK96*(1/Constants!$H$135))*ttokg*FracLEACH*MSLeachEF*NtoN2O*kgtoGg,"NO")</f>
        <v>2.1082459751876198E-3</v>
      </c>
      <c r="S1528" s="22">
        <f>IFERROR(('Activity data'!AL96*(1/Constants!$H$135))*ttokg*FracLEACH*MSLeachEF*NtoN2O*kgtoGg,"NO")</f>
        <v>2.1082459751876198E-3</v>
      </c>
      <c r="T1528" s="22">
        <f>IFERROR(('Activity data'!AM96*(1/Constants!$H$135))*ttokg*FracLEACH*MSLeachEF*NtoN2O*kgtoGg,"NO")</f>
        <v>2.1082459751876198E-3</v>
      </c>
      <c r="U1528" s="22">
        <f>IFERROR(('Activity data'!AN96*(1/Constants!$H$135))*ttokg*FracLEACH*MSLeachEF*NtoN2O*kgtoGg,"NO")</f>
        <v>2.1082459751876198E-3</v>
      </c>
      <c r="V1528" s="22">
        <f>IFERROR(('Activity data'!AO96*(1/Constants!$H$135))*ttokg*FracLEACH*MSLeachEF*NtoN2O*kgtoGg,"NO")</f>
        <v>2.1082459751876198E-3</v>
      </c>
      <c r="W1528" s="22">
        <f>IFERROR(('Activity data'!AP96*(1/Constants!$H$135))*ttokg*FracLEACH*MSLeachEF*NtoN2O*kgtoGg,"NO")</f>
        <v>2.1082459751876198E-3</v>
      </c>
      <c r="X1528" s="22">
        <f>IFERROR(('Activity data'!AQ96*(1/Constants!$H$135))*ttokg*FracLEACH*MSLeachEF*NtoN2O*kgtoGg,"NO")</f>
        <v>2.1082459751876198E-3</v>
      </c>
      <c r="Y1528" s="22">
        <f>IFERROR(('Activity data'!AR96*(1/Constants!$H$135))*ttokg*FracLEACH*MSLeachEF*NtoN2O*kgtoGg,"NO")</f>
        <v>2.1082459751876198E-3</v>
      </c>
      <c r="Z1528" s="22">
        <f>IFERROR(('Activity data'!AS96*(1/Constants!$H$135))*ttokg*FracLEACH*MSLeachEF*NtoN2O*kgtoGg,"NO")</f>
        <v>2.1082459751876198E-3</v>
      </c>
      <c r="AA1528" s="22">
        <f>IFERROR(('Activity data'!AT96*(1/Constants!$H$135))*ttokg*FracLEACH*MSLeachEF*NtoN2O*kgtoGg,"NO")</f>
        <v>2.1082459751876198E-3</v>
      </c>
      <c r="AB1528" s="22">
        <f>IFERROR(('Activity data'!AU96*(1/Constants!$H$135))*ttokg*FracLEACH*MSLeachEF*NtoN2O*kgtoGg,"NO")</f>
        <v>2.1082459751876198E-3</v>
      </c>
      <c r="AC1528" s="22">
        <f>IFERROR(('Activity data'!AV96*(1/Constants!$H$135))*ttokg*FracLEACH*MSLeachEF*NtoN2O*kgtoGg,"NO")</f>
        <v>2.1082459751876198E-3</v>
      </c>
      <c r="AD1528" s="22">
        <f>IFERROR(('Activity data'!AW96*(1/Constants!$H$135))*ttokg*FracLEACH*MSLeachEF*NtoN2O*kgtoGg,"NO")</f>
        <v>2.1082459751876198E-3</v>
      </c>
      <c r="AE1528" s="22">
        <f>IFERROR(('Activity data'!AX96*(1/Constants!$H$135))*ttokg*FracLEACH*MSLeachEF*NtoN2O*kgtoGg,"NO")</f>
        <v>2.1082459751876198E-3</v>
      </c>
      <c r="AF1528" s="22">
        <f>IFERROR(('Activity data'!AY96*(1/Constants!$H$135))*ttokg*FracLEACH*MSLeachEF*NtoN2O*kgtoGg,"NO")</f>
        <v>2.1082459751876198E-3</v>
      </c>
      <c r="AG1528" s="22">
        <f>IFERROR(('Activity data'!AZ96*(1/Constants!$H$135))*ttokg*FracLEACH*MSLeachEF*NtoN2O*kgtoGg,"NO")</f>
        <v>2.1082459751876198E-3</v>
      </c>
      <c r="AH1528" s="22">
        <f>IFERROR(('Activity data'!BA96*(1/Constants!$H$135))*ttokg*FracLEACH*MSLeachEF*NtoN2O*kgtoGg,"NO")</f>
        <v>2.1082459751876198E-3</v>
      </c>
      <c r="AI1528" s="22">
        <f>IFERROR(('Activity data'!BB96*(1/Constants!$H$135))*ttokg*FracLEACH*MSLeachEF*NtoN2O*kgtoGg,"NO")</f>
        <v>2.1082459751876198E-3</v>
      </c>
      <c r="AJ1528" s="22">
        <f>IFERROR(('Activity data'!BC96*(1/Constants!$H$135))*ttokg*FracLEACH*MSLeachEF*NtoN2O*kgtoGg,"NO")</f>
        <v>2.1082459751876198E-3</v>
      </c>
      <c r="AK1528" s="22">
        <f>IFERROR(('Activity data'!BD96*(1/Constants!$H$135))*ttokg*FracLEACH*MSLeachEF*NtoN2O*kgtoGg,"NO")</f>
        <v>2.1082459751876198E-3</v>
      </c>
      <c r="AL1528" s="22">
        <f>IFERROR(('Activity data'!BE96*(1/Constants!$H$135))*ttokg*FracLEACH*MSLeachEF*NtoN2O*kgtoGg,"NO")</f>
        <v>2.1082459751876198E-3</v>
      </c>
      <c r="AM1528" s="22">
        <f>IFERROR(('Activity data'!BF96*(1/Constants!$H$135))*ttokg*FracLEACH*MSLeachEF*NtoN2O*kgtoGg,"NO")</f>
        <v>2.1082459751876198E-3</v>
      </c>
      <c r="AN1528" s="22">
        <f>IFERROR(('Activity data'!BG96*(1/Constants!$H$135))*ttokg*FracLEACH*MSLeachEF*NtoN2O*kgtoGg,"NO")</f>
        <v>2.1082459751876198E-3</v>
      </c>
      <c r="AO1528" s="22">
        <f>IFERROR(('Activity data'!BH96*(1/Constants!$H$135))*ttokg*FracLEACH*MSLeachEF*NtoN2O*kgtoGg,"NO")</f>
        <v>2.1082459751876198E-3</v>
      </c>
      <c r="AP1528" s="22">
        <f>IFERROR(('Activity data'!BI96*(1/Constants!$H$135))*ttokg*FracLEACH*MSLeachEF*NtoN2O*kgtoGg,"NO")</f>
        <v>2.1082459751876198E-3</v>
      </c>
      <c r="AQ1528" s="22">
        <f>IFERROR(('Activity data'!BJ96*(1/Constants!$H$135))*ttokg*FracLEACH*MSLeachEF*NtoN2O*kgtoGg,"NO")</f>
        <v>2.1082459751876198E-3</v>
      </c>
      <c r="AR1528" s="22">
        <f>IFERROR(('Activity data'!BK96*(1/Constants!$H$135))*ttokg*FracLEACH*MSLeachEF*NtoN2O*kgtoGg,"NO")</f>
        <v>2.1082459751876198E-3</v>
      </c>
      <c r="AS1528" s="22">
        <f>IFERROR(('Activity data'!BL96*(1/Constants!$H$135))*ttokg*FracLEACH*MSLeachEF*NtoN2O*kgtoGg,"NO")</f>
        <v>2.1082459751876198E-3</v>
      </c>
      <c r="AT1528" s="22">
        <f>IFERROR(('Activity data'!BM96*(1/Constants!$H$135))*ttokg*FracLEACH*MSLeachEF*NtoN2O*kgtoGg,"NO")</f>
        <v>2.1082459751876198E-3</v>
      </c>
      <c r="AU1528" s="22">
        <f>IFERROR(('Activity data'!BN96*(1/Constants!$H$135))*ttokg*FracLEACH*MSLeachEF*NtoN2O*kgtoGg,"NO")</f>
        <v>2.1082459751876198E-3</v>
      </c>
      <c r="AV1528" s="22">
        <f>IFERROR(('Activity data'!BO96*(1/Constants!$H$135))*ttokg*FracLEACH*MSLeachEF*NtoN2O*kgtoGg,"NO")</f>
        <v>2.1082459751876198E-3</v>
      </c>
      <c r="AW1528" s="22">
        <f>IFERROR(('Activity data'!BP96*(1/Constants!$H$135))*ttokg*FracLEACH*MSLeachEF*NtoN2O*kgtoGg,"NO")</f>
        <v>2.1082459751876198E-3</v>
      </c>
    </row>
    <row r="1529" spans="1:49" x14ac:dyDescent="0.3">
      <c r="A1529" s="95" t="s">
        <v>960</v>
      </c>
      <c r="B1529" s="95"/>
      <c r="C1529" s="95"/>
      <c r="D1529" t="str">
        <f t="shared" si="575"/>
        <v>3C Aggregated and non-CO2 emissions on land</v>
      </c>
      <c r="E1529" t="str">
        <f t="shared" si="574"/>
        <v>3C5 Indirect N2O from managed soils (N2O)</v>
      </c>
      <c r="F1529" t="str">
        <f t="shared" si="574"/>
        <v>Leaching/runoff</v>
      </c>
      <c r="G1529" t="str">
        <f>" - FSOM - "&amp;'Activity data'!D97</f>
        <v xml:space="preserve"> - FSOM - Other land remaining other land</v>
      </c>
      <c r="H1529" t="str">
        <f t="shared" si="563"/>
        <v>Leaching/runoff - FSOM - Other land remaining other land</v>
      </c>
      <c r="I1529" t="str">
        <f t="shared" si="571"/>
        <v>N2O</v>
      </c>
      <c r="J1529" t="str">
        <f t="shared" si="570"/>
        <v>Gg N2O</v>
      </c>
      <c r="K1529" s="22" t="str">
        <f>IFERROR(('Activity data'!AD97*(1/Constants!$H$135))*ttokg*FracLEACH*MSLeachEF*NtoN2O*kgtoGg,"NO")</f>
        <v>NO</v>
      </c>
      <c r="L1529" s="22" t="str">
        <f>IFERROR(('Activity data'!AE97*(1/Constants!$H$135))*ttokg*FracLEACH*MSLeachEF*NtoN2O*kgtoGg,"NO")</f>
        <v>NO</v>
      </c>
      <c r="M1529" s="22" t="str">
        <f>IFERROR(('Activity data'!AF97*(1/Constants!$H$135))*ttokg*FracLEACH*MSLeachEF*NtoN2O*kgtoGg,"NO")</f>
        <v>NO</v>
      </c>
      <c r="N1529" s="22" t="str">
        <f>IFERROR(('Activity data'!AG97*(1/Constants!$H$135))*ttokg*FracLEACH*MSLeachEF*NtoN2O*kgtoGg,"NO")</f>
        <v>NO</v>
      </c>
      <c r="O1529" s="22" t="str">
        <f>IFERROR(('Activity data'!AH97*(1/Constants!$H$135))*ttokg*FracLEACH*MSLeachEF*NtoN2O*kgtoGg,"NO")</f>
        <v>NO</v>
      </c>
      <c r="P1529" s="22" t="str">
        <f>IFERROR(('Activity data'!AI97*(1/Constants!$H$135))*ttokg*FracLEACH*MSLeachEF*NtoN2O*kgtoGg,"NO")</f>
        <v>NO</v>
      </c>
      <c r="Q1529" s="22" t="str">
        <f>IFERROR(('Activity data'!AJ97*(1/Constants!$H$135))*ttokg*FracLEACH*MSLeachEF*NtoN2O*kgtoGg,"NO")</f>
        <v>NO</v>
      </c>
      <c r="R1529" s="22" t="str">
        <f>IFERROR(('Activity data'!AK97*(1/Constants!$H$135))*ttokg*FracLEACH*MSLeachEF*NtoN2O*kgtoGg,"NO")</f>
        <v>NO</v>
      </c>
      <c r="S1529" s="22" t="str">
        <f>IFERROR(('Activity data'!AL97*(1/Constants!$H$135))*ttokg*FracLEACH*MSLeachEF*NtoN2O*kgtoGg,"NO")</f>
        <v>NO</v>
      </c>
      <c r="T1529" s="22" t="str">
        <f>IFERROR(('Activity data'!AM97*(1/Constants!$H$135))*ttokg*FracLEACH*MSLeachEF*NtoN2O*kgtoGg,"NO")</f>
        <v>NO</v>
      </c>
      <c r="U1529" s="22" t="str">
        <f>IFERROR(('Activity data'!AN97*(1/Constants!$H$135))*ttokg*FracLEACH*MSLeachEF*NtoN2O*kgtoGg,"NO")</f>
        <v>NO</v>
      </c>
      <c r="V1529" s="22" t="str">
        <f>IFERROR(('Activity data'!AO97*(1/Constants!$H$135))*ttokg*FracLEACH*MSLeachEF*NtoN2O*kgtoGg,"NO")</f>
        <v>NO</v>
      </c>
      <c r="W1529" s="22" t="str">
        <f>IFERROR(('Activity data'!AP97*(1/Constants!$H$135))*ttokg*FracLEACH*MSLeachEF*NtoN2O*kgtoGg,"NO")</f>
        <v>NO</v>
      </c>
      <c r="X1529" s="22" t="str">
        <f>IFERROR(('Activity data'!AQ97*(1/Constants!$H$135))*ttokg*FracLEACH*MSLeachEF*NtoN2O*kgtoGg,"NO")</f>
        <v>NO</v>
      </c>
      <c r="Y1529" s="22" t="str">
        <f>IFERROR(('Activity data'!AR97*(1/Constants!$H$135))*ttokg*FracLEACH*MSLeachEF*NtoN2O*kgtoGg,"NO")</f>
        <v>NO</v>
      </c>
      <c r="Z1529" s="22" t="str">
        <f>IFERROR(('Activity data'!AS97*(1/Constants!$H$135))*ttokg*FracLEACH*MSLeachEF*NtoN2O*kgtoGg,"NO")</f>
        <v>NO</v>
      </c>
      <c r="AA1529" s="22" t="str">
        <f>IFERROR(('Activity data'!AT97*(1/Constants!$H$135))*ttokg*FracLEACH*MSLeachEF*NtoN2O*kgtoGg,"NO")</f>
        <v>NO</v>
      </c>
      <c r="AB1529" s="22" t="str">
        <f>IFERROR(('Activity data'!AU97*(1/Constants!$H$135))*ttokg*FracLEACH*MSLeachEF*NtoN2O*kgtoGg,"NO")</f>
        <v>NO</v>
      </c>
      <c r="AC1529" s="22" t="str">
        <f>IFERROR(('Activity data'!AV97*(1/Constants!$H$135))*ttokg*FracLEACH*MSLeachEF*NtoN2O*kgtoGg,"NO")</f>
        <v>NO</v>
      </c>
      <c r="AD1529" s="22" t="str">
        <f>IFERROR(('Activity data'!AW97*(1/Constants!$H$135))*ttokg*FracLEACH*MSLeachEF*NtoN2O*kgtoGg,"NO")</f>
        <v>NO</v>
      </c>
      <c r="AE1529" s="22" t="str">
        <f>IFERROR(('Activity data'!AX97*(1/Constants!$H$135))*ttokg*FracLEACH*MSLeachEF*NtoN2O*kgtoGg,"NO")</f>
        <v>NO</v>
      </c>
      <c r="AF1529" s="22" t="str">
        <f>IFERROR(('Activity data'!AY97*(1/Constants!$H$135))*ttokg*FracLEACH*MSLeachEF*NtoN2O*kgtoGg,"NO")</f>
        <v>NO</v>
      </c>
      <c r="AG1529" s="22" t="str">
        <f>IFERROR(('Activity data'!AZ97*(1/Constants!$H$135))*ttokg*FracLEACH*MSLeachEF*NtoN2O*kgtoGg,"NO")</f>
        <v>NO</v>
      </c>
      <c r="AH1529" s="22" t="str">
        <f>IFERROR(('Activity data'!BA97*(1/Constants!$H$135))*ttokg*FracLEACH*MSLeachEF*NtoN2O*kgtoGg,"NO")</f>
        <v>NO</v>
      </c>
      <c r="AI1529" s="22" t="str">
        <f>IFERROR(('Activity data'!BB97*(1/Constants!$H$135))*ttokg*FracLEACH*MSLeachEF*NtoN2O*kgtoGg,"NO")</f>
        <v>NO</v>
      </c>
      <c r="AJ1529" s="22" t="str">
        <f>IFERROR(('Activity data'!BC97*(1/Constants!$H$135))*ttokg*FracLEACH*MSLeachEF*NtoN2O*kgtoGg,"NO")</f>
        <v>NO</v>
      </c>
      <c r="AK1529" s="22" t="str">
        <f>IFERROR(('Activity data'!BD97*(1/Constants!$H$135))*ttokg*FracLEACH*MSLeachEF*NtoN2O*kgtoGg,"NO")</f>
        <v>NO</v>
      </c>
      <c r="AL1529" s="22" t="str">
        <f>IFERROR(('Activity data'!BE97*(1/Constants!$H$135))*ttokg*FracLEACH*MSLeachEF*NtoN2O*kgtoGg,"NO")</f>
        <v>NO</v>
      </c>
      <c r="AM1529" s="22" t="str">
        <f>IFERROR(('Activity data'!BF97*(1/Constants!$H$135))*ttokg*FracLEACH*MSLeachEF*NtoN2O*kgtoGg,"NO")</f>
        <v>NO</v>
      </c>
      <c r="AN1529" s="22" t="str">
        <f>IFERROR(('Activity data'!BG97*(1/Constants!$H$135))*ttokg*FracLEACH*MSLeachEF*NtoN2O*kgtoGg,"NO")</f>
        <v>NO</v>
      </c>
      <c r="AO1529" s="22" t="str">
        <f>IFERROR(('Activity data'!BH97*(1/Constants!$H$135))*ttokg*FracLEACH*MSLeachEF*NtoN2O*kgtoGg,"NO")</f>
        <v>NO</v>
      </c>
      <c r="AP1529" s="22" t="str">
        <f>IFERROR(('Activity data'!BI97*(1/Constants!$H$135))*ttokg*FracLEACH*MSLeachEF*NtoN2O*kgtoGg,"NO")</f>
        <v>NO</v>
      </c>
      <c r="AQ1529" s="22" t="str">
        <f>IFERROR(('Activity data'!BJ97*(1/Constants!$H$135))*ttokg*FracLEACH*MSLeachEF*NtoN2O*kgtoGg,"NO")</f>
        <v>NO</v>
      </c>
      <c r="AR1529" s="22" t="str">
        <f>IFERROR(('Activity data'!BK97*(1/Constants!$H$135))*ttokg*FracLEACH*MSLeachEF*NtoN2O*kgtoGg,"NO")</f>
        <v>NO</v>
      </c>
      <c r="AS1529" s="22" t="str">
        <f>IFERROR(('Activity data'!BL97*(1/Constants!$H$135))*ttokg*FracLEACH*MSLeachEF*NtoN2O*kgtoGg,"NO")</f>
        <v>NO</v>
      </c>
      <c r="AT1529" s="22" t="str">
        <f>IFERROR(('Activity data'!BM97*(1/Constants!$H$135))*ttokg*FracLEACH*MSLeachEF*NtoN2O*kgtoGg,"NO")</f>
        <v>NO</v>
      </c>
      <c r="AU1529" s="22" t="str">
        <f>IFERROR(('Activity data'!BN97*(1/Constants!$H$135))*ttokg*FracLEACH*MSLeachEF*NtoN2O*kgtoGg,"NO")</f>
        <v>NO</v>
      </c>
      <c r="AV1529" s="22" t="str">
        <f>IFERROR(('Activity data'!BO97*(1/Constants!$H$135))*ttokg*FracLEACH*MSLeachEF*NtoN2O*kgtoGg,"NO")</f>
        <v>NO</v>
      </c>
      <c r="AW1529" s="22" t="str">
        <f>IFERROR(('Activity data'!BP97*(1/Constants!$H$135))*ttokg*FracLEACH*MSLeachEF*NtoN2O*kgtoGg,"NO")</f>
        <v>NO</v>
      </c>
    </row>
    <row r="1530" spans="1:49" x14ac:dyDescent="0.3">
      <c r="A1530" s="95" t="s">
        <v>960</v>
      </c>
      <c r="B1530" s="95"/>
      <c r="C1530" s="95"/>
      <c r="D1530" t="str">
        <f t="shared" si="575"/>
        <v>3C Aggregated and non-CO2 emissions on land</v>
      </c>
      <c r="E1530" t="str">
        <f t="shared" si="574"/>
        <v>3C5 Indirect N2O from managed soils (N2O)</v>
      </c>
      <c r="F1530" t="str">
        <f t="shared" si="574"/>
        <v>Leaching/runoff</v>
      </c>
      <c r="G1530" t="str">
        <f>" - FSOM - "&amp;'Activity data'!D98</f>
        <v xml:space="preserve"> - FSOM - Land converted to other lands</v>
      </c>
      <c r="H1530" t="str">
        <f t="shared" si="563"/>
        <v>Leaching/runoff - FSOM - Land converted to other lands</v>
      </c>
      <c r="I1530" t="str">
        <f t="shared" si="571"/>
        <v>N2O</v>
      </c>
      <c r="J1530" t="str">
        <f t="shared" si="570"/>
        <v>Gg N2O</v>
      </c>
      <c r="K1530" s="22">
        <f>IFERROR(('Activity data'!AD98*(1/Constants!$H$135))*ttokg*FracLEACH*MSLeachEF*NtoN2O*kgtoGg,"NO")</f>
        <v>0.11026792439175388</v>
      </c>
      <c r="L1530" s="22">
        <f>IFERROR(('Activity data'!AE98*(1/Constants!$H$135))*ttokg*FracLEACH*MSLeachEF*NtoN2O*kgtoGg,"NO")</f>
        <v>0.11026792439175388</v>
      </c>
      <c r="M1530" s="22">
        <f>IFERROR(('Activity data'!AF98*(1/Constants!$H$135))*ttokg*FracLEACH*MSLeachEF*NtoN2O*kgtoGg,"NO")</f>
        <v>0.11026792439175388</v>
      </c>
      <c r="N1530" s="22">
        <f>IFERROR(('Activity data'!AG98*(1/Constants!$H$135))*ttokg*FracLEACH*MSLeachEF*NtoN2O*kgtoGg,"NO")</f>
        <v>0.11026792439175388</v>
      </c>
      <c r="O1530" s="22">
        <f>IFERROR(('Activity data'!AH98*(1/Constants!$H$135))*ttokg*FracLEACH*MSLeachEF*NtoN2O*kgtoGg,"NO")</f>
        <v>0.11026792439175388</v>
      </c>
      <c r="P1530" s="22">
        <f>IFERROR(('Activity data'!AI98*(1/Constants!$H$135))*ttokg*FracLEACH*MSLeachEF*NtoN2O*kgtoGg,"NO")</f>
        <v>0.11026792439175388</v>
      </c>
      <c r="Q1530" s="22">
        <f>IFERROR(('Activity data'!AJ98*(1/Constants!$H$135))*ttokg*FracLEACH*MSLeachEF*NtoN2O*kgtoGg,"NO")</f>
        <v>0.11026792439175388</v>
      </c>
      <c r="R1530" s="22">
        <f>IFERROR(('Activity data'!AK98*(1/Constants!$H$135))*ttokg*FracLEACH*MSLeachEF*NtoN2O*kgtoGg,"NO")</f>
        <v>0.11026792439175388</v>
      </c>
      <c r="S1530" s="22">
        <f>IFERROR(('Activity data'!AL98*(1/Constants!$H$135))*ttokg*FracLEACH*MSLeachEF*NtoN2O*kgtoGg,"NO")</f>
        <v>0.11026792439175388</v>
      </c>
      <c r="T1530" s="22">
        <f>IFERROR(('Activity data'!AM98*(1/Constants!$H$135))*ttokg*FracLEACH*MSLeachEF*NtoN2O*kgtoGg,"NO")</f>
        <v>0.11026792439175388</v>
      </c>
      <c r="U1530" s="22">
        <f>IFERROR(('Activity data'!AN98*(1/Constants!$H$135))*ttokg*FracLEACH*MSLeachEF*NtoN2O*kgtoGg,"NO")</f>
        <v>0.11026792439175388</v>
      </c>
      <c r="V1530" s="22">
        <f>IFERROR(('Activity data'!AO98*(1/Constants!$H$135))*ttokg*FracLEACH*MSLeachEF*NtoN2O*kgtoGg,"NO")</f>
        <v>0.11026792439175388</v>
      </c>
      <c r="W1530" s="22">
        <f>IFERROR(('Activity data'!AP98*(1/Constants!$H$135))*ttokg*FracLEACH*MSLeachEF*NtoN2O*kgtoGg,"NO")</f>
        <v>0.11026792439175388</v>
      </c>
      <c r="X1530" s="22">
        <f>IFERROR(('Activity data'!AQ98*(1/Constants!$H$135))*ttokg*FracLEACH*MSLeachEF*NtoN2O*kgtoGg,"NO")</f>
        <v>0.11026792439175388</v>
      </c>
      <c r="Y1530" s="22">
        <f>IFERROR(('Activity data'!AR98*(1/Constants!$H$135))*ttokg*FracLEACH*MSLeachEF*NtoN2O*kgtoGg,"NO")</f>
        <v>0.11026792439175388</v>
      </c>
      <c r="Z1530" s="22">
        <f>IFERROR(('Activity data'!AS98*(1/Constants!$H$135))*ttokg*FracLEACH*MSLeachEF*NtoN2O*kgtoGg,"NO")</f>
        <v>0.11026792439175388</v>
      </c>
      <c r="AA1530" s="22">
        <f>IFERROR(('Activity data'!AT98*(1/Constants!$H$135))*ttokg*FracLEACH*MSLeachEF*NtoN2O*kgtoGg,"NO")</f>
        <v>0.11026792439175388</v>
      </c>
      <c r="AB1530" s="22">
        <f>IFERROR(('Activity data'!AU98*(1/Constants!$H$135))*ttokg*FracLEACH*MSLeachEF*NtoN2O*kgtoGg,"NO")</f>
        <v>0.11026792439175388</v>
      </c>
      <c r="AC1530" s="22">
        <f>IFERROR(('Activity data'!AV98*(1/Constants!$H$135))*ttokg*FracLEACH*MSLeachEF*NtoN2O*kgtoGg,"NO")</f>
        <v>0.11026792439175388</v>
      </c>
      <c r="AD1530" s="22">
        <f>IFERROR(('Activity data'!AW98*(1/Constants!$H$135))*ttokg*FracLEACH*MSLeachEF*NtoN2O*kgtoGg,"NO")</f>
        <v>0.11026792439175388</v>
      </c>
      <c r="AE1530" s="22">
        <f>IFERROR(('Activity data'!AX98*(1/Constants!$H$135))*ttokg*FracLEACH*MSLeachEF*NtoN2O*kgtoGg,"NO")</f>
        <v>0.11026792439175388</v>
      </c>
      <c r="AF1530" s="22">
        <f>IFERROR(('Activity data'!AY98*(1/Constants!$H$135))*ttokg*FracLEACH*MSLeachEF*NtoN2O*kgtoGg,"NO")</f>
        <v>0.11026792439175388</v>
      </c>
      <c r="AG1530" s="22">
        <f>IFERROR(('Activity data'!AZ98*(1/Constants!$H$135))*ttokg*FracLEACH*MSLeachEF*NtoN2O*kgtoGg,"NO")</f>
        <v>0.11026792439175388</v>
      </c>
      <c r="AH1530" s="22">
        <f>IFERROR(('Activity data'!BA98*(1/Constants!$H$135))*ttokg*FracLEACH*MSLeachEF*NtoN2O*kgtoGg,"NO")</f>
        <v>0.11026792439175388</v>
      </c>
      <c r="AI1530" s="22">
        <f>IFERROR(('Activity data'!BB98*(1/Constants!$H$135))*ttokg*FracLEACH*MSLeachEF*NtoN2O*kgtoGg,"NO")</f>
        <v>0.11026792439175388</v>
      </c>
      <c r="AJ1530" s="22">
        <f>IFERROR(('Activity data'!BC98*(1/Constants!$H$135))*ttokg*FracLEACH*MSLeachEF*NtoN2O*kgtoGg,"NO")</f>
        <v>0.11026792439175388</v>
      </c>
      <c r="AK1530" s="22">
        <f>IFERROR(('Activity data'!BD98*(1/Constants!$H$135))*ttokg*FracLEACH*MSLeachEF*NtoN2O*kgtoGg,"NO")</f>
        <v>0.11026792439175388</v>
      </c>
      <c r="AL1530" s="22">
        <f>IFERROR(('Activity data'!BE98*(1/Constants!$H$135))*ttokg*FracLEACH*MSLeachEF*NtoN2O*kgtoGg,"NO")</f>
        <v>0.11026792439175388</v>
      </c>
      <c r="AM1530" s="22">
        <f>IFERROR(('Activity data'!BF98*(1/Constants!$H$135))*ttokg*FracLEACH*MSLeachEF*NtoN2O*kgtoGg,"NO")</f>
        <v>0.11026792439175388</v>
      </c>
      <c r="AN1530" s="22">
        <f>IFERROR(('Activity data'!BG98*(1/Constants!$H$135))*ttokg*FracLEACH*MSLeachEF*NtoN2O*kgtoGg,"NO")</f>
        <v>0.11026792439175388</v>
      </c>
      <c r="AO1530" s="22">
        <f>IFERROR(('Activity data'!BH98*(1/Constants!$H$135))*ttokg*FracLEACH*MSLeachEF*NtoN2O*kgtoGg,"NO")</f>
        <v>0.11026792439175388</v>
      </c>
      <c r="AP1530" s="22">
        <f>IFERROR(('Activity data'!BI98*(1/Constants!$H$135))*ttokg*FracLEACH*MSLeachEF*NtoN2O*kgtoGg,"NO")</f>
        <v>0.11026792439175388</v>
      </c>
      <c r="AQ1530" s="22">
        <f>IFERROR(('Activity data'!BJ98*(1/Constants!$H$135))*ttokg*FracLEACH*MSLeachEF*NtoN2O*kgtoGg,"NO")</f>
        <v>0.11026792439175388</v>
      </c>
      <c r="AR1530" s="22">
        <f>IFERROR(('Activity data'!BK98*(1/Constants!$H$135))*ttokg*FracLEACH*MSLeachEF*NtoN2O*kgtoGg,"NO")</f>
        <v>0.11026792439175388</v>
      </c>
      <c r="AS1530" s="22">
        <f>IFERROR(('Activity data'!BL98*(1/Constants!$H$135))*ttokg*FracLEACH*MSLeachEF*NtoN2O*kgtoGg,"NO")</f>
        <v>0.11026792439175388</v>
      </c>
      <c r="AT1530" s="22">
        <f>IFERROR(('Activity data'!BM98*(1/Constants!$H$135))*ttokg*FracLEACH*MSLeachEF*NtoN2O*kgtoGg,"NO")</f>
        <v>0.11026792439175388</v>
      </c>
      <c r="AU1530" s="22">
        <f>IFERROR(('Activity data'!BN98*(1/Constants!$H$135))*ttokg*FracLEACH*MSLeachEF*NtoN2O*kgtoGg,"NO")</f>
        <v>0.11026792439175388</v>
      </c>
      <c r="AV1530" s="22">
        <f>IFERROR(('Activity data'!BO98*(1/Constants!$H$135))*ttokg*FracLEACH*MSLeachEF*NtoN2O*kgtoGg,"NO")</f>
        <v>0.11026792439175388</v>
      </c>
      <c r="AW1530" s="22">
        <f>IFERROR(('Activity data'!BP98*(1/Constants!$H$135))*ttokg*FracLEACH*MSLeachEF*NtoN2O*kgtoGg,"NO")</f>
        <v>0.11026792439175388</v>
      </c>
    </row>
    <row r="1531" spans="1:49" x14ac:dyDescent="0.3">
      <c r="A1531" s="95" t="s">
        <v>960</v>
      </c>
      <c r="B1531" s="95"/>
      <c r="C1531" s="95"/>
      <c r="D1531" t="str">
        <f t="shared" si="575"/>
        <v>3C Aggregated and non-CO2 emissions on land</v>
      </c>
      <c r="E1531" t="str">
        <f>'IPCC Categories'!B80</f>
        <v>3C6 Indirect N2O from manure management (N2O)</v>
      </c>
      <c r="F1531" t="str">
        <f>'IPCC Categories'!C80</f>
        <v>Volatilisation</v>
      </c>
      <c r="G1531" t="str">
        <f>'Activity data'!D66</f>
        <v xml:space="preserve"> - TMR</v>
      </c>
      <c r="H1531" t="str">
        <f t="shared" ref="H1531:H1562" si="576">F1531&amp;G1531</f>
        <v>Volatilisation - TMR</v>
      </c>
      <c r="I1531" t="str">
        <f t="shared" si="571"/>
        <v>N2O</v>
      </c>
      <c r="J1531" t="str">
        <f t="shared" si="570"/>
        <v>Gg N2O</v>
      </c>
      <c r="K1531" s="22">
        <f>Constants!$H63*'Activity data'!AD5*Constants!$H81*EF!$H206*MMVolatEF*NtoN2O*kgtoGg</f>
        <v>0.39609736661915962</v>
      </c>
      <c r="L1531" s="22">
        <f>Constants!$H63*'Activity data'!AE5*Constants!$H81*EF!$H206*MMVolatEF*NtoN2O*kgtoGg</f>
        <v>0.39831175345583031</v>
      </c>
      <c r="M1531" s="22">
        <f>Constants!$H63*'Activity data'!AF5*Constants!$H81*EF!$H206*MMVolatEF*NtoN2O*kgtoGg</f>
        <v>0.40145358914715529</v>
      </c>
      <c r="N1531" s="22">
        <f>Constants!$H63*'Activity data'!AG5*Constants!$H81*EF!$H206*MMVolatEF*NtoN2O*kgtoGg</f>
        <v>0.40347255325329029</v>
      </c>
      <c r="O1531" s="22">
        <f>Constants!$H63*'Activity data'!AH5*Constants!$H81*EF!$H206*MMVolatEF*NtoN2O*kgtoGg</f>
        <v>0.40481416413578264</v>
      </c>
      <c r="P1531" s="22">
        <f>Constants!$H63*'Activity data'!AI5*Constants!$H81*EF!$H206*MMVolatEF*NtoN2O*kgtoGg</f>
        <v>0.40546521734783814</v>
      </c>
      <c r="Q1531" s="22">
        <f>Constants!$H63*'Activity data'!AJ5*Constants!$H81*EF!$H206*MMVolatEF*NtoN2O*kgtoGg</f>
        <v>0.40690363619044922</v>
      </c>
      <c r="R1531" s="22">
        <f>Constants!$H63*'Activity data'!AK5*Constants!$H81*EF!$H206*MMVolatEF*NtoN2O*kgtoGg</f>
        <v>0.40855374420631185</v>
      </c>
      <c r="S1531" s="22">
        <f>Constants!$H63*'Activity data'!AL5*Constants!$H81*EF!$H206*MMVolatEF*NtoN2O*kgtoGg</f>
        <v>0.39627278224994505</v>
      </c>
      <c r="T1531" s="22">
        <f>Constants!$H63*'Activity data'!AM5*Constants!$H81*EF!$H206*MMVolatEF*NtoN2O*kgtoGg</f>
        <v>0.40043963770604657</v>
      </c>
      <c r="U1531" s="22">
        <f>Constants!$H63*'Activity data'!AN5*Constants!$H81*EF!$H206*MMVolatEF*NtoN2O*kgtoGg</f>
        <v>0.40653881152865828</v>
      </c>
      <c r="V1531" s="22">
        <f>Constants!$H63*'Activity data'!AO5*Constants!$H81*EF!$H206*MMVolatEF*NtoN2O*kgtoGg</f>
        <v>0.4097001600416656</v>
      </c>
      <c r="W1531" s="22">
        <f>Constants!$H63*'Activity data'!AP5*Constants!$H81*EF!$H206*MMVolatEF*NtoN2O*kgtoGg</f>
        <v>0.41331316056610856</v>
      </c>
      <c r="X1531" s="22">
        <f>Constants!$H63*'Activity data'!AQ5*Constants!$H81*EF!$H206*MMVolatEF*NtoN2O*kgtoGg</f>
        <v>0.41749483013247579</v>
      </c>
      <c r="Y1531" s="22">
        <f>Constants!$H63*'Activity data'!AR5*Constants!$H81*EF!$H206*MMVolatEF*NtoN2O*kgtoGg</f>
        <v>0.42176510375665716</v>
      </c>
      <c r="Z1531" s="22">
        <f>Constants!$H63*'Activity data'!AS5*Constants!$H81*EF!$H206*MMVolatEF*NtoN2O*kgtoGg</f>
        <v>0.42649174593727851</v>
      </c>
      <c r="AA1531" s="22">
        <f>Constants!$H63*'Activity data'!AT5*Constants!$H81*EF!$H206*MMVolatEF*NtoN2O*kgtoGg</f>
        <v>0.43136480656999721</v>
      </c>
      <c r="AB1531" s="22">
        <f>Constants!$H63*'Activity data'!AU5*Constants!$H81*EF!$H206*MMVolatEF*NtoN2O*kgtoGg</f>
        <v>0.43666405575288475</v>
      </c>
      <c r="AC1531" s="22">
        <f>Constants!$H63*'Activity data'!AV5*Constants!$H81*EF!$H206*MMVolatEF*NtoN2O*kgtoGg</f>
        <v>0.44208284608865023</v>
      </c>
      <c r="AD1531" s="22">
        <f>Constants!$H63*'Activity data'!AW5*Constants!$H81*EF!$H206*MMVolatEF*NtoN2O*kgtoGg</f>
        <v>0.44793692741043817</v>
      </c>
      <c r="AE1531" s="22">
        <f>Constants!$H63*'Activity data'!AX5*Constants!$H81*EF!$H206*MMVolatEF*NtoN2O*kgtoGg</f>
        <v>0.45371177751541658</v>
      </c>
      <c r="AF1531" s="22">
        <f>Constants!$H63*'Activity data'!AY5*Constants!$H81*EF!$H206*MMVolatEF*NtoN2O*kgtoGg</f>
        <v>0.45980708874384696</v>
      </c>
      <c r="AG1531" s="22">
        <f>Constants!$H63*'Activity data'!AZ5*Constants!$H81*EF!$H206*MMVolatEF*NtoN2O*kgtoGg</f>
        <v>0.4667018933762529</v>
      </c>
      <c r="AH1531" s="22">
        <f>Constants!$H63*'Activity data'!BA5*Constants!$H81*EF!$H206*MMVolatEF*NtoN2O*kgtoGg</f>
        <v>0.47325726684756153</v>
      </c>
      <c r="AI1531" s="22">
        <f>Constants!$H63*'Activity data'!BB5*Constants!$H81*EF!$H206*MMVolatEF*NtoN2O*kgtoGg</f>
        <v>0.47997976762000966</v>
      </c>
      <c r="AJ1531" s="22">
        <f>Constants!$H63*'Activity data'!BC5*Constants!$H81*EF!$H206*MMVolatEF*NtoN2O*kgtoGg</f>
        <v>0.48716917791574549</v>
      </c>
      <c r="AK1531" s="22">
        <f>Constants!$H63*'Activity data'!BD5*Constants!$H81*EF!$H206*MMVolatEF*NtoN2O*kgtoGg</f>
        <v>0.49390478893176154</v>
      </c>
      <c r="AL1531" s="22">
        <f>Constants!$H63*'Activity data'!BE5*Constants!$H81*EF!$H206*MMVolatEF*NtoN2O*kgtoGg</f>
        <v>0.50060384763887944</v>
      </c>
      <c r="AM1531" s="22">
        <f>Constants!$H63*'Activity data'!BF5*Constants!$H81*EF!$H206*MMVolatEF*NtoN2O*kgtoGg</f>
        <v>0.50728498742813199</v>
      </c>
      <c r="AN1531" s="22">
        <f>Constants!$H63*'Activity data'!BG5*Constants!$H81*EF!$H206*MMVolatEF*NtoN2O*kgtoGg</f>
        <v>0.51435343301423675</v>
      </c>
      <c r="AO1531" s="22">
        <f>Constants!$H63*'Activity data'!BH5*Constants!$H81*EF!$H206*MMVolatEF*NtoN2O*kgtoGg</f>
        <v>0.52113757148367401</v>
      </c>
      <c r="AP1531" s="22">
        <f>Constants!$H63*'Activity data'!BI5*Constants!$H81*EF!$H206*MMVolatEF*NtoN2O*kgtoGg</f>
        <v>0.52818514749495915</v>
      </c>
      <c r="AQ1531" s="22">
        <f>Constants!$H63*'Activity data'!BJ5*Constants!$H81*EF!$H206*MMVolatEF*NtoN2O*kgtoGg</f>
        <v>0.5355283037572397</v>
      </c>
      <c r="AR1531" s="22">
        <f>Constants!$H63*'Activity data'!BK5*Constants!$H81*EF!$H206*MMVolatEF*NtoN2O*kgtoGg</f>
        <v>0.5432187291547913</v>
      </c>
      <c r="AS1531" s="22">
        <f>Constants!$H63*'Activity data'!BL5*Constants!$H81*EF!$H206*MMVolatEF*NtoN2O*kgtoGg</f>
        <v>0.55104518804876201</v>
      </c>
      <c r="AT1531" s="22">
        <f>Constants!$H63*'Activity data'!BM5*Constants!$H81*EF!$H206*MMVolatEF*NtoN2O*kgtoGg</f>
        <v>0.55290077890622136</v>
      </c>
      <c r="AU1531" s="22">
        <f>Constants!$H63*'Activity data'!BN5*Constants!$H81*EF!$H206*MMVolatEF*NtoN2O*kgtoGg</f>
        <v>0.55422139724319897</v>
      </c>
      <c r="AV1531" s="22">
        <f>Constants!$H63*'Activity data'!BO5*Constants!$H81*EF!$H206*MMVolatEF*NtoN2O*kgtoGg</f>
        <v>0.55476247870419659</v>
      </c>
      <c r="AW1531" s="22">
        <f>Constants!$H63*'Activity data'!BP5*Constants!$H81*EF!$H206*MMVolatEF*NtoN2O*kgtoGg</f>
        <v>0.55508919829714432</v>
      </c>
    </row>
    <row r="1532" spans="1:49" x14ac:dyDescent="0.3">
      <c r="A1532" s="95" t="s">
        <v>960</v>
      </c>
      <c r="B1532" s="95"/>
      <c r="C1532" s="95"/>
      <c r="D1532" t="str">
        <f t="shared" si="575"/>
        <v>3C Aggregated and non-CO2 emissions on land</v>
      </c>
      <c r="E1532" t="str">
        <f>E1531</f>
        <v>3C6 Indirect N2O from manure management (N2O)</v>
      </c>
      <c r="F1532" t="str">
        <f>F1531</f>
        <v>Volatilisation</v>
      </c>
      <c r="G1532" t="str">
        <f>'Activity data'!D67</f>
        <v xml:space="preserve"> - Pasture</v>
      </c>
      <c r="H1532" t="str">
        <f t="shared" si="576"/>
        <v>Volatilisation - Pasture</v>
      </c>
      <c r="I1532" t="str">
        <f t="shared" si="571"/>
        <v>N2O</v>
      </c>
      <c r="J1532" t="str">
        <f t="shared" si="570"/>
        <v>Gg N2O</v>
      </c>
      <c r="K1532" s="22">
        <f>Constants!$H64*'Activity data'!AD6*Constants!$H82*EF!$H207*MMVolatEF*NtoN2O*kgtoGg</f>
        <v>3.1249813656142676E-2</v>
      </c>
      <c r="L1532" s="22">
        <f>Constants!$H64*'Activity data'!AE6*Constants!$H82*EF!$H207*MMVolatEF*NtoN2O*kgtoGg</f>
        <v>3.1424516095088978E-2</v>
      </c>
      <c r="M1532" s="22">
        <f>Constants!$H64*'Activity data'!AF6*Constants!$H82*EF!$H207*MMVolatEF*NtoN2O*kgtoGg</f>
        <v>3.1672388936885787E-2</v>
      </c>
      <c r="N1532" s="22">
        <f>Constants!$H64*'Activity data'!AG6*Constants!$H82*EF!$H207*MMVolatEF*NtoN2O*kgtoGg</f>
        <v>3.1831673641638247E-2</v>
      </c>
      <c r="O1532" s="22">
        <f>Constants!$H64*'Activity data'!AH6*Constants!$H82*EF!$H207*MMVolatEF*NtoN2O*kgtoGg</f>
        <v>3.1937519056453256E-2</v>
      </c>
      <c r="P1532" s="22">
        <f>Constants!$H64*'Activity data'!AI6*Constants!$H82*EF!$H207*MMVolatEF*NtoN2O*kgtoGg</f>
        <v>3.198888342610464E-2</v>
      </c>
      <c r="Q1532" s="22">
        <f>Constants!$H64*'Activity data'!AJ6*Constants!$H82*EF!$H207*MMVolatEF*NtoN2O*kgtoGg</f>
        <v>3.2102366434524382E-2</v>
      </c>
      <c r="R1532" s="22">
        <f>Constants!$H64*'Activity data'!AK6*Constants!$H82*EF!$H207*MMVolatEF*NtoN2O*kgtoGg</f>
        <v>3.2232550506305392E-2</v>
      </c>
      <c r="S1532" s="22">
        <f>Constants!$H64*'Activity data'!AL6*Constants!$H82*EF!$H207*MMVolatEF*NtoN2O*kgtoGg</f>
        <v>3.1263652944752973E-2</v>
      </c>
      <c r="T1532" s="22">
        <f>Constants!$H64*'Activity data'!AM6*Constants!$H82*EF!$H207*MMVolatEF*NtoN2O*kgtoGg</f>
        <v>3.1592393975390647E-2</v>
      </c>
      <c r="U1532" s="22">
        <f>Constants!$H64*'Activity data'!AN6*Constants!$H82*EF!$H207*MMVolatEF*NtoN2O*kgtoGg</f>
        <v>3.2073583858170898E-2</v>
      </c>
      <c r="V1532" s="22">
        <f>Constants!$H64*'Activity data'!AO6*Constants!$H82*EF!$H207*MMVolatEF*NtoN2O*kgtoGg</f>
        <v>3.2322996149842582E-2</v>
      </c>
      <c r="W1532" s="22">
        <f>Constants!$H64*'Activity data'!AP6*Constants!$H82*EF!$H207*MMVolatEF*NtoN2O*kgtoGg</f>
        <v>3.2608041198468073E-2</v>
      </c>
      <c r="X1532" s="22">
        <f>Constants!$H64*'Activity data'!AQ6*Constants!$H82*EF!$H207*MMVolatEF*NtoN2O*kgtoGg</f>
        <v>3.2937950977560811E-2</v>
      </c>
      <c r="Y1532" s="22">
        <f>Constants!$H64*'Activity data'!AR6*Constants!$H82*EF!$H207*MMVolatEF*NtoN2O*kgtoGg</f>
        <v>3.3274851109352674E-2</v>
      </c>
      <c r="Z1532" s="22">
        <f>Constants!$H64*'Activity data'!AS6*Constants!$H82*EF!$H207*MMVolatEF*NtoN2O*kgtoGg</f>
        <v>3.3647756106486112E-2</v>
      </c>
      <c r="AA1532" s="22">
        <f>Constants!$H64*'Activity data'!AT6*Constants!$H82*EF!$H207*MMVolatEF*NtoN2O*kgtoGg</f>
        <v>3.4032212680907031E-2</v>
      </c>
      <c r="AB1532" s="22">
        <f>Constants!$H64*'Activity data'!AU6*Constants!$H82*EF!$H207*MMVolatEF*NtoN2O*kgtoGg</f>
        <v>3.4450293091024778E-2</v>
      </c>
      <c r="AC1532" s="22">
        <f>Constants!$H64*'Activity data'!AV6*Constants!$H82*EF!$H207*MMVolatEF*NtoN2O*kgtoGg</f>
        <v>3.4877804613456062E-2</v>
      </c>
      <c r="AD1532" s="22">
        <f>Constants!$H64*'Activity data'!AW6*Constants!$H82*EF!$H207*MMVolatEF*NtoN2O*kgtoGg</f>
        <v>3.5339658101640622E-2</v>
      </c>
      <c r="AE1532" s="22">
        <f>Constants!$H64*'Activity data'!AX6*Constants!$H82*EF!$H207*MMVolatEF*NtoN2O*kgtoGg</f>
        <v>3.5795260700600191E-2</v>
      </c>
      <c r="AF1532" s="22">
        <f>Constants!$H64*'Activity data'!AY6*Constants!$H82*EF!$H207*MMVolatEF*NtoN2O*kgtoGg</f>
        <v>3.6276145846821803E-2</v>
      </c>
      <c r="AG1532" s="22">
        <f>Constants!$H64*'Activity data'!AZ6*Constants!$H82*EF!$H207*MMVolatEF*NtoN2O*kgtoGg</f>
        <v>3.682010644367513E-2</v>
      </c>
      <c r="AH1532" s="22">
        <f>Constants!$H64*'Activity data'!BA6*Constants!$H82*EF!$H207*MMVolatEF*NtoN2O*kgtoGg</f>
        <v>3.7337287865943425E-2</v>
      </c>
      <c r="AI1532" s="22">
        <f>Constants!$H64*'Activity data'!BB6*Constants!$H82*EF!$H207*MMVolatEF*NtoN2O*kgtoGg</f>
        <v>3.7867654675082699E-2</v>
      </c>
      <c r="AJ1532" s="22">
        <f>Constants!$H64*'Activity data'!BC6*Constants!$H82*EF!$H207*MMVolatEF*NtoN2O*kgtoGg</f>
        <v>3.843485797147652E-2</v>
      </c>
      <c r="AK1532" s="22">
        <f>Constants!$H64*'Activity data'!BD6*Constants!$H82*EF!$H207*MMVolatEF*NtoN2O*kgtoGg</f>
        <v>3.8966259103746965E-2</v>
      </c>
      <c r="AL1532" s="22">
        <f>Constants!$H64*'Activity data'!BE6*Constants!$H82*EF!$H207*MMVolatEF*NtoN2O*kgtoGg</f>
        <v>3.9494776468191543E-2</v>
      </c>
      <c r="AM1532" s="22">
        <f>Constants!$H64*'Activity data'!BF6*Constants!$H82*EF!$H207*MMVolatEF*NtoN2O*kgtoGg</f>
        <v>4.0021880132643621E-2</v>
      </c>
      <c r="AN1532" s="22">
        <f>Constants!$H64*'Activity data'!BG6*Constants!$H82*EF!$H207*MMVolatEF*NtoN2O*kgtoGg</f>
        <v>4.0579540006249255E-2</v>
      </c>
      <c r="AO1532" s="22">
        <f>Constants!$H64*'Activity data'!BH6*Constants!$H82*EF!$H207*MMVolatEF*NtoN2O*kgtoGg</f>
        <v>4.1114769676663131E-2</v>
      </c>
      <c r="AP1532" s="22">
        <f>Constants!$H64*'Activity data'!BI6*Constants!$H82*EF!$H207*MMVolatEF*NtoN2O*kgtoGg</f>
        <v>4.167078306034188E-2</v>
      </c>
      <c r="AQ1532" s="22">
        <f>Constants!$H64*'Activity data'!BJ6*Constants!$H82*EF!$H207*MMVolatEF*NtoN2O*kgtoGg</f>
        <v>4.2250116032946157E-2</v>
      </c>
      <c r="AR1532" s="22">
        <f>Constants!$H64*'Activity data'!BK6*Constants!$H82*EF!$H207*MMVolatEF*NtoN2O*kgtoGg</f>
        <v>4.2856846551407354E-2</v>
      </c>
      <c r="AS1532" s="22">
        <f>Constants!$H64*'Activity data'!BL6*Constants!$H82*EF!$H207*MMVolatEF*NtoN2O*kgtoGg</f>
        <v>4.3474309333630792E-2</v>
      </c>
      <c r="AT1532" s="22">
        <f>Constants!$H64*'Activity data'!BM6*Constants!$H82*EF!$H207*MMVolatEF*NtoN2O*kgtoGg</f>
        <v>4.3620704824751035E-2</v>
      </c>
      <c r="AU1532" s="22">
        <f>Constants!$H64*'Activity data'!BN6*Constants!$H82*EF!$H207*MMVolatEF*NtoN2O*kgtoGg</f>
        <v>4.3724894047955633E-2</v>
      </c>
      <c r="AV1532" s="22">
        <f>Constants!$H64*'Activity data'!BO6*Constants!$H82*EF!$H207*MMVolatEF*NtoN2O*kgtoGg</f>
        <v>4.376758227629024E-2</v>
      </c>
      <c r="AW1532" s="22">
        <f>Constants!$H64*'Activity data'!BP6*Constants!$H82*EF!$H207*MMVolatEF*NtoN2O*kgtoGg</f>
        <v>4.3793358580951298E-2</v>
      </c>
    </row>
    <row r="1533" spans="1:49" x14ac:dyDescent="0.3">
      <c r="A1533" s="95" t="s">
        <v>960</v>
      </c>
      <c r="B1533" s="95"/>
      <c r="C1533" s="95"/>
      <c r="D1533" t="str">
        <f t="shared" si="575"/>
        <v>3C Aggregated and non-CO2 emissions on land</v>
      </c>
      <c r="E1533" t="str">
        <f t="shared" si="575"/>
        <v>3C6 Indirect N2O from manure management (N2O)</v>
      </c>
      <c r="F1533" t="str">
        <f t="shared" si="575"/>
        <v>Volatilisation</v>
      </c>
      <c r="G1533" t="str">
        <f>'Activity data'!D68</f>
        <v xml:space="preserve"> - Non-lactating</v>
      </c>
      <c r="H1533" t="str">
        <f t="shared" si="576"/>
        <v>Volatilisation - Non-lactating</v>
      </c>
      <c r="I1533" t="str">
        <f t="shared" si="571"/>
        <v>N2O</v>
      </c>
      <c r="J1533" t="str">
        <f t="shared" si="570"/>
        <v>Gg N2O</v>
      </c>
      <c r="K1533" s="22">
        <f>Constants!$H65*'Activity data'!AD7*Constants!$H83*EF!$H208*MMVolatEF*NtoN2O*kgtoGg</f>
        <v>2.8967336997006343E-4</v>
      </c>
      <c r="L1533" s="22">
        <f>Constants!$H65*'Activity data'!AE7*Constants!$H83*EF!$H208*MMVolatEF*NtoN2O*kgtoGg</f>
        <v>2.9129279224209415E-4</v>
      </c>
      <c r="M1533" s="22">
        <f>Constants!$H65*'Activity data'!AF7*Constants!$H83*EF!$H208*MMVolatEF*NtoN2O*kgtoGg</f>
        <v>2.9359047510821973E-4</v>
      </c>
      <c r="N1533" s="22">
        <f>Constants!$H65*'Activity data'!AG7*Constants!$H83*EF!$H208*MMVolatEF*NtoN2O*kgtoGg</f>
        <v>2.9506698110336069E-4</v>
      </c>
      <c r="O1533" s="22">
        <f>Constants!$H65*'Activity data'!AH7*Constants!$H83*EF!$H208*MMVolatEF*NtoN2O*kgtoGg</f>
        <v>2.9604812609010248E-4</v>
      </c>
      <c r="P1533" s="22">
        <f>Constants!$H65*'Activity data'!AI7*Constants!$H83*EF!$H208*MMVolatEF*NtoN2O*kgtoGg</f>
        <v>2.9652425341095714E-4</v>
      </c>
      <c r="Q1533" s="22">
        <f>Constants!$H65*'Activity data'!AJ7*Constants!$H83*EF!$H208*MMVolatEF*NtoN2O*kgtoGg</f>
        <v>2.9757619585915883E-4</v>
      </c>
      <c r="R1533" s="22">
        <f>Constants!$H65*'Activity data'!AK7*Constants!$H83*EF!$H208*MMVolatEF*NtoN2O*kgtoGg</f>
        <v>2.9878295053629647E-4</v>
      </c>
      <c r="S1533" s="22">
        <f>Constants!$H65*'Activity data'!AL7*Constants!$H83*EF!$H208*MMVolatEF*NtoN2O*kgtoGg</f>
        <v>2.8980165468285715E-4</v>
      </c>
      <c r="T1533" s="22">
        <f>Constants!$H65*'Activity data'!AM7*Constants!$H83*EF!$H208*MMVolatEF*NtoN2O*kgtoGg</f>
        <v>2.9284895356406268E-4</v>
      </c>
      <c r="U1533" s="22">
        <f>Constants!$H65*'Activity data'!AN7*Constants!$H83*EF!$H208*MMVolatEF*NtoN2O*kgtoGg</f>
        <v>2.9730939279977176E-4</v>
      </c>
      <c r="V1533" s="22">
        <f>Constants!$H65*'Activity data'!AO7*Constants!$H83*EF!$H208*MMVolatEF*NtoN2O*kgtoGg</f>
        <v>2.996213457552509E-4</v>
      </c>
      <c r="W1533" s="22">
        <f>Constants!$H65*'Activity data'!AP7*Constants!$H83*EF!$H208*MMVolatEF*NtoN2O*kgtoGg</f>
        <v>3.0226360022553945E-4</v>
      </c>
      <c r="X1533" s="22">
        <f>Constants!$H65*'Activity data'!AQ7*Constants!$H83*EF!$H208*MMVolatEF*NtoN2O*kgtoGg</f>
        <v>3.0532173294106326E-4</v>
      </c>
      <c r="Y1533" s="22">
        <f>Constants!$H65*'Activity data'!AR7*Constants!$H83*EF!$H208*MMVolatEF*NtoN2O*kgtoGg</f>
        <v>3.084446634517329E-4</v>
      </c>
      <c r="Z1533" s="22">
        <f>Constants!$H65*'Activity data'!AS7*Constants!$H83*EF!$H208*MMVolatEF*NtoN2O*kgtoGg</f>
        <v>3.1190134477428172E-4</v>
      </c>
      <c r="AA1533" s="22">
        <f>Constants!$H65*'Activity data'!AT7*Constants!$H83*EF!$H208*MMVolatEF*NtoN2O*kgtoGg</f>
        <v>3.1546510463362291E-4</v>
      </c>
      <c r="AB1533" s="22">
        <f>Constants!$H65*'Activity data'!AU7*Constants!$H83*EF!$H208*MMVolatEF*NtoN2O*kgtoGg</f>
        <v>3.1934054410503462E-4</v>
      </c>
      <c r="AC1533" s="22">
        <f>Constants!$H65*'Activity data'!AV7*Constants!$H83*EF!$H208*MMVolatEF*NtoN2O*kgtoGg</f>
        <v>3.2330340624451355E-4</v>
      </c>
      <c r="AD1533" s="22">
        <f>Constants!$H65*'Activity data'!AW7*Constants!$H83*EF!$H208*MMVolatEF*NtoN2O*kgtoGg</f>
        <v>3.2758460477667038E-4</v>
      </c>
      <c r="AE1533" s="22">
        <f>Constants!$H65*'Activity data'!AX7*Constants!$H83*EF!$H208*MMVolatEF*NtoN2O*kgtoGg</f>
        <v>3.3180786004660364E-4</v>
      </c>
      <c r="AF1533" s="22">
        <f>Constants!$H65*'Activity data'!AY7*Constants!$H83*EF!$H208*MMVolatEF*NtoN2O*kgtoGg</f>
        <v>3.3626547449535976E-4</v>
      </c>
      <c r="AG1533" s="22">
        <f>Constants!$H65*'Activity data'!AZ7*Constants!$H83*EF!$H208*MMVolatEF*NtoN2O*kgtoGg</f>
        <v>3.4130777333769093E-4</v>
      </c>
      <c r="AH1533" s="22">
        <f>Constants!$H65*'Activity data'!BA7*Constants!$H83*EF!$H208*MMVolatEF*NtoN2O*kgtoGg</f>
        <v>3.4610183985990577E-4</v>
      </c>
      <c r="AI1533" s="22">
        <f>Constants!$H65*'Activity data'!BB7*Constants!$H83*EF!$H208*MMVolatEF*NtoN2O*kgtoGg</f>
        <v>3.5101812968531553E-4</v>
      </c>
      <c r="AJ1533" s="22">
        <f>Constants!$H65*'Activity data'!BC7*Constants!$H83*EF!$H208*MMVolatEF*NtoN2O*kgtoGg</f>
        <v>3.5627587912767834E-4</v>
      </c>
      <c r="AK1533" s="22">
        <f>Constants!$H65*'Activity data'!BD7*Constants!$H83*EF!$H208*MMVolatEF*NtoN2O*kgtoGg</f>
        <v>3.6120175671800533E-4</v>
      </c>
      <c r="AL1533" s="22">
        <f>Constants!$H65*'Activity data'!BE7*Constants!$H83*EF!$H208*MMVolatEF*NtoN2O*kgtoGg</f>
        <v>3.661009029251144E-4</v>
      </c>
      <c r="AM1533" s="22">
        <f>Constants!$H65*'Activity data'!BF7*Constants!$H83*EF!$H208*MMVolatEF*NtoN2O*kgtoGg</f>
        <v>3.7098694469437114E-4</v>
      </c>
      <c r="AN1533" s="22">
        <f>Constants!$H65*'Activity data'!BG7*Constants!$H83*EF!$H208*MMVolatEF*NtoN2O*kgtoGg</f>
        <v>3.7615623039514106E-4</v>
      </c>
      <c r="AO1533" s="22">
        <f>Constants!$H65*'Activity data'!BH7*Constants!$H83*EF!$H208*MMVolatEF*NtoN2O*kgtoGg</f>
        <v>3.8111759701456354E-4</v>
      </c>
      <c r="AP1533" s="22">
        <f>Constants!$H65*'Activity data'!BI7*Constants!$H83*EF!$H208*MMVolatEF*NtoN2O*kgtoGg</f>
        <v>3.8627162040718048E-4</v>
      </c>
      <c r="AQ1533" s="22">
        <f>Constants!$H65*'Activity data'!BJ7*Constants!$H83*EF!$H208*MMVolatEF*NtoN2O*kgtoGg</f>
        <v>3.916418071339122E-4</v>
      </c>
      <c r="AR1533" s="22">
        <f>Constants!$H65*'Activity data'!BK7*Constants!$H83*EF!$H208*MMVolatEF*NtoN2O*kgtoGg</f>
        <v>3.9726595823702738E-4</v>
      </c>
      <c r="AS1533" s="22">
        <f>Constants!$H65*'Activity data'!BL7*Constants!$H83*EF!$H208*MMVolatEF*NtoN2O*kgtoGg</f>
        <v>4.0298959316573016E-4</v>
      </c>
      <c r="AT1533" s="22">
        <f>Constants!$H65*'Activity data'!BM7*Constants!$H83*EF!$H208*MMVolatEF*NtoN2O*kgtoGg</f>
        <v>4.0434662126605264E-4</v>
      </c>
      <c r="AU1533" s="22">
        <f>Constants!$H65*'Activity data'!BN7*Constants!$H83*EF!$H208*MMVolatEF*NtoN2O*kgtoGg</f>
        <v>4.0531241401388569E-4</v>
      </c>
      <c r="AV1533" s="22">
        <f>Constants!$H65*'Activity data'!BO7*Constants!$H83*EF!$H208*MMVolatEF*NtoN2O*kgtoGg</f>
        <v>4.0570811694817522E-4</v>
      </c>
      <c r="AW1533" s="22">
        <f>Constants!$H65*'Activity data'!BP7*Constants!$H83*EF!$H208*MMVolatEF*NtoN2O*kgtoGg</f>
        <v>4.0594705306212152E-4</v>
      </c>
    </row>
    <row r="1534" spans="1:49" x14ac:dyDescent="0.3">
      <c r="A1534" s="95" t="s">
        <v>960</v>
      </c>
      <c r="B1534" s="95"/>
      <c r="C1534" s="95"/>
      <c r="D1534" t="str">
        <f t="shared" si="575"/>
        <v>3C Aggregated and non-CO2 emissions on land</v>
      </c>
      <c r="E1534" t="str">
        <f t="shared" si="575"/>
        <v>3C6 Indirect N2O from manure management (N2O)</v>
      </c>
      <c r="F1534" t="str">
        <f t="shared" si="575"/>
        <v>Volatilisation</v>
      </c>
      <c r="G1534" t="str">
        <f>'Activity data'!D69</f>
        <v xml:space="preserve"> - Commercial cattle</v>
      </c>
      <c r="H1534" t="str">
        <f t="shared" si="576"/>
        <v>Volatilisation - Commercial cattle</v>
      </c>
      <c r="I1534" t="str">
        <f t="shared" si="571"/>
        <v>N2O</v>
      </c>
      <c r="J1534" t="str">
        <f t="shared" si="570"/>
        <v>Gg N2O</v>
      </c>
      <c r="K1534" s="22">
        <f>Constants!$H66*'Activity data'!AD8*Constants!$H84*EF!$H209*MMVolatEF*NtoN2O*kgtoGg</f>
        <v>3.2323215352203891E-3</v>
      </c>
      <c r="L1534" s="22">
        <f>Constants!$H66*'Activity data'!AE8*Constants!$H84*EF!$H209*MMVolatEF*NtoN2O*kgtoGg</f>
        <v>3.2042886428129448E-3</v>
      </c>
      <c r="M1534" s="22">
        <f>Constants!$H66*'Activity data'!AF8*Constants!$H84*EF!$H209*MMVolatEF*NtoN2O*kgtoGg</f>
        <v>3.193617369300608E-3</v>
      </c>
      <c r="N1534" s="22">
        <f>Constants!$H66*'Activity data'!AG8*Constants!$H84*EF!$H209*MMVolatEF*NtoN2O*kgtoGg</f>
        <v>3.150970789688672E-3</v>
      </c>
      <c r="O1534" s="22">
        <f>Constants!$H66*'Activity data'!AH8*Constants!$H84*EF!$H209*MMVolatEF*NtoN2O*kgtoGg</f>
        <v>3.0890682378804119E-3</v>
      </c>
      <c r="P1534" s="22">
        <f>Constants!$H66*'Activity data'!AI8*Constants!$H84*EF!$H209*MMVolatEF*NtoN2O*kgtoGg</f>
        <v>3.0091897617382942E-3</v>
      </c>
      <c r="Q1534" s="22">
        <f>Constants!$H66*'Activity data'!AJ8*Constants!$H84*EF!$H209*MMVolatEF*NtoN2O*kgtoGg</f>
        <v>2.9461872714039495E-3</v>
      </c>
      <c r="R1534" s="22">
        <f>Constants!$H66*'Activity data'!AK8*Constants!$H84*EF!$H209*MMVolatEF*NtoN2O*kgtoGg</f>
        <v>2.8865797531671877E-3</v>
      </c>
      <c r="S1534" s="22">
        <f>Constants!$H66*'Activity data'!AL8*Constants!$H84*EF!$H209*MMVolatEF*NtoN2O*kgtoGg</f>
        <v>2.5393486840215836E-3</v>
      </c>
      <c r="T1534" s="22">
        <f>Constants!$H66*'Activity data'!AM8*Constants!$H84*EF!$H209*MMVolatEF*NtoN2O*kgtoGg</f>
        <v>2.580595358897255E-3</v>
      </c>
      <c r="U1534" s="22">
        <f>Constants!$H66*'Activity data'!AN8*Constants!$H84*EF!$H209*MMVolatEF*NtoN2O*kgtoGg</f>
        <v>2.657542332078646E-3</v>
      </c>
      <c r="V1534" s="22">
        <f>Constants!$H66*'Activity data'!AO8*Constants!$H84*EF!$H209*MMVolatEF*NtoN2O*kgtoGg</f>
        <v>2.672909531392759E-3</v>
      </c>
      <c r="W1534" s="22">
        <f>Constants!$H66*'Activity data'!AP8*Constants!$H84*EF!$H209*MMVolatEF*NtoN2O*kgtoGg</f>
        <v>2.69507345244463E-3</v>
      </c>
      <c r="X1534" s="22">
        <f>Constants!$H66*'Activity data'!AQ8*Constants!$H84*EF!$H209*MMVolatEF*NtoN2O*kgtoGg</f>
        <v>2.7259926112042248E-3</v>
      </c>
      <c r="Y1534" s="22">
        <f>Constants!$H66*'Activity data'!AR8*Constants!$H84*EF!$H209*MMVolatEF*NtoN2O*kgtoGg</f>
        <v>2.7614582970453471E-3</v>
      </c>
      <c r="Z1534" s="22">
        <f>Constants!$H66*'Activity data'!AS8*Constants!$H84*EF!$H209*MMVolatEF*NtoN2O*kgtoGg</f>
        <v>2.8030399515039583E-3</v>
      </c>
      <c r="AA1534" s="22">
        <f>Constants!$H66*'Activity data'!AT8*Constants!$H84*EF!$H209*MMVolatEF*NtoN2O*kgtoGg</f>
        <v>2.8448133898556971E-3</v>
      </c>
      <c r="AB1534" s="22">
        <f>Constants!$H66*'Activity data'!AU8*Constants!$H84*EF!$H209*MMVolatEF*NtoN2O*kgtoGg</f>
        <v>2.8917956180905236E-3</v>
      </c>
      <c r="AC1534" s="22">
        <f>Constants!$H66*'Activity data'!AV8*Constants!$H84*EF!$H209*MMVolatEF*NtoN2O*kgtoGg</f>
        <v>2.9383115991341744E-3</v>
      </c>
      <c r="AD1534" s="22">
        <f>Constants!$H66*'Activity data'!AW8*Constants!$H84*EF!$H209*MMVolatEF*NtoN2O*kgtoGg</f>
        <v>2.9686122408824826E-3</v>
      </c>
      <c r="AE1534" s="22">
        <f>Constants!$H66*'Activity data'!AX8*Constants!$H84*EF!$H209*MMVolatEF*NtoN2O*kgtoGg</f>
        <v>2.9934911793624186E-3</v>
      </c>
      <c r="AF1534" s="22">
        <f>Constants!$H66*'Activity data'!AY8*Constants!$H84*EF!$H209*MMVolatEF*NtoN2O*kgtoGg</f>
        <v>3.0197743682154753E-3</v>
      </c>
      <c r="AG1534" s="22">
        <f>Constants!$H66*'Activity data'!AZ8*Constants!$H84*EF!$H209*MMVolatEF*NtoN2O*kgtoGg</f>
        <v>3.0549409795984986E-3</v>
      </c>
      <c r="AH1534" s="22">
        <f>Constants!$H66*'Activity data'!BA8*Constants!$H84*EF!$H209*MMVolatEF*NtoN2O*kgtoGg</f>
        <v>3.0802316239663852E-3</v>
      </c>
      <c r="AI1534" s="22">
        <f>Constants!$H66*'Activity data'!BB8*Constants!$H84*EF!$H209*MMVolatEF*NtoN2O*kgtoGg</f>
        <v>3.1071852189437066E-3</v>
      </c>
      <c r="AJ1534" s="22">
        <f>Constants!$H66*'Activity data'!BC8*Constants!$H84*EF!$H209*MMVolatEF*NtoN2O*kgtoGg</f>
        <v>3.1368555493036434E-3</v>
      </c>
      <c r="AK1534" s="22">
        <f>Constants!$H66*'Activity data'!BD8*Constants!$H84*EF!$H209*MMVolatEF*NtoN2O*kgtoGg</f>
        <v>3.1553441150186925E-3</v>
      </c>
      <c r="AL1534" s="22">
        <f>Constants!$H66*'Activity data'!BE8*Constants!$H84*EF!$H209*MMVolatEF*NtoN2O*kgtoGg</f>
        <v>3.1692145745473945E-3</v>
      </c>
      <c r="AM1534" s="22">
        <f>Constants!$H66*'Activity data'!BF8*Constants!$H84*EF!$H209*MMVolatEF*NtoN2O*kgtoGg</f>
        <v>3.1788623674795236E-3</v>
      </c>
      <c r="AN1534" s="22">
        <f>Constants!$H66*'Activity data'!BG8*Constants!$H84*EF!$H209*MMVolatEF*NtoN2O*kgtoGg</f>
        <v>3.2088548057950931E-3</v>
      </c>
      <c r="AO1534" s="22">
        <f>Constants!$H66*'Activity data'!BH8*Constants!$H84*EF!$H209*MMVolatEF*NtoN2O*kgtoGg</f>
        <v>3.2316528557922693E-3</v>
      </c>
      <c r="AP1534" s="22">
        <f>Constants!$H66*'Activity data'!BI8*Constants!$H84*EF!$H209*MMVolatEF*NtoN2O*kgtoGg</f>
        <v>3.2547386832550949E-3</v>
      </c>
      <c r="AQ1534" s="22">
        <f>Constants!$H66*'Activity data'!BJ8*Constants!$H84*EF!$H209*MMVolatEF*NtoN2O*kgtoGg</f>
        <v>3.2783763796135966E-3</v>
      </c>
      <c r="AR1534" s="22">
        <f>Constants!$H66*'Activity data'!BK8*Constants!$H84*EF!$H209*MMVolatEF*NtoN2O*kgtoGg</f>
        <v>3.3030426066013221E-3</v>
      </c>
      <c r="AS1534" s="22">
        <f>Constants!$H66*'Activity data'!BL8*Constants!$H84*EF!$H209*MMVolatEF*NtoN2O*kgtoGg</f>
        <v>3.3283682698185247E-3</v>
      </c>
      <c r="AT1534" s="22">
        <f>Constants!$H66*'Activity data'!BM8*Constants!$H84*EF!$H209*MMVolatEF*NtoN2O*kgtoGg</f>
        <v>3.2784104491001818E-3</v>
      </c>
      <c r="AU1534" s="22">
        <f>Constants!$H66*'Activity data'!BN8*Constants!$H84*EF!$H209*MMVolatEF*NtoN2O*kgtoGg</f>
        <v>3.2218166400979921E-3</v>
      </c>
      <c r="AV1534" s="22">
        <f>Constants!$H66*'Activity data'!BO8*Constants!$H84*EF!$H209*MMVolatEF*NtoN2O*kgtoGg</f>
        <v>3.1562062621096833E-3</v>
      </c>
      <c r="AW1534" s="22">
        <f>Constants!$H66*'Activity data'!BP8*Constants!$H84*EF!$H209*MMVolatEF*NtoN2O*kgtoGg</f>
        <v>3.0885397025865453E-3</v>
      </c>
    </row>
    <row r="1535" spans="1:49" x14ac:dyDescent="0.3">
      <c r="A1535" s="95" t="s">
        <v>960</v>
      </c>
      <c r="B1535" s="95"/>
      <c r="C1535" s="95"/>
      <c r="D1535" t="str">
        <f t="shared" si="575"/>
        <v>3C Aggregated and non-CO2 emissions on land</v>
      </c>
      <c r="E1535" t="str">
        <f t="shared" si="575"/>
        <v>3C6 Indirect N2O from manure management (N2O)</v>
      </c>
      <c r="F1535" t="str">
        <f t="shared" si="575"/>
        <v>Volatilisation</v>
      </c>
      <c r="G1535" t="str">
        <f>'Activity data'!D70</f>
        <v xml:space="preserve"> - Subsistence cattle</v>
      </c>
      <c r="H1535" t="str">
        <f t="shared" si="576"/>
        <v>Volatilisation - Subsistence cattle</v>
      </c>
      <c r="I1535" t="str">
        <f t="shared" si="571"/>
        <v>N2O</v>
      </c>
      <c r="J1535" t="str">
        <f t="shared" si="570"/>
        <v>Gg N2O</v>
      </c>
      <c r="K1535" s="22">
        <f>Constants!$H67*'Activity data'!AD9*Constants!$H85*EF!$H210*MMVolatEF*NtoN2O*kgtoGg</f>
        <v>1.6090517274103575E-2</v>
      </c>
      <c r="L1535" s="22">
        <f>Constants!$H67*'Activity data'!AE9*Constants!$H85*EF!$H210*MMVolatEF*NtoN2O*kgtoGg</f>
        <v>1.5950969356419605E-2</v>
      </c>
      <c r="M1535" s="22">
        <f>Constants!$H67*'Activity data'!AF9*Constants!$H85*EF!$H210*MMVolatEF*NtoN2O*kgtoGg</f>
        <v>1.5897847688628834E-2</v>
      </c>
      <c r="N1535" s="22">
        <f>Constants!$H67*'Activity data'!AG9*Constants!$H85*EF!$H210*MMVolatEF*NtoN2O*kgtoGg</f>
        <v>1.5685552742581484E-2</v>
      </c>
      <c r="O1535" s="22">
        <f>Constants!$H67*'Activity data'!AH9*Constants!$H85*EF!$H210*MMVolatEF*NtoN2O*kgtoGg</f>
        <v>1.5377401443792458E-2</v>
      </c>
      <c r="P1535" s="22">
        <f>Constants!$H67*'Activity data'!AI9*Constants!$H85*EF!$H210*MMVolatEF*NtoN2O*kgtoGg</f>
        <v>1.4979765878707444E-2</v>
      </c>
      <c r="Q1535" s="22">
        <f>Constants!$H67*'Activity data'!AJ9*Constants!$H85*EF!$H210*MMVolatEF*NtoN2O*kgtoGg</f>
        <v>1.4666139078901097E-2</v>
      </c>
      <c r="R1535" s="22">
        <f>Constants!$H67*'Activity data'!AK9*Constants!$H85*EF!$H210*MMVolatEF*NtoN2O*kgtoGg</f>
        <v>1.4369412471908495E-2</v>
      </c>
      <c r="S1535" s="22">
        <f>Constants!$H67*'Activity data'!AL9*Constants!$H85*EF!$H210*MMVolatEF*NtoN2O*kgtoGg</f>
        <v>1.2640893989042949E-2</v>
      </c>
      <c r="T1535" s="22">
        <f>Constants!$H67*'Activity data'!AM9*Constants!$H85*EF!$H210*MMVolatEF*NtoN2O*kgtoGg</f>
        <v>1.284622020036031E-2</v>
      </c>
      <c r="U1535" s="22">
        <f>Constants!$H67*'Activity data'!AN9*Constants!$H85*EF!$H210*MMVolatEF*NtoN2O*kgtoGg</f>
        <v>1.322926272495888E-2</v>
      </c>
      <c r="V1535" s="22">
        <f>Constants!$H67*'Activity data'!AO9*Constants!$H85*EF!$H210*MMVolatEF*NtoN2O*kgtoGg</f>
        <v>1.3305760741422912E-2</v>
      </c>
      <c r="W1535" s="22">
        <f>Constants!$H67*'Activity data'!AP9*Constants!$H85*EF!$H210*MMVolatEF*NtoN2O*kgtoGg</f>
        <v>1.3416092882164809E-2</v>
      </c>
      <c r="X1535" s="22">
        <f>Constants!$H67*'Activity data'!AQ9*Constants!$H85*EF!$H210*MMVolatEF*NtoN2O*kgtoGg</f>
        <v>1.3570008652208428E-2</v>
      </c>
      <c r="Y1535" s="22">
        <f>Constants!$H67*'Activity data'!AR9*Constants!$H85*EF!$H210*MMVolatEF*NtoN2O*kgtoGg</f>
        <v>1.3746557063140447E-2</v>
      </c>
      <c r="Z1535" s="22">
        <f>Constants!$H67*'Activity data'!AS9*Constants!$H85*EF!$H210*MMVolatEF*NtoN2O*kgtoGg</f>
        <v>1.3953550804963992E-2</v>
      </c>
      <c r="AA1535" s="22">
        <f>Constants!$H67*'Activity data'!AT9*Constants!$H85*EF!$H210*MMVolatEF*NtoN2O*kgtoGg</f>
        <v>1.4161499248234047E-2</v>
      </c>
      <c r="AB1535" s="22">
        <f>Constants!$H67*'Activity data'!AU9*Constants!$H85*EF!$H210*MMVolatEF*NtoN2O*kgtoGg</f>
        <v>1.439537708085406E-2</v>
      </c>
      <c r="AC1535" s="22">
        <f>Constants!$H67*'Activity data'!AV9*Constants!$H85*EF!$H210*MMVolatEF*NtoN2O*kgtoGg</f>
        <v>1.4626933931974607E-2</v>
      </c>
      <c r="AD1535" s="22">
        <f>Constants!$H67*'Activity data'!AW9*Constants!$H85*EF!$H210*MMVolatEF*NtoN2O*kgtoGg</f>
        <v>1.4777770720380409E-2</v>
      </c>
      <c r="AE1535" s="22">
        <f>Constants!$H67*'Activity data'!AX9*Constants!$H85*EF!$H210*MMVolatEF*NtoN2O*kgtoGg</f>
        <v>1.4901618235242655E-2</v>
      </c>
      <c r="AF1535" s="22">
        <f>Constants!$H67*'Activity data'!AY9*Constants!$H85*EF!$H210*MMVolatEF*NtoN2O*kgtoGg</f>
        <v>1.5032456117442953E-2</v>
      </c>
      <c r="AG1535" s="22">
        <f>Constants!$H67*'Activity data'!AZ9*Constants!$H85*EF!$H210*MMVolatEF*NtoN2O*kgtoGg</f>
        <v>1.5207515733809875E-2</v>
      </c>
      <c r="AH1535" s="22">
        <f>Constants!$H67*'Activity data'!BA9*Constants!$H85*EF!$H210*MMVolatEF*NtoN2O*kgtoGg</f>
        <v>1.5333412723215338E-2</v>
      </c>
      <c r="AI1535" s="22">
        <f>Constants!$H67*'Activity data'!BB9*Constants!$H85*EF!$H210*MMVolatEF*NtoN2O*kgtoGg</f>
        <v>1.5467587891389686E-2</v>
      </c>
      <c r="AJ1535" s="22">
        <f>Constants!$H67*'Activity data'!BC9*Constants!$H85*EF!$H210*MMVolatEF*NtoN2O*kgtoGg</f>
        <v>1.5615286985673127E-2</v>
      </c>
      <c r="AK1535" s="22">
        <f>Constants!$H67*'Activity data'!BD9*Constants!$H85*EF!$H210*MMVolatEF*NtoN2O*kgtoGg</f>
        <v>1.5707323184043206E-2</v>
      </c>
      <c r="AL1535" s="22">
        <f>Constants!$H67*'Activity data'!BE9*Constants!$H85*EF!$H210*MMVolatEF*NtoN2O*kgtoGg</f>
        <v>1.5776370420283306E-2</v>
      </c>
      <c r="AM1535" s="22">
        <f>Constants!$H67*'Activity data'!BF9*Constants!$H85*EF!$H210*MMVolatEF*NtoN2O*kgtoGg</f>
        <v>1.5824397195200308E-2</v>
      </c>
      <c r="AN1535" s="22">
        <f>Constants!$H67*'Activity data'!BG9*Constants!$H85*EF!$H210*MMVolatEF*NtoN2O*kgtoGg</f>
        <v>1.5973699744946876E-2</v>
      </c>
      <c r="AO1535" s="22">
        <f>Constants!$H67*'Activity data'!BH9*Constants!$H85*EF!$H210*MMVolatEF*NtoN2O*kgtoGg</f>
        <v>1.608718858363397E-2</v>
      </c>
      <c r="AP1535" s="22">
        <f>Constants!$H67*'Activity data'!BI9*Constants!$H85*EF!$H210*MMVolatEF*NtoN2O*kgtoGg</f>
        <v>1.6202109980385494E-2</v>
      </c>
      <c r="AQ1535" s="22">
        <f>Constants!$H67*'Activity data'!BJ9*Constants!$H85*EF!$H210*MMVolatEF*NtoN2O*kgtoGg</f>
        <v>1.6319778584029082E-2</v>
      </c>
      <c r="AR1535" s="22">
        <f>Constants!$H67*'Activity data'!BK9*Constants!$H85*EF!$H210*MMVolatEF*NtoN2O*kgtoGg</f>
        <v>1.6442567219722745E-2</v>
      </c>
      <c r="AS1535" s="22">
        <f>Constants!$H67*'Activity data'!BL9*Constants!$H85*EF!$H210*MMVolatEF*NtoN2O*kgtoGg</f>
        <v>1.6568638533184063E-2</v>
      </c>
      <c r="AT1535" s="22">
        <f>Constants!$H67*'Activity data'!BM9*Constants!$H85*EF!$H210*MMVolatEF*NtoN2O*kgtoGg</f>
        <v>1.6319948182151194E-2</v>
      </c>
      <c r="AU1535" s="22">
        <f>Constants!$H67*'Activity data'!BN9*Constants!$H85*EF!$H210*MMVolatEF*NtoN2O*kgtoGg</f>
        <v>1.603822383900198E-2</v>
      </c>
      <c r="AV1535" s="22">
        <f>Constants!$H67*'Activity data'!BO9*Constants!$H85*EF!$H210*MMVolatEF*NtoN2O*kgtoGg</f>
        <v>1.5711614957775871E-2</v>
      </c>
      <c r="AW1535" s="22">
        <f>Constants!$H67*'Activity data'!BP9*Constants!$H85*EF!$H210*MMVolatEF*NtoN2O*kgtoGg</f>
        <v>1.5374770391719434E-2</v>
      </c>
    </row>
    <row r="1536" spans="1:49" x14ac:dyDescent="0.3">
      <c r="A1536" s="95" t="s">
        <v>960</v>
      </c>
      <c r="B1536" s="95"/>
      <c r="C1536" s="95"/>
      <c r="D1536" t="str">
        <f t="shared" si="575"/>
        <v>3C Aggregated and non-CO2 emissions on land</v>
      </c>
      <c r="E1536" t="str">
        <f t="shared" si="575"/>
        <v>3C6 Indirect N2O from manure management (N2O)</v>
      </c>
      <c r="F1536" t="str">
        <f t="shared" si="575"/>
        <v>Volatilisation</v>
      </c>
      <c r="G1536" t="str">
        <f>'Activity data'!D71</f>
        <v xml:space="preserve"> - Feedlot</v>
      </c>
      <c r="H1536" t="str">
        <f t="shared" si="576"/>
        <v>Volatilisation - Feedlot</v>
      </c>
      <c r="I1536" t="str">
        <f t="shared" si="571"/>
        <v>N2O</v>
      </c>
      <c r="J1536" t="str">
        <f t="shared" si="570"/>
        <v>Gg N2O</v>
      </c>
      <c r="K1536" s="22">
        <f>Constants!$H68*'Activity data'!AD10*Constants!$H86*EF!$H211*MMVolatEF*NtoN2O*kgtoGg</f>
        <v>0.15836052531214873</v>
      </c>
      <c r="L1536" s="22">
        <f>Constants!$H68*'Activity data'!AE10*Constants!$H86*EF!$H211*MMVolatEF*NtoN2O*kgtoGg</f>
        <v>0.16370016056893641</v>
      </c>
      <c r="M1536" s="22">
        <f>Constants!$H68*'Activity data'!AF10*Constants!$H86*EF!$H211*MMVolatEF*NtoN2O*kgtoGg</f>
        <v>0.17003774892948584</v>
      </c>
      <c r="N1536" s="22">
        <f>Constants!$H68*'Activity data'!AG10*Constants!$H86*EF!$H211*MMVolatEF*NtoN2O*kgtoGg</f>
        <v>0.17476418316081974</v>
      </c>
      <c r="O1536" s="22">
        <f>Constants!$H68*'Activity data'!AH10*Constants!$H86*EF!$H211*MMVolatEF*NtoN2O*kgtoGg</f>
        <v>0.1784091501709566</v>
      </c>
      <c r="P1536" s="22">
        <f>Constants!$H68*'Activity data'!AI10*Constants!$H86*EF!$H211*MMVolatEF*NtoN2O*kgtoGg</f>
        <v>0.18092055691117107</v>
      </c>
      <c r="Q1536" s="22">
        <f>Constants!$H68*'Activity data'!AJ10*Constants!$H86*EF!$H211*MMVolatEF*NtoN2O*kgtoGg</f>
        <v>0.18434967364231716</v>
      </c>
      <c r="R1536" s="22">
        <f>Constants!$H68*'Activity data'!AK10*Constants!$H86*EF!$H211*MMVolatEF*NtoN2O*kgtoGg</f>
        <v>0.18794438918293385</v>
      </c>
      <c r="S1536" s="22">
        <f>Constants!$H68*'Activity data'!AL10*Constants!$H86*EF!$H211*MMVolatEF*NtoN2O*kgtoGg</f>
        <v>0.17201843471628311</v>
      </c>
      <c r="T1536" s="22">
        <f>Constants!$H68*'Activity data'!AM10*Constants!$H86*EF!$H211*MMVolatEF*NtoN2O*kgtoGg</f>
        <v>0.17902423727078304</v>
      </c>
      <c r="U1536" s="22">
        <f>Constants!$H68*'Activity data'!AN10*Constants!$H86*EF!$H211*MMVolatEF*NtoN2O*kgtoGg</f>
        <v>0.18874308750279975</v>
      </c>
      <c r="V1536" s="22">
        <f>Constants!$H68*'Activity data'!AO10*Constants!$H86*EF!$H211*MMVolatEF*NtoN2O*kgtoGg</f>
        <v>0.19428798010301845</v>
      </c>
      <c r="W1536" s="22">
        <f>Constants!$H68*'Activity data'!AP10*Constants!$H86*EF!$H211*MMVolatEF*NtoN2O*kgtoGg</f>
        <v>0.20044069379465723</v>
      </c>
      <c r="X1536" s="22">
        <f>Constants!$H68*'Activity data'!AQ10*Constants!$H86*EF!$H211*MMVolatEF*NtoN2O*kgtoGg</f>
        <v>0.20738925990441343</v>
      </c>
      <c r="Y1536" s="22">
        <f>Constants!$H68*'Activity data'!AR10*Constants!$H86*EF!$H211*MMVolatEF*NtoN2O*kgtoGg</f>
        <v>0.21485625224208699</v>
      </c>
      <c r="Z1536" s="22">
        <f>Constants!$H68*'Activity data'!AS10*Constants!$H86*EF!$H211*MMVolatEF*NtoN2O*kgtoGg</f>
        <v>0.22299569523633012</v>
      </c>
      <c r="AA1536" s="22">
        <f>Constants!$H68*'Activity data'!AT10*Constants!$H86*EF!$H211*MMVolatEF*NtoN2O*kgtoGg</f>
        <v>0.23136404347242787</v>
      </c>
      <c r="AB1536" s="22">
        <f>Constants!$H68*'Activity data'!AU10*Constants!$H86*EF!$H211*MMVolatEF*NtoN2O*kgtoGg</f>
        <v>0.24038568507894228</v>
      </c>
      <c r="AC1536" s="22">
        <f>Constants!$H68*'Activity data'!AV10*Constants!$H86*EF!$H211*MMVolatEF*NtoN2O*kgtoGg</f>
        <v>0.24961351882279642</v>
      </c>
      <c r="AD1536" s="22">
        <f>Constants!$H68*'Activity data'!AW10*Constants!$H86*EF!$H211*MMVolatEF*NtoN2O*kgtoGg</f>
        <v>0.26055082309019489</v>
      </c>
      <c r="AE1536" s="22">
        <f>Constants!$H68*'Activity data'!AX10*Constants!$H86*EF!$H211*MMVolatEF*NtoN2O*kgtoGg</f>
        <v>0.27146409989499087</v>
      </c>
      <c r="AF1536" s="22">
        <f>Constants!$H68*'Activity data'!AY10*Constants!$H86*EF!$H211*MMVolatEF*NtoN2O*kgtoGg</f>
        <v>0.28296976129835516</v>
      </c>
      <c r="AG1536" s="22">
        <f>Constants!$H68*'Activity data'!AZ10*Constants!$H86*EF!$H211*MMVolatEF*NtoN2O*kgtoGg</f>
        <v>0.29583119296374027</v>
      </c>
      <c r="AH1536" s="22">
        <f>Constants!$H68*'Activity data'!BA10*Constants!$H86*EF!$H211*MMVolatEF*NtoN2O*kgtoGg</f>
        <v>0.30828569818364093</v>
      </c>
      <c r="AI1536" s="22">
        <f>Constants!$H68*'Activity data'!BB10*Constants!$H86*EF!$H211*MMVolatEF*NtoN2O*kgtoGg</f>
        <v>0.32146078881891821</v>
      </c>
      <c r="AJ1536" s="22">
        <f>Constants!$H68*'Activity data'!BC10*Constants!$H86*EF!$H211*MMVolatEF*NtoN2O*kgtoGg</f>
        <v>0.33551892419975027</v>
      </c>
      <c r="AK1536" s="22">
        <f>Constants!$H68*'Activity data'!BD10*Constants!$H86*EF!$H211*MMVolatEF*NtoN2O*kgtoGg</f>
        <v>0.34898799967344624</v>
      </c>
      <c r="AL1536" s="22">
        <f>Constants!$H68*'Activity data'!BE10*Constants!$H86*EF!$H211*MMVolatEF*NtoN2O*kgtoGg</f>
        <v>0.36253110288155638</v>
      </c>
      <c r="AM1536" s="22">
        <f>Constants!$H68*'Activity data'!BF10*Constants!$H86*EF!$H211*MMVolatEF*NtoN2O*kgtoGg</f>
        <v>0.3761776209722954</v>
      </c>
      <c r="AN1536" s="22">
        <f>Constants!$H68*'Activity data'!BG10*Constants!$H86*EF!$H211*MMVolatEF*NtoN2O*kgtoGg</f>
        <v>0.39044092384449941</v>
      </c>
      <c r="AO1536" s="22">
        <f>Constants!$H68*'Activity data'!BH10*Constants!$H86*EF!$H211*MMVolatEF*NtoN2O*kgtoGg</f>
        <v>0.40434790587507169</v>
      </c>
      <c r="AP1536" s="22">
        <f>Constants!$H68*'Activity data'!BI10*Constants!$H86*EF!$H211*MMVolatEF*NtoN2O*kgtoGg</f>
        <v>0.41881133165575385</v>
      </c>
      <c r="AQ1536" s="22">
        <f>Constants!$H68*'Activity data'!BJ10*Constants!$H86*EF!$H211*MMVolatEF*NtoN2O*kgtoGg</f>
        <v>0.43389523168298461</v>
      </c>
      <c r="AR1536" s="22">
        <f>Constants!$H68*'Activity data'!BK10*Constants!$H86*EF!$H211*MMVolatEF*NtoN2O*kgtoGg</f>
        <v>0.44969846219520337</v>
      </c>
      <c r="AS1536" s="22">
        <f>Constants!$H68*'Activity data'!BL10*Constants!$H86*EF!$H211*MMVolatEF*NtoN2O*kgtoGg</f>
        <v>0.46621113351536414</v>
      </c>
      <c r="AT1536" s="22">
        <f>Constants!$H68*'Activity data'!BM10*Constants!$H86*EF!$H211*MMVolatEF*NtoN2O*kgtoGg</f>
        <v>0.47252748572368597</v>
      </c>
      <c r="AU1536" s="22">
        <f>Constants!$H68*'Activity data'!BN10*Constants!$H86*EF!$H211*MMVolatEF*NtoN2O*kgtoGg</f>
        <v>0.47791554113176593</v>
      </c>
      <c r="AV1536" s="22">
        <f>Constants!$H68*'Activity data'!BO10*Constants!$H86*EF!$H211*MMVolatEF*NtoN2O*kgtoGg</f>
        <v>0.48192801076931108</v>
      </c>
      <c r="AW1536" s="22">
        <f>Constants!$H68*'Activity data'!BP10*Constants!$H86*EF!$H211*MMVolatEF*NtoN2O*kgtoGg</f>
        <v>0.48553688587906652</v>
      </c>
    </row>
    <row r="1537" spans="1:49" x14ac:dyDescent="0.3">
      <c r="A1537" s="95" t="s">
        <v>960</v>
      </c>
      <c r="B1537" s="95"/>
      <c r="C1537" s="95"/>
      <c r="D1537" t="str">
        <f t="shared" ref="D1537:F1552" si="577">D1536</f>
        <v>3C Aggregated and non-CO2 emissions on land</v>
      </c>
      <c r="E1537" t="str">
        <f t="shared" si="577"/>
        <v>3C6 Indirect N2O from manure management (N2O)</v>
      </c>
      <c r="F1537" t="str">
        <f t="shared" si="577"/>
        <v>Volatilisation</v>
      </c>
      <c r="G1537" t="str">
        <f>'Activity data'!D72</f>
        <v xml:space="preserve"> - Commercial sheep</v>
      </c>
      <c r="H1537" t="str">
        <f t="shared" si="576"/>
        <v>Volatilisation - Commercial sheep</v>
      </c>
      <c r="I1537" t="str">
        <f t="shared" si="571"/>
        <v>N2O</v>
      </c>
      <c r="J1537" t="str">
        <f t="shared" si="570"/>
        <v>Gg N2O</v>
      </c>
      <c r="K1537" s="22">
        <f>Constants!$H69*'Activity data'!AD11*Constants!$H87*EF!$H212*MMVolatEF*NtoN2O*kgtoGg</f>
        <v>1.1718831875652189E-4</v>
      </c>
      <c r="L1537" s="22">
        <f>Constants!$H69*'Activity data'!AE11*Constants!$H87*EF!$H212*MMVolatEF*NtoN2O*kgtoGg</f>
        <v>1.1725168210757805E-4</v>
      </c>
      <c r="M1537" s="22">
        <f>Constants!$H69*'Activity data'!AF11*Constants!$H87*EF!$H212*MMVolatEF*NtoN2O*kgtoGg</f>
        <v>1.1740318150277543E-4</v>
      </c>
      <c r="N1537" s="22">
        <f>Constants!$H69*'Activity data'!AG11*Constants!$H87*EF!$H212*MMVolatEF*NtoN2O*kgtoGg</f>
        <v>1.1762656857541023E-4</v>
      </c>
      <c r="O1537" s="22">
        <f>Constants!$H69*'Activity data'!AH11*Constants!$H87*EF!$H212*MMVolatEF*NtoN2O*kgtoGg</f>
        <v>1.179204237689029E-4</v>
      </c>
      <c r="P1537" s="22">
        <f>Constants!$H69*'Activity data'!AI11*Constants!$H87*EF!$H212*MMVolatEF*NtoN2O*kgtoGg</f>
        <v>1.1828164409401504E-4</v>
      </c>
      <c r="Q1537" s="22">
        <f>Constants!$H69*'Activity data'!AJ11*Constants!$H87*EF!$H212*MMVolatEF*NtoN2O*kgtoGg</f>
        <v>1.1868734382429133E-4</v>
      </c>
      <c r="R1537" s="22">
        <f>Constants!$H69*'Activity data'!AK11*Constants!$H87*EF!$H212*MMVolatEF*NtoN2O*kgtoGg</f>
        <v>1.1913496163447935E-4</v>
      </c>
      <c r="S1537" s="22">
        <f>Constants!$H69*'Activity data'!AL11*Constants!$H87*EF!$H212*MMVolatEF*NtoN2O*kgtoGg</f>
        <v>1.1954428347803586E-4</v>
      </c>
      <c r="T1537" s="22">
        <f>Constants!$H69*'Activity data'!AM11*Constants!$H87*EF!$H212*MMVolatEF*NtoN2O*kgtoGg</f>
        <v>1.1972414940561896E-4</v>
      </c>
      <c r="U1537" s="22">
        <f>Constants!$H69*'Activity data'!AN11*Constants!$H87*EF!$H212*MMVolatEF*NtoN2O*kgtoGg</f>
        <v>1.1994380434419684E-4</v>
      </c>
      <c r="V1537" s="22">
        <f>Constants!$H69*'Activity data'!AO11*Constants!$H87*EF!$H212*MMVolatEF*NtoN2O*kgtoGg</f>
        <v>1.201746788301286E-4</v>
      </c>
      <c r="W1537" s="22">
        <f>Constants!$H69*'Activity data'!AP11*Constants!$H87*EF!$H212*MMVolatEF*NtoN2O*kgtoGg</f>
        <v>1.2043388472990403E-4</v>
      </c>
      <c r="X1537" s="22">
        <f>Constants!$H69*'Activity data'!AQ11*Constants!$H87*EF!$H212*MMVolatEF*NtoN2O*kgtoGg</f>
        <v>1.207206967802894E-4</v>
      </c>
      <c r="Y1537" s="22">
        <f>Constants!$H69*'Activity data'!AR11*Constants!$H87*EF!$H212*MMVolatEF*NtoN2O*kgtoGg</f>
        <v>1.2089981812671622E-4</v>
      </c>
      <c r="Z1537" s="22">
        <f>Constants!$H69*'Activity data'!AS11*Constants!$H87*EF!$H212*MMVolatEF*NtoN2O*kgtoGg</f>
        <v>1.2110217984152869E-4</v>
      </c>
      <c r="AA1537" s="22">
        <f>Constants!$H69*'Activity data'!AT11*Constants!$H87*EF!$H212*MMVolatEF*NtoN2O*kgtoGg</f>
        <v>1.2132504756910802E-4</v>
      </c>
      <c r="AB1537" s="22">
        <f>Constants!$H69*'Activity data'!AU11*Constants!$H87*EF!$H212*MMVolatEF*NtoN2O*kgtoGg</f>
        <v>1.2156903411725496E-4</v>
      </c>
      <c r="AC1537" s="22">
        <f>Constants!$H69*'Activity data'!AV11*Constants!$H87*EF!$H212*MMVolatEF*NtoN2O*kgtoGg</f>
        <v>1.2183162117803533E-4</v>
      </c>
      <c r="AD1537" s="22">
        <f>Constants!$H69*'Activity data'!AW11*Constants!$H87*EF!$H212*MMVolatEF*NtoN2O*kgtoGg</f>
        <v>1.2200776858907327E-4</v>
      </c>
      <c r="AE1537" s="22">
        <f>Constants!$H69*'Activity data'!AX11*Constants!$H87*EF!$H212*MMVolatEF*NtoN2O*kgtoGg</f>
        <v>1.2219899661673858E-4</v>
      </c>
      <c r="AF1537" s="22">
        <f>Constants!$H69*'Activity data'!AY11*Constants!$H87*EF!$H212*MMVolatEF*NtoN2O*kgtoGg</f>
        <v>1.2240684242118336E-4</v>
      </c>
      <c r="AG1537" s="22">
        <f>Constants!$H69*'Activity data'!AZ11*Constants!$H87*EF!$H212*MMVolatEF*NtoN2O*kgtoGg</f>
        <v>1.2263333491271974E-4</v>
      </c>
      <c r="AH1537" s="22">
        <f>Constants!$H69*'Activity data'!BA11*Constants!$H87*EF!$H212*MMVolatEF*NtoN2O*kgtoGg</f>
        <v>1.2287167298468532E-4</v>
      </c>
      <c r="AI1537" s="22">
        <f>Constants!$H69*'Activity data'!BB11*Constants!$H87*EF!$H212*MMVolatEF*NtoN2O*kgtoGg</f>
        <v>1.2302401792252464E-4</v>
      </c>
      <c r="AJ1537" s="22">
        <f>Constants!$H69*'Activity data'!BC11*Constants!$H87*EF!$H212*MMVolatEF*NtoN2O*kgtoGg</f>
        <v>1.2319088645114677E-4</v>
      </c>
      <c r="AK1537" s="22">
        <f>Constants!$H69*'Activity data'!BD11*Constants!$H87*EF!$H212*MMVolatEF*NtoN2O*kgtoGg</f>
        <v>1.2336677489796816E-4</v>
      </c>
      <c r="AL1537" s="22">
        <f>Constants!$H69*'Activity data'!BE11*Constants!$H87*EF!$H212*MMVolatEF*NtoN2O*kgtoGg</f>
        <v>1.2355355577482136E-4</v>
      </c>
      <c r="AM1537" s="22">
        <f>Constants!$H69*'Activity data'!BF11*Constants!$H87*EF!$H212*MMVolatEF*NtoN2O*kgtoGg</f>
        <v>1.2375094588099321E-4</v>
      </c>
      <c r="AN1537" s="22">
        <f>Constants!$H69*'Activity data'!BG11*Constants!$H87*EF!$H212*MMVolatEF*NtoN2O*kgtoGg</f>
        <v>1.2386757855810271E-4</v>
      </c>
      <c r="AO1537" s="22">
        <f>Constants!$H69*'Activity data'!BH11*Constants!$H87*EF!$H212*MMVolatEF*NtoN2O*kgtoGg</f>
        <v>1.2399208535623994E-4</v>
      </c>
      <c r="AP1537" s="22">
        <f>Constants!$H69*'Activity data'!BI11*Constants!$H87*EF!$H212*MMVolatEF*NtoN2O*kgtoGg</f>
        <v>1.2412714040619619E-4</v>
      </c>
      <c r="AQ1537" s="22">
        <f>Constants!$H69*'Activity data'!BJ11*Constants!$H87*EF!$H212*MMVolatEF*NtoN2O*kgtoGg</f>
        <v>1.242726131383893E-4</v>
      </c>
      <c r="AR1537" s="22">
        <f>Constants!$H69*'Activity data'!BK11*Constants!$H87*EF!$H212*MMVolatEF*NtoN2O*kgtoGg</f>
        <v>1.2442850053815514E-4</v>
      </c>
      <c r="AS1537" s="22">
        <f>Constants!$H69*'Activity data'!BL11*Constants!$H87*EF!$H212*MMVolatEF*NtoN2O*kgtoGg</f>
        <v>1.2449922291454818E-4</v>
      </c>
      <c r="AT1537" s="22">
        <f>Constants!$H69*'Activity data'!BM11*Constants!$H87*EF!$H212*MMVolatEF*NtoN2O*kgtoGg</f>
        <v>1.2454479881058539E-4</v>
      </c>
      <c r="AU1537" s="22">
        <f>Constants!$H69*'Activity data'!BN11*Constants!$H87*EF!$H212*MMVolatEF*NtoN2O*kgtoGg</f>
        <v>1.2459475860623469E-4</v>
      </c>
      <c r="AV1537" s="22">
        <f>Constants!$H69*'Activity data'!BO11*Constants!$H87*EF!$H212*MMVolatEF*NtoN2O*kgtoGg</f>
        <v>1.2464752954530566E-4</v>
      </c>
      <c r="AW1537" s="22">
        <f>Constants!$H69*'Activity data'!BP11*Constants!$H87*EF!$H212*MMVolatEF*NtoN2O*kgtoGg</f>
        <v>1.2470598620434531E-4</v>
      </c>
    </row>
    <row r="1538" spans="1:49" x14ac:dyDescent="0.3">
      <c r="A1538" s="95" t="s">
        <v>960</v>
      </c>
      <c r="B1538" s="95"/>
      <c r="C1538" s="95"/>
      <c r="D1538" t="str">
        <f t="shared" si="577"/>
        <v>3C Aggregated and non-CO2 emissions on land</v>
      </c>
      <c r="E1538" t="str">
        <f t="shared" si="577"/>
        <v>3C6 Indirect N2O from manure management (N2O)</v>
      </c>
      <c r="F1538" t="str">
        <f t="shared" si="577"/>
        <v>Volatilisation</v>
      </c>
      <c r="G1538" t="str">
        <f>'Activity data'!D73</f>
        <v xml:space="preserve"> - Subsistence sheep</v>
      </c>
      <c r="H1538" t="str">
        <f t="shared" si="576"/>
        <v>Volatilisation - Subsistence sheep</v>
      </c>
      <c r="I1538" t="str">
        <f t="shared" si="571"/>
        <v>N2O</v>
      </c>
      <c r="J1538" t="str">
        <f t="shared" si="570"/>
        <v>Gg N2O</v>
      </c>
      <c r="K1538" s="22">
        <f>Constants!$H70*'Activity data'!AD12*Constants!$H88*EF!$H213*MMVolatEF*NtoN2O*kgtoGg</f>
        <v>8.042066176599371E-4</v>
      </c>
      <c r="L1538" s="22">
        <f>Constants!$H70*'Activity data'!AE12*Constants!$H88*EF!$H213*MMVolatEF*NtoN2O*kgtoGg</f>
        <v>8.046414496191049E-4</v>
      </c>
      <c r="M1538" s="22">
        <f>Constants!$H70*'Activity data'!AF12*Constants!$H88*EF!$H213*MMVolatEF*NtoN2O*kgtoGg</f>
        <v>8.0568111652005547E-4</v>
      </c>
      <c r="N1538" s="22">
        <f>Constants!$H70*'Activity data'!AG12*Constants!$H88*EF!$H213*MMVolatEF*NtoN2O*kgtoGg</f>
        <v>8.0721411369945729E-4</v>
      </c>
      <c r="O1538" s="22">
        <f>Constants!$H70*'Activity data'!AH12*Constants!$H88*EF!$H213*MMVolatEF*NtoN2O*kgtoGg</f>
        <v>8.0923069942871869E-4</v>
      </c>
      <c r="P1538" s="22">
        <f>Constants!$H70*'Activity data'!AI12*Constants!$H88*EF!$H213*MMVolatEF*NtoN2O*kgtoGg</f>
        <v>8.117095793970544E-4</v>
      </c>
      <c r="Q1538" s="22">
        <f>Constants!$H70*'Activity data'!AJ12*Constants!$H88*EF!$H213*MMVolatEF*NtoN2O*kgtoGg</f>
        <v>8.1449369995900982E-4</v>
      </c>
      <c r="R1538" s="22">
        <f>Constants!$H70*'Activity data'!AK12*Constants!$H88*EF!$H213*MMVolatEF*NtoN2O*kgtoGg</f>
        <v>8.1756548398113221E-4</v>
      </c>
      <c r="S1538" s="22">
        <f>Constants!$H70*'Activity data'!AL12*Constants!$H88*EF!$H213*MMVolatEF*NtoN2O*kgtoGg</f>
        <v>8.2037446135049667E-4</v>
      </c>
      <c r="T1538" s="22">
        <f>Constants!$H70*'Activity data'!AM12*Constants!$H88*EF!$H213*MMVolatEF*NtoN2O*kgtoGg</f>
        <v>8.2160879401085645E-4</v>
      </c>
      <c r="U1538" s="22">
        <f>Constants!$H70*'Activity data'!AN12*Constants!$H88*EF!$H213*MMVolatEF*NtoN2O*kgtoGg</f>
        <v>8.2311617936359845E-4</v>
      </c>
      <c r="V1538" s="22">
        <f>Constants!$H70*'Activity data'!AO12*Constants!$H88*EF!$H213*MMVolatEF*NtoN2O*kgtoGg</f>
        <v>8.2470055903049121E-4</v>
      </c>
      <c r="W1538" s="22">
        <f>Constants!$H70*'Activity data'!AP12*Constants!$H88*EF!$H213*MMVolatEF*NtoN2O*kgtoGg</f>
        <v>8.2647936345526477E-4</v>
      </c>
      <c r="X1538" s="22">
        <f>Constants!$H70*'Activity data'!AQ12*Constants!$H88*EF!$H213*MMVolatEF*NtoN2O*kgtoGg</f>
        <v>8.2844761550796096E-4</v>
      </c>
      <c r="Y1538" s="22">
        <f>Constants!$H70*'Activity data'!AR12*Constants!$H88*EF!$H213*MMVolatEF*NtoN2O*kgtoGg</f>
        <v>8.2967683846882541E-4</v>
      </c>
      <c r="Z1538" s="22">
        <f>Constants!$H70*'Activity data'!AS12*Constants!$H88*EF!$H213*MMVolatEF*NtoN2O*kgtoGg</f>
        <v>8.3106554881077761E-4</v>
      </c>
      <c r="AA1538" s="22">
        <f>Constants!$H70*'Activity data'!AT12*Constants!$H88*EF!$H213*MMVolatEF*NtoN2O*kgtoGg</f>
        <v>8.3259498197684714E-4</v>
      </c>
      <c r="AB1538" s="22">
        <f>Constants!$H70*'Activity data'!AU12*Constants!$H88*EF!$H213*MMVolatEF*NtoN2O*kgtoGg</f>
        <v>8.3426934336987486E-4</v>
      </c>
      <c r="AC1538" s="22">
        <f>Constants!$H70*'Activity data'!AV12*Constants!$H88*EF!$H213*MMVolatEF*NtoN2O*kgtoGg</f>
        <v>8.3607135106340792E-4</v>
      </c>
      <c r="AD1538" s="22">
        <f>Constants!$H70*'Activity data'!AW12*Constants!$H88*EF!$H213*MMVolatEF*NtoN2O*kgtoGg</f>
        <v>8.3728016534748921E-4</v>
      </c>
      <c r="AE1538" s="22">
        <f>Constants!$H70*'Activity data'!AX12*Constants!$H88*EF!$H213*MMVolatEF*NtoN2O*kgtoGg</f>
        <v>8.3859247059226414E-4</v>
      </c>
      <c r="AF1538" s="22">
        <f>Constants!$H70*'Activity data'!AY12*Constants!$H88*EF!$H213*MMVolatEF*NtoN2O*kgtoGg</f>
        <v>8.4001881558262628E-4</v>
      </c>
      <c r="AG1538" s="22">
        <f>Constants!$H70*'Activity data'!AZ12*Constants!$H88*EF!$H213*MMVolatEF*NtoN2O*kgtoGg</f>
        <v>8.4157312374641413E-4</v>
      </c>
      <c r="AH1538" s="22">
        <f>Constants!$H70*'Activity data'!BA12*Constants!$H88*EF!$H213*MMVolatEF*NtoN2O*kgtoGg</f>
        <v>8.4320872238584225E-4</v>
      </c>
      <c r="AI1538" s="22">
        <f>Constants!$H70*'Activity data'!BB12*Constants!$H88*EF!$H213*MMVolatEF*NtoN2O*kgtoGg</f>
        <v>8.4425419183601768E-4</v>
      </c>
      <c r="AJ1538" s="22">
        <f>Constants!$H70*'Activity data'!BC12*Constants!$H88*EF!$H213*MMVolatEF*NtoN2O*kgtoGg</f>
        <v>8.4539932964856662E-4</v>
      </c>
      <c r="AK1538" s="22">
        <f>Constants!$H70*'Activity data'!BD12*Constants!$H88*EF!$H213*MMVolatEF*NtoN2O*kgtoGg</f>
        <v>8.4660636678677789E-4</v>
      </c>
      <c r="AL1538" s="22">
        <f>Constants!$H70*'Activity data'!BE12*Constants!$H88*EF!$H213*MMVolatEF*NtoN2O*kgtoGg</f>
        <v>8.4788815339154825E-4</v>
      </c>
      <c r="AM1538" s="22">
        <f>Constants!$H70*'Activity data'!BF12*Constants!$H88*EF!$H213*MMVolatEF*NtoN2O*kgtoGg</f>
        <v>8.4924274599368159E-4</v>
      </c>
      <c r="AN1538" s="22">
        <f>Constants!$H70*'Activity data'!BG12*Constants!$H88*EF!$H213*MMVolatEF*NtoN2O*kgtoGg</f>
        <v>8.5004313951209814E-4</v>
      </c>
      <c r="AO1538" s="22">
        <f>Constants!$H70*'Activity data'!BH12*Constants!$H88*EF!$H213*MMVolatEF*NtoN2O*kgtoGg</f>
        <v>8.5089756930568201E-4</v>
      </c>
      <c r="AP1538" s="22">
        <f>Constants!$H70*'Activity data'!BI12*Constants!$H88*EF!$H213*MMVolatEF*NtoN2O*kgtoGg</f>
        <v>8.5182438663761119E-4</v>
      </c>
      <c r="AQ1538" s="22">
        <f>Constants!$H70*'Activity data'!BJ12*Constants!$H88*EF!$H213*MMVolatEF*NtoN2O*kgtoGg</f>
        <v>8.5282269547214476E-4</v>
      </c>
      <c r="AR1538" s="22">
        <f>Constants!$H70*'Activity data'!BK12*Constants!$H88*EF!$H213*MMVolatEF*NtoN2O*kgtoGg</f>
        <v>8.5389247512110444E-4</v>
      </c>
      <c r="AS1538" s="22">
        <f>Constants!$H70*'Activity data'!BL12*Constants!$H88*EF!$H213*MMVolatEF*NtoN2O*kgtoGg</f>
        <v>8.5437780850343642E-4</v>
      </c>
      <c r="AT1538" s="22">
        <f>Constants!$H70*'Activity data'!BM12*Constants!$H88*EF!$H213*MMVolatEF*NtoN2O*kgtoGg</f>
        <v>8.5469057378232966E-4</v>
      </c>
      <c r="AU1538" s="22">
        <f>Constants!$H70*'Activity data'!BN12*Constants!$H88*EF!$H213*MMVolatEF*NtoN2O*kgtoGg</f>
        <v>8.5503342363890623E-4</v>
      </c>
      <c r="AV1538" s="22">
        <f>Constants!$H70*'Activity data'!BO12*Constants!$H88*EF!$H213*MMVolatEF*NtoN2O*kgtoGg</f>
        <v>8.5539556500991744E-4</v>
      </c>
      <c r="AW1538" s="22">
        <f>Constants!$H70*'Activity data'!BP12*Constants!$H88*EF!$H213*MMVolatEF*NtoN2O*kgtoGg</f>
        <v>8.5579672472058501E-4</v>
      </c>
    </row>
    <row r="1539" spans="1:49" x14ac:dyDescent="0.3">
      <c r="A1539" s="95" t="s">
        <v>960</v>
      </c>
      <c r="B1539" s="95"/>
      <c r="C1539" s="95"/>
      <c r="D1539" t="str">
        <f t="shared" si="577"/>
        <v>3C Aggregated and non-CO2 emissions on land</v>
      </c>
      <c r="E1539" t="str">
        <f t="shared" si="577"/>
        <v>3C6 Indirect N2O from manure management (N2O)</v>
      </c>
      <c r="F1539" t="str">
        <f t="shared" si="577"/>
        <v>Volatilisation</v>
      </c>
      <c r="G1539" t="str">
        <f>'Activity data'!D74</f>
        <v xml:space="preserve"> - Commercial goats</v>
      </c>
      <c r="H1539" t="str">
        <f t="shared" si="576"/>
        <v>Volatilisation - Commercial goats</v>
      </c>
      <c r="I1539" t="str">
        <f t="shared" si="571"/>
        <v>N2O</v>
      </c>
      <c r="J1539" t="str">
        <f t="shared" si="570"/>
        <v>Gg N2O</v>
      </c>
      <c r="K1539" s="22">
        <f>Constants!$H71*'Activity data'!AD13*Constants!$H89*EF!$H214*MMVolatEF*NtoN2O*kgtoGg</f>
        <v>1.4486129996083085E-5</v>
      </c>
      <c r="L1539" s="22">
        <f>Constants!$H71*'Activity data'!AE13*Constants!$H89*EF!$H214*MMVolatEF*NtoN2O*kgtoGg</f>
        <v>1.4523786941695515E-5</v>
      </c>
      <c r="M1539" s="22">
        <f>Constants!$H71*'Activity data'!AF13*Constants!$H89*EF!$H214*MMVolatEF*NtoN2O*kgtoGg</f>
        <v>1.4575733367418309E-5</v>
      </c>
      <c r="N1539" s="22">
        <f>Constants!$H71*'Activity data'!AG13*Constants!$H89*EF!$H214*MMVolatEF*NtoN2O*kgtoGg</f>
        <v>1.4639017833045655E-5</v>
      </c>
      <c r="O1539" s="22">
        <f>Constants!$H71*'Activity data'!AH13*Constants!$H89*EF!$H214*MMVolatEF*NtoN2O*kgtoGg</f>
        <v>1.471355007817218E-5</v>
      </c>
      <c r="P1539" s="22">
        <f>Constants!$H71*'Activity data'!AI13*Constants!$H89*EF!$H214*MMVolatEF*NtoN2O*kgtoGg</f>
        <v>1.4798876460462532E-5</v>
      </c>
      <c r="Q1539" s="22">
        <f>Constants!$H71*'Activity data'!AJ13*Constants!$H89*EF!$H214*MMVolatEF*NtoN2O*kgtoGg</f>
        <v>1.489070601115726E-5</v>
      </c>
      <c r="R1539" s="22">
        <f>Constants!$H71*'Activity data'!AK13*Constants!$H89*EF!$H214*MMVolatEF*NtoN2O*kgtoGg</f>
        <v>1.4988675221399694E-5</v>
      </c>
      <c r="S1539" s="22">
        <f>Constants!$H71*'Activity data'!AL13*Constants!$H89*EF!$H214*MMVolatEF*NtoN2O*kgtoGg</f>
        <v>1.5077522200056562E-5</v>
      </c>
      <c r="T1539" s="22">
        <f>Constants!$H71*'Activity data'!AM13*Constants!$H89*EF!$H214*MMVolatEF*NtoN2O*kgtoGg</f>
        <v>1.5120920467659651E-5</v>
      </c>
      <c r="U1539" s="22">
        <f>Constants!$H71*'Activity data'!AN13*Constants!$H89*EF!$H214*MMVolatEF*NtoN2O*kgtoGg</f>
        <v>1.5170664566545744E-5</v>
      </c>
      <c r="V1539" s="22">
        <f>Constants!$H71*'Activity data'!AO13*Constants!$H89*EF!$H214*MMVolatEF*NtoN2O*kgtoGg</f>
        <v>1.5221371307810579E-5</v>
      </c>
      <c r="W1539" s="22">
        <f>Constants!$H71*'Activity data'!AP13*Constants!$H89*EF!$H214*MMVolatEF*NtoN2O*kgtoGg</f>
        <v>1.5276366577947841E-5</v>
      </c>
      <c r="X1539" s="22">
        <f>Constants!$H71*'Activity data'!AQ13*Constants!$H89*EF!$H214*MMVolatEF*NtoN2O*kgtoGg</f>
        <v>1.5335559486365855E-5</v>
      </c>
      <c r="Y1539" s="22">
        <f>Constants!$H71*'Activity data'!AR13*Constants!$H89*EF!$H214*MMVolatEF*NtoN2O*kgtoGg</f>
        <v>1.5373440359637545E-5</v>
      </c>
      <c r="Z1539" s="22">
        <f>Constants!$H71*'Activity data'!AS13*Constants!$H89*EF!$H214*MMVolatEF*NtoN2O*kgtoGg</f>
        <v>1.5414884136013281E-5</v>
      </c>
      <c r="AA1539" s="22">
        <f>Constants!$H71*'Activity data'!AT13*Constants!$H89*EF!$H214*MMVolatEF*NtoN2O*kgtoGg</f>
        <v>1.5459406079654033E-5</v>
      </c>
      <c r="AB1539" s="22">
        <f>Constants!$H71*'Activity data'!AU13*Constants!$H89*EF!$H214*MMVolatEF*NtoN2O*kgtoGg</f>
        <v>1.5507149153927191E-5</v>
      </c>
      <c r="AC1539" s="22">
        <f>Constants!$H71*'Activity data'!AV13*Constants!$H89*EF!$H214*MMVolatEF*NtoN2O*kgtoGg</f>
        <v>1.5557665060375898E-5</v>
      </c>
      <c r="AD1539" s="22">
        <f>Constants!$H71*'Activity data'!AW13*Constants!$H89*EF!$H214*MMVolatEF*NtoN2O*kgtoGg</f>
        <v>1.5591353436562986E-5</v>
      </c>
      <c r="AE1539" s="22">
        <f>Constants!$H71*'Activity data'!AX13*Constants!$H89*EF!$H214*MMVolatEF*NtoN2O*kgtoGg</f>
        <v>1.5627280085252664E-5</v>
      </c>
      <c r="AF1539" s="22">
        <f>Constants!$H71*'Activity data'!AY13*Constants!$H89*EF!$H214*MMVolatEF*NtoN2O*kgtoGg</f>
        <v>1.5665749106164008E-5</v>
      </c>
      <c r="AG1539" s="22">
        <f>Constants!$H71*'Activity data'!AZ13*Constants!$H89*EF!$H214*MMVolatEF*NtoN2O*kgtoGg</f>
        <v>1.5707151218007595E-5</v>
      </c>
      <c r="AH1539" s="22">
        <f>Constants!$H71*'Activity data'!BA13*Constants!$H89*EF!$H214*MMVolatEF*NtoN2O*kgtoGg</f>
        <v>1.5750235619215941E-5</v>
      </c>
      <c r="AI1539" s="22">
        <f>Constants!$H71*'Activity data'!BB13*Constants!$H89*EF!$H214*MMVolatEF*NtoN2O*kgtoGg</f>
        <v>1.5776918897393027E-5</v>
      </c>
      <c r="AJ1539" s="22">
        <f>Constants!$H71*'Activity data'!BC13*Constants!$H89*EF!$H214*MMVolatEF*NtoN2O*kgtoGg</f>
        <v>1.5805875112600263E-5</v>
      </c>
      <c r="AK1539" s="22">
        <f>Constants!$H71*'Activity data'!BD13*Constants!$H89*EF!$H214*MMVolatEF*NtoN2O*kgtoGg</f>
        <v>1.5836097205917668E-5</v>
      </c>
      <c r="AL1539" s="22">
        <f>Constants!$H71*'Activity data'!BE13*Constants!$H89*EF!$H214*MMVolatEF*NtoN2O*kgtoGg</f>
        <v>1.5867941184595161E-5</v>
      </c>
      <c r="AM1539" s="22">
        <f>Constants!$H71*'Activity data'!BF13*Constants!$H89*EF!$H214*MMVolatEF*NtoN2O*kgtoGg</f>
        <v>1.5901363449816974E-5</v>
      </c>
      <c r="AN1539" s="22">
        <f>Constants!$H71*'Activity data'!BG13*Constants!$H89*EF!$H214*MMVolatEF*NtoN2O*kgtoGg</f>
        <v>1.5919623331121566E-5</v>
      </c>
      <c r="AO1539" s="22">
        <f>Constants!$H71*'Activity data'!BH13*Constants!$H89*EF!$H214*MMVolatEF*NtoN2O*kgtoGg</f>
        <v>1.5939033537312695E-5</v>
      </c>
      <c r="AP1539" s="22">
        <f>Constants!$H71*'Activity data'!BI13*Constants!$H89*EF!$H214*MMVolatEF*NtoN2O*kgtoGg</f>
        <v>1.5960089556991586E-5</v>
      </c>
      <c r="AQ1539" s="22">
        <f>Constants!$H71*'Activity data'!BJ13*Constants!$H89*EF!$H214*MMVolatEF*NtoN2O*kgtoGg</f>
        <v>1.5982771280705936E-5</v>
      </c>
      <c r="AR1539" s="22">
        <f>Constants!$H71*'Activity data'!BK13*Constants!$H89*EF!$H214*MMVolatEF*NtoN2O*kgtoGg</f>
        <v>1.6007081325051207E-5</v>
      </c>
      <c r="AS1539" s="22">
        <f>Constants!$H71*'Activity data'!BL13*Constants!$H89*EF!$H214*MMVolatEF*NtoN2O*kgtoGg</f>
        <v>1.6015649873683189E-5</v>
      </c>
      <c r="AT1539" s="22">
        <f>Constants!$H71*'Activity data'!BM13*Constants!$H89*EF!$H214*MMVolatEF*NtoN2O*kgtoGg</f>
        <v>1.6019455168078908E-5</v>
      </c>
      <c r="AU1539" s="22">
        <f>Constants!$H71*'Activity data'!BN13*Constants!$H89*EF!$H214*MMVolatEF*NtoN2O*kgtoGg</f>
        <v>1.6023878849097448E-5</v>
      </c>
      <c r="AV1539" s="22">
        <f>Constants!$H71*'Activity data'!BO13*Constants!$H89*EF!$H214*MMVolatEF*NtoN2O*kgtoGg</f>
        <v>1.6028641289399774E-5</v>
      </c>
      <c r="AW1539" s="22">
        <f>Constants!$H71*'Activity data'!BP13*Constants!$H89*EF!$H214*MMVolatEF*NtoN2O*kgtoGg</f>
        <v>1.6034267352361545E-5</v>
      </c>
    </row>
    <row r="1540" spans="1:49" x14ac:dyDescent="0.3">
      <c r="A1540" s="95" t="s">
        <v>960</v>
      </c>
      <c r="B1540" s="95"/>
      <c r="C1540" s="95"/>
      <c r="D1540" t="str">
        <f t="shared" si="577"/>
        <v>3C Aggregated and non-CO2 emissions on land</v>
      </c>
      <c r="E1540" t="str">
        <f t="shared" si="577"/>
        <v>3C6 Indirect N2O from manure management (N2O)</v>
      </c>
      <c r="F1540" t="str">
        <f t="shared" si="577"/>
        <v>Volatilisation</v>
      </c>
      <c r="G1540" t="str">
        <f>'Activity data'!D75</f>
        <v xml:space="preserve"> - Subsistence goats</v>
      </c>
      <c r="H1540" t="str">
        <f t="shared" si="576"/>
        <v>Volatilisation - Subsistence goats</v>
      </c>
      <c r="I1540" t="str">
        <f t="shared" si="571"/>
        <v>N2O</v>
      </c>
      <c r="J1540" t="str">
        <f t="shared" si="570"/>
        <v>Gg N2O</v>
      </c>
      <c r="K1540" s="22">
        <f>Constants!$H72*'Activity data'!AD14*Constants!$H90*EF!$H215*MMVolatEF*NtoN2O*kgtoGg</f>
        <v>1.4738364076719787E-3</v>
      </c>
      <c r="L1540" s="22">
        <f>Constants!$H72*'Activity data'!AE14*Constants!$H90*EF!$H215*MMVolatEF*NtoN2O*kgtoGg</f>
        <v>1.4776676709189833E-3</v>
      </c>
      <c r="M1540" s="22">
        <f>Constants!$H72*'Activity data'!AF14*Constants!$H90*EF!$H215*MMVolatEF*NtoN2O*kgtoGg</f>
        <v>1.4829527631761549E-3</v>
      </c>
      <c r="N1540" s="22">
        <f>Constants!$H72*'Activity data'!AG14*Constants!$H90*EF!$H215*MMVolatEF*NtoN2O*kgtoGg</f>
        <v>1.4893914013429305E-3</v>
      </c>
      <c r="O1540" s="22">
        <f>Constants!$H72*'Activity data'!AH14*Constants!$H90*EF!$H215*MMVolatEF*NtoN2O*kgtoGg</f>
        <v>1.4969744022163664E-3</v>
      </c>
      <c r="P1540" s="22">
        <f>Constants!$H72*'Activity data'!AI14*Constants!$H90*EF!$H215*MMVolatEF*NtoN2O*kgtoGg</f>
        <v>1.5056556116759296E-3</v>
      </c>
      <c r="Q1540" s="22">
        <f>Constants!$H72*'Activity data'!AJ14*Constants!$H90*EF!$H215*MMVolatEF*NtoN2O*kgtoGg</f>
        <v>1.5149984613639169E-3</v>
      </c>
      <c r="R1540" s="22">
        <f>Constants!$H72*'Activity data'!AK14*Constants!$H90*EF!$H215*MMVolatEF*NtoN2O*kgtoGg</f>
        <v>1.5249659674490626E-3</v>
      </c>
      <c r="S1540" s="22">
        <f>Constants!$H72*'Activity data'!AL14*Constants!$H90*EF!$H215*MMVolatEF*NtoN2O*kgtoGg</f>
        <v>1.5340053666461951E-3</v>
      </c>
      <c r="T1540" s="22">
        <f>Constants!$H72*'Activity data'!AM14*Constants!$H90*EF!$H215*MMVolatEF*NtoN2O*kgtoGg</f>
        <v>1.5384207589449399E-3</v>
      </c>
      <c r="U1540" s="22">
        <f>Constants!$H72*'Activity data'!AN14*Constants!$H90*EF!$H215*MMVolatEF*NtoN2O*kgtoGg</f>
        <v>1.5434817838028542E-3</v>
      </c>
      <c r="V1540" s="22">
        <f>Constants!$H72*'Activity data'!AO14*Constants!$H90*EF!$H215*MMVolatEF*NtoN2O*kgtoGg</f>
        <v>1.5486407490620871E-3</v>
      </c>
      <c r="W1540" s="22">
        <f>Constants!$H72*'Activity data'!AP14*Constants!$H90*EF!$H215*MMVolatEF*NtoN2O*kgtoGg</f>
        <v>1.5542360344419619E-3</v>
      </c>
      <c r="X1540" s="22">
        <f>Constants!$H72*'Activity data'!AQ14*Constants!$H90*EF!$H215*MMVolatEF*NtoN2O*kgtoGg</f>
        <v>1.5602583926236193E-3</v>
      </c>
      <c r="Y1540" s="22">
        <f>Constants!$H72*'Activity data'!AR14*Constants!$H90*EF!$H215*MMVolatEF*NtoN2O*kgtoGg</f>
        <v>1.5641124385418405E-3</v>
      </c>
      <c r="Z1540" s="22">
        <f>Constants!$H72*'Activity data'!AS14*Constants!$H90*EF!$H215*MMVolatEF*NtoN2O*kgtoGg</f>
        <v>1.5683289785363378E-3</v>
      </c>
      <c r="AA1540" s="22">
        <f>Constants!$H72*'Activity data'!AT14*Constants!$H90*EF!$H215*MMVolatEF*NtoN2O*kgtoGg</f>
        <v>1.5728586949958615E-3</v>
      </c>
      <c r="AB1540" s="22">
        <f>Constants!$H72*'Activity data'!AU14*Constants!$H90*EF!$H215*MMVolatEF*NtoN2O*kgtoGg</f>
        <v>1.5777161331865307E-3</v>
      </c>
      <c r="AC1540" s="22">
        <f>Constants!$H72*'Activity data'!AV14*Constants!$H90*EF!$H215*MMVolatEF*NtoN2O*kgtoGg</f>
        <v>1.5828556826804803E-3</v>
      </c>
      <c r="AD1540" s="22">
        <f>Constants!$H72*'Activity data'!AW14*Constants!$H90*EF!$H215*MMVolatEF*NtoN2O*kgtoGg</f>
        <v>1.5862831788684411E-3</v>
      </c>
      <c r="AE1540" s="22">
        <f>Constants!$H72*'Activity data'!AX14*Constants!$H90*EF!$H215*MMVolatEF*NtoN2O*kgtoGg</f>
        <v>1.5899383996112353E-3</v>
      </c>
      <c r="AF1540" s="22">
        <f>Constants!$H72*'Activity data'!AY14*Constants!$H90*EF!$H215*MMVolatEF*NtoN2O*kgtoGg</f>
        <v>1.5938522843825273E-3</v>
      </c>
      <c r="AG1540" s="22">
        <f>Constants!$H72*'Activity data'!AZ14*Constants!$H90*EF!$H215*MMVolatEF*NtoN2O*kgtoGg</f>
        <v>1.5980645853770706E-3</v>
      </c>
      <c r="AH1540" s="22">
        <f>Constants!$H72*'Activity data'!BA14*Constants!$H90*EF!$H215*MMVolatEF*NtoN2O*kgtoGg</f>
        <v>1.6024480445287401E-3</v>
      </c>
      <c r="AI1540" s="22">
        <f>Constants!$H72*'Activity data'!BB14*Constants!$H90*EF!$H215*MMVolatEF*NtoN2O*kgtoGg</f>
        <v>1.6051628335623928E-3</v>
      </c>
      <c r="AJ1540" s="22">
        <f>Constants!$H72*'Activity data'!BC14*Constants!$H90*EF!$H215*MMVolatEF*NtoN2O*kgtoGg</f>
        <v>1.6081088739618883E-3</v>
      </c>
      <c r="AK1540" s="22">
        <f>Constants!$H72*'Activity data'!BD14*Constants!$H90*EF!$H215*MMVolatEF*NtoN2O*kgtoGg</f>
        <v>1.611183706333218E-3</v>
      </c>
      <c r="AL1540" s="22">
        <f>Constants!$H72*'Activity data'!BE14*Constants!$H90*EF!$H215*MMVolatEF*NtoN2O*kgtoGg</f>
        <v>1.6144235512850938E-3</v>
      </c>
      <c r="AM1540" s="22">
        <f>Constants!$H72*'Activity data'!BF14*Constants!$H90*EF!$H215*MMVolatEF*NtoN2O*kgtoGg</f>
        <v>1.6178239730212022E-3</v>
      </c>
      <c r="AN1540" s="22">
        <f>Constants!$H72*'Activity data'!BG14*Constants!$H90*EF!$H215*MMVolatEF*NtoN2O*kgtoGg</f>
        <v>1.6196817554567978E-3</v>
      </c>
      <c r="AO1540" s="22">
        <f>Constants!$H72*'Activity data'!BH14*Constants!$H90*EF!$H215*MMVolatEF*NtoN2O*kgtoGg</f>
        <v>1.6216565733393274E-3</v>
      </c>
      <c r="AP1540" s="22">
        <f>Constants!$H72*'Activity data'!BI14*Constants!$H90*EF!$H215*MMVolatEF*NtoN2O*kgtoGg</f>
        <v>1.623798838279086E-3</v>
      </c>
      <c r="AQ1540" s="22">
        <f>Constants!$H72*'Activity data'!BJ14*Constants!$H90*EF!$H215*MMVolatEF*NtoN2O*kgtoGg</f>
        <v>1.6261065043160481E-3</v>
      </c>
      <c r="AR1540" s="22">
        <f>Constants!$H72*'Activity data'!BK14*Constants!$H90*EF!$H215*MMVolatEF*NtoN2O*kgtoGg</f>
        <v>1.6285798376658015E-3</v>
      </c>
      <c r="AS1540" s="22">
        <f>Constants!$H72*'Activity data'!BL14*Constants!$H90*EF!$H215*MMVolatEF*NtoN2O*kgtoGg</f>
        <v>1.6294516121796393E-3</v>
      </c>
      <c r="AT1540" s="22">
        <f>Constants!$H72*'Activity data'!BM14*Constants!$H90*EF!$H215*MMVolatEF*NtoN2O*kgtoGg</f>
        <v>1.6298387674394525E-3</v>
      </c>
      <c r="AU1540" s="22">
        <f>Constants!$H72*'Activity data'!BN14*Constants!$H90*EF!$H215*MMVolatEF*NtoN2O*kgtoGg</f>
        <v>1.630288838103102E-3</v>
      </c>
      <c r="AV1540" s="22">
        <f>Constants!$H72*'Activity data'!BO14*Constants!$H90*EF!$H215*MMVolatEF*NtoN2O*kgtoGg</f>
        <v>1.6307733745465026E-3</v>
      </c>
      <c r="AW1540" s="22">
        <f>Constants!$H72*'Activity data'!BP14*Constants!$H90*EF!$H215*MMVolatEF*NtoN2O*kgtoGg</f>
        <v>1.6313457770050716E-3</v>
      </c>
    </row>
    <row r="1541" spans="1:49" x14ac:dyDescent="0.3">
      <c r="A1541" s="95" t="s">
        <v>960</v>
      </c>
      <c r="B1541" s="95"/>
      <c r="C1541" s="95"/>
      <c r="D1541" t="str">
        <f t="shared" si="577"/>
        <v>3C Aggregated and non-CO2 emissions on land</v>
      </c>
      <c r="E1541" t="str">
        <f t="shared" si="577"/>
        <v>3C6 Indirect N2O from manure management (N2O)</v>
      </c>
      <c r="F1541" t="str">
        <f t="shared" si="577"/>
        <v>Volatilisation</v>
      </c>
      <c r="G1541" t="str">
        <f>'Activity data'!D76</f>
        <v xml:space="preserve"> - Horses</v>
      </c>
      <c r="H1541" t="str">
        <f t="shared" si="576"/>
        <v>Volatilisation - Horses</v>
      </c>
      <c r="I1541" t="str">
        <f t="shared" si="571"/>
        <v>N2O</v>
      </c>
      <c r="J1541" t="str">
        <f t="shared" si="570"/>
        <v>Gg N2O</v>
      </c>
      <c r="K1541" s="22">
        <f>Constants!$H73*'Activity data'!AD15*Constants!$H91*EF!$H216*MMVolatEF*NtoN2O*kgtoGg</f>
        <v>0</v>
      </c>
      <c r="L1541" s="22">
        <f>Constants!$H73*'Activity data'!AE15*Constants!$H91*EF!$H216*MMVolatEF*NtoN2O*kgtoGg</f>
        <v>0</v>
      </c>
      <c r="M1541" s="22">
        <f>Constants!$H73*'Activity data'!AF15*Constants!$H91*EF!$H216*MMVolatEF*NtoN2O*kgtoGg</f>
        <v>0</v>
      </c>
      <c r="N1541" s="22">
        <f>Constants!$H73*'Activity data'!AG15*Constants!$H91*EF!$H216*MMVolatEF*NtoN2O*kgtoGg</f>
        <v>0</v>
      </c>
      <c r="O1541" s="22">
        <f>Constants!$H73*'Activity data'!AH15*Constants!$H91*EF!$H216*MMVolatEF*NtoN2O*kgtoGg</f>
        <v>0</v>
      </c>
      <c r="P1541" s="22">
        <f>Constants!$H73*'Activity data'!AI15*Constants!$H91*EF!$H216*MMVolatEF*NtoN2O*kgtoGg</f>
        <v>0</v>
      </c>
      <c r="Q1541" s="22">
        <f>Constants!$H73*'Activity data'!AJ15*Constants!$H91*EF!$H216*MMVolatEF*NtoN2O*kgtoGg</f>
        <v>0</v>
      </c>
      <c r="R1541" s="22">
        <f>Constants!$H73*'Activity data'!AK15*Constants!$H91*EF!$H216*MMVolatEF*NtoN2O*kgtoGg</f>
        <v>0</v>
      </c>
      <c r="S1541" s="22">
        <f>Constants!$H73*'Activity data'!AL15*Constants!$H91*EF!$H216*MMVolatEF*NtoN2O*kgtoGg</f>
        <v>0</v>
      </c>
      <c r="T1541" s="22">
        <f>Constants!$H73*'Activity data'!AM15*Constants!$H91*EF!$H216*MMVolatEF*NtoN2O*kgtoGg</f>
        <v>0</v>
      </c>
      <c r="U1541" s="22">
        <f>Constants!$H73*'Activity data'!AN15*Constants!$H91*EF!$H216*MMVolatEF*NtoN2O*kgtoGg</f>
        <v>0</v>
      </c>
      <c r="V1541" s="22">
        <f>Constants!$H73*'Activity data'!AO15*Constants!$H91*EF!$H216*MMVolatEF*NtoN2O*kgtoGg</f>
        <v>0</v>
      </c>
      <c r="W1541" s="22">
        <f>Constants!$H73*'Activity data'!AP15*Constants!$H91*EF!$H216*MMVolatEF*NtoN2O*kgtoGg</f>
        <v>0</v>
      </c>
      <c r="X1541" s="22">
        <f>Constants!$H73*'Activity data'!AQ15*Constants!$H91*EF!$H216*MMVolatEF*NtoN2O*kgtoGg</f>
        <v>0</v>
      </c>
      <c r="Y1541" s="22">
        <f>Constants!$H73*'Activity data'!AR15*Constants!$H91*EF!$H216*MMVolatEF*NtoN2O*kgtoGg</f>
        <v>0</v>
      </c>
      <c r="Z1541" s="22">
        <f>Constants!$H73*'Activity data'!AS15*Constants!$H91*EF!$H216*MMVolatEF*NtoN2O*kgtoGg</f>
        <v>0</v>
      </c>
      <c r="AA1541" s="22">
        <f>Constants!$H73*'Activity data'!AT15*Constants!$H91*EF!$H216*MMVolatEF*NtoN2O*kgtoGg</f>
        <v>0</v>
      </c>
      <c r="AB1541" s="22">
        <f>Constants!$H73*'Activity data'!AU15*Constants!$H91*EF!$H216*MMVolatEF*NtoN2O*kgtoGg</f>
        <v>0</v>
      </c>
      <c r="AC1541" s="22">
        <f>Constants!$H73*'Activity data'!AV15*Constants!$H91*EF!$H216*MMVolatEF*NtoN2O*kgtoGg</f>
        <v>0</v>
      </c>
      <c r="AD1541" s="22">
        <f>Constants!$H73*'Activity data'!AW15*Constants!$H91*EF!$H216*MMVolatEF*NtoN2O*kgtoGg</f>
        <v>0</v>
      </c>
      <c r="AE1541" s="22">
        <f>Constants!$H73*'Activity data'!AX15*Constants!$H91*EF!$H216*MMVolatEF*NtoN2O*kgtoGg</f>
        <v>0</v>
      </c>
      <c r="AF1541" s="22">
        <f>Constants!$H73*'Activity data'!AY15*Constants!$H91*EF!$H216*MMVolatEF*NtoN2O*kgtoGg</f>
        <v>0</v>
      </c>
      <c r="AG1541" s="22">
        <f>Constants!$H73*'Activity data'!AZ15*Constants!$H91*EF!$H216*MMVolatEF*NtoN2O*kgtoGg</f>
        <v>0</v>
      </c>
      <c r="AH1541" s="22">
        <f>Constants!$H73*'Activity data'!BA15*Constants!$H91*EF!$H216*MMVolatEF*NtoN2O*kgtoGg</f>
        <v>0</v>
      </c>
      <c r="AI1541" s="22">
        <f>Constants!$H73*'Activity data'!BB15*Constants!$H91*EF!$H216*MMVolatEF*NtoN2O*kgtoGg</f>
        <v>0</v>
      </c>
      <c r="AJ1541" s="22">
        <f>Constants!$H73*'Activity data'!BC15*Constants!$H91*EF!$H216*MMVolatEF*NtoN2O*kgtoGg</f>
        <v>0</v>
      </c>
      <c r="AK1541" s="22">
        <f>Constants!$H73*'Activity data'!BD15*Constants!$H91*EF!$H216*MMVolatEF*NtoN2O*kgtoGg</f>
        <v>0</v>
      </c>
      <c r="AL1541" s="22">
        <f>Constants!$H73*'Activity data'!BE15*Constants!$H91*EF!$H216*MMVolatEF*NtoN2O*kgtoGg</f>
        <v>0</v>
      </c>
      <c r="AM1541" s="22">
        <f>Constants!$H73*'Activity data'!BF15*Constants!$H91*EF!$H216*MMVolatEF*NtoN2O*kgtoGg</f>
        <v>0</v>
      </c>
      <c r="AN1541" s="22">
        <f>Constants!$H73*'Activity data'!BG15*Constants!$H91*EF!$H216*MMVolatEF*NtoN2O*kgtoGg</f>
        <v>0</v>
      </c>
      <c r="AO1541" s="22">
        <f>Constants!$H73*'Activity data'!BH15*Constants!$H91*EF!$H216*MMVolatEF*NtoN2O*kgtoGg</f>
        <v>0</v>
      </c>
      <c r="AP1541" s="22">
        <f>Constants!$H73*'Activity data'!BI15*Constants!$H91*EF!$H216*MMVolatEF*NtoN2O*kgtoGg</f>
        <v>0</v>
      </c>
      <c r="AQ1541" s="22">
        <f>Constants!$H73*'Activity data'!BJ15*Constants!$H91*EF!$H216*MMVolatEF*NtoN2O*kgtoGg</f>
        <v>0</v>
      </c>
      <c r="AR1541" s="22">
        <f>Constants!$H73*'Activity data'!BK15*Constants!$H91*EF!$H216*MMVolatEF*NtoN2O*kgtoGg</f>
        <v>0</v>
      </c>
      <c r="AS1541" s="22">
        <f>Constants!$H73*'Activity data'!BL15*Constants!$H91*EF!$H216*MMVolatEF*NtoN2O*kgtoGg</f>
        <v>0</v>
      </c>
      <c r="AT1541" s="22">
        <f>Constants!$H73*'Activity data'!BM15*Constants!$H91*EF!$H216*MMVolatEF*NtoN2O*kgtoGg</f>
        <v>0</v>
      </c>
      <c r="AU1541" s="22">
        <f>Constants!$H73*'Activity data'!BN15*Constants!$H91*EF!$H216*MMVolatEF*NtoN2O*kgtoGg</f>
        <v>0</v>
      </c>
      <c r="AV1541" s="22">
        <f>Constants!$H73*'Activity data'!BO15*Constants!$H91*EF!$H216*MMVolatEF*NtoN2O*kgtoGg</f>
        <v>0</v>
      </c>
      <c r="AW1541" s="22">
        <f>Constants!$H73*'Activity data'!BP15*Constants!$H91*EF!$H216*MMVolatEF*NtoN2O*kgtoGg</f>
        <v>0</v>
      </c>
    </row>
    <row r="1542" spans="1:49" x14ac:dyDescent="0.3">
      <c r="A1542" s="95" t="s">
        <v>960</v>
      </c>
      <c r="B1542" s="95"/>
      <c r="C1542" s="95"/>
      <c r="D1542" t="str">
        <f t="shared" si="577"/>
        <v>3C Aggregated and non-CO2 emissions on land</v>
      </c>
      <c r="E1542" t="str">
        <f t="shared" si="577"/>
        <v>3C6 Indirect N2O from manure management (N2O)</v>
      </c>
      <c r="F1542" t="str">
        <f t="shared" si="577"/>
        <v>Volatilisation</v>
      </c>
      <c r="G1542" t="str">
        <f>'Activity data'!D77</f>
        <v xml:space="preserve"> - Mules &amp; Asses</v>
      </c>
      <c r="H1542" t="str">
        <f t="shared" si="576"/>
        <v>Volatilisation - Mules &amp; Asses</v>
      </c>
      <c r="I1542" t="str">
        <f t="shared" si="571"/>
        <v>N2O</v>
      </c>
      <c r="J1542" t="str">
        <f t="shared" si="570"/>
        <v>Gg N2O</v>
      </c>
      <c r="K1542" s="22">
        <f>Constants!$H74*'Activity data'!AD16*Constants!$H92*EF!$H217*MMVolatEF*NtoN2O*kgtoGg</f>
        <v>0</v>
      </c>
      <c r="L1542" s="22">
        <f>Constants!$H74*'Activity data'!AE16*Constants!$H92*EF!$H217*MMVolatEF*NtoN2O*kgtoGg</f>
        <v>0</v>
      </c>
      <c r="M1542" s="22">
        <f>Constants!$H74*'Activity data'!AF16*Constants!$H92*EF!$H217*MMVolatEF*NtoN2O*kgtoGg</f>
        <v>0</v>
      </c>
      <c r="N1542" s="22">
        <f>Constants!$H74*'Activity data'!AG16*Constants!$H92*EF!$H217*MMVolatEF*NtoN2O*kgtoGg</f>
        <v>0</v>
      </c>
      <c r="O1542" s="22">
        <f>Constants!$H74*'Activity data'!AH16*Constants!$H92*EF!$H217*MMVolatEF*NtoN2O*kgtoGg</f>
        <v>0</v>
      </c>
      <c r="P1542" s="22">
        <f>Constants!$H74*'Activity data'!AI16*Constants!$H92*EF!$H217*MMVolatEF*NtoN2O*kgtoGg</f>
        <v>0</v>
      </c>
      <c r="Q1542" s="22">
        <f>Constants!$H74*'Activity data'!AJ16*Constants!$H92*EF!$H217*MMVolatEF*NtoN2O*kgtoGg</f>
        <v>0</v>
      </c>
      <c r="R1542" s="22">
        <f>Constants!$H74*'Activity data'!AK16*Constants!$H92*EF!$H217*MMVolatEF*NtoN2O*kgtoGg</f>
        <v>0</v>
      </c>
      <c r="S1542" s="22">
        <f>Constants!$H74*'Activity data'!AL16*Constants!$H92*EF!$H217*MMVolatEF*NtoN2O*kgtoGg</f>
        <v>0</v>
      </c>
      <c r="T1542" s="22">
        <f>Constants!$H74*'Activity data'!AM16*Constants!$H92*EF!$H217*MMVolatEF*NtoN2O*kgtoGg</f>
        <v>0</v>
      </c>
      <c r="U1542" s="22">
        <f>Constants!$H74*'Activity data'!AN16*Constants!$H92*EF!$H217*MMVolatEF*NtoN2O*kgtoGg</f>
        <v>0</v>
      </c>
      <c r="V1542" s="22">
        <f>Constants!$H74*'Activity data'!AO16*Constants!$H92*EF!$H217*MMVolatEF*NtoN2O*kgtoGg</f>
        <v>0</v>
      </c>
      <c r="W1542" s="22">
        <f>Constants!$H74*'Activity data'!AP16*Constants!$H92*EF!$H217*MMVolatEF*NtoN2O*kgtoGg</f>
        <v>0</v>
      </c>
      <c r="X1542" s="22">
        <f>Constants!$H74*'Activity data'!AQ16*Constants!$H92*EF!$H217*MMVolatEF*NtoN2O*kgtoGg</f>
        <v>0</v>
      </c>
      <c r="Y1542" s="22">
        <f>Constants!$H74*'Activity data'!AR16*Constants!$H92*EF!$H217*MMVolatEF*NtoN2O*kgtoGg</f>
        <v>0</v>
      </c>
      <c r="Z1542" s="22">
        <f>Constants!$H74*'Activity data'!AS16*Constants!$H92*EF!$H217*MMVolatEF*NtoN2O*kgtoGg</f>
        <v>0</v>
      </c>
      <c r="AA1542" s="22">
        <f>Constants!$H74*'Activity data'!AT16*Constants!$H92*EF!$H217*MMVolatEF*NtoN2O*kgtoGg</f>
        <v>0</v>
      </c>
      <c r="AB1542" s="22">
        <f>Constants!$H74*'Activity data'!AU16*Constants!$H92*EF!$H217*MMVolatEF*NtoN2O*kgtoGg</f>
        <v>0</v>
      </c>
      <c r="AC1542" s="22">
        <f>Constants!$H74*'Activity data'!AV16*Constants!$H92*EF!$H217*MMVolatEF*NtoN2O*kgtoGg</f>
        <v>0</v>
      </c>
      <c r="AD1542" s="22">
        <f>Constants!$H74*'Activity data'!AW16*Constants!$H92*EF!$H217*MMVolatEF*NtoN2O*kgtoGg</f>
        <v>0</v>
      </c>
      <c r="AE1542" s="22">
        <f>Constants!$H74*'Activity data'!AX16*Constants!$H92*EF!$H217*MMVolatEF*NtoN2O*kgtoGg</f>
        <v>0</v>
      </c>
      <c r="AF1542" s="22">
        <f>Constants!$H74*'Activity data'!AY16*Constants!$H92*EF!$H217*MMVolatEF*NtoN2O*kgtoGg</f>
        <v>0</v>
      </c>
      <c r="AG1542" s="22">
        <f>Constants!$H74*'Activity data'!AZ16*Constants!$H92*EF!$H217*MMVolatEF*NtoN2O*kgtoGg</f>
        <v>0</v>
      </c>
      <c r="AH1542" s="22">
        <f>Constants!$H74*'Activity data'!BA16*Constants!$H92*EF!$H217*MMVolatEF*NtoN2O*kgtoGg</f>
        <v>0</v>
      </c>
      <c r="AI1542" s="22">
        <f>Constants!$H74*'Activity data'!BB16*Constants!$H92*EF!$H217*MMVolatEF*NtoN2O*kgtoGg</f>
        <v>0</v>
      </c>
      <c r="AJ1542" s="22">
        <f>Constants!$H74*'Activity data'!BC16*Constants!$H92*EF!$H217*MMVolatEF*NtoN2O*kgtoGg</f>
        <v>0</v>
      </c>
      <c r="AK1542" s="22">
        <f>Constants!$H74*'Activity data'!BD16*Constants!$H92*EF!$H217*MMVolatEF*NtoN2O*kgtoGg</f>
        <v>0</v>
      </c>
      <c r="AL1542" s="22">
        <f>Constants!$H74*'Activity data'!BE16*Constants!$H92*EF!$H217*MMVolatEF*NtoN2O*kgtoGg</f>
        <v>0</v>
      </c>
      <c r="AM1542" s="22">
        <f>Constants!$H74*'Activity data'!BF16*Constants!$H92*EF!$H217*MMVolatEF*NtoN2O*kgtoGg</f>
        <v>0</v>
      </c>
      <c r="AN1542" s="22">
        <f>Constants!$H74*'Activity data'!BG16*Constants!$H92*EF!$H217*MMVolatEF*NtoN2O*kgtoGg</f>
        <v>0</v>
      </c>
      <c r="AO1542" s="22">
        <f>Constants!$H74*'Activity data'!BH16*Constants!$H92*EF!$H217*MMVolatEF*NtoN2O*kgtoGg</f>
        <v>0</v>
      </c>
      <c r="AP1542" s="22">
        <f>Constants!$H74*'Activity data'!BI16*Constants!$H92*EF!$H217*MMVolatEF*NtoN2O*kgtoGg</f>
        <v>0</v>
      </c>
      <c r="AQ1542" s="22">
        <f>Constants!$H74*'Activity data'!BJ16*Constants!$H92*EF!$H217*MMVolatEF*NtoN2O*kgtoGg</f>
        <v>0</v>
      </c>
      <c r="AR1542" s="22">
        <f>Constants!$H74*'Activity data'!BK16*Constants!$H92*EF!$H217*MMVolatEF*NtoN2O*kgtoGg</f>
        <v>0</v>
      </c>
      <c r="AS1542" s="22">
        <f>Constants!$H74*'Activity data'!BL16*Constants!$H92*EF!$H217*MMVolatEF*NtoN2O*kgtoGg</f>
        <v>0</v>
      </c>
      <c r="AT1542" s="22">
        <f>Constants!$H74*'Activity data'!BM16*Constants!$H92*EF!$H217*MMVolatEF*NtoN2O*kgtoGg</f>
        <v>0</v>
      </c>
      <c r="AU1542" s="22">
        <f>Constants!$H74*'Activity data'!BN16*Constants!$H92*EF!$H217*MMVolatEF*NtoN2O*kgtoGg</f>
        <v>0</v>
      </c>
      <c r="AV1542" s="22">
        <f>Constants!$H74*'Activity data'!BO16*Constants!$H92*EF!$H217*MMVolatEF*NtoN2O*kgtoGg</f>
        <v>0</v>
      </c>
      <c r="AW1542" s="22">
        <f>Constants!$H74*'Activity data'!BP16*Constants!$H92*EF!$H217*MMVolatEF*NtoN2O*kgtoGg</f>
        <v>0</v>
      </c>
    </row>
    <row r="1543" spans="1:49" x14ac:dyDescent="0.3">
      <c r="A1543" s="95" t="s">
        <v>960</v>
      </c>
      <c r="B1543" s="95"/>
      <c r="C1543" s="95"/>
      <c r="D1543" t="str">
        <f t="shared" si="577"/>
        <v>3C Aggregated and non-CO2 emissions on land</v>
      </c>
      <c r="E1543" t="str">
        <f t="shared" si="577"/>
        <v>3C6 Indirect N2O from manure management (N2O)</v>
      </c>
      <c r="F1543" t="str">
        <f t="shared" si="577"/>
        <v>Volatilisation</v>
      </c>
      <c r="G1543" t="str">
        <f>'Activity data'!D78</f>
        <v xml:space="preserve"> - Commercial swine</v>
      </c>
      <c r="H1543" t="str">
        <f t="shared" si="576"/>
        <v>Volatilisation - Commercial swine</v>
      </c>
      <c r="I1543" t="str">
        <f t="shared" si="571"/>
        <v>N2O</v>
      </c>
      <c r="J1543" t="str">
        <f t="shared" si="570"/>
        <v>Gg N2O</v>
      </c>
      <c r="K1543" s="22">
        <f>Constants!$H75*'Activity data'!AD17*Constants!$H93*EF!$H218*MMVolatEF*NtoN2O*kgtoGg</f>
        <v>0.13075625264316332</v>
      </c>
      <c r="L1543" s="22">
        <f>Constants!$H75*'Activity data'!AE17*Constants!$H93*EF!$H218*MMVolatEF*NtoN2O*kgtoGg</f>
        <v>0.13004550543955862</v>
      </c>
      <c r="M1543" s="22">
        <f>Constants!$H75*'Activity data'!AF17*Constants!$H93*EF!$H218*MMVolatEF*NtoN2O*kgtoGg</f>
        <v>0.13010384136507711</v>
      </c>
      <c r="N1543" s="22">
        <f>Constants!$H75*'Activity data'!AG17*Constants!$H93*EF!$H218*MMVolatEF*NtoN2O*kgtoGg</f>
        <v>0.1289093884029483</v>
      </c>
      <c r="O1543" s="22">
        <f>Constants!$H75*'Activity data'!AH17*Constants!$H93*EF!$H218*MMVolatEF*NtoN2O*kgtoGg</f>
        <v>0.12695857121838472</v>
      </c>
      <c r="P1543" s="22">
        <f>Constants!$H75*'Activity data'!AI17*Constants!$H93*EF!$H218*MMVolatEF*NtoN2O*kgtoGg</f>
        <v>0.12428257569245393</v>
      </c>
      <c r="Q1543" s="22">
        <f>Constants!$H75*'Activity data'!AJ17*Constants!$H93*EF!$H218*MMVolatEF*NtoN2O*kgtoGg</f>
        <v>0.12233950618032063</v>
      </c>
      <c r="R1543" s="22">
        <f>Constants!$H75*'Activity data'!AK17*Constants!$H93*EF!$H218*MMVolatEF*NtoN2O*kgtoGg</f>
        <v>0.1205683722616282</v>
      </c>
      <c r="S1543" s="22">
        <f>Constants!$H75*'Activity data'!AL17*Constants!$H93*EF!$H218*MMVolatEF*NtoN2O*kgtoGg</f>
        <v>0.1064558326136491</v>
      </c>
      <c r="T1543" s="22">
        <f>Constants!$H75*'Activity data'!AM17*Constants!$H93*EF!$H218*MMVolatEF*NtoN2O*kgtoGg</f>
        <v>0.10780203870685764</v>
      </c>
      <c r="U1543" s="22">
        <f>Constants!$H75*'Activity data'!AN17*Constants!$H93*EF!$H218*MMVolatEF*NtoN2O*kgtoGg</f>
        <v>0.11069073271596624</v>
      </c>
      <c r="V1543" s="22">
        <f>Constants!$H75*'Activity data'!AO17*Constants!$H93*EF!$H218*MMVolatEF*NtoN2O*kgtoGg</f>
        <v>0.11095301112483856</v>
      </c>
      <c r="W1543" s="22">
        <f>Constants!$H75*'Activity data'!AP17*Constants!$H93*EF!$H218*MMVolatEF*NtoN2O*kgtoGg</f>
        <v>0.11152098959254672</v>
      </c>
      <c r="X1543" s="22">
        <f>Constants!$H75*'Activity data'!AQ17*Constants!$H93*EF!$H218*MMVolatEF*NtoN2O*kgtoGg</f>
        <v>0.11247596118460781</v>
      </c>
      <c r="Y1543" s="22">
        <f>Constants!$H75*'Activity data'!AR17*Constants!$H93*EF!$H218*MMVolatEF*NtoN2O*kgtoGg</f>
        <v>0.11367425965304444</v>
      </c>
      <c r="Z1543" s="22">
        <f>Constants!$H75*'Activity data'!AS17*Constants!$H93*EF!$H218*MMVolatEF*NtoN2O*kgtoGg</f>
        <v>0.11514267283955164</v>
      </c>
      <c r="AA1543" s="22">
        <f>Constants!$H75*'Activity data'!AT17*Constants!$H93*EF!$H218*MMVolatEF*NtoN2O*kgtoGg</f>
        <v>0.11662825764737823</v>
      </c>
      <c r="AB1543" s="22">
        <f>Constants!$H75*'Activity data'!AU17*Constants!$H93*EF!$H218*MMVolatEF*NtoN2O*kgtoGg</f>
        <v>0.11834343516699931</v>
      </c>
      <c r="AC1543" s="22">
        <f>Constants!$H75*'Activity data'!AV17*Constants!$H93*EF!$H218*MMVolatEF*NtoN2O*kgtoGg</f>
        <v>0.12004677457127924</v>
      </c>
      <c r="AD1543" s="22">
        <f>Constants!$H75*'Activity data'!AW17*Constants!$H93*EF!$H218*MMVolatEF*NtoN2O*kgtoGg</f>
        <v>0.12216447018435615</v>
      </c>
      <c r="AE1543" s="22">
        <f>Constants!$H75*'Activity data'!AX17*Constants!$H93*EF!$H218*MMVolatEF*NtoN2O*kgtoGg</f>
        <v>0.12411396366852792</v>
      </c>
      <c r="AF1543" s="22">
        <f>Constants!$H75*'Activity data'!AY17*Constants!$H93*EF!$H218*MMVolatEF*NtoN2O*kgtoGg</f>
        <v>0.12618838059713719</v>
      </c>
      <c r="AG1543" s="22">
        <f>Constants!$H75*'Activity data'!AZ17*Constants!$H93*EF!$H218*MMVolatEF*NtoN2O*kgtoGg</f>
        <v>0.12871889862830188</v>
      </c>
      <c r="AH1543" s="22">
        <f>Constants!$H75*'Activity data'!BA17*Constants!$H93*EF!$H218*MMVolatEF*NtoN2O*kgtoGg</f>
        <v>0.13089178183294797</v>
      </c>
      <c r="AI1543" s="22">
        <f>Constants!$H75*'Activity data'!BB17*Constants!$H93*EF!$H218*MMVolatEF*NtoN2O*kgtoGg</f>
        <v>0.13323707488889489</v>
      </c>
      <c r="AJ1543" s="22">
        <f>Constants!$H75*'Activity data'!BC17*Constants!$H93*EF!$H218*MMVolatEF*NtoN2O*kgtoGg</f>
        <v>0.13578249309813545</v>
      </c>
      <c r="AK1543" s="22">
        <f>Constants!$H75*'Activity data'!BD17*Constants!$H93*EF!$H218*MMVolatEF*NtoN2O*kgtoGg</f>
        <v>0.13790594882017243</v>
      </c>
      <c r="AL1543" s="22">
        <f>Constants!$H75*'Activity data'!BE17*Constants!$H93*EF!$H218*MMVolatEF*NtoN2O*kgtoGg</f>
        <v>0.13989729447599811</v>
      </c>
      <c r="AM1543" s="22">
        <f>Constants!$H75*'Activity data'!BF17*Constants!$H93*EF!$H218*MMVolatEF*NtoN2O*kgtoGg</f>
        <v>0.14177259067901168</v>
      </c>
      <c r="AN1543" s="22">
        <f>Constants!$H75*'Activity data'!BG17*Constants!$H93*EF!$H218*MMVolatEF*NtoN2O*kgtoGg</f>
        <v>0.14393792175478221</v>
      </c>
      <c r="AO1543" s="22">
        <f>Constants!$H75*'Activity data'!BH17*Constants!$H93*EF!$H218*MMVolatEF*NtoN2O*kgtoGg</f>
        <v>0.14581606733158803</v>
      </c>
      <c r="AP1543" s="22">
        <f>Constants!$H75*'Activity data'!BI17*Constants!$H93*EF!$H218*MMVolatEF*NtoN2O*kgtoGg</f>
        <v>0.14775479067393846</v>
      </c>
      <c r="AQ1543" s="22">
        <f>Constants!$H75*'Activity data'!BJ17*Constants!$H93*EF!$H218*MMVolatEF*NtoN2O*kgtoGg</f>
        <v>0.14976871512687839</v>
      </c>
      <c r="AR1543" s="22">
        <f>Constants!$H75*'Activity data'!BK17*Constants!$H93*EF!$H218*MMVolatEF*NtoN2O*kgtoGg</f>
        <v>0.15188303991230881</v>
      </c>
      <c r="AS1543" s="22">
        <f>Constants!$H75*'Activity data'!BL17*Constants!$H93*EF!$H218*MMVolatEF*NtoN2O*kgtoGg</f>
        <v>0.15410322114057187</v>
      </c>
      <c r="AT1543" s="22">
        <f>Constants!$H75*'Activity data'!BM17*Constants!$H93*EF!$H218*MMVolatEF*NtoN2O*kgtoGg</f>
        <v>0.15275221037305547</v>
      </c>
      <c r="AU1543" s="22">
        <f>Constants!$H75*'Activity data'!BN17*Constants!$H93*EF!$H218*MMVolatEF*NtoN2O*kgtoGg</f>
        <v>0.15108898692169739</v>
      </c>
      <c r="AV1543" s="22">
        <f>Constants!$H75*'Activity data'!BO17*Constants!$H93*EF!$H218*MMVolatEF*NtoN2O*kgtoGg</f>
        <v>0.14899028797623304</v>
      </c>
      <c r="AW1543" s="22">
        <f>Constants!$H75*'Activity data'!BP17*Constants!$H93*EF!$H218*MMVolatEF*NtoN2O*kgtoGg</f>
        <v>0.14678866203706492</v>
      </c>
    </row>
    <row r="1544" spans="1:49" x14ac:dyDescent="0.3">
      <c r="A1544" s="95" t="s">
        <v>960</v>
      </c>
      <c r="B1544" s="95"/>
      <c r="C1544" s="95"/>
      <c r="D1544" t="str">
        <f t="shared" si="577"/>
        <v>3C Aggregated and non-CO2 emissions on land</v>
      </c>
      <c r="E1544" t="str">
        <f t="shared" si="577"/>
        <v>3C6 Indirect N2O from manure management (N2O)</v>
      </c>
      <c r="F1544" t="str">
        <f t="shared" si="577"/>
        <v>Volatilisation</v>
      </c>
      <c r="G1544" t="str">
        <f>'Activity data'!D79</f>
        <v xml:space="preserve"> - Subsistence swine</v>
      </c>
      <c r="H1544" t="str">
        <f t="shared" si="576"/>
        <v>Volatilisation - Subsistence swine</v>
      </c>
      <c r="I1544" t="str">
        <f t="shared" si="571"/>
        <v>N2O</v>
      </c>
      <c r="J1544" t="str">
        <f t="shared" si="570"/>
        <v>Gg N2O</v>
      </c>
      <c r="K1544" s="22">
        <f>Constants!$H76*'Activity data'!AD18*Constants!$H94*EF!$H219*MMVolatEF*NtoN2O*kgtoGg</f>
        <v>1.2724633182830876E-2</v>
      </c>
      <c r="L1544" s="22">
        <f>Constants!$H76*'Activity data'!AE18*Constants!$H94*EF!$H219*MMVolatEF*NtoN2O*kgtoGg</f>
        <v>1.2655466337890209E-2</v>
      </c>
      <c r="M1544" s="22">
        <f>Constants!$H76*'Activity data'!AF18*Constants!$H94*EF!$H219*MMVolatEF*NtoN2O*kgtoGg</f>
        <v>1.2661143337946407E-2</v>
      </c>
      <c r="N1544" s="22">
        <f>Constants!$H76*'Activity data'!AG18*Constants!$H94*EF!$H219*MMVolatEF*NtoN2O*kgtoGg</f>
        <v>1.2544904339887072E-2</v>
      </c>
      <c r="O1544" s="22">
        <f>Constants!$H76*'Activity data'!AH18*Constants!$H94*EF!$H219*MMVolatEF*NtoN2O*kgtoGg</f>
        <v>1.2355059245839611E-2</v>
      </c>
      <c r="P1544" s="22">
        <f>Constants!$H76*'Activity data'!AI18*Constants!$H94*EF!$H219*MMVolatEF*NtoN2O*kgtoGg</f>
        <v>1.2094642930917434E-2</v>
      </c>
      <c r="Q1544" s="22">
        <f>Constants!$H76*'Activity data'!AJ18*Constants!$H94*EF!$H219*MMVolatEF*NtoN2O*kgtoGg</f>
        <v>1.1905551806853844E-2</v>
      </c>
      <c r="R1544" s="22">
        <f>Constants!$H76*'Activity data'!AK18*Constants!$H94*EF!$H219*MMVolatEF*NtoN2O*kgtoGg</f>
        <v>1.1733192711380723E-2</v>
      </c>
      <c r="S1544" s="22">
        <f>Constants!$H76*'Activity data'!AL18*Constants!$H94*EF!$H219*MMVolatEF*NtoN2O*kgtoGg</f>
        <v>1.0359821368376874E-2</v>
      </c>
      <c r="T1544" s="22">
        <f>Constants!$H76*'Activity data'!AM18*Constants!$H94*EF!$H219*MMVolatEF*NtoN2O*kgtoGg</f>
        <v>1.049082832504853E-2</v>
      </c>
      <c r="U1544" s="22">
        <f>Constants!$H76*'Activity data'!AN18*Constants!$H94*EF!$H219*MMVolatEF*NtoN2O*kgtoGg</f>
        <v>1.0771943536752097E-2</v>
      </c>
      <c r="V1544" s="22">
        <f>Constants!$H76*'Activity data'!AO18*Constants!$H94*EF!$H219*MMVolatEF*NtoN2O*kgtoGg</f>
        <v>1.0797467337543365E-2</v>
      </c>
      <c r="W1544" s="22">
        <f>Constants!$H76*'Activity data'!AP18*Constants!$H94*EF!$H219*MMVolatEF*NtoN2O*kgtoGg</f>
        <v>1.0852740546366932E-2</v>
      </c>
      <c r="X1544" s="22">
        <f>Constants!$H76*'Activity data'!AQ18*Constants!$H94*EF!$H219*MMVolatEF*NtoN2O*kgtoGg</f>
        <v>1.0945674252888513E-2</v>
      </c>
      <c r="Y1544" s="22">
        <f>Constants!$H76*'Activity data'!AR18*Constants!$H94*EF!$H219*MMVolatEF*NtoN2O*kgtoGg</f>
        <v>1.1062287478995693E-2</v>
      </c>
      <c r="Z1544" s="22">
        <f>Constants!$H76*'Activity data'!AS18*Constants!$H94*EF!$H219*MMVolatEF*NtoN2O*kgtoGg</f>
        <v>1.1205187101625038E-2</v>
      </c>
      <c r="AA1544" s="22">
        <f>Constants!$H76*'Activity data'!AT18*Constants!$H94*EF!$H219*MMVolatEF*NtoN2O*kgtoGg</f>
        <v>1.1349757792199721E-2</v>
      </c>
      <c r="AB1544" s="22">
        <f>Constants!$H76*'Activity data'!AU18*Constants!$H94*EF!$H219*MMVolatEF*NtoN2O*kgtoGg</f>
        <v>1.1516671452842603E-2</v>
      </c>
      <c r="AC1544" s="22">
        <f>Constants!$H76*'Activity data'!AV18*Constants!$H94*EF!$H219*MMVolatEF*NtoN2O*kgtoGg</f>
        <v>1.1682433079282552E-2</v>
      </c>
      <c r="AD1544" s="22">
        <f>Constants!$H76*'Activity data'!AW18*Constants!$H94*EF!$H219*MMVolatEF*NtoN2O*kgtoGg</f>
        <v>1.1888518060494371E-2</v>
      </c>
      <c r="AE1544" s="22">
        <f>Constants!$H76*'Activity data'!AX18*Constants!$H94*EF!$H219*MMVolatEF*NtoN2O*kgtoGg</f>
        <v>1.2078234337742711E-2</v>
      </c>
      <c r="AF1544" s="22">
        <f>Constants!$H76*'Activity data'!AY18*Constants!$H94*EF!$H219*MMVolatEF*NtoN2O*kgtoGg</f>
        <v>1.2280107624497444E-2</v>
      </c>
      <c r="AG1544" s="22">
        <f>Constants!$H76*'Activity data'!AZ18*Constants!$H94*EF!$H219*MMVolatEF*NtoN2O*kgtoGg</f>
        <v>1.2526366698600652E-2</v>
      </c>
      <c r="AH1544" s="22">
        <f>Constants!$H76*'Activity data'!BA18*Constants!$H94*EF!$H219*MMVolatEF*NtoN2O*kgtoGg</f>
        <v>1.2737822297620535E-2</v>
      </c>
      <c r="AI1544" s="22">
        <f>Constants!$H76*'Activity data'!BB18*Constants!$H94*EF!$H219*MMVolatEF*NtoN2O*kgtoGg</f>
        <v>1.2966056077955363E-2</v>
      </c>
      <c r="AJ1544" s="22">
        <f>Constants!$H76*'Activity data'!BC18*Constants!$H94*EF!$H219*MMVolatEF*NtoN2O*kgtoGg</f>
        <v>1.3213765172968019E-2</v>
      </c>
      <c r="AK1544" s="22">
        <f>Constants!$H76*'Activity data'!BD18*Constants!$H94*EF!$H219*MMVolatEF*NtoN2O*kgtoGg</f>
        <v>1.3420410703080012E-2</v>
      </c>
      <c r="AL1544" s="22">
        <f>Constants!$H76*'Activity data'!BE18*Constants!$H94*EF!$H219*MMVolatEF*NtoN2O*kgtoGg</f>
        <v>1.3614199852725929E-2</v>
      </c>
      <c r="AM1544" s="22">
        <f>Constants!$H76*'Activity data'!BF18*Constants!$H94*EF!$H219*MMVolatEF*NtoN2O*kgtoGg</f>
        <v>1.3796695571363754E-2</v>
      </c>
      <c r="AN1544" s="22">
        <f>Constants!$H76*'Activity data'!BG18*Constants!$H94*EF!$H219*MMVolatEF*NtoN2O*kgtoGg</f>
        <v>1.4007416229853083E-2</v>
      </c>
      <c r="AO1544" s="22">
        <f>Constants!$H76*'Activity data'!BH18*Constants!$H94*EF!$H219*MMVolatEF*NtoN2O*kgtoGg</f>
        <v>1.419018923722911E-2</v>
      </c>
      <c r="AP1544" s="22">
        <f>Constants!$H76*'Activity data'!BI18*Constants!$H94*EF!$H219*MMVolatEF*NtoN2O*kgtoGg</f>
        <v>1.4378857410840086E-2</v>
      </c>
      <c r="AQ1544" s="22">
        <f>Constants!$H76*'Activity data'!BJ18*Constants!$H94*EF!$H219*MMVolatEF*NtoN2O*kgtoGg</f>
        <v>1.4574843831401781E-2</v>
      </c>
      <c r="AR1544" s="22">
        <f>Constants!$H76*'Activity data'!BK18*Constants!$H94*EF!$H219*MMVolatEF*NtoN2O*kgtoGg</f>
        <v>1.4780600778240808E-2</v>
      </c>
      <c r="AS1544" s="22">
        <f>Constants!$H76*'Activity data'!BL18*Constants!$H94*EF!$H219*MMVolatEF*NtoN2O*kgtoGg</f>
        <v>1.4996659216426185E-2</v>
      </c>
      <c r="AT1544" s="22">
        <f>Constants!$H76*'Activity data'!BM18*Constants!$H94*EF!$H219*MMVolatEF*NtoN2O*kgtoGg</f>
        <v>1.4865184689623886E-2</v>
      </c>
      <c r="AU1544" s="22">
        <f>Constants!$H76*'Activity data'!BN18*Constants!$H94*EF!$H219*MMVolatEF*NtoN2O*kgtoGg</f>
        <v>1.4703326974281053E-2</v>
      </c>
      <c r="AV1544" s="22">
        <f>Constants!$H76*'Activity data'!BO18*Constants!$H94*EF!$H219*MMVolatEF*NtoN2O*kgtoGg</f>
        <v>1.4499090666629237E-2</v>
      </c>
      <c r="AW1544" s="22">
        <f>Constants!$H76*'Activity data'!BP18*Constants!$H94*EF!$H219*MMVolatEF*NtoN2O*kgtoGg</f>
        <v>1.4284837948954819E-2</v>
      </c>
    </row>
    <row r="1545" spans="1:49" x14ac:dyDescent="0.3">
      <c r="A1545" s="95" t="s">
        <v>960</v>
      </c>
      <c r="B1545" s="95"/>
      <c r="C1545" s="95"/>
      <c r="D1545" t="str">
        <f t="shared" si="577"/>
        <v>3C Aggregated and non-CO2 emissions on land</v>
      </c>
      <c r="E1545" t="str">
        <f t="shared" si="577"/>
        <v>3C6 Indirect N2O from manure management (N2O)</v>
      </c>
      <c r="F1545" t="str">
        <f t="shared" si="577"/>
        <v>Volatilisation</v>
      </c>
      <c r="G1545" t="str">
        <f>'Activity data'!D80</f>
        <v xml:space="preserve"> - Commercial layers</v>
      </c>
      <c r="H1545" t="str">
        <f t="shared" si="576"/>
        <v>Volatilisation - Commercial layers</v>
      </c>
      <c r="I1545" t="str">
        <f t="shared" si="571"/>
        <v>N2O</v>
      </c>
      <c r="J1545" t="str">
        <f t="shared" si="570"/>
        <v>Gg N2O</v>
      </c>
      <c r="K1545" s="22">
        <f>Constants!$H77*'Activity data'!AD19*Constants!$H95*EF!$H220*MMVolatEF*NtoN2O*kgtoGg</f>
        <v>6.4453339767617107E-2</v>
      </c>
      <c r="L1545" s="22">
        <f>Constants!$H77*'Activity data'!AE19*Constants!$H95*EF!$H220*MMVolatEF*NtoN2O*kgtoGg</f>
        <v>6.5763803942104543E-2</v>
      </c>
      <c r="M1545" s="22">
        <f>Constants!$H77*'Activity data'!AF19*Constants!$H95*EF!$H220*MMVolatEF*NtoN2O*kgtoGg</f>
        <v>6.7295612361813625E-2</v>
      </c>
      <c r="N1545" s="22">
        <f>Constants!$H77*'Activity data'!AG19*Constants!$H95*EF!$H220*MMVolatEF*NtoN2O*kgtoGg</f>
        <v>6.8471619369899747E-2</v>
      </c>
      <c r="O1545" s="22">
        <f>Constants!$H77*'Activity data'!AH19*Constants!$H95*EF!$H220*MMVolatEF*NtoN2O*kgtoGg</f>
        <v>6.94156577655035E-2</v>
      </c>
      <c r="P1545" s="22">
        <f>Constants!$H77*'Activity data'!AI19*Constants!$H95*EF!$H220*MMVolatEF*NtoN2O*kgtoGg</f>
        <v>7.0122113289878316E-2</v>
      </c>
      <c r="Q1545" s="22">
        <f>Constants!$H77*'Activity data'!AJ19*Constants!$H95*EF!$H220*MMVolatEF*NtoN2O*kgtoGg</f>
        <v>7.1027984276732931E-2</v>
      </c>
      <c r="R1545" s="22">
        <f>Constants!$H77*'Activity data'!AK19*Constants!$H95*EF!$H220*MMVolatEF*NtoN2O*kgtoGg</f>
        <v>7.1969839340941838E-2</v>
      </c>
      <c r="S1545" s="22">
        <f>Constants!$H77*'Activity data'!AL19*Constants!$H95*EF!$H220*MMVolatEF*NtoN2O*kgtoGg</f>
        <v>6.8766563459968802E-2</v>
      </c>
      <c r="T1545" s="22">
        <f>Constants!$H77*'Activity data'!AM19*Constants!$H95*EF!$H220*MMVolatEF*NtoN2O*kgtoGg</f>
        <v>7.0478152358708523E-2</v>
      </c>
      <c r="U1545" s="22">
        <f>Constants!$H77*'Activity data'!AN19*Constants!$H95*EF!$H220*MMVolatEF*NtoN2O*kgtoGg</f>
        <v>7.2759128000714796E-2</v>
      </c>
      <c r="V1545" s="22">
        <f>Constants!$H77*'Activity data'!AO19*Constants!$H95*EF!$H220*MMVolatEF*NtoN2O*kgtoGg</f>
        <v>7.4154122533566028E-2</v>
      </c>
      <c r="W1545" s="22">
        <f>Constants!$H77*'Activity data'!AP19*Constants!$H95*EF!$H220*MMVolatEF*NtoN2O*kgtoGg</f>
        <v>7.5674972830257564E-2</v>
      </c>
      <c r="X1545" s="22">
        <f>Constants!$H77*'Activity data'!AQ19*Constants!$H95*EF!$H220*MMVolatEF*NtoN2O*kgtoGg</f>
        <v>7.7360161163039912E-2</v>
      </c>
      <c r="Y1545" s="22">
        <f>Constants!$H77*'Activity data'!AR19*Constants!$H95*EF!$H220*MMVolatEF*NtoN2O*kgtoGg</f>
        <v>7.9100740420260676E-2</v>
      </c>
      <c r="Z1545" s="22">
        <f>Constants!$H77*'Activity data'!AS19*Constants!$H95*EF!$H220*MMVolatEF*NtoN2O*kgtoGg</f>
        <v>8.0976740364442315E-2</v>
      </c>
      <c r="AA1545" s="22">
        <f>Constants!$H77*'Activity data'!AT19*Constants!$H95*EF!$H220*MMVolatEF*NtoN2O*kgtoGg</f>
        <v>8.2894928844752261E-2</v>
      </c>
      <c r="AB1545" s="22">
        <f>Constants!$H77*'Activity data'!AU19*Constants!$H95*EF!$H220*MMVolatEF*NtoN2O*kgtoGg</f>
        <v>8.4943030682698137E-2</v>
      </c>
      <c r="AC1545" s="22">
        <f>Constants!$H77*'Activity data'!AV19*Constants!$H95*EF!$H220*MMVolatEF*NtoN2O*kgtoGg</f>
        <v>8.7027608507248444E-2</v>
      </c>
      <c r="AD1545" s="22">
        <f>Constants!$H77*'Activity data'!AW19*Constants!$H95*EF!$H220*MMVolatEF*NtoN2O*kgtoGg</f>
        <v>8.9276729497460336E-2</v>
      </c>
      <c r="AE1545" s="22">
        <f>Constants!$H77*'Activity data'!AX19*Constants!$H95*EF!$H220*MMVolatEF*NtoN2O*kgtoGg</f>
        <v>9.1502625848092475E-2</v>
      </c>
      <c r="AF1545" s="22">
        <f>Constants!$H77*'Activity data'!AY19*Constants!$H95*EF!$H220*MMVolatEF*NtoN2O*kgtoGg</f>
        <v>9.3831227517320093E-2</v>
      </c>
      <c r="AG1545" s="22">
        <f>Constants!$H77*'Activity data'!AZ19*Constants!$H95*EF!$H220*MMVolatEF*NtoN2O*kgtoGg</f>
        <v>9.6415651387216014E-2</v>
      </c>
      <c r="AH1545" s="22">
        <f>Constants!$H77*'Activity data'!BA19*Constants!$H95*EF!$H220*MMVolatEF*NtoN2O*kgtoGg</f>
        <v>9.8896773571356525E-2</v>
      </c>
      <c r="AI1545" s="22">
        <f>Constants!$H77*'Activity data'!BB19*Constants!$H95*EF!$H220*MMVolatEF*NtoN2O*kgtoGg</f>
        <v>0.10146265551465955</v>
      </c>
      <c r="AJ1545" s="22">
        <f>Constants!$H77*'Activity data'!BC19*Constants!$H95*EF!$H220*MMVolatEF*NtoN2O*kgtoGg</f>
        <v>0.10418290059990712</v>
      </c>
      <c r="AK1545" s="22">
        <f>Constants!$H77*'Activity data'!BD19*Constants!$H95*EF!$H220*MMVolatEF*NtoN2O*kgtoGg</f>
        <v>0.10676300622740972</v>
      </c>
      <c r="AL1545" s="22">
        <f>Constants!$H77*'Activity data'!BE19*Constants!$H95*EF!$H220*MMVolatEF*NtoN2O*kgtoGg</f>
        <v>0.1093360798195923</v>
      </c>
      <c r="AM1545" s="22">
        <f>Constants!$H77*'Activity data'!BF19*Constants!$H95*EF!$H220*MMVolatEF*NtoN2O*kgtoGg</f>
        <v>0.11190804099965344</v>
      </c>
      <c r="AN1545" s="22">
        <f>Constants!$H77*'Activity data'!BG19*Constants!$H95*EF!$H220*MMVolatEF*NtoN2O*kgtoGg</f>
        <v>0.11463676938939842</v>
      </c>
      <c r="AO1545" s="22">
        <f>Constants!$H77*'Activity data'!BH19*Constants!$H95*EF!$H220*MMVolatEF*NtoN2O*kgtoGg</f>
        <v>0.11727861184981632</v>
      </c>
      <c r="AP1545" s="22">
        <f>Constants!$H77*'Activity data'!BI19*Constants!$H95*EF!$H220*MMVolatEF*NtoN2O*kgtoGg</f>
        <v>0.12001194210770205</v>
      </c>
      <c r="AQ1545" s="22">
        <f>Constants!$H77*'Activity data'!BJ19*Constants!$H95*EF!$H220*MMVolatEF*NtoN2O*kgtoGg</f>
        <v>0.12284817048623448</v>
      </c>
      <c r="AR1545" s="22">
        <f>Constants!$H77*'Activity data'!BK19*Constants!$H95*EF!$H220*MMVolatEF*NtoN2O*kgtoGg</f>
        <v>0.12580525852431573</v>
      </c>
      <c r="AS1545" s="22">
        <f>Constants!$H77*'Activity data'!BL19*Constants!$H95*EF!$H220*MMVolatEF*NtoN2O*kgtoGg</f>
        <v>0.12884131843333302</v>
      </c>
      <c r="AT1545" s="22">
        <f>Constants!$H77*'Activity data'!BM19*Constants!$H95*EF!$H220*MMVolatEF*NtoN2O*kgtoGg</f>
        <v>0.12990474262387622</v>
      </c>
      <c r="AU1545" s="22">
        <f>Constants!$H77*'Activity data'!BN19*Constants!$H95*EF!$H220*MMVolatEF*NtoN2O*kgtoGg</f>
        <v>0.13078551683241871</v>
      </c>
      <c r="AV1545" s="22">
        <f>Constants!$H77*'Activity data'!BO19*Constants!$H95*EF!$H220*MMVolatEF*NtoN2O*kgtoGg</f>
        <v>0.13140059443899127</v>
      </c>
      <c r="AW1545" s="22">
        <f>Constants!$H77*'Activity data'!BP19*Constants!$H95*EF!$H220*MMVolatEF*NtoN2O*kgtoGg</f>
        <v>0.13193699884155385</v>
      </c>
    </row>
    <row r="1546" spans="1:49" x14ac:dyDescent="0.3">
      <c r="A1546" s="95" t="s">
        <v>960</v>
      </c>
      <c r="B1546" s="95"/>
      <c r="C1546" s="95"/>
      <c r="D1546" t="str">
        <f t="shared" si="577"/>
        <v>3C Aggregated and non-CO2 emissions on land</v>
      </c>
      <c r="E1546" t="str">
        <f t="shared" si="577"/>
        <v>3C6 Indirect N2O from manure management (N2O)</v>
      </c>
      <c r="F1546" t="str">
        <f t="shared" si="577"/>
        <v>Volatilisation</v>
      </c>
      <c r="G1546" t="str">
        <f>'Activity data'!D81</f>
        <v xml:space="preserve"> - Commercial broilers</v>
      </c>
      <c r="H1546" t="str">
        <f t="shared" si="576"/>
        <v>Volatilisation - Commercial broilers</v>
      </c>
      <c r="I1546" t="str">
        <f t="shared" si="571"/>
        <v>N2O</v>
      </c>
      <c r="J1546" t="str">
        <f t="shared" si="570"/>
        <v>Gg N2O</v>
      </c>
      <c r="K1546" s="22">
        <f>Constants!$H78*'Activity data'!AD20*Constants!$H96*EF!$H221*MMVolatEF*NtoN2O*kgtoGg</f>
        <v>0.31034319165291718</v>
      </c>
      <c r="L1546" s="22">
        <f>Constants!$H78*'Activity data'!AE20*Constants!$H96*EF!$H221*MMVolatEF*NtoN2O*kgtoGg</f>
        <v>0.31442985679016972</v>
      </c>
      <c r="M1546" s="22">
        <f>Constants!$H78*'Activity data'!AF20*Constants!$H96*EF!$H221*MMVolatEF*NtoN2O*kgtoGg</f>
        <v>0.32099421325528477</v>
      </c>
      <c r="N1546" s="22">
        <f>Constants!$H78*'Activity data'!AG20*Constants!$H96*EF!$H221*MMVolatEF*NtoN2O*kgtoGg</f>
        <v>0.3228790317815291</v>
      </c>
      <c r="O1546" s="22">
        <f>Constants!$H78*'Activity data'!AH20*Constants!$H96*EF!$H221*MMVolatEF*NtoN2O*kgtoGg</f>
        <v>0.32172327535887091</v>
      </c>
      <c r="P1546" s="22">
        <f>Constants!$H78*'Activity data'!AI20*Constants!$H96*EF!$H221*MMVolatEF*NtoN2O*kgtoGg</f>
        <v>0.31753924052538912</v>
      </c>
      <c r="Q1546" s="22">
        <f>Constants!$H78*'Activity data'!AJ20*Constants!$H96*EF!$H221*MMVolatEF*NtoN2O*kgtoGg</f>
        <v>0.31577785743754239</v>
      </c>
      <c r="R1546" s="22">
        <f>Constants!$H78*'Activity data'!AK20*Constants!$H96*EF!$H221*MMVolatEF*NtoN2O*kgtoGg</f>
        <v>0.31441607582114939</v>
      </c>
      <c r="S1546" s="22">
        <f>Constants!$H78*'Activity data'!AL20*Constants!$H96*EF!$H221*MMVolatEF*NtoN2O*kgtoGg</f>
        <v>0.2650364312253965</v>
      </c>
      <c r="T1546" s="22">
        <f>Constants!$H78*'Activity data'!AM20*Constants!$H96*EF!$H221*MMVolatEF*NtoN2O*kgtoGg</f>
        <v>0.27553316275566697</v>
      </c>
      <c r="U1546" s="22">
        <f>Constants!$H78*'Activity data'!AN20*Constants!$H96*EF!$H221*MMVolatEF*NtoN2O*kgtoGg</f>
        <v>0.29228527136368948</v>
      </c>
      <c r="V1546" s="22">
        <f>Constants!$H78*'Activity data'!AO20*Constants!$H96*EF!$H221*MMVolatEF*NtoN2O*kgtoGg</f>
        <v>0.29874340186404968</v>
      </c>
      <c r="W1546" s="22">
        <f>Constants!$H78*'Activity data'!AP20*Constants!$H96*EF!$H221*MMVolatEF*NtoN2O*kgtoGg</f>
        <v>0.30647179876243097</v>
      </c>
      <c r="X1546" s="22">
        <f>Constants!$H78*'Activity data'!AQ20*Constants!$H96*EF!$H221*MMVolatEF*NtoN2O*kgtoGg</f>
        <v>0.3158631034162086</v>
      </c>
      <c r="Y1546" s="22">
        <f>Constants!$H78*'Activity data'!AR20*Constants!$H96*EF!$H221*MMVolatEF*NtoN2O*kgtoGg</f>
        <v>0.32664711376847955</v>
      </c>
      <c r="Z1546" s="22">
        <f>Constants!$H78*'Activity data'!AS20*Constants!$H96*EF!$H221*MMVolatEF*NtoN2O*kgtoGg</f>
        <v>0.3387235871621958</v>
      </c>
      <c r="AA1546" s="22">
        <f>Constants!$H78*'Activity data'!AT20*Constants!$H96*EF!$H221*MMVolatEF*NtoN2O*kgtoGg</f>
        <v>0.35105651101096136</v>
      </c>
      <c r="AB1546" s="22">
        <f>Constants!$H78*'Activity data'!AU20*Constants!$H96*EF!$H221*MMVolatEF*NtoN2O*kgtoGg</f>
        <v>0.36458195379680847</v>
      </c>
      <c r="AC1546" s="22">
        <f>Constants!$H78*'Activity data'!AV20*Constants!$H96*EF!$H221*MMVolatEF*NtoN2O*kgtoGg</f>
        <v>0.37828081857860674</v>
      </c>
      <c r="AD1546" s="22">
        <f>Constants!$H78*'Activity data'!AW20*Constants!$H96*EF!$H221*MMVolatEF*NtoN2O*kgtoGg</f>
        <v>0.39427261879187497</v>
      </c>
      <c r="AE1546" s="22">
        <f>Constants!$H78*'Activity data'!AX20*Constants!$H96*EF!$H221*MMVolatEF*NtoN2O*kgtoGg</f>
        <v>0.40979186242957388</v>
      </c>
      <c r="AF1546" s="22">
        <f>Constants!$H78*'Activity data'!AY20*Constants!$H96*EF!$H221*MMVolatEF*NtoN2O*kgtoGg</f>
        <v>0.42616228566496256</v>
      </c>
      <c r="AG1546" s="22">
        <f>Constants!$H78*'Activity data'!AZ20*Constants!$H96*EF!$H221*MMVolatEF*NtoN2O*kgtoGg</f>
        <v>0.44495226630702778</v>
      </c>
      <c r="AH1546" s="22">
        <f>Constants!$H78*'Activity data'!BA20*Constants!$H96*EF!$H221*MMVolatEF*NtoN2O*kgtoGg</f>
        <v>0.46242618458210583</v>
      </c>
      <c r="AI1546" s="22">
        <f>Constants!$H78*'Activity data'!BB20*Constants!$H96*EF!$H221*MMVolatEF*NtoN2O*kgtoGg</f>
        <v>0.48124875752773738</v>
      </c>
      <c r="AJ1546" s="22">
        <f>Constants!$H78*'Activity data'!BC20*Constants!$H96*EF!$H221*MMVolatEF*NtoN2O*kgtoGg</f>
        <v>0.50140117317613597</v>
      </c>
      <c r="AK1546" s="22">
        <f>Constants!$H78*'Activity data'!BD20*Constants!$H96*EF!$H221*MMVolatEF*NtoN2O*kgtoGg</f>
        <v>0.51989325002843578</v>
      </c>
      <c r="AL1546" s="22">
        <f>Constants!$H78*'Activity data'!BE20*Constants!$H96*EF!$H221*MMVolatEF*NtoN2O*kgtoGg</f>
        <v>0.53809144777835283</v>
      </c>
      <c r="AM1546" s="22">
        <f>Constants!$H78*'Activity data'!BF20*Constants!$H96*EF!$H221*MMVolatEF*NtoN2O*kgtoGg</f>
        <v>0.55606219814879432</v>
      </c>
      <c r="AN1546" s="22">
        <f>Constants!$H78*'Activity data'!BG20*Constants!$H96*EF!$H221*MMVolatEF*NtoN2O*kgtoGg</f>
        <v>0.57603307954485361</v>
      </c>
      <c r="AO1546" s="22">
        <f>Constants!$H78*'Activity data'!BH20*Constants!$H96*EF!$H221*MMVolatEF*NtoN2O*kgtoGg</f>
        <v>0.59492740362722618</v>
      </c>
      <c r="AP1546" s="22">
        <f>Constants!$H78*'Activity data'!BI20*Constants!$H96*EF!$H221*MMVolatEF*NtoN2O*kgtoGg</f>
        <v>0.61451021406332851</v>
      </c>
      <c r="AQ1546" s="22">
        <f>Constants!$H78*'Activity data'!BJ20*Constants!$H96*EF!$H221*MMVolatEF*NtoN2O*kgtoGg</f>
        <v>0.6348825242649947</v>
      </c>
      <c r="AR1546" s="22">
        <f>Constants!$H78*'Activity data'!BK20*Constants!$H96*EF!$H221*MMVolatEF*NtoN2O*kgtoGg</f>
        <v>0.65620656209687755</v>
      </c>
      <c r="AS1546" s="22">
        <f>Constants!$H78*'Activity data'!BL20*Constants!$H96*EF!$H221*MMVolatEF*NtoN2O*kgtoGg</f>
        <v>0.67872441504873171</v>
      </c>
      <c r="AT1546" s="22">
        <f>Constants!$H78*'Activity data'!BM20*Constants!$H96*EF!$H221*MMVolatEF*NtoN2O*kgtoGg</f>
        <v>0.6821526428447654</v>
      </c>
      <c r="AU1546" s="22">
        <f>Constants!$H78*'Activity data'!BN20*Constants!$H96*EF!$H221*MMVolatEF*NtoN2O*kgtoGg</f>
        <v>0.68382516110267277</v>
      </c>
      <c r="AV1546" s="22">
        <f>Constants!$H78*'Activity data'!BO20*Constants!$H96*EF!$H221*MMVolatEF*NtoN2O*kgtoGg</f>
        <v>0.68298338603927977</v>
      </c>
      <c r="AW1546" s="22">
        <f>Constants!$H78*'Activity data'!BP20*Constants!$H96*EF!$H221*MMVolatEF*NtoN2O*kgtoGg</f>
        <v>0.68142585829620028</v>
      </c>
    </row>
    <row r="1547" spans="1:49" x14ac:dyDescent="0.3">
      <c r="A1547" s="95" t="s">
        <v>960</v>
      </c>
      <c r="B1547" s="95"/>
      <c r="C1547" s="95"/>
      <c r="D1547" t="str">
        <f t="shared" si="577"/>
        <v>3C Aggregated and non-CO2 emissions on land</v>
      </c>
      <c r="E1547" t="str">
        <f>E1546</f>
        <v>3C6 Indirect N2O from manure management (N2O)</v>
      </c>
      <c r="F1547" t="str">
        <f>'IPCC Categories'!C81</f>
        <v>Leaching/runoff</v>
      </c>
      <c r="G1547" t="str">
        <f>G1531</f>
        <v xml:space="preserve"> - TMR</v>
      </c>
      <c r="H1547" t="str">
        <f t="shared" si="576"/>
        <v>Leaching/runoff - TMR</v>
      </c>
      <c r="I1547" t="str">
        <f t="shared" si="571"/>
        <v>N2O</v>
      </c>
      <c r="J1547" t="str">
        <f t="shared" si="570"/>
        <v>Gg N2O</v>
      </c>
      <c r="K1547" s="22">
        <f>Constants!$H63*'Activity data'!AD5*Constants!$H81*FracLEACHMM*MMLeachEF*NtoN2O*kgtoGg</f>
        <v>8.9211118607918846E-2</v>
      </c>
      <c r="L1547" s="22">
        <f>Constants!$H63*'Activity data'!AE5*Constants!$H81*FracLEACHMM*MMLeachEF*NtoN2O*kgtoGg</f>
        <v>8.9709854381943774E-2</v>
      </c>
      <c r="M1547" s="22">
        <f>Constants!$H63*'Activity data'!AF5*Constants!$H81*FracLEACHMM*MMLeachEF*NtoN2O*kgtoGg</f>
        <v>9.0417475033143083E-2</v>
      </c>
      <c r="N1547" s="22">
        <f>Constants!$H63*'Activity data'!AG5*Constants!$H81*FracLEACHMM*MMLeachEF*NtoN2O*kgtoGg</f>
        <v>9.0872196678668984E-2</v>
      </c>
      <c r="O1547" s="22">
        <f>Constants!$H63*'Activity data'!AH5*Constants!$H81*FracLEACHMM*MMLeachEF*NtoN2O*kgtoGg</f>
        <v>9.1174361291842934E-2</v>
      </c>
      <c r="P1547" s="22">
        <f>Constants!$H63*'Activity data'!AI5*Constants!$H81*FracLEACHMM*MMLeachEF*NtoN2O*kgtoGg</f>
        <v>9.1320994898161728E-2</v>
      </c>
      <c r="Q1547" s="22">
        <f>Constants!$H63*'Activity data'!AJ5*Constants!$H81*FracLEACHMM*MMLeachEF*NtoN2O*kgtoGg</f>
        <v>9.1644963105957017E-2</v>
      </c>
      <c r="R1547" s="22">
        <f>Constants!$H63*'Activity data'!AK5*Constants!$H81*FracLEACHMM*MMLeachEF*NtoN2O*kgtoGg</f>
        <v>9.2016609055475651E-2</v>
      </c>
      <c r="S1547" s="22">
        <f>Constants!$H63*'Activity data'!AL5*Constants!$H81*FracLEACHMM*MMLeachEF*NtoN2O*kgtoGg</f>
        <v>8.9250626632870506E-2</v>
      </c>
      <c r="T1547" s="22">
        <f>Constants!$H63*'Activity data'!AM5*Constants!$H81*FracLEACHMM*MMLeachEF*NtoN2O*kgtoGg</f>
        <v>9.018910759145192E-2</v>
      </c>
      <c r="U1547" s="22">
        <f>Constants!$H63*'Activity data'!AN5*Constants!$H81*FracLEACHMM*MMLeachEF*NtoN2O*kgtoGg</f>
        <v>9.1562795389337467E-2</v>
      </c>
      <c r="V1547" s="22">
        <f>Constants!$H63*'Activity data'!AO5*Constants!$H81*FracLEACHMM*MMLeachEF*NtoN2O*kgtoGg</f>
        <v>9.2274810820194952E-2</v>
      </c>
      <c r="W1547" s="22">
        <f>Constants!$H63*'Activity data'!AP5*Constants!$H81*FracLEACHMM*MMLeachEF*NtoN2O*kgtoGg</f>
        <v>9.3088549677051477E-2</v>
      </c>
      <c r="X1547" s="22">
        <f>Constants!$H63*'Activity data'!AQ5*Constants!$H81*FracLEACHMM*MMLeachEF*NtoN2O*kgtoGg</f>
        <v>9.4030367146954022E-2</v>
      </c>
      <c r="Y1547" s="22">
        <f>Constants!$H63*'Activity data'!AR5*Constants!$H81*FracLEACHMM*MMLeachEF*NtoN2O*kgtoGg</f>
        <v>9.4992140485733595E-2</v>
      </c>
      <c r="Z1547" s="22">
        <f>Constants!$H63*'Activity data'!AS5*Constants!$H81*FracLEACHMM*MMLeachEF*NtoN2O*kgtoGg</f>
        <v>9.605669953542309E-2</v>
      </c>
      <c r="AA1547" s="22">
        <f>Constants!$H63*'Activity data'!AT5*Constants!$H81*FracLEACHMM*MMLeachEF*NtoN2O*kgtoGg</f>
        <v>9.7154235713963338E-2</v>
      </c>
      <c r="AB1547" s="22">
        <f>Constants!$H63*'Activity data'!AU5*Constants!$H81*FracLEACHMM*MMLeachEF*NtoN2O*kgtoGg</f>
        <v>9.8347760304703769E-2</v>
      </c>
      <c r="AC1547" s="22">
        <f>Constants!$H63*'Activity data'!AV5*Constants!$H81*FracLEACHMM*MMLeachEF*NtoN2O*kgtoGg</f>
        <v>9.9568208578524817E-2</v>
      </c>
      <c r="AD1547" s="22">
        <f>Constants!$H63*'Activity data'!AW5*Constants!$H81*FracLEACHMM*MMLeachEF*NtoN2O*kgtoGg</f>
        <v>0.10088669536271129</v>
      </c>
      <c r="AE1547" s="22">
        <f>Constants!$H63*'Activity data'!AX5*Constants!$H81*FracLEACHMM*MMLeachEF*NtoN2O*kgtoGg</f>
        <v>0.10218733727824697</v>
      </c>
      <c r="AF1547" s="22">
        <f>Constants!$H63*'Activity data'!AY5*Constants!$H81*FracLEACHMM*MMLeachEF*NtoN2O*kgtoGg</f>
        <v>0.10356015512248805</v>
      </c>
      <c r="AG1547" s="22">
        <f>Constants!$H63*'Activity data'!AZ5*Constants!$H81*FracLEACHMM*MMLeachEF*NtoN2O*kgtoGg</f>
        <v>0.1051130390487056</v>
      </c>
      <c r="AH1547" s="22">
        <f>Constants!$H63*'Activity data'!BA5*Constants!$H81*FracLEACHMM*MMLeachEF*NtoN2O*kgtoGg</f>
        <v>0.10658947451521658</v>
      </c>
      <c r="AI1547" s="22">
        <f>Constants!$H63*'Activity data'!BB5*Constants!$H81*FracLEACHMM*MMLeachEF*NtoN2O*kgtoGg</f>
        <v>0.10810355126576793</v>
      </c>
      <c r="AJ1547" s="22">
        <f>Constants!$H63*'Activity data'!BC5*Constants!$H81*FracLEACHMM*MMLeachEF*NtoN2O*kgtoGg</f>
        <v>0.10972278781886159</v>
      </c>
      <c r="AK1547" s="22">
        <f>Constants!$H63*'Activity data'!BD5*Constants!$H81*FracLEACHMM*MMLeachEF*NtoN2O*kgtoGg</f>
        <v>0.1112398173269733</v>
      </c>
      <c r="AL1547" s="22">
        <f>Constants!$H63*'Activity data'!BE5*Constants!$H81*FracLEACHMM*MMLeachEF*NtoN2O*kgtoGg</f>
        <v>0.11274861433308095</v>
      </c>
      <c r="AM1547" s="22">
        <f>Constants!$H63*'Activity data'!BF5*Constants!$H81*FracLEACHMM*MMLeachEF*NtoN2O*kgtoGg</f>
        <v>0.11425337554687653</v>
      </c>
      <c r="AN1547" s="22">
        <f>Constants!$H63*'Activity data'!BG5*Constants!$H81*FracLEACHMM*MMLeachEF*NtoN2O*kgtoGg</f>
        <v>0.11584536779599926</v>
      </c>
      <c r="AO1547" s="22">
        <f>Constants!$H63*'Activity data'!BH5*Constants!$H81*FracLEACHMM*MMLeachEF*NtoN2O*kgtoGg</f>
        <v>0.11737332691073739</v>
      </c>
      <c r="AP1547" s="22">
        <f>Constants!$H63*'Activity data'!BI5*Constants!$H81*FracLEACHMM*MMLeachEF*NtoN2O*kgtoGg</f>
        <v>0.11896061880517098</v>
      </c>
      <c r="AQ1547" s="22">
        <f>Constants!$H63*'Activity data'!BJ5*Constants!$H81*FracLEACHMM*MMLeachEF*NtoN2O*kgtoGg</f>
        <v>0.12061448282820714</v>
      </c>
      <c r="AR1547" s="22">
        <f>Constants!$H63*'Activity data'!BK5*Constants!$H81*FracLEACHMM*MMLeachEF*NtoN2O*kgtoGg</f>
        <v>0.12234656062044848</v>
      </c>
      <c r="AS1547" s="22">
        <f>Constants!$H63*'Activity data'!BL5*Constants!$H81*FracLEACHMM*MMLeachEF*NtoN2O*kgtoGg</f>
        <v>0.12410927658755902</v>
      </c>
      <c r="AT1547" s="22">
        <f>Constants!$H63*'Activity data'!BM5*Constants!$H81*FracLEACHMM*MMLeachEF*NtoN2O*kgtoGg</f>
        <v>0.12452720245635615</v>
      </c>
      <c r="AU1547" s="22">
        <f>Constants!$H63*'Activity data'!BN5*Constants!$H81*FracLEACHMM*MMLeachEF*NtoN2O*kgtoGg</f>
        <v>0.12482463901873847</v>
      </c>
      <c r="AV1547" s="22">
        <f>Constants!$H63*'Activity data'!BO5*Constants!$H81*FracLEACHMM*MMLeachEF*NtoN2O*kgtoGg</f>
        <v>0.12494650421265691</v>
      </c>
      <c r="AW1547" s="22">
        <f>Constants!$H63*'Activity data'!BP5*Constants!$H81*FracLEACHMM*MMLeachEF*NtoN2O*kgtoGg</f>
        <v>0.12502008970656403</v>
      </c>
    </row>
    <row r="1548" spans="1:49" x14ac:dyDescent="0.3">
      <c r="A1548" s="95" t="s">
        <v>960</v>
      </c>
      <c r="B1548" s="95"/>
      <c r="C1548" s="95"/>
      <c r="D1548" t="str">
        <f t="shared" si="577"/>
        <v>3C Aggregated and non-CO2 emissions on land</v>
      </c>
      <c r="E1548" t="str">
        <f t="shared" si="577"/>
        <v>3C6 Indirect N2O from manure management (N2O)</v>
      </c>
      <c r="F1548" t="str">
        <f>F1547</f>
        <v>Leaching/runoff</v>
      </c>
      <c r="G1548" t="str">
        <f t="shared" ref="G1548:G1561" si="578">G1532</f>
        <v xml:space="preserve"> - Pasture</v>
      </c>
      <c r="H1548" t="str">
        <f t="shared" si="576"/>
        <v>Leaching/runoff - Pasture</v>
      </c>
      <c r="I1548" t="str">
        <f t="shared" si="571"/>
        <v>N2O</v>
      </c>
      <c r="J1548" t="str">
        <f t="shared" si="570"/>
        <v>Gg N2O</v>
      </c>
      <c r="K1548" s="22">
        <f>Constants!$H64*'Activity data'!AD6*Constants!$H82*FracLEACHMM*MMLeachEF*NtoN2O*kgtoGg</f>
        <v>2.6939494531157477E-2</v>
      </c>
      <c r="L1548" s="22">
        <f>Constants!$H64*'Activity data'!AE6*Constants!$H82*FracLEACHMM*MMLeachEF*NtoN2O*kgtoGg</f>
        <v>2.709010008197326E-2</v>
      </c>
      <c r="M1548" s="22">
        <f>Constants!$H64*'Activity data'!AF6*Constants!$H82*FracLEACHMM*MMLeachEF*NtoN2O*kgtoGg</f>
        <v>2.730378356628085E-2</v>
      </c>
      <c r="N1548" s="22">
        <f>Constants!$H64*'Activity data'!AG6*Constants!$H82*FracLEACHMM*MMLeachEF*NtoN2O*kgtoGg</f>
        <v>2.7441097966929517E-2</v>
      </c>
      <c r="O1548" s="22">
        <f>Constants!$H64*'Activity data'!AH6*Constants!$H82*FracLEACHMM*MMLeachEF*NtoN2O*kgtoGg</f>
        <v>2.7532344014183842E-2</v>
      </c>
      <c r="P1548" s="22">
        <f>Constants!$H64*'Activity data'!AI6*Constants!$H82*FracLEACHMM*MMLeachEF*NtoN2O*kgtoGg</f>
        <v>2.757662364319366E-2</v>
      </c>
      <c r="Q1548" s="22">
        <f>Constants!$H64*'Activity data'!AJ6*Constants!$H82*FracLEACHMM*MMLeachEF*NtoN2O*kgtoGg</f>
        <v>2.7674453822865853E-2</v>
      </c>
      <c r="R1548" s="22">
        <f>Constants!$H64*'Activity data'!AK6*Constants!$H82*FracLEACHMM*MMLeachEF*NtoN2O*kgtoGg</f>
        <v>2.7786681470952927E-2</v>
      </c>
      <c r="S1548" s="22">
        <f>Constants!$H64*'Activity data'!AL6*Constants!$H82*FracLEACHMM*MMLeachEF*NtoN2O*kgtoGg</f>
        <v>2.6951424952373251E-2</v>
      </c>
      <c r="T1548" s="22">
        <f>Constants!$H64*'Activity data'!AM6*Constants!$H82*FracLEACHMM*MMLeachEF*NtoN2O*kgtoGg</f>
        <v>2.7234822392578142E-2</v>
      </c>
      <c r="U1548" s="22">
        <f>Constants!$H64*'Activity data'!AN6*Constants!$H82*FracLEACHMM*MMLeachEF*NtoN2O*kgtoGg</f>
        <v>2.7649641257043878E-2</v>
      </c>
      <c r="V1548" s="22">
        <f>Constants!$H64*'Activity data'!AO6*Constants!$H82*FracLEACHMM*MMLeachEF*NtoN2O*kgtoGg</f>
        <v>2.7864651853312578E-2</v>
      </c>
      <c r="W1548" s="22">
        <f>Constants!$H64*'Activity data'!AP6*Constants!$H82*FracLEACHMM*MMLeachEF*NtoN2O*kgtoGg</f>
        <v>2.8110380343506967E-2</v>
      </c>
      <c r="X1548" s="22">
        <f>Constants!$H64*'Activity data'!AQ6*Constants!$H82*FracLEACHMM*MMLeachEF*NtoN2O*kgtoGg</f>
        <v>2.8394785325483455E-2</v>
      </c>
      <c r="Y1548" s="22">
        <f>Constants!$H64*'Activity data'!AR6*Constants!$H82*FracLEACHMM*MMLeachEF*NtoN2O*kgtoGg</f>
        <v>2.8685216473579894E-2</v>
      </c>
      <c r="Z1548" s="22">
        <f>Constants!$H64*'Activity data'!AS6*Constants!$H82*FracLEACHMM*MMLeachEF*NtoN2O*kgtoGg</f>
        <v>2.9006686298694923E-2</v>
      </c>
      <c r="AA1548" s="22">
        <f>Constants!$H64*'Activity data'!AT6*Constants!$H82*FracLEACHMM*MMLeachEF*NtoN2O*kgtoGg</f>
        <v>2.9338114380092265E-2</v>
      </c>
      <c r="AB1548" s="22">
        <f>Constants!$H64*'Activity data'!AU6*Constants!$H82*FracLEACHMM*MMLeachEF*NtoN2O*kgtoGg</f>
        <v>2.9698528526745503E-2</v>
      </c>
      <c r="AC1548" s="22">
        <f>Constants!$H64*'Activity data'!AV6*Constants!$H82*FracLEACHMM*MMLeachEF*NtoN2O*kgtoGg</f>
        <v>3.006707294263454E-2</v>
      </c>
      <c r="AD1548" s="22">
        <f>Constants!$H64*'Activity data'!AW6*Constants!$H82*FracLEACHMM*MMLeachEF*NtoN2O*kgtoGg</f>
        <v>3.046522250141433E-2</v>
      </c>
      <c r="AE1548" s="22">
        <f>Constants!$H64*'Activity data'!AX6*Constants!$H82*FracLEACHMM*MMLeachEF*NtoN2O*kgtoGg</f>
        <v>3.0857983362586373E-2</v>
      </c>
      <c r="AF1548" s="22">
        <f>Constants!$H64*'Activity data'!AY6*Constants!$H82*FracLEACHMM*MMLeachEF*NtoN2O*kgtoGg</f>
        <v>3.1272539523122242E-2</v>
      </c>
      <c r="AG1548" s="22">
        <f>Constants!$H64*'Activity data'!AZ6*Constants!$H82*FracLEACHMM*MMLeachEF*NtoN2O*kgtoGg</f>
        <v>3.1741471072133737E-2</v>
      </c>
      <c r="AH1548" s="22">
        <f>Constants!$H64*'Activity data'!BA6*Constants!$H82*FracLEACHMM*MMLeachEF*NtoN2O*kgtoGg</f>
        <v>3.2187317125813304E-2</v>
      </c>
      <c r="AI1548" s="22">
        <f>Constants!$H64*'Activity data'!BB6*Constants!$H82*FracLEACHMM*MMLeachEF*NtoN2O*kgtoGg</f>
        <v>3.2644529892312681E-2</v>
      </c>
      <c r="AJ1548" s="22">
        <f>Constants!$H64*'Activity data'!BC6*Constants!$H82*FracLEACHMM*MMLeachEF*NtoN2O*kgtoGg</f>
        <v>3.3133498251272868E-2</v>
      </c>
      <c r="AK1548" s="22">
        <f>Constants!$H64*'Activity data'!BD6*Constants!$H82*FracLEACHMM*MMLeachEF*NtoN2O*kgtoGg</f>
        <v>3.3591602675643942E-2</v>
      </c>
      <c r="AL1548" s="22">
        <f>Constants!$H64*'Activity data'!BE6*Constants!$H82*FracLEACHMM*MMLeachEF*NtoN2O*kgtoGg</f>
        <v>3.4047221093268576E-2</v>
      </c>
      <c r="AM1548" s="22">
        <f>Constants!$H64*'Activity data'!BF6*Constants!$H82*FracLEACHMM*MMLeachEF*NtoN2O*kgtoGg</f>
        <v>3.4501620804003125E-2</v>
      </c>
      <c r="AN1548" s="22">
        <f>Constants!$H64*'Activity data'!BG6*Constants!$H82*FracLEACHMM*MMLeachEF*NtoN2O*kgtoGg</f>
        <v>3.4982362074352798E-2</v>
      </c>
      <c r="AO1548" s="22">
        <f>Constants!$H64*'Activity data'!BH6*Constants!$H82*FracLEACHMM*MMLeachEF*NtoN2O*kgtoGg</f>
        <v>3.5443766962640642E-2</v>
      </c>
      <c r="AP1548" s="22">
        <f>Constants!$H64*'Activity data'!BI6*Constants!$H82*FracLEACHMM*MMLeachEF*NtoN2O*kgtoGg</f>
        <v>3.5923088845122318E-2</v>
      </c>
      <c r="AQ1548" s="22">
        <f>Constants!$H64*'Activity data'!BJ6*Constants!$H82*FracLEACHMM*MMLeachEF*NtoN2O*kgtoGg</f>
        <v>3.6422513821505312E-2</v>
      </c>
      <c r="AR1548" s="22">
        <f>Constants!$H64*'Activity data'!BK6*Constants!$H82*FracLEACHMM*MMLeachEF*NtoN2O*kgtoGg</f>
        <v>3.6945557371902887E-2</v>
      </c>
      <c r="AS1548" s="22">
        <f>Constants!$H64*'Activity data'!BL6*Constants!$H82*FracLEACHMM*MMLeachEF*NtoN2O*kgtoGg</f>
        <v>3.7477852873819655E-2</v>
      </c>
      <c r="AT1548" s="22">
        <f>Constants!$H64*'Activity data'!BM6*Constants!$H82*FracLEACHMM*MMLeachEF*NtoN2O*kgtoGg</f>
        <v>3.7604055883406068E-2</v>
      </c>
      <c r="AU1548" s="22">
        <f>Constants!$H64*'Activity data'!BN6*Constants!$H82*FracLEACHMM*MMLeachEF*NtoN2O*kgtoGg</f>
        <v>3.7693874179272106E-2</v>
      </c>
      <c r="AV1548" s="22">
        <f>Constants!$H64*'Activity data'!BO6*Constants!$H82*FracLEACHMM*MMLeachEF*NtoN2O*kgtoGg</f>
        <v>3.7730674376112279E-2</v>
      </c>
      <c r="AW1548" s="22">
        <f>Constants!$H64*'Activity data'!BP6*Constants!$H82*FracLEACHMM*MMLeachEF*NtoN2O*kgtoGg</f>
        <v>3.7752895328406304E-2</v>
      </c>
    </row>
    <row r="1549" spans="1:49" x14ac:dyDescent="0.3">
      <c r="A1549" s="95" t="s">
        <v>960</v>
      </c>
      <c r="B1549" s="95"/>
      <c r="C1549" s="95"/>
      <c r="D1549" t="str">
        <f t="shared" si="577"/>
        <v>3C Aggregated and non-CO2 emissions on land</v>
      </c>
      <c r="E1549" t="str">
        <f t="shared" si="577"/>
        <v>3C6 Indirect N2O from manure management (N2O)</v>
      </c>
      <c r="F1549" t="str">
        <f t="shared" si="577"/>
        <v>Leaching/runoff</v>
      </c>
      <c r="G1549" t="str">
        <f t="shared" si="578"/>
        <v xml:space="preserve"> - Non-lactating</v>
      </c>
      <c r="H1549" t="str">
        <f t="shared" si="576"/>
        <v>Leaching/runoff - Non-lactating</v>
      </c>
      <c r="I1549" t="str">
        <f t="shared" si="571"/>
        <v>N2O</v>
      </c>
      <c r="J1549" t="str">
        <f t="shared" si="570"/>
        <v>Gg N2O</v>
      </c>
      <c r="K1549" s="22">
        <f>Constants!$H65*'Activity data'!AD7*Constants!$H83*FracLEACHMM*MMLeachEF*NtoN2O*kgtoGg</f>
        <v>1.4483668498503175E-3</v>
      </c>
      <c r="L1549" s="22">
        <f>Constants!$H65*'Activity data'!AE7*Constants!$H83*FracLEACHMM*MMLeachEF*NtoN2O*kgtoGg</f>
        <v>1.4564639612104709E-3</v>
      </c>
      <c r="M1549" s="22">
        <f>Constants!$H65*'Activity data'!AF7*Constants!$H83*FracLEACHMM*MMLeachEF*NtoN2O*kgtoGg</f>
        <v>1.4679523755410987E-3</v>
      </c>
      <c r="N1549" s="22">
        <f>Constants!$H65*'Activity data'!AG7*Constants!$H83*FracLEACHMM*MMLeachEF*NtoN2O*kgtoGg</f>
        <v>1.4753349055168039E-3</v>
      </c>
      <c r="O1549" s="22">
        <f>Constants!$H65*'Activity data'!AH7*Constants!$H83*FracLEACHMM*MMLeachEF*NtoN2O*kgtoGg</f>
        <v>1.4802406304505124E-3</v>
      </c>
      <c r="P1549" s="22">
        <f>Constants!$H65*'Activity data'!AI7*Constants!$H83*FracLEACHMM*MMLeachEF*NtoN2O*kgtoGg</f>
        <v>1.4826212670547858E-3</v>
      </c>
      <c r="Q1549" s="22">
        <f>Constants!$H65*'Activity data'!AJ7*Constants!$H83*FracLEACHMM*MMLeachEF*NtoN2O*kgtoGg</f>
        <v>1.4878809792957942E-3</v>
      </c>
      <c r="R1549" s="22">
        <f>Constants!$H65*'Activity data'!AK7*Constants!$H83*FracLEACHMM*MMLeachEF*NtoN2O*kgtoGg</f>
        <v>1.4939147526814823E-3</v>
      </c>
      <c r="S1549" s="22">
        <f>Constants!$H65*'Activity data'!AL7*Constants!$H83*FracLEACHMM*MMLeachEF*NtoN2O*kgtoGg</f>
        <v>1.4490082734142855E-3</v>
      </c>
      <c r="T1549" s="22">
        <f>Constants!$H65*'Activity data'!AM7*Constants!$H83*FracLEACHMM*MMLeachEF*NtoN2O*kgtoGg</f>
        <v>1.4642447678203134E-3</v>
      </c>
      <c r="U1549" s="22">
        <f>Constants!$H65*'Activity data'!AN7*Constants!$H83*FracLEACHMM*MMLeachEF*NtoN2O*kgtoGg</f>
        <v>1.4865469639988589E-3</v>
      </c>
      <c r="V1549" s="22">
        <f>Constants!$H65*'Activity data'!AO7*Constants!$H83*FracLEACHMM*MMLeachEF*NtoN2O*kgtoGg</f>
        <v>1.4981067287762548E-3</v>
      </c>
      <c r="W1549" s="22">
        <f>Constants!$H65*'Activity data'!AP7*Constants!$H83*FracLEACHMM*MMLeachEF*NtoN2O*kgtoGg</f>
        <v>1.5113180011276973E-3</v>
      </c>
      <c r="X1549" s="22">
        <f>Constants!$H65*'Activity data'!AQ7*Constants!$H83*FracLEACHMM*MMLeachEF*NtoN2O*kgtoGg</f>
        <v>1.5266086647053162E-3</v>
      </c>
      <c r="Y1549" s="22">
        <f>Constants!$H65*'Activity data'!AR7*Constants!$H83*FracLEACHMM*MMLeachEF*NtoN2O*kgtoGg</f>
        <v>1.5422233172586648E-3</v>
      </c>
      <c r="Z1549" s="22">
        <f>Constants!$H65*'Activity data'!AS7*Constants!$H83*FracLEACHMM*MMLeachEF*NtoN2O*kgtoGg</f>
        <v>1.5595067238714088E-3</v>
      </c>
      <c r="AA1549" s="22">
        <f>Constants!$H65*'Activity data'!AT7*Constants!$H83*FracLEACHMM*MMLeachEF*NtoN2O*kgtoGg</f>
        <v>1.5773255231681144E-3</v>
      </c>
      <c r="AB1549" s="22">
        <f>Constants!$H65*'Activity data'!AU7*Constants!$H83*FracLEACHMM*MMLeachEF*NtoN2O*kgtoGg</f>
        <v>1.5967027205251731E-3</v>
      </c>
      <c r="AC1549" s="22">
        <f>Constants!$H65*'Activity data'!AV7*Constants!$H83*FracLEACHMM*MMLeachEF*NtoN2O*kgtoGg</f>
        <v>1.6165170312225675E-3</v>
      </c>
      <c r="AD1549" s="22">
        <f>Constants!$H65*'Activity data'!AW7*Constants!$H83*FracLEACHMM*MMLeachEF*NtoN2O*kgtoGg</f>
        <v>1.6379230238833516E-3</v>
      </c>
      <c r="AE1549" s="22">
        <f>Constants!$H65*'Activity data'!AX7*Constants!$H83*FracLEACHMM*MMLeachEF*NtoN2O*kgtoGg</f>
        <v>1.6590393002330185E-3</v>
      </c>
      <c r="AF1549" s="22">
        <f>Constants!$H65*'Activity data'!AY7*Constants!$H83*FracLEACHMM*MMLeachEF*NtoN2O*kgtoGg</f>
        <v>1.6813273724767988E-3</v>
      </c>
      <c r="AG1549" s="22">
        <f>Constants!$H65*'Activity data'!AZ7*Constants!$H83*FracLEACHMM*MMLeachEF*NtoN2O*kgtoGg</f>
        <v>1.7065388666884546E-3</v>
      </c>
      <c r="AH1549" s="22">
        <f>Constants!$H65*'Activity data'!BA7*Constants!$H83*FracLEACHMM*MMLeachEF*NtoN2O*kgtoGg</f>
        <v>1.7305091992995292E-3</v>
      </c>
      <c r="AI1549" s="22">
        <f>Constants!$H65*'Activity data'!BB7*Constants!$H83*FracLEACHMM*MMLeachEF*NtoN2O*kgtoGg</f>
        <v>1.7550906484265776E-3</v>
      </c>
      <c r="AJ1549" s="22">
        <f>Constants!$H65*'Activity data'!BC7*Constants!$H83*FracLEACHMM*MMLeachEF*NtoN2O*kgtoGg</f>
        <v>1.7813793956383919E-3</v>
      </c>
      <c r="AK1549" s="22">
        <f>Constants!$H65*'Activity data'!BD7*Constants!$H83*FracLEACHMM*MMLeachEF*NtoN2O*kgtoGg</f>
        <v>1.8060087835900271E-3</v>
      </c>
      <c r="AL1549" s="22">
        <f>Constants!$H65*'Activity data'!BE7*Constants!$H83*FracLEACHMM*MMLeachEF*NtoN2O*kgtoGg</f>
        <v>1.8305045146255719E-3</v>
      </c>
      <c r="AM1549" s="22">
        <f>Constants!$H65*'Activity data'!BF7*Constants!$H83*FracLEACHMM*MMLeachEF*NtoN2O*kgtoGg</f>
        <v>1.8549347234718561E-3</v>
      </c>
      <c r="AN1549" s="22">
        <f>Constants!$H65*'Activity data'!BG7*Constants!$H83*FracLEACHMM*MMLeachEF*NtoN2O*kgtoGg</f>
        <v>1.8807811519757052E-3</v>
      </c>
      <c r="AO1549" s="22">
        <f>Constants!$H65*'Activity data'!BH7*Constants!$H83*FracLEACHMM*MMLeachEF*NtoN2O*kgtoGg</f>
        <v>1.9055879850728176E-3</v>
      </c>
      <c r="AP1549" s="22">
        <f>Constants!$H65*'Activity data'!BI7*Constants!$H83*FracLEACHMM*MMLeachEF*NtoN2O*kgtoGg</f>
        <v>1.9313581020359023E-3</v>
      </c>
      <c r="AQ1549" s="22">
        <f>Constants!$H65*'Activity data'!BJ7*Constants!$H83*FracLEACHMM*MMLeachEF*NtoN2O*kgtoGg</f>
        <v>1.9582090356695609E-3</v>
      </c>
      <c r="AR1549" s="22">
        <f>Constants!$H65*'Activity data'!BK7*Constants!$H83*FracLEACHMM*MMLeachEF*NtoN2O*kgtoGg</f>
        <v>1.9863297911851367E-3</v>
      </c>
      <c r="AS1549" s="22">
        <f>Constants!$H65*'Activity data'!BL7*Constants!$H83*FracLEACHMM*MMLeachEF*NtoN2O*kgtoGg</f>
        <v>2.014947965828651E-3</v>
      </c>
      <c r="AT1549" s="22">
        <f>Constants!$H65*'Activity data'!BM7*Constants!$H83*FracLEACHMM*MMLeachEF*NtoN2O*kgtoGg</f>
        <v>2.0217331063302627E-3</v>
      </c>
      <c r="AU1549" s="22">
        <f>Constants!$H65*'Activity data'!BN7*Constants!$H83*FracLEACHMM*MMLeachEF*NtoN2O*kgtoGg</f>
        <v>2.0265620700694281E-3</v>
      </c>
      <c r="AV1549" s="22">
        <f>Constants!$H65*'Activity data'!BO7*Constants!$H83*FracLEACHMM*MMLeachEF*NtoN2O*kgtoGg</f>
        <v>2.0285405847408761E-3</v>
      </c>
      <c r="AW1549" s="22">
        <f>Constants!$H65*'Activity data'!BP7*Constants!$H83*FracLEACHMM*MMLeachEF*NtoN2O*kgtoGg</f>
        <v>2.0297352653106076E-3</v>
      </c>
    </row>
    <row r="1550" spans="1:49" x14ac:dyDescent="0.3">
      <c r="A1550" s="95" t="s">
        <v>960</v>
      </c>
      <c r="B1550" s="95"/>
      <c r="C1550" s="95"/>
      <c r="D1550" t="str">
        <f t="shared" si="577"/>
        <v>3C Aggregated and non-CO2 emissions on land</v>
      </c>
      <c r="E1550" t="str">
        <f t="shared" si="577"/>
        <v>3C6 Indirect N2O from manure management (N2O)</v>
      </c>
      <c r="F1550" t="str">
        <f t="shared" si="577"/>
        <v>Leaching/runoff</v>
      </c>
      <c r="G1550" t="str">
        <f t="shared" si="578"/>
        <v xml:space="preserve"> - Commercial cattle</v>
      </c>
      <c r="H1550" t="str">
        <f t="shared" si="576"/>
        <v>Leaching/runoff - Commercial cattle</v>
      </c>
      <c r="I1550" t="str">
        <f t="shared" si="571"/>
        <v>N2O</v>
      </c>
      <c r="J1550" t="str">
        <f t="shared" si="570"/>
        <v>Gg N2O</v>
      </c>
      <c r="K1550" s="22">
        <f>Constants!$H66*'Activity data'!AD8*Constants!$H84*FracLEACHMM*MMLeachEF*NtoN2O*kgtoGg</f>
        <v>3.030301439269115E-2</v>
      </c>
      <c r="L1550" s="22">
        <f>Constants!$H66*'Activity data'!AE8*Constants!$H84*FracLEACHMM*MMLeachEF*NtoN2O*kgtoGg</f>
        <v>3.0040206026371356E-2</v>
      </c>
      <c r="M1550" s="22">
        <f>Constants!$H66*'Activity data'!AF8*Constants!$H84*FracLEACHMM*MMLeachEF*NtoN2O*kgtoGg</f>
        <v>2.99401628371932E-2</v>
      </c>
      <c r="N1550" s="22">
        <f>Constants!$H66*'Activity data'!AG8*Constants!$H84*FracLEACHMM*MMLeachEF*NtoN2O*kgtoGg</f>
        <v>2.9540351153331298E-2</v>
      </c>
      <c r="O1550" s="22">
        <f>Constants!$H66*'Activity data'!AH8*Constants!$H84*FracLEACHMM*MMLeachEF*NtoN2O*kgtoGg</f>
        <v>2.8960014730128859E-2</v>
      </c>
      <c r="P1550" s="22">
        <f>Constants!$H66*'Activity data'!AI8*Constants!$H84*FracLEACHMM*MMLeachEF*NtoN2O*kgtoGg</f>
        <v>2.8211154016296501E-2</v>
      </c>
      <c r="Q1550" s="22">
        <f>Constants!$H66*'Activity data'!AJ8*Constants!$H84*FracLEACHMM*MMLeachEF*NtoN2O*kgtoGg</f>
        <v>2.7620505669412022E-2</v>
      </c>
      <c r="R1550" s="22">
        <f>Constants!$H66*'Activity data'!AK8*Constants!$H84*FracLEACHMM*MMLeachEF*NtoN2O*kgtoGg</f>
        <v>2.7061685185942385E-2</v>
      </c>
      <c r="S1550" s="22">
        <f>Constants!$H66*'Activity data'!AL8*Constants!$H84*FracLEACHMM*MMLeachEF*NtoN2O*kgtoGg</f>
        <v>2.3806393912702346E-2</v>
      </c>
      <c r="T1550" s="22">
        <f>Constants!$H66*'Activity data'!AM8*Constants!$H84*FracLEACHMM*MMLeachEF*NtoN2O*kgtoGg</f>
        <v>2.4193081489661764E-2</v>
      </c>
      <c r="U1550" s="22">
        <f>Constants!$H66*'Activity data'!AN8*Constants!$H84*FracLEACHMM*MMLeachEF*NtoN2O*kgtoGg</f>
        <v>2.4914459363237305E-2</v>
      </c>
      <c r="V1550" s="22">
        <f>Constants!$H66*'Activity data'!AO8*Constants!$H84*FracLEACHMM*MMLeachEF*NtoN2O*kgtoGg</f>
        <v>2.5058526856807112E-2</v>
      </c>
      <c r="W1550" s="22">
        <f>Constants!$H66*'Activity data'!AP8*Constants!$H84*FracLEACHMM*MMLeachEF*NtoN2O*kgtoGg</f>
        <v>2.5266313616668409E-2</v>
      </c>
      <c r="X1550" s="22">
        <f>Constants!$H66*'Activity data'!AQ8*Constants!$H84*FracLEACHMM*MMLeachEF*NtoN2O*kgtoGg</f>
        <v>2.5556180730039606E-2</v>
      </c>
      <c r="Y1550" s="22">
        <f>Constants!$H66*'Activity data'!AR8*Constants!$H84*FracLEACHMM*MMLeachEF*NtoN2O*kgtoGg</f>
        <v>2.588867153480013E-2</v>
      </c>
      <c r="Z1550" s="22">
        <f>Constants!$H66*'Activity data'!AS8*Constants!$H84*FracLEACHMM*MMLeachEF*NtoN2O*kgtoGg</f>
        <v>2.627849954534961E-2</v>
      </c>
      <c r="AA1550" s="22">
        <f>Constants!$H66*'Activity data'!AT8*Constants!$H84*FracLEACHMM*MMLeachEF*NtoN2O*kgtoGg</f>
        <v>2.6670125529897157E-2</v>
      </c>
      <c r="AB1550" s="22">
        <f>Constants!$H66*'Activity data'!AU8*Constants!$H84*FracLEACHMM*MMLeachEF*NtoN2O*kgtoGg</f>
        <v>2.7110583919598655E-2</v>
      </c>
      <c r="AC1550" s="22">
        <f>Constants!$H66*'Activity data'!AV8*Constants!$H84*FracLEACHMM*MMLeachEF*NtoN2O*kgtoGg</f>
        <v>2.7546671241882887E-2</v>
      </c>
      <c r="AD1550" s="22">
        <f>Constants!$H66*'Activity data'!AW8*Constants!$H84*FracLEACHMM*MMLeachEF*NtoN2O*kgtoGg</f>
        <v>2.7830739758273274E-2</v>
      </c>
      <c r="AE1550" s="22">
        <f>Constants!$H66*'Activity data'!AX8*Constants!$H84*FracLEACHMM*MMLeachEF*NtoN2O*kgtoGg</f>
        <v>2.8063979806522674E-2</v>
      </c>
      <c r="AF1550" s="22">
        <f>Constants!$H66*'Activity data'!AY8*Constants!$H84*FracLEACHMM*MMLeachEF*NtoN2O*kgtoGg</f>
        <v>2.8310384702020075E-2</v>
      </c>
      <c r="AG1550" s="22">
        <f>Constants!$H66*'Activity data'!AZ8*Constants!$H84*FracLEACHMM*MMLeachEF*NtoN2O*kgtoGg</f>
        <v>2.8640071683735925E-2</v>
      </c>
      <c r="AH1550" s="22">
        <f>Constants!$H66*'Activity data'!BA8*Constants!$H84*FracLEACHMM*MMLeachEF*NtoN2O*kgtoGg</f>
        <v>2.8877171474684857E-2</v>
      </c>
      <c r="AI1550" s="22">
        <f>Constants!$H66*'Activity data'!BB8*Constants!$H84*FracLEACHMM*MMLeachEF*NtoN2O*kgtoGg</f>
        <v>2.9129861427597242E-2</v>
      </c>
      <c r="AJ1550" s="22">
        <f>Constants!$H66*'Activity data'!BC8*Constants!$H84*FracLEACHMM*MMLeachEF*NtoN2O*kgtoGg</f>
        <v>2.9408020774721655E-2</v>
      </c>
      <c r="AK1550" s="22">
        <f>Constants!$H66*'Activity data'!BD8*Constants!$H84*FracLEACHMM*MMLeachEF*NtoN2O*kgtoGg</f>
        <v>2.958135107830024E-2</v>
      </c>
      <c r="AL1550" s="22">
        <f>Constants!$H66*'Activity data'!BE8*Constants!$H84*FracLEACHMM*MMLeachEF*NtoN2O*kgtoGg</f>
        <v>2.9711386636381822E-2</v>
      </c>
      <c r="AM1550" s="22">
        <f>Constants!$H66*'Activity data'!BF8*Constants!$H84*FracLEACHMM*MMLeachEF*NtoN2O*kgtoGg</f>
        <v>2.9801834695120533E-2</v>
      </c>
      <c r="AN1550" s="22">
        <f>Constants!$H66*'Activity data'!BG8*Constants!$H84*FracLEACHMM*MMLeachEF*NtoN2O*kgtoGg</f>
        <v>3.0083013804328998E-2</v>
      </c>
      <c r="AO1550" s="22">
        <f>Constants!$H66*'Activity data'!BH8*Constants!$H84*FracLEACHMM*MMLeachEF*NtoN2O*kgtoGg</f>
        <v>3.0296745523052525E-2</v>
      </c>
      <c r="AP1550" s="22">
        <f>Constants!$H66*'Activity data'!BI8*Constants!$H84*FracLEACHMM*MMLeachEF*NtoN2O*kgtoGg</f>
        <v>3.0513175155516516E-2</v>
      </c>
      <c r="AQ1550" s="22">
        <f>Constants!$H66*'Activity data'!BJ8*Constants!$H84*FracLEACHMM*MMLeachEF*NtoN2O*kgtoGg</f>
        <v>3.0734778558877459E-2</v>
      </c>
      <c r="AR1550" s="22">
        <f>Constants!$H66*'Activity data'!BK8*Constants!$H84*FracLEACHMM*MMLeachEF*NtoN2O*kgtoGg</f>
        <v>3.0966024436887393E-2</v>
      </c>
      <c r="AS1550" s="22">
        <f>Constants!$H66*'Activity data'!BL8*Constants!$H84*FracLEACHMM*MMLeachEF*NtoN2O*kgtoGg</f>
        <v>3.1203452529548665E-2</v>
      </c>
      <c r="AT1550" s="22">
        <f>Constants!$H66*'Activity data'!BM8*Constants!$H84*FracLEACHMM*MMLeachEF*NtoN2O*kgtoGg</f>
        <v>3.0735097960314203E-2</v>
      </c>
      <c r="AU1550" s="22">
        <f>Constants!$H66*'Activity data'!BN8*Constants!$H84*FracLEACHMM*MMLeachEF*NtoN2O*kgtoGg</f>
        <v>3.0204531000918678E-2</v>
      </c>
      <c r="AV1550" s="22">
        <f>Constants!$H66*'Activity data'!BO8*Constants!$H84*FracLEACHMM*MMLeachEF*NtoN2O*kgtoGg</f>
        <v>2.9589433707278279E-2</v>
      </c>
      <c r="AW1550" s="22">
        <f>Constants!$H66*'Activity data'!BP8*Constants!$H84*FracLEACHMM*MMLeachEF*NtoN2O*kgtoGg</f>
        <v>2.8955059711748863E-2</v>
      </c>
    </row>
    <row r="1551" spans="1:49" x14ac:dyDescent="0.3">
      <c r="A1551" s="95" t="s">
        <v>960</v>
      </c>
      <c r="B1551" s="95"/>
      <c r="C1551" s="95"/>
      <c r="D1551" t="str">
        <f t="shared" si="577"/>
        <v>3C Aggregated and non-CO2 emissions on land</v>
      </c>
      <c r="E1551" t="str">
        <f t="shared" si="577"/>
        <v>3C6 Indirect N2O from manure management (N2O)</v>
      </c>
      <c r="F1551" t="str">
        <f t="shared" si="577"/>
        <v>Leaching/runoff</v>
      </c>
      <c r="G1551" t="str">
        <f t="shared" si="578"/>
        <v xml:space="preserve"> - Subsistence cattle</v>
      </c>
      <c r="H1551" t="str">
        <f t="shared" si="576"/>
        <v>Leaching/runoff - Subsistence cattle</v>
      </c>
      <c r="I1551" t="str">
        <f t="shared" si="571"/>
        <v>N2O</v>
      </c>
      <c r="J1551" t="str">
        <f t="shared" si="570"/>
        <v>Gg N2O</v>
      </c>
      <c r="K1551" s="22">
        <f>Constants!$H67*'Activity data'!AD9*Constants!$H85*FracLEACHMM*MMLeachEF*NtoN2O*kgtoGg</f>
        <v>4.0226293185258936E-2</v>
      </c>
      <c r="L1551" s="22">
        <f>Constants!$H67*'Activity data'!AE9*Constants!$H85*FracLEACHMM*MMLeachEF*NtoN2O*kgtoGg</f>
        <v>3.9877423391049015E-2</v>
      </c>
      <c r="M1551" s="22">
        <f>Constants!$H67*'Activity data'!AF9*Constants!$H85*FracLEACHMM*MMLeachEF*NtoN2O*kgtoGg</f>
        <v>3.9744619221572089E-2</v>
      </c>
      <c r="N1551" s="22">
        <f>Constants!$H67*'Activity data'!AG9*Constants!$H85*FracLEACHMM*MMLeachEF*NtoN2O*kgtoGg</f>
        <v>3.9213881856453713E-2</v>
      </c>
      <c r="O1551" s="22">
        <f>Constants!$H67*'Activity data'!AH9*Constants!$H85*FracLEACHMM*MMLeachEF*NtoN2O*kgtoGg</f>
        <v>3.8443503609481157E-2</v>
      </c>
      <c r="P1551" s="22">
        <f>Constants!$H67*'Activity data'!AI9*Constants!$H85*FracLEACHMM*MMLeachEF*NtoN2O*kgtoGg</f>
        <v>3.7449414696768608E-2</v>
      </c>
      <c r="Q1551" s="22">
        <f>Constants!$H67*'Activity data'!AJ9*Constants!$H85*FracLEACHMM*MMLeachEF*NtoN2O*kgtoGg</f>
        <v>3.666534769725275E-2</v>
      </c>
      <c r="R1551" s="22">
        <f>Constants!$H67*'Activity data'!AK9*Constants!$H85*FracLEACHMM*MMLeachEF*NtoN2O*kgtoGg</f>
        <v>3.5923531179771241E-2</v>
      </c>
      <c r="S1551" s="22">
        <f>Constants!$H67*'Activity data'!AL9*Constants!$H85*FracLEACHMM*MMLeachEF*NtoN2O*kgtoGg</f>
        <v>3.160223497260737E-2</v>
      </c>
      <c r="T1551" s="22">
        <f>Constants!$H67*'Activity data'!AM9*Constants!$H85*FracLEACHMM*MMLeachEF*NtoN2O*kgtoGg</f>
        <v>3.2115550500900779E-2</v>
      </c>
      <c r="U1551" s="22">
        <f>Constants!$H67*'Activity data'!AN9*Constants!$H85*FracLEACHMM*MMLeachEF*NtoN2O*kgtoGg</f>
        <v>3.3073156812397204E-2</v>
      </c>
      <c r="V1551" s="22">
        <f>Constants!$H67*'Activity data'!AO9*Constants!$H85*FracLEACHMM*MMLeachEF*NtoN2O*kgtoGg</f>
        <v>3.3264401853557279E-2</v>
      </c>
      <c r="W1551" s="22">
        <f>Constants!$H67*'Activity data'!AP9*Constants!$H85*FracLEACHMM*MMLeachEF*NtoN2O*kgtoGg</f>
        <v>3.3540232205412031E-2</v>
      </c>
      <c r="X1551" s="22">
        <f>Constants!$H67*'Activity data'!AQ9*Constants!$H85*FracLEACHMM*MMLeachEF*NtoN2O*kgtoGg</f>
        <v>3.3925021630521073E-2</v>
      </c>
      <c r="Y1551" s="22">
        <f>Constants!$H67*'Activity data'!AR9*Constants!$H85*FracLEACHMM*MMLeachEF*NtoN2O*kgtoGg</f>
        <v>3.4366392657851123E-2</v>
      </c>
      <c r="Z1551" s="22">
        <f>Constants!$H67*'Activity data'!AS9*Constants!$H85*FracLEACHMM*MMLeachEF*NtoN2O*kgtoGg</f>
        <v>3.4883877012409983E-2</v>
      </c>
      <c r="AA1551" s="22">
        <f>Constants!$H67*'Activity data'!AT9*Constants!$H85*FracLEACHMM*MMLeachEF*NtoN2O*kgtoGg</f>
        <v>3.5403748120585117E-2</v>
      </c>
      <c r="AB1551" s="22">
        <f>Constants!$H67*'Activity data'!AU9*Constants!$H85*FracLEACHMM*MMLeachEF*NtoN2O*kgtoGg</f>
        <v>3.5988442702135158E-2</v>
      </c>
      <c r="AC1551" s="22">
        <f>Constants!$H67*'Activity data'!AV9*Constants!$H85*FracLEACHMM*MMLeachEF*NtoN2O*kgtoGg</f>
        <v>3.6567334829936515E-2</v>
      </c>
      <c r="AD1551" s="22">
        <f>Constants!$H67*'Activity data'!AW9*Constants!$H85*FracLEACHMM*MMLeachEF*NtoN2O*kgtoGg</f>
        <v>3.6944426800951023E-2</v>
      </c>
      <c r="AE1551" s="22">
        <f>Constants!$H67*'Activity data'!AX9*Constants!$H85*FracLEACHMM*MMLeachEF*NtoN2O*kgtoGg</f>
        <v>3.7254045588106646E-2</v>
      </c>
      <c r="AF1551" s="22">
        <f>Constants!$H67*'Activity data'!AY9*Constants!$H85*FracLEACHMM*MMLeachEF*NtoN2O*kgtoGg</f>
        <v>3.7581140293607394E-2</v>
      </c>
      <c r="AG1551" s="22">
        <f>Constants!$H67*'Activity data'!AZ9*Constants!$H85*FracLEACHMM*MMLeachEF*NtoN2O*kgtoGg</f>
        <v>3.801878933452469E-2</v>
      </c>
      <c r="AH1551" s="22">
        <f>Constants!$H67*'Activity data'!BA9*Constants!$H85*FracLEACHMM*MMLeachEF*NtoN2O*kgtoGg</f>
        <v>3.8333531808038356E-2</v>
      </c>
      <c r="AI1551" s="22">
        <f>Constants!$H67*'Activity data'!BB9*Constants!$H85*FracLEACHMM*MMLeachEF*NtoN2O*kgtoGg</f>
        <v>3.8668969728474223E-2</v>
      </c>
      <c r="AJ1551" s="22">
        <f>Constants!$H67*'Activity data'!BC9*Constants!$H85*FracLEACHMM*MMLeachEF*NtoN2O*kgtoGg</f>
        <v>3.9038217464182824E-2</v>
      </c>
      <c r="AK1551" s="22">
        <f>Constants!$H67*'Activity data'!BD9*Constants!$H85*FracLEACHMM*MMLeachEF*NtoN2O*kgtoGg</f>
        <v>3.9268307960108023E-2</v>
      </c>
      <c r="AL1551" s="22">
        <f>Constants!$H67*'Activity data'!BE9*Constants!$H85*FracLEACHMM*MMLeachEF*NtoN2O*kgtoGg</f>
        <v>3.9440926050708265E-2</v>
      </c>
      <c r="AM1551" s="22">
        <f>Constants!$H67*'Activity data'!BF9*Constants!$H85*FracLEACHMM*MMLeachEF*NtoN2O*kgtoGg</f>
        <v>3.9560992988000768E-2</v>
      </c>
      <c r="AN1551" s="22">
        <f>Constants!$H67*'Activity data'!BG9*Constants!$H85*FracLEACHMM*MMLeachEF*NtoN2O*kgtoGg</f>
        <v>3.9934249362367197E-2</v>
      </c>
      <c r="AO1551" s="22">
        <f>Constants!$H67*'Activity data'!BH9*Constants!$H85*FracLEACHMM*MMLeachEF*NtoN2O*kgtoGg</f>
        <v>4.0217971459084928E-2</v>
      </c>
      <c r="AP1551" s="22">
        <f>Constants!$H67*'Activity data'!BI9*Constants!$H85*FracLEACHMM*MMLeachEF*NtoN2O*kgtoGg</f>
        <v>4.0505274950963739E-2</v>
      </c>
      <c r="AQ1551" s="22">
        <f>Constants!$H67*'Activity data'!BJ9*Constants!$H85*FracLEACHMM*MMLeachEF*NtoN2O*kgtoGg</f>
        <v>4.0799446460072705E-2</v>
      </c>
      <c r="AR1551" s="22">
        <f>Constants!$H67*'Activity data'!BK9*Constants!$H85*FracLEACHMM*MMLeachEF*NtoN2O*kgtoGg</f>
        <v>4.1106418049306863E-2</v>
      </c>
      <c r="AS1551" s="22">
        <f>Constants!$H67*'Activity data'!BL9*Constants!$H85*FracLEACHMM*MMLeachEF*NtoN2O*kgtoGg</f>
        <v>4.1421596332960157E-2</v>
      </c>
      <c r="AT1551" s="22">
        <f>Constants!$H67*'Activity data'!BM9*Constants!$H85*FracLEACHMM*MMLeachEF*NtoN2O*kgtoGg</f>
        <v>4.0799870455377994E-2</v>
      </c>
      <c r="AU1551" s="22">
        <f>Constants!$H67*'Activity data'!BN9*Constants!$H85*FracLEACHMM*MMLeachEF*NtoN2O*kgtoGg</f>
        <v>4.0095559597504944E-2</v>
      </c>
      <c r="AV1551" s="22">
        <f>Constants!$H67*'Activity data'!BO9*Constants!$H85*FracLEACHMM*MMLeachEF*NtoN2O*kgtoGg</f>
        <v>3.9279037394439685E-2</v>
      </c>
      <c r="AW1551" s="22">
        <f>Constants!$H67*'Activity data'!BP9*Constants!$H85*FracLEACHMM*MMLeachEF*NtoN2O*kgtoGg</f>
        <v>3.843692597929859E-2</v>
      </c>
    </row>
    <row r="1552" spans="1:49" x14ac:dyDescent="0.3">
      <c r="A1552" s="95" t="s">
        <v>960</v>
      </c>
      <c r="B1552" s="95"/>
      <c r="C1552" s="95"/>
      <c r="D1552" t="str">
        <f t="shared" si="577"/>
        <v>3C Aggregated and non-CO2 emissions on land</v>
      </c>
      <c r="E1552" t="str">
        <f t="shared" si="577"/>
        <v>3C6 Indirect N2O from manure management (N2O)</v>
      </c>
      <c r="F1552" t="str">
        <f t="shared" si="577"/>
        <v>Leaching/runoff</v>
      </c>
      <c r="G1552" t="str">
        <f t="shared" si="578"/>
        <v xml:space="preserve"> - Feedlot</v>
      </c>
      <c r="H1552" t="str">
        <f t="shared" si="576"/>
        <v>Leaching/runoff - Feedlot</v>
      </c>
      <c r="I1552" t="str">
        <f t="shared" si="571"/>
        <v>N2O</v>
      </c>
      <c r="J1552" t="str">
        <f t="shared" si="570"/>
        <v>Gg N2O</v>
      </c>
      <c r="K1552" s="22">
        <f>Constants!$H68*'Activity data'!AD10*Constants!$H86*FracLEACHMM*MMLeachEF*NtoN2O*kgtoGg</f>
        <v>4.1968337096859203E-2</v>
      </c>
      <c r="L1552" s="22">
        <f>Constants!$H68*'Activity data'!AE10*Constants!$H86*FracLEACHMM*MMLeachEF*NtoN2O*kgtoGg</f>
        <v>4.3383434779753462E-2</v>
      </c>
      <c r="M1552" s="22">
        <f>Constants!$H68*'Activity data'!AF10*Constants!$H86*FracLEACHMM*MMLeachEF*NtoN2O*kgtoGg</f>
        <v>4.5063007666824861E-2</v>
      </c>
      <c r="N1552" s="22">
        <f>Constants!$H68*'Activity data'!AG10*Constants!$H86*FracLEACHMM*MMLeachEF*NtoN2O*kgtoGg</f>
        <v>4.6315596244033502E-2</v>
      </c>
      <c r="O1552" s="22">
        <f>Constants!$H68*'Activity data'!AH10*Constants!$H86*FracLEACHMM*MMLeachEF*NtoN2O*kgtoGg</f>
        <v>4.7281576900430194E-2</v>
      </c>
      <c r="P1552" s="22">
        <f>Constants!$H68*'Activity data'!AI10*Constants!$H86*FracLEACHMM*MMLeachEF*NtoN2O*kgtoGg</f>
        <v>4.7947144057730852E-2</v>
      </c>
      <c r="Q1552" s="22">
        <f>Constants!$H68*'Activity data'!AJ10*Constants!$H86*FracLEACHMM*MMLeachEF*NtoN2O*kgtoGg</f>
        <v>4.8855920576585825E-2</v>
      </c>
      <c r="R1552" s="22">
        <f>Constants!$H68*'Activity data'!AK10*Constants!$H86*FracLEACHMM*MMLeachEF*NtoN2O*kgtoGg</f>
        <v>4.9808583705724517E-2</v>
      </c>
      <c r="S1552" s="22">
        <f>Constants!$H68*'Activity data'!AL10*Constants!$H86*FracLEACHMM*MMLeachEF*NtoN2O*kgtoGg</f>
        <v>4.558792439477468E-2</v>
      </c>
      <c r="T1552" s="22">
        <f>Constants!$H68*'Activity data'!AM10*Constants!$H86*FracLEACHMM*MMLeachEF*NtoN2O*kgtoGg</f>
        <v>4.7444585849147458E-2</v>
      </c>
      <c r="U1552" s="22">
        <f>Constants!$H68*'Activity data'!AN10*Constants!$H86*FracLEACHMM*MMLeachEF*NtoN2O*kgtoGg</f>
        <v>5.0020252871766716E-2</v>
      </c>
      <c r="V1552" s="22">
        <f>Constants!$H68*'Activity data'!AO10*Constants!$H86*FracLEACHMM*MMLeachEF*NtoN2O*kgtoGg</f>
        <v>5.1489747377125035E-2</v>
      </c>
      <c r="W1552" s="22">
        <f>Constants!$H68*'Activity data'!AP10*Constants!$H86*FracLEACHMM*MMLeachEF*NtoN2O*kgtoGg</f>
        <v>5.3120325210598208E-2</v>
      </c>
      <c r="X1552" s="22">
        <f>Constants!$H68*'Activity data'!AQ10*Constants!$H86*FracLEACHMM*MMLeachEF*NtoN2O*kgtoGg</f>
        <v>5.4961817995869279E-2</v>
      </c>
      <c r="Y1552" s="22">
        <f>Constants!$H68*'Activity data'!AR10*Constants!$H86*FracLEACHMM*MMLeachEF*NtoN2O*kgtoGg</f>
        <v>5.6940702891012454E-2</v>
      </c>
      <c r="Z1552" s="22">
        <f>Constants!$H68*'Activity data'!AS10*Constants!$H86*FracLEACHMM*MMLeachEF*NtoN2O*kgtoGg</f>
        <v>5.909779909090021E-2</v>
      </c>
      <c r="AA1552" s="22">
        <f>Constants!$H68*'Activity data'!AT10*Constants!$H86*FracLEACHMM*MMLeachEF*NtoN2O*kgtoGg</f>
        <v>6.1315559224141662E-2</v>
      </c>
      <c r="AB1552" s="22">
        <f>Constants!$H68*'Activity data'!AU10*Constants!$H86*FracLEACHMM*MMLeachEF*NtoN2O*kgtoGg</f>
        <v>6.3706453642829244E-2</v>
      </c>
      <c r="AC1552" s="22">
        <f>Constants!$H68*'Activity data'!AV10*Constants!$H86*FracLEACHMM*MMLeachEF*NtoN2O*kgtoGg</f>
        <v>6.6151992620882463E-2</v>
      </c>
      <c r="AD1552" s="22">
        <f>Constants!$H68*'Activity data'!AW10*Constants!$H86*FracLEACHMM*MMLeachEF*NtoN2O*kgtoGg</f>
        <v>6.9050571490334375E-2</v>
      </c>
      <c r="AE1552" s="22">
        <f>Constants!$H68*'Activity data'!AX10*Constants!$H86*FracLEACHMM*MMLeachEF*NtoN2O*kgtoGg</f>
        <v>7.1942782657683113E-2</v>
      </c>
      <c r="AF1552" s="22">
        <f>Constants!$H68*'Activity data'!AY10*Constants!$H86*FracLEACHMM*MMLeachEF*NtoN2O*kgtoGg</f>
        <v>7.499198620981147E-2</v>
      </c>
      <c r="AG1552" s="22">
        <f>Constants!$H68*'Activity data'!AZ10*Constants!$H86*FracLEACHMM*MMLeachEF*NtoN2O*kgtoGg</f>
        <v>7.8400492834913502E-2</v>
      </c>
      <c r="AH1552" s="22">
        <f>Constants!$H68*'Activity data'!BA10*Constants!$H86*FracLEACHMM*MMLeachEF*NtoN2O*kgtoGg</f>
        <v>8.1701156762449018E-2</v>
      </c>
      <c r="AI1552" s="22">
        <f>Constants!$H68*'Activity data'!BB10*Constants!$H86*FracLEACHMM*MMLeachEF*NtoN2O*kgtoGg</f>
        <v>8.5192788556250426E-2</v>
      </c>
      <c r="AJ1552" s="22">
        <f>Constants!$H68*'Activity data'!BC10*Constants!$H86*FracLEACHMM*MMLeachEF*NtoN2O*kgtoGg</f>
        <v>8.8918442809121118E-2</v>
      </c>
      <c r="AK1552" s="22">
        <f>Constants!$H68*'Activity data'!BD10*Constants!$H86*FracLEACHMM*MMLeachEF*NtoN2O*kgtoGg</f>
        <v>9.248798577918188E-2</v>
      </c>
      <c r="AL1552" s="22">
        <f>Constants!$H68*'Activity data'!BE10*Constants!$H86*FracLEACHMM*MMLeachEF*NtoN2O*kgtoGg</f>
        <v>9.6077147406772881E-2</v>
      </c>
      <c r="AM1552" s="22">
        <f>Constants!$H68*'Activity data'!BF10*Constants!$H86*FracLEACHMM*MMLeachEF*NtoN2O*kgtoGg</f>
        <v>9.9693715805378641E-2</v>
      </c>
      <c r="AN1552" s="22">
        <f>Constants!$H68*'Activity data'!BG10*Constants!$H86*FracLEACHMM*MMLeachEF*NtoN2O*kgtoGg</f>
        <v>0.10347374306833025</v>
      </c>
      <c r="AO1552" s="22">
        <f>Constants!$H68*'Activity data'!BH10*Constants!$H86*FracLEACHMM*MMLeachEF*NtoN2O*kgtoGg</f>
        <v>0.1071593390128282</v>
      </c>
      <c r="AP1552" s="22">
        <f>Constants!$H68*'Activity data'!BI10*Constants!$H86*FracLEACHMM*MMLeachEF*NtoN2O*kgtoGg</f>
        <v>0.11099240238226693</v>
      </c>
      <c r="AQ1552" s="22">
        <f>Constants!$H68*'Activity data'!BJ10*Constants!$H86*FracLEACHMM*MMLeachEF*NtoN2O*kgtoGg</f>
        <v>0.11498990238948355</v>
      </c>
      <c r="AR1552" s="22">
        <f>Constants!$H68*'Activity data'!BK10*Constants!$H86*FracLEACHMM*MMLeachEF*NtoN2O*kgtoGg</f>
        <v>0.11917803768424121</v>
      </c>
      <c r="AS1552" s="22">
        <f>Constants!$H68*'Activity data'!BL10*Constants!$H86*FracLEACHMM*MMLeachEF*NtoN2O*kgtoGg</f>
        <v>0.12355418732739334</v>
      </c>
      <c r="AT1552" s="22">
        <f>Constants!$H68*'Activity data'!BM10*Constants!$H86*FracLEACHMM*MMLeachEF*NtoN2O*kgtoGg</f>
        <v>0.1252281322589274</v>
      </c>
      <c r="AU1552" s="22">
        <f>Constants!$H68*'Activity data'!BN10*Constants!$H86*FracLEACHMM*MMLeachEF*NtoN2O*kgtoGg</f>
        <v>0.1266560621373938</v>
      </c>
      <c r="AV1552" s="22">
        <f>Constants!$H68*'Activity data'!BO10*Constants!$H86*FracLEACHMM*MMLeachEF*NtoN2O*kgtoGg</f>
        <v>0.12771943748303299</v>
      </c>
      <c r="AW1552" s="22">
        <f>Constants!$H68*'Activity data'!BP10*Constants!$H86*FracLEACHMM*MMLeachEF*NtoN2O*kgtoGg</f>
        <v>0.12867585314816252</v>
      </c>
    </row>
    <row r="1553" spans="1:49" x14ac:dyDescent="0.3">
      <c r="A1553" s="95" t="s">
        <v>960</v>
      </c>
      <c r="B1553" s="95"/>
      <c r="C1553" s="95"/>
      <c r="D1553" t="str">
        <f t="shared" ref="D1553:F1562" si="579">D1552</f>
        <v>3C Aggregated and non-CO2 emissions on land</v>
      </c>
      <c r="E1553" t="str">
        <f t="shared" si="579"/>
        <v>3C6 Indirect N2O from manure management (N2O)</v>
      </c>
      <c r="F1553" t="str">
        <f t="shared" si="579"/>
        <v>Leaching/runoff</v>
      </c>
      <c r="G1553" t="str">
        <f t="shared" si="578"/>
        <v xml:space="preserve"> - Commercial sheep</v>
      </c>
      <c r="H1553" t="str">
        <f t="shared" si="576"/>
        <v>Leaching/runoff - Commercial sheep</v>
      </c>
      <c r="I1553" t="str">
        <f t="shared" si="571"/>
        <v>N2O</v>
      </c>
      <c r="J1553" t="str">
        <f t="shared" si="570"/>
        <v>Gg N2O</v>
      </c>
      <c r="K1553" s="22">
        <f>Constants!$H69*'Activity data'!AD11*Constants!$H87*FracLEACHMM*MMLeachEF*NtoN2O*kgtoGg</f>
        <v>4.3945619533695716E-3</v>
      </c>
      <c r="L1553" s="22">
        <f>Constants!$H69*'Activity data'!AE11*Constants!$H87*FracLEACHMM*MMLeachEF*NtoN2O*kgtoGg</f>
        <v>4.3969380790341763E-3</v>
      </c>
      <c r="M1553" s="22">
        <f>Constants!$H69*'Activity data'!AF11*Constants!$H87*FracLEACHMM*MMLeachEF*NtoN2O*kgtoGg</f>
        <v>4.4026193063540784E-3</v>
      </c>
      <c r="N1553" s="22">
        <f>Constants!$H69*'Activity data'!AG11*Constants!$H87*FracLEACHMM*MMLeachEF*NtoN2O*kgtoGg</f>
        <v>4.4109963215778836E-3</v>
      </c>
      <c r="O1553" s="22">
        <f>Constants!$H69*'Activity data'!AH11*Constants!$H87*FracLEACHMM*MMLeachEF*NtoN2O*kgtoGg</f>
        <v>4.4220158913338588E-3</v>
      </c>
      <c r="P1553" s="22">
        <f>Constants!$H69*'Activity data'!AI11*Constants!$H87*FracLEACHMM*MMLeachEF*NtoN2O*kgtoGg</f>
        <v>4.4355616535255637E-3</v>
      </c>
      <c r="Q1553" s="22">
        <f>Constants!$H69*'Activity data'!AJ11*Constants!$H87*FracLEACHMM*MMLeachEF*NtoN2O*kgtoGg</f>
        <v>4.4507753934109251E-3</v>
      </c>
      <c r="R1553" s="22">
        <f>Constants!$H69*'Activity data'!AK11*Constants!$H87*FracLEACHMM*MMLeachEF*NtoN2O*kgtoGg</f>
        <v>4.467561061292976E-3</v>
      </c>
      <c r="S1553" s="22">
        <f>Constants!$H69*'Activity data'!AL11*Constants!$H87*FracLEACHMM*MMLeachEF*NtoN2O*kgtoGg</f>
        <v>4.4829106304263445E-3</v>
      </c>
      <c r="T1553" s="22">
        <f>Constants!$H69*'Activity data'!AM11*Constants!$H87*FracLEACHMM*MMLeachEF*NtoN2O*kgtoGg</f>
        <v>4.4896556027107107E-3</v>
      </c>
      <c r="U1553" s="22">
        <f>Constants!$H69*'Activity data'!AN11*Constants!$H87*FracLEACHMM*MMLeachEF*NtoN2O*kgtoGg</f>
        <v>4.4978926629073816E-3</v>
      </c>
      <c r="V1553" s="22">
        <f>Constants!$H69*'Activity data'!AO11*Constants!$H87*FracLEACHMM*MMLeachEF*NtoN2O*kgtoGg</f>
        <v>4.5065504561298229E-3</v>
      </c>
      <c r="W1553" s="22">
        <f>Constants!$H69*'Activity data'!AP11*Constants!$H87*FracLEACHMM*MMLeachEF*NtoN2O*kgtoGg</f>
        <v>4.5162706773714013E-3</v>
      </c>
      <c r="X1553" s="22">
        <f>Constants!$H69*'Activity data'!AQ11*Constants!$H87*FracLEACHMM*MMLeachEF*NtoN2O*kgtoGg</f>
        <v>4.527026129260852E-3</v>
      </c>
      <c r="Y1553" s="22">
        <f>Constants!$H69*'Activity data'!AR11*Constants!$H87*FracLEACHMM*MMLeachEF*NtoN2O*kgtoGg</f>
        <v>4.5337431797518573E-3</v>
      </c>
      <c r="Z1553" s="22">
        <f>Constants!$H69*'Activity data'!AS11*Constants!$H87*FracLEACHMM*MMLeachEF*NtoN2O*kgtoGg</f>
        <v>4.5413317440573253E-3</v>
      </c>
      <c r="AA1553" s="22">
        <f>Constants!$H69*'Activity data'!AT11*Constants!$H87*FracLEACHMM*MMLeachEF*NtoN2O*kgtoGg</f>
        <v>4.5496892838415501E-3</v>
      </c>
      <c r="AB1553" s="22">
        <f>Constants!$H69*'Activity data'!AU11*Constants!$H87*FracLEACHMM*MMLeachEF*NtoN2O*kgtoGg</f>
        <v>4.5588387793970616E-3</v>
      </c>
      <c r="AC1553" s="22">
        <f>Constants!$H69*'Activity data'!AV11*Constants!$H87*FracLEACHMM*MMLeachEF*NtoN2O*kgtoGg</f>
        <v>4.5686857941763257E-3</v>
      </c>
      <c r="AD1553" s="22">
        <f>Constants!$H69*'Activity data'!AW11*Constants!$H87*FracLEACHMM*MMLeachEF*NtoN2O*kgtoGg</f>
        <v>4.5752913220902473E-3</v>
      </c>
      <c r="AE1553" s="22">
        <f>Constants!$H69*'Activity data'!AX11*Constants!$H87*FracLEACHMM*MMLeachEF*NtoN2O*kgtoGg</f>
        <v>4.582462373127697E-3</v>
      </c>
      <c r="AF1553" s="22">
        <f>Constants!$H69*'Activity data'!AY11*Constants!$H87*FracLEACHMM*MMLeachEF*NtoN2O*kgtoGg</f>
        <v>4.5902565907943761E-3</v>
      </c>
      <c r="AG1553" s="22">
        <f>Constants!$H69*'Activity data'!AZ11*Constants!$H87*FracLEACHMM*MMLeachEF*NtoN2O*kgtoGg</f>
        <v>4.59875005922699E-3</v>
      </c>
      <c r="AH1553" s="22">
        <f>Constants!$H69*'Activity data'!BA11*Constants!$H87*FracLEACHMM*MMLeachEF*NtoN2O*kgtoGg</f>
        <v>4.6076877369256993E-3</v>
      </c>
      <c r="AI1553" s="22">
        <f>Constants!$H69*'Activity data'!BB11*Constants!$H87*FracLEACHMM*MMLeachEF*NtoN2O*kgtoGg</f>
        <v>4.6134006720946743E-3</v>
      </c>
      <c r="AJ1553" s="22">
        <f>Constants!$H69*'Activity data'!BC11*Constants!$H87*FracLEACHMM*MMLeachEF*NtoN2O*kgtoGg</f>
        <v>4.6196582419180043E-3</v>
      </c>
      <c r="AK1553" s="22">
        <f>Constants!$H69*'Activity data'!BD11*Constants!$H87*FracLEACHMM*MMLeachEF*NtoN2O*kgtoGg</f>
        <v>4.626254058673806E-3</v>
      </c>
      <c r="AL1553" s="22">
        <f>Constants!$H69*'Activity data'!BE11*Constants!$H87*FracLEACHMM*MMLeachEF*NtoN2O*kgtoGg</f>
        <v>4.6332583415557996E-3</v>
      </c>
      <c r="AM1553" s="22">
        <f>Constants!$H69*'Activity data'!BF11*Constants!$H87*FracLEACHMM*MMLeachEF*NtoN2O*kgtoGg</f>
        <v>4.6406604705372459E-3</v>
      </c>
      <c r="AN1553" s="22">
        <f>Constants!$H69*'Activity data'!BG11*Constants!$H87*FracLEACHMM*MMLeachEF*NtoN2O*kgtoGg</f>
        <v>4.6450341959288514E-3</v>
      </c>
      <c r="AO1553" s="22">
        <f>Constants!$H69*'Activity data'!BH11*Constants!$H87*FracLEACHMM*MMLeachEF*NtoN2O*kgtoGg</f>
        <v>4.6497032008589968E-3</v>
      </c>
      <c r="AP1553" s="22">
        <f>Constants!$H69*'Activity data'!BI11*Constants!$H87*FracLEACHMM*MMLeachEF*NtoN2O*kgtoGg</f>
        <v>4.6547677652323564E-3</v>
      </c>
      <c r="AQ1553" s="22">
        <f>Constants!$H69*'Activity data'!BJ11*Constants!$H87*FracLEACHMM*MMLeachEF*NtoN2O*kgtoGg</f>
        <v>4.6602229926895984E-3</v>
      </c>
      <c r="AR1553" s="22">
        <f>Constants!$H69*'Activity data'!BK11*Constants!$H87*FracLEACHMM*MMLeachEF*NtoN2O*kgtoGg</f>
        <v>4.6660687701808173E-3</v>
      </c>
      <c r="AS1553" s="22">
        <f>Constants!$H69*'Activity data'!BL11*Constants!$H87*FracLEACHMM*MMLeachEF*NtoN2O*kgtoGg</f>
        <v>4.6687208592955552E-3</v>
      </c>
      <c r="AT1553" s="22">
        <f>Constants!$H69*'Activity data'!BM11*Constants!$H87*FracLEACHMM*MMLeachEF*NtoN2O*kgtoGg</f>
        <v>4.6704299553969519E-3</v>
      </c>
      <c r="AU1553" s="22">
        <f>Constants!$H69*'Activity data'!BN11*Constants!$H87*FracLEACHMM*MMLeachEF*NtoN2O*kgtoGg</f>
        <v>4.6723034477338006E-3</v>
      </c>
      <c r="AV1553" s="22">
        <f>Constants!$H69*'Activity data'!BO11*Constants!$H87*FracLEACHMM*MMLeachEF*NtoN2O*kgtoGg</f>
        <v>4.6742823579489622E-3</v>
      </c>
      <c r="AW1553" s="22">
        <f>Constants!$H69*'Activity data'!BP11*Constants!$H87*FracLEACHMM*MMLeachEF*NtoN2O*kgtoGg</f>
        <v>4.6764744826629494E-3</v>
      </c>
    </row>
    <row r="1554" spans="1:49" x14ac:dyDescent="0.3">
      <c r="A1554" s="95" t="s">
        <v>960</v>
      </c>
      <c r="B1554" s="95"/>
      <c r="C1554" s="95"/>
      <c r="D1554" t="str">
        <f t="shared" si="579"/>
        <v>3C Aggregated and non-CO2 emissions on land</v>
      </c>
      <c r="E1554" t="str">
        <f t="shared" si="579"/>
        <v>3C6 Indirect N2O from manure management (N2O)</v>
      </c>
      <c r="F1554" t="str">
        <f t="shared" si="579"/>
        <v>Leaching/runoff</v>
      </c>
      <c r="G1554" t="str">
        <f t="shared" si="578"/>
        <v xml:space="preserve"> - Subsistence sheep</v>
      </c>
      <c r="H1554" t="str">
        <f t="shared" si="576"/>
        <v>Leaching/runoff - Subsistence sheep</v>
      </c>
      <c r="I1554" t="str">
        <f t="shared" si="571"/>
        <v>N2O</v>
      </c>
      <c r="J1554" t="str">
        <f t="shared" si="570"/>
        <v>Gg N2O</v>
      </c>
      <c r="K1554" s="22">
        <f>Constants!$H70*'Activity data'!AD12*Constants!$H88*FracLEACHMM*MMLeachEF*NtoN2O*kgtoGg</f>
        <v>3.6554846257269864E-3</v>
      </c>
      <c r="L1554" s="22">
        <f>Constants!$H70*'Activity data'!AE12*Constants!$H88*FracLEACHMM*MMLeachEF*NtoN2O*kgtoGg</f>
        <v>3.6574611346322943E-3</v>
      </c>
      <c r="M1554" s="22">
        <f>Constants!$H70*'Activity data'!AF12*Constants!$H88*FracLEACHMM*MMLeachEF*NtoN2O*kgtoGg</f>
        <v>3.662186893272979E-3</v>
      </c>
      <c r="N1554" s="22">
        <f>Constants!$H70*'Activity data'!AG12*Constants!$H88*FracLEACHMM*MMLeachEF*NtoN2O*kgtoGg</f>
        <v>3.6691550622702605E-3</v>
      </c>
      <c r="O1554" s="22">
        <f>Constants!$H70*'Activity data'!AH12*Constants!$H88*FracLEACHMM*MMLeachEF*NtoN2O*kgtoGg</f>
        <v>3.6783213610396305E-3</v>
      </c>
      <c r="P1554" s="22">
        <f>Constants!$H70*'Activity data'!AI12*Constants!$H88*FracLEACHMM*MMLeachEF*NtoN2O*kgtoGg</f>
        <v>3.6895889972593382E-3</v>
      </c>
      <c r="Q1554" s="22">
        <f>Constants!$H70*'Activity data'!AJ12*Constants!$H88*FracLEACHMM*MMLeachEF*NtoN2O*kgtoGg</f>
        <v>3.7022440907227717E-3</v>
      </c>
      <c r="R1554" s="22">
        <f>Constants!$H70*'Activity data'!AK12*Constants!$H88*FracLEACHMM*MMLeachEF*NtoN2O*kgtoGg</f>
        <v>3.7162067453687837E-3</v>
      </c>
      <c r="S1554" s="22">
        <f>Constants!$H70*'Activity data'!AL12*Constants!$H88*FracLEACHMM*MMLeachEF*NtoN2O*kgtoGg</f>
        <v>3.7289748243204386E-3</v>
      </c>
      <c r="T1554" s="22">
        <f>Constants!$H70*'Activity data'!AM12*Constants!$H88*FracLEACHMM*MMLeachEF*NtoN2O*kgtoGg</f>
        <v>3.7345854273220752E-3</v>
      </c>
      <c r="U1554" s="22">
        <f>Constants!$H70*'Activity data'!AN12*Constants!$H88*FracLEACHMM*MMLeachEF*NtoN2O*kgtoGg</f>
        <v>3.7414371789254476E-3</v>
      </c>
      <c r="V1554" s="22">
        <f>Constants!$H70*'Activity data'!AO12*Constants!$H88*FracLEACHMM*MMLeachEF*NtoN2O*kgtoGg</f>
        <v>3.7486389046840498E-3</v>
      </c>
      <c r="W1554" s="22">
        <f>Constants!$H70*'Activity data'!AP12*Constants!$H88*FracLEACHMM*MMLeachEF*NtoN2O*kgtoGg</f>
        <v>3.7567243793421119E-3</v>
      </c>
      <c r="X1554" s="22">
        <f>Constants!$H70*'Activity data'!AQ12*Constants!$H88*FracLEACHMM*MMLeachEF*NtoN2O*kgtoGg</f>
        <v>3.7656709795816407E-3</v>
      </c>
      <c r="Y1554" s="22">
        <f>Constants!$H70*'Activity data'!AR12*Constants!$H88*FracLEACHMM*MMLeachEF*NtoN2O*kgtoGg</f>
        <v>3.7712583566764787E-3</v>
      </c>
      <c r="Z1554" s="22">
        <f>Constants!$H70*'Activity data'!AS12*Constants!$H88*FracLEACHMM*MMLeachEF*NtoN2O*kgtoGg</f>
        <v>3.7775706764126256E-3</v>
      </c>
      <c r="AA1554" s="22">
        <f>Constants!$H70*'Activity data'!AT12*Constants!$H88*FracLEACHMM*MMLeachEF*NtoN2O*kgtoGg</f>
        <v>3.784522645349305E-3</v>
      </c>
      <c r="AB1554" s="22">
        <f>Constants!$H70*'Activity data'!AU12*Constants!$H88*FracLEACHMM*MMLeachEF*NtoN2O*kgtoGg</f>
        <v>3.7921333789539768E-3</v>
      </c>
      <c r="AC1554" s="22">
        <f>Constants!$H70*'Activity data'!AV12*Constants!$H88*FracLEACHMM*MMLeachEF*NtoN2O*kgtoGg</f>
        <v>3.8003243230154901E-3</v>
      </c>
      <c r="AD1554" s="22">
        <f>Constants!$H70*'Activity data'!AW12*Constants!$H88*FracLEACHMM*MMLeachEF*NtoN2O*kgtoGg</f>
        <v>3.805818933397678E-3</v>
      </c>
      <c r="AE1554" s="22">
        <f>Constants!$H70*'Activity data'!AX12*Constants!$H88*FracLEACHMM*MMLeachEF*NtoN2O*kgtoGg</f>
        <v>3.8117839572375635E-3</v>
      </c>
      <c r="AF1554" s="22">
        <f>Constants!$H70*'Activity data'!AY12*Constants!$H88*FracLEACHMM*MMLeachEF*NtoN2O*kgtoGg</f>
        <v>3.8182673435573919E-3</v>
      </c>
      <c r="AG1554" s="22">
        <f>Constants!$H70*'Activity data'!AZ12*Constants!$H88*FracLEACHMM*MMLeachEF*NtoN2O*kgtoGg</f>
        <v>3.8253323806655189E-3</v>
      </c>
      <c r="AH1554" s="22">
        <f>Constants!$H70*'Activity data'!BA12*Constants!$H88*FracLEACHMM*MMLeachEF*NtoN2O*kgtoGg</f>
        <v>3.8327669199356464E-3</v>
      </c>
      <c r="AI1554" s="22">
        <f>Constants!$H70*'Activity data'!BB12*Constants!$H88*FracLEACHMM*MMLeachEF*NtoN2O*kgtoGg</f>
        <v>3.8375190538000809E-3</v>
      </c>
      <c r="AJ1554" s="22">
        <f>Constants!$H70*'Activity data'!BC12*Constants!$H88*FracLEACHMM*MMLeachEF*NtoN2O*kgtoGg</f>
        <v>3.8427242256753023E-3</v>
      </c>
      <c r="AK1554" s="22">
        <f>Constants!$H70*'Activity data'!BD12*Constants!$H88*FracLEACHMM*MMLeachEF*NtoN2O*kgtoGg</f>
        <v>3.8482107581217181E-3</v>
      </c>
      <c r="AL1554" s="22">
        <f>Constants!$H70*'Activity data'!BE12*Constants!$H88*FracLEACHMM*MMLeachEF*NtoN2O*kgtoGg</f>
        <v>3.8540370608706733E-3</v>
      </c>
      <c r="AM1554" s="22">
        <f>Constants!$H70*'Activity data'!BF12*Constants!$H88*FracLEACHMM*MMLeachEF*NtoN2O*kgtoGg</f>
        <v>3.8601942999712795E-3</v>
      </c>
      <c r="AN1554" s="22">
        <f>Constants!$H70*'Activity data'!BG12*Constants!$H88*FracLEACHMM*MMLeachEF*NtoN2O*kgtoGg</f>
        <v>3.8638324523277176E-3</v>
      </c>
      <c r="AO1554" s="22">
        <f>Constants!$H70*'Activity data'!BH12*Constants!$H88*FracLEACHMM*MMLeachEF*NtoN2O*kgtoGg</f>
        <v>3.8677162241167358E-3</v>
      </c>
      <c r="AP1554" s="22">
        <f>Constants!$H70*'Activity data'!BI12*Constants!$H88*FracLEACHMM*MMLeachEF*NtoN2O*kgtoGg</f>
        <v>3.87192903017096E-3</v>
      </c>
      <c r="AQ1554" s="22">
        <f>Constants!$H70*'Activity data'!BJ12*Constants!$H88*FracLEACHMM*MMLeachEF*NtoN2O*kgtoGg</f>
        <v>3.8764667976006581E-3</v>
      </c>
      <c r="AR1554" s="22">
        <f>Constants!$H70*'Activity data'!BK12*Constants!$H88*FracLEACHMM*MMLeachEF*NtoN2O*kgtoGg</f>
        <v>3.8813294323686563E-3</v>
      </c>
      <c r="AS1554" s="22">
        <f>Constants!$H70*'Activity data'!BL12*Constants!$H88*FracLEACHMM*MMLeachEF*NtoN2O*kgtoGg</f>
        <v>3.8835354931974382E-3</v>
      </c>
      <c r="AT1554" s="22">
        <f>Constants!$H70*'Activity data'!BM12*Constants!$H88*FracLEACHMM*MMLeachEF*NtoN2O*kgtoGg</f>
        <v>3.8849571535560438E-3</v>
      </c>
      <c r="AU1554" s="22">
        <f>Constants!$H70*'Activity data'!BN12*Constants!$H88*FracLEACHMM*MMLeachEF*NtoN2O*kgtoGg</f>
        <v>3.8865155619950283E-3</v>
      </c>
      <c r="AV1554" s="22">
        <f>Constants!$H70*'Activity data'!BO12*Constants!$H88*FracLEACHMM*MMLeachEF*NtoN2O*kgtoGg</f>
        <v>3.8881616591359886E-3</v>
      </c>
      <c r="AW1554" s="22">
        <f>Constants!$H70*'Activity data'!BP12*Constants!$H88*FracLEACHMM*MMLeachEF*NtoN2O*kgtoGg</f>
        <v>3.8899851123662963E-3</v>
      </c>
    </row>
    <row r="1555" spans="1:49" x14ac:dyDescent="0.3">
      <c r="A1555" s="95" t="s">
        <v>960</v>
      </c>
      <c r="B1555" s="95"/>
      <c r="C1555" s="95"/>
      <c r="D1555" t="str">
        <f t="shared" si="579"/>
        <v>3C Aggregated and non-CO2 emissions on land</v>
      </c>
      <c r="E1555" t="str">
        <f t="shared" si="579"/>
        <v>3C6 Indirect N2O from manure management (N2O)</v>
      </c>
      <c r="F1555" t="str">
        <f t="shared" si="579"/>
        <v>Leaching/runoff</v>
      </c>
      <c r="G1555" t="str">
        <f t="shared" si="578"/>
        <v xml:space="preserve"> - Commercial goats</v>
      </c>
      <c r="H1555" t="str">
        <f t="shared" si="576"/>
        <v>Leaching/runoff - Commercial goats</v>
      </c>
      <c r="I1555" t="str">
        <f t="shared" si="571"/>
        <v>N2O</v>
      </c>
      <c r="J1555" t="str">
        <f t="shared" si="570"/>
        <v>Gg N2O</v>
      </c>
      <c r="K1555" s="22">
        <f>Constants!$H71*'Activity data'!AD13*Constants!$H89*FracLEACHMM*MMLeachEF*NtoN2O*kgtoGg</f>
        <v>5.4322987485311562E-4</v>
      </c>
      <c r="L1555" s="22">
        <f>Constants!$H71*'Activity data'!AE13*Constants!$H89*FracLEACHMM*MMLeachEF*NtoN2O*kgtoGg</f>
        <v>5.4464201031358182E-4</v>
      </c>
      <c r="M1555" s="22">
        <f>Constants!$H71*'Activity data'!AF13*Constants!$H89*FracLEACHMM*MMLeachEF*NtoN2O*kgtoGg</f>
        <v>5.4659000127818655E-4</v>
      </c>
      <c r="N1555" s="22">
        <f>Constants!$H71*'Activity data'!AG13*Constants!$H89*FracLEACHMM*MMLeachEF*NtoN2O*kgtoGg</f>
        <v>5.4896316873921213E-4</v>
      </c>
      <c r="O1555" s="22">
        <f>Constants!$H71*'Activity data'!AH13*Constants!$H89*FracLEACHMM*MMLeachEF*NtoN2O*kgtoGg</f>
        <v>5.5175812793145673E-4</v>
      </c>
      <c r="P1555" s="22">
        <f>Constants!$H71*'Activity data'!AI13*Constants!$H89*FracLEACHMM*MMLeachEF*NtoN2O*kgtoGg</f>
        <v>5.5495786726734487E-4</v>
      </c>
      <c r="Q1555" s="22">
        <f>Constants!$H71*'Activity data'!AJ13*Constants!$H89*FracLEACHMM*MMLeachEF*NtoN2O*kgtoGg</f>
        <v>5.5840147541839718E-4</v>
      </c>
      <c r="R1555" s="22">
        <f>Constants!$H71*'Activity data'!AK13*Constants!$H89*FracLEACHMM*MMLeachEF*NtoN2O*kgtoGg</f>
        <v>5.620753208024884E-4</v>
      </c>
      <c r="S1555" s="22">
        <f>Constants!$H71*'Activity data'!AL13*Constants!$H89*FracLEACHMM*MMLeachEF*NtoN2O*kgtoGg</f>
        <v>5.65407082502121E-4</v>
      </c>
      <c r="T1555" s="22">
        <f>Constants!$H71*'Activity data'!AM13*Constants!$H89*FracLEACHMM*MMLeachEF*NtoN2O*kgtoGg</f>
        <v>5.6703451753723681E-4</v>
      </c>
      <c r="U1555" s="22">
        <f>Constants!$H71*'Activity data'!AN13*Constants!$H89*FracLEACHMM*MMLeachEF*NtoN2O*kgtoGg</f>
        <v>5.6889992124546543E-4</v>
      </c>
      <c r="V1555" s="22">
        <f>Constants!$H71*'Activity data'!AO13*Constants!$H89*FracLEACHMM*MMLeachEF*NtoN2O*kgtoGg</f>
        <v>5.7080142404289684E-4</v>
      </c>
      <c r="W1555" s="22">
        <f>Constants!$H71*'Activity data'!AP13*Constants!$H89*FracLEACHMM*MMLeachEF*NtoN2O*kgtoGg</f>
        <v>5.7286374667304399E-4</v>
      </c>
      <c r="X1555" s="22">
        <f>Constants!$H71*'Activity data'!AQ13*Constants!$H89*FracLEACHMM*MMLeachEF*NtoN2O*kgtoGg</f>
        <v>5.7508348073871955E-4</v>
      </c>
      <c r="Y1555" s="22">
        <f>Constants!$H71*'Activity data'!AR13*Constants!$H89*FracLEACHMM*MMLeachEF*NtoN2O*kgtoGg</f>
        <v>5.765040134864081E-4</v>
      </c>
      <c r="Z1555" s="22">
        <f>Constants!$H71*'Activity data'!AS13*Constants!$H89*FracLEACHMM*MMLeachEF*NtoN2O*kgtoGg</f>
        <v>5.7805815510049798E-4</v>
      </c>
      <c r="AA1555" s="22">
        <f>Constants!$H71*'Activity data'!AT13*Constants!$H89*FracLEACHMM*MMLeachEF*NtoN2O*kgtoGg</f>
        <v>5.7972772798702628E-4</v>
      </c>
      <c r="AB1555" s="22">
        <f>Constants!$H71*'Activity data'!AU13*Constants!$H89*FracLEACHMM*MMLeachEF*NtoN2O*kgtoGg</f>
        <v>5.8151809327226973E-4</v>
      </c>
      <c r="AC1555" s="22">
        <f>Constants!$H71*'Activity data'!AV13*Constants!$H89*FracLEACHMM*MMLeachEF*NtoN2O*kgtoGg</f>
        <v>5.8341243976409618E-4</v>
      </c>
      <c r="AD1555" s="22">
        <f>Constants!$H71*'Activity data'!AW13*Constants!$H89*FracLEACHMM*MMLeachEF*NtoN2O*kgtoGg</f>
        <v>5.8467575387111191E-4</v>
      </c>
      <c r="AE1555" s="22">
        <f>Constants!$H71*'Activity data'!AX13*Constants!$H89*FracLEACHMM*MMLeachEF*NtoN2O*kgtoGg</f>
        <v>5.8602300319697499E-4</v>
      </c>
      <c r="AF1555" s="22">
        <f>Constants!$H71*'Activity data'!AY13*Constants!$H89*FracLEACHMM*MMLeachEF*NtoN2O*kgtoGg</f>
        <v>5.8746559148115021E-4</v>
      </c>
      <c r="AG1555" s="22">
        <f>Constants!$H71*'Activity data'!AZ13*Constants!$H89*FracLEACHMM*MMLeachEF*NtoN2O*kgtoGg</f>
        <v>5.8901817067528485E-4</v>
      </c>
      <c r="AH1555" s="22">
        <f>Constants!$H71*'Activity data'!BA13*Constants!$H89*FracLEACHMM*MMLeachEF*NtoN2O*kgtoGg</f>
        <v>5.9063383572059778E-4</v>
      </c>
      <c r="AI1555" s="22">
        <f>Constants!$H71*'Activity data'!BB13*Constants!$H89*FracLEACHMM*MMLeachEF*NtoN2O*kgtoGg</f>
        <v>5.9163445865223843E-4</v>
      </c>
      <c r="AJ1555" s="22">
        <f>Constants!$H71*'Activity data'!BC13*Constants!$H89*FracLEACHMM*MMLeachEF*NtoN2O*kgtoGg</f>
        <v>5.927203167225099E-4</v>
      </c>
      <c r="AK1555" s="22">
        <f>Constants!$H71*'Activity data'!BD13*Constants!$H89*FracLEACHMM*MMLeachEF*NtoN2O*kgtoGg</f>
        <v>5.9385364522191255E-4</v>
      </c>
      <c r="AL1555" s="22">
        <f>Constants!$H71*'Activity data'!BE13*Constants!$H89*FracLEACHMM*MMLeachEF*NtoN2O*kgtoGg</f>
        <v>5.9504779442231843E-4</v>
      </c>
      <c r="AM1555" s="22">
        <f>Constants!$H71*'Activity data'!BF13*Constants!$H89*FracLEACHMM*MMLeachEF*NtoN2O*kgtoGg</f>
        <v>5.9630112936813668E-4</v>
      </c>
      <c r="AN1555" s="22">
        <f>Constants!$H71*'Activity data'!BG13*Constants!$H89*FracLEACHMM*MMLeachEF*NtoN2O*kgtoGg</f>
        <v>5.9698587491705869E-4</v>
      </c>
      <c r="AO1555" s="22">
        <f>Constants!$H71*'Activity data'!BH13*Constants!$H89*FracLEACHMM*MMLeachEF*NtoN2O*kgtoGg</f>
        <v>5.9771375764922606E-4</v>
      </c>
      <c r="AP1555" s="22">
        <f>Constants!$H71*'Activity data'!BI13*Constants!$H89*FracLEACHMM*MMLeachEF*NtoN2O*kgtoGg</f>
        <v>5.9850335838718442E-4</v>
      </c>
      <c r="AQ1555" s="22">
        <f>Constants!$H71*'Activity data'!BJ13*Constants!$H89*FracLEACHMM*MMLeachEF*NtoN2O*kgtoGg</f>
        <v>5.993539230264727E-4</v>
      </c>
      <c r="AR1555" s="22">
        <f>Constants!$H71*'Activity data'!BK13*Constants!$H89*FracLEACHMM*MMLeachEF*NtoN2O*kgtoGg</f>
        <v>6.0026554968942018E-4</v>
      </c>
      <c r="AS1555" s="22">
        <f>Constants!$H71*'Activity data'!BL13*Constants!$H89*FracLEACHMM*MMLeachEF*NtoN2O*kgtoGg</f>
        <v>6.0058687026311956E-4</v>
      </c>
      <c r="AT1555" s="22">
        <f>Constants!$H71*'Activity data'!BM13*Constants!$H89*FracLEACHMM*MMLeachEF*NtoN2O*kgtoGg</f>
        <v>6.0072956880295909E-4</v>
      </c>
      <c r="AU1555" s="22">
        <f>Constants!$H71*'Activity data'!BN13*Constants!$H89*FracLEACHMM*MMLeachEF*NtoN2O*kgtoGg</f>
        <v>6.0089545684115426E-4</v>
      </c>
      <c r="AV1555" s="22">
        <f>Constants!$H71*'Activity data'!BO13*Constants!$H89*FracLEACHMM*MMLeachEF*NtoN2O*kgtoGg</f>
        <v>6.0107404835249166E-4</v>
      </c>
      <c r="AW1555" s="22">
        <f>Constants!$H71*'Activity data'!BP13*Constants!$H89*FracLEACHMM*MMLeachEF*NtoN2O*kgtoGg</f>
        <v>6.0128502571355803E-4</v>
      </c>
    </row>
    <row r="1556" spans="1:49" x14ac:dyDescent="0.3">
      <c r="A1556" s="95" t="s">
        <v>960</v>
      </c>
      <c r="B1556" s="95"/>
      <c r="C1556" s="95"/>
      <c r="D1556" t="str">
        <f t="shared" si="579"/>
        <v>3C Aggregated and non-CO2 emissions on land</v>
      </c>
      <c r="E1556" t="str">
        <f t="shared" si="579"/>
        <v>3C6 Indirect N2O from manure management (N2O)</v>
      </c>
      <c r="F1556" t="str">
        <f t="shared" si="579"/>
        <v>Leaching/runoff</v>
      </c>
      <c r="G1556" t="str">
        <f t="shared" si="578"/>
        <v xml:space="preserve"> - Subsistence goats</v>
      </c>
      <c r="H1556" t="str">
        <f t="shared" si="576"/>
        <v>Leaching/runoff - Subsistence goats</v>
      </c>
      <c r="I1556" t="str">
        <f t="shared" si="571"/>
        <v>N2O</v>
      </c>
      <c r="J1556" t="str">
        <f t="shared" si="570"/>
        <v>Gg N2O</v>
      </c>
      <c r="K1556" s="22">
        <f>Constants!$H72*'Activity data'!AD14*Constants!$H90*FracLEACHMM*MMLeachEF*NtoN2O*kgtoGg</f>
        <v>6.6992563985089947E-3</v>
      </c>
      <c r="L1556" s="22">
        <f>Constants!$H72*'Activity data'!AE14*Constants!$H90*FracLEACHMM*MMLeachEF*NtoN2O*kgtoGg</f>
        <v>6.716671231449923E-3</v>
      </c>
      <c r="M1556" s="22">
        <f>Constants!$H72*'Activity data'!AF14*Constants!$H90*FracLEACHMM*MMLeachEF*NtoN2O*kgtoGg</f>
        <v>6.7406943780734313E-3</v>
      </c>
      <c r="N1556" s="22">
        <f>Constants!$H72*'Activity data'!AG14*Constants!$H90*FracLEACHMM*MMLeachEF*NtoN2O*kgtoGg</f>
        <v>6.7699609151951386E-3</v>
      </c>
      <c r="O1556" s="22">
        <f>Constants!$H72*'Activity data'!AH14*Constants!$H90*FracLEACHMM*MMLeachEF*NtoN2O*kgtoGg</f>
        <v>6.8044291009834836E-3</v>
      </c>
      <c r="P1556" s="22">
        <f>Constants!$H72*'Activity data'!AI14*Constants!$H90*FracLEACHMM*MMLeachEF*NtoN2O*kgtoGg</f>
        <v>6.8438891439814974E-3</v>
      </c>
      <c r="Q1556" s="22">
        <f>Constants!$H72*'Activity data'!AJ14*Constants!$H90*FracLEACHMM*MMLeachEF*NtoN2O*kgtoGg</f>
        <v>6.8863566425632575E-3</v>
      </c>
      <c r="R1556" s="22">
        <f>Constants!$H72*'Activity data'!AK14*Constants!$H90*FracLEACHMM*MMLeachEF*NtoN2O*kgtoGg</f>
        <v>6.9316634884048298E-3</v>
      </c>
      <c r="S1556" s="22">
        <f>Constants!$H72*'Activity data'!AL14*Constants!$H90*FracLEACHMM*MMLeachEF*NtoN2O*kgtoGg</f>
        <v>6.9727516665736141E-3</v>
      </c>
      <c r="T1556" s="22">
        <f>Constants!$H72*'Activity data'!AM14*Constants!$H90*FracLEACHMM*MMLeachEF*NtoN2O*kgtoGg</f>
        <v>6.9928216315679071E-3</v>
      </c>
      <c r="U1556" s="22">
        <f>Constants!$H72*'Activity data'!AN14*Constants!$H90*FracLEACHMM*MMLeachEF*NtoN2O*kgtoGg</f>
        <v>7.0158262900129739E-3</v>
      </c>
      <c r="V1556" s="22">
        <f>Constants!$H72*'Activity data'!AO14*Constants!$H90*FracLEACHMM*MMLeachEF*NtoN2O*kgtoGg</f>
        <v>7.0392761321003963E-3</v>
      </c>
      <c r="W1556" s="22">
        <f>Constants!$H72*'Activity data'!AP14*Constants!$H90*FracLEACHMM*MMLeachEF*NtoN2O*kgtoGg</f>
        <v>7.0647092474634627E-3</v>
      </c>
      <c r="X1556" s="22">
        <f>Constants!$H72*'Activity data'!AQ14*Constants!$H90*FracLEACHMM*MMLeachEF*NtoN2O*kgtoGg</f>
        <v>7.0920836028346328E-3</v>
      </c>
      <c r="Y1556" s="22">
        <f>Constants!$H72*'Activity data'!AR14*Constants!$H90*FracLEACHMM*MMLeachEF*NtoN2O*kgtoGg</f>
        <v>7.1096019933720011E-3</v>
      </c>
      <c r="Z1556" s="22">
        <f>Constants!$H72*'Activity data'!AS14*Constants!$H90*FracLEACHMM*MMLeachEF*NtoN2O*kgtoGg</f>
        <v>7.1287680842560801E-3</v>
      </c>
      <c r="AA1556" s="22">
        <f>Constants!$H72*'Activity data'!AT14*Constants!$H90*FracLEACHMM*MMLeachEF*NtoN2O*kgtoGg</f>
        <v>7.1493577045266439E-3</v>
      </c>
      <c r="AB1556" s="22">
        <f>Constants!$H72*'Activity data'!AU14*Constants!$H90*FracLEACHMM*MMLeachEF*NtoN2O*kgtoGg</f>
        <v>7.1714369690296844E-3</v>
      </c>
      <c r="AC1556" s="22">
        <f>Constants!$H72*'Activity data'!AV14*Constants!$H90*FracLEACHMM*MMLeachEF*NtoN2O*kgtoGg</f>
        <v>7.1947985576385452E-3</v>
      </c>
      <c r="AD1556" s="22">
        <f>Constants!$H72*'Activity data'!AW14*Constants!$H90*FracLEACHMM*MMLeachEF*NtoN2O*kgtoGg</f>
        <v>7.2103780857656428E-3</v>
      </c>
      <c r="AE1556" s="22">
        <f>Constants!$H72*'Activity data'!AX14*Constants!$H90*FracLEACHMM*MMLeachEF*NtoN2O*kgtoGg</f>
        <v>7.2269927255056137E-3</v>
      </c>
      <c r="AF1556" s="22">
        <f>Constants!$H72*'Activity data'!AY14*Constants!$H90*FracLEACHMM*MMLeachEF*NtoN2O*kgtoGg</f>
        <v>7.2447831108296695E-3</v>
      </c>
      <c r="AG1556" s="22">
        <f>Constants!$H72*'Activity data'!AZ14*Constants!$H90*FracLEACHMM*MMLeachEF*NtoN2O*kgtoGg</f>
        <v>7.2639299335321393E-3</v>
      </c>
      <c r="AH1556" s="22">
        <f>Constants!$H72*'Activity data'!BA14*Constants!$H90*FracLEACHMM*MMLeachEF*NtoN2O*kgtoGg</f>
        <v>7.2838547478579095E-3</v>
      </c>
      <c r="AI1556" s="22">
        <f>Constants!$H72*'Activity data'!BB14*Constants!$H90*FracLEACHMM*MMLeachEF*NtoN2O*kgtoGg</f>
        <v>7.2961946980108746E-3</v>
      </c>
      <c r="AJ1556" s="22">
        <f>Constants!$H72*'Activity data'!BC14*Constants!$H90*FracLEACHMM*MMLeachEF*NtoN2O*kgtoGg</f>
        <v>7.3095857907358557E-3</v>
      </c>
      <c r="AK1556" s="22">
        <f>Constants!$H72*'Activity data'!BD14*Constants!$H90*FracLEACHMM*MMLeachEF*NtoN2O*kgtoGg</f>
        <v>7.3235623015146271E-3</v>
      </c>
      <c r="AL1556" s="22">
        <f>Constants!$H72*'Activity data'!BE14*Constants!$H90*FracLEACHMM*MMLeachEF*NtoN2O*kgtoGg</f>
        <v>7.3382888694777E-3</v>
      </c>
      <c r="AM1556" s="22">
        <f>Constants!$H72*'Activity data'!BF14*Constants!$H90*FracLEACHMM*MMLeachEF*NtoN2O*kgtoGg</f>
        <v>7.3537453319145558E-3</v>
      </c>
      <c r="AN1556" s="22">
        <f>Constants!$H72*'Activity data'!BG14*Constants!$H90*FracLEACHMM*MMLeachEF*NtoN2O*kgtoGg</f>
        <v>7.3621897975308988E-3</v>
      </c>
      <c r="AO1556" s="22">
        <f>Constants!$H72*'Activity data'!BH14*Constants!$H90*FracLEACHMM*MMLeachEF*NtoN2O*kgtoGg</f>
        <v>7.3711662424514879E-3</v>
      </c>
      <c r="AP1556" s="22">
        <f>Constants!$H72*'Activity data'!BI14*Constants!$H90*FracLEACHMM*MMLeachEF*NtoN2O*kgtoGg</f>
        <v>7.3809038103594829E-3</v>
      </c>
      <c r="AQ1556" s="22">
        <f>Constants!$H72*'Activity data'!BJ14*Constants!$H90*FracLEACHMM*MMLeachEF*NtoN2O*kgtoGg</f>
        <v>7.3913932014365797E-3</v>
      </c>
      <c r="AR1556" s="22">
        <f>Constants!$H72*'Activity data'!BK14*Constants!$H90*FracLEACHMM*MMLeachEF*NtoN2O*kgtoGg</f>
        <v>7.4026356257536402E-3</v>
      </c>
      <c r="AS1556" s="22">
        <f>Constants!$H72*'Activity data'!BL14*Constants!$H90*FracLEACHMM*MMLeachEF*NtoN2O*kgtoGg</f>
        <v>7.4065982371801786E-3</v>
      </c>
      <c r="AT1556" s="22">
        <f>Constants!$H72*'Activity data'!BM14*Constants!$H90*FracLEACHMM*MMLeachEF*NtoN2O*kgtoGg</f>
        <v>7.408358033815691E-3</v>
      </c>
      <c r="AU1556" s="22">
        <f>Constants!$H72*'Activity data'!BN14*Constants!$H90*FracLEACHMM*MMLeachEF*NtoN2O*kgtoGg</f>
        <v>7.4104038095595542E-3</v>
      </c>
      <c r="AV1556" s="22">
        <f>Constants!$H72*'Activity data'!BO14*Constants!$H90*FracLEACHMM*MMLeachEF*NtoN2O*kgtoGg</f>
        <v>7.4126062479386483E-3</v>
      </c>
      <c r="AW1556" s="22">
        <f>Constants!$H72*'Activity data'!BP14*Constants!$H90*FracLEACHMM*MMLeachEF*NtoN2O*kgtoGg</f>
        <v>7.4152080772957795E-3</v>
      </c>
    </row>
    <row r="1557" spans="1:49" x14ac:dyDescent="0.3">
      <c r="A1557" s="95" t="s">
        <v>960</v>
      </c>
      <c r="B1557" s="95"/>
      <c r="C1557" s="95"/>
      <c r="D1557" t="str">
        <f t="shared" si="579"/>
        <v>3C Aggregated and non-CO2 emissions on land</v>
      </c>
      <c r="E1557" t="str">
        <f t="shared" si="579"/>
        <v>3C6 Indirect N2O from manure management (N2O)</v>
      </c>
      <c r="F1557" t="str">
        <f t="shared" si="579"/>
        <v>Leaching/runoff</v>
      </c>
      <c r="G1557" t="str">
        <f t="shared" si="578"/>
        <v xml:space="preserve"> - Horses</v>
      </c>
      <c r="H1557" t="str">
        <f t="shared" si="576"/>
        <v>Leaching/runoff - Horses</v>
      </c>
      <c r="I1557" t="str">
        <f t="shared" si="571"/>
        <v>N2O</v>
      </c>
      <c r="J1557" t="str">
        <f t="shared" si="570"/>
        <v>Gg N2O</v>
      </c>
      <c r="K1557" s="22">
        <f>Constants!$H73*'Activity data'!AD15*Constants!$H91*FracLEACHMM*MMLeachEF*NtoN2O*kgtoGg</f>
        <v>0</v>
      </c>
      <c r="L1557" s="22">
        <f>Constants!$H73*'Activity data'!AE15*Constants!$H91*FracLEACHMM*MMLeachEF*NtoN2O*kgtoGg</f>
        <v>0</v>
      </c>
      <c r="M1557" s="22">
        <f>Constants!$H73*'Activity data'!AF15*Constants!$H91*FracLEACHMM*MMLeachEF*NtoN2O*kgtoGg</f>
        <v>0</v>
      </c>
      <c r="N1557" s="22">
        <f>Constants!$H73*'Activity data'!AG15*Constants!$H91*FracLEACHMM*MMLeachEF*NtoN2O*kgtoGg</f>
        <v>0</v>
      </c>
      <c r="O1557" s="22">
        <f>Constants!$H73*'Activity data'!AH15*Constants!$H91*FracLEACHMM*MMLeachEF*NtoN2O*kgtoGg</f>
        <v>0</v>
      </c>
      <c r="P1557" s="22">
        <f>Constants!$H73*'Activity data'!AI15*Constants!$H91*FracLEACHMM*MMLeachEF*NtoN2O*kgtoGg</f>
        <v>0</v>
      </c>
      <c r="Q1557" s="22">
        <f>Constants!$H73*'Activity data'!AJ15*Constants!$H91*FracLEACHMM*MMLeachEF*NtoN2O*kgtoGg</f>
        <v>0</v>
      </c>
      <c r="R1557" s="22">
        <f>Constants!$H73*'Activity data'!AK15*Constants!$H91*FracLEACHMM*MMLeachEF*NtoN2O*kgtoGg</f>
        <v>0</v>
      </c>
      <c r="S1557" s="22">
        <f>Constants!$H73*'Activity data'!AL15*Constants!$H91*FracLEACHMM*MMLeachEF*NtoN2O*kgtoGg</f>
        <v>0</v>
      </c>
      <c r="T1557" s="22">
        <f>Constants!$H73*'Activity data'!AM15*Constants!$H91*FracLEACHMM*MMLeachEF*NtoN2O*kgtoGg</f>
        <v>0</v>
      </c>
      <c r="U1557" s="22">
        <f>Constants!$H73*'Activity data'!AN15*Constants!$H91*FracLEACHMM*MMLeachEF*NtoN2O*kgtoGg</f>
        <v>0</v>
      </c>
      <c r="V1557" s="22">
        <f>Constants!$H73*'Activity data'!AO15*Constants!$H91*FracLEACHMM*MMLeachEF*NtoN2O*kgtoGg</f>
        <v>0</v>
      </c>
      <c r="W1557" s="22">
        <f>Constants!$H73*'Activity data'!AP15*Constants!$H91*FracLEACHMM*MMLeachEF*NtoN2O*kgtoGg</f>
        <v>0</v>
      </c>
      <c r="X1557" s="22">
        <f>Constants!$H73*'Activity data'!AQ15*Constants!$H91*FracLEACHMM*MMLeachEF*NtoN2O*kgtoGg</f>
        <v>0</v>
      </c>
      <c r="Y1557" s="22">
        <f>Constants!$H73*'Activity data'!AR15*Constants!$H91*FracLEACHMM*MMLeachEF*NtoN2O*kgtoGg</f>
        <v>0</v>
      </c>
      <c r="Z1557" s="22">
        <f>Constants!$H73*'Activity data'!AS15*Constants!$H91*FracLEACHMM*MMLeachEF*NtoN2O*kgtoGg</f>
        <v>0</v>
      </c>
      <c r="AA1557" s="22">
        <f>Constants!$H73*'Activity data'!AT15*Constants!$H91*FracLEACHMM*MMLeachEF*NtoN2O*kgtoGg</f>
        <v>0</v>
      </c>
      <c r="AB1557" s="22">
        <f>Constants!$H73*'Activity data'!AU15*Constants!$H91*FracLEACHMM*MMLeachEF*NtoN2O*kgtoGg</f>
        <v>0</v>
      </c>
      <c r="AC1557" s="22">
        <f>Constants!$H73*'Activity data'!AV15*Constants!$H91*FracLEACHMM*MMLeachEF*NtoN2O*kgtoGg</f>
        <v>0</v>
      </c>
      <c r="AD1557" s="22">
        <f>Constants!$H73*'Activity data'!AW15*Constants!$H91*FracLEACHMM*MMLeachEF*NtoN2O*kgtoGg</f>
        <v>0</v>
      </c>
      <c r="AE1557" s="22">
        <f>Constants!$H73*'Activity data'!AX15*Constants!$H91*FracLEACHMM*MMLeachEF*NtoN2O*kgtoGg</f>
        <v>0</v>
      </c>
      <c r="AF1557" s="22">
        <f>Constants!$H73*'Activity data'!AY15*Constants!$H91*FracLEACHMM*MMLeachEF*NtoN2O*kgtoGg</f>
        <v>0</v>
      </c>
      <c r="AG1557" s="22">
        <f>Constants!$H73*'Activity data'!AZ15*Constants!$H91*FracLEACHMM*MMLeachEF*NtoN2O*kgtoGg</f>
        <v>0</v>
      </c>
      <c r="AH1557" s="22">
        <f>Constants!$H73*'Activity data'!BA15*Constants!$H91*FracLEACHMM*MMLeachEF*NtoN2O*kgtoGg</f>
        <v>0</v>
      </c>
      <c r="AI1557" s="22">
        <f>Constants!$H73*'Activity data'!BB15*Constants!$H91*FracLEACHMM*MMLeachEF*NtoN2O*kgtoGg</f>
        <v>0</v>
      </c>
      <c r="AJ1557" s="22">
        <f>Constants!$H73*'Activity data'!BC15*Constants!$H91*FracLEACHMM*MMLeachEF*NtoN2O*kgtoGg</f>
        <v>0</v>
      </c>
      <c r="AK1557" s="22">
        <f>Constants!$H73*'Activity data'!BD15*Constants!$H91*FracLEACHMM*MMLeachEF*NtoN2O*kgtoGg</f>
        <v>0</v>
      </c>
      <c r="AL1557" s="22">
        <f>Constants!$H73*'Activity data'!BE15*Constants!$H91*FracLEACHMM*MMLeachEF*NtoN2O*kgtoGg</f>
        <v>0</v>
      </c>
      <c r="AM1557" s="22">
        <f>Constants!$H73*'Activity data'!BF15*Constants!$H91*FracLEACHMM*MMLeachEF*NtoN2O*kgtoGg</f>
        <v>0</v>
      </c>
      <c r="AN1557" s="22">
        <f>Constants!$H73*'Activity data'!BG15*Constants!$H91*FracLEACHMM*MMLeachEF*NtoN2O*kgtoGg</f>
        <v>0</v>
      </c>
      <c r="AO1557" s="22">
        <f>Constants!$H73*'Activity data'!BH15*Constants!$H91*FracLEACHMM*MMLeachEF*NtoN2O*kgtoGg</f>
        <v>0</v>
      </c>
      <c r="AP1557" s="22">
        <f>Constants!$H73*'Activity data'!BI15*Constants!$H91*FracLEACHMM*MMLeachEF*NtoN2O*kgtoGg</f>
        <v>0</v>
      </c>
      <c r="AQ1557" s="22">
        <f>Constants!$H73*'Activity data'!BJ15*Constants!$H91*FracLEACHMM*MMLeachEF*NtoN2O*kgtoGg</f>
        <v>0</v>
      </c>
      <c r="AR1557" s="22">
        <f>Constants!$H73*'Activity data'!BK15*Constants!$H91*FracLEACHMM*MMLeachEF*NtoN2O*kgtoGg</f>
        <v>0</v>
      </c>
      <c r="AS1557" s="22">
        <f>Constants!$H73*'Activity data'!BL15*Constants!$H91*FracLEACHMM*MMLeachEF*NtoN2O*kgtoGg</f>
        <v>0</v>
      </c>
      <c r="AT1557" s="22">
        <f>Constants!$H73*'Activity data'!BM15*Constants!$H91*FracLEACHMM*MMLeachEF*NtoN2O*kgtoGg</f>
        <v>0</v>
      </c>
      <c r="AU1557" s="22">
        <f>Constants!$H73*'Activity data'!BN15*Constants!$H91*FracLEACHMM*MMLeachEF*NtoN2O*kgtoGg</f>
        <v>0</v>
      </c>
      <c r="AV1557" s="22">
        <f>Constants!$H73*'Activity data'!BO15*Constants!$H91*FracLEACHMM*MMLeachEF*NtoN2O*kgtoGg</f>
        <v>0</v>
      </c>
      <c r="AW1557" s="22">
        <f>Constants!$H73*'Activity data'!BP15*Constants!$H91*FracLEACHMM*MMLeachEF*NtoN2O*kgtoGg</f>
        <v>0</v>
      </c>
    </row>
    <row r="1558" spans="1:49" x14ac:dyDescent="0.3">
      <c r="A1558" s="95" t="s">
        <v>960</v>
      </c>
      <c r="B1558" s="95"/>
      <c r="C1558" s="95"/>
      <c r="D1558" t="str">
        <f t="shared" si="579"/>
        <v>3C Aggregated and non-CO2 emissions on land</v>
      </c>
      <c r="E1558" t="str">
        <f t="shared" si="579"/>
        <v>3C6 Indirect N2O from manure management (N2O)</v>
      </c>
      <c r="F1558" t="str">
        <f t="shared" si="579"/>
        <v>Leaching/runoff</v>
      </c>
      <c r="G1558" t="str">
        <f t="shared" si="578"/>
        <v xml:space="preserve"> - Mules &amp; Asses</v>
      </c>
      <c r="H1558" t="str">
        <f t="shared" si="576"/>
        <v>Leaching/runoff - Mules &amp; Asses</v>
      </c>
      <c r="I1558" t="str">
        <f t="shared" si="571"/>
        <v>N2O</v>
      </c>
      <c r="J1558" t="str">
        <f t="shared" si="570"/>
        <v>Gg N2O</v>
      </c>
      <c r="K1558" s="22">
        <f>Constants!$H74*'Activity data'!AD16*Constants!$H92*FracLEACHMM*MMLeachEF*NtoN2O*kgtoGg</f>
        <v>0</v>
      </c>
      <c r="L1558" s="22">
        <f>Constants!$H74*'Activity data'!AE16*Constants!$H92*FracLEACHMM*MMLeachEF*NtoN2O*kgtoGg</f>
        <v>0</v>
      </c>
      <c r="M1558" s="22">
        <f>Constants!$H74*'Activity data'!AF16*Constants!$H92*FracLEACHMM*MMLeachEF*NtoN2O*kgtoGg</f>
        <v>0</v>
      </c>
      <c r="N1558" s="22">
        <f>Constants!$H74*'Activity data'!AG16*Constants!$H92*FracLEACHMM*MMLeachEF*NtoN2O*kgtoGg</f>
        <v>0</v>
      </c>
      <c r="O1558" s="22">
        <f>Constants!$H74*'Activity data'!AH16*Constants!$H92*FracLEACHMM*MMLeachEF*NtoN2O*kgtoGg</f>
        <v>0</v>
      </c>
      <c r="P1558" s="22">
        <f>Constants!$H74*'Activity data'!AI16*Constants!$H92*FracLEACHMM*MMLeachEF*NtoN2O*kgtoGg</f>
        <v>0</v>
      </c>
      <c r="Q1558" s="22">
        <f>Constants!$H74*'Activity data'!AJ16*Constants!$H92*FracLEACHMM*MMLeachEF*NtoN2O*kgtoGg</f>
        <v>0</v>
      </c>
      <c r="R1558" s="22">
        <f>Constants!$H74*'Activity data'!AK16*Constants!$H92*FracLEACHMM*MMLeachEF*NtoN2O*kgtoGg</f>
        <v>0</v>
      </c>
      <c r="S1558" s="22">
        <f>Constants!$H74*'Activity data'!AL16*Constants!$H92*FracLEACHMM*MMLeachEF*NtoN2O*kgtoGg</f>
        <v>0</v>
      </c>
      <c r="T1558" s="22">
        <f>Constants!$H74*'Activity data'!AM16*Constants!$H92*FracLEACHMM*MMLeachEF*NtoN2O*kgtoGg</f>
        <v>0</v>
      </c>
      <c r="U1558" s="22">
        <f>Constants!$H74*'Activity data'!AN16*Constants!$H92*FracLEACHMM*MMLeachEF*NtoN2O*kgtoGg</f>
        <v>0</v>
      </c>
      <c r="V1558" s="22">
        <f>Constants!$H74*'Activity data'!AO16*Constants!$H92*FracLEACHMM*MMLeachEF*NtoN2O*kgtoGg</f>
        <v>0</v>
      </c>
      <c r="W1558" s="22">
        <f>Constants!$H74*'Activity data'!AP16*Constants!$H92*FracLEACHMM*MMLeachEF*NtoN2O*kgtoGg</f>
        <v>0</v>
      </c>
      <c r="X1558" s="22">
        <f>Constants!$H74*'Activity data'!AQ16*Constants!$H92*FracLEACHMM*MMLeachEF*NtoN2O*kgtoGg</f>
        <v>0</v>
      </c>
      <c r="Y1558" s="22">
        <f>Constants!$H74*'Activity data'!AR16*Constants!$H92*FracLEACHMM*MMLeachEF*NtoN2O*kgtoGg</f>
        <v>0</v>
      </c>
      <c r="Z1558" s="22">
        <f>Constants!$H74*'Activity data'!AS16*Constants!$H92*FracLEACHMM*MMLeachEF*NtoN2O*kgtoGg</f>
        <v>0</v>
      </c>
      <c r="AA1558" s="22">
        <f>Constants!$H74*'Activity data'!AT16*Constants!$H92*FracLEACHMM*MMLeachEF*NtoN2O*kgtoGg</f>
        <v>0</v>
      </c>
      <c r="AB1558" s="22">
        <f>Constants!$H74*'Activity data'!AU16*Constants!$H92*FracLEACHMM*MMLeachEF*NtoN2O*kgtoGg</f>
        <v>0</v>
      </c>
      <c r="AC1558" s="22">
        <f>Constants!$H74*'Activity data'!AV16*Constants!$H92*FracLEACHMM*MMLeachEF*NtoN2O*kgtoGg</f>
        <v>0</v>
      </c>
      <c r="AD1558" s="22">
        <f>Constants!$H74*'Activity data'!AW16*Constants!$H92*FracLEACHMM*MMLeachEF*NtoN2O*kgtoGg</f>
        <v>0</v>
      </c>
      <c r="AE1558" s="22">
        <f>Constants!$H74*'Activity data'!AX16*Constants!$H92*FracLEACHMM*MMLeachEF*NtoN2O*kgtoGg</f>
        <v>0</v>
      </c>
      <c r="AF1558" s="22">
        <f>Constants!$H74*'Activity data'!AY16*Constants!$H92*FracLEACHMM*MMLeachEF*NtoN2O*kgtoGg</f>
        <v>0</v>
      </c>
      <c r="AG1558" s="22">
        <f>Constants!$H74*'Activity data'!AZ16*Constants!$H92*FracLEACHMM*MMLeachEF*NtoN2O*kgtoGg</f>
        <v>0</v>
      </c>
      <c r="AH1558" s="22">
        <f>Constants!$H74*'Activity data'!BA16*Constants!$H92*FracLEACHMM*MMLeachEF*NtoN2O*kgtoGg</f>
        <v>0</v>
      </c>
      <c r="AI1558" s="22">
        <f>Constants!$H74*'Activity data'!BB16*Constants!$H92*FracLEACHMM*MMLeachEF*NtoN2O*kgtoGg</f>
        <v>0</v>
      </c>
      <c r="AJ1558" s="22">
        <f>Constants!$H74*'Activity data'!BC16*Constants!$H92*FracLEACHMM*MMLeachEF*NtoN2O*kgtoGg</f>
        <v>0</v>
      </c>
      <c r="AK1558" s="22">
        <f>Constants!$H74*'Activity data'!BD16*Constants!$H92*FracLEACHMM*MMLeachEF*NtoN2O*kgtoGg</f>
        <v>0</v>
      </c>
      <c r="AL1558" s="22">
        <f>Constants!$H74*'Activity data'!BE16*Constants!$H92*FracLEACHMM*MMLeachEF*NtoN2O*kgtoGg</f>
        <v>0</v>
      </c>
      <c r="AM1558" s="22">
        <f>Constants!$H74*'Activity data'!BF16*Constants!$H92*FracLEACHMM*MMLeachEF*NtoN2O*kgtoGg</f>
        <v>0</v>
      </c>
      <c r="AN1558" s="22">
        <f>Constants!$H74*'Activity data'!BG16*Constants!$H92*FracLEACHMM*MMLeachEF*NtoN2O*kgtoGg</f>
        <v>0</v>
      </c>
      <c r="AO1558" s="22">
        <f>Constants!$H74*'Activity data'!BH16*Constants!$H92*FracLEACHMM*MMLeachEF*NtoN2O*kgtoGg</f>
        <v>0</v>
      </c>
      <c r="AP1558" s="22">
        <f>Constants!$H74*'Activity data'!BI16*Constants!$H92*FracLEACHMM*MMLeachEF*NtoN2O*kgtoGg</f>
        <v>0</v>
      </c>
      <c r="AQ1558" s="22">
        <f>Constants!$H74*'Activity data'!BJ16*Constants!$H92*FracLEACHMM*MMLeachEF*NtoN2O*kgtoGg</f>
        <v>0</v>
      </c>
      <c r="AR1558" s="22">
        <f>Constants!$H74*'Activity data'!BK16*Constants!$H92*FracLEACHMM*MMLeachEF*NtoN2O*kgtoGg</f>
        <v>0</v>
      </c>
      <c r="AS1558" s="22">
        <f>Constants!$H74*'Activity data'!BL16*Constants!$H92*FracLEACHMM*MMLeachEF*NtoN2O*kgtoGg</f>
        <v>0</v>
      </c>
      <c r="AT1558" s="22">
        <f>Constants!$H74*'Activity data'!BM16*Constants!$H92*FracLEACHMM*MMLeachEF*NtoN2O*kgtoGg</f>
        <v>0</v>
      </c>
      <c r="AU1558" s="22">
        <f>Constants!$H74*'Activity data'!BN16*Constants!$H92*FracLEACHMM*MMLeachEF*NtoN2O*kgtoGg</f>
        <v>0</v>
      </c>
      <c r="AV1558" s="22">
        <f>Constants!$H74*'Activity data'!BO16*Constants!$H92*FracLEACHMM*MMLeachEF*NtoN2O*kgtoGg</f>
        <v>0</v>
      </c>
      <c r="AW1558" s="22">
        <f>Constants!$H74*'Activity data'!BP16*Constants!$H92*FracLEACHMM*MMLeachEF*NtoN2O*kgtoGg</f>
        <v>0</v>
      </c>
    </row>
    <row r="1559" spans="1:49" x14ac:dyDescent="0.3">
      <c r="A1559" s="95" t="s">
        <v>960</v>
      </c>
      <c r="B1559" s="95"/>
      <c r="C1559" s="95"/>
      <c r="D1559" t="str">
        <f t="shared" si="579"/>
        <v>3C Aggregated and non-CO2 emissions on land</v>
      </c>
      <c r="E1559" t="str">
        <f t="shared" si="579"/>
        <v>3C6 Indirect N2O from manure management (N2O)</v>
      </c>
      <c r="F1559" t="str">
        <f t="shared" si="579"/>
        <v>Leaching/runoff</v>
      </c>
      <c r="G1559" t="str">
        <f t="shared" si="578"/>
        <v xml:space="preserve"> - Commercial swine</v>
      </c>
      <c r="H1559" t="str">
        <f t="shared" si="576"/>
        <v>Leaching/runoff - Commercial swine</v>
      </c>
      <c r="I1559" t="str">
        <f t="shared" si="571"/>
        <v>N2O</v>
      </c>
      <c r="J1559" t="str">
        <f t="shared" si="570"/>
        <v>Gg N2O</v>
      </c>
      <c r="K1559" s="22">
        <f>Constants!$H75*'Activity data'!AD17*Constants!$H93*FracLEACHMM*MMLeachEF*NtoN2O*kgtoGg</f>
        <v>2.6875086183165937E-2</v>
      </c>
      <c r="L1559" s="22">
        <f>Constants!$H75*'Activity data'!AE17*Constants!$H93*FracLEACHMM*MMLeachEF*NtoN2O*kgtoGg</f>
        <v>2.6729002214214568E-2</v>
      </c>
      <c r="M1559" s="22">
        <f>Constants!$H75*'Activity data'!AF17*Constants!$H93*FracLEACHMM*MMLeachEF*NtoN2O*kgtoGg</f>
        <v>2.6740992333189318E-2</v>
      </c>
      <c r="N1559" s="22">
        <f>Constants!$H75*'Activity data'!AG17*Constants!$H93*FracLEACHMM*MMLeachEF*NtoN2O*kgtoGg</f>
        <v>2.6495489531984443E-2</v>
      </c>
      <c r="O1559" s="22">
        <f>Constants!$H75*'Activity data'!AH17*Constants!$H93*FracLEACHMM*MMLeachEF*NtoN2O*kgtoGg</f>
        <v>2.609452683304701E-2</v>
      </c>
      <c r="P1559" s="22">
        <f>Constants!$H75*'Activity data'!AI17*Constants!$H93*FracLEACHMM*MMLeachEF*NtoN2O*kgtoGg</f>
        <v>2.5544514050244025E-2</v>
      </c>
      <c r="Q1559" s="22">
        <f>Constants!$H75*'Activity data'!AJ17*Constants!$H93*FracLEACHMM*MMLeachEF*NtoN2O*kgtoGg</f>
        <v>2.5145143775072754E-2</v>
      </c>
      <c r="R1559" s="22">
        <f>Constants!$H75*'Activity data'!AK17*Constants!$H93*FracLEACHMM*MMLeachEF*NtoN2O*kgtoGg</f>
        <v>2.4781112413324514E-2</v>
      </c>
      <c r="S1559" s="22">
        <f>Constants!$H75*'Activity data'!AL17*Constants!$H93*FracLEACHMM*MMLeachEF*NtoN2O*kgtoGg</f>
        <v>2.1880480805765091E-2</v>
      </c>
      <c r="T1559" s="22">
        <f>Constants!$H75*'Activity data'!AM17*Constants!$H93*FracLEACHMM*MMLeachEF*NtoN2O*kgtoGg</f>
        <v>2.2157174302587897E-2</v>
      </c>
      <c r="U1559" s="22">
        <f>Constants!$H75*'Activity data'!AN17*Constants!$H93*FracLEACHMM*MMLeachEF*NtoN2O*kgtoGg</f>
        <v>2.2750904230467162E-2</v>
      </c>
      <c r="V1559" s="22">
        <f>Constants!$H75*'Activity data'!AO17*Constants!$H93*FracLEACHMM*MMLeachEF*NtoN2O*kgtoGg</f>
        <v>2.2804811823411601E-2</v>
      </c>
      <c r="W1559" s="22">
        <f>Constants!$H75*'Activity data'!AP17*Constants!$H93*FracLEACHMM*MMLeachEF*NtoN2O*kgtoGg</f>
        <v>2.292155171126611E-2</v>
      </c>
      <c r="X1559" s="22">
        <f>Constants!$H75*'Activity data'!AQ17*Constants!$H93*FracLEACHMM*MMLeachEF*NtoN2O*kgtoGg</f>
        <v>2.3117832526296487E-2</v>
      </c>
      <c r="Y1559" s="22">
        <f>Constants!$H75*'Activity data'!AR17*Constants!$H93*FracLEACHMM*MMLeachEF*NtoN2O*kgtoGg</f>
        <v>2.3364125716575319E-2</v>
      </c>
      <c r="Z1559" s="22">
        <f>Constants!$H75*'Activity data'!AS17*Constants!$H93*FracLEACHMM*MMLeachEF*NtoN2O*kgtoGg</f>
        <v>2.3665937141590494E-2</v>
      </c>
      <c r="AA1559" s="22">
        <f>Constants!$H75*'Activity data'!AT17*Constants!$H93*FracLEACHMM*MMLeachEF*NtoN2O*kgtoGg</f>
        <v>2.3971277948899337E-2</v>
      </c>
      <c r="AB1559" s="22">
        <f>Constants!$H75*'Activity data'!AU17*Constants!$H93*FracLEACHMM*MMLeachEF*NtoN2O*kgtoGg</f>
        <v>2.4323808269457244E-2</v>
      </c>
      <c r="AC1559" s="22">
        <f>Constants!$H75*'Activity data'!AV17*Constants!$H93*FracLEACHMM*MMLeachEF*NtoN2O*kgtoGg</f>
        <v>2.4673905433943388E-2</v>
      </c>
      <c r="AD1559" s="22">
        <f>Constants!$H75*'Activity data'!AW17*Constants!$H93*FracLEACHMM*MMLeachEF*NtoN2O*kgtoGg</f>
        <v>2.5109167618050737E-2</v>
      </c>
      <c r="AE1559" s="22">
        <f>Constants!$H75*'Activity data'!AX17*Constants!$H93*FracLEACHMM*MMLeachEF*NtoN2O*kgtoGg</f>
        <v>2.5509858249217851E-2</v>
      </c>
      <c r="AF1559" s="22">
        <f>Constants!$H75*'Activity data'!AY17*Constants!$H93*FracLEACHMM*MMLeachEF*NtoN2O*kgtoGg</f>
        <v>2.5936225115881856E-2</v>
      </c>
      <c r="AG1559" s="22">
        <f>Constants!$H75*'Activity data'!AZ17*Constants!$H93*FracLEACHMM*MMLeachEF*NtoN2O*kgtoGg</f>
        <v>2.6456337070766354E-2</v>
      </c>
      <c r="AH1559" s="22">
        <f>Constants!$H75*'Activity data'!BA17*Constants!$H93*FracLEACHMM*MMLeachEF*NtoN2O*kgtoGg</f>
        <v>2.6902942278627297E-2</v>
      </c>
      <c r="AI1559" s="22">
        <f>Constants!$H75*'Activity data'!BB17*Constants!$H93*FracLEACHMM*MMLeachEF*NtoN2O*kgtoGg</f>
        <v>2.7384983876862477E-2</v>
      </c>
      <c r="AJ1559" s="22">
        <f>Constants!$H75*'Activity data'!BC17*Constants!$H93*FracLEACHMM*MMLeachEF*NtoN2O*kgtoGg</f>
        <v>2.7908158351219941E-2</v>
      </c>
      <c r="AK1559" s="22">
        <f>Constants!$H75*'Activity data'!BD17*Constants!$H93*FracLEACHMM*MMLeachEF*NtoN2O*kgtoGg</f>
        <v>2.8344604443718637E-2</v>
      </c>
      <c r="AL1559" s="22">
        <f>Constants!$H75*'Activity data'!BE17*Constants!$H93*FracLEACHMM*MMLeachEF*NtoN2O*kgtoGg</f>
        <v>2.8753897192929187E-2</v>
      </c>
      <c r="AM1559" s="22">
        <f>Constants!$H75*'Activity data'!BF17*Constants!$H93*FracLEACHMM*MMLeachEF*NtoN2O*kgtoGg</f>
        <v>2.9139337629284397E-2</v>
      </c>
      <c r="AN1559" s="22">
        <f>Constants!$H75*'Activity data'!BG17*Constants!$H93*FracLEACHMM*MMLeachEF*NtoN2O*kgtoGg</f>
        <v>2.9584390604572932E-2</v>
      </c>
      <c r="AO1559" s="22">
        <f>Constants!$H75*'Activity data'!BH17*Constants!$H93*FracLEACHMM*MMLeachEF*NtoN2O*kgtoGg</f>
        <v>2.9970416689145254E-2</v>
      </c>
      <c r="AP1559" s="22">
        <f>Constants!$H75*'Activity data'!BI17*Constants!$H93*FracLEACHMM*MMLeachEF*NtoN2O*kgtoGg</f>
        <v>3.0368893670993099E-2</v>
      </c>
      <c r="AQ1559" s="22">
        <f>Constants!$H75*'Activity data'!BJ17*Constants!$H93*FracLEACHMM*MMLeachEF*NtoN2O*kgtoGg</f>
        <v>3.0782827170501174E-2</v>
      </c>
      <c r="AR1559" s="22">
        <f>Constants!$H75*'Activity data'!BK17*Constants!$H93*FracLEACHMM*MMLeachEF*NtoN2O*kgtoGg</f>
        <v>3.1217396528975507E-2</v>
      </c>
      <c r="AS1559" s="22">
        <f>Constants!$H75*'Activity data'!BL17*Constants!$H93*FracLEACHMM*MMLeachEF*NtoN2O*kgtoGg</f>
        <v>3.1673723172219483E-2</v>
      </c>
      <c r="AT1559" s="22">
        <f>Constants!$H75*'Activity data'!BM17*Constants!$H93*FracLEACHMM*MMLeachEF*NtoN2O*kgtoGg</f>
        <v>3.1396042142995774E-2</v>
      </c>
      <c r="AU1559" s="22">
        <f>Constants!$H75*'Activity data'!BN17*Constants!$H93*FracLEACHMM*MMLeachEF*NtoN2O*kgtoGg</f>
        <v>3.1054190241510845E-2</v>
      </c>
      <c r="AV1559" s="22">
        <f>Constants!$H75*'Activity data'!BO17*Constants!$H93*FracLEACHMM*MMLeachEF*NtoN2O*kgtoGg</f>
        <v>3.0622832551979947E-2</v>
      </c>
      <c r="AW1559" s="22">
        <f>Constants!$H75*'Activity data'!BP17*Constants!$H93*FracLEACHMM*MMLeachEF*NtoN2O*kgtoGg</f>
        <v>3.01703196842419E-2</v>
      </c>
    </row>
    <row r="1560" spans="1:49" x14ac:dyDescent="0.3">
      <c r="A1560" s="95" t="s">
        <v>960</v>
      </c>
      <c r="B1560" s="95"/>
      <c r="C1560" s="95"/>
      <c r="D1560" t="str">
        <f t="shared" si="579"/>
        <v>3C Aggregated and non-CO2 emissions on land</v>
      </c>
      <c r="E1560" t="str">
        <f>E1559</f>
        <v>3C6 Indirect N2O from manure management (N2O)</v>
      </c>
      <c r="F1560" t="str">
        <f t="shared" si="579"/>
        <v>Leaching/runoff</v>
      </c>
      <c r="G1560" t="str">
        <f>G1544</f>
        <v xml:space="preserve"> - Subsistence swine</v>
      </c>
      <c r="H1560" t="str">
        <f t="shared" si="576"/>
        <v>Leaching/runoff - Subsistence swine</v>
      </c>
      <c r="I1560" t="str">
        <f t="shared" si="571"/>
        <v>N2O</v>
      </c>
      <c r="J1560" t="str">
        <f t="shared" si="570"/>
        <v>Gg N2O</v>
      </c>
      <c r="K1560" s="22">
        <f>Constants!$H76*'Activity data'!AD18*Constants!$H94*FracLEACHMM*MMLeachEF*NtoN2O*kgtoGg</f>
        <v>4.0166140097319695E-3</v>
      </c>
      <c r="L1560" s="22">
        <f>Constants!$H76*'Activity data'!AE18*Constants!$H94*FracLEACHMM*MMLeachEF*NtoN2O*kgtoGg</f>
        <v>3.994781041000697E-3</v>
      </c>
      <c r="M1560" s="22">
        <f>Constants!$H76*'Activity data'!AF18*Constants!$H94*FracLEACHMM*MMLeachEF*NtoN2O*kgtoGg</f>
        <v>3.9965730233416695E-3</v>
      </c>
      <c r="N1560" s="22">
        <f>Constants!$H76*'Activity data'!AG18*Constants!$H94*FracLEACHMM*MMLeachEF*NtoN2O*kgtoGg</f>
        <v>3.9598814204188995E-3</v>
      </c>
      <c r="O1560" s="22">
        <f>Constants!$H76*'Activity data'!AH18*Constants!$H94*FracLEACHMM*MMLeachEF*NtoN2O*kgtoGg</f>
        <v>3.8999555700251301E-3</v>
      </c>
      <c r="P1560" s="22">
        <f>Constants!$H76*'Activity data'!AI18*Constants!$H94*FracLEACHMM*MMLeachEF*NtoN2O*kgtoGg</f>
        <v>3.8177534504158571E-3</v>
      </c>
      <c r="Q1560" s="22">
        <f>Constants!$H76*'Activity data'!AJ18*Constants!$H94*FracLEACHMM*MMLeachEF*NtoN2O*kgtoGg</f>
        <v>3.7580655955978047E-3</v>
      </c>
      <c r="R1560" s="22">
        <f>Constants!$H76*'Activity data'!AK18*Constants!$H94*FracLEACHMM*MMLeachEF*NtoN2O*kgtoGg</f>
        <v>3.7036593154610871E-3</v>
      </c>
      <c r="S1560" s="22">
        <f>Constants!$H76*'Activity data'!AL18*Constants!$H94*FracLEACHMM*MMLeachEF*NtoN2O*kgtoGg</f>
        <v>3.2701456339573466E-3</v>
      </c>
      <c r="T1560" s="22">
        <f>Constants!$H76*'Activity data'!AM18*Constants!$H94*FracLEACHMM*MMLeachEF*NtoN2O*kgtoGg</f>
        <v>3.31149883997744E-3</v>
      </c>
      <c r="U1560" s="22">
        <f>Constants!$H76*'Activity data'!AN18*Constants!$H94*FracLEACHMM*MMLeachEF*NtoN2O*kgtoGg</f>
        <v>3.4002347022576052E-3</v>
      </c>
      <c r="V1560" s="22">
        <f>Constants!$H76*'Activity data'!AO18*Constants!$H94*FracLEACHMM*MMLeachEF*NtoN2O*kgtoGg</f>
        <v>3.40829145755788E-3</v>
      </c>
      <c r="W1560" s="22">
        <f>Constants!$H76*'Activity data'!AP18*Constants!$H94*FracLEACHMM*MMLeachEF*NtoN2O*kgtoGg</f>
        <v>3.4257388088279458E-3</v>
      </c>
      <c r="X1560" s="22">
        <f>Constants!$H76*'Activity data'!AQ18*Constants!$H94*FracLEACHMM*MMLeachEF*NtoN2O*kgtoGg</f>
        <v>3.4550739434622826E-3</v>
      </c>
      <c r="Y1560" s="22">
        <f>Constants!$H76*'Activity data'!AR18*Constants!$H94*FracLEACHMM*MMLeachEF*NtoN2O*kgtoGg</f>
        <v>3.491883673925408E-3</v>
      </c>
      <c r="Z1560" s="22">
        <f>Constants!$H76*'Activity data'!AS18*Constants!$H94*FracLEACHMM*MMLeachEF*NtoN2O*kgtoGg</f>
        <v>3.5369908780382062E-3</v>
      </c>
      <c r="AA1560" s="22">
        <f>Constants!$H76*'Activity data'!AT18*Constants!$H94*FracLEACHMM*MMLeachEF*NtoN2O*kgtoGg</f>
        <v>3.5826255657196082E-3</v>
      </c>
      <c r="AB1560" s="22">
        <f>Constants!$H76*'Activity data'!AU18*Constants!$H94*FracLEACHMM*MMLeachEF*NtoN2O*kgtoGg</f>
        <v>3.6353129585993062E-3</v>
      </c>
      <c r="AC1560" s="22">
        <f>Constants!$H76*'Activity data'!AV18*Constants!$H94*FracLEACHMM*MMLeachEF*NtoN2O*kgtoGg</f>
        <v>3.6876367043189875E-3</v>
      </c>
      <c r="AD1560" s="22">
        <f>Constants!$H76*'Activity data'!AW18*Constants!$H94*FracLEACHMM*MMLeachEF*NtoN2O*kgtoGg</f>
        <v>3.7526887817217083E-3</v>
      </c>
      <c r="AE1560" s="22">
        <f>Constants!$H76*'Activity data'!AX18*Constants!$H94*FracLEACHMM*MMLeachEF*NtoN2O*kgtoGg</f>
        <v>3.8125739702470681E-3</v>
      </c>
      <c r="AF1560" s="22">
        <f>Constants!$H76*'Activity data'!AY18*Constants!$H94*FracLEACHMM*MMLeachEF*NtoN2O*kgtoGg</f>
        <v>3.87629659864187E-3</v>
      </c>
      <c r="AG1560" s="22">
        <f>Constants!$H76*'Activity data'!AZ18*Constants!$H94*FracLEACHMM*MMLeachEF*NtoN2O*kgtoGg</f>
        <v>3.9540298922350536E-3</v>
      </c>
      <c r="AH1560" s="22">
        <f>Constants!$H76*'Activity data'!BA18*Constants!$H94*FracLEACHMM*MMLeachEF*NtoN2O*kgtoGg</f>
        <v>4.0207772404105219E-3</v>
      </c>
      <c r="AI1560" s="22">
        <f>Constants!$H76*'Activity data'!BB18*Constants!$H94*FracLEACHMM*MMLeachEF*NtoN2O*kgtoGg</f>
        <v>4.0928207316778291E-3</v>
      </c>
      <c r="AJ1560" s="22">
        <f>Constants!$H76*'Activity data'!BC18*Constants!$H94*FracLEACHMM*MMLeachEF*NtoN2O*kgtoGg</f>
        <v>4.1710117338914204E-3</v>
      </c>
      <c r="AK1560" s="22">
        <f>Constants!$H76*'Activity data'!BD18*Constants!$H94*FracLEACHMM*MMLeachEF*NtoN2O*kgtoGg</f>
        <v>4.2362407522348522E-3</v>
      </c>
      <c r="AL1560" s="22">
        <f>Constants!$H76*'Activity data'!BE18*Constants!$H94*FracLEACHMM*MMLeachEF*NtoN2O*kgtoGg</f>
        <v>4.2974115696735888E-3</v>
      </c>
      <c r="AM1560" s="22">
        <f>Constants!$H76*'Activity data'!BF18*Constants!$H94*FracLEACHMM*MMLeachEF*NtoN2O*kgtoGg</f>
        <v>4.3550175414658315E-3</v>
      </c>
      <c r="AN1560" s="22">
        <f>Constants!$H76*'Activity data'!BG18*Constants!$H94*FracLEACHMM*MMLeachEF*NtoN2O*kgtoGg</f>
        <v>4.4215329008374625E-3</v>
      </c>
      <c r="AO1560" s="22">
        <f>Constants!$H76*'Activity data'!BH18*Constants!$H94*FracLEACHMM*MMLeachEF*NtoN2O*kgtoGg</f>
        <v>4.479226400640501E-3</v>
      </c>
      <c r="AP1560" s="22">
        <f>Constants!$H76*'Activity data'!BI18*Constants!$H94*FracLEACHMM*MMLeachEF*NtoN2O*kgtoGg</f>
        <v>4.5387807483712392E-3</v>
      </c>
      <c r="AQ1560" s="22">
        <f>Constants!$H76*'Activity data'!BJ18*Constants!$H94*FracLEACHMM*MMLeachEF*NtoN2O*kgtoGg</f>
        <v>4.6006451488010665E-3</v>
      </c>
      <c r="AR1560" s="22">
        <f>Constants!$H76*'Activity data'!BK18*Constants!$H94*FracLEACHMM*MMLeachEF*NtoN2O*kgtoGg</f>
        <v>4.665593680000254E-3</v>
      </c>
      <c r="AS1560" s="22">
        <f>Constants!$H76*'Activity data'!BL18*Constants!$H94*FracLEACHMM*MMLeachEF*NtoN2O*kgtoGg</f>
        <v>4.7337939445789724E-3</v>
      </c>
      <c r="AT1560" s="22">
        <f>Constants!$H76*'Activity data'!BM18*Constants!$H94*FracLEACHMM*MMLeachEF*NtoN2O*kgtoGg</f>
        <v>4.6922931469772361E-3</v>
      </c>
      <c r="AU1560" s="22">
        <f>Constants!$H76*'Activity data'!BN18*Constants!$H94*FracLEACHMM*MMLeachEF*NtoN2O*kgtoGg</f>
        <v>4.6412016964271002E-3</v>
      </c>
      <c r="AV1560" s="22">
        <f>Constants!$H76*'Activity data'!BO18*Constants!$H94*FracLEACHMM*MMLeachEF*NtoN2O*kgtoGg</f>
        <v>4.5767331649713494E-3</v>
      </c>
      <c r="AW1560" s="22">
        <f>Constants!$H76*'Activity data'!BP18*Constants!$H94*FracLEACHMM*MMLeachEF*NtoN2O*kgtoGg</f>
        <v>4.5091028879276577E-3</v>
      </c>
    </row>
    <row r="1561" spans="1:49" x14ac:dyDescent="0.3">
      <c r="A1561" s="95" t="s">
        <v>960</v>
      </c>
      <c r="B1561" s="95"/>
      <c r="C1561" s="95"/>
      <c r="D1561" t="str">
        <f t="shared" si="579"/>
        <v>3C Aggregated and non-CO2 emissions on land</v>
      </c>
      <c r="E1561" t="str">
        <f t="shared" si="579"/>
        <v>3C6 Indirect N2O from manure management (N2O)</v>
      </c>
      <c r="F1561" t="str">
        <f t="shared" si="579"/>
        <v>Leaching/runoff</v>
      </c>
      <c r="G1561" t="str">
        <f t="shared" si="578"/>
        <v xml:space="preserve"> - Commercial layers</v>
      </c>
      <c r="H1561" t="str">
        <f t="shared" si="576"/>
        <v>Leaching/runoff - Commercial layers</v>
      </c>
      <c r="I1561" t="str">
        <f t="shared" si="571"/>
        <v>N2O</v>
      </c>
      <c r="J1561" t="str">
        <f t="shared" si="570"/>
        <v>Gg N2O</v>
      </c>
      <c r="K1561" s="22">
        <f>Constants!$H77*'Activity data'!AD19*Constants!$H95*FracLEACHMM*MMLeachEF*NtoN2O*kgtoGg</f>
        <v>1.6726645268412742E-2</v>
      </c>
      <c r="L1561" s="22">
        <f>Constants!$H77*'Activity data'!AE19*Constants!$H95*FracLEACHMM*MMLeachEF*NtoN2O*kgtoGg</f>
        <v>1.7066731126843739E-2</v>
      </c>
      <c r="M1561" s="22">
        <f>Constants!$H77*'Activity data'!AF19*Constants!$H95*FracLEACHMM*MMLeachEF*NtoN2O*kgtoGg</f>
        <v>1.7464259263446445E-2</v>
      </c>
      <c r="N1561" s="22">
        <f>Constants!$H77*'Activity data'!AG19*Constants!$H95*FracLEACHMM*MMLeachEF*NtoN2O*kgtoGg</f>
        <v>1.77694513935726E-2</v>
      </c>
      <c r="O1561" s="22">
        <f>Constants!$H77*'Activity data'!AH19*Constants!$H95*FracLEACHMM*MMLeachEF*NtoN2O*kgtoGg</f>
        <v>1.8014444056791569E-2</v>
      </c>
      <c r="P1561" s="22">
        <f>Constants!$H77*'Activity data'!AI19*Constants!$H95*FracLEACHMM*MMLeachEF*NtoN2O*kgtoGg</f>
        <v>1.8197780265539362E-2</v>
      </c>
      <c r="Q1561" s="22">
        <f>Constants!$H77*'Activity data'!AJ19*Constants!$H95*FracLEACHMM*MMLeachEF*NtoN2O*kgtoGg</f>
        <v>1.8432867891885713E-2</v>
      </c>
      <c r="R1561" s="22">
        <f>Constants!$H77*'Activity data'!AK19*Constants!$H95*FracLEACHMM*MMLeachEF*NtoN2O*kgtoGg</f>
        <v>1.8677293946611207E-2</v>
      </c>
      <c r="S1561" s="22">
        <f>Constants!$H77*'Activity data'!AL19*Constants!$H95*FracLEACHMM*MMLeachEF*NtoN2O*kgtoGg</f>
        <v>1.7845993977500554E-2</v>
      </c>
      <c r="T1561" s="22">
        <f>Constants!$H77*'Activity data'!AM19*Constants!$H95*FracLEACHMM*MMLeachEF*NtoN2O*kgtoGg</f>
        <v>1.8290177947761724E-2</v>
      </c>
      <c r="U1561" s="22">
        <f>Constants!$H77*'Activity data'!AN19*Constants!$H95*FracLEACHMM*MMLeachEF*NtoN2O*kgtoGg</f>
        <v>1.8882126643784119E-2</v>
      </c>
      <c r="V1561" s="22">
        <f>Constants!$H77*'Activity data'!AO19*Constants!$H95*FracLEACHMM*MMLeachEF*NtoN2O*kgtoGg</f>
        <v>1.9244149446427172E-2</v>
      </c>
      <c r="W1561" s="22">
        <f>Constants!$H77*'Activity data'!AP19*Constants!$H95*FracLEACHMM*MMLeachEF*NtoN2O*kgtoGg</f>
        <v>1.9638833779478608E-2</v>
      </c>
      <c r="X1561" s="22">
        <f>Constants!$H77*'Activity data'!AQ19*Constants!$H95*FracLEACHMM*MMLeachEF*NtoN2O*kgtoGg</f>
        <v>2.0076166391792365E-2</v>
      </c>
      <c r="Y1561" s="22">
        <f>Constants!$H77*'Activity data'!AR19*Constants!$H95*FracLEACHMM*MMLeachEF*NtoN2O*kgtoGg</f>
        <v>2.0527873811486335E-2</v>
      </c>
      <c r="Z1561" s="22">
        <f>Constants!$H77*'Activity data'!AS19*Constants!$H95*FracLEACHMM*MMLeachEF*NtoN2O*kgtoGg</f>
        <v>2.1014725008073262E-2</v>
      </c>
      <c r="AA1561" s="22">
        <f>Constants!$H77*'Activity data'!AT19*Constants!$H95*FracLEACHMM*MMLeachEF*NtoN2O*kgtoGg</f>
        <v>2.1512524786700418E-2</v>
      </c>
      <c r="AB1561" s="22">
        <f>Constants!$H77*'Activity data'!AU19*Constants!$H95*FracLEACHMM*MMLeachEF*NtoN2O*kgtoGg</f>
        <v>2.204403910450644E-2</v>
      </c>
      <c r="AC1561" s="22">
        <f>Constants!$H77*'Activity data'!AV19*Constants!$H95*FracLEACHMM*MMLeachEF*NtoN2O*kgtoGg</f>
        <v>2.2585019508801499E-2</v>
      </c>
      <c r="AD1561" s="22">
        <f>Constants!$H77*'Activity data'!AW19*Constants!$H95*FracLEACHMM*MMLeachEF*NtoN2O*kgtoGg</f>
        <v>2.3168701426676565E-2</v>
      </c>
      <c r="AE1561" s="22">
        <f>Constants!$H77*'Activity data'!AX19*Constants!$H95*FracLEACHMM*MMLeachEF*NtoN2O*kgtoGg</f>
        <v>2.3746356188951337E-2</v>
      </c>
      <c r="AF1561" s="22">
        <f>Constants!$H77*'Activity data'!AY19*Constants!$H95*FracLEACHMM*MMLeachEF*NtoN2O*kgtoGg</f>
        <v>2.4350664580619397E-2</v>
      </c>
      <c r="AG1561" s="22">
        <f>Constants!$H77*'Activity data'!AZ19*Constants!$H95*FracLEACHMM*MMLeachEF*NtoN2O*kgtoGg</f>
        <v>2.5021362816751564E-2</v>
      </c>
      <c r="AH1561" s="22">
        <f>Constants!$H77*'Activity data'!BA19*Constants!$H95*FracLEACHMM*MMLeachEF*NtoN2O*kgtoGg</f>
        <v>2.5665252656926436E-2</v>
      </c>
      <c r="AI1561" s="22">
        <f>Constants!$H77*'Activity data'!BB19*Constants!$H95*FracLEACHMM*MMLeachEF*NtoN2O*kgtoGg</f>
        <v>2.6331138974392616E-2</v>
      </c>
      <c r="AJ1561" s="22">
        <f>Constants!$H77*'Activity data'!BC19*Constants!$H95*FracLEACHMM*MMLeachEF*NtoN2O*kgtoGg</f>
        <v>2.7037084930771747E-2</v>
      </c>
      <c r="AK1561" s="22">
        <f>Constants!$H77*'Activity data'!BD19*Constants!$H95*FracLEACHMM*MMLeachEF*NtoN2O*kgtoGg</f>
        <v>2.7706662515763772E-2</v>
      </c>
      <c r="AL1561" s="22">
        <f>Constants!$H77*'Activity data'!BE19*Constants!$H95*FracLEACHMM*MMLeachEF*NtoN2O*kgtoGg</f>
        <v>2.8374415178094886E-2</v>
      </c>
      <c r="AM1561" s="22">
        <f>Constants!$H77*'Activity data'!BF19*Constants!$H95*FracLEACHMM*MMLeachEF*NtoN2O*kgtoGg</f>
        <v>2.9041879152159198E-2</v>
      </c>
      <c r="AN1561" s="22">
        <f>Constants!$H77*'Activity data'!BG19*Constants!$H95*FracLEACHMM*MMLeachEF*NtoN2O*kgtoGg</f>
        <v>2.9750026658148378E-2</v>
      </c>
      <c r="AO1561" s="22">
        <f>Constants!$H77*'Activity data'!BH19*Constants!$H95*FracLEACHMM*MMLeachEF*NtoN2O*kgtoGg</f>
        <v>3.0435625912582094E-2</v>
      </c>
      <c r="AP1561" s="22">
        <f>Constants!$H77*'Activity data'!BI19*Constants!$H95*FracLEACHMM*MMLeachEF*NtoN2O*kgtoGg</f>
        <v>3.1144967675009176E-2</v>
      </c>
      <c r="AQ1561" s="22">
        <f>Constants!$H77*'Activity data'!BJ19*Constants!$H95*FracLEACHMM*MMLeachEF*NtoN2O*kgtoGg</f>
        <v>3.1881013101963972E-2</v>
      </c>
      <c r="AR1561" s="22">
        <f>Constants!$H77*'Activity data'!BK19*Constants!$H95*FracLEACHMM*MMLeachEF*NtoN2O*kgtoGg</f>
        <v>3.2648423492469485E-2</v>
      </c>
      <c r="AS1561" s="22">
        <f>Constants!$H77*'Activity data'!BL19*Constants!$H95*FracLEACHMM*MMLeachEF*NtoN2O*kgtoGg</f>
        <v>3.3436328313148703E-2</v>
      </c>
      <c r="AT1561" s="22">
        <f>Constants!$H77*'Activity data'!BM19*Constants!$H95*FracLEACHMM*MMLeachEF*NtoN2O*kgtoGg</f>
        <v>3.371230344910283E-2</v>
      </c>
      <c r="AU1561" s="22">
        <f>Constants!$H77*'Activity data'!BN19*Constants!$H95*FracLEACHMM*MMLeachEF*NtoN2O*kgtoGg</f>
        <v>3.39408780706969E-2</v>
      </c>
      <c r="AV1561" s="22">
        <f>Constants!$H77*'Activity data'!BO19*Constants!$H95*FracLEACHMM*MMLeachEF*NtoN2O*kgtoGg</f>
        <v>3.4100500286935446E-2</v>
      </c>
      <c r="AW1561" s="22">
        <f>Constants!$H77*'Activity data'!BP19*Constants!$H95*FracLEACHMM*MMLeachEF*NtoN2O*kgtoGg</f>
        <v>3.4239705581718134E-2</v>
      </c>
    </row>
    <row r="1562" spans="1:49" x14ac:dyDescent="0.3">
      <c r="A1562" s="95" t="s">
        <v>960</v>
      </c>
      <c r="B1562" s="95"/>
      <c r="C1562" s="95"/>
      <c r="D1562" t="str">
        <f t="shared" si="579"/>
        <v>3C Aggregated and non-CO2 emissions on land</v>
      </c>
      <c r="E1562" t="str">
        <f>E1561</f>
        <v>3C6 Indirect N2O from manure management (N2O)</v>
      </c>
      <c r="F1562" t="str">
        <f t="shared" si="579"/>
        <v>Leaching/runoff</v>
      </c>
      <c r="G1562" t="str">
        <f>G1546</f>
        <v xml:space="preserve"> - Commercial broilers</v>
      </c>
      <c r="H1562" t="str">
        <f t="shared" si="576"/>
        <v>Leaching/runoff - Commercial broilers</v>
      </c>
      <c r="I1562" t="str">
        <f t="shared" si="571"/>
        <v>N2O</v>
      </c>
      <c r="J1562" t="str">
        <f t="shared" si="570"/>
        <v>Gg N2O</v>
      </c>
      <c r="K1562" s="22">
        <f>Constants!$H78*'Activity data'!AD20*Constants!$H96*FracLEACHMM*MMLeachEF*NtoN2O*kgtoGg</f>
        <v>7.758579791322931E-2</v>
      </c>
      <c r="L1562" s="22">
        <f>Constants!$H78*'Activity data'!AE20*Constants!$H96*FracLEACHMM*MMLeachEF*NtoN2O*kgtoGg</f>
        <v>7.8607464197542429E-2</v>
      </c>
      <c r="M1562" s="22">
        <f>Constants!$H78*'Activity data'!AF20*Constants!$H96*FracLEACHMM*MMLeachEF*NtoN2O*kgtoGg</f>
        <v>8.0248553313821205E-2</v>
      </c>
      <c r="N1562" s="22">
        <f>Constants!$H78*'Activity data'!AG20*Constants!$H96*FracLEACHMM*MMLeachEF*NtoN2O*kgtoGg</f>
        <v>8.0719757945382262E-2</v>
      </c>
      <c r="O1562" s="22">
        <f>Constants!$H78*'Activity data'!AH20*Constants!$H96*FracLEACHMM*MMLeachEF*NtoN2O*kgtoGg</f>
        <v>8.0430818839717741E-2</v>
      </c>
      <c r="P1562" s="22">
        <f>Constants!$H78*'Activity data'!AI20*Constants!$H96*FracLEACHMM*MMLeachEF*NtoN2O*kgtoGg</f>
        <v>7.938481013134728E-2</v>
      </c>
      <c r="Q1562" s="22">
        <f>Constants!$H78*'Activity data'!AJ20*Constants!$H96*FracLEACHMM*MMLeachEF*NtoN2O*kgtoGg</f>
        <v>7.8944464359385597E-2</v>
      </c>
      <c r="R1562" s="22">
        <f>Constants!$H78*'Activity data'!AK20*Constants!$H96*FracLEACHMM*MMLeachEF*NtoN2O*kgtoGg</f>
        <v>7.8604018955287347E-2</v>
      </c>
      <c r="S1562" s="22">
        <f>Constants!$H78*'Activity data'!AL20*Constants!$H96*FracLEACHMM*MMLeachEF*NtoN2O*kgtoGg</f>
        <v>6.6259107806349124E-2</v>
      </c>
      <c r="T1562" s="22">
        <f>Constants!$H78*'Activity data'!AM20*Constants!$H96*FracLEACHMM*MMLeachEF*NtoN2O*kgtoGg</f>
        <v>6.8883290688916743E-2</v>
      </c>
      <c r="U1562" s="22">
        <f>Constants!$H78*'Activity data'!AN20*Constants!$H96*FracLEACHMM*MMLeachEF*NtoN2O*kgtoGg</f>
        <v>7.307131784092237E-2</v>
      </c>
      <c r="V1562" s="22">
        <f>Constants!$H78*'Activity data'!AO20*Constants!$H96*FracLEACHMM*MMLeachEF*NtoN2O*kgtoGg</f>
        <v>7.4685850466012449E-2</v>
      </c>
      <c r="W1562" s="22">
        <f>Constants!$H78*'Activity data'!AP20*Constants!$H96*FracLEACHMM*MMLeachEF*NtoN2O*kgtoGg</f>
        <v>7.6617949690607756E-2</v>
      </c>
      <c r="X1562" s="22">
        <f>Constants!$H78*'Activity data'!AQ20*Constants!$H96*FracLEACHMM*MMLeachEF*NtoN2O*kgtoGg</f>
        <v>7.8965775854052137E-2</v>
      </c>
      <c r="Y1562" s="22">
        <f>Constants!$H78*'Activity data'!AR20*Constants!$H96*FracLEACHMM*MMLeachEF*NtoN2O*kgtoGg</f>
        <v>8.1661778442119887E-2</v>
      </c>
      <c r="Z1562" s="22">
        <f>Constants!$H78*'Activity data'!AS20*Constants!$H96*FracLEACHMM*MMLeachEF*NtoN2O*kgtoGg</f>
        <v>8.4680896790548951E-2</v>
      </c>
      <c r="AA1562" s="22">
        <f>Constants!$H78*'Activity data'!AT20*Constants!$H96*FracLEACHMM*MMLeachEF*NtoN2O*kgtoGg</f>
        <v>8.776412775274034E-2</v>
      </c>
      <c r="AB1562" s="22">
        <f>Constants!$H78*'Activity data'!AU20*Constants!$H96*FracLEACHMM*MMLeachEF*NtoN2O*kgtoGg</f>
        <v>9.1145488449202117E-2</v>
      </c>
      <c r="AC1562" s="22">
        <f>Constants!$H78*'Activity data'!AV20*Constants!$H96*FracLEACHMM*MMLeachEF*NtoN2O*kgtoGg</f>
        <v>9.4570204644651698E-2</v>
      </c>
      <c r="AD1562" s="22">
        <f>Constants!$H78*'Activity data'!AW20*Constants!$H96*FracLEACHMM*MMLeachEF*NtoN2O*kgtoGg</f>
        <v>9.8568154697968743E-2</v>
      </c>
      <c r="AE1562" s="22">
        <f>Constants!$H78*'Activity data'!AX20*Constants!$H96*FracLEACHMM*MMLeachEF*NtoN2O*kgtoGg</f>
        <v>0.10244796560739347</v>
      </c>
      <c r="AF1562" s="22">
        <f>Constants!$H78*'Activity data'!AY20*Constants!$H96*FracLEACHMM*MMLeachEF*NtoN2O*kgtoGg</f>
        <v>0.10654057141624064</v>
      </c>
      <c r="AG1562" s="22">
        <f>Constants!$H78*'Activity data'!AZ20*Constants!$H96*FracLEACHMM*MMLeachEF*NtoN2O*kgtoGg</f>
        <v>0.11123806657675694</v>
      </c>
      <c r="AH1562" s="22">
        <f>Constants!$H78*'Activity data'!BA20*Constants!$H96*FracLEACHMM*MMLeachEF*NtoN2O*kgtoGg</f>
        <v>0.11560654614552646</v>
      </c>
      <c r="AI1562" s="22">
        <f>Constants!$H78*'Activity data'!BB20*Constants!$H96*FracLEACHMM*MMLeachEF*NtoN2O*kgtoGg</f>
        <v>0.12031218938193437</v>
      </c>
      <c r="AJ1562" s="22">
        <f>Constants!$H78*'Activity data'!BC20*Constants!$H96*FracLEACHMM*MMLeachEF*NtoN2O*kgtoGg</f>
        <v>0.12535029329403399</v>
      </c>
      <c r="AK1562" s="22">
        <f>Constants!$H78*'Activity data'!BD20*Constants!$H96*FracLEACHMM*MMLeachEF*NtoN2O*kgtoGg</f>
        <v>0.12997331250710895</v>
      </c>
      <c r="AL1562" s="22">
        <f>Constants!$H78*'Activity data'!BE20*Constants!$H96*FracLEACHMM*MMLeachEF*NtoN2O*kgtoGg</f>
        <v>0.13452286194458821</v>
      </c>
      <c r="AM1562" s="22">
        <f>Constants!$H78*'Activity data'!BF20*Constants!$H96*FracLEACHMM*MMLeachEF*NtoN2O*kgtoGg</f>
        <v>0.13901554953719861</v>
      </c>
      <c r="AN1562" s="22">
        <f>Constants!$H78*'Activity data'!BG20*Constants!$H96*FracLEACHMM*MMLeachEF*NtoN2O*kgtoGg</f>
        <v>0.1440082698862134</v>
      </c>
      <c r="AO1562" s="22">
        <f>Constants!$H78*'Activity data'!BH20*Constants!$H96*FracLEACHMM*MMLeachEF*NtoN2O*kgtoGg</f>
        <v>0.14873185090680655</v>
      </c>
      <c r="AP1562" s="22">
        <f>Constants!$H78*'Activity data'!BI20*Constants!$H96*FracLEACHMM*MMLeachEF*NtoN2O*kgtoGg</f>
        <v>0.15362755351583215</v>
      </c>
      <c r="AQ1562" s="22">
        <f>Constants!$H78*'Activity data'!BJ20*Constants!$H96*FracLEACHMM*MMLeachEF*NtoN2O*kgtoGg</f>
        <v>0.15872063106624867</v>
      </c>
      <c r="AR1562" s="22">
        <f>Constants!$H78*'Activity data'!BK20*Constants!$H96*FracLEACHMM*MMLeachEF*NtoN2O*kgtoGg</f>
        <v>0.16405164052421939</v>
      </c>
      <c r="AS1562" s="22">
        <f>Constants!$H78*'Activity data'!BL20*Constants!$H96*FracLEACHMM*MMLeachEF*NtoN2O*kgtoGg</f>
        <v>0.16968110376218293</v>
      </c>
      <c r="AT1562" s="22">
        <f>Constants!$H78*'Activity data'!BM20*Constants!$H96*FracLEACHMM*MMLeachEF*NtoN2O*kgtoGg</f>
        <v>0.17053816071119138</v>
      </c>
      <c r="AU1562" s="22">
        <f>Constants!$H78*'Activity data'!BN20*Constants!$H96*FracLEACHMM*MMLeachEF*NtoN2O*kgtoGg</f>
        <v>0.17095629027566819</v>
      </c>
      <c r="AV1562" s="22">
        <f>Constants!$H78*'Activity data'!BO20*Constants!$H96*FracLEACHMM*MMLeachEF*NtoN2O*kgtoGg</f>
        <v>0.17074584650981994</v>
      </c>
      <c r="AW1562" s="22">
        <f>Constants!$H78*'Activity data'!BP20*Constants!$H96*FracLEACHMM*MMLeachEF*NtoN2O*kgtoGg</f>
        <v>0.17035646457405007</v>
      </c>
    </row>
  </sheetData>
  <phoneticPr fontId="27" type="noConversion"/>
  <conditionalFormatting sqref="AY4:AY915 AY1067:AY1369">
    <cfRule type="cellIs" dxfId="1" priority="4" operator="greaterThan">
      <formula>0</formula>
    </cfRule>
  </conditionalFormatting>
  <conditionalFormatting sqref="AY916:AY1066">
    <cfRule type="cellIs" dxfId="0" priority="2" operator="greaterThan">
      <formula>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D44C-D494-4950-8046-4FBE7A39CFD2}">
  <sheetPr>
    <tabColor rgb="FFFF00FF"/>
  </sheetPr>
  <dimension ref="A1:BW127"/>
  <sheetViews>
    <sheetView workbookViewId="0">
      <pane xSplit="8" ySplit="3" topLeftCell="AD4" activePane="bottomRight" state="frozen"/>
      <selection pane="topRight" activeCell="F1" sqref="F1"/>
      <selection pane="bottomLeft" activeCell="A4" sqref="A4"/>
      <selection pane="bottomRight" activeCell="AE5" sqref="AE5"/>
    </sheetView>
  </sheetViews>
  <sheetFormatPr defaultColWidth="8.77734375" defaultRowHeight="14.4" x14ac:dyDescent="0.3"/>
  <cols>
    <col min="1" max="3" width="9.109375" style="96"/>
    <col min="4" max="4" width="34.44140625" customWidth="1"/>
    <col min="5" max="5" width="37" customWidth="1"/>
    <col min="6" max="6" width="27.44140625" customWidth="1"/>
    <col min="7" max="7" width="7.44140625" customWidth="1"/>
    <col min="8" max="8" width="26.109375" customWidth="1"/>
    <col min="9" max="36" width="9.6640625" customWidth="1"/>
    <col min="37" max="37" width="9.44140625" customWidth="1"/>
    <col min="52" max="53" width="9.44140625" customWidth="1"/>
    <col min="54" max="54" width="9.6640625" customWidth="1"/>
  </cols>
  <sheetData>
    <row r="1" spans="1:75" ht="18" x14ac:dyDescent="0.35">
      <c r="D1" s="1" t="s">
        <v>312</v>
      </c>
    </row>
    <row r="3" spans="1:75" s="19" customFormat="1" ht="15.6" x14ac:dyDescent="0.3">
      <c r="A3" s="97"/>
      <c r="B3" s="97"/>
      <c r="C3" s="97"/>
      <c r="D3" s="17" t="s">
        <v>4</v>
      </c>
      <c r="E3" s="17" t="s">
        <v>313</v>
      </c>
      <c r="F3" s="17" t="s">
        <v>314</v>
      </c>
      <c r="G3" s="17" t="s">
        <v>5</v>
      </c>
      <c r="H3" s="17" t="s">
        <v>0</v>
      </c>
      <c r="I3" s="17">
        <v>1990</v>
      </c>
      <c r="J3" s="17">
        <v>1991</v>
      </c>
      <c r="K3" s="17">
        <v>1992</v>
      </c>
      <c r="L3" s="17">
        <v>1993</v>
      </c>
      <c r="M3" s="17">
        <v>1994</v>
      </c>
      <c r="N3" s="17">
        <v>1995</v>
      </c>
      <c r="O3" s="17">
        <v>1996</v>
      </c>
      <c r="P3" s="17">
        <v>1997</v>
      </c>
      <c r="Q3" s="17">
        <v>1998</v>
      </c>
      <c r="R3" s="17">
        <v>1999</v>
      </c>
      <c r="S3" s="17">
        <v>2000</v>
      </c>
      <c r="T3" s="17">
        <v>2001</v>
      </c>
      <c r="U3" s="17">
        <v>2002</v>
      </c>
      <c r="V3" s="17">
        <v>2003</v>
      </c>
      <c r="W3" s="17">
        <v>2004</v>
      </c>
      <c r="X3" s="17">
        <v>2005</v>
      </c>
      <c r="Y3" s="17">
        <v>2006</v>
      </c>
      <c r="Z3" s="17">
        <v>2007</v>
      </c>
      <c r="AA3" s="17">
        <v>2008</v>
      </c>
      <c r="AB3" s="17">
        <v>2009</v>
      </c>
      <c r="AC3" s="17">
        <v>2010</v>
      </c>
      <c r="AD3" s="17">
        <v>2011</v>
      </c>
      <c r="AE3" s="17">
        <v>2012</v>
      </c>
      <c r="AF3" s="17">
        <v>2013</v>
      </c>
      <c r="AG3" s="17">
        <v>2014</v>
      </c>
      <c r="AH3" s="17">
        <v>2015</v>
      </c>
      <c r="AI3" s="17">
        <v>2016</v>
      </c>
      <c r="AJ3" s="17">
        <v>2017</v>
      </c>
      <c r="AK3" s="17">
        <v>2018</v>
      </c>
      <c r="AL3" s="17">
        <v>2019</v>
      </c>
      <c r="AM3" s="17">
        <v>2020</v>
      </c>
      <c r="AN3" s="17">
        <v>2021</v>
      </c>
      <c r="AO3" s="17">
        <v>2022</v>
      </c>
      <c r="AP3" s="17">
        <v>2023</v>
      </c>
      <c r="AQ3" s="17">
        <v>2024</v>
      </c>
      <c r="AR3" s="17">
        <v>2025</v>
      </c>
      <c r="AS3" s="17">
        <v>2026</v>
      </c>
      <c r="AT3" s="17">
        <v>2027</v>
      </c>
      <c r="AU3" s="17">
        <v>2028</v>
      </c>
      <c r="AV3" s="17">
        <v>2029</v>
      </c>
      <c r="AW3" s="17">
        <v>2030</v>
      </c>
      <c r="AX3" s="17">
        <v>2031</v>
      </c>
      <c r="AY3" s="17">
        <v>2032</v>
      </c>
      <c r="AZ3" s="17">
        <v>2033</v>
      </c>
      <c r="BA3" s="17">
        <v>2034</v>
      </c>
      <c r="BB3" s="17">
        <v>2035</v>
      </c>
      <c r="BC3" s="17">
        <v>2036</v>
      </c>
      <c r="BD3" s="17">
        <v>2037</v>
      </c>
      <c r="BE3" s="17">
        <v>2038</v>
      </c>
      <c r="BF3" s="17">
        <v>2039</v>
      </c>
      <c r="BG3" s="17">
        <v>2040</v>
      </c>
      <c r="BH3" s="17">
        <v>2041</v>
      </c>
      <c r="BI3" s="17">
        <v>2042</v>
      </c>
      <c r="BJ3" s="17">
        <v>2043</v>
      </c>
      <c r="BK3" s="17">
        <v>2044</v>
      </c>
      <c r="BL3" s="17">
        <v>2045</v>
      </c>
      <c r="BM3" s="17">
        <v>2046</v>
      </c>
      <c r="BN3" s="17">
        <v>2047</v>
      </c>
      <c r="BO3" s="17">
        <v>2048</v>
      </c>
      <c r="BP3" s="17">
        <v>2049</v>
      </c>
      <c r="BQ3" s="17">
        <v>2050</v>
      </c>
      <c r="BR3" s="17"/>
      <c r="BS3" s="17"/>
      <c r="BT3" s="17"/>
      <c r="BU3" s="17"/>
      <c r="BV3" s="17"/>
      <c r="BW3" s="17"/>
    </row>
    <row r="4" spans="1:75" s="19" customFormat="1" ht="15.6" x14ac:dyDescent="0.3">
      <c r="A4" s="97"/>
      <c r="B4" s="97"/>
      <c r="C4" s="97"/>
      <c r="D4" s="19" t="str">
        <f>D10</f>
        <v>3A Livestock</v>
      </c>
      <c r="E4" s="19" t="str">
        <f>E10</f>
        <v>3A1 Enteric fermentation (CH4)</v>
      </c>
      <c r="F4" s="19" t="s">
        <v>148</v>
      </c>
      <c r="G4" s="19" t="str">
        <f>G10</f>
        <v>CH4</v>
      </c>
      <c r="H4" s="19" t="str">
        <f>H10</f>
        <v>Gg CH4</v>
      </c>
      <c r="I4" s="40">
        <f t="shared" ref="I4:AN4" si="0">SUM(I5:I10)</f>
        <v>1260.0440510636847</v>
      </c>
      <c r="J4" s="40">
        <f t="shared" si="0"/>
        <v>1258.0226339156723</v>
      </c>
      <c r="K4" s="40">
        <f t="shared" si="0"/>
        <v>1239.3934970469879</v>
      </c>
      <c r="L4" s="40">
        <f t="shared" si="0"/>
        <v>1194.7273149041114</v>
      </c>
      <c r="M4" s="40">
        <f t="shared" si="0"/>
        <v>1162.4999055437097</v>
      </c>
      <c r="N4" s="40">
        <f t="shared" si="0"/>
        <v>1171.5173194915196</v>
      </c>
      <c r="O4" s="40">
        <f t="shared" si="0"/>
        <v>1202.0962242987941</v>
      </c>
      <c r="P4" s="40">
        <f t="shared" si="0"/>
        <v>1224.8603653192843</v>
      </c>
      <c r="Q4" s="40">
        <f t="shared" si="0"/>
        <v>1244.3232626994372</v>
      </c>
      <c r="R4" s="40">
        <f t="shared" si="0"/>
        <v>1241.8612496504879</v>
      </c>
      <c r="S4" s="40">
        <f t="shared" si="0"/>
        <v>1227.4784890178826</v>
      </c>
      <c r="T4" s="40">
        <f t="shared" si="0"/>
        <v>1218.6551420734072</v>
      </c>
      <c r="U4" s="40">
        <f t="shared" si="0"/>
        <v>1197.4820095010721</v>
      </c>
      <c r="V4" s="40">
        <f t="shared" si="0"/>
        <v>1202.3555525159982</v>
      </c>
      <c r="W4" s="40">
        <f t="shared" si="0"/>
        <v>1192.9382386371974</v>
      </c>
      <c r="X4" s="40">
        <f t="shared" si="0"/>
        <v>1195.5469772851111</v>
      </c>
      <c r="Y4" s="40">
        <f t="shared" si="0"/>
        <v>1190.9388605207587</v>
      </c>
      <c r="Z4" s="40">
        <f t="shared" si="0"/>
        <v>1216.9016959048554</v>
      </c>
      <c r="AA4" s="40">
        <f t="shared" si="0"/>
        <v>1224.8132015696788</v>
      </c>
      <c r="AB4" s="40">
        <f t="shared" si="0"/>
        <v>1216.8111130588925</v>
      </c>
      <c r="AC4" s="40">
        <f t="shared" si="0"/>
        <v>1206.6102248317582</v>
      </c>
      <c r="AD4" s="40">
        <f t="shared" si="0"/>
        <v>1202.8837608805554</v>
      </c>
      <c r="AE4" s="40">
        <f t="shared" si="0"/>
        <v>1171.26511604862</v>
      </c>
      <c r="AF4" s="40">
        <f t="shared" si="0"/>
        <v>1166.5593957177307</v>
      </c>
      <c r="AG4" s="40">
        <f t="shared" si="0"/>
        <v>1166.8343107149296</v>
      </c>
      <c r="AH4" s="40">
        <f t="shared" si="0"/>
        <v>1158.6000321770462</v>
      </c>
      <c r="AI4" s="40">
        <f t="shared" si="0"/>
        <v>1145.2621528294474</v>
      </c>
      <c r="AJ4" s="40">
        <f t="shared" si="0"/>
        <v>1127.1134954870122</v>
      </c>
      <c r="AK4" s="40">
        <f t="shared" si="0"/>
        <v>1113.6808905305425</v>
      </c>
      <c r="AL4" s="40">
        <f t="shared" si="0"/>
        <v>1101.2673361670934</v>
      </c>
      <c r="AM4" s="40">
        <f t="shared" si="0"/>
        <v>1008.6136193162066</v>
      </c>
      <c r="AN4" s="40">
        <f t="shared" si="0"/>
        <v>1022.1652490528422</v>
      </c>
      <c r="AO4" s="40">
        <f t="shared" ref="AO4:BQ4" si="1">SUM(AO5:AO10)</f>
        <v>1045.8733464390211</v>
      </c>
      <c r="AP4" s="40">
        <f t="shared" si="1"/>
        <v>1052.4524907611742</v>
      </c>
      <c r="AQ4" s="40">
        <f t="shared" si="1"/>
        <v>1061.0507593335781</v>
      </c>
      <c r="AR4" s="40">
        <f t="shared" si="1"/>
        <v>1072.2330017073305</v>
      </c>
      <c r="AS4" s="40">
        <f t="shared" si="1"/>
        <v>1084.4893992199181</v>
      </c>
      <c r="AT4" s="40">
        <f t="shared" si="1"/>
        <v>1098.604830554046</v>
      </c>
      <c r="AU4" s="40">
        <f t="shared" si="1"/>
        <v>1112.9057474917574</v>
      </c>
      <c r="AV4" s="40">
        <f t="shared" si="1"/>
        <v>1128.823475255806</v>
      </c>
      <c r="AW4" s="40">
        <f t="shared" si="1"/>
        <v>1144.7465763655327</v>
      </c>
      <c r="AX4" s="40">
        <f t="shared" si="1"/>
        <v>1157.0959769893807</v>
      </c>
      <c r="AY4" s="40">
        <f t="shared" si="1"/>
        <v>1168.103633837201</v>
      </c>
      <c r="AZ4" s="40">
        <f t="shared" si="1"/>
        <v>1179.7338309250813</v>
      </c>
      <c r="BA4" s="40">
        <f t="shared" si="1"/>
        <v>1194.1741537487578</v>
      </c>
      <c r="BB4" s="40">
        <f t="shared" si="1"/>
        <v>1205.9914104943327</v>
      </c>
      <c r="BC4" s="40">
        <f t="shared" si="1"/>
        <v>1218.2889604793784</v>
      </c>
      <c r="BD4" s="40">
        <f t="shared" si="1"/>
        <v>1231.6467344799937</v>
      </c>
      <c r="BE4" s="40">
        <f t="shared" si="1"/>
        <v>1241.9732242043494</v>
      </c>
      <c r="BF4" s="40">
        <f t="shared" si="1"/>
        <v>1251.1856946193341</v>
      </c>
      <c r="BG4" s="40">
        <f t="shared" si="1"/>
        <v>1259.3941655421349</v>
      </c>
      <c r="BH4" s="40">
        <f t="shared" si="1"/>
        <v>1272.727529588135</v>
      </c>
      <c r="BI4" s="40">
        <f t="shared" si="1"/>
        <v>1284.1212953077591</v>
      </c>
      <c r="BJ4" s="40">
        <f t="shared" si="1"/>
        <v>1295.8234443186388</v>
      </c>
      <c r="BK4" s="40">
        <f t="shared" si="1"/>
        <v>1307.9246463103057</v>
      </c>
      <c r="BL4" s="40">
        <f t="shared" si="1"/>
        <v>1320.5829610130415</v>
      </c>
      <c r="BM4" s="40">
        <f t="shared" si="1"/>
        <v>1333.4639642435948</v>
      </c>
      <c r="BN4" s="40">
        <f t="shared" si="1"/>
        <v>1323.3346067656616</v>
      </c>
      <c r="BO4" s="40">
        <f t="shared" si="1"/>
        <v>1311.1778708116899</v>
      </c>
      <c r="BP4" s="40">
        <f t="shared" si="1"/>
        <v>1296.216602167058</v>
      </c>
      <c r="BQ4" s="40">
        <f t="shared" si="1"/>
        <v>1280.5904516295188</v>
      </c>
    </row>
    <row r="5" spans="1:75" x14ac:dyDescent="0.3">
      <c r="A5" s="95" t="str">
        <f>B5&amp;" "&amp;C5</f>
        <v>FSFAGSPQNIBDDSCM Cattle</v>
      </c>
      <c r="B5" s="95" t="s">
        <v>1375</v>
      </c>
      <c r="C5" s="95" t="s">
        <v>1108</v>
      </c>
      <c r="D5" t="str">
        <f>'IPCC Categories'!A5</f>
        <v>3A Livestock</v>
      </c>
      <c r="E5" t="str">
        <f>'IPCC Categories'!B5</f>
        <v>3A1 Enteric fermentation (CH4)</v>
      </c>
      <c r="F5" t="str">
        <f>'IPCC Categories'!C5</f>
        <v>3A1a Cattle</v>
      </c>
      <c r="G5" t="s">
        <v>121</v>
      </c>
      <c r="H5" t="s">
        <v>286</v>
      </c>
      <c r="I5" s="27">
        <f>'Emissions summary'!F5</f>
        <v>970.75783010383884</v>
      </c>
      <c r="J5" s="27">
        <f>'Emissions summary'!G5</f>
        <v>984.79007914328508</v>
      </c>
      <c r="K5" s="27">
        <f>'Emissions summary'!H5</f>
        <v>978.33549013594484</v>
      </c>
      <c r="L5" s="27">
        <f>'Emissions summary'!I5</f>
        <v>949.53957888011155</v>
      </c>
      <c r="M5" s="27">
        <f>'Emissions summary'!J5</f>
        <v>912.67525621411551</v>
      </c>
      <c r="N5" s="27">
        <f>'Emissions summary'!K5</f>
        <v>923.83797265176531</v>
      </c>
      <c r="O5" s="27">
        <f>'Emissions summary'!L5</f>
        <v>952.84275320570532</v>
      </c>
      <c r="P5" s="27">
        <f>'Emissions summary'!M5</f>
        <v>980.01539424682801</v>
      </c>
      <c r="Q5" s="27">
        <f>'Emissions summary'!N5</f>
        <v>999.43503615113787</v>
      </c>
      <c r="R5" s="27">
        <f>'Emissions summary'!O5</f>
        <v>1002.3241787350501</v>
      </c>
      <c r="S5" s="27">
        <f>'Emissions summary'!P5</f>
        <v>994.67599031563441</v>
      </c>
      <c r="T5" s="27">
        <f>'Emissions summary'!Q5</f>
        <v>989.00845450586121</v>
      </c>
      <c r="U5" s="27">
        <f>'Emissions summary'!R5</f>
        <v>974.60961385984729</v>
      </c>
      <c r="V5" s="27">
        <f>'Emissions summary'!S5</f>
        <v>979.96199314328828</v>
      </c>
      <c r="W5" s="27">
        <f>'Emissions summary'!T5</f>
        <v>973.57297774234985</v>
      </c>
      <c r="X5" s="27">
        <f>'Emissions summary'!U5</f>
        <v>977.1168038510275</v>
      </c>
      <c r="Y5" s="27">
        <f>'Emissions summary'!V5</f>
        <v>973.77414524080291</v>
      </c>
      <c r="Z5" s="27">
        <f>'Emissions summary'!W5</f>
        <v>1000.8673096110051</v>
      </c>
      <c r="AA5" s="27">
        <f>'Emissions summary'!X5</f>
        <v>1008.1706907272458</v>
      </c>
      <c r="AB5" s="27">
        <f>'Emissions summary'!Y5</f>
        <v>1001.4109568206607</v>
      </c>
      <c r="AC5" s="27">
        <f>'Emissions summary'!Z5</f>
        <v>994.93224097621089</v>
      </c>
      <c r="AD5" s="27">
        <f>'Emissions summary'!AA5</f>
        <v>992.75930538162731</v>
      </c>
      <c r="AE5" s="94">
        <f>IF($A5="Baseline",'Emissions summary'!AB5,SUMIF('Net zero emission reductions'!$A$4:$A$1448,$A$5,'Net zero emission reductions'!K$4:K$1448))</f>
        <v>977.48324710494353</v>
      </c>
      <c r="AF5" s="94">
        <f>IF($A5="Baseline",'Emissions summary'!AC5,SUMIF('Net zero emission reductions'!$A$4:$A$1448,$A$5,'Net zero emission reductions'!L$4:L$1448))</f>
        <v>972.58505850583742</v>
      </c>
      <c r="AG5" s="94">
        <f>IF($A5="Baseline",'Emissions summary'!AD5,SUMIF('Net zero emission reductions'!$A$4:$A$1448,$A$5,'Net zero emission reductions'!M$4:M$1448))</f>
        <v>972.49373775284266</v>
      </c>
      <c r="AH5" s="94">
        <f>IF($A5="Baseline",'Emissions summary'!AE5,SUMIF('Net zero emission reductions'!$A$4:$A$1448,$A$5,'Net zero emission reductions'!N$4:N$1448))</f>
        <v>963.82588908536786</v>
      </c>
      <c r="AI5" s="94">
        <f>IF($A5="Baseline",'Emissions summary'!AF5,SUMIF('Net zero emission reductions'!$A$4:$A$1448,$A$5,'Net zero emission reductions'!O$4:O$1448))</f>
        <v>949.97028936128629</v>
      </c>
      <c r="AJ5" s="94">
        <f>IF($A5="Baseline",'Emissions summary'!AG5,SUMIF('Net zero emission reductions'!$A$4:$A$1448,$A$5,'Net zero emission reductions'!P$4:P$1448))</f>
        <v>931.223870238676</v>
      </c>
      <c r="AK5" s="94">
        <f>IF($A5="Baseline",'Emissions summary'!AH5,SUMIF('Net zero emission reductions'!$A$4:$A$1448,$A$5,'Net zero emission reductions'!Q$4:Q$1448))</f>
        <v>917.09432606703422</v>
      </c>
      <c r="AL5" s="94">
        <f>IF($A5="Baseline",'Emissions summary'!AI5,SUMIF('Net zero emission reductions'!$A$4:$A$1448,$A$5,'Net zero emission reductions'!R$4:R$1448))</f>
        <v>903.9107469187411</v>
      </c>
      <c r="AM5" s="94">
        <f>IF($A5="Baseline",'Emissions summary'!AJ5,SUMIF('Net zero emission reductions'!$A$4:$A$1448,$A$5,'Net zero emission reductions'!S$4:S$1448))</f>
        <v>811.05700875819878</v>
      </c>
      <c r="AN5" s="94">
        <f>IF($A5="Baseline",'Emissions summary'!AK5,SUMIF('Net zero emission reductions'!$A$4:$A$1448,$A$5,'Net zero emission reductions'!T$4:T$1448))</f>
        <v>824.18436740436607</v>
      </c>
      <c r="AO5" s="94">
        <f>IF($A5="Baseline",'Emissions summary'!AL5,SUMIF('Net zero emission reductions'!$A$4:$A$1448,$A$5,'Net zero emission reductions'!U$4:U$1448))</f>
        <v>847.33903698820916</v>
      </c>
      <c r="AP5" s="94">
        <f>IF($A5="Baseline",'Emissions summary'!AM5,SUMIF('Net zero emission reductions'!$A$4:$A$1448,$A$5,'Net zero emission reductions'!V$4:V$1448))</f>
        <v>853.45518962464996</v>
      </c>
      <c r="AQ5" s="94">
        <f>IF($A5="Baseline",'Emissions summary'!AN5,SUMIF('Net zero emission reductions'!$A$4:$A$1448,$A$5,'Net zero emission reductions'!W$4:W$1448))</f>
        <v>861.53178289516325</v>
      </c>
      <c r="AR5" s="94">
        <f>IF($A5="Baseline",'Emissions summary'!AO5,SUMIF('Net zero emission reductions'!$A$4:$A$1448,$A$5,'Net zero emission reductions'!X$4:X$1448))</f>
        <v>872.13114817755127</v>
      </c>
      <c r="AS5" s="94">
        <f>IF($A5="Baseline",'Emissions summary'!AP5,SUMIF('Net zero emission reductions'!$A$4:$A$1448,$A$5,'Net zero emission reductions'!Y$4:Y$1448))</f>
        <v>883.98025553172408</v>
      </c>
      <c r="AT5" s="94">
        <f>IF($A5="Baseline",'Emissions summary'!AQ5,SUMIF('Net zero emission reductions'!$A$4:$A$1448,$A$5,'Net zero emission reductions'!Z$4:Z$1448))</f>
        <v>897.63841711182533</v>
      </c>
      <c r="AU5" s="94">
        <f>IF($A5="Baseline",'Emissions summary'!AR5,SUMIF('Net zero emission reductions'!$A$4:$A$1448,$A$5,'Net zero emission reductions'!AA$4:AA$1448))</f>
        <v>911.44724072298709</v>
      </c>
      <c r="AV5" s="94">
        <f>IF($A5="Baseline",'Emissions summary'!AS5,SUMIF('Net zero emission reductions'!$A$4:$A$1448,$A$5,'Net zero emission reductions'!AB$4:AB$1448))</f>
        <v>926.82780064820054</v>
      </c>
      <c r="AW5" s="94">
        <f>IF($A5="Baseline",'Emissions summary'!AT5,SUMIF('Net zero emission reductions'!$A$4:$A$1448,$A$5,'Net zero emission reductions'!AC$4:AC$1448))</f>
        <v>942.18314039268819</v>
      </c>
      <c r="AX5" s="94">
        <f>IF($A5="Baseline",'Emissions summary'!AU5,SUMIF('Net zero emission reductions'!$A$4:$A$1448,$A$5,'Net zero emission reductions'!AD$4:AD$1448))</f>
        <v>954.09405537255964</v>
      </c>
      <c r="AY5" s="94">
        <f>IF($A5="Baseline",'Emissions summary'!AV5,SUMIF('Net zero emission reductions'!$A$4:$A$1448,$A$5,'Net zero emission reductions'!AE$4:AE$1448))</f>
        <v>964.64474386988206</v>
      </c>
      <c r="AZ5" s="94">
        <f>IF($A5="Baseline",'Emissions summary'!AW5,SUMIF('Net zero emission reductions'!$A$4:$A$1448,$A$5,'Net zero emission reductions'!AF$4:AF$1448))</f>
        <v>975.78403162447353</v>
      </c>
      <c r="BA5" s="94">
        <f>IF($A5="Baseline",'Emissions summary'!AX5,SUMIF('Net zero emission reductions'!$A$4:$A$1448,$A$5,'Net zero emission reductions'!AG$4:AG$1448))</f>
        <v>989.68115851069774</v>
      </c>
      <c r="BB5" s="94">
        <f>IF($A5="Baseline",'Emissions summary'!AY5,SUMIF('Net zero emission reductions'!$A$4:$A$1448,$A$5,'Net zero emission reductions'!AH$4:AH$1448))</f>
        <v>1000.9504948267488</v>
      </c>
      <c r="BC5" s="94">
        <f>IF($A5="Baseline",'Emissions summary'!AZ5,SUMIF('Net zero emission reductions'!$A$4:$A$1448,$A$5,'Net zero emission reductions'!AI$4:AI$1448))</f>
        <v>1012.8369816573047</v>
      </c>
      <c r="BD5" s="94">
        <f>IF($A5="Baseline",'Emissions summary'!BA5,SUMIF('Net zero emission reductions'!$A$4:$A$1448,$A$5,'Net zero emission reductions'!AJ$4:AJ$1448))</f>
        <v>1025.7488890561726</v>
      </c>
      <c r="BE5" s="94">
        <f>IF($A5="Baseline",'Emissions summary'!BB5,SUMIF('Net zero emission reductions'!$A$4:$A$1448,$A$5,'Net zero emission reductions'!AK$4:AK$1448))</f>
        <v>1035.6323210782809</v>
      </c>
      <c r="BF5" s="94">
        <f>IF($A5="Baseline",'Emissions summary'!BC5,SUMIF('Net zero emission reductions'!$A$4:$A$1448,$A$5,'Net zero emission reductions'!AL$4:AL$1448))</f>
        <v>1044.388363259309</v>
      </c>
      <c r="BG5" s="94">
        <f>IF($A5="Baseline",'Emissions summary'!BD5,SUMIF('Net zero emission reductions'!$A$4:$A$1448,$A$5,'Net zero emission reductions'!AM$4:AM$1448))</f>
        <v>1052.1268586732422</v>
      </c>
      <c r="BH5" s="94">
        <f>IF($A5="Baseline",'Emissions summary'!BE5,SUMIF('Net zero emission reductions'!$A$4:$A$1448,$A$5,'Net zero emission reductions'!AN$4:AN$1448))</f>
        <v>1065.1110647820508</v>
      </c>
      <c r="BI5" s="94">
        <f>IF($A5="Baseline",'Emissions summary'!BF5,SUMIF('Net zero emission reductions'!$A$4:$A$1448,$A$5,'Net zero emission reductions'!AO$4:AO$1448))</f>
        <v>1076.1543301280399</v>
      </c>
      <c r="BJ5" s="94">
        <f>IF($A5="Baseline",'Emissions summary'!BG5,SUMIF('Net zero emission reductions'!$A$4:$A$1448,$A$5,'Net zero emission reductions'!AP$4:AP$1448))</f>
        <v>1087.483797825013</v>
      </c>
      <c r="BK5" s="94">
        <f>IF($A5="Baseline",'Emissions summary'!BH5,SUMIF('Net zero emission reductions'!$A$4:$A$1448,$A$5,'Net zero emission reductions'!AQ$4:AQ$1448))</f>
        <v>1099.1895341956952</v>
      </c>
      <c r="BL5" s="94">
        <f>IF($A5="Baseline",'Emissions summary'!BI5,SUMIF('Net zero emission reductions'!$A$4:$A$1448,$A$5,'Net zero emission reductions'!AR$4:AR$1448))</f>
        <v>1111.4282412823511</v>
      </c>
      <c r="BM5" s="94">
        <f>IF($A5="Baseline",'Emissions summary'!BJ5,SUMIF('Net zero emission reductions'!$A$4:$A$1448,$A$5,'Net zero emission reductions'!AS$4:AS$1448))</f>
        <v>1124.0245061622404</v>
      </c>
      <c r="BN5" s="94">
        <f>IF($A5="Baseline",'Emissions summary'!BK5,SUMIF('Net zero emission reductions'!$A$4:$A$1448,$A$5,'Net zero emission reductions'!AT$4:AT$1448))</f>
        <v>1113.8268042717291</v>
      </c>
      <c r="BO5" s="94">
        <f>IF($A5="Baseline",'Emissions summary'!BL5,SUMIF('Net zero emission reductions'!$A$4:$A$1448,$A$5,'Net zero emission reductions'!AU$4:AU$1448))</f>
        <v>1101.6105298680593</v>
      </c>
      <c r="BP5" s="94">
        <f>IF($A5="Baseline",'Emissions summary'!BM5,SUMIF('Net zero emission reductions'!$A$4:$A$1448,$A$5,'Net zero emission reductions'!AV$4:AV$1448))</f>
        <v>1086.607774712978</v>
      </c>
      <c r="BQ5" s="94">
        <f>IF($A5="Baseline",'Emissions summary'!BN5,SUMIF('Net zero emission reductions'!$A$4:$A$1448,$A$5,'Net zero emission reductions'!AW$4:AW$1448))</f>
        <v>1070.9370463501682</v>
      </c>
    </row>
    <row r="6" spans="1:75" x14ac:dyDescent="0.3">
      <c r="A6" s="95" t="str">
        <f t="shared" ref="A6:A26" si="2">B6&amp;" "&amp;C6</f>
        <v>FSFAGSPQNIBDDSCM Sheep</v>
      </c>
      <c r="B6" s="95" t="str">
        <f>$B$5</f>
        <v>FSFAGSPQNIBDDSCM</v>
      </c>
      <c r="C6" s="96" t="s">
        <v>152</v>
      </c>
      <c r="D6" t="str">
        <f>D5</f>
        <v>3A Livestock</v>
      </c>
      <c r="E6" t="str">
        <f>E5</f>
        <v>3A1 Enteric fermentation (CH4)</v>
      </c>
      <c r="F6" t="str">
        <f>'IPCC Categories'!C7</f>
        <v>3A1c Sheep</v>
      </c>
      <c r="G6" t="str">
        <f>G5</f>
        <v>CH4</v>
      </c>
      <c r="H6" t="str">
        <f>H5</f>
        <v>Gg CH4</v>
      </c>
      <c r="I6" s="27">
        <f>'Emissions summary'!F6</f>
        <v>230.15541038431331</v>
      </c>
      <c r="J6" s="27">
        <f>'Emissions summary'!G6</f>
        <v>219.80651638524552</v>
      </c>
      <c r="K6" s="27">
        <f>'Emissions summary'!H6</f>
        <v>210.72436386232471</v>
      </c>
      <c r="L6" s="27">
        <f>'Emissions summary'!I6</f>
        <v>197.07426480420705</v>
      </c>
      <c r="M6" s="27">
        <f>'Emissions summary'!J6</f>
        <v>198.463841817435</v>
      </c>
      <c r="N6" s="27">
        <f>'Emissions summary'!K6</f>
        <v>195.62327002243862</v>
      </c>
      <c r="O6" s="27">
        <f>'Emissions summary'!L6</f>
        <v>196.27583381318104</v>
      </c>
      <c r="P6" s="27">
        <f>'Emissions summary'!M6</f>
        <v>192.00729889961895</v>
      </c>
      <c r="Q6" s="27">
        <f>'Emissions summary'!N6</f>
        <v>192.53702715328046</v>
      </c>
      <c r="R6" s="27">
        <f>'Emissions summary'!O6</f>
        <v>187.80785897566491</v>
      </c>
      <c r="S6" s="27">
        <f>'Emissions summary'!P6</f>
        <v>181.07493609941679</v>
      </c>
      <c r="T6" s="27">
        <f>'Emissions summary'!Q6</f>
        <v>176.56073011169283</v>
      </c>
      <c r="U6" s="27">
        <f>'Emissions summary'!R6</f>
        <v>173.61267722175066</v>
      </c>
      <c r="V6" s="27">
        <f>'Emissions summary'!S6</f>
        <v>174.21917768608773</v>
      </c>
      <c r="W6" s="27">
        <f>'Emissions summary'!T6</f>
        <v>171.11758037479439</v>
      </c>
      <c r="X6" s="27">
        <f>'Emissions summary'!U6</f>
        <v>170.71068765821383</v>
      </c>
      <c r="Y6" s="27">
        <f>'Emissions summary'!V6</f>
        <v>168.47661632755455</v>
      </c>
      <c r="Z6" s="27">
        <f>'Emissions summary'!W6</f>
        <v>168.31539468513583</v>
      </c>
      <c r="AA6" s="27">
        <f>'Emissions summary'!X6</f>
        <v>168.86047738093242</v>
      </c>
      <c r="AB6" s="27">
        <f>'Emissions summary'!Y6</f>
        <v>168.26165413766293</v>
      </c>
      <c r="AC6" s="27">
        <f>'Emissions summary'!Z6</f>
        <v>165.00651240501841</v>
      </c>
      <c r="AD6" s="27">
        <f>'Emissions summary'!AA6</f>
        <v>163.71673926566876</v>
      </c>
      <c r="AE6" s="94">
        <f>IF($A6="Baseline",'Emissions summary'!AB6,SUMIF('Net zero emission reductions'!$A$4:$A$1448,$A$6,'Net zero emission reductions'!K$4:K$1448))</f>
        <v>146.95966438340815</v>
      </c>
      <c r="AF6" s="94">
        <f>IF($A6="Baseline",'Emissions summary'!AC6,SUMIF('Net zero emission reductions'!$A$4:$A$1448,$A$6,'Net zero emission reductions'!L$4:L$1448))</f>
        <v>147.03912500631182</v>
      </c>
      <c r="AG6" s="94">
        <f>IF($A6="Baseline",'Emissions summary'!AD6,SUMIF('Net zero emission reductions'!$A$4:$A$1448,$A$6,'Net zero emission reductions'!M$4:M$1448))</f>
        <v>147.22911237458146</v>
      </c>
      <c r="AH6" s="94">
        <f>IF($A6="Baseline",'Emissions summary'!AE6,SUMIF('Net zero emission reductions'!$A$4:$A$1448,$A$6,'Net zero emission reductions'!N$4:N$1448))</f>
        <v>147.50925027203016</v>
      </c>
      <c r="AI6" s="94">
        <f>IF($A6="Baseline",'Emissions summary'!AF6,SUMIF('Net zero emission reductions'!$A$4:$A$1448,$A$6,'Net zero emission reductions'!O$4:O$1448))</f>
        <v>147.87775850792974</v>
      </c>
      <c r="AJ6" s="94">
        <f>IF($A6="Baseline",'Emissions summary'!AG6,SUMIF('Net zero emission reductions'!$A$4:$A$1448,$A$6,'Net zero emission reductions'!P$4:P$1448))</f>
        <v>148.33074578780733</v>
      </c>
      <c r="AK6" s="94">
        <f>IF($A6="Baseline",'Emissions summary'!AH6,SUMIF('Net zero emission reductions'!$A$4:$A$1448,$A$6,'Net zero emission reductions'!Q$4:Q$1448))</f>
        <v>148.83951233411912</v>
      </c>
      <c r="AL6" s="94">
        <f>IF($A6="Baseline",'Emissions summary'!AI6,SUMIF('Net zero emission reductions'!$A$4:$A$1448,$A$6,'Net zero emission reductions'!R$4:R$1448))</f>
        <v>149.40084612451116</v>
      </c>
      <c r="AM6" s="94">
        <f>IF($A6="Baseline",'Emissions summary'!AJ6,SUMIF('Net zero emission reductions'!$A$4:$A$1448,$A$6,'Net zero emission reductions'!S$4:S$1448))</f>
        <v>149.91415497126445</v>
      </c>
      <c r="AN6" s="94">
        <f>IF($A6="Baseline",'Emissions summary'!AK6,SUMIF('Net zero emission reductions'!$A$4:$A$1448,$A$6,'Net zero emission reductions'!T$4:T$1448))</f>
        <v>150.13971530553752</v>
      </c>
      <c r="AO6" s="94">
        <f>IF($A6="Baseline",'Emissions summary'!AL6,SUMIF('Net zero emission reductions'!$A$4:$A$1448,$A$6,'Net zero emission reductions'!U$4:U$1448))</f>
        <v>150.41517293131534</v>
      </c>
      <c r="AP6" s="94">
        <f>IF($A6="Baseline",'Emissions summary'!AM6,SUMIF('Net zero emission reductions'!$A$4:$A$1448,$A$6,'Net zero emission reductions'!V$4:V$1448))</f>
        <v>150.7047003972543</v>
      </c>
      <c r="AQ6" s="94">
        <f>IF($A6="Baseline",'Emissions summary'!AN6,SUMIF('Net zero emission reductions'!$A$4:$A$1448,$A$6,'Net zero emission reductions'!W$4:W$1448))</f>
        <v>151.02975678889294</v>
      </c>
      <c r="AR6" s="94">
        <f>IF($A6="Baseline",'Emissions summary'!AO6,SUMIF('Net zero emission reductions'!$A$4:$A$1448,$A$6,'Net zero emission reductions'!X$4:X$1448))</f>
        <v>151.38943259201906</v>
      </c>
      <c r="AS6" s="94">
        <f>IF($A6="Baseline",'Emissions summary'!AP6,SUMIF('Net zero emission reductions'!$A$4:$A$1448,$A$6,'Net zero emission reductions'!Y$4:Y$1448))</f>
        <v>151.61405918649629</v>
      </c>
      <c r="AT6" s="94">
        <f>IF($A6="Baseline",'Emissions summary'!AQ6,SUMIF('Net zero emission reductions'!$A$4:$A$1448,$A$6,'Net zero emission reductions'!Z$4:Z$1448))</f>
        <v>151.86783029618067</v>
      </c>
      <c r="AU6" s="94">
        <f>IF($A6="Baseline",'Emissions summary'!AR6,SUMIF('Net zero emission reductions'!$A$4:$A$1448,$A$6,'Net zero emission reductions'!AA$4:AA$1448))</f>
        <v>152.14731691049928</v>
      </c>
      <c r="AV6" s="94">
        <f>IF($A6="Baseline",'Emissions summary'!AS6,SUMIF('Net zero emission reductions'!$A$4:$A$1448,$A$6,'Net zero emission reductions'!AB$4:AB$1448))</f>
        <v>152.45328751926144</v>
      </c>
      <c r="AW6" s="94">
        <f>IF($A6="Baseline",'Emissions summary'!AT6,SUMIF('Net zero emission reductions'!$A$4:$A$1448,$A$6,'Net zero emission reductions'!AC$4:AC$1448))</f>
        <v>152.7825840458537</v>
      </c>
      <c r="AX6" s="94">
        <f>IF($A6="Baseline",'Emissions summary'!AU6,SUMIF('Net zero emission reductions'!$A$4:$A$1448,$A$6,'Net zero emission reductions'!AD$4:AD$1448))</f>
        <v>153.00348118545617</v>
      </c>
      <c r="AY6" s="94">
        <f>IF($A6="Baseline",'Emissions summary'!AV6,SUMIF('Net zero emission reductions'!$A$4:$A$1448,$A$6,'Net zero emission reductions'!AE$4:AE$1448))</f>
        <v>153.24329012771761</v>
      </c>
      <c r="AZ6" s="94">
        <f>IF($A6="Baseline",'Emissions summary'!AW6,SUMIF('Net zero emission reductions'!$A$4:$A$1448,$A$6,'Net zero emission reductions'!AF$4:AF$1448))</f>
        <v>153.5039385437783</v>
      </c>
      <c r="BA6" s="94">
        <f>IF($A6="Baseline",'Emissions summary'!AX6,SUMIF('Net zero emission reductions'!$A$4:$A$1448,$A$6,'Net zero emission reductions'!AG$4:AG$1448))</f>
        <v>153.78797078261181</v>
      </c>
      <c r="BB6" s="94">
        <f>IF($A6="Baseline",'Emissions summary'!AY6,SUMIF('Net zero emission reductions'!$A$4:$A$1448,$A$6,'Net zero emission reductions'!AH$4:AH$1448))</f>
        <v>154.08685793653214</v>
      </c>
      <c r="BC6" s="94">
        <f>IF($A6="Baseline",'Emissions summary'!AZ6,SUMIF('Net zero emission reductions'!$A$4:$A$1448,$A$6,'Net zero emission reductions'!AI$4:AI$1448))</f>
        <v>154.27790565505001</v>
      </c>
      <c r="BD6" s="94">
        <f>IF($A6="Baseline",'Emissions summary'!BA6,SUMIF('Net zero emission reductions'!$A$4:$A$1448,$A$6,'Net zero emission reductions'!AJ$4:AJ$1448))</f>
        <v>154.48716663961466</v>
      </c>
      <c r="BE6" s="94">
        <f>IF($A6="Baseline",'Emissions summary'!BB6,SUMIF('Net zero emission reductions'!$A$4:$A$1448,$A$6,'Net zero emission reductions'!AK$4:AK$1448))</f>
        <v>154.70773902590761</v>
      </c>
      <c r="BF6" s="94">
        <f>IF($A6="Baseline",'Emissions summary'!BC6,SUMIF('Net zero emission reductions'!$A$4:$A$1448,$A$6,'Net zero emission reductions'!AL$4:AL$1448))</f>
        <v>154.94197103185195</v>
      </c>
      <c r="BG6" s="94">
        <f>IF($A6="Baseline",'Emissions summary'!BD6,SUMIF('Net zero emission reductions'!$A$4:$A$1448,$A$6,'Net zero emission reductions'!AM$4:AM$1448))</f>
        <v>155.1895075104313</v>
      </c>
      <c r="BH6" s="94">
        <f>IF($A6="Baseline",'Emissions summary'!BE6,SUMIF('Net zero emission reductions'!$A$4:$A$1448,$A$6,'Net zero emission reductions'!AN$4:AN$1448))</f>
        <v>155.33577037405141</v>
      </c>
      <c r="BI6" s="94">
        <f>IF($A6="Baseline",'Emissions summary'!BF6,SUMIF('Net zero emission reductions'!$A$4:$A$1448,$A$6,'Net zero emission reductions'!AO$4:AO$1448))</f>
        <v>155.49190775584717</v>
      </c>
      <c r="BJ6" s="94">
        <f>IF($A6="Baseline",'Emissions summary'!BG6,SUMIF('Net zero emission reductions'!$A$4:$A$1448,$A$6,'Net zero emission reductions'!AP$4:AP$1448))</f>
        <v>155.66127314162503</v>
      </c>
      <c r="BK6" s="94">
        <f>IF($A6="Baseline",'Emissions summary'!BH6,SUMIF('Net zero emission reductions'!$A$4:$A$1448,$A$6,'Net zero emission reductions'!AQ$4:AQ$1448))</f>
        <v>155.8437027909867</v>
      </c>
      <c r="BL6" s="94">
        <f>IF($A6="Baseline",'Emissions summary'!BI6,SUMIF('Net zero emission reductions'!$A$4:$A$1448,$A$6,'Net zero emission reductions'!AR$4:AR$1448))</f>
        <v>156.0391929234016</v>
      </c>
      <c r="BM6" s="94">
        <f>IF($A6="Baseline",'Emissions summary'!BJ6,SUMIF('Net zero emission reductions'!$A$4:$A$1448,$A$6,'Net zero emission reductions'!AS$4:AS$1448))</f>
        <v>156.12788211025401</v>
      </c>
      <c r="BN6" s="94">
        <f>IF($A6="Baseline",'Emissions summary'!BK6,SUMIF('Net zero emission reductions'!$A$4:$A$1448,$A$6,'Net zero emission reductions'!AT$4:AT$1448))</f>
        <v>156.18503642782315</v>
      </c>
      <c r="BO6" s="94">
        <f>IF($A6="Baseline",'Emissions summary'!BL6,SUMIF('Net zero emission reductions'!$A$4:$A$1448,$A$6,'Net zero emission reductions'!AU$4:AU$1448))</f>
        <v>156.24768836172908</v>
      </c>
      <c r="BP6" s="94">
        <f>IF($A6="Baseline",'Emissions summary'!BM6,SUMIF('Net zero emission reductions'!$A$4:$A$1448,$A$6,'Net zero emission reductions'!AV$4:AV$1448))</f>
        <v>156.31386560172501</v>
      </c>
      <c r="BQ6" s="94">
        <f>IF($A6="Baseline",'Emissions summary'!BN6,SUMIF('Net zero emission reductions'!$A$4:$A$1448,$A$6,'Net zero emission reductions'!AW$4:AW$1448))</f>
        <v>156.38717300202399</v>
      </c>
    </row>
    <row r="7" spans="1:75" x14ac:dyDescent="0.3">
      <c r="A7" s="95" t="str">
        <f t="shared" si="2"/>
        <v>FSFAGSPQNIBDDSCM Goats</v>
      </c>
      <c r="B7" s="95" t="str">
        <f t="shared" ref="B7:B10" si="3">$B$5</f>
        <v>FSFAGSPQNIBDDSCM</v>
      </c>
      <c r="C7" s="96" t="s">
        <v>153</v>
      </c>
      <c r="D7" t="str">
        <f t="shared" ref="D7:E22" si="4">D6</f>
        <v>3A Livestock</v>
      </c>
      <c r="E7" t="str">
        <f t="shared" si="4"/>
        <v>3A1 Enteric fermentation (CH4)</v>
      </c>
      <c r="F7" t="str">
        <f>'IPCC Categories'!C8</f>
        <v>3A1d Goats</v>
      </c>
      <c r="G7" t="str">
        <f t="shared" ref="G7:H10" si="5">G6</f>
        <v>CH4</v>
      </c>
      <c r="H7" t="str">
        <f t="shared" si="5"/>
        <v>Gg CH4</v>
      </c>
      <c r="I7" s="27">
        <f>'Emissions summary'!F7</f>
        <v>50.832740984438615</v>
      </c>
      <c r="J7" s="27">
        <f>'Emissions summary'!G7</f>
        <v>44.950509601596238</v>
      </c>
      <c r="K7" s="27">
        <f>'Emissions summary'!H7</f>
        <v>41.871958597491798</v>
      </c>
      <c r="L7" s="27">
        <f>'Emissions summary'!I7</f>
        <v>39.563045344413474</v>
      </c>
      <c r="M7" s="27">
        <f>'Emissions summary'!J7</f>
        <v>42.824843432095548</v>
      </c>
      <c r="N7" s="27">
        <f>'Emissions summary'!K7</f>
        <v>43.411234099544018</v>
      </c>
      <c r="O7" s="27">
        <f>'Emissions summary'!L7</f>
        <v>44.089248308781293</v>
      </c>
      <c r="P7" s="27">
        <f>'Emissions summary'!M7</f>
        <v>43.869351808488119</v>
      </c>
      <c r="Q7" s="27">
        <f>'Emissions summary'!N7</f>
        <v>43.24631172432413</v>
      </c>
      <c r="R7" s="27">
        <f>'Emissions summary'!O7</f>
        <v>42.604946931802381</v>
      </c>
      <c r="S7" s="27">
        <f>'Emissions summary'!P7</f>
        <v>43.15468818253531</v>
      </c>
      <c r="T7" s="27">
        <f>'Emissions summary'!Q7</f>
        <v>44.474067184294356</v>
      </c>
      <c r="U7" s="27">
        <f>'Emissions summary'!R7</f>
        <v>40.607553720806052</v>
      </c>
      <c r="V7" s="27">
        <f>'Emissions summary'!S7</f>
        <v>39.581370052771241</v>
      </c>
      <c r="W7" s="27">
        <f>'Emissions summary'!T7</f>
        <v>39.654668886202302</v>
      </c>
      <c r="X7" s="27">
        <f>'Emissions summary'!U7</f>
        <v>39.1415770521849</v>
      </c>
      <c r="Y7" s="27">
        <f>'Emissions summary'!V7</f>
        <v>39.966188928284296</v>
      </c>
      <c r="Z7" s="27">
        <f>'Emissions summary'!W7</f>
        <v>38.775082885029605</v>
      </c>
      <c r="AA7" s="27">
        <f>'Emissions summary'!X7</f>
        <v>38.738433468314078</v>
      </c>
      <c r="AB7" s="27">
        <f>'Emissions summary'!Y7</f>
        <v>38.060419259076795</v>
      </c>
      <c r="AC7" s="27">
        <f>'Emissions summary'!Z7</f>
        <v>37.60230155013268</v>
      </c>
      <c r="AD7" s="27">
        <f>'Emissions summary'!AA7</f>
        <v>37.254132091335151</v>
      </c>
      <c r="AE7" s="94">
        <f>IF($A7="Baseline",'Emissions summary'!AB7,SUMIF('Net zero emission reductions'!$A$4:$A$1448,$A$7,'Net zero emission reductions'!K$4:K$1448))</f>
        <v>37.504515885641105</v>
      </c>
      <c r="AF7" s="94">
        <f>IF($A7="Baseline",'Emissions summary'!AC7,SUMIF('Net zero emission reductions'!$A$4:$A$1448,$A$7,'Net zero emission reductions'!L$4:L$1448))</f>
        <v>37.602009523714763</v>
      </c>
      <c r="AG7" s="94">
        <f>IF($A7="Baseline",'Emissions summary'!AD7,SUMIF('Net zero emission reductions'!$A$4:$A$1448,$A$7,'Net zero emission reductions'!M$4:M$1448))</f>
        <v>37.736498552133639</v>
      </c>
      <c r="AH7" s="94">
        <f>IF($A7="Baseline",'Emissions summary'!AE7,SUMIF('Net zero emission reductions'!$A$4:$A$1448,$A$7,'Net zero emission reductions'!N$4:N$1448))</f>
        <v>37.900341707419201</v>
      </c>
      <c r="AI7" s="94">
        <f>IF($A7="Baseline",'Emissions summary'!AF7,SUMIF('Net zero emission reductions'!$A$4:$A$1448,$A$7,'Net zero emission reductions'!O$4:O$1448))</f>
        <v>38.093305305847224</v>
      </c>
      <c r="AJ7" s="94">
        <f>IF($A7="Baseline",'Emissions summary'!AG7,SUMIF('Net zero emission reductions'!$A$4:$A$1448,$A$7,'Net zero emission reductions'!P$4:P$1448))</f>
        <v>38.314214869749939</v>
      </c>
      <c r="AK7" s="94">
        <f>IF($A7="Baseline",'Emissions summary'!AH7,SUMIF('Net zero emission reductions'!$A$4:$A$1448,$A$7,'Net zero emission reductions'!Q$4:Q$1448))</f>
        <v>38.551961103128548</v>
      </c>
      <c r="AL7" s="94">
        <f>IF($A7="Baseline",'Emissions summary'!AI7,SUMIF('Net zero emission reductions'!$A$4:$A$1448,$A$7,'Net zero emission reductions'!R$4:R$1448))</f>
        <v>38.805602883426992</v>
      </c>
      <c r="AM7" s="94">
        <f>IF($A7="Baseline",'Emissions summary'!AJ7,SUMIF('Net zero emission reductions'!$A$4:$A$1448,$A$7,'Net zero emission reductions'!S$4:S$1448))</f>
        <v>39.035627253174376</v>
      </c>
      <c r="AN7" s="94">
        <f>IF($A7="Baseline",'Emissions summary'!AK7,SUMIF('Net zero emission reductions'!$A$4:$A$1448,$A$7,'Net zero emission reductions'!T$4:T$1448))</f>
        <v>39.147985144286039</v>
      </c>
      <c r="AO7" s="94">
        <f>IF($A7="Baseline",'Emissions summary'!AL7,SUMIF('Net zero emission reductions'!$A$4:$A$1448,$A$7,'Net zero emission reductions'!U$4:U$1448))</f>
        <v>39.276772359877427</v>
      </c>
      <c r="AP7" s="94">
        <f>IF($A7="Baseline",'Emissions summary'!AM7,SUMIF('Net zero emission reductions'!$A$4:$A$1448,$A$7,'Net zero emission reductions'!V$4:V$1448))</f>
        <v>39.408051851625075</v>
      </c>
      <c r="AQ7" s="94">
        <f>IF($A7="Baseline",'Emissions summary'!AN7,SUMIF('Net zero emission reductions'!$A$4:$A$1448,$A$7,'Net zero emission reductions'!W$4:W$1448))</f>
        <v>39.550434322516594</v>
      </c>
      <c r="AR7" s="94">
        <f>IF($A7="Baseline",'Emissions summary'!AO7,SUMIF('Net zero emission reductions'!$A$4:$A$1448,$A$7,'Net zero emission reductions'!X$4:X$1448))</f>
        <v>39.703684457278676</v>
      </c>
      <c r="AS7" s="94">
        <f>IF($A7="Baseline",'Emissions summary'!AP7,SUMIF('Net zero emission reductions'!$A$4:$A$1448,$A$7,'Net zero emission reductions'!Y$4:Y$1448))</f>
        <v>39.80175784290784</v>
      </c>
      <c r="AT7" s="94">
        <f>IF($A7="Baseline",'Emissions summary'!AQ7,SUMIF('Net zero emission reductions'!$A$4:$A$1448,$A$7,'Net zero emission reductions'!Z$4:Z$1448))</f>
        <v>39.909055566307046</v>
      </c>
      <c r="AU7" s="94">
        <f>IF($A7="Baseline",'Emissions summary'!AR7,SUMIF('Net zero emission reductions'!$A$4:$A$1448,$A$7,'Net zero emission reductions'!AA$4:AA$1448))</f>
        <v>40.024322648887811</v>
      </c>
      <c r="AV7" s="94">
        <f>IF($A7="Baseline",'Emissions summary'!AS7,SUMIF('Net zero emission reductions'!$A$4:$A$1448,$A$7,'Net zero emission reductions'!AB$4:AB$1448))</f>
        <v>40.14792922207134</v>
      </c>
      <c r="AW7" s="94">
        <f>IF($A7="Baseline",'Emissions summary'!AT7,SUMIF('Net zero emission reductions'!$A$4:$A$1448,$A$7,'Net zero emission reductions'!AC$4:AC$1448))</f>
        <v>40.278714643463765</v>
      </c>
      <c r="AX7" s="94">
        <f>IF($A7="Baseline",'Emissions summary'!AU7,SUMIF('Net zero emission reductions'!$A$4:$A$1448,$A$7,'Net zero emission reductions'!AD$4:AD$1448))</f>
        <v>40.3659336757527</v>
      </c>
      <c r="AY7" s="94">
        <f>IF($A7="Baseline",'Emissions summary'!AV7,SUMIF('Net zero emission reductions'!$A$4:$A$1448,$A$7,'Net zero emission reductions'!AE$4:AE$1448))</f>
        <v>40.458947584012826</v>
      </c>
      <c r="AZ7" s="94">
        <f>IF($A7="Baseline",'Emissions summary'!AW7,SUMIF('Net zero emission reductions'!$A$4:$A$1448,$A$7,'Net zero emission reductions'!AF$4:AF$1448))</f>
        <v>40.558543680849226</v>
      </c>
      <c r="BA7" s="94">
        <f>IF($A7="Baseline",'Emissions summary'!AX7,SUMIF('Net zero emission reductions'!$A$4:$A$1448,$A$7,'Net zero emission reductions'!AG$4:AG$1448))</f>
        <v>40.665733534989471</v>
      </c>
      <c r="BB7" s="94">
        <f>IF($A7="Baseline",'Emissions summary'!AY7,SUMIF('Net zero emission reductions'!$A$4:$A$1448,$A$7,'Net zero emission reductions'!AH$4:AH$1448))</f>
        <v>40.777278827623093</v>
      </c>
      <c r="BC7" s="94">
        <f>IF($A7="Baseline",'Emissions summary'!AZ7,SUMIF('Net zero emission reductions'!$A$4:$A$1448,$A$7,'Net zero emission reductions'!AI$4:AI$1448))</f>
        <v>40.846361697274546</v>
      </c>
      <c r="BD7" s="94">
        <f>IF($A7="Baseline",'Emissions summary'!BA7,SUMIF('Net zero emission reductions'!$A$4:$A$1448,$A$7,'Net zero emission reductions'!AJ$4:AJ$1448))</f>
        <v>40.921329189180355</v>
      </c>
      <c r="BE7" s="94">
        <f>IF($A7="Baseline",'Emissions summary'!BB7,SUMIF('Net zero emission reductions'!$A$4:$A$1448,$A$7,'Net zero emission reductions'!AK$4:AK$1448))</f>
        <v>40.999574032987937</v>
      </c>
      <c r="BF7" s="94">
        <f>IF($A7="Baseline",'Emissions summary'!BC7,SUMIF('Net zero emission reductions'!$A$4:$A$1448,$A$7,'Net zero emission reductions'!AL$4:AL$1448))</f>
        <v>41.082017929632187</v>
      </c>
      <c r="BG7" s="94">
        <f>IF($A7="Baseline",'Emissions summary'!BD7,SUMIF('Net zero emission reductions'!$A$4:$A$1448,$A$7,'Net zero emission reductions'!AM$4:AM$1448))</f>
        <v>41.168548002003789</v>
      </c>
      <c r="BH7" s="94">
        <f>IF($A7="Baseline",'Emissions summary'!BE7,SUMIF('Net zero emission reductions'!$A$4:$A$1448,$A$7,'Net zero emission reductions'!AN$4:AN$1448))</f>
        <v>41.215822740573941</v>
      </c>
      <c r="BI7" s="94">
        <f>IF($A7="Baseline",'Emissions summary'!BF7,SUMIF('Net zero emission reductions'!$A$4:$A$1448,$A$7,'Net zero emission reductions'!AO$4:AO$1448))</f>
        <v>41.26607566434555</v>
      </c>
      <c r="BJ7" s="94">
        <f>IF($A7="Baseline",'Emissions summary'!BG7,SUMIF('Net zero emission reductions'!$A$4:$A$1448,$A$7,'Net zero emission reductions'!AP$4:AP$1448))</f>
        <v>41.320589590753002</v>
      </c>
      <c r="BK7" s="94">
        <f>IF($A7="Baseline",'Emissions summary'!BH7,SUMIF('Net zero emission reductions'!$A$4:$A$1448,$A$7,'Net zero emission reductions'!AQ$4:AQ$1448))</f>
        <v>41.379312456527963</v>
      </c>
      <c r="BL7" s="94">
        <f>IF($A7="Baseline",'Emissions summary'!BI7,SUMIF('Net zero emission reductions'!$A$4:$A$1448,$A$7,'Net zero emission reductions'!AR$4:AR$1448))</f>
        <v>41.442251036022576</v>
      </c>
      <c r="BM7" s="94">
        <f>IF($A7="Baseline",'Emissions summary'!BJ7,SUMIF('Net zero emission reductions'!$A$4:$A$1448,$A$7,'Net zero emission reductions'!AS$4:AS$1448))</f>
        <v>41.464434964260974</v>
      </c>
      <c r="BN7" s="94">
        <f>IF($A7="Baseline",'Emissions summary'!BK7,SUMIF('Net zero emission reductions'!$A$4:$A$1448,$A$7,'Net zero emission reductions'!AT$4:AT$1448))</f>
        <v>41.474286851835657</v>
      </c>
      <c r="BO7" s="94">
        <f>IF($A7="Baseline",'Emissions summary'!BL7,SUMIF('Net zero emission reductions'!$A$4:$A$1448,$A$7,'Net zero emission reductions'!AU$4:AU$1448))</f>
        <v>41.485739739189128</v>
      </c>
      <c r="BP7" s="94">
        <f>IF($A7="Baseline",'Emissions summary'!BM7,SUMIF('Net zero emission reductions'!$A$4:$A$1448,$A$7,'Net zero emission reductions'!AV$4:AV$1448))</f>
        <v>41.498069672582069</v>
      </c>
      <c r="BQ7" s="94">
        <f>IF($A7="Baseline",'Emissions summary'!BN7,SUMIF('Net zero emission reductions'!$A$4:$A$1448,$A$7,'Net zero emission reductions'!AW$4:AW$1448))</f>
        <v>41.512635520588418</v>
      </c>
    </row>
    <row r="8" spans="1:75" x14ac:dyDescent="0.3">
      <c r="A8" s="95" t="str">
        <f t="shared" si="2"/>
        <v>FSFAGSPQNIBDDSCM Horses</v>
      </c>
      <c r="B8" s="95" t="str">
        <f t="shared" si="3"/>
        <v>FSFAGSPQNIBDDSCM</v>
      </c>
      <c r="C8" s="96" t="s">
        <v>3</v>
      </c>
      <c r="D8" t="str">
        <f t="shared" si="4"/>
        <v>3A Livestock</v>
      </c>
      <c r="E8" t="str">
        <f t="shared" si="4"/>
        <v>3A1 Enteric fermentation (CH4)</v>
      </c>
      <c r="F8" t="str">
        <f>'IPCC Categories'!C9</f>
        <v>3A1f Horses</v>
      </c>
      <c r="G8" t="str">
        <f t="shared" si="5"/>
        <v>CH4</v>
      </c>
      <c r="H8" t="str">
        <f t="shared" si="5"/>
        <v>Gg CH4</v>
      </c>
      <c r="I8" s="27">
        <f>'Emissions summary'!F8</f>
        <v>4.1399999999999997</v>
      </c>
      <c r="J8" s="27">
        <f>'Emissions summary'!G8</f>
        <v>4.1399999999999997</v>
      </c>
      <c r="K8" s="27">
        <f>'Emissions summary'!H8</f>
        <v>4.1399999999999997</v>
      </c>
      <c r="L8" s="27">
        <f>'Emissions summary'!I8</f>
        <v>4.2299999999999995</v>
      </c>
      <c r="M8" s="27">
        <f>'Emissions summary'!J8</f>
        <v>4.3199999999999994</v>
      </c>
      <c r="N8" s="27">
        <f>'Emissions summary'!K8</f>
        <v>4.41</v>
      </c>
      <c r="O8" s="27">
        <f>'Emissions summary'!L8</f>
        <v>4.5</v>
      </c>
      <c r="P8" s="27">
        <f>'Emissions summary'!M8</f>
        <v>4.59</v>
      </c>
      <c r="Q8" s="27">
        <f>'Emissions summary'!N8</f>
        <v>4.68</v>
      </c>
      <c r="R8" s="27">
        <f>'Emissions summary'!O8</f>
        <v>4.6440000000000001</v>
      </c>
      <c r="S8" s="27">
        <f>'Emissions summary'!P8</f>
        <v>4.8599999999999994</v>
      </c>
      <c r="T8" s="27">
        <f>'Emissions summary'!Q8</f>
        <v>4.8599999999999994</v>
      </c>
      <c r="U8" s="27">
        <f>'Emissions summary'!R8</f>
        <v>4.8599999999999994</v>
      </c>
      <c r="V8" s="27">
        <f>'Emissions summary'!S8</f>
        <v>4.8599999999999994</v>
      </c>
      <c r="W8" s="27">
        <f>'Emissions summary'!T8</f>
        <v>4.8599999999999994</v>
      </c>
      <c r="X8" s="27">
        <f>'Emissions summary'!U8</f>
        <v>4.8599999999999994</v>
      </c>
      <c r="Y8" s="27">
        <f>'Emissions summary'!V8</f>
        <v>5.04</v>
      </c>
      <c r="Z8" s="27">
        <f>'Emissions summary'!W8</f>
        <v>5.22</v>
      </c>
      <c r="AA8" s="27">
        <f>'Emissions summary'!X8</f>
        <v>5.3639999999999999</v>
      </c>
      <c r="AB8" s="27">
        <f>'Emissions summary'!Y8</f>
        <v>5.3999999999999995</v>
      </c>
      <c r="AC8" s="27">
        <f>'Emissions summary'!Z8</f>
        <v>5.3999999999999995</v>
      </c>
      <c r="AD8" s="27">
        <f>'Emissions summary'!AA8</f>
        <v>5.4899999999999993</v>
      </c>
      <c r="AE8" s="27">
        <f>'Net zero emission reductions'!K1389</f>
        <v>5.5526214800767901</v>
      </c>
      <c r="AF8" s="27">
        <f>'Net zero emission reductions'!L1389</f>
        <v>5.5795235710196511</v>
      </c>
      <c r="AG8" s="27">
        <f>'Net zero emission reductions'!M1389</f>
        <v>5.6203482259438022</v>
      </c>
      <c r="AH8" s="27">
        <f>'Net zero emission reductions'!N1389</f>
        <v>5.629075655008374</v>
      </c>
      <c r="AI8" s="27">
        <f>'Net zero emission reductions'!O1389</f>
        <v>5.6165815405282276</v>
      </c>
      <c r="AJ8" s="27">
        <f>'Net zero emission reductions'!P1389</f>
        <v>5.5833231296706103</v>
      </c>
      <c r="AK8" s="27">
        <f>'Net zero emission reductions'!Q1389</f>
        <v>5.5648827699457346</v>
      </c>
      <c r="AL8" s="27">
        <f>'Net zero emission reductions'!R1389</f>
        <v>5.5483103177944013</v>
      </c>
      <c r="AM8" s="27">
        <f>'Net zero emission reductions'!S1389</f>
        <v>5.2311192904529218</v>
      </c>
      <c r="AN8" s="27">
        <f>'Net zero emission reductions'!T1389</f>
        <v>5.2959023096135693</v>
      </c>
      <c r="AO8" s="27">
        <f>'Net zero emission reductions'!U1389</f>
        <v>5.3988006154965325</v>
      </c>
      <c r="AP8" s="27">
        <f>'Net zero emission reductions'!V1389</f>
        <v>5.4367829372956962</v>
      </c>
      <c r="AQ8" s="27">
        <f>'Net zero emission reductions'!W1389</f>
        <v>5.4819188324690939</v>
      </c>
      <c r="AR8" s="27">
        <f>'Net zero emission reductions'!X1389</f>
        <v>5.5365687700280883</v>
      </c>
      <c r="AS8" s="27">
        <f>'Net zero emission reductions'!Y1389</f>
        <v>5.601958980764981</v>
      </c>
      <c r="AT8" s="27">
        <f>'Net zero emission reductions'!Z1389</f>
        <v>5.6746319691397513</v>
      </c>
      <c r="AU8" s="27">
        <f>'Net zero emission reductions'!AA1389</f>
        <v>5.7481685306176677</v>
      </c>
      <c r="AV8" s="27">
        <f>'Net zero emission reductions'!AB1389</f>
        <v>5.8282774259733703</v>
      </c>
      <c r="AW8" s="27">
        <f>'Net zero emission reductions'!AC1389</f>
        <v>5.9086647601730373</v>
      </c>
      <c r="AX8" s="27">
        <f>'Net zero emission reductions'!AD1389</f>
        <v>6.0051030471917946</v>
      </c>
      <c r="AY8" s="27">
        <f>'Net zero emission reductions'!AE1389</f>
        <v>6.0980124130473197</v>
      </c>
      <c r="AZ8" s="27">
        <f>'Net zero emission reductions'!AF1389</f>
        <v>6.195439489414623</v>
      </c>
      <c r="BA8" s="27">
        <f>'Net zero emission reductions'!AG1389</f>
        <v>6.3068676222722697</v>
      </c>
      <c r="BB8" s="27">
        <f>'Net zero emission reductions'!AH1389</f>
        <v>6.4095401663804648</v>
      </c>
      <c r="BC8" s="27">
        <f>'Net zero emission reductions'!AI1389</f>
        <v>6.5228948238532292</v>
      </c>
      <c r="BD8" s="27">
        <f>'Net zero emission reductions'!AJ1389</f>
        <v>6.6437484965413081</v>
      </c>
      <c r="BE8" s="27">
        <f>'Net zero emission reductions'!AK1389</f>
        <v>6.7539654911689828</v>
      </c>
      <c r="BF8" s="27">
        <f>'Net zero emission reductions'!AL1389</f>
        <v>6.8618111039503944</v>
      </c>
      <c r="BG8" s="27">
        <f>'Net zero emission reductions'!AM1389</f>
        <v>6.9676727679478478</v>
      </c>
      <c r="BH8" s="27">
        <f>'Net zero emission reductions'!AN1389</f>
        <v>7.0885986695240639</v>
      </c>
      <c r="BI8" s="27">
        <f>'Net zero emission reductions'!AO1389</f>
        <v>7.202615789032512</v>
      </c>
      <c r="BJ8" s="27">
        <f>'Net zero emission reductions'!AP1389</f>
        <v>7.3203542233012309</v>
      </c>
      <c r="BK8" s="27">
        <f>'Net zero emission reductions'!AQ1389</f>
        <v>7.4423988374450394</v>
      </c>
      <c r="BL8" s="27">
        <f>'Net zero emission reductions'!AR1389</f>
        <v>7.5697005662835739</v>
      </c>
      <c r="BM8" s="27">
        <f>'Net zero emission reductions'!AS1389</f>
        <v>7.7079925213190776</v>
      </c>
      <c r="BN8" s="27">
        <f>'Net zero emission reductions'!AT1389</f>
        <v>7.7309775584942866</v>
      </c>
      <c r="BO8" s="27">
        <f>'Net zero emission reductions'!AU1389</f>
        <v>7.7430605044202654</v>
      </c>
      <c r="BP8" s="27">
        <f>'Net zero emission reductions'!AV1389</f>
        <v>7.7396666487885506</v>
      </c>
      <c r="BQ8" s="27">
        <f>'Net zero emission reductions'!AW1389</f>
        <v>7.7316472006042485</v>
      </c>
    </row>
    <row r="9" spans="1:75" x14ac:dyDescent="0.3">
      <c r="A9" s="95" t="str">
        <f t="shared" si="2"/>
        <v>FSFAGSPQNIBDDSCM Mules&amp;Asses</v>
      </c>
      <c r="B9" s="95" t="str">
        <f t="shared" si="3"/>
        <v>FSFAGSPQNIBDDSCM</v>
      </c>
      <c r="C9" s="96" t="s">
        <v>1323</v>
      </c>
      <c r="D9" t="str">
        <f t="shared" si="4"/>
        <v>3A Livestock</v>
      </c>
      <c r="E9" t="str">
        <f t="shared" si="4"/>
        <v>3A1 Enteric fermentation (CH4)</v>
      </c>
      <c r="F9" t="str">
        <f>'IPCC Categories'!C10</f>
        <v>3A1g Mules &amp; asses</v>
      </c>
      <c r="G9" t="str">
        <f t="shared" si="5"/>
        <v>CH4</v>
      </c>
      <c r="H9" t="str">
        <f t="shared" si="5"/>
        <v>Gg CH4</v>
      </c>
      <c r="I9" s="27">
        <f>'Emissions summary'!F9</f>
        <v>2.2399999999999998</v>
      </c>
      <c r="J9" s="27">
        <f>'Emissions summary'!G9</f>
        <v>2.2399999999999998</v>
      </c>
      <c r="K9" s="27">
        <f>'Emissions summary'!H9</f>
        <v>2.2399999999999998</v>
      </c>
      <c r="L9" s="27">
        <f>'Emissions summary'!I9</f>
        <v>2.2399999999999998</v>
      </c>
      <c r="M9" s="27">
        <f>'Emissions summary'!J9</f>
        <v>2.2399999999999998</v>
      </c>
      <c r="N9" s="27">
        <f>'Emissions summary'!K9</f>
        <v>2.2399999999999998</v>
      </c>
      <c r="O9" s="27">
        <f>'Emissions summary'!L9</f>
        <v>2.2399999999999998</v>
      </c>
      <c r="P9" s="27">
        <f>'Emissions summary'!M9</f>
        <v>2.2399999999999998</v>
      </c>
      <c r="Q9" s="27">
        <f>'Emissions summary'!N9</f>
        <v>2.2399999999999998</v>
      </c>
      <c r="R9" s="27">
        <f>'Emissions summary'!O9</f>
        <v>2.2399999999999998</v>
      </c>
      <c r="S9" s="27">
        <f>'Emissions summary'!P9</f>
        <v>1.64</v>
      </c>
      <c r="T9" s="27">
        <f>'Emissions summary'!Q9</f>
        <v>1.64</v>
      </c>
      <c r="U9" s="27">
        <f>'Emissions summary'!R9</f>
        <v>1.64</v>
      </c>
      <c r="V9" s="27">
        <f>'Emissions summary'!S9</f>
        <v>1.64</v>
      </c>
      <c r="W9" s="27">
        <f>'Emissions summary'!T9</f>
        <v>1.64</v>
      </c>
      <c r="X9" s="27">
        <f>'Emissions summary'!U9</f>
        <v>1.64</v>
      </c>
      <c r="Y9" s="27">
        <f>'Emissions summary'!V9</f>
        <v>1.6404999999999998</v>
      </c>
      <c r="Z9" s="27">
        <f>'Emissions summary'!W9</f>
        <v>1.6459999999999999</v>
      </c>
      <c r="AA9" s="27">
        <f>'Emissions summary'!X9</f>
        <v>1.647</v>
      </c>
      <c r="AB9" s="27">
        <f>'Emissions summary'!Y9</f>
        <v>1.6479999999999999</v>
      </c>
      <c r="AC9" s="27">
        <f>'Emissions summary'!Z9</f>
        <v>1.663</v>
      </c>
      <c r="AD9" s="27">
        <f>'Emissions summary'!AA9</f>
        <v>1.67</v>
      </c>
      <c r="AE9" s="27">
        <f>'Net zero emission reductions'!K1390</f>
        <v>1.67</v>
      </c>
      <c r="AF9" s="27">
        <f>'Net zero emission reductions'!L1390</f>
        <v>1.67</v>
      </c>
      <c r="AG9" s="27">
        <f>'Net zero emission reductions'!M1390</f>
        <v>1.67</v>
      </c>
      <c r="AH9" s="27">
        <f>'Net zero emission reductions'!N1390</f>
        <v>1.67</v>
      </c>
      <c r="AI9" s="27">
        <f>'Net zero emission reductions'!O1390</f>
        <v>1.67</v>
      </c>
      <c r="AJ9" s="27">
        <f>'Net zero emission reductions'!P1390</f>
        <v>1.67</v>
      </c>
      <c r="AK9" s="27">
        <f>'Net zero emission reductions'!Q1390</f>
        <v>1.67</v>
      </c>
      <c r="AL9" s="27">
        <f>'Net zero emission reductions'!R1390</f>
        <v>1.67</v>
      </c>
      <c r="AM9" s="27">
        <f>'Net zero emission reductions'!S1390</f>
        <v>1.67</v>
      </c>
      <c r="AN9" s="27">
        <f>'Net zero emission reductions'!T1390</f>
        <v>1.67</v>
      </c>
      <c r="AO9" s="27">
        <f>'Net zero emission reductions'!U1390</f>
        <v>1.67</v>
      </c>
      <c r="AP9" s="27">
        <f>'Net zero emission reductions'!V1390</f>
        <v>1.67</v>
      </c>
      <c r="AQ9" s="27">
        <f>'Net zero emission reductions'!W1390</f>
        <v>1.67</v>
      </c>
      <c r="AR9" s="27">
        <f>'Net zero emission reductions'!X1390</f>
        <v>1.67</v>
      </c>
      <c r="AS9" s="27">
        <f>'Net zero emission reductions'!Y1390</f>
        <v>1.67</v>
      </c>
      <c r="AT9" s="27">
        <f>'Net zero emission reductions'!Z1390</f>
        <v>1.67</v>
      </c>
      <c r="AU9" s="27">
        <f>'Net zero emission reductions'!AA1390</f>
        <v>1.67</v>
      </c>
      <c r="AV9" s="27">
        <f>'Net zero emission reductions'!AB1390</f>
        <v>1.67</v>
      </c>
      <c r="AW9" s="27">
        <f>'Net zero emission reductions'!AC1390</f>
        <v>1.67</v>
      </c>
      <c r="AX9" s="27">
        <f>'Net zero emission reductions'!AD1390</f>
        <v>1.67</v>
      </c>
      <c r="AY9" s="27">
        <f>'Net zero emission reductions'!AE1390</f>
        <v>1.67</v>
      </c>
      <c r="AZ9" s="27">
        <f>'Net zero emission reductions'!AF1390</f>
        <v>1.67</v>
      </c>
      <c r="BA9" s="27">
        <f>'Net zero emission reductions'!AG1390</f>
        <v>1.67</v>
      </c>
      <c r="BB9" s="27">
        <f>'Net zero emission reductions'!AH1390</f>
        <v>1.67</v>
      </c>
      <c r="BC9" s="27">
        <f>'Net zero emission reductions'!AI1390</f>
        <v>1.67</v>
      </c>
      <c r="BD9" s="27">
        <f>'Net zero emission reductions'!AJ1390</f>
        <v>1.67</v>
      </c>
      <c r="BE9" s="27">
        <f>'Net zero emission reductions'!AK1390</f>
        <v>1.67</v>
      </c>
      <c r="BF9" s="27">
        <f>'Net zero emission reductions'!AL1390</f>
        <v>1.67</v>
      </c>
      <c r="BG9" s="27">
        <f>'Net zero emission reductions'!AM1390</f>
        <v>1.67</v>
      </c>
      <c r="BH9" s="27">
        <f>'Net zero emission reductions'!AN1390</f>
        <v>1.67</v>
      </c>
      <c r="BI9" s="27">
        <f>'Net zero emission reductions'!AO1390</f>
        <v>1.67</v>
      </c>
      <c r="BJ9" s="27">
        <f>'Net zero emission reductions'!AP1390</f>
        <v>1.67</v>
      </c>
      <c r="BK9" s="27">
        <f>'Net zero emission reductions'!AQ1390</f>
        <v>1.67</v>
      </c>
      <c r="BL9" s="27">
        <f>'Net zero emission reductions'!AR1390</f>
        <v>1.67</v>
      </c>
      <c r="BM9" s="27">
        <f>'Net zero emission reductions'!AS1390</f>
        <v>1.67</v>
      </c>
      <c r="BN9" s="27">
        <f>'Net zero emission reductions'!AT1390</f>
        <v>1.67</v>
      </c>
      <c r="BO9" s="27">
        <f>'Net zero emission reductions'!AU1390</f>
        <v>1.67</v>
      </c>
      <c r="BP9" s="27">
        <f>'Net zero emission reductions'!AV1390</f>
        <v>1.67</v>
      </c>
      <c r="BQ9" s="27">
        <f>'Net zero emission reductions'!AW1390</f>
        <v>1.67</v>
      </c>
    </row>
    <row r="10" spans="1:75" x14ac:dyDescent="0.3">
      <c r="A10" s="95" t="str">
        <f t="shared" si="2"/>
        <v>FSFAGSPQNIBDDSCM Swine</v>
      </c>
      <c r="B10" s="95" t="str">
        <f t="shared" si="3"/>
        <v>FSFAGSPQNIBDDSCM</v>
      </c>
      <c r="C10" s="96" t="s">
        <v>155</v>
      </c>
      <c r="D10" t="str">
        <f t="shared" si="4"/>
        <v>3A Livestock</v>
      </c>
      <c r="E10" t="str">
        <f t="shared" si="4"/>
        <v>3A1 Enteric fermentation (CH4)</v>
      </c>
      <c r="F10" t="str">
        <f>'IPCC Categories'!C11</f>
        <v>3A1h Swine</v>
      </c>
      <c r="G10" t="str">
        <f t="shared" si="5"/>
        <v>CH4</v>
      </c>
      <c r="H10" t="str">
        <f t="shared" si="5"/>
        <v>Gg CH4</v>
      </c>
      <c r="I10" s="27">
        <f>'Emissions summary'!F10</f>
        <v>1.9180695910937571</v>
      </c>
      <c r="J10" s="27">
        <f>'Emissions summary'!G10</f>
        <v>2.0955287855453451</v>
      </c>
      <c r="K10" s="27">
        <f>'Emissions summary'!H10</f>
        <v>2.0816844512264265</v>
      </c>
      <c r="L10" s="27">
        <f>'Emissions summary'!I10</f>
        <v>2.0804258753792526</v>
      </c>
      <c r="M10" s="27">
        <f>'Emissions summary'!J10</f>
        <v>1.9759640800637785</v>
      </c>
      <c r="N10" s="27">
        <f>'Emissions summary'!K10</f>
        <v>1.9948427177713943</v>
      </c>
      <c r="O10" s="27">
        <f>'Emissions summary'!L10</f>
        <v>2.148388971126669</v>
      </c>
      <c r="P10" s="27">
        <f>'Emissions summary'!M10</f>
        <v>2.1383203643492741</v>
      </c>
      <c r="Q10" s="27">
        <f>'Emissions summary'!N10</f>
        <v>2.1848876706947262</v>
      </c>
      <c r="R10" s="27">
        <f>'Emissions summary'!O10</f>
        <v>2.240265007970399</v>
      </c>
      <c r="S10" s="27">
        <f>'Emissions summary'!P10</f>
        <v>2.0728744202962059</v>
      </c>
      <c r="T10" s="27">
        <f>'Emissions summary'!Q10</f>
        <v>2.1118902715586119</v>
      </c>
      <c r="U10" s="27">
        <f>'Emissions summary'!R10</f>
        <v>2.1521646986681922</v>
      </c>
      <c r="V10" s="27">
        <f>'Emissions summary'!S10</f>
        <v>2.0930116338509963</v>
      </c>
      <c r="W10" s="27">
        <f>'Emissions summary'!T10</f>
        <v>2.0930116338509963</v>
      </c>
      <c r="X10" s="27">
        <f>'Emissions summary'!U10</f>
        <v>2.0779087236849034</v>
      </c>
      <c r="Y10" s="27">
        <f>'Emissions summary'!V10</f>
        <v>2.0414100241168467</v>
      </c>
      <c r="Z10" s="27">
        <f>'Emissions summary'!W10</f>
        <v>2.0779087236849034</v>
      </c>
      <c r="AA10" s="27">
        <f>'Emissions summary'!X10</f>
        <v>2.0325999931866261</v>
      </c>
      <c r="AB10" s="27">
        <f>'Emissions summary'!Y10</f>
        <v>2.0300828414922774</v>
      </c>
      <c r="AC10" s="27">
        <f>'Emissions summary'!Z10</f>
        <v>2.0061699003959639</v>
      </c>
      <c r="AD10" s="27">
        <f>'Emissions summary'!AA10</f>
        <v>1.9935841419242202</v>
      </c>
      <c r="AE10" s="27">
        <f>SUM('Net zero emission reductions'!K1391:K1392)</f>
        <v>2.095067194550456</v>
      </c>
      <c r="AF10" s="27">
        <f>SUM('Net zero emission reductions'!L1391:L1392)</f>
        <v>2.0836791108466937</v>
      </c>
      <c r="AG10" s="27">
        <f>SUM('Net zero emission reductions'!M1391:M1392)</f>
        <v>2.0846138094278084</v>
      </c>
      <c r="AH10" s="27">
        <f>SUM('Net zero emission reductions'!N1391:N1392)</f>
        <v>2.0654754572205234</v>
      </c>
      <c r="AI10" s="27">
        <f>SUM('Net zero emission reductions'!O1391:O1392)</f>
        <v>2.0342181138558564</v>
      </c>
      <c r="AJ10" s="27">
        <f>SUM('Net zero emission reductions'!P1391:P1392)</f>
        <v>1.9913414611083862</v>
      </c>
      <c r="AK10" s="27">
        <f>SUM('Net zero emission reductions'!Q1391:Q1392)</f>
        <v>1.9602082563146459</v>
      </c>
      <c r="AL10" s="27">
        <f>SUM('Net zero emission reductions'!R1391:R1392)</f>
        <v>1.931829922619702</v>
      </c>
      <c r="AM10" s="27">
        <f>SUM('Net zero emission reductions'!S1391:S1392)</f>
        <v>1.7057090431160509</v>
      </c>
      <c r="AN10" s="27">
        <f>SUM('Net zero emission reductions'!T1391:T1392)</f>
        <v>1.7272788890390762</v>
      </c>
      <c r="AO10" s="27">
        <f>SUM('Net zero emission reductions'!U1391:U1392)</f>
        <v>1.773563544122408</v>
      </c>
      <c r="AP10" s="27">
        <f>SUM('Net zero emission reductions'!V1391:V1392)</f>
        <v>1.7777659503489533</v>
      </c>
      <c r="AQ10" s="27">
        <f>SUM('Net zero emission reductions'!W1391:W1392)</f>
        <v>1.7868664945359587</v>
      </c>
      <c r="AR10" s="27">
        <f>SUM('Net zero emission reductions'!X1391:X1392)</f>
        <v>1.8021677104534481</v>
      </c>
      <c r="AS10" s="27">
        <f>SUM('Net zero emission reductions'!Y1391:Y1392)</f>
        <v>1.8213676780248109</v>
      </c>
      <c r="AT10" s="27">
        <f>SUM('Net zero emission reductions'!Z1391:Z1392)</f>
        <v>1.8448956105932988</v>
      </c>
      <c r="AU10" s="27">
        <f>SUM('Net zero emission reductions'!AA1391:AA1392)</f>
        <v>1.8686986787654487</v>
      </c>
      <c r="AV10" s="27">
        <f>SUM('Net zero emission reductions'!AB1391:AB1392)</f>
        <v>1.8961804402992168</v>
      </c>
      <c r="AW10" s="27">
        <f>SUM('Net zero emission reductions'!AC1391:AC1392)</f>
        <v>1.9234725233541721</v>
      </c>
      <c r="AX10" s="27">
        <f>SUM('Net zero emission reductions'!AD1391:AD1392)</f>
        <v>1.9574037084203946</v>
      </c>
      <c r="AY10" s="27">
        <f>SUM('Net zero emission reductions'!AE1391:AE1392)</f>
        <v>1.988639842541065</v>
      </c>
      <c r="AZ10" s="27">
        <f>SUM('Net zero emission reductions'!AF1391:AF1392)</f>
        <v>2.0218775865655121</v>
      </c>
      <c r="BA10" s="27">
        <f>SUM('Net zero emission reductions'!AG1391:AG1392)</f>
        <v>2.0624232981865065</v>
      </c>
      <c r="BB10" s="27">
        <f>SUM('Net zero emission reductions'!AH1391:AH1392)</f>
        <v>2.0972387370479053</v>
      </c>
      <c r="BC10" s="27">
        <f>SUM('Net zero emission reductions'!AI1391:AI1392)</f>
        <v>2.1348166458958326</v>
      </c>
      <c r="BD10" s="27">
        <f>SUM('Net zero emission reductions'!AJ1391:AJ1392)</f>
        <v>2.1756010984844565</v>
      </c>
      <c r="BE10" s="27">
        <f>SUM('Net zero emission reductions'!AK1391:AK1392)</f>
        <v>2.2096245760038147</v>
      </c>
      <c r="BF10" s="27">
        <f>SUM('Net zero emission reductions'!AL1391:AL1392)</f>
        <v>2.2415312945904695</v>
      </c>
      <c r="BG10" s="27">
        <f>SUM('Net zero emission reductions'!AM1391:AM1392)</f>
        <v>2.271578588510101</v>
      </c>
      <c r="BH10" s="27">
        <f>SUM('Net zero emission reductions'!AN1391:AN1392)</f>
        <v>2.3062730219347705</v>
      </c>
      <c r="BI10" s="27">
        <f>SUM('Net zero emission reductions'!AO1391:AO1392)</f>
        <v>2.3363659704937523</v>
      </c>
      <c r="BJ10" s="27">
        <f>SUM('Net zero emission reductions'!AP1391:AP1392)</f>
        <v>2.3674295379466388</v>
      </c>
      <c r="BK10" s="27">
        <f>SUM('Net zero emission reductions'!AQ1391:AQ1392)</f>
        <v>2.3996980296506036</v>
      </c>
      <c r="BL10" s="27">
        <f>SUM('Net zero emission reductions'!AR1391:AR1392)</f>
        <v>2.4335752049828523</v>
      </c>
      <c r="BM10" s="27">
        <f>SUM('Net zero emission reductions'!AS1391:AS1392)</f>
        <v>2.4691484855202233</v>
      </c>
      <c r="BN10" s="27">
        <f>SUM('Net zero emission reductions'!AT1391:AT1392)</f>
        <v>2.4475016557794498</v>
      </c>
      <c r="BO10" s="27">
        <f>SUM('Net zero emission reductions'!AU1391:AU1392)</f>
        <v>2.4208523382920744</v>
      </c>
      <c r="BP10" s="27">
        <f>SUM('Net zero emission reductions'!AV1391:AV1392)</f>
        <v>2.3872255309845931</v>
      </c>
      <c r="BQ10" s="27">
        <f>SUM('Net zero emission reductions'!AW1391:AW1392)</f>
        <v>2.3519495561338126</v>
      </c>
    </row>
    <row r="11" spans="1:75" s="19" customFormat="1" ht="15.6" x14ac:dyDescent="0.3">
      <c r="A11" s="97"/>
      <c r="B11" s="97"/>
      <c r="C11" s="97"/>
      <c r="D11" s="19" t="str">
        <f>D18</f>
        <v>3A Livestock</v>
      </c>
      <c r="E11" s="19" t="str">
        <f>E18</f>
        <v>3A2 Manure management (CH4)</v>
      </c>
      <c r="F11" s="19" t="s">
        <v>148</v>
      </c>
      <c r="G11" s="19" t="str">
        <f>G18</f>
        <v>CH4</v>
      </c>
      <c r="H11" s="19" t="str">
        <f>H18</f>
        <v>Gg CH4</v>
      </c>
      <c r="I11" s="40">
        <f t="shared" ref="I11" si="6">SUM(I12:I18)</f>
        <v>31.702723851583059</v>
      </c>
      <c r="J11" s="40">
        <f t="shared" ref="J11:AE11" si="7">SUM(J12:J18)</f>
        <v>34.846437093745571</v>
      </c>
      <c r="K11" s="40">
        <f t="shared" si="7"/>
        <v>33.34593965991499</v>
      </c>
      <c r="L11" s="40">
        <f t="shared" si="7"/>
        <v>33.911342124246517</v>
      </c>
      <c r="M11" s="40">
        <f t="shared" si="7"/>
        <v>32.073771373963574</v>
      </c>
      <c r="N11" s="40">
        <f t="shared" si="7"/>
        <v>33.020872632281872</v>
      </c>
      <c r="O11" s="40">
        <f t="shared" si="7"/>
        <v>34.987492144761205</v>
      </c>
      <c r="P11" s="40">
        <f t="shared" si="7"/>
        <v>34.595629337012369</v>
      </c>
      <c r="Q11" s="40">
        <f t="shared" si="7"/>
        <v>35.178779527916078</v>
      </c>
      <c r="R11" s="40">
        <f t="shared" si="7"/>
        <v>35.773500663635126</v>
      </c>
      <c r="S11" s="40">
        <f t="shared" si="7"/>
        <v>36.297062166313644</v>
      </c>
      <c r="T11" s="40">
        <f t="shared" si="7"/>
        <v>36.650497115596643</v>
      </c>
      <c r="U11" s="40">
        <f t="shared" si="7"/>
        <v>35.964128838575938</v>
      </c>
      <c r="V11" s="40">
        <f t="shared" si="7"/>
        <v>34.354995245344796</v>
      </c>
      <c r="W11" s="40">
        <f t="shared" si="7"/>
        <v>34.113912838047241</v>
      </c>
      <c r="X11" s="40">
        <f t="shared" si="7"/>
        <v>34.7151680316408</v>
      </c>
      <c r="Y11" s="40">
        <f t="shared" si="7"/>
        <v>34.304317583202156</v>
      </c>
      <c r="Z11" s="40">
        <f t="shared" si="7"/>
        <v>34.81260712013389</v>
      </c>
      <c r="AA11" s="40">
        <f t="shared" si="7"/>
        <v>36.247765210834089</v>
      </c>
      <c r="AB11" s="40">
        <f t="shared" si="7"/>
        <v>36.334449628150963</v>
      </c>
      <c r="AC11" s="40">
        <f t="shared" si="7"/>
        <v>36.137208970848143</v>
      </c>
      <c r="AD11" s="40">
        <f t="shared" si="7"/>
        <v>35.764591312652556</v>
      </c>
      <c r="AE11" s="40">
        <f t="shared" si="7"/>
        <v>36.839564246604859</v>
      </c>
      <c r="AF11" s="40">
        <f t="shared" ref="AF11:BQ11" si="8">SUM(AF12:AF18)</f>
        <v>36.824524251577778</v>
      </c>
      <c r="AG11" s="40">
        <f t="shared" si="8"/>
        <v>36.994298181429897</v>
      </c>
      <c r="AH11" s="40">
        <f t="shared" si="8"/>
        <v>36.867987271463186</v>
      </c>
      <c r="AI11" s="40">
        <f t="shared" si="8"/>
        <v>36.560879511524732</v>
      </c>
      <c r="AJ11" s="40">
        <f t="shared" si="8"/>
        <v>36.078165266151373</v>
      </c>
      <c r="AK11" s="40">
        <f t="shared" si="8"/>
        <v>35.769406849073363</v>
      </c>
      <c r="AL11" s="40">
        <f t="shared" si="8"/>
        <v>35.500627316217205</v>
      </c>
      <c r="AM11" s="40">
        <f t="shared" si="8"/>
        <v>32.213465408675646</v>
      </c>
      <c r="AN11" s="40">
        <f t="shared" si="8"/>
        <v>32.674273527131568</v>
      </c>
      <c r="AO11" s="40">
        <f t="shared" si="8"/>
        <v>33.520272578585008</v>
      </c>
      <c r="AP11" s="40">
        <f t="shared" si="8"/>
        <v>33.723935447135545</v>
      </c>
      <c r="AQ11" s="40">
        <f t="shared" si="8"/>
        <v>34.006204465949708</v>
      </c>
      <c r="AR11" s="40">
        <f t="shared" si="8"/>
        <v>34.388437917683589</v>
      </c>
      <c r="AS11" s="40">
        <f t="shared" si="8"/>
        <v>34.828857533231258</v>
      </c>
      <c r="AT11" s="40">
        <f t="shared" si="8"/>
        <v>35.342048716541655</v>
      </c>
      <c r="AU11" s="40">
        <f t="shared" si="8"/>
        <v>35.864947529417357</v>
      </c>
      <c r="AV11" s="40">
        <f t="shared" si="8"/>
        <v>36.451730512307549</v>
      </c>
      <c r="AW11" s="40">
        <f t="shared" si="8"/>
        <v>37.041598548019962</v>
      </c>
      <c r="AX11" s="40">
        <f t="shared" si="8"/>
        <v>37.739018574450782</v>
      </c>
      <c r="AY11" s="40">
        <f t="shared" si="8"/>
        <v>38.400364234500628</v>
      </c>
      <c r="AZ11" s="40">
        <f t="shared" si="8"/>
        <v>39.101103830472383</v>
      </c>
      <c r="BA11" s="40">
        <f t="shared" si="8"/>
        <v>39.928012506416337</v>
      </c>
      <c r="BB11" s="40">
        <f t="shared" si="8"/>
        <v>40.670170404966917</v>
      </c>
      <c r="BC11" s="40">
        <f t="shared" si="8"/>
        <v>41.460218247798323</v>
      </c>
      <c r="BD11" s="40">
        <f t="shared" si="8"/>
        <v>42.311692540393338</v>
      </c>
      <c r="BE11" s="40">
        <f t="shared" si="8"/>
        <v>43.06057633784782</v>
      </c>
      <c r="BF11" s="40">
        <f t="shared" si="8"/>
        <v>43.782698378159566</v>
      </c>
      <c r="BG11" s="40">
        <f t="shared" si="8"/>
        <v>44.482045851188438</v>
      </c>
      <c r="BH11" s="40">
        <f t="shared" si="8"/>
        <v>45.261916227671449</v>
      </c>
      <c r="BI11" s="40">
        <f t="shared" si="8"/>
        <v>45.973204566208182</v>
      </c>
      <c r="BJ11" s="40">
        <f t="shared" si="8"/>
        <v>46.709493971757666</v>
      </c>
      <c r="BK11" s="40">
        <f t="shared" si="8"/>
        <v>47.475254291326905</v>
      </c>
      <c r="BL11" s="40">
        <f t="shared" si="8"/>
        <v>48.277959746541889</v>
      </c>
      <c r="BM11" s="40">
        <f t="shared" si="8"/>
        <v>49.114608866113812</v>
      </c>
      <c r="BN11" s="40">
        <f t="shared" si="8"/>
        <v>48.970828015504772</v>
      </c>
      <c r="BO11" s="40">
        <f t="shared" si="8"/>
        <v>48.740166166358847</v>
      </c>
      <c r="BP11" s="40">
        <f t="shared" si="8"/>
        <v>48.386675945640192</v>
      </c>
      <c r="BQ11" s="40">
        <f t="shared" si="8"/>
        <v>48.002133461747533</v>
      </c>
      <c r="BT11"/>
    </row>
    <row r="12" spans="1:75" x14ac:dyDescent="0.3">
      <c r="A12" s="95" t="str">
        <f t="shared" si="2"/>
        <v>FSFAGSPQNIBDDSCM Cattle MMCH4</v>
      </c>
      <c r="B12" s="95" t="str">
        <f t="shared" ref="B12:B18" si="9">$B$5</f>
        <v>FSFAGSPQNIBDDSCM</v>
      </c>
      <c r="C12" s="95" t="s">
        <v>1229</v>
      </c>
      <c r="D12" t="str">
        <f>D10</f>
        <v>3A Livestock</v>
      </c>
      <c r="E12" t="str">
        <f>'IPCC Categories'!B12</f>
        <v>3A2 Manure management (CH4)</v>
      </c>
      <c r="F12" t="str">
        <f>'IPCC Categories'!C20</f>
        <v>3A2a Cattle</v>
      </c>
      <c r="G12" t="str">
        <f>G10</f>
        <v>CH4</v>
      </c>
      <c r="H12" t="str">
        <f>H10</f>
        <v>Gg CH4</v>
      </c>
      <c r="I12" s="27">
        <f>'Emissions summary'!F12</f>
        <v>8.7411879732159203</v>
      </c>
      <c r="J12" s="27">
        <f>'Emissions summary'!G12</f>
        <v>9.975428544318282</v>
      </c>
      <c r="K12" s="27">
        <f>'Emissions summary'!H12</f>
        <v>8.7049393037396534</v>
      </c>
      <c r="L12" s="27">
        <f>'Emissions summary'!I12</f>
        <v>9.1866288543050949</v>
      </c>
      <c r="M12" s="27">
        <f>'Emissions summary'!J12</f>
        <v>8.5387883014234216</v>
      </c>
      <c r="N12" s="27">
        <f>'Emissions summary'!K12</f>
        <v>9.1047703582547079</v>
      </c>
      <c r="O12" s="27">
        <f>'Emissions summary'!L12</f>
        <v>9.1488551241771336</v>
      </c>
      <c r="P12" s="27">
        <f>'Emissions summary'!M12</f>
        <v>8.8467258594312526</v>
      </c>
      <c r="Q12" s="27">
        <f>'Emissions summary'!N12</f>
        <v>8.7366188809270806</v>
      </c>
      <c r="R12" s="27">
        <f>'Emissions summary'!O12</f>
        <v>8.6199113361492632</v>
      </c>
      <c r="S12" s="27">
        <f>'Emissions summary'!P12</f>
        <v>10.914641044652543</v>
      </c>
      <c r="T12" s="27">
        <f>'Emissions summary'!Q12</f>
        <v>10.875335802478894</v>
      </c>
      <c r="U12" s="27">
        <f>'Emissions summary'!R12</f>
        <v>9.5759431074378831</v>
      </c>
      <c r="V12" s="27">
        <f>'Emissions summary'!S12</f>
        <v>8.7330292709988893</v>
      </c>
      <c r="W12" s="27">
        <f>'Emissions summary'!T12</f>
        <v>8.4376183222193628</v>
      </c>
      <c r="X12" s="27">
        <f>'Emissions summary'!U12</f>
        <v>9.0020345528971131</v>
      </c>
      <c r="Y12" s="27">
        <f>'Emissions summary'!V12</f>
        <v>8.8216264657665526</v>
      </c>
      <c r="Z12" s="27">
        <f>'Emissions summary'!W12</f>
        <v>8.775466165479612</v>
      </c>
      <c r="AA12" s="27">
        <f>'Emissions summary'!X12</f>
        <v>10.574651313182118</v>
      </c>
      <c r="AB12" s="27">
        <f>'Emissions summary'!Y12</f>
        <v>10.837506153958151</v>
      </c>
      <c r="AC12" s="27">
        <f>'Emissions summary'!Z12</f>
        <v>10.835280189588559</v>
      </c>
      <c r="AD12" s="27">
        <f>'Emissions summary'!AA12</f>
        <v>10.50406860380672</v>
      </c>
      <c r="AE12" s="94">
        <f>IF($A12="Baseline",'Emissions summary'!AB12,SUMIF('Net zero emission reductions'!$A$4:$A$1448,$A$12,'Net zero emission reductions'!K$4:K$1448))</f>
        <v>10.513994827787098</v>
      </c>
      <c r="AF12" s="94">
        <f>IF($A12="Baseline",'Emissions summary'!AC12,SUMIF('Net zero emission reductions'!$A$4:$A$1448,$A$12,'Net zero emission reductions'!L$4:L$1448))</f>
        <v>10.583676395984554</v>
      </c>
      <c r="AG12" s="94">
        <f>IF($A12="Baseline",'Emissions summary'!AD12,SUMIF('Net zero emission reductions'!$A$4:$A$1448,$A$12,'Net zero emission reductions'!M$4:M$1448))</f>
        <v>10.680340304941298</v>
      </c>
      <c r="AH12" s="94">
        <f>IF($A12="Baseline",'Emissions summary'!AE12,SUMIF('Net zero emission reductions'!$A$4:$A$1448,$A$12,'Net zero emission reductions'!N$4:N$1448))</f>
        <v>10.74258011113773</v>
      </c>
      <c r="AI12" s="94">
        <f>IF($A12="Baseline",'Emissions summary'!AF12,SUMIF('Net zero emission reductions'!$A$4:$A$1448,$A$12,'Net zero emission reductions'!O$4:O$1448))</f>
        <v>10.783729898618763</v>
      </c>
      <c r="AJ12" s="94">
        <f>IF($A12="Baseline",'Emissions summary'!AG12,SUMIF('Net zero emission reductions'!$A$4:$A$1448,$A$12,'Net zero emission reductions'!P$4:P$1448))</f>
        <v>10.803370567699297</v>
      </c>
      <c r="AK12" s="94">
        <f>IF($A12="Baseline",'Emissions summary'!AH12,SUMIF('Net zero emission reductions'!$A$4:$A$1448,$A$12,'Net zero emission reductions'!Q$4:Q$1448))</f>
        <v>10.846236588865763</v>
      </c>
      <c r="AL12" s="94">
        <f>IF($A12="Baseline",'Emissions summary'!AI12,SUMIF('Net zero emission reductions'!$A$4:$A$1448,$A$12,'Net zero emission reductions'!R$4:R$1448))</f>
        <v>10.895047418651057</v>
      </c>
      <c r="AM12" s="94">
        <f>IF($A12="Baseline",'Emissions summary'!AJ12,SUMIF('Net zero emission reductions'!$A$4:$A$1448,$A$12,'Net zero emission reductions'!S$4:S$1448))</f>
        <v>10.523717306442997</v>
      </c>
      <c r="AN12" s="94">
        <f>IF($A12="Baseline",'Emissions summary'!AK12,SUMIF('Net zero emission reductions'!$A$4:$A$1448,$A$12,'Net zero emission reductions'!T$4:T$1448))</f>
        <v>10.650575336480776</v>
      </c>
      <c r="AO12" s="94">
        <f>IF($A12="Baseline",'Emissions summary'!AL12,SUMIF('Net zero emission reductions'!$A$4:$A$1448,$A$12,'Net zero emission reductions'!U$4:U$1448))</f>
        <v>10.835511861767294</v>
      </c>
      <c r="AP12" s="94">
        <f>IF($A12="Baseline",'Emissions summary'!AM12,SUMIF('Net zero emission reductions'!$A$4:$A$1448,$A$12,'Net zero emission reductions'!V$4:V$1448))</f>
        <v>10.93163004518863</v>
      </c>
      <c r="AQ12" s="94">
        <f>IF($A12="Baseline",'Emissions summary'!AN12,SUMIF('Net zero emission reductions'!$A$4:$A$1448,$A$12,'Net zero emission reductions'!W$4:W$1448))</f>
        <v>11.041166177760429</v>
      </c>
      <c r="AR12" s="94">
        <f>IF($A12="Baseline",'Emissions summary'!AO12,SUMIF('Net zero emission reductions'!$A$4:$A$1448,$A$12,'Net zero emission reductions'!X$4:X$1448))</f>
        <v>11.16769761546005</v>
      </c>
      <c r="AS12" s="94">
        <f>IF($A12="Baseline",'Emissions summary'!AP12,SUMIF('Net zero emission reductions'!$A$4:$A$1448,$A$12,'Net zero emission reductions'!Y$4:Y$1448))</f>
        <v>11.298212385635029</v>
      </c>
      <c r="AT12" s="94">
        <f>IF($A12="Baseline",'Emissions summary'!AQ12,SUMIF('Net zero emission reductions'!$A$4:$A$1448,$A$12,'Net zero emission reductions'!Z$4:Z$1448))</f>
        <v>11.442420325662457</v>
      </c>
      <c r="AU12" s="94">
        <f>IF($A12="Baseline",'Emissions summary'!AR12,SUMIF('Net zero emission reductions'!$A$4:$A$1448,$A$12,'Net zero emission reductions'!AA$4:AA$1448))</f>
        <v>11.590970510590244</v>
      </c>
      <c r="AV12" s="94">
        <f>IF($A12="Baseline",'Emissions summary'!AS12,SUMIF('Net zero emission reductions'!$A$4:$A$1448,$A$12,'Net zero emission reductions'!AB$4:AB$1448))</f>
        <v>11.752358027164293</v>
      </c>
      <c r="AW12" s="94">
        <f>IF($A12="Baseline",'Emissions summary'!AT12,SUMIF('Net zero emission reductions'!$A$4:$A$1448,$A$12,'Net zero emission reductions'!AC$4:AC$1448))</f>
        <v>11.917316424404454</v>
      </c>
      <c r="AX12" s="94">
        <f>IF($A12="Baseline",'Emissions summary'!AU12,SUMIF('Net zero emission reductions'!$A$4:$A$1448,$A$12,'Net zero emission reductions'!AD$4:AD$1448))</f>
        <v>12.097390212770421</v>
      </c>
      <c r="AY12" s="94">
        <f>IF($A12="Baseline",'Emissions summary'!AV12,SUMIF('Net zero emission reductions'!$A$4:$A$1448,$A$12,'Net zero emission reductions'!AE$4:AE$1448))</f>
        <v>12.275140536851968</v>
      </c>
      <c r="AZ12" s="94">
        <f>IF($A12="Baseline",'Emissions summary'!AW12,SUMIF('Net zero emission reductions'!$A$4:$A$1448,$A$12,'Net zero emission reductions'!AF$4:AF$1448))</f>
        <v>12.462716555110115</v>
      </c>
      <c r="BA12" s="94">
        <f>IF($A12="Baseline",'Emissions summary'!AX12,SUMIF('Net zero emission reductions'!$A$4:$A$1448,$A$12,'Net zero emission reductions'!AG$4:AG$1448))</f>
        <v>12.674716557038966</v>
      </c>
      <c r="BB12" s="94">
        <f>IF($A12="Baseline",'Emissions summary'!AY12,SUMIF('Net zero emission reductions'!$A$4:$A$1448,$A$12,'Net zero emission reductions'!AH$4:AH$1448))</f>
        <v>12.876538138844291</v>
      </c>
      <c r="BC12" s="94">
        <f>IF($A12="Baseline",'Emissions summary'!AZ12,SUMIF('Net zero emission reductions'!$A$4:$A$1448,$A$12,'Net zero emission reductions'!AI$4:AI$1448))</f>
        <v>13.084755913074376</v>
      </c>
      <c r="BD12" s="94">
        <f>IF($A12="Baseline",'Emissions summary'!BA12,SUMIF('Net zero emission reductions'!$A$4:$A$1448,$A$12,'Net zero emission reductions'!AJ$4:AJ$1448))</f>
        <v>13.307383129830768</v>
      </c>
      <c r="BE12" s="94">
        <f>IF($A12="Baseline",'Emissions summary'!BB12,SUMIF('Net zero emission reductions'!$A$4:$A$1448,$A$12,'Net zero emission reductions'!AK$4:AK$1448))</f>
        <v>13.516371407126377</v>
      </c>
      <c r="BF12" s="94">
        <f>IF($A12="Baseline",'Emissions summary'!BC12,SUMIF('Net zero emission reductions'!$A$4:$A$1448,$A$12,'Net zero emission reductions'!AL$4:AL$1448))</f>
        <v>13.724433193086494</v>
      </c>
      <c r="BG12" s="94">
        <f>IF($A12="Baseline",'Emissions summary'!BD12,SUMIF('Net zero emission reductions'!$A$4:$A$1448,$A$12,'Net zero emission reductions'!AM$4:AM$1448))</f>
        <v>13.932140739468368</v>
      </c>
      <c r="BH12" s="94">
        <f>IF($A12="Baseline",'Emissions summary'!BE12,SUMIF('Net zero emission reductions'!$A$4:$A$1448,$A$12,'Net zero emission reductions'!AN$4:AN$1448))</f>
        <v>14.152377893813137</v>
      </c>
      <c r="BI12" s="94">
        <f>IF($A12="Baseline",'Emissions summary'!BF12,SUMIF('Net zero emission reductions'!$A$4:$A$1448,$A$12,'Net zero emission reductions'!AO$4:AO$1448))</f>
        <v>14.364098436386273</v>
      </c>
      <c r="BJ12" s="94">
        <f>IF($A12="Baseline",'Emissions summary'!BG12,SUMIF('Net zero emission reductions'!$A$4:$A$1448,$A$12,'Net zero emission reductions'!AP$4:AP$1448))</f>
        <v>14.584058795867479</v>
      </c>
      <c r="BK12" s="94">
        <f>IF($A12="Baseline",'Emissions summary'!BH12,SUMIF('Net zero emission reductions'!$A$4:$A$1448,$A$12,'Net zero emission reductions'!AQ$4:AQ$1448))</f>
        <v>14.813264501443239</v>
      </c>
      <c r="BL12" s="94">
        <f>IF($A12="Baseline",'Emissions summary'!BI12,SUMIF('Net zero emission reductions'!$A$4:$A$1448,$A$12,'Net zero emission reductions'!AR$4:AR$1448))</f>
        <v>15.053322966130512</v>
      </c>
      <c r="BM12" s="94">
        <f>IF($A12="Baseline",'Emissions summary'!BJ12,SUMIF('Net zero emission reductions'!$A$4:$A$1448,$A$12,'Net zero emission reductions'!AS$4:AS$1448))</f>
        <v>15.298917926122545</v>
      </c>
      <c r="BN12" s="94">
        <f>IF($A12="Baseline",'Emissions summary'!BK12,SUMIF('Net zero emission reductions'!$A$4:$A$1448,$A$12,'Net zero emission reductions'!AT$4:AT$1448))</f>
        <v>15.361440586357919</v>
      </c>
      <c r="BO12" s="94">
        <f>IF($A12="Baseline",'Emissions summary'!BL12,SUMIF('Net zero emission reductions'!$A$4:$A$1448,$A$12,'Net zero emission reductions'!AU$4:AU$1448))</f>
        <v>15.407522221858477</v>
      </c>
      <c r="BP12" s="94">
        <f>IF($A12="Baseline",'Emissions summary'!BM12,SUMIF('Net zero emission reductions'!$A$4:$A$1448,$A$12,'Net zero emission reductions'!AV$4:AV$1448))</f>
        <v>15.429611850915567</v>
      </c>
      <c r="BQ12" s="94">
        <f>IF($A12="Baseline",'Emissions summary'!BN12,SUMIF('Net zero emission reductions'!$A$4:$A$1448,$A$12,'Net zero emission reductions'!AW$4:AW$1448))</f>
        <v>15.445050217108401</v>
      </c>
    </row>
    <row r="13" spans="1:75" x14ac:dyDescent="0.3">
      <c r="A13" s="95" t="str">
        <f t="shared" si="2"/>
        <v>FSFAGSPQNIBDDSCM Sheep MMCH4</v>
      </c>
      <c r="B13" s="95" t="str">
        <f t="shared" si="9"/>
        <v>FSFAGSPQNIBDDSCM</v>
      </c>
      <c r="C13" s="96" t="s">
        <v>1324</v>
      </c>
      <c r="D13" t="str">
        <f t="shared" si="4"/>
        <v>3A Livestock</v>
      </c>
      <c r="E13" t="str">
        <f>E12</f>
        <v>3A2 Manure management (CH4)</v>
      </c>
      <c r="F13" t="str">
        <f>'IPCC Categories'!C22</f>
        <v>3A2c Sheep</v>
      </c>
      <c r="G13" t="str">
        <f t="shared" ref="G13:H18" si="10">G12</f>
        <v>CH4</v>
      </c>
      <c r="H13" t="str">
        <f t="shared" si="10"/>
        <v>Gg CH4</v>
      </c>
      <c r="I13" s="27">
        <f>'Emissions summary'!F13</f>
        <v>6.2894599121782607E-2</v>
      </c>
      <c r="J13" s="27">
        <f>'Emissions summary'!G13</f>
        <v>6.0066555504044758E-2</v>
      </c>
      <c r="K13" s="27">
        <f>'Emissions summary'!H13</f>
        <v>5.7584674495303009E-2</v>
      </c>
      <c r="L13" s="27">
        <f>'Emissions summary'!I13</f>
        <v>5.3854510138969261E-2</v>
      </c>
      <c r="M13" s="27">
        <f>'Emissions summary'!J13</f>
        <v>5.4234240031261954E-2</v>
      </c>
      <c r="N13" s="27">
        <f>'Emissions summary'!K13</f>
        <v>5.3457996605028271E-2</v>
      </c>
      <c r="O13" s="27">
        <f>'Emissions summary'!L13</f>
        <v>5.3636322797541415E-2</v>
      </c>
      <c r="P13" s="27">
        <f>'Emissions summary'!M13</f>
        <v>5.2469859702984858E-2</v>
      </c>
      <c r="Q13" s="27">
        <f>'Emissions summary'!N13</f>
        <v>5.2614618612201423E-2</v>
      </c>
      <c r="R13" s="27">
        <f>'Emissions summary'!O13</f>
        <v>5.1322278205282637E-2</v>
      </c>
      <c r="S13" s="27">
        <f>'Emissions summary'!P13</f>
        <v>4.9482371489588214E-2</v>
      </c>
      <c r="T13" s="27">
        <f>'Emissions summary'!Q13</f>
        <v>4.8248773828438465E-2</v>
      </c>
      <c r="U13" s="27">
        <f>'Emissions summary'!R13</f>
        <v>4.7443159029320267E-2</v>
      </c>
      <c r="V13" s="27">
        <f>'Emissions summary'!S13</f>
        <v>4.7608897490597185E-2</v>
      </c>
      <c r="W13" s="27">
        <f>'Emissions summary'!T13</f>
        <v>4.6761323587358246E-2</v>
      </c>
      <c r="X13" s="27">
        <f>'Emissions summary'!U13</f>
        <v>4.6650131961438294E-2</v>
      </c>
      <c r="Y13" s="27">
        <f>'Emissions summary'!V13</f>
        <v>4.6039626996481529E-2</v>
      </c>
      <c r="Z13" s="27">
        <f>'Emissions summary'!W13</f>
        <v>4.5995569937154757E-2</v>
      </c>
      <c r="AA13" s="27">
        <f>'Emissions summary'!X13</f>
        <v>4.6144524756783378E-2</v>
      </c>
      <c r="AB13" s="27">
        <f>'Emissions summary'!Y13</f>
        <v>4.5980884250712492E-2</v>
      </c>
      <c r="AC13" s="27">
        <f>'Emissions summary'!Z13</f>
        <v>4.5091351243352819E-2</v>
      </c>
      <c r="AD13" s="27">
        <f>'Emissions summary'!AA13</f>
        <v>4.4738894768738595E-2</v>
      </c>
      <c r="AE13" s="27">
        <f>SUM('Net zero emission reductions'!K1399:K1400)</f>
        <v>4.017229113225361E-2</v>
      </c>
      <c r="AF13" s="27">
        <f>SUM('Net zero emission reductions'!L1399:L1400)</f>
        <v>4.019401216223982E-2</v>
      </c>
      <c r="AG13" s="27">
        <f>SUM('Net zero emission reductions'!M1399:M1400)</f>
        <v>4.0245946330037495E-2</v>
      </c>
      <c r="AH13" s="27">
        <f>SUM('Net zero emission reductions'!N1399:N1400)</f>
        <v>4.0322523676758468E-2</v>
      </c>
      <c r="AI13" s="27">
        <f>SUM('Net zero emission reductions'!O1399:O1400)</f>
        <v>4.0423257576766368E-2</v>
      </c>
      <c r="AJ13" s="27">
        <f>SUM('Net zero emission reductions'!P1399:P1400)</f>
        <v>4.0547084321763377E-2</v>
      </c>
      <c r="AK13" s="27">
        <f>SUM('Net zero emission reductions'!Q1399:Q1400)</f>
        <v>4.0686158658266129E-2</v>
      </c>
      <c r="AL13" s="27">
        <f>SUM('Net zero emission reductions'!R1399:R1400)</f>
        <v>4.0839602561017339E-2</v>
      </c>
      <c r="AM13" s="27">
        <f>SUM('Net zero emission reductions'!S1399:S1400)</f>
        <v>4.0979918562139499E-2</v>
      </c>
      <c r="AN13" s="27">
        <f>SUM('Net zero emission reductions'!T1399:T1400)</f>
        <v>4.1041576810028978E-2</v>
      </c>
      <c r="AO13" s="27">
        <f>SUM('Net zero emission reductions'!U1399:U1400)</f>
        <v>4.1116874776881127E-2</v>
      </c>
      <c r="AP13" s="27">
        <f>SUM('Net zero emission reductions'!V1399:V1400)</f>
        <v>4.1196018817535304E-2</v>
      </c>
      <c r="AQ13" s="27">
        <f>SUM('Net zero emission reductions'!W1399:W1400)</f>
        <v>4.1284874899604466E-2</v>
      </c>
      <c r="AR13" s="27">
        <f>SUM('Net zero emission reductions'!X1399:X1400)</f>
        <v>4.1383194402013719E-2</v>
      </c>
      <c r="AS13" s="27">
        <f>SUM('Net zero emission reductions'!Y1399:Y1400)</f>
        <v>4.1444597406622138E-2</v>
      </c>
      <c r="AT13" s="27">
        <f>SUM('Net zero emission reductions'!Z1399:Z1400)</f>
        <v>4.1513967236377604E-2</v>
      </c>
      <c r="AU13" s="27">
        <f>SUM('Net zero emission reductions'!AA1399:AA1400)</f>
        <v>4.1590366551013246E-2</v>
      </c>
      <c r="AV13" s="27">
        <f>SUM('Net zero emission reductions'!AB1399:AB1400)</f>
        <v>4.1674005421751516E-2</v>
      </c>
      <c r="AW13" s="27">
        <f>SUM('Net zero emission reductions'!AC1399:AC1400)</f>
        <v>4.1764020569721581E-2</v>
      </c>
      <c r="AX13" s="27">
        <f>SUM('Net zero emission reductions'!AD1399:AD1400)</f>
        <v>4.1824404105840998E-2</v>
      </c>
      <c r="AY13" s="27">
        <f>SUM('Net zero emission reductions'!AE1399:AE1400)</f>
        <v>4.1889957294772559E-2</v>
      </c>
      <c r="AZ13" s="27">
        <f>SUM('Net zero emission reductions'!AF1399:AF1400)</f>
        <v>4.1961207076793246E-2</v>
      </c>
      <c r="BA13" s="27">
        <f>SUM('Net zero emission reductions'!AG1399:AG1400)</f>
        <v>4.2038848964703363E-2</v>
      </c>
      <c r="BB13" s="27">
        <f>SUM('Net zero emission reductions'!AH1399:AH1400)</f>
        <v>4.2120551531277375E-2</v>
      </c>
      <c r="BC13" s="27">
        <f>SUM('Net zero emission reductions'!AI1399:AI1400)</f>
        <v>4.2172775552070108E-2</v>
      </c>
      <c r="BD13" s="27">
        <f>SUM('Net zero emission reductions'!AJ1399:AJ1400)</f>
        <v>4.2229978276571579E-2</v>
      </c>
      <c r="BE13" s="27">
        <f>SUM('Net zero emission reductions'!AK1399:AK1400)</f>
        <v>4.2290273039458218E-2</v>
      </c>
      <c r="BF13" s="27">
        <f>SUM('Net zero emission reductions'!AL1399:AL1400)</f>
        <v>4.2354301739950743E-2</v>
      </c>
      <c r="BG13" s="27">
        <f>SUM('Net zero emission reductions'!AM1399:AM1400)</f>
        <v>4.2421967296517329E-2</v>
      </c>
      <c r="BH13" s="27">
        <f>SUM('Net zero emission reductions'!AN1399:AN1400)</f>
        <v>4.2461949113050707E-2</v>
      </c>
      <c r="BI13" s="27">
        <f>SUM('Net zero emission reductions'!AO1399:AO1400)</f>
        <v>4.2504630187374361E-2</v>
      </c>
      <c r="BJ13" s="27">
        <f>SUM('Net zero emission reductions'!AP1399:AP1400)</f>
        <v>4.2550927214614731E-2</v>
      </c>
      <c r="BK13" s="27">
        <f>SUM('Net zero emission reductions'!AQ1399:AQ1400)</f>
        <v>4.26007954353681E-2</v>
      </c>
      <c r="BL13" s="27">
        <f>SUM('Net zero emission reductions'!AR1399:AR1400)</f>
        <v>4.2654233816204118E-2</v>
      </c>
      <c r="BM13" s="27">
        <f>SUM('Net zero emission reductions'!AS1399:AS1400)</f>
        <v>4.2678477528582386E-2</v>
      </c>
      <c r="BN13" s="27">
        <f>SUM('Net zero emission reductions'!AT1399:AT1400)</f>
        <v>4.2694100998426888E-2</v>
      </c>
      <c r="BO13" s="27">
        <f>SUM('Net zero emission reductions'!AU1399:AU1400)</f>
        <v>4.2711227274125928E-2</v>
      </c>
      <c r="BP13" s="27">
        <f>SUM('Net zero emission reductions'!AV1399:AV1400)</f>
        <v>4.2729317213039436E-2</v>
      </c>
      <c r="BQ13" s="27">
        <f>SUM('Net zero emission reductions'!AW1399:AW1400)</f>
        <v>4.2749356223330544E-2</v>
      </c>
    </row>
    <row r="14" spans="1:75" x14ac:dyDescent="0.3">
      <c r="A14" s="95" t="str">
        <f t="shared" si="2"/>
        <v>FSFAGSPQNIBDDSCM Goats MMCH4</v>
      </c>
      <c r="B14" s="95" t="str">
        <f t="shared" si="9"/>
        <v>FSFAGSPQNIBDDSCM</v>
      </c>
      <c r="C14" s="96" t="s">
        <v>1325</v>
      </c>
      <c r="D14" t="str">
        <f t="shared" si="4"/>
        <v>3A Livestock</v>
      </c>
      <c r="E14" t="str">
        <f t="shared" si="4"/>
        <v>3A2 Manure management (CH4)</v>
      </c>
      <c r="F14" t="str">
        <f>'IPCC Categories'!C23</f>
        <v>3A2d Goats</v>
      </c>
      <c r="G14" t="str">
        <f t="shared" si="10"/>
        <v>CH4</v>
      </c>
      <c r="H14" t="str">
        <f t="shared" si="10"/>
        <v>Gg CH4</v>
      </c>
      <c r="I14" s="27">
        <f>'Emissions summary'!F14</f>
        <v>5.7474022342600642E-2</v>
      </c>
      <c r="J14" s="27">
        <f>'Emissions summary'!G14</f>
        <v>5.0823279310165601E-2</v>
      </c>
      <c r="K14" s="27">
        <f>'Emissions summary'!H14</f>
        <v>4.7342516601601464E-2</v>
      </c>
      <c r="L14" s="27">
        <f>'Emissions summary'!I14</f>
        <v>4.4731944570178372E-2</v>
      </c>
      <c r="M14" s="27">
        <f>'Emissions summary'!J14</f>
        <v>4.8419895535204649E-2</v>
      </c>
      <c r="N14" s="27">
        <f>'Emissions summary'!K14</f>
        <v>4.9082897955883539E-2</v>
      </c>
      <c r="O14" s="27">
        <f>'Emissions summary'!L14</f>
        <v>4.9849494504793493E-2</v>
      </c>
      <c r="P14" s="27">
        <f>'Emissions summary'!M14</f>
        <v>4.9600868597038911E-2</v>
      </c>
      <c r="Q14" s="27">
        <f>'Emissions summary'!N14</f>
        <v>4.8896428525067599E-2</v>
      </c>
      <c r="R14" s="27">
        <f>'Emissions summary'!O14</f>
        <v>4.8171269627450081E-2</v>
      </c>
      <c r="S14" s="27">
        <f>'Emissions summary'!P14</f>
        <v>4.8792834396836522E-2</v>
      </c>
      <c r="T14" s="27">
        <f>'Emissions summary'!Q14</f>
        <v>5.0284589843364008E-2</v>
      </c>
      <c r="U14" s="27">
        <f>'Emissions summary'!R14</f>
        <v>4.5912917632012634E-2</v>
      </c>
      <c r="V14" s="27">
        <f>'Emissions summary'!S14</f>
        <v>4.475266339582458E-2</v>
      </c>
      <c r="W14" s="27">
        <f>'Emissions summary'!T14</f>
        <v>4.4835538698409449E-2</v>
      </c>
      <c r="X14" s="27">
        <f>'Emissions summary'!U14</f>
        <v>4.4255411580315415E-2</v>
      </c>
      <c r="Y14" s="27">
        <f>'Emissions summary'!V14</f>
        <v>4.5187758734395102E-2</v>
      </c>
      <c r="Z14" s="27">
        <f>'Emissions summary'!W14</f>
        <v>4.3841035067391121E-2</v>
      </c>
      <c r="AA14" s="27">
        <f>'Emissions summary'!X14</f>
        <v>4.3799597416098693E-2</v>
      </c>
      <c r="AB14" s="27">
        <f>'Emissions summary'!Y14</f>
        <v>4.3033000867188732E-2</v>
      </c>
      <c r="AC14" s="27">
        <f>'Emissions summary'!Z14</f>
        <v>4.2515030226033354E-2</v>
      </c>
      <c r="AD14" s="27">
        <f>'Emissions summary'!AA14</f>
        <v>4.2121372538755267E-2</v>
      </c>
      <c r="AE14" s="27">
        <f>SUM('Net zero emission reductions'!K1401:K1402)</f>
        <v>4.23818915638281E-2</v>
      </c>
      <c r="AF14" s="27">
        <f>SUM('Net zero emission reductions'!L1401:L1402)</f>
        <v>4.2492064024381923E-2</v>
      </c>
      <c r="AG14" s="27">
        <f>SUM('Net zero emission reductions'!M1401:M1402)</f>
        <v>4.264404304035839E-2</v>
      </c>
      <c r="AH14" s="27">
        <f>SUM('Net zero emission reductions'!N1401:N1402)</f>
        <v>4.2829193619610281E-2</v>
      </c>
      <c r="AI14" s="27">
        <f>SUM('Net zero emission reductions'!O1401:O1402)</f>
        <v>4.3047251688384705E-2</v>
      </c>
      <c r="AJ14" s="27">
        <f>SUM('Net zero emission reductions'!P1401:P1402)</f>
        <v>4.3296890030905533E-2</v>
      </c>
      <c r="AK14" s="27">
        <f>SUM('Net zero emission reductions'!Q1401:Q1402)</f>
        <v>4.3565554612885075E-2</v>
      </c>
      <c r="AL14" s="27">
        <f>SUM('Net zero emission reductions'!R1401:R1402)</f>
        <v>4.3852181920952263E-2</v>
      </c>
      <c r="AM14" s="27">
        <f>SUM('Net zero emission reductions'!S1401:S1402)</f>
        <v>4.4112120428768178E-2</v>
      </c>
      <c r="AN14" s="27">
        <f>SUM('Net zero emission reductions'!T1401:T1402)</f>
        <v>4.4239090204140158E-2</v>
      </c>
      <c r="AO14" s="27">
        <f>SUM('Net zero emission reductions'!U1401:U1402)</f>
        <v>4.438462589969866E-2</v>
      </c>
      <c r="AP14" s="27">
        <f>SUM('Net zero emission reductions'!V1401:V1402)</f>
        <v>4.4532977986171896E-2</v>
      </c>
      <c r="AQ14" s="27">
        <f>SUM('Net zero emission reductions'!W1401:W1402)</f>
        <v>4.469387696858549E-2</v>
      </c>
      <c r="AR14" s="27">
        <f>SUM('Net zero emission reductions'!X1401:X1402)</f>
        <v>4.486705692945829E-2</v>
      </c>
      <c r="AS14" s="27">
        <f>SUM('Net zero emission reductions'!Y1401:Y1402)</f>
        <v>4.4977884532398343E-2</v>
      </c>
      <c r="AT14" s="27">
        <f>SUM('Net zero emission reductions'!Z1401:Z1402)</f>
        <v>4.5099136076932785E-2</v>
      </c>
      <c r="AU14" s="27">
        <f>SUM('Net zero emission reductions'!AA1401:AA1402)</f>
        <v>4.522939337740596E-2</v>
      </c>
      <c r="AV14" s="27">
        <f>SUM('Net zero emission reductions'!AB1401:AB1402)</f>
        <v>4.5369074699975614E-2</v>
      </c>
      <c r="AW14" s="27">
        <f>SUM('Net zero emission reductions'!AC1401:AC1402)</f>
        <v>4.551686846338493E-2</v>
      </c>
      <c r="AX14" s="27">
        <f>SUM('Net zero emission reductions'!AD1401:AD1402)</f>
        <v>4.5615430129399843E-2</v>
      </c>
      <c r="AY14" s="27">
        <f>SUM('Net zero emission reductions'!AE1401:AE1402)</f>
        <v>4.572054028162334E-2</v>
      </c>
      <c r="AZ14" s="27">
        <f>SUM('Net zero emission reductions'!AF1401:AF1402)</f>
        <v>4.583308862084659E-2</v>
      </c>
      <c r="BA14" s="27">
        <f>SUM('Net zero emission reductions'!AG1401:AG1402)</f>
        <v>4.5954218267974065E-2</v>
      </c>
      <c r="BB14" s="27">
        <f>SUM('Net zero emission reductions'!AH1401:AH1402)</f>
        <v>4.6080269768312546E-2</v>
      </c>
      <c r="BC14" s="27">
        <f>SUM('Net zero emission reductions'!AI1401:AI1402)</f>
        <v>4.6158336705622548E-2</v>
      </c>
      <c r="BD14" s="27">
        <f>SUM('Net zero emission reductions'!AJ1401:AJ1402)</f>
        <v>4.6243053546721154E-2</v>
      </c>
      <c r="BE14" s="27">
        <f>SUM('Net zero emission reductions'!AK1401:AK1402)</f>
        <v>4.6331473951767663E-2</v>
      </c>
      <c r="BF14" s="27">
        <f>SUM('Net zero emission reductions'!AL1401:AL1402)</f>
        <v>4.6424639486774971E-2</v>
      </c>
      <c r="BG14" s="27">
        <f>SUM('Net zero emission reductions'!AM1401:AM1402)</f>
        <v>4.652242259522639E-2</v>
      </c>
      <c r="BH14" s="27">
        <f>SUM('Net zero emission reductions'!AN1401:AN1402)</f>
        <v>4.6575845304371546E-2</v>
      </c>
      <c r="BI14" s="27">
        <f>SUM('Net zero emission reductions'!AO1401:AO1402)</f>
        <v>4.6632633504825799E-2</v>
      </c>
      <c r="BJ14" s="27">
        <f>SUM('Net zero emission reductions'!AP1401:AP1402)</f>
        <v>4.6694236841468353E-2</v>
      </c>
      <c r="BK14" s="27">
        <f>SUM('Net zero emission reductions'!AQ1401:AQ1402)</f>
        <v>4.6760596480323054E-2</v>
      </c>
      <c r="BL14" s="27">
        <f>SUM('Net zero emission reductions'!AR1401:AR1402)</f>
        <v>4.6831720076730907E-2</v>
      </c>
      <c r="BM14" s="27">
        <f>SUM('Net zero emission reductions'!AS1401:AS1402)</f>
        <v>4.6856788973605255E-2</v>
      </c>
      <c r="BN14" s="27">
        <f>SUM('Net zero emission reductions'!AT1401:AT1402)</f>
        <v>4.6867922076407137E-2</v>
      </c>
      <c r="BO14" s="27">
        <f>SUM('Net zero emission reductions'!AU1401:AU1402)</f>
        <v>4.688086438531168E-2</v>
      </c>
      <c r="BP14" s="27">
        <f>SUM('Net zero emission reductions'!AV1401:AV1402)</f>
        <v>4.6894797798067683E-2</v>
      </c>
      <c r="BQ14" s="27">
        <f>SUM('Net zero emission reductions'!AW1401:AW1402)</f>
        <v>4.6911257900968964E-2</v>
      </c>
    </row>
    <row r="15" spans="1:75" x14ac:dyDescent="0.3">
      <c r="A15" s="95" t="str">
        <f t="shared" si="2"/>
        <v>FSFAGSPQNIBDDSCM Horses MMCH4</v>
      </c>
      <c r="B15" s="95" t="str">
        <f t="shared" si="9"/>
        <v>FSFAGSPQNIBDDSCM</v>
      </c>
      <c r="C15" s="96" t="s">
        <v>1326</v>
      </c>
      <c r="D15" t="str">
        <f t="shared" si="4"/>
        <v>3A Livestock</v>
      </c>
      <c r="E15" t="str">
        <f t="shared" si="4"/>
        <v>3A2 Manure management (CH4)</v>
      </c>
      <c r="F15" t="str">
        <f>'IPCC Categories'!C24</f>
        <v>3A2f Horses</v>
      </c>
      <c r="G15" t="str">
        <f t="shared" si="10"/>
        <v>CH4</v>
      </c>
      <c r="H15" t="str">
        <f t="shared" si="10"/>
        <v>Gg CH4</v>
      </c>
      <c r="I15" s="27">
        <f>'Emissions summary'!F15</f>
        <v>3.0819999999999997E-3</v>
      </c>
      <c r="J15" s="27">
        <f>'Emissions summary'!G15</f>
        <v>3.0819999999999997E-3</v>
      </c>
      <c r="K15" s="27">
        <f>'Emissions summary'!H15</f>
        <v>3.0819999999999997E-3</v>
      </c>
      <c r="L15" s="27">
        <f>'Emissions summary'!I15</f>
        <v>3.1489999999999999E-3</v>
      </c>
      <c r="M15" s="27">
        <f>'Emissions summary'!J15</f>
        <v>3.2159999999999997E-3</v>
      </c>
      <c r="N15" s="27">
        <f>'Emissions summary'!K15</f>
        <v>3.2829999999999999E-3</v>
      </c>
      <c r="O15" s="27">
        <f>'Emissions summary'!L15</f>
        <v>3.3499999999999997E-3</v>
      </c>
      <c r="P15" s="27">
        <f>'Emissions summary'!M15</f>
        <v>3.4169999999999999E-3</v>
      </c>
      <c r="Q15" s="27">
        <f>'Emissions summary'!N15</f>
        <v>3.4839999999999997E-3</v>
      </c>
      <c r="R15" s="27">
        <f>'Emissions summary'!O15</f>
        <v>3.4572000000000001E-3</v>
      </c>
      <c r="S15" s="27">
        <f>'Emissions summary'!P15</f>
        <v>3.6179999999999997E-3</v>
      </c>
      <c r="T15" s="27">
        <f>'Emissions summary'!Q15</f>
        <v>3.6179999999999997E-3</v>
      </c>
      <c r="U15" s="27">
        <f>'Emissions summary'!R15</f>
        <v>3.6179999999999997E-3</v>
      </c>
      <c r="V15" s="27">
        <f>'Emissions summary'!S15</f>
        <v>3.6179999999999997E-3</v>
      </c>
      <c r="W15" s="27">
        <f>'Emissions summary'!T15</f>
        <v>3.6179999999999997E-3</v>
      </c>
      <c r="X15" s="27">
        <f>'Emissions summary'!U15</f>
        <v>3.6179999999999997E-3</v>
      </c>
      <c r="Y15" s="27">
        <f>'Emissions summary'!V15</f>
        <v>3.7519999999999997E-3</v>
      </c>
      <c r="Z15" s="27">
        <f>'Emissions summary'!W15</f>
        <v>3.8859999999999997E-3</v>
      </c>
      <c r="AA15" s="27">
        <f>'Emissions summary'!X15</f>
        <v>3.9931999999999997E-3</v>
      </c>
      <c r="AB15" s="27">
        <f>'Emissions summary'!Y15</f>
        <v>4.0200000000000001E-3</v>
      </c>
      <c r="AC15" s="27">
        <f>'Emissions summary'!Z15</f>
        <v>4.0200000000000001E-3</v>
      </c>
      <c r="AD15" s="27">
        <f>'Emissions summary'!AA15</f>
        <v>4.0869999999999995E-3</v>
      </c>
      <c r="AE15" s="27">
        <f>'Net zero emission reductions'!K1403</f>
        <v>4.1336182129460552E-3</v>
      </c>
      <c r="AF15" s="27">
        <f>'Net zero emission reductions'!L1403</f>
        <v>4.1536453250924071E-3</v>
      </c>
      <c r="AG15" s="27">
        <f>'Net zero emission reductions'!M1403</f>
        <v>4.1840370126470534E-3</v>
      </c>
      <c r="AH15" s="27">
        <f>'Net zero emission reductions'!N1403</f>
        <v>4.1905340987284569E-3</v>
      </c>
      <c r="AI15" s="27">
        <f>'Net zero emission reductions'!O1403</f>
        <v>4.1812329246154589E-3</v>
      </c>
      <c r="AJ15" s="27">
        <f>'Net zero emission reductions'!P1403</f>
        <v>4.1564738854214548E-3</v>
      </c>
      <c r="AK15" s="27">
        <f>'Net zero emission reductions'!Q1403</f>
        <v>4.1427460620707141E-3</v>
      </c>
      <c r="AL15" s="27">
        <f>'Net zero emission reductions'!R1403</f>
        <v>4.1304087921358321E-3</v>
      </c>
      <c r="AM15" s="27">
        <f>'Net zero emission reductions'!S1403</f>
        <v>3.8942776940038416E-3</v>
      </c>
      <c r="AN15" s="27">
        <f>'Net zero emission reductions'!T1403</f>
        <v>3.9425050527123239E-3</v>
      </c>
      <c r="AO15" s="27">
        <f>'Net zero emission reductions'!U1403</f>
        <v>4.0191071248696416E-3</v>
      </c>
      <c r="AP15" s="27">
        <f>'Net zero emission reductions'!V1403</f>
        <v>4.0473828533201294E-3</v>
      </c>
      <c r="AQ15" s="27">
        <f>'Net zero emission reductions'!W1403</f>
        <v>4.0809840197269919E-3</v>
      </c>
      <c r="AR15" s="27">
        <f>'Net zero emission reductions'!X1403</f>
        <v>4.1216678621320202E-3</v>
      </c>
      <c r="AS15" s="27">
        <f>'Net zero emission reductions'!Y1403</f>
        <v>4.1703472412361522E-3</v>
      </c>
      <c r="AT15" s="27">
        <f>'Net zero emission reductions'!Z1403</f>
        <v>4.2244482436929265E-3</v>
      </c>
      <c r="AU15" s="27">
        <f>'Net zero emission reductions'!AA1403</f>
        <v>4.2791921283487086E-3</v>
      </c>
      <c r="AV15" s="27">
        <f>'Net zero emission reductions'!AB1403</f>
        <v>4.3388287504468421E-3</v>
      </c>
      <c r="AW15" s="27">
        <f>'Net zero emission reductions'!AC1403</f>
        <v>4.3986726547954836E-3</v>
      </c>
      <c r="AX15" s="27">
        <f>'Net zero emission reductions'!AD1403</f>
        <v>4.4704656017983358E-3</v>
      </c>
      <c r="AY15" s="27">
        <f>'Net zero emission reductions'!AE1403</f>
        <v>4.539631463046338E-3</v>
      </c>
      <c r="AZ15" s="27">
        <f>'Net zero emission reductions'!AF1403</f>
        <v>4.6121605087864415E-3</v>
      </c>
      <c r="BA15" s="27">
        <f>'Net zero emission reductions'!AG1403</f>
        <v>4.6951125632471334E-3</v>
      </c>
      <c r="BB15" s="27">
        <f>'Net zero emission reductions'!AH1403</f>
        <v>4.7715465683054572E-3</v>
      </c>
      <c r="BC15" s="27">
        <f>'Net zero emission reductions'!AI1403</f>
        <v>4.855932813312959E-3</v>
      </c>
      <c r="BD15" s="27">
        <f>'Net zero emission reductions'!AJ1403</f>
        <v>4.945901658536307E-3</v>
      </c>
      <c r="BE15" s="27">
        <f>'Net zero emission reductions'!AK1403</f>
        <v>5.0279520878702428E-3</v>
      </c>
      <c r="BF15" s="27">
        <f>'Net zero emission reductions'!AL1403</f>
        <v>5.1082371551630715E-3</v>
      </c>
      <c r="BG15" s="27">
        <f>'Net zero emission reductions'!AM1403</f>
        <v>5.1870452828056204E-3</v>
      </c>
      <c r="BH15" s="27">
        <f>'Net zero emission reductions'!AN1403</f>
        <v>5.27706789842347E-3</v>
      </c>
      <c r="BI15" s="27">
        <f>'Net zero emission reductions'!AO1403</f>
        <v>5.3619473096130918E-3</v>
      </c>
      <c r="BJ15" s="27">
        <f>'Net zero emission reductions'!AP1403</f>
        <v>5.4495970329020271E-3</v>
      </c>
      <c r="BK15" s="27">
        <f>'Net zero emission reductions'!AQ1403</f>
        <v>5.5404524678757516E-3</v>
      </c>
      <c r="BL15" s="27">
        <f>'Net zero emission reductions'!AR1403</f>
        <v>5.6352215326777718E-3</v>
      </c>
      <c r="BM15" s="27">
        <f>'Net zero emission reductions'!AS1403</f>
        <v>5.7381722103153144E-3</v>
      </c>
      <c r="BN15" s="27">
        <f>'Net zero emission reductions'!AT1403</f>
        <v>5.7552832935457467E-3</v>
      </c>
      <c r="BO15" s="27">
        <f>'Net zero emission reductions'!AU1403</f>
        <v>5.7642783755128633E-3</v>
      </c>
      <c r="BP15" s="27">
        <f>'Net zero emission reductions'!AV1403</f>
        <v>5.7617518385425876E-3</v>
      </c>
      <c r="BQ15" s="27">
        <f>'Net zero emission reductions'!AW1403</f>
        <v>5.7557818048942742E-3</v>
      </c>
    </row>
    <row r="16" spans="1:75" x14ac:dyDescent="0.3">
      <c r="A16" s="95" t="str">
        <f t="shared" si="2"/>
        <v>FSFAGSPQNIBDDSCM Mules MM CH4</v>
      </c>
      <c r="B16" s="95" t="str">
        <f t="shared" si="9"/>
        <v>FSFAGSPQNIBDDSCM</v>
      </c>
      <c r="C16" s="96" t="s">
        <v>1334</v>
      </c>
      <c r="D16" t="str">
        <f t="shared" si="4"/>
        <v>3A Livestock</v>
      </c>
      <c r="E16" t="str">
        <f t="shared" si="4"/>
        <v>3A2 Manure management (CH4)</v>
      </c>
      <c r="F16" t="str">
        <f>'IPCC Categories'!C25</f>
        <v>3A2g Mules &amp; asses</v>
      </c>
      <c r="G16" t="str">
        <f t="shared" si="10"/>
        <v>CH4</v>
      </c>
      <c r="H16" t="str">
        <f t="shared" si="10"/>
        <v>Gg CH4</v>
      </c>
      <c r="I16" s="27">
        <f>'Emissions summary'!F16</f>
        <v>1.0079999999999998E-3</v>
      </c>
      <c r="J16" s="27">
        <f>'Emissions summary'!G16</f>
        <v>1.0079999999999998E-3</v>
      </c>
      <c r="K16" s="27">
        <f>'Emissions summary'!H16</f>
        <v>1.0079999999999998E-3</v>
      </c>
      <c r="L16" s="27">
        <f>'Emissions summary'!I16</f>
        <v>1.0079999999999998E-3</v>
      </c>
      <c r="M16" s="27">
        <f>'Emissions summary'!J16</f>
        <v>1.0079999999999998E-3</v>
      </c>
      <c r="N16" s="27">
        <f>'Emissions summary'!K16</f>
        <v>1.0079999999999998E-3</v>
      </c>
      <c r="O16" s="27">
        <f>'Emissions summary'!L16</f>
        <v>1.0079999999999998E-3</v>
      </c>
      <c r="P16" s="27">
        <f>'Emissions summary'!M16</f>
        <v>1.0079999999999998E-3</v>
      </c>
      <c r="Q16" s="27">
        <f>'Emissions summary'!N16</f>
        <v>1.0079999999999998E-3</v>
      </c>
      <c r="R16" s="27">
        <f>'Emissions summary'!O16</f>
        <v>1.0079999999999998E-3</v>
      </c>
      <c r="S16" s="27">
        <f>'Emissions summary'!P16</f>
        <v>7.3799999999999994E-4</v>
      </c>
      <c r="T16" s="27">
        <f>'Emissions summary'!Q16</f>
        <v>7.3799999999999994E-4</v>
      </c>
      <c r="U16" s="27">
        <f>'Emissions summary'!R16</f>
        <v>7.3799999999999994E-4</v>
      </c>
      <c r="V16" s="27">
        <f>'Emissions summary'!S16</f>
        <v>7.3799999999999994E-4</v>
      </c>
      <c r="W16" s="27">
        <f>'Emissions summary'!T16</f>
        <v>7.3799999999999994E-4</v>
      </c>
      <c r="X16" s="27">
        <f>'Emissions summary'!U16</f>
        <v>7.3799999999999994E-4</v>
      </c>
      <c r="Y16" s="27">
        <f>'Emissions summary'!V16</f>
        <v>7.3822499999999991E-4</v>
      </c>
      <c r="Z16" s="27">
        <f>'Emissions summary'!W16</f>
        <v>7.4069999999999995E-4</v>
      </c>
      <c r="AA16" s="27">
        <f>'Emissions summary'!X16</f>
        <v>7.4114999999999999E-4</v>
      </c>
      <c r="AB16" s="27">
        <f>'Emissions summary'!Y16</f>
        <v>7.4159999999999992E-4</v>
      </c>
      <c r="AC16" s="27">
        <f>'Emissions summary'!Z16</f>
        <v>7.4834999999999984E-4</v>
      </c>
      <c r="AD16" s="27">
        <f>'Emissions summary'!AA16</f>
        <v>7.515E-4</v>
      </c>
      <c r="AE16" s="27">
        <f>'Net zero emission reductions'!K1404</f>
        <v>7.515E-4</v>
      </c>
      <c r="AF16" s="27">
        <f>'Net zero emission reductions'!L1404</f>
        <v>7.515E-4</v>
      </c>
      <c r="AG16" s="27">
        <f>'Net zero emission reductions'!M1404</f>
        <v>7.515E-4</v>
      </c>
      <c r="AH16" s="27">
        <f>'Net zero emission reductions'!N1404</f>
        <v>7.515E-4</v>
      </c>
      <c r="AI16" s="27">
        <f>'Net zero emission reductions'!O1404</f>
        <v>7.515E-4</v>
      </c>
      <c r="AJ16" s="27">
        <f>'Net zero emission reductions'!P1404</f>
        <v>7.515E-4</v>
      </c>
      <c r="AK16" s="27">
        <f>'Net zero emission reductions'!Q1404</f>
        <v>7.515E-4</v>
      </c>
      <c r="AL16" s="27">
        <f>'Net zero emission reductions'!R1404</f>
        <v>7.515E-4</v>
      </c>
      <c r="AM16" s="27">
        <f>'Net zero emission reductions'!S1404</f>
        <v>7.515E-4</v>
      </c>
      <c r="AN16" s="27">
        <f>'Net zero emission reductions'!T1404</f>
        <v>7.515E-4</v>
      </c>
      <c r="AO16" s="27">
        <f>'Net zero emission reductions'!U1404</f>
        <v>7.515E-4</v>
      </c>
      <c r="AP16" s="27">
        <f>'Net zero emission reductions'!V1404</f>
        <v>7.515E-4</v>
      </c>
      <c r="AQ16" s="27">
        <f>'Net zero emission reductions'!W1404</f>
        <v>7.515E-4</v>
      </c>
      <c r="AR16" s="27">
        <f>'Net zero emission reductions'!X1404</f>
        <v>7.515E-4</v>
      </c>
      <c r="AS16" s="27">
        <f>'Net zero emission reductions'!Y1404</f>
        <v>7.515E-4</v>
      </c>
      <c r="AT16" s="27">
        <f>'Net zero emission reductions'!Z1404</f>
        <v>7.515E-4</v>
      </c>
      <c r="AU16" s="27">
        <f>'Net zero emission reductions'!AA1404</f>
        <v>7.515E-4</v>
      </c>
      <c r="AV16" s="27">
        <f>'Net zero emission reductions'!AB1404</f>
        <v>7.515E-4</v>
      </c>
      <c r="AW16" s="27">
        <f>'Net zero emission reductions'!AC1404</f>
        <v>7.515E-4</v>
      </c>
      <c r="AX16" s="27">
        <f>'Net zero emission reductions'!AD1404</f>
        <v>7.515E-4</v>
      </c>
      <c r="AY16" s="27">
        <f>'Net zero emission reductions'!AE1404</f>
        <v>7.515E-4</v>
      </c>
      <c r="AZ16" s="27">
        <f>'Net zero emission reductions'!AF1404</f>
        <v>7.515E-4</v>
      </c>
      <c r="BA16" s="27">
        <f>'Net zero emission reductions'!AG1404</f>
        <v>7.515E-4</v>
      </c>
      <c r="BB16" s="27">
        <f>'Net zero emission reductions'!AH1404</f>
        <v>7.515E-4</v>
      </c>
      <c r="BC16" s="27">
        <f>'Net zero emission reductions'!AI1404</f>
        <v>7.515E-4</v>
      </c>
      <c r="BD16" s="27">
        <f>'Net zero emission reductions'!AJ1404</f>
        <v>7.515E-4</v>
      </c>
      <c r="BE16" s="27">
        <f>'Net zero emission reductions'!AK1404</f>
        <v>7.515E-4</v>
      </c>
      <c r="BF16" s="27">
        <f>'Net zero emission reductions'!AL1404</f>
        <v>7.515E-4</v>
      </c>
      <c r="BG16" s="27">
        <f>'Net zero emission reductions'!AM1404</f>
        <v>7.515E-4</v>
      </c>
      <c r="BH16" s="27">
        <f>'Net zero emission reductions'!AN1404</f>
        <v>7.515E-4</v>
      </c>
      <c r="BI16" s="27">
        <f>'Net zero emission reductions'!AO1404</f>
        <v>7.515E-4</v>
      </c>
      <c r="BJ16" s="27">
        <f>'Net zero emission reductions'!AP1404</f>
        <v>7.515E-4</v>
      </c>
      <c r="BK16" s="27">
        <f>'Net zero emission reductions'!AQ1404</f>
        <v>7.515E-4</v>
      </c>
      <c r="BL16" s="27">
        <f>'Net zero emission reductions'!AR1404</f>
        <v>7.515E-4</v>
      </c>
      <c r="BM16" s="27">
        <f>'Net zero emission reductions'!AS1404</f>
        <v>7.515E-4</v>
      </c>
      <c r="BN16" s="27">
        <f>'Net zero emission reductions'!AT1404</f>
        <v>7.515E-4</v>
      </c>
      <c r="BO16" s="27">
        <f>'Net zero emission reductions'!AU1404</f>
        <v>7.515E-4</v>
      </c>
      <c r="BP16" s="27">
        <f>'Net zero emission reductions'!AV1404</f>
        <v>7.515E-4</v>
      </c>
      <c r="BQ16" s="27">
        <f>'Net zero emission reductions'!AW1404</f>
        <v>7.515E-4</v>
      </c>
    </row>
    <row r="17" spans="1:72" x14ac:dyDescent="0.3">
      <c r="A17" s="95" t="str">
        <f t="shared" si="2"/>
        <v>FSFAGSPQNIBDDSCM Swine MMCH4</v>
      </c>
      <c r="B17" s="95" t="str">
        <f t="shared" si="9"/>
        <v>FSFAGSPQNIBDDSCM</v>
      </c>
      <c r="C17" s="96" t="s">
        <v>1230</v>
      </c>
      <c r="D17" t="str">
        <f t="shared" si="4"/>
        <v>3A Livestock</v>
      </c>
      <c r="E17" t="str">
        <f t="shared" si="4"/>
        <v>3A2 Manure management (CH4)</v>
      </c>
      <c r="F17" t="str">
        <f>'IPCC Categories'!C26</f>
        <v>3A2h Swine</v>
      </c>
      <c r="G17" t="str">
        <f t="shared" si="10"/>
        <v>CH4</v>
      </c>
      <c r="H17" t="str">
        <f t="shared" si="10"/>
        <v>Gg CH4</v>
      </c>
      <c r="I17" s="27">
        <f>'Emissions summary'!F17</f>
        <v>21.491561588124931</v>
      </c>
      <c r="J17" s="27">
        <f>'Emissions summary'!G17</f>
        <v>23.479954097262475</v>
      </c>
      <c r="K17" s="27">
        <f>'Emissions summary'!H17</f>
        <v>23.324831277400676</v>
      </c>
      <c r="L17" s="27">
        <f>'Emissions summary'!I17</f>
        <v>23.310729202867787</v>
      </c>
      <c r="M17" s="27">
        <f>'Emissions summary'!J17</f>
        <v>22.140257016637882</v>
      </c>
      <c r="N17" s="27">
        <f>'Emissions summary'!K17</f>
        <v>22.351788134631242</v>
      </c>
      <c r="O17" s="27">
        <f>'Emissions summary'!L17</f>
        <v>24.072241227643865</v>
      </c>
      <c r="P17" s="27">
        <f>'Emissions summary'!M17</f>
        <v>23.959424631380745</v>
      </c>
      <c r="Q17" s="27">
        <f>'Emissions summary'!N17</f>
        <v>24.481201389097684</v>
      </c>
      <c r="R17" s="27">
        <f>'Emissions summary'!O17</f>
        <v>25.101692668544864</v>
      </c>
      <c r="S17" s="27">
        <f>'Emissions summary'!P17</f>
        <v>23.22611675567045</v>
      </c>
      <c r="T17" s="27">
        <f>'Emissions summary'!Q17</f>
        <v>23.663281066190045</v>
      </c>
      <c r="U17" s="27">
        <f>'Emissions summary'!R17</f>
        <v>24.11454745124254</v>
      </c>
      <c r="V17" s="27">
        <f>'Emissions summary'!S17</f>
        <v>23.451749948196689</v>
      </c>
      <c r="W17" s="27">
        <f>'Emissions summary'!T17</f>
        <v>23.451749948196689</v>
      </c>
      <c r="X17" s="27">
        <f>'Emissions summary'!U17</f>
        <v>23.282525053802008</v>
      </c>
      <c r="Y17" s="27">
        <f>'Emissions summary'!V17</f>
        <v>22.873564892348188</v>
      </c>
      <c r="Z17" s="27">
        <f>'Emissions summary'!W17</f>
        <v>23.282525053802008</v>
      </c>
      <c r="AA17" s="27">
        <f>'Emissions summary'!X17</f>
        <v>22.774850370617955</v>
      </c>
      <c r="AB17" s="27">
        <f>'Emissions summary'!Y17</f>
        <v>22.746646221552176</v>
      </c>
      <c r="AC17" s="27">
        <f>'Emissions summary'!Z17</f>
        <v>22.478706805427255</v>
      </c>
      <c r="AD17" s="27">
        <f>'Emissions summary'!AA17</f>
        <v>22.337686060098353</v>
      </c>
      <c r="AE17" s="94">
        <f>IF($A17="Baseline",'Emissions summary'!AB17,SUMIF('Net zero emission reductions'!$A$4:$A$1448,$A$17,'Net zero emission reductions'!K$4:K$1448))</f>
        <v>23.356999930110071</v>
      </c>
      <c r="AF17" s="94">
        <f>IF($A17="Baseline",'Emissions summary'!AC17,SUMIF('Net zero emission reductions'!$A$4:$A$1448,$A$17,'Net zero emission reductions'!L$4:L$1448))</f>
        <v>23.230039099944456</v>
      </c>
      <c r="AG17" s="94">
        <f>IF($A17="Baseline",'Emissions summary'!AD17,SUMIF('Net zero emission reductions'!$A$4:$A$1448,$A$17,'Net zero emission reductions'!M$4:M$1448))</f>
        <v>23.240459651013445</v>
      </c>
      <c r="AH17" s="94">
        <f>IF($A17="Baseline",'Emissions summary'!AE17,SUMIF('Net zero emission reductions'!$A$4:$A$1448,$A$17,'Net zero emission reductions'!N$4:N$1448))</f>
        <v>23.027094422284396</v>
      </c>
      <c r="AI17" s="94">
        <f>IF($A17="Baseline",'Emissions summary'!AF17,SUMIF('Net zero emission reductions'!$A$4:$A$1448,$A$17,'Net zero emission reductions'!O$4:O$1448))</f>
        <v>22.678619791645833</v>
      </c>
      <c r="AJ17" s="94">
        <f>IF($A17="Baseline",'Emissions summary'!AG17,SUMIF('Net zero emission reductions'!$A$4:$A$1448,$A$17,'Net zero emission reductions'!P$4:P$1448))</f>
        <v>22.200606495542022</v>
      </c>
      <c r="AK17" s="94">
        <f>IF($A17="Baseline",'Emissions summary'!AH17,SUMIF('Net zero emission reductions'!$A$4:$A$1448,$A$17,'Net zero emission reductions'!Q$4:Q$1448))</f>
        <v>21.853515832253049</v>
      </c>
      <c r="AL17" s="94">
        <f>IF($A17="Baseline",'Emissions summary'!AI17,SUMIF('Net zero emission reductions'!$A$4:$A$1448,$A$17,'Net zero emission reductions'!R$4:R$1448))</f>
        <v>21.537138037854106</v>
      </c>
      <c r="AM17" s="94">
        <f>IF($A17="Baseline",'Emissions summary'!AJ17,SUMIF('Net zero emission reductions'!$A$4:$A$1448,$A$17,'Net zero emission reductions'!S$4:S$1448))</f>
        <v>19.016213945060766</v>
      </c>
      <c r="AN17" s="94">
        <f>IF($A17="Baseline",'Emissions summary'!AK17,SUMIF('Net zero emission reductions'!$A$4:$A$1448,$A$17,'Net zero emission reductions'!T$4:T$1448))</f>
        <v>19.256686847804435</v>
      </c>
      <c r="AO17" s="94">
        <f>IF($A17="Baseline",'Emissions summary'!AL17,SUMIF('Net zero emission reductions'!$A$4:$A$1448,$A$17,'Net zero emission reductions'!U$4:U$1448))</f>
        <v>19.772694491071707</v>
      </c>
      <c r="AP17" s="94">
        <f>IF($A17="Baseline",'Emissions summary'!AM17,SUMIF('Net zero emission reductions'!$A$4:$A$1448,$A$17,'Net zero emission reductions'!V$4:V$1448))</f>
        <v>19.81954530435112</v>
      </c>
      <c r="AQ17" s="94">
        <f>IF($A17="Baseline",'Emissions summary'!AN17,SUMIF('Net zero emission reductions'!$A$4:$A$1448,$A$17,'Net zero emission reductions'!W$4:W$1448))</f>
        <v>19.921003343736565</v>
      </c>
      <c r="AR17" s="94">
        <f>IF($A17="Baseline",'Emissions summary'!AO17,SUMIF('Net zero emission reductions'!$A$4:$A$1448,$A$17,'Net zero emission reductions'!X$4:X$1448))</f>
        <v>20.091589996062091</v>
      </c>
      <c r="AS17" s="94">
        <f>IF($A17="Baseline",'Emissions summary'!AP17,SUMIF('Net zero emission reductions'!$A$4:$A$1448,$A$17,'Net zero emission reductions'!Y$4:Y$1448))</f>
        <v>20.305642147892318</v>
      </c>
      <c r="AT17" s="94">
        <f>IF($A17="Baseline",'Emissions summary'!AQ17,SUMIF('Net zero emission reductions'!$A$4:$A$1448,$A$17,'Net zero emission reductions'!Z$4:Z$1448))</f>
        <v>20.56794491354453</v>
      </c>
      <c r="AU17" s="94">
        <f>IF($A17="Baseline",'Emissions summary'!AR17,SUMIF('Net zero emission reductions'!$A$4:$A$1448,$A$17,'Net zero emission reductions'!AA$4:AA$1448))</f>
        <v>20.833315047294629</v>
      </c>
      <c r="AV17" s="94">
        <f>IF($A17="Baseline",'Emissions summary'!AS17,SUMIF('Net zero emission reductions'!$A$4:$A$1448,$A$17,'Net zero emission reductions'!AB$4:AB$1448))</f>
        <v>21.139697345625287</v>
      </c>
      <c r="AW17" s="94">
        <f>IF($A17="Baseline",'Emissions summary'!AT17,SUMIF('Net zero emission reductions'!$A$4:$A$1448,$A$17,'Net zero emission reductions'!AC$4:AC$1448))</f>
        <v>21.443965000460068</v>
      </c>
      <c r="AX17" s="94">
        <f>IF($A17="Baseline",'Emissions summary'!AU17,SUMIF('Net zero emission reductions'!$A$4:$A$1448,$A$17,'Net zero emission reductions'!AD$4:AD$1448))</f>
        <v>21.822249138210772</v>
      </c>
      <c r="AY17" s="94">
        <f>IF($A17="Baseline",'Emissions summary'!AV17,SUMIF('Net zero emission reductions'!$A$4:$A$1448,$A$17,'Net zero emission reductions'!AE$4:AE$1448))</f>
        <v>22.170487316141841</v>
      </c>
      <c r="AZ17" s="94">
        <f>IF($A17="Baseline",'Emissions summary'!AW17,SUMIF('Net zero emission reductions'!$A$4:$A$1448,$A$17,'Net zero emission reductions'!AF$4:AF$1448))</f>
        <v>22.541040579003944</v>
      </c>
      <c r="BA17" s="94">
        <f>IF($A17="Baseline",'Emissions summary'!AX17,SUMIF('Net zero emission reductions'!$A$4:$A$1448,$A$17,'Net zero emission reductions'!AG$4:AG$1448))</f>
        <v>22.99306721851277</v>
      </c>
      <c r="BB17" s="94">
        <f>IF($A17="Baseline",'Emissions summary'!AY17,SUMIF('Net zero emission reductions'!$A$4:$A$1448,$A$17,'Net zero emission reductions'!AH$4:AH$1448))</f>
        <v>23.381209520185788</v>
      </c>
      <c r="BC17" s="94">
        <f>IF($A17="Baseline",'Emissions summary'!AZ17,SUMIF('Net zero emission reductions'!$A$4:$A$1448,$A$17,'Net zero emission reductions'!AI$4:AI$1448))</f>
        <v>23.800149407468528</v>
      </c>
      <c r="BD17" s="94">
        <f>IF($A17="Baseline",'Emissions summary'!BA17,SUMIF('Net zero emission reductions'!$A$4:$A$1448,$A$17,'Net zero emission reductions'!AJ$4:AJ$1448))</f>
        <v>24.254837666985885</v>
      </c>
      <c r="BE17" s="94">
        <f>IF($A17="Baseline",'Emissions summary'!BB17,SUMIF('Net zero emission reductions'!$A$4:$A$1448,$A$17,'Net zero emission reductions'!AK$4:AK$1448))</f>
        <v>24.634150733463578</v>
      </c>
      <c r="BF17" s="94">
        <f>IF($A17="Baseline",'Emissions summary'!BC17,SUMIF('Net zero emission reductions'!$A$4:$A$1448,$A$17,'Net zero emission reductions'!AL$4:AL$1448))</f>
        <v>24.989864968184552</v>
      </c>
      <c r="BG17" s="94">
        <f>IF($A17="Baseline",'Emissions summary'!BD17,SUMIF('Net zero emission reductions'!$A$4:$A$1448,$A$17,'Net zero emission reductions'!AM$4:AM$1448))</f>
        <v>25.324849279812526</v>
      </c>
      <c r="BH17" s="94">
        <f>IF($A17="Baseline",'Emissions summary'!BE17,SUMIF('Net zero emission reductions'!$A$4:$A$1448,$A$17,'Net zero emission reductions'!AN$4:AN$1448))</f>
        <v>25.711642544096865</v>
      </c>
      <c r="BI17" s="94">
        <f>IF($A17="Baseline",'Emissions summary'!BF17,SUMIF('Net zero emission reductions'!$A$4:$A$1448,$A$17,'Net zero emission reductions'!AO$4:AO$1448))</f>
        <v>26.04713583959461</v>
      </c>
      <c r="BJ17" s="94">
        <f>IF($A17="Baseline",'Emissions summary'!BG17,SUMIF('Net zero emission reductions'!$A$4:$A$1448,$A$17,'Net zero emission reductions'!AP$4:AP$1448))</f>
        <v>26.393450146225582</v>
      </c>
      <c r="BK17" s="94">
        <f>IF($A17="Baseline",'Emissions summary'!BH17,SUMIF('Net zero emission reductions'!$A$4:$A$1448,$A$17,'Net zero emission reductions'!AQ$4:AQ$1448))</f>
        <v>26.753197633291737</v>
      </c>
      <c r="BL17" s="94">
        <f>IF($A17="Baseline",'Emissions summary'!BI17,SUMIF('Net zero emission reductions'!$A$4:$A$1448,$A$17,'Net zero emission reductions'!AR$4:AR$1448))</f>
        <v>27.130879639828738</v>
      </c>
      <c r="BM17" s="94">
        <f>IF($A17="Baseline",'Emissions summary'!BJ17,SUMIF('Net zero emission reductions'!$A$4:$A$1448,$A$17,'Net zero emission reductions'!AS$4:AS$1448))</f>
        <v>27.527470791265984</v>
      </c>
      <c r="BN17" s="94">
        <f>IF($A17="Baseline",'Emissions summary'!BK17,SUMIF('Net zero emission reductions'!$A$4:$A$1448,$A$17,'Net zero emission reductions'!AT$4:AT$1448))</f>
        <v>27.286139629164122</v>
      </c>
      <c r="BO17" s="94">
        <f>IF($A17="Baseline",'Emissions summary'!BL17,SUMIF('Net zero emission reductions'!$A$4:$A$1448,$A$17,'Net zero emission reductions'!AU$4:AU$1448))</f>
        <v>26.989037890227447</v>
      </c>
      <c r="BP17" s="94">
        <f>IF($A17="Baseline",'Emissions summary'!BM17,SUMIF('Net zero emission reductions'!$A$4:$A$1448,$A$17,'Net zero emission reductions'!AV$4:AV$1448))</f>
        <v>26.614147128740825</v>
      </c>
      <c r="BQ17" s="94">
        <f>IF($A17="Baseline",'Emissions summary'!BN17,SUMIF('Net zero emission reductions'!$A$4:$A$1448,$A$17,'Net zero emission reductions'!AW$4:AW$1448))</f>
        <v>26.220870510087533</v>
      </c>
    </row>
    <row r="18" spans="1:72" x14ac:dyDescent="0.3">
      <c r="A18" s="95" t="str">
        <f t="shared" si="2"/>
        <v>FSFAGSPQNIBDDSCM Poultry MMCH4</v>
      </c>
      <c r="B18" s="95" t="str">
        <f t="shared" si="9"/>
        <v>FSFAGSPQNIBDDSCM</v>
      </c>
      <c r="C18" s="96" t="s">
        <v>1231</v>
      </c>
      <c r="D18" t="str">
        <f t="shared" si="4"/>
        <v>3A Livestock</v>
      </c>
      <c r="E18" t="str">
        <f t="shared" si="4"/>
        <v>3A2 Manure management (CH4)</v>
      </c>
      <c r="F18" t="str">
        <f>'IPCC Categories'!C27</f>
        <v>3A2i Poultry</v>
      </c>
      <c r="G18" t="str">
        <f t="shared" si="10"/>
        <v>CH4</v>
      </c>
      <c r="H18" t="str">
        <f t="shared" si="10"/>
        <v>Gg CH4</v>
      </c>
      <c r="I18" s="27">
        <f>'Emissions summary'!F18</f>
        <v>1.3455156687778258</v>
      </c>
      <c r="J18" s="27">
        <f>'Emissions summary'!G18</f>
        <v>1.2760746173506023</v>
      </c>
      <c r="K18" s="27">
        <f>'Emissions summary'!H18</f>
        <v>1.2071518876777516</v>
      </c>
      <c r="L18" s="27">
        <f>'Emissions summary'!I18</f>
        <v>1.3112406123644875</v>
      </c>
      <c r="M18" s="27">
        <f>'Emissions summary'!J18</f>
        <v>1.2878479203358015</v>
      </c>
      <c r="N18" s="27">
        <f>'Emissions summary'!K18</f>
        <v>1.4574822448350102</v>
      </c>
      <c r="O18" s="27">
        <f>'Emissions summary'!L18</f>
        <v>1.6585519756378786</v>
      </c>
      <c r="P18" s="27">
        <f>'Emissions summary'!M18</f>
        <v>1.6829831179003492</v>
      </c>
      <c r="Q18" s="27">
        <f>'Emissions summary'!N18</f>
        <v>1.8549562107540372</v>
      </c>
      <c r="R18" s="27">
        <f>'Emissions summary'!O18</f>
        <v>1.9479379111082711</v>
      </c>
      <c r="S18" s="27">
        <f>'Emissions summary'!P18</f>
        <v>2.0536731601042231</v>
      </c>
      <c r="T18" s="27">
        <f>'Emissions summary'!Q18</f>
        <v>2.0089908832558949</v>
      </c>
      <c r="U18" s="27">
        <f>'Emissions summary'!R18</f>
        <v>2.1759262032341824</v>
      </c>
      <c r="V18" s="27">
        <f>'Emissions summary'!S18</f>
        <v>2.0734984652627912</v>
      </c>
      <c r="W18" s="27">
        <f>'Emissions summary'!T18</f>
        <v>2.1285917053454204</v>
      </c>
      <c r="X18" s="27">
        <f>'Emissions summary'!U18</f>
        <v>2.3353468813999299</v>
      </c>
      <c r="Y18" s="27">
        <f>'Emissions summary'!V18</f>
        <v>2.5134086143565382</v>
      </c>
      <c r="Z18" s="27">
        <f>'Emissions summary'!W18</f>
        <v>2.6601525958477232</v>
      </c>
      <c r="AA18" s="27">
        <f>'Emissions summary'!X18</f>
        <v>2.8035850548611285</v>
      </c>
      <c r="AB18" s="27">
        <f>'Emissions summary'!Y18</f>
        <v>2.6565217675227304</v>
      </c>
      <c r="AC18" s="27">
        <f>'Emissions summary'!Z18</f>
        <v>2.7308472443629443</v>
      </c>
      <c r="AD18" s="27">
        <f>'Emissions summary'!AA18</f>
        <v>2.8311378814399824</v>
      </c>
      <c r="AE18" s="94">
        <f>IF($A18="Baseline",'Emissions summary'!AB18,SUMIF('Net zero emission reductions'!$A$4:$A$1448,$A$18,'Net zero emission reductions'!K$4:K$1448))</f>
        <v>2.8811301877986604</v>
      </c>
      <c r="AF18" s="94">
        <f>IF($A18="Baseline",'Emissions summary'!AC18,SUMIF('Net zero emission reductions'!$A$4:$A$1448,$A$18,'Net zero emission reductions'!L$4:L$1448))</f>
        <v>2.9232175341370534</v>
      </c>
      <c r="AG18" s="94">
        <f>IF($A18="Baseline",'Emissions summary'!AD18,SUMIF('Net zero emission reductions'!$A$4:$A$1448,$A$18,'Net zero emission reductions'!M$4:M$1448))</f>
        <v>2.9856726990921141</v>
      </c>
      <c r="AH18" s="94">
        <f>IF($A18="Baseline",'Emissions summary'!AE18,SUMIF('Net zero emission reductions'!$A$4:$A$1448,$A$18,'Net zero emission reductions'!N$4:N$1448))</f>
        <v>3.0102189866459588</v>
      </c>
      <c r="AI18" s="94">
        <f>IF($A18="Baseline",'Emissions summary'!AF18,SUMIF('Net zero emission reductions'!$A$4:$A$1448,$A$18,'Net zero emission reductions'!O$4:O$1448))</f>
        <v>3.010126579070374</v>
      </c>
      <c r="AJ18" s="94">
        <f>IF($A18="Baseline",'Emissions summary'!AG18,SUMIF('Net zero emission reductions'!$A$4:$A$1448,$A$18,'Net zero emission reductions'!P$4:P$1448))</f>
        <v>2.9854362546719675</v>
      </c>
      <c r="AK18" s="94">
        <f>IF($A18="Baseline",'Emissions summary'!AH18,SUMIF('Net zero emission reductions'!$A$4:$A$1448,$A$18,'Net zero emission reductions'!Q$4:Q$1448))</f>
        <v>2.9805084686213323</v>
      </c>
      <c r="AL18" s="94">
        <f>IF($A18="Baseline",'Emissions summary'!AI18,SUMIF('Net zero emission reductions'!$A$4:$A$1448,$A$18,'Net zero emission reductions'!R$4:R$1448))</f>
        <v>2.9788681664379335</v>
      </c>
      <c r="AM18" s="94">
        <f>IF($A18="Baseline",'Emissions summary'!AJ18,SUMIF('Net zero emission reductions'!$A$4:$A$1448,$A$18,'Net zero emission reductions'!S$4:S$1448))</f>
        <v>2.583796340486967</v>
      </c>
      <c r="AN18" s="94">
        <f>IF($A18="Baseline",'Emissions summary'!AK18,SUMIF('Net zero emission reductions'!$A$4:$A$1448,$A$18,'Net zero emission reductions'!T$4:T$1448))</f>
        <v>2.6770366707794757</v>
      </c>
      <c r="AO18" s="94">
        <f>IF($A18="Baseline",'Emissions summary'!AL18,SUMIF('Net zero emission reductions'!$A$4:$A$1448,$A$18,'Net zero emission reductions'!U$4:U$1448))</f>
        <v>2.8217941179445583</v>
      </c>
      <c r="AP18" s="94">
        <f>IF($A18="Baseline",'Emissions summary'!AM18,SUMIF('Net zero emission reductions'!$A$4:$A$1448,$A$18,'Net zero emission reductions'!V$4:V$1448))</f>
        <v>2.8822322179387672</v>
      </c>
      <c r="AQ18" s="94">
        <f>IF($A18="Baseline",'Emissions summary'!AN18,SUMIF('Net zero emission reductions'!$A$4:$A$1448,$A$18,'Net zero emission reductions'!W$4:W$1448))</f>
        <v>2.9532237085647988</v>
      </c>
      <c r="AR18" s="94">
        <f>IF($A18="Baseline",'Emissions summary'!AO18,SUMIF('Net zero emission reductions'!$A$4:$A$1448,$A$18,'Net zero emission reductions'!X$4:X$1448))</f>
        <v>3.0380268869678448</v>
      </c>
      <c r="AS18" s="94">
        <f>IF($A18="Baseline",'Emissions summary'!AP18,SUMIF('Net zero emission reductions'!$A$4:$A$1448,$A$18,'Net zero emission reductions'!Y$4:Y$1448))</f>
        <v>3.1336586705236544</v>
      </c>
      <c r="AT18" s="94">
        <f>IF($A18="Baseline",'Emissions summary'!AQ18,SUMIF('Net zero emission reductions'!$A$4:$A$1448,$A$18,'Net zero emission reductions'!Z$4:Z$1448))</f>
        <v>3.2400944257776629</v>
      </c>
      <c r="AU18" s="94">
        <f>IF($A18="Baseline",'Emissions summary'!AR18,SUMIF('Net zero emission reductions'!$A$4:$A$1448,$A$18,'Net zero emission reductions'!AA$4:AA$1448))</f>
        <v>3.3488115194757166</v>
      </c>
      <c r="AV18" s="94">
        <f>IF($A18="Baseline",'Emissions summary'!AS18,SUMIF('Net zero emission reductions'!$A$4:$A$1448,$A$18,'Net zero emission reductions'!AB$4:AB$1448))</f>
        <v>3.467541730645793</v>
      </c>
      <c r="AW18" s="94">
        <f>IF($A18="Baseline",'Emissions summary'!AT18,SUMIF('Net zero emission reductions'!$A$4:$A$1448,$A$18,'Net zero emission reductions'!AC$4:AC$1448))</f>
        <v>3.5878860614675379</v>
      </c>
      <c r="AX18" s="94">
        <f>IF($A18="Baseline",'Emissions summary'!AU18,SUMIF('Net zero emission reductions'!$A$4:$A$1448,$A$18,'Net zero emission reductions'!AD$4:AD$1448))</f>
        <v>3.726717423632552</v>
      </c>
      <c r="AY18" s="94">
        <f>IF($A18="Baseline",'Emissions summary'!AV18,SUMIF('Net zero emission reductions'!$A$4:$A$1448,$A$18,'Net zero emission reductions'!AE$4:AE$1448))</f>
        <v>3.8618347524673764</v>
      </c>
      <c r="AZ18" s="94">
        <f>IF($A18="Baseline",'Emissions summary'!AW18,SUMIF('Net zero emission reductions'!$A$4:$A$1448,$A$18,'Net zero emission reductions'!AF$4:AF$1448))</f>
        <v>4.004188740151899</v>
      </c>
      <c r="BA18" s="94">
        <f>IF($A18="Baseline",'Emissions summary'!AX18,SUMIF('Net zero emission reductions'!$A$4:$A$1448,$A$18,'Net zero emission reductions'!AG$4:AG$1448))</f>
        <v>4.1667890510686796</v>
      </c>
      <c r="BB18" s="94">
        <f>IF($A18="Baseline",'Emissions summary'!AY18,SUMIF('Net zero emission reductions'!$A$4:$A$1448,$A$18,'Net zero emission reductions'!AH$4:AH$1448))</f>
        <v>4.318698878068945</v>
      </c>
      <c r="BC18" s="94">
        <f>IF($A18="Baseline",'Emissions summary'!AZ18,SUMIF('Net zero emission reductions'!$A$4:$A$1448,$A$18,'Net zero emission reductions'!AI$4:AI$1448))</f>
        <v>4.4813743821844128</v>
      </c>
      <c r="BD18" s="94">
        <f>IF($A18="Baseline",'Emissions summary'!BA18,SUMIF('Net zero emission reductions'!$A$4:$A$1448,$A$18,'Net zero emission reductions'!AJ$4:AJ$1448))</f>
        <v>4.6553013100948544</v>
      </c>
      <c r="BE18" s="94">
        <f>IF($A18="Baseline",'Emissions summary'!BB18,SUMIF('Net zero emission reductions'!$A$4:$A$1448,$A$18,'Net zero emission reductions'!AK$4:AK$1448))</f>
        <v>4.8156529981787672</v>
      </c>
      <c r="BF18" s="94">
        <f>IF($A18="Baseline",'Emissions summary'!BC18,SUMIF('Net zero emission reductions'!$A$4:$A$1448,$A$18,'Net zero emission reductions'!AL$4:AL$1448))</f>
        <v>4.9737615385066389</v>
      </c>
      <c r="BG18" s="94">
        <f>IF($A18="Baseline",'Emissions summary'!BD18,SUMIF('Net zero emission reductions'!$A$4:$A$1448,$A$18,'Net zero emission reductions'!AM$4:AM$1448))</f>
        <v>5.1301728967329945</v>
      </c>
      <c r="BH18" s="94">
        <f>IF($A18="Baseline",'Emissions summary'!BE18,SUMIF('Net zero emission reductions'!$A$4:$A$1448,$A$18,'Net zero emission reductions'!AN$4:AN$1448))</f>
        <v>5.3028294274456016</v>
      </c>
      <c r="BI18" s="94">
        <f>IF($A18="Baseline",'Emissions summary'!BF18,SUMIF('Net zero emission reductions'!$A$4:$A$1448,$A$18,'Net zero emission reductions'!AO$4:AO$1448))</f>
        <v>5.4667195792254804</v>
      </c>
      <c r="BJ18" s="94">
        <f>IF($A18="Baseline",'Emissions summary'!BG18,SUMIF('Net zero emission reductions'!$A$4:$A$1448,$A$18,'Net zero emission reductions'!AP$4:AP$1448))</f>
        <v>5.6365387685756208</v>
      </c>
      <c r="BK18" s="94">
        <f>IF($A18="Baseline",'Emissions summary'!BH18,SUMIF('Net zero emission reductions'!$A$4:$A$1448,$A$18,'Net zero emission reductions'!AQ$4:AQ$1448))</f>
        <v>5.8131388122083631</v>
      </c>
      <c r="BL18" s="94">
        <f>IF($A18="Baseline",'Emissions summary'!BI18,SUMIF('Net zero emission reductions'!$A$4:$A$1448,$A$18,'Net zero emission reductions'!AR$4:AR$1448))</f>
        <v>5.9978844651570222</v>
      </c>
      <c r="BM18" s="94">
        <f>IF($A18="Baseline",'Emissions summary'!BJ18,SUMIF('Net zero emission reductions'!$A$4:$A$1448,$A$18,'Net zero emission reductions'!AS$4:AS$1448))</f>
        <v>6.1921952100127866</v>
      </c>
      <c r="BN18" s="94">
        <f>IF($A18="Baseline",'Emissions summary'!BK18,SUMIF('Net zero emission reductions'!$A$4:$A$1448,$A$18,'Net zero emission reductions'!AT$4:AT$1448))</f>
        <v>6.227178993614352</v>
      </c>
      <c r="BO18" s="94">
        <f>IF($A18="Baseline",'Emissions summary'!BL18,SUMIF('Net zero emission reductions'!$A$4:$A$1448,$A$18,'Net zero emission reductions'!AU$4:AU$1448))</f>
        <v>6.2474981842379753</v>
      </c>
      <c r="BP18" s="94">
        <f>IF($A18="Baseline",'Emissions summary'!BM18,SUMIF('Net zero emission reductions'!$A$4:$A$1448,$A$18,'Net zero emission reductions'!AV$4:AV$1448))</f>
        <v>6.2467795991341521</v>
      </c>
      <c r="BQ18" s="94">
        <f>IF($A18="Baseline",'Emissions summary'!BN18,SUMIF('Net zero emission reductions'!$A$4:$A$1448,$A$18,'Net zero emission reductions'!AW$4:AW$1448))</f>
        <v>6.2400448386224108</v>
      </c>
    </row>
    <row r="19" spans="1:72" s="19" customFormat="1" ht="15.6" x14ac:dyDescent="0.3">
      <c r="A19" s="97"/>
      <c r="B19" s="97"/>
      <c r="C19" s="97"/>
      <c r="D19" s="19" t="str">
        <f>D26</f>
        <v>3A Livestock</v>
      </c>
      <c r="E19" s="19" t="str">
        <f>E26</f>
        <v>3A2 Manure management (N2O)</v>
      </c>
      <c r="F19" s="19" t="s">
        <v>148</v>
      </c>
      <c r="G19" s="19" t="str">
        <f>G26</f>
        <v>N2O</v>
      </c>
      <c r="H19" s="19" t="str">
        <f>H26</f>
        <v>Gg N2O</v>
      </c>
      <c r="I19" s="40">
        <f t="shared" ref="I19" si="11">SUM(I20:I26)</f>
        <v>3.8813342644172093</v>
      </c>
      <c r="J19" s="40">
        <f t="shared" ref="J19:AE19" si="12">SUM(J20:J26)</f>
        <v>3.8661487301239461</v>
      </c>
      <c r="K19" s="40">
        <f t="shared" si="12"/>
        <v>3.7862483767973956</v>
      </c>
      <c r="L19" s="40">
        <f t="shared" si="12"/>
        <v>3.8129334854284056</v>
      </c>
      <c r="M19" s="40">
        <f t="shared" si="12"/>
        <v>3.6996407314660944</v>
      </c>
      <c r="N19" s="40">
        <f t="shared" si="12"/>
        <v>3.8335350634638918</v>
      </c>
      <c r="O19" s="40">
        <f t="shared" si="12"/>
        <v>4.0409580802685516</v>
      </c>
      <c r="P19" s="40">
        <f t="shared" si="12"/>
        <v>4.0955542331246733</v>
      </c>
      <c r="Q19" s="40">
        <f t="shared" si="12"/>
        <v>4.2655318251850405</v>
      </c>
      <c r="R19" s="40">
        <f t="shared" si="12"/>
        <v>4.3438825095880835</v>
      </c>
      <c r="S19" s="40">
        <f t="shared" si="12"/>
        <v>4.4272539945305205</v>
      </c>
      <c r="T19" s="40">
        <f t="shared" si="12"/>
        <v>4.3758778433663306</v>
      </c>
      <c r="U19" s="40">
        <f t="shared" si="12"/>
        <v>4.5059558233007309</v>
      </c>
      <c r="V19" s="40">
        <f t="shared" si="12"/>
        <v>4.4292467756859457</v>
      </c>
      <c r="W19" s="40">
        <f t="shared" si="12"/>
        <v>4.4470330949647732</v>
      </c>
      <c r="X19" s="40">
        <f t="shared" si="12"/>
        <v>4.5974101613100977</v>
      </c>
      <c r="Y19" s="40">
        <f t="shared" si="12"/>
        <v>4.7310450300813258</v>
      </c>
      <c r="Z19" s="40">
        <f t="shared" si="12"/>
        <v>4.8799892939067844</v>
      </c>
      <c r="AA19" s="40">
        <f t="shared" si="12"/>
        <v>4.9663886389564027</v>
      </c>
      <c r="AB19" s="40">
        <f t="shared" si="12"/>
        <v>4.8614306045888265</v>
      </c>
      <c r="AC19" s="40">
        <f t="shared" si="12"/>
        <v>4.8921309188133044</v>
      </c>
      <c r="AD19" s="40">
        <f t="shared" si="12"/>
        <v>5.064588718240568</v>
      </c>
      <c r="AE19" s="40">
        <f t="shared" si="12"/>
        <v>5.1994200766582486</v>
      </c>
      <c r="AF19" s="40">
        <f t="shared" ref="AF19:BQ19" si="13">SUM(AF20:AF26)</f>
        <v>5.2527414367903038</v>
      </c>
      <c r="AG19" s="40">
        <f t="shared" si="13"/>
        <v>5.3365378743462077</v>
      </c>
      <c r="AH19" s="40">
        <f t="shared" si="13"/>
        <v>5.3665755836071112</v>
      </c>
      <c r="AI19" s="40">
        <f t="shared" si="13"/>
        <v>5.3622649672773743</v>
      </c>
      <c r="AJ19" s="40">
        <f t="shared" si="13"/>
        <v>5.3238634740042308</v>
      </c>
      <c r="AK19" s="40">
        <f t="shared" si="13"/>
        <v>5.3145192594478212</v>
      </c>
      <c r="AL19" s="40">
        <f t="shared" si="13"/>
        <v>5.3105434668737512</v>
      </c>
      <c r="AM19" s="40">
        <f t="shared" si="13"/>
        <v>4.7467000593384032</v>
      </c>
      <c r="AN19" s="40">
        <f t="shared" si="13"/>
        <v>4.8815617125738049</v>
      </c>
      <c r="AO19" s="40">
        <f t="shared" si="13"/>
        <v>5.0899680333571213</v>
      </c>
      <c r="AP19" s="40">
        <f t="shared" si="13"/>
        <v>5.178581811597752</v>
      </c>
      <c r="AQ19" s="40">
        <f t="shared" si="13"/>
        <v>5.2824494846332097</v>
      </c>
      <c r="AR19" s="40">
        <f t="shared" si="13"/>
        <v>5.4061664166806818</v>
      </c>
      <c r="AS19" s="40">
        <f t="shared" si="13"/>
        <v>5.5431788941057061</v>
      </c>
      <c r="AT19" s="40">
        <f t="shared" si="13"/>
        <v>5.6956950714617687</v>
      </c>
      <c r="AU19" s="40">
        <f t="shared" si="13"/>
        <v>5.851593260699282</v>
      </c>
      <c r="AV19" s="40">
        <f t="shared" si="13"/>
        <v>6.0218298447764198</v>
      </c>
      <c r="AW19" s="40">
        <f t="shared" si="13"/>
        <v>6.1944745376513684</v>
      </c>
      <c r="AX19" s="40">
        <f t="shared" si="13"/>
        <v>6.3854988676089519</v>
      </c>
      <c r="AY19" s="40">
        <f t="shared" si="13"/>
        <v>6.5711243140321525</v>
      </c>
      <c r="AZ19" s="40">
        <f t="shared" si="13"/>
        <v>6.7668425065659488</v>
      </c>
      <c r="BA19" s="40">
        <f t="shared" si="13"/>
        <v>6.9909714355343144</v>
      </c>
      <c r="BB19" s="40">
        <f t="shared" si="13"/>
        <v>7.1998348952413913</v>
      </c>
      <c r="BC19" s="40">
        <f t="shared" si="13"/>
        <v>7.4220310090051083</v>
      </c>
      <c r="BD19" s="40">
        <f t="shared" si="13"/>
        <v>7.6598598535798654</v>
      </c>
      <c r="BE19" s="40">
        <f t="shared" si="13"/>
        <v>7.8784276599513872</v>
      </c>
      <c r="BF19" s="40">
        <f t="shared" si="13"/>
        <v>8.0937011116143687</v>
      </c>
      <c r="BG19" s="40">
        <f t="shared" si="13"/>
        <v>8.3064668499473377</v>
      </c>
      <c r="BH19" s="40">
        <f t="shared" si="13"/>
        <v>8.5440369873128557</v>
      </c>
      <c r="BI19" s="40">
        <f t="shared" si="13"/>
        <v>8.769321118531991</v>
      </c>
      <c r="BJ19" s="40">
        <f t="shared" si="13"/>
        <v>9.0028959535732263</v>
      </c>
      <c r="BK19" s="40">
        <f t="shared" si="13"/>
        <v>9.2459451976482967</v>
      </c>
      <c r="BL19" s="40">
        <f t="shared" si="13"/>
        <v>9.5003674407510061</v>
      </c>
      <c r="BM19" s="40">
        <f t="shared" si="13"/>
        <v>9.7666376173394429</v>
      </c>
      <c r="BN19" s="40">
        <f t="shared" si="13"/>
        <v>9.810615275731541</v>
      </c>
      <c r="BO19" s="40">
        <f t="shared" si="13"/>
        <v>9.8343672840797662</v>
      </c>
      <c r="BP19" s="40">
        <f t="shared" si="13"/>
        <v>9.8290380463689857</v>
      </c>
      <c r="BQ19" s="40">
        <f t="shared" si="13"/>
        <v>9.8155923917407879</v>
      </c>
      <c r="BT19"/>
    </row>
    <row r="20" spans="1:72" x14ac:dyDescent="0.3">
      <c r="A20" s="95" t="str">
        <f t="shared" si="2"/>
        <v>FSFAGSPQNIBDDSCM Mattle MMN2O</v>
      </c>
      <c r="B20" s="95" t="str">
        <f t="shared" ref="B20:B26" si="14">$B$5</f>
        <v>FSFAGSPQNIBDDSCM</v>
      </c>
      <c r="C20" s="95" t="s">
        <v>1335</v>
      </c>
      <c r="D20" t="str">
        <f>D18</f>
        <v>3A Livestock</v>
      </c>
      <c r="E20" t="str">
        <f>'IPCC Categories'!B20</f>
        <v>3A2 Manure management (N2O)</v>
      </c>
      <c r="F20" t="str">
        <f t="shared" ref="F20:F26" si="15">F12</f>
        <v>3A2a Cattle</v>
      </c>
      <c r="G20" t="s">
        <v>139</v>
      </c>
      <c r="H20" t="s">
        <v>287</v>
      </c>
      <c r="I20" s="27">
        <f>'Emissions summary'!F20</f>
        <v>2.3334515596574898</v>
      </c>
      <c r="J20" s="27">
        <f>'Emissions summary'!G20</f>
        <v>2.3913266020486907</v>
      </c>
      <c r="K20" s="27">
        <f>'Emissions summary'!H20</f>
        <v>2.3837489012139343</v>
      </c>
      <c r="L20" s="27">
        <f>'Emissions summary'!I20</f>
        <v>2.3538599023692135</v>
      </c>
      <c r="M20" s="27">
        <f>'Emissions summary'!J20</f>
        <v>2.2497683959178429</v>
      </c>
      <c r="N20" s="27">
        <f>'Emissions summary'!K20</f>
        <v>2.2583248814343775</v>
      </c>
      <c r="O20" s="27">
        <f>'Emissions summary'!L20</f>
        <v>2.3013624403278148</v>
      </c>
      <c r="P20" s="27">
        <f>'Emissions summary'!M20</f>
        <v>2.3439053818582685</v>
      </c>
      <c r="Q20" s="27">
        <f>'Emissions summary'!N20</f>
        <v>2.3881538701270464</v>
      </c>
      <c r="R20" s="27">
        <f>'Emissions summary'!O20</f>
        <v>2.4045249883488831</v>
      </c>
      <c r="S20" s="27">
        <f>'Emissions summary'!P20</f>
        <v>2.4217802003919431</v>
      </c>
      <c r="T20" s="27">
        <f>'Emissions summary'!Q20</f>
        <v>2.4052042445092017</v>
      </c>
      <c r="U20" s="27">
        <f>'Emissions summary'!R20</f>
        <v>2.4204844754419144</v>
      </c>
      <c r="V20" s="27">
        <f>'Emissions summary'!S20</f>
        <v>2.4261595848898265</v>
      </c>
      <c r="W20" s="27">
        <f>'Emissions summary'!T20</f>
        <v>2.4077185173815416</v>
      </c>
      <c r="X20" s="27">
        <f>'Emissions summary'!U20</f>
        <v>2.4068130130940584</v>
      </c>
      <c r="Y20" s="27">
        <f>'Emissions summary'!V20</f>
        <v>2.4140441898890113</v>
      </c>
      <c r="Z20" s="27">
        <f>'Emissions summary'!W20</f>
        <v>2.4616595203806031</v>
      </c>
      <c r="AA20" s="27">
        <f>'Emissions summary'!X20</f>
        <v>2.4413231585134629</v>
      </c>
      <c r="AB20" s="27">
        <f>'Emissions summary'!Y20</f>
        <v>2.4490820347552171</v>
      </c>
      <c r="AC20" s="27">
        <f>'Emissions summary'!Z20</f>
        <v>2.4334145229663386</v>
      </c>
      <c r="AD20" s="27">
        <f>'Emissions summary'!AA20</f>
        <v>2.5369197805494066</v>
      </c>
      <c r="AE20" s="27">
        <f>SUM('Net zero emission reductions'!K1411:K1416)</f>
        <v>2.6405154397771442</v>
      </c>
      <c r="AF20" s="27">
        <f>SUM('Net zero emission reductions'!L1411:L1416)</f>
        <v>2.663854765875719</v>
      </c>
      <c r="AG20" s="27">
        <f>SUM('Net zero emission reductions'!M1411:M1416)</f>
        <v>2.7012838960025101</v>
      </c>
      <c r="AH20" s="27">
        <f>SUM('Net zero emission reductions'!N1411:N1416)</f>
        <v>2.7146557268578313</v>
      </c>
      <c r="AI20" s="27">
        <f>SUM('Net zero emission reductions'!O1411:O1416)</f>
        <v>2.7128512798971713</v>
      </c>
      <c r="AJ20" s="27">
        <f>SUM('Net zero emission reductions'!P1411:P1416)</f>
        <v>2.6960639868509828</v>
      </c>
      <c r="AK20" s="27">
        <f>SUM('Net zero emission reductions'!Q1411:Q1416)</f>
        <v>2.6925532758612407</v>
      </c>
      <c r="AL20" s="27">
        <f>SUM('Net zero emission reductions'!R1411:R1416)</f>
        <v>2.6916404315629792</v>
      </c>
      <c r="AM20" s="27">
        <f>SUM('Net zero emission reductions'!S1411:S1416)</f>
        <v>2.440030021632567</v>
      </c>
      <c r="AN20" s="27">
        <f>SUM('Net zero emission reductions'!T1411:T1416)</f>
        <v>2.5038080719840461</v>
      </c>
      <c r="AO20" s="27">
        <f>SUM('Net zero emission reductions'!U1411:U1416)</f>
        <v>2.6006671036749212</v>
      </c>
      <c r="AP20" s="27">
        <f>SUM('Net zero emission reductions'!V1411:V1416)</f>
        <v>2.6439229703477478</v>
      </c>
      <c r="AQ20" s="27">
        <f>SUM('Net zero emission reductions'!W1411:W1416)</f>
        <v>2.6941115888254079</v>
      </c>
      <c r="AR20" s="27">
        <f>SUM('Net zero emission reductions'!X1411:X1416)</f>
        <v>2.7532993573966769</v>
      </c>
      <c r="AS20" s="27">
        <f>SUM('Net zero emission reductions'!Y1411:Y1416)</f>
        <v>2.8176375333236794</v>
      </c>
      <c r="AT20" s="27">
        <f>SUM('Net zero emission reductions'!Z1411:Z1416)</f>
        <v>2.8890319988572353</v>
      </c>
      <c r="AU20" s="27">
        <f>SUM('Net zero emission reductions'!AA1411:AA1416)</f>
        <v>2.9620433871621046</v>
      </c>
      <c r="AV20" s="27">
        <f>SUM('Net zero emission reductions'!AB1411:AB1416)</f>
        <v>3.041594131374306</v>
      </c>
      <c r="AW20" s="27">
        <f>SUM('Net zero emission reductions'!AC1411:AC1416)</f>
        <v>3.1223281396928888</v>
      </c>
      <c r="AX20" s="27">
        <f>SUM('Net zero emission reductions'!AD1411:AD1416)</f>
        <v>3.2073263585501057</v>
      </c>
      <c r="AY20" s="27">
        <f>SUM('Net zero emission reductions'!AE1411:AE1416)</f>
        <v>3.2898792021801628</v>
      </c>
      <c r="AZ20" s="27">
        <f>SUM('Net zero emission reductions'!AF1411:AF1416)</f>
        <v>3.3769410900544177</v>
      </c>
      <c r="BA20" s="27">
        <f>SUM('Net zero emission reductions'!AG1411:AG1416)</f>
        <v>3.4767104193531688</v>
      </c>
      <c r="BB20" s="27">
        <f>SUM('Net zero emission reductions'!AH1411:AH1416)</f>
        <v>3.5696163883331842</v>
      </c>
      <c r="BC20" s="27">
        <f>SUM('Net zero emission reductions'!AI1411:AI1416)</f>
        <v>3.6678022739506271</v>
      </c>
      <c r="BD20" s="27">
        <f>SUM('Net zero emission reductions'!AJ1411:AJ1416)</f>
        <v>3.7729570850649772</v>
      </c>
      <c r="BE20" s="27">
        <f>SUM('Net zero emission reductions'!AK1411:AK1416)</f>
        <v>3.8694893537582025</v>
      </c>
      <c r="BF20" s="27">
        <f>SUM('Net zero emission reductions'!AL1411:AL1416)</f>
        <v>3.9645489117768058</v>
      </c>
      <c r="BG20" s="27">
        <f>SUM('Net zero emission reductions'!AM1411:AM1416)</f>
        <v>4.0584957591919961</v>
      </c>
      <c r="BH20" s="27">
        <f>SUM('Net zero emission reductions'!AN1411:AN1416)</f>
        <v>4.1649505592486351</v>
      </c>
      <c r="BI20" s="27">
        <f>SUM('Net zero emission reductions'!AO1411:AO1416)</f>
        <v>4.266004264340534</v>
      </c>
      <c r="BJ20" s="27">
        <f>SUM('Net zero emission reductions'!AP1411:AP1416)</f>
        <v>4.3708377268237069</v>
      </c>
      <c r="BK20" s="27">
        <f>SUM('Net zero emission reductions'!AQ1411:AQ1416)</f>
        <v>4.4799824410886595</v>
      </c>
      <c r="BL20" s="27">
        <f>SUM('Net zero emission reductions'!AR1411:AR1416)</f>
        <v>4.5942890638626555</v>
      </c>
      <c r="BM20" s="27">
        <f>SUM('Net zero emission reductions'!AS1411:AS1416)</f>
        <v>4.7133678207091503</v>
      </c>
      <c r="BN20" s="27">
        <f>SUM('Net zero emission reductions'!AT1411:AT1416)</f>
        <v>4.7334267331557829</v>
      </c>
      <c r="BO20" s="27">
        <f>SUM('Net zero emission reductions'!AU1411:AU1416)</f>
        <v>4.7445675521445558</v>
      </c>
      <c r="BP20" s="27">
        <f>SUM('Net zero emission reductions'!AV1411:AV1416)</f>
        <v>4.7428403198745039</v>
      </c>
      <c r="BQ20" s="27">
        <f>SUM('Net zero emission reductions'!AW1411:AW1416)</f>
        <v>4.7375920581481985</v>
      </c>
    </row>
    <row r="21" spans="1:72" x14ac:dyDescent="0.3">
      <c r="A21" s="95" t="str">
        <f t="shared" si="2"/>
        <v>FSFAGSPQNIBDDSCM Sheep MMN2O</v>
      </c>
      <c r="B21" s="95" t="str">
        <f t="shared" si="14"/>
        <v>FSFAGSPQNIBDDSCM</v>
      </c>
      <c r="C21" s="96" t="s">
        <v>1328</v>
      </c>
      <c r="D21" t="str">
        <f t="shared" si="4"/>
        <v>3A Livestock</v>
      </c>
      <c r="E21" t="str">
        <f>E20</f>
        <v>3A2 Manure management (N2O)</v>
      </c>
      <c r="F21" t="str">
        <f t="shared" si="15"/>
        <v>3A2c Sheep</v>
      </c>
      <c r="G21" t="str">
        <f>G20</f>
        <v>N2O</v>
      </c>
      <c r="H21" t="str">
        <f>H20</f>
        <v>Gg N2O</v>
      </c>
      <c r="I21" s="27">
        <f>'Emissions summary'!F21</f>
        <v>0.27697977351015546</v>
      </c>
      <c r="J21" s="27">
        <f>'Emissions summary'!G21</f>
        <v>0.26452543098066184</v>
      </c>
      <c r="K21" s="27">
        <f>'Emissions summary'!H21</f>
        <v>0.25359554432458542</v>
      </c>
      <c r="L21" s="27">
        <f>'Emissions summary'!I21</f>
        <v>0.23716837739770139</v>
      </c>
      <c r="M21" s="27">
        <f>'Emissions summary'!J21</f>
        <v>0.23884065929520765</v>
      </c>
      <c r="N21" s="27">
        <f>'Emissions summary'!K21</f>
        <v>0.23542218248815072</v>
      </c>
      <c r="O21" s="27">
        <f>'Emissions summary'!L21</f>
        <v>0.23620750824112324</v>
      </c>
      <c r="P21" s="27">
        <f>'Emissions summary'!M21</f>
        <v>0.23107055390403242</v>
      </c>
      <c r="Q21" s="27">
        <f>'Emissions summary'!N21</f>
        <v>0.23170805363291622</v>
      </c>
      <c r="R21" s="27">
        <f>'Emissions summary'!O21</f>
        <v>0.22601675170549185</v>
      </c>
      <c r="S21" s="27">
        <f>'Emissions summary'!P21</f>
        <v>0.21791403776011653</v>
      </c>
      <c r="T21" s="27">
        <f>'Emissions summary'!Q21</f>
        <v>0.21248143137484779</v>
      </c>
      <c r="U21" s="27">
        <f>'Emissions summary'!R21</f>
        <v>0.20893360679671308</v>
      </c>
      <c r="V21" s="27">
        <f>'Emissions summary'!S21</f>
        <v>0.20966349779065224</v>
      </c>
      <c r="W21" s="27">
        <f>'Emissions summary'!T21</f>
        <v>0.20593089068240639</v>
      </c>
      <c r="X21" s="27">
        <f>'Emissions summary'!U21</f>
        <v>0.20544121697761175</v>
      </c>
      <c r="Y21" s="27">
        <f>'Emissions summary'!V21</f>
        <v>0.20275263116449405</v>
      </c>
      <c r="Z21" s="27">
        <f>'Emissions summary'!W21</f>
        <v>0.20255860950787735</v>
      </c>
      <c r="AA21" s="27">
        <f>'Emissions summary'!X21</f>
        <v>0.203214587489772</v>
      </c>
      <c r="AB21" s="27">
        <f>'Emissions summary'!Y21</f>
        <v>0.20249393562233842</v>
      </c>
      <c r="AC21" s="27">
        <f>'Emissions summary'!Z21</f>
        <v>0.19857654598398133</v>
      </c>
      <c r="AD21" s="27">
        <f>'Emissions summary'!AA21</f>
        <v>0.19702437273104745</v>
      </c>
      <c r="AE21" s="27">
        <f>SUM('Net zero emission reductions'!K1417:K1418)</f>
        <v>0.17985376948327025</v>
      </c>
      <c r="AF21" s="27">
        <f>SUM('Net zero emission reductions'!L1417:L1418)</f>
        <v>0.17995101584413165</v>
      </c>
      <c r="AG21" s="27">
        <f>SUM('Net zero emission reductions'!M1417:M1418)</f>
        <v>0.18018352824459791</v>
      </c>
      <c r="AH21" s="27">
        <f>SUM('Net zero emission reductions'!N1417:N1418)</f>
        <v>0.18052636964290036</v>
      </c>
      <c r="AI21" s="27">
        <f>SUM('Net zero emission reductions'!O1417:O1418)</f>
        <v>0.18097736138672513</v>
      </c>
      <c r="AJ21" s="27">
        <f>SUM('Net zero emission reductions'!P1417:P1418)</f>
        <v>0.18153174118988938</v>
      </c>
      <c r="AK21" s="27">
        <f>SUM('Net zero emission reductions'!Q1417:Q1418)</f>
        <v>0.18215438537953882</v>
      </c>
      <c r="AL21" s="27">
        <f>SUM('Net zero emission reductions'!R1417:R1418)</f>
        <v>0.18284136298365847</v>
      </c>
      <c r="AM21" s="27">
        <f>SUM('Net zero emission reductions'!S1417:S1418)</f>
        <v>0.18346956618067195</v>
      </c>
      <c r="AN21" s="27">
        <f>SUM('Net zero emission reductions'!T1417:T1418)</f>
        <v>0.18374561387399735</v>
      </c>
      <c r="AO21" s="27">
        <f>SUM('Net zero emission reductions'!U1417:U1418)</f>
        <v>0.1840827274114902</v>
      </c>
      <c r="AP21" s="27">
        <f>SUM('Net zero emission reductions'!V1417:V1418)</f>
        <v>0.18443706005328375</v>
      </c>
      <c r="AQ21" s="27">
        <f>SUM('Net zero emission reductions'!W1417:W1418)</f>
        <v>0.18483487409005453</v>
      </c>
      <c r="AR21" s="27">
        <f>SUM('Net zero emission reductions'!X1417:X1418)</f>
        <v>0.18527505643026035</v>
      </c>
      <c r="AS21" s="27">
        <f>SUM('Net zero emission reductions'!Y1417:Y1418)</f>
        <v>0.18554996138402727</v>
      </c>
      <c r="AT21" s="27">
        <f>SUM('Net zero emission reductions'!Z1417:Z1418)</f>
        <v>0.18586053429431654</v>
      </c>
      <c r="AU21" s="27">
        <f>SUM('Net zero emission reductions'!AA1417:AA1418)</f>
        <v>0.18620257863223894</v>
      </c>
      <c r="AV21" s="27">
        <f>SUM('Net zero emission reductions'!AB1417:AB1418)</f>
        <v>0.18657703489932315</v>
      </c>
      <c r="AW21" s="27">
        <f>SUM('Net zero emission reductions'!AC1417:AC1418)</f>
        <v>0.18698003814401515</v>
      </c>
      <c r="AX21" s="27">
        <f>SUM('Net zero emission reductions'!AD1417:AD1418)</f>
        <v>0.18725037887589061</v>
      </c>
      <c r="AY21" s="27">
        <f>SUM('Net zero emission reductions'!AE1417:AE1418)</f>
        <v>0.18754386445509683</v>
      </c>
      <c r="AZ21" s="27">
        <f>SUM('Net zero emission reductions'!AF1417:AF1418)</f>
        <v>0.18786285402502434</v>
      </c>
      <c r="BA21" s="27">
        <f>SUM('Net zero emission reductions'!AG1417:AG1418)</f>
        <v>0.1882104614384143</v>
      </c>
      <c r="BB21" s="27">
        <f>SUM('Net zero emission reductions'!AH1417:AH1418)</f>
        <v>0.18857624875501067</v>
      </c>
      <c r="BC21" s="27">
        <f>SUM('Net zero emission reductions'!AI1417:AI1418)</f>
        <v>0.18881005884481172</v>
      </c>
      <c r="BD21" s="27">
        <f>SUM('Net zero emission reductions'!AJ1417:AJ1418)</f>
        <v>0.1890661588912948</v>
      </c>
      <c r="BE21" s="27">
        <f>SUM('Net zero emission reductions'!AK1417:AK1418)</f>
        <v>0.18933610218005476</v>
      </c>
      <c r="BF21" s="27">
        <f>SUM('Net zero emission reductions'!AL1417:AL1418)</f>
        <v>0.18962276253260429</v>
      </c>
      <c r="BG21" s="27">
        <f>SUM('Net zero emission reductions'!AM1417:AM1418)</f>
        <v>0.18992570530907227</v>
      </c>
      <c r="BH21" s="27">
        <f>SUM('Net zero emission reductions'!AN1417:AN1418)</f>
        <v>0.19010470631229215</v>
      </c>
      <c r="BI21" s="27">
        <f>SUM('Net zero emission reductions'!AO1417:AO1418)</f>
        <v>0.19029579205538394</v>
      </c>
      <c r="BJ21" s="27">
        <f>SUM('Net zero emission reductions'!AP1417:AP1418)</f>
        <v>0.19050306663769834</v>
      </c>
      <c r="BK21" s="27">
        <f>SUM('Net zero emission reductions'!AQ1417:AQ1418)</f>
        <v>0.1907263296686863</v>
      </c>
      <c r="BL21" s="27">
        <f>SUM('Net zero emission reductions'!AR1417:AR1418)</f>
        <v>0.1909655765216178</v>
      </c>
      <c r="BM21" s="27">
        <f>SUM('Net zero emission reductions'!AS1417:AS1418)</f>
        <v>0.1910741170836471</v>
      </c>
      <c r="BN21" s="27">
        <f>SUM('Net zero emission reductions'!AT1417:AT1418)</f>
        <v>0.19114406430011754</v>
      </c>
      <c r="BO21" s="27">
        <f>SUM('Net zero emission reductions'!AU1417:AU1418)</f>
        <v>0.19122073966900657</v>
      </c>
      <c r="BP21" s="27">
        <f>SUM('Net zero emission reductions'!AV1417:AV1418)</f>
        <v>0.19130172941620832</v>
      </c>
      <c r="BQ21" s="27">
        <f>SUM('Net zero emission reductions'!AW1417:AW1418)</f>
        <v>0.19139144527348179</v>
      </c>
    </row>
    <row r="22" spans="1:72" x14ac:dyDescent="0.3">
      <c r="A22" s="95" t="str">
        <f t="shared" si="2"/>
        <v>FSFAGSPQNIBDDSCM Goats MMN2O</v>
      </c>
      <c r="B22" s="95" t="str">
        <f t="shared" si="14"/>
        <v>FSFAGSPQNIBDDSCM</v>
      </c>
      <c r="C22" s="96" t="s">
        <v>1329</v>
      </c>
      <c r="D22" t="str">
        <f t="shared" si="4"/>
        <v>3A Livestock</v>
      </c>
      <c r="E22" t="str">
        <f t="shared" si="4"/>
        <v>3A2 Manure management (N2O)</v>
      </c>
      <c r="F22" t="str">
        <f t="shared" si="15"/>
        <v>3A2d Goats</v>
      </c>
      <c r="G22" t="str">
        <f t="shared" ref="G22:H26" si="16">G21</f>
        <v>N2O</v>
      </c>
      <c r="H22" t="str">
        <f t="shared" si="16"/>
        <v>Gg N2O</v>
      </c>
      <c r="I22" s="27">
        <f>'Emissions summary'!F22</f>
        <v>0.17617782385130304</v>
      </c>
      <c r="J22" s="27">
        <f>'Emissions summary'!G22</f>
        <v>0.15579098843087474</v>
      </c>
      <c r="K22" s="27">
        <f>'Emissions summary'!H22</f>
        <v>0.14512124279027669</v>
      </c>
      <c r="L22" s="27">
        <f>'Emissions summary'!I22</f>
        <v>0.13711893355982818</v>
      </c>
      <c r="M22" s="27">
        <f>'Emissions summary'!J22</f>
        <v>0.14842378310760462</v>
      </c>
      <c r="N22" s="27">
        <f>'Emissions summary'!K22</f>
        <v>0.1504561156105757</v>
      </c>
      <c r="O22" s="27">
        <f>'Emissions summary'!L22</f>
        <v>0.15280600006713599</v>
      </c>
      <c r="P22" s="27">
        <f>'Emissions summary'!M22</f>
        <v>0.15204387537852188</v>
      </c>
      <c r="Q22" s="27">
        <f>'Emissions summary'!N22</f>
        <v>0.1498845220941151</v>
      </c>
      <c r="R22" s="27">
        <f>'Emissions summary'!O22</f>
        <v>0.14766165841899051</v>
      </c>
      <c r="S22" s="27">
        <f>'Emissions summary'!P22</f>
        <v>0.14956697014052586</v>
      </c>
      <c r="T22" s="27">
        <f>'Emissions summary'!Q22</f>
        <v>0.15413971827221074</v>
      </c>
      <c r="U22" s="27">
        <f>'Emissions summary'!R22</f>
        <v>0.14073902583074538</v>
      </c>
      <c r="V22" s="27">
        <f>'Emissions summary'!S22</f>
        <v>0.13718244395054602</v>
      </c>
      <c r="W22" s="27">
        <f>'Emissions summary'!T22</f>
        <v>0.13743648551341742</v>
      </c>
      <c r="X22" s="27">
        <f>'Emissions summary'!U22</f>
        <v>0.13565819457331774</v>
      </c>
      <c r="Y22" s="27">
        <f>'Emissions summary'!V22</f>
        <v>0.13851616215562079</v>
      </c>
      <c r="Z22" s="27">
        <f>'Emissions summary'!W22</f>
        <v>0.13438798675896085</v>
      </c>
      <c r="AA22" s="27">
        <f>'Emissions summary'!X22</f>
        <v>0.13426096597752513</v>
      </c>
      <c r="AB22" s="27">
        <f>'Emissions summary'!Y22</f>
        <v>0.13191108152096487</v>
      </c>
      <c r="AC22" s="27">
        <f>'Emissions summary'!Z22</f>
        <v>0.13032332175301872</v>
      </c>
      <c r="AD22" s="27">
        <f>'Emissions summary'!AA22</f>
        <v>0.12911662432937968</v>
      </c>
      <c r="AE22" s="27">
        <f>SUM('Net zero emission reductions'!K1419:K1420)</f>
        <v>0.1293305253990944</v>
      </c>
      <c r="AF22" s="27">
        <f>SUM('Net zero emission reductions'!L1419:L1420)</f>
        <v>0.12966672233797991</v>
      </c>
      <c r="AG22" s="27">
        <f>SUM('Net zero emission reductions'!M1419:M1420)</f>
        <v>0.1301304941343914</v>
      </c>
      <c r="AH22" s="27">
        <f>SUM('Net zero emission reductions'!N1419:N1420)</f>
        <v>0.1306954906649623</v>
      </c>
      <c r="AI22" s="27">
        <f>SUM('Net zero emission reductions'!O1419:O1420)</f>
        <v>0.1313609060950319</v>
      </c>
      <c r="AJ22" s="27">
        <f>SUM('Net zero emission reductions'!P1419:P1420)</f>
        <v>0.13212269035728819</v>
      </c>
      <c r="AK22" s="27">
        <f>SUM('Net zero emission reductions'!Q1419:Q1420)</f>
        <v>0.13294253416938454</v>
      </c>
      <c r="AL22" s="27">
        <f>SUM('Net zero emission reductions'!R1419:R1420)</f>
        <v>0.13381719216548246</v>
      </c>
      <c r="AM22" s="27">
        <f>SUM('Net zero emission reductions'!S1419:S1420)</f>
        <v>0.13461040791274703</v>
      </c>
      <c r="AN22" s="27">
        <f>SUM('Net zero emission reductions'!T1419:T1420)</f>
        <v>0.13499786272310949</v>
      </c>
      <c r="AO22" s="27">
        <f>SUM('Net zero emission reductions'!U1419:U1420)</f>
        <v>0.13544197239533959</v>
      </c>
      <c r="AP22" s="27">
        <f>SUM('Net zero emission reductions'!V1419:V1420)</f>
        <v>0.13589467642953162</v>
      </c>
      <c r="AQ22" s="27">
        <f>SUM('Net zero emission reductions'!W1419:W1420)</f>
        <v>0.13638566796303572</v>
      </c>
      <c r="AR22" s="27">
        <f>SUM('Net zero emission reductions'!X1419:X1420)</f>
        <v>0.13691413553495954</v>
      </c>
      <c r="AS22" s="27">
        <f>SUM('Net zero emission reductions'!Y1419:Y1420)</f>
        <v>0.13725233167458614</v>
      </c>
      <c r="AT22" s="27">
        <f>SUM('Net zero emission reductions'!Z1419:Z1420)</f>
        <v>0.13762233700897464</v>
      </c>
      <c r="AU22" s="27">
        <f>SUM('Net zero emission reductions'!AA1419:AA1420)</f>
        <v>0.13801982387153933</v>
      </c>
      <c r="AV22" s="27">
        <f>SUM('Net zero emission reductions'!AB1419:AB1420)</f>
        <v>0.13844606862300748</v>
      </c>
      <c r="AW22" s="27">
        <f>SUM('Net zero emission reductions'!AC1419:AC1420)</f>
        <v>0.1388970689056081</v>
      </c>
      <c r="AX22" s="27">
        <f>SUM('Net zero emission reductions'!AD1419:AD1420)</f>
        <v>0.1391978349068311</v>
      </c>
      <c r="AY22" s="27">
        <f>SUM('Net zero emission reductions'!AE1419:AE1420)</f>
        <v>0.13951858395106317</v>
      </c>
      <c r="AZ22" s="27">
        <f>SUM('Net zero emission reductions'!AF1419:AF1420)</f>
        <v>0.13986203100610117</v>
      </c>
      <c r="BA22" s="27">
        <f>SUM('Net zero emission reductions'!AG1419:AG1420)</f>
        <v>0.14023166436427281</v>
      </c>
      <c r="BB22" s="27">
        <f>SUM('Net zero emission reductions'!AH1419:AH1420)</f>
        <v>0.14061631701106581</v>
      </c>
      <c r="BC22" s="27">
        <f>SUM('Net zero emission reductions'!AI1419:AI1420)</f>
        <v>0.14085454229186514</v>
      </c>
      <c r="BD22" s="27">
        <f>SUM('Net zero emission reductions'!AJ1419:AJ1420)</f>
        <v>0.14111306009664348</v>
      </c>
      <c r="BE22" s="27">
        <f>SUM('Net zero emission reductions'!AK1419:AK1420)</f>
        <v>0.14138287951759698</v>
      </c>
      <c r="BF22" s="27">
        <f>SUM('Net zero emission reductions'!AL1419:AL1420)</f>
        <v>0.14166717894707001</v>
      </c>
      <c r="BG22" s="27">
        <f>SUM('Net zero emission reductions'!AM1419:AM1420)</f>
        <v>0.14196556913978078</v>
      </c>
      <c r="BH22" s="27">
        <f>SUM('Net zero emission reductions'!AN1419:AN1420)</f>
        <v>0.1421285912887941</v>
      </c>
      <c r="BI22" s="27">
        <f>SUM('Net zero emission reductions'!AO1419:AO1420)</f>
        <v>0.14230188340790959</v>
      </c>
      <c r="BJ22" s="27">
        <f>SUM('Net zero emission reductions'!AP1419:AP1420)</f>
        <v>0.14248986916315412</v>
      </c>
      <c r="BK22" s="27">
        <f>SUM('Net zero emission reductions'!AQ1419:AQ1420)</f>
        <v>0.14269236901961874</v>
      </c>
      <c r="BL22" s="27">
        <f>SUM('Net zero emission reductions'!AR1419:AR1420)</f>
        <v>0.14290940633797075</v>
      </c>
      <c r="BM22" s="27">
        <f>SUM('Net zero emission reductions'!AS1419:AS1420)</f>
        <v>0.14298590536820052</v>
      </c>
      <c r="BN22" s="27">
        <f>SUM('Net zero emission reductions'!AT1419:AT1420)</f>
        <v>0.1430198786049193</v>
      </c>
      <c r="BO22" s="27">
        <f>SUM('Net zero emission reductions'!AU1419:AU1420)</f>
        <v>0.14305937272726121</v>
      </c>
      <c r="BP22" s="27">
        <f>SUM('Net zero emission reductions'!AV1419:AV1420)</f>
        <v>0.14310189125406225</v>
      </c>
      <c r="BQ22" s="27">
        <f>SUM('Net zero emission reductions'!AW1419:AW1420)</f>
        <v>0.14315212010600345</v>
      </c>
    </row>
    <row r="23" spans="1:72" x14ac:dyDescent="0.3">
      <c r="A23" s="95" t="str">
        <f t="shared" si="2"/>
        <v>FSFAGSPQNIBDDSCM Horses MMN2O</v>
      </c>
      <c r="B23" s="95" t="str">
        <f t="shared" si="14"/>
        <v>FSFAGSPQNIBDDSCM</v>
      </c>
      <c r="C23" s="96" t="s">
        <v>1330</v>
      </c>
      <c r="D23" t="str">
        <f t="shared" ref="D23:E26" si="17">D22</f>
        <v>3A Livestock</v>
      </c>
      <c r="E23" t="str">
        <f t="shared" si="17"/>
        <v>3A2 Manure management (N2O)</v>
      </c>
      <c r="F23" t="str">
        <f t="shared" si="15"/>
        <v>3A2f Horses</v>
      </c>
      <c r="G23" t="str">
        <f t="shared" si="16"/>
        <v>N2O</v>
      </c>
      <c r="H23" t="str">
        <f t="shared" si="16"/>
        <v>Gg N2O</v>
      </c>
      <c r="I23" s="27" t="str">
        <f>'Emissions summary'!F23</f>
        <v>NO</v>
      </c>
      <c r="J23" s="27" t="str">
        <f>'Emissions summary'!G23</f>
        <v>NO</v>
      </c>
      <c r="K23" s="27" t="str">
        <f>'Emissions summary'!H23</f>
        <v>NO</v>
      </c>
      <c r="L23" s="27" t="str">
        <f>'Emissions summary'!I23</f>
        <v>NO</v>
      </c>
      <c r="M23" s="27" t="str">
        <f>'Emissions summary'!J23</f>
        <v>NO</v>
      </c>
      <c r="N23" s="27" t="str">
        <f>'Emissions summary'!K23</f>
        <v>NO</v>
      </c>
      <c r="O23" s="27" t="str">
        <f>'Emissions summary'!L23</f>
        <v>NO</v>
      </c>
      <c r="P23" s="27" t="str">
        <f>'Emissions summary'!M23</f>
        <v>NO</v>
      </c>
      <c r="Q23" s="27" t="str">
        <f>'Emissions summary'!N23</f>
        <v>NO</v>
      </c>
      <c r="R23" s="27" t="str">
        <f>'Emissions summary'!O23</f>
        <v>NO</v>
      </c>
      <c r="S23" s="27" t="str">
        <f>'Emissions summary'!P23</f>
        <v>NO</v>
      </c>
      <c r="T23" s="27" t="str">
        <f>'Emissions summary'!Q23</f>
        <v>NO</v>
      </c>
      <c r="U23" s="27" t="str">
        <f>'Emissions summary'!R23</f>
        <v>NO</v>
      </c>
      <c r="V23" s="27" t="str">
        <f>'Emissions summary'!S23</f>
        <v>NO</v>
      </c>
      <c r="W23" s="27" t="str">
        <f>'Emissions summary'!T23</f>
        <v>NO</v>
      </c>
      <c r="X23" s="27" t="str">
        <f>'Emissions summary'!U23</f>
        <v>NO</v>
      </c>
      <c r="Y23" s="27" t="str">
        <f>'Emissions summary'!V23</f>
        <v>NO</v>
      </c>
      <c r="Z23" s="27" t="str">
        <f>'Emissions summary'!W23</f>
        <v>NO</v>
      </c>
      <c r="AA23" s="27" t="str">
        <f>'Emissions summary'!X23</f>
        <v>NO</v>
      </c>
      <c r="AB23" s="27" t="str">
        <f>'Emissions summary'!Y23</f>
        <v>NO</v>
      </c>
      <c r="AC23" s="27" t="str">
        <f>'Emissions summary'!Z23</f>
        <v>NO</v>
      </c>
      <c r="AD23" s="27" t="str">
        <f>'Emissions summary'!AA23</f>
        <v>NO</v>
      </c>
      <c r="AE23" s="27" t="str">
        <f>'Net zero emission reductions'!K1421</f>
        <v>NO</v>
      </c>
      <c r="AF23" s="27" t="str">
        <f>'Net zero emission reductions'!L1421</f>
        <v>NO</v>
      </c>
      <c r="AG23" s="27" t="str">
        <f>'Net zero emission reductions'!M1421</f>
        <v>NO</v>
      </c>
      <c r="AH23" s="27" t="str">
        <f>'Net zero emission reductions'!N1421</f>
        <v>NO</v>
      </c>
      <c r="AI23" s="27" t="str">
        <f>'Net zero emission reductions'!O1421</f>
        <v>NO</v>
      </c>
      <c r="AJ23" s="27" t="str">
        <f>'Net zero emission reductions'!P1421</f>
        <v>NO</v>
      </c>
      <c r="AK23" s="27" t="str">
        <f>'Net zero emission reductions'!Q1421</f>
        <v>NO</v>
      </c>
      <c r="AL23" s="27" t="str">
        <f>'Net zero emission reductions'!R1421</f>
        <v>NO</v>
      </c>
      <c r="AM23" s="27" t="str">
        <f>'Net zero emission reductions'!S1421</f>
        <v>NO</v>
      </c>
      <c r="AN23" s="27" t="str">
        <f>'Net zero emission reductions'!T1421</f>
        <v>NO</v>
      </c>
      <c r="AO23" s="27" t="str">
        <f>'Net zero emission reductions'!U1421</f>
        <v>NO</v>
      </c>
      <c r="AP23" s="27" t="str">
        <f>'Net zero emission reductions'!V1421</f>
        <v>NO</v>
      </c>
      <c r="AQ23" s="27" t="str">
        <f>'Net zero emission reductions'!W1421</f>
        <v>NO</v>
      </c>
      <c r="AR23" s="27" t="str">
        <f>'Net zero emission reductions'!X1421</f>
        <v>NO</v>
      </c>
      <c r="AS23" s="27" t="str">
        <f>'Net zero emission reductions'!Y1421</f>
        <v>NO</v>
      </c>
      <c r="AT23" s="27" t="str">
        <f>'Net zero emission reductions'!Z1421</f>
        <v>NO</v>
      </c>
      <c r="AU23" s="27" t="str">
        <f>'Net zero emission reductions'!AA1421</f>
        <v>NO</v>
      </c>
      <c r="AV23" s="27" t="str">
        <f>'Net zero emission reductions'!AB1421</f>
        <v>NO</v>
      </c>
      <c r="AW23" s="27" t="str">
        <f>'Net zero emission reductions'!AC1421</f>
        <v>NO</v>
      </c>
      <c r="AX23" s="27" t="str">
        <f>'Net zero emission reductions'!AD1421</f>
        <v>NO</v>
      </c>
      <c r="AY23" s="27" t="str">
        <f>'Net zero emission reductions'!AE1421</f>
        <v>NO</v>
      </c>
      <c r="AZ23" s="27" t="str">
        <f>'Net zero emission reductions'!AF1421</f>
        <v>NO</v>
      </c>
      <c r="BA23" s="27" t="str">
        <f>'Net zero emission reductions'!AG1421</f>
        <v>NO</v>
      </c>
      <c r="BB23" s="27" t="str">
        <f>'Net zero emission reductions'!AH1421</f>
        <v>NO</v>
      </c>
      <c r="BC23" s="27" t="str">
        <f>'Net zero emission reductions'!AI1421</f>
        <v>NO</v>
      </c>
      <c r="BD23" s="27" t="str">
        <f>'Net zero emission reductions'!AJ1421</f>
        <v>NO</v>
      </c>
      <c r="BE23" s="27" t="str">
        <f>'Net zero emission reductions'!AK1421</f>
        <v>NO</v>
      </c>
      <c r="BF23" s="27" t="str">
        <f>'Net zero emission reductions'!AL1421</f>
        <v>NO</v>
      </c>
      <c r="BG23" s="27" t="str">
        <f>'Net zero emission reductions'!AM1421</f>
        <v>NO</v>
      </c>
      <c r="BH23" s="27" t="str">
        <f>'Net zero emission reductions'!AN1421</f>
        <v>NO</v>
      </c>
      <c r="BI23" s="27" t="str">
        <f>'Net zero emission reductions'!AO1421</f>
        <v>NO</v>
      </c>
      <c r="BJ23" s="27" t="str">
        <f>'Net zero emission reductions'!AP1421</f>
        <v>NO</v>
      </c>
      <c r="BK23" s="27" t="str">
        <f>'Net zero emission reductions'!AQ1421</f>
        <v>NO</v>
      </c>
      <c r="BL23" s="27" t="str">
        <f>'Net zero emission reductions'!AR1421</f>
        <v>NO</v>
      </c>
      <c r="BM23" s="27" t="str">
        <f>'Net zero emission reductions'!AS1421</f>
        <v>NO</v>
      </c>
      <c r="BN23" s="27" t="str">
        <f>'Net zero emission reductions'!AT1421</f>
        <v>NO</v>
      </c>
      <c r="BO23" s="27" t="str">
        <f>'Net zero emission reductions'!AU1421</f>
        <v>NO</v>
      </c>
      <c r="BP23" s="27" t="str">
        <f>'Net zero emission reductions'!AV1421</f>
        <v>NO</v>
      </c>
      <c r="BQ23" s="27" t="str">
        <f>'Net zero emission reductions'!AW1421</f>
        <v>NO</v>
      </c>
    </row>
    <row r="24" spans="1:72" x14ac:dyDescent="0.3">
      <c r="A24" s="95" t="str">
        <f t="shared" si="2"/>
        <v>FSFAGSPQNIBDDSCM Mules MMN2O</v>
      </c>
      <c r="B24" s="95" t="str">
        <f t="shared" si="14"/>
        <v>FSFAGSPQNIBDDSCM</v>
      </c>
      <c r="C24" s="96" t="s">
        <v>1331</v>
      </c>
      <c r="D24" t="str">
        <f t="shared" si="17"/>
        <v>3A Livestock</v>
      </c>
      <c r="E24" t="str">
        <f t="shared" si="17"/>
        <v>3A2 Manure management (N2O)</v>
      </c>
      <c r="F24" t="str">
        <f t="shared" si="15"/>
        <v>3A2g Mules &amp; asses</v>
      </c>
      <c r="G24" t="str">
        <f t="shared" si="16"/>
        <v>N2O</v>
      </c>
      <c r="H24" t="str">
        <f t="shared" si="16"/>
        <v>Gg N2O</v>
      </c>
      <c r="I24" s="27" t="str">
        <f>'Emissions summary'!F24</f>
        <v>NO</v>
      </c>
      <c r="J24" s="27" t="str">
        <f>'Emissions summary'!G24</f>
        <v>NO</v>
      </c>
      <c r="K24" s="27" t="str">
        <f>'Emissions summary'!H24</f>
        <v>NO</v>
      </c>
      <c r="L24" s="27" t="str">
        <f>'Emissions summary'!I24</f>
        <v>NO</v>
      </c>
      <c r="M24" s="27" t="str">
        <f>'Emissions summary'!J24</f>
        <v>NO</v>
      </c>
      <c r="N24" s="27" t="str">
        <f>'Emissions summary'!K24</f>
        <v>NO</v>
      </c>
      <c r="O24" s="27" t="str">
        <f>'Emissions summary'!L24</f>
        <v>NO</v>
      </c>
      <c r="P24" s="27" t="str">
        <f>'Emissions summary'!M24</f>
        <v>NO</v>
      </c>
      <c r="Q24" s="27" t="str">
        <f>'Emissions summary'!N24</f>
        <v>NO</v>
      </c>
      <c r="R24" s="27" t="str">
        <f>'Emissions summary'!O24</f>
        <v>NO</v>
      </c>
      <c r="S24" s="27" t="str">
        <f>'Emissions summary'!P24</f>
        <v>NO</v>
      </c>
      <c r="T24" s="27" t="str">
        <f>'Emissions summary'!Q24</f>
        <v>NO</v>
      </c>
      <c r="U24" s="27" t="str">
        <f>'Emissions summary'!R24</f>
        <v>NO</v>
      </c>
      <c r="V24" s="27" t="str">
        <f>'Emissions summary'!S24</f>
        <v>NO</v>
      </c>
      <c r="W24" s="27" t="str">
        <f>'Emissions summary'!T24</f>
        <v>NO</v>
      </c>
      <c r="X24" s="27" t="str">
        <f>'Emissions summary'!U24</f>
        <v>NO</v>
      </c>
      <c r="Y24" s="27" t="str">
        <f>'Emissions summary'!V24</f>
        <v>NO</v>
      </c>
      <c r="Z24" s="27" t="str">
        <f>'Emissions summary'!W24</f>
        <v>NO</v>
      </c>
      <c r="AA24" s="27" t="str">
        <f>'Emissions summary'!X24</f>
        <v>NO</v>
      </c>
      <c r="AB24" s="27" t="str">
        <f>'Emissions summary'!Y24</f>
        <v>NO</v>
      </c>
      <c r="AC24" s="27" t="str">
        <f>'Emissions summary'!Z24</f>
        <v>NO</v>
      </c>
      <c r="AD24" s="27" t="str">
        <f>'Emissions summary'!AA24</f>
        <v>NO</v>
      </c>
      <c r="AE24" s="27" t="str">
        <f>'Net zero emission reductions'!K1422</f>
        <v>NO</v>
      </c>
      <c r="AF24" s="27" t="str">
        <f>'Net zero emission reductions'!L1422</f>
        <v>NO</v>
      </c>
      <c r="AG24" s="27" t="str">
        <f>'Net zero emission reductions'!M1422</f>
        <v>NO</v>
      </c>
      <c r="AH24" s="27" t="str">
        <f>'Net zero emission reductions'!N1422</f>
        <v>NO</v>
      </c>
      <c r="AI24" s="27" t="str">
        <f>'Net zero emission reductions'!O1422</f>
        <v>NO</v>
      </c>
      <c r="AJ24" s="27" t="str">
        <f>'Net zero emission reductions'!P1422</f>
        <v>NO</v>
      </c>
      <c r="AK24" s="27" t="str">
        <f>'Net zero emission reductions'!Q1422</f>
        <v>NO</v>
      </c>
      <c r="AL24" s="27" t="str">
        <f>'Net zero emission reductions'!R1422</f>
        <v>NO</v>
      </c>
      <c r="AM24" s="27" t="str">
        <f>'Net zero emission reductions'!S1422</f>
        <v>NO</v>
      </c>
      <c r="AN24" s="27" t="str">
        <f>'Net zero emission reductions'!T1422</f>
        <v>NO</v>
      </c>
      <c r="AO24" s="27" t="str">
        <f>'Net zero emission reductions'!U1422</f>
        <v>NO</v>
      </c>
      <c r="AP24" s="27" t="str">
        <f>'Net zero emission reductions'!V1422</f>
        <v>NO</v>
      </c>
      <c r="AQ24" s="27" t="str">
        <f>'Net zero emission reductions'!W1422</f>
        <v>NO</v>
      </c>
      <c r="AR24" s="27" t="str">
        <f>'Net zero emission reductions'!X1422</f>
        <v>NO</v>
      </c>
      <c r="AS24" s="27" t="str">
        <f>'Net zero emission reductions'!Y1422</f>
        <v>NO</v>
      </c>
      <c r="AT24" s="27" t="str">
        <f>'Net zero emission reductions'!Z1422</f>
        <v>NO</v>
      </c>
      <c r="AU24" s="27" t="str">
        <f>'Net zero emission reductions'!AA1422</f>
        <v>NO</v>
      </c>
      <c r="AV24" s="27" t="str">
        <f>'Net zero emission reductions'!AB1422</f>
        <v>NO</v>
      </c>
      <c r="AW24" s="27" t="str">
        <f>'Net zero emission reductions'!AC1422</f>
        <v>NO</v>
      </c>
      <c r="AX24" s="27" t="str">
        <f>'Net zero emission reductions'!AD1422</f>
        <v>NO</v>
      </c>
      <c r="AY24" s="27" t="str">
        <f>'Net zero emission reductions'!AE1422</f>
        <v>NO</v>
      </c>
      <c r="AZ24" s="27" t="str">
        <f>'Net zero emission reductions'!AF1422</f>
        <v>NO</v>
      </c>
      <c r="BA24" s="27" t="str">
        <f>'Net zero emission reductions'!AG1422</f>
        <v>NO</v>
      </c>
      <c r="BB24" s="27" t="str">
        <f>'Net zero emission reductions'!AH1422</f>
        <v>NO</v>
      </c>
      <c r="BC24" s="27" t="str">
        <f>'Net zero emission reductions'!AI1422</f>
        <v>NO</v>
      </c>
      <c r="BD24" s="27" t="str">
        <f>'Net zero emission reductions'!AJ1422</f>
        <v>NO</v>
      </c>
      <c r="BE24" s="27" t="str">
        <f>'Net zero emission reductions'!AK1422</f>
        <v>NO</v>
      </c>
      <c r="BF24" s="27" t="str">
        <f>'Net zero emission reductions'!AL1422</f>
        <v>NO</v>
      </c>
      <c r="BG24" s="27" t="str">
        <f>'Net zero emission reductions'!AM1422</f>
        <v>NO</v>
      </c>
      <c r="BH24" s="27" t="str">
        <f>'Net zero emission reductions'!AN1422</f>
        <v>NO</v>
      </c>
      <c r="BI24" s="27" t="str">
        <f>'Net zero emission reductions'!AO1422</f>
        <v>NO</v>
      </c>
      <c r="BJ24" s="27" t="str">
        <f>'Net zero emission reductions'!AP1422</f>
        <v>NO</v>
      </c>
      <c r="BK24" s="27" t="str">
        <f>'Net zero emission reductions'!AQ1422</f>
        <v>NO</v>
      </c>
      <c r="BL24" s="27" t="str">
        <f>'Net zero emission reductions'!AR1422</f>
        <v>NO</v>
      </c>
      <c r="BM24" s="27" t="str">
        <f>'Net zero emission reductions'!AS1422</f>
        <v>NO</v>
      </c>
      <c r="BN24" s="27" t="str">
        <f>'Net zero emission reductions'!AT1422</f>
        <v>NO</v>
      </c>
      <c r="BO24" s="27" t="str">
        <f>'Net zero emission reductions'!AU1422</f>
        <v>NO</v>
      </c>
      <c r="BP24" s="27" t="str">
        <f>'Net zero emission reductions'!AV1422</f>
        <v>NO</v>
      </c>
      <c r="BQ24" s="27" t="str">
        <f>'Net zero emission reductions'!AW1422</f>
        <v>NO</v>
      </c>
    </row>
    <row r="25" spans="1:72" x14ac:dyDescent="0.3">
      <c r="A25" s="95" t="str">
        <f t="shared" si="2"/>
        <v>FSFAGSPQNIBDDSCM Swine MMN2O</v>
      </c>
      <c r="B25" s="95" t="str">
        <f t="shared" si="14"/>
        <v>FSFAGSPQNIBDDSCM</v>
      </c>
      <c r="C25" s="96" t="s">
        <v>1233</v>
      </c>
      <c r="D25" t="str">
        <f t="shared" si="17"/>
        <v>3A Livestock</v>
      </c>
      <c r="E25" t="str">
        <f t="shared" si="17"/>
        <v>3A2 Manure management (N2O)</v>
      </c>
      <c r="F25" t="str">
        <f t="shared" si="15"/>
        <v>3A2h Swine</v>
      </c>
      <c r="G25" t="str">
        <f t="shared" si="16"/>
        <v>N2O</v>
      </c>
      <c r="H25" t="str">
        <f t="shared" si="16"/>
        <v>Gg N2O</v>
      </c>
      <c r="I25" s="27">
        <f>'Emissions summary'!F25</f>
        <v>0.12329867623327949</v>
      </c>
      <c r="J25" s="27">
        <f>'Emissions summary'!G25</f>
        <v>0.13470623092415376</v>
      </c>
      <c r="K25" s="27">
        <f>'Emissions summary'!H25</f>
        <v>0.13381627984897917</v>
      </c>
      <c r="L25" s="27">
        <f>'Emissions summary'!I25</f>
        <v>0.13373537520578149</v>
      </c>
      <c r="M25" s="27">
        <f>'Emissions summary'!J25</f>
        <v>0.12702028982037319</v>
      </c>
      <c r="N25" s="27">
        <f>'Emissions summary'!K25</f>
        <v>0.12823385946833857</v>
      </c>
      <c r="O25" s="27">
        <f>'Emissions summary'!L25</f>
        <v>0.13810422593845673</v>
      </c>
      <c r="P25" s="27">
        <f>'Emissions summary'!M25</f>
        <v>0.13745698879287524</v>
      </c>
      <c r="Q25" s="27">
        <f>'Emissions summary'!N25</f>
        <v>0.14045046059118976</v>
      </c>
      <c r="R25" s="27">
        <f>'Emissions summary'!O25</f>
        <v>0.14401026489188812</v>
      </c>
      <c r="S25" s="27">
        <f>'Emissions summary'!P25</f>
        <v>0.13324994734659534</v>
      </c>
      <c r="T25" s="27">
        <f>'Emissions summary'!Q25</f>
        <v>0.13575799128572374</v>
      </c>
      <c r="U25" s="27">
        <f>'Emissions summary'!R25</f>
        <v>0.1383469398680498</v>
      </c>
      <c r="V25" s="27">
        <f>'Emissions summary'!S25</f>
        <v>0.1345444216377584</v>
      </c>
      <c r="W25" s="27">
        <f>'Emissions summary'!T25</f>
        <v>0.1345444216377584</v>
      </c>
      <c r="X25" s="27">
        <f>'Emissions summary'!U25</f>
        <v>0.1335735659193861</v>
      </c>
      <c r="Y25" s="27">
        <f>'Emissions summary'!V25</f>
        <v>0.13122733126665309</v>
      </c>
      <c r="Z25" s="27">
        <f>'Emissions summary'!W25</f>
        <v>0.1335735659193861</v>
      </c>
      <c r="AA25" s="27">
        <f>'Emissions summary'!X25</f>
        <v>0.13066099876426929</v>
      </c>
      <c r="AB25" s="27">
        <f>'Emissions summary'!Y25</f>
        <v>0.13049918947787389</v>
      </c>
      <c r="AC25" s="27">
        <f>'Emissions summary'!Z25</f>
        <v>0.12896200125711779</v>
      </c>
      <c r="AD25" s="27">
        <f>'Emissions summary'!AA25</f>
        <v>0.12815295482514089</v>
      </c>
      <c r="AE25" s="27">
        <f>SUM('Net zero emission reductions'!K1423:K1424)</f>
        <v>0.13559803489000399</v>
      </c>
      <c r="AF25" s="27">
        <f>SUM('Net zero emission reductions'!L1423:L1424)</f>
        <v>0.13486096937945147</v>
      </c>
      <c r="AG25" s="27">
        <f>SUM('Net zero emission reductions'!M1423:M1424)</f>
        <v>0.13492146542995687</v>
      </c>
      <c r="AH25" s="27">
        <f>SUM('Net zero emission reductions'!N1423:N1424)</f>
        <v>0.13368278298717368</v>
      </c>
      <c r="AI25" s="27">
        <f>SUM('Net zero emission reductions'!O1423:O1424)</f>
        <v>0.13165972885928906</v>
      </c>
      <c r="AJ25" s="27">
        <f>SUM('Net zero emission reductions'!P1423:P1424)</f>
        <v>0.12888464371149952</v>
      </c>
      <c r="AK25" s="27">
        <f>SUM('Net zero emission reductions'!Q1423:Q1424)</f>
        <v>0.12686962414513903</v>
      </c>
      <c r="AL25" s="27">
        <f>SUM('Net zero emission reductions'!R1423:R1424)</f>
        <v>0.12503290678710083</v>
      </c>
      <c r="AM25" s="27">
        <f>SUM('Net zero emission reductions'!S1423:S1424)</f>
        <v>0.11039779294060981</v>
      </c>
      <c r="AN25" s="27">
        <f>SUM('Net zero emission reductions'!T1423:T1424)</f>
        <v>0.11179384779157127</v>
      </c>
      <c r="AO25" s="27">
        <f>SUM('Net zero emission reductions'!U1423:U1424)</f>
        <v>0.11478950744925979</v>
      </c>
      <c r="AP25" s="27">
        <f>SUM('Net zero emission reductions'!V1423:V1424)</f>
        <v>0.11506149778332223</v>
      </c>
      <c r="AQ25" s="27">
        <f>SUM('Net zero emission reductions'!W1423:W1424)</f>
        <v>0.11565050796466506</v>
      </c>
      <c r="AR25" s="27">
        <f>SUM('Net zero emission reductions'!X1423:X1424)</f>
        <v>0.11664084126530386</v>
      </c>
      <c r="AS25" s="27">
        <f>SUM('Net zero emission reductions'!Y1423:Y1424)</f>
        <v>0.1178835116099117</v>
      </c>
      <c r="AT25" s="27">
        <f>SUM('Net zero emission reductions'!Z1423:Z1424)</f>
        <v>0.11940629876901092</v>
      </c>
      <c r="AU25" s="27">
        <f>SUM('Net zero emission reductions'!AA1423:AA1424)</f>
        <v>0.12094689339857308</v>
      </c>
      <c r="AV25" s="27">
        <f>SUM('Net zero emission reductions'!AB1423:AB1424)</f>
        <v>0.12272558234420103</v>
      </c>
      <c r="AW25" s="27">
        <f>SUM('Net zero emission reductions'!AC1423:AC1424)</f>
        <v>0.12449199482010295</v>
      </c>
      <c r="AX25" s="27">
        <f>SUM('Net zero emission reductions'!AD1423:AD1424)</f>
        <v>0.12668810672927541</v>
      </c>
      <c r="AY25" s="27">
        <f>SUM('Net zero emission reductions'!AE1423:AE1424)</f>
        <v>0.12870978814137557</v>
      </c>
      <c r="AZ25" s="27">
        <f>SUM('Net zero emission reductions'!AF1423:AF1424)</f>
        <v>0.13086101879670503</v>
      </c>
      <c r="BA25" s="27">
        <f>SUM('Net zero emission reductions'!AG1423:AG1424)</f>
        <v>0.13348523955359742</v>
      </c>
      <c r="BB25" s="27">
        <f>SUM('Net zero emission reductions'!AH1423:AH1424)</f>
        <v>0.13573858259945221</v>
      </c>
      <c r="BC25" s="27">
        <f>SUM('Net zero emission reductions'!AI1423:AI1424)</f>
        <v>0.13817071967281611</v>
      </c>
      <c r="BD25" s="27">
        <f>SUM('Net zero emission reductions'!AJ1423:AJ1424)</f>
        <v>0.1408103923475002</v>
      </c>
      <c r="BE25" s="27">
        <f>SUM('Net zero emission reductions'!AK1423:AK1424)</f>
        <v>0.14301247765710248</v>
      </c>
      <c r="BF25" s="27">
        <f>SUM('Net zero emission reductions'!AL1423:AL1424)</f>
        <v>0.14507756098779112</v>
      </c>
      <c r="BG25" s="27">
        <f>SUM('Net zero emission reductions'!AM1423:AM1424)</f>
        <v>0.14702229766252037</v>
      </c>
      <c r="BH25" s="27">
        <f>SUM('Net zero emission reductions'!AN1423:AN1424)</f>
        <v>0.14926780893120151</v>
      </c>
      <c r="BI25" s="27">
        <f>SUM('Net zero emission reductions'!AO1423:AO1424)</f>
        <v>0.15121550048938059</v>
      </c>
      <c r="BJ25" s="27">
        <f>SUM('Net zero emission reductions'!AP1423:AP1424)</f>
        <v>0.15322601295133931</v>
      </c>
      <c r="BK25" s="27">
        <f>SUM('Net zero emission reductions'!AQ1423:AQ1424)</f>
        <v>0.15531451115096906</v>
      </c>
      <c r="BL25" s="27">
        <f>SUM('Net zero emission reductions'!AR1423:AR1424)</f>
        <v>0.15750712741388692</v>
      </c>
      <c r="BM25" s="27">
        <f>SUM('Net zero emission reductions'!AS1423:AS1424)</f>
        <v>0.15980951988511904</v>
      </c>
      <c r="BN25" s="27">
        <f>SUM('Net zero emission reductions'!AT1423:AT1424)</f>
        <v>0.15840848244723524</v>
      </c>
      <c r="BO25" s="27">
        <f>SUM('Net zero emission reductions'!AU1423:AU1424)</f>
        <v>0.15668367138062728</v>
      </c>
      <c r="BP25" s="27">
        <f>SUM('Net zero emission reductions'!AV1423:AV1424)</f>
        <v>0.15450725956797529</v>
      </c>
      <c r="BQ25" s="27">
        <f>SUM('Net zero emission reductions'!AW1423:AW1424)</f>
        <v>0.15222410947091053</v>
      </c>
    </row>
    <row r="26" spans="1:72" x14ac:dyDescent="0.3">
      <c r="A26" s="95" t="str">
        <f t="shared" si="2"/>
        <v>FSFAGSPQNIBDDSCM Poultry MMN2O</v>
      </c>
      <c r="B26" s="95" t="str">
        <f t="shared" si="14"/>
        <v>FSFAGSPQNIBDDSCM</v>
      </c>
      <c r="C26" s="96" t="s">
        <v>1234</v>
      </c>
      <c r="D26" t="str">
        <f t="shared" si="17"/>
        <v>3A Livestock</v>
      </c>
      <c r="E26" t="str">
        <f t="shared" si="17"/>
        <v>3A2 Manure management (N2O)</v>
      </c>
      <c r="F26" t="str">
        <f t="shared" si="15"/>
        <v>3A2i Poultry</v>
      </c>
      <c r="G26" t="str">
        <f t="shared" si="16"/>
        <v>N2O</v>
      </c>
      <c r="H26" t="str">
        <f t="shared" si="16"/>
        <v>Gg N2O</v>
      </c>
      <c r="I26" s="27">
        <f>'Emissions summary'!F26</f>
        <v>0.97142643116498173</v>
      </c>
      <c r="J26" s="27">
        <f>'Emissions summary'!G26</f>
        <v>0.91979947773956539</v>
      </c>
      <c r="K26" s="27">
        <f>'Emissions summary'!H26</f>
        <v>0.86996640861962027</v>
      </c>
      <c r="L26" s="27">
        <f>'Emissions summary'!I26</f>
        <v>0.95105089689588118</v>
      </c>
      <c r="M26" s="27">
        <f>'Emissions summary'!J26</f>
        <v>0.93558760332506563</v>
      </c>
      <c r="N26" s="27">
        <f>'Emissions summary'!K26</f>
        <v>1.0610980244624493</v>
      </c>
      <c r="O26" s="27">
        <f>'Emissions summary'!L26</f>
        <v>1.2124779056940209</v>
      </c>
      <c r="P26" s="27">
        <f>'Emissions summary'!M26</f>
        <v>1.2310774331909755</v>
      </c>
      <c r="Q26" s="27">
        <f>'Emissions summary'!N26</f>
        <v>1.3553349187397734</v>
      </c>
      <c r="R26" s="27">
        <f>'Emissions summary'!O26</f>
        <v>1.4216688462228295</v>
      </c>
      <c r="S26" s="27">
        <f>'Emissions summary'!P26</f>
        <v>1.5047428388913393</v>
      </c>
      <c r="T26" s="27">
        <f>'Emissions summary'!Q26</f>
        <v>1.4682944579243469</v>
      </c>
      <c r="U26" s="27">
        <f>'Emissions summary'!R26</f>
        <v>1.5974517753633082</v>
      </c>
      <c r="V26" s="27">
        <f>'Emissions summary'!S26</f>
        <v>1.5216968274171625</v>
      </c>
      <c r="W26" s="27">
        <f>'Emissions summary'!T26</f>
        <v>1.561402779749649</v>
      </c>
      <c r="X26" s="27">
        <f>'Emissions summary'!U26</f>
        <v>1.715924170745724</v>
      </c>
      <c r="Y26" s="27">
        <f>'Emissions summary'!V26</f>
        <v>1.8445047156055465</v>
      </c>
      <c r="Z26" s="27">
        <f>'Emissions summary'!W26</f>
        <v>1.9478096113399568</v>
      </c>
      <c r="AA26" s="27">
        <f>'Emissions summary'!X26</f>
        <v>2.0569289282113736</v>
      </c>
      <c r="AB26" s="27">
        <f>'Emissions summary'!Y26</f>
        <v>1.9474443632124327</v>
      </c>
      <c r="AC26" s="27">
        <f>'Emissions summary'!Z26</f>
        <v>2.0008545268528479</v>
      </c>
      <c r="AD26" s="27">
        <f>'Emissions summary'!AA26</f>
        <v>2.0733749858055939</v>
      </c>
      <c r="AE26" s="27">
        <f>SUM('Net zero emission reductions'!K1425:K1428)</f>
        <v>2.1141223071087354</v>
      </c>
      <c r="AF26" s="27">
        <f>SUM('Net zero emission reductions'!L1425:L1428)</f>
        <v>2.144407963353022</v>
      </c>
      <c r="AG26" s="27">
        <f>SUM('Net zero emission reductions'!M1425:M1428)</f>
        <v>2.1900184905347517</v>
      </c>
      <c r="AH26" s="27">
        <f>SUM('Net zero emission reductions'!N1425:N1428)</f>
        <v>2.2070152134542438</v>
      </c>
      <c r="AI26" s="27">
        <f>SUM('Net zero emission reductions'!O1425:O1428)</f>
        <v>2.2054156910391569</v>
      </c>
      <c r="AJ26" s="27">
        <f>SUM('Net zero emission reductions'!P1425:P1428)</f>
        <v>2.1852604118945709</v>
      </c>
      <c r="AK26" s="27">
        <f>SUM('Net zero emission reductions'!Q1425:Q1428)</f>
        <v>2.1799994398925184</v>
      </c>
      <c r="AL26" s="27">
        <f>SUM('Net zero emission reductions'!R1425:R1428)</f>
        <v>2.1772115733745299</v>
      </c>
      <c r="AM26" s="27">
        <f>SUM('Net zero emission reductions'!S1425:S1428)</f>
        <v>1.8781922706718073</v>
      </c>
      <c r="AN26" s="27">
        <f>SUM('Net zero emission reductions'!T1425:T1428)</f>
        <v>1.9472163162010805</v>
      </c>
      <c r="AO26" s="27">
        <f>SUM('Net zero emission reductions'!U1425:U1428)</f>
        <v>2.0549867224261105</v>
      </c>
      <c r="AP26" s="27">
        <f>SUM('Net zero emission reductions'!V1425:V1428)</f>
        <v>2.0992656069838667</v>
      </c>
      <c r="AQ26" s="27">
        <f>SUM('Net zero emission reductions'!W1425:W1428)</f>
        <v>2.1514668457900461</v>
      </c>
      <c r="AR26" s="27">
        <f>SUM('Net zero emission reductions'!X1425:X1428)</f>
        <v>2.2140370260534805</v>
      </c>
      <c r="AS26" s="27">
        <f>SUM('Net zero emission reductions'!Y1425:Y1428)</f>
        <v>2.2848555561135013</v>
      </c>
      <c r="AT26" s="27">
        <f>SUM('Net zero emission reductions'!Z1425:Z1428)</f>
        <v>2.3637739025322317</v>
      </c>
      <c r="AU26" s="27">
        <f>SUM('Net zero emission reductions'!AA1425:AA1428)</f>
        <v>2.444380577634826</v>
      </c>
      <c r="AV26" s="27">
        <f>SUM('Net zero emission reductions'!AB1425:AB1428)</f>
        <v>2.532487027535582</v>
      </c>
      <c r="AW26" s="27">
        <f>SUM('Net zero emission reductions'!AC1425:AC1428)</f>
        <v>2.6217772960887538</v>
      </c>
      <c r="AX26" s="27">
        <f>SUM('Net zero emission reductions'!AD1425:AD1428)</f>
        <v>2.725036188546849</v>
      </c>
      <c r="AY26" s="27">
        <f>SUM('Net zero emission reductions'!AE1425:AE1428)</f>
        <v>2.8254728753044538</v>
      </c>
      <c r="AZ26" s="27">
        <f>SUM('Net zero emission reductions'!AF1425:AF1428)</f>
        <v>2.9313155126837001</v>
      </c>
      <c r="BA26" s="27">
        <f>SUM('Net zero emission reductions'!AG1425:AG1428)</f>
        <v>3.0523336508248606</v>
      </c>
      <c r="BB26" s="27">
        <f>SUM('Net zero emission reductions'!AH1425:AH1428)</f>
        <v>3.1652873585426784</v>
      </c>
      <c r="BC26" s="27">
        <f>SUM('Net zero emission reductions'!AI1425:AI1428)</f>
        <v>3.2863934142449875</v>
      </c>
      <c r="BD26" s="27">
        <f>SUM('Net zero emission reductions'!AJ1425:AJ1428)</f>
        <v>3.4159131571794497</v>
      </c>
      <c r="BE26" s="27">
        <f>SUM('Net zero emission reductions'!AK1425:AK1428)</f>
        <v>3.5352068468384301</v>
      </c>
      <c r="BF26" s="27">
        <f>SUM('Net zero emission reductions'!AL1425:AL1428)</f>
        <v>3.6527846973700986</v>
      </c>
      <c r="BG26" s="27">
        <f>SUM('Net zero emission reductions'!AM1425:AM1428)</f>
        <v>3.7690575186439688</v>
      </c>
      <c r="BH26" s="27">
        <f>SUM('Net zero emission reductions'!AN1425:AN1428)</f>
        <v>3.8975853215319325</v>
      </c>
      <c r="BI26" s="27">
        <f>SUM('Net zero emission reductions'!AO1425:AO1428)</f>
        <v>4.0195036782387836</v>
      </c>
      <c r="BJ26" s="27">
        <f>SUM('Net zero emission reductions'!AP1425:AP1428)</f>
        <v>4.1458392779973261</v>
      </c>
      <c r="BK26" s="27">
        <f>SUM('Net zero emission reductions'!AQ1425:AQ1428)</f>
        <v>4.2772295467203625</v>
      </c>
      <c r="BL26" s="27">
        <f>SUM('Net zero emission reductions'!AR1425:AR1428)</f>
        <v>4.4146962666148752</v>
      </c>
      <c r="BM26" s="27">
        <f>SUM('Net zero emission reductions'!AS1425:AS1428)</f>
        <v>4.5594002542933261</v>
      </c>
      <c r="BN26" s="27">
        <f>SUM('Net zero emission reductions'!AT1425:AT1428)</f>
        <v>4.5846161172234856</v>
      </c>
      <c r="BO26" s="27">
        <f>SUM('Net zero emission reductions'!AU1425:AU1428)</f>
        <v>4.5988359481583148</v>
      </c>
      <c r="BP26" s="27">
        <f>SUM('Net zero emission reductions'!AV1425:AV1428)</f>
        <v>4.5972868462562344</v>
      </c>
      <c r="BQ26" s="27">
        <f>SUM('Net zero emission reductions'!AW1425:AW1428)</f>
        <v>4.5912326587421939</v>
      </c>
    </row>
    <row r="27" spans="1:72" s="19" customFormat="1" ht="15.6" x14ac:dyDescent="0.3">
      <c r="A27" s="97"/>
      <c r="B27" s="97"/>
      <c r="C27" s="97"/>
      <c r="D27" s="19" t="str">
        <f>'IPCC Categories'!A59</f>
        <v>3C Aggregated and non-CO2 emissions on land</v>
      </c>
      <c r="E27" s="19" t="str">
        <f>'IPCC Categories'!B59</f>
        <v>3C1 Biomass burning (CH4)</v>
      </c>
      <c r="F27" s="19" t="s">
        <v>148</v>
      </c>
      <c r="G27" s="19" t="s">
        <v>121</v>
      </c>
      <c r="H27" s="19" t="s">
        <v>286</v>
      </c>
      <c r="I27" s="41">
        <f>SUM(I28:I33)</f>
        <v>53.0453492171862</v>
      </c>
      <c r="J27" s="41">
        <f t="shared" ref="J27:AE27" si="18">SUM(J28:J33)</f>
        <v>53.0453492171862</v>
      </c>
      <c r="K27" s="41">
        <f t="shared" si="18"/>
        <v>53.0453492171862</v>
      </c>
      <c r="L27" s="41">
        <f t="shared" si="18"/>
        <v>53.0453492171862</v>
      </c>
      <c r="M27" s="41">
        <f t="shared" si="18"/>
        <v>53.0453492171862</v>
      </c>
      <c r="N27" s="41">
        <f t="shared" si="18"/>
        <v>53.0453492171862</v>
      </c>
      <c r="O27" s="41">
        <f t="shared" si="18"/>
        <v>53.0453492171862</v>
      </c>
      <c r="P27" s="41">
        <f t="shared" si="18"/>
        <v>53.0453492171862</v>
      </c>
      <c r="Q27" s="41">
        <f t="shared" si="18"/>
        <v>53.0453492171862</v>
      </c>
      <c r="R27" s="41">
        <f t="shared" si="18"/>
        <v>53.0453492171862</v>
      </c>
      <c r="S27" s="41">
        <f t="shared" si="18"/>
        <v>52.546557109309774</v>
      </c>
      <c r="T27" s="41">
        <f t="shared" si="18"/>
        <v>61.073892579993647</v>
      </c>
      <c r="U27" s="41">
        <f t="shared" si="18"/>
        <v>61.377028794942774</v>
      </c>
      <c r="V27" s="41">
        <f t="shared" si="18"/>
        <v>48.163551471837515</v>
      </c>
      <c r="W27" s="41">
        <f t="shared" si="18"/>
        <v>42.065716129847253</v>
      </c>
      <c r="X27" s="41">
        <f t="shared" si="18"/>
        <v>67.254014225099425</v>
      </c>
      <c r="Y27" s="41">
        <f t="shared" si="18"/>
        <v>58.899233231775128</v>
      </c>
      <c r="Z27" s="41">
        <f t="shared" si="18"/>
        <v>58.027482006018275</v>
      </c>
      <c r="AA27" s="41">
        <f t="shared" si="18"/>
        <v>54.279261632604765</v>
      </c>
      <c r="AB27" s="41">
        <f t="shared" si="18"/>
        <v>51.374827411779322</v>
      </c>
      <c r="AC27" s="41">
        <f t="shared" si="18"/>
        <v>52.716909833999999</v>
      </c>
      <c r="AD27" s="41">
        <f t="shared" si="18"/>
        <v>52.066398634182001</v>
      </c>
      <c r="AE27" s="41">
        <f t="shared" si="18"/>
        <v>43.638049727653843</v>
      </c>
      <c r="AF27" s="41">
        <f t="shared" ref="AF27:BQ27" si="19">SUM(AF28:AF33)</f>
        <v>45.605203762152264</v>
      </c>
      <c r="AG27" s="41">
        <f t="shared" si="19"/>
        <v>44.965256516650697</v>
      </c>
      <c r="AH27" s="41">
        <f t="shared" si="19"/>
        <v>44.370632311149102</v>
      </c>
      <c r="AI27" s="41">
        <f t="shared" si="19"/>
        <v>44.847337385647528</v>
      </c>
      <c r="AJ27" s="41">
        <f t="shared" si="19"/>
        <v>45.270823420145945</v>
      </c>
      <c r="AK27" s="41">
        <f t="shared" si="19"/>
        <v>45.390629294644363</v>
      </c>
      <c r="AL27" s="41">
        <f t="shared" si="19"/>
        <v>45.56015529937843</v>
      </c>
      <c r="AM27" s="41">
        <f t="shared" si="19"/>
        <v>45.729681304112475</v>
      </c>
      <c r="AN27" s="41">
        <f t="shared" si="19"/>
        <v>45.899207308846528</v>
      </c>
      <c r="AO27" s="41">
        <f t="shared" si="19"/>
        <v>46.068733313580573</v>
      </c>
      <c r="AP27" s="41">
        <f t="shared" si="19"/>
        <v>46.238259318314633</v>
      </c>
      <c r="AQ27" s="41">
        <f t="shared" si="19"/>
        <v>46.407785323048678</v>
      </c>
      <c r="AR27" s="41">
        <f t="shared" si="19"/>
        <v>46.577311327782738</v>
      </c>
      <c r="AS27" s="41">
        <f t="shared" si="19"/>
        <v>46.74683733251679</v>
      </c>
      <c r="AT27" s="41">
        <f t="shared" si="19"/>
        <v>46.916363337250836</v>
      </c>
      <c r="AU27" s="41">
        <f t="shared" si="19"/>
        <v>47.085889341984888</v>
      </c>
      <c r="AV27" s="41">
        <f t="shared" si="19"/>
        <v>47.255415346718941</v>
      </c>
      <c r="AW27" s="41">
        <f t="shared" si="19"/>
        <v>47.424941351453</v>
      </c>
      <c r="AX27" s="41">
        <f t="shared" si="19"/>
        <v>47.584388215769366</v>
      </c>
      <c r="AY27" s="41">
        <f t="shared" si="19"/>
        <v>47.743835080085738</v>
      </c>
      <c r="AZ27" s="41">
        <f t="shared" si="19"/>
        <v>47.90328194440211</v>
      </c>
      <c r="BA27" s="41">
        <f t="shared" si="19"/>
        <v>48.062728808718475</v>
      </c>
      <c r="BB27" s="41">
        <f t="shared" si="19"/>
        <v>48.222175673034847</v>
      </c>
      <c r="BC27" s="41">
        <f t="shared" si="19"/>
        <v>48.38162253735122</v>
      </c>
      <c r="BD27" s="41">
        <f t="shared" si="19"/>
        <v>48.541069401667592</v>
      </c>
      <c r="BE27" s="41">
        <f t="shared" si="19"/>
        <v>48.700516265983957</v>
      </c>
      <c r="BF27" s="41">
        <f t="shared" si="19"/>
        <v>48.846366490942629</v>
      </c>
      <c r="BG27" s="41">
        <f t="shared" si="19"/>
        <v>48.992216715901286</v>
      </c>
      <c r="BH27" s="41">
        <f t="shared" si="19"/>
        <v>49.138066940859957</v>
      </c>
      <c r="BI27" s="41">
        <f t="shared" si="19"/>
        <v>49.283917165818607</v>
      </c>
      <c r="BJ27" s="41">
        <f t="shared" si="19"/>
        <v>49.429767390777279</v>
      </c>
      <c r="BK27" s="41">
        <f t="shared" si="19"/>
        <v>49.575617615735943</v>
      </c>
      <c r="BL27" s="41">
        <f t="shared" si="19"/>
        <v>49.721467840694608</v>
      </c>
      <c r="BM27" s="41">
        <f t="shared" si="19"/>
        <v>49.867318065653272</v>
      </c>
      <c r="BN27" s="41">
        <f t="shared" si="19"/>
        <v>50.013168290611944</v>
      </c>
      <c r="BO27" s="41">
        <f t="shared" si="19"/>
        <v>50.159018515570601</v>
      </c>
      <c r="BP27" s="41">
        <f t="shared" si="19"/>
        <v>50.304868740529272</v>
      </c>
      <c r="BQ27" s="41">
        <f t="shared" si="19"/>
        <v>50.45071896548793</v>
      </c>
      <c r="BT27"/>
    </row>
    <row r="28" spans="1:72" x14ac:dyDescent="0.3">
      <c r="D28" t="str">
        <f>'IPCC Categories'!A59</f>
        <v>3C Aggregated and non-CO2 emissions on land</v>
      </c>
      <c r="E28" t="str">
        <f>'IPCC Categories'!B59</f>
        <v>3C1 Biomass burning (CH4)</v>
      </c>
      <c r="F28" t="str">
        <f>'IPCC Categories'!C59</f>
        <v>3C1a Biomass burning in forest land</v>
      </c>
      <c r="G28" t="s">
        <v>121</v>
      </c>
      <c r="H28" t="s">
        <v>286</v>
      </c>
      <c r="I28" s="27">
        <f>'Emissions summary'!F28</f>
        <v>17.00038365344173</v>
      </c>
      <c r="J28" s="27">
        <f>'Emissions summary'!G28</f>
        <v>17.00038365344173</v>
      </c>
      <c r="K28" s="27">
        <f>'Emissions summary'!H28</f>
        <v>17.00038365344173</v>
      </c>
      <c r="L28" s="27">
        <f>'Emissions summary'!I28</f>
        <v>17.00038365344173</v>
      </c>
      <c r="M28" s="27">
        <f>'Emissions summary'!J28</f>
        <v>17.00038365344173</v>
      </c>
      <c r="N28" s="27">
        <f>'Emissions summary'!K28</f>
        <v>17.00038365344173</v>
      </c>
      <c r="O28" s="27">
        <f>'Emissions summary'!L28</f>
        <v>17.00038365344173</v>
      </c>
      <c r="P28" s="27">
        <f>'Emissions summary'!M28</f>
        <v>17.00038365344173</v>
      </c>
      <c r="Q28" s="27">
        <f>'Emissions summary'!N28</f>
        <v>17.00038365344173</v>
      </c>
      <c r="R28" s="27">
        <f>'Emissions summary'!O28</f>
        <v>17.00038365344173</v>
      </c>
      <c r="S28" s="27">
        <f>'Emissions summary'!P28</f>
        <v>16.569822193461611</v>
      </c>
      <c r="T28" s="27">
        <f>'Emissions summary'!Q28</f>
        <v>21.58066748690964</v>
      </c>
      <c r="U28" s="27">
        <f>'Emissions summary'!R28</f>
        <v>18.378408970459198</v>
      </c>
      <c r="V28" s="27">
        <f>'Emissions summary'!S28</f>
        <v>14.650554917049229</v>
      </c>
      <c r="W28" s="27">
        <f>'Emissions summary'!T28</f>
        <v>13.82246469932897</v>
      </c>
      <c r="X28" s="27">
        <f>'Emissions summary'!U28</f>
        <v>21.599133953641967</v>
      </c>
      <c r="Y28" s="27">
        <f>'Emissions summary'!V28</f>
        <v>17.797777704403263</v>
      </c>
      <c r="Z28" s="27">
        <f>'Emissions summary'!W28</f>
        <v>21.680359355173707</v>
      </c>
      <c r="AA28" s="27">
        <f>'Emissions summary'!X28</f>
        <v>20.332068235899591</v>
      </c>
      <c r="AB28" s="27">
        <f>'Emissions summary'!Y28</f>
        <v>15.730541423024663</v>
      </c>
      <c r="AC28" s="27">
        <f>'Emissions summary'!Z28</f>
        <v>16.81926023646</v>
      </c>
      <c r="AD28" s="27">
        <f>'Emissions summary'!AA28</f>
        <v>16.168604044590001</v>
      </c>
      <c r="AE28" s="27">
        <f>SUM('Net zero emission reductions'!K1429:K1432)</f>
        <v>11.204575160010251</v>
      </c>
      <c r="AF28" s="27">
        <f>SUM('Net zero emission reductions'!L1429:L1432)</f>
        <v>13.05690518017699</v>
      </c>
      <c r="AG28" s="27">
        <f>SUM('Net zero emission reductions'!M1429:M1432)</f>
        <v>12.302133920343731</v>
      </c>
      <c r="AH28" s="27">
        <f>SUM('Net zero emission reductions'!N1429:N1432)</f>
        <v>11.592685700510469</v>
      </c>
      <c r="AI28" s="27">
        <f>SUM('Net zero emission reductions'!O1429:O1432)</f>
        <v>11.954566760677208</v>
      </c>
      <c r="AJ28" s="27">
        <f>SUM('Net zero emission reductions'!P1429:P1432)</f>
        <v>12.263228780843946</v>
      </c>
      <c r="AK28" s="27">
        <f>SUM('Net zero emission reductions'!Q1429:Q1432)</f>
        <v>12.268210641010684</v>
      </c>
      <c r="AL28" s="27">
        <f>SUM('Net zero emission reductions'!R1429:R1432)</f>
        <v>12.23948849988569</v>
      </c>
      <c r="AM28" s="27">
        <f>SUM('Net zero emission reductions'!S1429:S1432)</f>
        <v>12.210766358760694</v>
      </c>
      <c r="AN28" s="27">
        <f>SUM('Net zero emission reductions'!T1429:T1432)</f>
        <v>12.182044217635699</v>
      </c>
      <c r="AO28" s="27">
        <f>SUM('Net zero emission reductions'!U1429:U1432)</f>
        <v>12.153322076510703</v>
      </c>
      <c r="AP28" s="27">
        <f>SUM('Net zero emission reductions'!V1429:V1432)</f>
        <v>12.124599935385708</v>
      </c>
      <c r="AQ28" s="27">
        <f>SUM('Net zero emission reductions'!W1429:W1432)</f>
        <v>12.095877794260716</v>
      </c>
      <c r="AR28" s="27">
        <f>SUM('Net zero emission reductions'!X1429:X1432)</f>
        <v>12.067155653135719</v>
      </c>
      <c r="AS28" s="27">
        <f>SUM('Net zero emission reductions'!Y1429:Y1432)</f>
        <v>12.038433512010723</v>
      </c>
      <c r="AT28" s="27">
        <f>SUM('Net zero emission reductions'!Z1429:Z1432)</f>
        <v>12.009711370885729</v>
      </c>
      <c r="AU28" s="27">
        <f>SUM('Net zero emission reductions'!AA1429:AA1432)</f>
        <v>11.980989229760732</v>
      </c>
      <c r="AV28" s="27">
        <f>SUM('Net zero emission reductions'!AB1429:AB1432)</f>
        <v>11.952267088635738</v>
      </c>
      <c r="AW28" s="27">
        <f>SUM('Net zero emission reductions'!AC1429:AC1432)</f>
        <v>11.923544947510743</v>
      </c>
      <c r="AX28" s="27">
        <f>SUM('Net zero emission reductions'!AD1429:AD1432)</f>
        <v>11.881226167028043</v>
      </c>
      <c r="AY28" s="27">
        <f>SUM('Net zero emission reductions'!AE1429:AE1432)</f>
        <v>11.838907386545339</v>
      </c>
      <c r="AZ28" s="27">
        <f>SUM('Net zero emission reductions'!AF1429:AF1432)</f>
        <v>11.796588606062636</v>
      </c>
      <c r="BA28" s="27">
        <f>SUM('Net zero emission reductions'!AG1429:AG1432)</f>
        <v>11.754269825579936</v>
      </c>
      <c r="BB28" s="27">
        <f>SUM('Net zero emission reductions'!AH1429:AH1432)</f>
        <v>11.711951045097234</v>
      </c>
      <c r="BC28" s="27">
        <f>SUM('Net zero emission reductions'!AI1429:AI1432)</f>
        <v>11.669632264614533</v>
      </c>
      <c r="BD28" s="27">
        <f>SUM('Net zero emission reductions'!AJ1429:AJ1432)</f>
        <v>11.627313484131829</v>
      </c>
      <c r="BE28" s="27">
        <f>SUM('Net zero emission reductions'!AK1429:AK1432)</f>
        <v>11.584994703649127</v>
      </c>
      <c r="BF28" s="27">
        <f>SUM('Net zero emission reductions'!AL1429:AL1432)</f>
        <v>11.52907928380872</v>
      </c>
      <c r="BG28" s="27">
        <f>SUM('Net zero emission reductions'!AM1429:AM1432)</f>
        <v>11.473163863968312</v>
      </c>
      <c r="BH28" s="27">
        <f>SUM('Net zero emission reductions'!AN1429:AN1432)</f>
        <v>11.4172484441279</v>
      </c>
      <c r="BI28" s="27">
        <f>SUM('Net zero emission reductions'!AO1429:AO1432)</f>
        <v>11.361333024287493</v>
      </c>
      <c r="BJ28" s="27">
        <f>SUM('Net zero emission reductions'!AP1429:AP1432)</f>
        <v>11.305417604447085</v>
      </c>
      <c r="BK28" s="27">
        <f>SUM('Net zero emission reductions'!AQ1429:AQ1432)</f>
        <v>11.249502184606676</v>
      </c>
      <c r="BL28" s="27">
        <f>SUM('Net zero emission reductions'!AR1429:AR1432)</f>
        <v>11.193586764766268</v>
      </c>
      <c r="BM28" s="27">
        <f>SUM('Net zero emission reductions'!AS1429:AS1432)</f>
        <v>11.13767134492586</v>
      </c>
      <c r="BN28" s="27">
        <f>SUM('Net zero emission reductions'!AT1429:AT1432)</f>
        <v>11.081755925085453</v>
      </c>
      <c r="BO28" s="27">
        <f>SUM('Net zero emission reductions'!AU1429:AU1432)</f>
        <v>11.025840505245043</v>
      </c>
      <c r="BP28" s="27">
        <f>SUM('Net zero emission reductions'!AV1429:AV1432)</f>
        <v>10.969925085404636</v>
      </c>
      <c r="BQ28" s="27">
        <f>SUM('Net zero emission reductions'!AW1429:AW1432)</f>
        <v>10.914009665564226</v>
      </c>
    </row>
    <row r="29" spans="1:72" x14ac:dyDescent="0.3">
      <c r="D29" t="str">
        <f>D28</f>
        <v>3C Aggregated and non-CO2 emissions on land</v>
      </c>
      <c r="E29" t="str">
        <f>E28</f>
        <v>3C1 Biomass burning (CH4)</v>
      </c>
      <c r="F29" t="str">
        <f>'IPCC Categories'!C60</f>
        <v>3C1b Biomass burning in Croplands</v>
      </c>
      <c r="G29" t="str">
        <f>G28</f>
        <v>CH4</v>
      </c>
      <c r="H29" t="str">
        <f>H28</f>
        <v>Gg CH4</v>
      </c>
      <c r="I29" s="27">
        <f>'Emissions summary'!F29</f>
        <v>10.116490581610325</v>
      </c>
      <c r="J29" s="27">
        <f>'Emissions summary'!G29</f>
        <v>10.116490581610325</v>
      </c>
      <c r="K29" s="27">
        <f>'Emissions summary'!H29</f>
        <v>10.116490581610325</v>
      </c>
      <c r="L29" s="27">
        <f>'Emissions summary'!I29</f>
        <v>10.116490581610325</v>
      </c>
      <c r="M29" s="27">
        <f>'Emissions summary'!J29</f>
        <v>10.116490581610325</v>
      </c>
      <c r="N29" s="27">
        <f>'Emissions summary'!K29</f>
        <v>10.116490581610325</v>
      </c>
      <c r="O29" s="27">
        <f>'Emissions summary'!L29</f>
        <v>10.116490581610325</v>
      </c>
      <c r="P29" s="27">
        <f>'Emissions summary'!M29</f>
        <v>10.116490581610325</v>
      </c>
      <c r="Q29" s="27">
        <f>'Emissions summary'!N29</f>
        <v>10.116490581610325</v>
      </c>
      <c r="R29" s="27">
        <f>'Emissions summary'!O29</f>
        <v>10.116490581610325</v>
      </c>
      <c r="S29" s="27">
        <f>'Emissions summary'!P29</f>
        <v>10.51046399228327</v>
      </c>
      <c r="T29" s="27">
        <f>'Emissions summary'!Q29</f>
        <v>10.882894026282271</v>
      </c>
      <c r="U29" s="27">
        <f>'Emissions summary'!R29</f>
        <v>11.945235434738436</v>
      </c>
      <c r="V29" s="27">
        <f>'Emissions summary'!S29</f>
        <v>9.2981039284457765</v>
      </c>
      <c r="W29" s="27">
        <f>'Emissions summary'!T29</f>
        <v>7.9457555263018627</v>
      </c>
      <c r="X29" s="27">
        <f>'Emissions summary'!U29</f>
        <v>13.860153794562336</v>
      </c>
      <c r="Y29" s="27">
        <f>'Emissions summary'!V29</f>
        <v>13.058600630053951</v>
      </c>
      <c r="Z29" s="27">
        <f>'Emissions summary'!W29</f>
        <v>10.476884235119428</v>
      </c>
      <c r="AA29" s="27">
        <f>'Emissions summary'!X29</f>
        <v>9.4298063526468283</v>
      </c>
      <c r="AB29" s="27">
        <f>'Emissions summary'!Y29</f>
        <v>9.8044168903577642</v>
      </c>
      <c r="AC29" s="27">
        <f>'Emissions summary'!Z29</f>
        <v>9.7783617960000022</v>
      </c>
      <c r="AD29" s="27">
        <f>'Emissions summary'!AA29</f>
        <v>9.4288811400000014</v>
      </c>
      <c r="AE29" s="27">
        <f>SUM('Net zero emission reductions'!K1433:K1437)</f>
        <v>8.929388994926228</v>
      </c>
      <c r="AF29" s="27">
        <f>SUM('Net zero emission reductions'!L1433:L1437)</f>
        <v>8.9289309923184508</v>
      </c>
      <c r="AG29" s="27">
        <f>SUM('Net zero emission reductions'!M1433:M1437)</f>
        <v>8.9284729897106754</v>
      </c>
      <c r="AH29" s="27">
        <f>SUM('Net zero emission reductions'!N1433:N1437)</f>
        <v>8.9280149871028947</v>
      </c>
      <c r="AI29" s="27">
        <f>SUM('Net zero emission reductions'!O1433:O1437)</f>
        <v>8.9275569844951157</v>
      </c>
      <c r="AJ29" s="27">
        <f>SUM('Net zero emission reductions'!P1433:P1437)</f>
        <v>8.9270989818873403</v>
      </c>
      <c r="AK29" s="27">
        <f>SUM('Net zero emission reductions'!Q1433:Q1437)</f>
        <v>8.9266409792795596</v>
      </c>
      <c r="AL29" s="27">
        <f>SUM('Net zero emission reductions'!R1433:R1437)</f>
        <v>8.926182976671786</v>
      </c>
      <c r="AM29" s="27">
        <f>SUM('Net zero emission reductions'!S1433:S1437)</f>
        <v>8.925724974064007</v>
      </c>
      <c r="AN29" s="27">
        <f>SUM('Net zero emission reductions'!T1433:T1437)</f>
        <v>8.925266971456228</v>
      </c>
      <c r="AO29" s="27">
        <f>SUM('Net zero emission reductions'!U1433:U1437)</f>
        <v>8.9248089688484491</v>
      </c>
      <c r="AP29" s="27">
        <f>SUM('Net zero emission reductions'!V1433:V1437)</f>
        <v>8.9243509662406719</v>
      </c>
      <c r="AQ29" s="27">
        <f>SUM('Net zero emission reductions'!W1433:W1437)</f>
        <v>8.9238929636328947</v>
      </c>
      <c r="AR29" s="27">
        <f>SUM('Net zero emission reductions'!X1433:X1437)</f>
        <v>8.9234349610251176</v>
      </c>
      <c r="AS29" s="27">
        <f>SUM('Net zero emission reductions'!Y1433:Y1437)</f>
        <v>8.9229769584173386</v>
      </c>
      <c r="AT29" s="27">
        <f>SUM('Net zero emission reductions'!Z1433:Z1437)</f>
        <v>8.9225189558095614</v>
      </c>
      <c r="AU29" s="27">
        <f>SUM('Net zero emission reductions'!AA1433:AA1437)</f>
        <v>8.9220609532017825</v>
      </c>
      <c r="AV29" s="27">
        <f>SUM('Net zero emission reductions'!AB1433:AB1437)</f>
        <v>8.9216029505940071</v>
      </c>
      <c r="AW29" s="27">
        <f>SUM('Net zero emission reductions'!AC1433:AC1437)</f>
        <v>8.9211449479862281</v>
      </c>
      <c r="AX29" s="27">
        <f>SUM('Net zero emission reductions'!AD1433:AD1437)</f>
        <v>8.9206869453784492</v>
      </c>
      <c r="AY29" s="27">
        <f>SUM('Net zero emission reductions'!AE1433:AE1437)</f>
        <v>8.920228942770672</v>
      </c>
      <c r="AZ29" s="27">
        <f>SUM('Net zero emission reductions'!AF1433:AF1437)</f>
        <v>8.9197709401628948</v>
      </c>
      <c r="BA29" s="27">
        <f>SUM('Net zero emission reductions'!AG1433:AG1437)</f>
        <v>8.9193129375551177</v>
      </c>
      <c r="BB29" s="27">
        <f>SUM('Net zero emission reductions'!AH1433:AH1437)</f>
        <v>8.9188549349473387</v>
      </c>
      <c r="BC29" s="27">
        <f>SUM('Net zero emission reductions'!AI1433:AI1437)</f>
        <v>8.9183969323395598</v>
      </c>
      <c r="BD29" s="27">
        <f>SUM('Net zero emission reductions'!AJ1433:AJ1437)</f>
        <v>8.9179389297317826</v>
      </c>
      <c r="BE29" s="27">
        <f>SUM('Net zero emission reductions'!AK1433:AK1437)</f>
        <v>8.9174809271240072</v>
      </c>
      <c r="BF29" s="27">
        <f>SUM('Net zero emission reductions'!AL1433:AL1437)</f>
        <v>8.9170229245162282</v>
      </c>
      <c r="BG29" s="27">
        <f>SUM('Net zero emission reductions'!AM1433:AM1437)</f>
        <v>8.9165649219084475</v>
      </c>
      <c r="BH29" s="27">
        <f>SUM('Net zero emission reductions'!AN1433:AN1437)</f>
        <v>8.9161069193006721</v>
      </c>
      <c r="BI29" s="27">
        <f>SUM('Net zero emission reductions'!AO1433:AO1437)</f>
        <v>8.9156489166928932</v>
      </c>
      <c r="BJ29" s="27">
        <f>SUM('Net zero emission reductions'!AP1433:AP1437)</f>
        <v>8.915190914085116</v>
      </c>
      <c r="BK29" s="27">
        <f>SUM('Net zero emission reductions'!AQ1433:AQ1437)</f>
        <v>8.9147329114773388</v>
      </c>
      <c r="BL29" s="27">
        <f>SUM('Net zero emission reductions'!AR1433:AR1437)</f>
        <v>8.9142749088695599</v>
      </c>
      <c r="BM29" s="27">
        <f>SUM('Net zero emission reductions'!AS1433:AS1437)</f>
        <v>8.9138169062617827</v>
      </c>
      <c r="BN29" s="27">
        <f>SUM('Net zero emission reductions'!AT1433:AT1437)</f>
        <v>8.9133589036540037</v>
      </c>
      <c r="BO29" s="27">
        <f>SUM('Net zero emission reductions'!AU1433:AU1437)</f>
        <v>8.9129009010462266</v>
      </c>
      <c r="BP29" s="27">
        <f>SUM('Net zero emission reductions'!AV1433:AV1437)</f>
        <v>8.9124428984384494</v>
      </c>
      <c r="BQ29" s="27">
        <f>SUM('Net zero emission reductions'!AW1433:AW1437)</f>
        <v>8.9119848958306704</v>
      </c>
    </row>
    <row r="30" spans="1:72" x14ac:dyDescent="0.3">
      <c r="D30" t="str">
        <f t="shared" ref="D30:E45" si="20">D29</f>
        <v>3C Aggregated and non-CO2 emissions on land</v>
      </c>
      <c r="E30" t="str">
        <f t="shared" si="20"/>
        <v>3C1 Biomass burning (CH4)</v>
      </c>
      <c r="F30" t="str">
        <f>'IPCC Categories'!C61</f>
        <v>3C1c Biomass burning in Grasslands</v>
      </c>
      <c r="G30" t="str">
        <f t="shared" ref="G30:H33" si="21">G29</f>
        <v>CH4</v>
      </c>
      <c r="H30" t="str">
        <f t="shared" si="21"/>
        <v>Gg CH4</v>
      </c>
      <c r="I30" s="27">
        <f>'Emissions summary'!F30</f>
        <v>24.633908128575744</v>
      </c>
      <c r="J30" s="27">
        <f>'Emissions summary'!G30</f>
        <v>24.633908128575744</v>
      </c>
      <c r="K30" s="27">
        <f>'Emissions summary'!H30</f>
        <v>24.633908128575744</v>
      </c>
      <c r="L30" s="27">
        <f>'Emissions summary'!I30</f>
        <v>24.633908128575744</v>
      </c>
      <c r="M30" s="27">
        <f>'Emissions summary'!J30</f>
        <v>24.633908128575744</v>
      </c>
      <c r="N30" s="27">
        <f>'Emissions summary'!K30</f>
        <v>24.633908128575744</v>
      </c>
      <c r="O30" s="27">
        <f>'Emissions summary'!L30</f>
        <v>24.633908128575744</v>
      </c>
      <c r="P30" s="27">
        <f>'Emissions summary'!M30</f>
        <v>24.633908128575744</v>
      </c>
      <c r="Q30" s="27">
        <f>'Emissions summary'!N30</f>
        <v>24.633908128575744</v>
      </c>
      <c r="R30" s="27">
        <f>'Emissions summary'!O30</f>
        <v>24.633908128575744</v>
      </c>
      <c r="S30" s="27">
        <f>'Emissions summary'!P30</f>
        <v>24.22100971223729</v>
      </c>
      <c r="T30" s="27">
        <f>'Emissions summary'!Q30</f>
        <v>27.159665944327305</v>
      </c>
      <c r="U30" s="27">
        <f>'Emissions summary'!R30</f>
        <v>29.557460778373962</v>
      </c>
      <c r="V30" s="27">
        <f>'Emissions summary'!S30</f>
        <v>22.967890703903489</v>
      </c>
      <c r="W30" s="27">
        <f>'Emissions summary'!T30</f>
        <v>19.263513504036663</v>
      </c>
      <c r="X30" s="27">
        <f>'Emissions summary'!U30</f>
        <v>29.989609054359072</v>
      </c>
      <c r="Y30" s="27">
        <f>'Emissions summary'!V30</f>
        <v>26.44988664148541</v>
      </c>
      <c r="Z30" s="27">
        <f>'Emissions summary'!W30</f>
        <v>24.310343671009509</v>
      </c>
      <c r="AA30" s="27">
        <f>'Emissions summary'!X30</f>
        <v>23.321518510517112</v>
      </c>
      <c r="AB30" s="27">
        <f>'Emissions summary'!Y30</f>
        <v>24.458614831490095</v>
      </c>
      <c r="AC30" s="27">
        <f>'Emissions summary'!Z30</f>
        <v>24.608200366439995</v>
      </c>
      <c r="AD30" s="27">
        <f>'Emissions summary'!AA30</f>
        <v>25.000606435391994</v>
      </c>
      <c r="AE30" s="27">
        <f>SUM('Net zero emission reductions'!K1438:K1440)</f>
        <v>22.211168240472922</v>
      </c>
      <c r="AF30" s="27">
        <f>SUM('Net zero emission reductions'!L1438:L1440)</f>
        <v>22.3255420719256</v>
      </c>
      <c r="AG30" s="27">
        <f>SUM('Net zero emission reductions'!M1438:M1440)</f>
        <v>22.439915903378274</v>
      </c>
      <c r="AH30" s="27">
        <f>SUM('Net zero emission reductions'!N1438:N1440)</f>
        <v>22.554289734830945</v>
      </c>
      <c r="AI30" s="27">
        <f>SUM('Net zero emission reductions'!O1438:O1440)</f>
        <v>22.668663566283627</v>
      </c>
      <c r="AJ30" s="27">
        <f>SUM('Net zero emission reductions'!P1438:P1440)</f>
        <v>22.783037397736297</v>
      </c>
      <c r="AK30" s="27">
        <f>SUM('Net zero emission reductions'!Q1438:Q1440)</f>
        <v>22.897411229188972</v>
      </c>
      <c r="AL30" s="27">
        <f>SUM('Net zero emission reductions'!R1438:R1440)</f>
        <v>23.095209192169019</v>
      </c>
      <c r="AM30" s="27">
        <f>SUM('Net zero emission reductions'!S1438:S1440)</f>
        <v>23.293007155149056</v>
      </c>
      <c r="AN30" s="27">
        <f>SUM('Net zero emission reductions'!T1438:T1440)</f>
        <v>23.490805118129099</v>
      </c>
      <c r="AO30" s="27">
        <f>SUM('Net zero emission reductions'!U1438:U1440)</f>
        <v>23.688603081109136</v>
      </c>
      <c r="AP30" s="27">
        <f>SUM('Net zero emission reductions'!V1438:V1440)</f>
        <v>23.886401044089183</v>
      </c>
      <c r="AQ30" s="27">
        <f>SUM('Net zero emission reductions'!W1438:W1440)</f>
        <v>24.08419900706922</v>
      </c>
      <c r="AR30" s="27">
        <f>SUM('Net zero emission reductions'!X1438:X1440)</f>
        <v>24.281996970049263</v>
      </c>
      <c r="AS30" s="27">
        <f>SUM('Net zero emission reductions'!Y1438:Y1440)</f>
        <v>24.479794933029304</v>
      </c>
      <c r="AT30" s="27">
        <f>SUM('Net zero emission reductions'!Z1438:Z1440)</f>
        <v>24.677592896009344</v>
      </c>
      <c r="AU30" s="27">
        <f>SUM('Net zero emission reductions'!AA1438:AA1440)</f>
        <v>24.875390858989384</v>
      </c>
      <c r="AV30" s="27">
        <f>SUM('Net zero emission reductions'!AB1438:AB1440)</f>
        <v>25.073188821969428</v>
      </c>
      <c r="AW30" s="27">
        <f>SUM('Net zero emission reductions'!AC1438:AC1440)</f>
        <v>25.270986784949468</v>
      </c>
      <c r="AX30" s="27">
        <f>SUM('Net zero emission reductions'!AD1438:AD1440)</f>
        <v>25.472302246869535</v>
      </c>
      <c r="AY30" s="27">
        <f>SUM('Net zero emission reductions'!AE1438:AE1440)</f>
        <v>25.6736177087896</v>
      </c>
      <c r="AZ30" s="27">
        <f>SUM('Net zero emission reductions'!AF1438:AF1440)</f>
        <v>25.874933170709671</v>
      </c>
      <c r="BA30" s="27">
        <f>SUM('Net zero emission reductions'!AG1438:AG1440)</f>
        <v>26.076248632629738</v>
      </c>
      <c r="BB30" s="27">
        <f>SUM('Net zero emission reductions'!AH1438:AH1440)</f>
        <v>26.277564094549799</v>
      </c>
      <c r="BC30" s="27">
        <f>SUM('Net zero emission reductions'!AI1438:AI1440)</f>
        <v>26.47887955646987</v>
      </c>
      <c r="BD30" s="27">
        <f>SUM('Net zero emission reductions'!AJ1438:AJ1440)</f>
        <v>26.680195018389934</v>
      </c>
      <c r="BE30" s="27">
        <f>SUM('Net zero emission reductions'!AK1438:AK1440)</f>
        <v>26.881510480309998</v>
      </c>
      <c r="BF30" s="27">
        <f>SUM('Net zero emission reductions'!AL1438:AL1440)</f>
        <v>27.082825942230066</v>
      </c>
      <c r="BG30" s="27">
        <f>SUM('Net zero emission reductions'!AM1438:AM1440)</f>
        <v>27.28414140415013</v>
      </c>
      <c r="BH30" s="27">
        <f>SUM('Net zero emission reductions'!AN1438:AN1440)</f>
        <v>27.485456866070198</v>
      </c>
      <c r="BI30" s="27">
        <f>SUM('Net zero emission reductions'!AO1438:AO1440)</f>
        <v>27.686772327990262</v>
      </c>
      <c r="BJ30" s="27">
        <f>SUM('Net zero emission reductions'!AP1438:AP1440)</f>
        <v>27.88808778991033</v>
      </c>
      <c r="BK30" s="27">
        <f>SUM('Net zero emission reductions'!AQ1438:AQ1440)</f>
        <v>28.089403251830397</v>
      </c>
      <c r="BL30" s="27">
        <f>SUM('Net zero emission reductions'!AR1438:AR1440)</f>
        <v>28.290718713750465</v>
      </c>
      <c r="BM30" s="27">
        <f>SUM('Net zero emission reductions'!AS1438:AS1440)</f>
        <v>28.492034175670533</v>
      </c>
      <c r="BN30" s="27">
        <f>SUM('Net zero emission reductions'!AT1438:AT1440)</f>
        <v>28.6933496375906</v>
      </c>
      <c r="BO30" s="27">
        <f>SUM('Net zero emission reductions'!AU1438:AU1440)</f>
        <v>28.894665099510664</v>
      </c>
      <c r="BP30" s="27">
        <f>SUM('Net zero emission reductions'!AV1438:AV1440)</f>
        <v>29.095980561430732</v>
      </c>
      <c r="BQ30" s="27">
        <f>SUM('Net zero emission reductions'!AW1438:AW1440)</f>
        <v>29.2972960233508</v>
      </c>
    </row>
    <row r="31" spans="1:72" x14ac:dyDescent="0.3">
      <c r="D31" t="str">
        <f t="shared" si="20"/>
        <v>3C Aggregated and non-CO2 emissions on land</v>
      </c>
      <c r="E31" t="str">
        <f t="shared" si="20"/>
        <v>3C1 Biomass burning (CH4)</v>
      </c>
      <c r="F31" t="str">
        <f>'IPCC Categories'!C62</f>
        <v>3C1d Biomass burning in Wetlands</v>
      </c>
      <c r="G31" t="str">
        <f t="shared" si="21"/>
        <v>CH4</v>
      </c>
      <c r="H31" t="str">
        <f t="shared" si="21"/>
        <v>Gg CH4</v>
      </c>
      <c r="I31" s="27">
        <f>'Emissions summary'!F31</f>
        <v>0.80577517347341965</v>
      </c>
      <c r="J31" s="27">
        <f>'Emissions summary'!G31</f>
        <v>0.80577517347341965</v>
      </c>
      <c r="K31" s="27">
        <f>'Emissions summary'!H31</f>
        <v>0.80577517347341965</v>
      </c>
      <c r="L31" s="27">
        <f>'Emissions summary'!I31</f>
        <v>0.80577517347341965</v>
      </c>
      <c r="M31" s="27">
        <f>'Emissions summary'!J31</f>
        <v>0.80577517347341965</v>
      </c>
      <c r="N31" s="27">
        <f>'Emissions summary'!K31</f>
        <v>0.80577517347341965</v>
      </c>
      <c r="O31" s="27">
        <f>'Emissions summary'!L31</f>
        <v>0.80577517347341965</v>
      </c>
      <c r="P31" s="27">
        <f>'Emissions summary'!M31</f>
        <v>0.80577517347341965</v>
      </c>
      <c r="Q31" s="27">
        <f>'Emissions summary'!N31</f>
        <v>0.80577517347341965</v>
      </c>
      <c r="R31" s="27">
        <f>'Emissions summary'!O31</f>
        <v>0.80577517347341965</v>
      </c>
      <c r="S31" s="27">
        <f>'Emissions summary'!P31</f>
        <v>0.71282120012392636</v>
      </c>
      <c r="T31" s="27">
        <f>'Emissions summary'!Q31</f>
        <v>0.86099923348302065</v>
      </c>
      <c r="U31" s="27">
        <f>'Emissions summary'!R31</f>
        <v>0.97458063350276725</v>
      </c>
      <c r="V31" s="27">
        <f>'Emissions summary'!S31</f>
        <v>0.79724568902749249</v>
      </c>
      <c r="W31" s="27">
        <f>'Emissions summary'!T31</f>
        <v>0.68322911122989261</v>
      </c>
      <c r="X31" s="27">
        <f>'Emissions summary'!U31</f>
        <v>1.0109179779535291</v>
      </c>
      <c r="Y31" s="27">
        <f>'Emissions summary'!V31</f>
        <v>0.89733657793378252</v>
      </c>
      <c r="Z31" s="27">
        <f>'Emissions summary'!W31</f>
        <v>0.79050043347076437</v>
      </c>
      <c r="AA31" s="27">
        <f>'Emissions summary'!X31</f>
        <v>0.72087198901421468</v>
      </c>
      <c r="AB31" s="27">
        <f>'Emissions summary'!Y31</f>
        <v>0.80964825569631549</v>
      </c>
      <c r="AC31" s="27">
        <f>'Emissions summary'!Z31</f>
        <v>1.0836294956999997</v>
      </c>
      <c r="AD31" s="27">
        <f>'Emissions summary'!AA31</f>
        <v>1.1703623921999995</v>
      </c>
      <c r="AE31" s="27">
        <f>SUM('Net zero emission reductions'!K1441)</f>
        <v>0.86319492850198365</v>
      </c>
      <c r="AF31" s="27">
        <f>SUM('Net zero emission reductions'!L1441)</f>
        <v>0.86319492850198365</v>
      </c>
      <c r="AG31" s="27">
        <f>SUM('Net zero emission reductions'!M1441)</f>
        <v>0.86319492850198365</v>
      </c>
      <c r="AH31" s="27">
        <f>SUM('Net zero emission reductions'!N1441)</f>
        <v>0.86319492850198365</v>
      </c>
      <c r="AI31" s="27">
        <f>SUM('Net zero emission reductions'!O1441)</f>
        <v>0.86319492850198365</v>
      </c>
      <c r="AJ31" s="27">
        <f>SUM('Net zero emission reductions'!P1441)</f>
        <v>0.86319492850198365</v>
      </c>
      <c r="AK31" s="27">
        <f>SUM('Net zero emission reductions'!Q1441)</f>
        <v>0.86319492850198365</v>
      </c>
      <c r="AL31" s="27">
        <f>SUM('Net zero emission reductions'!R1441)</f>
        <v>0.86319492850198365</v>
      </c>
      <c r="AM31" s="27">
        <f>SUM('Net zero emission reductions'!S1441)</f>
        <v>0.86319492850198365</v>
      </c>
      <c r="AN31" s="27">
        <f>SUM('Net zero emission reductions'!T1441)</f>
        <v>0.86319492850198365</v>
      </c>
      <c r="AO31" s="27">
        <f>SUM('Net zero emission reductions'!U1441)</f>
        <v>0.86319492850198365</v>
      </c>
      <c r="AP31" s="27">
        <f>SUM('Net zero emission reductions'!V1441)</f>
        <v>0.86319492850198365</v>
      </c>
      <c r="AQ31" s="27">
        <f>SUM('Net zero emission reductions'!W1441)</f>
        <v>0.86319492850198365</v>
      </c>
      <c r="AR31" s="27">
        <f>SUM('Net zero emission reductions'!X1441)</f>
        <v>0.86319492850198365</v>
      </c>
      <c r="AS31" s="27">
        <f>SUM('Net zero emission reductions'!Y1441)</f>
        <v>0.86319492850198365</v>
      </c>
      <c r="AT31" s="27">
        <f>SUM('Net zero emission reductions'!Z1441)</f>
        <v>0.86319492850198365</v>
      </c>
      <c r="AU31" s="27">
        <f>SUM('Net zero emission reductions'!AA1441)</f>
        <v>0.86319492850198365</v>
      </c>
      <c r="AV31" s="27">
        <f>SUM('Net zero emission reductions'!AB1441)</f>
        <v>0.86319492850198365</v>
      </c>
      <c r="AW31" s="27">
        <f>SUM('Net zero emission reductions'!AC1441)</f>
        <v>0.86319492850198365</v>
      </c>
      <c r="AX31" s="27">
        <f>SUM('Net zero emission reductions'!AD1441)</f>
        <v>0.86319492850198365</v>
      </c>
      <c r="AY31" s="27">
        <f>SUM('Net zero emission reductions'!AE1441)</f>
        <v>0.86319492850198365</v>
      </c>
      <c r="AZ31" s="27">
        <f>SUM('Net zero emission reductions'!AF1441)</f>
        <v>0.86319492850198365</v>
      </c>
      <c r="BA31" s="27">
        <f>SUM('Net zero emission reductions'!AG1441)</f>
        <v>0.86319492850198365</v>
      </c>
      <c r="BB31" s="27">
        <f>SUM('Net zero emission reductions'!AH1441)</f>
        <v>0.86319492850198365</v>
      </c>
      <c r="BC31" s="27">
        <f>SUM('Net zero emission reductions'!AI1441)</f>
        <v>0.86319492850198365</v>
      </c>
      <c r="BD31" s="27">
        <f>SUM('Net zero emission reductions'!AJ1441)</f>
        <v>0.86319492850198365</v>
      </c>
      <c r="BE31" s="27">
        <f>SUM('Net zero emission reductions'!AK1441)</f>
        <v>0.86319492850198365</v>
      </c>
      <c r="BF31" s="27">
        <f>SUM('Net zero emission reductions'!AL1441)</f>
        <v>0.86319492850198365</v>
      </c>
      <c r="BG31" s="27">
        <f>SUM('Net zero emission reductions'!AM1441)</f>
        <v>0.86319492850198365</v>
      </c>
      <c r="BH31" s="27">
        <f>SUM('Net zero emission reductions'!AN1441)</f>
        <v>0.86319492850198365</v>
      </c>
      <c r="BI31" s="27">
        <f>SUM('Net zero emission reductions'!AO1441)</f>
        <v>0.86319492850198365</v>
      </c>
      <c r="BJ31" s="27">
        <f>SUM('Net zero emission reductions'!AP1441)</f>
        <v>0.86319492850198365</v>
      </c>
      <c r="BK31" s="27">
        <f>SUM('Net zero emission reductions'!AQ1441)</f>
        <v>0.86319492850198365</v>
      </c>
      <c r="BL31" s="27">
        <f>SUM('Net zero emission reductions'!AR1441)</f>
        <v>0.86319492850198365</v>
      </c>
      <c r="BM31" s="27">
        <f>SUM('Net zero emission reductions'!AS1441)</f>
        <v>0.86319492850198365</v>
      </c>
      <c r="BN31" s="27">
        <f>SUM('Net zero emission reductions'!AT1441)</f>
        <v>0.86319492850198365</v>
      </c>
      <c r="BO31" s="27">
        <f>SUM('Net zero emission reductions'!AU1441)</f>
        <v>0.86319492850198365</v>
      </c>
      <c r="BP31" s="27">
        <f>SUM('Net zero emission reductions'!AV1441)</f>
        <v>0.86319492850198365</v>
      </c>
      <c r="BQ31" s="27">
        <f>SUM('Net zero emission reductions'!AW1441)</f>
        <v>0.86319492850198365</v>
      </c>
    </row>
    <row r="32" spans="1:72" x14ac:dyDescent="0.3">
      <c r="D32" t="str">
        <f t="shared" si="20"/>
        <v>3C Aggregated and non-CO2 emissions on land</v>
      </c>
      <c r="E32" t="str">
        <f t="shared" si="20"/>
        <v>3C1 Biomass burning (CH4)</v>
      </c>
      <c r="F32" t="str">
        <f>'IPCC Categories'!C63</f>
        <v>3C1e Biomass burning in Settlements</v>
      </c>
      <c r="G32" t="str">
        <f t="shared" si="21"/>
        <v>CH4</v>
      </c>
      <c r="H32" t="str">
        <f t="shared" si="21"/>
        <v>Gg CH4</v>
      </c>
      <c r="I32" s="27">
        <f>'Emissions summary'!F32</f>
        <v>0.48879168008497798</v>
      </c>
      <c r="J32" s="27">
        <f>'Emissions summary'!G32</f>
        <v>0.48879168008497798</v>
      </c>
      <c r="K32" s="27">
        <f>'Emissions summary'!H32</f>
        <v>0.48879168008497798</v>
      </c>
      <c r="L32" s="27">
        <f>'Emissions summary'!I32</f>
        <v>0.48879168008497798</v>
      </c>
      <c r="M32" s="27">
        <f>'Emissions summary'!J32</f>
        <v>0.48879168008497798</v>
      </c>
      <c r="N32" s="27">
        <f>'Emissions summary'!K32</f>
        <v>0.48879168008497798</v>
      </c>
      <c r="O32" s="27">
        <f>'Emissions summary'!L32</f>
        <v>0.48879168008497798</v>
      </c>
      <c r="P32" s="27">
        <f>'Emissions summary'!M32</f>
        <v>0.48879168008497798</v>
      </c>
      <c r="Q32" s="27">
        <f>'Emissions summary'!N32</f>
        <v>0.48879168008497798</v>
      </c>
      <c r="R32" s="27">
        <f>'Emissions summary'!O32</f>
        <v>0.48879168008497798</v>
      </c>
      <c r="S32" s="27">
        <f>'Emissions summary'!P32</f>
        <v>0.53244001120367745</v>
      </c>
      <c r="T32" s="27">
        <f>'Emissions summary'!Q32</f>
        <v>0.58966588899140415</v>
      </c>
      <c r="U32" s="27">
        <f>'Emissions summary'!R32</f>
        <v>0.52134297786841477</v>
      </c>
      <c r="V32" s="27">
        <f>'Emissions summary'!S32</f>
        <v>0.44975623341152487</v>
      </c>
      <c r="W32" s="27">
        <f>'Emissions summary'!T32</f>
        <v>0.35075328894986846</v>
      </c>
      <c r="X32" s="27">
        <f>'Emissions summary'!U32</f>
        <v>0.79419944458251857</v>
      </c>
      <c r="Y32" s="27">
        <f>'Emissions summary'!V32</f>
        <v>0.69563167789871561</v>
      </c>
      <c r="Z32" s="27">
        <f>'Emissions summary'!W32</f>
        <v>0.76939431124487268</v>
      </c>
      <c r="AA32" s="27">
        <f>'Emissions summary'!X32</f>
        <v>0.47499654452702411</v>
      </c>
      <c r="AB32" s="27">
        <f>'Emissions summary'!Y32</f>
        <v>0.5716060112104866</v>
      </c>
      <c r="AC32" s="27">
        <f>'Emissions summary'!Z32</f>
        <v>0.42745793939999993</v>
      </c>
      <c r="AD32" s="27">
        <f>'Emissions summary'!AA32</f>
        <v>0.29794462199999994</v>
      </c>
      <c r="AE32" s="27">
        <f>SUM('Net zero emission reductions'!K1442:K1443)</f>
        <v>0.42972240374246135</v>
      </c>
      <c r="AF32" s="27">
        <f>SUM('Net zero emission reductions'!L1442:L1443)</f>
        <v>0.43063058922924524</v>
      </c>
      <c r="AG32" s="27">
        <f>SUM('Net zero emission reductions'!M1442:M1443)</f>
        <v>0.43153877471602919</v>
      </c>
      <c r="AH32" s="27">
        <f>SUM('Net zero emission reductions'!N1442:N1443)</f>
        <v>0.43244696020281326</v>
      </c>
      <c r="AI32" s="27">
        <f>SUM('Net zero emission reductions'!O1442:O1443)</f>
        <v>0.43335514568959721</v>
      </c>
      <c r="AJ32" s="27">
        <f>SUM('Net zero emission reductions'!P1442:P1443)</f>
        <v>0.43426333117638116</v>
      </c>
      <c r="AK32" s="27">
        <f>SUM('Net zero emission reductions'!Q1442:Q1443)</f>
        <v>0.43517151666316517</v>
      </c>
      <c r="AL32" s="27">
        <f>SUM('Net zero emission reductions'!R1442:R1443)</f>
        <v>0.43607970214994918</v>
      </c>
      <c r="AM32" s="27">
        <f>SUM('Net zero emission reductions'!S1442:S1443)</f>
        <v>0.43698788763673319</v>
      </c>
      <c r="AN32" s="27">
        <f>SUM('Net zero emission reductions'!T1442:T1443)</f>
        <v>0.43789607312351719</v>
      </c>
      <c r="AO32" s="27">
        <f>SUM('Net zero emission reductions'!U1442:U1443)</f>
        <v>0.4388042586103012</v>
      </c>
      <c r="AP32" s="27">
        <f>SUM('Net zero emission reductions'!V1442:V1443)</f>
        <v>0.43971244409708521</v>
      </c>
      <c r="AQ32" s="27">
        <f>SUM('Net zero emission reductions'!W1442:W1443)</f>
        <v>0.44062062958386911</v>
      </c>
      <c r="AR32" s="27">
        <f>SUM('Net zero emission reductions'!X1442:X1443)</f>
        <v>0.44152881507065311</v>
      </c>
      <c r="AS32" s="27">
        <f>SUM('Net zero emission reductions'!Y1442:Y1443)</f>
        <v>0.44243700055743712</v>
      </c>
      <c r="AT32" s="27">
        <f>SUM('Net zero emission reductions'!Z1442:Z1443)</f>
        <v>0.44334518604422107</v>
      </c>
      <c r="AU32" s="27">
        <f>SUM('Net zero emission reductions'!AA1442:AA1443)</f>
        <v>0.44425337153100508</v>
      </c>
      <c r="AV32" s="27">
        <f>SUM('Net zero emission reductions'!AB1442:AB1443)</f>
        <v>0.44516155701778909</v>
      </c>
      <c r="AW32" s="27">
        <f>SUM('Net zero emission reductions'!AC1442:AC1443)</f>
        <v>0.44606974250457304</v>
      </c>
      <c r="AX32" s="27">
        <f>SUM('Net zero emission reductions'!AD1442:AD1443)</f>
        <v>0.44697792799135705</v>
      </c>
      <c r="AY32" s="27">
        <f>SUM('Net zero emission reductions'!AE1442:AE1443)</f>
        <v>0.44788611347814106</v>
      </c>
      <c r="AZ32" s="27">
        <f>SUM('Net zero emission reductions'!AF1442:AF1443)</f>
        <v>0.44879429896492501</v>
      </c>
      <c r="BA32" s="27">
        <f>SUM('Net zero emission reductions'!AG1442:AG1443)</f>
        <v>0.44970248445170896</v>
      </c>
      <c r="BB32" s="27">
        <f>SUM('Net zero emission reductions'!AH1442:AH1443)</f>
        <v>0.45061066993849297</v>
      </c>
      <c r="BC32" s="27">
        <f>SUM('Net zero emission reductions'!AI1442:AI1443)</f>
        <v>0.45151885542527692</v>
      </c>
      <c r="BD32" s="27">
        <f>SUM('Net zero emission reductions'!AJ1442:AJ1443)</f>
        <v>0.45242704091206093</v>
      </c>
      <c r="BE32" s="27">
        <f>SUM('Net zero emission reductions'!AK1442:AK1443)</f>
        <v>0.45333522639884494</v>
      </c>
      <c r="BF32" s="27">
        <f>SUM('Net zero emission reductions'!AL1442:AL1443)</f>
        <v>0.454243411885629</v>
      </c>
      <c r="BG32" s="27">
        <f>SUM('Net zero emission reductions'!AM1442:AM1443)</f>
        <v>0.45515159737241295</v>
      </c>
      <c r="BH32" s="27">
        <f>SUM('Net zero emission reductions'!AN1442:AN1443)</f>
        <v>0.4560597828591969</v>
      </c>
      <c r="BI32" s="27">
        <f>SUM('Net zero emission reductions'!AO1442:AO1443)</f>
        <v>0.45696796834598097</v>
      </c>
      <c r="BJ32" s="27">
        <f>SUM('Net zero emission reductions'!AP1442:AP1443)</f>
        <v>0.45787615383276492</v>
      </c>
      <c r="BK32" s="27">
        <f>SUM('Net zero emission reductions'!AQ1442:AQ1443)</f>
        <v>0.45878433931954882</v>
      </c>
      <c r="BL32" s="27">
        <f>SUM('Net zero emission reductions'!AR1442:AR1443)</f>
        <v>0.45969252480633288</v>
      </c>
      <c r="BM32" s="27">
        <f>SUM('Net zero emission reductions'!AS1442:AS1443)</f>
        <v>0.46060071029311683</v>
      </c>
      <c r="BN32" s="27">
        <f>SUM('Net zero emission reductions'!AT1442:AT1443)</f>
        <v>0.46150889577990084</v>
      </c>
      <c r="BO32" s="27">
        <f>SUM('Net zero emission reductions'!AU1442:AU1443)</f>
        <v>0.46241708126668479</v>
      </c>
      <c r="BP32" s="27">
        <f>SUM('Net zero emission reductions'!AV1442:AV1443)</f>
        <v>0.4633252667534688</v>
      </c>
      <c r="BQ32" s="27">
        <f>SUM('Net zero emission reductions'!AW1442:AW1443)</f>
        <v>0.46423345224025281</v>
      </c>
    </row>
    <row r="33" spans="1:72" x14ac:dyDescent="0.3">
      <c r="D33" t="str">
        <f t="shared" si="20"/>
        <v>3C Aggregated and non-CO2 emissions on land</v>
      </c>
      <c r="E33" t="str">
        <f t="shared" si="20"/>
        <v>3C1 Biomass burning (CH4)</v>
      </c>
      <c r="F33" t="str">
        <f>'IPCC Categories'!C64</f>
        <v>3C1f Biomass burning in Other lands</v>
      </c>
      <c r="G33" t="str">
        <f t="shared" si="21"/>
        <v>CH4</v>
      </c>
      <c r="H33" t="str">
        <f t="shared" si="21"/>
        <v>Gg CH4</v>
      </c>
      <c r="I33" s="27">
        <f>'Emissions summary'!F33</f>
        <v>0</v>
      </c>
      <c r="J33" s="27">
        <f>'Emissions summary'!G33</f>
        <v>0</v>
      </c>
      <c r="K33" s="27">
        <f>'Emissions summary'!H33</f>
        <v>0</v>
      </c>
      <c r="L33" s="27">
        <f>'Emissions summary'!I33</f>
        <v>0</v>
      </c>
      <c r="M33" s="27">
        <f>'Emissions summary'!J33</f>
        <v>0</v>
      </c>
      <c r="N33" s="27">
        <f>'Emissions summary'!K33</f>
        <v>0</v>
      </c>
      <c r="O33" s="27">
        <f>'Emissions summary'!L33</f>
        <v>0</v>
      </c>
      <c r="P33" s="27">
        <f>'Emissions summary'!M33</f>
        <v>0</v>
      </c>
      <c r="Q33" s="27">
        <f>'Emissions summary'!N33</f>
        <v>0</v>
      </c>
      <c r="R33" s="27">
        <f>'Emissions summary'!O33</f>
        <v>0</v>
      </c>
      <c r="S33" s="27">
        <f>'Emissions summary'!P33</f>
        <v>0</v>
      </c>
      <c r="T33" s="27">
        <f>'Emissions summary'!Q33</f>
        <v>0</v>
      </c>
      <c r="U33" s="27">
        <f>'Emissions summary'!R33</f>
        <v>0</v>
      </c>
      <c r="V33" s="27">
        <f>'Emissions summary'!S33</f>
        <v>0</v>
      </c>
      <c r="W33" s="27">
        <f>'Emissions summary'!T33</f>
        <v>0</v>
      </c>
      <c r="X33" s="27">
        <f>'Emissions summary'!U33</f>
        <v>0</v>
      </c>
      <c r="Y33" s="27">
        <f>'Emissions summary'!V33</f>
        <v>0</v>
      </c>
      <c r="Z33" s="27">
        <f>'Emissions summary'!W33</f>
        <v>0</v>
      </c>
      <c r="AA33" s="27">
        <f>'Emissions summary'!X33</f>
        <v>0</v>
      </c>
      <c r="AB33" s="27">
        <f>'Emissions summary'!Y33</f>
        <v>0</v>
      </c>
      <c r="AC33" s="27">
        <f>'Emissions summary'!Z33</f>
        <v>0</v>
      </c>
      <c r="AD33" s="27">
        <f>'Emissions summary'!AA33</f>
        <v>0</v>
      </c>
      <c r="AE33" s="27">
        <f>'Net zero emission reductions'!K1444</f>
        <v>0</v>
      </c>
      <c r="AF33" s="27">
        <f>'Net zero emission reductions'!L1444</f>
        <v>0</v>
      </c>
      <c r="AG33" s="27">
        <f>'Net zero emission reductions'!M1444</f>
        <v>0</v>
      </c>
      <c r="AH33" s="27">
        <f>'Net zero emission reductions'!N1444</f>
        <v>0</v>
      </c>
      <c r="AI33" s="27">
        <f>'Net zero emission reductions'!O1444</f>
        <v>0</v>
      </c>
      <c r="AJ33" s="27">
        <f>'Net zero emission reductions'!P1444</f>
        <v>0</v>
      </c>
      <c r="AK33" s="27">
        <f>'Net zero emission reductions'!Q1444</f>
        <v>0</v>
      </c>
      <c r="AL33" s="27">
        <f>'Net zero emission reductions'!R1444</f>
        <v>0</v>
      </c>
      <c r="AM33" s="27">
        <f>'Net zero emission reductions'!S1444</f>
        <v>0</v>
      </c>
      <c r="AN33" s="27">
        <f>'Net zero emission reductions'!T1444</f>
        <v>0</v>
      </c>
      <c r="AO33" s="27">
        <f>'Net zero emission reductions'!U1444</f>
        <v>0</v>
      </c>
      <c r="AP33" s="27">
        <f>'Net zero emission reductions'!V1444</f>
        <v>0</v>
      </c>
      <c r="AQ33" s="27">
        <f>'Net zero emission reductions'!W1444</f>
        <v>0</v>
      </c>
      <c r="AR33" s="27">
        <f>'Net zero emission reductions'!X1444</f>
        <v>0</v>
      </c>
      <c r="AS33" s="27">
        <f>'Net zero emission reductions'!Y1444</f>
        <v>0</v>
      </c>
      <c r="AT33" s="27">
        <f>'Net zero emission reductions'!Z1444</f>
        <v>0</v>
      </c>
      <c r="AU33" s="27">
        <f>'Net zero emission reductions'!AA1444</f>
        <v>0</v>
      </c>
      <c r="AV33" s="27">
        <f>'Net zero emission reductions'!AB1444</f>
        <v>0</v>
      </c>
      <c r="AW33" s="27">
        <f>'Net zero emission reductions'!AC1444</f>
        <v>0</v>
      </c>
      <c r="AX33" s="27">
        <f>'Net zero emission reductions'!AD1444</f>
        <v>0</v>
      </c>
      <c r="AY33" s="27">
        <f>'Net zero emission reductions'!AE1444</f>
        <v>0</v>
      </c>
      <c r="AZ33" s="27">
        <f>'Net zero emission reductions'!AF1444</f>
        <v>0</v>
      </c>
      <c r="BA33" s="27">
        <f>'Net zero emission reductions'!AG1444</f>
        <v>0</v>
      </c>
      <c r="BB33" s="27">
        <f>'Net zero emission reductions'!AH1444</f>
        <v>0</v>
      </c>
      <c r="BC33" s="27">
        <f>'Net zero emission reductions'!AI1444</f>
        <v>0</v>
      </c>
      <c r="BD33" s="27">
        <f>'Net zero emission reductions'!AJ1444</f>
        <v>0</v>
      </c>
      <c r="BE33" s="27">
        <f>'Net zero emission reductions'!AK1444</f>
        <v>0</v>
      </c>
      <c r="BF33" s="27">
        <f>'Net zero emission reductions'!AL1444</f>
        <v>0</v>
      </c>
      <c r="BG33" s="27">
        <f>'Net zero emission reductions'!AM1444</f>
        <v>0</v>
      </c>
      <c r="BH33" s="27">
        <f>'Net zero emission reductions'!AN1444</f>
        <v>0</v>
      </c>
      <c r="BI33" s="27">
        <f>'Net zero emission reductions'!AO1444</f>
        <v>0</v>
      </c>
      <c r="BJ33" s="27">
        <f>'Net zero emission reductions'!AP1444</f>
        <v>0</v>
      </c>
      <c r="BK33" s="27">
        <f>'Net zero emission reductions'!AQ1444</f>
        <v>0</v>
      </c>
      <c r="BL33" s="27">
        <f>'Net zero emission reductions'!AR1444</f>
        <v>0</v>
      </c>
      <c r="BM33" s="27">
        <f>'Net zero emission reductions'!AS1444</f>
        <v>0</v>
      </c>
      <c r="BN33" s="27">
        <f>'Net zero emission reductions'!AT1444</f>
        <v>0</v>
      </c>
      <c r="BO33" s="27">
        <f>'Net zero emission reductions'!AU1444</f>
        <v>0</v>
      </c>
      <c r="BP33" s="27">
        <f>'Net zero emission reductions'!AV1444</f>
        <v>0</v>
      </c>
      <c r="BQ33" s="27">
        <f>'Net zero emission reductions'!AW1444</f>
        <v>0</v>
      </c>
    </row>
    <row r="34" spans="1:72" s="19" customFormat="1" ht="15.6" x14ac:dyDescent="0.3">
      <c r="A34" s="97"/>
      <c r="B34" s="97"/>
      <c r="C34" s="97"/>
      <c r="D34" s="19" t="str">
        <f t="shared" si="20"/>
        <v>3C Aggregated and non-CO2 emissions on land</v>
      </c>
      <c r="E34" s="19" t="str">
        <f>'IPCC Categories'!B65</f>
        <v>3C1 Biomass burning (N2O)</v>
      </c>
      <c r="F34" s="19" t="s">
        <v>148</v>
      </c>
      <c r="G34" s="19" t="s">
        <v>139</v>
      </c>
      <c r="H34" s="19" t="s">
        <v>287</v>
      </c>
      <c r="I34" s="41">
        <f>SUM(I35:I40)</f>
        <v>3.7075879357894523</v>
      </c>
      <c r="J34" s="41">
        <f t="shared" ref="J34:AE34" si="22">SUM(J35:J40)</f>
        <v>3.7075879357894523</v>
      </c>
      <c r="K34" s="41">
        <f t="shared" si="22"/>
        <v>3.7075879357894523</v>
      </c>
      <c r="L34" s="41">
        <f t="shared" si="22"/>
        <v>3.7075879357894523</v>
      </c>
      <c r="M34" s="41">
        <f t="shared" si="22"/>
        <v>3.7075879357894523</v>
      </c>
      <c r="N34" s="41">
        <f t="shared" si="22"/>
        <v>3.7075879357894523</v>
      </c>
      <c r="O34" s="41">
        <f t="shared" si="22"/>
        <v>3.7075879357894523</v>
      </c>
      <c r="P34" s="41">
        <f t="shared" si="22"/>
        <v>3.7075879357894523</v>
      </c>
      <c r="Q34" s="41">
        <f t="shared" si="22"/>
        <v>3.7075879357894523</v>
      </c>
      <c r="R34" s="41">
        <f t="shared" si="22"/>
        <v>3.7075879357894523</v>
      </c>
      <c r="S34" s="41">
        <f t="shared" si="22"/>
        <v>3.6718973949162081</v>
      </c>
      <c r="T34" s="41">
        <f t="shared" si="22"/>
        <v>4.3479436666429772</v>
      </c>
      <c r="U34" s="41">
        <f t="shared" si="22"/>
        <v>4.2850613259475647</v>
      </c>
      <c r="V34" s="41">
        <f t="shared" si="22"/>
        <v>3.282468107830713</v>
      </c>
      <c r="W34" s="41">
        <f t="shared" si="22"/>
        <v>2.9505691836097965</v>
      </c>
      <c r="X34" s="41">
        <f t="shared" si="22"/>
        <v>4.6706814433352601</v>
      </c>
      <c r="Y34" s="41">
        <f t="shared" si="22"/>
        <v>4.0754902880758053</v>
      </c>
      <c r="Z34" s="41">
        <f t="shared" si="22"/>
        <v>3.9272122256664277</v>
      </c>
      <c r="AA34" s="41">
        <f t="shared" si="22"/>
        <v>3.8070383668685825</v>
      </c>
      <c r="AB34" s="41">
        <f t="shared" si="22"/>
        <v>3.574643820819225</v>
      </c>
      <c r="AC34" s="41">
        <f t="shared" si="22"/>
        <v>3.6185702919300007</v>
      </c>
      <c r="AD34" s="41">
        <f t="shared" si="22"/>
        <v>3.5841393659915992</v>
      </c>
      <c r="AE34" s="41">
        <f t="shared" si="22"/>
        <v>3.090013816562077</v>
      </c>
      <c r="AF34" s="41">
        <f t="shared" ref="AF34:BQ34" si="23">SUM(AF35:AF40)</f>
        <v>3.2036391768546908</v>
      </c>
      <c r="AG34" s="41">
        <f t="shared" si="23"/>
        <v>3.1730419131473035</v>
      </c>
      <c r="AH34" s="41">
        <f t="shared" si="23"/>
        <v>3.1449518814399164</v>
      </c>
      <c r="AI34" s="41">
        <f t="shared" si="23"/>
        <v>3.1761268737325303</v>
      </c>
      <c r="AJ34" s="41">
        <f t="shared" si="23"/>
        <v>3.2043578340251431</v>
      </c>
      <c r="AK34" s="41">
        <f t="shared" si="23"/>
        <v>3.2157894663177569</v>
      </c>
      <c r="AL34" s="41">
        <f t="shared" si="23"/>
        <v>3.2312714849038415</v>
      </c>
      <c r="AM34" s="41">
        <f t="shared" si="23"/>
        <v>3.2467535034899253</v>
      </c>
      <c r="AN34" s="41">
        <f t="shared" si="23"/>
        <v>3.26223552207601</v>
      </c>
      <c r="AO34" s="41">
        <f t="shared" si="23"/>
        <v>3.2777175406620933</v>
      </c>
      <c r="AP34" s="41">
        <f t="shared" si="23"/>
        <v>3.2931995592481784</v>
      </c>
      <c r="AQ34" s="41">
        <f t="shared" si="23"/>
        <v>3.3086815778342631</v>
      </c>
      <c r="AR34" s="41">
        <f t="shared" si="23"/>
        <v>3.3241635964203464</v>
      </c>
      <c r="AS34" s="41">
        <f t="shared" si="23"/>
        <v>3.3396456150064311</v>
      </c>
      <c r="AT34" s="41">
        <f t="shared" si="23"/>
        <v>3.3551276335925149</v>
      </c>
      <c r="AU34" s="41">
        <f t="shared" si="23"/>
        <v>3.3706096521785995</v>
      </c>
      <c r="AV34" s="41">
        <f t="shared" si="23"/>
        <v>3.3860916707646842</v>
      </c>
      <c r="AW34" s="41">
        <f t="shared" si="23"/>
        <v>3.4015736893507675</v>
      </c>
      <c r="AX34" s="41">
        <f t="shared" si="23"/>
        <v>3.4166247163658898</v>
      </c>
      <c r="AY34" s="41">
        <f t="shared" si="23"/>
        <v>3.4316757433810112</v>
      </c>
      <c r="AZ34" s="41">
        <f t="shared" si="23"/>
        <v>3.4467267703961331</v>
      </c>
      <c r="BA34" s="41">
        <f t="shared" si="23"/>
        <v>3.4617777974112558</v>
      </c>
      <c r="BB34" s="41">
        <f t="shared" si="23"/>
        <v>3.4768288244263776</v>
      </c>
      <c r="BC34" s="41">
        <f t="shared" si="23"/>
        <v>3.491879851441499</v>
      </c>
      <c r="BD34" s="41">
        <f t="shared" si="23"/>
        <v>3.5069308784566204</v>
      </c>
      <c r="BE34" s="41">
        <f t="shared" si="23"/>
        <v>3.5219819054717427</v>
      </c>
      <c r="BF34" s="41">
        <f t="shared" si="23"/>
        <v>3.5362807779692043</v>
      </c>
      <c r="BG34" s="41">
        <f t="shared" si="23"/>
        <v>3.5505796504666653</v>
      </c>
      <c r="BH34" s="41">
        <f t="shared" si="23"/>
        <v>3.5648785229641264</v>
      </c>
      <c r="BI34" s="41">
        <f t="shared" si="23"/>
        <v>3.5791773954615884</v>
      </c>
      <c r="BJ34" s="41">
        <f t="shared" si="23"/>
        <v>3.59347626795905</v>
      </c>
      <c r="BK34" s="41">
        <f t="shared" si="23"/>
        <v>3.6077751404565115</v>
      </c>
      <c r="BL34" s="41">
        <f t="shared" si="23"/>
        <v>3.622074012953973</v>
      </c>
      <c r="BM34" s="41">
        <f t="shared" si="23"/>
        <v>3.6363728854514346</v>
      </c>
      <c r="BN34" s="41">
        <f t="shared" si="23"/>
        <v>3.6506717579488956</v>
      </c>
      <c r="BO34" s="41">
        <f t="shared" si="23"/>
        <v>3.6649706304463576</v>
      </c>
      <c r="BP34" s="41">
        <f t="shared" si="23"/>
        <v>3.6792695029438187</v>
      </c>
      <c r="BQ34" s="41">
        <f t="shared" si="23"/>
        <v>3.6935683754412798</v>
      </c>
      <c r="BT34"/>
    </row>
    <row r="35" spans="1:72" x14ac:dyDescent="0.3">
      <c r="D35" t="str">
        <f>D33</f>
        <v>3C Aggregated and non-CO2 emissions on land</v>
      </c>
      <c r="E35" t="str">
        <f>'IPCC Categories'!B65</f>
        <v>3C1 Biomass burning (N2O)</v>
      </c>
      <c r="F35" t="str">
        <f>'IPCC Categories'!C65</f>
        <v>3C1a Biomass burning in forest land</v>
      </c>
      <c r="G35" t="s">
        <v>139</v>
      </c>
      <c r="H35" t="s">
        <v>287</v>
      </c>
      <c r="I35" s="27">
        <f>'Emissions summary'!F35</f>
        <v>1.1438763741385864</v>
      </c>
      <c r="J35" s="27">
        <f>'Emissions summary'!G35</f>
        <v>1.1438763741385864</v>
      </c>
      <c r="K35" s="27">
        <f>'Emissions summary'!H35</f>
        <v>1.1438763741385864</v>
      </c>
      <c r="L35" s="27">
        <f>'Emissions summary'!I35</f>
        <v>1.1438763741385864</v>
      </c>
      <c r="M35" s="27">
        <f>'Emissions summary'!J35</f>
        <v>1.1438763741385864</v>
      </c>
      <c r="N35" s="27">
        <f>'Emissions summary'!K35</f>
        <v>1.1438763741385864</v>
      </c>
      <c r="O35" s="27">
        <f>'Emissions summary'!L35</f>
        <v>1.1438763741385864</v>
      </c>
      <c r="P35" s="27">
        <f>'Emissions summary'!M35</f>
        <v>1.1438763741385864</v>
      </c>
      <c r="Q35" s="27">
        <f>'Emissions summary'!N35</f>
        <v>1.1438763741385864</v>
      </c>
      <c r="R35" s="27">
        <f>'Emissions summary'!O35</f>
        <v>1.1438763741385864</v>
      </c>
      <c r="S35" s="27">
        <f>'Emissions summary'!P35</f>
        <v>1.129665625804974</v>
      </c>
      <c r="T35" s="27">
        <f>'Emissions summary'!Q35</f>
        <v>1.5001940667446125</v>
      </c>
      <c r="U35" s="27">
        <f>'Emissions summary'!R35</f>
        <v>1.2536062459262034</v>
      </c>
      <c r="V35" s="27">
        <f>'Emissions summary'!S35</f>
        <v>0.90130843582112352</v>
      </c>
      <c r="W35" s="27">
        <f>'Emissions summary'!T35</f>
        <v>0.93460749639601826</v>
      </c>
      <c r="X35" s="27">
        <f>'Emissions summary'!U35</f>
        <v>1.4818082671125721</v>
      </c>
      <c r="Y35" s="27">
        <f>'Emissions summary'!V35</f>
        <v>1.2335191780721162</v>
      </c>
      <c r="Z35" s="27">
        <f>'Emissions summary'!W35</f>
        <v>1.3425917486681966</v>
      </c>
      <c r="AA35" s="27">
        <f>'Emissions summary'!X35</f>
        <v>1.3834411759926073</v>
      </c>
      <c r="AB35" s="27">
        <f>'Emissions summary'!Y35</f>
        <v>1.0406581288181318</v>
      </c>
      <c r="AC35" s="27">
        <f>'Emissions summary'!Z35</f>
        <v>1.1705685167880002</v>
      </c>
      <c r="AD35" s="27">
        <f>'Emissions summary'!AA35</f>
        <v>1.1141746509779999</v>
      </c>
      <c r="AE35" s="27">
        <f>SUM('Net zero emission reductions'!K1445:K1448)</f>
        <v>0.81337835040550022</v>
      </c>
      <c r="AF35" s="27">
        <f>SUM('Net zero emission reductions'!L1445:L1448)</f>
        <v>0.91618667449117541</v>
      </c>
      <c r="AG35" s="27">
        <f>SUM('Net zero emission reductions'!M1445:M1448)</f>
        <v>0.87477237457685053</v>
      </c>
      <c r="AH35" s="27">
        <f>SUM('Net zero emission reductions'!N1445:N1448)</f>
        <v>0.83586530666252568</v>
      </c>
      <c r="AI35" s="27">
        <f>SUM('Net zero emission reductions'!O1445:O1448)</f>
        <v>0.85622326274820093</v>
      </c>
      <c r="AJ35" s="27">
        <f>SUM('Net zero emission reductions'!P1445:P1448)</f>
        <v>0.87363718683387614</v>
      </c>
      <c r="AK35" s="27">
        <f>SUM('Net zero emission reductions'!Q1445:Q1448)</f>
        <v>0.87425178291955141</v>
      </c>
      <c r="AL35" s="27">
        <f>SUM('Net zero emission reductions'!R1445:R1448)</f>
        <v>0.87129977937663372</v>
      </c>
      <c r="AM35" s="27">
        <f>SUM('Net zero emission reductions'!S1445:S1448)</f>
        <v>0.86834777583371592</v>
      </c>
      <c r="AN35" s="27">
        <f>SUM('Net zero emission reductions'!T1445:T1448)</f>
        <v>0.86539577229079812</v>
      </c>
      <c r="AO35" s="27">
        <f>SUM('Net zero emission reductions'!U1445:U1448)</f>
        <v>0.86244376874788042</v>
      </c>
      <c r="AP35" s="27">
        <f>SUM('Net zero emission reductions'!V1445:V1448)</f>
        <v>0.85949176520496295</v>
      </c>
      <c r="AQ35" s="27">
        <f>SUM('Net zero emission reductions'!W1445:W1448)</f>
        <v>0.85653976166204526</v>
      </c>
      <c r="AR35" s="27">
        <f>SUM('Net zero emission reductions'!X1445:X1448)</f>
        <v>0.85358775811912746</v>
      </c>
      <c r="AS35" s="27">
        <f>SUM('Net zero emission reductions'!Y1445:Y1448)</f>
        <v>0.85063575457620977</v>
      </c>
      <c r="AT35" s="27">
        <f>SUM('Net zero emission reductions'!Z1445:Z1448)</f>
        <v>0.84768375103329197</v>
      </c>
      <c r="AU35" s="27">
        <f>SUM('Net zero emission reductions'!AA1445:AA1448)</f>
        <v>0.84473174749037416</v>
      </c>
      <c r="AV35" s="27">
        <f>SUM('Net zero emission reductions'!AB1445:AB1448)</f>
        <v>0.84177974394745669</v>
      </c>
      <c r="AW35" s="27">
        <f>SUM('Net zero emission reductions'!AC1445:AC1448)</f>
        <v>0.838827740404539</v>
      </c>
      <c r="AX35" s="27">
        <f>SUM('Net zero emission reductions'!AD1445:AD1448)</f>
        <v>0.83512358234396089</v>
      </c>
      <c r="AY35" s="27">
        <f>SUM('Net zero emission reductions'!AE1445:AE1448)</f>
        <v>0.83141942428338278</v>
      </c>
      <c r="AZ35" s="27">
        <f>SUM('Net zero emission reductions'!AF1445:AF1448)</f>
        <v>0.82771526622280467</v>
      </c>
      <c r="BA35" s="27">
        <f>SUM('Net zero emission reductions'!AG1445:AG1448)</f>
        <v>0.82401110816222667</v>
      </c>
      <c r="BB35" s="27">
        <f>SUM('Net zero emission reductions'!AH1445:AH1448)</f>
        <v>0.82030695010164856</v>
      </c>
      <c r="BC35" s="27">
        <f>SUM('Net zero emission reductions'!AI1445:AI1448)</f>
        <v>0.81660279204107056</v>
      </c>
      <c r="BD35" s="27">
        <f>SUM('Net zero emission reductions'!AJ1445:AJ1448)</f>
        <v>0.81289863398049245</v>
      </c>
      <c r="BE35" s="27">
        <f>SUM('Net zero emission reductions'!AK1445:AK1448)</f>
        <v>0.80919447591991434</v>
      </c>
      <c r="BF35" s="27">
        <f>SUM('Net zero emission reductions'!AL1445:AL1448)</f>
        <v>0.80473816334167581</v>
      </c>
      <c r="BG35" s="27">
        <f>SUM('Net zero emission reductions'!AM1445:AM1448)</f>
        <v>0.80028185076343727</v>
      </c>
      <c r="BH35" s="27">
        <f>SUM('Net zero emission reductions'!AN1445:AN1448)</f>
        <v>0.79582553818519886</v>
      </c>
      <c r="BI35" s="27">
        <f>SUM('Net zero emission reductions'!AO1445:AO1448)</f>
        <v>0.79136922560696055</v>
      </c>
      <c r="BJ35" s="27">
        <f>SUM('Net zero emission reductions'!AP1445:AP1448)</f>
        <v>0.78691291302872202</v>
      </c>
      <c r="BK35" s="27">
        <f>SUM('Net zero emission reductions'!AQ1445:AQ1448)</f>
        <v>0.7824566004504836</v>
      </c>
      <c r="BL35" s="27">
        <f>SUM('Net zero emission reductions'!AR1445:AR1448)</f>
        <v>0.77800028787224518</v>
      </c>
      <c r="BM35" s="27">
        <f>SUM('Net zero emission reductions'!AS1445:AS1448)</f>
        <v>0.77354397529400676</v>
      </c>
      <c r="BN35" s="27">
        <f>SUM('Net zero emission reductions'!AT1445:AT1448)</f>
        <v>0.76908766271576834</v>
      </c>
      <c r="BO35" s="27">
        <f>SUM('Net zero emission reductions'!AU1445:AU1448)</f>
        <v>0.76463135013752992</v>
      </c>
      <c r="BP35" s="27">
        <f>SUM('Net zero emission reductions'!AV1445:AV1448)</f>
        <v>0.76017503755929161</v>
      </c>
      <c r="BQ35" s="27">
        <f>SUM('Net zero emission reductions'!AW1445:AW1448)</f>
        <v>0.75571872498105297</v>
      </c>
    </row>
    <row r="36" spans="1:72" x14ac:dyDescent="0.3">
      <c r="D36" t="str">
        <f t="shared" si="20"/>
        <v>3C Aggregated and non-CO2 emissions on land</v>
      </c>
      <c r="E36" t="str">
        <f>E35</f>
        <v>3C1 Biomass burning (N2O)</v>
      </c>
      <c r="F36" t="str">
        <f>'IPCC Categories'!C66</f>
        <v>3C1b Biomass burning in Croplands</v>
      </c>
      <c r="G36" t="str">
        <f>G35</f>
        <v>N2O</v>
      </c>
      <c r="H36" t="str">
        <f>H35</f>
        <v>Gg N2O</v>
      </c>
      <c r="I36" s="27">
        <f>'Emissions summary'!F36</f>
        <v>0.26227938544915658</v>
      </c>
      <c r="J36" s="27">
        <f>'Emissions summary'!G36</f>
        <v>0.26227938544915658</v>
      </c>
      <c r="K36" s="27">
        <f>'Emissions summary'!H36</f>
        <v>0.26227938544915658</v>
      </c>
      <c r="L36" s="27">
        <f>'Emissions summary'!I36</f>
        <v>0.26227938544915658</v>
      </c>
      <c r="M36" s="27">
        <f>'Emissions summary'!J36</f>
        <v>0.26227938544915658</v>
      </c>
      <c r="N36" s="27">
        <f>'Emissions summary'!K36</f>
        <v>0.26227938544915658</v>
      </c>
      <c r="O36" s="27">
        <f>'Emissions summary'!L36</f>
        <v>0.26227938544915658</v>
      </c>
      <c r="P36" s="27">
        <f>'Emissions summary'!M36</f>
        <v>0.26227938544915658</v>
      </c>
      <c r="Q36" s="27">
        <f>'Emissions summary'!N36</f>
        <v>0.26227938544915658</v>
      </c>
      <c r="R36" s="27">
        <f>'Emissions summary'!O36</f>
        <v>0.26227938544915658</v>
      </c>
      <c r="S36" s="27">
        <f>'Emissions summary'!P36</f>
        <v>0.27249351091104779</v>
      </c>
      <c r="T36" s="27">
        <f>'Emissions summary'!Q36</f>
        <v>0.28214910438509594</v>
      </c>
      <c r="U36" s="27">
        <f>'Emissions summary'!R36</f>
        <v>0.3096912890487743</v>
      </c>
      <c r="V36" s="27">
        <f>'Emissions summary'!S36</f>
        <v>0.24106195370044609</v>
      </c>
      <c r="W36" s="27">
        <f>'Emissions summary'!T36</f>
        <v>0.20600106920041864</v>
      </c>
      <c r="X36" s="27">
        <f>'Emissions summary'!U36</f>
        <v>0.35933732059976431</v>
      </c>
      <c r="Y36" s="27">
        <f>'Emissions summary'!V36</f>
        <v>0.33855631263102837</v>
      </c>
      <c r="Z36" s="27">
        <f>'Emissions summary'!W36</f>
        <v>0.27162292461420739</v>
      </c>
      <c r="AA36" s="27">
        <f>'Emissions summary'!X36</f>
        <v>0.2444764609945474</v>
      </c>
      <c r="AB36" s="27">
        <f>'Emissions summary'!Y36</f>
        <v>0.25418858604631245</v>
      </c>
      <c r="AC36" s="27">
        <f>'Emissions summary'!Z36</f>
        <v>0.25351308360000002</v>
      </c>
      <c r="AD36" s="27">
        <f>'Emissions summary'!AA36</f>
        <v>0.24445247399999998</v>
      </c>
      <c r="AE36" s="27">
        <f>SUM('Net zero emission reductions'!K1449:K1453)</f>
        <v>0.23150267764623561</v>
      </c>
      <c r="AF36" s="27">
        <f>SUM('Net zero emission reductions'!L1449:L1453)</f>
        <v>0.23149080350455245</v>
      </c>
      <c r="AG36" s="27">
        <f>SUM('Net zero emission reductions'!M1449:M1453)</f>
        <v>0.23147892936286932</v>
      </c>
      <c r="AH36" s="27">
        <f>SUM('Net zero emission reductions'!N1449:N1453)</f>
        <v>0.23146705522118621</v>
      </c>
      <c r="AI36" s="27">
        <f>SUM('Net zero emission reductions'!O1449:O1453)</f>
        <v>0.23145518107950305</v>
      </c>
      <c r="AJ36" s="27">
        <f>SUM('Net zero emission reductions'!P1449:P1453)</f>
        <v>0.23144330693781995</v>
      </c>
      <c r="AK36" s="27">
        <f>SUM('Net zero emission reductions'!Q1449:Q1453)</f>
        <v>0.23143143279613676</v>
      </c>
      <c r="AL36" s="27">
        <f>SUM('Net zero emission reductions'!R1449:R1453)</f>
        <v>0.23141955865445368</v>
      </c>
      <c r="AM36" s="27">
        <f>SUM('Net zero emission reductions'!S1449:S1453)</f>
        <v>0.23140768451277055</v>
      </c>
      <c r="AN36" s="27">
        <f>SUM('Net zero emission reductions'!T1449:T1453)</f>
        <v>0.23139581037108745</v>
      </c>
      <c r="AO36" s="27">
        <f>SUM('Net zero emission reductions'!U1449:U1453)</f>
        <v>0.23138393622940429</v>
      </c>
      <c r="AP36" s="27">
        <f>SUM('Net zero emission reductions'!V1449:V1453)</f>
        <v>0.23137206208772113</v>
      </c>
      <c r="AQ36" s="27">
        <f>SUM('Net zero emission reductions'!W1449:W1453)</f>
        <v>0.23136018794603802</v>
      </c>
      <c r="AR36" s="27">
        <f>SUM('Net zero emission reductions'!X1449:X1453)</f>
        <v>0.23134831380435489</v>
      </c>
      <c r="AS36" s="27">
        <f>SUM('Net zero emission reductions'!Y1449:Y1453)</f>
        <v>0.23133643966267178</v>
      </c>
      <c r="AT36" s="27">
        <f>SUM('Net zero emission reductions'!Z1449:Z1453)</f>
        <v>0.23132456552098865</v>
      </c>
      <c r="AU36" s="27">
        <f>SUM('Net zero emission reductions'!AA1449:AA1453)</f>
        <v>0.23131269137930549</v>
      </c>
      <c r="AV36" s="27">
        <f>SUM('Net zero emission reductions'!AB1449:AB1453)</f>
        <v>0.23130081723762241</v>
      </c>
      <c r="AW36" s="27">
        <f>SUM('Net zero emission reductions'!AC1449:AC1453)</f>
        <v>0.23128894309593925</v>
      </c>
      <c r="AX36" s="27">
        <f>SUM('Net zero emission reductions'!AD1449:AD1453)</f>
        <v>0.23127706895425609</v>
      </c>
      <c r="AY36" s="27">
        <f>SUM('Net zero emission reductions'!AE1449:AE1453)</f>
        <v>0.23126519481257302</v>
      </c>
      <c r="AZ36" s="27">
        <f>SUM('Net zero emission reductions'!AF1449:AF1453)</f>
        <v>0.23125332067088986</v>
      </c>
      <c r="BA36" s="27">
        <f>SUM('Net zero emission reductions'!AG1449:AG1453)</f>
        <v>0.23124144652920675</v>
      </c>
      <c r="BB36" s="27">
        <f>SUM('Net zero emission reductions'!AH1449:AH1453)</f>
        <v>0.23122957238752362</v>
      </c>
      <c r="BC36" s="27">
        <f>SUM('Net zero emission reductions'!AI1449:AI1453)</f>
        <v>0.23121769824584049</v>
      </c>
      <c r="BD36" s="27">
        <f>SUM('Net zero emission reductions'!AJ1449:AJ1453)</f>
        <v>0.2312058241041573</v>
      </c>
      <c r="BE36" s="27">
        <f>SUM('Net zero emission reductions'!AK1449:AK1453)</f>
        <v>0.23119394996247425</v>
      </c>
      <c r="BF36" s="27">
        <f>SUM('Net zero emission reductions'!AL1449:AL1453)</f>
        <v>0.23118207582079112</v>
      </c>
      <c r="BG36" s="27">
        <f>SUM('Net zero emission reductions'!AM1449:AM1453)</f>
        <v>0.23117020167910793</v>
      </c>
      <c r="BH36" s="27">
        <f>SUM('Net zero emission reductions'!AN1449:AN1453)</f>
        <v>0.23115832753742488</v>
      </c>
      <c r="BI36" s="27">
        <f>SUM('Net zero emission reductions'!AO1449:AO1453)</f>
        <v>0.23114645339574169</v>
      </c>
      <c r="BJ36" s="27">
        <f>SUM('Net zero emission reductions'!AP1449:AP1453)</f>
        <v>0.23113457925405859</v>
      </c>
      <c r="BK36" s="27">
        <f>SUM('Net zero emission reductions'!AQ1449:AQ1453)</f>
        <v>0.23112270511237543</v>
      </c>
      <c r="BL36" s="27">
        <f>SUM('Net zero emission reductions'!AR1449:AR1453)</f>
        <v>0.23111083097069229</v>
      </c>
      <c r="BM36" s="27">
        <f>SUM('Net zero emission reductions'!AS1449:AS1453)</f>
        <v>0.23109895682900922</v>
      </c>
      <c r="BN36" s="27">
        <f>SUM('Net zero emission reductions'!AT1449:AT1453)</f>
        <v>0.23108708268732603</v>
      </c>
      <c r="BO36" s="27">
        <f>SUM('Net zero emission reductions'!AU1449:AU1453)</f>
        <v>0.23107520854564292</v>
      </c>
      <c r="BP36" s="27">
        <f>SUM('Net zero emission reductions'!AV1449:AV1453)</f>
        <v>0.23106333440395979</v>
      </c>
      <c r="BQ36" s="27">
        <f>SUM('Net zero emission reductions'!AW1449:AW1453)</f>
        <v>0.23105146026227666</v>
      </c>
    </row>
    <row r="37" spans="1:72" x14ac:dyDescent="0.3">
      <c r="D37" t="str">
        <f t="shared" si="20"/>
        <v>3C Aggregated and non-CO2 emissions on land</v>
      </c>
      <c r="E37" t="str">
        <f t="shared" si="20"/>
        <v>3C1 Biomass burning (N2O)</v>
      </c>
      <c r="F37" t="str">
        <f>'IPCC Categories'!C67</f>
        <v>3C1c Biomass burning in Grasslands</v>
      </c>
      <c r="G37" t="str">
        <f t="shared" ref="G37:H40" si="24">G36</f>
        <v>N2O</v>
      </c>
      <c r="H37" t="str">
        <f t="shared" si="24"/>
        <v>Gg N2O</v>
      </c>
      <c r="I37" s="27">
        <f>'Emissions summary'!F37</f>
        <v>2.1832325939202906</v>
      </c>
      <c r="J37" s="27">
        <f>'Emissions summary'!G37</f>
        <v>2.1832325939202906</v>
      </c>
      <c r="K37" s="27">
        <f>'Emissions summary'!H37</f>
        <v>2.1832325939202906</v>
      </c>
      <c r="L37" s="27">
        <f>'Emissions summary'!I37</f>
        <v>2.1832325939202906</v>
      </c>
      <c r="M37" s="27">
        <f>'Emissions summary'!J37</f>
        <v>2.1832325939202906</v>
      </c>
      <c r="N37" s="27">
        <f>'Emissions summary'!K37</f>
        <v>2.1832325939202906</v>
      </c>
      <c r="O37" s="27">
        <f>'Emissions summary'!L37</f>
        <v>2.1832325939202906</v>
      </c>
      <c r="P37" s="27">
        <f>'Emissions summary'!M37</f>
        <v>2.1832325939202906</v>
      </c>
      <c r="Q37" s="27">
        <f>'Emissions summary'!N37</f>
        <v>2.1832325939202906</v>
      </c>
      <c r="R37" s="27">
        <f>'Emissions summary'!O37</f>
        <v>2.1832325939202906</v>
      </c>
      <c r="S37" s="27">
        <f>'Emissions summary'!P37</f>
        <v>2.1560404954267964</v>
      </c>
      <c r="T37" s="27">
        <f>'Emissions summary'!Q37</f>
        <v>2.4331484625916917</v>
      </c>
      <c r="U37" s="27">
        <f>'Emissions summary'!R37</f>
        <v>2.5851794612386958</v>
      </c>
      <c r="V37" s="27">
        <f>'Emissions summary'!S37</f>
        <v>2.026241021042972</v>
      </c>
      <c r="W37" s="27">
        <f>'Emissions summary'!T37</f>
        <v>1.7155535293012945</v>
      </c>
      <c r="X37" s="27">
        <f>'Emissions summary'!U37</f>
        <v>2.664720786608763</v>
      </c>
      <c r="Y37" s="27">
        <f>'Emissions summary'!V37</f>
        <v>2.3579698696662157</v>
      </c>
      <c r="Z37" s="27">
        <f>'Emissions summary'!W37</f>
        <v>2.1705723800404217</v>
      </c>
      <c r="AA37" s="27">
        <f>'Emissions summary'!X37</f>
        <v>2.069932733340706</v>
      </c>
      <c r="AB37" s="27">
        <f>'Emissions summary'!Y37</f>
        <v>2.153682585932855</v>
      </c>
      <c r="AC37" s="27">
        <f>'Emissions summary'!Z37</f>
        <v>2.0565198387720001</v>
      </c>
      <c r="AD37" s="27">
        <f>'Emissions summary'!AA37</f>
        <v>2.0914494266735995</v>
      </c>
      <c r="AE37" s="27">
        <f>SUM('Net zero emission reductions'!K1454:K1456)</f>
        <v>1.9270838146967177</v>
      </c>
      <c r="AF37" s="27">
        <f>SUM('Net zero emission reductions'!L1454:L1456)</f>
        <v>1.9378298037617634</v>
      </c>
      <c r="AG37" s="27">
        <f>SUM('Net zero emission reductions'!M1454:M1456)</f>
        <v>1.9485757928268084</v>
      </c>
      <c r="AH37" s="27">
        <f>SUM('Net zero emission reductions'!N1454:N1456)</f>
        <v>1.9593217818918536</v>
      </c>
      <c r="AI37" s="27">
        <f>SUM('Net zero emission reductions'!O1454:O1456)</f>
        <v>1.9700677709568992</v>
      </c>
      <c r="AJ37" s="27">
        <f>SUM('Net zero emission reductions'!P1454:P1456)</f>
        <v>1.9808137600219442</v>
      </c>
      <c r="AK37" s="27">
        <f>SUM('Net zero emission reductions'!Q1454:Q1456)</f>
        <v>1.9915597490869896</v>
      </c>
      <c r="AL37" s="27">
        <f>SUM('Net zero emission reductions'!R1454:R1456)</f>
        <v>2.0099227240740993</v>
      </c>
      <c r="AM37" s="27">
        <f>SUM('Net zero emission reductions'!S1454:S1456)</f>
        <v>2.0282856990612084</v>
      </c>
      <c r="AN37" s="27">
        <f>SUM('Net zero emission reductions'!T1454:T1456)</f>
        <v>2.0466486740483179</v>
      </c>
      <c r="AO37" s="27">
        <f>SUM('Net zero emission reductions'!U1454:U1456)</f>
        <v>2.065011649035426</v>
      </c>
      <c r="AP37" s="27">
        <f>SUM('Net zero emission reductions'!V1454:V1456)</f>
        <v>2.0833746240225359</v>
      </c>
      <c r="AQ37" s="27">
        <f>SUM('Net zero emission reductions'!W1454:W1456)</f>
        <v>2.101737599009645</v>
      </c>
      <c r="AR37" s="27">
        <f>SUM('Net zero emission reductions'!X1454:X1456)</f>
        <v>2.120100573996754</v>
      </c>
      <c r="AS37" s="27">
        <f>SUM('Net zero emission reductions'!Y1454:Y1456)</f>
        <v>2.138463548983863</v>
      </c>
      <c r="AT37" s="27">
        <f>SUM('Net zero emission reductions'!Z1454:Z1456)</f>
        <v>2.1568265239709721</v>
      </c>
      <c r="AU37" s="27">
        <f>SUM('Net zero emission reductions'!AA1454:AA1456)</f>
        <v>2.1751894989580816</v>
      </c>
      <c r="AV37" s="27">
        <f>SUM('Net zero emission reductions'!AB1454:AB1456)</f>
        <v>2.1935524739451906</v>
      </c>
      <c r="AW37" s="27">
        <f>SUM('Net zero emission reductions'!AC1454:AC1456)</f>
        <v>2.2119154489322996</v>
      </c>
      <c r="AX37" s="27">
        <f>SUM('Net zero emission reductions'!AD1454:AD1456)</f>
        <v>2.230599586866107</v>
      </c>
      <c r="AY37" s="27">
        <f>SUM('Net zero emission reductions'!AE1454:AE1456)</f>
        <v>2.2492837247999136</v>
      </c>
      <c r="AZ37" s="27">
        <f>SUM('Net zero emission reductions'!AF1454:AF1456)</f>
        <v>2.267967862733721</v>
      </c>
      <c r="BA37" s="27">
        <f>SUM('Net zero emission reductions'!AG1454:AG1456)</f>
        <v>2.2866520006675284</v>
      </c>
      <c r="BB37" s="27">
        <f>SUM('Net zero emission reductions'!AH1454:AH1456)</f>
        <v>2.3053361386013353</v>
      </c>
      <c r="BC37" s="27">
        <f>SUM('Net zero emission reductions'!AI1454:AI1456)</f>
        <v>2.3240202765351423</v>
      </c>
      <c r="BD37" s="27">
        <f>SUM('Net zero emission reductions'!AJ1454:AJ1456)</f>
        <v>2.3427044144689493</v>
      </c>
      <c r="BE37" s="27">
        <f>SUM('Net zero emission reductions'!AK1454:AK1456)</f>
        <v>2.3613885524027567</v>
      </c>
      <c r="BF37" s="27">
        <f>SUM('Net zero emission reductions'!AL1454:AL1456)</f>
        <v>2.3800726903365637</v>
      </c>
      <c r="BG37" s="27">
        <f>SUM('Net zero emission reductions'!AM1454:AM1456)</f>
        <v>2.3987568282703706</v>
      </c>
      <c r="BH37" s="27">
        <f>SUM('Net zero emission reductions'!AN1454:AN1456)</f>
        <v>2.4174409662041776</v>
      </c>
      <c r="BI37" s="27">
        <f>SUM('Net zero emission reductions'!AO1454:AO1456)</f>
        <v>2.436125104137985</v>
      </c>
      <c r="BJ37" s="27">
        <f>SUM('Net zero emission reductions'!AP1454:AP1456)</f>
        <v>2.454809242071792</v>
      </c>
      <c r="BK37" s="27">
        <f>SUM('Net zero emission reductions'!AQ1454:AQ1456)</f>
        <v>2.4734933800055994</v>
      </c>
      <c r="BL37" s="27">
        <f>SUM('Net zero emission reductions'!AR1454:AR1456)</f>
        <v>2.4921775179394063</v>
      </c>
      <c r="BM37" s="27">
        <f>SUM('Net zero emission reductions'!AS1454:AS1456)</f>
        <v>2.5108616558732133</v>
      </c>
      <c r="BN37" s="27">
        <f>SUM('Net zero emission reductions'!AT1454:AT1456)</f>
        <v>2.5295457938070207</v>
      </c>
      <c r="BO37" s="27">
        <f>SUM('Net zero emission reductions'!AU1454:AU1456)</f>
        <v>2.5482299317408281</v>
      </c>
      <c r="BP37" s="27">
        <f>SUM('Net zero emission reductions'!AV1454:AV1456)</f>
        <v>2.5669140696746346</v>
      </c>
      <c r="BQ37" s="27">
        <f>SUM('Net zero emission reductions'!AW1454:AW1456)</f>
        <v>2.5855982076084416</v>
      </c>
    </row>
    <row r="38" spans="1:72" x14ac:dyDescent="0.3">
      <c r="D38" t="str">
        <f t="shared" si="20"/>
        <v>3C Aggregated and non-CO2 emissions on land</v>
      </c>
      <c r="E38" t="str">
        <f t="shared" si="20"/>
        <v>3C1 Biomass burning (N2O)</v>
      </c>
      <c r="F38" t="str">
        <f>'IPCC Categories'!C68</f>
        <v>3C1d Biomass burning in Wetlands</v>
      </c>
      <c r="G38" t="str">
        <f t="shared" si="24"/>
        <v>N2O</v>
      </c>
      <c r="H38" t="str">
        <f t="shared" si="24"/>
        <v>Gg N2O</v>
      </c>
      <c r="I38" s="27">
        <f>'Emissions summary'!F38</f>
        <v>7.357077670844267E-2</v>
      </c>
      <c r="J38" s="27">
        <f>'Emissions summary'!G38</f>
        <v>7.357077670844267E-2</v>
      </c>
      <c r="K38" s="27">
        <f>'Emissions summary'!H38</f>
        <v>7.357077670844267E-2</v>
      </c>
      <c r="L38" s="27">
        <f>'Emissions summary'!I38</f>
        <v>7.357077670844267E-2</v>
      </c>
      <c r="M38" s="27">
        <f>'Emissions summary'!J38</f>
        <v>7.357077670844267E-2</v>
      </c>
      <c r="N38" s="27">
        <f>'Emissions summary'!K38</f>
        <v>7.357077670844267E-2</v>
      </c>
      <c r="O38" s="27">
        <f>'Emissions summary'!L38</f>
        <v>7.357077670844267E-2</v>
      </c>
      <c r="P38" s="27">
        <f>'Emissions summary'!M38</f>
        <v>7.357077670844267E-2</v>
      </c>
      <c r="Q38" s="27">
        <f>'Emissions summary'!N38</f>
        <v>7.357077670844267E-2</v>
      </c>
      <c r="R38" s="27">
        <f>'Emissions summary'!O38</f>
        <v>7.357077670844267E-2</v>
      </c>
      <c r="S38" s="27">
        <f>'Emissions summary'!P38</f>
        <v>6.5083674793923713E-2</v>
      </c>
      <c r="T38" s="27">
        <f>'Emissions summary'!Q38</f>
        <v>7.8612973491927987E-2</v>
      </c>
      <c r="U38" s="27">
        <f>'Emissions summary'!R38</f>
        <v>8.8983449145904836E-2</v>
      </c>
      <c r="V38" s="27">
        <f>'Emissions summary'!S38</f>
        <v>7.2791997693814531E-2</v>
      </c>
      <c r="W38" s="27">
        <f>'Emissions summary'!T38</f>
        <v>6.2381788416642367E-2</v>
      </c>
      <c r="X38" s="27">
        <f>'Emissions summary'!U38</f>
        <v>9.2301206682713535E-2</v>
      </c>
      <c r="Y38" s="27">
        <f>'Emissions summary'!V38</f>
        <v>8.1930731028736672E-2</v>
      </c>
      <c r="Z38" s="27">
        <f>'Emissions summary'!W38</f>
        <v>7.2176126534287191E-2</v>
      </c>
      <c r="AA38" s="27">
        <f>'Emissions summary'!X38</f>
        <v>6.5818746823036997E-2</v>
      </c>
      <c r="AB38" s="27">
        <f>'Emissions summary'!Y38</f>
        <v>7.3924405954880992E-2</v>
      </c>
      <c r="AC38" s="27">
        <f>'Emissions summary'!Z38</f>
        <v>9.8940084389999974E-2</v>
      </c>
      <c r="AD38" s="27">
        <f>'Emissions summary'!AA38</f>
        <v>0.10685917493999998</v>
      </c>
      <c r="AE38" s="27">
        <f>'Net zero emission reductions'!K1457</f>
        <v>7.8813449993659371E-2</v>
      </c>
      <c r="AF38" s="27">
        <f>'Net zero emission reductions'!L1457</f>
        <v>7.8813449993659371E-2</v>
      </c>
      <c r="AG38" s="27">
        <f>'Net zero emission reductions'!M1457</f>
        <v>7.8813449993659371E-2</v>
      </c>
      <c r="AH38" s="27">
        <f>'Net zero emission reductions'!N1457</f>
        <v>7.8813449993659371E-2</v>
      </c>
      <c r="AI38" s="27">
        <f>'Net zero emission reductions'!O1457</f>
        <v>7.8813449993659371E-2</v>
      </c>
      <c r="AJ38" s="27">
        <f>'Net zero emission reductions'!P1457</f>
        <v>7.8813449993659371E-2</v>
      </c>
      <c r="AK38" s="27">
        <f>'Net zero emission reductions'!Q1457</f>
        <v>7.8813449993659371E-2</v>
      </c>
      <c r="AL38" s="27">
        <f>'Net zero emission reductions'!R1457</f>
        <v>7.8813449993659371E-2</v>
      </c>
      <c r="AM38" s="27">
        <f>'Net zero emission reductions'!S1457</f>
        <v>7.8813449993659371E-2</v>
      </c>
      <c r="AN38" s="27">
        <f>'Net zero emission reductions'!T1457</f>
        <v>7.8813449993659371E-2</v>
      </c>
      <c r="AO38" s="27">
        <f>'Net zero emission reductions'!U1457</f>
        <v>7.8813449993659371E-2</v>
      </c>
      <c r="AP38" s="27">
        <f>'Net zero emission reductions'!V1457</f>
        <v>7.8813449993659371E-2</v>
      </c>
      <c r="AQ38" s="27">
        <f>'Net zero emission reductions'!W1457</f>
        <v>7.8813449993659371E-2</v>
      </c>
      <c r="AR38" s="27">
        <f>'Net zero emission reductions'!X1457</f>
        <v>7.8813449993659371E-2</v>
      </c>
      <c r="AS38" s="27">
        <f>'Net zero emission reductions'!Y1457</f>
        <v>7.8813449993659371E-2</v>
      </c>
      <c r="AT38" s="27">
        <f>'Net zero emission reductions'!Z1457</f>
        <v>7.8813449993659371E-2</v>
      </c>
      <c r="AU38" s="27">
        <f>'Net zero emission reductions'!AA1457</f>
        <v>7.8813449993659371E-2</v>
      </c>
      <c r="AV38" s="27">
        <f>'Net zero emission reductions'!AB1457</f>
        <v>7.8813449993659371E-2</v>
      </c>
      <c r="AW38" s="27">
        <f>'Net zero emission reductions'!AC1457</f>
        <v>7.8813449993659371E-2</v>
      </c>
      <c r="AX38" s="27">
        <f>'Net zero emission reductions'!AD1457</f>
        <v>7.8813449993659371E-2</v>
      </c>
      <c r="AY38" s="27">
        <f>'Net zero emission reductions'!AE1457</f>
        <v>7.8813449993659371E-2</v>
      </c>
      <c r="AZ38" s="27">
        <f>'Net zero emission reductions'!AF1457</f>
        <v>7.8813449993659371E-2</v>
      </c>
      <c r="BA38" s="27">
        <f>'Net zero emission reductions'!AG1457</f>
        <v>7.8813449993659371E-2</v>
      </c>
      <c r="BB38" s="27">
        <f>'Net zero emission reductions'!AH1457</f>
        <v>7.8813449993659371E-2</v>
      </c>
      <c r="BC38" s="27">
        <f>'Net zero emission reductions'!AI1457</f>
        <v>7.8813449993659371E-2</v>
      </c>
      <c r="BD38" s="27">
        <f>'Net zero emission reductions'!AJ1457</f>
        <v>7.8813449993659371E-2</v>
      </c>
      <c r="BE38" s="27">
        <f>'Net zero emission reductions'!AK1457</f>
        <v>7.8813449993659371E-2</v>
      </c>
      <c r="BF38" s="27">
        <f>'Net zero emission reductions'!AL1457</f>
        <v>7.8813449993659371E-2</v>
      </c>
      <c r="BG38" s="27">
        <f>'Net zero emission reductions'!AM1457</f>
        <v>7.8813449993659371E-2</v>
      </c>
      <c r="BH38" s="27">
        <f>'Net zero emission reductions'!AN1457</f>
        <v>7.8813449993659371E-2</v>
      </c>
      <c r="BI38" s="27">
        <f>'Net zero emission reductions'!AO1457</f>
        <v>7.8813449993659371E-2</v>
      </c>
      <c r="BJ38" s="27">
        <f>'Net zero emission reductions'!AP1457</f>
        <v>7.8813449993659371E-2</v>
      </c>
      <c r="BK38" s="27">
        <f>'Net zero emission reductions'!AQ1457</f>
        <v>7.8813449993659371E-2</v>
      </c>
      <c r="BL38" s="27">
        <f>'Net zero emission reductions'!AR1457</f>
        <v>7.8813449993659371E-2</v>
      </c>
      <c r="BM38" s="27">
        <f>'Net zero emission reductions'!AS1457</f>
        <v>7.8813449993659371E-2</v>
      </c>
      <c r="BN38" s="27">
        <f>'Net zero emission reductions'!AT1457</f>
        <v>7.8813449993659371E-2</v>
      </c>
      <c r="BO38" s="27">
        <f>'Net zero emission reductions'!AU1457</f>
        <v>7.8813449993659371E-2</v>
      </c>
      <c r="BP38" s="27">
        <f>'Net zero emission reductions'!AV1457</f>
        <v>7.8813449993659371E-2</v>
      </c>
      <c r="BQ38" s="27">
        <f>'Net zero emission reductions'!AW1457</f>
        <v>7.8813449993659371E-2</v>
      </c>
    </row>
    <row r="39" spans="1:72" x14ac:dyDescent="0.3">
      <c r="D39" t="str">
        <f t="shared" si="20"/>
        <v>3C Aggregated and non-CO2 emissions on land</v>
      </c>
      <c r="E39" t="str">
        <f t="shared" si="20"/>
        <v>3C1 Biomass burning (N2O)</v>
      </c>
      <c r="F39" t="str">
        <f>'IPCC Categories'!C69</f>
        <v>3C1e Biomass burning in Settlements</v>
      </c>
      <c r="G39" t="str">
        <f t="shared" si="24"/>
        <v>N2O</v>
      </c>
      <c r="H39" t="str">
        <f t="shared" si="24"/>
        <v>Gg N2O</v>
      </c>
      <c r="I39" s="27">
        <f>'Emissions summary'!F39</f>
        <v>4.462880557297625E-2</v>
      </c>
      <c r="J39" s="27">
        <f>'Emissions summary'!G39</f>
        <v>4.462880557297625E-2</v>
      </c>
      <c r="K39" s="27">
        <f>'Emissions summary'!H39</f>
        <v>4.462880557297625E-2</v>
      </c>
      <c r="L39" s="27">
        <f>'Emissions summary'!I39</f>
        <v>4.462880557297625E-2</v>
      </c>
      <c r="M39" s="27">
        <f>'Emissions summary'!J39</f>
        <v>4.462880557297625E-2</v>
      </c>
      <c r="N39" s="27">
        <f>'Emissions summary'!K39</f>
        <v>4.462880557297625E-2</v>
      </c>
      <c r="O39" s="27">
        <f>'Emissions summary'!L39</f>
        <v>4.462880557297625E-2</v>
      </c>
      <c r="P39" s="27">
        <f>'Emissions summary'!M39</f>
        <v>4.462880557297625E-2</v>
      </c>
      <c r="Q39" s="27">
        <f>'Emissions summary'!N39</f>
        <v>4.462880557297625E-2</v>
      </c>
      <c r="R39" s="27">
        <f>'Emissions summary'!O39</f>
        <v>4.462880557297625E-2</v>
      </c>
      <c r="S39" s="27">
        <f>'Emissions summary'!P39</f>
        <v>4.8614087979466203E-2</v>
      </c>
      <c r="T39" s="27">
        <f>'Emissions summary'!Q39</f>
        <v>5.3839059429649942E-2</v>
      </c>
      <c r="U39" s="27">
        <f>'Emissions summary'!R39</f>
        <v>4.76008805879857E-2</v>
      </c>
      <c r="V39" s="27">
        <f>'Emissions summary'!S39</f>
        <v>4.1064699572356617E-2</v>
      </c>
      <c r="W39" s="27">
        <f>'Emissions summary'!T39</f>
        <v>3.2025300295422769E-2</v>
      </c>
      <c r="X39" s="27">
        <f>'Emissions summary'!U39</f>
        <v>7.2513862331447368E-2</v>
      </c>
      <c r="Y39" s="27">
        <f>'Emissions summary'!V39</f>
        <v>6.3514196677708815E-2</v>
      </c>
      <c r="Z39" s="27">
        <f>'Emissions summary'!W39</f>
        <v>7.0249045809314473E-2</v>
      </c>
      <c r="AA39" s="27">
        <f>'Emissions summary'!X39</f>
        <v>4.3369249717684813E-2</v>
      </c>
      <c r="AB39" s="27">
        <f>'Emissions summary'!Y39</f>
        <v>5.2190114067044435E-2</v>
      </c>
      <c r="AC39" s="27">
        <f>'Emissions summary'!Z39</f>
        <v>3.9028768379999995E-2</v>
      </c>
      <c r="AD39" s="27">
        <f>'Emissions summary'!AA39</f>
        <v>2.72036394E-2</v>
      </c>
      <c r="AE39" s="27">
        <f>SUM('Net zero emission reductions'!K1458:K1459)</f>
        <v>3.9235523819963862E-2</v>
      </c>
      <c r="AF39" s="27">
        <f>SUM('Net zero emission reductions'!L1458:L1459)</f>
        <v>3.9318445103539788E-2</v>
      </c>
      <c r="AG39" s="27">
        <f>SUM('Net zero emission reductions'!M1458:M1459)</f>
        <v>3.9401366387115715E-2</v>
      </c>
      <c r="AH39" s="27">
        <f>SUM('Net zero emission reductions'!N1458:N1459)</f>
        <v>3.9484287670691648E-2</v>
      </c>
      <c r="AI39" s="27">
        <f>SUM('Net zero emission reductions'!O1458:O1459)</f>
        <v>3.9567208954267574E-2</v>
      </c>
      <c r="AJ39" s="27">
        <f>SUM('Net zero emission reductions'!P1458:P1459)</f>
        <v>3.9650130237843507E-2</v>
      </c>
      <c r="AK39" s="27">
        <f>SUM('Net zero emission reductions'!Q1458:Q1459)</f>
        <v>3.9733051521419427E-2</v>
      </c>
      <c r="AL39" s="27">
        <f>SUM('Net zero emission reductions'!R1458:R1459)</f>
        <v>3.981597280499536E-2</v>
      </c>
      <c r="AM39" s="27">
        <f>SUM('Net zero emission reductions'!S1458:S1459)</f>
        <v>3.9898894088571286E-2</v>
      </c>
      <c r="AN39" s="27">
        <f>SUM('Net zero emission reductions'!T1458:T1459)</f>
        <v>3.9981815372147227E-2</v>
      </c>
      <c r="AO39" s="27">
        <f>SUM('Net zero emission reductions'!U1458:U1459)</f>
        <v>4.0064736655723153E-2</v>
      </c>
      <c r="AP39" s="27">
        <f>SUM('Net zero emission reductions'!V1458:V1459)</f>
        <v>4.0147657939299079E-2</v>
      </c>
      <c r="AQ39" s="27">
        <f>SUM('Net zero emission reductions'!W1458:W1459)</f>
        <v>4.0230579222875013E-2</v>
      </c>
      <c r="AR39" s="27">
        <f>SUM('Net zero emission reductions'!X1458:X1459)</f>
        <v>4.0313500506450946E-2</v>
      </c>
      <c r="AS39" s="27">
        <f>SUM('Net zero emission reductions'!Y1458:Y1459)</f>
        <v>4.0396421790026865E-2</v>
      </c>
      <c r="AT39" s="27">
        <f>SUM('Net zero emission reductions'!Z1458:Z1459)</f>
        <v>4.0479343073602798E-2</v>
      </c>
      <c r="AU39" s="27">
        <f>SUM('Net zero emission reductions'!AA1458:AA1459)</f>
        <v>4.0562264357178725E-2</v>
      </c>
      <c r="AV39" s="27">
        <f>SUM('Net zero emission reductions'!AB1458:AB1459)</f>
        <v>4.0645185640754658E-2</v>
      </c>
      <c r="AW39" s="27">
        <f>SUM('Net zero emission reductions'!AC1458:AC1459)</f>
        <v>4.0728106924330584E-2</v>
      </c>
      <c r="AX39" s="27">
        <f>SUM('Net zero emission reductions'!AD1458:AD1459)</f>
        <v>4.0811028207906511E-2</v>
      </c>
      <c r="AY39" s="27">
        <f>SUM('Net zero emission reductions'!AE1458:AE1459)</f>
        <v>4.0893949491482444E-2</v>
      </c>
      <c r="AZ39" s="27">
        <f>SUM('Net zero emission reductions'!AF1458:AF1459)</f>
        <v>4.097687077505837E-2</v>
      </c>
      <c r="BA39" s="27">
        <f>SUM('Net zero emission reductions'!AG1458:AG1459)</f>
        <v>4.1059792058634303E-2</v>
      </c>
      <c r="BB39" s="27">
        <f>SUM('Net zero emission reductions'!AH1458:AH1459)</f>
        <v>4.114271334221023E-2</v>
      </c>
      <c r="BC39" s="27">
        <f>SUM('Net zero emission reductions'!AI1458:AI1459)</f>
        <v>4.1225634625786156E-2</v>
      </c>
      <c r="BD39" s="27">
        <f>SUM('Net zero emission reductions'!AJ1458:AJ1459)</f>
        <v>4.1308555909362089E-2</v>
      </c>
      <c r="BE39" s="27">
        <f>SUM('Net zero emission reductions'!AK1458:AK1459)</f>
        <v>4.1391477192938023E-2</v>
      </c>
      <c r="BF39" s="27">
        <f>SUM('Net zero emission reductions'!AL1458:AL1459)</f>
        <v>4.1474398476513949E-2</v>
      </c>
      <c r="BG39" s="27">
        <f>SUM('Net zero emission reductions'!AM1458:AM1459)</f>
        <v>4.1557319760089875E-2</v>
      </c>
      <c r="BH39" s="27">
        <f>SUM('Net zero emission reductions'!AN1458:AN1459)</f>
        <v>4.1640241043665809E-2</v>
      </c>
      <c r="BI39" s="27">
        <f>SUM('Net zero emission reductions'!AO1458:AO1459)</f>
        <v>4.1723162327241742E-2</v>
      </c>
      <c r="BJ39" s="27">
        <f>SUM('Net zero emission reductions'!AP1458:AP1459)</f>
        <v>4.1806083610817661E-2</v>
      </c>
      <c r="BK39" s="27">
        <f>SUM('Net zero emission reductions'!AQ1458:AQ1459)</f>
        <v>4.1889004894393594E-2</v>
      </c>
      <c r="BL39" s="27">
        <f>SUM('Net zero emission reductions'!AR1458:AR1459)</f>
        <v>4.1971926177969528E-2</v>
      </c>
      <c r="BM39" s="27">
        <f>SUM('Net zero emission reductions'!AS1458:AS1459)</f>
        <v>4.2054847461545454E-2</v>
      </c>
      <c r="BN39" s="27">
        <f>SUM('Net zero emission reductions'!AT1458:AT1459)</f>
        <v>4.2137768745121387E-2</v>
      </c>
      <c r="BO39" s="27">
        <f>SUM('Net zero emission reductions'!AU1458:AU1459)</f>
        <v>4.2220690028697307E-2</v>
      </c>
      <c r="BP39" s="27">
        <f>SUM('Net zero emission reductions'!AV1458:AV1459)</f>
        <v>4.230361131227324E-2</v>
      </c>
      <c r="BQ39" s="27">
        <f>SUM('Net zero emission reductions'!AW1458:AW1459)</f>
        <v>4.2386532595849173E-2</v>
      </c>
    </row>
    <row r="40" spans="1:72" x14ac:dyDescent="0.3">
      <c r="D40" t="str">
        <f t="shared" si="20"/>
        <v>3C Aggregated and non-CO2 emissions on land</v>
      </c>
      <c r="E40" t="str">
        <f t="shared" si="20"/>
        <v>3C1 Biomass burning (N2O)</v>
      </c>
      <c r="F40" t="str">
        <f>'IPCC Categories'!C70</f>
        <v>3C1f Biomass burning in Other lands</v>
      </c>
      <c r="G40" t="str">
        <f t="shared" si="24"/>
        <v>N2O</v>
      </c>
      <c r="H40" t="str">
        <f t="shared" si="24"/>
        <v>Gg N2O</v>
      </c>
      <c r="I40" s="27">
        <f>'Emissions summary'!F40</f>
        <v>0</v>
      </c>
      <c r="J40" s="27">
        <f>'Emissions summary'!G40</f>
        <v>0</v>
      </c>
      <c r="K40" s="27">
        <f>'Emissions summary'!H40</f>
        <v>0</v>
      </c>
      <c r="L40" s="27">
        <f>'Emissions summary'!I40</f>
        <v>0</v>
      </c>
      <c r="M40" s="27">
        <f>'Emissions summary'!J40</f>
        <v>0</v>
      </c>
      <c r="N40" s="27">
        <f>'Emissions summary'!K40</f>
        <v>0</v>
      </c>
      <c r="O40" s="27">
        <f>'Emissions summary'!L40</f>
        <v>0</v>
      </c>
      <c r="P40" s="27">
        <f>'Emissions summary'!M40</f>
        <v>0</v>
      </c>
      <c r="Q40" s="27">
        <f>'Emissions summary'!N40</f>
        <v>0</v>
      </c>
      <c r="R40" s="27">
        <f>'Emissions summary'!O40</f>
        <v>0</v>
      </c>
      <c r="S40" s="27">
        <f>'Emissions summary'!P40</f>
        <v>0</v>
      </c>
      <c r="T40" s="27">
        <f>'Emissions summary'!Q40</f>
        <v>0</v>
      </c>
      <c r="U40" s="27">
        <f>'Emissions summary'!R40</f>
        <v>0</v>
      </c>
      <c r="V40" s="27">
        <f>'Emissions summary'!S40</f>
        <v>0</v>
      </c>
      <c r="W40" s="27">
        <f>'Emissions summary'!T40</f>
        <v>0</v>
      </c>
      <c r="X40" s="27">
        <f>'Emissions summary'!U40</f>
        <v>0</v>
      </c>
      <c r="Y40" s="27">
        <f>'Emissions summary'!V40</f>
        <v>0</v>
      </c>
      <c r="Z40" s="27">
        <f>'Emissions summary'!W40</f>
        <v>0</v>
      </c>
      <c r="AA40" s="27">
        <f>'Emissions summary'!X40</f>
        <v>0</v>
      </c>
      <c r="AB40" s="27">
        <f>'Emissions summary'!Y40</f>
        <v>0</v>
      </c>
      <c r="AC40" s="27">
        <f>'Emissions summary'!Z40</f>
        <v>0</v>
      </c>
      <c r="AD40" s="27">
        <f>'Emissions summary'!AA40</f>
        <v>0</v>
      </c>
      <c r="AE40" s="27">
        <f>'Net zero emission reductions'!K1460</f>
        <v>0</v>
      </c>
      <c r="AF40" s="27">
        <f>'Net zero emission reductions'!L1460</f>
        <v>0</v>
      </c>
      <c r="AG40" s="27">
        <f>'Net zero emission reductions'!M1460</f>
        <v>0</v>
      </c>
      <c r="AH40" s="27">
        <f>'Net zero emission reductions'!N1460</f>
        <v>0</v>
      </c>
      <c r="AI40" s="27">
        <f>'Net zero emission reductions'!O1460</f>
        <v>0</v>
      </c>
      <c r="AJ40" s="27">
        <f>'Net zero emission reductions'!P1460</f>
        <v>0</v>
      </c>
      <c r="AK40" s="27">
        <f>'Net zero emission reductions'!Q1460</f>
        <v>0</v>
      </c>
      <c r="AL40" s="27">
        <f>'Net zero emission reductions'!R1460</f>
        <v>0</v>
      </c>
      <c r="AM40" s="27">
        <f>'Net zero emission reductions'!S1460</f>
        <v>0</v>
      </c>
      <c r="AN40" s="27">
        <f>'Net zero emission reductions'!T1460</f>
        <v>0</v>
      </c>
      <c r="AO40" s="27">
        <f>'Net zero emission reductions'!U1460</f>
        <v>0</v>
      </c>
      <c r="AP40" s="27">
        <f>'Net zero emission reductions'!V1460</f>
        <v>0</v>
      </c>
      <c r="AQ40" s="27">
        <f>'Net zero emission reductions'!W1460</f>
        <v>0</v>
      </c>
      <c r="AR40" s="27">
        <f>'Net zero emission reductions'!X1460</f>
        <v>0</v>
      </c>
      <c r="AS40" s="27">
        <f>'Net zero emission reductions'!Y1460</f>
        <v>0</v>
      </c>
      <c r="AT40" s="27">
        <f>'Net zero emission reductions'!Z1460</f>
        <v>0</v>
      </c>
      <c r="AU40" s="27">
        <f>'Net zero emission reductions'!AA1460</f>
        <v>0</v>
      </c>
      <c r="AV40" s="27">
        <f>'Net zero emission reductions'!AB1460</f>
        <v>0</v>
      </c>
      <c r="AW40" s="27">
        <f>'Net zero emission reductions'!AC1460</f>
        <v>0</v>
      </c>
      <c r="AX40" s="27">
        <f>'Net zero emission reductions'!AD1460</f>
        <v>0</v>
      </c>
      <c r="AY40" s="27">
        <f>'Net zero emission reductions'!AE1460</f>
        <v>0</v>
      </c>
      <c r="AZ40" s="27">
        <f>'Net zero emission reductions'!AF1460</f>
        <v>0</v>
      </c>
      <c r="BA40" s="27">
        <f>'Net zero emission reductions'!AG1460</f>
        <v>0</v>
      </c>
      <c r="BB40" s="27">
        <f>'Net zero emission reductions'!AH1460</f>
        <v>0</v>
      </c>
      <c r="BC40" s="27">
        <f>'Net zero emission reductions'!AI1460</f>
        <v>0</v>
      </c>
      <c r="BD40" s="27">
        <f>'Net zero emission reductions'!AJ1460</f>
        <v>0</v>
      </c>
      <c r="BE40" s="27">
        <f>'Net zero emission reductions'!AK1460</f>
        <v>0</v>
      </c>
      <c r="BF40" s="27">
        <f>'Net zero emission reductions'!AL1460</f>
        <v>0</v>
      </c>
      <c r="BG40" s="27">
        <f>'Net zero emission reductions'!AM1460</f>
        <v>0</v>
      </c>
      <c r="BH40" s="27">
        <f>'Net zero emission reductions'!AN1460</f>
        <v>0</v>
      </c>
      <c r="BI40" s="27">
        <f>'Net zero emission reductions'!AO1460</f>
        <v>0</v>
      </c>
      <c r="BJ40" s="27">
        <f>'Net zero emission reductions'!AP1460</f>
        <v>0</v>
      </c>
      <c r="BK40" s="27">
        <f>'Net zero emission reductions'!AQ1460</f>
        <v>0</v>
      </c>
      <c r="BL40" s="27">
        <f>'Net zero emission reductions'!AR1460</f>
        <v>0</v>
      </c>
      <c r="BM40" s="27">
        <f>'Net zero emission reductions'!AS1460</f>
        <v>0</v>
      </c>
      <c r="BN40" s="27">
        <f>'Net zero emission reductions'!AT1460</f>
        <v>0</v>
      </c>
      <c r="BO40" s="27">
        <f>'Net zero emission reductions'!AU1460</f>
        <v>0</v>
      </c>
      <c r="BP40" s="27">
        <f>'Net zero emission reductions'!AV1460</f>
        <v>0</v>
      </c>
      <c r="BQ40" s="27">
        <f>'Net zero emission reductions'!AW1460</f>
        <v>0</v>
      </c>
    </row>
    <row r="41" spans="1:72" s="19" customFormat="1" ht="15.6" x14ac:dyDescent="0.3">
      <c r="A41" s="97"/>
      <c r="B41" s="97"/>
      <c r="C41" s="97"/>
      <c r="D41" s="19" t="str">
        <f t="shared" si="20"/>
        <v>3C Aggregated and non-CO2 emissions on land</v>
      </c>
      <c r="E41" s="19" t="str">
        <f>'IPCC Categories'!B71</f>
        <v>3C2 Liming (CO2)</v>
      </c>
      <c r="F41" s="19" t="s">
        <v>148</v>
      </c>
      <c r="G41" s="19" t="s">
        <v>380</v>
      </c>
      <c r="H41" s="19" t="s">
        <v>382</v>
      </c>
      <c r="I41" s="41">
        <f>Emissions!H86</f>
        <v>357.5</v>
      </c>
      <c r="J41" s="41">
        <f>Emissions!I86</f>
        <v>378.125</v>
      </c>
      <c r="K41" s="41">
        <f>Emissions!J86</f>
        <v>261.25</v>
      </c>
      <c r="L41" s="41">
        <f>Emissions!K86</f>
        <v>412.5</v>
      </c>
      <c r="M41" s="41">
        <f>Emissions!L86</f>
        <v>595.58170833333327</v>
      </c>
      <c r="N41" s="41">
        <f>Emissions!M86</f>
        <v>473.34145833333332</v>
      </c>
      <c r="O41" s="41">
        <f>Emissions!N86</f>
        <v>579.13625000000002</v>
      </c>
      <c r="P41" s="41">
        <f>Emissions!O86</f>
        <v>547.24312499999996</v>
      </c>
      <c r="Q41" s="41">
        <f>Emissions!P86</f>
        <v>570.31379166666659</v>
      </c>
      <c r="R41" s="41">
        <f>Emissions!Q86</f>
        <v>567.03808333333325</v>
      </c>
      <c r="S41" s="41">
        <f>Emissions!R86</f>
        <v>378.2405</v>
      </c>
      <c r="T41" s="41">
        <f>Emissions!S86</f>
        <v>489.66362500000002</v>
      </c>
      <c r="U41" s="41">
        <f>Emissions!T86</f>
        <v>672.79437500000006</v>
      </c>
      <c r="V41" s="41">
        <f>Emissions!U86</f>
        <v>580.13175000000001</v>
      </c>
      <c r="W41" s="41">
        <f>Emissions!V86</f>
        <v>579.7403333333333</v>
      </c>
      <c r="X41" s="41">
        <f>Emissions!W86</f>
        <v>266.03683333333333</v>
      </c>
      <c r="Y41" s="41">
        <f>Emissions!X86</f>
        <v>441.42908333333332</v>
      </c>
      <c r="Z41" s="41">
        <f>Emissions!Y86</f>
        <v>521.42108333333329</v>
      </c>
      <c r="AA41" s="41">
        <f>Emissions!Z86</f>
        <v>655.32637499999998</v>
      </c>
      <c r="AB41" s="41">
        <f>Emissions!AA86</f>
        <v>695.56775237855516</v>
      </c>
      <c r="AC41" s="41">
        <f>Emissions!AB86</f>
        <v>653.23730656422072</v>
      </c>
      <c r="AD41" s="41">
        <f>Emissions!AC86</f>
        <v>722.61220387104663</v>
      </c>
      <c r="AE41" s="41">
        <f>'Net zero emission reductions'!K1461</f>
        <v>886.46691832724639</v>
      </c>
      <c r="AF41" s="41">
        <f>'Net zero emission reductions'!L1461</f>
        <v>888.12131157949125</v>
      </c>
      <c r="AG41" s="41">
        <f>'Net zero emission reductions'!M1461</f>
        <v>891.15452747930806</v>
      </c>
      <c r="AH41" s="41">
        <f>'Net zero emission reductions'!N1461</f>
        <v>894.77997458773643</v>
      </c>
      <c r="AI41" s="41">
        <f>'Net zero emission reductions'!O1461</f>
        <v>897.22911689738771</v>
      </c>
      <c r="AJ41" s="41">
        <f>'Net zero emission reductions'!P1461</f>
        <v>898.91455113929567</v>
      </c>
      <c r="AK41" s="41">
        <f>'Net zero emission reductions'!Q1461</f>
        <v>899.83749014303339</v>
      </c>
      <c r="AL41" s="41">
        <f>'Net zero emission reductions'!R1461</f>
        <v>901.33063602016739</v>
      </c>
      <c r="AM41" s="41">
        <f>'Net zero emission reductions'!S1461</f>
        <v>902.89907464525436</v>
      </c>
      <c r="AN41" s="41">
        <f>'Net zero emission reductions'!T1461</f>
        <v>891.99675751980965</v>
      </c>
      <c r="AO41" s="41">
        <f>'Net zero emission reductions'!U1461</f>
        <v>896.31989501908868</v>
      </c>
      <c r="AP41" s="41">
        <f>'Net zero emission reductions'!V1461</f>
        <v>902.22024497284394</v>
      </c>
      <c r="AQ41" s="41">
        <f>'Net zero emission reductions'!W1461</f>
        <v>905.3909035858818</v>
      </c>
      <c r="AR41" s="41">
        <f>'Net zero emission reductions'!X1461</f>
        <v>908.85869804414574</v>
      </c>
      <c r="AS41" s="41">
        <f>'Net zero emission reductions'!Y1461</f>
        <v>912.71420258721548</v>
      </c>
      <c r="AT41" s="41">
        <f>'Net zero emission reductions'!Z1461</f>
        <v>916.76138513802675</v>
      </c>
      <c r="AU41" s="41">
        <f>'Net zero emission reductions'!AA1461</f>
        <v>921.08070130350711</v>
      </c>
      <c r="AV41" s="41">
        <f>'Net zero emission reductions'!AB1461</f>
        <v>925.40933815746541</v>
      </c>
      <c r="AW41" s="41">
        <f>'Net zero emission reductions'!AC1461</f>
        <v>929.96831948890872</v>
      </c>
      <c r="AX41" s="41">
        <f>'Net zero emission reductions'!AD1461</f>
        <v>934.50696522239457</v>
      </c>
      <c r="AY41" s="41">
        <f>'Net zero emission reductions'!AE1461</f>
        <v>939.42761374681561</v>
      </c>
      <c r="AZ41" s="41">
        <f>'Net zero emission reductions'!AF1461</f>
        <v>944.16688868183769</v>
      </c>
      <c r="BA41" s="41">
        <f>'Net zero emission reductions'!AG1461</f>
        <v>949.0261231000643</v>
      </c>
      <c r="BB41" s="41">
        <f>'Net zero emission reductions'!AH1461</f>
        <v>954.33840569705478</v>
      </c>
      <c r="BC41" s="41">
        <f>'Net zero emission reductions'!AI1461</f>
        <v>959.278398620286</v>
      </c>
      <c r="BD41" s="41">
        <f>'Net zero emission reductions'!AJ1461</f>
        <v>964.3507815679485</v>
      </c>
      <c r="BE41" s="41">
        <f>'Net zero emission reductions'!AK1461</f>
        <v>969.61220137656596</v>
      </c>
      <c r="BF41" s="41">
        <f>'Net zero emission reductions'!AL1461</f>
        <v>974.44775869223997</v>
      </c>
      <c r="BG41" s="41">
        <f>'Net zero emission reductions'!AM1461</f>
        <v>979.14890322764631</v>
      </c>
      <c r="BH41" s="41">
        <f>'Net zero emission reductions'!AN1461</f>
        <v>983.73381176950784</v>
      </c>
      <c r="BI41" s="41">
        <f>'Net zero emission reductions'!AO1461</f>
        <v>988.57156221875641</v>
      </c>
      <c r="BJ41" s="41">
        <f>'Net zero emission reductions'!AP1461</f>
        <v>993.12969939958668</v>
      </c>
      <c r="BK41" s="41">
        <f>'Net zero emission reductions'!AQ1461</f>
        <v>997.74604101719626</v>
      </c>
      <c r="BL41" s="41">
        <f>'Net zero emission reductions'!AR1461</f>
        <v>1002.4341171721968</v>
      </c>
      <c r="BM41" s="41">
        <f>'Net zero emission reductions'!AS1461</f>
        <v>1007.2170829821735</v>
      </c>
      <c r="BN41" s="41">
        <f>'Net zero emission reductions'!AT1461</f>
        <v>1012.0749838215364</v>
      </c>
      <c r="BO41" s="41">
        <f>'Net zero emission reductions'!AU1461</f>
        <v>1013.5676439901464</v>
      </c>
      <c r="BP41" s="41">
        <f>'Net zero emission reductions'!AV1461</f>
        <v>1014.7466063039381</v>
      </c>
      <c r="BQ41" s="41">
        <f>'Net zero emission reductions'!AW1461</f>
        <v>1015.4810997197675</v>
      </c>
      <c r="BT41"/>
    </row>
    <row r="42" spans="1:72" s="19" customFormat="1" ht="15.6" x14ac:dyDescent="0.3">
      <c r="A42" s="97"/>
      <c r="B42" s="97"/>
      <c r="C42" s="97"/>
      <c r="D42" s="19" t="str">
        <f t="shared" si="20"/>
        <v>3C Aggregated and non-CO2 emissions on land</v>
      </c>
      <c r="E42" s="19" t="str">
        <f>'IPCC Categories'!B72</f>
        <v>3C3 Urea application (CO2)</v>
      </c>
      <c r="F42" s="19" t="s">
        <v>148</v>
      </c>
      <c r="G42" s="19" t="str">
        <f>G41</f>
        <v>CO2</v>
      </c>
      <c r="H42" s="19" t="str">
        <f>H41</f>
        <v>Gg CO2</v>
      </c>
      <c r="I42" s="41">
        <f>Emissions!H87</f>
        <v>90.994567483487728</v>
      </c>
      <c r="J42" s="41">
        <f>Emissions!I87</f>
        <v>111.62690198838213</v>
      </c>
      <c r="K42" s="41">
        <f>Emissions!J87</f>
        <v>132.25923649327655</v>
      </c>
      <c r="L42" s="41">
        <f>Emissions!K87</f>
        <v>152.89157099816552</v>
      </c>
      <c r="M42" s="41">
        <f>Emissions!L87</f>
        <v>173.52390550305992</v>
      </c>
      <c r="N42" s="41">
        <f>Emissions!M87</f>
        <v>194.15624000795432</v>
      </c>
      <c r="O42" s="41">
        <f>Emissions!N87</f>
        <v>214.78857451284878</v>
      </c>
      <c r="P42" s="41">
        <f>Emissions!O87</f>
        <v>235.42090901774316</v>
      </c>
      <c r="Q42" s="41">
        <f>Emissions!P87</f>
        <v>256.05324352263762</v>
      </c>
      <c r="R42" s="41">
        <f>Emissions!Q87</f>
        <v>276.68557802753202</v>
      </c>
      <c r="S42" s="41">
        <f>Emissions!R87</f>
        <v>297.31791253242642</v>
      </c>
      <c r="T42" s="41">
        <f>Emissions!S87</f>
        <v>317.95024703732088</v>
      </c>
      <c r="U42" s="41">
        <f>Emissions!T87</f>
        <v>338.58258154220977</v>
      </c>
      <c r="V42" s="41">
        <f>Emissions!U87</f>
        <v>359.21491604710423</v>
      </c>
      <c r="W42" s="41">
        <f>Emissions!V87</f>
        <v>435.89846666666671</v>
      </c>
      <c r="X42" s="41">
        <f>Emissions!W87</f>
        <v>355.08659999999998</v>
      </c>
      <c r="Y42" s="41">
        <f>Emissions!X87</f>
        <v>393.08573333333334</v>
      </c>
      <c r="Z42" s="41">
        <f>Emissions!Y87</f>
        <v>484.55366666666663</v>
      </c>
      <c r="AA42" s="41">
        <f>Emissions!Z87</f>
        <v>480.19253333333336</v>
      </c>
      <c r="AB42" s="41">
        <f>Emissions!AA87</f>
        <v>380.54426666666666</v>
      </c>
      <c r="AC42" s="41">
        <f>Emissions!AB87</f>
        <v>501.48046666666664</v>
      </c>
      <c r="AD42" s="41">
        <f>Emissions!AC87</f>
        <v>571.19113333333337</v>
      </c>
      <c r="AE42" s="41">
        <f>'Net zero emission reductions'!K1462</f>
        <v>470.0955092083982</v>
      </c>
      <c r="AF42" s="41">
        <f>'Net zero emission reductions'!L1462</f>
        <v>470.05382539136968</v>
      </c>
      <c r="AG42" s="41">
        <f>'Net zero emission reductions'!M1462</f>
        <v>469.97740098840234</v>
      </c>
      <c r="AH42" s="41">
        <f>'Net zero emission reductions'!N1462</f>
        <v>469.88605482647296</v>
      </c>
      <c r="AI42" s="41">
        <f>'Net zero emission reductions'!O1462</f>
        <v>469.82434664447095</v>
      </c>
      <c r="AJ42" s="41">
        <f>'Net zero emission reductions'!P1462</f>
        <v>469.78188072383335</v>
      </c>
      <c r="AK42" s="41">
        <f>'Net zero emission reductions'!Q1462</f>
        <v>469.75862650630785</v>
      </c>
      <c r="AL42" s="41">
        <f>'Net zero emission reductions'!R1462</f>
        <v>469.72100545130479</v>
      </c>
      <c r="AM42" s="41">
        <f>'Net zero emission reductions'!S1462</f>
        <v>469.68148733275598</v>
      </c>
      <c r="AN42" s="41">
        <f>'Net zero emission reductions'!T1462</f>
        <v>469.95618030048149</v>
      </c>
      <c r="AO42" s="41">
        <f>'Net zero emission reductions'!U1462</f>
        <v>469.84725524758687</v>
      </c>
      <c r="AP42" s="41">
        <f>'Net zero emission reductions'!V1462</f>
        <v>469.69859101219856</v>
      </c>
      <c r="AQ42" s="41">
        <f>'Net zero emission reductions'!W1462</f>
        <v>469.61870362550462</v>
      </c>
      <c r="AR42" s="41">
        <f>'Net zero emission reductions'!X1462</f>
        <v>469.53132965350932</v>
      </c>
      <c r="AS42" s="41">
        <f>'Net zero emission reductions'!Y1462</f>
        <v>469.43418700274725</v>
      </c>
      <c r="AT42" s="41">
        <f>'Net zero emission reductions'!Z1462</f>
        <v>469.33221486480466</v>
      </c>
      <c r="AU42" s="41">
        <f>'Net zero emission reductions'!AA1462</f>
        <v>469.22338609360048</v>
      </c>
      <c r="AV42" s="41">
        <f>'Net zero emission reductions'!AB1462</f>
        <v>469.1143224798808</v>
      </c>
      <c r="AW42" s="41">
        <f>'Net zero emission reductions'!AC1462</f>
        <v>468.99945514504452</v>
      </c>
      <c r="AX42" s="41">
        <f>'Net zero emission reductions'!AD1462</f>
        <v>468.88510018254988</v>
      </c>
      <c r="AY42" s="41">
        <f>'Net zero emission reductions'!AE1462</f>
        <v>468.76112034131472</v>
      </c>
      <c r="AZ42" s="41">
        <f>'Net zero emission reductions'!AF1462</f>
        <v>468.64171035885056</v>
      </c>
      <c r="BA42" s="41">
        <f>'Net zero emission reductions'!AG1462</f>
        <v>468.5192778972135</v>
      </c>
      <c r="BB42" s="41">
        <f>'Net zero emission reductions'!AH1462</f>
        <v>468.38543050906895</v>
      </c>
      <c r="BC42" s="41">
        <f>'Net zero emission reductions'!AI1462</f>
        <v>468.26096326958111</v>
      </c>
      <c r="BD42" s="41">
        <f>'Net zero emission reductions'!AJ1462</f>
        <v>468.13316035307253</v>
      </c>
      <c r="BE42" s="41">
        <f>'Net zero emission reductions'!AK1462</f>
        <v>468.00059449527834</v>
      </c>
      <c r="BF42" s="41">
        <f>'Net zero emission reductions'!AL1462</f>
        <v>467.87875859797629</v>
      </c>
      <c r="BG42" s="41">
        <f>'Net zero emission reductions'!AM1462</f>
        <v>467.76030934271449</v>
      </c>
      <c r="BH42" s="41">
        <f>'Net zero emission reductions'!AN1462</f>
        <v>467.64478875019984</v>
      </c>
      <c r="BI42" s="41">
        <f>'Net zero emission reductions'!AO1462</f>
        <v>467.52289759506942</v>
      </c>
      <c r="BJ42" s="41">
        <f>'Net zero emission reductions'!AP1462</f>
        <v>467.40805152931154</v>
      </c>
      <c r="BK42" s="41">
        <f>'Net zero emission reductions'!AQ1462</f>
        <v>467.29173895425197</v>
      </c>
      <c r="BL42" s="41">
        <f>'Net zero emission reductions'!AR1462</f>
        <v>467.17361896772775</v>
      </c>
      <c r="BM42" s="41">
        <f>'Net zero emission reductions'!AS1462</f>
        <v>467.05310815725005</v>
      </c>
      <c r="BN42" s="41">
        <f>'Net zero emission reductions'!AT1462</f>
        <v>466.93070929624412</v>
      </c>
      <c r="BO42" s="41">
        <f>'Net zero emission reductions'!AU1462</f>
        <v>466.89310047907219</v>
      </c>
      <c r="BP42" s="41">
        <f>'Net zero emission reductions'!AV1462</f>
        <v>466.86339554083878</v>
      </c>
      <c r="BQ42" s="41">
        <f>'Net zero emission reductions'!AW1462</f>
        <v>466.8448893669817</v>
      </c>
      <c r="BT42"/>
    </row>
    <row r="43" spans="1:72" s="19" customFormat="1" ht="15.6" x14ac:dyDescent="0.3">
      <c r="A43" s="97"/>
      <c r="B43" s="97"/>
      <c r="C43" s="97"/>
      <c r="D43" s="19" t="str">
        <f t="shared" si="20"/>
        <v>3C Aggregated and non-CO2 emissions on land</v>
      </c>
      <c r="E43" s="19" t="str">
        <f>'IPCC Categories'!B73</f>
        <v>3C4 Direct N2O from managed soils (N2O)</v>
      </c>
      <c r="F43" s="19" t="s">
        <v>148</v>
      </c>
      <c r="G43" s="19" t="s">
        <v>139</v>
      </c>
      <c r="H43" s="19" t="s">
        <v>287</v>
      </c>
      <c r="I43" s="41">
        <f>SUM(I44:I48)</f>
        <v>55.596597383734697</v>
      </c>
      <c r="J43" s="41">
        <f t="shared" ref="J43:AE43" si="25">SUM(J44:J48)</f>
        <v>55.28633998855625</v>
      </c>
      <c r="K43" s="41">
        <f t="shared" si="25"/>
        <v>54.71008958224381</v>
      </c>
      <c r="L43" s="41">
        <f t="shared" si="25"/>
        <v>54.205597256781054</v>
      </c>
      <c r="M43" s="41">
        <f t="shared" si="25"/>
        <v>52.900250302352887</v>
      </c>
      <c r="N43" s="41">
        <f t="shared" si="25"/>
        <v>51.915653074343908</v>
      </c>
      <c r="O43" s="41">
        <f t="shared" si="25"/>
        <v>54.152443602860892</v>
      </c>
      <c r="P43" s="41">
        <f t="shared" si="25"/>
        <v>55.0921271912325</v>
      </c>
      <c r="Q43" s="41">
        <f t="shared" si="25"/>
        <v>55.452453962621647</v>
      </c>
      <c r="R43" s="41">
        <f t="shared" si="25"/>
        <v>55.340893527840024</v>
      </c>
      <c r="S43" s="41">
        <f t="shared" si="25"/>
        <v>54.909001676139468</v>
      </c>
      <c r="T43" s="41">
        <f t="shared" si="25"/>
        <v>53.415685968258067</v>
      </c>
      <c r="U43" s="41">
        <f t="shared" si="25"/>
        <v>54.703059588171548</v>
      </c>
      <c r="V43" s="41">
        <f t="shared" si="25"/>
        <v>54.096474666145404</v>
      </c>
      <c r="W43" s="41">
        <f t="shared" si="25"/>
        <v>53.498896979933384</v>
      </c>
      <c r="X43" s="41">
        <f t="shared" si="25"/>
        <v>52.263187711915691</v>
      </c>
      <c r="Y43" s="41">
        <f t="shared" si="25"/>
        <v>52.35335955308765</v>
      </c>
      <c r="Z43" s="41">
        <f t="shared" si="25"/>
        <v>54.345597859655129</v>
      </c>
      <c r="AA43" s="41">
        <f t="shared" si="25"/>
        <v>54.4968684161461</v>
      </c>
      <c r="AB43" s="41">
        <f t="shared" si="25"/>
        <v>54.126626370799677</v>
      </c>
      <c r="AC43" s="41">
        <f t="shared" si="25"/>
        <v>53.115630834632697</v>
      </c>
      <c r="AD43" s="41">
        <f t="shared" si="25"/>
        <v>53.123674822972326</v>
      </c>
      <c r="AE43" s="41">
        <f t="shared" si="25"/>
        <v>55.328082895998861</v>
      </c>
      <c r="AF43" s="41">
        <f t="shared" ref="AF43:BQ43" si="26">SUM(AF44:AF48)</f>
        <v>55.141377146941771</v>
      </c>
      <c r="AG43" s="41">
        <f t="shared" si="26"/>
        <v>55.133536751110526</v>
      </c>
      <c r="AH43" s="41">
        <f t="shared" si="26"/>
        <v>54.82749609462973</v>
      </c>
      <c r="AI43" s="41">
        <f t="shared" si="26"/>
        <v>54.339148116939327</v>
      </c>
      <c r="AJ43" s="41">
        <f t="shared" si="26"/>
        <v>53.680284142654159</v>
      </c>
      <c r="AK43" s="41">
        <f t="shared" si="26"/>
        <v>53.185580517007523</v>
      </c>
      <c r="AL43" s="41">
        <f t="shared" si="26"/>
        <v>52.728403644181718</v>
      </c>
      <c r="AM43" s="41">
        <f t="shared" si="26"/>
        <v>49.461749990211324</v>
      </c>
      <c r="AN43" s="41">
        <f t="shared" si="26"/>
        <v>49.891675180209745</v>
      </c>
      <c r="AO43" s="41">
        <f t="shared" si="26"/>
        <v>50.715220631759436</v>
      </c>
      <c r="AP43" s="41">
        <f t="shared" si="26"/>
        <v>50.943086787888127</v>
      </c>
      <c r="AQ43" s="41">
        <f t="shared" si="26"/>
        <v>51.234151292935827</v>
      </c>
      <c r="AR43" s="41">
        <f t="shared" si="26"/>
        <v>51.615726060506908</v>
      </c>
      <c r="AS43" s="41">
        <f t="shared" si="26"/>
        <v>52.034958085840103</v>
      </c>
      <c r="AT43" s="41">
        <f t="shared" si="26"/>
        <v>52.518804242509233</v>
      </c>
      <c r="AU43" s="41">
        <f t="shared" si="26"/>
        <v>53.00903503426003</v>
      </c>
      <c r="AV43" s="41">
        <f t="shared" si="26"/>
        <v>53.554750637431113</v>
      </c>
      <c r="AW43" s="41">
        <f t="shared" si="26"/>
        <v>54.100341378969702</v>
      </c>
      <c r="AX43" s="41">
        <f t="shared" si="26"/>
        <v>54.512304458007421</v>
      </c>
      <c r="AY43" s="41">
        <f t="shared" si="26"/>
        <v>54.877068652131001</v>
      </c>
      <c r="AZ43" s="41">
        <f t="shared" si="26"/>
        <v>55.261356344966174</v>
      </c>
      <c r="BA43" s="41">
        <f t="shared" si="26"/>
        <v>55.741542861904534</v>
      </c>
      <c r="BB43" s="41">
        <f t="shared" si="26"/>
        <v>56.130162429002496</v>
      </c>
      <c r="BC43" s="41">
        <f t="shared" si="26"/>
        <v>56.532269740099686</v>
      </c>
      <c r="BD43" s="41">
        <f t="shared" si="26"/>
        <v>56.969260528770903</v>
      </c>
      <c r="BE43" s="41">
        <f t="shared" si="26"/>
        <v>57.300055312512235</v>
      </c>
      <c r="BF43" s="41">
        <f t="shared" si="26"/>
        <v>57.589361115261674</v>
      </c>
      <c r="BG43" s="41">
        <f t="shared" si="26"/>
        <v>57.841762906911804</v>
      </c>
      <c r="BH43" s="41">
        <f t="shared" si="26"/>
        <v>58.274619207782685</v>
      </c>
      <c r="BI43" s="41">
        <f t="shared" si="26"/>
        <v>58.639722769100814</v>
      </c>
      <c r="BJ43" s="41">
        <f t="shared" si="26"/>
        <v>59.012869885643362</v>
      </c>
      <c r="BK43" s="41">
        <f t="shared" si="26"/>
        <v>59.397923042976856</v>
      </c>
      <c r="BL43" s="41">
        <f t="shared" si="26"/>
        <v>59.80019450876911</v>
      </c>
      <c r="BM43" s="41">
        <f t="shared" si="26"/>
        <v>60.20783146801984</v>
      </c>
      <c r="BN43" s="41">
        <f t="shared" si="26"/>
        <v>59.829421753216877</v>
      </c>
      <c r="BO43" s="41">
        <f t="shared" si="26"/>
        <v>59.373227475178425</v>
      </c>
      <c r="BP43" s="41">
        <f t="shared" si="26"/>
        <v>58.82095615932873</v>
      </c>
      <c r="BQ43" s="41">
        <f t="shared" si="26"/>
        <v>58.245279590048085</v>
      </c>
      <c r="BT43"/>
    </row>
    <row r="44" spans="1:72" x14ac:dyDescent="0.3">
      <c r="A44" s="95" t="str">
        <f t="shared" ref="A44:A48" si="27">B44&amp;" "&amp;C44</f>
        <v>FSFAGSPQNIBDDSCM Synthetic</v>
      </c>
      <c r="B44" s="95" t="str">
        <f t="shared" ref="B44:B48" si="28">$B$5</f>
        <v>FSFAGSPQNIBDDSCM</v>
      </c>
      <c r="C44" s="95" t="s">
        <v>1126</v>
      </c>
      <c r="D44" t="str">
        <f>D42</f>
        <v>3C Aggregated and non-CO2 emissions on land</v>
      </c>
      <c r="E44" t="str">
        <f>'IPCC Categories'!B73</f>
        <v>3C4 Direct N2O from managed soils (N2O)</v>
      </c>
      <c r="F44" t="str">
        <f>'IPCC Categories'!C73</f>
        <v>Inorganic inputs</v>
      </c>
      <c r="G44" t="s">
        <v>139</v>
      </c>
      <c r="H44" t="s">
        <v>287</v>
      </c>
      <c r="I44" s="27">
        <f>'Emissions summary'!F44</f>
        <v>5.4008271428571426</v>
      </c>
      <c r="J44" s="27">
        <f>'Emissions summary'!G44</f>
        <v>5.7362642857142854</v>
      </c>
      <c r="K44" s="27">
        <f>'Emissions summary'!H44</f>
        <v>5.4611071428571423</v>
      </c>
      <c r="L44" s="27">
        <f>'Emissions summary'!I44</f>
        <v>6.4186414285714282</v>
      </c>
      <c r="M44" s="27">
        <f>'Emissions summary'!J44</f>
        <v>5.8938942857142855</v>
      </c>
      <c r="N44" s="27">
        <f>'Emissions summary'!K44</f>
        <v>5.8377157142857143</v>
      </c>
      <c r="O44" s="27">
        <f>'Emissions summary'!L44</f>
        <v>6.5227485714285702</v>
      </c>
      <c r="P44" s="27">
        <f>'Emissions summary'!M44</f>
        <v>6.3943628571428572</v>
      </c>
      <c r="Q44" s="27">
        <f>'Emissions summary'!N44</f>
        <v>6.5296157142857139</v>
      </c>
      <c r="R44" s="27">
        <f>'Emissions summary'!O44</f>
        <v>6.4907071428571426</v>
      </c>
      <c r="S44" s="27">
        <f>'Emissions summary'!P44</f>
        <v>6.5360899999999997</v>
      </c>
      <c r="T44" s="27">
        <f>'Emissions summary'!Q44</f>
        <v>6.219918571428571</v>
      </c>
      <c r="U44" s="27">
        <f>'Emissions summary'!R44</f>
        <v>7.4968457142857146</v>
      </c>
      <c r="V44" s="27">
        <f>'Emissions summary'!S44</f>
        <v>6.6129957142857139</v>
      </c>
      <c r="W44" s="27">
        <f>'Emissions summary'!T44</f>
        <v>6.7189728571428571</v>
      </c>
      <c r="X44" s="27">
        <f>'Emissions summary'!U44</f>
        <v>5.4569428571428569</v>
      </c>
      <c r="Y44" s="27">
        <f>'Emissions summary'!V44</f>
        <v>6.7370128571428571</v>
      </c>
      <c r="Z44" s="27">
        <f>'Emissions summary'!W44</f>
        <v>6.9061142857142848</v>
      </c>
      <c r="AA44" s="27">
        <f>'Emissions summary'!X44</f>
        <v>6.66479</v>
      </c>
      <c r="AB44" s="27">
        <f>'Emissions summary'!Y44</f>
        <v>7.1307814285714279</v>
      </c>
      <c r="AC44" s="27">
        <f>'Emissions summary'!Z44</f>
        <v>6.2071428571428573</v>
      </c>
      <c r="AD44" s="27">
        <f>'Emissions summary'!AA44</f>
        <v>6.5842857142857145</v>
      </c>
      <c r="AE44" s="94">
        <f>IF($A44="Baseline",'Emissions summary'!AB44,SUMIF('Net zero emission reductions'!$A$4:$A$1448,$A$44,'Net zero emission reductions'!K$4:K$1448))</f>
        <v>6.6064812063358538</v>
      </c>
      <c r="AF44" s="94">
        <f>IF($A44="Baseline",'Emissions summary'!AC44,SUMIF('Net zero emission reductions'!$A$4:$A$1448,$A$44,'Net zero emission reductions'!L$4:L$1448))</f>
        <v>6.6058242184852958</v>
      </c>
      <c r="AG44" s="94">
        <f>IF($A44="Baseline",'Emissions summary'!AD44,SUMIF('Net zero emission reductions'!$A$4:$A$1448,$A$44,'Net zero emission reductions'!M$4:M$1448))</f>
        <v>6.6046196765835479</v>
      </c>
      <c r="AH44" s="94">
        <f>IF($A44="Baseline",'Emissions summary'!AE44,SUMIF('Net zero emission reductions'!$A$4:$A$1448,$A$44,'Net zero emission reductions'!N$4:N$1448))</f>
        <v>6.6031799495417181</v>
      </c>
      <c r="AI44" s="94">
        <f>IF($A44="Baseline",'Emissions summary'!AF44,SUMIF('Net zero emission reductions'!$A$4:$A$1448,$A$44,'Net zero emission reductions'!O$4:O$1448))</f>
        <v>6.6022073532502725</v>
      </c>
      <c r="AJ44" s="94">
        <f>IF($A44="Baseline",'Emissions summary'!AG44,SUMIF('Net zero emission reductions'!$A$4:$A$1448,$A$44,'Net zero emission reductions'!P$4:P$1448))</f>
        <v>6.6015380384919204</v>
      </c>
      <c r="AK44" s="94">
        <f>IF($A44="Baseline",'Emissions summary'!AH44,SUMIF('Net zero emission reductions'!$A$4:$A$1448,$A$44,'Net zero emission reductions'!Q$4:Q$1448))</f>
        <v>6.6011715236312982</v>
      </c>
      <c r="AL44" s="94">
        <f>IF($A44="Baseline",'Emissions summary'!AI44,SUMIF('Net zero emission reductions'!$A$4:$A$1448,$A$44,'Net zero emission reductions'!R$4:R$1448))</f>
        <v>6.6005785698707236</v>
      </c>
      <c r="AM44" s="94">
        <f>IF($A44="Baseline",'Emissions summary'!AJ44,SUMIF('Net zero emission reductions'!$A$4:$A$1448,$A$44,'Net zero emission reductions'!S$4:S$1448))</f>
        <v>6.599955716072432</v>
      </c>
      <c r="AN44" s="94">
        <f>IF($A44="Baseline",'Emissions summary'!AK44,SUMIF('Net zero emission reductions'!$A$4:$A$1448,$A$44,'Net zero emission reductions'!T$4:T$1448))</f>
        <v>6.6042852126323481</v>
      </c>
      <c r="AO44" s="94">
        <f>IF($A44="Baseline",'Emissions summary'!AL44,SUMIF('Net zero emission reductions'!$A$4:$A$1448,$A$44,'Net zero emission reductions'!U$4:U$1448))</f>
        <v>6.6025684208058211</v>
      </c>
      <c r="AP44" s="94">
        <f>IF($A44="Baseline",'Emissions summary'!AM44,SUMIF('Net zero emission reductions'!$A$4:$A$1448,$A$44,'Net zero emission reductions'!V$4:V$1448))</f>
        <v>6.6002252909433183</v>
      </c>
      <c r="AQ44" s="94">
        <f>IF($A44="Baseline",'Emissions summary'!AN44,SUMIF('Net zero emission reductions'!$A$4:$A$1448,$A$44,'Net zero emission reductions'!W$4:W$1448))</f>
        <v>6.598966168189885</v>
      </c>
      <c r="AR44" s="94">
        <f>IF($A44="Baseline",'Emissions summary'!AO44,SUMIF('Net zero emission reductions'!$A$4:$A$1448,$A$44,'Net zero emission reductions'!X$4:X$1448))</f>
        <v>6.597589047711292</v>
      </c>
      <c r="AS44" s="94">
        <f>IF($A44="Baseline",'Emissions summary'!AP44,SUMIF('Net zero emission reductions'!$A$4:$A$1448,$A$44,'Net zero emission reductions'!Y$4:Y$1448))</f>
        <v>6.5960579609281904</v>
      </c>
      <c r="AT44" s="94">
        <f>IF($A44="Baseline",'Emissions summary'!AQ44,SUMIF('Net zero emission reductions'!$A$4:$A$1448,$A$44,'Net zero emission reductions'!Z$4:Z$1448))</f>
        <v>6.5944507555305236</v>
      </c>
      <c r="AU44" s="94">
        <f>IF($A44="Baseline",'Emissions summary'!AR44,SUMIF('Net zero emission reductions'!$A$4:$A$1448,$A$44,'Net zero emission reductions'!AA$4:AA$1448))</f>
        <v>6.5927354812209922</v>
      </c>
      <c r="AV44" s="94">
        <f>IF($A44="Baseline",'Emissions summary'!AS44,SUMIF('Net zero emission reductions'!$A$4:$A$1448,$A$44,'Net zero emission reductions'!AB$4:AB$1448))</f>
        <v>6.5910165055066825</v>
      </c>
      <c r="AW44" s="94">
        <f>IF($A44="Baseline",'Emissions summary'!AT44,SUMIF('Net zero emission reductions'!$A$4:$A$1448,$A$44,'Net zero emission reductions'!AC$4:AC$1448))</f>
        <v>6.589206056061478</v>
      </c>
      <c r="AX44" s="94">
        <f>IF($A44="Baseline",'Emissions summary'!AU44,SUMIF('Net zero emission reductions'!$A$4:$A$1448,$A$44,'Net zero emission reductions'!AD$4:AD$1448))</f>
        <v>6.5874036822299606</v>
      </c>
      <c r="AY44" s="94">
        <f>IF($A44="Baseline",'Emissions summary'!AV44,SUMIF('Net zero emission reductions'!$A$4:$A$1448,$A$44,'Net zero emission reductions'!AE$4:AE$1448))</f>
        <v>6.5854496085579246</v>
      </c>
      <c r="AZ44" s="94">
        <f>IF($A44="Baseline",'Emissions summary'!AW44,SUMIF('Net zero emission reductions'!$A$4:$A$1448,$A$44,'Net zero emission reductions'!AF$4:AF$1448))</f>
        <v>6.5835675614397218</v>
      </c>
      <c r="BA44" s="94">
        <f>IF($A44="Baseline",'Emissions summary'!AX44,SUMIF('Net zero emission reductions'!$A$4:$A$1448,$A$44,'Net zero emission reductions'!AG$4:AG$1448))</f>
        <v>6.5816378763594336</v>
      </c>
      <c r="BB44" s="94">
        <f>IF($A44="Baseline",'Emissions summary'!AY44,SUMIF('Net zero emission reductions'!$A$4:$A$1448,$A$44,'Net zero emission reductions'!AH$4:AH$1448))</f>
        <v>6.5795282781002431</v>
      </c>
      <c r="BC44" s="94">
        <f>IF($A44="Baseline",'Emissions summary'!AZ44,SUMIF('Net zero emission reductions'!$A$4:$A$1448,$A$44,'Net zero emission reductions'!AI$4:AI$1448))</f>
        <v>6.5775665224366495</v>
      </c>
      <c r="BD44" s="94">
        <f>IF($A44="Baseline",'Emissions summary'!BA44,SUMIF('Net zero emission reductions'!$A$4:$A$1448,$A$44,'Net zero emission reductions'!AJ$4:AJ$1448))</f>
        <v>6.5755521924304867</v>
      </c>
      <c r="BE44" s="94">
        <f>IF($A44="Baseline",'Emissions summary'!BB44,SUMIF('Net zero emission reductions'!$A$4:$A$1448,$A$44,'Net zero emission reductions'!AK$4:AK$1448))</f>
        <v>6.573462792654313</v>
      </c>
      <c r="BF44" s="94">
        <f>IF($A44="Baseline",'Emissions summary'!BC44,SUMIF('Net zero emission reductions'!$A$4:$A$1448,$A$44,'Net zero emission reductions'!AL$4:AL$1448))</f>
        <v>6.5715425101563261</v>
      </c>
      <c r="BG44" s="94">
        <f>IF($A44="Baseline",'Emissions summary'!BD44,SUMIF('Net zero emission reductions'!$A$4:$A$1448,$A$44,'Net zero emission reductions'!AM$4:AM$1448))</f>
        <v>6.5696756052718408</v>
      </c>
      <c r="BH44" s="94">
        <f>IF($A44="Baseline",'Emissions summary'!BE44,SUMIF('Net zero emission reductions'!$A$4:$A$1448,$A$44,'Net zero emission reductions'!AN$4:AN$1448))</f>
        <v>6.5678548596880235</v>
      </c>
      <c r="BI44" s="94">
        <f>IF($A44="Baseline",'Emissions summary'!BF44,SUMIF('Net zero emission reductions'!$A$4:$A$1448,$A$44,'Net zero emission reductions'!AO$4:AO$1448))</f>
        <v>6.5659337062591927</v>
      </c>
      <c r="BJ44" s="94">
        <f>IF($A44="Baseline",'Emissions summary'!BG44,SUMIF('Net zero emission reductions'!$A$4:$A$1448,$A$44,'Net zero emission reductions'!AP$4:AP$1448))</f>
        <v>6.564123592040632</v>
      </c>
      <c r="BK44" s="94">
        <f>IF($A44="Baseline",'Emissions summary'!BH44,SUMIF('Net zero emission reductions'!$A$4:$A$1448,$A$44,'Net zero emission reductions'!AQ$4:AQ$1448))</f>
        <v>6.5622903638449301</v>
      </c>
      <c r="BL44" s="94">
        <f>IF($A44="Baseline",'Emissions summary'!BI44,SUMIF('Net zero emission reductions'!$A$4:$A$1448,$A$44,'Net zero emission reductions'!AR$4:AR$1448))</f>
        <v>6.5604286486377719</v>
      </c>
      <c r="BM44" s="94">
        <f>IF($A44="Baseline",'Emissions summary'!BJ44,SUMIF('Net zero emission reductions'!$A$4:$A$1448,$A$44,'Net zero emission reductions'!AS$4:AS$1448))</f>
        <v>6.5585292511260116</v>
      </c>
      <c r="BN44" s="94">
        <f>IF($A44="Baseline",'Emissions summary'!BK44,SUMIF('Net zero emission reductions'!$A$4:$A$1448,$A$44,'Net zero emission reductions'!AT$4:AT$1448))</f>
        <v>6.5566000956326942</v>
      </c>
      <c r="BO44" s="94">
        <f>IF($A44="Baseline",'Emissions summary'!BL44,SUMIF('Net zero emission reductions'!$A$4:$A$1448,$A$44,'Net zero emission reductions'!AU$4:AU$1448))</f>
        <v>6.5560073347552805</v>
      </c>
      <c r="BP44" s="94">
        <f>IF($A44="Baseline",'Emissions summary'!BM44,SUMIF('Net zero emission reductions'!$A$4:$A$1448,$A$44,'Net zero emission reductions'!AV$4:AV$1448))</f>
        <v>6.5555391486602428</v>
      </c>
      <c r="BQ44" s="94">
        <f>IF($A44="Baseline",'Emissions summary'!BN44,SUMIF('Net zero emission reductions'!$A$4:$A$1448,$A$44,'Net zero emission reductions'!AW$4:AW$1448))</f>
        <v>6.5552474687649953</v>
      </c>
    </row>
    <row r="45" spans="1:72" x14ac:dyDescent="0.3">
      <c r="A45" s="95" t="str">
        <f t="shared" si="27"/>
        <v>FSFAGSPQNIBDDSCM Organic</v>
      </c>
      <c r="B45" s="95" t="str">
        <f t="shared" si="28"/>
        <v>FSFAGSPQNIBDDSCM</v>
      </c>
      <c r="C45" s="95" t="s">
        <v>1127</v>
      </c>
      <c r="D45" t="str">
        <f t="shared" si="20"/>
        <v>3C Aggregated and non-CO2 emissions on land</v>
      </c>
      <c r="E45" t="str">
        <f>E44</f>
        <v>3C4 Direct N2O from managed soils (N2O)</v>
      </c>
      <c r="F45" t="str">
        <f>'IPCC Categories'!C74</f>
        <v>Organic inputs</v>
      </c>
      <c r="G45" t="str">
        <f>G44</f>
        <v>N2O</v>
      </c>
      <c r="H45" t="str">
        <f>H44</f>
        <v>Gg N2O</v>
      </c>
      <c r="I45" s="27">
        <f>'Emissions summary'!F45</f>
        <v>5.013223224744225</v>
      </c>
      <c r="J45" s="27">
        <f>'Emissions summary'!G45</f>
        <v>5.2664911527114882</v>
      </c>
      <c r="K45" s="27">
        <f>'Emissions summary'!H45</f>
        <v>5.1762858222826607</v>
      </c>
      <c r="L45" s="27">
        <f>'Emissions summary'!I45</f>
        <v>5.2086111862956743</v>
      </c>
      <c r="M45" s="27">
        <f>'Emissions summary'!J45</f>
        <v>4.8007290385965042</v>
      </c>
      <c r="N45" s="27">
        <f>'Emissions summary'!K45</f>
        <v>4.8651386255813591</v>
      </c>
      <c r="O45" s="27">
        <f>'Emissions summary'!L45</f>
        <v>5.0338302809481963</v>
      </c>
      <c r="P45" s="27">
        <f>'Emissions summary'!M45</f>
        <v>5.1142932794644391</v>
      </c>
      <c r="Q45" s="27">
        <f>'Emissions summary'!N45</f>
        <v>5.3033045117136446</v>
      </c>
      <c r="R45" s="27">
        <f>'Emissions summary'!O45</f>
        <v>5.4092266243626721</v>
      </c>
      <c r="S45" s="27">
        <f>'Emissions summary'!P45</f>
        <v>5.6403135553523542</v>
      </c>
      <c r="T45" s="27">
        <f>'Emissions summary'!Q45</f>
        <v>5.5621015030972583</v>
      </c>
      <c r="U45" s="27">
        <f>'Emissions summary'!R45</f>
        <v>5.7412119564886979</v>
      </c>
      <c r="V45" s="27">
        <f>'Emissions summary'!S45</f>
        <v>5.6607422735121498</v>
      </c>
      <c r="W45" s="27">
        <f>'Emissions summary'!T45</f>
        <v>5.5972438596319325</v>
      </c>
      <c r="X45" s="27">
        <f>'Emissions summary'!U45</f>
        <v>5.6518594537321407</v>
      </c>
      <c r="Y45" s="27">
        <f>'Emissions summary'!V45</f>
        <v>5.7679219843073382</v>
      </c>
      <c r="Z45" s="27">
        <f>'Emissions summary'!W45</f>
        <v>5.930952774865669</v>
      </c>
      <c r="AA45" s="27">
        <f>'Emissions summary'!X45</f>
        <v>6.1389173405766284</v>
      </c>
      <c r="AB45" s="27">
        <f>'Emissions summary'!Y45</f>
        <v>6.0934183775123598</v>
      </c>
      <c r="AC45" s="27">
        <f>'Emissions summary'!Z45</f>
        <v>6.0637701628895098</v>
      </c>
      <c r="AD45" s="27">
        <f>'Emissions summary'!AA45</f>
        <v>6.1036946299350001</v>
      </c>
      <c r="AE45" s="94">
        <f>IF($A45="Baseline",'Emissions summary'!AB45,SUMIF('Net zero emission reductions'!$A$4:$A$1448,$A$45,'Net zero emission reductions'!K$4:K$1448))</f>
        <v>6.0478064170898831</v>
      </c>
      <c r="AF45" s="94">
        <f>IF($A45="Baseline",'Emissions summary'!AC45,SUMIF('Net zero emission reductions'!$A$4:$A$1448,$A$45,'Net zero emission reductions'!L$4:L$1448))</f>
        <v>6.0531159936457968</v>
      </c>
      <c r="AG45" s="94">
        <f>IF($A45="Baseline",'Emissions summary'!AD45,SUMIF('Net zero emission reductions'!$A$4:$A$1448,$A$45,'Net zero emission reductions'!M$4:M$1448))</f>
        <v>6.0879780513059973</v>
      </c>
      <c r="AH45" s="94">
        <f>IF($A45="Baseline",'Emissions summary'!AE45,SUMIF('Net zero emission reductions'!$A$4:$A$1448,$A$45,'Net zero emission reductions'!N$4:N$1448))</f>
        <v>6.0713021029410523</v>
      </c>
      <c r="AI45" s="94">
        <f>IF($A45="Baseline",'Emissions summary'!AF45,SUMIF('Net zero emission reductions'!$A$4:$A$1448,$A$45,'Net zero emission reductions'!O$4:O$1448))</f>
        <v>6.0227924876945913</v>
      </c>
      <c r="AJ45" s="94">
        <f>IF($A45="Baseline",'Emissions summary'!AG45,SUMIF('Net zero emission reductions'!$A$4:$A$1448,$A$45,'Net zero emission reductions'!P$4:P$1448))</f>
        <v>5.9435526503046603</v>
      </c>
      <c r="AK45" s="94">
        <f>IF($A45="Baseline",'Emissions summary'!AH45,SUMIF('Net zero emission reductions'!$A$4:$A$1448,$A$45,'Net zero emission reductions'!Q$4:Q$1448))</f>
        <v>5.8924508429088123</v>
      </c>
      <c r="AL45" s="94">
        <f>IF($A45="Baseline",'Emissions summary'!AI45,SUMIF('Net zero emission reductions'!$A$4:$A$1448,$A$45,'Net zero emission reductions'!R$4:R$1448))</f>
        <v>5.8469995385277027</v>
      </c>
      <c r="AM45" s="94">
        <f>IF($A45="Baseline",'Emissions summary'!AJ45,SUMIF('Net zero emission reductions'!$A$4:$A$1448,$A$45,'Net zero emission reductions'!S$4:S$1448))</f>
        <v>5.2945469060466817</v>
      </c>
      <c r="AN45" s="94">
        <f>IF($A45="Baseline",'Emissions summary'!AK45,SUMIF('Net zero emission reductions'!$A$4:$A$1448,$A$45,'Net zero emission reductions'!T$4:T$1448))</f>
        <v>5.395325131461906</v>
      </c>
      <c r="AO45" s="94">
        <f>IF($A45="Baseline",'Emissions summary'!AL45,SUMIF('Net zero emission reductions'!$A$4:$A$1448,$A$45,'Net zero emission reductions'!U$4:U$1448))</f>
        <v>5.56125002824355</v>
      </c>
      <c r="AP45" s="94">
        <f>IF($A45="Baseline",'Emissions summary'!AM45,SUMIF('Net zero emission reductions'!$A$4:$A$1448,$A$45,'Net zero emission reductions'!V$4:V$1448))</f>
        <v>5.6188064758998797</v>
      </c>
      <c r="AQ45" s="94">
        <f>IF($A45="Baseline",'Emissions summary'!AN45,SUMIF('Net zero emission reductions'!$A$4:$A$1448,$A$45,'Net zero emission reductions'!W$4:W$1448))</f>
        <v>5.6895503881981906</v>
      </c>
      <c r="AR45" s="94">
        <f>IF($A45="Baseline",'Emissions summary'!AO45,SUMIF('Net zero emission reductions'!$A$4:$A$1448,$A$45,'Net zero emission reductions'!X$4:X$1448))</f>
        <v>5.7773046738050482</v>
      </c>
      <c r="AS45" s="94">
        <f>IF($A45="Baseline",'Emissions summary'!AP45,SUMIF('Net zero emission reductions'!$A$4:$A$1448,$A$45,'Net zero emission reductions'!Y$4:Y$1448))</f>
        <v>5.8744961881681155</v>
      </c>
      <c r="AT45" s="94">
        <f>IF($A45="Baseline",'Emissions summary'!AQ45,SUMIF('Net zero emission reductions'!$A$4:$A$1448,$A$45,'Net zero emission reductions'!Z$4:Z$1448))</f>
        <v>5.9844063847928695</v>
      </c>
      <c r="AU45" s="94">
        <f>IF($A45="Baseline",'Emissions summary'!AR45,SUMIF('Net zero emission reductions'!$A$4:$A$1448,$A$45,'Net zero emission reductions'!AA$4:AA$1448))</f>
        <v>6.0962864234575029</v>
      </c>
      <c r="AV45" s="94">
        <f>IF($A45="Baseline",'Emissions summary'!AS45,SUMIF('Net zero emission reductions'!$A$4:$A$1448,$A$45,'Net zero emission reductions'!AB$4:AB$1448))</f>
        <v>6.2195668812000839</v>
      </c>
      <c r="AW45" s="94">
        <f>IF($A45="Baseline",'Emissions summary'!AT45,SUMIF('Net zero emission reductions'!$A$4:$A$1448,$A$45,'Net zero emission reductions'!AC$4:AC$1448))</f>
        <v>6.3437941104694442</v>
      </c>
      <c r="AX45" s="94">
        <f>IF($A45="Baseline",'Emissions summary'!AU45,SUMIF('Net zero emission reductions'!$A$4:$A$1448,$A$45,'Net zero emission reductions'!AD$4:AD$1448))</f>
        <v>6.4643245271890093</v>
      </c>
      <c r="AY45" s="94">
        <f>IF($A45="Baseline",'Emissions summary'!AV45,SUMIF('Net zero emission reductions'!$A$4:$A$1448,$A$45,'Net zero emission reductions'!AE$4:AE$1448))</f>
        <v>6.5779819363347816</v>
      </c>
      <c r="AZ45" s="94">
        <f>IF($A45="Baseline",'Emissions summary'!AW45,SUMIF('Net zero emission reductions'!$A$4:$A$1448,$A$45,'Net zero emission reductions'!AF$4:AF$1448))</f>
        <v>6.6978942907690779</v>
      </c>
      <c r="BA45" s="94">
        <f>IF($A45="Baseline",'Emissions summary'!AX45,SUMIF('Net zero emission reductions'!$A$4:$A$1448,$A$45,'Net zero emission reductions'!AG$4:AG$1448))</f>
        <v>6.8391176166892054</v>
      </c>
      <c r="BB45" s="94">
        <f>IF($A45="Baseline",'Emissions summary'!AY45,SUMIF('Net zero emission reductions'!$A$4:$A$1448,$A$45,'Net zero emission reductions'!AH$4:AH$1448))</f>
        <v>6.9650004718894438</v>
      </c>
      <c r="BC45" s="94">
        <f>IF($A45="Baseline",'Emissions summary'!AZ45,SUMIF('Net zero emission reductions'!$A$4:$A$1448,$A$45,'Net zero emission reductions'!AI$4:AI$1448))</f>
        <v>7.0982156625956465</v>
      </c>
      <c r="BD45" s="94">
        <f>IF($A45="Baseline",'Emissions summary'!BA45,SUMIF('Net zero emission reductions'!$A$4:$A$1448,$A$45,'Net zero emission reductions'!AJ$4:AJ$1448))</f>
        <v>7.2414638234505677</v>
      </c>
      <c r="BE45" s="94">
        <f>IF($A45="Baseline",'Emissions summary'!BB45,SUMIF('Net zero emission reductions'!$A$4:$A$1448,$A$45,'Net zero emission reductions'!AK$4:AK$1448))</f>
        <v>7.3663211342457311</v>
      </c>
      <c r="BF45" s="94">
        <f>IF($A45="Baseline",'Emissions summary'!BC45,SUMIF('Net zero emission reductions'!$A$4:$A$1448,$A$45,'Net zero emission reductions'!AL$4:AL$1448))</f>
        <v>7.4859487092685111</v>
      </c>
      <c r="BG45" s="94">
        <f>IF($A45="Baseline",'Emissions summary'!BD45,SUMIF('Net zero emission reductions'!$A$4:$A$1448,$A$45,'Net zero emission reductions'!AM$4:AM$1448))</f>
        <v>7.6010464942244882</v>
      </c>
      <c r="BH45" s="94">
        <f>IF($A45="Baseline",'Emissions summary'!BE45,SUMIF('Net zero emission reductions'!$A$4:$A$1448,$A$45,'Net zero emission reductions'!AN$4:AN$1448))</f>
        <v>7.7436404082751364</v>
      </c>
      <c r="BI45" s="94">
        <f>IF($A45="Baseline",'Emissions summary'!BF45,SUMIF('Net zero emission reductions'!$A$4:$A$1448,$A$45,'Net zero emission reductions'!AO$4:AO$1448))</f>
        <v>7.8744479290445941</v>
      </c>
      <c r="BJ45" s="94">
        <f>IF($A45="Baseline",'Emissions summary'!BG45,SUMIF('Net zero emission reductions'!$A$4:$A$1448,$A$45,'Net zero emission reductions'!AP$4:AP$1448))</f>
        <v>8.0096606712522576</v>
      </c>
      <c r="BK45" s="94">
        <f>IF($A45="Baseline",'Emissions summary'!BH45,SUMIF('Net zero emission reductions'!$A$4:$A$1448,$A$45,'Net zero emission reductions'!AQ$4:AQ$1448))</f>
        <v>8.150073182724789</v>
      </c>
      <c r="BL45" s="94">
        <f>IF($A45="Baseline",'Emissions summary'!BI45,SUMIF('Net zero emission reductions'!$A$4:$A$1448,$A$45,'Net zero emission reductions'!AR$4:AR$1448))</f>
        <v>8.297005800983662</v>
      </c>
      <c r="BM45" s="94">
        <f>IF($A45="Baseline",'Emissions summary'!BJ45,SUMIF('Net zero emission reductions'!$A$4:$A$1448,$A$45,'Net zero emission reductions'!AS$4:AS$1448))</f>
        <v>8.4497122862619509</v>
      </c>
      <c r="BN45" s="94">
        <f>IF($A45="Baseline",'Emissions summary'!BK45,SUMIF('Net zero emission reductions'!$A$4:$A$1448,$A$45,'Net zero emission reductions'!AT$4:AT$1448))</f>
        <v>8.4319249664822991</v>
      </c>
      <c r="BO45" s="94">
        <f>IF($A45="Baseline",'Emissions summary'!BL45,SUMIF('Net zero emission reductions'!$A$4:$A$1448,$A$45,'Net zero emission reductions'!AU$4:AU$1448))</f>
        <v>8.3988349700017739</v>
      </c>
      <c r="BP45" s="94">
        <f>IF($A45="Baseline",'Emissions summary'!BM45,SUMIF('Net zero emission reductions'!$A$4:$A$1448,$A$45,'Net zero emission reductions'!AV$4:AV$1448))</f>
        <v>8.344132260564848</v>
      </c>
      <c r="BQ45" s="94">
        <f>IF($A45="Baseline",'Emissions summary'!BN45,SUMIF('Net zero emission reductions'!$A$4:$A$1448,$A$45,'Net zero emission reductions'!AW$4:AW$1448))</f>
        <v>8.2837872499500858</v>
      </c>
    </row>
    <row r="46" spans="1:72" x14ac:dyDescent="0.3">
      <c r="A46" s="95" t="str">
        <f t="shared" si="27"/>
        <v>FSFAGSPQNIBDDSCM Crop residues</v>
      </c>
      <c r="B46" s="95" t="str">
        <f t="shared" si="28"/>
        <v>FSFAGSPQNIBDDSCM</v>
      </c>
      <c r="C46" s="96" t="s">
        <v>58</v>
      </c>
      <c r="D46" t="str">
        <f t="shared" ref="D46:E49" si="29">D45</f>
        <v>3C Aggregated and non-CO2 emissions on land</v>
      </c>
      <c r="E46" t="str">
        <f t="shared" si="29"/>
        <v>3C4 Direct N2O from managed soils (N2O)</v>
      </c>
      <c r="F46" t="str">
        <f>'IPCC Categories'!C75</f>
        <v>Crop residues</v>
      </c>
      <c r="G46" t="str">
        <f t="shared" ref="G46:H54" si="30">G45</f>
        <v>N2O</v>
      </c>
      <c r="H46" t="str">
        <f t="shared" si="30"/>
        <v>Gg N2O</v>
      </c>
      <c r="I46" s="27">
        <f>'Emissions summary'!F46</f>
        <v>4.7572664246993837</v>
      </c>
      <c r="J46" s="27">
        <f>'Emissions summary'!G46</f>
        <v>4.2403582737669279</v>
      </c>
      <c r="K46" s="27">
        <f>'Emissions summary'!H46</f>
        <v>4.4153625132445411</v>
      </c>
      <c r="L46" s="27">
        <f>'Emissions summary'!I46</f>
        <v>4.7418888374800598</v>
      </c>
      <c r="M46" s="27">
        <f>'Emissions summary'!J46</f>
        <v>5.0009128268356475</v>
      </c>
      <c r="N46" s="27">
        <f>'Emissions summary'!K46</f>
        <v>3.8892379277011866</v>
      </c>
      <c r="O46" s="27">
        <f>'Emissions summary'!L46</f>
        <v>4.2839264832658595</v>
      </c>
      <c r="P46" s="27">
        <f>'Emissions summary'!M46</f>
        <v>4.5049773321420563</v>
      </c>
      <c r="Q46" s="27">
        <f>'Emissions summary'!N46</f>
        <v>3.9255738498283432</v>
      </c>
      <c r="R46" s="27">
        <f>'Emissions summary'!O46</f>
        <v>3.8953932469931241</v>
      </c>
      <c r="S46" s="27">
        <f>'Emissions summary'!P46</f>
        <v>4.4710787977237265</v>
      </c>
      <c r="T46" s="27">
        <f>'Emissions summary'!Q46</f>
        <v>3.6519029734228816</v>
      </c>
      <c r="U46" s="27">
        <f>'Emissions summary'!R46</f>
        <v>3.982993252892217</v>
      </c>
      <c r="V46" s="27">
        <f>'Emissions summary'!S46</f>
        <v>3.9301610630705248</v>
      </c>
      <c r="W46" s="27">
        <f>'Emissions summary'!T46</f>
        <v>3.5144884547415667</v>
      </c>
      <c r="X46" s="27">
        <f>'Emissions summary'!U46</f>
        <v>3.5698504074879742</v>
      </c>
      <c r="Y46" s="27">
        <f>'Emissions summary'!V46</f>
        <v>2.4003352875845994</v>
      </c>
      <c r="Z46" s="27">
        <f>'Emissions summary'!W46</f>
        <v>3.2539877539471691</v>
      </c>
      <c r="AA46" s="27">
        <f>'Emissions summary'!X46</f>
        <v>3.7163492663367288</v>
      </c>
      <c r="AB46" s="27">
        <f>'Emissions summary'!Y46</f>
        <v>3.3020035495326421</v>
      </c>
      <c r="AC46" s="27">
        <f>'Emissions summary'!Z46</f>
        <v>3.605306989206821</v>
      </c>
      <c r="AD46" s="27">
        <f>'Emissions summary'!AA46</f>
        <v>3.3383236984964055</v>
      </c>
      <c r="AE46" s="27">
        <f>'Net zero emission reductions'!K1465</f>
        <v>2.94930909510781</v>
      </c>
      <c r="AF46" s="27">
        <f>'Net zero emission reductions'!L1465</f>
        <v>2.9542138952234782</v>
      </c>
      <c r="AG46" s="27">
        <f>'Net zero emission reductions'!M1465</f>
        <v>2.9632065078783478</v>
      </c>
      <c r="AH46" s="27">
        <f>'Net zero emission reductions'!N1465</f>
        <v>2.9739549157146588</v>
      </c>
      <c r="AI46" s="27">
        <f>'Net zero emission reductions'!O1465</f>
        <v>2.9812159181802835</v>
      </c>
      <c r="AJ46" s="27">
        <f>'Net zero emission reductions'!P1465</f>
        <v>2.9862127459015309</v>
      </c>
      <c r="AK46" s="27">
        <f>'Net zero emission reductions'!Q1465</f>
        <v>2.9889489945692191</v>
      </c>
      <c r="AL46" s="27">
        <f>'Net zero emission reductions'!R1465</f>
        <v>2.993375742599615</v>
      </c>
      <c r="AM46" s="27">
        <f>'Net zero emission reductions'!S1465</f>
        <v>2.9980257119701434</v>
      </c>
      <c r="AN46" s="27">
        <f>'Net zero emission reductions'!T1465</f>
        <v>2.9657034776855355</v>
      </c>
      <c r="AO46" s="27">
        <f>'Net zero emission reductions'!U1465</f>
        <v>2.9785203368438653</v>
      </c>
      <c r="AP46" s="27">
        <f>'Net zero emission reductions'!V1465</f>
        <v>2.9960131772531153</v>
      </c>
      <c r="AQ46" s="27">
        <f>'Net zero emission reductions'!W1465</f>
        <v>3.0054132680180357</v>
      </c>
      <c r="AR46" s="27">
        <f>'Net zero emission reductions'!X1465</f>
        <v>3.0156942810945373</v>
      </c>
      <c r="AS46" s="27">
        <f>'Net zero emission reductions'!Y1465</f>
        <v>3.0271247430497872</v>
      </c>
      <c r="AT46" s="27">
        <f>'Net zero emission reductions'!Z1465</f>
        <v>3.0391234751628531</v>
      </c>
      <c r="AU46" s="27">
        <f>'Net zero emission reductions'!AA1465</f>
        <v>3.0519290051656554</v>
      </c>
      <c r="AV46" s="27">
        <f>'Net zero emission reductions'!AB1465</f>
        <v>3.0647621683287483</v>
      </c>
      <c r="AW46" s="27">
        <f>'Net zero emission reductions'!AC1465</f>
        <v>3.078278236610247</v>
      </c>
      <c r="AX46" s="27">
        <f>'Net zero emission reductions'!AD1465</f>
        <v>3.0917340156932256</v>
      </c>
      <c r="AY46" s="27">
        <f>'Net zero emission reductions'!AE1465</f>
        <v>3.1063223231702981</v>
      </c>
      <c r="AZ46" s="27">
        <f>'Net zero emission reductions'!AF1465</f>
        <v>3.1203729101259317</v>
      </c>
      <c r="BA46" s="27">
        <f>'Net zero emission reductions'!AG1465</f>
        <v>3.1347791424435716</v>
      </c>
      <c r="BB46" s="27">
        <f>'Net zero emission reductions'!AH1465</f>
        <v>3.1505285322943979</v>
      </c>
      <c r="BC46" s="27">
        <f>'Net zero emission reductions'!AI1465</f>
        <v>3.165174190349632</v>
      </c>
      <c r="BD46" s="27">
        <f>'Net zero emission reductions'!AJ1465</f>
        <v>3.1802123467460328</v>
      </c>
      <c r="BE46" s="27">
        <f>'Net zero emission reductions'!AK1465</f>
        <v>3.1958109430597368</v>
      </c>
      <c r="BF46" s="27">
        <f>'Net zero emission reductions'!AL1465</f>
        <v>3.2101469795788988</v>
      </c>
      <c r="BG46" s="27">
        <f>'Net zero emission reductions'!AM1465</f>
        <v>3.2240845208676738</v>
      </c>
      <c r="BH46" s="27">
        <f>'Net zero emission reductions'!AN1465</f>
        <v>3.2376774558702412</v>
      </c>
      <c r="BI46" s="27">
        <f>'Net zero emission reductions'!AO1465</f>
        <v>3.2520199943996095</v>
      </c>
      <c r="BJ46" s="27">
        <f>'Net zero emission reductions'!AP1465</f>
        <v>3.2655335600173556</v>
      </c>
      <c r="BK46" s="27">
        <f>'Net zero emission reductions'!AQ1465</f>
        <v>3.2792196850479614</v>
      </c>
      <c r="BL46" s="27">
        <f>'Net zero emission reductions'!AR1465</f>
        <v>3.2931184823478818</v>
      </c>
      <c r="BM46" s="27">
        <f>'Net zero emission reductions'!AS1465</f>
        <v>3.3072986001803124</v>
      </c>
      <c r="BN46" s="27">
        <f>'Net zero emission reductions'!AT1465</f>
        <v>3.3217008788202178</v>
      </c>
      <c r="BO46" s="27">
        <f>'Net zero emission reductions'!AU1465</f>
        <v>3.3261261868645517</v>
      </c>
      <c r="BP46" s="27">
        <f>'Net zero emission reductions'!AV1465</f>
        <v>3.3296214710028345</v>
      </c>
      <c r="BQ46" s="27">
        <f>'Net zero emission reductions'!AW1465</f>
        <v>3.3317990327077256</v>
      </c>
    </row>
    <row r="47" spans="1:72" x14ac:dyDescent="0.3">
      <c r="A47" s="95" t="str">
        <f t="shared" si="27"/>
        <v>FSFAGSPQNIBDDSCM U&amp;D</v>
      </c>
      <c r="B47" s="95" t="str">
        <f t="shared" si="28"/>
        <v>FSFAGSPQNIBDDSCM</v>
      </c>
      <c r="C47" s="95" t="s">
        <v>1336</v>
      </c>
      <c r="D47" t="str">
        <f t="shared" si="29"/>
        <v>3C Aggregated and non-CO2 emissions on land</v>
      </c>
      <c r="E47" t="str">
        <f t="shared" si="29"/>
        <v>3C4 Direct N2O from managed soils (N2O)</v>
      </c>
      <c r="F47" t="str">
        <f>'IPCC Categories'!C76</f>
        <v>Urine and dung</v>
      </c>
      <c r="G47" t="str">
        <f t="shared" si="30"/>
        <v>N2O</v>
      </c>
      <c r="H47" t="str">
        <f t="shared" si="30"/>
        <v>Gg N2O</v>
      </c>
      <c r="I47" s="27">
        <f>'Emissions summary'!F47</f>
        <v>40.425280591433946</v>
      </c>
      <c r="J47" s="27">
        <f>'Emissions summary'!G47</f>
        <v>39.655855375514953</v>
      </c>
      <c r="K47" s="27">
        <f>'Emissions summary'!H47</f>
        <v>39.269963203010875</v>
      </c>
      <c r="L47" s="27">
        <f>'Emissions summary'!I47</f>
        <v>37.449084903585295</v>
      </c>
      <c r="M47" s="27">
        <f>'Emissions summary'!J47</f>
        <v>36.817343250357858</v>
      </c>
      <c r="N47" s="27">
        <f>'Emissions summary'!K47</f>
        <v>36.936189905927051</v>
      </c>
      <c r="O47" s="27">
        <f>'Emissions summary'!L47</f>
        <v>37.924567366369672</v>
      </c>
      <c r="P47" s="27">
        <f>'Emissions summary'!M47</f>
        <v>38.691122821634551</v>
      </c>
      <c r="Q47" s="27">
        <f>'Emissions summary'!N47</f>
        <v>39.306588985945346</v>
      </c>
      <c r="R47" s="27">
        <f>'Emissions summary'!O47</f>
        <v>39.158195612778492</v>
      </c>
      <c r="S47" s="27">
        <f>'Emissions summary'!P47</f>
        <v>37.874148422214795</v>
      </c>
      <c r="T47" s="27">
        <f>'Emissions summary'!Q47</f>
        <v>37.594392019460763</v>
      </c>
      <c r="U47" s="27">
        <f>'Emissions summary'!R47</f>
        <v>37.094637763656323</v>
      </c>
      <c r="V47" s="27">
        <f>'Emissions summary'!S47</f>
        <v>37.505204714428423</v>
      </c>
      <c r="W47" s="27">
        <f>'Emissions summary'!T47</f>
        <v>37.280820907568433</v>
      </c>
      <c r="X47" s="27">
        <f>'Emissions summary'!U47</f>
        <v>37.197164092704128</v>
      </c>
      <c r="Y47" s="27">
        <f>'Emissions summary'!V47</f>
        <v>37.060718523204258</v>
      </c>
      <c r="Z47" s="27">
        <f>'Emissions summary'!W47</f>
        <v>37.867172144279415</v>
      </c>
      <c r="AA47" s="27">
        <f>'Emissions summary'!X47</f>
        <v>37.589440908384148</v>
      </c>
      <c r="AB47" s="27">
        <f>'Emissions summary'!Y47</f>
        <v>37.213052114334651</v>
      </c>
      <c r="AC47" s="27">
        <f>'Emissions summary'!Z47</f>
        <v>36.852039924544918</v>
      </c>
      <c r="AD47" s="27">
        <f>'Emissions summary'!AA47</f>
        <v>36.70999987940661</v>
      </c>
      <c r="AE47" s="94">
        <f>IF($A47="Baseline",'Emissions summary'!AB47,SUMIF('Net zero emission reductions'!$A$4:$A$1448,$A$47,'Net zero emission reductions'!K$4:K$1448))</f>
        <v>35.397528140833245</v>
      </c>
      <c r="AF47" s="94">
        <f>IF($A47="Baseline",'Emissions summary'!AC47,SUMIF('Net zero emission reductions'!$A$4:$A$1448,$A$47,'Net zero emission reductions'!L$4:L$1448))</f>
        <v>35.20013314724639</v>
      </c>
      <c r="AG47" s="94">
        <f>IF($A47="Baseline",'Emissions summary'!AD47,SUMIF('Net zero emission reductions'!$A$4:$A$1448,$A$47,'Net zero emission reductions'!M$4:M$1448))</f>
        <v>35.148510767293082</v>
      </c>
      <c r="AH47" s="94">
        <f>IF($A47="Baseline",'Emissions summary'!AE47,SUMIF('Net zero emission reductions'!$A$4:$A$1448,$A$47,'Net zero emission reductions'!N$4:N$1448))</f>
        <v>34.84870552267401</v>
      </c>
      <c r="AI47" s="94">
        <f>IF($A47="Baseline",'Emissions summary'!AF47,SUMIF('Net zero emission reductions'!$A$4:$A$1448,$A$47,'Net zero emission reductions'!O$4:O$1448))</f>
        <v>34.401446898347146</v>
      </c>
      <c r="AJ47" s="94">
        <f>IF($A47="Baseline",'Emissions summary'!AG47,SUMIF('Net zero emission reductions'!$A$4:$A$1448,$A$47,'Net zero emission reductions'!P$4:P$1448))</f>
        <v>33.816363392780282</v>
      </c>
      <c r="AK47" s="94">
        <f>IF($A47="Baseline",'Emissions summary'!AH47,SUMIF('Net zero emission reductions'!$A$4:$A$1448,$A$47,'Net zero emission reductions'!Q$4:Q$1448))</f>
        <v>33.369259985013684</v>
      </c>
      <c r="AL47" s="94">
        <f>IF($A47="Baseline",'Emissions summary'!AI47,SUMIF('Net zero emission reductions'!$A$4:$A$1448,$A$47,'Net zero emission reductions'!R$4:R$1448))</f>
        <v>32.952568766590424</v>
      </c>
      <c r="AM47" s="94">
        <f>IF($A47="Baseline",'Emissions summary'!AJ47,SUMIF('Net zero emission reductions'!$A$4:$A$1448,$A$47,'Net zero emission reductions'!S$4:S$1448))</f>
        <v>30.233208773820071</v>
      </c>
      <c r="AN47" s="94">
        <f>IF($A47="Baseline",'Emissions summary'!AK47,SUMIF('Net zero emission reductions'!$A$4:$A$1448,$A$47,'Net zero emission reductions'!T$4:T$1448))</f>
        <v>30.589216620419229</v>
      </c>
      <c r="AO47" s="94">
        <f>IF($A47="Baseline",'Emissions summary'!AL47,SUMIF('Net zero emission reductions'!$A$4:$A$1448,$A$47,'Net zero emission reductions'!U$4:U$1448))</f>
        <v>31.234605252146732</v>
      </c>
      <c r="AP47" s="94">
        <f>IF($A47="Baseline",'Emissions summary'!AM47,SUMIF('Net zero emission reductions'!$A$4:$A$1448,$A$47,'Net zero emission reductions'!V$4:V$1448))</f>
        <v>31.388633394363605</v>
      </c>
      <c r="AQ47" s="94">
        <f>IF($A47="Baseline",'Emissions summary'!AN47,SUMIF('Net zero emission reductions'!$A$4:$A$1448,$A$47,'Net zero emission reductions'!W$4:W$1448))</f>
        <v>31.599681163392763</v>
      </c>
      <c r="AR47" s="94">
        <f>IF($A47="Baseline",'Emissions summary'!AO47,SUMIF('Net zero emission reductions'!$A$4:$A$1448,$A$47,'Net zero emission reductions'!X$4:X$1448))</f>
        <v>31.883465897050336</v>
      </c>
      <c r="AS47" s="94">
        <f>IF($A47="Baseline",'Emissions summary'!AP47,SUMIF('Net zero emission reductions'!$A$4:$A$1448,$A$47,'Net zero emission reductions'!Y$4:Y$1448))</f>
        <v>32.19447517713958</v>
      </c>
      <c r="AT47" s="94">
        <f>IF($A47="Baseline",'Emissions summary'!AQ47,SUMIF('Net zero emission reductions'!$A$4:$A$1448,$A$47,'Net zero emission reductions'!Z$4:Z$1448))</f>
        <v>32.556887754759813</v>
      </c>
      <c r="AU47" s="94">
        <f>IF($A47="Baseline",'Emissions summary'!AR47,SUMIF('Net zero emission reductions'!$A$4:$A$1448,$A$47,'Net zero emission reductions'!AA$4:AA$1448))</f>
        <v>32.923016396443963</v>
      </c>
      <c r="AV47" s="94">
        <f>IF($A47="Baseline",'Emissions summary'!AS47,SUMIF('Net zero emission reductions'!$A$4:$A$1448,$A$47,'Net zero emission reductions'!AB$4:AB$1448))</f>
        <v>33.333205498714939</v>
      </c>
      <c r="AW47" s="94">
        <f>IF($A47="Baseline",'Emissions summary'!AT47,SUMIF('Net zero emission reductions'!$A$4:$A$1448,$A$47,'Net zero emission reductions'!AC$4:AC$1448))</f>
        <v>33.741731536439133</v>
      </c>
      <c r="AX47" s="94">
        <f>IF($A47="Baseline",'Emissions summary'!AU47,SUMIF('Net zero emission reductions'!$A$4:$A$1448,$A$47,'Net zero emission reductions'!AD$4:AD$1448))</f>
        <v>34.020378937797091</v>
      </c>
      <c r="AY47" s="94">
        <f>IF($A47="Baseline",'Emissions summary'!AV47,SUMIF('Net zero emission reductions'!$A$4:$A$1448,$A$47,'Net zero emission reductions'!AE$4:AE$1448))</f>
        <v>34.257719633261118</v>
      </c>
      <c r="AZ47" s="94">
        <f>IF($A47="Baseline",'Emissions summary'!AW47,SUMIF('Net zero emission reductions'!$A$4:$A$1448,$A$47,'Net zero emission reductions'!AF$4:AF$1448))</f>
        <v>34.508794576115825</v>
      </c>
      <c r="BA47" s="94">
        <f>IF($A47="Baseline",'Emissions summary'!AX47,SUMIF('Net zero emission reductions'!$A$4:$A$1448,$A$47,'Net zero emission reductions'!AG$4:AG$1448))</f>
        <v>34.834149364187965</v>
      </c>
      <c r="BB47" s="94">
        <f>IF($A47="Baseline",'Emissions summary'!AY47,SUMIF('Net zero emission reductions'!$A$4:$A$1448,$A$47,'Net zero emission reductions'!AH$4:AH$1448))</f>
        <v>35.08211442878531</v>
      </c>
      <c r="BC47" s="94">
        <f>IF($A47="Baseline",'Emissions summary'!AZ47,SUMIF('Net zero emission reductions'!$A$4:$A$1448,$A$47,'Net zero emission reductions'!AI$4:AI$1448))</f>
        <v>35.337190791075919</v>
      </c>
      <c r="BD47" s="94">
        <f>IF($A47="Baseline",'Emissions summary'!BA47,SUMIF('Net zero emission reductions'!$A$4:$A$1448,$A$47,'Net zero emission reductions'!AJ$4:AJ$1448))</f>
        <v>35.616777736793239</v>
      </c>
      <c r="BE47" s="94">
        <f>IF($A47="Baseline",'Emissions summary'!BB47,SUMIF('Net zero emission reductions'!$A$4:$A$1448,$A$47,'Net zero emission reductions'!AK$4:AK$1448))</f>
        <v>35.808074157493131</v>
      </c>
      <c r="BF47" s="94">
        <f>IF($A47="Baseline",'Emissions summary'!BC47,SUMIF('Net zero emission reductions'!$A$4:$A$1448,$A$47,'Net zero emission reductions'!AL$4:AL$1448))</f>
        <v>35.964204775489875</v>
      </c>
      <c r="BG47" s="94">
        <f>IF($A47="Baseline",'Emissions summary'!BD47,SUMIF('Net zero emission reductions'!$A$4:$A$1448,$A$47,'Net zero emission reductions'!AM$4:AM$1448))</f>
        <v>36.088306290071003</v>
      </c>
      <c r="BH47" s="94">
        <f>IF($A47="Baseline",'Emissions summary'!BE47,SUMIF('Net zero emission reductions'!$A$4:$A$1448,$A$47,'Net zero emission reductions'!AN$4:AN$1448))</f>
        <v>36.365664631763742</v>
      </c>
      <c r="BI47" s="94">
        <f>IF($A47="Baseline",'Emissions summary'!BF47,SUMIF('Net zero emission reductions'!$A$4:$A$1448,$A$47,'Net zero emission reductions'!AO$4:AO$1448))</f>
        <v>36.586407431503133</v>
      </c>
      <c r="BJ47" s="94">
        <f>IF($A47="Baseline",'Emissions summary'!BG47,SUMIF('Net zero emission reductions'!$A$4:$A$1448,$A$47,'Net zero emission reductions'!AP$4:AP$1448))</f>
        <v>36.81150649873009</v>
      </c>
      <c r="BK47" s="94">
        <f>IF($A47="Baseline",'Emissions summary'!BH47,SUMIF('Net zero emission reductions'!$A$4:$A$1448,$A$47,'Net zero emission reductions'!AQ$4:AQ$1448))</f>
        <v>37.043162392047407</v>
      </c>
      <c r="BL47" s="94">
        <f>IF($A47="Baseline",'Emissions summary'!BI47,SUMIF('Net zero emission reductions'!$A$4:$A$1448,$A$47,'Net zero emission reductions'!AR$4:AR$1448))</f>
        <v>37.285332301779292</v>
      </c>
      <c r="BM47" s="94">
        <f>IF($A47="Baseline",'Emissions summary'!BJ47,SUMIF('Net zero emission reductions'!$A$4:$A$1448,$A$47,'Net zero emission reductions'!AS$4:AS$1448))</f>
        <v>37.526850199722318</v>
      </c>
      <c r="BN47" s="94">
        <f>IF($A47="Baseline",'Emissions summary'!BK47,SUMIF('Net zero emission reductions'!$A$4:$A$1448,$A$47,'Net zero emission reductions'!AT$4:AT$1448))</f>
        <v>37.152622825843679</v>
      </c>
      <c r="BO47" s="94">
        <f>IF($A47="Baseline",'Emissions summary'!BL47,SUMIF('Net zero emission reductions'!$A$4:$A$1448,$A$47,'Net zero emission reductions'!AU$4:AU$1448))</f>
        <v>36.724554141410088</v>
      </c>
      <c r="BP47" s="94">
        <f>IF($A47="Baseline",'Emissions summary'!BM47,SUMIF('Net zero emission reductions'!$A$4:$A$1448,$A$47,'Net zero emission reductions'!AV$4:AV$1448))</f>
        <v>36.222826581245343</v>
      </c>
      <c r="BQ47" s="94">
        <f>IF($A47="Baseline",'Emissions summary'!BN47,SUMIF('Net zero emission reductions'!$A$4:$A$1448,$A$47,'Net zero emission reductions'!AW$4:AW$1448))</f>
        <v>35.704477285061074</v>
      </c>
    </row>
    <row r="48" spans="1:72" x14ac:dyDescent="0.3">
      <c r="A48" s="95" t="str">
        <f t="shared" si="27"/>
        <v>FSFAGSPQNIBDDSCM FSOM</v>
      </c>
      <c r="B48" s="95" t="str">
        <f t="shared" si="28"/>
        <v>FSFAGSPQNIBDDSCM</v>
      </c>
      <c r="C48" s="96" t="s">
        <v>60</v>
      </c>
      <c r="D48" t="str">
        <f t="shared" si="29"/>
        <v>3C Aggregated and non-CO2 emissions on land</v>
      </c>
      <c r="E48" t="str">
        <f t="shared" si="29"/>
        <v>3C4 Direct N2O from managed soils (N2O)</v>
      </c>
      <c r="F48" t="str">
        <f>'IPCC Categories'!C77</f>
        <v>FSOM</v>
      </c>
      <c r="G48" t="str">
        <f t="shared" si="30"/>
        <v>N2O</v>
      </c>
      <c r="H48" t="str">
        <f t="shared" si="30"/>
        <v>Gg N2O</v>
      </c>
      <c r="I48" s="27">
        <f>'Emissions summary'!F48</f>
        <v>0</v>
      </c>
      <c r="J48" s="27">
        <f>'Emissions summary'!G48</f>
        <v>0.38737090084859693</v>
      </c>
      <c r="K48" s="27">
        <f>'Emissions summary'!H48</f>
        <v>0.38737090084859693</v>
      </c>
      <c r="L48" s="27">
        <f>'Emissions summary'!I48</f>
        <v>0.38737090084859693</v>
      </c>
      <c r="M48" s="27">
        <f>'Emissions summary'!J48</f>
        <v>0.38737090084859693</v>
      </c>
      <c r="N48" s="27">
        <f>'Emissions summary'!K48</f>
        <v>0.38737090084859693</v>
      </c>
      <c r="O48" s="27">
        <f>'Emissions summary'!L48</f>
        <v>0.38737090084859693</v>
      </c>
      <c r="P48" s="27">
        <f>'Emissions summary'!M48</f>
        <v>0.38737090084859693</v>
      </c>
      <c r="Q48" s="27">
        <f>'Emissions summary'!N48</f>
        <v>0.38737090084859693</v>
      </c>
      <c r="R48" s="27">
        <f>'Emissions summary'!O48</f>
        <v>0.38737090084859693</v>
      </c>
      <c r="S48" s="27">
        <f>'Emissions summary'!P48</f>
        <v>0.38737090084859693</v>
      </c>
      <c r="T48" s="27">
        <f>'Emissions summary'!Q48</f>
        <v>0.38737090084859693</v>
      </c>
      <c r="U48" s="27">
        <f>'Emissions summary'!R48</f>
        <v>0.38737090084859693</v>
      </c>
      <c r="V48" s="27">
        <f>'Emissions summary'!S48</f>
        <v>0.38737090084859693</v>
      </c>
      <c r="W48" s="27">
        <f>'Emissions summary'!T48</f>
        <v>0.38737090084859693</v>
      </c>
      <c r="X48" s="27">
        <f>'Emissions summary'!U48</f>
        <v>0.38737090084859693</v>
      </c>
      <c r="Y48" s="27">
        <f>'Emissions summary'!V48</f>
        <v>0.38737090084859693</v>
      </c>
      <c r="Z48" s="27">
        <f>'Emissions summary'!W48</f>
        <v>0.38737090084859693</v>
      </c>
      <c r="AA48" s="27">
        <f>'Emissions summary'!X48</f>
        <v>0.38737090084859693</v>
      </c>
      <c r="AB48" s="27">
        <f>'Emissions summary'!Y48</f>
        <v>0.38737090084859693</v>
      </c>
      <c r="AC48" s="27">
        <f>'Emissions summary'!Z48</f>
        <v>0.38737090084859693</v>
      </c>
      <c r="AD48" s="27">
        <f>'Emissions summary'!AA48</f>
        <v>0.38737090084859693</v>
      </c>
      <c r="AE48" s="27">
        <f>SUM('Net zero emission reductions'!K1498:K1509)</f>
        <v>4.3269580366320675</v>
      </c>
      <c r="AF48" s="27">
        <f>SUM('Net zero emission reductions'!L1498:L1509)</f>
        <v>4.3280898923408078</v>
      </c>
      <c r="AG48" s="27">
        <f>SUM('Net zero emission reductions'!M1498:M1509)</f>
        <v>4.329221748049549</v>
      </c>
      <c r="AH48" s="27">
        <f>SUM('Net zero emission reductions'!N1498:N1509)</f>
        <v>4.3303536037582893</v>
      </c>
      <c r="AI48" s="27">
        <f>SUM('Net zero emission reductions'!O1498:O1509)</f>
        <v>4.3314854594670296</v>
      </c>
      <c r="AJ48" s="27">
        <f>SUM('Net zero emission reductions'!P1498:P1509)</f>
        <v>4.3326173151757708</v>
      </c>
      <c r="AK48" s="27">
        <f>SUM('Net zero emission reductions'!Q1498:Q1509)</f>
        <v>4.3337491708845111</v>
      </c>
      <c r="AL48" s="27">
        <f>SUM('Net zero emission reductions'!R1498:R1509)</f>
        <v>4.3348810265932514</v>
      </c>
      <c r="AM48" s="27">
        <f>SUM('Net zero emission reductions'!S1498:S1509)</f>
        <v>4.3360128823019917</v>
      </c>
      <c r="AN48" s="27">
        <f>SUM('Net zero emission reductions'!T1498:T1509)</f>
        <v>4.337144738010732</v>
      </c>
      <c r="AO48" s="27">
        <f>SUM('Net zero emission reductions'!U1498:U1509)</f>
        <v>4.3382765937194723</v>
      </c>
      <c r="AP48" s="27">
        <f>SUM('Net zero emission reductions'!V1498:V1509)</f>
        <v>4.3394084494282135</v>
      </c>
      <c r="AQ48" s="27">
        <f>SUM('Net zero emission reductions'!W1498:W1509)</f>
        <v>4.3405403051369538</v>
      </c>
      <c r="AR48" s="27">
        <f>SUM('Net zero emission reductions'!X1498:X1509)</f>
        <v>4.341672160845695</v>
      </c>
      <c r="AS48" s="27">
        <f>SUM('Net zero emission reductions'!Y1498:Y1509)</f>
        <v>4.3428040165544353</v>
      </c>
      <c r="AT48" s="27">
        <f>SUM('Net zero emission reductions'!Z1498:Z1509)</f>
        <v>4.3439358722631756</v>
      </c>
      <c r="AU48" s="27">
        <f>SUM('Net zero emission reductions'!AA1498:AA1509)</f>
        <v>4.3450677279719159</v>
      </c>
      <c r="AV48" s="27">
        <f>SUM('Net zero emission reductions'!AB1498:AB1509)</f>
        <v>4.3461995836806562</v>
      </c>
      <c r="AW48" s="27">
        <f>SUM('Net zero emission reductions'!AC1498:AC1509)</f>
        <v>4.3473314393893974</v>
      </c>
      <c r="AX48" s="27">
        <f>SUM('Net zero emission reductions'!AD1498:AD1509)</f>
        <v>4.3484632950981377</v>
      </c>
      <c r="AY48" s="27">
        <f>SUM('Net zero emission reductions'!AE1498:AE1509)</f>
        <v>4.349595150806878</v>
      </c>
      <c r="AZ48" s="27">
        <f>SUM('Net zero emission reductions'!AF1498:AF1509)</f>
        <v>4.3507270065156192</v>
      </c>
      <c r="BA48" s="27">
        <f>SUM('Net zero emission reductions'!AG1498:AG1509)</f>
        <v>4.3518588622243595</v>
      </c>
      <c r="BB48" s="27">
        <f>SUM('Net zero emission reductions'!AH1498:AH1509)</f>
        <v>4.3529907179330998</v>
      </c>
      <c r="BC48" s="27">
        <f>SUM('Net zero emission reductions'!AI1498:AI1509)</f>
        <v>4.3541225736418401</v>
      </c>
      <c r="BD48" s="27">
        <f>SUM('Net zero emission reductions'!AJ1498:AJ1509)</f>
        <v>4.3552544293505804</v>
      </c>
      <c r="BE48" s="27">
        <f>SUM('Net zero emission reductions'!AK1498:AK1509)</f>
        <v>4.3563862850593216</v>
      </c>
      <c r="BF48" s="27">
        <f>SUM('Net zero emission reductions'!AL1498:AL1509)</f>
        <v>4.3575181407680619</v>
      </c>
      <c r="BG48" s="27">
        <f>SUM('Net zero emission reductions'!AM1498:AM1509)</f>
        <v>4.3586499964768022</v>
      </c>
      <c r="BH48" s="27">
        <f>SUM('Net zero emission reductions'!AN1498:AN1509)</f>
        <v>4.3597818521855434</v>
      </c>
      <c r="BI48" s="27">
        <f>SUM('Net zero emission reductions'!AO1498:AO1509)</f>
        <v>4.3609137078942837</v>
      </c>
      <c r="BJ48" s="27">
        <f>SUM('Net zero emission reductions'!AP1498:AP1509)</f>
        <v>4.362045563603024</v>
      </c>
      <c r="BK48" s="27">
        <f>SUM('Net zero emission reductions'!AQ1498:AQ1509)</f>
        <v>4.3631774193117643</v>
      </c>
      <c r="BL48" s="27">
        <f>SUM('Net zero emission reductions'!AR1498:AR1509)</f>
        <v>4.3643092750205046</v>
      </c>
      <c r="BM48" s="27">
        <f>SUM('Net zero emission reductions'!AS1498:AS1509)</f>
        <v>4.3654411307292458</v>
      </c>
      <c r="BN48" s="27">
        <f>SUM('Net zero emission reductions'!AT1498:AT1509)</f>
        <v>4.3665729864379861</v>
      </c>
      <c r="BO48" s="27">
        <f>SUM('Net zero emission reductions'!AU1498:AU1509)</f>
        <v>4.3677048421467273</v>
      </c>
      <c r="BP48" s="27">
        <f>SUM('Net zero emission reductions'!AV1498:AV1509)</f>
        <v>4.3688366978554676</v>
      </c>
      <c r="BQ48" s="27">
        <f>SUM('Net zero emission reductions'!AW1498:AW1509)</f>
        <v>4.3699685535642079</v>
      </c>
    </row>
    <row r="49" spans="1:75" s="19" customFormat="1" ht="15.6" x14ac:dyDescent="0.3">
      <c r="A49" s="97"/>
      <c r="B49" s="97"/>
      <c r="C49" s="97"/>
      <c r="D49" s="19" t="str">
        <f t="shared" si="29"/>
        <v>3C Aggregated and non-CO2 emissions on land</v>
      </c>
      <c r="E49" s="19" t="str">
        <f>'IPCC Categories'!B78</f>
        <v>3C5 Indirect N2O from managed soils (N2O)</v>
      </c>
      <c r="F49" s="19" t="s">
        <v>148</v>
      </c>
      <c r="G49" s="19" t="str">
        <f t="shared" si="30"/>
        <v>N2O</v>
      </c>
      <c r="H49" s="19" t="str">
        <f t="shared" si="30"/>
        <v>Gg N2O</v>
      </c>
      <c r="I49" s="41">
        <f>SUM(I50:I51)</f>
        <v>7.2080814517834266</v>
      </c>
      <c r="J49" s="41">
        <f t="shared" ref="J49:AE49" si="31">SUM(J50:J51)</f>
        <v>7.1345099865500927</v>
      </c>
      <c r="K49" s="41">
        <f t="shared" si="31"/>
        <v>6.99786412512554</v>
      </c>
      <c r="L49" s="41">
        <f t="shared" si="31"/>
        <v>6.8588909130254319</v>
      </c>
      <c r="M49" s="41">
        <f t="shared" si="31"/>
        <v>6.679602845791754</v>
      </c>
      <c r="N49" s="41">
        <f t="shared" si="31"/>
        <v>6.6534582978194159</v>
      </c>
      <c r="O49" s="41">
        <f t="shared" si="31"/>
        <v>6.8804585865565491</v>
      </c>
      <c r="P49" s="41">
        <f t="shared" si="31"/>
        <v>6.951262387234447</v>
      </c>
      <c r="Q49" s="41">
        <f t="shared" si="31"/>
        <v>7.0501121079701523</v>
      </c>
      <c r="R49" s="41">
        <f t="shared" si="31"/>
        <v>7.0310583897046115</v>
      </c>
      <c r="S49" s="41">
        <f t="shared" si="31"/>
        <v>6.9539885376975494</v>
      </c>
      <c r="T49" s="41">
        <f t="shared" si="31"/>
        <v>6.8347507783671411</v>
      </c>
      <c r="U49" s="41">
        <f t="shared" si="31"/>
        <v>6.9330762409780968</v>
      </c>
      <c r="V49" s="41">
        <f t="shared" si="31"/>
        <v>6.8626749309901376</v>
      </c>
      <c r="W49" s="41">
        <f t="shared" si="31"/>
        <v>6.8083480354019672</v>
      </c>
      <c r="X49" s="41">
        <f t="shared" si="31"/>
        <v>6.684349427481286</v>
      </c>
      <c r="Y49" s="41">
        <f t="shared" si="31"/>
        <v>6.7803417478590298</v>
      </c>
      <c r="Z49" s="41">
        <f t="shared" si="31"/>
        <v>6.9394221477721096</v>
      </c>
      <c r="AA49" s="41">
        <f t="shared" si="31"/>
        <v>6.954986168244754</v>
      </c>
      <c r="AB49" s="41">
        <f t="shared" si="31"/>
        <v>6.9329479113600767</v>
      </c>
      <c r="AC49" s="41">
        <f t="shared" si="31"/>
        <v>6.7915965417835125</v>
      </c>
      <c r="AD49" s="41">
        <f t="shared" si="31"/>
        <v>6.808083773512462</v>
      </c>
      <c r="AE49" s="41">
        <f t="shared" si="31"/>
        <v>6.6159271131948465</v>
      </c>
      <c r="AF49" s="41">
        <f t="shared" ref="AF49:BQ49" si="32">SUM(AF50:AF51)</f>
        <v>6.5985117259102442</v>
      </c>
      <c r="AG49" s="41">
        <f t="shared" si="32"/>
        <v>6.6034108162416469</v>
      </c>
      <c r="AH49" s="41">
        <f t="shared" si="32"/>
        <v>6.571876947932294</v>
      </c>
      <c r="AI49" s="41">
        <f t="shared" si="32"/>
        <v>6.5185214490709154</v>
      </c>
      <c r="AJ49" s="41">
        <f t="shared" si="32"/>
        <v>6.4445703159865921</v>
      </c>
      <c r="AK49" s="41">
        <f t="shared" si="32"/>
        <v>6.3913491075327142</v>
      </c>
      <c r="AL49" s="41">
        <f t="shared" si="32"/>
        <v>6.3428476696520812</v>
      </c>
      <c r="AM49" s="41">
        <f t="shared" si="32"/>
        <v>5.9438249910667649</v>
      </c>
      <c r="AN49" s="41">
        <f t="shared" si="32"/>
        <v>6.0041977849796382</v>
      </c>
      <c r="AO49" s="41">
        <f t="shared" si="32"/>
        <v>6.1101731652593116</v>
      </c>
      <c r="AP49" s="41">
        <f t="shared" si="32"/>
        <v>6.1415494340712344</v>
      </c>
      <c r="AQ49" s="41">
        <f t="shared" si="32"/>
        <v>6.1817860421274284</v>
      </c>
      <c r="AR49" s="41">
        <f t="shared" si="32"/>
        <v>6.2335437730091563</v>
      </c>
      <c r="AS49" s="41">
        <f t="shared" si="32"/>
        <v>6.2894256534647068</v>
      </c>
      <c r="AT49" s="41">
        <f t="shared" si="32"/>
        <v>6.353642222704039</v>
      </c>
      <c r="AU49" s="41">
        <f t="shared" si="32"/>
        <v>6.4188656421810126</v>
      </c>
      <c r="AV49" s="41">
        <f t="shared" si="32"/>
        <v>6.4913502943154082</v>
      </c>
      <c r="AW49" s="41">
        <f t="shared" si="32"/>
        <v>6.5640448401217899</v>
      </c>
      <c r="AX49" s="41">
        <f t="shared" si="32"/>
        <v>6.6222419062747795</v>
      </c>
      <c r="AY49" s="41">
        <f t="shared" si="32"/>
        <v>6.6748207417076229</v>
      </c>
      <c r="AZ49" s="41">
        <f t="shared" si="32"/>
        <v>6.7303688555300889</v>
      </c>
      <c r="BA49" s="41">
        <f t="shared" si="32"/>
        <v>6.798539325019048</v>
      </c>
      <c r="BB49" s="41">
        <f t="shared" si="32"/>
        <v>6.8554589612168018</v>
      </c>
      <c r="BC49" s="41">
        <f t="shared" si="32"/>
        <v>6.9141339442587375</v>
      </c>
      <c r="BD49" s="41">
        <f t="shared" si="32"/>
        <v>6.9777566590437026</v>
      </c>
      <c r="BE49" s="41">
        <f t="shared" si="32"/>
        <v>7.0282790990746964</v>
      </c>
      <c r="BF49" s="41">
        <f t="shared" si="32"/>
        <v>7.0741049804501097</v>
      </c>
      <c r="BG49" s="41">
        <f t="shared" si="32"/>
        <v>7.1157295736784754</v>
      </c>
      <c r="BH49" s="41">
        <f t="shared" si="32"/>
        <v>7.1785287182929052</v>
      </c>
      <c r="BI49" s="41">
        <f t="shared" si="32"/>
        <v>7.232952860682329</v>
      </c>
      <c r="BJ49" s="41">
        <f t="shared" si="32"/>
        <v>7.2889206417852348</v>
      </c>
      <c r="BK49" s="41">
        <f t="shared" si="32"/>
        <v>7.3468606364686684</v>
      </c>
      <c r="BL49" s="41">
        <f t="shared" si="32"/>
        <v>7.4074823275557931</v>
      </c>
      <c r="BM49" s="41">
        <f t="shared" si="32"/>
        <v>7.4687611294504732</v>
      </c>
      <c r="BN49" s="41">
        <f t="shared" si="32"/>
        <v>7.4278907059584425</v>
      </c>
      <c r="BO49" s="41">
        <f t="shared" si="32"/>
        <v>7.3778315045306231</v>
      </c>
      <c r="BP49" s="41">
        <f t="shared" si="32"/>
        <v>7.3152851320841803</v>
      </c>
      <c r="BQ49" s="41">
        <f t="shared" si="32"/>
        <v>7.2497523065010512</v>
      </c>
      <c r="BT49"/>
    </row>
    <row r="50" spans="1:75" x14ac:dyDescent="0.3">
      <c r="A50" s="95" t="str">
        <f t="shared" ref="A50:A51" si="33">B50&amp;" "&amp;C50</f>
        <v>FSFAGSPQNIBDDSCM Volatilisation</v>
      </c>
      <c r="B50" s="95" t="str">
        <f t="shared" ref="B50:B51" si="34">$B$5</f>
        <v>FSFAGSPQNIBDDSCM</v>
      </c>
      <c r="C50" s="95" t="s">
        <v>62</v>
      </c>
      <c r="D50" t="str">
        <f t="shared" ref="D50" si="35">D48</f>
        <v>3C Aggregated and non-CO2 emissions on land</v>
      </c>
      <c r="E50" t="str">
        <f>'IPCC Categories'!B78</f>
        <v>3C5 Indirect N2O from managed soils (N2O)</v>
      </c>
      <c r="F50" t="str">
        <f>'IPCC Categories'!C78</f>
        <v>Volatilisation</v>
      </c>
      <c r="G50" t="str">
        <f>G48</f>
        <v>N2O</v>
      </c>
      <c r="H50" t="str">
        <f>H48</f>
        <v>Gg N2O</v>
      </c>
      <c r="I50" s="27">
        <f>'Emissions summary'!F50</f>
        <v>6.8720417689132818</v>
      </c>
      <c r="J50" s="27">
        <f>'Emissions summary'!G50</f>
        <v>6.8040222344896497</v>
      </c>
      <c r="K50" s="27">
        <f>'Emissions summary'!H50</f>
        <v>6.6643977129961947</v>
      </c>
      <c r="L50" s="27">
        <f>'Emissions summary'!I50</f>
        <v>6.5132288952449562</v>
      </c>
      <c r="M50" s="27">
        <f>'Emissions summary'!J50</f>
        <v>6.3389751728110557</v>
      </c>
      <c r="N50" s="27">
        <f>'Emissions summary'!K50</f>
        <v>6.3489504371997398</v>
      </c>
      <c r="O50" s="27">
        <f>'Emissions summary'!L50</f>
        <v>6.5566463010257543</v>
      </c>
      <c r="P50" s="27">
        <f>'Emissions summary'!M50</f>
        <v>6.61702309908204</v>
      </c>
      <c r="Q50" s="27">
        <f>'Emissions summary'!N50</f>
        <v>6.7293674524998952</v>
      </c>
      <c r="R50" s="27">
        <f>'Emissions summary'!O50</f>
        <v>6.7076931438692604</v>
      </c>
      <c r="S50" s="27">
        <f>'Emissions summary'!P50</f>
        <v>6.6027983988771712</v>
      </c>
      <c r="T50" s="27">
        <f>'Emissions summary'!Q50</f>
        <v>6.5144595089601776</v>
      </c>
      <c r="U50" s="27">
        <f>'Emissions summary'!R50</f>
        <v>6.5954294578551265</v>
      </c>
      <c r="V50" s="27">
        <f>'Emissions summary'!S50</f>
        <v>6.5294565039113515</v>
      </c>
      <c r="W50" s="27">
        <f>'Emissions summary'!T50</f>
        <v>6.4916814592424021</v>
      </c>
      <c r="X50" s="27">
        <f>'Emissions summary'!U50</f>
        <v>6.363645089123743</v>
      </c>
      <c r="Y50" s="27">
        <f>'Emissions summary'!V50</f>
        <v>6.4962285418853707</v>
      </c>
      <c r="Z50" s="27">
        <f>'Emissions summary'!W50</f>
        <v>6.620266001326284</v>
      </c>
      <c r="AA50" s="27">
        <f>'Emissions summary'!X50</f>
        <v>6.6126572032019997</v>
      </c>
      <c r="AB50" s="27">
        <f>'Emissions summary'!Y50</f>
        <v>6.6065735112105326</v>
      </c>
      <c r="AC50" s="27">
        <f>'Emissions summary'!Z50</f>
        <v>6.4556027997102001</v>
      </c>
      <c r="AD50" s="27">
        <f>'Emissions summary'!AA50</f>
        <v>6.4799963389801611</v>
      </c>
      <c r="AE50" s="94">
        <f>IF($A50="Baseline",'Emissions summary'!AB50,SUMIF('Net zero emission reductions'!$A$4:$A$1448,$A$50,'Net zero emission reductions'!K$4:K$1448))</f>
        <v>6.2677893680252668</v>
      </c>
      <c r="AF50" s="94">
        <f>IF($A50="Baseline",'Emissions summary'!AC50,SUMIF('Net zero emission reductions'!$A$4:$A$1448,$A$50,'Net zero emission reductions'!L$4:L$1448))</f>
        <v>6.2499824089430867</v>
      </c>
      <c r="AG50" s="94">
        <f>IF($A50="Baseline",'Emissions summary'!AD50,SUMIF('Net zero emission reductions'!$A$4:$A$1448,$A$50,'Net zero emission reductions'!M$4:M$1448))</f>
        <v>6.2533292316834475</v>
      </c>
      <c r="AH50" s="94">
        <f>IF($A50="Baseline",'Emissions summary'!AE50,SUMIF('Net zero emission reductions'!$A$4:$A$1448,$A$50,'Net zero emission reductions'!N$4:N$1448))</f>
        <v>6.2219605366729418</v>
      </c>
      <c r="AI50" s="94">
        <f>IF($A50="Baseline",'Emissions summary'!AF50,SUMIF('Net zero emission reductions'!$A$4:$A$1448,$A$50,'Net zero emission reductions'!O$4:O$1448))</f>
        <v>6.1699888782464072</v>
      </c>
      <c r="AJ50" s="94">
        <f>IF($A50="Baseline",'Emissions summary'!AG50,SUMIF('Net zero emission reductions'!$A$4:$A$1448,$A$50,'Net zero emission reductions'!P$4:P$1448))</f>
        <v>6.0985599508144936</v>
      </c>
      <c r="AK50" s="94">
        <f>IF($A50="Baseline",'Emissions summary'!AH50,SUMIF('Net zero emission reductions'!$A$4:$A$1448,$A$50,'Net zero emission reductions'!Q$4:Q$1448))</f>
        <v>6.0469682343875704</v>
      </c>
      <c r="AL50" s="94">
        <f>IF($A50="Baseline",'Emissions summary'!AI50,SUMIF('Net zero emission reductions'!$A$4:$A$1448,$A$50,'Net zero emission reductions'!R$4:R$1448))</f>
        <v>5.9998429802554343</v>
      </c>
      <c r="AM50" s="94">
        <f>IF($A50="Baseline",'Emissions summary'!AJ50,SUMIF('Net zero emission reductions'!$A$4:$A$1448,$A$50,'Net zero emission reductions'!S$4:S$1448))</f>
        <v>5.6196803243319486</v>
      </c>
      <c r="AN50" s="94">
        <f>IF($A50="Baseline",'Emissions summary'!AK50,SUMIF('Net zero emission reductions'!$A$4:$A$1448,$A$50,'Net zero emission reductions'!T$4:T$1448))</f>
        <v>5.6776531730017723</v>
      </c>
      <c r="AO50" s="94">
        <f>IF($A50="Baseline",'Emissions summary'!AL50,SUMIF('Net zero emission reductions'!$A$4:$A$1448,$A$50,'Net zero emission reductions'!U$4:U$1448))</f>
        <v>5.7774225823862979</v>
      </c>
      <c r="AP50" s="94">
        <f>IF($A50="Baseline",'Emissions summary'!AM50,SUMIF('Net zero emission reductions'!$A$4:$A$1448,$A$50,'Net zero emission reductions'!V$4:V$1448))</f>
        <v>5.8061701495788478</v>
      </c>
      <c r="AQ50" s="94">
        <f>IF($A50="Baseline",'Emissions summary'!AN50,SUMIF('Net zero emission reductions'!$A$4:$A$1448,$A$50,'Net zero emission reductions'!W$4:W$1448))</f>
        <v>5.8436024975315952</v>
      </c>
      <c r="AR50" s="94">
        <f>IF($A50="Baseline",'Emissions summary'!AO50,SUMIF('Net zero emission reductions'!$A$4:$A$1448,$A$50,'Net zero emission reductions'!X$4:X$1448))</f>
        <v>5.8919386958406896</v>
      </c>
      <c r="AS50" s="94">
        <f>IF($A50="Baseline",'Emissions summary'!AP50,SUMIF('Net zero emission reductions'!$A$4:$A$1448,$A$50,'Net zero emission reductions'!Y$4:Y$1448))</f>
        <v>5.9440337736339686</v>
      </c>
      <c r="AT50" s="94">
        <f>IF($A50="Baseline",'Emissions summary'!AQ50,SUMIF('Net zero emission reductions'!$A$4:$A$1448,$A$50,'Net zero emission reductions'!Z$4:Z$1448))</f>
        <v>6.0040051256637721</v>
      </c>
      <c r="AU50" s="94">
        <f>IF($A50="Baseline",'Emissions summary'!AR50,SUMIF('Net zero emission reductions'!$A$4:$A$1448,$A$50,'Net zero emission reductions'!AA$4:AA$1448))</f>
        <v>6.0648875129993396</v>
      </c>
      <c r="AV50" s="94">
        <f>IF($A50="Baseline",'Emissions summary'!AS50,SUMIF('Net zero emission reductions'!$A$4:$A$1448,$A$50,'Net zero emission reductions'!AB$4:AB$1448))</f>
        <v>6.13263686447584</v>
      </c>
      <c r="AW50" s="94">
        <f>IF($A50="Baseline",'Emissions summary'!AT50,SUMIF('Net zero emission reductions'!$A$4:$A$1448,$A$50,'Net zero emission reductions'!AC$4:AC$1448))</f>
        <v>6.200539868128172</v>
      </c>
      <c r="AX50" s="94">
        <f>IF($A50="Baseline",'Emissions summary'!AU50,SUMIF('Net zero emission reductions'!$A$4:$A$1448,$A$50,'Net zero emission reductions'!AD$4:AD$1448))</f>
        <v>6.2540750136957985</v>
      </c>
      <c r="AY50" s="94">
        <f>IF($A50="Baseline",'Emissions summary'!AV50,SUMIF('Net zero emission reductions'!$A$4:$A$1448,$A$50,'Net zero emission reductions'!AE$4:AE$1448))</f>
        <v>6.3021899458011115</v>
      </c>
      <c r="AZ50" s="94">
        <f>IF($A50="Baseline",'Emissions summary'!AW50,SUMIF('Net zero emission reductions'!$A$4:$A$1448,$A$50,'Net zero emission reductions'!AF$4:AF$1448))</f>
        <v>6.3530769259407123</v>
      </c>
      <c r="BA50" s="94">
        <f>IF($A50="Baseline",'Emissions summary'!AX50,SUMIF('Net zero emission reductions'!$A$4:$A$1448,$A$50,'Net zero emission reductions'!AG$4:AG$1448))</f>
        <v>6.4158387542727491</v>
      </c>
      <c r="BB50" s="94">
        <f>IF($A50="Baseline",'Emissions summary'!AY50,SUMIF('Net zero emission reductions'!$A$4:$A$1448,$A$50,'Net zero emission reductions'!AH$4:AH$1448))</f>
        <v>6.4678326219002615</v>
      </c>
      <c r="BC50" s="94">
        <f>IF($A50="Baseline",'Emissions summary'!AZ50,SUMIF('Net zero emission reductions'!$A$4:$A$1448,$A$50,'Net zero emission reductions'!AI$4:AI$1448))</f>
        <v>6.5213669780734733</v>
      </c>
      <c r="BD50" s="94">
        <f>IF($A50="Baseline",'Emissions summary'!BA50,SUMIF('Net zero emission reductions'!$A$4:$A$1448,$A$50,'Net zero emission reductions'!AJ$4:AJ$1448))</f>
        <v>6.5794893771814218</v>
      </c>
      <c r="BE50" s="94">
        <f>IF($A50="Baseline",'Emissions summary'!BB50,SUMIF('Net zero emission reductions'!$A$4:$A$1448,$A$50,'Net zero emission reductions'!AK$4:AK$1448))</f>
        <v>6.6251266361989281</v>
      </c>
      <c r="BF50" s="94">
        <f>IF($A50="Baseline",'Emissions summary'!BC50,SUMIF('Net zero emission reductions'!$A$4:$A$1448,$A$50,'Net zero emission reductions'!AL$4:AL$1448))</f>
        <v>6.6662913533928627</v>
      </c>
      <c r="BG50" s="94">
        <f>IF($A50="Baseline",'Emissions summary'!BD50,SUMIF('Net zero emission reductions'!$A$4:$A$1448,$A$50,'Net zero emission reductions'!AM$4:AM$1448))</f>
        <v>6.7034248185829028</v>
      </c>
      <c r="BH50" s="94">
        <f>IF($A50="Baseline",'Emissions summary'!BE50,SUMIF('Net zero emission reductions'!$A$4:$A$1448,$A$50,'Net zero emission reductions'!AN$4:AN$1448))</f>
        <v>6.7607961165295825</v>
      </c>
      <c r="BI50" s="94">
        <f>IF($A50="Baseline",'Emissions summary'!BF50,SUMIF('Net zero emission reductions'!$A$4:$A$1448,$A$50,'Net zero emission reductions'!AO$4:AO$1448))</f>
        <v>6.8101731621218491</v>
      </c>
      <c r="BJ50" s="94">
        <f>IF($A50="Baseline",'Emissions summary'!BG50,SUMIF('Net zero emission reductions'!$A$4:$A$1448,$A$50,'Net zero emission reductions'!AP$4:AP$1448))</f>
        <v>6.8609704872809232</v>
      </c>
      <c r="BK50" s="94">
        <f>IF($A50="Baseline",'Emissions summary'!BH50,SUMIF('Net zero emission reductions'!$A$4:$A$1448,$A$50,'Net zero emission reductions'!AQ$4:AQ$1448))</f>
        <v>6.9135546762207856</v>
      </c>
      <c r="BL50" s="94">
        <f>IF($A50="Baseline",'Emissions summary'!BI50,SUMIF('Net zero emission reductions'!$A$4:$A$1448,$A$50,'Net zero emission reductions'!AR$4:AR$1448))</f>
        <v>6.968588275189715</v>
      </c>
      <c r="BM50" s="94">
        <f>IF($A50="Baseline",'Emissions summary'!BJ50,SUMIF('Net zero emission reductions'!$A$4:$A$1448,$A$50,'Net zero emission reductions'!AS$4:AS$1448))</f>
        <v>7.0240700737240171</v>
      </c>
      <c r="BN50" s="94">
        <f>IF($A50="Baseline",'Emissions summary'!BK50,SUMIF('Net zero emission reductions'!$A$4:$A$1448,$A$50,'Net zero emission reductions'!AT$4:AT$1448))</f>
        <v>6.9832770128557833</v>
      </c>
      <c r="BO50" s="94">
        <f>IF($A50="Baseline",'Emissions summary'!BL50,SUMIF('Net zero emission reductions'!$A$4:$A$1448,$A$50,'Net zero emission reductions'!AU$4:AU$1448))</f>
        <v>6.934167579770631</v>
      </c>
      <c r="BP50" s="94">
        <f>IF($A50="Baseline",'Emissions summary'!BM50,SUMIF('Net zero emission reductions'!$A$4:$A$1448,$A$50,'Net zero emission reductions'!AV$4:AV$1448))</f>
        <v>6.8733487241280926</v>
      </c>
      <c r="BQ50" s="94">
        <f>IF($A50="Baseline",'Emissions summary'!BN50,SUMIF('Net zero emission reductions'!$A$4:$A$1448,$A$50,'Net zero emission reductions'!AW$4:AW$1448))</f>
        <v>6.809783570224262</v>
      </c>
    </row>
    <row r="51" spans="1:75" x14ac:dyDescent="0.3">
      <c r="A51" s="95" t="str">
        <f t="shared" si="33"/>
        <v>FSFAGSPQNIBDDSCM Leaching</v>
      </c>
      <c r="B51" s="95" t="str">
        <f t="shared" si="34"/>
        <v>FSFAGSPQNIBDDSCM</v>
      </c>
      <c r="C51" s="95" t="s">
        <v>1190</v>
      </c>
      <c r="D51" t="str">
        <f t="shared" ref="D51:D52" si="36">D50</f>
        <v>3C Aggregated and non-CO2 emissions on land</v>
      </c>
      <c r="E51" t="str">
        <f>E50</f>
        <v>3C5 Indirect N2O from managed soils (N2O)</v>
      </c>
      <c r="F51" t="str">
        <f>'IPCC Categories'!C79</f>
        <v>Leaching/runoff</v>
      </c>
      <c r="G51" t="str">
        <f t="shared" si="30"/>
        <v>N2O</v>
      </c>
      <c r="H51" t="str">
        <f t="shared" si="30"/>
        <v>Gg N2O</v>
      </c>
      <c r="I51" s="27">
        <f>'Emissions summary'!F51</f>
        <v>0.33603968287014491</v>
      </c>
      <c r="J51" s="27">
        <f>'Emissions summary'!G51</f>
        <v>0.33048775206044329</v>
      </c>
      <c r="K51" s="27">
        <f>'Emissions summary'!H51</f>
        <v>0.33346641212934491</v>
      </c>
      <c r="L51" s="27">
        <f>'Emissions summary'!I51</f>
        <v>0.34566201778047606</v>
      </c>
      <c r="M51" s="27">
        <f>'Emissions summary'!J51</f>
        <v>0.34062767298069813</v>
      </c>
      <c r="N51" s="27">
        <f>'Emissions summary'!K51</f>
        <v>0.30450786061967605</v>
      </c>
      <c r="O51" s="27">
        <f>'Emissions summary'!L51</f>
        <v>0.32381228553079472</v>
      </c>
      <c r="P51" s="27">
        <f>'Emissions summary'!M51</f>
        <v>0.33423928815240667</v>
      </c>
      <c r="Q51" s="27">
        <f>'Emissions summary'!N51</f>
        <v>0.32074465547025682</v>
      </c>
      <c r="R51" s="27">
        <f>'Emissions summary'!O51</f>
        <v>0.32336524583535148</v>
      </c>
      <c r="S51" s="27">
        <f>'Emissions summary'!P51</f>
        <v>0.35119013882037781</v>
      </c>
      <c r="T51" s="27">
        <f>'Emissions summary'!Q51</f>
        <v>0.32029126940696356</v>
      </c>
      <c r="U51" s="27">
        <f>'Emissions summary'!R51</f>
        <v>0.33764678312297075</v>
      </c>
      <c r="V51" s="27">
        <f>'Emissions summary'!S51</f>
        <v>0.33321842707878641</v>
      </c>
      <c r="W51" s="27">
        <f>'Emissions summary'!T51</f>
        <v>0.31666657615956528</v>
      </c>
      <c r="X51" s="27">
        <f>'Emissions summary'!U51</f>
        <v>0.32070433835754264</v>
      </c>
      <c r="Y51" s="27">
        <f>'Emissions summary'!V51</f>
        <v>0.28411320597365947</v>
      </c>
      <c r="Z51" s="27">
        <f>'Emissions summary'!W51</f>
        <v>0.31915614644582579</v>
      </c>
      <c r="AA51" s="27">
        <f>'Emissions summary'!X51</f>
        <v>0.34232896504275395</v>
      </c>
      <c r="AB51" s="27">
        <f>'Emissions summary'!Y51</f>
        <v>0.32637440014954389</v>
      </c>
      <c r="AC51" s="27">
        <f>'Emissions summary'!Z51</f>
        <v>0.33599374207331195</v>
      </c>
      <c r="AD51" s="27">
        <f>'Emissions summary'!AA51</f>
        <v>0.32808743453230077</v>
      </c>
      <c r="AE51" s="94">
        <f>IF($A51="Baseline",'Emissions summary'!AB51,SUMIF('Net zero emission reductions'!$A$4:$A$1448,$A$51,'Net zero emission reductions'!K$4:K$1448))</f>
        <v>0.3481377451695794</v>
      </c>
      <c r="AF51" s="94">
        <f>IF($A51="Baseline",'Emissions summary'!AC51,SUMIF('Net zero emission reductions'!$A$4:$A$1448,$A$51,'Net zero emission reductions'!L$4:L$1448))</f>
        <v>0.34852931696715722</v>
      </c>
      <c r="AG51" s="94">
        <f>IF($A51="Baseline",'Emissions summary'!AD51,SUMIF('Net zero emission reductions'!$A$4:$A$1448,$A$51,'Net zero emission reductions'!M$4:M$1448))</f>
        <v>0.35008158455819982</v>
      </c>
      <c r="AH51" s="94">
        <f>IF($A51="Baseline",'Emissions summary'!AE51,SUMIF('Net zero emission reductions'!$A$4:$A$1448,$A$51,'Net zero emission reductions'!N$4:N$1448))</f>
        <v>0.34991641125935213</v>
      </c>
      <c r="AI51" s="94">
        <f>IF($A51="Baseline",'Emissions summary'!AF51,SUMIF('Net zero emission reductions'!$A$4:$A$1448,$A$51,'Net zero emission reductions'!O$4:O$1448))</f>
        <v>0.34853257082450823</v>
      </c>
      <c r="AJ51" s="94">
        <f>IF($A51="Baseline",'Emissions summary'!AG51,SUMIF('Net zero emission reductions'!$A$4:$A$1448,$A$51,'Net zero emission reductions'!P$4:P$1448))</f>
        <v>0.34601036517209849</v>
      </c>
      <c r="AK51" s="94">
        <f>IF($A51="Baseline",'Emissions summary'!AH51,SUMIF('Net zero emission reductions'!$A$4:$A$1448,$A$51,'Net zero emission reductions'!Q$4:Q$1448))</f>
        <v>0.34438087314514421</v>
      </c>
      <c r="AL51" s="94">
        <f>IF($A51="Baseline",'Emissions summary'!AI51,SUMIF('Net zero emission reductions'!$A$4:$A$1448,$A$51,'Net zero emission reductions'!R$4:R$1448))</f>
        <v>0.34300468939664713</v>
      </c>
      <c r="AM51" s="94">
        <f>IF($A51="Baseline",'Emissions summary'!AJ51,SUMIF('Net zero emission reductions'!$A$4:$A$1448,$A$51,'Net zero emission reductions'!S$4:S$1448))</f>
        <v>0.32414466673481662</v>
      </c>
      <c r="AN51" s="94">
        <f>IF($A51="Baseline",'Emissions summary'!AK51,SUMIF('Net zero emission reductions'!$A$4:$A$1448,$A$51,'Net zero emission reductions'!T$4:T$1448))</f>
        <v>0.32654461197786544</v>
      </c>
      <c r="AO51" s="94">
        <f>IF($A51="Baseline",'Emissions summary'!AL51,SUMIF('Net zero emission reductions'!$A$4:$A$1448,$A$51,'Net zero emission reductions'!U$4:U$1448))</f>
        <v>0.33275058287301335</v>
      </c>
      <c r="AP51" s="94">
        <f>IF($A51="Baseline",'Emissions summary'!AM51,SUMIF('Net zero emission reductions'!$A$4:$A$1448,$A$51,'Net zero emission reductions'!V$4:V$1448))</f>
        <v>0.3353792844923863</v>
      </c>
      <c r="AQ51" s="94">
        <f>IF($A51="Baseline",'Emissions summary'!AN51,SUMIF('Net zero emission reductions'!$A$4:$A$1448,$A$51,'Net zero emission reductions'!W$4:W$1448))</f>
        <v>0.338183544595833</v>
      </c>
      <c r="AR51" s="94">
        <f>IF($A51="Baseline",'Emissions summary'!AO51,SUMIF('Net zero emission reductions'!$A$4:$A$1448,$A$51,'Net zero emission reductions'!X$4:X$1448))</f>
        <v>0.34160507716846655</v>
      </c>
      <c r="AS51" s="94">
        <f>IF($A51="Baseline",'Emissions summary'!AP51,SUMIF('Net zero emission reductions'!$A$4:$A$1448,$A$51,'Net zero emission reductions'!Y$4:Y$1448))</f>
        <v>0.34539187983073805</v>
      </c>
      <c r="AT51" s="94">
        <f>IF($A51="Baseline",'Emissions summary'!AQ51,SUMIF('Net zero emission reductions'!$A$4:$A$1448,$A$51,'Net zero emission reductions'!Z$4:Z$1448))</f>
        <v>0.34963709704026663</v>
      </c>
      <c r="AU51" s="94">
        <f>IF($A51="Baseline",'Emissions summary'!AR51,SUMIF('Net zero emission reductions'!$A$4:$A$1448,$A$51,'Net zero emission reductions'!AA$4:AA$1448))</f>
        <v>0.35397812918167326</v>
      </c>
      <c r="AV51" s="94">
        <f>IF($A51="Baseline",'Emissions summary'!AS51,SUMIF('Net zero emission reductions'!$A$4:$A$1448,$A$51,'Net zero emission reductions'!AB$4:AB$1448))</f>
        <v>0.35871342983956778</v>
      </c>
      <c r="AW51" s="94">
        <f>IF($A51="Baseline",'Emissions summary'!AT51,SUMIF('Net zero emission reductions'!$A$4:$A$1448,$A$51,'Net zero emission reductions'!AC$4:AC$1448))</f>
        <v>0.36350497199361759</v>
      </c>
      <c r="AX51" s="94">
        <f>IF($A51="Baseline",'Emissions summary'!AU51,SUMIF('Net zero emission reductions'!$A$4:$A$1448,$A$51,'Net zero emission reductions'!AD$4:AD$1448))</f>
        <v>0.36816689257898061</v>
      </c>
      <c r="AY51" s="94">
        <f>IF($A51="Baseline",'Emissions summary'!AV51,SUMIF('Net zero emission reductions'!$A$4:$A$1448,$A$51,'Net zero emission reductions'!AE$4:AE$1448))</f>
        <v>0.3726307959065111</v>
      </c>
      <c r="AZ51" s="94">
        <f>IF($A51="Baseline",'Emissions summary'!AW51,SUMIF('Net zero emission reductions'!$A$4:$A$1448,$A$51,'Net zero emission reductions'!AF$4:AF$1448))</f>
        <v>0.37729192958937641</v>
      </c>
      <c r="BA51" s="94">
        <f>IF($A51="Baseline",'Emissions summary'!AX51,SUMIF('Net zero emission reductions'!$A$4:$A$1448,$A$51,'Net zero emission reductions'!AG$4:AG$1448))</f>
        <v>0.3827005707462991</v>
      </c>
      <c r="BB51" s="94">
        <f>IF($A51="Baseline",'Emissions summary'!AY51,SUMIF('Net zero emission reductions'!$A$4:$A$1448,$A$51,'Net zero emission reductions'!AH$4:AH$1448))</f>
        <v>0.38762633931654056</v>
      </c>
      <c r="BC51" s="94">
        <f>IF($A51="Baseline",'Emissions summary'!AZ51,SUMIF('Net zero emission reductions'!$A$4:$A$1448,$A$51,'Net zero emission reductions'!AI$4:AI$1448))</f>
        <v>0.39276696618526413</v>
      </c>
      <c r="BD51" s="94">
        <f>IF($A51="Baseline",'Emissions summary'!BA51,SUMIF('Net zero emission reductions'!$A$4:$A$1448,$A$51,'Net zero emission reductions'!AJ$4:AJ$1448))</f>
        <v>0.39826728186228039</v>
      </c>
      <c r="BE51" s="94">
        <f>IF($A51="Baseline",'Emissions summary'!BB51,SUMIF('Net zero emission reductions'!$A$4:$A$1448,$A$51,'Net zero emission reductions'!AK$4:AK$1448))</f>
        <v>0.40315246287576845</v>
      </c>
      <c r="BF51" s="94">
        <f>IF($A51="Baseline",'Emissions summary'!BC51,SUMIF('Net zero emission reductions'!$A$4:$A$1448,$A$51,'Net zero emission reductions'!AL$4:AL$1448))</f>
        <v>0.40781362705724722</v>
      </c>
      <c r="BG51" s="94">
        <f>IF($A51="Baseline",'Emissions summary'!BD51,SUMIF('Net zero emission reductions'!$A$4:$A$1448,$A$51,'Net zero emission reductions'!AM$4:AM$1448))</f>
        <v>0.41230475509557218</v>
      </c>
      <c r="BH51" s="94">
        <f>IF($A51="Baseline",'Emissions summary'!BE51,SUMIF('Net zero emission reductions'!$A$4:$A$1448,$A$51,'Net zero emission reductions'!AN$4:AN$1448))</f>
        <v>0.41773260176332261</v>
      </c>
      <c r="BI51" s="94">
        <f>IF($A51="Baseline",'Emissions summary'!BF51,SUMIF('Net zero emission reductions'!$A$4:$A$1448,$A$51,'Net zero emission reductions'!AO$4:AO$1448))</f>
        <v>0.42277969856047953</v>
      </c>
      <c r="BJ51" s="94">
        <f>IF($A51="Baseline",'Emissions summary'!BG51,SUMIF('Net zero emission reductions'!$A$4:$A$1448,$A$51,'Net zero emission reductions'!AP$4:AP$1448))</f>
        <v>0.42795015450431162</v>
      </c>
      <c r="BK51" s="94">
        <f>IF($A51="Baseline",'Emissions summary'!BH51,SUMIF('Net zero emission reductions'!$A$4:$A$1448,$A$51,'Net zero emission reductions'!AQ$4:AQ$1448))</f>
        <v>0.43330596024788276</v>
      </c>
      <c r="BL51" s="94">
        <f>IF($A51="Baseline",'Emissions summary'!BI51,SUMIF('Net zero emission reductions'!$A$4:$A$1448,$A$51,'Net zero emission reductions'!AR$4:AR$1448))</f>
        <v>0.43889405236607826</v>
      </c>
      <c r="BM51" s="94">
        <f>IF($A51="Baseline",'Emissions summary'!BJ51,SUMIF('Net zero emission reductions'!$A$4:$A$1448,$A$51,'Net zero emission reductions'!AS$4:AS$1448))</f>
        <v>0.44469105572645612</v>
      </c>
      <c r="BN51" s="94">
        <f>IF($A51="Baseline",'Emissions summary'!BK51,SUMIF('Net zero emission reductions'!$A$4:$A$1448,$A$51,'Net zero emission reductions'!AT$4:AT$1448))</f>
        <v>0.44461369310265891</v>
      </c>
      <c r="BO51" s="94">
        <f>IF($A51="Baseline",'Emissions summary'!BL51,SUMIF('Net zero emission reductions'!$A$4:$A$1448,$A$51,'Net zero emission reductions'!AU$4:AU$1448))</f>
        <v>0.44366392475999178</v>
      </c>
      <c r="BP51" s="94">
        <f>IF($A51="Baseline",'Emissions summary'!BM51,SUMIF('Net zero emission reductions'!$A$4:$A$1448,$A$51,'Net zero emission reductions'!AV$4:AV$1448))</f>
        <v>0.44193640795608774</v>
      </c>
      <c r="BQ51" s="94">
        <f>IF($A51="Baseline",'Emissions summary'!BN51,SUMIF('Net zero emission reductions'!$A$4:$A$1448,$A$51,'Net zero emission reductions'!AW$4:AW$1448))</f>
        <v>0.43996873627678895</v>
      </c>
    </row>
    <row r="52" spans="1:75" s="19" customFormat="1" ht="15.6" x14ac:dyDescent="0.3">
      <c r="A52" s="97"/>
      <c r="B52" s="97"/>
      <c r="C52" s="95"/>
      <c r="D52" s="19" t="str">
        <f t="shared" si="36"/>
        <v>3C Aggregated and non-CO2 emissions on land</v>
      </c>
      <c r="E52" s="19" t="str">
        <f>'IPCC Categories'!B80</f>
        <v>3C6 Indirect N2O from manure management (N2O)</v>
      </c>
      <c r="F52" s="19" t="s">
        <v>148</v>
      </c>
      <c r="G52" s="19" t="str">
        <f t="shared" si="30"/>
        <v>N2O</v>
      </c>
      <c r="H52" s="19" t="str">
        <f t="shared" si="30"/>
        <v>Gg N2O</v>
      </c>
      <c r="I52" s="41">
        <f>SUM(I53:I54)</f>
        <v>1.0950538253856468</v>
      </c>
      <c r="J52" s="41">
        <f t="shared" ref="J52:AE52" si="37">SUM(J53:J54)</f>
        <v>1.1658727848185233</v>
      </c>
      <c r="K52" s="41">
        <f t="shared" si="37"/>
        <v>1.0848631974974343</v>
      </c>
      <c r="L52" s="41">
        <f t="shared" si="37"/>
        <v>1.1252390431692683</v>
      </c>
      <c r="M52" s="41">
        <f t="shared" si="37"/>
        <v>1.0734739532249553</v>
      </c>
      <c r="N52" s="41">
        <f t="shared" si="37"/>
        <v>1.132808817863219</v>
      </c>
      <c r="O52" s="41">
        <f t="shared" si="37"/>
        <v>1.1837401232176359</v>
      </c>
      <c r="P52" s="41">
        <f t="shared" si="37"/>
        <v>1.1732129506374127</v>
      </c>
      <c r="Q52" s="41">
        <f t="shared" si="37"/>
        <v>1.2025072193927659</v>
      </c>
      <c r="R52" s="41">
        <f t="shared" si="37"/>
        <v>1.2151362947473952</v>
      </c>
      <c r="S52" s="41">
        <f t="shared" si="37"/>
        <v>1.3425597798100053</v>
      </c>
      <c r="T52" s="41">
        <f t="shared" si="37"/>
        <v>1.3350835411028359</v>
      </c>
      <c r="U52" s="41">
        <f t="shared" si="37"/>
        <v>1.2971770946245216</v>
      </c>
      <c r="V52" s="41">
        <f t="shared" si="37"/>
        <v>1.2325302326597585</v>
      </c>
      <c r="W52" s="41">
        <f t="shared" si="37"/>
        <v>1.2249617526122387</v>
      </c>
      <c r="X52" s="41">
        <f t="shared" si="37"/>
        <v>1.2870593712731417</v>
      </c>
      <c r="Y52" s="41">
        <f t="shared" si="37"/>
        <v>1.3036096413946223</v>
      </c>
      <c r="Z52" s="41">
        <f t="shared" si="37"/>
        <v>1.3296829545150457</v>
      </c>
      <c r="AA52" s="41">
        <f t="shared" si="37"/>
        <v>1.4390001307004523</v>
      </c>
      <c r="AB52" s="41">
        <f t="shared" si="37"/>
        <v>1.4305572536330728</v>
      </c>
      <c r="AC52" s="41">
        <f t="shared" si="37"/>
        <v>1.4388556601471445</v>
      </c>
      <c r="AD52" s="41">
        <f t="shared" si="37"/>
        <v>1.4563575155753867</v>
      </c>
      <c r="AE52" s="41">
        <f t="shared" si="37"/>
        <v>1.4966006533780924</v>
      </c>
      <c r="AF52" s="41">
        <f t="shared" ref="AF52:BQ52" si="38">SUM(AF53:AF54)</f>
        <v>1.5114628716679737</v>
      </c>
      <c r="AG52" s="41">
        <f t="shared" si="38"/>
        <v>1.5337636748745853</v>
      </c>
      <c r="AH52" s="41">
        <f t="shared" si="38"/>
        <v>1.5436359301289113</v>
      </c>
      <c r="AI52" s="41">
        <f t="shared" si="38"/>
        <v>1.5455830647924338</v>
      </c>
      <c r="AJ52" s="41">
        <f t="shared" si="38"/>
        <v>1.5396059638680233</v>
      </c>
      <c r="AK52" s="41">
        <f t="shared" si="38"/>
        <v>1.5406069398014894</v>
      </c>
      <c r="AL52" s="41">
        <f t="shared" si="38"/>
        <v>1.5429841908916511</v>
      </c>
      <c r="AM52" s="41">
        <f t="shared" si="38"/>
        <v>1.4117859501059316</v>
      </c>
      <c r="AN52" s="41">
        <f t="shared" si="38"/>
        <v>1.4446426217840949</v>
      </c>
      <c r="AO52" s="41">
        <f t="shared" si="38"/>
        <v>1.4951838775169701</v>
      </c>
      <c r="AP52" s="41">
        <f t="shared" si="38"/>
        <v>1.5172047837314651</v>
      </c>
      <c r="AQ52" s="41">
        <f t="shared" si="38"/>
        <v>1.5429640139702714</v>
      </c>
      <c r="AR52" s="41">
        <f t="shared" si="38"/>
        <v>1.5735625206935386</v>
      </c>
      <c r="AS52" s="41">
        <f t="shared" si="38"/>
        <v>1.6071792475356412</v>
      </c>
      <c r="AT52" s="41">
        <f t="shared" si="38"/>
        <v>1.6445951351252028</v>
      </c>
      <c r="AU52" s="41">
        <f t="shared" si="38"/>
        <v>1.6829074957995804</v>
      </c>
      <c r="AV52" s="41">
        <f t="shared" si="38"/>
        <v>1.7247417477440332</v>
      </c>
      <c r="AW52" s="41">
        <f t="shared" si="38"/>
        <v>1.7672384541700492</v>
      </c>
      <c r="AX52" s="41">
        <f t="shared" si="38"/>
        <v>1.8156553307258507</v>
      </c>
      <c r="AY52" s="41">
        <f t="shared" si="38"/>
        <v>1.8629402828847581</v>
      </c>
      <c r="AZ52" s="41">
        <f t="shared" si="38"/>
        <v>1.9128175005161601</v>
      </c>
      <c r="BA52" s="41">
        <f t="shared" si="38"/>
        <v>1.9697153482281267</v>
      </c>
      <c r="BB52" s="41">
        <f t="shared" si="38"/>
        <v>2.0231064624911688</v>
      </c>
      <c r="BC52" s="41">
        <f t="shared" si="38"/>
        <v>2.079691437691749</v>
      </c>
      <c r="BD52" s="41">
        <f t="shared" si="38"/>
        <v>2.1402377989121648</v>
      </c>
      <c r="BE52" s="41">
        <f t="shared" si="38"/>
        <v>2.1962903000752121</v>
      </c>
      <c r="BF52" s="41">
        <f t="shared" si="38"/>
        <v>2.2517071860011386</v>
      </c>
      <c r="BG52" s="41">
        <f t="shared" si="38"/>
        <v>2.3066741391223649</v>
      </c>
      <c r="BH52" s="41">
        <f t="shared" si="38"/>
        <v>2.3665890862896992</v>
      </c>
      <c r="BI52" s="41">
        <f t="shared" si="38"/>
        <v>2.4236251205669155</v>
      </c>
      <c r="BJ52" s="41">
        <f t="shared" si="38"/>
        <v>2.4827941150212238</v>
      </c>
      <c r="BK52" s="41">
        <f t="shared" si="38"/>
        <v>2.5443887730337473</v>
      </c>
      <c r="BL52" s="41">
        <f t="shared" si="38"/>
        <v>2.6088775644499851</v>
      </c>
      <c r="BM52" s="41">
        <f t="shared" si="38"/>
        <v>2.676186289695635</v>
      </c>
      <c r="BN52" s="41">
        <f t="shared" si="38"/>
        <v>2.689170915116248</v>
      </c>
      <c r="BO52" s="41">
        <f t="shared" si="38"/>
        <v>2.6972200246106315</v>
      </c>
      <c r="BP52" s="41">
        <f t="shared" si="38"/>
        <v>2.6981474699034997</v>
      </c>
      <c r="BQ52" s="41">
        <f t="shared" si="38"/>
        <v>2.6970820443490537</v>
      </c>
      <c r="BT52"/>
    </row>
    <row r="53" spans="1:75" x14ac:dyDescent="0.3">
      <c r="A53" s="95" t="str">
        <f t="shared" ref="A53:A54" si="39">B53&amp;" "&amp;C53</f>
        <v>FSFAGSPQNIBDDSCM MM Volatilisation</v>
      </c>
      <c r="B53" s="95" t="str">
        <f t="shared" ref="B53:B54" si="40">$B$5</f>
        <v>FSFAGSPQNIBDDSCM</v>
      </c>
      <c r="C53" s="95" t="s">
        <v>1332</v>
      </c>
      <c r="D53" t="str">
        <f t="shared" ref="D53" si="41">D51</f>
        <v>3C Aggregated and non-CO2 emissions on land</v>
      </c>
      <c r="E53" t="str">
        <f>'IPCC Categories'!B80</f>
        <v>3C6 Indirect N2O from manure management (N2O)</v>
      </c>
      <c r="F53" t="str">
        <f>'IPCC Categories'!C80</f>
        <v>Volatilisation</v>
      </c>
      <c r="G53" t="str">
        <f>G51</f>
        <v>N2O</v>
      </c>
      <c r="H53" t="str">
        <f>H51</f>
        <v>Gg N2O</v>
      </c>
      <c r="I53" s="27">
        <f>'Emissions summary'!F53</f>
        <v>0.80161921525345481</v>
      </c>
      <c r="J53" s="27">
        <f>'Emissions summary'!G53</f>
        <v>0.85849615635183785</v>
      </c>
      <c r="K53" s="27">
        <f>'Emissions summary'!H53</f>
        <v>0.79435444319952053</v>
      </c>
      <c r="L53" s="27">
        <f>'Emissions summary'!I53</f>
        <v>0.829147805848644</v>
      </c>
      <c r="M53" s="27">
        <f>'Emissions summary'!J53</f>
        <v>0.79042443952630315</v>
      </c>
      <c r="N53" s="27">
        <f>'Emissions summary'!K53</f>
        <v>0.8376969438335109</v>
      </c>
      <c r="O53" s="27">
        <f>'Emissions summary'!L53</f>
        <v>0.87683765723343599</v>
      </c>
      <c r="P53" s="27">
        <f>'Emissions summary'!M53</f>
        <v>0.86676785102585141</v>
      </c>
      <c r="Q53" s="27">
        <f>'Emissions summary'!N53</f>
        <v>0.88867615567493341</v>
      </c>
      <c r="R53" s="27">
        <f>'Emissions summary'!O53</f>
        <v>0.89855891694378176</v>
      </c>
      <c r="S53" s="27">
        <f>'Emissions summary'!P53</f>
        <v>1.0009422058189665</v>
      </c>
      <c r="T53" s="27">
        <f>'Emissions summary'!Q53</f>
        <v>0.99558785675794326</v>
      </c>
      <c r="U53" s="27">
        <f>'Emissions summary'!R53</f>
        <v>0.96534354462768934</v>
      </c>
      <c r="V53" s="27">
        <f>'Emissions summary'!S53</f>
        <v>0.91309585992575648</v>
      </c>
      <c r="W53" s="27">
        <f>'Emissions summary'!T53</f>
        <v>0.90768844469024579</v>
      </c>
      <c r="X53" s="27">
        <f>'Emissions summary'!U53</f>
        <v>0.95758004378601003</v>
      </c>
      <c r="Y53" s="27">
        <f>'Emissions summary'!V53</f>
        <v>0.97046445508369161</v>
      </c>
      <c r="Z53" s="27">
        <f>'Emissions summary'!W53</f>
        <v>0.98964220935969038</v>
      </c>
      <c r="AA53" s="27">
        <f>'Emissions summary'!X53</f>
        <v>1.0767445498553814</v>
      </c>
      <c r="AB53" s="27">
        <f>'Emissions summary'!Y53</f>
        <v>1.0706000439339658</v>
      </c>
      <c r="AC53" s="27">
        <f>'Emissions summary'!Z53</f>
        <v>1.0778952760899894</v>
      </c>
      <c r="AD53" s="27">
        <f>'Emissions summary'!AA53</f>
        <v>1.091951943859661</v>
      </c>
      <c r="AE53" s="27">
        <f>SUM('Net zero emission reductions'!K1531:K1546)</f>
        <v>1.1260073524873579</v>
      </c>
      <c r="AF53" s="27">
        <f>SUM('Net zero emission reductions'!L1531:L1546)</f>
        <v>1.1381916980106408</v>
      </c>
      <c r="AG53" s="27">
        <f>SUM('Net zero emission reductions'!M1531:M1546)</f>
        <v>1.1560242056612529</v>
      </c>
      <c r="AH53" s="27">
        <f>SUM('Net zero emission reductions'!N1531:N1546)</f>
        <v>1.1644338155648368</v>
      </c>
      <c r="AI53" s="27">
        <f>SUM('Net zero emission reductions'!O1531:O1546)</f>
        <v>1.1668147538350464</v>
      </c>
      <c r="AJ53" s="27">
        <f>SUM('Net zero emission reductions'!P1531:P1546)</f>
        <v>1.1631491557292368</v>
      </c>
      <c r="AK53" s="27">
        <f>SUM('Net zero emission reductions'!Q1531:Q1546)</f>
        <v>1.164779548726063</v>
      </c>
      <c r="AL53" s="27">
        <f>SUM('Net zero emission reductions'!R1531:R1546)</f>
        <v>1.1674495942945495</v>
      </c>
      <c r="AM53" s="27">
        <f>SUM('Net zero emission reductions'!S1531:S1546)</f>
        <v>1.0681325645397945</v>
      </c>
      <c r="AN53" s="27">
        <f>SUM('Net zero emission reductions'!T1531:T1546)</f>
        <v>1.0935749902341527</v>
      </c>
      <c r="AO53" s="27">
        <f>SUM('Net zero emission reductions'!U1531:U1546)</f>
        <v>1.1325483853886662</v>
      </c>
      <c r="AP53" s="27">
        <f>SUM('Net zero emission reductions'!V1531:V1546)</f>
        <v>1.1497461681313257</v>
      </c>
      <c r="AQ53" s="27">
        <f>SUM('Net zero emission reductions'!W1531:W1546)</f>
        <v>1.1698122528748762</v>
      </c>
      <c r="AR53" s="27">
        <f>SUM('Net zero emission reductions'!X1531:X1546)</f>
        <v>1.1935930262919467</v>
      </c>
      <c r="AS53" s="27">
        <f>SUM('Net zero emission reductions'!Y1531:Y1546)</f>
        <v>1.2197271309880118</v>
      </c>
      <c r="AT53" s="27">
        <f>SUM('Net zero emission reductions'!Z1531:Z1546)</f>
        <v>1.2487877884404763</v>
      </c>
      <c r="AU53" s="27">
        <f>SUM('Net zero emission reductions'!AA1531:AA1546)</f>
        <v>1.2785545338919686</v>
      </c>
      <c r="AV53" s="27">
        <f>SUM('Net zero emission reductions'!AB1531:AB1546)</f>
        <v>1.3110406999250777</v>
      </c>
      <c r="AW53" s="27">
        <f>SUM('Net zero emission reductions'!AC1531:AC1546)</f>
        <v>1.3440566695186553</v>
      </c>
      <c r="AX53" s="27">
        <f>SUM('Net zero emission reductions'!AD1531:AD1546)</f>
        <v>1.3820648751687408</v>
      </c>
      <c r="AY53" s="27">
        <f>SUM('Net zero emission reductions'!AE1531:AE1546)</f>
        <v>1.4192510988165017</v>
      </c>
      <c r="AZ53" s="27">
        <f>SUM('Net zero emission reductions'!AF1531:AF1546)</f>
        <v>1.4584754369445876</v>
      </c>
      <c r="BA53" s="27">
        <f>SUM('Net zero emission reductions'!AG1531:AG1546)</f>
        <v>1.503148118486815</v>
      </c>
      <c r="BB53" s="27">
        <f>SUM('Net zero emission reductions'!AH1531:AH1546)</f>
        <v>1.5451768400437367</v>
      </c>
      <c r="BC53" s="27">
        <f>SUM('Net zero emission reductions'!AI1531:AI1546)</f>
        <v>1.5897367643254949</v>
      </c>
      <c r="BD53" s="27">
        <f>SUM('Net zero emission reductions'!AJ1531:AJ1546)</f>
        <v>1.6374042155133974</v>
      </c>
      <c r="BE53" s="27">
        <f>SUM('Net zero emission reductions'!AK1531:AK1546)</f>
        <v>1.6816625254890565</v>
      </c>
      <c r="BF53" s="27">
        <f>SUM('Net zero emission reductions'!AL1531:AL1546)</f>
        <v>1.7254821680146883</v>
      </c>
      <c r="BG53" s="27">
        <f>SUM('Net zero emission reductions'!AM1531:AM1546)</f>
        <v>1.7690049794676141</v>
      </c>
      <c r="BH53" s="27">
        <f>SUM('Net zero emission reductions'!AN1531:AN1546)</f>
        <v>1.8161573066618681</v>
      </c>
      <c r="BI53" s="27">
        <f>SUM('Net zero emission reductions'!AO1531:AO1546)</f>
        <v>1.8611249633792482</v>
      </c>
      <c r="BJ53" s="27">
        <f>SUM('Net zero emission reductions'!AP1531:AP1546)</f>
        <v>1.9077818972057918</v>
      </c>
      <c r="BK53" s="27">
        <f>SUM('Net zero emission reductions'!AQ1531:AQ1546)</f>
        <v>1.9563568865376635</v>
      </c>
      <c r="BL53" s="27">
        <f>SUM('Net zero emission reductions'!AR1531:AR1546)</f>
        <v>2.0072152828923562</v>
      </c>
      <c r="BM53" s="27">
        <f>SUM('Net zero emission reductions'!AS1531:AS1546)</f>
        <v>2.0603205854264592</v>
      </c>
      <c r="BN53" s="27">
        <f>SUM('Net zero emission reductions'!AT1531:AT1546)</f>
        <v>2.0713515488336971</v>
      </c>
      <c r="BO53" s="27">
        <f>SUM('Net zero emission reductions'!AU1531:AU1546)</f>
        <v>2.0785561180463015</v>
      </c>
      <c r="BP53" s="27">
        <f>SUM('Net zero emission reductions'!AV1531:AV1546)</f>
        <v>2.0802318053181557</v>
      </c>
      <c r="BQ53" s="27">
        <f>SUM('Net zero emission reductions'!AW1531:AW1546)</f>
        <v>2.0803529397835865</v>
      </c>
    </row>
    <row r="54" spans="1:75" x14ac:dyDescent="0.3">
      <c r="A54" s="95" t="str">
        <f t="shared" si="39"/>
        <v>FSFAGSPQNIBDDSCM MM Leaching</v>
      </c>
      <c r="B54" s="95" t="str">
        <f t="shared" si="40"/>
        <v>FSFAGSPQNIBDDSCM</v>
      </c>
      <c r="C54" s="95" t="s">
        <v>1333</v>
      </c>
      <c r="D54" t="str">
        <f t="shared" ref="D54" si="42">D53</f>
        <v>3C Aggregated and non-CO2 emissions on land</v>
      </c>
      <c r="E54" t="str">
        <f>E53</f>
        <v>3C6 Indirect N2O from manure management (N2O)</v>
      </c>
      <c r="F54" t="str">
        <f>'IPCC Categories'!C81</f>
        <v>Leaching/runoff</v>
      </c>
      <c r="G54" t="str">
        <f t="shared" si="30"/>
        <v>N2O</v>
      </c>
      <c r="H54" t="str">
        <f t="shared" si="30"/>
        <v>Gg N2O</v>
      </c>
      <c r="I54" s="27">
        <f>'Emissions summary'!F54</f>
        <v>0.29343461013219191</v>
      </c>
      <c r="J54" s="27">
        <f>'Emissions summary'!G54</f>
        <v>0.3073766284666854</v>
      </c>
      <c r="K54" s="27">
        <f>'Emissions summary'!H54</f>
        <v>0.29050875429791384</v>
      </c>
      <c r="L54" s="27">
        <f>'Emissions summary'!I54</f>
        <v>0.29609123732062431</v>
      </c>
      <c r="M54" s="27">
        <f>'Emissions summary'!J54</f>
        <v>0.28304951369865206</v>
      </c>
      <c r="N54" s="27">
        <f>'Emissions summary'!K54</f>
        <v>0.29511187402970801</v>
      </c>
      <c r="O54" s="27">
        <f>'Emissions summary'!L54</f>
        <v>0.30690246598419996</v>
      </c>
      <c r="P54" s="27">
        <f>'Emissions summary'!M54</f>
        <v>0.30644509961156119</v>
      </c>
      <c r="Q54" s="27">
        <f>'Emissions summary'!N54</f>
        <v>0.31383106371783259</v>
      </c>
      <c r="R54" s="27">
        <f>'Emissions summary'!O54</f>
        <v>0.31657737780361339</v>
      </c>
      <c r="S54" s="27">
        <f>'Emissions summary'!P54</f>
        <v>0.3416175739910387</v>
      </c>
      <c r="T54" s="27">
        <f>'Emissions summary'!Q54</f>
        <v>0.33949568434489258</v>
      </c>
      <c r="U54" s="27">
        <f>'Emissions summary'!R54</f>
        <v>0.33183354999683212</v>
      </c>
      <c r="V54" s="27">
        <f>'Emissions summary'!S54</f>
        <v>0.31943437273400205</v>
      </c>
      <c r="W54" s="27">
        <f>'Emissions summary'!T54</f>
        <v>0.31727330792199299</v>
      </c>
      <c r="X54" s="27">
        <f>'Emissions summary'!U54</f>
        <v>0.3294793274871316</v>
      </c>
      <c r="Y54" s="27">
        <f>'Emissions summary'!V54</f>
        <v>0.33314518631093065</v>
      </c>
      <c r="Z54" s="27">
        <f>'Emissions summary'!W54</f>
        <v>0.34004074515535521</v>
      </c>
      <c r="AA54" s="27">
        <f>'Emissions summary'!X54</f>
        <v>0.36225558084507087</v>
      </c>
      <c r="AB54" s="27">
        <f>'Emissions summary'!Y54</f>
        <v>0.35995720969910711</v>
      </c>
      <c r="AC54" s="27">
        <f>'Emissions summary'!Z54</f>
        <v>0.36096038405715508</v>
      </c>
      <c r="AD54" s="27">
        <f>'Emissions summary'!AA54</f>
        <v>0.3644055717157258</v>
      </c>
      <c r="AE54" s="27">
        <f>SUM('Net zero emission reductions'!K1547:K1562)</f>
        <v>0.3705933008907345</v>
      </c>
      <c r="AF54" s="27">
        <f>SUM('Net zero emission reductions'!L1547:L1562)</f>
        <v>0.37327117365733281</v>
      </c>
      <c r="AG54" s="27">
        <f>SUM('Net zero emission reductions'!M1547:M1562)</f>
        <v>0.37773946921333246</v>
      </c>
      <c r="AH54" s="27">
        <f>SUM('Net zero emission reductions'!N1547:N1562)</f>
        <v>0.37920211456407454</v>
      </c>
      <c r="AI54" s="27">
        <f>SUM('Net zero emission reductions'!O1547:O1562)</f>
        <v>0.37876831095738744</v>
      </c>
      <c r="AJ54" s="27">
        <f>SUM('Net zero emission reductions'!P1547:P1562)</f>
        <v>0.3764568081387864</v>
      </c>
      <c r="AK54" s="27">
        <f>SUM('Net zero emission reductions'!Q1547:Q1562)</f>
        <v>0.37582739107542651</v>
      </c>
      <c r="AL54" s="27">
        <f>SUM('Net zero emission reductions'!R1547:R1562)</f>
        <v>0.37553459659710142</v>
      </c>
      <c r="AM54" s="27">
        <f>SUM('Net zero emission reductions'!S1547:S1562)</f>
        <v>0.34365338556613706</v>
      </c>
      <c r="AN54" s="27">
        <f>SUM('Net zero emission reductions'!T1547:T1562)</f>
        <v>0.35106763154994214</v>
      </c>
      <c r="AO54" s="27">
        <f>SUM('Net zero emission reductions'!U1547:U1562)</f>
        <v>0.36263549212830387</v>
      </c>
      <c r="AP54" s="27">
        <f>SUM('Net zero emission reductions'!V1547:V1562)</f>
        <v>0.36745861560013948</v>
      </c>
      <c r="AQ54" s="27">
        <f>SUM('Net zero emission reductions'!W1547:W1562)</f>
        <v>0.37315176109539516</v>
      </c>
      <c r="AR54" s="27">
        <f>SUM('Net zero emission reductions'!X1547:X1562)</f>
        <v>0.37996949440159189</v>
      </c>
      <c r="AS54" s="27">
        <f>SUM('Net zero emission reductions'!Y1547:Y1562)</f>
        <v>0.38745211654762957</v>
      </c>
      <c r="AT54" s="27">
        <f>SUM('Net zero emission reductions'!Z1547:Z1562)</f>
        <v>0.39580734668472661</v>
      </c>
      <c r="AU54" s="27">
        <f>SUM('Net zero emission reductions'!AA1547:AA1562)</f>
        <v>0.40435296190761183</v>
      </c>
      <c r="AV54" s="27">
        <f>SUM('Net zero emission reductions'!AB1547:AB1562)</f>
        <v>0.41370104781895556</v>
      </c>
      <c r="AW54" s="27">
        <f>SUM('Net zero emission reductions'!AC1547:AC1562)</f>
        <v>0.42318178465139383</v>
      </c>
      <c r="AX54" s="27">
        <f>SUM('Net zero emission reductions'!AD1547:AD1562)</f>
        <v>0.43359045555710996</v>
      </c>
      <c r="AY54" s="27">
        <f>SUM('Net zero emission reductions'!AE1547:AE1562)</f>
        <v>0.44368918406825641</v>
      </c>
      <c r="AZ54" s="27">
        <f>SUM('Net zero emission reductions'!AF1547:AF1562)</f>
        <v>0.45434206357157236</v>
      </c>
      <c r="BA54" s="27">
        <f>SUM('Net zero emission reductions'!AG1547:AG1562)</f>
        <v>0.46656722974131171</v>
      </c>
      <c r="BB54" s="27">
        <f>SUM('Net zero emission reductions'!AH1547:AH1562)</f>
        <v>0.47792962244743226</v>
      </c>
      <c r="BC54" s="27">
        <f>SUM('Net zero emission reductions'!AI1547:AI1562)</f>
        <v>0.4899546733662542</v>
      </c>
      <c r="BD54" s="27">
        <f>SUM('Net zero emission reductions'!AJ1547:AJ1562)</f>
        <v>0.50283358339876716</v>
      </c>
      <c r="BE54" s="27">
        <f>SUM('Net zero emission reductions'!AK1547:AK1562)</f>
        <v>0.51462777458615561</v>
      </c>
      <c r="BF54" s="27">
        <f>SUM('Net zero emission reductions'!AL1547:AL1562)</f>
        <v>0.52622501798645038</v>
      </c>
      <c r="BG54" s="27">
        <f>SUM('Net zero emission reductions'!AM1547:AM1562)</f>
        <v>0.53766915965475071</v>
      </c>
      <c r="BH54" s="27">
        <f>SUM('Net zero emission reductions'!AN1547:AN1562)</f>
        <v>0.55043177962783096</v>
      </c>
      <c r="BI54" s="27">
        <f>SUM('Net zero emission reductions'!AO1547:AO1562)</f>
        <v>0.56250015718766733</v>
      </c>
      <c r="BJ54" s="27">
        <f>SUM('Net zero emission reductions'!AP1547:AP1562)</f>
        <v>0.5750122178154321</v>
      </c>
      <c r="BK54" s="27">
        <f>SUM('Net zero emission reductions'!AQ1547:AQ1562)</f>
        <v>0.58803188649608384</v>
      </c>
      <c r="BL54" s="27">
        <f>SUM('Net zero emission reductions'!AR1547:AR1562)</f>
        <v>0.60166228155762913</v>
      </c>
      <c r="BM54" s="27">
        <f>SUM('Net zero emission reductions'!AS1547:AS1562)</f>
        <v>0.61586570426917586</v>
      </c>
      <c r="BN54" s="27">
        <f>SUM('Net zero emission reductions'!AT1547:AT1562)</f>
        <v>0.61781936628255085</v>
      </c>
      <c r="BO54" s="27">
        <f>SUM('Net zero emission reductions'!AU1547:AU1562)</f>
        <v>0.61866390656433001</v>
      </c>
      <c r="BP54" s="27">
        <f>SUM('Net zero emission reductions'!AV1547:AV1562)</f>
        <v>0.61791566458534386</v>
      </c>
      <c r="BQ54" s="27">
        <f>SUM('Net zero emission reductions'!AW1547:AW1562)</f>
        <v>0.61672910456546726</v>
      </c>
    </row>
    <row r="55" spans="1:75" x14ac:dyDescent="0.3">
      <c r="AE55">
        <v>35.540732111824028</v>
      </c>
      <c r="AF55">
        <v>35.432980225778593</v>
      </c>
      <c r="AG55">
        <v>35.148388248241666</v>
      </c>
      <c r="AH55">
        <v>34.689934793643864</v>
      </c>
      <c r="AI55">
        <v>34.10577532668794</v>
      </c>
      <c r="AJ55">
        <v>33.665517278199879</v>
      </c>
      <c r="AK55">
        <v>33.191408494921838</v>
      </c>
      <c r="AL55">
        <v>32.688932503561567</v>
      </c>
      <c r="AM55">
        <v>29.89577281885051</v>
      </c>
      <c r="AN55">
        <v>30.039289702421215</v>
      </c>
      <c r="AO55">
        <v>30.155062545515406</v>
      </c>
      <c r="AP55">
        <v>30.271687073296022</v>
      </c>
      <c r="AQ55">
        <v>30.365217516199881</v>
      </c>
      <c r="AR55">
        <v>30.476071690538603</v>
      </c>
      <c r="AS55">
        <v>30.671308828803358</v>
      </c>
      <c r="AT55">
        <v>30.852301213042974</v>
      </c>
      <c r="AU55">
        <v>31.052653896712687</v>
      </c>
      <c r="AV55">
        <v>31.263573744860192</v>
      </c>
      <c r="AW55">
        <v>31.485879582208856</v>
      </c>
      <c r="AX55">
        <v>31.639870187971049</v>
      </c>
      <c r="AY55">
        <v>31.738561975791818</v>
      </c>
      <c r="AZ55">
        <v>31.889988661325503</v>
      </c>
      <c r="BA55">
        <v>32.067521839452567</v>
      </c>
      <c r="BB55">
        <v>32.27071745845867</v>
      </c>
      <c r="BC55">
        <v>32.464199963579325</v>
      </c>
      <c r="BD55">
        <v>32.662583605249623</v>
      </c>
      <c r="BE55">
        <v>32.844096090877819</v>
      </c>
      <c r="BF55">
        <v>33.02851443877168</v>
      </c>
      <c r="BG55">
        <v>33.230961662277288</v>
      </c>
      <c r="BH55">
        <v>33.542231603301246</v>
      </c>
      <c r="BI55">
        <v>33.861731015026024</v>
      </c>
      <c r="BJ55">
        <v>34.185669391888325</v>
      </c>
      <c r="BK55">
        <v>34.517017241724588</v>
      </c>
      <c r="BL55">
        <v>34.87270515197946</v>
      </c>
      <c r="BM55">
        <v>35.235858531572838</v>
      </c>
      <c r="BN55">
        <v>35.610295421452008</v>
      </c>
      <c r="BO55">
        <v>35.961442453466979</v>
      </c>
      <c r="BP55">
        <v>36.324654086002312</v>
      </c>
      <c r="BQ55">
        <v>36.701137090653802</v>
      </c>
    </row>
    <row r="56" spans="1:75" x14ac:dyDescent="0.3">
      <c r="AE56">
        <f>AE55-AE47</f>
        <v>0.14320397099078264</v>
      </c>
      <c r="AF56">
        <f t="shared" ref="AF56:BQ56" si="43">AF55-AF47</f>
        <v>0.23284707853220254</v>
      </c>
      <c r="AG56">
        <f t="shared" si="43"/>
        <v>-1.2251905141624775E-4</v>
      </c>
      <c r="AH56">
        <f t="shared" si="43"/>
        <v>-0.15877072903014522</v>
      </c>
      <c r="AI56">
        <f t="shared" si="43"/>
        <v>-0.29567157165920577</v>
      </c>
      <c r="AJ56">
        <f t="shared" si="43"/>
        <v>-0.15084611458040342</v>
      </c>
      <c r="AK56">
        <f t="shared" si="43"/>
        <v>-0.17785149009184664</v>
      </c>
      <c r="AL56">
        <f t="shared" si="43"/>
        <v>-0.26363626302885734</v>
      </c>
      <c r="AM56">
        <f t="shared" si="43"/>
        <v>-0.33743595496956047</v>
      </c>
      <c r="AN56">
        <f t="shared" si="43"/>
        <v>-0.54992691799801463</v>
      </c>
      <c r="AO56">
        <f t="shared" si="43"/>
        <v>-1.0795427066313259</v>
      </c>
      <c r="AP56">
        <f t="shared" si="43"/>
        <v>-1.1169463210675836</v>
      </c>
      <c r="AQ56">
        <f t="shared" si="43"/>
        <v>-1.2344636471928823</v>
      </c>
      <c r="AR56">
        <f t="shared" si="43"/>
        <v>-1.4073942065117322</v>
      </c>
      <c r="AS56">
        <f t="shared" si="43"/>
        <v>-1.5231663483362219</v>
      </c>
      <c r="AT56">
        <f t="shared" si="43"/>
        <v>-1.7045865417168393</v>
      </c>
      <c r="AU56">
        <f t="shared" si="43"/>
        <v>-1.8703624997312751</v>
      </c>
      <c r="AV56">
        <f t="shared" si="43"/>
        <v>-2.0696317538547468</v>
      </c>
      <c r="AW56">
        <f t="shared" si="43"/>
        <v>-2.2558519542302768</v>
      </c>
      <c r="AX56">
        <f t="shared" si="43"/>
        <v>-2.380508749826042</v>
      </c>
      <c r="AY56">
        <f t="shared" si="43"/>
        <v>-2.5191576574693002</v>
      </c>
      <c r="AZ56">
        <f t="shared" si="43"/>
        <v>-2.6188059147903218</v>
      </c>
      <c r="BA56">
        <f t="shared" si="43"/>
        <v>-2.766627524735398</v>
      </c>
      <c r="BB56">
        <f t="shared" si="43"/>
        <v>-2.8113969703266406</v>
      </c>
      <c r="BC56">
        <f t="shared" si="43"/>
        <v>-2.8729908274965936</v>
      </c>
      <c r="BD56">
        <f t="shared" si="43"/>
        <v>-2.9541941315436162</v>
      </c>
      <c r="BE56">
        <f t="shared" si="43"/>
        <v>-2.9639780666153115</v>
      </c>
      <c r="BF56">
        <f t="shared" si="43"/>
        <v>-2.9356903367181957</v>
      </c>
      <c r="BG56">
        <f t="shared" si="43"/>
        <v>-2.8573446277937151</v>
      </c>
      <c r="BH56">
        <f t="shared" si="43"/>
        <v>-2.823433028462496</v>
      </c>
      <c r="BI56">
        <f t="shared" si="43"/>
        <v>-2.7246764164771093</v>
      </c>
      <c r="BJ56">
        <f t="shared" si="43"/>
        <v>-2.6258371068417645</v>
      </c>
      <c r="BK56">
        <f t="shared" si="43"/>
        <v>-2.5261451503228187</v>
      </c>
      <c r="BL56">
        <f t="shared" si="43"/>
        <v>-2.4126271497998317</v>
      </c>
      <c r="BM56">
        <f t="shared" si="43"/>
        <v>-2.2909916681494806</v>
      </c>
      <c r="BN56">
        <f t="shared" si="43"/>
        <v>-1.5423274043916706</v>
      </c>
      <c r="BO56">
        <f t="shared" si="43"/>
        <v>-0.76311168794310902</v>
      </c>
      <c r="BP56">
        <f t="shared" si="43"/>
        <v>0.10182750475696878</v>
      </c>
      <c r="BQ56">
        <f t="shared" si="43"/>
        <v>0.99665980559272782</v>
      </c>
    </row>
    <row r="57" spans="1:75" s="19" customFormat="1" ht="15.6" x14ac:dyDescent="0.3">
      <c r="A57" s="97"/>
      <c r="B57" s="97"/>
      <c r="C57" s="97"/>
      <c r="D57" s="17" t="s">
        <v>4</v>
      </c>
      <c r="E57" s="17" t="s">
        <v>313</v>
      </c>
      <c r="F57" s="17"/>
      <c r="G57" s="17"/>
      <c r="H57" s="17"/>
      <c r="I57" s="17">
        <v>1990</v>
      </c>
      <c r="J57" s="17">
        <v>1991</v>
      </c>
      <c r="K57" s="17">
        <v>1992</v>
      </c>
      <c r="L57" s="17">
        <v>1993</v>
      </c>
      <c r="M57" s="17">
        <v>1994</v>
      </c>
      <c r="N57" s="17">
        <v>1995</v>
      </c>
      <c r="O57" s="17">
        <v>1996</v>
      </c>
      <c r="P57" s="17">
        <v>1997</v>
      </c>
      <c r="Q57" s="17">
        <v>1998</v>
      </c>
      <c r="R57" s="17">
        <v>1999</v>
      </c>
      <c r="S57" s="17">
        <v>2000</v>
      </c>
      <c r="T57" s="17">
        <v>2001</v>
      </c>
      <c r="U57" s="17">
        <v>2002</v>
      </c>
      <c r="V57" s="17">
        <v>2003</v>
      </c>
      <c r="W57" s="17">
        <v>2004</v>
      </c>
      <c r="X57" s="17">
        <v>2005</v>
      </c>
      <c r="Y57" s="17">
        <v>2006</v>
      </c>
      <c r="Z57" s="17">
        <v>2007</v>
      </c>
      <c r="AA57" s="17">
        <v>2008</v>
      </c>
      <c r="AB57" s="17">
        <v>2009</v>
      </c>
      <c r="AC57" s="17">
        <v>2010</v>
      </c>
      <c r="AD57" s="17">
        <v>2011</v>
      </c>
      <c r="AE57" s="17">
        <v>2012</v>
      </c>
      <c r="AF57" s="17">
        <v>2013</v>
      </c>
      <c r="AG57" s="17">
        <v>2014</v>
      </c>
      <c r="AH57" s="17">
        <v>2015</v>
      </c>
      <c r="AI57" s="17">
        <v>2016</v>
      </c>
      <c r="AJ57" s="17">
        <v>2017</v>
      </c>
      <c r="AK57" s="17">
        <v>2018</v>
      </c>
      <c r="AL57" s="17">
        <v>2019</v>
      </c>
      <c r="AM57" s="17">
        <v>2020</v>
      </c>
      <c r="AN57" s="17">
        <v>2021</v>
      </c>
      <c r="AO57" s="17">
        <v>2022</v>
      </c>
      <c r="AP57" s="17">
        <v>2023</v>
      </c>
      <c r="AQ57" s="17">
        <v>2024</v>
      </c>
      <c r="AR57" s="17">
        <v>2025</v>
      </c>
      <c r="AS57" s="17">
        <v>2026</v>
      </c>
      <c r="AT57" s="17">
        <v>2027</v>
      </c>
      <c r="AU57" s="17">
        <v>2028</v>
      </c>
      <c r="AV57" s="17">
        <v>2029</v>
      </c>
      <c r="AW57" s="17">
        <v>2030</v>
      </c>
      <c r="AX57" s="17">
        <v>2031</v>
      </c>
      <c r="AY57" s="17">
        <v>2032</v>
      </c>
      <c r="AZ57" s="17">
        <v>2033</v>
      </c>
      <c r="BA57" s="17">
        <v>2034</v>
      </c>
      <c r="BB57" s="17">
        <v>2035</v>
      </c>
      <c r="BC57" s="17">
        <v>2036</v>
      </c>
      <c r="BD57" s="17">
        <v>2037</v>
      </c>
      <c r="BE57" s="17">
        <v>2038</v>
      </c>
      <c r="BF57" s="17">
        <v>2039</v>
      </c>
      <c r="BG57" s="17">
        <v>2040</v>
      </c>
      <c r="BH57" s="17">
        <v>2041</v>
      </c>
      <c r="BI57" s="17">
        <v>2042</v>
      </c>
      <c r="BJ57" s="17">
        <v>2043</v>
      </c>
      <c r="BK57" s="17">
        <v>2044</v>
      </c>
      <c r="BL57" s="17">
        <v>2045</v>
      </c>
      <c r="BM57" s="17">
        <v>2046</v>
      </c>
      <c r="BN57" s="17">
        <v>2047</v>
      </c>
      <c r="BO57" s="17">
        <v>2048</v>
      </c>
      <c r="BP57" s="17">
        <v>2049</v>
      </c>
      <c r="BQ57" s="17">
        <v>2050</v>
      </c>
      <c r="BR57" s="17"/>
      <c r="BS57" s="17"/>
      <c r="BT57" s="17"/>
      <c r="BU57" s="17"/>
      <c r="BV57" s="17"/>
      <c r="BW57" s="17"/>
    </row>
    <row r="58" spans="1:75" x14ac:dyDescent="0.3">
      <c r="C58" s="95" t="s">
        <v>631</v>
      </c>
      <c r="D58" t="str">
        <f>D4</f>
        <v>3A Livestock</v>
      </c>
      <c r="E58" t="str">
        <f t="shared" ref="E58:G58" si="44">E4</f>
        <v>3A1 Enteric fermentation (CH4)</v>
      </c>
      <c r="F58" t="s">
        <v>631</v>
      </c>
      <c r="G58" t="str">
        <f t="shared" si="44"/>
        <v>CH4</v>
      </c>
      <c r="H58" t="s">
        <v>630</v>
      </c>
      <c r="I58" s="22">
        <f t="shared" ref="I58:BQ58" si="45">I4*CH4GWP</f>
        <v>26460.925072337381</v>
      </c>
      <c r="J58" s="22">
        <f t="shared" si="45"/>
        <v>26418.475312229119</v>
      </c>
      <c r="K58" s="22">
        <f t="shared" si="45"/>
        <v>26027.263437986745</v>
      </c>
      <c r="L58" s="22">
        <f t="shared" si="45"/>
        <v>25089.273612986341</v>
      </c>
      <c r="M58" s="22">
        <f t="shared" si="45"/>
        <v>24412.498016417903</v>
      </c>
      <c r="N58" s="22">
        <f t="shared" si="45"/>
        <v>24601.863709321911</v>
      </c>
      <c r="O58" s="22">
        <f t="shared" si="45"/>
        <v>25244.020710274675</v>
      </c>
      <c r="P58" s="22">
        <f t="shared" si="45"/>
        <v>25722.067671704968</v>
      </c>
      <c r="Q58" s="22">
        <f t="shared" si="45"/>
        <v>26130.788516688182</v>
      </c>
      <c r="R58" s="22">
        <f t="shared" si="45"/>
        <v>26079.086242660247</v>
      </c>
      <c r="S58" s="22">
        <f t="shared" si="45"/>
        <v>25777.048269375533</v>
      </c>
      <c r="T58" s="22">
        <f t="shared" si="45"/>
        <v>25591.757983541553</v>
      </c>
      <c r="U58" s="22">
        <f t="shared" si="45"/>
        <v>25147.122199522513</v>
      </c>
      <c r="V58" s="22">
        <f t="shared" si="45"/>
        <v>25249.466602835961</v>
      </c>
      <c r="W58" s="22">
        <f t="shared" si="45"/>
        <v>25051.703011381145</v>
      </c>
      <c r="X58" s="22">
        <f t="shared" si="45"/>
        <v>25106.486522987332</v>
      </c>
      <c r="Y58" s="22">
        <f t="shared" si="45"/>
        <v>25009.71607093593</v>
      </c>
      <c r="Z58" s="22">
        <f t="shared" si="45"/>
        <v>25554.935614001963</v>
      </c>
      <c r="AA58" s="22">
        <f t="shared" si="45"/>
        <v>25721.077232963253</v>
      </c>
      <c r="AB58" s="22">
        <f t="shared" si="45"/>
        <v>25553.033374236744</v>
      </c>
      <c r="AC58" s="22">
        <f t="shared" si="45"/>
        <v>25338.814721466922</v>
      </c>
      <c r="AD58" s="22">
        <f t="shared" si="45"/>
        <v>25260.558978491663</v>
      </c>
      <c r="AE58" s="22">
        <f t="shared" si="45"/>
        <v>24596.567437021022</v>
      </c>
      <c r="AF58" s="22">
        <f t="shared" si="45"/>
        <v>24497.747310072344</v>
      </c>
      <c r="AG58" s="22">
        <f t="shared" si="45"/>
        <v>24503.520525013522</v>
      </c>
      <c r="AH58" s="22">
        <f t="shared" si="45"/>
        <v>24330.600675717971</v>
      </c>
      <c r="AI58" s="22">
        <f t="shared" si="45"/>
        <v>24050.505209418396</v>
      </c>
      <c r="AJ58" s="22">
        <f t="shared" si="45"/>
        <v>23669.383405227258</v>
      </c>
      <c r="AK58" s="22">
        <f t="shared" si="45"/>
        <v>23387.298701141393</v>
      </c>
      <c r="AL58" s="22">
        <f t="shared" si="45"/>
        <v>23126.61405950896</v>
      </c>
      <c r="AM58" s="22">
        <f t="shared" si="45"/>
        <v>21180.886005640339</v>
      </c>
      <c r="AN58" s="22">
        <f t="shared" si="45"/>
        <v>21465.470230109688</v>
      </c>
      <c r="AO58" s="22">
        <f t="shared" si="45"/>
        <v>21963.340275219445</v>
      </c>
      <c r="AP58" s="22">
        <f t="shared" si="45"/>
        <v>22101.502305984657</v>
      </c>
      <c r="AQ58" s="22">
        <f t="shared" si="45"/>
        <v>22282.065946005139</v>
      </c>
      <c r="AR58" s="22">
        <f t="shared" si="45"/>
        <v>22516.89303585394</v>
      </c>
      <c r="AS58" s="22">
        <f t="shared" si="45"/>
        <v>22774.277383618282</v>
      </c>
      <c r="AT58" s="22">
        <f t="shared" si="45"/>
        <v>23070.701441634967</v>
      </c>
      <c r="AU58" s="22">
        <f t="shared" si="45"/>
        <v>23371.020697326905</v>
      </c>
      <c r="AV58" s="22">
        <f t="shared" si="45"/>
        <v>23705.292980371927</v>
      </c>
      <c r="AW58" s="22">
        <f t="shared" si="45"/>
        <v>24039.678103676189</v>
      </c>
      <c r="AX58" s="22">
        <f t="shared" si="45"/>
        <v>24299.015516776995</v>
      </c>
      <c r="AY58" s="22">
        <f t="shared" si="45"/>
        <v>24530.176310581221</v>
      </c>
      <c r="AZ58" s="22">
        <f t="shared" si="45"/>
        <v>24774.410449426709</v>
      </c>
      <c r="BA58" s="22">
        <f t="shared" si="45"/>
        <v>25077.657228723914</v>
      </c>
      <c r="BB58" s="22">
        <f t="shared" si="45"/>
        <v>25325.819620380986</v>
      </c>
      <c r="BC58" s="22">
        <f t="shared" si="45"/>
        <v>25584.068170066945</v>
      </c>
      <c r="BD58" s="22">
        <f t="shared" si="45"/>
        <v>25864.581424079868</v>
      </c>
      <c r="BE58" s="22">
        <f t="shared" si="45"/>
        <v>26081.437708291338</v>
      </c>
      <c r="BF58" s="22">
        <f t="shared" si="45"/>
        <v>26274.899587006017</v>
      </c>
      <c r="BG58" s="22">
        <f t="shared" si="45"/>
        <v>26447.277476384836</v>
      </c>
      <c r="BH58" s="22">
        <f t="shared" si="45"/>
        <v>26727.278121350835</v>
      </c>
      <c r="BI58" s="22">
        <f t="shared" si="45"/>
        <v>26966.547201462941</v>
      </c>
      <c r="BJ58" s="22">
        <f t="shared" si="45"/>
        <v>27212.292330691416</v>
      </c>
      <c r="BK58" s="22">
        <f t="shared" si="45"/>
        <v>27466.41757251642</v>
      </c>
      <c r="BL58" s="22">
        <f t="shared" si="45"/>
        <v>27732.242181273872</v>
      </c>
      <c r="BM58" s="22">
        <f t="shared" si="45"/>
        <v>28002.74324911549</v>
      </c>
      <c r="BN58" s="22">
        <f t="shared" si="45"/>
        <v>27790.026742078895</v>
      </c>
      <c r="BO58" s="22">
        <f t="shared" si="45"/>
        <v>27534.735287045489</v>
      </c>
      <c r="BP58" s="22">
        <f t="shared" si="45"/>
        <v>27220.548645508217</v>
      </c>
      <c r="BQ58" s="22">
        <f t="shared" si="45"/>
        <v>26892.399484219895</v>
      </c>
    </row>
    <row r="59" spans="1:75" x14ac:dyDescent="0.3">
      <c r="C59" s="95" t="s">
        <v>632</v>
      </c>
      <c r="D59" t="str">
        <f>D11</f>
        <v>3A Livestock</v>
      </c>
      <c r="E59" t="str">
        <f t="shared" ref="E59:G59" si="46">E11</f>
        <v>3A2 Manure management (CH4)</v>
      </c>
      <c r="F59" t="s">
        <v>632</v>
      </c>
      <c r="G59" t="str">
        <f t="shared" si="46"/>
        <v>CH4</v>
      </c>
      <c r="H59" t="s">
        <v>630</v>
      </c>
      <c r="I59" s="22">
        <f t="shared" ref="I59:BQ59" si="47">I11*CH4GWP</f>
        <v>665.7572008832442</v>
      </c>
      <c r="J59" s="22">
        <f t="shared" si="47"/>
        <v>731.77517896865697</v>
      </c>
      <c r="K59" s="22">
        <f t="shared" si="47"/>
        <v>700.26473285821476</v>
      </c>
      <c r="L59" s="22">
        <f t="shared" si="47"/>
        <v>712.13818460917685</v>
      </c>
      <c r="M59" s="22">
        <f t="shared" si="47"/>
        <v>673.549198853235</v>
      </c>
      <c r="N59" s="22">
        <f t="shared" si="47"/>
        <v>693.43832527791926</v>
      </c>
      <c r="O59" s="22">
        <f t="shared" si="47"/>
        <v>734.73733503998528</v>
      </c>
      <c r="P59" s="22">
        <f t="shared" si="47"/>
        <v>726.5082160772597</v>
      </c>
      <c r="Q59" s="22">
        <f t="shared" si="47"/>
        <v>738.7543700862376</v>
      </c>
      <c r="R59" s="22">
        <f t="shared" si="47"/>
        <v>751.24351393633765</v>
      </c>
      <c r="S59" s="22">
        <f t="shared" si="47"/>
        <v>762.23830549258651</v>
      </c>
      <c r="T59" s="22">
        <f t="shared" si="47"/>
        <v>769.66043942752947</v>
      </c>
      <c r="U59" s="22">
        <f t="shared" si="47"/>
        <v>755.24670561009475</v>
      </c>
      <c r="V59" s="22">
        <f t="shared" si="47"/>
        <v>721.45490015224073</v>
      </c>
      <c r="W59" s="22">
        <f t="shared" si="47"/>
        <v>716.39216959899204</v>
      </c>
      <c r="X59" s="22">
        <f t="shared" si="47"/>
        <v>729.01852866445677</v>
      </c>
      <c r="Y59" s="22">
        <f t="shared" si="47"/>
        <v>720.39066924724523</v>
      </c>
      <c r="Z59" s="22">
        <f t="shared" si="47"/>
        <v>731.06474952281167</v>
      </c>
      <c r="AA59" s="22">
        <f t="shared" si="47"/>
        <v>761.20306942751586</v>
      </c>
      <c r="AB59" s="22">
        <f t="shared" si="47"/>
        <v>763.02344219117026</v>
      </c>
      <c r="AC59" s="22">
        <f t="shared" si="47"/>
        <v>758.88138838781094</v>
      </c>
      <c r="AD59" s="22">
        <f t="shared" si="47"/>
        <v>751.05641756570367</v>
      </c>
      <c r="AE59" s="22">
        <f t="shared" si="47"/>
        <v>773.63084917870208</v>
      </c>
      <c r="AF59" s="22">
        <f t="shared" si="47"/>
        <v>773.31500928313335</v>
      </c>
      <c r="AG59" s="22">
        <f t="shared" si="47"/>
        <v>776.88026181002783</v>
      </c>
      <c r="AH59" s="22">
        <f t="shared" si="47"/>
        <v>774.22773270072685</v>
      </c>
      <c r="AI59" s="22">
        <f t="shared" si="47"/>
        <v>767.77846974201941</v>
      </c>
      <c r="AJ59" s="22">
        <f t="shared" si="47"/>
        <v>757.64147058917888</v>
      </c>
      <c r="AK59" s="22">
        <f t="shared" si="47"/>
        <v>751.15754383054059</v>
      </c>
      <c r="AL59" s="22">
        <f t="shared" si="47"/>
        <v>745.51317364056126</v>
      </c>
      <c r="AM59" s="22">
        <f t="shared" si="47"/>
        <v>676.48277358218854</v>
      </c>
      <c r="AN59" s="22">
        <f t="shared" si="47"/>
        <v>686.15974406976295</v>
      </c>
      <c r="AO59" s="22">
        <f t="shared" si="47"/>
        <v>703.92572415028519</v>
      </c>
      <c r="AP59" s="22">
        <f t="shared" si="47"/>
        <v>708.20264438984645</v>
      </c>
      <c r="AQ59" s="22">
        <f t="shared" si="47"/>
        <v>714.13029378494389</v>
      </c>
      <c r="AR59" s="22">
        <f t="shared" si="47"/>
        <v>722.15719627135536</v>
      </c>
      <c r="AS59" s="22">
        <f t="shared" si="47"/>
        <v>731.40600819785641</v>
      </c>
      <c r="AT59" s="22">
        <f t="shared" si="47"/>
        <v>742.18302304737472</v>
      </c>
      <c r="AU59" s="22">
        <f t="shared" si="47"/>
        <v>753.16389811776446</v>
      </c>
      <c r="AV59" s="22">
        <f t="shared" si="47"/>
        <v>765.48634075845848</v>
      </c>
      <c r="AW59" s="22">
        <f t="shared" si="47"/>
        <v>777.87356950841922</v>
      </c>
      <c r="AX59" s="22">
        <f t="shared" si="47"/>
        <v>792.5193900634664</v>
      </c>
      <c r="AY59" s="22">
        <f t="shared" si="47"/>
        <v>806.40764892451318</v>
      </c>
      <c r="AZ59" s="22">
        <f t="shared" si="47"/>
        <v>821.12318043992002</v>
      </c>
      <c r="BA59" s="22">
        <f t="shared" si="47"/>
        <v>838.48826263474302</v>
      </c>
      <c r="BB59" s="22">
        <f t="shared" si="47"/>
        <v>854.07357850430526</v>
      </c>
      <c r="BC59" s="22">
        <f t="shared" si="47"/>
        <v>870.66458320376478</v>
      </c>
      <c r="BD59" s="22">
        <f t="shared" si="47"/>
        <v>888.54554334826014</v>
      </c>
      <c r="BE59" s="22">
        <f t="shared" si="47"/>
        <v>904.27210309480427</v>
      </c>
      <c r="BF59" s="22">
        <f t="shared" si="47"/>
        <v>919.43666594135084</v>
      </c>
      <c r="BG59" s="22">
        <f t="shared" si="47"/>
        <v>934.12296287495724</v>
      </c>
      <c r="BH59" s="22">
        <f t="shared" si="47"/>
        <v>950.50024078110039</v>
      </c>
      <c r="BI59" s="22">
        <f t="shared" si="47"/>
        <v>965.43729589037184</v>
      </c>
      <c r="BJ59" s="22">
        <f t="shared" si="47"/>
        <v>980.89937340691097</v>
      </c>
      <c r="BK59" s="22">
        <f t="shared" si="47"/>
        <v>996.98034011786501</v>
      </c>
      <c r="BL59" s="22">
        <f t="shared" si="47"/>
        <v>1013.8371546773797</v>
      </c>
      <c r="BM59" s="22">
        <f t="shared" si="47"/>
        <v>1031.40678618839</v>
      </c>
      <c r="BN59" s="22">
        <f t="shared" si="47"/>
        <v>1028.3873883256001</v>
      </c>
      <c r="BO59" s="22">
        <f t="shared" si="47"/>
        <v>1023.5434894935358</v>
      </c>
      <c r="BP59" s="22">
        <f t="shared" si="47"/>
        <v>1016.1201948584441</v>
      </c>
      <c r="BQ59" s="22">
        <f t="shared" si="47"/>
        <v>1008.0448026966982</v>
      </c>
    </row>
    <row r="60" spans="1:75" x14ac:dyDescent="0.3">
      <c r="C60" s="95" t="s">
        <v>633</v>
      </c>
      <c r="D60" t="str">
        <f>D19</f>
        <v>3A Livestock</v>
      </c>
      <c r="E60" t="str">
        <f t="shared" ref="E60:G60" si="48">E19</f>
        <v>3A2 Manure management (N2O)</v>
      </c>
      <c r="F60" t="s">
        <v>633</v>
      </c>
      <c r="G60" t="str">
        <f t="shared" si="48"/>
        <v>N2O</v>
      </c>
      <c r="H60" t="s">
        <v>630</v>
      </c>
      <c r="I60" s="22">
        <f t="shared" ref="I60:BQ60" si="49">I19*N2OGWP</f>
        <v>1203.2136219693348</v>
      </c>
      <c r="J60" s="22">
        <f t="shared" si="49"/>
        <v>1198.5061063384233</v>
      </c>
      <c r="K60" s="22">
        <f t="shared" si="49"/>
        <v>1173.7369968071926</v>
      </c>
      <c r="L60" s="22">
        <f t="shared" si="49"/>
        <v>1182.0093804828057</v>
      </c>
      <c r="M60" s="22">
        <f t="shared" si="49"/>
        <v>1146.8886267544892</v>
      </c>
      <c r="N60" s="22">
        <f t="shared" si="49"/>
        <v>1188.3958696738064</v>
      </c>
      <c r="O60" s="22">
        <f t="shared" si="49"/>
        <v>1252.6970048832511</v>
      </c>
      <c r="P60" s="22">
        <f t="shared" si="49"/>
        <v>1269.6218122686487</v>
      </c>
      <c r="Q60" s="22">
        <f t="shared" si="49"/>
        <v>1322.3148658073626</v>
      </c>
      <c r="R60" s="22">
        <f t="shared" si="49"/>
        <v>1346.6035779723059</v>
      </c>
      <c r="S60" s="22">
        <f t="shared" si="49"/>
        <v>1372.4487383044614</v>
      </c>
      <c r="T60" s="22">
        <f t="shared" si="49"/>
        <v>1356.5221314435626</v>
      </c>
      <c r="U60" s="22">
        <f t="shared" si="49"/>
        <v>1396.8463052232266</v>
      </c>
      <c r="V60" s="22">
        <f t="shared" si="49"/>
        <v>1373.0665004626433</v>
      </c>
      <c r="W60" s="22">
        <f t="shared" si="49"/>
        <v>1378.5802594390798</v>
      </c>
      <c r="X60" s="22">
        <f t="shared" si="49"/>
        <v>1425.1971500061302</v>
      </c>
      <c r="Y60" s="22">
        <f t="shared" si="49"/>
        <v>1466.623959325211</v>
      </c>
      <c r="Z60" s="22">
        <f t="shared" si="49"/>
        <v>1512.7966811111032</v>
      </c>
      <c r="AA60" s="22">
        <f t="shared" si="49"/>
        <v>1539.5804780764847</v>
      </c>
      <c r="AB60" s="22">
        <f t="shared" si="49"/>
        <v>1507.0434874225361</v>
      </c>
      <c r="AC60" s="22">
        <f t="shared" si="49"/>
        <v>1516.5605848321243</v>
      </c>
      <c r="AD60" s="22">
        <f t="shared" si="49"/>
        <v>1570.0225026545761</v>
      </c>
      <c r="AE60" s="22">
        <f t="shared" si="49"/>
        <v>1611.8202237640571</v>
      </c>
      <c r="AF60" s="22">
        <f t="shared" si="49"/>
        <v>1628.3498454049941</v>
      </c>
      <c r="AG60" s="22">
        <f t="shared" si="49"/>
        <v>1654.3267410473245</v>
      </c>
      <c r="AH60" s="22">
        <f t="shared" si="49"/>
        <v>1663.6384309182044</v>
      </c>
      <c r="AI60" s="22">
        <f t="shared" si="49"/>
        <v>1662.3021398559861</v>
      </c>
      <c r="AJ60" s="22">
        <f t="shared" si="49"/>
        <v>1650.3976769413116</v>
      </c>
      <c r="AK60" s="22">
        <f t="shared" si="49"/>
        <v>1647.5009704288245</v>
      </c>
      <c r="AL60" s="22">
        <f t="shared" si="49"/>
        <v>1646.2684747308629</v>
      </c>
      <c r="AM60" s="22">
        <f t="shared" si="49"/>
        <v>1471.4770183949049</v>
      </c>
      <c r="AN60" s="22">
        <f t="shared" si="49"/>
        <v>1513.2841308978795</v>
      </c>
      <c r="AO60" s="22">
        <f t="shared" si="49"/>
        <v>1577.8900903407075</v>
      </c>
      <c r="AP60" s="22">
        <f t="shared" si="49"/>
        <v>1605.3603615953032</v>
      </c>
      <c r="AQ60" s="22">
        <f t="shared" si="49"/>
        <v>1637.5593402362949</v>
      </c>
      <c r="AR60" s="22">
        <f t="shared" si="49"/>
        <v>1675.9115891710114</v>
      </c>
      <c r="AS60" s="22">
        <f t="shared" si="49"/>
        <v>1718.3854571727688</v>
      </c>
      <c r="AT60" s="22">
        <f t="shared" si="49"/>
        <v>1765.6654721531484</v>
      </c>
      <c r="AU60" s="22">
        <f t="shared" si="49"/>
        <v>1813.9939108167773</v>
      </c>
      <c r="AV60" s="22">
        <f t="shared" si="49"/>
        <v>1866.7672518806901</v>
      </c>
      <c r="AW60" s="22">
        <f t="shared" si="49"/>
        <v>1920.2871066719242</v>
      </c>
      <c r="AX60" s="22">
        <f t="shared" si="49"/>
        <v>1979.5046489587751</v>
      </c>
      <c r="AY60" s="22">
        <f t="shared" si="49"/>
        <v>2037.0485373499673</v>
      </c>
      <c r="AZ60" s="22">
        <f t="shared" si="49"/>
        <v>2097.7211770354443</v>
      </c>
      <c r="BA60" s="22">
        <f t="shared" si="49"/>
        <v>2167.2011450156374</v>
      </c>
      <c r="BB60" s="22">
        <f t="shared" si="49"/>
        <v>2231.9488175248312</v>
      </c>
      <c r="BC60" s="22">
        <f t="shared" si="49"/>
        <v>2300.8296127915837</v>
      </c>
      <c r="BD60" s="22">
        <f t="shared" si="49"/>
        <v>2374.5565546097582</v>
      </c>
      <c r="BE60" s="22">
        <f t="shared" si="49"/>
        <v>2442.3125745849302</v>
      </c>
      <c r="BF60" s="22">
        <f t="shared" si="49"/>
        <v>2509.0473446004544</v>
      </c>
      <c r="BG60" s="22">
        <f t="shared" si="49"/>
        <v>2575.0047234836748</v>
      </c>
      <c r="BH60" s="22">
        <f t="shared" si="49"/>
        <v>2648.6514660669854</v>
      </c>
      <c r="BI60" s="22">
        <f t="shared" si="49"/>
        <v>2718.4895467449173</v>
      </c>
      <c r="BJ60" s="22">
        <f t="shared" si="49"/>
        <v>2790.8977456077</v>
      </c>
      <c r="BK60" s="22">
        <f t="shared" si="49"/>
        <v>2866.2430112709721</v>
      </c>
      <c r="BL60" s="22">
        <f t="shared" si="49"/>
        <v>2945.1139066328119</v>
      </c>
      <c r="BM60" s="22">
        <f t="shared" si="49"/>
        <v>3027.6576613752272</v>
      </c>
      <c r="BN60" s="22">
        <f t="shared" si="49"/>
        <v>3041.2907354767776</v>
      </c>
      <c r="BO60" s="22">
        <f t="shared" si="49"/>
        <v>3048.6538580647275</v>
      </c>
      <c r="BP60" s="22">
        <f t="shared" si="49"/>
        <v>3047.0017943743856</v>
      </c>
      <c r="BQ60" s="22">
        <f t="shared" si="49"/>
        <v>3042.8336414396445</v>
      </c>
    </row>
    <row r="61" spans="1:75" x14ac:dyDescent="0.3">
      <c r="C61" s="95" t="s">
        <v>634</v>
      </c>
      <c r="D61" t="str">
        <f>D27</f>
        <v>3C Aggregated and non-CO2 emissions on land</v>
      </c>
      <c r="E61" t="str">
        <f t="shared" ref="E61:G61" si="50">E27</f>
        <v>3C1 Biomass burning (CH4)</v>
      </c>
      <c r="F61" t="s">
        <v>634</v>
      </c>
      <c r="G61" t="str">
        <f t="shared" si="50"/>
        <v>CH4</v>
      </c>
      <c r="H61" t="s">
        <v>630</v>
      </c>
      <c r="I61" s="22">
        <f t="shared" ref="I61:BQ61" si="51">I27*CH4GWP</f>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1113.9523335609101</v>
      </c>
      <c r="Q61" s="22">
        <f t="shared" si="51"/>
        <v>1113.9523335609101</v>
      </c>
      <c r="R61" s="22">
        <f t="shared" si="51"/>
        <v>1113.9523335609101</v>
      </c>
      <c r="S61" s="22">
        <f t="shared" si="51"/>
        <v>1103.4776992955053</v>
      </c>
      <c r="T61" s="22">
        <f t="shared" si="51"/>
        <v>1282.5517441798665</v>
      </c>
      <c r="U61" s="22">
        <f t="shared" si="51"/>
        <v>1288.9176046937982</v>
      </c>
      <c r="V61" s="22">
        <f t="shared" si="51"/>
        <v>1011.4345809085878</v>
      </c>
      <c r="W61" s="22">
        <f t="shared" si="51"/>
        <v>883.38003872679235</v>
      </c>
      <c r="X61" s="22">
        <f t="shared" si="51"/>
        <v>1412.334298727088</v>
      </c>
      <c r="Y61" s="22">
        <f t="shared" si="51"/>
        <v>1236.8838978672777</v>
      </c>
      <c r="Z61" s="22">
        <f t="shared" si="51"/>
        <v>1218.5771221263838</v>
      </c>
      <c r="AA61" s="22">
        <f t="shared" si="51"/>
        <v>1139.8644942847</v>
      </c>
      <c r="AB61" s="22">
        <f t="shared" si="51"/>
        <v>1078.8713756473658</v>
      </c>
      <c r="AC61" s="22">
        <f t="shared" si="51"/>
        <v>1107.055106514</v>
      </c>
      <c r="AD61" s="22">
        <f t="shared" si="51"/>
        <v>1093.3943713178221</v>
      </c>
      <c r="AE61" s="22">
        <f t="shared" si="51"/>
        <v>916.39904428073066</v>
      </c>
      <c r="AF61" s="22">
        <f t="shared" si="51"/>
        <v>957.70927900519757</v>
      </c>
      <c r="AG61" s="22">
        <f t="shared" si="51"/>
        <v>944.27038684966465</v>
      </c>
      <c r="AH61" s="22">
        <f t="shared" si="51"/>
        <v>931.78327853413111</v>
      </c>
      <c r="AI61" s="22">
        <f t="shared" si="51"/>
        <v>941.79408509859809</v>
      </c>
      <c r="AJ61" s="22">
        <f t="shared" si="51"/>
        <v>950.68729182306481</v>
      </c>
      <c r="AK61" s="22">
        <f t="shared" si="51"/>
        <v>953.20321518753167</v>
      </c>
      <c r="AL61" s="22">
        <f t="shared" si="51"/>
        <v>956.763261286947</v>
      </c>
      <c r="AM61" s="22">
        <f t="shared" si="51"/>
        <v>960.32330738636199</v>
      </c>
      <c r="AN61" s="22">
        <f t="shared" si="51"/>
        <v>963.88335348577709</v>
      </c>
      <c r="AO61" s="22">
        <f t="shared" si="51"/>
        <v>967.44339958519208</v>
      </c>
      <c r="AP61" s="22">
        <f t="shared" si="51"/>
        <v>971.0034456846073</v>
      </c>
      <c r="AQ61" s="22">
        <f t="shared" si="51"/>
        <v>974.56349178402229</v>
      </c>
      <c r="AR61" s="22">
        <f t="shared" si="51"/>
        <v>978.12353788343751</v>
      </c>
      <c r="AS61" s="22">
        <f t="shared" si="51"/>
        <v>981.68358398285261</v>
      </c>
      <c r="AT61" s="22">
        <f t="shared" si="51"/>
        <v>985.2436300822676</v>
      </c>
      <c r="AU61" s="22">
        <f t="shared" si="51"/>
        <v>988.8036761816827</v>
      </c>
      <c r="AV61" s="22">
        <f t="shared" si="51"/>
        <v>992.36372228109781</v>
      </c>
      <c r="AW61" s="22">
        <f t="shared" si="51"/>
        <v>995.92376838051302</v>
      </c>
      <c r="AX61" s="22">
        <f t="shared" si="51"/>
        <v>999.27215253115673</v>
      </c>
      <c r="AY61" s="22">
        <f t="shared" si="51"/>
        <v>1002.6205366818004</v>
      </c>
      <c r="AZ61" s="22">
        <f t="shared" si="51"/>
        <v>1005.9689208324443</v>
      </c>
      <c r="BA61" s="22">
        <f t="shared" si="51"/>
        <v>1009.317304983088</v>
      </c>
      <c r="BB61" s="22">
        <f t="shared" si="51"/>
        <v>1012.6656891337318</v>
      </c>
      <c r="BC61" s="22">
        <f t="shared" si="51"/>
        <v>1016.0140732843756</v>
      </c>
      <c r="BD61" s="22">
        <f t="shared" si="51"/>
        <v>1019.3624574350195</v>
      </c>
      <c r="BE61" s="22">
        <f t="shared" si="51"/>
        <v>1022.710841585663</v>
      </c>
      <c r="BF61" s="22">
        <f t="shared" si="51"/>
        <v>1025.7736963097952</v>
      </c>
      <c r="BG61" s="22">
        <f t="shared" si="51"/>
        <v>1028.836551033927</v>
      </c>
      <c r="BH61" s="22">
        <f t="shared" si="51"/>
        <v>1031.8994057580592</v>
      </c>
      <c r="BI61" s="22">
        <f t="shared" si="51"/>
        <v>1034.9622604821907</v>
      </c>
      <c r="BJ61" s="22">
        <f t="shared" si="51"/>
        <v>1038.0251152063229</v>
      </c>
      <c r="BK61" s="22">
        <f t="shared" si="51"/>
        <v>1041.0879699304548</v>
      </c>
      <c r="BL61" s="22">
        <f t="shared" si="51"/>
        <v>1044.1508246545868</v>
      </c>
      <c r="BM61" s="22">
        <f t="shared" si="51"/>
        <v>1047.2136793787188</v>
      </c>
      <c r="BN61" s="22">
        <f t="shared" si="51"/>
        <v>1050.2765341028507</v>
      </c>
      <c r="BO61" s="22">
        <f t="shared" si="51"/>
        <v>1053.3393888269827</v>
      </c>
      <c r="BP61" s="22">
        <f t="shared" si="51"/>
        <v>1056.4022435511147</v>
      </c>
      <c r="BQ61" s="22">
        <f t="shared" si="51"/>
        <v>1059.4650982752464</v>
      </c>
    </row>
    <row r="62" spans="1:75" x14ac:dyDescent="0.3">
      <c r="C62" s="95" t="s">
        <v>635</v>
      </c>
      <c r="D62" t="str">
        <f>D34</f>
        <v>3C Aggregated and non-CO2 emissions on land</v>
      </c>
      <c r="E62" t="str">
        <f t="shared" ref="E62:G62" si="52">E34</f>
        <v>3C1 Biomass burning (N2O)</v>
      </c>
      <c r="F62" t="s">
        <v>635</v>
      </c>
      <c r="G62" t="str">
        <f t="shared" si="52"/>
        <v>N2O</v>
      </c>
      <c r="H62" t="s">
        <v>630</v>
      </c>
      <c r="I62" s="22">
        <f t="shared" ref="I62:BQ62" si="53">I34*N2OGWP</f>
        <v>1149.3522600947301</v>
      </c>
      <c r="J62" s="22">
        <f t="shared" si="53"/>
        <v>1149.3522600947301</v>
      </c>
      <c r="K62" s="22">
        <f t="shared" si="53"/>
        <v>1149.3522600947301</v>
      </c>
      <c r="L62" s="22">
        <f t="shared" si="53"/>
        <v>1149.3522600947301</v>
      </c>
      <c r="M62" s="22">
        <f t="shared" si="53"/>
        <v>1149.3522600947301</v>
      </c>
      <c r="N62" s="22">
        <f t="shared" si="53"/>
        <v>1149.3522600947301</v>
      </c>
      <c r="O62" s="22">
        <f t="shared" si="53"/>
        <v>1149.3522600947301</v>
      </c>
      <c r="P62" s="22">
        <f t="shared" si="53"/>
        <v>1149.3522600947301</v>
      </c>
      <c r="Q62" s="22">
        <f t="shared" si="53"/>
        <v>1149.3522600947301</v>
      </c>
      <c r="R62" s="22">
        <f t="shared" si="53"/>
        <v>1149.3522600947301</v>
      </c>
      <c r="S62" s="22">
        <f t="shared" si="53"/>
        <v>1138.2881924240246</v>
      </c>
      <c r="T62" s="22">
        <f t="shared" si="53"/>
        <v>1347.8625366593228</v>
      </c>
      <c r="U62" s="22">
        <f t="shared" si="53"/>
        <v>1328.3690110437451</v>
      </c>
      <c r="V62" s="22">
        <f t="shared" si="53"/>
        <v>1017.5651134275211</v>
      </c>
      <c r="W62" s="22">
        <f t="shared" si="53"/>
        <v>914.67644691903695</v>
      </c>
      <c r="X62" s="22">
        <f t="shared" si="53"/>
        <v>1447.9112474339306</v>
      </c>
      <c r="Y62" s="22">
        <f t="shared" si="53"/>
        <v>1263.4019893034997</v>
      </c>
      <c r="Z62" s="22">
        <f t="shared" si="53"/>
        <v>1217.4357899565925</v>
      </c>
      <c r="AA62" s="22">
        <f t="shared" si="53"/>
        <v>1180.1818937292605</v>
      </c>
      <c r="AB62" s="22">
        <f t="shared" si="53"/>
        <v>1108.1395844539597</v>
      </c>
      <c r="AC62" s="22">
        <f t="shared" si="53"/>
        <v>1121.7567904983002</v>
      </c>
      <c r="AD62" s="22">
        <f t="shared" si="53"/>
        <v>1111.0832034573957</v>
      </c>
      <c r="AE62" s="22">
        <f t="shared" si="53"/>
        <v>957.90428313424388</v>
      </c>
      <c r="AF62" s="22">
        <f t="shared" si="53"/>
        <v>993.12814482495412</v>
      </c>
      <c r="AG62" s="22">
        <f t="shared" si="53"/>
        <v>983.64299307566409</v>
      </c>
      <c r="AH62" s="22">
        <f t="shared" si="53"/>
        <v>974.93508324637412</v>
      </c>
      <c r="AI62" s="22">
        <f t="shared" si="53"/>
        <v>984.5993308570844</v>
      </c>
      <c r="AJ62" s="22">
        <f t="shared" si="53"/>
        <v>993.3509285477943</v>
      </c>
      <c r="AK62" s="22">
        <f t="shared" si="53"/>
        <v>996.89473455850464</v>
      </c>
      <c r="AL62" s="22">
        <f t="shared" si="53"/>
        <v>1001.6941603201909</v>
      </c>
      <c r="AM62" s="22">
        <f t="shared" si="53"/>
        <v>1006.4935860818769</v>
      </c>
      <c r="AN62" s="22">
        <f t="shared" si="53"/>
        <v>1011.2930118435631</v>
      </c>
      <c r="AO62" s="22">
        <f t="shared" si="53"/>
        <v>1016.092437605249</v>
      </c>
      <c r="AP62" s="22">
        <f t="shared" si="53"/>
        <v>1020.8918633669354</v>
      </c>
      <c r="AQ62" s="22">
        <f t="shared" si="53"/>
        <v>1025.6912891286215</v>
      </c>
      <c r="AR62" s="22">
        <f t="shared" si="53"/>
        <v>1030.4907148903073</v>
      </c>
      <c r="AS62" s="22">
        <f t="shared" si="53"/>
        <v>1035.2901406519936</v>
      </c>
      <c r="AT62" s="22">
        <f t="shared" si="53"/>
        <v>1040.0895664136797</v>
      </c>
      <c r="AU62" s="22">
        <f t="shared" si="53"/>
        <v>1044.888992175366</v>
      </c>
      <c r="AV62" s="22">
        <f t="shared" si="53"/>
        <v>1049.688417937052</v>
      </c>
      <c r="AW62" s="22">
        <f t="shared" si="53"/>
        <v>1054.4878436987378</v>
      </c>
      <c r="AX62" s="22">
        <f t="shared" si="53"/>
        <v>1059.1536620734259</v>
      </c>
      <c r="AY62" s="22">
        <f t="shared" si="53"/>
        <v>1063.8194804481134</v>
      </c>
      <c r="AZ62" s="22">
        <f t="shared" si="53"/>
        <v>1068.4852988228013</v>
      </c>
      <c r="BA62" s="22">
        <f t="shared" si="53"/>
        <v>1073.1511171974894</v>
      </c>
      <c r="BB62" s="22">
        <f t="shared" si="53"/>
        <v>1077.816935572177</v>
      </c>
      <c r="BC62" s="22">
        <f t="shared" si="53"/>
        <v>1082.4827539468647</v>
      </c>
      <c r="BD62" s="22">
        <f t="shared" si="53"/>
        <v>1087.1485723215524</v>
      </c>
      <c r="BE62" s="22">
        <f t="shared" si="53"/>
        <v>1091.8143906962403</v>
      </c>
      <c r="BF62" s="22">
        <f t="shared" si="53"/>
        <v>1096.2470411704533</v>
      </c>
      <c r="BG62" s="22">
        <f t="shared" si="53"/>
        <v>1100.6796916446663</v>
      </c>
      <c r="BH62" s="22">
        <f t="shared" si="53"/>
        <v>1105.1123421188793</v>
      </c>
      <c r="BI62" s="22">
        <f t="shared" si="53"/>
        <v>1109.5449925930925</v>
      </c>
      <c r="BJ62" s="22">
        <f t="shared" si="53"/>
        <v>1113.9776430673055</v>
      </c>
      <c r="BK62" s="22">
        <f t="shared" si="53"/>
        <v>1118.4102935415185</v>
      </c>
      <c r="BL62" s="22">
        <f t="shared" si="53"/>
        <v>1122.8429440157317</v>
      </c>
      <c r="BM62" s="22">
        <f t="shared" si="53"/>
        <v>1127.2755944899448</v>
      </c>
      <c r="BN62" s="22">
        <f t="shared" si="53"/>
        <v>1131.7082449641578</v>
      </c>
      <c r="BO62" s="22">
        <f t="shared" si="53"/>
        <v>1136.1408954383708</v>
      </c>
      <c r="BP62" s="22">
        <f t="shared" si="53"/>
        <v>1140.5735459125838</v>
      </c>
      <c r="BQ62" s="22">
        <f t="shared" si="53"/>
        <v>1145.0061963867968</v>
      </c>
    </row>
    <row r="63" spans="1:75" x14ac:dyDescent="0.3">
      <c r="C63" s="95" t="s">
        <v>113</v>
      </c>
      <c r="D63" t="str">
        <f>D41</f>
        <v>3C Aggregated and non-CO2 emissions on land</v>
      </c>
      <c r="E63" t="str">
        <f t="shared" ref="E63:BP64" si="54">E41</f>
        <v>3C2 Liming (CO2)</v>
      </c>
      <c r="F63" t="s">
        <v>113</v>
      </c>
      <c r="G63" t="str">
        <f t="shared" si="54"/>
        <v>CO2</v>
      </c>
      <c r="H63" t="s">
        <v>630</v>
      </c>
      <c r="I63" s="22">
        <f t="shared" si="54"/>
        <v>357.5</v>
      </c>
      <c r="J63" s="22">
        <f t="shared" si="54"/>
        <v>378.125</v>
      </c>
      <c r="K63" s="22">
        <f t="shared" si="54"/>
        <v>261.25</v>
      </c>
      <c r="L63" s="22">
        <f t="shared" si="54"/>
        <v>412.5</v>
      </c>
      <c r="M63" s="22">
        <f t="shared" si="54"/>
        <v>595.58170833333327</v>
      </c>
      <c r="N63" s="22">
        <f t="shared" si="54"/>
        <v>473.34145833333332</v>
      </c>
      <c r="O63" s="22">
        <f t="shared" si="54"/>
        <v>579.13625000000002</v>
      </c>
      <c r="P63" s="22">
        <f t="shared" si="54"/>
        <v>547.24312499999996</v>
      </c>
      <c r="Q63" s="22">
        <f t="shared" si="54"/>
        <v>570.31379166666659</v>
      </c>
      <c r="R63" s="22">
        <f t="shared" si="54"/>
        <v>567.03808333333325</v>
      </c>
      <c r="S63" s="22">
        <f t="shared" si="54"/>
        <v>378.2405</v>
      </c>
      <c r="T63" s="22">
        <f t="shared" si="54"/>
        <v>489.66362500000002</v>
      </c>
      <c r="U63" s="22">
        <f t="shared" si="54"/>
        <v>672.79437500000006</v>
      </c>
      <c r="V63" s="22">
        <f t="shared" si="54"/>
        <v>580.13175000000001</v>
      </c>
      <c r="W63" s="22">
        <f t="shared" si="54"/>
        <v>579.7403333333333</v>
      </c>
      <c r="X63" s="22">
        <f t="shared" si="54"/>
        <v>266.03683333333333</v>
      </c>
      <c r="Y63" s="22">
        <f t="shared" si="54"/>
        <v>441.42908333333332</v>
      </c>
      <c r="Z63" s="22">
        <f t="shared" si="54"/>
        <v>521.42108333333329</v>
      </c>
      <c r="AA63" s="22">
        <f t="shared" si="54"/>
        <v>655.32637499999998</v>
      </c>
      <c r="AB63" s="22">
        <f t="shared" si="54"/>
        <v>695.56775237855516</v>
      </c>
      <c r="AC63" s="22">
        <f t="shared" si="54"/>
        <v>653.23730656422072</v>
      </c>
      <c r="AD63" s="22">
        <f t="shared" si="54"/>
        <v>722.61220387104663</v>
      </c>
      <c r="AE63" s="22">
        <f t="shared" si="54"/>
        <v>886.46691832724639</v>
      </c>
      <c r="AF63" s="22">
        <f t="shared" si="54"/>
        <v>888.12131157949125</v>
      </c>
      <c r="AG63" s="22">
        <f t="shared" si="54"/>
        <v>891.15452747930806</v>
      </c>
      <c r="AH63" s="22">
        <f t="shared" si="54"/>
        <v>894.77997458773643</v>
      </c>
      <c r="AI63" s="22">
        <f t="shared" si="54"/>
        <v>897.22911689738771</v>
      </c>
      <c r="AJ63" s="22">
        <f t="shared" si="54"/>
        <v>898.91455113929567</v>
      </c>
      <c r="AK63" s="22">
        <f t="shared" si="54"/>
        <v>899.83749014303339</v>
      </c>
      <c r="AL63" s="22">
        <f t="shared" si="54"/>
        <v>901.33063602016739</v>
      </c>
      <c r="AM63" s="22">
        <f t="shared" si="54"/>
        <v>902.89907464525436</v>
      </c>
      <c r="AN63" s="22">
        <f t="shared" si="54"/>
        <v>891.99675751980965</v>
      </c>
      <c r="AO63" s="22">
        <f t="shared" si="54"/>
        <v>896.31989501908868</v>
      </c>
      <c r="AP63" s="22">
        <f t="shared" si="54"/>
        <v>902.22024497284394</v>
      </c>
      <c r="AQ63" s="22">
        <f t="shared" si="54"/>
        <v>905.3909035858818</v>
      </c>
      <c r="AR63" s="22">
        <f t="shared" si="54"/>
        <v>908.85869804414574</v>
      </c>
      <c r="AS63" s="22">
        <f t="shared" si="54"/>
        <v>912.71420258721548</v>
      </c>
      <c r="AT63" s="22">
        <f t="shared" si="54"/>
        <v>916.76138513802675</v>
      </c>
      <c r="AU63" s="22">
        <f t="shared" si="54"/>
        <v>921.08070130350711</v>
      </c>
      <c r="AV63" s="22">
        <f t="shared" si="54"/>
        <v>925.40933815746541</v>
      </c>
      <c r="AW63" s="22">
        <f t="shared" si="54"/>
        <v>929.96831948890872</v>
      </c>
      <c r="AX63" s="22">
        <f t="shared" si="54"/>
        <v>934.50696522239457</v>
      </c>
      <c r="AY63" s="22">
        <f t="shared" si="54"/>
        <v>939.42761374681561</v>
      </c>
      <c r="AZ63" s="22">
        <f t="shared" si="54"/>
        <v>944.16688868183769</v>
      </c>
      <c r="BA63" s="22">
        <f t="shared" si="54"/>
        <v>949.0261231000643</v>
      </c>
      <c r="BB63" s="22">
        <f t="shared" si="54"/>
        <v>954.33840569705478</v>
      </c>
      <c r="BC63" s="22">
        <f t="shared" si="54"/>
        <v>959.278398620286</v>
      </c>
      <c r="BD63" s="22">
        <f t="shared" si="54"/>
        <v>964.3507815679485</v>
      </c>
      <c r="BE63" s="22">
        <f t="shared" si="54"/>
        <v>969.61220137656596</v>
      </c>
      <c r="BF63" s="22">
        <f t="shared" si="54"/>
        <v>974.44775869223997</v>
      </c>
      <c r="BG63" s="22">
        <f t="shared" si="54"/>
        <v>979.14890322764631</v>
      </c>
      <c r="BH63" s="22">
        <f t="shared" si="54"/>
        <v>983.73381176950784</v>
      </c>
      <c r="BI63" s="22">
        <f t="shared" si="54"/>
        <v>988.57156221875641</v>
      </c>
      <c r="BJ63" s="22">
        <f t="shared" si="54"/>
        <v>993.12969939958668</v>
      </c>
      <c r="BK63" s="22">
        <f t="shared" si="54"/>
        <v>997.74604101719626</v>
      </c>
      <c r="BL63" s="22">
        <f t="shared" si="54"/>
        <v>1002.4341171721968</v>
      </c>
      <c r="BM63" s="22">
        <f t="shared" si="54"/>
        <v>1007.2170829821735</v>
      </c>
      <c r="BN63" s="22">
        <f t="shared" si="54"/>
        <v>1012.0749838215364</v>
      </c>
      <c r="BO63" s="22">
        <f t="shared" si="54"/>
        <v>1013.5676439901464</v>
      </c>
      <c r="BP63" s="22">
        <f t="shared" si="54"/>
        <v>1014.7466063039381</v>
      </c>
      <c r="BQ63" s="22">
        <f t="shared" ref="BQ63:BQ64" si="55">BQ41</f>
        <v>1015.4810997197675</v>
      </c>
    </row>
    <row r="64" spans="1:75" x14ac:dyDescent="0.3">
      <c r="C64" s="95" t="s">
        <v>636</v>
      </c>
      <c r="D64" t="str">
        <f>D42</f>
        <v>3C Aggregated and non-CO2 emissions on land</v>
      </c>
      <c r="E64" t="str">
        <f>E42</f>
        <v>3C3 Urea application (CO2)</v>
      </c>
      <c r="F64" t="s">
        <v>636</v>
      </c>
      <c r="G64" t="str">
        <f>G42</f>
        <v>CO2</v>
      </c>
      <c r="H64" t="s">
        <v>630</v>
      </c>
      <c r="I64" s="22">
        <f>I42</f>
        <v>90.994567483487728</v>
      </c>
      <c r="J64" s="22">
        <f t="shared" si="54"/>
        <v>111.62690198838213</v>
      </c>
      <c r="K64" s="22">
        <f t="shared" si="54"/>
        <v>132.25923649327655</v>
      </c>
      <c r="L64" s="22">
        <f t="shared" si="54"/>
        <v>152.89157099816552</v>
      </c>
      <c r="M64" s="22">
        <f t="shared" si="54"/>
        <v>173.52390550305992</v>
      </c>
      <c r="N64" s="22">
        <f t="shared" si="54"/>
        <v>194.15624000795432</v>
      </c>
      <c r="O64" s="22">
        <f t="shared" si="54"/>
        <v>214.78857451284878</v>
      </c>
      <c r="P64" s="22">
        <f t="shared" si="54"/>
        <v>235.42090901774316</v>
      </c>
      <c r="Q64" s="22">
        <f t="shared" si="54"/>
        <v>256.05324352263762</v>
      </c>
      <c r="R64" s="22">
        <f t="shared" si="54"/>
        <v>276.68557802753202</v>
      </c>
      <c r="S64" s="22">
        <f t="shared" si="54"/>
        <v>297.31791253242642</v>
      </c>
      <c r="T64" s="22">
        <f t="shared" si="54"/>
        <v>317.95024703732088</v>
      </c>
      <c r="U64" s="22">
        <f t="shared" si="54"/>
        <v>338.58258154220977</v>
      </c>
      <c r="V64" s="22">
        <f t="shared" si="54"/>
        <v>359.21491604710423</v>
      </c>
      <c r="W64" s="22">
        <f t="shared" si="54"/>
        <v>435.89846666666671</v>
      </c>
      <c r="X64" s="22">
        <f t="shared" si="54"/>
        <v>355.08659999999998</v>
      </c>
      <c r="Y64" s="22">
        <f t="shared" si="54"/>
        <v>393.08573333333334</v>
      </c>
      <c r="Z64" s="22">
        <f t="shared" si="54"/>
        <v>484.55366666666663</v>
      </c>
      <c r="AA64" s="22">
        <f t="shared" si="54"/>
        <v>480.19253333333336</v>
      </c>
      <c r="AB64" s="22">
        <f t="shared" si="54"/>
        <v>380.54426666666666</v>
      </c>
      <c r="AC64" s="22">
        <f t="shared" si="54"/>
        <v>501.48046666666664</v>
      </c>
      <c r="AD64" s="22">
        <f t="shared" si="54"/>
        <v>571.19113333333337</v>
      </c>
      <c r="AE64" s="22">
        <f t="shared" si="54"/>
        <v>470.0955092083982</v>
      </c>
      <c r="AF64" s="22">
        <f t="shared" si="54"/>
        <v>470.05382539136968</v>
      </c>
      <c r="AG64" s="22">
        <f t="shared" si="54"/>
        <v>469.97740098840234</v>
      </c>
      <c r="AH64" s="22">
        <f t="shared" si="54"/>
        <v>469.88605482647296</v>
      </c>
      <c r="AI64" s="22">
        <f t="shared" si="54"/>
        <v>469.82434664447095</v>
      </c>
      <c r="AJ64" s="22">
        <f t="shared" si="54"/>
        <v>469.78188072383335</v>
      </c>
      <c r="AK64" s="22">
        <f t="shared" si="54"/>
        <v>469.75862650630785</v>
      </c>
      <c r="AL64" s="22">
        <f t="shared" si="54"/>
        <v>469.72100545130479</v>
      </c>
      <c r="AM64" s="22">
        <f t="shared" si="54"/>
        <v>469.68148733275598</v>
      </c>
      <c r="AN64" s="22">
        <f t="shared" si="54"/>
        <v>469.95618030048149</v>
      </c>
      <c r="AO64" s="22">
        <f t="shared" si="54"/>
        <v>469.84725524758687</v>
      </c>
      <c r="AP64" s="22">
        <f t="shared" si="54"/>
        <v>469.69859101219856</v>
      </c>
      <c r="AQ64" s="22">
        <f t="shared" si="54"/>
        <v>469.61870362550462</v>
      </c>
      <c r="AR64" s="22">
        <f t="shared" si="54"/>
        <v>469.53132965350932</v>
      </c>
      <c r="AS64" s="22">
        <f t="shared" si="54"/>
        <v>469.43418700274725</v>
      </c>
      <c r="AT64" s="22">
        <f t="shared" si="54"/>
        <v>469.33221486480466</v>
      </c>
      <c r="AU64" s="22">
        <f t="shared" si="54"/>
        <v>469.22338609360048</v>
      </c>
      <c r="AV64" s="22">
        <f t="shared" si="54"/>
        <v>469.1143224798808</v>
      </c>
      <c r="AW64" s="22">
        <f t="shared" si="54"/>
        <v>468.99945514504452</v>
      </c>
      <c r="AX64" s="22">
        <f t="shared" si="54"/>
        <v>468.88510018254988</v>
      </c>
      <c r="AY64" s="22">
        <f t="shared" si="54"/>
        <v>468.76112034131472</v>
      </c>
      <c r="AZ64" s="22">
        <f t="shared" si="54"/>
        <v>468.64171035885056</v>
      </c>
      <c r="BA64" s="22">
        <f t="shared" si="54"/>
        <v>468.5192778972135</v>
      </c>
      <c r="BB64" s="22">
        <f t="shared" si="54"/>
        <v>468.38543050906895</v>
      </c>
      <c r="BC64" s="22">
        <f t="shared" si="54"/>
        <v>468.26096326958111</v>
      </c>
      <c r="BD64" s="22">
        <f t="shared" si="54"/>
        <v>468.13316035307253</v>
      </c>
      <c r="BE64" s="22">
        <f t="shared" si="54"/>
        <v>468.00059449527834</v>
      </c>
      <c r="BF64" s="22">
        <f t="shared" si="54"/>
        <v>467.87875859797629</v>
      </c>
      <c r="BG64" s="22">
        <f t="shared" si="54"/>
        <v>467.76030934271449</v>
      </c>
      <c r="BH64" s="22">
        <f t="shared" si="54"/>
        <v>467.64478875019984</v>
      </c>
      <c r="BI64" s="22">
        <f t="shared" si="54"/>
        <v>467.52289759506942</v>
      </c>
      <c r="BJ64" s="22">
        <f t="shared" si="54"/>
        <v>467.40805152931154</v>
      </c>
      <c r="BK64" s="22">
        <f t="shared" si="54"/>
        <v>467.29173895425197</v>
      </c>
      <c r="BL64" s="22">
        <f t="shared" si="54"/>
        <v>467.17361896772775</v>
      </c>
      <c r="BM64" s="22">
        <f t="shared" si="54"/>
        <v>467.05310815725005</v>
      </c>
      <c r="BN64" s="22">
        <f t="shared" si="54"/>
        <v>466.93070929624412</v>
      </c>
      <c r="BO64" s="22">
        <f t="shared" si="54"/>
        <v>466.89310047907219</v>
      </c>
      <c r="BP64" s="22">
        <f t="shared" si="54"/>
        <v>466.86339554083878</v>
      </c>
      <c r="BQ64" s="22">
        <f t="shared" si="55"/>
        <v>466.8448893669817</v>
      </c>
    </row>
    <row r="65" spans="1:75" x14ac:dyDescent="0.3">
      <c r="C65" s="95" t="s">
        <v>637</v>
      </c>
      <c r="D65" t="str">
        <f>D43</f>
        <v>3C Aggregated and non-CO2 emissions on land</v>
      </c>
      <c r="E65" t="str">
        <f>E43</f>
        <v>3C4 Direct N2O from managed soils (N2O)</v>
      </c>
      <c r="F65" t="s">
        <v>637</v>
      </c>
      <c r="G65" t="str">
        <f>G43</f>
        <v>N2O</v>
      </c>
      <c r="H65" t="s">
        <v>630</v>
      </c>
      <c r="I65" s="22">
        <f t="shared" ref="I65:BQ65" si="56">I43*N2OGWP</f>
        <v>17234.945188957758</v>
      </c>
      <c r="J65" s="22">
        <f t="shared" si="56"/>
        <v>17138.765396452436</v>
      </c>
      <c r="K65" s="22">
        <f t="shared" si="56"/>
        <v>16960.127770495583</v>
      </c>
      <c r="L65" s="22">
        <f t="shared" si="56"/>
        <v>16803.735149602126</v>
      </c>
      <c r="M65" s="22">
        <f t="shared" si="56"/>
        <v>16399.077593729395</v>
      </c>
      <c r="N65" s="22">
        <f t="shared" si="56"/>
        <v>16093.852453046611</v>
      </c>
      <c r="O65" s="22">
        <f t="shared" si="56"/>
        <v>16787.257516886875</v>
      </c>
      <c r="P65" s="22">
        <f t="shared" si="56"/>
        <v>17078.559429282075</v>
      </c>
      <c r="Q65" s="22">
        <f t="shared" si="56"/>
        <v>17190.260728412712</v>
      </c>
      <c r="R65" s="22">
        <f t="shared" si="56"/>
        <v>17155.676993630408</v>
      </c>
      <c r="S65" s="22">
        <f t="shared" si="56"/>
        <v>17021.790519603233</v>
      </c>
      <c r="T65" s="22">
        <f t="shared" si="56"/>
        <v>16558.862650160001</v>
      </c>
      <c r="U65" s="22">
        <f t="shared" si="56"/>
        <v>16957.948472333181</v>
      </c>
      <c r="V65" s="22">
        <f t="shared" si="56"/>
        <v>16769.907146505077</v>
      </c>
      <c r="W65" s="22">
        <f t="shared" si="56"/>
        <v>16584.658063779349</v>
      </c>
      <c r="X65" s="22">
        <f t="shared" si="56"/>
        <v>16201.588190693865</v>
      </c>
      <c r="Y65" s="22">
        <f t="shared" si="56"/>
        <v>16229.541461457171</v>
      </c>
      <c r="Z65" s="22">
        <f t="shared" si="56"/>
        <v>16847.135336493091</v>
      </c>
      <c r="AA65" s="22">
        <f t="shared" si="56"/>
        <v>16894.02920900529</v>
      </c>
      <c r="AB65" s="22">
        <f t="shared" si="56"/>
        <v>16779.254174947899</v>
      </c>
      <c r="AC65" s="22">
        <f t="shared" si="56"/>
        <v>16465.845558736135</v>
      </c>
      <c r="AD65" s="22">
        <f t="shared" si="56"/>
        <v>16468.339195121422</v>
      </c>
      <c r="AE65" s="22">
        <f t="shared" si="56"/>
        <v>17151.705697759648</v>
      </c>
      <c r="AF65" s="22">
        <f t="shared" si="56"/>
        <v>17093.826915551948</v>
      </c>
      <c r="AG65" s="22">
        <f t="shared" si="56"/>
        <v>17091.396392844264</v>
      </c>
      <c r="AH65" s="22">
        <f t="shared" si="56"/>
        <v>16996.523789335217</v>
      </c>
      <c r="AI65" s="22">
        <f t="shared" si="56"/>
        <v>16845.135916251191</v>
      </c>
      <c r="AJ65" s="22">
        <f t="shared" si="56"/>
        <v>16640.888084222788</v>
      </c>
      <c r="AK65" s="22">
        <f t="shared" si="56"/>
        <v>16487.529960272332</v>
      </c>
      <c r="AL65" s="22">
        <f t="shared" si="56"/>
        <v>16345.805129696333</v>
      </c>
      <c r="AM65" s="22">
        <f t="shared" si="56"/>
        <v>15333.142496965511</v>
      </c>
      <c r="AN65" s="22">
        <f t="shared" si="56"/>
        <v>15466.419305865022</v>
      </c>
      <c r="AO65" s="22">
        <f t="shared" si="56"/>
        <v>15721.718395845426</v>
      </c>
      <c r="AP65" s="22">
        <f t="shared" si="56"/>
        <v>15792.35690424532</v>
      </c>
      <c r="AQ65" s="22">
        <f t="shared" si="56"/>
        <v>15882.586900810107</v>
      </c>
      <c r="AR65" s="22">
        <f t="shared" si="56"/>
        <v>16000.875078757141</v>
      </c>
      <c r="AS65" s="22">
        <f t="shared" si="56"/>
        <v>16130.837006610433</v>
      </c>
      <c r="AT65" s="22">
        <f t="shared" si="56"/>
        <v>16280.829315177862</v>
      </c>
      <c r="AU65" s="22">
        <f t="shared" si="56"/>
        <v>16432.800860620609</v>
      </c>
      <c r="AV65" s="22">
        <f t="shared" si="56"/>
        <v>16601.972697603644</v>
      </c>
      <c r="AW65" s="22">
        <f t="shared" si="56"/>
        <v>16771.105827480609</v>
      </c>
      <c r="AX65" s="22">
        <f t="shared" si="56"/>
        <v>16898.814381982302</v>
      </c>
      <c r="AY65" s="22">
        <f t="shared" si="56"/>
        <v>17011.89128216061</v>
      </c>
      <c r="AZ65" s="22">
        <f t="shared" si="56"/>
        <v>17131.020466939513</v>
      </c>
      <c r="BA65" s="22">
        <f t="shared" si="56"/>
        <v>17279.878287190404</v>
      </c>
      <c r="BB65" s="22">
        <f t="shared" si="56"/>
        <v>17400.350352990772</v>
      </c>
      <c r="BC65" s="22">
        <f t="shared" si="56"/>
        <v>17525.003619430903</v>
      </c>
      <c r="BD65" s="22">
        <f t="shared" si="56"/>
        <v>17660.47076391898</v>
      </c>
      <c r="BE65" s="22">
        <f t="shared" si="56"/>
        <v>17763.017146878792</v>
      </c>
      <c r="BF65" s="22">
        <f t="shared" si="56"/>
        <v>17852.701945731118</v>
      </c>
      <c r="BG65" s="22">
        <f t="shared" si="56"/>
        <v>17930.946501142658</v>
      </c>
      <c r="BH65" s="22">
        <f t="shared" si="56"/>
        <v>18065.131954412631</v>
      </c>
      <c r="BI65" s="22">
        <f t="shared" si="56"/>
        <v>18178.314058421252</v>
      </c>
      <c r="BJ65" s="22">
        <f t="shared" si="56"/>
        <v>18293.989664549441</v>
      </c>
      <c r="BK65" s="22">
        <f t="shared" si="56"/>
        <v>18413.356143322824</v>
      </c>
      <c r="BL65" s="22">
        <f t="shared" si="56"/>
        <v>18538.060297718424</v>
      </c>
      <c r="BM65" s="22">
        <f t="shared" si="56"/>
        <v>18664.427755086152</v>
      </c>
      <c r="BN65" s="22">
        <f t="shared" si="56"/>
        <v>18547.120743497231</v>
      </c>
      <c r="BO65" s="22">
        <f t="shared" si="56"/>
        <v>18405.700517305311</v>
      </c>
      <c r="BP65" s="22">
        <f t="shared" si="56"/>
        <v>18234.496409391908</v>
      </c>
      <c r="BQ65" s="22">
        <f t="shared" si="56"/>
        <v>18056.036672914906</v>
      </c>
    </row>
    <row r="66" spans="1:75" x14ac:dyDescent="0.3">
      <c r="C66" s="95" t="s">
        <v>639</v>
      </c>
      <c r="D66" t="str">
        <f>D49</f>
        <v>3C Aggregated and non-CO2 emissions on land</v>
      </c>
      <c r="E66" t="str">
        <f t="shared" ref="E66:G66" si="57">E49</f>
        <v>3C5 Indirect N2O from managed soils (N2O)</v>
      </c>
      <c r="F66" t="s">
        <v>639</v>
      </c>
      <c r="G66" t="str">
        <f t="shared" si="57"/>
        <v>N2O</v>
      </c>
      <c r="H66" t="s">
        <v>630</v>
      </c>
      <c r="I66" s="22">
        <f t="shared" ref="I66:BQ66" si="58">I49*N2OGWP</f>
        <v>2234.5052500528623</v>
      </c>
      <c r="J66" s="22">
        <f t="shared" si="58"/>
        <v>2211.6980958305289</v>
      </c>
      <c r="K66" s="22">
        <f t="shared" si="58"/>
        <v>2169.3378787889174</v>
      </c>
      <c r="L66" s="22">
        <f t="shared" si="58"/>
        <v>2126.2561830378841</v>
      </c>
      <c r="M66" s="22">
        <f t="shared" si="58"/>
        <v>2070.6768821954438</v>
      </c>
      <c r="N66" s="22">
        <f t="shared" si="58"/>
        <v>2062.5720723240188</v>
      </c>
      <c r="O66" s="22">
        <f t="shared" si="58"/>
        <v>2132.94216183253</v>
      </c>
      <c r="P66" s="22">
        <f t="shared" si="58"/>
        <v>2154.8913400426786</v>
      </c>
      <c r="Q66" s="22">
        <f t="shared" si="58"/>
        <v>2185.5347534707471</v>
      </c>
      <c r="R66" s="22">
        <f t="shared" si="58"/>
        <v>2179.6281008084297</v>
      </c>
      <c r="S66" s="22">
        <f t="shared" si="58"/>
        <v>2155.7364466862405</v>
      </c>
      <c r="T66" s="22">
        <f t="shared" si="58"/>
        <v>2118.7727412938139</v>
      </c>
      <c r="U66" s="22">
        <f t="shared" si="58"/>
        <v>2149.2536347032101</v>
      </c>
      <c r="V66" s="22">
        <f t="shared" si="58"/>
        <v>2127.4292286069426</v>
      </c>
      <c r="W66" s="22">
        <f t="shared" si="58"/>
        <v>2110.5878909746098</v>
      </c>
      <c r="X66" s="22">
        <f t="shared" si="58"/>
        <v>2072.1483225191987</v>
      </c>
      <c r="Y66" s="22">
        <f t="shared" si="58"/>
        <v>2101.905941836299</v>
      </c>
      <c r="Z66" s="22">
        <f t="shared" si="58"/>
        <v>2151.2208658093541</v>
      </c>
      <c r="AA66" s="22">
        <f t="shared" si="58"/>
        <v>2156.0457121558738</v>
      </c>
      <c r="AB66" s="22">
        <f t="shared" si="58"/>
        <v>2149.2138525216237</v>
      </c>
      <c r="AC66" s="22">
        <f t="shared" si="58"/>
        <v>2105.3949279528888</v>
      </c>
      <c r="AD66" s="22">
        <f t="shared" si="58"/>
        <v>2110.5059697888632</v>
      </c>
      <c r="AE66" s="22">
        <f t="shared" si="58"/>
        <v>2050.9374050904025</v>
      </c>
      <c r="AF66" s="22">
        <f t="shared" si="58"/>
        <v>2045.5386350321758</v>
      </c>
      <c r="AG66" s="22">
        <f t="shared" si="58"/>
        <v>2047.0573530349106</v>
      </c>
      <c r="AH66" s="22">
        <f t="shared" si="58"/>
        <v>2037.2818538590111</v>
      </c>
      <c r="AI66" s="22">
        <f t="shared" si="58"/>
        <v>2020.7416492119837</v>
      </c>
      <c r="AJ66" s="22">
        <f t="shared" si="58"/>
        <v>1997.8167979558436</v>
      </c>
      <c r="AK66" s="22">
        <f t="shared" si="58"/>
        <v>1981.3182233351415</v>
      </c>
      <c r="AL66" s="22">
        <f t="shared" si="58"/>
        <v>1966.2827775921453</v>
      </c>
      <c r="AM66" s="22">
        <f t="shared" si="58"/>
        <v>1842.5857472306971</v>
      </c>
      <c r="AN66" s="22">
        <f t="shared" si="58"/>
        <v>1861.3013133436878</v>
      </c>
      <c r="AO66" s="22">
        <f t="shared" si="58"/>
        <v>1894.1536812303866</v>
      </c>
      <c r="AP66" s="22">
        <f t="shared" si="58"/>
        <v>1903.8803245620827</v>
      </c>
      <c r="AQ66" s="22">
        <f t="shared" si="58"/>
        <v>1916.3536730595029</v>
      </c>
      <c r="AR66" s="22">
        <f t="shared" si="58"/>
        <v>1932.3985696328384</v>
      </c>
      <c r="AS66" s="22">
        <f t="shared" si="58"/>
        <v>1949.7219525740591</v>
      </c>
      <c r="AT66" s="22">
        <f t="shared" si="58"/>
        <v>1969.629089038252</v>
      </c>
      <c r="AU66" s="22">
        <f t="shared" si="58"/>
        <v>1989.8483490761139</v>
      </c>
      <c r="AV66" s="22">
        <f t="shared" si="58"/>
        <v>2012.3185912377764</v>
      </c>
      <c r="AW66" s="22">
        <f t="shared" si="58"/>
        <v>2034.8539004377549</v>
      </c>
      <c r="AX66" s="22">
        <f t="shared" si="58"/>
        <v>2052.8949909451817</v>
      </c>
      <c r="AY66" s="22">
        <f t="shared" si="58"/>
        <v>2069.1944299293632</v>
      </c>
      <c r="AZ66" s="22">
        <f t="shared" si="58"/>
        <v>2086.4143452143276</v>
      </c>
      <c r="BA66" s="22">
        <f t="shared" si="58"/>
        <v>2107.5471907559049</v>
      </c>
      <c r="BB66" s="22">
        <f t="shared" si="58"/>
        <v>2125.1922779772085</v>
      </c>
      <c r="BC66" s="22">
        <f t="shared" si="58"/>
        <v>2143.3815227202085</v>
      </c>
      <c r="BD66" s="22">
        <f t="shared" si="58"/>
        <v>2163.1045643035477</v>
      </c>
      <c r="BE66" s="22">
        <f t="shared" si="58"/>
        <v>2178.7665207131558</v>
      </c>
      <c r="BF66" s="22">
        <f t="shared" si="58"/>
        <v>2192.9725439395338</v>
      </c>
      <c r="BG66" s="22">
        <f t="shared" si="58"/>
        <v>2205.8761678403275</v>
      </c>
      <c r="BH66" s="22">
        <f t="shared" si="58"/>
        <v>2225.3439026708006</v>
      </c>
      <c r="BI66" s="22">
        <f t="shared" si="58"/>
        <v>2242.215386811522</v>
      </c>
      <c r="BJ66" s="22">
        <f t="shared" si="58"/>
        <v>2259.5653989534226</v>
      </c>
      <c r="BK66" s="22">
        <f t="shared" si="58"/>
        <v>2277.5267973052873</v>
      </c>
      <c r="BL66" s="22">
        <f t="shared" si="58"/>
        <v>2296.3195215422957</v>
      </c>
      <c r="BM66" s="22">
        <f t="shared" si="58"/>
        <v>2315.3159501296468</v>
      </c>
      <c r="BN66" s="22">
        <f t="shared" si="58"/>
        <v>2302.6461188471171</v>
      </c>
      <c r="BO66" s="22">
        <f t="shared" si="58"/>
        <v>2287.1277664044933</v>
      </c>
      <c r="BP66" s="22">
        <f t="shared" si="58"/>
        <v>2267.7383909460959</v>
      </c>
      <c r="BQ66" s="22">
        <f t="shared" si="58"/>
        <v>2247.4232150153257</v>
      </c>
    </row>
    <row r="67" spans="1:75" x14ac:dyDescent="0.3">
      <c r="C67" s="95" t="s">
        <v>638</v>
      </c>
      <c r="D67" t="str">
        <f>D52</f>
        <v>3C Aggregated and non-CO2 emissions on land</v>
      </c>
      <c r="E67" t="str">
        <f t="shared" ref="E67:G67" si="59">E52</f>
        <v>3C6 Indirect N2O from manure management (N2O)</v>
      </c>
      <c r="F67" t="s">
        <v>638</v>
      </c>
      <c r="G67" t="str">
        <f t="shared" si="59"/>
        <v>N2O</v>
      </c>
      <c r="H67" t="s">
        <v>630</v>
      </c>
      <c r="I67" s="22">
        <f t="shared" ref="I67:BQ67" si="60">I52*N2OGWP</f>
        <v>339.46668586955047</v>
      </c>
      <c r="J67" s="22">
        <f t="shared" si="60"/>
        <v>361.42056329374225</v>
      </c>
      <c r="K67" s="22">
        <f t="shared" si="60"/>
        <v>336.30759122420466</v>
      </c>
      <c r="L67" s="22">
        <f t="shared" si="60"/>
        <v>348.82410338247314</v>
      </c>
      <c r="M67" s="22">
        <f t="shared" si="60"/>
        <v>332.77692549973614</v>
      </c>
      <c r="N67" s="22">
        <f t="shared" si="60"/>
        <v>351.17073353759787</v>
      </c>
      <c r="O67" s="22">
        <f t="shared" si="60"/>
        <v>366.95943819746714</v>
      </c>
      <c r="P67" s="22">
        <f t="shared" si="60"/>
        <v>363.69601469759795</v>
      </c>
      <c r="Q67" s="22">
        <f t="shared" si="60"/>
        <v>372.77723801175745</v>
      </c>
      <c r="R67" s="22">
        <f t="shared" si="60"/>
        <v>376.69225137169252</v>
      </c>
      <c r="S67" s="22">
        <f t="shared" si="60"/>
        <v>416.19353174110165</v>
      </c>
      <c r="T67" s="22">
        <f t="shared" si="60"/>
        <v>413.8758977418791</v>
      </c>
      <c r="U67" s="22">
        <f t="shared" si="60"/>
        <v>402.12489933360166</v>
      </c>
      <c r="V67" s="22">
        <f t="shared" si="60"/>
        <v>382.08437212452515</v>
      </c>
      <c r="W67" s="22">
        <f t="shared" si="60"/>
        <v>379.738143309794</v>
      </c>
      <c r="X67" s="22">
        <f t="shared" si="60"/>
        <v>398.98840509467396</v>
      </c>
      <c r="Y67" s="22">
        <f t="shared" si="60"/>
        <v>404.11898883233295</v>
      </c>
      <c r="Z67" s="22">
        <f t="shared" si="60"/>
        <v>412.20171589966418</v>
      </c>
      <c r="AA67" s="22">
        <f t="shared" si="60"/>
        <v>446.09004051714021</v>
      </c>
      <c r="AB67" s="22">
        <f t="shared" si="60"/>
        <v>443.47274862625261</v>
      </c>
      <c r="AC67" s="22">
        <f t="shared" si="60"/>
        <v>446.04525464561482</v>
      </c>
      <c r="AD67" s="22">
        <f t="shared" si="60"/>
        <v>451.47082982836986</v>
      </c>
      <c r="AE67" s="22">
        <f t="shared" si="60"/>
        <v>463.94620254720866</v>
      </c>
      <c r="AF67" s="22">
        <f t="shared" si="60"/>
        <v>468.55349021707184</v>
      </c>
      <c r="AG67" s="22">
        <f t="shared" si="60"/>
        <v>475.46673921112142</v>
      </c>
      <c r="AH67" s="22">
        <f t="shared" si="60"/>
        <v>478.52713833996251</v>
      </c>
      <c r="AI67" s="22">
        <f t="shared" si="60"/>
        <v>479.13075008565448</v>
      </c>
      <c r="AJ67" s="22">
        <f t="shared" si="60"/>
        <v>477.27784879908722</v>
      </c>
      <c r="AK67" s="22">
        <f t="shared" si="60"/>
        <v>477.58815133846173</v>
      </c>
      <c r="AL67" s="22">
        <f t="shared" si="60"/>
        <v>478.32509917641181</v>
      </c>
      <c r="AM67" s="22">
        <f t="shared" si="60"/>
        <v>437.65364453283877</v>
      </c>
      <c r="AN67" s="22">
        <f t="shared" si="60"/>
        <v>447.83921275306943</v>
      </c>
      <c r="AO67" s="22">
        <f t="shared" si="60"/>
        <v>463.50700203026076</v>
      </c>
      <c r="AP67" s="22">
        <f t="shared" si="60"/>
        <v>470.33348295675415</v>
      </c>
      <c r="AQ67" s="22">
        <f t="shared" si="60"/>
        <v>478.31884433078415</v>
      </c>
      <c r="AR67" s="22">
        <f t="shared" si="60"/>
        <v>487.80438141499695</v>
      </c>
      <c r="AS67" s="22">
        <f t="shared" si="60"/>
        <v>498.22556673604879</v>
      </c>
      <c r="AT67" s="22">
        <f t="shared" si="60"/>
        <v>509.82449188881287</v>
      </c>
      <c r="AU67" s="22">
        <f t="shared" si="60"/>
        <v>521.70132369786995</v>
      </c>
      <c r="AV67" s="22">
        <f t="shared" si="60"/>
        <v>534.66994180065035</v>
      </c>
      <c r="AW67" s="22">
        <f t="shared" si="60"/>
        <v>547.84392079271527</v>
      </c>
      <c r="AX67" s="22">
        <f t="shared" si="60"/>
        <v>562.85315252501368</v>
      </c>
      <c r="AY67" s="22">
        <f t="shared" si="60"/>
        <v>577.51148769427505</v>
      </c>
      <c r="AZ67" s="22">
        <f t="shared" si="60"/>
        <v>592.97342516000958</v>
      </c>
      <c r="BA67" s="22">
        <f t="shared" si="60"/>
        <v>610.61175795071927</v>
      </c>
      <c r="BB67" s="22">
        <f t="shared" si="60"/>
        <v>627.16300337226232</v>
      </c>
      <c r="BC67" s="22">
        <f t="shared" si="60"/>
        <v>644.70434568444216</v>
      </c>
      <c r="BD67" s="22">
        <f t="shared" si="60"/>
        <v>663.47371766277104</v>
      </c>
      <c r="BE67" s="22">
        <f t="shared" si="60"/>
        <v>680.84999302331573</v>
      </c>
      <c r="BF67" s="22">
        <f t="shared" si="60"/>
        <v>698.02922766035294</v>
      </c>
      <c r="BG67" s="22">
        <f t="shared" si="60"/>
        <v>715.06898312793305</v>
      </c>
      <c r="BH67" s="22">
        <f t="shared" si="60"/>
        <v>733.64261674980673</v>
      </c>
      <c r="BI67" s="22">
        <f t="shared" si="60"/>
        <v>751.32378737574379</v>
      </c>
      <c r="BJ67" s="22">
        <f t="shared" si="60"/>
        <v>769.66617565657941</v>
      </c>
      <c r="BK67" s="22">
        <f t="shared" si="60"/>
        <v>788.76051964046167</v>
      </c>
      <c r="BL67" s="22">
        <f t="shared" si="60"/>
        <v>808.75204497949539</v>
      </c>
      <c r="BM67" s="22">
        <f t="shared" si="60"/>
        <v>829.61774980564689</v>
      </c>
      <c r="BN67" s="22">
        <f t="shared" si="60"/>
        <v>833.64298368603681</v>
      </c>
      <c r="BO67" s="22">
        <f t="shared" si="60"/>
        <v>836.13820762929572</v>
      </c>
      <c r="BP67" s="22">
        <f t="shared" si="60"/>
        <v>836.42571567008497</v>
      </c>
      <c r="BQ67" s="22">
        <f t="shared" si="60"/>
        <v>836.09543374820669</v>
      </c>
    </row>
    <row r="70" spans="1:75" s="19" customFormat="1" ht="15.6" x14ac:dyDescent="0.3">
      <c r="A70" s="97"/>
      <c r="B70" s="97"/>
      <c r="C70" s="97"/>
      <c r="D70" s="17" t="s">
        <v>716</v>
      </c>
      <c r="E70" s="17"/>
      <c r="F70" s="17"/>
      <c r="G70" s="17"/>
      <c r="H70" s="17"/>
      <c r="I70" s="17">
        <v>1990</v>
      </c>
      <c r="J70" s="17">
        <v>1991</v>
      </c>
      <c r="K70" s="17">
        <v>1992</v>
      </c>
      <c r="L70" s="17">
        <v>1993</v>
      </c>
      <c r="M70" s="17">
        <v>1994</v>
      </c>
      <c r="N70" s="17">
        <v>1995</v>
      </c>
      <c r="O70" s="17">
        <v>1996</v>
      </c>
      <c r="P70" s="17">
        <v>1997</v>
      </c>
      <c r="Q70" s="17">
        <v>1998</v>
      </c>
      <c r="R70" s="17">
        <v>1999</v>
      </c>
      <c r="S70" s="17">
        <v>2000</v>
      </c>
      <c r="T70" s="17">
        <v>2001</v>
      </c>
      <c r="U70" s="17">
        <v>2002</v>
      </c>
      <c r="V70" s="17">
        <v>2003</v>
      </c>
      <c r="W70" s="17">
        <v>2004</v>
      </c>
      <c r="X70" s="17">
        <v>2005</v>
      </c>
      <c r="Y70" s="17">
        <v>2006</v>
      </c>
      <c r="Z70" s="17">
        <v>2007</v>
      </c>
      <c r="AA70" s="17">
        <v>2008</v>
      </c>
      <c r="AB70" s="17">
        <v>2009</v>
      </c>
      <c r="AC70" s="17">
        <v>2010</v>
      </c>
      <c r="AD70" s="17">
        <v>2011</v>
      </c>
      <c r="AE70" s="17">
        <v>2012</v>
      </c>
      <c r="AF70" s="17">
        <v>2013</v>
      </c>
      <c r="AG70" s="17">
        <v>2014</v>
      </c>
      <c r="AH70" s="17">
        <v>2015</v>
      </c>
      <c r="AI70" s="17">
        <v>2016</v>
      </c>
      <c r="AJ70" s="17">
        <v>2017</v>
      </c>
      <c r="AK70" s="17">
        <v>2018</v>
      </c>
      <c r="AL70" s="17">
        <v>2019</v>
      </c>
      <c r="AM70" s="17">
        <v>2020</v>
      </c>
      <c r="AN70" s="17">
        <v>2021</v>
      </c>
      <c r="AO70" s="17">
        <v>2022</v>
      </c>
      <c r="AP70" s="17">
        <v>2023</v>
      </c>
      <c r="AQ70" s="17">
        <v>2024</v>
      </c>
      <c r="AR70" s="17">
        <v>2025</v>
      </c>
      <c r="AS70" s="17">
        <v>2026</v>
      </c>
      <c r="AT70" s="17">
        <v>2027</v>
      </c>
      <c r="AU70" s="17">
        <v>2028</v>
      </c>
      <c r="AV70" s="17">
        <v>2029</v>
      </c>
      <c r="AW70" s="17">
        <v>2030</v>
      </c>
      <c r="AX70" s="17">
        <v>2031</v>
      </c>
      <c r="AY70" s="17">
        <v>2032</v>
      </c>
      <c r="AZ70" s="17">
        <v>2033</v>
      </c>
      <c r="BA70" s="17">
        <v>2034</v>
      </c>
      <c r="BB70" s="17">
        <v>2035</v>
      </c>
      <c r="BC70" s="17">
        <v>2036</v>
      </c>
      <c r="BD70" s="17">
        <v>2037</v>
      </c>
      <c r="BE70" s="17">
        <v>2038</v>
      </c>
      <c r="BF70" s="17">
        <v>2039</v>
      </c>
      <c r="BG70" s="17">
        <v>2040</v>
      </c>
      <c r="BH70" s="17">
        <v>2041</v>
      </c>
      <c r="BI70" s="17">
        <v>2042</v>
      </c>
      <c r="BJ70" s="17">
        <v>2043</v>
      </c>
      <c r="BK70" s="17">
        <v>2044</v>
      </c>
      <c r="BL70" s="17">
        <v>2045</v>
      </c>
      <c r="BM70" s="17">
        <v>2046</v>
      </c>
      <c r="BN70" s="17">
        <v>2047</v>
      </c>
      <c r="BO70" s="17">
        <v>2048</v>
      </c>
      <c r="BP70" s="17">
        <v>2049</v>
      </c>
      <c r="BQ70" s="17">
        <v>2050</v>
      </c>
      <c r="BR70" s="17"/>
      <c r="BS70" s="17"/>
      <c r="BT70" s="17"/>
      <c r="BU70" s="17"/>
      <c r="BV70" s="17"/>
      <c r="BW70" s="17"/>
    </row>
    <row r="71" spans="1:75" x14ac:dyDescent="0.3">
      <c r="H71" t="s">
        <v>736</v>
      </c>
      <c r="I71" s="22">
        <f>SUM(I58:I60)</f>
        <v>28329.895895189959</v>
      </c>
      <c r="J71" s="22">
        <f t="shared" ref="J71:BQ71" si="61">SUM(J58:J60)</f>
        <v>28348.756597536198</v>
      </c>
      <c r="K71" s="22">
        <f t="shared" si="61"/>
        <v>27901.265167652149</v>
      </c>
      <c r="L71" s="22">
        <f t="shared" si="61"/>
        <v>26983.421178078323</v>
      </c>
      <c r="M71" s="22">
        <f t="shared" si="61"/>
        <v>26232.935842025625</v>
      </c>
      <c r="N71" s="22">
        <f t="shared" si="61"/>
        <v>26483.697904273635</v>
      </c>
      <c r="O71" s="22">
        <f t="shared" si="61"/>
        <v>27231.455050197914</v>
      </c>
      <c r="P71" s="22">
        <f t="shared" si="61"/>
        <v>27718.197700050874</v>
      </c>
      <c r="Q71" s="22">
        <f t="shared" si="61"/>
        <v>28191.857752581782</v>
      </c>
      <c r="R71" s="22">
        <f t="shared" si="61"/>
        <v>28176.93333456889</v>
      </c>
      <c r="S71" s="22">
        <f t="shared" si="61"/>
        <v>27911.735313172579</v>
      </c>
      <c r="T71" s="22">
        <f t="shared" si="61"/>
        <v>27717.940554412646</v>
      </c>
      <c r="U71" s="22">
        <f t="shared" si="61"/>
        <v>27299.215210355833</v>
      </c>
      <c r="V71" s="22">
        <f t="shared" si="61"/>
        <v>27343.988003450842</v>
      </c>
      <c r="W71" s="22">
        <f t="shared" si="61"/>
        <v>27146.675440419218</v>
      </c>
      <c r="X71" s="22">
        <f t="shared" si="61"/>
        <v>27260.702201657918</v>
      </c>
      <c r="Y71" s="22">
        <f t="shared" si="61"/>
        <v>27196.730699508385</v>
      </c>
      <c r="Z71" s="22">
        <f t="shared" si="61"/>
        <v>27798.797044635878</v>
      </c>
      <c r="AA71" s="22">
        <f t="shared" si="61"/>
        <v>28021.860780467254</v>
      </c>
      <c r="AB71" s="22">
        <f t="shared" si="61"/>
        <v>27823.10030385045</v>
      </c>
      <c r="AC71" s="22">
        <f t="shared" si="61"/>
        <v>27614.256694686857</v>
      </c>
      <c r="AD71" s="22">
        <f t="shared" si="61"/>
        <v>27581.637898711942</v>
      </c>
      <c r="AE71" s="22">
        <f t="shared" si="61"/>
        <v>26982.018509963782</v>
      </c>
      <c r="AF71" s="22">
        <f t="shared" si="61"/>
        <v>26899.412164760473</v>
      </c>
      <c r="AG71" s="22">
        <f t="shared" si="61"/>
        <v>26934.727527870873</v>
      </c>
      <c r="AH71" s="22">
        <f t="shared" si="61"/>
        <v>26768.466839336899</v>
      </c>
      <c r="AI71" s="22">
        <f t="shared" si="61"/>
        <v>26480.585819016404</v>
      </c>
      <c r="AJ71" s="22">
        <f t="shared" si="61"/>
        <v>26077.422552757751</v>
      </c>
      <c r="AK71" s="22">
        <f t="shared" si="61"/>
        <v>25785.957215400758</v>
      </c>
      <c r="AL71" s="22">
        <f t="shared" si="61"/>
        <v>25518.395707880383</v>
      </c>
      <c r="AM71" s="22">
        <f t="shared" si="61"/>
        <v>23328.845797617432</v>
      </c>
      <c r="AN71" s="22">
        <f t="shared" si="61"/>
        <v>23664.914105077329</v>
      </c>
      <c r="AO71" s="22">
        <f t="shared" si="61"/>
        <v>24245.156089710439</v>
      </c>
      <c r="AP71" s="22">
        <f t="shared" si="61"/>
        <v>24415.065311969807</v>
      </c>
      <c r="AQ71" s="22">
        <f t="shared" si="61"/>
        <v>24633.755580026376</v>
      </c>
      <c r="AR71" s="22">
        <f t="shared" si="61"/>
        <v>24914.961821296307</v>
      </c>
      <c r="AS71" s="22">
        <f t="shared" si="61"/>
        <v>25224.068848988907</v>
      </c>
      <c r="AT71" s="22">
        <f t="shared" si="61"/>
        <v>25578.54993683549</v>
      </c>
      <c r="AU71" s="22">
        <f t="shared" si="61"/>
        <v>25938.178506261447</v>
      </c>
      <c r="AV71" s="22">
        <f t="shared" si="61"/>
        <v>26337.546573011077</v>
      </c>
      <c r="AW71" s="22">
        <f t="shared" si="61"/>
        <v>26737.838779856531</v>
      </c>
      <c r="AX71" s="22">
        <f t="shared" si="61"/>
        <v>27071.039555799238</v>
      </c>
      <c r="AY71" s="22">
        <f t="shared" si="61"/>
        <v>27373.632496855702</v>
      </c>
      <c r="AZ71" s="22">
        <f t="shared" si="61"/>
        <v>27693.254806902074</v>
      </c>
      <c r="BA71" s="22">
        <f t="shared" si="61"/>
        <v>28083.346636374295</v>
      </c>
      <c r="BB71" s="22">
        <f t="shared" si="61"/>
        <v>28411.842016410123</v>
      </c>
      <c r="BC71" s="22">
        <f t="shared" si="61"/>
        <v>28755.562366062295</v>
      </c>
      <c r="BD71" s="22">
        <f t="shared" si="61"/>
        <v>29127.683522037885</v>
      </c>
      <c r="BE71" s="22">
        <f t="shared" si="61"/>
        <v>29428.022385971075</v>
      </c>
      <c r="BF71" s="22">
        <f t="shared" si="61"/>
        <v>29703.383597547821</v>
      </c>
      <c r="BG71" s="22">
        <f t="shared" si="61"/>
        <v>29956.405162743467</v>
      </c>
      <c r="BH71" s="22">
        <f t="shared" si="61"/>
        <v>30326.429828198921</v>
      </c>
      <c r="BI71" s="22">
        <f t="shared" si="61"/>
        <v>30650.474044098231</v>
      </c>
      <c r="BJ71" s="22">
        <f t="shared" si="61"/>
        <v>30984.089449706029</v>
      </c>
      <c r="BK71" s="22">
        <f t="shared" si="61"/>
        <v>31329.640923905259</v>
      </c>
      <c r="BL71" s="22">
        <f t="shared" si="61"/>
        <v>31691.193242584064</v>
      </c>
      <c r="BM71" s="22">
        <f t="shared" si="61"/>
        <v>32061.807696679105</v>
      </c>
      <c r="BN71" s="22">
        <f t="shared" si="61"/>
        <v>31859.704865881275</v>
      </c>
      <c r="BO71" s="22">
        <f t="shared" si="61"/>
        <v>31606.932634603752</v>
      </c>
      <c r="BP71" s="22">
        <f t="shared" si="61"/>
        <v>31283.670634741047</v>
      </c>
      <c r="BQ71" s="22">
        <f t="shared" si="61"/>
        <v>30943.277928356238</v>
      </c>
    </row>
    <row r="72" spans="1:75" x14ac:dyDescent="0.3">
      <c r="H72" t="s">
        <v>738</v>
      </c>
      <c r="I72" s="22">
        <f>SUM(I61:I67)</f>
        <v>22520.716286019295</v>
      </c>
      <c r="J72" s="22">
        <f t="shared" ref="J72:BQ72" si="62">SUM(J61:J67)</f>
        <v>22464.940551220727</v>
      </c>
      <c r="K72" s="22">
        <f t="shared" si="62"/>
        <v>22122.587070657621</v>
      </c>
      <c r="L72" s="22">
        <f t="shared" si="62"/>
        <v>22107.511600676291</v>
      </c>
      <c r="M72" s="22">
        <f t="shared" si="62"/>
        <v>21834.941608916608</v>
      </c>
      <c r="N72" s="22">
        <f t="shared" si="62"/>
        <v>21438.397550905156</v>
      </c>
      <c r="O72" s="22">
        <f t="shared" si="62"/>
        <v>22344.38853508536</v>
      </c>
      <c r="P72" s="22">
        <f t="shared" si="62"/>
        <v>22643.115411695737</v>
      </c>
      <c r="Q72" s="22">
        <f t="shared" si="62"/>
        <v>22838.244348740158</v>
      </c>
      <c r="R72" s="22">
        <f t="shared" si="62"/>
        <v>22819.025600827037</v>
      </c>
      <c r="S72" s="22">
        <f t="shared" si="62"/>
        <v>22511.044802282533</v>
      </c>
      <c r="T72" s="22">
        <f t="shared" si="62"/>
        <v>22529.539442072208</v>
      </c>
      <c r="U72" s="22">
        <f t="shared" si="62"/>
        <v>23137.990578649747</v>
      </c>
      <c r="V72" s="22">
        <f t="shared" si="62"/>
        <v>22247.767107619758</v>
      </c>
      <c r="W72" s="22">
        <f t="shared" si="62"/>
        <v>21888.679383709583</v>
      </c>
      <c r="X72" s="22">
        <f t="shared" si="62"/>
        <v>22154.093897802089</v>
      </c>
      <c r="Y72" s="22">
        <f t="shared" si="62"/>
        <v>22070.367095963247</v>
      </c>
      <c r="Z72" s="22">
        <f t="shared" si="62"/>
        <v>22852.545580285085</v>
      </c>
      <c r="AA72" s="22">
        <f t="shared" si="62"/>
        <v>22951.7302580256</v>
      </c>
      <c r="AB72" s="22">
        <f t="shared" si="62"/>
        <v>22635.063755242325</v>
      </c>
      <c r="AC72" s="22">
        <f t="shared" si="62"/>
        <v>22400.815411577827</v>
      </c>
      <c r="AD72" s="22">
        <f t="shared" si="62"/>
        <v>22528.596906718252</v>
      </c>
      <c r="AE72" s="22">
        <f t="shared" si="62"/>
        <v>22897.455060347878</v>
      </c>
      <c r="AF72" s="22">
        <f t="shared" si="62"/>
        <v>22916.931601602209</v>
      </c>
      <c r="AG72" s="22">
        <f t="shared" si="62"/>
        <v>22902.965793483334</v>
      </c>
      <c r="AH72" s="22">
        <f t="shared" si="62"/>
        <v>22783.717172728906</v>
      </c>
      <c r="AI72" s="22">
        <f t="shared" si="62"/>
        <v>22638.455195046368</v>
      </c>
      <c r="AJ72" s="22">
        <f t="shared" si="62"/>
        <v>22428.717383211704</v>
      </c>
      <c r="AK72" s="22">
        <f t="shared" si="62"/>
        <v>22266.130401341314</v>
      </c>
      <c r="AL72" s="22">
        <f t="shared" si="62"/>
        <v>22119.9220695435</v>
      </c>
      <c r="AM72" s="22">
        <f t="shared" si="62"/>
        <v>20952.779344175295</v>
      </c>
      <c r="AN72" s="22">
        <f t="shared" si="62"/>
        <v>21112.689135111406</v>
      </c>
      <c r="AO72" s="22">
        <f t="shared" si="62"/>
        <v>21429.082066563187</v>
      </c>
      <c r="AP72" s="22">
        <f t="shared" si="62"/>
        <v>21530.384856800742</v>
      </c>
      <c r="AQ72" s="22">
        <f t="shared" si="62"/>
        <v>21652.523806324425</v>
      </c>
      <c r="AR72" s="22">
        <f t="shared" si="62"/>
        <v>21808.082310276375</v>
      </c>
      <c r="AS72" s="22">
        <f t="shared" si="62"/>
        <v>21977.906640145349</v>
      </c>
      <c r="AT72" s="22">
        <f t="shared" si="62"/>
        <v>22171.709692603705</v>
      </c>
      <c r="AU72" s="22">
        <f t="shared" si="62"/>
        <v>22368.347289148751</v>
      </c>
      <c r="AV72" s="22">
        <f t="shared" si="62"/>
        <v>22585.537031497566</v>
      </c>
      <c r="AW72" s="22">
        <f t="shared" si="62"/>
        <v>22803.183035424285</v>
      </c>
      <c r="AX72" s="22">
        <f t="shared" si="62"/>
        <v>22976.380405462023</v>
      </c>
      <c r="AY72" s="22">
        <f t="shared" si="62"/>
        <v>23133.225951002296</v>
      </c>
      <c r="AZ72" s="22">
        <f t="shared" si="62"/>
        <v>23297.671056009785</v>
      </c>
      <c r="BA72" s="22">
        <f t="shared" si="62"/>
        <v>23498.051059074882</v>
      </c>
      <c r="BB72" s="22">
        <f t="shared" si="62"/>
        <v>23665.912095252272</v>
      </c>
      <c r="BC72" s="22">
        <f t="shared" si="62"/>
        <v>23839.125676956661</v>
      </c>
      <c r="BD72" s="22">
        <f t="shared" si="62"/>
        <v>24026.04401756289</v>
      </c>
      <c r="BE72" s="22">
        <f t="shared" si="62"/>
        <v>24174.771688769011</v>
      </c>
      <c r="BF72" s="22">
        <f t="shared" si="62"/>
        <v>24308.050972101471</v>
      </c>
      <c r="BG72" s="22">
        <f t="shared" si="62"/>
        <v>24428.317107359875</v>
      </c>
      <c r="BH72" s="22">
        <f t="shared" si="62"/>
        <v>24612.508822229884</v>
      </c>
      <c r="BI72" s="22">
        <f t="shared" si="62"/>
        <v>24772.454945497626</v>
      </c>
      <c r="BJ72" s="22">
        <f t="shared" si="62"/>
        <v>24935.761748361972</v>
      </c>
      <c r="BK72" s="22">
        <f t="shared" si="62"/>
        <v>25104.179503711995</v>
      </c>
      <c r="BL72" s="22">
        <f t="shared" si="62"/>
        <v>25279.733369050457</v>
      </c>
      <c r="BM72" s="22">
        <f t="shared" si="62"/>
        <v>25458.120920029531</v>
      </c>
      <c r="BN72" s="22">
        <f t="shared" si="62"/>
        <v>25344.400318215176</v>
      </c>
      <c r="BO72" s="22">
        <f t="shared" si="62"/>
        <v>25198.90752007367</v>
      </c>
      <c r="BP72" s="22">
        <f t="shared" si="62"/>
        <v>25017.246307316564</v>
      </c>
      <c r="BQ72" s="22">
        <f t="shared" si="62"/>
        <v>24826.35260542723</v>
      </c>
    </row>
    <row r="73" spans="1:75" x14ac:dyDescent="0.3">
      <c r="H73" t="s">
        <v>726</v>
      </c>
      <c r="I73" s="22">
        <f>SUM(I71:I72)</f>
        <v>50850.612181209253</v>
      </c>
      <c r="J73" s="22">
        <f t="shared" ref="J73:BQ73" si="63">SUM(J71:J72)</f>
        <v>50813.697148756924</v>
      </c>
      <c r="K73" s="22">
        <f t="shared" si="63"/>
        <v>50023.852238309773</v>
      </c>
      <c r="L73" s="22">
        <f t="shared" si="63"/>
        <v>49090.932778754614</v>
      </c>
      <c r="M73" s="22">
        <f t="shared" si="63"/>
        <v>48067.877450942236</v>
      </c>
      <c r="N73" s="22">
        <f t="shared" si="63"/>
        <v>47922.095455178787</v>
      </c>
      <c r="O73" s="22">
        <f t="shared" si="63"/>
        <v>49575.843585283277</v>
      </c>
      <c r="P73" s="22">
        <f t="shared" si="63"/>
        <v>50361.313111746611</v>
      </c>
      <c r="Q73" s="22">
        <f t="shared" si="63"/>
        <v>51030.102101321943</v>
      </c>
      <c r="R73" s="22">
        <f t="shared" si="63"/>
        <v>50995.958935395931</v>
      </c>
      <c r="S73" s="22">
        <f t="shared" si="63"/>
        <v>50422.780115455113</v>
      </c>
      <c r="T73" s="22">
        <f t="shared" si="63"/>
        <v>50247.47999648485</v>
      </c>
      <c r="U73" s="22">
        <f t="shared" si="63"/>
        <v>50437.20578900558</v>
      </c>
      <c r="V73" s="22">
        <f t="shared" si="63"/>
        <v>49591.755111070597</v>
      </c>
      <c r="W73" s="22">
        <f t="shared" si="63"/>
        <v>49035.354824128801</v>
      </c>
      <c r="X73" s="22">
        <f t="shared" si="63"/>
        <v>49414.796099460007</v>
      </c>
      <c r="Y73" s="22">
        <f t="shared" si="63"/>
        <v>49267.097795471636</v>
      </c>
      <c r="Z73" s="22">
        <f t="shared" si="63"/>
        <v>50651.342624920959</v>
      </c>
      <c r="AA73" s="22">
        <f t="shared" si="63"/>
        <v>50973.591038492857</v>
      </c>
      <c r="AB73" s="22">
        <f t="shared" si="63"/>
        <v>50458.164059092771</v>
      </c>
      <c r="AC73" s="22">
        <f t="shared" si="63"/>
        <v>50015.072106264684</v>
      </c>
      <c r="AD73" s="22">
        <f t="shared" si="63"/>
        <v>50110.234805430198</v>
      </c>
      <c r="AE73" s="22">
        <f t="shared" si="63"/>
        <v>49879.47357031166</v>
      </c>
      <c r="AF73" s="22">
        <f t="shared" si="63"/>
        <v>49816.343766362683</v>
      </c>
      <c r="AG73" s="22">
        <f t="shared" si="63"/>
        <v>49837.693321354207</v>
      </c>
      <c r="AH73" s="22">
        <f t="shared" si="63"/>
        <v>49552.184012065802</v>
      </c>
      <c r="AI73" s="22">
        <f t="shared" si="63"/>
        <v>49119.041014062772</v>
      </c>
      <c r="AJ73" s="22">
        <f t="shared" si="63"/>
        <v>48506.139935969455</v>
      </c>
      <c r="AK73" s="22">
        <f t="shared" si="63"/>
        <v>48052.087616742072</v>
      </c>
      <c r="AL73" s="22">
        <f t="shared" si="63"/>
        <v>47638.317777423887</v>
      </c>
      <c r="AM73" s="22">
        <f t="shared" si="63"/>
        <v>44281.625141792727</v>
      </c>
      <c r="AN73" s="22">
        <f t="shared" si="63"/>
        <v>44777.603240188735</v>
      </c>
      <c r="AO73" s="22">
        <f t="shared" si="63"/>
        <v>45674.238156273626</v>
      </c>
      <c r="AP73" s="22">
        <f t="shared" si="63"/>
        <v>45945.450168770549</v>
      </c>
      <c r="AQ73" s="22">
        <f t="shared" si="63"/>
        <v>46286.279386350798</v>
      </c>
      <c r="AR73" s="22">
        <f t="shared" si="63"/>
        <v>46723.044131572678</v>
      </c>
      <c r="AS73" s="22">
        <f t="shared" si="63"/>
        <v>47201.97548913426</v>
      </c>
      <c r="AT73" s="22">
        <f t="shared" si="63"/>
        <v>47750.259629439199</v>
      </c>
      <c r="AU73" s="22">
        <f t="shared" si="63"/>
        <v>48306.525795410198</v>
      </c>
      <c r="AV73" s="22">
        <f t="shared" si="63"/>
        <v>48923.083604508647</v>
      </c>
      <c r="AW73" s="22">
        <f t="shared" si="63"/>
        <v>49541.021815280816</v>
      </c>
      <c r="AX73" s="22">
        <f t="shared" si="63"/>
        <v>50047.419961261257</v>
      </c>
      <c r="AY73" s="22">
        <f t="shared" si="63"/>
        <v>50506.858447858001</v>
      </c>
      <c r="AZ73" s="22">
        <f t="shared" si="63"/>
        <v>50990.925862911856</v>
      </c>
      <c r="BA73" s="22">
        <f t="shared" si="63"/>
        <v>51581.397695449181</v>
      </c>
      <c r="BB73" s="22">
        <f t="shared" si="63"/>
        <v>52077.754111662391</v>
      </c>
      <c r="BC73" s="22">
        <f t="shared" si="63"/>
        <v>52594.688043018956</v>
      </c>
      <c r="BD73" s="22">
        <f t="shared" si="63"/>
        <v>53153.727539600775</v>
      </c>
      <c r="BE73" s="22">
        <f t="shared" si="63"/>
        <v>53602.794074740086</v>
      </c>
      <c r="BF73" s="22">
        <f t="shared" si="63"/>
        <v>54011.434569649296</v>
      </c>
      <c r="BG73" s="22">
        <f t="shared" si="63"/>
        <v>54384.722270103346</v>
      </c>
      <c r="BH73" s="22">
        <f t="shared" si="63"/>
        <v>54938.938650428805</v>
      </c>
      <c r="BI73" s="22">
        <f t="shared" si="63"/>
        <v>55422.928989595857</v>
      </c>
      <c r="BJ73" s="22">
        <f t="shared" si="63"/>
        <v>55919.851198068005</v>
      </c>
      <c r="BK73" s="22">
        <f t="shared" si="63"/>
        <v>56433.820427617255</v>
      </c>
      <c r="BL73" s="22">
        <f t="shared" si="63"/>
        <v>56970.926611634524</v>
      </c>
      <c r="BM73" s="22">
        <f t="shared" si="63"/>
        <v>57519.928616708639</v>
      </c>
      <c r="BN73" s="22">
        <f t="shared" si="63"/>
        <v>57204.10518409645</v>
      </c>
      <c r="BO73" s="22">
        <f t="shared" si="63"/>
        <v>56805.840154677426</v>
      </c>
      <c r="BP73" s="22">
        <f t="shared" si="63"/>
        <v>56300.916942057607</v>
      </c>
      <c r="BQ73" s="22">
        <f t="shared" si="63"/>
        <v>55769.630533783464</v>
      </c>
    </row>
    <row r="74" spans="1:75" x14ac:dyDescent="0.3">
      <c r="F74" t="s">
        <v>930</v>
      </c>
      <c r="H74" t="s">
        <v>737</v>
      </c>
      <c r="I74" s="21">
        <v>30363.701489664549</v>
      </c>
      <c r="J74" s="21">
        <v>30620.087433327655</v>
      </c>
      <c r="K74" s="21">
        <v>30019.645292780151</v>
      </c>
      <c r="L74" s="21">
        <v>29126.832767672211</v>
      </c>
      <c r="M74" s="21">
        <v>28220.504029960546</v>
      </c>
      <c r="N74" s="21">
        <v>28658.334296648256</v>
      </c>
      <c r="O74" s="21">
        <v>29216.836454505894</v>
      </c>
      <c r="P74" s="21">
        <v>29686.534877773469</v>
      </c>
      <c r="Q74" s="21">
        <v>30358.840057469566</v>
      </c>
      <c r="R74" s="21">
        <v>30552.5406715998</v>
      </c>
      <c r="S74" s="21">
        <v>30515.456515029604</v>
      </c>
      <c r="T74" s="21">
        <v>30340.133527107813</v>
      </c>
      <c r="U74" s="21">
        <v>29862.347205058868</v>
      </c>
      <c r="V74" s="21">
        <v>28988.455674699828</v>
      </c>
      <c r="W74" s="21">
        <v>28771.73121104404</v>
      </c>
      <c r="X74" s="21">
        <v>28806.676410294196</v>
      </c>
      <c r="Y74" s="21">
        <v>28710.685662648946</v>
      </c>
      <c r="Z74" s="21">
        <v>27953.813125583809</v>
      </c>
      <c r="AA74" s="21">
        <v>29128.465653077492</v>
      </c>
      <c r="AB74" s="21">
        <v>28566.814632287216</v>
      </c>
      <c r="AC74" s="21">
        <v>29466.291233402069</v>
      </c>
      <c r="AD74" s="21">
        <v>29540.386989025857</v>
      </c>
      <c r="AE74" s="21">
        <v>28765.723679034749</v>
      </c>
      <c r="AF74" s="21">
        <v>29976.162007053368</v>
      </c>
      <c r="AG74" s="21">
        <v>29854.259774176113</v>
      </c>
      <c r="AH74" s="21">
        <v>29764.794009191111</v>
      </c>
      <c r="AI74" s="21">
        <v>28493.468307353363</v>
      </c>
      <c r="AJ74" s="21">
        <v>28161.291437902692</v>
      </c>
    </row>
    <row r="75" spans="1:75" x14ac:dyDescent="0.3">
      <c r="F75" t="s">
        <v>930</v>
      </c>
      <c r="H75" t="s">
        <v>739</v>
      </c>
      <c r="I75" s="21">
        <v>23966.513245185564</v>
      </c>
      <c r="J75" s="21">
        <v>25488.169557235855</v>
      </c>
      <c r="K75" s="21">
        <v>24918.03927597345</v>
      </c>
      <c r="L75" s="21">
        <v>24848.327264592699</v>
      </c>
      <c r="M75" s="21">
        <v>24505.816851306721</v>
      </c>
      <c r="N75" s="21">
        <v>24432.14794095813</v>
      </c>
      <c r="O75" s="21">
        <v>25202.904527562976</v>
      </c>
      <c r="P75" s="21">
        <v>25504.378529824888</v>
      </c>
      <c r="Q75" s="21">
        <v>25890.467620410676</v>
      </c>
      <c r="R75" s="21">
        <v>25983.786939397698</v>
      </c>
      <c r="S75" s="21">
        <v>25868.394067579684</v>
      </c>
      <c r="T75" s="21">
        <v>26002.535902574971</v>
      </c>
      <c r="U75" s="21">
        <v>26531.007410409438</v>
      </c>
      <c r="V75" s="21">
        <v>24775.301428664814</v>
      </c>
      <c r="W75" s="21">
        <v>24381.007267856174</v>
      </c>
      <c r="X75" s="21">
        <v>24606.540158008142</v>
      </c>
      <c r="Y75" s="21">
        <v>24681.528992201023</v>
      </c>
      <c r="Z75" s="21">
        <v>24370.637912824339</v>
      </c>
      <c r="AA75" s="21">
        <v>25360.261324110521</v>
      </c>
      <c r="AB75" s="21">
        <v>24580.116845224002</v>
      </c>
      <c r="AC75" s="21">
        <v>25130.517014652847</v>
      </c>
      <c r="AD75" s="21">
        <v>25304.85592670933</v>
      </c>
      <c r="AE75" s="21">
        <v>24407.03698205229</v>
      </c>
      <c r="AF75" s="21">
        <v>25679.803908205235</v>
      </c>
      <c r="AG75" s="21">
        <v>25935.14594405461</v>
      </c>
      <c r="AH75" s="21">
        <v>24944.276967369409</v>
      </c>
      <c r="AI75" s="21">
        <v>23249.801068831042</v>
      </c>
      <c r="AJ75" s="21">
        <v>23515.861940250066</v>
      </c>
    </row>
    <row r="76" spans="1:75" x14ac:dyDescent="0.3">
      <c r="F76" t="s">
        <v>930</v>
      </c>
      <c r="H76" t="s">
        <v>936</v>
      </c>
      <c r="I76" s="21">
        <f>SUM(I74:I75)</f>
        <v>54330.214734850117</v>
      </c>
      <c r="J76" s="21">
        <f t="shared" ref="J76:AJ76" si="64">SUM(J74:J75)</f>
        <v>56108.25699056351</v>
      </c>
      <c r="K76" s="21">
        <f t="shared" si="64"/>
        <v>54937.684568753597</v>
      </c>
      <c r="L76" s="21">
        <f t="shared" si="64"/>
        <v>53975.16003226491</v>
      </c>
      <c r="M76" s="21">
        <f t="shared" si="64"/>
        <v>52726.320881267267</v>
      </c>
      <c r="N76" s="21">
        <f t="shared" si="64"/>
        <v>53090.482237606382</v>
      </c>
      <c r="O76" s="21">
        <f t="shared" si="64"/>
        <v>54419.74098206887</v>
      </c>
      <c r="P76" s="21">
        <f t="shared" si="64"/>
        <v>55190.91340759836</v>
      </c>
      <c r="Q76" s="21">
        <f t="shared" si="64"/>
        <v>56249.307677880242</v>
      </c>
      <c r="R76" s="21">
        <f t="shared" si="64"/>
        <v>56536.327610997498</v>
      </c>
      <c r="S76" s="21">
        <f t="shared" si="64"/>
        <v>56383.850582609288</v>
      </c>
      <c r="T76" s="21">
        <f t="shared" si="64"/>
        <v>56342.669429682785</v>
      </c>
      <c r="U76" s="21">
        <f t="shared" si="64"/>
        <v>56393.354615468306</v>
      </c>
      <c r="V76" s="21">
        <f t="shared" si="64"/>
        <v>53763.757103364638</v>
      </c>
      <c r="W76" s="21">
        <f t="shared" si="64"/>
        <v>53152.73847890021</v>
      </c>
      <c r="X76" s="21">
        <f t="shared" si="64"/>
        <v>53413.216568302334</v>
      </c>
      <c r="Y76" s="21">
        <f t="shared" si="64"/>
        <v>53392.214654849973</v>
      </c>
      <c r="Z76" s="21">
        <f t="shared" si="64"/>
        <v>52324.451038408151</v>
      </c>
      <c r="AA76" s="21">
        <f t="shared" si="64"/>
        <v>54488.726977188009</v>
      </c>
      <c r="AB76" s="21">
        <f t="shared" si="64"/>
        <v>53146.931477511214</v>
      </c>
      <c r="AC76" s="21">
        <f t="shared" si="64"/>
        <v>54596.80824805492</v>
      </c>
      <c r="AD76" s="21">
        <f t="shared" si="64"/>
        <v>54845.242915735187</v>
      </c>
      <c r="AE76" s="21">
        <f t="shared" si="64"/>
        <v>53172.760661087043</v>
      </c>
      <c r="AF76" s="21">
        <f t="shared" si="64"/>
        <v>55655.965915258603</v>
      </c>
      <c r="AG76" s="21">
        <f t="shared" si="64"/>
        <v>55789.405718230722</v>
      </c>
      <c r="AH76" s="21">
        <f t="shared" si="64"/>
        <v>54709.070976560521</v>
      </c>
      <c r="AI76" s="21">
        <f t="shared" si="64"/>
        <v>51743.269376184406</v>
      </c>
      <c r="AJ76" s="21">
        <f t="shared" si="64"/>
        <v>51677.153378152754</v>
      </c>
    </row>
    <row r="77" spans="1:75" x14ac:dyDescent="0.3">
      <c r="F77" t="s">
        <v>929</v>
      </c>
      <c r="H77" t="s">
        <v>931</v>
      </c>
      <c r="I77" s="21">
        <v>28841.456935165024</v>
      </c>
      <c r="J77" s="21">
        <v>28874.617245415291</v>
      </c>
      <c r="K77" s="21">
        <v>28503.853708721526</v>
      </c>
      <c r="L77" s="21">
        <v>27532.104557575753</v>
      </c>
      <c r="M77" s="21">
        <v>26764.22321356984</v>
      </c>
      <c r="N77" s="21">
        <v>27088.29125785478</v>
      </c>
      <c r="O77" s="21">
        <v>27651.842000083903</v>
      </c>
      <c r="P77" s="21">
        <v>28174.583312846415</v>
      </c>
      <c r="Q77" s="21">
        <v>28871.518161673943</v>
      </c>
      <c r="R77" s="21">
        <v>29040.146748956548</v>
      </c>
      <c r="S77" s="21">
        <v>28604.298593734209</v>
      </c>
      <c r="T77" s="21">
        <v>28439.006817138674</v>
      </c>
      <c r="U77" s="21">
        <v>28158.262684927948</v>
      </c>
      <c r="V77" s="21">
        <v>27538.048485484789</v>
      </c>
      <c r="W77" s="21">
        <v>27384.26705791508</v>
      </c>
      <c r="X77" s="21">
        <v>27326.584253461606</v>
      </c>
      <c r="Y77" s="21">
        <v>27258.009133790336</v>
      </c>
      <c r="Z77" s="21">
        <v>26600.052385004816</v>
      </c>
      <c r="AA77" s="21">
        <v>27439.669575781179</v>
      </c>
      <c r="AB77" s="21">
        <v>26868.002037732236</v>
      </c>
      <c r="AC77" s="21">
        <v>27664.377940114457</v>
      </c>
      <c r="AD77" s="21">
        <v>27801.534910949355</v>
      </c>
      <c r="AE77" s="21">
        <v>27190.794316586092</v>
      </c>
      <c r="AF77" s="21">
        <v>28125.443821791141</v>
      </c>
      <c r="AG77" s="21">
        <v>28132.073619111641</v>
      </c>
      <c r="AH77" s="21">
        <v>28022.596440230893</v>
      </c>
      <c r="AI77" s="21">
        <v>26770.512864029439</v>
      </c>
      <c r="AJ77" s="21">
        <v>26272.330661039257</v>
      </c>
    </row>
    <row r="78" spans="1:75" x14ac:dyDescent="0.3">
      <c r="F78" t="s">
        <v>929</v>
      </c>
      <c r="H78" t="s">
        <v>932</v>
      </c>
      <c r="I78" s="21">
        <v>23017.116995923152</v>
      </c>
      <c r="J78" s="21">
        <v>24357.943795318199</v>
      </c>
      <c r="K78" s="21">
        <v>23923.781404274614</v>
      </c>
      <c r="L78" s="21">
        <v>23808.52866974326</v>
      </c>
      <c r="M78" s="21">
        <v>23548.815692626868</v>
      </c>
      <c r="N78" s="21">
        <v>23406.439056039562</v>
      </c>
      <c r="O78" s="21">
        <v>24181.443878145627</v>
      </c>
      <c r="P78" s="21">
        <v>24510.581335681734</v>
      </c>
      <c r="Q78" s="21">
        <v>24916.730028994498</v>
      </c>
      <c r="R78" s="21">
        <v>24998.953710091639</v>
      </c>
      <c r="S78" s="21">
        <v>24625.134604822408</v>
      </c>
      <c r="T78" s="21">
        <v>24764.073774517499</v>
      </c>
      <c r="U78" s="21">
        <v>25420.639847835555</v>
      </c>
      <c r="V78" s="21">
        <v>23846.988468835058</v>
      </c>
      <c r="W78" s="21">
        <v>23504.925758751408</v>
      </c>
      <c r="X78" s="21">
        <v>23672.708379593492</v>
      </c>
      <c r="Y78" s="21">
        <v>23765.786841217523</v>
      </c>
      <c r="Z78" s="21">
        <v>23512.70116086525</v>
      </c>
      <c r="AA78" s="21">
        <v>24252.381704460829</v>
      </c>
      <c r="AB78" s="21">
        <v>23516.503660101647</v>
      </c>
      <c r="AC78" s="21">
        <v>23986.77417374069</v>
      </c>
      <c r="AD78" s="21">
        <v>24215.606096707954</v>
      </c>
      <c r="AE78" s="21">
        <v>23466.796841445379</v>
      </c>
      <c r="AF78" s="21">
        <v>24452.726550481024</v>
      </c>
      <c r="AG78" s="21">
        <v>24798.187695034216</v>
      </c>
      <c r="AH78" s="21">
        <v>23781.729632572271</v>
      </c>
      <c r="AI78" s="21">
        <v>22214.078479972708</v>
      </c>
      <c r="AJ78" s="21">
        <v>22369.490596120992</v>
      </c>
    </row>
    <row r="79" spans="1:75" x14ac:dyDescent="0.3">
      <c r="F79" t="s">
        <v>929</v>
      </c>
      <c r="H79" t="s">
        <v>933</v>
      </c>
      <c r="I79" s="21">
        <v>51858.573931088176</v>
      </c>
      <c r="J79" s="21">
        <v>53232.56104073349</v>
      </c>
      <c r="K79" s="21">
        <v>52427.63511299614</v>
      </c>
      <c r="L79" s="21">
        <v>51340.633227319013</v>
      </c>
      <c r="M79" s="21">
        <v>50313.038906196707</v>
      </c>
      <c r="N79" s="21">
        <v>50494.730313894339</v>
      </c>
      <c r="O79" s="21">
        <v>51833.28587822953</v>
      </c>
      <c r="P79" s="21">
        <v>52685.164648528153</v>
      </c>
      <c r="Q79" s="21">
        <v>53788.248190668441</v>
      </c>
      <c r="R79" s="21">
        <v>54039.10045904819</v>
      </c>
      <c r="S79" s="21">
        <v>53229.433198556617</v>
      </c>
      <c r="T79" s="21">
        <v>53203.080591656173</v>
      </c>
      <c r="U79" s="21">
        <v>53578.902532763503</v>
      </c>
      <c r="V79" s="21">
        <v>51385.036954319847</v>
      </c>
      <c r="W79" s="21">
        <v>50889.192816666487</v>
      </c>
      <c r="X79" s="21">
        <v>50999.292633055098</v>
      </c>
      <c r="Y79" s="21">
        <v>51023.795975007859</v>
      </c>
      <c r="Z79" s="21">
        <v>50112.753545870066</v>
      </c>
      <c r="AA79" s="21">
        <v>51692.051280242013</v>
      </c>
      <c r="AB79" s="21">
        <v>50384.505697833883</v>
      </c>
      <c r="AC79" s="21">
        <v>51651.152113855147</v>
      </c>
      <c r="AD79" s="21">
        <v>52017.141007657308</v>
      </c>
      <c r="AE79" s="21">
        <v>50657.591158031471</v>
      </c>
      <c r="AF79" s="21">
        <v>52578.170372272165</v>
      </c>
      <c r="AG79" s="21">
        <v>52930.261314145857</v>
      </c>
      <c r="AH79" s="21">
        <v>51804.32607280316</v>
      </c>
      <c r="AI79" s="21">
        <v>48984.591344002147</v>
      </c>
      <c r="AJ79" s="21">
        <v>48641.821257160249</v>
      </c>
    </row>
    <row r="80" spans="1:75" x14ac:dyDescent="0.3">
      <c r="H80" t="s">
        <v>727</v>
      </c>
      <c r="I80" s="49">
        <f>(I73-I76)/I76</f>
        <v>-6.4045440840285739E-2</v>
      </c>
      <c r="J80" s="49">
        <f t="shared" ref="J80:AJ80" si="65">(J73-J76)/J76</f>
        <v>-9.4363292067637106E-2</v>
      </c>
      <c r="K80" s="49">
        <f t="shared" si="65"/>
        <v>-8.9443746474139149E-2</v>
      </c>
      <c r="L80" s="49">
        <f t="shared" si="65"/>
        <v>-9.0490278316741182E-2</v>
      </c>
      <c r="M80" s="49">
        <f t="shared" si="65"/>
        <v>-8.8351384137255323E-2</v>
      </c>
      <c r="N80" s="49">
        <f t="shared" si="65"/>
        <v>-9.7350533741556292E-2</v>
      </c>
      <c r="O80" s="49">
        <f t="shared" si="65"/>
        <v>-8.9009931127412775E-2</v>
      </c>
      <c r="P80" s="49">
        <f t="shared" si="65"/>
        <v>-8.7507163727912465E-2</v>
      </c>
      <c r="Q80" s="49">
        <f t="shared" si="65"/>
        <v>-9.2787018934469931E-2</v>
      </c>
      <c r="R80" s="49">
        <f t="shared" si="65"/>
        <v>-9.799661403058392E-2</v>
      </c>
      <c r="S80" s="49">
        <f t="shared" si="65"/>
        <v>-0.10572301120904243</v>
      </c>
      <c r="T80" s="49">
        <f t="shared" si="65"/>
        <v>-0.10818070025604484</v>
      </c>
      <c r="U80" s="49">
        <f t="shared" si="65"/>
        <v>-0.10561792018006667</v>
      </c>
      <c r="V80" s="49">
        <f t="shared" si="65"/>
        <v>-7.7598780611129375E-2</v>
      </c>
      <c r="W80" s="49">
        <f t="shared" si="65"/>
        <v>-7.7463245970024047E-2</v>
      </c>
      <c r="X80" s="49">
        <f t="shared" si="65"/>
        <v>-7.4858260290865147E-2</v>
      </c>
      <c r="Y80" s="49">
        <f t="shared" si="65"/>
        <v>-7.7260643448578595E-2</v>
      </c>
      <c r="Z80" s="49">
        <f t="shared" si="65"/>
        <v>-3.1975651541170817E-2</v>
      </c>
      <c r="AA80" s="49">
        <f t="shared" si="65"/>
        <v>-6.4511250926577557E-2</v>
      </c>
      <c r="AB80" s="49">
        <f t="shared" si="65"/>
        <v>-5.0591207124651746E-2</v>
      </c>
      <c r="AC80" s="49">
        <f t="shared" si="65"/>
        <v>-8.3919487032531173E-2</v>
      </c>
      <c r="AD80" s="49">
        <f t="shared" si="65"/>
        <v>-8.6333980097050636E-2</v>
      </c>
      <c r="AE80" s="49">
        <f t="shared" si="65"/>
        <v>-6.1935604806494085E-2</v>
      </c>
      <c r="AF80" s="49">
        <f t="shared" si="65"/>
        <v>-0.10492356125464231</v>
      </c>
      <c r="AG80" s="49">
        <f t="shared" si="65"/>
        <v>-0.10668176726843372</v>
      </c>
      <c r="AH80" s="49">
        <f t="shared" si="65"/>
        <v>-9.4260181583125921E-2</v>
      </c>
      <c r="AI80" s="49">
        <f t="shared" si="65"/>
        <v>-5.071632298769032E-2</v>
      </c>
      <c r="AJ80" s="49">
        <f t="shared" si="65"/>
        <v>-6.1361999160036741E-2</v>
      </c>
    </row>
    <row r="113" spans="1:75" s="19" customFormat="1" ht="15.6" x14ac:dyDescent="0.3">
      <c r="A113" s="97"/>
      <c r="B113" s="97"/>
      <c r="C113" s="97"/>
      <c r="D113" s="17" t="s">
        <v>716</v>
      </c>
      <c r="E113" s="17"/>
      <c r="F113" s="17"/>
      <c r="G113" s="17"/>
      <c r="H113" s="17"/>
      <c r="I113" s="17">
        <v>1990</v>
      </c>
      <c r="J113" s="17">
        <v>1991</v>
      </c>
      <c r="K113" s="17">
        <v>1992</v>
      </c>
      <c r="L113" s="17">
        <v>1993</v>
      </c>
      <c r="M113" s="17">
        <v>1994</v>
      </c>
      <c r="N113" s="17">
        <v>1995</v>
      </c>
      <c r="O113" s="17">
        <v>1996</v>
      </c>
      <c r="P113" s="17">
        <v>1997</v>
      </c>
      <c r="Q113" s="17">
        <v>1998</v>
      </c>
      <c r="R113" s="17">
        <v>1999</v>
      </c>
      <c r="S113" s="17">
        <v>2000</v>
      </c>
      <c r="T113" s="17">
        <v>2001</v>
      </c>
      <c r="U113" s="17">
        <v>2002</v>
      </c>
      <c r="V113" s="17">
        <v>2003</v>
      </c>
      <c r="W113" s="17">
        <v>2004</v>
      </c>
      <c r="X113" s="17">
        <v>2005</v>
      </c>
      <c r="Y113" s="17">
        <v>2006</v>
      </c>
      <c r="Z113" s="17">
        <v>2007</v>
      </c>
      <c r="AA113" s="17">
        <v>2008</v>
      </c>
      <c r="AB113" s="17">
        <v>2009</v>
      </c>
      <c r="AC113" s="17">
        <v>2010</v>
      </c>
      <c r="AD113" s="17">
        <v>2011</v>
      </c>
      <c r="AE113" s="17">
        <v>2012</v>
      </c>
      <c r="AF113" s="17">
        <v>2013</v>
      </c>
      <c r="AG113" s="17">
        <v>2014</v>
      </c>
      <c r="AH113" s="17">
        <v>2015</v>
      </c>
      <c r="AI113" s="17">
        <v>2016</v>
      </c>
      <c r="AJ113" s="17">
        <v>2017</v>
      </c>
      <c r="AK113" s="17">
        <v>2018</v>
      </c>
      <c r="AL113" s="17">
        <v>2019</v>
      </c>
      <c r="AM113" s="17">
        <v>2020</v>
      </c>
      <c r="AN113" s="17">
        <v>2021</v>
      </c>
      <c r="AO113" s="17">
        <v>2022</v>
      </c>
      <c r="AP113" s="17">
        <v>2023</v>
      </c>
      <c r="AQ113" s="17">
        <v>2024</v>
      </c>
      <c r="AR113" s="17">
        <v>2025</v>
      </c>
      <c r="AS113" s="17">
        <v>2026</v>
      </c>
      <c r="AT113" s="17">
        <v>2027</v>
      </c>
      <c r="AU113" s="17">
        <v>2028</v>
      </c>
      <c r="AV113" s="17">
        <v>2029</v>
      </c>
      <c r="AW113" s="17">
        <v>2030</v>
      </c>
      <c r="AX113" s="17">
        <v>2031</v>
      </c>
      <c r="AY113" s="17">
        <v>2032</v>
      </c>
      <c r="AZ113" s="17">
        <v>2033</v>
      </c>
      <c r="BA113" s="17">
        <v>2034</v>
      </c>
      <c r="BB113" s="17">
        <v>2035</v>
      </c>
      <c r="BC113" s="17">
        <v>2036</v>
      </c>
      <c r="BD113" s="17">
        <v>2037</v>
      </c>
      <c r="BE113" s="17">
        <v>2038</v>
      </c>
      <c r="BF113" s="17">
        <v>2039</v>
      </c>
      <c r="BG113" s="17">
        <v>2040</v>
      </c>
      <c r="BH113" s="17">
        <v>2041</v>
      </c>
      <c r="BI113" s="17">
        <v>2042</v>
      </c>
      <c r="BJ113" s="17">
        <v>2043</v>
      </c>
      <c r="BK113" s="17">
        <v>2044</v>
      </c>
      <c r="BL113" s="17">
        <v>2045</v>
      </c>
      <c r="BM113" s="17">
        <v>2046</v>
      </c>
      <c r="BN113" s="17">
        <v>2047</v>
      </c>
      <c r="BO113" s="17">
        <v>2048</v>
      </c>
      <c r="BP113" s="17">
        <v>2049</v>
      </c>
      <c r="BQ113" s="17">
        <v>2050</v>
      </c>
      <c r="BR113" s="17"/>
      <c r="BS113" s="17"/>
      <c r="BT113" s="17"/>
      <c r="BU113" s="17"/>
      <c r="BV113" s="17"/>
      <c r="BW113" s="17"/>
    </row>
    <row r="114" spans="1:75" x14ac:dyDescent="0.3">
      <c r="H114" t="s">
        <v>634</v>
      </c>
      <c r="I114" s="22">
        <v>1113.9523335609101</v>
      </c>
      <c r="J114" s="22">
        <v>1113.9523335609101</v>
      </c>
      <c r="K114" s="22">
        <v>1113.9523335609101</v>
      </c>
      <c r="L114" s="22">
        <v>1113.9523335609101</v>
      </c>
      <c r="M114" s="22">
        <v>1113.9523335609101</v>
      </c>
      <c r="N114" s="22">
        <v>1113.9523335609101</v>
      </c>
      <c r="O114" s="22">
        <v>1113.9523335609101</v>
      </c>
      <c r="P114" s="22">
        <v>1113.9523335609101</v>
      </c>
      <c r="Q114" s="22">
        <v>1113.9523335609101</v>
      </c>
      <c r="R114" s="22">
        <v>1113.9523335609101</v>
      </c>
      <c r="S114" s="22">
        <v>1103.4776992955053</v>
      </c>
      <c r="T114" s="22">
        <v>1282.5517441798665</v>
      </c>
      <c r="U114" s="22">
        <v>1288.9176046937982</v>
      </c>
      <c r="V114" s="22">
        <v>1011.4345809085878</v>
      </c>
      <c r="W114" s="22">
        <v>883.38003872679235</v>
      </c>
      <c r="X114" s="22">
        <v>1412.334298727088</v>
      </c>
      <c r="Y114" s="22">
        <v>1236.8838978672777</v>
      </c>
      <c r="Z114" s="22">
        <v>1218.5771221263838</v>
      </c>
      <c r="AA114" s="22">
        <v>1139.8644942847</v>
      </c>
      <c r="AB114" s="22">
        <v>1078.8713756473658</v>
      </c>
      <c r="AC114" s="22">
        <v>1107.055106514</v>
      </c>
      <c r="AD114" s="22">
        <v>1093.3943713178221</v>
      </c>
      <c r="AE114" s="22">
        <v>1003.5637069444559</v>
      </c>
      <c r="AF114" s="22">
        <v>949.58031288518987</v>
      </c>
      <c r="AG114" s="22">
        <v>1016.956735075512</v>
      </c>
      <c r="AH114" s="22">
        <v>737.86776841461585</v>
      </c>
      <c r="AI114" s="22">
        <v>446.18919850209591</v>
      </c>
      <c r="AJ114" s="22">
        <v>416.70692080806589</v>
      </c>
      <c r="AK114" s="22">
        <v>953.41633153144642</v>
      </c>
      <c r="AL114" s="22">
        <v>949.15511278249028</v>
      </c>
      <c r="AM114" s="22">
        <v>936.84581085219077</v>
      </c>
      <c r="AN114" s="22">
        <v>923.04801254060374</v>
      </c>
      <c r="AO114" s="22">
        <v>923.83086633988489</v>
      </c>
      <c r="AP114" s="22">
        <v>927.35133953171032</v>
      </c>
      <c r="AQ114" s="22">
        <v>905.10328771083891</v>
      </c>
      <c r="AR114" s="22">
        <v>888.09961309554592</v>
      </c>
      <c r="AS114" s="22">
        <v>872.75163677437502</v>
      </c>
      <c r="AT114" s="22">
        <v>857.75800408852626</v>
      </c>
      <c r="AU114" s="22">
        <v>850.61092272546864</v>
      </c>
      <c r="AV114" s="22">
        <v>840.04010457174638</v>
      </c>
      <c r="AW114" s="22">
        <v>828.99691103493274</v>
      </c>
      <c r="AX114" s="22">
        <v>823.86011211605364</v>
      </c>
      <c r="AY114" s="22">
        <v>820.57662159257097</v>
      </c>
      <c r="AZ114" s="22">
        <v>817.40761700308474</v>
      </c>
      <c r="BA114" s="22">
        <v>825.66666083675238</v>
      </c>
      <c r="BB114" s="22">
        <v>847.83925712437895</v>
      </c>
      <c r="BC114" s="22">
        <v>872.92498755693396</v>
      </c>
      <c r="BD114" s="22">
        <v>868.57139706063037</v>
      </c>
      <c r="BE114" s="22">
        <v>864.20568430768526</v>
      </c>
      <c r="BF114" s="22">
        <v>860.27723737280223</v>
      </c>
      <c r="BG114" s="22">
        <v>856.87697424917883</v>
      </c>
      <c r="BH114" s="22">
        <v>853.2172938983382</v>
      </c>
      <c r="BI114" s="22">
        <v>849.16257657644303</v>
      </c>
      <c r="BJ114" s="22">
        <v>846.10063420939923</v>
      </c>
      <c r="BK114" s="22">
        <v>843.78828540199515</v>
      </c>
      <c r="BL114" s="22">
        <v>842.18087202380002</v>
      </c>
      <c r="BM114" s="22">
        <v>841.31426607401693</v>
      </c>
      <c r="BN114" s="22">
        <v>840.76910455168797</v>
      </c>
      <c r="BO114" s="22">
        <v>840.78400975380032</v>
      </c>
      <c r="BP114" s="22">
        <v>841.40450616562623</v>
      </c>
      <c r="BQ114" s="22">
        <v>842.3577371508793</v>
      </c>
    </row>
    <row r="115" spans="1:75" x14ac:dyDescent="0.3">
      <c r="H115" t="s">
        <v>635</v>
      </c>
      <c r="I115" s="22">
        <v>1149.3522600947301</v>
      </c>
      <c r="J115" s="22">
        <v>1149.3522600947301</v>
      </c>
      <c r="K115" s="22">
        <v>1149.3522600947301</v>
      </c>
      <c r="L115" s="22">
        <v>1149.3522600947301</v>
      </c>
      <c r="M115" s="22">
        <v>1149.3522600947301</v>
      </c>
      <c r="N115" s="22">
        <v>1149.3522600947301</v>
      </c>
      <c r="O115" s="22">
        <v>1149.3522600947301</v>
      </c>
      <c r="P115" s="22">
        <v>1149.3522600947301</v>
      </c>
      <c r="Q115" s="22">
        <v>1149.3522600947301</v>
      </c>
      <c r="R115" s="22">
        <v>1149.3522600947301</v>
      </c>
      <c r="S115" s="22">
        <v>1138.2881924240246</v>
      </c>
      <c r="T115" s="22">
        <v>1347.8625366593228</v>
      </c>
      <c r="U115" s="22">
        <v>1328.3690110437451</v>
      </c>
      <c r="V115" s="22">
        <v>1017.5651134275211</v>
      </c>
      <c r="W115" s="22">
        <v>914.67644691903695</v>
      </c>
      <c r="X115" s="22">
        <v>1447.9112474339306</v>
      </c>
      <c r="Y115" s="22">
        <v>1263.4019893034997</v>
      </c>
      <c r="Z115" s="22">
        <v>1217.4357899565925</v>
      </c>
      <c r="AA115" s="22">
        <v>1180.1818937292605</v>
      </c>
      <c r="AB115" s="22">
        <v>1108.1395844539597</v>
      </c>
      <c r="AC115" s="22">
        <v>1121.7567904983002</v>
      </c>
      <c r="AD115" s="22">
        <v>1111.0832034573957</v>
      </c>
      <c r="AE115" s="22">
        <v>1002.2217969563279</v>
      </c>
      <c r="AF115" s="22">
        <v>980.55948658247996</v>
      </c>
      <c r="AG115" s="22">
        <v>1029.1314860411758</v>
      </c>
      <c r="AH115" s="22">
        <v>747.9095108761079</v>
      </c>
      <c r="AI115" s="22">
        <v>434.96704823788798</v>
      </c>
      <c r="AJ115" s="22">
        <v>408.31943255002801</v>
      </c>
      <c r="AK115" s="22">
        <v>989.03967398644897</v>
      </c>
      <c r="AL115" s="22">
        <v>983.28512705702065</v>
      </c>
      <c r="AM115" s="22">
        <v>967.27577435076694</v>
      </c>
      <c r="AN115" s="22">
        <v>951.32589869564811</v>
      </c>
      <c r="AO115" s="22">
        <v>951.82222399409432</v>
      </c>
      <c r="AP115" s="22">
        <v>954.41954409596531</v>
      </c>
      <c r="AQ115" s="22">
        <v>930.44926853734853</v>
      </c>
      <c r="AR115" s="22">
        <v>912.78960790996337</v>
      </c>
      <c r="AS115" s="22">
        <v>898.22919868546933</v>
      </c>
      <c r="AT115" s="22">
        <v>882.09325874190063</v>
      </c>
      <c r="AU115" s="22">
        <v>873.40235457932522</v>
      </c>
      <c r="AV115" s="22">
        <v>862.31073006877352</v>
      </c>
      <c r="AW115" s="22">
        <v>850.85907023504603</v>
      </c>
      <c r="AX115" s="22">
        <v>845.85323510737715</v>
      </c>
      <c r="AY115" s="22">
        <v>841.5016547924979</v>
      </c>
      <c r="AZ115" s="22">
        <v>837.08693229819619</v>
      </c>
      <c r="BA115" s="22">
        <v>844.96547356760379</v>
      </c>
      <c r="BB115" s="22">
        <v>868.20013695114835</v>
      </c>
      <c r="BC115" s="22">
        <v>894.24675120583186</v>
      </c>
      <c r="BD115" s="22">
        <v>889.12106883561182</v>
      </c>
      <c r="BE115" s="22">
        <v>884.02389968930368</v>
      </c>
      <c r="BF115" s="22">
        <v>879.52937488119107</v>
      </c>
      <c r="BG115" s="22">
        <v>875.64808458729772</v>
      </c>
      <c r="BH115" s="22">
        <v>871.49158854939481</v>
      </c>
      <c r="BI115" s="22">
        <v>866.96291161788429</v>
      </c>
      <c r="BJ115" s="22">
        <v>863.4900838991623</v>
      </c>
      <c r="BK115" s="22">
        <v>860.78270440740164</v>
      </c>
      <c r="BL115" s="22">
        <v>858.70396634124506</v>
      </c>
      <c r="BM115" s="22">
        <v>857.40507988521222</v>
      </c>
      <c r="BN115" s="22">
        <v>856.48577373147191</v>
      </c>
      <c r="BO115" s="22">
        <v>856.13590414360988</v>
      </c>
      <c r="BP115" s="22">
        <v>856.39584520938138</v>
      </c>
      <c r="BQ115" s="22">
        <v>856.95995783585226</v>
      </c>
    </row>
    <row r="116" spans="1:75" x14ac:dyDescent="0.3">
      <c r="H116" t="s">
        <v>113</v>
      </c>
      <c r="I116" s="22">
        <v>357.5</v>
      </c>
      <c r="J116" s="22">
        <v>378.125</v>
      </c>
      <c r="K116" s="22">
        <v>261.25</v>
      </c>
      <c r="L116" s="22">
        <v>412.5</v>
      </c>
      <c r="M116" s="22">
        <v>595.58170833333327</v>
      </c>
      <c r="N116" s="22">
        <v>473.34145833333332</v>
      </c>
      <c r="O116" s="22">
        <v>579.13625000000002</v>
      </c>
      <c r="P116" s="22">
        <v>547.24312499999996</v>
      </c>
      <c r="Q116" s="22">
        <v>570.31379166666659</v>
      </c>
      <c r="R116" s="22">
        <v>567.03808333333325</v>
      </c>
      <c r="S116" s="22">
        <v>378.2405</v>
      </c>
      <c r="T116" s="22">
        <v>489.66362500000002</v>
      </c>
      <c r="U116" s="22">
        <v>672.79437500000006</v>
      </c>
      <c r="V116" s="22">
        <v>580.13175000000001</v>
      </c>
      <c r="W116" s="22">
        <v>579.7403333333333</v>
      </c>
      <c r="X116" s="22">
        <v>266.03683333333333</v>
      </c>
      <c r="Y116" s="22">
        <v>441.42908333333332</v>
      </c>
      <c r="Z116" s="22">
        <v>521.42108333333329</v>
      </c>
      <c r="AA116" s="22">
        <v>655.32637499999998</v>
      </c>
      <c r="AB116" s="22">
        <v>695.56775237855516</v>
      </c>
      <c r="AC116" s="22">
        <v>653.23730656422072</v>
      </c>
      <c r="AD116" s="22">
        <v>722.61220387104663</v>
      </c>
      <c r="AE116" s="22">
        <v>829.6141641239476</v>
      </c>
      <c r="AF116" s="22">
        <v>749.65665536353811</v>
      </c>
      <c r="AG116" s="22">
        <v>773.17356970483502</v>
      </c>
      <c r="AH116" s="22">
        <v>780.22864400722403</v>
      </c>
      <c r="AI116" s="22">
        <v>982.47410734237747</v>
      </c>
      <c r="AJ116" s="22">
        <v>1218.2311736138793</v>
      </c>
      <c r="AK116" s="22">
        <v>811.87988683203434</v>
      </c>
      <c r="AL116" s="22">
        <v>828.16067939806783</v>
      </c>
      <c r="AM116" s="22">
        <v>843.63256429682531</v>
      </c>
      <c r="AN116" s="22">
        <v>859.17385233712901</v>
      </c>
      <c r="AO116" s="22">
        <v>874.71514028200966</v>
      </c>
      <c r="AP116" s="22">
        <v>890.25642822689031</v>
      </c>
      <c r="AQ116" s="22">
        <v>905.79771617177096</v>
      </c>
      <c r="AR116" s="22">
        <v>921.33900421207466</v>
      </c>
      <c r="AS116" s="22">
        <v>937.31140020964233</v>
      </c>
      <c r="AT116" s="22">
        <v>953.28379620720989</v>
      </c>
      <c r="AU116" s="22">
        <v>969.25619220477756</v>
      </c>
      <c r="AV116" s="22">
        <v>985.22858820234535</v>
      </c>
      <c r="AW116" s="22">
        <v>1001.2009841999131</v>
      </c>
      <c r="AX116" s="22">
        <v>1016.9832349872023</v>
      </c>
      <c r="AY116" s="22">
        <v>1032.7654856790691</v>
      </c>
      <c r="AZ116" s="22">
        <v>1048.5477364663586</v>
      </c>
      <c r="BA116" s="22">
        <v>1064.3299871582253</v>
      </c>
      <c r="BB116" s="22">
        <v>1080.1122378500922</v>
      </c>
      <c r="BC116" s="22">
        <v>1096.1072036429516</v>
      </c>
      <c r="BD116" s="22">
        <v>1112.1021694358108</v>
      </c>
      <c r="BE116" s="22">
        <v>1128.0971351332469</v>
      </c>
      <c r="BF116" s="22">
        <v>1144.092100926106</v>
      </c>
      <c r="BG116" s="22">
        <v>1160.0870667189654</v>
      </c>
      <c r="BH116" s="22">
        <v>1176.8778874608386</v>
      </c>
      <c r="BI116" s="22">
        <v>1193.6687081072885</v>
      </c>
      <c r="BJ116" s="22">
        <v>1210.4595288491616</v>
      </c>
      <c r="BK116" s="22">
        <v>1227.2503495910348</v>
      </c>
      <c r="BL116" s="22">
        <v>1244.0411703329078</v>
      </c>
      <c r="BM116" s="22">
        <v>1260.6054327894071</v>
      </c>
      <c r="BN116" s="22">
        <v>1277.169695245907</v>
      </c>
      <c r="BO116" s="22">
        <v>1293.7339577978294</v>
      </c>
      <c r="BP116" s="22">
        <v>1310.2982202543287</v>
      </c>
      <c r="BQ116" s="22">
        <v>1326.8624827108285</v>
      </c>
    </row>
    <row r="117" spans="1:75" x14ac:dyDescent="0.3">
      <c r="H117" t="s">
        <v>636</v>
      </c>
      <c r="I117" s="22">
        <v>90.994567483487728</v>
      </c>
      <c r="J117" s="22">
        <v>111.62690198838213</v>
      </c>
      <c r="K117" s="22">
        <v>132.25923649327655</v>
      </c>
      <c r="L117" s="22">
        <v>152.89157099816552</v>
      </c>
      <c r="M117" s="22">
        <v>173.52390550305992</v>
      </c>
      <c r="N117" s="22">
        <v>194.15624000795432</v>
      </c>
      <c r="O117" s="22">
        <v>214.78857451284878</v>
      </c>
      <c r="P117" s="22">
        <v>235.42090901774316</v>
      </c>
      <c r="Q117" s="22">
        <v>256.05324352263762</v>
      </c>
      <c r="R117" s="22">
        <v>276.68557802753202</v>
      </c>
      <c r="S117" s="22">
        <v>297.31791253242642</v>
      </c>
      <c r="T117" s="22">
        <v>317.95024703732088</v>
      </c>
      <c r="U117" s="22">
        <v>338.58258154220977</v>
      </c>
      <c r="V117" s="22">
        <v>359.21491604710423</v>
      </c>
      <c r="W117" s="22">
        <v>435.89846666666671</v>
      </c>
      <c r="X117" s="22">
        <v>355.08659999999998</v>
      </c>
      <c r="Y117" s="22">
        <v>393.08573333333334</v>
      </c>
      <c r="Z117" s="22">
        <v>484.55366666666663</v>
      </c>
      <c r="AA117" s="22">
        <v>480.19253333333336</v>
      </c>
      <c r="AB117" s="22">
        <v>380.54426666666666</v>
      </c>
      <c r="AC117" s="22">
        <v>501.48046666666664</v>
      </c>
      <c r="AD117" s="22">
        <v>571.19113333333337</v>
      </c>
      <c r="AE117" s="22">
        <v>587.22106666666662</v>
      </c>
      <c r="AF117" s="22">
        <v>533.06336966666674</v>
      </c>
      <c r="AG117" s="22">
        <v>663.77159200000006</v>
      </c>
      <c r="AH117" s="22">
        <v>486.09938600666663</v>
      </c>
      <c r="AI117" s="22">
        <v>643.60119999999995</v>
      </c>
      <c r="AJ117" s="22">
        <v>679.61446666666666</v>
      </c>
      <c r="AK117" s="22">
        <v>581.01044193354528</v>
      </c>
      <c r="AL117" s="22">
        <v>596.09913131599728</v>
      </c>
      <c r="AM117" s="22">
        <v>610.43814242074211</v>
      </c>
      <c r="AN117" s="22">
        <v>624.84147486861002</v>
      </c>
      <c r="AO117" s="22">
        <v>639.24480722804208</v>
      </c>
      <c r="AP117" s="22">
        <v>653.64813958747379</v>
      </c>
      <c r="AQ117" s="22">
        <v>668.05147194690596</v>
      </c>
      <c r="AR117" s="22">
        <v>682.45480439477376</v>
      </c>
      <c r="AS117" s="22">
        <v>697.25767845163148</v>
      </c>
      <c r="AT117" s="22">
        <v>712.06055250848885</v>
      </c>
      <c r="AU117" s="22">
        <v>726.86342656534669</v>
      </c>
      <c r="AV117" s="22">
        <v>741.66630062220418</v>
      </c>
      <c r="AW117" s="22">
        <v>756.46917467906189</v>
      </c>
      <c r="AX117" s="22">
        <v>771.09582623300321</v>
      </c>
      <c r="AY117" s="22">
        <v>785.72247769850878</v>
      </c>
      <c r="AZ117" s="22">
        <v>800.34912925244987</v>
      </c>
      <c r="BA117" s="22">
        <v>814.97578071795544</v>
      </c>
      <c r="BB117" s="22">
        <v>829.60243218346091</v>
      </c>
      <c r="BC117" s="22">
        <v>844.42622344254914</v>
      </c>
      <c r="BD117" s="22">
        <v>859.2500147016375</v>
      </c>
      <c r="BE117" s="22">
        <v>874.07380587229011</v>
      </c>
      <c r="BF117" s="22">
        <v>888.89759713137823</v>
      </c>
      <c r="BG117" s="22">
        <v>903.72138839046647</v>
      </c>
      <c r="BH117" s="22">
        <v>919.28276094791306</v>
      </c>
      <c r="BI117" s="22">
        <v>934.8441334169238</v>
      </c>
      <c r="BJ117" s="22">
        <v>950.40550597437027</v>
      </c>
      <c r="BK117" s="22">
        <v>965.96687853181686</v>
      </c>
      <c r="BL117" s="22">
        <v>981.52825108926322</v>
      </c>
      <c r="BM117" s="22">
        <v>996.87965428673249</v>
      </c>
      <c r="BN117" s="22">
        <v>1012.231057484201</v>
      </c>
      <c r="BO117" s="22">
        <v>1027.5824607701059</v>
      </c>
      <c r="BP117" s="22">
        <v>1042.9338639675743</v>
      </c>
      <c r="BQ117" s="22">
        <v>1058.2852671650435</v>
      </c>
    </row>
    <row r="118" spans="1:75" x14ac:dyDescent="0.3">
      <c r="H118" t="s">
        <v>637</v>
      </c>
      <c r="I118" s="22">
        <v>19504.904423790304</v>
      </c>
      <c r="J118" s="22">
        <v>20660.917389673377</v>
      </c>
      <c r="K118" s="22">
        <v>20413.635505827424</v>
      </c>
      <c r="L118" s="22">
        <v>20401.840953256564</v>
      </c>
      <c r="M118" s="22">
        <v>20005.189321068094</v>
      </c>
      <c r="N118" s="22">
        <v>19413.178172066404</v>
      </c>
      <c r="O118" s="22">
        <v>20236.165839433314</v>
      </c>
      <c r="P118" s="22">
        <v>20567.076909773743</v>
      </c>
      <c r="Q118" s="22">
        <v>20477.475675482336</v>
      </c>
      <c r="R118" s="22">
        <v>20440.765105122711</v>
      </c>
      <c r="S118" s="22">
        <v>20694.986539568359</v>
      </c>
      <c r="T118" s="22">
        <v>19970.885013290266</v>
      </c>
      <c r="U118" s="22">
        <v>20364.171552574975</v>
      </c>
      <c r="V118" s="22">
        <v>20058.54412967978</v>
      </c>
      <c r="W118" s="22">
        <v>19708.290781864089</v>
      </c>
      <c r="X118" s="22">
        <v>19400.216324542769</v>
      </c>
      <c r="Y118" s="22">
        <v>19051.161605532838</v>
      </c>
      <c r="Z118" s="22">
        <v>19933.38774514115</v>
      </c>
      <c r="AA118" s="22">
        <v>20282.655015129261</v>
      </c>
      <c r="AB118" s="22">
        <v>20068.349414068991</v>
      </c>
      <c r="AC118" s="22">
        <v>19848.964864156231</v>
      </c>
      <c r="AD118" s="22">
        <v>19725.318772611696</v>
      </c>
      <c r="AE118" s="22">
        <v>20225.965895215482</v>
      </c>
      <c r="AF118" s="22">
        <v>20168.260387452727</v>
      </c>
      <c r="AG118" s="22">
        <v>20134.219305294246</v>
      </c>
      <c r="AH118" s="22">
        <v>19667.183224832243</v>
      </c>
      <c r="AI118" s="22">
        <v>18969.40439195502</v>
      </c>
      <c r="AJ118" s="22">
        <v>19186.386775060691</v>
      </c>
      <c r="AK118" s="22">
        <v>19753.029018517012</v>
      </c>
      <c r="AL118" s="22">
        <v>19783.906857628604</v>
      </c>
      <c r="AM118" s="22">
        <v>19779.701574173283</v>
      </c>
      <c r="AN118" s="22">
        <v>19778.904215576487</v>
      </c>
      <c r="AO118" s="22">
        <v>19777.995181996146</v>
      </c>
      <c r="AP118" s="22">
        <v>19776.984421077901</v>
      </c>
      <c r="AQ118" s="22">
        <v>19775.880594293696</v>
      </c>
      <c r="AR118" s="22">
        <v>19774.691289095183</v>
      </c>
      <c r="AS118" s="22">
        <v>19775.119562820179</v>
      </c>
      <c r="AT118" s="22">
        <v>19775.477408932729</v>
      </c>
      <c r="AU118" s="22">
        <v>19775.769943136052</v>
      </c>
      <c r="AV118" s="22">
        <v>19776.001736032402</v>
      </c>
      <c r="AW118" s="22">
        <v>19776.176888033733</v>
      </c>
      <c r="AX118" s="22">
        <v>19775.548399840234</v>
      </c>
      <c r="AY118" s="22">
        <v>19774.869408512444</v>
      </c>
      <c r="AZ118" s="22">
        <v>19774.142986120893</v>
      </c>
      <c r="BA118" s="22">
        <v>19773.371926377677</v>
      </c>
      <c r="BB118" s="22">
        <v>19772.558779923431</v>
      </c>
      <c r="BC118" s="22">
        <v>19772.548026839973</v>
      </c>
      <c r="BD118" s="22">
        <v>19772.500515214859</v>
      </c>
      <c r="BE118" s="22">
        <v>19772.418179134187</v>
      </c>
      <c r="BF118" s="22">
        <v>19772.302803273826</v>
      </c>
      <c r="BG118" s="22">
        <v>19772.156036103148</v>
      </c>
      <c r="BH118" s="22">
        <v>19775.137703889606</v>
      </c>
      <c r="BI118" s="22">
        <v>19778.093650274055</v>
      </c>
      <c r="BJ118" s="22">
        <v>19781.025091887313</v>
      </c>
      <c r="BK118" s="22">
        <v>19783.933160775436</v>
      </c>
      <c r="BL118" s="22">
        <v>19786.818913472423</v>
      </c>
      <c r="BM118" s="22">
        <v>19788.782445242443</v>
      </c>
      <c r="BN118" s="22">
        <v>19790.724893801369</v>
      </c>
      <c r="BO118" s="22">
        <v>19792.647148841716</v>
      </c>
      <c r="BP118" s="22">
        <v>19794.550044580425</v>
      </c>
      <c r="BQ118" s="22">
        <v>19796.434366442383</v>
      </c>
    </row>
    <row r="119" spans="1:75" x14ac:dyDescent="0.3">
      <c r="H119" t="s">
        <v>639</v>
      </c>
      <c r="I119" s="22">
        <v>2388.0102035123605</v>
      </c>
      <c r="J119" s="22">
        <v>2422.3649563517615</v>
      </c>
      <c r="K119" s="22">
        <v>2366.0160295258652</v>
      </c>
      <c r="L119" s="22">
        <v>2332.024314033295</v>
      </c>
      <c r="M119" s="22">
        <v>2269.8856393890724</v>
      </c>
      <c r="N119" s="22">
        <v>2257.3551747657566</v>
      </c>
      <c r="O119" s="22">
        <v>2332.8794219128258</v>
      </c>
      <c r="P119" s="22">
        <v>2353.4608848045295</v>
      </c>
      <c r="Q119" s="22">
        <v>2375.1086873788704</v>
      </c>
      <c r="R119" s="22">
        <v>2369.8122167060246</v>
      </c>
      <c r="S119" s="22">
        <v>2379.1334621159244</v>
      </c>
      <c r="T119" s="22">
        <v>2332.4757077458062</v>
      </c>
      <c r="U119" s="22">
        <v>2352.5031586422174</v>
      </c>
      <c r="V119" s="22">
        <v>2317.0522227606916</v>
      </c>
      <c r="W119" s="22">
        <v>2291.1004488983099</v>
      </c>
      <c r="X119" s="22">
        <v>2260.716684821874</v>
      </c>
      <c r="Y119" s="22">
        <v>2276.1004128580194</v>
      </c>
      <c r="Z119" s="22">
        <v>2334.5451499588221</v>
      </c>
      <c r="AA119" s="22">
        <v>2364.8401504898161</v>
      </c>
      <c r="AB119" s="22">
        <v>2357.3087175615215</v>
      </c>
      <c r="AC119" s="22">
        <v>2316.7336232801035</v>
      </c>
      <c r="AD119" s="22">
        <v>2313.3914976011652</v>
      </c>
      <c r="AE119" s="22">
        <v>2334.0985551108756</v>
      </c>
      <c r="AF119" s="22">
        <v>2348.8400209329502</v>
      </c>
      <c r="AG119" s="22">
        <v>2344.4692750460258</v>
      </c>
      <c r="AH119" s="22">
        <v>2299.7650755104332</v>
      </c>
      <c r="AI119" s="22">
        <v>2252.6390591444524</v>
      </c>
      <c r="AJ119" s="22">
        <v>2235.452591217253</v>
      </c>
      <c r="AK119" s="22">
        <v>2318.6708655488487</v>
      </c>
      <c r="AL119" s="22">
        <v>2326.0988391477244</v>
      </c>
      <c r="AM119" s="22">
        <v>2329.177625426456</v>
      </c>
      <c r="AN119" s="22">
        <v>2333.0242915983672</v>
      </c>
      <c r="AO119" s="22">
        <v>2336.8440320658519</v>
      </c>
      <c r="AP119" s="22">
        <v>2340.639256805041</v>
      </c>
      <c r="AQ119" s="22">
        <v>2344.4120677609794</v>
      </c>
      <c r="AR119" s="22">
        <v>2348.1643090770926</v>
      </c>
      <c r="AS119" s="22">
        <v>2352.2228962152631</v>
      </c>
      <c r="AT119" s="22">
        <v>2356.2646437004828</v>
      </c>
      <c r="AU119" s="22">
        <v>2360.2907919866634</v>
      </c>
      <c r="AV119" s="22">
        <v>2364.3024503005117</v>
      </c>
      <c r="AW119" s="22">
        <v>2368.3006144703381</v>
      </c>
      <c r="AX119" s="22">
        <v>2372.1420454436102</v>
      </c>
      <c r="AY119" s="22">
        <v>2375.9714551742882</v>
      </c>
      <c r="AZ119" s="22">
        <v>2379.7895929910815</v>
      </c>
      <c r="BA119" s="22">
        <v>2383.5971404881425</v>
      </c>
      <c r="BB119" s="22">
        <v>2387.3947198876349</v>
      </c>
      <c r="BC119" s="22">
        <v>2391.3447618385985</v>
      </c>
      <c r="BD119" s="22">
        <v>2395.2861478850841</v>
      </c>
      <c r="BE119" s="22">
        <v>2399.2193476668131</v>
      </c>
      <c r="BF119" s="22">
        <v>2403.1447942638629</v>
      </c>
      <c r="BG119" s="22">
        <v>2407.0628875054431</v>
      </c>
      <c r="BH119" s="22">
        <v>2411.5815060623418</v>
      </c>
      <c r="BI119" s="22">
        <v>2416.0941731688263</v>
      </c>
      <c r="BJ119" s="22">
        <v>2420.6011787744819</v>
      </c>
      <c r="BK119" s="22">
        <v>2425.1027925074882</v>
      </c>
      <c r="BL119" s="22">
        <v>2429.5992657799802</v>
      </c>
      <c r="BM119" s="22">
        <v>2433.9174402150056</v>
      </c>
      <c r="BN119" s="22">
        <v>2438.2307601014945</v>
      </c>
      <c r="BO119" s="22">
        <v>2442.5394374527291</v>
      </c>
      <c r="BP119" s="22">
        <v>2446.8436708840272</v>
      </c>
      <c r="BQ119" s="22">
        <v>2451.1436471198567</v>
      </c>
    </row>
    <row r="120" spans="1:75" x14ac:dyDescent="0.3">
      <c r="H120" t="s">
        <v>638</v>
      </c>
      <c r="I120" s="22">
        <v>343.10330161578099</v>
      </c>
      <c r="J120" s="22">
        <v>365.58614133033353</v>
      </c>
      <c r="K120" s="22">
        <v>339.91114682728761</v>
      </c>
      <c r="L120" s="22">
        <v>352.62601984444137</v>
      </c>
      <c r="M120" s="22">
        <v>336.24824053022888</v>
      </c>
      <c r="N120" s="22">
        <v>354.90652971327108</v>
      </c>
      <c r="O120" s="22">
        <v>370.7282945162878</v>
      </c>
      <c r="P120" s="22">
        <v>367.33263044382841</v>
      </c>
      <c r="Q120" s="22">
        <v>376.31467332854538</v>
      </c>
      <c r="R120" s="22">
        <v>380.26274683162796</v>
      </c>
      <c r="S120" s="22">
        <v>420.72277135231604</v>
      </c>
      <c r="T120" s="22">
        <v>418.37207720994593</v>
      </c>
      <c r="U120" s="22">
        <v>406.12517665445523</v>
      </c>
      <c r="V120" s="22">
        <v>385.62180744131297</v>
      </c>
      <c r="W120" s="22">
        <v>383.11027791084422</v>
      </c>
      <c r="X120" s="22">
        <v>402.62502084090437</v>
      </c>
      <c r="Y120" s="22">
        <v>407.68948429226828</v>
      </c>
      <c r="Z120" s="22">
        <v>415.77221135959962</v>
      </c>
      <c r="AA120" s="22">
        <v>450.38785912632164</v>
      </c>
      <c r="AB120" s="22">
        <v>447.90280780802436</v>
      </c>
      <c r="AC120" s="22">
        <v>450.47531382738657</v>
      </c>
      <c r="AD120" s="22">
        <v>455.70252815125627</v>
      </c>
      <c r="AE120" s="22">
        <v>454.2990120208886</v>
      </c>
      <c r="AF120" s="22">
        <v>467.1027930484243</v>
      </c>
      <c r="AG120" s="22">
        <v>463.97224881283108</v>
      </c>
      <c r="AH120" s="22">
        <v>471.70799949786652</v>
      </c>
      <c r="AI120" s="22">
        <v>471.14622162385422</v>
      </c>
      <c r="AJ120" s="22">
        <v>483.13167606001025</v>
      </c>
      <c r="AK120" s="22">
        <v>468.97422378872818</v>
      </c>
      <c r="AL120" s="22">
        <v>475.2249218374152</v>
      </c>
      <c r="AM120" s="22">
        <v>478.65003949368145</v>
      </c>
      <c r="AN120" s="22">
        <v>483.65498664992003</v>
      </c>
      <c r="AO120" s="22">
        <v>488.60759728253828</v>
      </c>
      <c r="AP120" s="22">
        <v>493.5128571299885</v>
      </c>
      <c r="AQ120" s="22">
        <v>498.37510389742414</v>
      </c>
      <c r="AR120" s="22">
        <v>503.19813309399137</v>
      </c>
      <c r="AS120" s="22">
        <v>508.15424956126054</v>
      </c>
      <c r="AT120" s="22">
        <v>513.07909238907621</v>
      </c>
      <c r="AU120" s="22">
        <v>517.97517053522256</v>
      </c>
      <c r="AV120" s="22">
        <v>522.84471928557002</v>
      </c>
      <c r="AW120" s="22">
        <v>527.6897377871494</v>
      </c>
      <c r="AX120" s="22">
        <v>532.43584846049509</v>
      </c>
      <c r="AY120" s="22">
        <v>537.16025527304782</v>
      </c>
      <c r="AZ120" s="22">
        <v>541.86445238147269</v>
      </c>
      <c r="BA120" s="22">
        <v>546.54979385461331</v>
      </c>
      <c r="BB120" s="22">
        <v>551.21751045982899</v>
      </c>
      <c r="BC120" s="22">
        <v>555.95546154582189</v>
      </c>
      <c r="BD120" s="22">
        <v>560.67847366596118</v>
      </c>
      <c r="BE120" s="22">
        <v>565.38745674669474</v>
      </c>
      <c r="BF120" s="22">
        <v>570.0832456614994</v>
      </c>
      <c r="BG120" s="22">
        <v>574.76660781803753</v>
      </c>
      <c r="BH120" s="22">
        <v>579.76740432819008</v>
      </c>
      <c r="BI120" s="22">
        <v>584.75875710576554</v>
      </c>
      <c r="BJ120" s="22">
        <v>589.74119153472066</v>
      </c>
      <c r="BK120" s="22">
        <v>594.71519356554461</v>
      </c>
      <c r="BL120" s="22">
        <v>599.68121356374206</v>
      </c>
      <c r="BM120" s="22">
        <v>604.54493484405009</v>
      </c>
      <c r="BN120" s="22">
        <v>609.40109743030723</v>
      </c>
      <c r="BO120" s="22">
        <v>614.25008012470573</v>
      </c>
      <c r="BP120" s="22">
        <v>619.09223605574277</v>
      </c>
      <c r="BQ120" s="22">
        <v>623.92789508309704</v>
      </c>
    </row>
    <row r="121" spans="1:75" x14ac:dyDescent="0.3">
      <c r="H121" t="s">
        <v>740</v>
      </c>
      <c r="I121">
        <v>1114.2730572677472</v>
      </c>
      <c r="J121">
        <v>1114.2730572677472</v>
      </c>
      <c r="K121">
        <v>1114.2730572677472</v>
      </c>
      <c r="L121">
        <v>1114.2730572677472</v>
      </c>
      <c r="M121">
        <v>1114.2730572677472</v>
      </c>
      <c r="N121">
        <v>1114.2730572677472</v>
      </c>
      <c r="O121">
        <v>1114.2730572677472</v>
      </c>
      <c r="P121">
        <v>1114.2730572677472</v>
      </c>
      <c r="Q121">
        <v>1114.2730572677472</v>
      </c>
      <c r="R121">
        <v>1114.2730572677472</v>
      </c>
      <c r="S121">
        <v>1103.7473247333526</v>
      </c>
      <c r="T121">
        <v>1295.1615779672622</v>
      </c>
      <c r="U121">
        <v>1300.4179901779976</v>
      </c>
      <c r="V121">
        <v>1021.2239026078485</v>
      </c>
      <c r="W121">
        <v>890.95637702591955</v>
      </c>
      <c r="X121">
        <v>1429.3697355873492</v>
      </c>
      <c r="Y121">
        <v>1251.7694565972624</v>
      </c>
      <c r="Z121">
        <v>1234.9730242836924</v>
      </c>
      <c r="AA121">
        <v>1150.1284038185643</v>
      </c>
      <c r="AB121">
        <v>1091.261696265384</v>
      </c>
      <c r="AC121">
        <v>1116.957250242162</v>
      </c>
      <c r="AD121">
        <v>1100.5811063069254</v>
      </c>
      <c r="AE121">
        <v>1010.9312887182766</v>
      </c>
      <c r="AF121">
        <v>956.65662263461502</v>
      </c>
      <c r="AG121">
        <v>1024.1532025090505</v>
      </c>
      <c r="AH121">
        <v>742.78507159014475</v>
      </c>
      <c r="AI121">
        <v>448.47103409650083</v>
      </c>
      <c r="AJ121">
        <v>418.78097085765791</v>
      </c>
    </row>
    <row r="122" spans="1:75" x14ac:dyDescent="0.3">
      <c r="H122" t="s">
        <v>741</v>
      </c>
      <c r="I122">
        <v>1149.6141682079121</v>
      </c>
      <c r="J122">
        <v>1149.6141682079121</v>
      </c>
      <c r="K122">
        <v>1149.6141682079121</v>
      </c>
      <c r="L122">
        <v>1149.6141682079121</v>
      </c>
      <c r="M122">
        <v>1149.6141682079121</v>
      </c>
      <c r="N122">
        <v>1149.6141682079121</v>
      </c>
      <c r="O122">
        <v>1149.6141682079121</v>
      </c>
      <c r="P122">
        <v>1149.6141682079121</v>
      </c>
      <c r="Q122">
        <v>1149.6141682079121</v>
      </c>
      <c r="R122">
        <v>1149.6141682079121</v>
      </c>
      <c r="S122">
        <v>1138.5083728727629</v>
      </c>
      <c r="T122">
        <v>1348.0477860975932</v>
      </c>
      <c r="U122">
        <v>1328.8199324792706</v>
      </c>
      <c r="V122">
        <v>1017.846389296701</v>
      </c>
      <c r="W122">
        <v>914.84836029323264</v>
      </c>
      <c r="X122">
        <v>1448.2029822975244</v>
      </c>
      <c r="Y122">
        <v>1263.6284316097351</v>
      </c>
      <c r="Z122">
        <v>1217.6306521923173</v>
      </c>
      <c r="AA122">
        <v>1180.4178811371937</v>
      </c>
      <c r="AB122">
        <v>1108.455283615433</v>
      </c>
      <c r="AC122">
        <v>1122.512590663056</v>
      </c>
      <c r="AD122">
        <v>1111.8425729905728</v>
      </c>
      <c r="AE122">
        <v>1003.2623700366383</v>
      </c>
      <c r="AF122">
        <v>980.98785105992999</v>
      </c>
      <c r="AG122">
        <v>1029.413853897383</v>
      </c>
      <c r="AH122">
        <v>748.29527463252236</v>
      </c>
      <c r="AI122">
        <v>435.50232253439043</v>
      </c>
      <c r="AJ122">
        <v>408.72643283393637</v>
      </c>
    </row>
    <row r="123" spans="1:75" x14ac:dyDescent="0.3">
      <c r="H123" t="s">
        <v>742</v>
      </c>
      <c r="I123">
        <v>363.73333333333335</v>
      </c>
      <c r="J123">
        <v>386.1</v>
      </c>
      <c r="K123">
        <v>266.2</v>
      </c>
      <c r="L123">
        <v>413.6</v>
      </c>
      <c r="M123">
        <v>603.75919999999996</v>
      </c>
      <c r="N123">
        <v>481.52980333333335</v>
      </c>
      <c r="O123">
        <v>588.48859666666669</v>
      </c>
      <c r="P123">
        <v>556.65125999999998</v>
      </c>
      <c r="Q123">
        <v>581.37815999999998</v>
      </c>
      <c r="R123">
        <v>577.08170666666672</v>
      </c>
      <c r="S123">
        <v>384.05253333333332</v>
      </c>
      <c r="T123">
        <v>497.15031666666664</v>
      </c>
      <c r="U123">
        <v>683.69223999999997</v>
      </c>
      <c r="V123">
        <v>585.99346666666668</v>
      </c>
      <c r="W123">
        <v>585.5420633333332</v>
      </c>
      <c r="X123">
        <v>267.37941999999998</v>
      </c>
      <c r="Y123">
        <v>445.96068000000002</v>
      </c>
      <c r="Z123">
        <v>524.87031666666667</v>
      </c>
      <c r="AA123">
        <v>658.9218166666667</v>
      </c>
      <c r="AB123">
        <v>701.39039489690549</v>
      </c>
      <c r="AC123">
        <v>659.21936851962221</v>
      </c>
      <c r="AD123">
        <v>728.33299508239213</v>
      </c>
      <c r="AE123">
        <v>834.93197842496943</v>
      </c>
      <c r="AF123">
        <v>755.27559526787866</v>
      </c>
      <c r="AG123">
        <v>778.70394325525831</v>
      </c>
      <c r="AH123">
        <v>785.73244765147194</v>
      </c>
      <c r="AI123">
        <v>987.21624034293666</v>
      </c>
      <c r="AJ123">
        <v>1222.085428916417</v>
      </c>
    </row>
    <row r="124" spans="1:75" x14ac:dyDescent="0.3">
      <c r="H124" t="s">
        <v>743</v>
      </c>
      <c r="I124">
        <v>90.994567483487728</v>
      </c>
      <c r="J124">
        <v>111.62690198838213</v>
      </c>
      <c r="K124">
        <v>132.25923649327655</v>
      </c>
      <c r="L124">
        <v>152.89157099816552</v>
      </c>
      <c r="M124">
        <v>173.52390550305992</v>
      </c>
      <c r="N124">
        <v>194.15624000795432</v>
      </c>
      <c r="O124">
        <v>214.78857451284878</v>
      </c>
      <c r="P124">
        <v>235.42090901774316</v>
      </c>
      <c r="Q124">
        <v>256.05324352263756</v>
      </c>
      <c r="R124">
        <v>276.68557802753202</v>
      </c>
      <c r="S124">
        <v>297.31791253242642</v>
      </c>
      <c r="T124">
        <v>317.95024703732088</v>
      </c>
      <c r="U124">
        <v>338.58258154220977</v>
      </c>
      <c r="V124">
        <v>359.21491604710423</v>
      </c>
      <c r="W124">
        <v>435.89846666666665</v>
      </c>
      <c r="X124">
        <v>355.08659999999998</v>
      </c>
      <c r="Y124">
        <v>393.08573333333334</v>
      </c>
      <c r="Z124">
        <v>484.55366666666663</v>
      </c>
      <c r="AA124">
        <v>480.1925333333333</v>
      </c>
      <c r="AB124">
        <v>380.54426666666666</v>
      </c>
      <c r="AC124">
        <v>501.48046666666664</v>
      </c>
      <c r="AD124">
        <v>571.19113333333325</v>
      </c>
      <c r="AE124">
        <v>587.22106666666662</v>
      </c>
      <c r="AF124">
        <v>533.06336966666674</v>
      </c>
      <c r="AG124">
        <v>663.77159200000006</v>
      </c>
      <c r="AH124">
        <v>486.09938600666663</v>
      </c>
      <c r="AI124">
        <v>643.60119999999995</v>
      </c>
      <c r="AJ124">
        <v>679.61446666666666</v>
      </c>
    </row>
    <row r="125" spans="1:75" x14ac:dyDescent="0.3">
      <c r="H125" t="s">
        <v>744</v>
      </c>
      <c r="I125">
        <v>18467.2344176074</v>
      </c>
      <c r="J125">
        <v>19894.379979012047</v>
      </c>
      <c r="K125">
        <v>19508.057170250366</v>
      </c>
      <c r="L125">
        <v>19296.286149483876</v>
      </c>
      <c r="M125">
        <v>18829.799299341739</v>
      </c>
      <c r="N125">
        <v>18816.693751205934</v>
      </c>
      <c r="O125">
        <v>19386.372113208152</v>
      </c>
      <c r="P125">
        <v>19675.368284891847</v>
      </c>
      <c r="Q125">
        <v>19967.155293555603</v>
      </c>
      <c r="R125">
        <v>20038.391547786159</v>
      </c>
      <c r="S125">
        <v>20072.524975980316</v>
      </c>
      <c r="T125">
        <v>19701.088061992123</v>
      </c>
      <c r="U125">
        <v>20023.216099759749</v>
      </c>
      <c r="V125">
        <v>19072.340993484708</v>
      </c>
      <c r="W125">
        <v>18849.389549512067</v>
      </c>
      <c r="X125">
        <v>18446.259485586925</v>
      </c>
      <c r="Y125">
        <v>18589.571736189206</v>
      </c>
      <c r="Z125">
        <v>18224.734436942501</v>
      </c>
      <c r="AA125">
        <v>19088.198147813157</v>
      </c>
      <c r="AB125">
        <v>18553.028011451712</v>
      </c>
      <c r="AC125">
        <v>18939.805460502525</v>
      </c>
      <c r="AD125">
        <v>18994.993526805851</v>
      </c>
      <c r="AE125">
        <v>18278.302953548075</v>
      </c>
      <c r="AF125">
        <v>19582.342769355033</v>
      </c>
      <c r="AG125">
        <v>19570.475186144038</v>
      </c>
      <c r="AH125">
        <v>19327.673861761683</v>
      </c>
      <c r="AI125">
        <v>18029.075027657447</v>
      </c>
      <c r="AJ125">
        <v>18081.049004423898</v>
      </c>
    </row>
    <row r="126" spans="1:75" x14ac:dyDescent="0.3">
      <c r="H126" t="s">
        <v>745</v>
      </c>
      <c r="I126">
        <v>2447.8863951470803</v>
      </c>
      <c r="J126">
        <v>2496.9018451868697</v>
      </c>
      <c r="K126">
        <v>2435.3630625952328</v>
      </c>
      <c r="L126">
        <v>2396.995208451192</v>
      </c>
      <c r="M126">
        <v>2325.2582722477832</v>
      </c>
      <c r="N126">
        <v>2349.1668279124592</v>
      </c>
      <c r="O126">
        <v>2406.4403578126485</v>
      </c>
      <c r="P126">
        <v>2433.097951693017</v>
      </c>
      <c r="Q126">
        <v>2471.2628832175142</v>
      </c>
      <c r="R126">
        <v>2472.2132034057472</v>
      </c>
      <c r="S126">
        <v>2480.4922407158388</v>
      </c>
      <c r="T126">
        <v>2454.0922943343203</v>
      </c>
      <c r="U126">
        <v>2476.3439129367157</v>
      </c>
      <c r="V126">
        <v>2359.3324950161041</v>
      </c>
      <c r="W126">
        <v>2347.4845744803165</v>
      </c>
      <c r="X126">
        <v>2284.6952992295182</v>
      </c>
      <c r="Y126">
        <v>2357.5665947783837</v>
      </c>
      <c r="Z126">
        <v>2297.5662221729922</v>
      </c>
      <c r="AA126">
        <v>2380.9463845396517</v>
      </c>
      <c r="AB126">
        <v>2329.35287655092</v>
      </c>
      <c r="AC126">
        <v>2369.3465541862302</v>
      </c>
      <c r="AD126">
        <v>2370.4305491547971</v>
      </c>
      <c r="AE126">
        <v>2269.153208313021</v>
      </c>
      <c r="AF126">
        <v>2431.7524623901409</v>
      </c>
      <c r="AG126">
        <v>2430.5768400701409</v>
      </c>
      <c r="AH126">
        <v>2407.0023766672321</v>
      </c>
      <c r="AI126">
        <v>2265.174978621726</v>
      </c>
      <c r="AJ126">
        <v>2253.2585636522972</v>
      </c>
    </row>
    <row r="127" spans="1:75" x14ac:dyDescent="0.3">
      <c r="H127" t="s">
        <v>746</v>
      </c>
      <c r="I127">
        <v>332.77730613860399</v>
      </c>
      <c r="J127">
        <v>353.03457691007083</v>
      </c>
      <c r="K127">
        <v>329.75336223257443</v>
      </c>
      <c r="L127">
        <v>341.70939722274608</v>
      </c>
      <c r="M127">
        <v>326.52853902593881</v>
      </c>
      <c r="N127">
        <v>344.58323593662567</v>
      </c>
      <c r="O127">
        <v>360.27670046049241</v>
      </c>
      <c r="P127">
        <v>357.64284080532752</v>
      </c>
      <c r="Q127">
        <v>367.73848791261435</v>
      </c>
      <c r="R127">
        <v>372.0452384281258</v>
      </c>
      <c r="S127">
        <v>408.94308689508148</v>
      </c>
      <c r="T127">
        <v>406.68937516322404</v>
      </c>
      <c r="U127">
        <v>397.06973777083419</v>
      </c>
      <c r="V127">
        <v>376.09010924780205</v>
      </c>
      <c r="W127">
        <v>374.09743931517124</v>
      </c>
      <c r="X127">
        <v>392.69820864834276</v>
      </c>
      <c r="Y127">
        <v>398.35557315486267</v>
      </c>
      <c r="Z127">
        <v>404.14478384272525</v>
      </c>
      <c r="AA127">
        <v>438.4751035531649</v>
      </c>
      <c r="AB127">
        <v>433.26067452840772</v>
      </c>
      <c r="AC127">
        <v>438.54251424027257</v>
      </c>
      <c r="AD127">
        <v>444.74604882624305</v>
      </c>
      <c r="AE127">
        <v>440.60780254144959</v>
      </c>
      <c r="AF127">
        <v>456.58226294187887</v>
      </c>
      <c r="AG127">
        <v>454.87268271519412</v>
      </c>
      <c r="AH127">
        <v>463.54275866618883</v>
      </c>
      <c r="AI127">
        <v>458.22071963845576</v>
      </c>
      <c r="AJ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FD560142-7D4E-415D-A7FC-5B6677CD36C8}">
          <x14:colorSeries rgb="FF376092"/>
          <x14:colorNegative rgb="FFD00000"/>
          <x14:colorAxis rgb="FF000000"/>
          <x14:colorMarkers rgb="FFD00000"/>
          <x14:colorFirst rgb="FFD00000"/>
          <x14:colorLast rgb="FFD00000"/>
          <x14:colorHigh rgb="FFD00000"/>
          <x14:colorLow rgb="FFD00000"/>
          <x14:sparklines>
            <x14:sparkline>
              <xm:f>'Net zero emission summary'!I5:AJ5</xm:f>
              <xm:sqref>BS5</xm:sqref>
            </x14:sparkline>
          </x14:sparklines>
        </x14:sparklineGroup>
      </x14:sparklineGroup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C40ED-103A-4DC2-84A0-35BBADEEE660}">
  <sheetPr>
    <tabColor rgb="FFFF0066"/>
  </sheetPr>
  <dimension ref="A1:AT10"/>
  <sheetViews>
    <sheetView workbookViewId="0">
      <selection activeCell="K4" sqref="K4:AN4"/>
    </sheetView>
  </sheetViews>
  <sheetFormatPr defaultColWidth="8.77734375" defaultRowHeight="14.4" x14ac:dyDescent="0.3"/>
  <cols>
    <col min="1" max="1" width="34.44140625" customWidth="1"/>
    <col min="2" max="7" width="9.6640625" customWidth="1"/>
    <col min="8" max="8" width="9.44140625" customWidth="1"/>
    <col min="23" max="24" width="9.44140625" customWidth="1"/>
    <col min="25" max="25" width="9.6640625" customWidth="1"/>
  </cols>
  <sheetData>
    <row r="1" spans="1:46" ht="18" x14ac:dyDescent="0.35">
      <c r="A1" s="1" t="s">
        <v>312</v>
      </c>
      <c r="B1" s="114"/>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c r="AF1" s="114"/>
      <c r="AG1" s="114"/>
      <c r="AH1" s="114"/>
      <c r="AI1" s="114"/>
      <c r="AJ1" s="114"/>
      <c r="AK1" s="114"/>
      <c r="AL1" s="114"/>
      <c r="AM1" s="114"/>
      <c r="AN1" s="114"/>
    </row>
    <row r="2" spans="1:46" ht="15.6" x14ac:dyDescent="0.3">
      <c r="A2" s="19" t="s">
        <v>937</v>
      </c>
      <c r="B2" s="19"/>
      <c r="C2" s="19"/>
      <c r="D2" s="19"/>
    </row>
    <row r="3" spans="1:46" s="19" customFormat="1" ht="15.6"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c r="AO3" s="17"/>
      <c r="AP3" s="17"/>
      <c r="AQ3" s="17"/>
      <c r="AR3" s="17"/>
      <c r="AS3" s="17"/>
      <c r="AT3" s="17"/>
    </row>
    <row r="4" spans="1:46" x14ac:dyDescent="0.3">
      <c r="A4" t="s">
        <v>938</v>
      </c>
      <c r="B4" s="79">
        <f>'Emissions summary'!AB73</f>
        <v>49879.47357031166</v>
      </c>
      <c r="C4" s="79">
        <f>'Emissions summary'!AC73</f>
        <v>49816.343766362683</v>
      </c>
      <c r="D4" s="79">
        <f>'Emissions summary'!AD73</f>
        <v>49837.693321354207</v>
      </c>
      <c r="E4" s="79">
        <f>'Emissions summary'!AE73</f>
        <v>49552.184012065802</v>
      </c>
      <c r="F4" s="79">
        <f>'Emissions summary'!AF73</f>
        <v>49119.041014062772</v>
      </c>
      <c r="G4" s="79">
        <f>'Emissions summary'!AG73</f>
        <v>48506.139935969455</v>
      </c>
      <c r="H4" s="79">
        <f>'Emissions summary'!AH73</f>
        <v>48052.087616742072</v>
      </c>
      <c r="I4" s="79">
        <f>'Emissions summary'!AI73</f>
        <v>47638.317777423887</v>
      </c>
      <c r="J4" s="79">
        <f>'Emissions summary'!AJ73</f>
        <v>44281.625141792727</v>
      </c>
      <c r="K4" s="79">
        <f>'Emissions summary'!AK73</f>
        <v>44777.603240188735</v>
      </c>
      <c r="L4" s="79">
        <f>'Emissions summary'!AL73</f>
        <v>45674.238156273626</v>
      </c>
      <c r="M4" s="79">
        <f>'Emissions summary'!AM73</f>
        <v>45945.450168770549</v>
      </c>
      <c r="N4" s="79">
        <f>'Emissions summary'!AN73</f>
        <v>46286.279386350798</v>
      </c>
      <c r="O4" s="79">
        <f>'Emissions summary'!AO73</f>
        <v>46723.044131572678</v>
      </c>
      <c r="P4" s="79">
        <f>'Emissions summary'!AP73</f>
        <v>47201.97548913426</v>
      </c>
      <c r="Q4" s="79">
        <f>'Emissions summary'!AQ73</f>
        <v>47750.259629439199</v>
      </c>
      <c r="R4" s="79">
        <f>'Emissions summary'!AR73</f>
        <v>48306.525795410198</v>
      </c>
      <c r="S4" s="79">
        <f>'Emissions summary'!AS73</f>
        <v>48923.083604508647</v>
      </c>
      <c r="T4" s="79">
        <f>'Emissions summary'!AT73</f>
        <v>49541.021815280816</v>
      </c>
      <c r="U4" s="79">
        <f>'Emissions summary'!AU73</f>
        <v>50047.419961261257</v>
      </c>
      <c r="V4" s="79">
        <f>'Emissions summary'!AV73</f>
        <v>50506.858447858001</v>
      </c>
      <c r="W4" s="79">
        <f>'Emissions summary'!AW73</f>
        <v>50990.925862911856</v>
      </c>
      <c r="X4" s="79">
        <f>'Emissions summary'!AX73</f>
        <v>51581.397695449181</v>
      </c>
      <c r="Y4" s="79">
        <f>'Emissions summary'!AY73</f>
        <v>52077.754111662391</v>
      </c>
      <c r="Z4" s="79">
        <f>'Emissions summary'!AZ73</f>
        <v>52594.688043018956</v>
      </c>
      <c r="AA4" s="79">
        <f>'Emissions summary'!BA73</f>
        <v>53153.727539600775</v>
      </c>
      <c r="AB4" s="79">
        <f>'Emissions summary'!BB73</f>
        <v>53602.794074740086</v>
      </c>
      <c r="AC4" s="79">
        <f>'Emissions summary'!BC73</f>
        <v>54011.434569649296</v>
      </c>
      <c r="AD4" s="79">
        <f>'Emissions summary'!BD73</f>
        <v>54384.722270103346</v>
      </c>
      <c r="AE4" s="79">
        <f>'Emissions summary'!BE73</f>
        <v>54938.938650428805</v>
      </c>
      <c r="AF4" s="79">
        <f>'Emissions summary'!BF73</f>
        <v>55422.928989595857</v>
      </c>
      <c r="AG4" s="79">
        <f>'Emissions summary'!BG73</f>
        <v>55919.851198068005</v>
      </c>
      <c r="AH4" s="79">
        <f>'Emissions summary'!BH73</f>
        <v>56433.820427617255</v>
      </c>
      <c r="AI4" s="79">
        <f>'Emissions summary'!BI73</f>
        <v>56970.926611634524</v>
      </c>
      <c r="AJ4" s="79">
        <f>'Emissions summary'!BJ73</f>
        <v>57519.928616708639</v>
      </c>
      <c r="AK4" s="79">
        <f>'Emissions summary'!BK73</f>
        <v>57204.10518409645</v>
      </c>
      <c r="AL4" s="79">
        <f>'Emissions summary'!BL73</f>
        <v>56805.840154677426</v>
      </c>
      <c r="AM4" s="79">
        <f>'Emissions summary'!BM73</f>
        <v>56300.916942057607</v>
      </c>
      <c r="AN4" s="79">
        <f>'Emissions summary'!BN73</f>
        <v>55769.630533783464</v>
      </c>
    </row>
    <row r="5" spans="1:46" x14ac:dyDescent="0.3">
      <c r="A5" t="s">
        <v>939</v>
      </c>
      <c r="B5" s="79">
        <f>'Net zero emission summary'!AE73</f>
        <v>49879.47357031166</v>
      </c>
      <c r="C5" s="79">
        <f>'Net zero emission summary'!AF73</f>
        <v>49816.343766362683</v>
      </c>
      <c r="D5" s="79">
        <f>'Net zero emission summary'!AG73</f>
        <v>49837.693321354207</v>
      </c>
      <c r="E5" s="79">
        <f>'Net zero emission summary'!AH73</f>
        <v>49552.184012065802</v>
      </c>
      <c r="F5" s="79">
        <f>'Net zero emission summary'!AI73</f>
        <v>49119.041014062772</v>
      </c>
      <c r="G5" s="79">
        <f>'Net zero emission summary'!AJ73</f>
        <v>48506.139935969455</v>
      </c>
      <c r="H5" s="79">
        <f>'Net zero emission summary'!AK73</f>
        <v>48052.087616742072</v>
      </c>
      <c r="I5" s="79">
        <f>'Net zero emission summary'!AL73</f>
        <v>47638.317777423887</v>
      </c>
      <c r="J5" s="79">
        <f>'Net zero emission summary'!AM73</f>
        <v>44281.625141792727</v>
      </c>
      <c r="K5" s="79">
        <f>'Net zero emission summary'!AN73</f>
        <v>44777.603240188735</v>
      </c>
      <c r="L5" s="79">
        <f>'Net zero emission summary'!AO73</f>
        <v>45674.238156273626</v>
      </c>
      <c r="M5" s="79">
        <f>'Net zero emission summary'!AP73</f>
        <v>45945.450168770549</v>
      </c>
      <c r="N5" s="79">
        <f>'Net zero emission summary'!AQ73</f>
        <v>46286.279386350798</v>
      </c>
      <c r="O5" s="79">
        <f>'Net zero emission summary'!AR73</f>
        <v>46723.044131572678</v>
      </c>
      <c r="P5" s="79">
        <f>'Net zero emission summary'!AS73</f>
        <v>47201.97548913426</v>
      </c>
      <c r="Q5" s="79">
        <f>'Net zero emission summary'!AT73</f>
        <v>47750.259629439199</v>
      </c>
      <c r="R5" s="79">
        <f>'Net zero emission summary'!AU73</f>
        <v>48306.525795410198</v>
      </c>
      <c r="S5" s="79">
        <f>'Net zero emission summary'!AV73</f>
        <v>48923.083604508647</v>
      </c>
      <c r="T5" s="79">
        <f>'Net zero emission summary'!AW73</f>
        <v>49541.021815280816</v>
      </c>
      <c r="U5" s="79">
        <f>'Net zero emission summary'!AX73</f>
        <v>50047.419961261257</v>
      </c>
      <c r="V5" s="79">
        <f>'Net zero emission summary'!AY73</f>
        <v>50506.858447858001</v>
      </c>
      <c r="W5" s="79">
        <f>'Net zero emission summary'!AZ73</f>
        <v>50990.925862911856</v>
      </c>
      <c r="X5" s="79">
        <f>'Net zero emission summary'!BA73</f>
        <v>51581.397695449181</v>
      </c>
      <c r="Y5" s="79">
        <f>'Net zero emission summary'!BB73</f>
        <v>52077.754111662391</v>
      </c>
      <c r="Z5" s="79">
        <f>'Net zero emission summary'!BC73</f>
        <v>52594.688043018956</v>
      </c>
      <c r="AA5" s="79">
        <f>'Net zero emission summary'!BD73</f>
        <v>53153.727539600775</v>
      </c>
      <c r="AB5" s="79">
        <f>'Net zero emission summary'!BE73</f>
        <v>53602.794074740086</v>
      </c>
      <c r="AC5" s="79">
        <f>'Net zero emission summary'!BF73</f>
        <v>54011.434569649296</v>
      </c>
      <c r="AD5" s="79">
        <f>'Net zero emission summary'!BG73</f>
        <v>54384.722270103346</v>
      </c>
      <c r="AE5" s="79">
        <f>'Net zero emission summary'!BH73</f>
        <v>54938.938650428805</v>
      </c>
      <c r="AF5" s="79">
        <f>'Net zero emission summary'!BI73</f>
        <v>55422.928989595857</v>
      </c>
      <c r="AG5" s="79">
        <f>'Net zero emission summary'!BJ73</f>
        <v>55919.851198068005</v>
      </c>
      <c r="AH5" s="79">
        <f>'Net zero emission summary'!BK73</f>
        <v>56433.820427617255</v>
      </c>
      <c r="AI5" s="79">
        <f>'Net zero emission summary'!BL73</f>
        <v>56970.926611634524</v>
      </c>
      <c r="AJ5" s="79">
        <f>'Net zero emission summary'!BM73</f>
        <v>57519.928616708639</v>
      </c>
      <c r="AK5" s="79">
        <f>'Net zero emission summary'!BN73</f>
        <v>57204.10518409645</v>
      </c>
      <c r="AL5" s="79">
        <f>'Net zero emission summary'!BO73</f>
        <v>56805.840154677426</v>
      </c>
      <c r="AM5" s="79">
        <f>'Net zero emission summary'!BP73</f>
        <v>56300.916942057607</v>
      </c>
      <c r="AN5" s="79">
        <f>'Net zero emission summary'!BQ73</f>
        <v>55769.630533783464</v>
      </c>
    </row>
    <row r="6" spans="1:46" x14ac:dyDescent="0.3">
      <c r="B6" s="79">
        <f t="shared" ref="B6" si="0">B4-B5</f>
        <v>0</v>
      </c>
      <c r="C6" s="79">
        <f t="shared" ref="C6" si="1">C4-C5</f>
        <v>0</v>
      </c>
      <c r="D6" s="79">
        <f t="shared" ref="D6" si="2">D4-D5</f>
        <v>0</v>
      </c>
      <c r="E6" s="79">
        <f t="shared" ref="E6:J6" si="3">E4-E5</f>
        <v>0</v>
      </c>
      <c r="F6" s="79">
        <f t="shared" si="3"/>
        <v>0</v>
      </c>
      <c r="G6" s="79">
        <f t="shared" si="3"/>
        <v>0</v>
      </c>
      <c r="H6" s="79">
        <f t="shared" si="3"/>
        <v>0</v>
      </c>
      <c r="I6" s="79">
        <f t="shared" si="3"/>
        <v>0</v>
      </c>
      <c r="J6" s="79">
        <f t="shared" si="3"/>
        <v>0</v>
      </c>
      <c r="K6" s="79">
        <f>K4-K5</f>
        <v>0</v>
      </c>
      <c r="L6" s="79">
        <f t="shared" ref="L6:AN6" si="4">L4-L5</f>
        <v>0</v>
      </c>
      <c r="M6" s="79">
        <f t="shared" si="4"/>
        <v>0</v>
      </c>
      <c r="N6" s="79">
        <f t="shared" si="4"/>
        <v>0</v>
      </c>
      <c r="O6" s="79">
        <f t="shared" si="4"/>
        <v>0</v>
      </c>
      <c r="P6" s="79">
        <f t="shared" si="4"/>
        <v>0</v>
      </c>
      <c r="Q6" s="79">
        <f t="shared" si="4"/>
        <v>0</v>
      </c>
      <c r="R6" s="79">
        <f t="shared" si="4"/>
        <v>0</v>
      </c>
      <c r="S6" s="79">
        <f t="shared" si="4"/>
        <v>0</v>
      </c>
      <c r="T6" s="79">
        <f t="shared" si="4"/>
        <v>0</v>
      </c>
      <c r="U6" s="79">
        <f t="shared" si="4"/>
        <v>0</v>
      </c>
      <c r="V6" s="79">
        <f t="shared" si="4"/>
        <v>0</v>
      </c>
      <c r="W6" s="79">
        <f t="shared" si="4"/>
        <v>0</v>
      </c>
      <c r="X6" s="79">
        <f t="shared" si="4"/>
        <v>0</v>
      </c>
      <c r="Y6" s="79">
        <f t="shared" si="4"/>
        <v>0</v>
      </c>
      <c r="Z6" s="79">
        <f t="shared" si="4"/>
        <v>0</v>
      </c>
      <c r="AA6" s="79">
        <f t="shared" si="4"/>
        <v>0</v>
      </c>
      <c r="AB6" s="79">
        <f t="shared" si="4"/>
        <v>0</v>
      </c>
      <c r="AC6" s="79">
        <f t="shared" si="4"/>
        <v>0</v>
      </c>
      <c r="AD6" s="79">
        <f t="shared" si="4"/>
        <v>0</v>
      </c>
      <c r="AE6" s="79">
        <f t="shared" si="4"/>
        <v>0</v>
      </c>
      <c r="AF6" s="79">
        <f t="shared" si="4"/>
        <v>0</v>
      </c>
      <c r="AG6" s="79">
        <f t="shared" si="4"/>
        <v>0</v>
      </c>
      <c r="AH6" s="79">
        <f t="shared" si="4"/>
        <v>0</v>
      </c>
      <c r="AI6" s="79">
        <f t="shared" si="4"/>
        <v>0</v>
      </c>
      <c r="AJ6" s="79">
        <f t="shared" si="4"/>
        <v>0</v>
      </c>
      <c r="AK6" s="79">
        <f t="shared" si="4"/>
        <v>0</v>
      </c>
      <c r="AL6" s="79">
        <f t="shared" si="4"/>
        <v>0</v>
      </c>
      <c r="AM6" s="79">
        <f t="shared" si="4"/>
        <v>0</v>
      </c>
      <c r="AN6" s="79">
        <f t="shared" si="4"/>
        <v>0</v>
      </c>
    </row>
    <row r="7" spans="1:46" x14ac:dyDescent="0.3">
      <c r="T7" s="49">
        <f>T6/'Emissions summary'!AT58</f>
        <v>0</v>
      </c>
      <c r="AN7" s="49">
        <f>AN6/'Emissions summary'!BN58</f>
        <v>0</v>
      </c>
    </row>
    <row r="8" spans="1:46" x14ac:dyDescent="0.3">
      <c r="T8" s="49">
        <f>(T4-T5)/T4</f>
        <v>0</v>
      </c>
      <c r="AN8" s="49">
        <f>(AN4-AN5)/AN4</f>
        <v>0</v>
      </c>
    </row>
    <row r="9" spans="1:46" x14ac:dyDescent="0.3">
      <c r="T9">
        <f>(T4-T5)/G4</f>
        <v>0</v>
      </c>
      <c r="AN9">
        <f>0.4*AN4</f>
        <v>22307.852213513386</v>
      </c>
    </row>
    <row r="10" spans="1:46" x14ac:dyDescent="0.3">
      <c r="AN10">
        <f>0.75*AN4</f>
        <v>41827.222900337598</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239F7-681C-45A3-B516-DB01F57627C0}">
  <dimension ref="A1:N34"/>
  <sheetViews>
    <sheetView workbookViewId="0">
      <selection activeCell="F34" sqref="F34"/>
    </sheetView>
  </sheetViews>
  <sheetFormatPr defaultColWidth="8.77734375" defaultRowHeight="14.4" x14ac:dyDescent="0.3"/>
  <sheetData>
    <row r="1" spans="1:13" x14ac:dyDescent="0.3">
      <c r="A1" t="s">
        <v>960</v>
      </c>
      <c r="C1" t="s">
        <v>960</v>
      </c>
      <c r="E1" t="s">
        <v>960</v>
      </c>
      <c r="G1" t="s">
        <v>960</v>
      </c>
      <c r="I1" t="s">
        <v>960</v>
      </c>
      <c r="K1" t="s">
        <v>960</v>
      </c>
      <c r="M1" t="s">
        <v>960</v>
      </c>
    </row>
    <row r="2" spans="1:13" x14ac:dyDescent="0.3">
      <c r="A2" t="s">
        <v>959</v>
      </c>
      <c r="C2" t="s">
        <v>982</v>
      </c>
      <c r="E2" t="s">
        <v>995</v>
      </c>
      <c r="G2" t="s">
        <v>996</v>
      </c>
      <c r="I2" t="s">
        <v>997</v>
      </c>
      <c r="K2" t="s">
        <v>998</v>
      </c>
      <c r="M2" t="s">
        <v>999</v>
      </c>
    </row>
    <row r="3" spans="1:13" x14ac:dyDescent="0.3">
      <c r="A3" t="s">
        <v>961</v>
      </c>
      <c r="C3" t="s">
        <v>943</v>
      </c>
      <c r="E3" t="s">
        <v>983</v>
      </c>
      <c r="G3" t="s">
        <v>987</v>
      </c>
      <c r="I3" t="s">
        <v>989</v>
      </c>
      <c r="K3" t="s">
        <v>991</v>
      </c>
      <c r="M3" t="s">
        <v>993</v>
      </c>
    </row>
    <row r="4" spans="1:13" x14ac:dyDescent="0.3">
      <c r="A4" t="s">
        <v>962</v>
      </c>
      <c r="C4" t="s">
        <v>944</v>
      </c>
      <c r="E4" t="s">
        <v>984</v>
      </c>
      <c r="G4" t="s">
        <v>988</v>
      </c>
      <c r="I4" t="s">
        <v>990</v>
      </c>
      <c r="K4" t="s">
        <v>992</v>
      </c>
      <c r="M4" t="s">
        <v>994</v>
      </c>
    </row>
    <row r="5" spans="1:13" x14ac:dyDescent="0.3">
      <c r="A5" t="s">
        <v>963</v>
      </c>
      <c r="C5" t="s">
        <v>945</v>
      </c>
      <c r="E5" t="s">
        <v>985</v>
      </c>
    </row>
    <row r="6" spans="1:13" x14ac:dyDescent="0.3">
      <c r="A6" t="s">
        <v>964</v>
      </c>
      <c r="C6" t="s">
        <v>946</v>
      </c>
      <c r="E6" t="s">
        <v>986</v>
      </c>
    </row>
    <row r="7" spans="1:13" x14ac:dyDescent="0.3">
      <c r="A7" t="s">
        <v>965</v>
      </c>
    </row>
    <row r="8" spans="1:13" x14ac:dyDescent="0.3">
      <c r="A8" t="s">
        <v>966</v>
      </c>
    </row>
    <row r="9" spans="1:13" x14ac:dyDescent="0.3">
      <c r="A9" t="s">
        <v>967</v>
      </c>
    </row>
    <row r="10" spans="1:13" x14ac:dyDescent="0.3">
      <c r="A10" t="s">
        <v>968</v>
      </c>
      <c r="C10" t="s">
        <v>960</v>
      </c>
      <c r="F10" t="s">
        <v>1003</v>
      </c>
      <c r="H10" t="s">
        <v>1004</v>
      </c>
      <c r="I10" t="str">
        <f>IF('Net zero activities &amp; levers'!C5="On",1,"Baseline")</f>
        <v>Baseline</v>
      </c>
    </row>
    <row r="11" spans="1:13" x14ac:dyDescent="0.3">
      <c r="A11" t="s">
        <v>969</v>
      </c>
      <c r="C11" t="s">
        <v>12</v>
      </c>
      <c r="F11" t="s">
        <v>944</v>
      </c>
      <c r="H11" t="s">
        <v>961</v>
      </c>
      <c r="I11" t="e">
        <f>IF('Net zero activities &amp; levers'!#REF!="On",2,"Baseline")</f>
        <v>#REF!</v>
      </c>
    </row>
    <row r="12" spans="1:13" x14ac:dyDescent="0.3">
      <c r="A12" t="s">
        <v>970</v>
      </c>
      <c r="C12" t="s">
        <v>13</v>
      </c>
      <c r="F12" t="s">
        <v>945</v>
      </c>
      <c r="H12" t="s">
        <v>962</v>
      </c>
      <c r="I12" t="str">
        <f>IF('Net zero activities &amp; levers'!C6="On",3,"Baseline")</f>
        <v>Baseline</v>
      </c>
    </row>
    <row r="13" spans="1:13" x14ac:dyDescent="0.3">
      <c r="A13" t="s">
        <v>971</v>
      </c>
      <c r="C13" t="s">
        <v>14</v>
      </c>
      <c r="F13" t="s">
        <v>946</v>
      </c>
      <c r="H13" t="s">
        <v>963</v>
      </c>
      <c r="I13" t="e">
        <f>IF('Net zero activities &amp; levers'!#REF!="On",4,"Baseline")</f>
        <v>#REF!</v>
      </c>
    </row>
    <row r="14" spans="1:13" x14ac:dyDescent="0.3">
      <c r="A14" t="s">
        <v>972</v>
      </c>
      <c r="F14" t="s">
        <v>983</v>
      </c>
      <c r="H14" t="s">
        <v>1021</v>
      </c>
      <c r="I14" t="str">
        <f>IF('Net zero activities &amp; levers'!C7="On",5,"Baseline")</f>
        <v>Baseline</v>
      </c>
    </row>
    <row r="15" spans="1:13" x14ac:dyDescent="0.3">
      <c r="A15" t="s">
        <v>973</v>
      </c>
      <c r="F15" t="s">
        <v>984</v>
      </c>
    </row>
    <row r="16" spans="1:13" x14ac:dyDescent="0.3">
      <c r="A16" t="s">
        <v>974</v>
      </c>
      <c r="C16" t="s">
        <v>960</v>
      </c>
      <c r="F16" t="s">
        <v>985</v>
      </c>
      <c r="H16" t="s">
        <v>966</v>
      </c>
      <c r="I16" t="e">
        <f>IF('Net zero activities &amp; levers'!#REF!="On",6,"Baseline")</f>
        <v>#REF!</v>
      </c>
    </row>
    <row r="17" spans="1:14" x14ac:dyDescent="0.3">
      <c r="A17" t="s">
        <v>975</v>
      </c>
      <c r="C17" t="s">
        <v>1000</v>
      </c>
      <c r="F17" t="s">
        <v>986</v>
      </c>
      <c r="H17" t="s">
        <v>967</v>
      </c>
      <c r="I17" t="e">
        <f>IF('Net zero activities &amp; levers'!#REF!="On",7,"Baseline")</f>
        <v>#REF!</v>
      </c>
    </row>
    <row r="18" spans="1:14" x14ac:dyDescent="0.3">
      <c r="A18" t="s">
        <v>976</v>
      </c>
      <c r="C18" t="s">
        <v>1001</v>
      </c>
      <c r="F18" t="s">
        <v>987</v>
      </c>
      <c r="H18" t="s">
        <v>968</v>
      </c>
      <c r="I18" t="str">
        <f>IF('Net zero activities &amp; levers'!C8="On",8,"Baseline")</f>
        <v>Baseline</v>
      </c>
    </row>
    <row r="19" spans="1:14" x14ac:dyDescent="0.3">
      <c r="A19" t="s">
        <v>977</v>
      </c>
    </row>
    <row r="20" spans="1:14" x14ac:dyDescent="0.3">
      <c r="A20" t="s">
        <v>978</v>
      </c>
    </row>
    <row r="21" spans="1:14" x14ac:dyDescent="0.3">
      <c r="A21" t="s">
        <v>979</v>
      </c>
    </row>
    <row r="22" spans="1:14" x14ac:dyDescent="0.3">
      <c r="A22" t="s">
        <v>980</v>
      </c>
      <c r="L22" t="s">
        <v>1004</v>
      </c>
    </row>
    <row r="23" spans="1:14" x14ac:dyDescent="0.3">
      <c r="A23" t="s">
        <v>981</v>
      </c>
      <c r="L23" t="s">
        <v>962</v>
      </c>
      <c r="N23" t="str">
        <f>$L$22&amp;L23</f>
        <v>FSFA</v>
      </c>
    </row>
    <row r="24" spans="1:14" x14ac:dyDescent="0.3">
      <c r="L24" t="s">
        <v>1021</v>
      </c>
      <c r="N24" t="str">
        <f t="shared" ref="N24:N28" si="0">$L$22&amp;L24</f>
        <v>FSGS</v>
      </c>
    </row>
    <row r="25" spans="1:14" x14ac:dyDescent="0.3">
      <c r="L25" t="s">
        <v>968</v>
      </c>
      <c r="N25" t="str">
        <f t="shared" si="0"/>
        <v>FSPQ</v>
      </c>
    </row>
    <row r="26" spans="1:14" x14ac:dyDescent="0.3">
      <c r="L26" t="s">
        <v>969</v>
      </c>
      <c r="N26" t="str">
        <f t="shared" si="0"/>
        <v>FSNI</v>
      </c>
    </row>
    <row r="27" spans="1:14" x14ac:dyDescent="0.3">
      <c r="L27" t="s">
        <v>972</v>
      </c>
      <c r="N27" t="str">
        <f t="shared" si="0"/>
        <v>FSAD</v>
      </c>
    </row>
    <row r="28" spans="1:14" x14ac:dyDescent="0.3">
      <c r="B28" t="s">
        <v>1379</v>
      </c>
      <c r="L28" t="s">
        <v>1322</v>
      </c>
      <c r="N28" t="str">
        <f t="shared" si="0"/>
        <v>FSCM</v>
      </c>
    </row>
    <row r="29" spans="1:14" x14ac:dyDescent="0.3">
      <c r="B29" t="s">
        <v>1380</v>
      </c>
      <c r="N29" t="str">
        <f>$L$23&amp;L22</f>
        <v>FAFS</v>
      </c>
    </row>
    <row r="30" spans="1:14" x14ac:dyDescent="0.3">
      <c r="N30" t="str">
        <f>$L$23&amp;L24</f>
        <v>FAGS</v>
      </c>
    </row>
    <row r="31" spans="1:14" x14ac:dyDescent="0.3">
      <c r="B31" t="s">
        <v>1001</v>
      </c>
      <c r="N31" t="str">
        <f t="shared" ref="N31:N34" si="1">$L$23&amp;L25</f>
        <v>FAPQ</v>
      </c>
    </row>
    <row r="32" spans="1:14" x14ac:dyDescent="0.3">
      <c r="B32" t="s">
        <v>1381</v>
      </c>
      <c r="N32" t="str">
        <f t="shared" si="1"/>
        <v>FANI</v>
      </c>
    </row>
    <row r="33" spans="2:14" x14ac:dyDescent="0.3">
      <c r="B33" t="s">
        <v>1378</v>
      </c>
      <c r="N33" t="str">
        <f>$L$23&amp;L27</f>
        <v>FAAD</v>
      </c>
    </row>
    <row r="34" spans="2:14" x14ac:dyDescent="0.3">
      <c r="N34" t="str">
        <f t="shared" si="1"/>
        <v>FACM</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6E66F2049731D4C8B4BE33A6B873590" ma:contentTypeVersion="7" ma:contentTypeDescription="Create a new document." ma:contentTypeScope="" ma:versionID="e0ed1ea337bec2590f97fde472945193">
  <xsd:schema xmlns:xsd="http://www.w3.org/2001/XMLSchema" xmlns:xs="http://www.w3.org/2001/XMLSchema" xmlns:p="http://schemas.microsoft.com/office/2006/metadata/properties" xmlns:ns2="4aa0aade-5a71-4415-8847-ee8404131378" xmlns:ns3="43193f7e-cc5e-4e8f-af15-505b2f732e4d" targetNamespace="http://schemas.microsoft.com/office/2006/metadata/properties" ma:root="true" ma:fieldsID="2bf92951eb61e3a55fd158f44bc60684" ns2:_="" ns3:_="">
    <xsd:import namespace="4aa0aade-5a71-4415-8847-ee8404131378"/>
    <xsd:import namespace="43193f7e-cc5e-4e8f-af15-505b2f732e4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a0aade-5a71-4415-8847-ee84041313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3193f7e-cc5e-4e8f-af15-505b2f732e4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410DEF-99BC-418A-A8F6-60AAAC61D781}">
  <ds:schemaRefs>
    <ds:schemaRef ds:uri="http://schemas.microsoft.com/sharepoint/v3/contenttype/forms"/>
  </ds:schemaRefs>
</ds:datastoreItem>
</file>

<file path=customXml/itemProps2.xml><?xml version="1.0" encoding="utf-8"?>
<ds:datastoreItem xmlns:ds="http://schemas.openxmlformats.org/officeDocument/2006/customXml" ds:itemID="{83800147-0D0D-498D-9F86-60A14C59B4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a0aade-5a71-4415-8847-ee8404131378"/>
    <ds:schemaRef ds:uri="43193f7e-cc5e-4e8f-af15-505b2f732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C075F93-2FFF-4204-8A47-BF4DE26969B4}">
  <ds:schemaRefs>
    <ds:schemaRef ds:uri="http://purl.org/dc/terms/"/>
    <ds:schemaRef ds:uri="http://schemas.microsoft.com/office/infopath/2007/PartnerControls"/>
    <ds:schemaRef ds:uri="http://purl.org/dc/dcmitype/"/>
    <ds:schemaRef ds:uri="http://www.w3.org/XML/1998/namespace"/>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43193f7e-cc5e-4e8f-af15-505b2f732e4d"/>
    <ds:schemaRef ds:uri="4aa0aade-5a71-4415-8847-ee840413137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36</vt:i4>
      </vt:variant>
    </vt:vector>
  </HeadingPairs>
  <TitlesOfParts>
    <vt:vector size="62" baseType="lpstr">
      <vt:lpstr>Notes</vt:lpstr>
      <vt:lpstr>IndexG2E</vt:lpstr>
      <vt:lpstr>IndexE2G</vt:lpstr>
      <vt:lpstr>DriversCGE</vt:lpstr>
      <vt:lpstr>GHGSummary</vt:lpstr>
      <vt:lpstr>IPCC Categories</vt:lpstr>
      <vt:lpstr>Drivers</vt:lpstr>
      <vt:lpstr>Constants</vt:lpstr>
      <vt:lpstr>Levers &amp; variables</vt:lpstr>
      <vt:lpstr>Intermediate calculations</vt:lpstr>
      <vt:lpstr>Data</vt:lpstr>
      <vt:lpstr>BFAP verification</vt:lpstr>
      <vt:lpstr>Mitigation drivers</vt:lpstr>
      <vt:lpstr>Activity data</vt:lpstr>
      <vt:lpstr>EF</vt:lpstr>
      <vt:lpstr>Aggregated EF</vt:lpstr>
      <vt:lpstr>Emissions</vt:lpstr>
      <vt:lpstr>Emissions summary</vt:lpstr>
      <vt:lpstr>Net zero activities &amp; levers</vt:lpstr>
      <vt:lpstr>Net zero Activity data</vt:lpstr>
      <vt:lpstr>Net zero Intermediate calcs</vt:lpstr>
      <vt:lpstr>Net zero supporting data</vt:lpstr>
      <vt:lpstr>Net zero emission reductions</vt:lpstr>
      <vt:lpstr>Net zero emission summary</vt:lpstr>
      <vt:lpstr>Net zero outputs</vt:lpstr>
      <vt:lpstr>Lists</vt:lpstr>
      <vt:lpstr>CH4GWP</vt:lpstr>
      <vt:lpstr>CO2toC</vt:lpstr>
      <vt:lpstr>CompostN2O</vt:lpstr>
      <vt:lpstr>CREF</vt:lpstr>
      <vt:lpstr>CtoCO2</vt:lpstr>
      <vt:lpstr>DailyspreadN2O</vt:lpstr>
      <vt:lpstr>DigesterN2OEF</vt:lpstr>
      <vt:lpstr>DrylotN2O</vt:lpstr>
      <vt:lpstr>FracGASF</vt:lpstr>
      <vt:lpstr>FracGASM</vt:lpstr>
      <vt:lpstr>FracLEACH</vt:lpstr>
      <vt:lpstr>FracLEACHMM</vt:lpstr>
      <vt:lpstr>FracLEACHUD</vt:lpstr>
      <vt:lpstr>FSOMEF</vt:lpstr>
      <vt:lpstr>Ggtot</vt:lpstr>
      <vt:lpstr>kgtoGg</vt:lpstr>
      <vt:lpstr>kgtot</vt:lpstr>
      <vt:lpstr>LagoonN2O</vt:lpstr>
      <vt:lpstr>LiquidN2O</vt:lpstr>
      <vt:lpstr>ManureNEF</vt:lpstr>
      <vt:lpstr>ManwithbedN2O</vt:lpstr>
      <vt:lpstr>MMLeachEF</vt:lpstr>
      <vt:lpstr>MMVolatEF</vt:lpstr>
      <vt:lpstr>MSLeachEF</vt:lpstr>
      <vt:lpstr>MSVolatEF</vt:lpstr>
      <vt:lpstr>N2OGWP</vt:lpstr>
      <vt:lpstr>NtoN2O</vt:lpstr>
      <vt:lpstr>ONEF</vt:lpstr>
      <vt:lpstr>PMwithlitterN2O</vt:lpstr>
      <vt:lpstr>PMwithoutlitterN2O</vt:lpstr>
      <vt:lpstr>SNEF</vt:lpstr>
      <vt:lpstr>SolidStorageN2O</vt:lpstr>
      <vt:lpstr>ttoGg</vt:lpstr>
      <vt:lpstr>ttokg</vt:lpstr>
      <vt:lpstr>UDCPPEF</vt:lpstr>
      <vt:lpstr>UDSOEF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Glancy</dc:creator>
  <cp:keywords/>
  <dc:description/>
  <cp:lastModifiedBy>Jules S</cp:lastModifiedBy>
  <cp:revision/>
  <dcterms:created xsi:type="dcterms:W3CDTF">2017-04-05T21:08:35Z</dcterms:created>
  <dcterms:modified xsi:type="dcterms:W3CDTF">2022-12-08T22:29:09Z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0x01010006E66F2049731D4C8B4BE33A6B873590</vt:lpwstr>
  </property>
</Properties>
</file>